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Dokumente\Promotion\Article_GlobalDEMs\Supplementary_Data_Revision_Round2\"/>
    </mc:Choice>
  </mc:AlternateContent>
  <xr:revisionPtr revIDLastSave="0" documentId="13_ncr:1_{3513FFF6-98E5-490B-9653-FCB29192DB9E}" xr6:coauthVersionLast="47" xr6:coauthVersionMax="47" xr10:uidLastSave="{00000000-0000-0000-0000-000000000000}"/>
  <bookViews>
    <workbookView xWindow="-108" yWindow="-108" windowWidth="23256" windowHeight="12576" xr2:uid="{375DCFF8-37CC-4DC7-977A-E01FF91CC55A}"/>
  </bookViews>
  <sheets>
    <sheet name="Literature_Screening_1" sheetId="18" r:id="rId1"/>
    <sheet name="Literature_Screening_2" sheetId="19" r:id="rId2"/>
    <sheet name="Literature_Evaluation" sheetId="3" r:id="rId3"/>
    <sheet name="Code_revised" sheetId="20" r:id="rId4"/>
    <sheet name="Literature_Evaluation_Fig.Prep" sheetId="21" r:id="rId5"/>
    <sheet name="Literature_Eval._Trajectories" sheetId="14" r:id="rId6"/>
    <sheet name="Literature_Eval._Fig." sheetId="13" r:id="rId7"/>
    <sheet name="Publication_Fig." sheetId="12" r:id="rId8"/>
    <sheet name="Elevation_Fig." sheetId="6" r:id="rId9"/>
    <sheet name="VerticalDatum_Fig." sheetId="26" r:id="rId10"/>
    <sheet name="VD_Trajectories" sheetId="22" r:id="rId11"/>
    <sheet name="VD_Trajectories_Eval" sheetId="24" r:id="rId12"/>
    <sheet name="AdditionallyEvaluatedLiterature" sheetId="17" r:id="rId13"/>
    <sheet name="Literature_Eval._Fig.Prep._ADD" sheetId="27" r:id="rId14"/>
    <sheet name="VerticalDatum_Fig._ADD" sheetId="28" r:id="rId15"/>
    <sheet name="VD_Trajectories_ADD" sheetId="29" r:id="rId16"/>
    <sheet name="VD_Trajectories_Eval_ADD" sheetId="30"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 i="29" l="1"/>
  <c r="P5" i="30" l="1"/>
  <c r="P6" i="30"/>
  <c r="P2" i="30"/>
  <c r="P3" i="30"/>
  <c r="P2" i="24"/>
  <c r="P7" i="30"/>
  <c r="P4" i="30"/>
  <c r="N41" i="30"/>
  <c r="N40" i="30"/>
  <c r="O40" i="30" s="1"/>
  <c r="N35" i="30"/>
  <c r="N37" i="30" s="1"/>
  <c r="O37" i="30" s="1"/>
  <c r="N34" i="30"/>
  <c r="N28" i="30"/>
  <c r="N31" i="30" s="1"/>
  <c r="O31" i="30" s="1"/>
  <c r="N22" i="30"/>
  <c r="N21" i="30"/>
  <c r="N20" i="30"/>
  <c r="O42" i="30"/>
  <c r="O41" i="30"/>
  <c r="O39" i="30"/>
  <c r="O38" i="30"/>
  <c r="O36" i="30"/>
  <c r="O33" i="30"/>
  <c r="O32" i="30"/>
  <c r="O30" i="30"/>
  <c r="O29" i="30"/>
  <c r="O27" i="30"/>
  <c r="O26" i="30"/>
  <c r="O24" i="30"/>
  <c r="O23" i="30"/>
  <c r="O22" i="30"/>
  <c r="O21" i="30"/>
  <c r="O20" i="30"/>
  <c r="O18" i="30"/>
  <c r="O17" i="30"/>
  <c r="O16" i="30"/>
  <c r="O15" i="30"/>
  <c r="O14" i="30"/>
  <c r="N19" i="30"/>
  <c r="O19" i="30" s="1"/>
  <c r="N18" i="30"/>
  <c r="O12" i="30"/>
  <c r="O11" i="30"/>
  <c r="O10" i="30"/>
  <c r="O9" i="30"/>
  <c r="O8" i="30"/>
  <c r="O13" i="30"/>
  <c r="N13" i="30"/>
  <c r="N12" i="30"/>
  <c r="O3" i="30"/>
  <c r="O4" i="30"/>
  <c r="O5" i="30"/>
  <c r="O6" i="30"/>
  <c r="O2" i="30"/>
  <c r="N7" i="30"/>
  <c r="O7" i="30" s="1"/>
  <c r="N6" i="30"/>
  <c r="N4" i="30"/>
  <c r="K32" i="30"/>
  <c r="K31" i="30"/>
  <c r="K30" i="30"/>
  <c r="K29" i="30"/>
  <c r="K28" i="30"/>
  <c r="K27" i="30"/>
  <c r="K26" i="30"/>
  <c r="K33" i="30"/>
  <c r="J33" i="30"/>
  <c r="J25" i="30"/>
  <c r="K25" i="30" s="1"/>
  <c r="J17" i="30"/>
  <c r="K17" i="30" s="1"/>
  <c r="J9" i="30"/>
  <c r="J24" i="30"/>
  <c r="J23" i="30"/>
  <c r="K23" i="30"/>
  <c r="K24" i="30"/>
  <c r="J19" i="30"/>
  <c r="K19" i="30" s="1"/>
  <c r="J20" i="30"/>
  <c r="J18" i="30"/>
  <c r="K18" i="30" s="1"/>
  <c r="J21" i="30"/>
  <c r="K21" i="30" s="1"/>
  <c r="J22" i="30"/>
  <c r="K22" i="30" s="1"/>
  <c r="J13" i="30"/>
  <c r="K13" i="30" s="1"/>
  <c r="J10" i="30"/>
  <c r="K10" i="30" s="1"/>
  <c r="J15" i="30"/>
  <c r="K15" i="30" s="1"/>
  <c r="J16" i="30"/>
  <c r="K16" i="30" s="1"/>
  <c r="K9" i="30"/>
  <c r="K3" i="30"/>
  <c r="K4" i="30"/>
  <c r="K5" i="30"/>
  <c r="K6" i="30"/>
  <c r="K7" i="30"/>
  <c r="K8" i="30"/>
  <c r="K11" i="30"/>
  <c r="K12" i="30"/>
  <c r="K14" i="30"/>
  <c r="K20" i="30"/>
  <c r="K2" i="30"/>
  <c r="J5" i="30"/>
  <c r="F16" i="30"/>
  <c r="G16" i="30" s="1"/>
  <c r="F14" i="30"/>
  <c r="F11" i="30"/>
  <c r="G11" i="30" s="1"/>
  <c r="G8" i="30"/>
  <c r="G9" i="30"/>
  <c r="G10" i="30"/>
  <c r="G12" i="30"/>
  <c r="G13" i="30"/>
  <c r="G14" i="30"/>
  <c r="G15" i="30"/>
  <c r="G7" i="30"/>
  <c r="F9" i="30"/>
  <c r="F8" i="30"/>
  <c r="G6" i="30"/>
  <c r="G3" i="30"/>
  <c r="G4" i="30"/>
  <c r="G5" i="30"/>
  <c r="F6" i="30"/>
  <c r="F4" i="30"/>
  <c r="F3" i="30"/>
  <c r="G2" i="30"/>
  <c r="F2" i="30"/>
  <c r="C20" i="30"/>
  <c r="C19" i="30"/>
  <c r="C18" i="30"/>
  <c r="C17" i="30"/>
  <c r="C16" i="30"/>
  <c r="C15" i="30"/>
  <c r="C14" i="30"/>
  <c r="C13" i="30"/>
  <c r="C12" i="30"/>
  <c r="C11" i="30"/>
  <c r="C10" i="30"/>
  <c r="C9" i="30"/>
  <c r="C8" i="30"/>
  <c r="C7" i="30"/>
  <c r="C6" i="30"/>
  <c r="C5" i="30"/>
  <c r="C4" i="30"/>
  <c r="C3" i="30"/>
  <c r="C2" i="30"/>
  <c r="AG3" i="29"/>
  <c r="AG2" i="29"/>
  <c r="AG3" i="22"/>
  <c r="AD343" i="29"/>
  <c r="AD344" i="29"/>
  <c r="AD345" i="29"/>
  <c r="AD346" i="29"/>
  <c r="AD347" i="29"/>
  <c r="AD348" i="29"/>
  <c r="AD349" i="29"/>
  <c r="AD350" i="29"/>
  <c r="AD351" i="29"/>
  <c r="AD352" i="29"/>
  <c r="AD353" i="29"/>
  <c r="AD354" i="29"/>
  <c r="AD355" i="29"/>
  <c r="AD356" i="29"/>
  <c r="AD357" i="29"/>
  <c r="AD358" i="29"/>
  <c r="AD359" i="29"/>
  <c r="AD360" i="29"/>
  <c r="AD361" i="29"/>
  <c r="AD362" i="29"/>
  <c r="AD363" i="29"/>
  <c r="AD364" i="29"/>
  <c r="AD365" i="29"/>
  <c r="AD366" i="29"/>
  <c r="AD367" i="29"/>
  <c r="AD368" i="29"/>
  <c r="AD369" i="29"/>
  <c r="AD370" i="29"/>
  <c r="AD371" i="29"/>
  <c r="AD372" i="29"/>
  <c r="AD373" i="29"/>
  <c r="AD374" i="29"/>
  <c r="AD375" i="29"/>
  <c r="AD376" i="29"/>
  <c r="AD377" i="29"/>
  <c r="AD378" i="29"/>
  <c r="AD379" i="29"/>
  <c r="AD380" i="29"/>
  <c r="AD381" i="29"/>
  <c r="AD382" i="29"/>
  <c r="AD383" i="29"/>
  <c r="AD384" i="29"/>
  <c r="AD385" i="29"/>
  <c r="AD386" i="29"/>
  <c r="AD387" i="29"/>
  <c r="AD388" i="29"/>
  <c r="AD389" i="29"/>
  <c r="AD390" i="29"/>
  <c r="AD391" i="29"/>
  <c r="AD392" i="29"/>
  <c r="AD393" i="29"/>
  <c r="AD394" i="29"/>
  <c r="AD395" i="29"/>
  <c r="AD396" i="29"/>
  <c r="AD397" i="29"/>
  <c r="AD398" i="29"/>
  <c r="AD399" i="29"/>
  <c r="AD400" i="29"/>
  <c r="AD401" i="29"/>
  <c r="AD402" i="29"/>
  <c r="AD403" i="29"/>
  <c r="AD404" i="29"/>
  <c r="AD405" i="29"/>
  <c r="AD406" i="29"/>
  <c r="AD407" i="29"/>
  <c r="AD408" i="29"/>
  <c r="AD409" i="29"/>
  <c r="AD410" i="29"/>
  <c r="AD411" i="29"/>
  <c r="AD412" i="29"/>
  <c r="AD413" i="29"/>
  <c r="AD414" i="29"/>
  <c r="AD415" i="29"/>
  <c r="AD416" i="29"/>
  <c r="AD417" i="29"/>
  <c r="AD418" i="29"/>
  <c r="AD419" i="29"/>
  <c r="AD420" i="29"/>
  <c r="AD421" i="29"/>
  <c r="AD422" i="29"/>
  <c r="AD423" i="29"/>
  <c r="AD424" i="29"/>
  <c r="AD425" i="29"/>
  <c r="AD342" i="29"/>
  <c r="AD258" i="29"/>
  <c r="AD259" i="29"/>
  <c r="AD260" i="29"/>
  <c r="AD261" i="29"/>
  <c r="AD262" i="29"/>
  <c r="AD263" i="29"/>
  <c r="AD264" i="29"/>
  <c r="AD265" i="29"/>
  <c r="AD266" i="29"/>
  <c r="AD267" i="29"/>
  <c r="AD268" i="29"/>
  <c r="AD269" i="29"/>
  <c r="AD270" i="29"/>
  <c r="AD271" i="29"/>
  <c r="AD272" i="29"/>
  <c r="AD273" i="29"/>
  <c r="AD274" i="29"/>
  <c r="AD275" i="29"/>
  <c r="AD276" i="29"/>
  <c r="AD277" i="29"/>
  <c r="AD278" i="29"/>
  <c r="AD279" i="29"/>
  <c r="AD280" i="29"/>
  <c r="AD281" i="29"/>
  <c r="AD282" i="29"/>
  <c r="AD283" i="29"/>
  <c r="AD284" i="29"/>
  <c r="AD285" i="29"/>
  <c r="AD286" i="29"/>
  <c r="AD287" i="29"/>
  <c r="AD288" i="29"/>
  <c r="AD289" i="29"/>
  <c r="AD290" i="29"/>
  <c r="AD291" i="29"/>
  <c r="AD292" i="29"/>
  <c r="AD293" i="29"/>
  <c r="AD294" i="29"/>
  <c r="AD295" i="29"/>
  <c r="AD296" i="29"/>
  <c r="AD297" i="29"/>
  <c r="AD298" i="29"/>
  <c r="AD299" i="29"/>
  <c r="AD300" i="29"/>
  <c r="AD301" i="29"/>
  <c r="AD302" i="29"/>
  <c r="AD303" i="29"/>
  <c r="AD304" i="29"/>
  <c r="AD305" i="29"/>
  <c r="AD306" i="29"/>
  <c r="AD307" i="29"/>
  <c r="AD308" i="29"/>
  <c r="AD309" i="29"/>
  <c r="AD310" i="29"/>
  <c r="AD311" i="29"/>
  <c r="AD312" i="29"/>
  <c r="AD313" i="29"/>
  <c r="AD314" i="29"/>
  <c r="AD315" i="29"/>
  <c r="AD316" i="29"/>
  <c r="AD317" i="29"/>
  <c r="AD318" i="29"/>
  <c r="AD319" i="29"/>
  <c r="AD320" i="29"/>
  <c r="AD321" i="29"/>
  <c r="AD322" i="29"/>
  <c r="AD323" i="29"/>
  <c r="AD324" i="29"/>
  <c r="AD325" i="29"/>
  <c r="AD326" i="29"/>
  <c r="AD327" i="29"/>
  <c r="AD328" i="29"/>
  <c r="AD329" i="29"/>
  <c r="AD330" i="29"/>
  <c r="AD331" i="29"/>
  <c r="AD332" i="29"/>
  <c r="AD333" i="29"/>
  <c r="AD334" i="29"/>
  <c r="AD335" i="29"/>
  <c r="AD336" i="29"/>
  <c r="AD337" i="29"/>
  <c r="AD338" i="29"/>
  <c r="AD339" i="29"/>
  <c r="AD340" i="29"/>
  <c r="AD257" i="29"/>
  <c r="AD173" i="29"/>
  <c r="AD174" i="29"/>
  <c r="AD175" i="29"/>
  <c r="AD176" i="29"/>
  <c r="AD177" i="29"/>
  <c r="AD178" i="29"/>
  <c r="AD179" i="29"/>
  <c r="AD180" i="29"/>
  <c r="AD181" i="29"/>
  <c r="AD182" i="29"/>
  <c r="AD183" i="29"/>
  <c r="AD184" i="29"/>
  <c r="AD185" i="29"/>
  <c r="AD186" i="29"/>
  <c r="AD187" i="29"/>
  <c r="AD188" i="29"/>
  <c r="AD189" i="29"/>
  <c r="AD190" i="29"/>
  <c r="AD191" i="29"/>
  <c r="AD192" i="29"/>
  <c r="AD193" i="29"/>
  <c r="AD194" i="29"/>
  <c r="AD195" i="29"/>
  <c r="AD196" i="29"/>
  <c r="AD197" i="29"/>
  <c r="AD198" i="29"/>
  <c r="AD199" i="29"/>
  <c r="AD200" i="29"/>
  <c r="AD201" i="29"/>
  <c r="AD202" i="29"/>
  <c r="AD203" i="29"/>
  <c r="AD204" i="29"/>
  <c r="AD205" i="29"/>
  <c r="AD206" i="29"/>
  <c r="AD207" i="29"/>
  <c r="AD208" i="29"/>
  <c r="AD209" i="29"/>
  <c r="AD210" i="29"/>
  <c r="AD211" i="29"/>
  <c r="AD212" i="29"/>
  <c r="AD213" i="29"/>
  <c r="AD214" i="29"/>
  <c r="AD215" i="29"/>
  <c r="AD216" i="29"/>
  <c r="AD217" i="29"/>
  <c r="AD218" i="29"/>
  <c r="AD219" i="29"/>
  <c r="AD220" i="29"/>
  <c r="AD221" i="29"/>
  <c r="AD222" i="29"/>
  <c r="AD223" i="29"/>
  <c r="AD224" i="29"/>
  <c r="AD225" i="29"/>
  <c r="AD226" i="29"/>
  <c r="AD227" i="29"/>
  <c r="AD228" i="29"/>
  <c r="AD229" i="29"/>
  <c r="AD230" i="29"/>
  <c r="AD231" i="29"/>
  <c r="AD232" i="29"/>
  <c r="AD233" i="29"/>
  <c r="AD234" i="29"/>
  <c r="AD235" i="29"/>
  <c r="AD236" i="29"/>
  <c r="AD237" i="29"/>
  <c r="AD238" i="29"/>
  <c r="AD239" i="29"/>
  <c r="AD240" i="29"/>
  <c r="AD241" i="29"/>
  <c r="AD242" i="29"/>
  <c r="AD243" i="29"/>
  <c r="AD244" i="29"/>
  <c r="AD245" i="29"/>
  <c r="AD246" i="29"/>
  <c r="AD247" i="29"/>
  <c r="AD248" i="29"/>
  <c r="AD249" i="29"/>
  <c r="AD250" i="29"/>
  <c r="AD251" i="29"/>
  <c r="AD252" i="29"/>
  <c r="AD253" i="29"/>
  <c r="AD254" i="29"/>
  <c r="AD255" i="29"/>
  <c r="AD172" i="29"/>
  <c r="AD88" i="29"/>
  <c r="AD89" i="29"/>
  <c r="AD90" i="29"/>
  <c r="AD91" i="29"/>
  <c r="AD92" i="29"/>
  <c r="AD93" i="29"/>
  <c r="AD94" i="29"/>
  <c r="AD95" i="29"/>
  <c r="AD96" i="29"/>
  <c r="AD97" i="29"/>
  <c r="AD98" i="29"/>
  <c r="AD99" i="29"/>
  <c r="AD100" i="29"/>
  <c r="AD101" i="29"/>
  <c r="AD102" i="29"/>
  <c r="AD103" i="29"/>
  <c r="AD104" i="29"/>
  <c r="AD105" i="29"/>
  <c r="AD106" i="29"/>
  <c r="AD107" i="29"/>
  <c r="AD108" i="29"/>
  <c r="AD109" i="29"/>
  <c r="AD110" i="29"/>
  <c r="AD111" i="29"/>
  <c r="AD112" i="29"/>
  <c r="AD113" i="29"/>
  <c r="AD114" i="29"/>
  <c r="AD115" i="29"/>
  <c r="AD116" i="29"/>
  <c r="AD117" i="29"/>
  <c r="AD118" i="29"/>
  <c r="AD119" i="29"/>
  <c r="AD120" i="29"/>
  <c r="AD121" i="29"/>
  <c r="AD122" i="29"/>
  <c r="AD123" i="29"/>
  <c r="AD124" i="29"/>
  <c r="AD125" i="29"/>
  <c r="AD126" i="29"/>
  <c r="AD127" i="29"/>
  <c r="AD128" i="29"/>
  <c r="AD129" i="29"/>
  <c r="AD130" i="29"/>
  <c r="AD131" i="29"/>
  <c r="AD132" i="29"/>
  <c r="AD133" i="29"/>
  <c r="AD134" i="29"/>
  <c r="AD135" i="29"/>
  <c r="AD136" i="29"/>
  <c r="AD137" i="29"/>
  <c r="AD138" i="29"/>
  <c r="AD139" i="29"/>
  <c r="AD140" i="29"/>
  <c r="AD141" i="29"/>
  <c r="AD142" i="29"/>
  <c r="AD143" i="29"/>
  <c r="AD144" i="29"/>
  <c r="AD145" i="29"/>
  <c r="AD146" i="29"/>
  <c r="AD147" i="29"/>
  <c r="AD148" i="29"/>
  <c r="AD149" i="29"/>
  <c r="AD150" i="29"/>
  <c r="AD151" i="29"/>
  <c r="AD152" i="29"/>
  <c r="AD153" i="29"/>
  <c r="AD154" i="29"/>
  <c r="AD155" i="29"/>
  <c r="AD156" i="29"/>
  <c r="AD157" i="29"/>
  <c r="AD158" i="29"/>
  <c r="AD159" i="29"/>
  <c r="AD160" i="29"/>
  <c r="AD161" i="29"/>
  <c r="AD162" i="29"/>
  <c r="AD163" i="29"/>
  <c r="AD164" i="29"/>
  <c r="AD165" i="29"/>
  <c r="AD166" i="29"/>
  <c r="AD167" i="29"/>
  <c r="AD168" i="29"/>
  <c r="AD169" i="29"/>
  <c r="AD170" i="29"/>
  <c r="AD87" i="29"/>
  <c r="AD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28" i="29"/>
  <c r="AD29" i="29"/>
  <c r="AD30" i="29"/>
  <c r="AD31" i="29"/>
  <c r="AD32" i="29"/>
  <c r="AD33" i="29"/>
  <c r="AD34" i="29"/>
  <c r="AD35" i="29"/>
  <c r="AD36" i="29"/>
  <c r="AD37" i="29"/>
  <c r="AD38" i="29"/>
  <c r="AD39" i="29"/>
  <c r="AD40" i="29"/>
  <c r="AD41" i="29"/>
  <c r="AD42" i="29"/>
  <c r="AD43" i="29"/>
  <c r="AD44" i="29"/>
  <c r="AD45" i="29"/>
  <c r="AD46" i="29"/>
  <c r="AD47" i="29"/>
  <c r="AD48" i="29"/>
  <c r="AD49" i="29"/>
  <c r="AD50" i="29"/>
  <c r="AD51" i="29"/>
  <c r="AD52" i="29"/>
  <c r="AD53" i="29"/>
  <c r="AD54" i="29"/>
  <c r="AD55" i="29"/>
  <c r="AD56" i="29"/>
  <c r="AD57" i="29"/>
  <c r="AD58" i="29"/>
  <c r="AD59" i="29"/>
  <c r="AD60" i="29"/>
  <c r="AD61" i="29"/>
  <c r="AD62" i="29"/>
  <c r="AD63" i="29"/>
  <c r="AD64" i="29"/>
  <c r="AD65" i="29"/>
  <c r="AD66" i="29"/>
  <c r="AD67" i="29"/>
  <c r="AD68" i="29"/>
  <c r="AD69" i="29"/>
  <c r="AD70" i="29"/>
  <c r="AD71" i="29"/>
  <c r="AD72" i="29"/>
  <c r="AD73" i="29"/>
  <c r="AD74" i="29"/>
  <c r="AD75" i="29"/>
  <c r="AD76" i="29"/>
  <c r="AD77" i="29"/>
  <c r="AD78" i="29"/>
  <c r="AD79" i="29"/>
  <c r="AD80" i="29"/>
  <c r="AD81" i="29"/>
  <c r="AD82" i="29"/>
  <c r="AD83" i="29"/>
  <c r="AD84" i="29"/>
  <c r="AD85" i="29"/>
  <c r="AD2" i="29"/>
  <c r="AA3" i="29"/>
  <c r="AA4" i="29"/>
  <c r="AA5" i="29"/>
  <c r="AA6" i="29"/>
  <c r="AA7" i="29"/>
  <c r="AA8" i="29"/>
  <c r="AA9" i="29"/>
  <c r="AA10" i="29"/>
  <c r="AA11" i="29"/>
  <c r="AA12" i="29"/>
  <c r="AA13" i="29"/>
  <c r="AA14" i="29"/>
  <c r="AA15" i="29"/>
  <c r="AA16" i="29"/>
  <c r="AA17" i="29"/>
  <c r="AA18" i="29"/>
  <c r="AA19" i="29"/>
  <c r="AA20" i="29"/>
  <c r="AA21" i="29"/>
  <c r="AA22" i="29"/>
  <c r="AA23" i="29"/>
  <c r="AA24" i="29"/>
  <c r="AA25" i="29"/>
  <c r="AA26" i="29"/>
  <c r="AA27" i="29"/>
  <c r="AA28" i="29"/>
  <c r="AA29" i="29"/>
  <c r="AA30" i="29"/>
  <c r="AA31" i="29"/>
  <c r="AA32" i="29"/>
  <c r="AA33" i="29"/>
  <c r="AA34" i="29"/>
  <c r="AA35" i="29"/>
  <c r="AA36" i="29"/>
  <c r="AA37" i="29"/>
  <c r="AA38" i="29"/>
  <c r="AA39" i="29"/>
  <c r="AA40" i="29"/>
  <c r="AA41" i="29"/>
  <c r="AA42" i="29"/>
  <c r="AA43" i="29"/>
  <c r="AA2" i="29"/>
  <c r="W3" i="29"/>
  <c r="W4" i="29"/>
  <c r="W5" i="29"/>
  <c r="W6" i="29"/>
  <c r="W7" i="29"/>
  <c r="W8" i="29"/>
  <c r="W9" i="29"/>
  <c r="W10" i="29"/>
  <c r="W11" i="29"/>
  <c r="W12" i="29"/>
  <c r="W13" i="29"/>
  <c r="W14" i="29"/>
  <c r="W15" i="29"/>
  <c r="W16" i="29"/>
  <c r="W17" i="29"/>
  <c r="W18" i="29"/>
  <c r="W19" i="29"/>
  <c r="W20" i="29"/>
  <c r="W21" i="29"/>
  <c r="W22" i="29"/>
  <c r="W23" i="29"/>
  <c r="W24" i="29"/>
  <c r="W25" i="29"/>
  <c r="W26" i="29"/>
  <c r="W27" i="29"/>
  <c r="W28" i="29"/>
  <c r="W29" i="29"/>
  <c r="W30" i="29"/>
  <c r="W31" i="29"/>
  <c r="W32" i="29"/>
  <c r="W33" i="29"/>
  <c r="W34" i="29"/>
  <c r="W35" i="29"/>
  <c r="W36" i="29"/>
  <c r="W37" i="29"/>
  <c r="W38" i="29"/>
  <c r="W39" i="29"/>
  <c r="W40" i="29"/>
  <c r="W41" i="29"/>
  <c r="W42" i="29"/>
  <c r="W43" i="29"/>
  <c r="W44" i="29"/>
  <c r="W45" i="29"/>
  <c r="W46" i="29"/>
  <c r="W47" i="29"/>
  <c r="W48" i="29"/>
  <c r="W49" i="29"/>
  <c r="W50" i="29"/>
  <c r="W51" i="29"/>
  <c r="W52" i="29"/>
  <c r="W53" i="29"/>
  <c r="W54" i="29"/>
  <c r="W55" i="29"/>
  <c r="W56" i="29"/>
  <c r="W57" i="29"/>
  <c r="W58" i="29"/>
  <c r="W59" i="29"/>
  <c r="W60" i="29"/>
  <c r="W61" i="29"/>
  <c r="W62" i="29"/>
  <c r="W63" i="29"/>
  <c r="W64" i="29"/>
  <c r="W65" i="29"/>
  <c r="W66" i="29"/>
  <c r="W67" i="29"/>
  <c r="W68" i="29"/>
  <c r="W69" i="29"/>
  <c r="W70" i="29"/>
  <c r="W71" i="29"/>
  <c r="W72" i="29"/>
  <c r="W73" i="29"/>
  <c r="W74" i="29"/>
  <c r="W75" i="29"/>
  <c r="W76" i="29"/>
  <c r="W77" i="29"/>
  <c r="W78" i="29"/>
  <c r="W79" i="29"/>
  <c r="W80" i="29"/>
  <c r="W81" i="29"/>
  <c r="W82" i="29"/>
  <c r="W83" i="29"/>
  <c r="W84" i="29"/>
  <c r="W85" i="29"/>
  <c r="W86" i="29"/>
  <c r="W87" i="29"/>
  <c r="W88" i="29"/>
  <c r="W89" i="29"/>
  <c r="W90" i="29"/>
  <c r="W91" i="29"/>
  <c r="W92" i="29"/>
  <c r="W93" i="29"/>
  <c r="W94" i="29"/>
  <c r="W95" i="29"/>
  <c r="W96" i="29"/>
  <c r="W97" i="29"/>
  <c r="W98" i="29"/>
  <c r="W99" i="29"/>
  <c r="W100" i="29"/>
  <c r="W101" i="29"/>
  <c r="W102" i="29"/>
  <c r="W103" i="29"/>
  <c r="W2" i="29"/>
  <c r="S3" i="29"/>
  <c r="S4" i="29"/>
  <c r="S5" i="29"/>
  <c r="S6" i="29"/>
  <c r="S7" i="29"/>
  <c r="S8" i="29"/>
  <c r="S9" i="29"/>
  <c r="S10" i="29"/>
  <c r="S11" i="29"/>
  <c r="S12" i="29"/>
  <c r="S13" i="29"/>
  <c r="S14" i="29"/>
  <c r="S15" i="29"/>
  <c r="S16" i="29"/>
  <c r="S17" i="29"/>
  <c r="S18" i="29"/>
  <c r="S19" i="29"/>
  <c r="S20" i="29"/>
  <c r="S21" i="29"/>
  <c r="S22" i="29"/>
  <c r="S23" i="29"/>
  <c r="S24" i="29"/>
  <c r="S25" i="29"/>
  <c r="S26" i="29"/>
  <c r="S27" i="29"/>
  <c r="S28" i="29"/>
  <c r="S29" i="29"/>
  <c r="S30" i="29"/>
  <c r="S31" i="29"/>
  <c r="S32" i="29"/>
  <c r="S33" i="29"/>
  <c r="S2" i="29"/>
  <c r="O3" i="29"/>
  <c r="O4" i="29"/>
  <c r="O5" i="29"/>
  <c r="O6" i="29"/>
  <c r="O7" i="29"/>
  <c r="O8" i="29"/>
  <c r="O9" i="29"/>
  <c r="O10" i="29"/>
  <c r="O11" i="29"/>
  <c r="O12" i="29"/>
  <c r="O13" i="29"/>
  <c r="O14" i="29"/>
  <c r="O15" i="29"/>
  <c r="O16" i="29"/>
  <c r="O17" i="29"/>
  <c r="O18" i="29"/>
  <c r="O19" i="29"/>
  <c r="O20" i="29"/>
  <c r="O21" i="29"/>
  <c r="O22" i="29"/>
  <c r="O23" i="29"/>
  <c r="O24" i="29"/>
  <c r="O25" i="29"/>
  <c r="O26" i="29"/>
  <c r="O27" i="29"/>
  <c r="O28" i="29"/>
  <c r="O29" i="29"/>
  <c r="O30" i="29"/>
  <c r="O31" i="29"/>
  <c r="O32" i="29"/>
  <c r="O33" i="29"/>
  <c r="O34" i="29"/>
  <c r="O35" i="29"/>
  <c r="O36" i="29"/>
  <c r="O37" i="29"/>
  <c r="O38" i="29"/>
  <c r="O39" i="29"/>
  <c r="O40" i="29"/>
  <c r="O41" i="29"/>
  <c r="O42" i="29"/>
  <c r="O43" i="29"/>
  <c r="O44" i="29"/>
  <c r="O45" i="29"/>
  <c r="O46" i="29"/>
  <c r="O47" i="29"/>
  <c r="O48" i="29"/>
  <c r="O49" i="29"/>
  <c r="O50" i="29"/>
  <c r="O51" i="29"/>
  <c r="O52" i="29"/>
  <c r="O53" i="29"/>
  <c r="O54" i="29"/>
  <c r="O55" i="29"/>
  <c r="O56" i="29"/>
  <c r="O57" i="29"/>
  <c r="O58" i="29"/>
  <c r="O59" i="29"/>
  <c r="O60" i="29"/>
  <c r="O61" i="29"/>
  <c r="O62" i="29"/>
  <c r="O63" i="29"/>
  <c r="O64" i="29"/>
  <c r="O65" i="29"/>
  <c r="O66" i="29"/>
  <c r="O67" i="29"/>
  <c r="O68" i="29"/>
  <c r="O69" i="29"/>
  <c r="O70" i="29"/>
  <c r="O71" i="29"/>
  <c r="O72" i="29"/>
  <c r="O73" i="29"/>
  <c r="O2" i="29"/>
  <c r="K3" i="29"/>
  <c r="K4" i="29"/>
  <c r="K5" i="29"/>
  <c r="K6" i="29"/>
  <c r="K7" i="29"/>
  <c r="K8" i="29"/>
  <c r="K9" i="29"/>
  <c r="K10" i="29"/>
  <c r="K11" i="29"/>
  <c r="K12" i="29"/>
  <c r="K13" i="29"/>
  <c r="K14" i="29"/>
  <c r="K15" i="29"/>
  <c r="K16" i="29"/>
  <c r="K2" i="29"/>
  <c r="AC425" i="29"/>
  <c r="AC424" i="29"/>
  <c r="AC423" i="29"/>
  <c r="AC422" i="29"/>
  <c r="AC421" i="29"/>
  <c r="AC420" i="29"/>
  <c r="AC419" i="29"/>
  <c r="AC418" i="29"/>
  <c r="AC417" i="29"/>
  <c r="AC416" i="29"/>
  <c r="AC415" i="29"/>
  <c r="AC414" i="29"/>
  <c r="AC413" i="29"/>
  <c r="AC412" i="29"/>
  <c r="AC411" i="29"/>
  <c r="AC410" i="29"/>
  <c r="AC409" i="29"/>
  <c r="AC408" i="29"/>
  <c r="AC407" i="29"/>
  <c r="AC406" i="29"/>
  <c r="AC405" i="29"/>
  <c r="AC404" i="29"/>
  <c r="AC403" i="29"/>
  <c r="AC402" i="29"/>
  <c r="AC401" i="29"/>
  <c r="AC400" i="29"/>
  <c r="AC399" i="29"/>
  <c r="AC398" i="29"/>
  <c r="AC397" i="29"/>
  <c r="AC396" i="29"/>
  <c r="AC395" i="29"/>
  <c r="AC394" i="29"/>
  <c r="AC393" i="29"/>
  <c r="AC392" i="29"/>
  <c r="AC391" i="29"/>
  <c r="AC390" i="29"/>
  <c r="AC389" i="29"/>
  <c r="AC388" i="29"/>
  <c r="AC387" i="29"/>
  <c r="AC386" i="29"/>
  <c r="AC385" i="29"/>
  <c r="AC384" i="29"/>
  <c r="AC383" i="29"/>
  <c r="AC382" i="29"/>
  <c r="AC381" i="29"/>
  <c r="AC380" i="29"/>
  <c r="AC379" i="29"/>
  <c r="AC378" i="29"/>
  <c r="AC377" i="29"/>
  <c r="AC376" i="29"/>
  <c r="AC375" i="29"/>
  <c r="AC374" i="29"/>
  <c r="AC373" i="29"/>
  <c r="AC372" i="29"/>
  <c r="AC371" i="29"/>
  <c r="AC370" i="29"/>
  <c r="AC369" i="29"/>
  <c r="AC368" i="29"/>
  <c r="AC367" i="29"/>
  <c r="AC366" i="29"/>
  <c r="AC365" i="29"/>
  <c r="AC364" i="29"/>
  <c r="AC363" i="29"/>
  <c r="AC362" i="29"/>
  <c r="AC361" i="29"/>
  <c r="AC360" i="29"/>
  <c r="AC359" i="29"/>
  <c r="AC358" i="29"/>
  <c r="AC357" i="29"/>
  <c r="AC356" i="29"/>
  <c r="AC355" i="29"/>
  <c r="AC354" i="29"/>
  <c r="AC353" i="29"/>
  <c r="AC352" i="29"/>
  <c r="AC351" i="29"/>
  <c r="AC350" i="29"/>
  <c r="AC349" i="29"/>
  <c r="AC348" i="29"/>
  <c r="AC347" i="29"/>
  <c r="AC346" i="29"/>
  <c r="AC345" i="29"/>
  <c r="AC344" i="29"/>
  <c r="AC343" i="29"/>
  <c r="AC342" i="29"/>
  <c r="AC340" i="29"/>
  <c r="AC339" i="29"/>
  <c r="AC338" i="29"/>
  <c r="AC337" i="29"/>
  <c r="AC336" i="29"/>
  <c r="AC335" i="29"/>
  <c r="AC334" i="29"/>
  <c r="AC333" i="29"/>
  <c r="AC332" i="29"/>
  <c r="AC331" i="29"/>
  <c r="AC330" i="29"/>
  <c r="AC329" i="29"/>
  <c r="AC328" i="29"/>
  <c r="AC327" i="29"/>
  <c r="AC326" i="29"/>
  <c r="AC325" i="29"/>
  <c r="AC324" i="29"/>
  <c r="AC323" i="29"/>
  <c r="AC322" i="29"/>
  <c r="AC321" i="29"/>
  <c r="AC320" i="29"/>
  <c r="AC319" i="29"/>
  <c r="AC318" i="29"/>
  <c r="AC317" i="29"/>
  <c r="AC316" i="29"/>
  <c r="AC315" i="29"/>
  <c r="AC314" i="29"/>
  <c r="AC313" i="29"/>
  <c r="AC312" i="29"/>
  <c r="AC311" i="29"/>
  <c r="AC310" i="29"/>
  <c r="AC309" i="29"/>
  <c r="AC308" i="29"/>
  <c r="AC307" i="29"/>
  <c r="AC306" i="29"/>
  <c r="AC305" i="29"/>
  <c r="AC304" i="29"/>
  <c r="AC303" i="29"/>
  <c r="AC302" i="29"/>
  <c r="AC301" i="29"/>
  <c r="AC300" i="29"/>
  <c r="AC299" i="29"/>
  <c r="AC298" i="29"/>
  <c r="AC297" i="29"/>
  <c r="AC296" i="29"/>
  <c r="AC295" i="29"/>
  <c r="AC294" i="29"/>
  <c r="AC293" i="29"/>
  <c r="AC292" i="29"/>
  <c r="AC291" i="29"/>
  <c r="AC290" i="29"/>
  <c r="AC289" i="29"/>
  <c r="AC288" i="29"/>
  <c r="AC287" i="29"/>
  <c r="AC286" i="29"/>
  <c r="AC285" i="29"/>
  <c r="AC284" i="29"/>
  <c r="AC283" i="29"/>
  <c r="AC282" i="29"/>
  <c r="AC281" i="29"/>
  <c r="AC280" i="29"/>
  <c r="AC279" i="29"/>
  <c r="AC278" i="29"/>
  <c r="AC277" i="29"/>
  <c r="AC276" i="29"/>
  <c r="AC275" i="29"/>
  <c r="AC274" i="29"/>
  <c r="AC273" i="29"/>
  <c r="AC272" i="29"/>
  <c r="AC271" i="29"/>
  <c r="AC270" i="29"/>
  <c r="AC269" i="29"/>
  <c r="AC268" i="29"/>
  <c r="AC267" i="29"/>
  <c r="AC266" i="29"/>
  <c r="AC265" i="29"/>
  <c r="AC264" i="29"/>
  <c r="AC263" i="29"/>
  <c r="AC262" i="29"/>
  <c r="AC261" i="29"/>
  <c r="AC260" i="29"/>
  <c r="AC259" i="29"/>
  <c r="AC258" i="29"/>
  <c r="AC257" i="29"/>
  <c r="AC255" i="29"/>
  <c r="AC254" i="29"/>
  <c r="AC253" i="29"/>
  <c r="AC252" i="29"/>
  <c r="AC251" i="29"/>
  <c r="AC250" i="29"/>
  <c r="AC249" i="29"/>
  <c r="AC248" i="29"/>
  <c r="AC247" i="29"/>
  <c r="AC246" i="29"/>
  <c r="AC245" i="29"/>
  <c r="AC244" i="29"/>
  <c r="AC243" i="29"/>
  <c r="AC242" i="29"/>
  <c r="AC241" i="29"/>
  <c r="AC240" i="29"/>
  <c r="AC239" i="29"/>
  <c r="AC238" i="29"/>
  <c r="AC237" i="29"/>
  <c r="AC236" i="29"/>
  <c r="AC235" i="29"/>
  <c r="AC234" i="29"/>
  <c r="AC233" i="29"/>
  <c r="AC232" i="29"/>
  <c r="AC231" i="29"/>
  <c r="AC230" i="29"/>
  <c r="AC229" i="29"/>
  <c r="AC228" i="29"/>
  <c r="AC227" i="29"/>
  <c r="AC226" i="29"/>
  <c r="AC225" i="29"/>
  <c r="AC224" i="29"/>
  <c r="AC223" i="29"/>
  <c r="AC222" i="29"/>
  <c r="AC221" i="29"/>
  <c r="AC220" i="29"/>
  <c r="AC219" i="29"/>
  <c r="AC218" i="29"/>
  <c r="AC217" i="29"/>
  <c r="AC216" i="29"/>
  <c r="AC215" i="29"/>
  <c r="AC214" i="29"/>
  <c r="AC213" i="29"/>
  <c r="AC212" i="29"/>
  <c r="AC211" i="29"/>
  <c r="AC210" i="29"/>
  <c r="AC209" i="29"/>
  <c r="AC208" i="29"/>
  <c r="AC207" i="29"/>
  <c r="AC206" i="29"/>
  <c r="AC205" i="29"/>
  <c r="AC204" i="29"/>
  <c r="AC203" i="29"/>
  <c r="AC202" i="29"/>
  <c r="AC201" i="29"/>
  <c r="AC200" i="29"/>
  <c r="AC199" i="29"/>
  <c r="AC198" i="29"/>
  <c r="AC197" i="29"/>
  <c r="AC196" i="29"/>
  <c r="AC195" i="29"/>
  <c r="AC194" i="29"/>
  <c r="AC193" i="29"/>
  <c r="AC192" i="29"/>
  <c r="AC191" i="29"/>
  <c r="AC190" i="29"/>
  <c r="AC189" i="29"/>
  <c r="AC188" i="29"/>
  <c r="AC187" i="29"/>
  <c r="AC186" i="29"/>
  <c r="AC185" i="29"/>
  <c r="AC184" i="29"/>
  <c r="AC183" i="29"/>
  <c r="AC182" i="29"/>
  <c r="AC181" i="29"/>
  <c r="AC180" i="29"/>
  <c r="AC179" i="29"/>
  <c r="AC178" i="29"/>
  <c r="AC177" i="29"/>
  <c r="AC176" i="29"/>
  <c r="AC175" i="29"/>
  <c r="AC174" i="29"/>
  <c r="AC173" i="29"/>
  <c r="AC172" i="29"/>
  <c r="AC170" i="29"/>
  <c r="AC169" i="29"/>
  <c r="AC168" i="29"/>
  <c r="AC167" i="29"/>
  <c r="AC166" i="29"/>
  <c r="AC165" i="29"/>
  <c r="AC164" i="29"/>
  <c r="AC163" i="29"/>
  <c r="AC162" i="29"/>
  <c r="AC161" i="29"/>
  <c r="AC160" i="29"/>
  <c r="AC159" i="29"/>
  <c r="AC158" i="29"/>
  <c r="AC157" i="29"/>
  <c r="AC156" i="29"/>
  <c r="AC155" i="29"/>
  <c r="AC154" i="29"/>
  <c r="AC153" i="29"/>
  <c r="AC152" i="29"/>
  <c r="AC151" i="29"/>
  <c r="AC150" i="29"/>
  <c r="AC149" i="29"/>
  <c r="AC148" i="29"/>
  <c r="AC147" i="29"/>
  <c r="AC146" i="29"/>
  <c r="AC145" i="29"/>
  <c r="AC144" i="29"/>
  <c r="AC143" i="29"/>
  <c r="AC142" i="29"/>
  <c r="AC141" i="29"/>
  <c r="AC140" i="29"/>
  <c r="AC139" i="29"/>
  <c r="AC138" i="29"/>
  <c r="AC137" i="29"/>
  <c r="AC136" i="29"/>
  <c r="AC135" i="29"/>
  <c r="AC134" i="29"/>
  <c r="AC133" i="29"/>
  <c r="AC132" i="29"/>
  <c r="AC131" i="29"/>
  <c r="AC130" i="29"/>
  <c r="AC129" i="29"/>
  <c r="AC128" i="29"/>
  <c r="AC127" i="29"/>
  <c r="AC126" i="29"/>
  <c r="AC125" i="29"/>
  <c r="AC124" i="29"/>
  <c r="AC123" i="29"/>
  <c r="AC122" i="29"/>
  <c r="AC121" i="29"/>
  <c r="AC120" i="29"/>
  <c r="AC119" i="29"/>
  <c r="AC118" i="29"/>
  <c r="AC117" i="29"/>
  <c r="AC116" i="29"/>
  <c r="AC115" i="29"/>
  <c r="AC114" i="29"/>
  <c r="AC113" i="29"/>
  <c r="AC112" i="29"/>
  <c r="AC111" i="29"/>
  <c r="AC110" i="29"/>
  <c r="AC109" i="29"/>
  <c r="AC108" i="29"/>
  <c r="AC107" i="29"/>
  <c r="AC106" i="29"/>
  <c r="AC105" i="29"/>
  <c r="AC104" i="29"/>
  <c r="AC103" i="29"/>
  <c r="AC102" i="29"/>
  <c r="V102" i="29"/>
  <c r="AC101" i="29"/>
  <c r="V101" i="29"/>
  <c r="AC100" i="29"/>
  <c r="V100" i="29"/>
  <c r="AC99" i="29"/>
  <c r="V99" i="29"/>
  <c r="AC98" i="29"/>
  <c r="V98" i="29"/>
  <c r="AC97" i="29"/>
  <c r="AC96" i="29"/>
  <c r="V96" i="29"/>
  <c r="AC95" i="29"/>
  <c r="V95" i="29"/>
  <c r="AC94" i="29"/>
  <c r="V94" i="29"/>
  <c r="AC93" i="29"/>
  <c r="V93" i="29"/>
  <c r="AC92" i="29"/>
  <c r="V92" i="29"/>
  <c r="V97" i="29" s="1"/>
  <c r="AF91" i="29"/>
  <c r="AC91" i="29"/>
  <c r="AF90" i="29"/>
  <c r="AC90" i="29"/>
  <c r="V90" i="29"/>
  <c r="AF89" i="29"/>
  <c r="AC89" i="29"/>
  <c r="V89" i="29"/>
  <c r="AF88" i="29"/>
  <c r="AC88" i="29"/>
  <c r="V88" i="29"/>
  <c r="AF87" i="29"/>
  <c r="AC87" i="29"/>
  <c r="V87" i="29"/>
  <c r="AF86" i="29"/>
  <c r="V86" i="29"/>
  <c r="AF85" i="29"/>
  <c r="AC85" i="29"/>
  <c r="AF84" i="29"/>
  <c r="AC84" i="29"/>
  <c r="V84" i="29"/>
  <c r="AF83" i="29"/>
  <c r="AC83" i="29"/>
  <c r="V83" i="29"/>
  <c r="AF82" i="29"/>
  <c r="AC82" i="29"/>
  <c r="V82" i="29"/>
  <c r="AF81" i="29"/>
  <c r="AC81" i="29"/>
  <c r="V81" i="29"/>
  <c r="AF80" i="29"/>
  <c r="AC80" i="29"/>
  <c r="V80" i="29"/>
  <c r="AF79" i="29"/>
  <c r="AC79" i="29"/>
  <c r="AF78" i="29"/>
  <c r="AC78" i="29"/>
  <c r="V78" i="29"/>
  <c r="AF77" i="29"/>
  <c r="AC77" i="29"/>
  <c r="V77" i="29"/>
  <c r="AF76" i="29"/>
  <c r="AC76" i="29"/>
  <c r="V76" i="29"/>
  <c r="AF75" i="29"/>
  <c r="AC75" i="29"/>
  <c r="V75" i="29"/>
  <c r="AF74" i="29"/>
  <c r="AC74" i="29"/>
  <c r="V74" i="29"/>
  <c r="V79" i="29" s="1"/>
  <c r="AF73" i="29"/>
  <c r="AC73" i="29"/>
  <c r="AF72" i="29"/>
  <c r="AC72" i="29"/>
  <c r="V72" i="29"/>
  <c r="N72" i="29"/>
  <c r="AF71" i="29"/>
  <c r="AC71" i="29"/>
  <c r="V71" i="29"/>
  <c r="N71" i="29"/>
  <c r="AF70" i="29"/>
  <c r="AC70" i="29"/>
  <c r="V70" i="29"/>
  <c r="N70" i="29"/>
  <c r="AF69" i="29"/>
  <c r="AC69" i="29"/>
  <c r="V69" i="29"/>
  <c r="N69" i="29"/>
  <c r="AF68" i="29"/>
  <c r="AC68" i="29"/>
  <c r="V68" i="29"/>
  <c r="N68" i="29"/>
  <c r="AF67" i="29"/>
  <c r="AC67" i="29"/>
  <c r="N67" i="29"/>
  <c r="AF66" i="29"/>
  <c r="AC66" i="29"/>
  <c r="V66" i="29"/>
  <c r="N66" i="29"/>
  <c r="AF65" i="29"/>
  <c r="AC65" i="29"/>
  <c r="V65" i="29"/>
  <c r="N65" i="29"/>
  <c r="AF64" i="29"/>
  <c r="AC64" i="29"/>
  <c r="V64" i="29"/>
  <c r="N64" i="29"/>
  <c r="AF63" i="29"/>
  <c r="AC63" i="29"/>
  <c r="V63" i="29"/>
  <c r="N63" i="29"/>
  <c r="AF62" i="29"/>
  <c r="AC62" i="29"/>
  <c r="V62" i="29"/>
  <c r="N62" i="29"/>
  <c r="AF61" i="29"/>
  <c r="AC61" i="29"/>
  <c r="N61" i="29"/>
  <c r="AF60" i="29"/>
  <c r="AC60" i="29"/>
  <c r="V60" i="29"/>
  <c r="N60" i="29"/>
  <c r="AF59" i="29"/>
  <c r="AC59" i="29"/>
  <c r="V59" i="29"/>
  <c r="N59" i="29"/>
  <c r="AF58" i="29"/>
  <c r="AC58" i="29"/>
  <c r="V58" i="29"/>
  <c r="N58" i="29"/>
  <c r="AF57" i="29"/>
  <c r="AC57" i="29"/>
  <c r="V57" i="29"/>
  <c r="N57" i="29"/>
  <c r="AF56" i="29"/>
  <c r="AC56" i="29"/>
  <c r="V56" i="29"/>
  <c r="N56" i="29"/>
  <c r="AF55" i="29"/>
  <c r="AC55" i="29"/>
  <c r="AF54" i="29"/>
  <c r="AC54" i="29"/>
  <c r="V54" i="29"/>
  <c r="N54" i="29"/>
  <c r="AF53" i="29"/>
  <c r="AC53" i="29"/>
  <c r="V53" i="29"/>
  <c r="N53" i="29"/>
  <c r="AF52" i="29"/>
  <c r="AC52" i="29"/>
  <c r="V52" i="29"/>
  <c r="N52" i="29"/>
  <c r="AF51" i="29"/>
  <c r="AC51" i="29"/>
  <c r="V51" i="29"/>
  <c r="N51" i="29"/>
  <c r="AF50" i="29"/>
  <c r="AC50" i="29"/>
  <c r="V50" i="29"/>
  <c r="N50" i="29"/>
  <c r="AF49" i="29"/>
  <c r="AC49" i="29"/>
  <c r="N49" i="29"/>
  <c r="AF48" i="29"/>
  <c r="AC48" i="29"/>
  <c r="V48" i="29"/>
  <c r="N48" i="29"/>
  <c r="AF47" i="29"/>
  <c r="AC47" i="29"/>
  <c r="V47" i="29"/>
  <c r="N47" i="29"/>
  <c r="AF46" i="29"/>
  <c r="AC46" i="29"/>
  <c r="V46" i="29"/>
  <c r="N46" i="29"/>
  <c r="AF45" i="29"/>
  <c r="AC45" i="29"/>
  <c r="V45" i="29"/>
  <c r="N45" i="29"/>
  <c r="AF44" i="29"/>
  <c r="AC44" i="29"/>
  <c r="V44" i="29"/>
  <c r="N44" i="29"/>
  <c r="AF43" i="29"/>
  <c r="AC43" i="29"/>
  <c r="N43" i="29"/>
  <c r="AF42" i="29"/>
  <c r="AC42" i="29"/>
  <c r="Z42" i="29"/>
  <c r="V42" i="29"/>
  <c r="N42" i="29"/>
  <c r="AF41" i="29"/>
  <c r="AC41" i="29"/>
  <c r="Z41" i="29"/>
  <c r="V41" i="29"/>
  <c r="N41" i="29"/>
  <c r="AF40" i="29"/>
  <c r="AC40" i="29"/>
  <c r="Z40" i="29"/>
  <c r="V40" i="29"/>
  <c r="N40" i="29"/>
  <c r="AF39" i="29"/>
  <c r="AC39" i="29"/>
  <c r="Z39" i="29"/>
  <c r="V39" i="29"/>
  <c r="V43" i="29" s="1"/>
  <c r="N39" i="29"/>
  <c r="AF38" i="29"/>
  <c r="AC38" i="29"/>
  <c r="Z38" i="29"/>
  <c r="V38" i="29"/>
  <c r="N38" i="29"/>
  <c r="AF37" i="29"/>
  <c r="AC37" i="29"/>
  <c r="AF36" i="29"/>
  <c r="AC36" i="29"/>
  <c r="Z36" i="29"/>
  <c r="V36" i="29"/>
  <c r="N36" i="29"/>
  <c r="AF35" i="29"/>
  <c r="AC35" i="29"/>
  <c r="Z35" i="29"/>
  <c r="V35" i="29"/>
  <c r="N35" i="29"/>
  <c r="AF34" i="29"/>
  <c r="AC34" i="29"/>
  <c r="Z34" i="29"/>
  <c r="V34" i="29"/>
  <c r="N34" i="29"/>
  <c r="AF33" i="29"/>
  <c r="AC33" i="29"/>
  <c r="Z33" i="29"/>
  <c r="V33" i="29"/>
  <c r="V37" i="29" s="1"/>
  <c r="N33" i="29"/>
  <c r="AF32" i="29"/>
  <c r="AC32" i="29"/>
  <c r="Z32" i="29"/>
  <c r="V32" i="29"/>
  <c r="R32" i="29"/>
  <c r="N32" i="29"/>
  <c r="AF31" i="29"/>
  <c r="AC31" i="29"/>
  <c r="R31" i="29"/>
  <c r="N31" i="29"/>
  <c r="AF30" i="29"/>
  <c r="AC30" i="29"/>
  <c r="Z30" i="29"/>
  <c r="V30" i="29"/>
  <c r="R30" i="29"/>
  <c r="N30" i="29"/>
  <c r="AF29" i="29"/>
  <c r="AC29" i="29"/>
  <c r="Z29" i="29"/>
  <c r="V29" i="29"/>
  <c r="R29" i="29"/>
  <c r="N29" i="29"/>
  <c r="AF28" i="29"/>
  <c r="AC28" i="29"/>
  <c r="Z28" i="29"/>
  <c r="V28" i="29"/>
  <c r="R28" i="29"/>
  <c r="N28" i="29"/>
  <c r="AF27" i="29"/>
  <c r="AC27" i="29"/>
  <c r="Z27" i="29"/>
  <c r="V27" i="29"/>
  <c r="R27" i="29"/>
  <c r="N27" i="29"/>
  <c r="AF26" i="29"/>
  <c r="AC26" i="29"/>
  <c r="Z26" i="29"/>
  <c r="V26" i="29"/>
  <c r="R26" i="29"/>
  <c r="N26" i="29"/>
  <c r="AF25" i="29"/>
  <c r="AC25" i="29"/>
  <c r="V25" i="29"/>
  <c r="N25" i="29"/>
  <c r="AF24" i="29"/>
  <c r="AC24" i="29"/>
  <c r="Z24" i="29"/>
  <c r="V24" i="29"/>
  <c r="R24" i="29"/>
  <c r="N24" i="29"/>
  <c r="AF23" i="29"/>
  <c r="AC23" i="29"/>
  <c r="Z23" i="29"/>
  <c r="V23" i="29"/>
  <c r="R23" i="29"/>
  <c r="N23" i="29"/>
  <c r="AF22" i="29"/>
  <c r="AC22" i="29"/>
  <c r="Z22" i="29"/>
  <c r="V22" i="29"/>
  <c r="R22" i="29"/>
  <c r="N22" i="29"/>
  <c r="AF21" i="29"/>
  <c r="AC21" i="29"/>
  <c r="Z21" i="29"/>
  <c r="V21" i="29"/>
  <c r="R21" i="29"/>
  <c r="N21" i="29"/>
  <c r="AF20" i="29"/>
  <c r="AC20" i="29"/>
  <c r="Z20" i="29"/>
  <c r="V20" i="29"/>
  <c r="R20" i="29"/>
  <c r="N20" i="29"/>
  <c r="AF19" i="29"/>
  <c r="AC19" i="29"/>
  <c r="R19" i="29"/>
  <c r="AF18" i="29"/>
  <c r="AC18" i="29"/>
  <c r="Z18" i="29"/>
  <c r="V18" i="29"/>
  <c r="R18" i="29"/>
  <c r="N18" i="29"/>
  <c r="AF17" i="29"/>
  <c r="AC17" i="29"/>
  <c r="Z17" i="29"/>
  <c r="V17" i="29"/>
  <c r="N17" i="29"/>
  <c r="AF16" i="29"/>
  <c r="AC16" i="29"/>
  <c r="Z16" i="29"/>
  <c r="Z19" i="29" s="1"/>
  <c r="V16" i="29"/>
  <c r="R16" i="29"/>
  <c r="N16" i="29"/>
  <c r="AF15" i="29"/>
  <c r="AC15" i="29"/>
  <c r="Z15" i="29"/>
  <c r="V15" i="29"/>
  <c r="R15" i="29"/>
  <c r="N15" i="29"/>
  <c r="J15" i="29"/>
  <c r="AF14" i="29"/>
  <c r="AC14" i="29"/>
  <c r="Z14" i="29"/>
  <c r="V14" i="29"/>
  <c r="V19" i="29" s="1"/>
  <c r="R14" i="29"/>
  <c r="N14" i="29"/>
  <c r="J14" i="29"/>
  <c r="AF13" i="29"/>
  <c r="AC13" i="29"/>
  <c r="R13" i="29"/>
  <c r="N13" i="29"/>
  <c r="J13" i="29"/>
  <c r="AF12" i="29"/>
  <c r="AC12" i="29"/>
  <c r="Z12" i="29"/>
  <c r="V12" i="29"/>
  <c r="R12" i="29"/>
  <c r="N12" i="29"/>
  <c r="J12" i="29"/>
  <c r="AF11" i="29"/>
  <c r="AC11" i="29"/>
  <c r="Z11" i="29"/>
  <c r="V11" i="29"/>
  <c r="R11" i="29"/>
  <c r="N11" i="29"/>
  <c r="J11" i="29"/>
  <c r="AF10" i="29"/>
  <c r="AC10" i="29"/>
  <c r="Z10" i="29"/>
  <c r="V10" i="29"/>
  <c r="R10" i="29"/>
  <c r="N10" i="29"/>
  <c r="J10" i="29"/>
  <c r="AF9" i="29"/>
  <c r="AC9" i="29"/>
  <c r="Z9" i="29"/>
  <c r="V9" i="29"/>
  <c r="N9" i="29"/>
  <c r="J9" i="29"/>
  <c r="AF8" i="29"/>
  <c r="AC8" i="29"/>
  <c r="Z8" i="29"/>
  <c r="Z13" i="29" s="1"/>
  <c r="V8" i="29"/>
  <c r="R8" i="29"/>
  <c r="N8" i="29"/>
  <c r="J8" i="29"/>
  <c r="AF7" i="29"/>
  <c r="AC7" i="29"/>
  <c r="R7" i="29"/>
  <c r="N7" i="29"/>
  <c r="J7" i="29"/>
  <c r="AF6" i="29"/>
  <c r="AC6" i="29"/>
  <c r="Z6" i="29"/>
  <c r="V6" i="29"/>
  <c r="R6" i="29"/>
  <c r="N6" i="29"/>
  <c r="AF5" i="29"/>
  <c r="AC5" i="29"/>
  <c r="Z5" i="29"/>
  <c r="V5" i="29"/>
  <c r="R5" i="29"/>
  <c r="N5" i="29"/>
  <c r="J5" i="29"/>
  <c r="AF4" i="29"/>
  <c r="AC4" i="29"/>
  <c r="Z4" i="29"/>
  <c r="V4" i="29"/>
  <c r="R4" i="29"/>
  <c r="N4" i="29"/>
  <c r="J4" i="29"/>
  <c r="AF3" i="29"/>
  <c r="AC3" i="29"/>
  <c r="Z3" i="29"/>
  <c r="V3" i="29"/>
  <c r="R3" i="29"/>
  <c r="N3" i="29"/>
  <c r="J3" i="29"/>
  <c r="AF2" i="29"/>
  <c r="AH3" i="29" s="1"/>
  <c r="AC2" i="29"/>
  <c r="Z2" i="29"/>
  <c r="Z7" i="29" s="1"/>
  <c r="V2" i="29"/>
  <c r="R2" i="29"/>
  <c r="N2" i="29"/>
  <c r="J2" i="29"/>
  <c r="J6" i="29" s="1"/>
  <c r="J4" i="22"/>
  <c r="F91" i="29"/>
  <c r="E91" i="29"/>
  <c r="E90" i="29"/>
  <c r="F90" i="29" s="1"/>
  <c r="E89" i="29"/>
  <c r="F89" i="29" s="1"/>
  <c r="E88" i="29"/>
  <c r="F88" i="29" s="1"/>
  <c r="F87" i="29"/>
  <c r="E87" i="29"/>
  <c r="E86" i="29"/>
  <c r="F86" i="29" s="1"/>
  <c r="E85" i="29"/>
  <c r="F85" i="29" s="1"/>
  <c r="E84" i="29"/>
  <c r="F84" i="29" s="1"/>
  <c r="F83" i="29"/>
  <c r="E83" i="29"/>
  <c r="E82" i="29"/>
  <c r="F82" i="29" s="1"/>
  <c r="E81" i="29"/>
  <c r="F81" i="29" s="1"/>
  <c r="E80" i="29"/>
  <c r="F80" i="29" s="1"/>
  <c r="F79" i="29"/>
  <c r="E79" i="29"/>
  <c r="E78" i="29"/>
  <c r="F78" i="29" s="1"/>
  <c r="E77" i="29"/>
  <c r="F77" i="29" s="1"/>
  <c r="E76" i="29"/>
  <c r="F76" i="29" s="1"/>
  <c r="F75" i="29"/>
  <c r="E75" i="29"/>
  <c r="E74" i="29"/>
  <c r="F74" i="29" s="1"/>
  <c r="E73" i="29"/>
  <c r="F73" i="29" s="1"/>
  <c r="E72" i="29"/>
  <c r="F72" i="29" s="1"/>
  <c r="F71" i="29"/>
  <c r="E71" i="29"/>
  <c r="E70" i="29"/>
  <c r="F70" i="29" s="1"/>
  <c r="E69" i="29"/>
  <c r="F69" i="29" s="1"/>
  <c r="E68" i="29"/>
  <c r="F68" i="29" s="1"/>
  <c r="F67" i="29"/>
  <c r="E67" i="29"/>
  <c r="E66" i="29"/>
  <c r="F66" i="29" s="1"/>
  <c r="E65" i="29"/>
  <c r="F65" i="29" s="1"/>
  <c r="E64" i="29"/>
  <c r="F64" i="29" s="1"/>
  <c r="F63" i="29"/>
  <c r="E63" i="29"/>
  <c r="E62" i="29"/>
  <c r="F62" i="29" s="1"/>
  <c r="E61" i="29"/>
  <c r="F61" i="29" s="1"/>
  <c r="E60" i="29"/>
  <c r="F60" i="29" s="1"/>
  <c r="F59" i="29"/>
  <c r="E59" i="29"/>
  <c r="E58" i="29"/>
  <c r="F58" i="29" s="1"/>
  <c r="E57" i="29"/>
  <c r="F57" i="29" s="1"/>
  <c r="E56" i="29"/>
  <c r="F56" i="29" s="1"/>
  <c r="F55" i="29"/>
  <c r="E55" i="29"/>
  <c r="E54" i="29"/>
  <c r="F54" i="29" s="1"/>
  <c r="E53" i="29"/>
  <c r="F53" i="29" s="1"/>
  <c r="E52" i="29"/>
  <c r="F52" i="29" s="1"/>
  <c r="F51" i="29"/>
  <c r="E51" i="29"/>
  <c r="E50" i="29"/>
  <c r="F50" i="29" s="1"/>
  <c r="E49" i="29"/>
  <c r="F49" i="29" s="1"/>
  <c r="E48" i="29"/>
  <c r="F48" i="29" s="1"/>
  <c r="F47" i="29"/>
  <c r="E47" i="29"/>
  <c r="E46" i="29"/>
  <c r="F46" i="29" s="1"/>
  <c r="E45" i="29"/>
  <c r="F45" i="29" s="1"/>
  <c r="E44" i="29"/>
  <c r="F44" i="29" s="1"/>
  <c r="F43" i="29"/>
  <c r="E43" i="29"/>
  <c r="E42" i="29"/>
  <c r="F42" i="29" s="1"/>
  <c r="E41" i="29"/>
  <c r="F41" i="29" s="1"/>
  <c r="E40" i="29"/>
  <c r="F40" i="29" s="1"/>
  <c r="F39" i="29"/>
  <c r="E39" i="29"/>
  <c r="E38" i="29"/>
  <c r="F38" i="29" s="1"/>
  <c r="E37" i="29"/>
  <c r="F37" i="29" s="1"/>
  <c r="E36" i="29"/>
  <c r="F36" i="29" s="1"/>
  <c r="F35" i="29"/>
  <c r="E35" i="29"/>
  <c r="E34" i="29"/>
  <c r="F34" i="29" s="1"/>
  <c r="E33" i="29"/>
  <c r="F33" i="29" s="1"/>
  <c r="E32" i="29"/>
  <c r="F32" i="29" s="1"/>
  <c r="F31" i="29"/>
  <c r="E31" i="29"/>
  <c r="E30" i="29"/>
  <c r="F30" i="29" s="1"/>
  <c r="E29" i="29"/>
  <c r="F29" i="29" s="1"/>
  <c r="E28" i="29"/>
  <c r="F28" i="29" s="1"/>
  <c r="F27" i="29"/>
  <c r="E27" i="29"/>
  <c r="E26" i="29"/>
  <c r="F26" i="29" s="1"/>
  <c r="E25" i="29"/>
  <c r="F25" i="29" s="1"/>
  <c r="E24" i="29"/>
  <c r="F24" i="29" s="1"/>
  <c r="F23" i="29"/>
  <c r="E23" i="29"/>
  <c r="E22" i="29"/>
  <c r="F22" i="29" s="1"/>
  <c r="E21" i="29"/>
  <c r="F21" i="29" s="1"/>
  <c r="E20" i="29"/>
  <c r="F20" i="29" s="1"/>
  <c r="F19" i="29"/>
  <c r="E19" i="29"/>
  <c r="E18" i="29"/>
  <c r="F18" i="29" s="1"/>
  <c r="E17" i="29"/>
  <c r="F17" i="29" s="1"/>
  <c r="E16" i="29"/>
  <c r="F16" i="29" s="1"/>
  <c r="F15" i="29"/>
  <c r="E15" i="29"/>
  <c r="E14" i="29"/>
  <c r="F14" i="29" s="1"/>
  <c r="E13" i="29"/>
  <c r="F13" i="29" s="1"/>
  <c r="E12" i="29"/>
  <c r="F12" i="29" s="1"/>
  <c r="F11" i="29"/>
  <c r="E11" i="29"/>
  <c r="E10" i="29"/>
  <c r="F10" i="29" s="1"/>
  <c r="E9" i="29"/>
  <c r="F9" i="29" s="1"/>
  <c r="E8" i="29"/>
  <c r="F8" i="29" s="1"/>
  <c r="F7" i="29"/>
  <c r="E7" i="29"/>
  <c r="E6" i="29"/>
  <c r="F6" i="29" s="1"/>
  <c r="E5" i="29"/>
  <c r="F5" i="29" s="1"/>
  <c r="E4" i="29"/>
  <c r="F4" i="29" s="1"/>
  <c r="F3" i="29"/>
  <c r="E3" i="29"/>
  <c r="E2" i="29"/>
  <c r="F2" i="29" s="1"/>
  <c r="AU3" i="28"/>
  <c r="AU4" i="28"/>
  <c r="AU5" i="28"/>
  <c r="AU6" i="28"/>
  <c r="AU7" i="28"/>
  <c r="AU8" i="28"/>
  <c r="AU9" i="28"/>
  <c r="AU10" i="28"/>
  <c r="AU11" i="28"/>
  <c r="AU12" i="28"/>
  <c r="AU13" i="28"/>
  <c r="AU14" i="28"/>
  <c r="AU15" i="28"/>
  <c r="AU16" i="28"/>
  <c r="AU17" i="28"/>
  <c r="AU18" i="28"/>
  <c r="AU19" i="28"/>
  <c r="AU20" i="28"/>
  <c r="AU21" i="28"/>
  <c r="AU22" i="28"/>
  <c r="AU23" i="28"/>
  <c r="AU24" i="28"/>
  <c r="AU25" i="28"/>
  <c r="AU26" i="28"/>
  <c r="AU27" i="28"/>
  <c r="AU28" i="28"/>
  <c r="AU29" i="28"/>
  <c r="AU30" i="28"/>
  <c r="AU31" i="28"/>
  <c r="AU32" i="28"/>
  <c r="AU33" i="28"/>
  <c r="AU34" i="28"/>
  <c r="AU35" i="28"/>
  <c r="AU36" i="28"/>
  <c r="AU37" i="28"/>
  <c r="AU38" i="28"/>
  <c r="AU39" i="28"/>
  <c r="AU40" i="28"/>
  <c r="AU41" i="28"/>
  <c r="AU42" i="28"/>
  <c r="AU43" i="28"/>
  <c r="AU2" i="28"/>
  <c r="AT42" i="28"/>
  <c r="AT41" i="28"/>
  <c r="AT40" i="28"/>
  <c r="AT39" i="28"/>
  <c r="AT38" i="28"/>
  <c r="AT43" i="28" s="1"/>
  <c r="AT36" i="28"/>
  <c r="AT35" i="28"/>
  <c r="AT34" i="28"/>
  <c r="AT33" i="28"/>
  <c r="AT32" i="28"/>
  <c r="AT37" i="28" s="1"/>
  <c r="AT30" i="28"/>
  <c r="AT29" i="28"/>
  <c r="AT28" i="28"/>
  <c r="AT27" i="28"/>
  <c r="AT26" i="28"/>
  <c r="AT31" i="28" s="1"/>
  <c r="AT24" i="28"/>
  <c r="AT23" i="28"/>
  <c r="AT22" i="28"/>
  <c r="AT21" i="28"/>
  <c r="AT20" i="28"/>
  <c r="AT25" i="28" s="1"/>
  <c r="AT18" i="28"/>
  <c r="AT17" i="28"/>
  <c r="AT16" i="28"/>
  <c r="AT15" i="28"/>
  <c r="AT14" i="28"/>
  <c r="AT19" i="28" s="1"/>
  <c r="AT12" i="28"/>
  <c r="AT11" i="28"/>
  <c r="AT10" i="28"/>
  <c r="AT9" i="28"/>
  <c r="AT8" i="28"/>
  <c r="AT13" i="28" s="1"/>
  <c r="AT6" i="28"/>
  <c r="AT5" i="28"/>
  <c r="AT4" i="28"/>
  <c r="AT3" i="28"/>
  <c r="AT2" i="28"/>
  <c r="AT7" i="28" s="1"/>
  <c r="AQ3" i="28"/>
  <c r="AQ4" i="28"/>
  <c r="AQ5" i="28"/>
  <c r="AQ6" i="28"/>
  <c r="AQ7" i="28"/>
  <c r="AQ8" i="28"/>
  <c r="AQ9" i="28"/>
  <c r="AQ10" i="28"/>
  <c r="AQ11" i="28"/>
  <c r="AQ12" i="28"/>
  <c r="AQ13" i="28"/>
  <c r="AQ14" i="28"/>
  <c r="AQ15" i="28"/>
  <c r="AQ16" i="28"/>
  <c r="AQ17" i="28"/>
  <c r="AQ18" i="28"/>
  <c r="AQ19" i="28"/>
  <c r="AQ20" i="28"/>
  <c r="AQ21" i="28"/>
  <c r="AQ22" i="28"/>
  <c r="AQ23" i="28"/>
  <c r="AQ24" i="28"/>
  <c r="AQ25" i="28"/>
  <c r="AQ26" i="28"/>
  <c r="AQ27" i="28"/>
  <c r="AQ28" i="28"/>
  <c r="AQ29" i="28"/>
  <c r="AQ30" i="28"/>
  <c r="AQ31" i="28"/>
  <c r="AQ32" i="28"/>
  <c r="AQ33" i="28"/>
  <c r="AQ34" i="28"/>
  <c r="AQ35" i="28"/>
  <c r="AQ36" i="28"/>
  <c r="AQ37" i="28"/>
  <c r="AQ38" i="28"/>
  <c r="AQ39" i="28"/>
  <c r="AQ40" i="28"/>
  <c r="AQ41" i="28"/>
  <c r="AQ42" i="28"/>
  <c r="AQ43" i="28"/>
  <c r="AQ44" i="28"/>
  <c r="AQ45" i="28"/>
  <c r="AQ46" i="28"/>
  <c r="AQ47" i="28"/>
  <c r="AQ48" i="28"/>
  <c r="AQ49" i="28"/>
  <c r="AQ50" i="28"/>
  <c r="AQ51" i="28"/>
  <c r="AQ52" i="28"/>
  <c r="AQ53" i="28"/>
  <c r="AQ54" i="28"/>
  <c r="AQ55" i="28"/>
  <c r="AQ56" i="28"/>
  <c r="AQ57" i="28"/>
  <c r="AQ58" i="28"/>
  <c r="AQ59" i="28"/>
  <c r="AQ60" i="28"/>
  <c r="AQ61" i="28"/>
  <c r="AQ62" i="28"/>
  <c r="AQ63" i="28"/>
  <c r="AQ64" i="28"/>
  <c r="AQ65" i="28"/>
  <c r="AQ66" i="28"/>
  <c r="AQ67" i="28"/>
  <c r="AQ68" i="28"/>
  <c r="AQ69" i="28"/>
  <c r="AQ70" i="28"/>
  <c r="AQ71" i="28"/>
  <c r="AQ72" i="28"/>
  <c r="AQ73" i="28"/>
  <c r="AQ74" i="28"/>
  <c r="AQ75" i="28"/>
  <c r="AQ76" i="28"/>
  <c r="AQ77" i="28"/>
  <c r="AQ78" i="28"/>
  <c r="AQ79" i="28"/>
  <c r="AQ80" i="28"/>
  <c r="AQ81" i="28"/>
  <c r="AQ82" i="28"/>
  <c r="AQ83" i="28"/>
  <c r="AQ84" i="28"/>
  <c r="AQ85" i="28"/>
  <c r="AQ86" i="28"/>
  <c r="AQ87" i="28"/>
  <c r="AQ88" i="28"/>
  <c r="AQ89" i="28"/>
  <c r="AQ90" i="28"/>
  <c r="AQ91" i="28"/>
  <c r="AQ92" i="28"/>
  <c r="AQ93" i="28"/>
  <c r="AQ94" i="28"/>
  <c r="AQ95" i="28"/>
  <c r="AQ96" i="28"/>
  <c r="AQ97" i="28"/>
  <c r="AQ98" i="28"/>
  <c r="AQ99" i="28"/>
  <c r="AQ100" i="28"/>
  <c r="AQ101" i="28"/>
  <c r="AQ102" i="28"/>
  <c r="AQ103" i="28"/>
  <c r="AQ2" i="28"/>
  <c r="AP102" i="28"/>
  <c r="AP101" i="28"/>
  <c r="AP100" i="28"/>
  <c r="AP99" i="28"/>
  <c r="AP98" i="28"/>
  <c r="AP96" i="28"/>
  <c r="AP95" i="28"/>
  <c r="AP94" i="28"/>
  <c r="AP93" i="28"/>
  <c r="AP92" i="28"/>
  <c r="AP97" i="28" s="1"/>
  <c r="AP90" i="28"/>
  <c r="AP89" i="28"/>
  <c r="AP88" i="28"/>
  <c r="AP87" i="28"/>
  <c r="AP86" i="28"/>
  <c r="AP91" i="28" s="1"/>
  <c r="AP84" i="28"/>
  <c r="AP83" i="28"/>
  <c r="AP82" i="28"/>
  <c r="AP81" i="28"/>
  <c r="AP80" i="28"/>
  <c r="AP85" i="28" s="1"/>
  <c r="AP78" i="28"/>
  <c r="AP77" i="28"/>
  <c r="AP76" i="28"/>
  <c r="AP75" i="28"/>
  <c r="AP74" i="28"/>
  <c r="AP79" i="28" s="1"/>
  <c r="AP72" i="28"/>
  <c r="AP71" i="28"/>
  <c r="AP70" i="28"/>
  <c r="AP69" i="28"/>
  <c r="AP68" i="28"/>
  <c r="AP73" i="28" s="1"/>
  <c r="AP66" i="28"/>
  <c r="AP65" i="28"/>
  <c r="AP64" i="28"/>
  <c r="AP63" i="28"/>
  <c r="AP62" i="28"/>
  <c r="AP67" i="28" s="1"/>
  <c r="AP60" i="28"/>
  <c r="AP59" i="28"/>
  <c r="AP58" i="28"/>
  <c r="AP57" i="28"/>
  <c r="AP56" i="28"/>
  <c r="AP61" i="28" s="1"/>
  <c r="AP54" i="28"/>
  <c r="AP53" i="28"/>
  <c r="AP52" i="28"/>
  <c r="AP51" i="28"/>
  <c r="AP50" i="28"/>
  <c r="AP55" i="28" s="1"/>
  <c r="AP48" i="28"/>
  <c r="AP47" i="28"/>
  <c r="AP46" i="28"/>
  <c r="AP45" i="28"/>
  <c r="AP44" i="28"/>
  <c r="AP49" i="28" s="1"/>
  <c r="AP42" i="28"/>
  <c r="AP41" i="28"/>
  <c r="AP40" i="28"/>
  <c r="AP39" i="28"/>
  <c r="AP38" i="28"/>
  <c r="AP43" i="28" s="1"/>
  <c r="AP36" i="28"/>
  <c r="AP35" i="28"/>
  <c r="AP34" i="28"/>
  <c r="AP33" i="28"/>
  <c r="AP32" i="28"/>
  <c r="AP37" i="28" s="1"/>
  <c r="AP30" i="28"/>
  <c r="AP29" i="28"/>
  <c r="AP28" i="28"/>
  <c r="AP27" i="28"/>
  <c r="AP26" i="28"/>
  <c r="AP31" i="28" s="1"/>
  <c r="AP24" i="28"/>
  <c r="AP23" i="28"/>
  <c r="AP22" i="28"/>
  <c r="AP21" i="28"/>
  <c r="AP20" i="28"/>
  <c r="AP25" i="28" s="1"/>
  <c r="AP18" i="28"/>
  <c r="AP17" i="28"/>
  <c r="AP16" i="28"/>
  <c r="AP15" i="28"/>
  <c r="AP14" i="28"/>
  <c r="AP19" i="28" s="1"/>
  <c r="AP12" i="28"/>
  <c r="AP11" i="28"/>
  <c r="AP10" i="28"/>
  <c r="AP9" i="28"/>
  <c r="AP8" i="28"/>
  <c r="AP13" i="28" s="1"/>
  <c r="AP6" i="28"/>
  <c r="AP5" i="28"/>
  <c r="AP4" i="28"/>
  <c r="AP3" i="28"/>
  <c r="AP2" i="28"/>
  <c r="AP7" i="28" s="1"/>
  <c r="AM3" i="28"/>
  <c r="AM4" i="28"/>
  <c r="AM5" i="28"/>
  <c r="AM6" i="28"/>
  <c r="AM7" i="28"/>
  <c r="AM8" i="28"/>
  <c r="AM9" i="28"/>
  <c r="AM10" i="28"/>
  <c r="AM11" i="28"/>
  <c r="AM12" i="28"/>
  <c r="AM13" i="28"/>
  <c r="AM14" i="28"/>
  <c r="AM15" i="28"/>
  <c r="AM16" i="28"/>
  <c r="AM17" i="28"/>
  <c r="AM18" i="28"/>
  <c r="AM19" i="28"/>
  <c r="AM20" i="28"/>
  <c r="AM21" i="28"/>
  <c r="AM22" i="28"/>
  <c r="AM23" i="28"/>
  <c r="AM24" i="28"/>
  <c r="AM25" i="28"/>
  <c r="AM26" i="28"/>
  <c r="AM27" i="28"/>
  <c r="AM28" i="28"/>
  <c r="AM29" i="28"/>
  <c r="AM30" i="28"/>
  <c r="AM31" i="28"/>
  <c r="AM32" i="28"/>
  <c r="AM33" i="28"/>
  <c r="AM2" i="28"/>
  <c r="AL32" i="28"/>
  <c r="AL31" i="28"/>
  <c r="AL30" i="28"/>
  <c r="AL29" i="28"/>
  <c r="AL28" i="28"/>
  <c r="AL27" i="28"/>
  <c r="AL26" i="28"/>
  <c r="AL33" i="28" s="1"/>
  <c r="AL24" i="28"/>
  <c r="AL23" i="28"/>
  <c r="AL22" i="28"/>
  <c r="AL21" i="28"/>
  <c r="AL20" i="28"/>
  <c r="AL19" i="28"/>
  <c r="AL18" i="28"/>
  <c r="AL25" i="28" s="1"/>
  <c r="AL16" i="28"/>
  <c r="AL15" i="28"/>
  <c r="AL14" i="28"/>
  <c r="AL13" i="28"/>
  <c r="AL12" i="28"/>
  <c r="AL11" i="28"/>
  <c r="AL10" i="28"/>
  <c r="AL17" i="28" s="1"/>
  <c r="AL8" i="28"/>
  <c r="AL7" i="28"/>
  <c r="AL6" i="28"/>
  <c r="AL5" i="28"/>
  <c r="AL4" i="28"/>
  <c r="AL3" i="28"/>
  <c r="AL2" i="28"/>
  <c r="AL9" i="28" s="1"/>
  <c r="AI3" i="28"/>
  <c r="AI4" i="28"/>
  <c r="AI5" i="28"/>
  <c r="AI6" i="28"/>
  <c r="AI7" i="28"/>
  <c r="AI8" i="28"/>
  <c r="AI9" i="28"/>
  <c r="AI10" i="28"/>
  <c r="AI11" i="28"/>
  <c r="AI12" i="28"/>
  <c r="AI13" i="28"/>
  <c r="AI14" i="28"/>
  <c r="AI15" i="28"/>
  <c r="AI16" i="28"/>
  <c r="AI17" i="28"/>
  <c r="AI18" i="28"/>
  <c r="AI19" i="28"/>
  <c r="AI20" i="28"/>
  <c r="AI21" i="28"/>
  <c r="AI22" i="28"/>
  <c r="AI23" i="28"/>
  <c r="AI24" i="28"/>
  <c r="AI25" i="28"/>
  <c r="AI26" i="28"/>
  <c r="AI27" i="28"/>
  <c r="AI28" i="28"/>
  <c r="AI29" i="28"/>
  <c r="AI30" i="28"/>
  <c r="AI31" i="28"/>
  <c r="AI32" i="28"/>
  <c r="AI33" i="28"/>
  <c r="AI34" i="28"/>
  <c r="AI35" i="28"/>
  <c r="AI36" i="28"/>
  <c r="AI37" i="28"/>
  <c r="AI38" i="28"/>
  <c r="AI39" i="28"/>
  <c r="AI40" i="28"/>
  <c r="AI41" i="28"/>
  <c r="AI42" i="28"/>
  <c r="AI43" i="28"/>
  <c r="AI44" i="28"/>
  <c r="AI45" i="28"/>
  <c r="AI46" i="28"/>
  <c r="AI47" i="28"/>
  <c r="AI48" i="28"/>
  <c r="AI49" i="28"/>
  <c r="AI50" i="28"/>
  <c r="AI51" i="28"/>
  <c r="AI52" i="28"/>
  <c r="AI53" i="28"/>
  <c r="AI54" i="28"/>
  <c r="AI55" i="28"/>
  <c r="AI56" i="28"/>
  <c r="AI57" i="28"/>
  <c r="AI58" i="28"/>
  <c r="AI59" i="28"/>
  <c r="AI60" i="28"/>
  <c r="AI61" i="28"/>
  <c r="AI62" i="28"/>
  <c r="AI63" i="28"/>
  <c r="AI64" i="28"/>
  <c r="AI65" i="28"/>
  <c r="AI66" i="28"/>
  <c r="AI67" i="28"/>
  <c r="AI68" i="28"/>
  <c r="AI69" i="28"/>
  <c r="AI70" i="28"/>
  <c r="AI71" i="28"/>
  <c r="AI72" i="28"/>
  <c r="AI73" i="28"/>
  <c r="AI2" i="28"/>
  <c r="AH72" i="28"/>
  <c r="AH71" i="28"/>
  <c r="AH70" i="28"/>
  <c r="AH69" i="28"/>
  <c r="AH68" i="28"/>
  <c r="AH67" i="28"/>
  <c r="AH66" i="28"/>
  <c r="AH65" i="28"/>
  <c r="AH64" i="28"/>
  <c r="AH63" i="28"/>
  <c r="AH62" i="28"/>
  <c r="AH61" i="28"/>
  <c r="AH60" i="28"/>
  <c r="AH59" i="28"/>
  <c r="AH58" i="28"/>
  <c r="AH57" i="28"/>
  <c r="AH56" i="28"/>
  <c r="AH73" i="28" s="1"/>
  <c r="AH54" i="28"/>
  <c r="AH53" i="28"/>
  <c r="AH52" i="28"/>
  <c r="AH51" i="28"/>
  <c r="AH50" i="28"/>
  <c r="AH49" i="28"/>
  <c r="AH48" i="28"/>
  <c r="AH47" i="28"/>
  <c r="AH46" i="28"/>
  <c r="AH45" i="28"/>
  <c r="AH44" i="28"/>
  <c r="AH43" i="28"/>
  <c r="AH42" i="28"/>
  <c r="AH41" i="28"/>
  <c r="AH40" i="28"/>
  <c r="AH39" i="28"/>
  <c r="AH38" i="28"/>
  <c r="AH55" i="28" s="1"/>
  <c r="AH36" i="28"/>
  <c r="AH35" i="28"/>
  <c r="AH34" i="28"/>
  <c r="AH33" i="28"/>
  <c r="AH32" i="28"/>
  <c r="AH31" i="28"/>
  <c r="AH30" i="28"/>
  <c r="AH29" i="28"/>
  <c r="AH28" i="28"/>
  <c r="AH27" i="28"/>
  <c r="AH26" i="28"/>
  <c r="AH25" i="28"/>
  <c r="AH24" i="28"/>
  <c r="AH23" i="28"/>
  <c r="AH22" i="28"/>
  <c r="AH21" i="28"/>
  <c r="AH20" i="28"/>
  <c r="AH37" i="28" s="1"/>
  <c r="AH18" i="28"/>
  <c r="AH17" i="28"/>
  <c r="AH16" i="28"/>
  <c r="AH15" i="28"/>
  <c r="AH14" i="28"/>
  <c r="AH13" i="28"/>
  <c r="AH12" i="28"/>
  <c r="AH11" i="28"/>
  <c r="AH10" i="28"/>
  <c r="AH9" i="28"/>
  <c r="AH8" i="28"/>
  <c r="AH7" i="28"/>
  <c r="AH6" i="28"/>
  <c r="AH5" i="28"/>
  <c r="AH4" i="28"/>
  <c r="AH3" i="28"/>
  <c r="AH2" i="28"/>
  <c r="AH19" i="28" s="1"/>
  <c r="AE3" i="28"/>
  <c r="AE4" i="28"/>
  <c r="AE5" i="28"/>
  <c r="AE6" i="28"/>
  <c r="AE7" i="28"/>
  <c r="AE8" i="28"/>
  <c r="AE9" i="28"/>
  <c r="AE10" i="28"/>
  <c r="AE11" i="28"/>
  <c r="AE12" i="28"/>
  <c r="AE13" i="28"/>
  <c r="AE14" i="28"/>
  <c r="AE15" i="28"/>
  <c r="AE16" i="28"/>
  <c r="AE2" i="28"/>
  <c r="AD15" i="28"/>
  <c r="AD14" i="28"/>
  <c r="AD13" i="28"/>
  <c r="AD12" i="28"/>
  <c r="AD10" i="28"/>
  <c r="AD9" i="28"/>
  <c r="AD8" i="28"/>
  <c r="AD7" i="28"/>
  <c r="AD5" i="28"/>
  <c r="AD4" i="28"/>
  <c r="AD3" i="28"/>
  <c r="AD2" i="28"/>
  <c r="AA3" i="28"/>
  <c r="AA4" i="28"/>
  <c r="AA5" i="28"/>
  <c r="AA6" i="28"/>
  <c r="AA7" i="28"/>
  <c r="AA8" i="28"/>
  <c r="AA9" i="28"/>
  <c r="AA10" i="28"/>
  <c r="AA11" i="28"/>
  <c r="AA12" i="28"/>
  <c r="AA13" i="28"/>
  <c r="AA14" i="28"/>
  <c r="AA15" i="28"/>
  <c r="AA16" i="28"/>
  <c r="AA17" i="28"/>
  <c r="AA18" i="28"/>
  <c r="AA19" i="28"/>
  <c r="AA20" i="28"/>
  <c r="AA21" i="28"/>
  <c r="AA22" i="28"/>
  <c r="AA23" i="28"/>
  <c r="AA24" i="28"/>
  <c r="AA25" i="28"/>
  <c r="AA26" i="28"/>
  <c r="AA27" i="28"/>
  <c r="AA28" i="28"/>
  <c r="AA29" i="28"/>
  <c r="AA30" i="28"/>
  <c r="AA31" i="28"/>
  <c r="AA32" i="28"/>
  <c r="AA33" i="28"/>
  <c r="AA34" i="28"/>
  <c r="AA35" i="28"/>
  <c r="AA36" i="28"/>
  <c r="AA37" i="28"/>
  <c r="AA2" i="28"/>
  <c r="Z36" i="28"/>
  <c r="Z35" i="28"/>
  <c r="Z37" i="28" s="1"/>
  <c r="Z34" i="28"/>
  <c r="Z32" i="28"/>
  <c r="Z31" i="28"/>
  <c r="Z30" i="28"/>
  <c r="Z33" i="28" s="1"/>
  <c r="Z28" i="28"/>
  <c r="Z27" i="28"/>
  <c r="Z26" i="28"/>
  <c r="Z29" i="28" s="1"/>
  <c r="Z24" i="28"/>
  <c r="Z23" i="28"/>
  <c r="Z22" i="28"/>
  <c r="Z25" i="28" s="1"/>
  <c r="Z20" i="28"/>
  <c r="Z19" i="28"/>
  <c r="Z18" i="28"/>
  <c r="Z21" i="28" s="1"/>
  <c r="Z16" i="28"/>
  <c r="Z15" i="28"/>
  <c r="Z14" i="28"/>
  <c r="Z17" i="28" s="1"/>
  <c r="Z12" i="28"/>
  <c r="Z11" i="28"/>
  <c r="Z10" i="28"/>
  <c r="Z13" i="28" s="1"/>
  <c r="Z8" i="28"/>
  <c r="Z7" i="28"/>
  <c r="Z6" i="28"/>
  <c r="Z9" i="28" s="1"/>
  <c r="Z4" i="28"/>
  <c r="Z3" i="28"/>
  <c r="Z2" i="28"/>
  <c r="W3" i="28"/>
  <c r="W4" i="28"/>
  <c r="W5" i="28"/>
  <c r="W6" i="28"/>
  <c r="W7" i="28"/>
  <c r="W8" i="28"/>
  <c r="W9" i="28"/>
  <c r="W10" i="28"/>
  <c r="W11" i="28"/>
  <c r="W12" i="28"/>
  <c r="W13" i="28"/>
  <c r="W14" i="28"/>
  <c r="W15" i="28"/>
  <c r="W16" i="28"/>
  <c r="W17" i="28"/>
  <c r="W18" i="28"/>
  <c r="W19" i="28"/>
  <c r="W20" i="28"/>
  <c r="W21" i="28"/>
  <c r="W22" i="28"/>
  <c r="W23" i="28"/>
  <c r="W24" i="28"/>
  <c r="W25" i="28"/>
  <c r="W26" i="28"/>
  <c r="W27" i="28"/>
  <c r="W28" i="28"/>
  <c r="W29" i="28"/>
  <c r="W30" i="28"/>
  <c r="W31" i="28"/>
  <c r="W32" i="28"/>
  <c r="W33" i="28"/>
  <c r="W34" i="28"/>
  <c r="W35" i="28"/>
  <c r="W36" i="28"/>
  <c r="W37" i="28"/>
  <c r="W38" i="28"/>
  <c r="W39" i="28"/>
  <c r="W40" i="28"/>
  <c r="W41" i="28"/>
  <c r="W42" i="28"/>
  <c r="W43" i="28"/>
  <c r="W44" i="28"/>
  <c r="W45" i="28"/>
  <c r="W46" i="28"/>
  <c r="W47" i="28"/>
  <c r="W48" i="28"/>
  <c r="W49" i="28"/>
  <c r="W50" i="28"/>
  <c r="W51" i="28"/>
  <c r="W52" i="28"/>
  <c r="W53" i="28"/>
  <c r="W54" i="28"/>
  <c r="W55" i="28"/>
  <c r="W56" i="28"/>
  <c r="W57" i="28"/>
  <c r="W58" i="28"/>
  <c r="W59" i="28"/>
  <c r="W60" i="28"/>
  <c r="W61" i="28"/>
  <c r="W62" i="28"/>
  <c r="W63" i="28"/>
  <c r="W64" i="28"/>
  <c r="W65" i="28"/>
  <c r="W66" i="28"/>
  <c r="W67" i="28"/>
  <c r="W68" i="28"/>
  <c r="W69" i="28"/>
  <c r="W70" i="28"/>
  <c r="W71" i="28"/>
  <c r="W72" i="28"/>
  <c r="W73" i="28"/>
  <c r="W74" i="28"/>
  <c r="W75" i="28"/>
  <c r="W76" i="28"/>
  <c r="W77" i="28"/>
  <c r="W78" i="28"/>
  <c r="W79" i="28"/>
  <c r="W80" i="28"/>
  <c r="W81" i="28"/>
  <c r="W82" i="28"/>
  <c r="W83" i="28"/>
  <c r="W84" i="28"/>
  <c r="W85" i="28"/>
  <c r="W86" i="28"/>
  <c r="W87" i="28"/>
  <c r="W88" i="28"/>
  <c r="W89" i="28"/>
  <c r="W90" i="28"/>
  <c r="W91" i="28"/>
  <c r="W92" i="28"/>
  <c r="W93" i="28"/>
  <c r="W94" i="28"/>
  <c r="W95" i="28"/>
  <c r="W96" i="28"/>
  <c r="W97" i="28"/>
  <c r="W98" i="28"/>
  <c r="W99" i="28"/>
  <c r="W100" i="28"/>
  <c r="W101" i="28"/>
  <c r="W102" i="28"/>
  <c r="W103" i="28"/>
  <c r="W104" i="28"/>
  <c r="W105" i="28"/>
  <c r="W106" i="28"/>
  <c r="W107" i="28"/>
  <c r="W108" i="28"/>
  <c r="W109" i="28"/>
  <c r="W110" i="28"/>
  <c r="W111" i="28"/>
  <c r="W112" i="28"/>
  <c r="W113" i="28"/>
  <c r="W114" i="28"/>
  <c r="W115" i="28"/>
  <c r="W116" i="28"/>
  <c r="W117" i="28"/>
  <c r="W118" i="28"/>
  <c r="W119" i="28"/>
  <c r="W120" i="28"/>
  <c r="W121" i="28"/>
  <c r="W122" i="28"/>
  <c r="W123" i="28"/>
  <c r="W124" i="28"/>
  <c r="W125" i="28"/>
  <c r="W126" i="28"/>
  <c r="W127" i="28"/>
  <c r="W128" i="28"/>
  <c r="W129" i="28"/>
  <c r="W130" i="28"/>
  <c r="W131" i="28"/>
  <c r="W132" i="28"/>
  <c r="W133" i="28"/>
  <c r="W134" i="28"/>
  <c r="W135" i="28"/>
  <c r="W136" i="28"/>
  <c r="W137" i="28"/>
  <c r="W138" i="28"/>
  <c r="W139" i="28"/>
  <c r="W140" i="28"/>
  <c r="W141" i="28"/>
  <c r="W142" i="28"/>
  <c r="W143" i="28"/>
  <c r="W144" i="28"/>
  <c r="W145" i="28"/>
  <c r="W146" i="28"/>
  <c r="W147" i="28"/>
  <c r="W148" i="28"/>
  <c r="W149" i="28"/>
  <c r="W150" i="28"/>
  <c r="W151" i="28"/>
  <c r="W2" i="28"/>
  <c r="V150" i="28"/>
  <c r="V149" i="28"/>
  <c r="V148" i="28"/>
  <c r="V147" i="28"/>
  <c r="V146" i="28"/>
  <c r="V145" i="28"/>
  <c r="V144" i="28"/>
  <c r="V143" i="28"/>
  <c r="V142" i="28"/>
  <c r="V151" i="28" s="1"/>
  <c r="V140" i="28"/>
  <c r="V139" i="28"/>
  <c r="V138" i="28"/>
  <c r="V137" i="28"/>
  <c r="V136" i="28"/>
  <c r="V135" i="28"/>
  <c r="V134" i="28"/>
  <c r="V133" i="28"/>
  <c r="V132" i="28"/>
  <c r="V141" i="28" s="1"/>
  <c r="V130" i="28"/>
  <c r="V129" i="28"/>
  <c r="V128" i="28"/>
  <c r="V127" i="28"/>
  <c r="V126" i="28"/>
  <c r="V125" i="28"/>
  <c r="V124" i="28"/>
  <c r="V123" i="28"/>
  <c r="V122" i="28"/>
  <c r="V131" i="28" s="1"/>
  <c r="V120" i="28"/>
  <c r="V119" i="28"/>
  <c r="V118" i="28"/>
  <c r="V117" i="28"/>
  <c r="V116" i="28"/>
  <c r="V115" i="28"/>
  <c r="V114" i="28"/>
  <c r="V113" i="28"/>
  <c r="V112" i="28"/>
  <c r="V121" i="28" s="1"/>
  <c r="V110" i="28"/>
  <c r="V109" i="28"/>
  <c r="V108" i="28"/>
  <c r="V107" i="28"/>
  <c r="V106" i="28"/>
  <c r="V105" i="28"/>
  <c r="V104" i="28"/>
  <c r="V103" i="28"/>
  <c r="V102" i="28"/>
  <c r="V111" i="28" s="1"/>
  <c r="V100" i="28"/>
  <c r="V99" i="28"/>
  <c r="V98" i="28"/>
  <c r="V97" i="28"/>
  <c r="V96" i="28"/>
  <c r="V95" i="28"/>
  <c r="V94" i="28"/>
  <c r="V93" i="28"/>
  <c r="V92" i="28"/>
  <c r="V101" i="28" s="1"/>
  <c r="V90" i="28"/>
  <c r="V89" i="28"/>
  <c r="V88" i="28"/>
  <c r="V87" i="28"/>
  <c r="V86" i="28"/>
  <c r="V85" i="28"/>
  <c r="V84" i="28"/>
  <c r="V83" i="28"/>
  <c r="V82" i="28"/>
  <c r="V91" i="28" s="1"/>
  <c r="V80" i="28"/>
  <c r="V79" i="28"/>
  <c r="V78" i="28"/>
  <c r="V77" i="28"/>
  <c r="V76" i="28"/>
  <c r="V75" i="28"/>
  <c r="V74" i="28"/>
  <c r="V73" i="28"/>
  <c r="V72" i="28"/>
  <c r="V81" i="28" s="1"/>
  <c r="V70" i="28"/>
  <c r="V69" i="28"/>
  <c r="V68" i="28"/>
  <c r="V67" i="28"/>
  <c r="V66" i="28"/>
  <c r="V65" i="28"/>
  <c r="V64" i="28"/>
  <c r="V63" i="28"/>
  <c r="V62" i="28"/>
  <c r="V71" i="28" s="1"/>
  <c r="V60" i="28"/>
  <c r="V59" i="28"/>
  <c r="V58" i="28"/>
  <c r="V57" i="28"/>
  <c r="V56" i="28"/>
  <c r="V55" i="28"/>
  <c r="V54" i="28"/>
  <c r="V53" i="28"/>
  <c r="V52" i="28"/>
  <c r="V61" i="28" s="1"/>
  <c r="V50" i="28"/>
  <c r="V49" i="28"/>
  <c r="V48" i="28"/>
  <c r="V47" i="28"/>
  <c r="V46" i="28"/>
  <c r="V45" i="28"/>
  <c r="V44" i="28"/>
  <c r="V43" i="28"/>
  <c r="V42" i="28"/>
  <c r="V51" i="28" s="1"/>
  <c r="V40" i="28"/>
  <c r="V39" i="28"/>
  <c r="V38" i="28"/>
  <c r="V37" i="28"/>
  <c r="V36" i="28"/>
  <c r="V35" i="28"/>
  <c r="V34" i="28"/>
  <c r="V33" i="28"/>
  <c r="V32" i="28"/>
  <c r="V41" i="28" s="1"/>
  <c r="V30" i="28"/>
  <c r="V29" i="28"/>
  <c r="V28" i="28"/>
  <c r="V27" i="28"/>
  <c r="V26" i="28"/>
  <c r="V25" i="28"/>
  <c r="V24" i="28"/>
  <c r="V23" i="28"/>
  <c r="V22" i="28"/>
  <c r="V31" i="28" s="1"/>
  <c r="V20" i="28"/>
  <c r="V19" i="28"/>
  <c r="V18" i="28"/>
  <c r="V17" i="28"/>
  <c r="V16" i="28"/>
  <c r="V15" i="28"/>
  <c r="V14" i="28"/>
  <c r="V13" i="28"/>
  <c r="V12" i="28"/>
  <c r="V21" i="28" s="1"/>
  <c r="V10" i="28"/>
  <c r="V9" i="28"/>
  <c r="V8" i="28"/>
  <c r="V7" i="28"/>
  <c r="V6" i="28"/>
  <c r="V5" i="28"/>
  <c r="V4" i="28"/>
  <c r="V3" i="28"/>
  <c r="V2" i="28"/>
  <c r="V11" i="28" s="1"/>
  <c r="S3" i="28"/>
  <c r="S4" i="28"/>
  <c r="S5" i="28"/>
  <c r="S6" i="28"/>
  <c r="S7" i="28"/>
  <c r="S8" i="28"/>
  <c r="S9" i="28"/>
  <c r="S10" i="28"/>
  <c r="S11" i="28"/>
  <c r="S12" i="28"/>
  <c r="S13" i="28"/>
  <c r="S14" i="28"/>
  <c r="S15" i="28"/>
  <c r="S16" i="28"/>
  <c r="S17" i="28"/>
  <c r="S18" i="28"/>
  <c r="S19" i="28"/>
  <c r="S20" i="28"/>
  <c r="S21" i="28"/>
  <c r="S22" i="28"/>
  <c r="S23" i="28"/>
  <c r="S24" i="28"/>
  <c r="S25" i="28"/>
  <c r="S26" i="28"/>
  <c r="S27" i="28"/>
  <c r="S28" i="28"/>
  <c r="S29" i="28"/>
  <c r="S30" i="28"/>
  <c r="S31" i="28"/>
  <c r="S32" i="28"/>
  <c r="S33" i="28"/>
  <c r="S34" i="28"/>
  <c r="S35" i="28"/>
  <c r="S36" i="28"/>
  <c r="S37" i="28"/>
  <c r="S38" i="28"/>
  <c r="S39" i="28"/>
  <c r="S40" i="28"/>
  <c r="S41" i="28"/>
  <c r="S42" i="28"/>
  <c r="S43" i="28"/>
  <c r="S44" i="28"/>
  <c r="S45" i="28"/>
  <c r="S46" i="28"/>
  <c r="S47" i="28"/>
  <c r="S48" i="28"/>
  <c r="S49" i="28"/>
  <c r="S50" i="28"/>
  <c r="S51" i="28"/>
  <c r="S52" i="28"/>
  <c r="S53" i="28"/>
  <c r="S54" i="28"/>
  <c r="S55" i="28"/>
  <c r="S56" i="28"/>
  <c r="S57" i="28"/>
  <c r="S58" i="28"/>
  <c r="S59" i="28"/>
  <c r="S60" i="28"/>
  <c r="S61" i="28"/>
  <c r="S62" i="28"/>
  <c r="S63" i="28"/>
  <c r="S64" i="28"/>
  <c r="S65" i="28"/>
  <c r="S2" i="28"/>
  <c r="O19" i="28"/>
  <c r="O20" i="28"/>
  <c r="O21" i="28"/>
  <c r="O22" i="28"/>
  <c r="O23" i="28"/>
  <c r="O24" i="28"/>
  <c r="O25" i="28"/>
  <c r="O26" i="28"/>
  <c r="O27" i="28"/>
  <c r="O28" i="28"/>
  <c r="O29" i="28"/>
  <c r="O30" i="28"/>
  <c r="O31" i="28"/>
  <c r="O32" i="28"/>
  <c r="O33" i="28"/>
  <c r="O34" i="28"/>
  <c r="O35" i="28"/>
  <c r="O36" i="28"/>
  <c r="O37" i="28"/>
  <c r="O38" i="28"/>
  <c r="O39" i="28"/>
  <c r="O40" i="28"/>
  <c r="O41" i="28"/>
  <c r="O42" i="28"/>
  <c r="O43" i="28"/>
  <c r="O44" i="28"/>
  <c r="O45" i="28"/>
  <c r="O46" i="28"/>
  <c r="O47" i="28"/>
  <c r="O48" i="28"/>
  <c r="O49" i="28"/>
  <c r="O50" i="28"/>
  <c r="O51" i="28"/>
  <c r="O52" i="28"/>
  <c r="O53" i="28"/>
  <c r="O54" i="28"/>
  <c r="O55" i="28"/>
  <c r="O56" i="28"/>
  <c r="O57" i="28"/>
  <c r="O58" i="28"/>
  <c r="O59" i="28"/>
  <c r="O60" i="28"/>
  <c r="O61" i="28"/>
  <c r="O62" i="28"/>
  <c r="O63" i="28"/>
  <c r="O64" i="28"/>
  <c r="O65" i="28"/>
  <c r="O66" i="28"/>
  <c r="O67" i="28"/>
  <c r="O68" i="28"/>
  <c r="O69" i="28"/>
  <c r="O70" i="28"/>
  <c r="O71" i="28"/>
  <c r="O72" i="28"/>
  <c r="O73" i="28"/>
  <c r="O74" i="28"/>
  <c r="O75" i="28"/>
  <c r="O76" i="28"/>
  <c r="O77" i="28"/>
  <c r="O78" i="28"/>
  <c r="O79" i="28"/>
  <c r="O80" i="28"/>
  <c r="O81" i="28"/>
  <c r="O82" i="28"/>
  <c r="O83" i="28"/>
  <c r="O84" i="28"/>
  <c r="O85" i="28"/>
  <c r="O86" i="28"/>
  <c r="O87" i="28"/>
  <c r="O88" i="28"/>
  <c r="O89" i="28"/>
  <c r="O90" i="28"/>
  <c r="O91" i="28"/>
  <c r="O92" i="28"/>
  <c r="O93" i="28"/>
  <c r="O94" i="28"/>
  <c r="O95" i="28"/>
  <c r="O96" i="28"/>
  <c r="O97" i="28"/>
  <c r="O98" i="28"/>
  <c r="O99" i="28"/>
  <c r="O100" i="28"/>
  <c r="O101" i="28"/>
  <c r="O102" i="28"/>
  <c r="O103" i="28"/>
  <c r="O104" i="28"/>
  <c r="O105" i="28"/>
  <c r="O106" i="28"/>
  <c r="O107" i="28"/>
  <c r="O108" i="28"/>
  <c r="O109" i="28"/>
  <c r="O110" i="28"/>
  <c r="O111" i="28"/>
  <c r="O112" i="28"/>
  <c r="O113" i="28"/>
  <c r="O114" i="28"/>
  <c r="O115" i="28"/>
  <c r="O116" i="28"/>
  <c r="O117" i="28"/>
  <c r="O118" i="28"/>
  <c r="O119" i="28"/>
  <c r="O120" i="28"/>
  <c r="O121" i="28"/>
  <c r="O122" i="28"/>
  <c r="O123" i="28"/>
  <c r="O124" i="28"/>
  <c r="O125" i="28"/>
  <c r="O126" i="28"/>
  <c r="O127" i="28"/>
  <c r="O128" i="28"/>
  <c r="O129" i="28"/>
  <c r="O130" i="28"/>
  <c r="O131" i="28"/>
  <c r="O132" i="28"/>
  <c r="O133" i="28"/>
  <c r="O134" i="28"/>
  <c r="O135" i="28"/>
  <c r="O136" i="28"/>
  <c r="O137" i="28"/>
  <c r="O138" i="28"/>
  <c r="O139" i="28"/>
  <c r="O140" i="28"/>
  <c r="O141" i="28"/>
  <c r="O142" i="28"/>
  <c r="O143" i="28"/>
  <c r="O144" i="28"/>
  <c r="O145" i="28"/>
  <c r="O146" i="28"/>
  <c r="O147" i="28"/>
  <c r="O148" i="28"/>
  <c r="O149" i="28"/>
  <c r="O150" i="28"/>
  <c r="O151" i="28"/>
  <c r="O152" i="28"/>
  <c r="O153" i="28"/>
  <c r="O154" i="28"/>
  <c r="O155" i="28"/>
  <c r="O156" i="28"/>
  <c r="O157" i="28"/>
  <c r="O158" i="28"/>
  <c r="O159" i="28"/>
  <c r="O160" i="28"/>
  <c r="O161" i="28"/>
  <c r="O162" i="28"/>
  <c r="O163" i="28"/>
  <c r="O164" i="28"/>
  <c r="O165" i="28"/>
  <c r="O166" i="28"/>
  <c r="O167" i="28"/>
  <c r="O168" i="28"/>
  <c r="O169" i="28"/>
  <c r="O170" i="28"/>
  <c r="O171" i="28"/>
  <c r="O172" i="28"/>
  <c r="O173" i="28"/>
  <c r="O174" i="28"/>
  <c r="O175" i="28"/>
  <c r="O176" i="28"/>
  <c r="O177" i="28"/>
  <c r="O178" i="28"/>
  <c r="O179" i="28"/>
  <c r="O180" i="28"/>
  <c r="O181" i="28"/>
  <c r="O182" i="28"/>
  <c r="O183" i="28"/>
  <c r="O184" i="28"/>
  <c r="O185" i="28"/>
  <c r="O186" i="28"/>
  <c r="O187" i="28"/>
  <c r="O188" i="28"/>
  <c r="O189" i="28"/>
  <c r="O190" i="28"/>
  <c r="O191" i="28"/>
  <c r="O192" i="28"/>
  <c r="O193" i="28"/>
  <c r="O194" i="28"/>
  <c r="O195" i="28"/>
  <c r="O196" i="28"/>
  <c r="O197" i="28"/>
  <c r="O198" i="28"/>
  <c r="O199" i="28"/>
  <c r="O200" i="28"/>
  <c r="O201" i="28"/>
  <c r="O202" i="28"/>
  <c r="O203" i="28"/>
  <c r="O204" i="28"/>
  <c r="O205" i="28"/>
  <c r="O206" i="28"/>
  <c r="O207" i="28"/>
  <c r="O208" i="28"/>
  <c r="O209" i="28"/>
  <c r="O210" i="28"/>
  <c r="O211" i="28"/>
  <c r="O212" i="28"/>
  <c r="O213" i="28"/>
  <c r="O214" i="28"/>
  <c r="O215" i="28"/>
  <c r="O216" i="28"/>
  <c r="O217" i="28"/>
  <c r="O218" i="28"/>
  <c r="O219" i="28"/>
  <c r="O220" i="28"/>
  <c r="O221" i="28"/>
  <c r="O222" i="28"/>
  <c r="O223" i="28"/>
  <c r="O224" i="28"/>
  <c r="O225" i="28"/>
  <c r="O226" i="28"/>
  <c r="O227" i="28"/>
  <c r="O228" i="28"/>
  <c r="O229" i="28"/>
  <c r="O230" i="28"/>
  <c r="O231" i="28"/>
  <c r="O232" i="28"/>
  <c r="O233" i="28"/>
  <c r="O234" i="28"/>
  <c r="O235" i="28"/>
  <c r="O236" i="28"/>
  <c r="O237" i="28"/>
  <c r="O238" i="28"/>
  <c r="O239" i="28"/>
  <c r="O240" i="28"/>
  <c r="O241" i="28"/>
  <c r="O242" i="28"/>
  <c r="O243" i="28"/>
  <c r="O244" i="28"/>
  <c r="O245" i="28"/>
  <c r="O246" i="28"/>
  <c r="O247" i="28"/>
  <c r="O248" i="28"/>
  <c r="O249" i="28"/>
  <c r="O250" i="28"/>
  <c r="O251" i="28"/>
  <c r="O252" i="28"/>
  <c r="O253" i="28"/>
  <c r="O254" i="28"/>
  <c r="O255" i="28"/>
  <c r="O256" i="28"/>
  <c r="O257" i="28"/>
  <c r="O258" i="28"/>
  <c r="O259" i="28"/>
  <c r="O260" i="28"/>
  <c r="O261" i="28"/>
  <c r="O262" i="28"/>
  <c r="O263" i="28"/>
  <c r="O264" i="28"/>
  <c r="O265" i="28"/>
  <c r="O266" i="28"/>
  <c r="O267" i="28"/>
  <c r="O268" i="28"/>
  <c r="O269" i="28"/>
  <c r="O270" i="28"/>
  <c r="O271" i="28"/>
  <c r="O272" i="28"/>
  <c r="O273" i="28"/>
  <c r="O18" i="28"/>
  <c r="O3" i="28"/>
  <c r="O4" i="28"/>
  <c r="O5" i="28"/>
  <c r="O6" i="28"/>
  <c r="O7" i="28"/>
  <c r="O8" i="28"/>
  <c r="O9" i="28"/>
  <c r="O10" i="28"/>
  <c r="O11" i="28"/>
  <c r="O12" i="28"/>
  <c r="O13" i="28"/>
  <c r="O14" i="28"/>
  <c r="O15" i="28"/>
  <c r="O16" i="28"/>
  <c r="O17" i="28"/>
  <c r="O2" i="28"/>
  <c r="R64" i="28"/>
  <c r="R63" i="28"/>
  <c r="R62" i="28"/>
  <c r="R61" i="28"/>
  <c r="R60" i="28"/>
  <c r="R59" i="28"/>
  <c r="R58" i="28"/>
  <c r="R57" i="28"/>
  <c r="R56" i="28"/>
  <c r="R55" i="28"/>
  <c r="R54" i="28"/>
  <c r="R53" i="28"/>
  <c r="R52" i="28"/>
  <c r="R51" i="28"/>
  <c r="R50" i="28"/>
  <c r="R65" i="28" s="1"/>
  <c r="R48" i="28"/>
  <c r="R47" i="28"/>
  <c r="R46" i="28"/>
  <c r="R45" i="28"/>
  <c r="R44" i="28"/>
  <c r="R43" i="28"/>
  <c r="R42" i="28"/>
  <c r="R41" i="28"/>
  <c r="R40" i="28"/>
  <c r="R39" i="28"/>
  <c r="R38" i="28"/>
  <c r="R37" i="28"/>
  <c r="R36" i="28"/>
  <c r="R35" i="28"/>
  <c r="R34" i="28"/>
  <c r="R49" i="28" s="1"/>
  <c r="R32" i="28"/>
  <c r="R31" i="28"/>
  <c r="R30" i="28"/>
  <c r="R29" i="28"/>
  <c r="R28" i="28"/>
  <c r="R27" i="28"/>
  <c r="R26" i="28"/>
  <c r="R25" i="28"/>
  <c r="R24" i="28"/>
  <c r="R23" i="28"/>
  <c r="R22" i="28"/>
  <c r="R21" i="28"/>
  <c r="R20" i="28"/>
  <c r="R19" i="28"/>
  <c r="R18" i="28"/>
  <c r="R33" i="28" s="1"/>
  <c r="R16" i="28"/>
  <c r="R15" i="28"/>
  <c r="R14" i="28"/>
  <c r="R13" i="28"/>
  <c r="R12" i="28"/>
  <c r="R11" i="28"/>
  <c r="R10" i="28"/>
  <c r="R9" i="28"/>
  <c r="R8" i="28"/>
  <c r="R7" i="28"/>
  <c r="R6" i="28"/>
  <c r="R5" i="28"/>
  <c r="R4" i="28"/>
  <c r="R3" i="28"/>
  <c r="R2" i="28"/>
  <c r="N2" i="28"/>
  <c r="N272" i="28"/>
  <c r="N271" i="28"/>
  <c r="N270" i="28"/>
  <c r="N269" i="28"/>
  <c r="N268" i="28"/>
  <c r="N267" i="28"/>
  <c r="N266" i="28"/>
  <c r="N265" i="28"/>
  <c r="N264" i="28"/>
  <c r="N263" i="28"/>
  <c r="N262" i="28"/>
  <c r="N261" i="28"/>
  <c r="N260" i="28"/>
  <c r="N259" i="28"/>
  <c r="N258" i="28"/>
  <c r="N256" i="28"/>
  <c r="N255" i="28"/>
  <c r="N254" i="28"/>
  <c r="N253" i="28"/>
  <c r="N252" i="28"/>
  <c r="N251" i="28"/>
  <c r="N250" i="28"/>
  <c r="N249" i="28"/>
  <c r="N248" i="28"/>
  <c r="N247" i="28"/>
  <c r="N246" i="28"/>
  <c r="N245" i="28"/>
  <c r="N244" i="28"/>
  <c r="N243" i="28"/>
  <c r="N242" i="28"/>
  <c r="N240" i="28"/>
  <c r="N239" i="28"/>
  <c r="N238" i="28"/>
  <c r="N237" i="28"/>
  <c r="N236" i="28"/>
  <c r="N235" i="28"/>
  <c r="N234" i="28"/>
  <c r="N233" i="28"/>
  <c r="N232" i="28"/>
  <c r="N231" i="28"/>
  <c r="N230" i="28"/>
  <c r="N229" i="28"/>
  <c r="N228" i="28"/>
  <c r="N227" i="28"/>
  <c r="N226" i="28"/>
  <c r="N224" i="28"/>
  <c r="N223" i="28"/>
  <c r="N222" i="28"/>
  <c r="N221" i="28"/>
  <c r="N220" i="28"/>
  <c r="N219" i="28"/>
  <c r="N218" i="28"/>
  <c r="N217" i="28"/>
  <c r="N216" i="28"/>
  <c r="N215" i="28"/>
  <c r="N214" i="28"/>
  <c r="N213" i="28"/>
  <c r="N212" i="28"/>
  <c r="N211" i="28"/>
  <c r="N210" i="28"/>
  <c r="N208" i="28"/>
  <c r="N207" i="28"/>
  <c r="N206" i="28"/>
  <c r="N205" i="28"/>
  <c r="N204" i="28"/>
  <c r="N203" i="28"/>
  <c r="N202" i="28"/>
  <c r="N201" i="28"/>
  <c r="N200" i="28"/>
  <c r="N199" i="28"/>
  <c r="N198" i="28"/>
  <c r="N197" i="28"/>
  <c r="N196" i="28"/>
  <c r="N195" i="28"/>
  <c r="N194" i="28"/>
  <c r="N192" i="28"/>
  <c r="N191" i="28"/>
  <c r="N190" i="28"/>
  <c r="N189" i="28"/>
  <c r="N188" i="28"/>
  <c r="N187" i="28"/>
  <c r="N186" i="28"/>
  <c r="N185" i="28"/>
  <c r="N184" i="28"/>
  <c r="N183" i="28"/>
  <c r="N182" i="28"/>
  <c r="N181" i="28"/>
  <c r="N180" i="28"/>
  <c r="N179" i="28"/>
  <c r="N178" i="28"/>
  <c r="N176" i="28"/>
  <c r="N175" i="28"/>
  <c r="N174" i="28"/>
  <c r="N173" i="28"/>
  <c r="N172" i="28"/>
  <c r="N171" i="28"/>
  <c r="N170" i="28"/>
  <c r="N169" i="28"/>
  <c r="N168" i="28"/>
  <c r="N167" i="28"/>
  <c r="N166" i="28"/>
  <c r="N165" i="28"/>
  <c r="N164" i="28"/>
  <c r="N163" i="28"/>
  <c r="N162" i="28"/>
  <c r="N160" i="28"/>
  <c r="N159" i="28"/>
  <c r="N158" i="28"/>
  <c r="N157" i="28"/>
  <c r="N156" i="28"/>
  <c r="N155" i="28"/>
  <c r="N154" i="28"/>
  <c r="N153" i="28"/>
  <c r="N152" i="28"/>
  <c r="N151" i="28"/>
  <c r="N150" i="28"/>
  <c r="N149" i="28"/>
  <c r="N148" i="28"/>
  <c r="N147" i="28"/>
  <c r="N146" i="28"/>
  <c r="N161" i="28" s="1"/>
  <c r="N144" i="28"/>
  <c r="N143" i="28"/>
  <c r="N142" i="28"/>
  <c r="N141" i="28"/>
  <c r="N140" i="28"/>
  <c r="N139" i="28"/>
  <c r="N138" i="28"/>
  <c r="N137" i="28"/>
  <c r="N136" i="28"/>
  <c r="N135" i="28"/>
  <c r="N134" i="28"/>
  <c r="N133" i="28"/>
  <c r="N132" i="28"/>
  <c r="N131" i="28"/>
  <c r="N130" i="28"/>
  <c r="N128" i="28"/>
  <c r="N127" i="28"/>
  <c r="N126" i="28"/>
  <c r="N125" i="28"/>
  <c r="N124" i="28"/>
  <c r="N123" i="28"/>
  <c r="N122" i="28"/>
  <c r="N121" i="28"/>
  <c r="N120" i="28"/>
  <c r="N119" i="28"/>
  <c r="N118" i="28"/>
  <c r="N117" i="28"/>
  <c r="N116" i="28"/>
  <c r="N115" i="28"/>
  <c r="N114" i="28"/>
  <c r="N112" i="28"/>
  <c r="N111" i="28"/>
  <c r="N110" i="28"/>
  <c r="N109" i="28"/>
  <c r="N108" i="28"/>
  <c r="N107" i="28"/>
  <c r="N106" i="28"/>
  <c r="N105" i="28"/>
  <c r="N104" i="28"/>
  <c r="N103" i="28"/>
  <c r="N102" i="28"/>
  <c r="N101" i="28"/>
  <c r="N100" i="28"/>
  <c r="N99" i="28"/>
  <c r="N98" i="28"/>
  <c r="N96" i="28"/>
  <c r="N95" i="28"/>
  <c r="N94" i="28"/>
  <c r="N93" i="28"/>
  <c r="N92" i="28"/>
  <c r="N91" i="28"/>
  <c r="N90" i="28"/>
  <c r="N89" i="28"/>
  <c r="N88" i="28"/>
  <c r="N87" i="28"/>
  <c r="N86" i="28"/>
  <c r="N85" i="28"/>
  <c r="N84" i="28"/>
  <c r="N83" i="28"/>
  <c r="N82" i="28"/>
  <c r="N97" i="28" s="1"/>
  <c r="N80" i="28"/>
  <c r="N79" i="28"/>
  <c r="N78" i="28"/>
  <c r="N77" i="28"/>
  <c r="N76" i="28"/>
  <c r="N75" i="28"/>
  <c r="N74" i="28"/>
  <c r="N73" i="28"/>
  <c r="N72" i="28"/>
  <c r="N71" i="28"/>
  <c r="N70" i="28"/>
  <c r="N69" i="28"/>
  <c r="N68" i="28"/>
  <c r="N67" i="28"/>
  <c r="N66" i="28"/>
  <c r="N81" i="28" s="1"/>
  <c r="N64" i="28"/>
  <c r="N63" i="28"/>
  <c r="N62" i="28"/>
  <c r="N61" i="28"/>
  <c r="N60" i="28"/>
  <c r="N59" i="28"/>
  <c r="N58" i="28"/>
  <c r="N57" i="28"/>
  <c r="N56" i="28"/>
  <c r="N55" i="28"/>
  <c r="N54" i="28"/>
  <c r="N53" i="28"/>
  <c r="N52" i="28"/>
  <c r="N51" i="28"/>
  <c r="N50" i="28"/>
  <c r="N65" i="28" s="1"/>
  <c r="N48" i="28"/>
  <c r="N47" i="28"/>
  <c r="N46" i="28"/>
  <c r="N45" i="28"/>
  <c r="N44" i="28"/>
  <c r="N43" i="28"/>
  <c r="N42" i="28"/>
  <c r="N41" i="28"/>
  <c r="N40" i="28"/>
  <c r="N39" i="28"/>
  <c r="N38" i="28"/>
  <c r="N37" i="28"/>
  <c r="N36" i="28"/>
  <c r="N35" i="28"/>
  <c r="N34" i="28"/>
  <c r="N32" i="28"/>
  <c r="N31" i="28"/>
  <c r="N30" i="28"/>
  <c r="N29" i="28"/>
  <c r="N28" i="28"/>
  <c r="N27" i="28"/>
  <c r="N26" i="28"/>
  <c r="N25" i="28"/>
  <c r="N24" i="28"/>
  <c r="N23" i="28"/>
  <c r="N22" i="28"/>
  <c r="N21" i="28"/>
  <c r="N20" i="28"/>
  <c r="N19" i="28"/>
  <c r="N18" i="28"/>
  <c r="N16" i="28"/>
  <c r="N15" i="28"/>
  <c r="N14" i="28"/>
  <c r="N13" i="28"/>
  <c r="N12" i="28"/>
  <c r="N11" i="28"/>
  <c r="N10" i="28"/>
  <c r="N9" i="28"/>
  <c r="N8" i="28"/>
  <c r="N7" i="28"/>
  <c r="N6" i="28"/>
  <c r="N5" i="28"/>
  <c r="N4" i="28"/>
  <c r="N3" i="28"/>
  <c r="N2" i="26"/>
  <c r="O2" i="26" s="1"/>
  <c r="I3" i="28"/>
  <c r="J3" i="28" s="1"/>
  <c r="I4" i="28"/>
  <c r="J4" i="28" s="1"/>
  <c r="I5" i="28"/>
  <c r="J5" i="28" s="1"/>
  <c r="I6" i="28"/>
  <c r="J6" i="28" s="1"/>
  <c r="I7" i="28"/>
  <c r="J7" i="28" s="1"/>
  <c r="I8" i="28"/>
  <c r="J8" i="28" s="1"/>
  <c r="I9" i="28"/>
  <c r="J9" i="28" s="1"/>
  <c r="I10" i="28"/>
  <c r="J10" i="28" s="1"/>
  <c r="I11" i="28"/>
  <c r="J11" i="28" s="1"/>
  <c r="I12" i="28"/>
  <c r="J12" i="28" s="1"/>
  <c r="I13" i="28"/>
  <c r="J13" i="28" s="1"/>
  <c r="I14" i="28"/>
  <c r="J14" i="28" s="1"/>
  <c r="I15" i="28"/>
  <c r="J15" i="28" s="1"/>
  <c r="I16" i="28"/>
  <c r="J16" i="28" s="1"/>
  <c r="I17" i="28"/>
  <c r="J17" i="28" s="1"/>
  <c r="I18" i="28"/>
  <c r="J18" i="28" s="1"/>
  <c r="I19" i="28"/>
  <c r="J19" i="28" s="1"/>
  <c r="I20" i="28"/>
  <c r="J20" i="28" s="1"/>
  <c r="I21" i="28"/>
  <c r="J21" i="28" s="1"/>
  <c r="I22" i="28"/>
  <c r="J22" i="28" s="1"/>
  <c r="I23" i="28"/>
  <c r="J23" i="28" s="1"/>
  <c r="I24" i="28"/>
  <c r="J24" i="28" s="1"/>
  <c r="I25" i="28"/>
  <c r="J25" i="28" s="1"/>
  <c r="I26" i="28"/>
  <c r="J26" i="28" s="1"/>
  <c r="I27" i="28"/>
  <c r="J27" i="28" s="1"/>
  <c r="I28" i="28"/>
  <c r="J28" i="28" s="1"/>
  <c r="I29" i="28"/>
  <c r="J29" i="28" s="1"/>
  <c r="I30" i="28"/>
  <c r="J30" i="28" s="1"/>
  <c r="I31" i="28"/>
  <c r="J31" i="28" s="1"/>
  <c r="I32" i="28"/>
  <c r="J32" i="28" s="1"/>
  <c r="I33" i="28"/>
  <c r="J33" i="28" s="1"/>
  <c r="I34" i="28"/>
  <c r="J34" i="28" s="1"/>
  <c r="I35" i="28"/>
  <c r="J35" i="28" s="1"/>
  <c r="I36" i="28"/>
  <c r="J36" i="28" s="1"/>
  <c r="I37" i="28"/>
  <c r="J37" i="28" s="1"/>
  <c r="I38" i="28"/>
  <c r="J38" i="28" s="1"/>
  <c r="I39" i="28"/>
  <c r="J39" i="28" s="1"/>
  <c r="I40" i="28"/>
  <c r="J40" i="28" s="1"/>
  <c r="I41" i="28"/>
  <c r="J41" i="28" s="1"/>
  <c r="I42" i="28"/>
  <c r="J42" i="28" s="1"/>
  <c r="I43" i="28"/>
  <c r="J43" i="28" s="1"/>
  <c r="I44" i="28"/>
  <c r="J44" i="28" s="1"/>
  <c r="I45" i="28"/>
  <c r="J45" i="28" s="1"/>
  <c r="I46" i="28"/>
  <c r="J46" i="28" s="1"/>
  <c r="I47" i="28"/>
  <c r="J47" i="28" s="1"/>
  <c r="I48" i="28"/>
  <c r="J48" i="28" s="1"/>
  <c r="I49" i="28"/>
  <c r="J49" i="28" s="1"/>
  <c r="I50" i="28"/>
  <c r="J50" i="28" s="1"/>
  <c r="I51" i="28"/>
  <c r="J51" i="28" s="1"/>
  <c r="I52" i="28"/>
  <c r="J52" i="28" s="1"/>
  <c r="I53" i="28"/>
  <c r="J53" i="28" s="1"/>
  <c r="I54" i="28"/>
  <c r="J54" i="28" s="1"/>
  <c r="I55" i="28"/>
  <c r="J55" i="28" s="1"/>
  <c r="I56" i="28"/>
  <c r="J56" i="28" s="1"/>
  <c r="I57" i="28"/>
  <c r="J57" i="28" s="1"/>
  <c r="I58" i="28"/>
  <c r="J58" i="28" s="1"/>
  <c r="I59" i="28"/>
  <c r="J59" i="28" s="1"/>
  <c r="I60" i="28"/>
  <c r="J60" i="28" s="1"/>
  <c r="I61" i="28"/>
  <c r="J61" i="28" s="1"/>
  <c r="I62" i="28"/>
  <c r="J62" i="28" s="1"/>
  <c r="I63" i="28"/>
  <c r="J63" i="28" s="1"/>
  <c r="I64" i="28"/>
  <c r="J64" i="28" s="1"/>
  <c r="I65" i="28"/>
  <c r="J65" i="28" s="1"/>
  <c r="I66" i="28"/>
  <c r="J66" i="28" s="1"/>
  <c r="I67" i="28"/>
  <c r="J67" i="28" s="1"/>
  <c r="I68" i="28"/>
  <c r="J68" i="28" s="1"/>
  <c r="I69" i="28"/>
  <c r="J69" i="28" s="1"/>
  <c r="I70" i="28"/>
  <c r="J70" i="28" s="1"/>
  <c r="I71" i="28"/>
  <c r="J71" i="28" s="1"/>
  <c r="I72" i="28"/>
  <c r="J72" i="28" s="1"/>
  <c r="I73" i="28"/>
  <c r="J73" i="28" s="1"/>
  <c r="I74" i="28"/>
  <c r="J74" i="28" s="1"/>
  <c r="I75" i="28"/>
  <c r="J75" i="28" s="1"/>
  <c r="I76" i="28"/>
  <c r="J76" i="28" s="1"/>
  <c r="I77" i="28"/>
  <c r="J77" i="28" s="1"/>
  <c r="I78" i="28"/>
  <c r="J78" i="28" s="1"/>
  <c r="I79" i="28"/>
  <c r="J79" i="28" s="1"/>
  <c r="I80" i="28"/>
  <c r="J80" i="28" s="1"/>
  <c r="I81" i="28"/>
  <c r="J81" i="28" s="1"/>
  <c r="I82" i="28"/>
  <c r="J82" i="28" s="1"/>
  <c r="I83" i="28"/>
  <c r="J83" i="28" s="1"/>
  <c r="I84" i="28"/>
  <c r="J84" i="28" s="1"/>
  <c r="I85" i="28"/>
  <c r="J85" i="28" s="1"/>
  <c r="I86" i="28"/>
  <c r="J86" i="28" s="1"/>
  <c r="I87" i="28"/>
  <c r="J87" i="28" s="1"/>
  <c r="I88" i="28"/>
  <c r="J88" i="28" s="1"/>
  <c r="I89" i="28"/>
  <c r="J89" i="28" s="1"/>
  <c r="I90" i="28"/>
  <c r="J90" i="28" s="1"/>
  <c r="I91" i="28"/>
  <c r="J91" i="28" s="1"/>
  <c r="I2" i="28"/>
  <c r="J2" i="28" s="1"/>
  <c r="AT42" i="26"/>
  <c r="AU42" i="26" s="1"/>
  <c r="AT41" i="26"/>
  <c r="AU41" i="26" s="1"/>
  <c r="AU40" i="26"/>
  <c r="AT40" i="26"/>
  <c r="AT39" i="26"/>
  <c r="AU39" i="26" s="1"/>
  <c r="AT38" i="26"/>
  <c r="AT43" i="26" s="1"/>
  <c r="AU43" i="26" s="1"/>
  <c r="AU36" i="26"/>
  <c r="AT36" i="26"/>
  <c r="AT35" i="26"/>
  <c r="AU35" i="26" s="1"/>
  <c r="AT34" i="26"/>
  <c r="AU34" i="26" s="1"/>
  <c r="AT33" i="26"/>
  <c r="AU33" i="26" s="1"/>
  <c r="AU32" i="26"/>
  <c r="AT32" i="26"/>
  <c r="AT37" i="26" s="1"/>
  <c r="AU37" i="26" s="1"/>
  <c r="AT30" i="26"/>
  <c r="AU30" i="26" s="1"/>
  <c r="AT29" i="26"/>
  <c r="AU29" i="26" s="1"/>
  <c r="AT28" i="26"/>
  <c r="AU28" i="26" s="1"/>
  <c r="AT27" i="26"/>
  <c r="AU27" i="26" s="1"/>
  <c r="AT26" i="26"/>
  <c r="AT31" i="26" s="1"/>
  <c r="AU31" i="26" s="1"/>
  <c r="AT24" i="26"/>
  <c r="AU24" i="26" s="1"/>
  <c r="AT23" i="26"/>
  <c r="AU23" i="26" s="1"/>
  <c r="AT22" i="26"/>
  <c r="AU22" i="26" s="1"/>
  <c r="AT21" i="26"/>
  <c r="AU21" i="26" s="1"/>
  <c r="AT20" i="26"/>
  <c r="AT25" i="26" s="1"/>
  <c r="AU25" i="26" s="1"/>
  <c r="AT18" i="26"/>
  <c r="AU18" i="26" s="1"/>
  <c r="AT17" i="26"/>
  <c r="AU17" i="26" s="1"/>
  <c r="AT16" i="26"/>
  <c r="AU16" i="26" s="1"/>
  <c r="AT15" i="26"/>
  <c r="AU15" i="26" s="1"/>
  <c r="AT14" i="26"/>
  <c r="AT19" i="26" s="1"/>
  <c r="AU19" i="26" s="1"/>
  <c r="AT12" i="26"/>
  <c r="AU12" i="26" s="1"/>
  <c r="AT11" i="26"/>
  <c r="AU11" i="26" s="1"/>
  <c r="AT10" i="26"/>
  <c r="AU10" i="26" s="1"/>
  <c r="AT9" i="26"/>
  <c r="AU9" i="26" s="1"/>
  <c r="AT8" i="26"/>
  <c r="AT13" i="26" s="1"/>
  <c r="AU13" i="26" s="1"/>
  <c r="AT6" i="26"/>
  <c r="AU6" i="26" s="1"/>
  <c r="AT5" i="26"/>
  <c r="AU5" i="26" s="1"/>
  <c r="AT4" i="26"/>
  <c r="AU4" i="26" s="1"/>
  <c r="AT3" i="26"/>
  <c r="AU3" i="26" s="1"/>
  <c r="AT2" i="26"/>
  <c r="AT7" i="26" s="1"/>
  <c r="AU7" i="26" s="1"/>
  <c r="AP102" i="26"/>
  <c r="AQ102" i="26" s="1"/>
  <c r="AP101" i="26"/>
  <c r="AQ101" i="26" s="1"/>
  <c r="AP100" i="26"/>
  <c r="AQ100" i="26" s="1"/>
  <c r="AP99" i="26"/>
  <c r="AQ99" i="26" s="1"/>
  <c r="AP98" i="26"/>
  <c r="AP103" i="26" s="1"/>
  <c r="AQ103" i="26" s="1"/>
  <c r="AP96" i="26"/>
  <c r="AQ96" i="26" s="1"/>
  <c r="AP95" i="26"/>
  <c r="AQ95" i="26" s="1"/>
  <c r="AP94" i="26"/>
  <c r="AQ94" i="26" s="1"/>
  <c r="AP93" i="26"/>
  <c r="AQ93" i="26" s="1"/>
  <c r="AP92" i="26"/>
  <c r="AP97" i="26" s="1"/>
  <c r="AQ97" i="26" s="1"/>
  <c r="AP90" i="26"/>
  <c r="AQ90" i="26" s="1"/>
  <c r="AP89" i="26"/>
  <c r="AQ89" i="26" s="1"/>
  <c r="AP88" i="26"/>
  <c r="AQ88" i="26" s="1"/>
  <c r="AP87" i="26"/>
  <c r="AQ87" i="26" s="1"/>
  <c r="AP86" i="26"/>
  <c r="AP91" i="26" s="1"/>
  <c r="AQ91" i="26" s="1"/>
  <c r="AP84" i="26"/>
  <c r="AQ84" i="26" s="1"/>
  <c r="AP83" i="26"/>
  <c r="AQ83" i="26" s="1"/>
  <c r="AP82" i="26"/>
  <c r="AQ82" i="26" s="1"/>
  <c r="AP81" i="26"/>
  <c r="AQ81" i="26" s="1"/>
  <c r="AP80" i="26"/>
  <c r="AP85" i="26" s="1"/>
  <c r="AQ85" i="26" s="1"/>
  <c r="AP78" i="26"/>
  <c r="AQ78" i="26" s="1"/>
  <c r="AP77" i="26"/>
  <c r="AQ77" i="26" s="1"/>
  <c r="AP76" i="26"/>
  <c r="AQ76" i="26" s="1"/>
  <c r="AP75" i="26"/>
  <c r="AQ75" i="26" s="1"/>
  <c r="AP74" i="26"/>
  <c r="AP79" i="26" s="1"/>
  <c r="AQ79" i="26" s="1"/>
  <c r="AP72" i="26"/>
  <c r="AQ72" i="26" s="1"/>
  <c r="AP71" i="26"/>
  <c r="AQ71" i="26" s="1"/>
  <c r="AP70" i="26"/>
  <c r="AQ70" i="26" s="1"/>
  <c r="AP69" i="26"/>
  <c r="AQ69" i="26" s="1"/>
  <c r="AP68" i="26"/>
  <c r="AP73" i="26" s="1"/>
  <c r="AQ73" i="26" s="1"/>
  <c r="AP66" i="26"/>
  <c r="AQ66" i="26" s="1"/>
  <c r="AP65" i="26"/>
  <c r="AQ65" i="26" s="1"/>
  <c r="AP64" i="26"/>
  <c r="AQ64" i="26" s="1"/>
  <c r="AP63" i="26"/>
  <c r="AQ63" i="26" s="1"/>
  <c r="AP62" i="26"/>
  <c r="AP67" i="26" s="1"/>
  <c r="AQ67" i="26" s="1"/>
  <c r="AP60" i="26"/>
  <c r="AQ60" i="26" s="1"/>
  <c r="AP59" i="26"/>
  <c r="AQ59" i="26" s="1"/>
  <c r="AP58" i="26"/>
  <c r="AQ58" i="26" s="1"/>
  <c r="AP57" i="26"/>
  <c r="AQ57" i="26" s="1"/>
  <c r="AP56" i="26"/>
  <c r="AP61" i="26" s="1"/>
  <c r="AQ61" i="26" s="1"/>
  <c r="AP54" i="26"/>
  <c r="AQ54" i="26" s="1"/>
  <c r="AP53" i="26"/>
  <c r="AQ53" i="26" s="1"/>
  <c r="AP52" i="26"/>
  <c r="AQ52" i="26" s="1"/>
  <c r="AP51" i="26"/>
  <c r="AQ51" i="26" s="1"/>
  <c r="AP50" i="26"/>
  <c r="AP55" i="26" s="1"/>
  <c r="AQ55" i="26" s="1"/>
  <c r="AP48" i="26"/>
  <c r="AQ48" i="26" s="1"/>
  <c r="AP47" i="26"/>
  <c r="AQ47" i="26" s="1"/>
  <c r="AP46" i="26"/>
  <c r="AQ46" i="26" s="1"/>
  <c r="AP45" i="26"/>
  <c r="AQ45" i="26" s="1"/>
  <c r="AP44" i="26"/>
  <c r="AP49" i="26" s="1"/>
  <c r="AQ49" i="26" s="1"/>
  <c r="AP42" i="26"/>
  <c r="AQ42" i="26" s="1"/>
  <c r="AP41" i="26"/>
  <c r="AQ41" i="26" s="1"/>
  <c r="AP40" i="26"/>
  <c r="AQ40" i="26" s="1"/>
  <c r="AP39" i="26"/>
  <c r="AQ39" i="26" s="1"/>
  <c r="AP38" i="26"/>
  <c r="AP43" i="26" s="1"/>
  <c r="AQ43" i="26" s="1"/>
  <c r="AP36" i="26"/>
  <c r="AQ36" i="26" s="1"/>
  <c r="AP35" i="26"/>
  <c r="AQ35" i="26" s="1"/>
  <c r="AP34" i="26"/>
  <c r="AQ34" i="26" s="1"/>
  <c r="AP33" i="26"/>
  <c r="AQ33" i="26" s="1"/>
  <c r="AP32" i="26"/>
  <c r="AP37" i="26" s="1"/>
  <c r="AQ37" i="26" s="1"/>
  <c r="AP30" i="26"/>
  <c r="AQ30" i="26" s="1"/>
  <c r="AP29" i="26"/>
  <c r="AQ29" i="26" s="1"/>
  <c r="AP28" i="26"/>
  <c r="AQ28" i="26" s="1"/>
  <c r="AP27" i="26"/>
  <c r="AQ27" i="26" s="1"/>
  <c r="AP26" i="26"/>
  <c r="AP31" i="26" s="1"/>
  <c r="AQ31" i="26" s="1"/>
  <c r="AP24" i="26"/>
  <c r="AQ24" i="26" s="1"/>
  <c r="AP23" i="26"/>
  <c r="AQ23" i="26" s="1"/>
  <c r="AP22" i="26"/>
  <c r="AQ22" i="26" s="1"/>
  <c r="AP21" i="26"/>
  <c r="AQ21" i="26" s="1"/>
  <c r="AP20" i="26"/>
  <c r="AP25" i="26" s="1"/>
  <c r="AQ25" i="26" s="1"/>
  <c r="AP18" i="26"/>
  <c r="AQ18" i="26" s="1"/>
  <c r="AP17" i="26"/>
  <c r="AQ17" i="26" s="1"/>
  <c r="AP16" i="26"/>
  <c r="AQ16" i="26" s="1"/>
  <c r="AP15" i="26"/>
  <c r="AQ15" i="26" s="1"/>
  <c r="AP14" i="26"/>
  <c r="AP19" i="26" s="1"/>
  <c r="AQ19" i="26" s="1"/>
  <c r="AP12" i="26"/>
  <c r="AQ12" i="26" s="1"/>
  <c r="AP11" i="26"/>
  <c r="AQ11" i="26" s="1"/>
  <c r="AP10" i="26"/>
  <c r="AQ10" i="26" s="1"/>
  <c r="AP9" i="26"/>
  <c r="AQ9" i="26" s="1"/>
  <c r="AP8" i="26"/>
  <c r="AP13" i="26" s="1"/>
  <c r="AQ13" i="26" s="1"/>
  <c r="AP6" i="26"/>
  <c r="AQ6" i="26" s="1"/>
  <c r="AP5" i="26"/>
  <c r="AQ5" i="26" s="1"/>
  <c r="AP4" i="26"/>
  <c r="AQ4" i="26" s="1"/>
  <c r="AP3" i="26"/>
  <c r="AQ3" i="26" s="1"/>
  <c r="AP2" i="26"/>
  <c r="AP7" i="26" s="1"/>
  <c r="AQ7" i="26" s="1"/>
  <c r="AL32" i="26"/>
  <c r="AM32" i="26" s="1"/>
  <c r="AL31" i="26"/>
  <c r="AM31" i="26" s="1"/>
  <c r="AL30" i="26"/>
  <c r="AM30" i="26" s="1"/>
  <c r="AL29" i="26"/>
  <c r="AM29" i="26" s="1"/>
  <c r="AL28" i="26"/>
  <c r="AM28" i="26" s="1"/>
  <c r="AL27" i="26"/>
  <c r="AM27" i="26" s="1"/>
  <c r="AL26" i="26"/>
  <c r="AL33" i="26" s="1"/>
  <c r="AM33" i="26" s="1"/>
  <c r="AL24" i="26"/>
  <c r="AM24" i="26" s="1"/>
  <c r="AL23" i="26"/>
  <c r="AM23" i="26" s="1"/>
  <c r="AL22" i="26"/>
  <c r="AM22" i="26" s="1"/>
  <c r="AL21" i="26"/>
  <c r="AM21" i="26" s="1"/>
  <c r="AL20" i="26"/>
  <c r="AM20" i="26" s="1"/>
  <c r="AL19" i="26"/>
  <c r="AM19" i="26" s="1"/>
  <c r="AL18" i="26"/>
  <c r="AL25" i="26" s="1"/>
  <c r="AM25" i="26" s="1"/>
  <c r="AL16" i="26"/>
  <c r="AM16" i="26" s="1"/>
  <c r="AL15" i="26"/>
  <c r="AM15" i="26" s="1"/>
  <c r="AL14" i="26"/>
  <c r="AM14" i="26" s="1"/>
  <c r="AL13" i="26"/>
  <c r="AM13" i="26" s="1"/>
  <c r="AL12" i="26"/>
  <c r="AM12" i="26" s="1"/>
  <c r="AL11" i="26"/>
  <c r="AM11" i="26" s="1"/>
  <c r="AL10" i="26"/>
  <c r="AL17" i="26" s="1"/>
  <c r="AM17" i="26" s="1"/>
  <c r="AL8" i="26"/>
  <c r="AM8" i="26" s="1"/>
  <c r="AL7" i="26"/>
  <c r="AM7" i="26" s="1"/>
  <c r="AL6" i="26"/>
  <c r="AM6" i="26" s="1"/>
  <c r="AL5" i="26"/>
  <c r="AM5" i="26" s="1"/>
  <c r="AL4" i="26"/>
  <c r="AM4" i="26" s="1"/>
  <c r="AL3" i="26"/>
  <c r="AM3" i="26" s="1"/>
  <c r="AL2" i="26"/>
  <c r="AL9" i="26" s="1"/>
  <c r="AM9" i="26" s="1"/>
  <c r="AH72" i="26"/>
  <c r="AI72" i="26" s="1"/>
  <c r="AI71" i="26"/>
  <c r="AH71" i="26"/>
  <c r="AH70" i="26"/>
  <c r="AI70" i="26" s="1"/>
  <c r="AH69" i="26"/>
  <c r="AI69" i="26" s="1"/>
  <c r="AH68" i="26"/>
  <c r="AI68" i="26" s="1"/>
  <c r="AI67" i="26"/>
  <c r="AH67" i="26"/>
  <c r="AH66" i="26"/>
  <c r="AI66" i="26" s="1"/>
  <c r="AH65" i="26"/>
  <c r="AI65" i="26" s="1"/>
  <c r="AH64" i="26"/>
  <c r="AI64" i="26" s="1"/>
  <c r="AI63" i="26"/>
  <c r="AH63" i="26"/>
  <c r="AH62" i="26"/>
  <c r="AI62" i="26" s="1"/>
  <c r="AH61" i="26"/>
  <c r="AI61" i="26" s="1"/>
  <c r="AH60" i="26"/>
  <c r="AI60" i="26" s="1"/>
  <c r="AI59" i="26"/>
  <c r="AH59" i="26"/>
  <c r="AH58" i="26"/>
  <c r="AI58" i="26" s="1"/>
  <c r="AH57" i="26"/>
  <c r="AI57" i="26" s="1"/>
  <c r="AH56" i="26"/>
  <c r="AH73" i="26" s="1"/>
  <c r="AI73" i="26" s="1"/>
  <c r="AH54" i="26"/>
  <c r="AI54" i="26" s="1"/>
  <c r="AH53" i="26"/>
  <c r="AI53" i="26" s="1"/>
  <c r="AH52" i="26"/>
  <c r="AI52" i="26" s="1"/>
  <c r="AI51" i="26"/>
  <c r="AH51" i="26"/>
  <c r="AH50" i="26"/>
  <c r="AI50" i="26" s="1"/>
  <c r="AH49" i="26"/>
  <c r="AI49" i="26" s="1"/>
  <c r="AH48" i="26"/>
  <c r="AI48" i="26" s="1"/>
  <c r="AI47" i="26"/>
  <c r="AH47" i="26"/>
  <c r="AH46" i="26"/>
  <c r="AI46" i="26" s="1"/>
  <c r="AH45" i="26"/>
  <c r="AI45" i="26" s="1"/>
  <c r="AH44" i="26"/>
  <c r="AI44" i="26" s="1"/>
  <c r="AI43" i="26"/>
  <c r="AH43" i="26"/>
  <c r="AH42" i="26"/>
  <c r="AI42" i="26" s="1"/>
  <c r="AH41" i="26"/>
  <c r="AI41" i="26" s="1"/>
  <c r="AH40" i="26"/>
  <c r="AI40" i="26" s="1"/>
  <c r="AI39" i="26"/>
  <c r="AH39" i="26"/>
  <c r="AH38" i="26"/>
  <c r="AH55" i="26" s="1"/>
  <c r="AI55" i="26" s="1"/>
  <c r="AH36" i="26"/>
  <c r="AI36" i="26" s="1"/>
  <c r="AI35" i="26"/>
  <c r="AH35" i="26"/>
  <c r="AH34" i="26"/>
  <c r="AI34" i="26" s="1"/>
  <c r="AH33" i="26"/>
  <c r="AI33" i="26" s="1"/>
  <c r="AH32" i="26"/>
  <c r="AI32" i="26" s="1"/>
  <c r="AH31" i="26"/>
  <c r="AI31" i="26" s="1"/>
  <c r="AH30" i="26"/>
  <c r="AI30" i="26" s="1"/>
  <c r="AH29" i="26"/>
  <c r="AI29" i="26" s="1"/>
  <c r="AH28" i="26"/>
  <c r="AI28" i="26" s="1"/>
  <c r="AH27" i="26"/>
  <c r="AI27" i="26" s="1"/>
  <c r="AH26" i="26"/>
  <c r="AI26" i="26" s="1"/>
  <c r="AH25" i="26"/>
  <c r="AI25" i="26" s="1"/>
  <c r="AH24" i="26"/>
  <c r="AI24" i="26" s="1"/>
  <c r="AH23" i="26"/>
  <c r="AI23" i="26" s="1"/>
  <c r="AH22" i="26"/>
  <c r="AI22" i="26" s="1"/>
  <c r="AH21" i="26"/>
  <c r="AI21" i="26" s="1"/>
  <c r="AH20" i="26"/>
  <c r="AH37" i="26" s="1"/>
  <c r="AI37" i="26" s="1"/>
  <c r="AH18" i="26"/>
  <c r="AI18" i="26" s="1"/>
  <c r="AH17" i="26"/>
  <c r="AI17" i="26" s="1"/>
  <c r="AH16" i="26"/>
  <c r="AI16" i="26" s="1"/>
  <c r="AH15" i="26"/>
  <c r="AI15" i="26" s="1"/>
  <c r="AH14" i="26"/>
  <c r="AI14" i="26" s="1"/>
  <c r="AH13" i="26"/>
  <c r="AI13" i="26" s="1"/>
  <c r="AH12" i="26"/>
  <c r="AI12" i="26" s="1"/>
  <c r="AH11" i="26"/>
  <c r="AI11" i="26" s="1"/>
  <c r="AH10" i="26"/>
  <c r="AI10" i="26" s="1"/>
  <c r="AH9" i="26"/>
  <c r="AI9" i="26" s="1"/>
  <c r="AH8" i="26"/>
  <c r="AI8" i="26" s="1"/>
  <c r="AH7" i="26"/>
  <c r="AI7" i="26" s="1"/>
  <c r="AH6" i="26"/>
  <c r="AI6" i="26" s="1"/>
  <c r="AH5" i="26"/>
  <c r="AI5" i="26" s="1"/>
  <c r="AH4" i="26"/>
  <c r="AI4" i="26" s="1"/>
  <c r="AH3" i="26"/>
  <c r="AI3" i="26" s="1"/>
  <c r="AH2" i="26"/>
  <c r="AH19" i="26" s="1"/>
  <c r="AI19" i="26" s="1"/>
  <c r="AD2" i="26"/>
  <c r="AE2" i="26" s="1"/>
  <c r="AD15" i="26"/>
  <c r="AE15" i="26" s="1"/>
  <c r="AD14" i="26"/>
  <c r="AE14" i="26" s="1"/>
  <c r="AD13" i="26"/>
  <c r="AE13" i="26" s="1"/>
  <c r="AD12" i="26"/>
  <c r="AE12" i="26" s="1"/>
  <c r="AD10" i="26"/>
  <c r="AE10" i="26" s="1"/>
  <c r="AD9" i="26"/>
  <c r="AE9" i="26" s="1"/>
  <c r="AD8" i="26"/>
  <c r="AE8" i="26" s="1"/>
  <c r="AD7" i="26"/>
  <c r="AE7" i="26" s="1"/>
  <c r="AD5" i="26"/>
  <c r="AE5" i="26" s="1"/>
  <c r="AD4" i="26"/>
  <c r="AE4" i="26" s="1"/>
  <c r="AD3" i="26"/>
  <c r="AE3" i="26" s="1"/>
  <c r="Z2" i="26"/>
  <c r="Z5" i="26" s="1"/>
  <c r="AA5" i="26" s="1"/>
  <c r="Z36" i="26"/>
  <c r="AA36" i="26" s="1"/>
  <c r="Z35" i="26"/>
  <c r="AA35" i="26" s="1"/>
  <c r="Z34" i="26"/>
  <c r="Z37" i="26" s="1"/>
  <c r="AA37" i="26" s="1"/>
  <c r="Z32" i="26"/>
  <c r="AA32" i="26" s="1"/>
  <c r="Z31" i="26"/>
  <c r="AA31" i="26" s="1"/>
  <c r="Z30" i="26"/>
  <c r="Z33" i="26" s="1"/>
  <c r="AA33" i="26" s="1"/>
  <c r="Z28" i="26"/>
  <c r="AA28" i="26" s="1"/>
  <c r="Z27" i="26"/>
  <c r="AA27" i="26" s="1"/>
  <c r="Z26" i="26"/>
  <c r="Z29" i="26" s="1"/>
  <c r="AA29" i="26" s="1"/>
  <c r="Z24" i="26"/>
  <c r="AA24" i="26" s="1"/>
  <c r="Z23" i="26"/>
  <c r="AA23" i="26" s="1"/>
  <c r="Z22" i="26"/>
  <c r="Z25" i="26" s="1"/>
  <c r="AA25" i="26" s="1"/>
  <c r="Z20" i="26"/>
  <c r="AA20" i="26" s="1"/>
  <c r="Z19" i="26"/>
  <c r="AA19" i="26" s="1"/>
  <c r="Z18" i="26"/>
  <c r="Z21" i="26" s="1"/>
  <c r="AA21" i="26" s="1"/>
  <c r="Z16" i="26"/>
  <c r="AA16" i="26" s="1"/>
  <c r="Z15" i="26"/>
  <c r="AA15" i="26" s="1"/>
  <c r="Z14" i="26"/>
  <c r="Z17" i="26" s="1"/>
  <c r="AA17" i="26" s="1"/>
  <c r="Z12" i="26"/>
  <c r="AA12" i="26" s="1"/>
  <c r="Z11" i="26"/>
  <c r="AA11" i="26" s="1"/>
  <c r="Z10" i="26"/>
  <c r="Z13" i="26" s="1"/>
  <c r="AA13" i="26" s="1"/>
  <c r="Z8" i="26"/>
  <c r="AA8" i="26" s="1"/>
  <c r="Z7" i="26"/>
  <c r="AA7" i="26" s="1"/>
  <c r="Z6" i="26"/>
  <c r="Z9" i="26" s="1"/>
  <c r="AA9" i="26" s="1"/>
  <c r="Z4" i="26"/>
  <c r="AA4" i="26" s="1"/>
  <c r="Z3" i="26"/>
  <c r="AA3" i="26" s="1"/>
  <c r="V2" i="26"/>
  <c r="W2" i="26" s="1"/>
  <c r="R2" i="26"/>
  <c r="R17" i="26" s="1"/>
  <c r="S17" i="26" s="1"/>
  <c r="N263" i="26"/>
  <c r="O263" i="26" s="1"/>
  <c r="N272" i="26"/>
  <c r="O272" i="26" s="1"/>
  <c r="N271" i="26"/>
  <c r="O271" i="26" s="1"/>
  <c r="O270" i="26"/>
  <c r="N270" i="26"/>
  <c r="N269" i="26"/>
  <c r="O269" i="26" s="1"/>
  <c r="N268" i="26"/>
  <c r="O268" i="26" s="1"/>
  <c r="N267" i="26"/>
  <c r="O267" i="26" s="1"/>
  <c r="N266" i="26"/>
  <c r="O266" i="26" s="1"/>
  <c r="N265" i="26"/>
  <c r="O265" i="26" s="1"/>
  <c r="N264" i="26"/>
  <c r="O264" i="26" s="1"/>
  <c r="N262" i="26"/>
  <c r="O262" i="26" s="1"/>
  <c r="N261" i="26"/>
  <c r="O261" i="26" s="1"/>
  <c r="N260" i="26"/>
  <c r="O260" i="26" s="1"/>
  <c r="N259" i="26"/>
  <c r="O259" i="26" s="1"/>
  <c r="N258" i="26"/>
  <c r="N256" i="26"/>
  <c r="O256" i="26" s="1"/>
  <c r="N255" i="26"/>
  <c r="O255" i="26" s="1"/>
  <c r="O254" i="26"/>
  <c r="N254" i="26"/>
  <c r="N253" i="26"/>
  <c r="O253" i="26" s="1"/>
  <c r="N252" i="26"/>
  <c r="O252" i="26" s="1"/>
  <c r="N251" i="26"/>
  <c r="O251" i="26" s="1"/>
  <c r="O250" i="26"/>
  <c r="N250" i="26"/>
  <c r="N249" i="26"/>
  <c r="O249" i="26" s="1"/>
  <c r="N248" i="26"/>
  <c r="O248" i="26" s="1"/>
  <c r="N247" i="26"/>
  <c r="O247" i="26" s="1"/>
  <c r="O246" i="26"/>
  <c r="N246" i="26"/>
  <c r="N245" i="26"/>
  <c r="O245" i="26" s="1"/>
  <c r="N244" i="26"/>
  <c r="O244" i="26" s="1"/>
  <c r="N243" i="26"/>
  <c r="O243" i="26" s="1"/>
  <c r="N242" i="26"/>
  <c r="N257" i="26" s="1"/>
  <c r="O257" i="26" s="1"/>
  <c r="N240" i="26"/>
  <c r="O240" i="26" s="1"/>
  <c r="N239" i="26"/>
  <c r="O239" i="26" s="1"/>
  <c r="O238" i="26"/>
  <c r="N238" i="26"/>
  <c r="N237" i="26"/>
  <c r="O237" i="26" s="1"/>
  <c r="N236" i="26"/>
  <c r="O236" i="26" s="1"/>
  <c r="N235" i="26"/>
  <c r="O235" i="26" s="1"/>
  <c r="N234" i="26"/>
  <c r="O234" i="26" s="1"/>
  <c r="N233" i="26"/>
  <c r="O233" i="26" s="1"/>
  <c r="N232" i="26"/>
  <c r="O232" i="26" s="1"/>
  <c r="N231" i="26"/>
  <c r="O231" i="26" s="1"/>
  <c r="N230" i="26"/>
  <c r="O230" i="26" s="1"/>
  <c r="N229" i="26"/>
  <c r="O229" i="26" s="1"/>
  <c r="N228" i="26"/>
  <c r="O228" i="26" s="1"/>
  <c r="N227" i="26"/>
  <c r="O227" i="26" s="1"/>
  <c r="N226" i="26"/>
  <c r="O226" i="26" s="1"/>
  <c r="N224" i="26"/>
  <c r="O224" i="26" s="1"/>
  <c r="N223" i="26"/>
  <c r="O223" i="26" s="1"/>
  <c r="O222" i="26"/>
  <c r="N222" i="26"/>
  <c r="N221" i="26"/>
  <c r="O221" i="26" s="1"/>
  <c r="N220" i="26"/>
  <c r="O220" i="26" s="1"/>
  <c r="N219" i="26"/>
  <c r="O219" i="26" s="1"/>
  <c r="N218" i="26"/>
  <c r="O218" i="26" s="1"/>
  <c r="N217" i="26"/>
  <c r="O217" i="26" s="1"/>
  <c r="N216" i="26"/>
  <c r="O216" i="26" s="1"/>
  <c r="N215" i="26"/>
  <c r="O215" i="26" s="1"/>
  <c r="O214" i="26"/>
  <c r="N214" i="26"/>
  <c r="N213" i="26"/>
  <c r="O213" i="26" s="1"/>
  <c r="N212" i="26"/>
  <c r="O212" i="26" s="1"/>
  <c r="N211" i="26"/>
  <c r="O211" i="26" s="1"/>
  <c r="N210" i="26"/>
  <c r="N225" i="26" s="1"/>
  <c r="O225" i="26" s="1"/>
  <c r="N208" i="26"/>
  <c r="O208" i="26" s="1"/>
  <c r="N207" i="26"/>
  <c r="O207" i="26" s="1"/>
  <c r="O206" i="26"/>
  <c r="N206" i="26"/>
  <c r="N205" i="26"/>
  <c r="O205" i="26" s="1"/>
  <c r="N204" i="26"/>
  <c r="O204" i="26" s="1"/>
  <c r="N203" i="26"/>
  <c r="O203" i="26" s="1"/>
  <c r="N202" i="26"/>
  <c r="O202" i="26" s="1"/>
  <c r="N201" i="26"/>
  <c r="O201" i="26" s="1"/>
  <c r="N200" i="26"/>
  <c r="O200" i="26" s="1"/>
  <c r="N199" i="26"/>
  <c r="O199" i="26" s="1"/>
  <c r="N198" i="26"/>
  <c r="O198" i="26" s="1"/>
  <c r="N197" i="26"/>
  <c r="O197" i="26" s="1"/>
  <c r="N196" i="26"/>
  <c r="O196" i="26" s="1"/>
  <c r="N195" i="26"/>
  <c r="O195" i="26" s="1"/>
  <c r="N194" i="26"/>
  <c r="O194" i="26" s="1"/>
  <c r="N192" i="26"/>
  <c r="O192" i="26" s="1"/>
  <c r="N191" i="26"/>
  <c r="O191" i="26" s="1"/>
  <c r="O190" i="26"/>
  <c r="N190" i="26"/>
  <c r="N189" i="26"/>
  <c r="O189" i="26" s="1"/>
  <c r="N188" i="26"/>
  <c r="O188" i="26" s="1"/>
  <c r="N187" i="26"/>
  <c r="O187" i="26" s="1"/>
  <c r="N186" i="26"/>
  <c r="O186" i="26" s="1"/>
  <c r="N185" i="26"/>
  <c r="O185" i="26" s="1"/>
  <c r="N184" i="26"/>
  <c r="O184" i="26" s="1"/>
  <c r="N183" i="26"/>
  <c r="O183" i="26" s="1"/>
  <c r="O182" i="26"/>
  <c r="N182" i="26"/>
  <c r="N181" i="26"/>
  <c r="O181" i="26" s="1"/>
  <c r="N180" i="26"/>
  <c r="O180" i="26" s="1"/>
  <c r="N179" i="26"/>
  <c r="O179" i="26" s="1"/>
  <c r="N178" i="26"/>
  <c r="N193" i="26" s="1"/>
  <c r="O193" i="26" s="1"/>
  <c r="N176" i="26"/>
  <c r="O176" i="26" s="1"/>
  <c r="N175" i="26"/>
  <c r="O175" i="26" s="1"/>
  <c r="O174" i="26"/>
  <c r="N174" i="26"/>
  <c r="N173" i="26"/>
  <c r="O173" i="26" s="1"/>
  <c r="N172" i="26"/>
  <c r="O172" i="26" s="1"/>
  <c r="N171" i="26"/>
  <c r="O171" i="26" s="1"/>
  <c r="N170" i="26"/>
  <c r="O170" i="26" s="1"/>
  <c r="N169" i="26"/>
  <c r="O169" i="26" s="1"/>
  <c r="N168" i="26"/>
  <c r="O168" i="26" s="1"/>
  <c r="N167" i="26"/>
  <c r="O167" i="26" s="1"/>
  <c r="N166" i="26"/>
  <c r="O166" i="26" s="1"/>
  <c r="N165" i="26"/>
  <c r="O165" i="26" s="1"/>
  <c r="N164" i="26"/>
  <c r="O164" i="26" s="1"/>
  <c r="N163" i="26"/>
  <c r="O163" i="26" s="1"/>
  <c r="N162" i="26"/>
  <c r="O162" i="26" s="1"/>
  <c r="N160" i="26"/>
  <c r="O160" i="26" s="1"/>
  <c r="N159" i="26"/>
  <c r="O159" i="26" s="1"/>
  <c r="O158" i="26"/>
  <c r="N158" i="26"/>
  <c r="N157" i="26"/>
  <c r="O157" i="26" s="1"/>
  <c r="N156" i="26"/>
  <c r="O156" i="26" s="1"/>
  <c r="N155" i="26"/>
  <c r="O155" i="26" s="1"/>
  <c r="N154" i="26"/>
  <c r="O154" i="26" s="1"/>
  <c r="N153" i="26"/>
  <c r="O153" i="26" s="1"/>
  <c r="N152" i="26"/>
  <c r="O152" i="26" s="1"/>
  <c r="O151" i="26"/>
  <c r="N151" i="26"/>
  <c r="V150" i="26"/>
  <c r="W150" i="26" s="1"/>
  <c r="N150" i="26"/>
  <c r="O150" i="26" s="1"/>
  <c r="V149" i="26"/>
  <c r="W149" i="26" s="1"/>
  <c r="O149" i="26"/>
  <c r="N149" i="26"/>
  <c r="V148" i="26"/>
  <c r="W148" i="26" s="1"/>
  <c r="N148" i="26"/>
  <c r="O148" i="26" s="1"/>
  <c r="V147" i="26"/>
  <c r="W147" i="26" s="1"/>
  <c r="O147" i="26"/>
  <c r="N147" i="26"/>
  <c r="V146" i="26"/>
  <c r="W146" i="26" s="1"/>
  <c r="N146" i="26"/>
  <c r="O146" i="26" s="1"/>
  <c r="V145" i="26"/>
  <c r="W145" i="26" s="1"/>
  <c r="V144" i="26"/>
  <c r="W144" i="26" s="1"/>
  <c r="N144" i="26"/>
  <c r="O144" i="26" s="1"/>
  <c r="V143" i="26"/>
  <c r="W143" i="26" s="1"/>
  <c r="O143" i="26"/>
  <c r="N143" i="26"/>
  <c r="V142" i="26"/>
  <c r="W142" i="26" s="1"/>
  <c r="N142" i="26"/>
  <c r="O142" i="26" s="1"/>
  <c r="O141" i="26"/>
  <c r="N141" i="26"/>
  <c r="V140" i="26"/>
  <c r="W140" i="26" s="1"/>
  <c r="N140" i="26"/>
  <c r="O140" i="26" s="1"/>
  <c r="V139" i="26"/>
  <c r="W139" i="26" s="1"/>
  <c r="O139" i="26"/>
  <c r="N139" i="26"/>
  <c r="V138" i="26"/>
  <c r="W138" i="26" s="1"/>
  <c r="N138" i="26"/>
  <c r="O138" i="26" s="1"/>
  <c r="V137" i="26"/>
  <c r="W137" i="26" s="1"/>
  <c r="N137" i="26"/>
  <c r="O137" i="26" s="1"/>
  <c r="V136" i="26"/>
  <c r="W136" i="26" s="1"/>
  <c r="N136" i="26"/>
  <c r="O136" i="26" s="1"/>
  <c r="V135" i="26"/>
  <c r="W135" i="26" s="1"/>
  <c r="O135" i="26"/>
  <c r="N135" i="26"/>
  <c r="V134" i="26"/>
  <c r="W134" i="26" s="1"/>
  <c r="N134" i="26"/>
  <c r="O134" i="26" s="1"/>
  <c r="V133" i="26"/>
  <c r="W133" i="26" s="1"/>
  <c r="O133" i="26"/>
  <c r="N133" i="26"/>
  <c r="V132" i="26"/>
  <c r="W132" i="26" s="1"/>
  <c r="N132" i="26"/>
  <c r="O132" i="26" s="1"/>
  <c r="O131" i="26"/>
  <c r="N131" i="26"/>
  <c r="V130" i="26"/>
  <c r="W130" i="26" s="1"/>
  <c r="N130" i="26"/>
  <c r="O130" i="26" s="1"/>
  <c r="V129" i="26"/>
  <c r="W129" i="26" s="1"/>
  <c r="V128" i="26"/>
  <c r="W128" i="26" s="1"/>
  <c r="N128" i="26"/>
  <c r="O128" i="26" s="1"/>
  <c r="V127" i="26"/>
  <c r="W127" i="26" s="1"/>
  <c r="O127" i="26"/>
  <c r="N127" i="26"/>
  <c r="V126" i="26"/>
  <c r="W126" i="26" s="1"/>
  <c r="N126" i="26"/>
  <c r="O126" i="26" s="1"/>
  <c r="V125" i="26"/>
  <c r="W125" i="26" s="1"/>
  <c r="O125" i="26"/>
  <c r="N125" i="26"/>
  <c r="V124" i="26"/>
  <c r="W124" i="26" s="1"/>
  <c r="N124" i="26"/>
  <c r="O124" i="26" s="1"/>
  <c r="V123" i="26"/>
  <c r="W123" i="26" s="1"/>
  <c r="O123" i="26"/>
  <c r="N123" i="26"/>
  <c r="V122" i="26"/>
  <c r="W122" i="26" s="1"/>
  <c r="N122" i="26"/>
  <c r="O122" i="26" s="1"/>
  <c r="N121" i="26"/>
  <c r="O121" i="26" s="1"/>
  <c r="V120" i="26"/>
  <c r="W120" i="26" s="1"/>
  <c r="N120" i="26"/>
  <c r="O120" i="26" s="1"/>
  <c r="V119" i="26"/>
  <c r="W119" i="26" s="1"/>
  <c r="O119" i="26"/>
  <c r="N119" i="26"/>
  <c r="V118" i="26"/>
  <c r="W118" i="26" s="1"/>
  <c r="N118" i="26"/>
  <c r="O118" i="26" s="1"/>
  <c r="V117" i="26"/>
  <c r="W117" i="26" s="1"/>
  <c r="O117" i="26"/>
  <c r="N117" i="26"/>
  <c r="V116" i="26"/>
  <c r="W116" i="26" s="1"/>
  <c r="N116" i="26"/>
  <c r="O116" i="26" s="1"/>
  <c r="V115" i="26"/>
  <c r="W115" i="26" s="1"/>
  <c r="O115" i="26"/>
  <c r="N115" i="26"/>
  <c r="V114" i="26"/>
  <c r="W114" i="26" s="1"/>
  <c r="N114" i="26"/>
  <c r="O114" i="26" s="1"/>
  <c r="V113" i="26"/>
  <c r="W113" i="26" s="1"/>
  <c r="V112" i="26"/>
  <c r="W112" i="26" s="1"/>
  <c r="N112" i="26"/>
  <c r="O112" i="26" s="1"/>
  <c r="O111" i="26"/>
  <c r="N111" i="26"/>
  <c r="V110" i="26"/>
  <c r="W110" i="26" s="1"/>
  <c r="N110" i="26"/>
  <c r="O110" i="26" s="1"/>
  <c r="V109" i="26"/>
  <c r="W109" i="26" s="1"/>
  <c r="O109" i="26"/>
  <c r="N109" i="26"/>
  <c r="V108" i="26"/>
  <c r="W108" i="26" s="1"/>
  <c r="N108" i="26"/>
  <c r="O108" i="26" s="1"/>
  <c r="V107" i="26"/>
  <c r="W107" i="26" s="1"/>
  <c r="O107" i="26"/>
  <c r="N107" i="26"/>
  <c r="V106" i="26"/>
  <c r="W106" i="26" s="1"/>
  <c r="N106" i="26"/>
  <c r="O106" i="26" s="1"/>
  <c r="V105" i="26"/>
  <c r="W105" i="26" s="1"/>
  <c r="N105" i="26"/>
  <c r="O105" i="26" s="1"/>
  <c r="V104" i="26"/>
  <c r="W104" i="26" s="1"/>
  <c r="N104" i="26"/>
  <c r="O104" i="26" s="1"/>
  <c r="V103" i="26"/>
  <c r="W103" i="26" s="1"/>
  <c r="O103" i="26"/>
  <c r="N103" i="26"/>
  <c r="V102" i="26"/>
  <c r="W102" i="26" s="1"/>
  <c r="N102" i="26"/>
  <c r="O102" i="26" s="1"/>
  <c r="O101" i="26"/>
  <c r="N101" i="26"/>
  <c r="V100" i="26"/>
  <c r="W100" i="26" s="1"/>
  <c r="N100" i="26"/>
  <c r="O100" i="26" s="1"/>
  <c r="V99" i="26"/>
  <c r="W99" i="26" s="1"/>
  <c r="O99" i="26"/>
  <c r="N99" i="26"/>
  <c r="V98" i="26"/>
  <c r="W98" i="26" s="1"/>
  <c r="N98" i="26"/>
  <c r="O98" i="26" s="1"/>
  <c r="V97" i="26"/>
  <c r="W97" i="26" s="1"/>
  <c r="V96" i="26"/>
  <c r="W96" i="26" s="1"/>
  <c r="N96" i="26"/>
  <c r="O96" i="26" s="1"/>
  <c r="V95" i="26"/>
  <c r="W95" i="26" s="1"/>
  <c r="O95" i="26"/>
  <c r="N95" i="26"/>
  <c r="V94" i="26"/>
  <c r="W94" i="26" s="1"/>
  <c r="N94" i="26"/>
  <c r="O94" i="26" s="1"/>
  <c r="V93" i="26"/>
  <c r="W93" i="26" s="1"/>
  <c r="O93" i="26"/>
  <c r="N93" i="26"/>
  <c r="V92" i="26"/>
  <c r="W92" i="26" s="1"/>
  <c r="N92" i="26"/>
  <c r="O92" i="26" s="1"/>
  <c r="O91" i="26"/>
  <c r="N91" i="26"/>
  <c r="V90" i="26"/>
  <c r="W90" i="26" s="1"/>
  <c r="N90" i="26"/>
  <c r="O90" i="26" s="1"/>
  <c r="V89" i="26"/>
  <c r="W89" i="26" s="1"/>
  <c r="O89" i="26"/>
  <c r="N89" i="26"/>
  <c r="V88" i="26"/>
  <c r="W88" i="26" s="1"/>
  <c r="N88" i="26"/>
  <c r="O88" i="26" s="1"/>
  <c r="V87" i="26"/>
  <c r="W87" i="26" s="1"/>
  <c r="O87" i="26"/>
  <c r="N87" i="26"/>
  <c r="V86" i="26"/>
  <c r="W86" i="26" s="1"/>
  <c r="N86" i="26"/>
  <c r="O86" i="26" s="1"/>
  <c r="V85" i="26"/>
  <c r="W85" i="26" s="1"/>
  <c r="O85" i="26"/>
  <c r="N85" i="26"/>
  <c r="V84" i="26"/>
  <c r="W84" i="26" s="1"/>
  <c r="N84" i="26"/>
  <c r="O84" i="26" s="1"/>
  <c r="V83" i="26"/>
  <c r="W83" i="26" s="1"/>
  <c r="O83" i="26"/>
  <c r="N83" i="26"/>
  <c r="V82" i="26"/>
  <c r="W82" i="26" s="1"/>
  <c r="N82" i="26"/>
  <c r="O82" i="26" s="1"/>
  <c r="V80" i="26"/>
  <c r="W80" i="26" s="1"/>
  <c r="N80" i="26"/>
  <c r="O80" i="26" s="1"/>
  <c r="V79" i="26"/>
  <c r="W79" i="26" s="1"/>
  <c r="O79" i="26"/>
  <c r="N79" i="26"/>
  <c r="V78" i="26"/>
  <c r="W78" i="26" s="1"/>
  <c r="N78" i="26"/>
  <c r="O78" i="26" s="1"/>
  <c r="V77" i="26"/>
  <c r="W77" i="26" s="1"/>
  <c r="O77" i="26"/>
  <c r="N77" i="26"/>
  <c r="V76" i="26"/>
  <c r="W76" i="26" s="1"/>
  <c r="N76" i="26"/>
  <c r="O76" i="26" s="1"/>
  <c r="V75" i="26"/>
  <c r="W75" i="26" s="1"/>
  <c r="O75" i="26"/>
  <c r="N75" i="26"/>
  <c r="V74" i="26"/>
  <c r="W74" i="26" s="1"/>
  <c r="N74" i="26"/>
  <c r="O74" i="26" s="1"/>
  <c r="V73" i="26"/>
  <c r="W73" i="26" s="1"/>
  <c r="O73" i="26"/>
  <c r="N73" i="26"/>
  <c r="V72" i="26"/>
  <c r="W72" i="26" s="1"/>
  <c r="N72" i="26"/>
  <c r="O72" i="26" s="1"/>
  <c r="O71" i="26"/>
  <c r="N71" i="26"/>
  <c r="V70" i="26"/>
  <c r="W70" i="26" s="1"/>
  <c r="N70" i="26"/>
  <c r="O70" i="26" s="1"/>
  <c r="V69" i="26"/>
  <c r="W69" i="26" s="1"/>
  <c r="O69" i="26"/>
  <c r="N69" i="26"/>
  <c r="V68" i="26"/>
  <c r="W68" i="26" s="1"/>
  <c r="N68" i="26"/>
  <c r="O68" i="26" s="1"/>
  <c r="V67" i="26"/>
  <c r="W67" i="26" s="1"/>
  <c r="O67" i="26"/>
  <c r="N67" i="26"/>
  <c r="V66" i="26"/>
  <c r="W66" i="26" s="1"/>
  <c r="N66" i="26"/>
  <c r="O66" i="26" s="1"/>
  <c r="V65" i="26"/>
  <c r="W65" i="26" s="1"/>
  <c r="V64" i="26"/>
  <c r="W64" i="26" s="1"/>
  <c r="R64" i="26"/>
  <c r="S64" i="26" s="1"/>
  <c r="O64" i="26"/>
  <c r="N64" i="26"/>
  <c r="V63" i="26"/>
  <c r="W63" i="26" s="1"/>
  <c r="R63" i="26"/>
  <c r="S63" i="26" s="1"/>
  <c r="N63" i="26"/>
  <c r="O63" i="26" s="1"/>
  <c r="W62" i="26"/>
  <c r="V62" i="26"/>
  <c r="V71" i="26" s="1"/>
  <c r="W71" i="26" s="1"/>
  <c r="R62" i="26"/>
  <c r="S62" i="26" s="1"/>
  <c r="N62" i="26"/>
  <c r="O62" i="26" s="1"/>
  <c r="S61" i="26"/>
  <c r="R61" i="26"/>
  <c r="N61" i="26"/>
  <c r="O61" i="26" s="1"/>
  <c r="V60" i="26"/>
  <c r="W60" i="26" s="1"/>
  <c r="R60" i="26"/>
  <c r="S60" i="26" s="1"/>
  <c r="O60" i="26"/>
  <c r="N60" i="26"/>
  <c r="V59" i="26"/>
  <c r="W59" i="26" s="1"/>
  <c r="R59" i="26"/>
  <c r="S59" i="26" s="1"/>
  <c r="N59" i="26"/>
  <c r="O59" i="26" s="1"/>
  <c r="W58" i="26"/>
  <c r="V58" i="26"/>
  <c r="R58" i="26"/>
  <c r="S58" i="26" s="1"/>
  <c r="N58" i="26"/>
  <c r="O58" i="26" s="1"/>
  <c r="V57" i="26"/>
  <c r="W57" i="26" s="1"/>
  <c r="S57" i="26"/>
  <c r="R57" i="26"/>
  <c r="N57" i="26"/>
  <c r="O57" i="26" s="1"/>
  <c r="V56" i="26"/>
  <c r="W56" i="26" s="1"/>
  <c r="R56" i="26"/>
  <c r="S56" i="26" s="1"/>
  <c r="O56" i="26"/>
  <c r="N56" i="26"/>
  <c r="V55" i="26"/>
  <c r="W55" i="26" s="1"/>
  <c r="R55" i="26"/>
  <c r="S55" i="26" s="1"/>
  <c r="N55" i="26"/>
  <c r="O55" i="26" s="1"/>
  <c r="W54" i="26"/>
  <c r="V54" i="26"/>
  <c r="R54" i="26"/>
  <c r="S54" i="26" s="1"/>
  <c r="N54" i="26"/>
  <c r="N65" i="26" s="1"/>
  <c r="O65" i="26" s="1"/>
  <c r="V53" i="26"/>
  <c r="W53" i="26" s="1"/>
  <c r="S53" i="26"/>
  <c r="R53" i="26"/>
  <c r="N53" i="26"/>
  <c r="O53" i="26" s="1"/>
  <c r="V52" i="26"/>
  <c r="V61" i="26" s="1"/>
  <c r="W61" i="26" s="1"/>
  <c r="R52" i="26"/>
  <c r="S52" i="26" s="1"/>
  <c r="O52" i="26"/>
  <c r="N52" i="26"/>
  <c r="R51" i="26"/>
  <c r="S51" i="26" s="1"/>
  <c r="N51" i="26"/>
  <c r="O51" i="26" s="1"/>
  <c r="W50" i="26"/>
  <c r="V50" i="26"/>
  <c r="S50" i="26"/>
  <c r="R50" i="26"/>
  <c r="R65" i="26" s="1"/>
  <c r="S65" i="26" s="1"/>
  <c r="O50" i="26"/>
  <c r="N50" i="26"/>
  <c r="W49" i="26"/>
  <c r="V49" i="26"/>
  <c r="W48" i="26"/>
  <c r="V48" i="26"/>
  <c r="S48" i="26"/>
  <c r="R48" i="26"/>
  <c r="O48" i="26"/>
  <c r="N48" i="26"/>
  <c r="W47" i="26"/>
  <c r="V47" i="26"/>
  <c r="S47" i="26"/>
  <c r="R47" i="26"/>
  <c r="O47" i="26"/>
  <c r="N47" i="26"/>
  <c r="W46" i="26"/>
  <c r="V46" i="26"/>
  <c r="S46" i="26"/>
  <c r="R46" i="26"/>
  <c r="O46" i="26"/>
  <c r="N46" i="26"/>
  <c r="W45" i="26"/>
  <c r="V45" i="26"/>
  <c r="S45" i="26"/>
  <c r="R45" i="26"/>
  <c r="O45" i="26"/>
  <c r="N45" i="26"/>
  <c r="V44" i="26"/>
  <c r="W44" i="26" s="1"/>
  <c r="R44" i="26"/>
  <c r="S44" i="26" s="1"/>
  <c r="O44" i="26"/>
  <c r="N44" i="26"/>
  <c r="W43" i="26"/>
  <c r="V43" i="26"/>
  <c r="V51" i="26" s="1"/>
  <c r="W51" i="26" s="1"/>
  <c r="R43" i="26"/>
  <c r="S43" i="26" s="1"/>
  <c r="N43" i="26"/>
  <c r="O43" i="26" s="1"/>
  <c r="W42" i="26"/>
  <c r="V42" i="26"/>
  <c r="S42" i="26"/>
  <c r="R42" i="26"/>
  <c r="N42" i="26"/>
  <c r="O42" i="26" s="1"/>
  <c r="S41" i="26"/>
  <c r="R41" i="26"/>
  <c r="O41" i="26"/>
  <c r="N41" i="26"/>
  <c r="V40" i="26"/>
  <c r="W40" i="26" s="1"/>
  <c r="R40" i="26"/>
  <c r="S40" i="26" s="1"/>
  <c r="O40" i="26"/>
  <c r="N40" i="26"/>
  <c r="W39" i="26"/>
  <c r="V39" i="26"/>
  <c r="R39" i="26"/>
  <c r="S39" i="26" s="1"/>
  <c r="N39" i="26"/>
  <c r="O39" i="26" s="1"/>
  <c r="W38" i="26"/>
  <c r="V38" i="26"/>
  <c r="S38" i="26"/>
  <c r="R38" i="26"/>
  <c r="N38" i="26"/>
  <c r="O38" i="26" s="1"/>
  <c r="V37" i="26"/>
  <c r="W37" i="26" s="1"/>
  <c r="S37" i="26"/>
  <c r="R37" i="26"/>
  <c r="O37" i="26"/>
  <c r="N37" i="26"/>
  <c r="V36" i="26"/>
  <c r="W36" i="26" s="1"/>
  <c r="R36" i="26"/>
  <c r="S36" i="26" s="1"/>
  <c r="O36" i="26"/>
  <c r="N36" i="26"/>
  <c r="W35" i="26"/>
  <c r="V35" i="26"/>
  <c r="R35" i="26"/>
  <c r="S35" i="26" s="1"/>
  <c r="N35" i="26"/>
  <c r="O35" i="26" s="1"/>
  <c r="W34" i="26"/>
  <c r="V34" i="26"/>
  <c r="S34" i="26"/>
  <c r="R34" i="26"/>
  <c r="R49" i="26" s="1"/>
  <c r="S49" i="26" s="1"/>
  <c r="N34" i="26"/>
  <c r="N49" i="26" s="1"/>
  <c r="O49" i="26" s="1"/>
  <c r="V33" i="26"/>
  <c r="W33" i="26" s="1"/>
  <c r="V32" i="26"/>
  <c r="W32" i="26" s="1"/>
  <c r="R32" i="26"/>
  <c r="S32" i="26" s="1"/>
  <c r="O32" i="26"/>
  <c r="N32" i="26"/>
  <c r="R31" i="26"/>
  <c r="S31" i="26" s="1"/>
  <c r="N31" i="26"/>
  <c r="O31" i="26" s="1"/>
  <c r="W30" i="26"/>
  <c r="V30" i="26"/>
  <c r="S30" i="26"/>
  <c r="R30" i="26"/>
  <c r="N30" i="26"/>
  <c r="O30" i="26" s="1"/>
  <c r="V29" i="26"/>
  <c r="W29" i="26" s="1"/>
  <c r="S29" i="26"/>
  <c r="R29" i="26"/>
  <c r="O29" i="26"/>
  <c r="N29" i="26"/>
  <c r="V28" i="26"/>
  <c r="W28" i="26" s="1"/>
  <c r="R28" i="26"/>
  <c r="S28" i="26" s="1"/>
  <c r="O28" i="26"/>
  <c r="N28" i="26"/>
  <c r="W27" i="26"/>
  <c r="V27" i="26"/>
  <c r="R27" i="26"/>
  <c r="S27" i="26" s="1"/>
  <c r="N27" i="26"/>
  <c r="O27" i="26" s="1"/>
  <c r="W26" i="26"/>
  <c r="V26" i="26"/>
  <c r="S26" i="26"/>
  <c r="R26" i="26"/>
  <c r="N26" i="26"/>
  <c r="O26" i="26" s="1"/>
  <c r="V25" i="26"/>
  <c r="W25" i="26" s="1"/>
  <c r="S25" i="26"/>
  <c r="R25" i="26"/>
  <c r="O25" i="26"/>
  <c r="N25" i="26"/>
  <c r="V24" i="26"/>
  <c r="W24" i="26" s="1"/>
  <c r="R24" i="26"/>
  <c r="S24" i="26" s="1"/>
  <c r="O24" i="26"/>
  <c r="N24" i="26"/>
  <c r="W23" i="26"/>
  <c r="V23" i="26"/>
  <c r="R23" i="26"/>
  <c r="S23" i="26" s="1"/>
  <c r="N23" i="26"/>
  <c r="O23" i="26" s="1"/>
  <c r="W22" i="26"/>
  <c r="V22" i="26"/>
  <c r="V31" i="26" s="1"/>
  <c r="W31" i="26" s="1"/>
  <c r="S22" i="26"/>
  <c r="R22" i="26"/>
  <c r="N22" i="26"/>
  <c r="O22" i="26" s="1"/>
  <c r="S21" i="26"/>
  <c r="R21" i="26"/>
  <c r="O21" i="26"/>
  <c r="N21" i="26"/>
  <c r="V20" i="26"/>
  <c r="W20" i="26" s="1"/>
  <c r="R20" i="26"/>
  <c r="S20" i="26" s="1"/>
  <c r="O20" i="26"/>
  <c r="N20" i="26"/>
  <c r="W19" i="26"/>
  <c r="V19" i="26"/>
  <c r="R19" i="26"/>
  <c r="S19" i="26" s="1"/>
  <c r="N19" i="26"/>
  <c r="O19" i="26" s="1"/>
  <c r="W18" i="26"/>
  <c r="V18" i="26"/>
  <c r="S18" i="26"/>
  <c r="R18" i="26"/>
  <c r="R33" i="26" s="1"/>
  <c r="S33" i="26" s="1"/>
  <c r="N18" i="26"/>
  <c r="N33" i="26" s="1"/>
  <c r="O33" i="26" s="1"/>
  <c r="V17" i="26"/>
  <c r="W17" i="26" s="1"/>
  <c r="V16" i="26"/>
  <c r="W16" i="26" s="1"/>
  <c r="R16" i="26"/>
  <c r="S16" i="26" s="1"/>
  <c r="O16" i="26"/>
  <c r="N16" i="26"/>
  <c r="W15" i="26"/>
  <c r="V15" i="26"/>
  <c r="R15" i="26"/>
  <c r="S15" i="26" s="1"/>
  <c r="N15" i="26"/>
  <c r="O15" i="26" s="1"/>
  <c r="W14" i="26"/>
  <c r="V14" i="26"/>
  <c r="S14" i="26"/>
  <c r="R14" i="26"/>
  <c r="N14" i="26"/>
  <c r="O14" i="26" s="1"/>
  <c r="V13" i="26"/>
  <c r="W13" i="26" s="1"/>
  <c r="S13" i="26"/>
  <c r="R13" i="26"/>
  <c r="O13" i="26"/>
  <c r="N13" i="26"/>
  <c r="V12" i="26"/>
  <c r="W12" i="26" s="1"/>
  <c r="R12" i="26"/>
  <c r="S12" i="26" s="1"/>
  <c r="O12" i="26"/>
  <c r="N12" i="26"/>
  <c r="R11" i="26"/>
  <c r="S11" i="26" s="1"/>
  <c r="N11" i="26"/>
  <c r="O11" i="26" s="1"/>
  <c r="W10" i="26"/>
  <c r="V10" i="26"/>
  <c r="S10" i="26"/>
  <c r="R10" i="26"/>
  <c r="N10" i="26"/>
  <c r="O10" i="26" s="1"/>
  <c r="V9" i="26"/>
  <c r="W9" i="26" s="1"/>
  <c r="S9" i="26"/>
  <c r="R9" i="26"/>
  <c r="O9" i="26"/>
  <c r="N9" i="26"/>
  <c r="V8" i="26"/>
  <c r="W8" i="26" s="1"/>
  <c r="R8" i="26"/>
  <c r="S8" i="26" s="1"/>
  <c r="O8" i="26"/>
  <c r="N8" i="26"/>
  <c r="W7" i="26"/>
  <c r="V7" i="26"/>
  <c r="R7" i="26"/>
  <c r="S7" i="26" s="1"/>
  <c r="N7" i="26"/>
  <c r="O7" i="26" s="1"/>
  <c r="W6" i="26"/>
  <c r="V6" i="26"/>
  <c r="S6" i="26"/>
  <c r="R6" i="26"/>
  <c r="N6" i="26"/>
  <c r="O6" i="26" s="1"/>
  <c r="V5" i="26"/>
  <c r="W5" i="26" s="1"/>
  <c r="S5" i="26"/>
  <c r="R5" i="26"/>
  <c r="O5" i="26"/>
  <c r="N5" i="26"/>
  <c r="V4" i="26"/>
  <c r="W4" i="26" s="1"/>
  <c r="R4" i="26"/>
  <c r="S4" i="26" s="1"/>
  <c r="O4" i="26"/>
  <c r="N4" i="26"/>
  <c r="W3" i="26"/>
  <c r="V3" i="26"/>
  <c r="R3" i="26"/>
  <c r="S3" i="26" s="1"/>
  <c r="N3" i="26"/>
  <c r="O3" i="26" s="1"/>
  <c r="P7" i="24"/>
  <c r="P3" i="24"/>
  <c r="P4" i="24"/>
  <c r="P5" i="24"/>
  <c r="P6" i="24"/>
  <c r="N43" i="24"/>
  <c r="O43" i="24" s="1"/>
  <c r="N41" i="24"/>
  <c r="O41" i="24" s="1"/>
  <c r="N40" i="24"/>
  <c r="O40" i="24" s="1"/>
  <c r="N37" i="24"/>
  <c r="O37" i="24" s="1"/>
  <c r="N36" i="24"/>
  <c r="O36" i="24" s="1"/>
  <c r="N35" i="24"/>
  <c r="O35" i="24" s="1"/>
  <c r="N34" i="24"/>
  <c r="O34" i="24" s="1"/>
  <c r="N31" i="24"/>
  <c r="O31" i="24" s="1"/>
  <c r="N29" i="24"/>
  <c r="O29" i="24" s="1"/>
  <c r="N28" i="24"/>
  <c r="O28" i="24" s="1"/>
  <c r="N25" i="24"/>
  <c r="O25" i="24" s="1"/>
  <c r="N22" i="24"/>
  <c r="O22" i="24" s="1"/>
  <c r="N21" i="24"/>
  <c r="O21" i="24" s="1"/>
  <c r="N20" i="24"/>
  <c r="O20" i="24" s="1"/>
  <c r="N19" i="24"/>
  <c r="O19" i="24" s="1"/>
  <c r="N18" i="24"/>
  <c r="O18" i="24" s="1"/>
  <c r="N12" i="24"/>
  <c r="O12" i="24" s="1"/>
  <c r="O3" i="24"/>
  <c r="O4" i="24"/>
  <c r="O5" i="24"/>
  <c r="O6" i="24"/>
  <c r="O7" i="24"/>
  <c r="O8" i="24"/>
  <c r="O9" i="24"/>
  <c r="O10" i="24"/>
  <c r="O11" i="24"/>
  <c r="O14" i="24"/>
  <c r="O15" i="24"/>
  <c r="O16" i="24"/>
  <c r="O17" i="24"/>
  <c r="O23" i="24"/>
  <c r="O24" i="24"/>
  <c r="O26" i="24"/>
  <c r="O27" i="24"/>
  <c r="O30" i="24"/>
  <c r="O32" i="24"/>
  <c r="O33" i="24"/>
  <c r="O38" i="24"/>
  <c r="O39" i="24"/>
  <c r="O42" i="24"/>
  <c r="O2" i="24"/>
  <c r="N7" i="24"/>
  <c r="N6" i="24"/>
  <c r="N4" i="24"/>
  <c r="K5" i="24"/>
  <c r="K6" i="24"/>
  <c r="K7" i="24"/>
  <c r="K8" i="24"/>
  <c r="K9" i="24"/>
  <c r="K10" i="24"/>
  <c r="K11" i="24"/>
  <c r="K12" i="24"/>
  <c r="K13" i="24"/>
  <c r="K14" i="24"/>
  <c r="K15" i="24"/>
  <c r="K16" i="24"/>
  <c r="K17" i="24"/>
  <c r="K18" i="24"/>
  <c r="K19" i="24"/>
  <c r="K20" i="24"/>
  <c r="K21" i="24"/>
  <c r="K22" i="24"/>
  <c r="K23" i="24"/>
  <c r="K24" i="24"/>
  <c r="K25" i="24"/>
  <c r="K26" i="24"/>
  <c r="K27" i="24"/>
  <c r="K28" i="24"/>
  <c r="K29" i="24"/>
  <c r="K30" i="24"/>
  <c r="K31" i="24"/>
  <c r="K32" i="24"/>
  <c r="K33" i="24"/>
  <c r="K4" i="24"/>
  <c r="K3" i="24"/>
  <c r="K2" i="24"/>
  <c r="J33" i="24"/>
  <c r="J25" i="24"/>
  <c r="J24" i="24"/>
  <c r="J22" i="24"/>
  <c r="J20" i="24"/>
  <c r="J19" i="24"/>
  <c r="J18" i="24"/>
  <c r="J23" i="24"/>
  <c r="J17" i="24"/>
  <c r="J14" i="24"/>
  <c r="J13" i="24"/>
  <c r="J5" i="24"/>
  <c r="J16" i="24"/>
  <c r="J15" i="24"/>
  <c r="J11" i="24"/>
  <c r="J10" i="24"/>
  <c r="F16" i="24"/>
  <c r="G16" i="24" s="1"/>
  <c r="F14" i="24"/>
  <c r="G14" i="24" s="1"/>
  <c r="F13" i="24"/>
  <c r="G13" i="24" s="1"/>
  <c r="F11" i="24"/>
  <c r="G11" i="24" s="1"/>
  <c r="F9" i="24"/>
  <c r="G9" i="24" s="1"/>
  <c r="F8" i="24"/>
  <c r="G8" i="24" s="1"/>
  <c r="G3" i="24"/>
  <c r="G4" i="24"/>
  <c r="G5" i="24"/>
  <c r="G6" i="24"/>
  <c r="G7" i="24"/>
  <c r="G10" i="24"/>
  <c r="G12" i="24"/>
  <c r="G15" i="24"/>
  <c r="G2" i="24"/>
  <c r="F6" i="24"/>
  <c r="F4" i="24"/>
  <c r="F3" i="24"/>
  <c r="F2" i="24"/>
  <c r="C2" i="24"/>
  <c r="C29" i="24"/>
  <c r="C28" i="24"/>
  <c r="C27" i="24"/>
  <c r="C26" i="24"/>
  <c r="C25" i="24"/>
  <c r="C24" i="24"/>
  <c r="C23" i="24"/>
  <c r="C22" i="24"/>
  <c r="C21" i="24"/>
  <c r="C20" i="24"/>
  <c r="C19" i="24"/>
  <c r="C18" i="24"/>
  <c r="C17" i="24"/>
  <c r="C16" i="24"/>
  <c r="C15" i="24"/>
  <c r="C14" i="24"/>
  <c r="C13" i="24"/>
  <c r="C12" i="24"/>
  <c r="C11" i="24"/>
  <c r="C10" i="24"/>
  <c r="C9" i="24"/>
  <c r="C8" i="24"/>
  <c r="C7" i="24"/>
  <c r="C6" i="24"/>
  <c r="C5" i="24"/>
  <c r="C4" i="24"/>
  <c r="C3" i="24"/>
  <c r="J2" i="22"/>
  <c r="N43" i="30" l="1"/>
  <c r="O43" i="30" s="1"/>
  <c r="O35" i="30"/>
  <c r="O34" i="30"/>
  <c r="O28" i="30"/>
  <c r="N25" i="30"/>
  <c r="O25" i="30" s="1"/>
  <c r="N55" i="29"/>
  <c r="V7" i="29"/>
  <c r="R9" i="29"/>
  <c r="J16" i="29"/>
  <c r="V49" i="29"/>
  <c r="Z25" i="29"/>
  <c r="Z31" i="29"/>
  <c r="Z43" i="29"/>
  <c r="V85" i="29"/>
  <c r="V91" i="29"/>
  <c r="R33" i="29"/>
  <c r="V31" i="29"/>
  <c r="V61" i="29"/>
  <c r="V103" i="29"/>
  <c r="Z37" i="29"/>
  <c r="N19" i="29"/>
  <c r="V13" i="29"/>
  <c r="R17" i="29"/>
  <c r="R25" i="29"/>
  <c r="N37" i="29"/>
  <c r="V67" i="29"/>
  <c r="V73" i="29"/>
  <c r="V55" i="29"/>
  <c r="N73" i="29"/>
  <c r="AP103" i="28"/>
  <c r="AD6" i="28"/>
  <c r="AD11" i="28"/>
  <c r="AD16" i="28"/>
  <c r="Z5" i="28"/>
  <c r="R17" i="28"/>
  <c r="N17" i="28"/>
  <c r="N241" i="28"/>
  <c r="N257" i="28"/>
  <c r="N273" i="28"/>
  <c r="N225" i="28"/>
  <c r="N113" i="28"/>
  <c r="N209" i="28"/>
  <c r="N33" i="28"/>
  <c r="N193" i="28"/>
  <c r="N177" i="28"/>
  <c r="N129" i="28"/>
  <c r="N145" i="28"/>
  <c r="N49" i="28"/>
  <c r="N17" i="26"/>
  <c r="O17" i="26" s="1"/>
  <c r="AU20" i="26"/>
  <c r="AU8" i="26"/>
  <c r="AU2" i="26"/>
  <c r="AU14" i="26"/>
  <c r="AU26" i="26"/>
  <c r="AU38" i="26"/>
  <c r="AQ8" i="26"/>
  <c r="AQ20" i="26"/>
  <c r="AQ32" i="26"/>
  <c r="AQ44" i="26"/>
  <c r="AQ56" i="26"/>
  <c r="AQ68" i="26"/>
  <c r="AQ80" i="26"/>
  <c r="AQ92" i="26"/>
  <c r="AQ2" i="26"/>
  <c r="AQ14" i="26"/>
  <c r="AQ26" i="26"/>
  <c r="AQ38" i="26"/>
  <c r="AQ50" i="26"/>
  <c r="AQ62" i="26"/>
  <c r="AQ74" i="26"/>
  <c r="AQ86" i="26"/>
  <c r="AQ98" i="26"/>
  <c r="AM18" i="26"/>
  <c r="AM2" i="26"/>
  <c r="AM10" i="26"/>
  <c r="AM26" i="26"/>
  <c r="AI2" i="26"/>
  <c r="AI38" i="26"/>
  <c r="AI20" i="26"/>
  <c r="AI56" i="26"/>
  <c r="AD6" i="26"/>
  <c r="AE6" i="26" s="1"/>
  <c r="AD11" i="26"/>
  <c r="AE11" i="26" s="1"/>
  <c r="AD16" i="26"/>
  <c r="AE16" i="26" s="1"/>
  <c r="AA6" i="26"/>
  <c r="AA14" i="26"/>
  <c r="AA22" i="26"/>
  <c r="AA30" i="26"/>
  <c r="AA26" i="26"/>
  <c r="AA2" i="26"/>
  <c r="AA10" i="26"/>
  <c r="AA18" i="26"/>
  <c r="AA34" i="26"/>
  <c r="V11" i="26"/>
  <c r="W11" i="26" s="1"/>
  <c r="S2" i="26"/>
  <c r="O54" i="26"/>
  <c r="V101" i="26"/>
  <c r="W101" i="26" s="1"/>
  <c r="V141" i="26"/>
  <c r="W141" i="26" s="1"/>
  <c r="N177" i="26"/>
  <c r="O177" i="26" s="1"/>
  <c r="N209" i="26"/>
  <c r="O209" i="26" s="1"/>
  <c r="N241" i="26"/>
  <c r="O241" i="26" s="1"/>
  <c r="W52" i="26"/>
  <c r="N81" i="26"/>
  <c r="O81" i="26" s="1"/>
  <c r="V91" i="26"/>
  <c r="W91" i="26" s="1"/>
  <c r="N97" i="26"/>
  <c r="O97" i="26" s="1"/>
  <c r="N113" i="26"/>
  <c r="O113" i="26" s="1"/>
  <c r="N129" i="26"/>
  <c r="O129" i="26" s="1"/>
  <c r="V131" i="26"/>
  <c r="W131" i="26" s="1"/>
  <c r="N145" i="26"/>
  <c r="O145" i="26" s="1"/>
  <c r="O178" i="26"/>
  <c r="O210" i="26"/>
  <c r="O242" i="26"/>
  <c r="V21" i="26"/>
  <c r="W21" i="26" s="1"/>
  <c r="V41" i="26"/>
  <c r="W41" i="26" s="1"/>
  <c r="V81" i="26"/>
  <c r="W81" i="26" s="1"/>
  <c r="V121" i="26"/>
  <c r="W121" i="26" s="1"/>
  <c r="N161" i="26"/>
  <c r="O161" i="26" s="1"/>
  <c r="O18" i="26"/>
  <c r="O34" i="26"/>
  <c r="N273" i="26"/>
  <c r="O273" i="26" s="1"/>
  <c r="V111" i="26"/>
  <c r="W111" i="26" s="1"/>
  <c r="V151" i="26"/>
  <c r="W151" i="26" s="1"/>
  <c r="O258" i="26"/>
  <c r="N13" i="24"/>
  <c r="O13" i="24" s="1"/>
  <c r="J9" i="24"/>
  <c r="AD425" i="22" l="1"/>
  <c r="AD424" i="22"/>
  <c r="AD423" i="22"/>
  <c r="AD422" i="22"/>
  <c r="AD421" i="22"/>
  <c r="AD420" i="22"/>
  <c r="AD419" i="22"/>
  <c r="AD418" i="22"/>
  <c r="AD417" i="22"/>
  <c r="AD416" i="22"/>
  <c r="AD415" i="22"/>
  <c r="AD414" i="22"/>
  <c r="AD413" i="22"/>
  <c r="AD412" i="22"/>
  <c r="AD411" i="22"/>
  <c r="AD410" i="22"/>
  <c r="AD409" i="22"/>
  <c r="AD408" i="22"/>
  <c r="AD407" i="22"/>
  <c r="AD406" i="22"/>
  <c r="AD405" i="22"/>
  <c r="AD404" i="22"/>
  <c r="AD403" i="22"/>
  <c r="AD402" i="22"/>
  <c r="AD401" i="22"/>
  <c r="AD400" i="22"/>
  <c r="AD399" i="22"/>
  <c r="AD398" i="22"/>
  <c r="AD397" i="22"/>
  <c r="AD396" i="22"/>
  <c r="AD395" i="22"/>
  <c r="AD394" i="22"/>
  <c r="AD393" i="22"/>
  <c r="AD392" i="22"/>
  <c r="AD391" i="22"/>
  <c r="AD390" i="22"/>
  <c r="AD389" i="22"/>
  <c r="AD388" i="22"/>
  <c r="AD387" i="22"/>
  <c r="AF386" i="22"/>
  <c r="AD386" i="22"/>
  <c r="AF385" i="22"/>
  <c r="AD385" i="22"/>
  <c r="AF384" i="22"/>
  <c r="AD384" i="22"/>
  <c r="AF383" i="22"/>
  <c r="AD383" i="22"/>
  <c r="AF382" i="22"/>
  <c r="AD382" i="22"/>
  <c r="AF381" i="22"/>
  <c r="AD381" i="22"/>
  <c r="AF380" i="22"/>
  <c r="AD380" i="22"/>
  <c r="AF379" i="22"/>
  <c r="AD379" i="22"/>
  <c r="AF378" i="22"/>
  <c r="AD378" i="22"/>
  <c r="AF377" i="22"/>
  <c r="AD377" i="22"/>
  <c r="AF376" i="22"/>
  <c r="AD376" i="22"/>
  <c r="AF375" i="22"/>
  <c r="AD375" i="22"/>
  <c r="AF374" i="22"/>
  <c r="AD374" i="22"/>
  <c r="AF373" i="22"/>
  <c r="AD373" i="22"/>
  <c r="AF372" i="22"/>
  <c r="AD372" i="22"/>
  <c r="AF371" i="22"/>
  <c r="AD371" i="22"/>
  <c r="AF370" i="22"/>
  <c r="AD370" i="22"/>
  <c r="AF369" i="22"/>
  <c r="AD369" i="22"/>
  <c r="AF368" i="22"/>
  <c r="AD368" i="22"/>
  <c r="AF367" i="22"/>
  <c r="AD367" i="22"/>
  <c r="AF366" i="22"/>
  <c r="AD366" i="22"/>
  <c r="AF365" i="22"/>
  <c r="AD365" i="22"/>
  <c r="AF364" i="22"/>
  <c r="AD364" i="22"/>
  <c r="AF363" i="22"/>
  <c r="AD363" i="22"/>
  <c r="AF362" i="22"/>
  <c r="AD362" i="22"/>
  <c r="AF361" i="22"/>
  <c r="AD361" i="22"/>
  <c r="AF360" i="22"/>
  <c r="AD360" i="22"/>
  <c r="AF359" i="22"/>
  <c r="AD359" i="22"/>
  <c r="AF358" i="22"/>
  <c r="AD358" i="22"/>
  <c r="AF357" i="22"/>
  <c r="AD357" i="22"/>
  <c r="AF356" i="22"/>
  <c r="AD356" i="22"/>
  <c r="AF355" i="22"/>
  <c r="AD355" i="22"/>
  <c r="AF354" i="22"/>
  <c r="AD354" i="22"/>
  <c r="AF353" i="22"/>
  <c r="AD353" i="22"/>
  <c r="AF352" i="22"/>
  <c r="AD352" i="22"/>
  <c r="AF351" i="22"/>
  <c r="AD351" i="22"/>
  <c r="AF350" i="22"/>
  <c r="AD350" i="22"/>
  <c r="AF349" i="22"/>
  <c r="AD349" i="22"/>
  <c r="AF348" i="22"/>
  <c r="AD348" i="22"/>
  <c r="AF347" i="22"/>
  <c r="AD347" i="22"/>
  <c r="AF346" i="22"/>
  <c r="AD346" i="22"/>
  <c r="AF345" i="22"/>
  <c r="AD345" i="22"/>
  <c r="AF344" i="22"/>
  <c r="AD344" i="22"/>
  <c r="AF343" i="22"/>
  <c r="AD343" i="22"/>
  <c r="AF342" i="22"/>
  <c r="AD342" i="22"/>
  <c r="AF341" i="22"/>
  <c r="AF340" i="22"/>
  <c r="AD340" i="22"/>
  <c r="AF339" i="22"/>
  <c r="AD339" i="22"/>
  <c r="AF338" i="22"/>
  <c r="AD338" i="22"/>
  <c r="AF337" i="22"/>
  <c r="AD337" i="22"/>
  <c r="AF336" i="22"/>
  <c r="AD336" i="22"/>
  <c r="AF335" i="22"/>
  <c r="AD335" i="22"/>
  <c r="AF334" i="22"/>
  <c r="AD334" i="22"/>
  <c r="AF333" i="22"/>
  <c r="AD333" i="22"/>
  <c r="AF332" i="22"/>
  <c r="AD332" i="22"/>
  <c r="AF331" i="22"/>
  <c r="AD331" i="22"/>
  <c r="AF330" i="22"/>
  <c r="AD330" i="22"/>
  <c r="AF329" i="22"/>
  <c r="AD329" i="22"/>
  <c r="AF328" i="22"/>
  <c r="AD328" i="22"/>
  <c r="AF327" i="22"/>
  <c r="AD327" i="22"/>
  <c r="AF326" i="22"/>
  <c r="AD326" i="22"/>
  <c r="AF325" i="22"/>
  <c r="AD325" i="22"/>
  <c r="AF324" i="22"/>
  <c r="AD324" i="22"/>
  <c r="AF323" i="22"/>
  <c r="AD323" i="22"/>
  <c r="AF322" i="22"/>
  <c r="AD322" i="22"/>
  <c r="AF321" i="22"/>
  <c r="AD321" i="22"/>
  <c r="AF320" i="22"/>
  <c r="AD320" i="22"/>
  <c r="AF319" i="22"/>
  <c r="AD319" i="22"/>
  <c r="AF318" i="22"/>
  <c r="AD318" i="22"/>
  <c r="AF317" i="22"/>
  <c r="AD317" i="22"/>
  <c r="AF316" i="22"/>
  <c r="AD316" i="22"/>
  <c r="AF315" i="22"/>
  <c r="AD315" i="22"/>
  <c r="AF314" i="22"/>
  <c r="AD314" i="22"/>
  <c r="AF313" i="22"/>
  <c r="AD313" i="22"/>
  <c r="AF312" i="22"/>
  <c r="AD312" i="22"/>
  <c r="AF311" i="22"/>
  <c r="AD311" i="22"/>
  <c r="AF310" i="22"/>
  <c r="AD310" i="22"/>
  <c r="AF309" i="22"/>
  <c r="AD309" i="22"/>
  <c r="AF308" i="22"/>
  <c r="AD308" i="22"/>
  <c r="AF307" i="22"/>
  <c r="AD307" i="22"/>
  <c r="AF306" i="22"/>
  <c r="AD306" i="22"/>
  <c r="AF305" i="22"/>
  <c r="AD305" i="22"/>
  <c r="AF304" i="22"/>
  <c r="AD304" i="22"/>
  <c r="AF303" i="22"/>
  <c r="AD303" i="22"/>
  <c r="AF302" i="22"/>
  <c r="AD302" i="22"/>
  <c r="AF301" i="22"/>
  <c r="AD301" i="22"/>
  <c r="AF300" i="22"/>
  <c r="AD300" i="22"/>
  <c r="AF299" i="22"/>
  <c r="AD299" i="22"/>
  <c r="AF298" i="22"/>
  <c r="AD298" i="22"/>
  <c r="AF297" i="22"/>
  <c r="AD297" i="22"/>
  <c r="AF296" i="22"/>
  <c r="AD296" i="22"/>
  <c r="AF295" i="22"/>
  <c r="AD295" i="22"/>
  <c r="AF294" i="22"/>
  <c r="AD294" i="22"/>
  <c r="AF293" i="22"/>
  <c r="AD293" i="22"/>
  <c r="AF292" i="22"/>
  <c r="AD292" i="22"/>
  <c r="AF291" i="22"/>
  <c r="AD291" i="22"/>
  <c r="AF290" i="22"/>
  <c r="AD290" i="22"/>
  <c r="AF289" i="22"/>
  <c r="AD289" i="22"/>
  <c r="AF288" i="22"/>
  <c r="AD288" i="22"/>
  <c r="AF287" i="22"/>
  <c r="AD287" i="22"/>
  <c r="AF286" i="22"/>
  <c r="AD286" i="22"/>
  <c r="AF285" i="22"/>
  <c r="AD285" i="22"/>
  <c r="AF284" i="22"/>
  <c r="AD284" i="22"/>
  <c r="AF283" i="22"/>
  <c r="AD283" i="22"/>
  <c r="AF282" i="22"/>
  <c r="AD282" i="22"/>
  <c r="AF281" i="22"/>
  <c r="AD281" i="22"/>
  <c r="AF280" i="22"/>
  <c r="AD280" i="22"/>
  <c r="AF279" i="22"/>
  <c r="AD279" i="22"/>
  <c r="AF278" i="22"/>
  <c r="AD278" i="22"/>
  <c r="AF277" i="22"/>
  <c r="AD277" i="22"/>
  <c r="AF276" i="22"/>
  <c r="AD276" i="22"/>
  <c r="AF275" i="22"/>
  <c r="AD275" i="22"/>
  <c r="AF274" i="22"/>
  <c r="AD274" i="22"/>
  <c r="AF273" i="22"/>
  <c r="AD273" i="22"/>
  <c r="AF272" i="22"/>
  <c r="AD272" i="22"/>
  <c r="AF271" i="22"/>
  <c r="AD271" i="22"/>
  <c r="AF270" i="22"/>
  <c r="AD270" i="22"/>
  <c r="AF269" i="22"/>
  <c r="AD269" i="22"/>
  <c r="AF268" i="22"/>
  <c r="AD268" i="22"/>
  <c r="AF267" i="22"/>
  <c r="AD267" i="22"/>
  <c r="AF266" i="22"/>
  <c r="AD266" i="22"/>
  <c r="AF265" i="22"/>
  <c r="AD265" i="22"/>
  <c r="AF264" i="22"/>
  <c r="AD264" i="22"/>
  <c r="AF263" i="22"/>
  <c r="AD263" i="22"/>
  <c r="AF262" i="22"/>
  <c r="AD262" i="22"/>
  <c r="AF261" i="22"/>
  <c r="AD261" i="22"/>
  <c r="AF260" i="22"/>
  <c r="AD260" i="22"/>
  <c r="AF259" i="22"/>
  <c r="AD259" i="22"/>
  <c r="AF258" i="22"/>
  <c r="AD258" i="22"/>
  <c r="AF257" i="22"/>
  <c r="AD257" i="22"/>
  <c r="AF256" i="22"/>
  <c r="AF255" i="22"/>
  <c r="AD255" i="22"/>
  <c r="AF254" i="22"/>
  <c r="AD254" i="22"/>
  <c r="AF253" i="22"/>
  <c r="AD253" i="22"/>
  <c r="AF252" i="22"/>
  <c r="AD252" i="22"/>
  <c r="AF251" i="22"/>
  <c r="AD251" i="22"/>
  <c r="AF250" i="22"/>
  <c r="AD250" i="22"/>
  <c r="AF249" i="22"/>
  <c r="AD249" i="22"/>
  <c r="AF248" i="22"/>
  <c r="AD248" i="22"/>
  <c r="AF247" i="22"/>
  <c r="AD247" i="22"/>
  <c r="AF246" i="22"/>
  <c r="AD246" i="22"/>
  <c r="AF245" i="22"/>
  <c r="AD245" i="22"/>
  <c r="AF244" i="22"/>
  <c r="AD244" i="22"/>
  <c r="AF243" i="22"/>
  <c r="AD243" i="22"/>
  <c r="AF242" i="22"/>
  <c r="AD242" i="22"/>
  <c r="AF241" i="22"/>
  <c r="AD241" i="22"/>
  <c r="AF240" i="22"/>
  <c r="AD240" i="22"/>
  <c r="AF239" i="22"/>
  <c r="AD239" i="22"/>
  <c r="AF238" i="22"/>
  <c r="AD238" i="22"/>
  <c r="AF237" i="22"/>
  <c r="AD237" i="22"/>
  <c r="AF236" i="22"/>
  <c r="AD236" i="22"/>
  <c r="AF235" i="22"/>
  <c r="AD235" i="22"/>
  <c r="AF234" i="22"/>
  <c r="AD234" i="22"/>
  <c r="AF233" i="22"/>
  <c r="AD233" i="22"/>
  <c r="AF232" i="22"/>
  <c r="AD232" i="22"/>
  <c r="AF231" i="22"/>
  <c r="AD231" i="22"/>
  <c r="AF230" i="22"/>
  <c r="AD230" i="22"/>
  <c r="AF229" i="22"/>
  <c r="AD229" i="22"/>
  <c r="AF228" i="22"/>
  <c r="AD228" i="22"/>
  <c r="AF227" i="22"/>
  <c r="AD227" i="22"/>
  <c r="AF226" i="22"/>
  <c r="AD226" i="22"/>
  <c r="AF225" i="22"/>
  <c r="AD225" i="22"/>
  <c r="AF224" i="22"/>
  <c r="AD224" i="22"/>
  <c r="AF223" i="22"/>
  <c r="AD223" i="22"/>
  <c r="AF222" i="22"/>
  <c r="AD222" i="22"/>
  <c r="AF221" i="22"/>
  <c r="AD221" i="22"/>
  <c r="AF220" i="22"/>
  <c r="AD220" i="22"/>
  <c r="AF219" i="22"/>
  <c r="AD219" i="22"/>
  <c r="AF218" i="22"/>
  <c r="AD218" i="22"/>
  <c r="AF217" i="22"/>
  <c r="AD217" i="22"/>
  <c r="AF216" i="22"/>
  <c r="AD216" i="22"/>
  <c r="AF215" i="22"/>
  <c r="AD215" i="22"/>
  <c r="AF214" i="22"/>
  <c r="AD214" i="22"/>
  <c r="AF213" i="22"/>
  <c r="AD213" i="22"/>
  <c r="AF212" i="22"/>
  <c r="AD212" i="22"/>
  <c r="AF211" i="22"/>
  <c r="AD211" i="22"/>
  <c r="AF210" i="22"/>
  <c r="AD210" i="22"/>
  <c r="AF209" i="22"/>
  <c r="AD209" i="22"/>
  <c r="AF208" i="22"/>
  <c r="AD208" i="22"/>
  <c r="AF207" i="22"/>
  <c r="AD207" i="22"/>
  <c r="AF206" i="22"/>
  <c r="AD206" i="22"/>
  <c r="AF205" i="22"/>
  <c r="AD205" i="22"/>
  <c r="AF204" i="22"/>
  <c r="AD204" i="22"/>
  <c r="AF203" i="22"/>
  <c r="AD203" i="22"/>
  <c r="AF202" i="22"/>
  <c r="AD202" i="22"/>
  <c r="AF201" i="22"/>
  <c r="AD201" i="22"/>
  <c r="AF200" i="22"/>
  <c r="AD200" i="22"/>
  <c r="AF199" i="22"/>
  <c r="AD199" i="22"/>
  <c r="AF198" i="22"/>
  <c r="AD198" i="22"/>
  <c r="AF197" i="22"/>
  <c r="AD197" i="22"/>
  <c r="AF196" i="22"/>
  <c r="AD196" i="22"/>
  <c r="AF195" i="22"/>
  <c r="AD195" i="22"/>
  <c r="AF194" i="22"/>
  <c r="AD194" i="22"/>
  <c r="AF193" i="22"/>
  <c r="AD193" i="22"/>
  <c r="AF192" i="22"/>
  <c r="AD192" i="22"/>
  <c r="AF191" i="22"/>
  <c r="AD191" i="22"/>
  <c r="AF190" i="22"/>
  <c r="AD190" i="22"/>
  <c r="AF189" i="22"/>
  <c r="AD189" i="22"/>
  <c r="AF188" i="22"/>
  <c r="AD188" i="22"/>
  <c r="AF187" i="22"/>
  <c r="AD187" i="22"/>
  <c r="AF186" i="22"/>
  <c r="AD186" i="22"/>
  <c r="AF185" i="22"/>
  <c r="AD185" i="22"/>
  <c r="AF184" i="22"/>
  <c r="AD184" i="22"/>
  <c r="AF183" i="22"/>
  <c r="AD183" i="22"/>
  <c r="AF182" i="22"/>
  <c r="AD182" i="22"/>
  <c r="AF181" i="22"/>
  <c r="AD181" i="22"/>
  <c r="AF180" i="22"/>
  <c r="AD180" i="22"/>
  <c r="AF179" i="22"/>
  <c r="AD179" i="22"/>
  <c r="AF178" i="22"/>
  <c r="AD178" i="22"/>
  <c r="AF177" i="22"/>
  <c r="AD177" i="22"/>
  <c r="AF176" i="22"/>
  <c r="AD176" i="22"/>
  <c r="AF175" i="22"/>
  <c r="AD175" i="22"/>
  <c r="AF174" i="22"/>
  <c r="AD174" i="22"/>
  <c r="AF173" i="22"/>
  <c r="AD173" i="22"/>
  <c r="AF172" i="22"/>
  <c r="AD172" i="22"/>
  <c r="AF171" i="22"/>
  <c r="AF170" i="22"/>
  <c r="AD170" i="22"/>
  <c r="AF169" i="22"/>
  <c r="AD169" i="22"/>
  <c r="AF168" i="22"/>
  <c r="AD168" i="22"/>
  <c r="AF167" i="22"/>
  <c r="AD167" i="22"/>
  <c r="AF166" i="22"/>
  <c r="AD166" i="22"/>
  <c r="AF165" i="22"/>
  <c r="AD165" i="22"/>
  <c r="AF164" i="22"/>
  <c r="AD164" i="22"/>
  <c r="AF163" i="22"/>
  <c r="AD163" i="22"/>
  <c r="AF162" i="22"/>
  <c r="AD162" i="22"/>
  <c r="AF161" i="22"/>
  <c r="AD161" i="22"/>
  <c r="AF160" i="22"/>
  <c r="AD160" i="22"/>
  <c r="AF159" i="22"/>
  <c r="AD159" i="22"/>
  <c r="AF158" i="22"/>
  <c r="AD158" i="22"/>
  <c r="AF157" i="22"/>
  <c r="AD157" i="22"/>
  <c r="AF156" i="22"/>
  <c r="AD156" i="22"/>
  <c r="AF155" i="22"/>
  <c r="AD155" i="22"/>
  <c r="AF154" i="22"/>
  <c r="AD154" i="22"/>
  <c r="AF153" i="22"/>
  <c r="AD153" i="22"/>
  <c r="AF152" i="22"/>
  <c r="AD152" i="22"/>
  <c r="AF151" i="22"/>
  <c r="AD151" i="22"/>
  <c r="AF150" i="22"/>
  <c r="AD150" i="22"/>
  <c r="AF149" i="22"/>
  <c r="AD149" i="22"/>
  <c r="AF148" i="22"/>
  <c r="AD148" i="22"/>
  <c r="AF147" i="22"/>
  <c r="AD147" i="22"/>
  <c r="AF146" i="22"/>
  <c r="AD146" i="22"/>
  <c r="AF145" i="22"/>
  <c r="AD145" i="22"/>
  <c r="AF144" i="22"/>
  <c r="AD144" i="22"/>
  <c r="AF143" i="22"/>
  <c r="AD143" i="22"/>
  <c r="AF142" i="22"/>
  <c r="AD142" i="22"/>
  <c r="AF141" i="22"/>
  <c r="AD141" i="22"/>
  <c r="AF140" i="22"/>
  <c r="AD140" i="22"/>
  <c r="AF139" i="22"/>
  <c r="AD139" i="22"/>
  <c r="AF138" i="22"/>
  <c r="AD138" i="22"/>
  <c r="AF137" i="22"/>
  <c r="AD137" i="22"/>
  <c r="AF136" i="22"/>
  <c r="AD136" i="22"/>
  <c r="AF135" i="22"/>
  <c r="AD135" i="22"/>
  <c r="AF134" i="22"/>
  <c r="AD134" i="22"/>
  <c r="AF133" i="22"/>
  <c r="AD133" i="22"/>
  <c r="AF132" i="22"/>
  <c r="AD132" i="22"/>
  <c r="AF131" i="22"/>
  <c r="AD131" i="22"/>
  <c r="AF130" i="22"/>
  <c r="AD130" i="22"/>
  <c r="AF129" i="22"/>
  <c r="AD129" i="22"/>
  <c r="AF128" i="22"/>
  <c r="AD128" i="22"/>
  <c r="AF127" i="22"/>
  <c r="AD127" i="22"/>
  <c r="AF126" i="22"/>
  <c r="AD126" i="22"/>
  <c r="AF125" i="22"/>
  <c r="AD125" i="22"/>
  <c r="AF124" i="22"/>
  <c r="AD124" i="22"/>
  <c r="AF123" i="22"/>
  <c r="AD123" i="22"/>
  <c r="AF122" i="22"/>
  <c r="AD122" i="22"/>
  <c r="AF121" i="22"/>
  <c r="AD121" i="22"/>
  <c r="AF120" i="22"/>
  <c r="AD120" i="22"/>
  <c r="AF119" i="22"/>
  <c r="AD119" i="22"/>
  <c r="AF118" i="22"/>
  <c r="AD118" i="22"/>
  <c r="AF117" i="22"/>
  <c r="AD117" i="22"/>
  <c r="AF116" i="22"/>
  <c r="AD116" i="22"/>
  <c r="AF115" i="22"/>
  <c r="AD115" i="22"/>
  <c r="AF114" i="22"/>
  <c r="AD114" i="22"/>
  <c r="AF113" i="22"/>
  <c r="AD113" i="22"/>
  <c r="AF112" i="22"/>
  <c r="AD112" i="22"/>
  <c r="AF111" i="22"/>
  <c r="AD111" i="22"/>
  <c r="AF110" i="22"/>
  <c r="AD110" i="22"/>
  <c r="AF109" i="22"/>
  <c r="AD109" i="22"/>
  <c r="AF108" i="22"/>
  <c r="AD108" i="22"/>
  <c r="AF107" i="22"/>
  <c r="AD107" i="22"/>
  <c r="AF106" i="22"/>
  <c r="AD106" i="22"/>
  <c r="AF105" i="22"/>
  <c r="AD105" i="22"/>
  <c r="AF104" i="22"/>
  <c r="AD104" i="22"/>
  <c r="AF103" i="22"/>
  <c r="AD103" i="22"/>
  <c r="AF102" i="22"/>
  <c r="AD102" i="22"/>
  <c r="AF101" i="22"/>
  <c r="AD101" i="22"/>
  <c r="AF100" i="22"/>
  <c r="AD100" i="22"/>
  <c r="AF99" i="22"/>
  <c r="AD99" i="22"/>
  <c r="AF98" i="22"/>
  <c r="AD98" i="22"/>
  <c r="AF97" i="22"/>
  <c r="AD97" i="22"/>
  <c r="AF96" i="22"/>
  <c r="AD96" i="22"/>
  <c r="AF95" i="22"/>
  <c r="AD95" i="22"/>
  <c r="AF94" i="22"/>
  <c r="AD94" i="22"/>
  <c r="AF93" i="22"/>
  <c r="AD93" i="22"/>
  <c r="AF92" i="22"/>
  <c r="AD92" i="22"/>
  <c r="AF91" i="22"/>
  <c r="AD91" i="22"/>
  <c r="AF90" i="22"/>
  <c r="AD90" i="22"/>
  <c r="AF89" i="22"/>
  <c r="AD89" i="22"/>
  <c r="AF88" i="22"/>
  <c r="AD88" i="22"/>
  <c r="AF87" i="22"/>
  <c r="AD87" i="22"/>
  <c r="AF86" i="22"/>
  <c r="AF85" i="22"/>
  <c r="AD85" i="22"/>
  <c r="AF84" i="22"/>
  <c r="AD84" i="22"/>
  <c r="AF83" i="22"/>
  <c r="AD83" i="22"/>
  <c r="AF82" i="22"/>
  <c r="AD82" i="22"/>
  <c r="AF81" i="22"/>
  <c r="AD81" i="22"/>
  <c r="AF80" i="22"/>
  <c r="AD80" i="22"/>
  <c r="AF79" i="22"/>
  <c r="AD79" i="22"/>
  <c r="AF78" i="22"/>
  <c r="AD78" i="22"/>
  <c r="AF77" i="22"/>
  <c r="AD77" i="22"/>
  <c r="AF76" i="22"/>
  <c r="AD76" i="22"/>
  <c r="AF75" i="22"/>
  <c r="AD75" i="22"/>
  <c r="AF74" i="22"/>
  <c r="AD74" i="22"/>
  <c r="AF73" i="22"/>
  <c r="AD73" i="22"/>
  <c r="AF72" i="22"/>
  <c r="AD72" i="22"/>
  <c r="AF71" i="22"/>
  <c r="AD71" i="22"/>
  <c r="AF70" i="22"/>
  <c r="AD70" i="22"/>
  <c r="AF69" i="22"/>
  <c r="AD69" i="22"/>
  <c r="AF68" i="22"/>
  <c r="AD68" i="22"/>
  <c r="AF67" i="22"/>
  <c r="AD67" i="22"/>
  <c r="AF66" i="22"/>
  <c r="AD66" i="22"/>
  <c r="AF65" i="22"/>
  <c r="AD65" i="22"/>
  <c r="AF64" i="22"/>
  <c r="AD64" i="22"/>
  <c r="AF63" i="22"/>
  <c r="AD63" i="22"/>
  <c r="AF62" i="22"/>
  <c r="AD62" i="22"/>
  <c r="AF61" i="22"/>
  <c r="AD61" i="22"/>
  <c r="AF60" i="22"/>
  <c r="AD60" i="22"/>
  <c r="AF59" i="22"/>
  <c r="AD59" i="22"/>
  <c r="AF58" i="22"/>
  <c r="AD58" i="22"/>
  <c r="AF57" i="22"/>
  <c r="AD57" i="22"/>
  <c r="AF56" i="22"/>
  <c r="AD56" i="22"/>
  <c r="AF55" i="22"/>
  <c r="AD55" i="22"/>
  <c r="AF54" i="22"/>
  <c r="AD54" i="22"/>
  <c r="AF53" i="22"/>
  <c r="AD53" i="22"/>
  <c r="AF52" i="22"/>
  <c r="AD52" i="22"/>
  <c r="AF51" i="22"/>
  <c r="AD51" i="22"/>
  <c r="AF50" i="22"/>
  <c r="AD50" i="22"/>
  <c r="AF49" i="22"/>
  <c r="AD49" i="22"/>
  <c r="AF48" i="22"/>
  <c r="AD48" i="22"/>
  <c r="AF47" i="22"/>
  <c r="AD47" i="22"/>
  <c r="AF46" i="22"/>
  <c r="AD46" i="22"/>
  <c r="AF45" i="22"/>
  <c r="AD45" i="22"/>
  <c r="AF44" i="22"/>
  <c r="AD44" i="22"/>
  <c r="AF43" i="22"/>
  <c r="AD43" i="22"/>
  <c r="AF42" i="22"/>
  <c r="AD42" i="22"/>
  <c r="AF41" i="22"/>
  <c r="AD41" i="22"/>
  <c r="AF40" i="22"/>
  <c r="AD40" i="22"/>
  <c r="AF39" i="22"/>
  <c r="AD39" i="22"/>
  <c r="AF38" i="22"/>
  <c r="AD38" i="22"/>
  <c r="AF37" i="22"/>
  <c r="AD37" i="22"/>
  <c r="AF36" i="22"/>
  <c r="AD36" i="22"/>
  <c r="AF35" i="22"/>
  <c r="AD35" i="22"/>
  <c r="AF34" i="22"/>
  <c r="AD34" i="22"/>
  <c r="AF33" i="22"/>
  <c r="AD33" i="22"/>
  <c r="AF32" i="22"/>
  <c r="AD32" i="22"/>
  <c r="AF31" i="22"/>
  <c r="AD31" i="22"/>
  <c r="AF30" i="22"/>
  <c r="AD30" i="22"/>
  <c r="AF29" i="22"/>
  <c r="AD29" i="22"/>
  <c r="AF28" i="22"/>
  <c r="AD28" i="22"/>
  <c r="AF27" i="22"/>
  <c r="AD27" i="22"/>
  <c r="AF26" i="22"/>
  <c r="AD26" i="22"/>
  <c r="AF25" i="22"/>
  <c r="AD25" i="22"/>
  <c r="AF24" i="22"/>
  <c r="AD24" i="22"/>
  <c r="AF23" i="22"/>
  <c r="AD23" i="22"/>
  <c r="AF22" i="22"/>
  <c r="AD22" i="22"/>
  <c r="AF21" i="22"/>
  <c r="AD21" i="22"/>
  <c r="AF20" i="22"/>
  <c r="AD20" i="22"/>
  <c r="AF19" i="22"/>
  <c r="AD19" i="22"/>
  <c r="AF18" i="22"/>
  <c r="AD18" i="22"/>
  <c r="AF17" i="22"/>
  <c r="AD17" i="22"/>
  <c r="AF16" i="22"/>
  <c r="AD16" i="22"/>
  <c r="AF15" i="22"/>
  <c r="AD15" i="22"/>
  <c r="AF14" i="22"/>
  <c r="AD14" i="22"/>
  <c r="AF13" i="22"/>
  <c r="AD13" i="22"/>
  <c r="AF12" i="22"/>
  <c r="AD12" i="22"/>
  <c r="AF11" i="22"/>
  <c r="AD11" i="22"/>
  <c r="AF10" i="22"/>
  <c r="AD10" i="22"/>
  <c r="AF9" i="22"/>
  <c r="AD9" i="22"/>
  <c r="AF8" i="22"/>
  <c r="AD8" i="22"/>
  <c r="AF7" i="22"/>
  <c r="AD7" i="22"/>
  <c r="AF6" i="22"/>
  <c r="AD6" i="22"/>
  <c r="AF5" i="22"/>
  <c r="AD5" i="22"/>
  <c r="AF4" i="22"/>
  <c r="AD4" i="22"/>
  <c r="AF3" i="22"/>
  <c r="AD3" i="22"/>
  <c r="AF2" i="22"/>
  <c r="AH3" i="22" s="1"/>
  <c r="AD2" i="22"/>
  <c r="V102" i="22"/>
  <c r="W102" i="22" s="1"/>
  <c r="V101" i="22"/>
  <c r="W101" i="22" s="1"/>
  <c r="V100" i="22"/>
  <c r="W100" i="22" s="1"/>
  <c r="V99" i="22"/>
  <c r="W99" i="22" s="1"/>
  <c r="V98" i="22"/>
  <c r="V103" i="22" s="1"/>
  <c r="W103" i="22" s="1"/>
  <c r="V96" i="22"/>
  <c r="W96" i="22" s="1"/>
  <c r="V95" i="22"/>
  <c r="W95" i="22" s="1"/>
  <c r="V94" i="22"/>
  <c r="W94" i="22" s="1"/>
  <c r="V93" i="22"/>
  <c r="W93" i="22" s="1"/>
  <c r="V92" i="22"/>
  <c r="V97" i="22" s="1"/>
  <c r="W97" i="22" s="1"/>
  <c r="V90" i="22"/>
  <c r="W90" i="22" s="1"/>
  <c r="V89" i="22"/>
  <c r="W89" i="22" s="1"/>
  <c r="V88" i="22"/>
  <c r="W88" i="22" s="1"/>
  <c r="V87" i="22"/>
  <c r="W87" i="22" s="1"/>
  <c r="V86" i="22"/>
  <c r="V91" i="22" s="1"/>
  <c r="W91" i="22" s="1"/>
  <c r="V84" i="22"/>
  <c r="W84" i="22" s="1"/>
  <c r="V83" i="22"/>
  <c r="W83" i="22" s="1"/>
  <c r="V82" i="22"/>
  <c r="W82" i="22" s="1"/>
  <c r="V81" i="22"/>
  <c r="W81" i="22" s="1"/>
  <c r="V80" i="22"/>
  <c r="V85" i="22" s="1"/>
  <c r="W85" i="22" s="1"/>
  <c r="V78" i="22"/>
  <c r="W78" i="22" s="1"/>
  <c r="V77" i="22"/>
  <c r="W77" i="22" s="1"/>
  <c r="V76" i="22"/>
  <c r="W76" i="22" s="1"/>
  <c r="V75" i="22"/>
  <c r="W75" i="22" s="1"/>
  <c r="V74" i="22"/>
  <c r="V79" i="22" s="1"/>
  <c r="W79" i="22" s="1"/>
  <c r="V72" i="22"/>
  <c r="W72" i="22" s="1"/>
  <c r="N72" i="22"/>
  <c r="O72" i="22" s="1"/>
  <c r="V71" i="22"/>
  <c r="W71" i="22" s="1"/>
  <c r="N71" i="22"/>
  <c r="O71" i="22" s="1"/>
  <c r="V70" i="22"/>
  <c r="W70" i="22" s="1"/>
  <c r="N70" i="22"/>
  <c r="O70" i="22" s="1"/>
  <c r="V69" i="22"/>
  <c r="W69" i="22" s="1"/>
  <c r="N69" i="22"/>
  <c r="O69" i="22" s="1"/>
  <c r="V68" i="22"/>
  <c r="W68" i="22" s="1"/>
  <c r="N68" i="22"/>
  <c r="O68" i="22" s="1"/>
  <c r="N67" i="22"/>
  <c r="O67" i="22" s="1"/>
  <c r="V66" i="22"/>
  <c r="W66" i="22" s="1"/>
  <c r="N66" i="22"/>
  <c r="O66" i="22" s="1"/>
  <c r="V65" i="22"/>
  <c r="W65" i="22" s="1"/>
  <c r="N65" i="22"/>
  <c r="O65" i="22" s="1"/>
  <c r="V64" i="22"/>
  <c r="W64" i="22" s="1"/>
  <c r="N64" i="22"/>
  <c r="O64" i="22" s="1"/>
  <c r="V63" i="22"/>
  <c r="W63" i="22" s="1"/>
  <c r="N63" i="22"/>
  <c r="O63" i="22" s="1"/>
  <c r="V62" i="22"/>
  <c r="W62" i="22" s="1"/>
  <c r="N62" i="22"/>
  <c r="O62" i="22" s="1"/>
  <c r="N61" i="22"/>
  <c r="O61" i="22" s="1"/>
  <c r="V60" i="22"/>
  <c r="W60" i="22" s="1"/>
  <c r="N60" i="22"/>
  <c r="O60" i="22" s="1"/>
  <c r="V59" i="22"/>
  <c r="W59" i="22" s="1"/>
  <c r="N59" i="22"/>
  <c r="O59" i="22" s="1"/>
  <c r="V58" i="22"/>
  <c r="W58" i="22" s="1"/>
  <c r="N58" i="22"/>
  <c r="O58" i="22" s="1"/>
  <c r="V57" i="22"/>
  <c r="W57" i="22" s="1"/>
  <c r="N57" i="22"/>
  <c r="O57" i="22" s="1"/>
  <c r="V56" i="22"/>
  <c r="W56" i="22" s="1"/>
  <c r="N56" i="22"/>
  <c r="O56" i="22" s="1"/>
  <c r="V54" i="22"/>
  <c r="W54" i="22" s="1"/>
  <c r="N54" i="22"/>
  <c r="O54" i="22" s="1"/>
  <c r="V53" i="22"/>
  <c r="W53" i="22" s="1"/>
  <c r="N53" i="22"/>
  <c r="O53" i="22" s="1"/>
  <c r="V52" i="22"/>
  <c r="W52" i="22" s="1"/>
  <c r="N52" i="22"/>
  <c r="O52" i="22" s="1"/>
  <c r="V51" i="22"/>
  <c r="W51" i="22" s="1"/>
  <c r="N51" i="22"/>
  <c r="O51" i="22" s="1"/>
  <c r="V50" i="22"/>
  <c r="W50" i="22" s="1"/>
  <c r="N50" i="22"/>
  <c r="O50" i="22" s="1"/>
  <c r="N49" i="22"/>
  <c r="O49" i="22" s="1"/>
  <c r="V48" i="22"/>
  <c r="W48" i="22" s="1"/>
  <c r="N48" i="22"/>
  <c r="O48" i="22" s="1"/>
  <c r="V47" i="22"/>
  <c r="W47" i="22" s="1"/>
  <c r="N47" i="22"/>
  <c r="O47" i="22" s="1"/>
  <c r="V46" i="22"/>
  <c r="W46" i="22" s="1"/>
  <c r="N46" i="22"/>
  <c r="O46" i="22" s="1"/>
  <c r="V45" i="22"/>
  <c r="W45" i="22" s="1"/>
  <c r="N45" i="22"/>
  <c r="O45" i="22" s="1"/>
  <c r="V44" i="22"/>
  <c r="W44" i="22" s="1"/>
  <c r="N44" i="22"/>
  <c r="O44" i="22" s="1"/>
  <c r="N43" i="22"/>
  <c r="O43" i="22" s="1"/>
  <c r="Z42" i="22"/>
  <c r="AA42" i="22" s="1"/>
  <c r="V42" i="22"/>
  <c r="W42" i="22" s="1"/>
  <c r="N42" i="22"/>
  <c r="O42" i="22" s="1"/>
  <c r="Z41" i="22"/>
  <c r="AA41" i="22" s="1"/>
  <c r="V41" i="22"/>
  <c r="W41" i="22" s="1"/>
  <c r="N41" i="22"/>
  <c r="O41" i="22" s="1"/>
  <c r="Z40" i="22"/>
  <c r="AA40" i="22" s="1"/>
  <c r="V40" i="22"/>
  <c r="W40" i="22" s="1"/>
  <c r="N40" i="22"/>
  <c r="O40" i="22" s="1"/>
  <c r="Z39" i="22"/>
  <c r="AA39" i="22" s="1"/>
  <c r="V39" i="22"/>
  <c r="W39" i="22" s="1"/>
  <c r="N39" i="22"/>
  <c r="O39" i="22" s="1"/>
  <c r="Z38" i="22"/>
  <c r="AA38" i="22" s="1"/>
  <c r="V38" i="22"/>
  <c r="W38" i="22" s="1"/>
  <c r="N38" i="22"/>
  <c r="O38" i="22" s="1"/>
  <c r="Z36" i="22"/>
  <c r="AA36" i="22" s="1"/>
  <c r="V36" i="22"/>
  <c r="W36" i="22" s="1"/>
  <c r="N36" i="22"/>
  <c r="O36" i="22" s="1"/>
  <c r="Z35" i="22"/>
  <c r="AA35" i="22" s="1"/>
  <c r="V35" i="22"/>
  <c r="W35" i="22" s="1"/>
  <c r="N35" i="22"/>
  <c r="O35" i="22" s="1"/>
  <c r="Z34" i="22"/>
  <c r="AA34" i="22" s="1"/>
  <c r="V34" i="22"/>
  <c r="W34" i="22" s="1"/>
  <c r="N34" i="22"/>
  <c r="O34" i="22" s="1"/>
  <c r="Z33" i="22"/>
  <c r="AA33" i="22" s="1"/>
  <c r="V33" i="22"/>
  <c r="W33" i="22" s="1"/>
  <c r="N33" i="22"/>
  <c r="O33" i="22" s="1"/>
  <c r="Z32" i="22"/>
  <c r="AA32" i="22" s="1"/>
  <c r="V32" i="22"/>
  <c r="W32" i="22" s="1"/>
  <c r="R32" i="22"/>
  <c r="S32" i="22" s="1"/>
  <c r="N32" i="22"/>
  <c r="O32" i="22" s="1"/>
  <c r="R31" i="22"/>
  <c r="S31" i="22" s="1"/>
  <c r="N31" i="22"/>
  <c r="O31" i="22" s="1"/>
  <c r="Z30" i="22"/>
  <c r="AA30" i="22" s="1"/>
  <c r="V30" i="22"/>
  <c r="W30" i="22" s="1"/>
  <c r="R30" i="22"/>
  <c r="S30" i="22" s="1"/>
  <c r="N30" i="22"/>
  <c r="O30" i="22" s="1"/>
  <c r="Z29" i="22"/>
  <c r="AA29" i="22" s="1"/>
  <c r="V29" i="22"/>
  <c r="W29" i="22" s="1"/>
  <c r="R29" i="22"/>
  <c r="S29" i="22" s="1"/>
  <c r="N29" i="22"/>
  <c r="O29" i="22" s="1"/>
  <c r="Z28" i="22"/>
  <c r="AA28" i="22" s="1"/>
  <c r="V28" i="22"/>
  <c r="W28" i="22" s="1"/>
  <c r="R28" i="22"/>
  <c r="S28" i="22" s="1"/>
  <c r="N28" i="22"/>
  <c r="O28" i="22" s="1"/>
  <c r="Z27" i="22"/>
  <c r="AA27" i="22" s="1"/>
  <c r="V27" i="22"/>
  <c r="W27" i="22" s="1"/>
  <c r="R27" i="22"/>
  <c r="S27" i="22" s="1"/>
  <c r="N27" i="22"/>
  <c r="O27" i="22" s="1"/>
  <c r="Z26" i="22"/>
  <c r="AA26" i="22" s="1"/>
  <c r="V26" i="22"/>
  <c r="W26" i="22" s="1"/>
  <c r="R26" i="22"/>
  <c r="S26" i="22" s="1"/>
  <c r="N26" i="22"/>
  <c r="O26" i="22" s="1"/>
  <c r="N25" i="22"/>
  <c r="O25" i="22" s="1"/>
  <c r="Z24" i="22"/>
  <c r="AA24" i="22" s="1"/>
  <c r="V24" i="22"/>
  <c r="W24" i="22" s="1"/>
  <c r="R24" i="22"/>
  <c r="S24" i="22" s="1"/>
  <c r="N24" i="22"/>
  <c r="O24" i="22" s="1"/>
  <c r="Z23" i="22"/>
  <c r="AA23" i="22" s="1"/>
  <c r="V23" i="22"/>
  <c r="W23" i="22" s="1"/>
  <c r="R23" i="22"/>
  <c r="S23" i="22" s="1"/>
  <c r="N23" i="22"/>
  <c r="O23" i="22" s="1"/>
  <c r="Z22" i="22"/>
  <c r="AA22" i="22" s="1"/>
  <c r="V22" i="22"/>
  <c r="W22" i="22" s="1"/>
  <c r="R22" i="22"/>
  <c r="S22" i="22" s="1"/>
  <c r="N22" i="22"/>
  <c r="O22" i="22" s="1"/>
  <c r="Z21" i="22"/>
  <c r="AA21" i="22" s="1"/>
  <c r="V21" i="22"/>
  <c r="W21" i="22" s="1"/>
  <c r="R21" i="22"/>
  <c r="S21" i="22" s="1"/>
  <c r="N21" i="22"/>
  <c r="O21" i="22" s="1"/>
  <c r="Z20" i="22"/>
  <c r="AA20" i="22" s="1"/>
  <c r="V20" i="22"/>
  <c r="W20" i="22" s="1"/>
  <c r="R20" i="22"/>
  <c r="S20" i="22" s="1"/>
  <c r="N20" i="22"/>
  <c r="N37" i="22" s="1"/>
  <c r="O37" i="22" s="1"/>
  <c r="R19" i="22"/>
  <c r="S19" i="22" s="1"/>
  <c r="Z18" i="22"/>
  <c r="AA18" i="22" s="1"/>
  <c r="V18" i="22"/>
  <c r="W18" i="22" s="1"/>
  <c r="R18" i="22"/>
  <c r="S18" i="22" s="1"/>
  <c r="N18" i="22"/>
  <c r="O18" i="22" s="1"/>
  <c r="Z17" i="22"/>
  <c r="AA17" i="22" s="1"/>
  <c r="V17" i="22"/>
  <c r="W17" i="22" s="1"/>
  <c r="N17" i="22"/>
  <c r="O17" i="22" s="1"/>
  <c r="Z16" i="22"/>
  <c r="AA16" i="22" s="1"/>
  <c r="V16" i="22"/>
  <c r="W16" i="22" s="1"/>
  <c r="R16" i="22"/>
  <c r="S16" i="22" s="1"/>
  <c r="N16" i="22"/>
  <c r="O16" i="22" s="1"/>
  <c r="Z15" i="22"/>
  <c r="AA15" i="22" s="1"/>
  <c r="V15" i="22"/>
  <c r="W15" i="22" s="1"/>
  <c r="R15" i="22"/>
  <c r="S15" i="22" s="1"/>
  <c r="N15" i="22"/>
  <c r="O15" i="22" s="1"/>
  <c r="J15" i="22"/>
  <c r="K15" i="22" s="1"/>
  <c r="Z14" i="22"/>
  <c r="AA14" i="22" s="1"/>
  <c r="V14" i="22"/>
  <c r="V19" i="22" s="1"/>
  <c r="W19" i="22" s="1"/>
  <c r="R14" i="22"/>
  <c r="S14" i="22" s="1"/>
  <c r="N14" i="22"/>
  <c r="O14" i="22" s="1"/>
  <c r="J14" i="22"/>
  <c r="K14" i="22" s="1"/>
  <c r="R13" i="22"/>
  <c r="S13" i="22" s="1"/>
  <c r="N13" i="22"/>
  <c r="O13" i="22" s="1"/>
  <c r="J13" i="22"/>
  <c r="K13" i="22" s="1"/>
  <c r="Z12" i="22"/>
  <c r="AA12" i="22" s="1"/>
  <c r="V12" i="22"/>
  <c r="W12" i="22" s="1"/>
  <c r="R12" i="22"/>
  <c r="S12" i="22" s="1"/>
  <c r="N12" i="22"/>
  <c r="O12" i="22" s="1"/>
  <c r="J12" i="22"/>
  <c r="K12" i="22" s="1"/>
  <c r="Z11" i="22"/>
  <c r="AA11" i="22" s="1"/>
  <c r="V11" i="22"/>
  <c r="W11" i="22" s="1"/>
  <c r="R11" i="22"/>
  <c r="S11" i="22" s="1"/>
  <c r="N11" i="22"/>
  <c r="O11" i="22" s="1"/>
  <c r="Z10" i="22"/>
  <c r="AA10" i="22" s="1"/>
  <c r="V10" i="22"/>
  <c r="W10" i="22" s="1"/>
  <c r="R10" i="22"/>
  <c r="S10" i="22" s="1"/>
  <c r="N10" i="22"/>
  <c r="O10" i="22" s="1"/>
  <c r="J10" i="22"/>
  <c r="K10" i="22" s="1"/>
  <c r="Z9" i="22"/>
  <c r="AA9" i="22" s="1"/>
  <c r="V9" i="22"/>
  <c r="W9" i="22" s="1"/>
  <c r="N9" i="22"/>
  <c r="O9" i="22" s="1"/>
  <c r="J9" i="22"/>
  <c r="K9" i="22" s="1"/>
  <c r="Z8" i="22"/>
  <c r="AA8" i="22" s="1"/>
  <c r="V8" i="22"/>
  <c r="W8" i="22" s="1"/>
  <c r="R8" i="22"/>
  <c r="S8" i="22" s="1"/>
  <c r="N8" i="22"/>
  <c r="O8" i="22" s="1"/>
  <c r="J8" i="22"/>
  <c r="K8" i="22" s="1"/>
  <c r="R7" i="22"/>
  <c r="S7" i="22" s="1"/>
  <c r="N7" i="22"/>
  <c r="O7" i="22" s="1"/>
  <c r="J7" i="22"/>
  <c r="K7" i="22" s="1"/>
  <c r="Z6" i="22"/>
  <c r="AA6" i="22" s="1"/>
  <c r="V6" i="22"/>
  <c r="W6" i="22" s="1"/>
  <c r="R6" i="22"/>
  <c r="S6" i="22" s="1"/>
  <c r="N6" i="22"/>
  <c r="O6" i="22" s="1"/>
  <c r="Z5" i="22"/>
  <c r="AA5" i="22" s="1"/>
  <c r="V5" i="22"/>
  <c r="W5" i="22" s="1"/>
  <c r="R5" i="22"/>
  <c r="S5" i="22" s="1"/>
  <c r="N5" i="22"/>
  <c r="O5" i="22" s="1"/>
  <c r="J5" i="22"/>
  <c r="K5" i="22" s="1"/>
  <c r="Z4" i="22"/>
  <c r="AA4" i="22" s="1"/>
  <c r="V4" i="22"/>
  <c r="W4" i="22" s="1"/>
  <c r="R4" i="22"/>
  <c r="S4" i="22" s="1"/>
  <c r="N4" i="22"/>
  <c r="O4" i="22" s="1"/>
  <c r="K4" i="22"/>
  <c r="Z3" i="22"/>
  <c r="AA3" i="22" s="1"/>
  <c r="V3" i="22"/>
  <c r="W3" i="22" s="1"/>
  <c r="R3" i="22"/>
  <c r="S3" i="22" s="1"/>
  <c r="N3" i="22"/>
  <c r="O3" i="22" s="1"/>
  <c r="J3" i="22"/>
  <c r="K3" i="22" s="1"/>
  <c r="Z2" i="22"/>
  <c r="Z7" i="22" s="1"/>
  <c r="AA7" i="22" s="1"/>
  <c r="V2" i="22"/>
  <c r="V7" i="22" s="1"/>
  <c r="W7" i="22" s="1"/>
  <c r="R2" i="22"/>
  <c r="S2" i="22" s="1"/>
  <c r="N2" i="22"/>
  <c r="O2" i="22" s="1"/>
  <c r="K2" i="22"/>
  <c r="AC2" i="22"/>
  <c r="AC425" i="22"/>
  <c r="AC424" i="22"/>
  <c r="AC423" i="22"/>
  <c r="AC416" i="22"/>
  <c r="AC415" i="22"/>
  <c r="AC413" i="22"/>
  <c r="AC412" i="22"/>
  <c r="AC411" i="22"/>
  <c r="AC404" i="22"/>
  <c r="AC403" i="22"/>
  <c r="AC401" i="22"/>
  <c r="AC400" i="22"/>
  <c r="AC399" i="22"/>
  <c r="AC392" i="22"/>
  <c r="AC391" i="22"/>
  <c r="AC389" i="22"/>
  <c r="AC388" i="22"/>
  <c r="AC387" i="22"/>
  <c r="AC380" i="22"/>
  <c r="AC379" i="22"/>
  <c r="AC377" i="22"/>
  <c r="AC376" i="22"/>
  <c r="AC375" i="22"/>
  <c r="AC368" i="22"/>
  <c r="AC367" i="22"/>
  <c r="AC365" i="22"/>
  <c r="AC364" i="22"/>
  <c r="AC363" i="22"/>
  <c r="AC356" i="22"/>
  <c r="AC355" i="22"/>
  <c r="AC353" i="22"/>
  <c r="AC352" i="22"/>
  <c r="AC351" i="22"/>
  <c r="AC344" i="22"/>
  <c r="AC343" i="22"/>
  <c r="AC340" i="22"/>
  <c r="AC339" i="22"/>
  <c r="AC338" i="22"/>
  <c r="AC331" i="22"/>
  <c r="AC330" i="22"/>
  <c r="AC328" i="22"/>
  <c r="AC327" i="22"/>
  <c r="AC326" i="22"/>
  <c r="AC319" i="22"/>
  <c r="AC318" i="22"/>
  <c r="AC316" i="22"/>
  <c r="AC315" i="22"/>
  <c r="AC314" i="22"/>
  <c r="AC307" i="22"/>
  <c r="AC306" i="22"/>
  <c r="AC304" i="22"/>
  <c r="AC303" i="22"/>
  <c r="AC302" i="22"/>
  <c r="AC295" i="22"/>
  <c r="AC294" i="22"/>
  <c r="AC292" i="22"/>
  <c r="AC291" i="22"/>
  <c r="AC290" i="22"/>
  <c r="AC283" i="22"/>
  <c r="AC282" i="22"/>
  <c r="AC280" i="22"/>
  <c r="AC279" i="22"/>
  <c r="AC278" i="22"/>
  <c r="AC271" i="22"/>
  <c r="AC270" i="22"/>
  <c r="AC268" i="22"/>
  <c r="AC267" i="22"/>
  <c r="AC266" i="22"/>
  <c r="AC259" i="22"/>
  <c r="AC258" i="22"/>
  <c r="AC255" i="22"/>
  <c r="AC254" i="22"/>
  <c r="AC253" i="22"/>
  <c r="AC246" i="22"/>
  <c r="AC245" i="22"/>
  <c r="AC243" i="22"/>
  <c r="AC242" i="22"/>
  <c r="AC241" i="22"/>
  <c r="AC234" i="22"/>
  <c r="AC233" i="22"/>
  <c r="AC231" i="22"/>
  <c r="AC230" i="22"/>
  <c r="AC229" i="22"/>
  <c r="AC222" i="22"/>
  <c r="AC221" i="22"/>
  <c r="AC219" i="22"/>
  <c r="AC218" i="22"/>
  <c r="AC217" i="22"/>
  <c r="AC210" i="22"/>
  <c r="AC209" i="22"/>
  <c r="AC207" i="22"/>
  <c r="AC206" i="22"/>
  <c r="AC205" i="22"/>
  <c r="AC198" i="22"/>
  <c r="AC197" i="22"/>
  <c r="AC195" i="22"/>
  <c r="AC194" i="22"/>
  <c r="AC193" i="22"/>
  <c r="AC186" i="22"/>
  <c r="AC185" i="22"/>
  <c r="AC183" i="22"/>
  <c r="AC182" i="22"/>
  <c r="AC181" i="22"/>
  <c r="AC174" i="22"/>
  <c r="AC173" i="22"/>
  <c r="AC170" i="22"/>
  <c r="AC169" i="22"/>
  <c r="AC168" i="22"/>
  <c r="AC161" i="22"/>
  <c r="AC160" i="22"/>
  <c r="AC158" i="22"/>
  <c r="AC157" i="22"/>
  <c r="AC156" i="22"/>
  <c r="AC149" i="22"/>
  <c r="AC148" i="22"/>
  <c r="AC146" i="22"/>
  <c r="AC145" i="22"/>
  <c r="AC144" i="22"/>
  <c r="AC137" i="22"/>
  <c r="AC136" i="22"/>
  <c r="AC134" i="22"/>
  <c r="AC133" i="22"/>
  <c r="AC132" i="22"/>
  <c r="AC125" i="22"/>
  <c r="AC124" i="22"/>
  <c r="AC122" i="22"/>
  <c r="AC121" i="22"/>
  <c r="AC120" i="22"/>
  <c r="AC113" i="22"/>
  <c r="AC112" i="22"/>
  <c r="AC110" i="22"/>
  <c r="AC109" i="22"/>
  <c r="AC108" i="22"/>
  <c r="AC101" i="22"/>
  <c r="AC100" i="22"/>
  <c r="AC98" i="22"/>
  <c r="AC97" i="22"/>
  <c r="AC96" i="22"/>
  <c r="AC89" i="22"/>
  <c r="AC88" i="22"/>
  <c r="AC85" i="22"/>
  <c r="AC84" i="22"/>
  <c r="AC83" i="22"/>
  <c r="AC76" i="22"/>
  <c r="AC75" i="22"/>
  <c r="AC73" i="22"/>
  <c r="AC72" i="22"/>
  <c r="AC71" i="22"/>
  <c r="AC64" i="22"/>
  <c r="AC63" i="22"/>
  <c r="AC61" i="22"/>
  <c r="AC60" i="22"/>
  <c r="AC59" i="22"/>
  <c r="AC52" i="22"/>
  <c r="AC51" i="22"/>
  <c r="AC49" i="22"/>
  <c r="AC48" i="22"/>
  <c r="AC47" i="22"/>
  <c r="AC40" i="22"/>
  <c r="AC39" i="22"/>
  <c r="AC37" i="22"/>
  <c r="AC36" i="22"/>
  <c r="AC35" i="22"/>
  <c r="AC28" i="22"/>
  <c r="AC27" i="22"/>
  <c r="AC25" i="22"/>
  <c r="AC24" i="22"/>
  <c r="AC23" i="22"/>
  <c r="AC16" i="22"/>
  <c r="AC15" i="22"/>
  <c r="AC13" i="22"/>
  <c r="AC12" i="22"/>
  <c r="AC11" i="22"/>
  <c r="AC4" i="22"/>
  <c r="AC3" i="22"/>
  <c r="F13" i="22"/>
  <c r="F15" i="22"/>
  <c r="F19" i="22"/>
  <c r="F22" i="22"/>
  <c r="F24" i="22"/>
  <c r="F27" i="22"/>
  <c r="F31" i="22"/>
  <c r="F37" i="22"/>
  <c r="F40" i="22"/>
  <c r="F43" i="22"/>
  <c r="F45" i="22"/>
  <c r="F49" i="22"/>
  <c r="F55" i="22"/>
  <c r="F59" i="22"/>
  <c r="F61" i="22"/>
  <c r="F63" i="22"/>
  <c r="F64" i="22"/>
  <c r="F77" i="22"/>
  <c r="F79" i="22"/>
  <c r="F83" i="22"/>
  <c r="F86" i="22"/>
  <c r="F88" i="22"/>
  <c r="F91" i="22"/>
  <c r="F95" i="22"/>
  <c r="F101" i="22"/>
  <c r="F104" i="22"/>
  <c r="F107" i="22"/>
  <c r="F109" i="22"/>
  <c r="F113" i="22"/>
  <c r="F119" i="22"/>
  <c r="F123" i="22"/>
  <c r="F125" i="22"/>
  <c r="F127" i="22"/>
  <c r="F128" i="22"/>
  <c r="F141" i="22"/>
  <c r="F143" i="22"/>
  <c r="F147" i="22"/>
  <c r="F150" i="22"/>
  <c r="F152" i="22"/>
  <c r="F155" i="22"/>
  <c r="F159" i="22"/>
  <c r="F165" i="22"/>
  <c r="F168" i="22"/>
  <c r="F171" i="22"/>
  <c r="F173" i="22"/>
  <c r="F177" i="22"/>
  <c r="F183" i="22"/>
  <c r="F187" i="22"/>
  <c r="F189" i="22"/>
  <c r="F191" i="22"/>
  <c r="F192" i="22"/>
  <c r="F205" i="22"/>
  <c r="F207" i="22"/>
  <c r="F211" i="22"/>
  <c r="F214" i="22"/>
  <c r="F216" i="22"/>
  <c r="F219" i="22"/>
  <c r="F223" i="22"/>
  <c r="F229" i="22"/>
  <c r="F232" i="22"/>
  <c r="F235" i="22"/>
  <c r="F237" i="22"/>
  <c r="F241" i="22"/>
  <c r="F247" i="22"/>
  <c r="F251" i="22"/>
  <c r="F253" i="22"/>
  <c r="F255" i="22"/>
  <c r="F256" i="22"/>
  <c r="E3" i="22"/>
  <c r="F3" i="22" s="1"/>
  <c r="E4" i="22"/>
  <c r="F4" i="22" s="1"/>
  <c r="E5" i="22"/>
  <c r="F5" i="22" s="1"/>
  <c r="E6" i="22"/>
  <c r="F6" i="22" s="1"/>
  <c r="E7" i="22"/>
  <c r="F7" i="22" s="1"/>
  <c r="E8" i="22"/>
  <c r="F8" i="22" s="1"/>
  <c r="E9" i="22"/>
  <c r="F9" i="22" s="1"/>
  <c r="E10" i="22"/>
  <c r="F10" i="22" s="1"/>
  <c r="E11" i="22"/>
  <c r="F11" i="22" s="1"/>
  <c r="E12" i="22"/>
  <c r="F12" i="22" s="1"/>
  <c r="E13" i="22"/>
  <c r="E14" i="22"/>
  <c r="F14" i="22" s="1"/>
  <c r="E15" i="22"/>
  <c r="E16" i="22"/>
  <c r="F16" i="22" s="1"/>
  <c r="E17" i="22"/>
  <c r="F17" i="22" s="1"/>
  <c r="E18" i="22"/>
  <c r="F18" i="22" s="1"/>
  <c r="E19" i="22"/>
  <c r="E20" i="22"/>
  <c r="F20" i="22" s="1"/>
  <c r="E21" i="22"/>
  <c r="F21" i="22" s="1"/>
  <c r="E22" i="22"/>
  <c r="E23" i="22"/>
  <c r="F23" i="22" s="1"/>
  <c r="E24" i="22"/>
  <c r="E25" i="22"/>
  <c r="F25" i="22" s="1"/>
  <c r="E26" i="22"/>
  <c r="F26" i="22" s="1"/>
  <c r="E27" i="22"/>
  <c r="E28" i="22"/>
  <c r="F28" i="22" s="1"/>
  <c r="E29" i="22"/>
  <c r="F29" i="22" s="1"/>
  <c r="E30" i="22"/>
  <c r="F30" i="22" s="1"/>
  <c r="E31" i="22"/>
  <c r="E32" i="22"/>
  <c r="F32" i="22" s="1"/>
  <c r="E33" i="22"/>
  <c r="F33" i="22" s="1"/>
  <c r="E34" i="22"/>
  <c r="F34" i="22" s="1"/>
  <c r="E35" i="22"/>
  <c r="F35" i="22" s="1"/>
  <c r="E36" i="22"/>
  <c r="F36" i="22" s="1"/>
  <c r="E37" i="22"/>
  <c r="E38" i="22"/>
  <c r="F38" i="22" s="1"/>
  <c r="E39" i="22"/>
  <c r="F39" i="22" s="1"/>
  <c r="E40" i="22"/>
  <c r="E41" i="22"/>
  <c r="F41" i="22" s="1"/>
  <c r="E42" i="22"/>
  <c r="F42" i="22" s="1"/>
  <c r="E43" i="22"/>
  <c r="E44" i="22"/>
  <c r="F44" i="22" s="1"/>
  <c r="E45" i="22"/>
  <c r="E46" i="22"/>
  <c r="F46" i="22" s="1"/>
  <c r="E47" i="22"/>
  <c r="F47" i="22" s="1"/>
  <c r="E48" i="22"/>
  <c r="F48" i="22" s="1"/>
  <c r="E49" i="22"/>
  <c r="E50" i="22"/>
  <c r="F50" i="22" s="1"/>
  <c r="E51" i="22"/>
  <c r="F51" i="22" s="1"/>
  <c r="E52" i="22"/>
  <c r="F52" i="22" s="1"/>
  <c r="E53" i="22"/>
  <c r="F53" i="22" s="1"/>
  <c r="E54" i="22"/>
  <c r="F54" i="22" s="1"/>
  <c r="E55" i="22"/>
  <c r="E56" i="22"/>
  <c r="F56" i="22" s="1"/>
  <c r="E57" i="22"/>
  <c r="F57" i="22" s="1"/>
  <c r="E58" i="22"/>
  <c r="F58" i="22" s="1"/>
  <c r="E59" i="22"/>
  <c r="E60" i="22"/>
  <c r="F60" i="22" s="1"/>
  <c r="E61" i="22"/>
  <c r="E62" i="22"/>
  <c r="F62" i="22" s="1"/>
  <c r="E63" i="22"/>
  <c r="E64" i="22"/>
  <c r="E65" i="22"/>
  <c r="F65" i="22" s="1"/>
  <c r="E66" i="22"/>
  <c r="F66" i="22" s="1"/>
  <c r="E67" i="22"/>
  <c r="F67" i="22" s="1"/>
  <c r="E68" i="22"/>
  <c r="F68" i="22" s="1"/>
  <c r="E69" i="22"/>
  <c r="F69" i="22" s="1"/>
  <c r="E70" i="22"/>
  <c r="F70" i="22" s="1"/>
  <c r="E71" i="22"/>
  <c r="F71" i="22" s="1"/>
  <c r="E72" i="22"/>
  <c r="F72" i="22" s="1"/>
  <c r="E73" i="22"/>
  <c r="F73" i="22" s="1"/>
  <c r="E74" i="22"/>
  <c r="F74" i="22" s="1"/>
  <c r="E75" i="22"/>
  <c r="F75" i="22" s="1"/>
  <c r="E76" i="22"/>
  <c r="F76" i="22" s="1"/>
  <c r="E77" i="22"/>
  <c r="E78" i="22"/>
  <c r="F78" i="22" s="1"/>
  <c r="E79" i="22"/>
  <c r="E80" i="22"/>
  <c r="F80" i="22" s="1"/>
  <c r="E81" i="22"/>
  <c r="F81" i="22" s="1"/>
  <c r="E82" i="22"/>
  <c r="F82" i="22" s="1"/>
  <c r="E83" i="22"/>
  <c r="E84" i="22"/>
  <c r="F84" i="22" s="1"/>
  <c r="E85" i="22"/>
  <c r="F85" i="22" s="1"/>
  <c r="E86" i="22"/>
  <c r="E87" i="22"/>
  <c r="F87" i="22" s="1"/>
  <c r="E88" i="22"/>
  <c r="E89" i="22"/>
  <c r="F89" i="22" s="1"/>
  <c r="E90" i="22"/>
  <c r="F90" i="22" s="1"/>
  <c r="E91" i="22"/>
  <c r="E92" i="22"/>
  <c r="F92" i="22" s="1"/>
  <c r="E93" i="22"/>
  <c r="F93" i="22" s="1"/>
  <c r="E94" i="22"/>
  <c r="F94" i="22" s="1"/>
  <c r="E95" i="22"/>
  <c r="E96" i="22"/>
  <c r="F96" i="22" s="1"/>
  <c r="E97" i="22"/>
  <c r="F97" i="22" s="1"/>
  <c r="E98" i="22"/>
  <c r="F98" i="22" s="1"/>
  <c r="E99" i="22"/>
  <c r="F99" i="22" s="1"/>
  <c r="E100" i="22"/>
  <c r="F100" i="22" s="1"/>
  <c r="E101" i="22"/>
  <c r="E102" i="22"/>
  <c r="F102" i="22" s="1"/>
  <c r="E103" i="22"/>
  <c r="F103" i="22" s="1"/>
  <c r="E104" i="22"/>
  <c r="E105" i="22"/>
  <c r="F105" i="22" s="1"/>
  <c r="E106" i="22"/>
  <c r="F106" i="22" s="1"/>
  <c r="E107" i="22"/>
  <c r="E108" i="22"/>
  <c r="F108" i="22" s="1"/>
  <c r="E109" i="22"/>
  <c r="E110" i="22"/>
  <c r="F110" i="22" s="1"/>
  <c r="E111" i="22"/>
  <c r="F111" i="22" s="1"/>
  <c r="E112" i="22"/>
  <c r="F112" i="22" s="1"/>
  <c r="E113" i="22"/>
  <c r="E114" i="22"/>
  <c r="F114" i="22" s="1"/>
  <c r="E115" i="22"/>
  <c r="F115" i="22" s="1"/>
  <c r="E116" i="22"/>
  <c r="F116" i="22" s="1"/>
  <c r="E117" i="22"/>
  <c r="F117" i="22" s="1"/>
  <c r="E118" i="22"/>
  <c r="F118" i="22" s="1"/>
  <c r="E119" i="22"/>
  <c r="E120" i="22"/>
  <c r="F120" i="22" s="1"/>
  <c r="E121" i="22"/>
  <c r="F121" i="22" s="1"/>
  <c r="E122" i="22"/>
  <c r="F122" i="22" s="1"/>
  <c r="E123" i="22"/>
  <c r="E124" i="22"/>
  <c r="F124" i="22" s="1"/>
  <c r="E125" i="22"/>
  <c r="E126" i="22"/>
  <c r="F126" i="22" s="1"/>
  <c r="E127" i="22"/>
  <c r="E128" i="22"/>
  <c r="E129" i="22"/>
  <c r="F129" i="22" s="1"/>
  <c r="E130" i="22"/>
  <c r="F130" i="22" s="1"/>
  <c r="E131" i="22"/>
  <c r="F131" i="22" s="1"/>
  <c r="E132" i="22"/>
  <c r="F132" i="22" s="1"/>
  <c r="E133" i="22"/>
  <c r="F133" i="22" s="1"/>
  <c r="E134" i="22"/>
  <c r="F134" i="22" s="1"/>
  <c r="E135" i="22"/>
  <c r="F135" i="22" s="1"/>
  <c r="E136" i="22"/>
  <c r="F136" i="22" s="1"/>
  <c r="E137" i="22"/>
  <c r="F137" i="22" s="1"/>
  <c r="E138" i="22"/>
  <c r="F138" i="22" s="1"/>
  <c r="E139" i="22"/>
  <c r="F139" i="22" s="1"/>
  <c r="E140" i="22"/>
  <c r="F140" i="22" s="1"/>
  <c r="E141" i="22"/>
  <c r="E142" i="22"/>
  <c r="F142" i="22" s="1"/>
  <c r="E143" i="22"/>
  <c r="E144" i="22"/>
  <c r="F144" i="22" s="1"/>
  <c r="E145" i="22"/>
  <c r="F145" i="22" s="1"/>
  <c r="E146" i="22"/>
  <c r="F146" i="22" s="1"/>
  <c r="E147" i="22"/>
  <c r="E148" i="22"/>
  <c r="F148" i="22" s="1"/>
  <c r="E149" i="22"/>
  <c r="F149" i="22" s="1"/>
  <c r="E150" i="22"/>
  <c r="E151" i="22"/>
  <c r="F151" i="22" s="1"/>
  <c r="E152" i="22"/>
  <c r="E153" i="22"/>
  <c r="F153" i="22" s="1"/>
  <c r="E154" i="22"/>
  <c r="F154" i="22" s="1"/>
  <c r="E155" i="22"/>
  <c r="E156" i="22"/>
  <c r="F156" i="22" s="1"/>
  <c r="E157" i="22"/>
  <c r="F157" i="22" s="1"/>
  <c r="E158" i="22"/>
  <c r="F158" i="22" s="1"/>
  <c r="E159" i="22"/>
  <c r="E160" i="22"/>
  <c r="F160" i="22" s="1"/>
  <c r="E161" i="22"/>
  <c r="F161" i="22" s="1"/>
  <c r="E162" i="22"/>
  <c r="F162" i="22" s="1"/>
  <c r="E163" i="22"/>
  <c r="F163" i="22" s="1"/>
  <c r="E164" i="22"/>
  <c r="F164" i="22" s="1"/>
  <c r="E165" i="22"/>
  <c r="E166" i="22"/>
  <c r="F166" i="22" s="1"/>
  <c r="E167" i="22"/>
  <c r="F167" i="22" s="1"/>
  <c r="E168" i="22"/>
  <c r="E169" i="22"/>
  <c r="F169" i="22" s="1"/>
  <c r="E170" i="22"/>
  <c r="F170" i="22" s="1"/>
  <c r="E171" i="22"/>
  <c r="E172" i="22"/>
  <c r="F172" i="22" s="1"/>
  <c r="E173" i="22"/>
  <c r="E174" i="22"/>
  <c r="F174" i="22" s="1"/>
  <c r="E175" i="22"/>
  <c r="F175" i="22" s="1"/>
  <c r="E176" i="22"/>
  <c r="F176" i="22" s="1"/>
  <c r="E177" i="22"/>
  <c r="E178" i="22"/>
  <c r="F178" i="22" s="1"/>
  <c r="E179" i="22"/>
  <c r="F179" i="22" s="1"/>
  <c r="E180" i="22"/>
  <c r="F180" i="22" s="1"/>
  <c r="E181" i="22"/>
  <c r="F181" i="22" s="1"/>
  <c r="E182" i="22"/>
  <c r="F182" i="22" s="1"/>
  <c r="E183" i="22"/>
  <c r="E184" i="22"/>
  <c r="F184" i="22" s="1"/>
  <c r="E185" i="22"/>
  <c r="F185" i="22" s="1"/>
  <c r="E186" i="22"/>
  <c r="F186" i="22" s="1"/>
  <c r="E187" i="22"/>
  <c r="E188" i="22"/>
  <c r="F188" i="22" s="1"/>
  <c r="E189" i="22"/>
  <c r="E190" i="22"/>
  <c r="F190" i="22" s="1"/>
  <c r="E191" i="22"/>
  <c r="E192" i="22"/>
  <c r="E193" i="22"/>
  <c r="F193" i="22" s="1"/>
  <c r="E194" i="22"/>
  <c r="F194" i="22" s="1"/>
  <c r="E195" i="22"/>
  <c r="F195" i="22" s="1"/>
  <c r="E196" i="22"/>
  <c r="F196" i="22" s="1"/>
  <c r="E197" i="22"/>
  <c r="F197" i="22" s="1"/>
  <c r="E198" i="22"/>
  <c r="F198" i="22" s="1"/>
  <c r="E199" i="22"/>
  <c r="F199" i="22" s="1"/>
  <c r="E200" i="22"/>
  <c r="F200" i="22" s="1"/>
  <c r="E201" i="22"/>
  <c r="F201" i="22" s="1"/>
  <c r="E202" i="22"/>
  <c r="F202" i="22" s="1"/>
  <c r="E203" i="22"/>
  <c r="F203" i="22" s="1"/>
  <c r="E204" i="22"/>
  <c r="F204" i="22" s="1"/>
  <c r="E205" i="22"/>
  <c r="E206" i="22"/>
  <c r="F206" i="22" s="1"/>
  <c r="E207" i="22"/>
  <c r="E208" i="22"/>
  <c r="F208" i="22" s="1"/>
  <c r="E209" i="22"/>
  <c r="F209" i="22" s="1"/>
  <c r="E210" i="22"/>
  <c r="F210" i="22" s="1"/>
  <c r="E211" i="22"/>
  <c r="E212" i="22"/>
  <c r="F212" i="22" s="1"/>
  <c r="E213" i="22"/>
  <c r="F213" i="22" s="1"/>
  <c r="E214" i="22"/>
  <c r="E215" i="22"/>
  <c r="F215" i="22" s="1"/>
  <c r="E216" i="22"/>
  <c r="E217" i="22"/>
  <c r="F217" i="22" s="1"/>
  <c r="E218" i="22"/>
  <c r="F218" i="22" s="1"/>
  <c r="E219" i="22"/>
  <c r="E220" i="22"/>
  <c r="F220" i="22" s="1"/>
  <c r="E221" i="22"/>
  <c r="F221" i="22" s="1"/>
  <c r="E222" i="22"/>
  <c r="F222" i="22" s="1"/>
  <c r="E223" i="22"/>
  <c r="E224" i="22"/>
  <c r="F224" i="22" s="1"/>
  <c r="E225" i="22"/>
  <c r="F225" i="22" s="1"/>
  <c r="E226" i="22"/>
  <c r="F226" i="22" s="1"/>
  <c r="E227" i="22"/>
  <c r="F227" i="22" s="1"/>
  <c r="E228" i="22"/>
  <c r="F228" i="22" s="1"/>
  <c r="E229" i="22"/>
  <c r="E230" i="22"/>
  <c r="F230" i="22" s="1"/>
  <c r="E231" i="22"/>
  <c r="F231" i="22" s="1"/>
  <c r="E232" i="22"/>
  <c r="E233" i="22"/>
  <c r="F233" i="22" s="1"/>
  <c r="E234" i="22"/>
  <c r="F234" i="22" s="1"/>
  <c r="E235" i="22"/>
  <c r="E236" i="22"/>
  <c r="F236" i="22" s="1"/>
  <c r="E237" i="22"/>
  <c r="E238" i="22"/>
  <c r="F238" i="22" s="1"/>
  <c r="E239" i="22"/>
  <c r="F239" i="22" s="1"/>
  <c r="E240" i="22"/>
  <c r="F240" i="22" s="1"/>
  <c r="E241" i="22"/>
  <c r="E242" i="22"/>
  <c r="F242" i="22" s="1"/>
  <c r="E243" i="22"/>
  <c r="F243" i="22" s="1"/>
  <c r="E244" i="22"/>
  <c r="F244" i="22" s="1"/>
  <c r="E245" i="22"/>
  <c r="F245" i="22" s="1"/>
  <c r="E246" i="22"/>
  <c r="F246" i="22" s="1"/>
  <c r="E247" i="22"/>
  <c r="E248" i="22"/>
  <c r="F248" i="22" s="1"/>
  <c r="E249" i="22"/>
  <c r="F249" i="22" s="1"/>
  <c r="E250" i="22"/>
  <c r="F250" i="22" s="1"/>
  <c r="E251" i="22"/>
  <c r="E252" i="22"/>
  <c r="F252" i="22" s="1"/>
  <c r="E253" i="22"/>
  <c r="E254" i="22"/>
  <c r="F254" i="22" s="1"/>
  <c r="E255" i="22"/>
  <c r="E256" i="22"/>
  <c r="E257" i="22"/>
  <c r="F257" i="22" s="1"/>
  <c r="E258" i="22"/>
  <c r="F258" i="22" s="1"/>
  <c r="E259" i="22"/>
  <c r="F259" i="22" s="1"/>
  <c r="E260" i="22"/>
  <c r="F260" i="22" s="1"/>
  <c r="E261" i="22"/>
  <c r="F261" i="22" s="1"/>
  <c r="E262" i="22"/>
  <c r="F262" i="22" s="1"/>
  <c r="E263" i="22"/>
  <c r="F263" i="22" s="1"/>
  <c r="E264" i="22"/>
  <c r="F264" i="22" s="1"/>
  <c r="E265" i="22"/>
  <c r="F265" i="22" s="1"/>
  <c r="E266" i="22"/>
  <c r="F266" i="22" s="1"/>
  <c r="E267" i="22"/>
  <c r="F267" i="22" s="1"/>
  <c r="E268" i="22"/>
  <c r="F268" i="22" s="1"/>
  <c r="E269" i="22"/>
  <c r="F269" i="22" s="1"/>
  <c r="E270" i="22"/>
  <c r="F270" i="22" s="1"/>
  <c r="E271" i="22"/>
  <c r="F271" i="22" s="1"/>
  <c r="E272" i="22"/>
  <c r="F272" i="22" s="1"/>
  <c r="E273" i="22"/>
  <c r="F273" i="22" s="1"/>
  <c r="E274" i="22"/>
  <c r="F274" i="22" s="1"/>
  <c r="E275" i="22"/>
  <c r="F275" i="22" s="1"/>
  <c r="E276" i="22"/>
  <c r="F276" i="22" s="1"/>
  <c r="E277" i="22"/>
  <c r="F277" i="22" s="1"/>
  <c r="E278" i="22"/>
  <c r="F278" i="22" s="1"/>
  <c r="E279" i="22"/>
  <c r="F279" i="22" s="1"/>
  <c r="E280" i="22"/>
  <c r="F280" i="22" s="1"/>
  <c r="E281" i="22"/>
  <c r="F281" i="22" s="1"/>
  <c r="E282" i="22"/>
  <c r="F282" i="22" s="1"/>
  <c r="E283" i="22"/>
  <c r="F283" i="22" s="1"/>
  <c r="E284" i="22"/>
  <c r="F284" i="22" s="1"/>
  <c r="E285" i="22"/>
  <c r="F285" i="22" s="1"/>
  <c r="E286" i="22"/>
  <c r="F286" i="22" s="1"/>
  <c r="E287" i="22"/>
  <c r="F287" i="22" s="1"/>
  <c r="E288" i="22"/>
  <c r="F288" i="22" s="1"/>
  <c r="E289" i="22"/>
  <c r="F289" i="22" s="1"/>
  <c r="E290" i="22"/>
  <c r="F290" i="22" s="1"/>
  <c r="E291" i="22"/>
  <c r="F291" i="22" s="1"/>
  <c r="E292" i="22"/>
  <c r="F292" i="22" s="1"/>
  <c r="E293" i="22"/>
  <c r="F293" i="22" s="1"/>
  <c r="E294" i="22"/>
  <c r="F294" i="22" s="1"/>
  <c r="E295" i="22"/>
  <c r="F295" i="22" s="1"/>
  <c r="E296" i="22"/>
  <c r="F296" i="22" s="1"/>
  <c r="E297" i="22"/>
  <c r="F297" i="22" s="1"/>
  <c r="E298" i="22"/>
  <c r="F298" i="22" s="1"/>
  <c r="E299" i="22"/>
  <c r="F299" i="22" s="1"/>
  <c r="E300" i="22"/>
  <c r="F300" i="22" s="1"/>
  <c r="E301" i="22"/>
  <c r="F301" i="22" s="1"/>
  <c r="E302" i="22"/>
  <c r="F302" i="22" s="1"/>
  <c r="E303" i="22"/>
  <c r="F303" i="22" s="1"/>
  <c r="E304" i="22"/>
  <c r="F304" i="22" s="1"/>
  <c r="E305" i="22"/>
  <c r="F305" i="22" s="1"/>
  <c r="E306" i="22"/>
  <c r="F306" i="22" s="1"/>
  <c r="E307" i="22"/>
  <c r="F307" i="22" s="1"/>
  <c r="E308" i="22"/>
  <c r="F308" i="22" s="1"/>
  <c r="E309" i="22"/>
  <c r="F309" i="22" s="1"/>
  <c r="E310" i="22"/>
  <c r="F310" i="22" s="1"/>
  <c r="E311" i="22"/>
  <c r="F311" i="22" s="1"/>
  <c r="E312" i="22"/>
  <c r="F312" i="22" s="1"/>
  <c r="E313" i="22"/>
  <c r="F313" i="22" s="1"/>
  <c r="E314" i="22"/>
  <c r="F314" i="22" s="1"/>
  <c r="E315" i="22"/>
  <c r="F315" i="22" s="1"/>
  <c r="E316" i="22"/>
  <c r="F316" i="22" s="1"/>
  <c r="E317" i="22"/>
  <c r="F317" i="22" s="1"/>
  <c r="E318" i="22"/>
  <c r="F318" i="22" s="1"/>
  <c r="E319" i="22"/>
  <c r="F319" i="22" s="1"/>
  <c r="E320" i="22"/>
  <c r="F320" i="22" s="1"/>
  <c r="E321" i="22"/>
  <c r="F321" i="22" s="1"/>
  <c r="E322" i="22"/>
  <c r="F322" i="22" s="1"/>
  <c r="E323" i="22"/>
  <c r="F323" i="22" s="1"/>
  <c r="E324" i="22"/>
  <c r="F324" i="22" s="1"/>
  <c r="E325" i="22"/>
  <c r="F325" i="22" s="1"/>
  <c r="E326" i="22"/>
  <c r="F326" i="22" s="1"/>
  <c r="E327" i="22"/>
  <c r="F327" i="22" s="1"/>
  <c r="E328" i="22"/>
  <c r="F328" i="22" s="1"/>
  <c r="E329" i="22"/>
  <c r="F329" i="22" s="1"/>
  <c r="E330" i="22"/>
  <c r="F330" i="22" s="1"/>
  <c r="E331" i="22"/>
  <c r="F331" i="22" s="1"/>
  <c r="E332" i="22"/>
  <c r="F332" i="22" s="1"/>
  <c r="E333" i="22"/>
  <c r="F333" i="22" s="1"/>
  <c r="E334" i="22"/>
  <c r="F334" i="22" s="1"/>
  <c r="E335" i="22"/>
  <c r="F335" i="22" s="1"/>
  <c r="E336" i="22"/>
  <c r="F336" i="22" s="1"/>
  <c r="E337" i="22"/>
  <c r="F337" i="22" s="1"/>
  <c r="E338" i="22"/>
  <c r="F338" i="22" s="1"/>
  <c r="E339" i="22"/>
  <c r="F339" i="22" s="1"/>
  <c r="E340" i="22"/>
  <c r="F340" i="22" s="1"/>
  <c r="E341" i="22"/>
  <c r="F341" i="22" s="1"/>
  <c r="E342" i="22"/>
  <c r="F342" i="22" s="1"/>
  <c r="E343" i="22"/>
  <c r="F343" i="22" s="1"/>
  <c r="E344" i="22"/>
  <c r="F344" i="22" s="1"/>
  <c r="E345" i="22"/>
  <c r="F345" i="22" s="1"/>
  <c r="E346" i="22"/>
  <c r="F346" i="22" s="1"/>
  <c r="E347" i="22"/>
  <c r="F347" i="22" s="1"/>
  <c r="E348" i="22"/>
  <c r="F348" i="22" s="1"/>
  <c r="E349" i="22"/>
  <c r="F349" i="22" s="1"/>
  <c r="E350" i="22"/>
  <c r="F350" i="22" s="1"/>
  <c r="E351" i="22"/>
  <c r="F351" i="22" s="1"/>
  <c r="E352" i="22"/>
  <c r="F352" i="22" s="1"/>
  <c r="E353" i="22"/>
  <c r="F353" i="22" s="1"/>
  <c r="E354" i="22"/>
  <c r="F354" i="22" s="1"/>
  <c r="E355" i="22"/>
  <c r="F355" i="22" s="1"/>
  <c r="E356" i="22"/>
  <c r="F356" i="22" s="1"/>
  <c r="E357" i="22"/>
  <c r="F357" i="22" s="1"/>
  <c r="E358" i="22"/>
  <c r="F358" i="22" s="1"/>
  <c r="E359" i="22"/>
  <c r="F359" i="22" s="1"/>
  <c r="E360" i="22"/>
  <c r="F360" i="22" s="1"/>
  <c r="E361" i="22"/>
  <c r="F361" i="22" s="1"/>
  <c r="E362" i="22"/>
  <c r="F362" i="22" s="1"/>
  <c r="E363" i="22"/>
  <c r="F363" i="22" s="1"/>
  <c r="E364" i="22"/>
  <c r="F364" i="22" s="1"/>
  <c r="E365" i="22"/>
  <c r="F365" i="22" s="1"/>
  <c r="E366" i="22"/>
  <c r="F366" i="22" s="1"/>
  <c r="E367" i="22"/>
  <c r="F367" i="22" s="1"/>
  <c r="E368" i="22"/>
  <c r="F368" i="22" s="1"/>
  <c r="E369" i="22"/>
  <c r="F369" i="22" s="1"/>
  <c r="E370" i="22"/>
  <c r="F370" i="22" s="1"/>
  <c r="E371" i="22"/>
  <c r="F371" i="22" s="1"/>
  <c r="E372" i="22"/>
  <c r="F372" i="22" s="1"/>
  <c r="E373" i="22"/>
  <c r="F373" i="22" s="1"/>
  <c r="E374" i="22"/>
  <c r="F374" i="22" s="1"/>
  <c r="E375" i="22"/>
  <c r="F375" i="22" s="1"/>
  <c r="E376" i="22"/>
  <c r="F376" i="22" s="1"/>
  <c r="E377" i="22"/>
  <c r="F377" i="22" s="1"/>
  <c r="E378" i="22"/>
  <c r="F378" i="22" s="1"/>
  <c r="E379" i="22"/>
  <c r="F379" i="22" s="1"/>
  <c r="E380" i="22"/>
  <c r="F380" i="22" s="1"/>
  <c r="E381" i="22"/>
  <c r="F381" i="22" s="1"/>
  <c r="E382" i="22"/>
  <c r="F382" i="22" s="1"/>
  <c r="E383" i="22"/>
  <c r="F383" i="22" s="1"/>
  <c r="E384" i="22"/>
  <c r="F384" i="22" s="1"/>
  <c r="E385" i="22"/>
  <c r="F385" i="22" s="1"/>
  <c r="E386" i="22"/>
  <c r="F386" i="22" s="1"/>
  <c r="E2" i="22"/>
  <c r="F2" i="22" s="1"/>
  <c r="AG2" i="22" l="1"/>
  <c r="AH2" i="22" s="1"/>
  <c r="Z19" i="22"/>
  <c r="AA19" i="22" s="1"/>
  <c r="V43" i="22"/>
  <c r="W43" i="22" s="1"/>
  <c r="N55" i="22"/>
  <c r="O55" i="22" s="1"/>
  <c r="N73" i="22"/>
  <c r="O73" i="22" s="1"/>
  <c r="W2" i="22"/>
  <c r="W14" i="22"/>
  <c r="O20" i="22"/>
  <c r="W80" i="22"/>
  <c r="W92" i="22"/>
  <c r="J6" i="22"/>
  <c r="K6" i="22" s="1"/>
  <c r="R25" i="22"/>
  <c r="S25" i="22" s="1"/>
  <c r="V49" i="22"/>
  <c r="W49" i="22" s="1"/>
  <c r="V55" i="22"/>
  <c r="W55" i="22" s="1"/>
  <c r="V61" i="22"/>
  <c r="W61" i="22" s="1"/>
  <c r="V67" i="22"/>
  <c r="W67" i="22" s="1"/>
  <c r="V73" i="22"/>
  <c r="W73" i="22" s="1"/>
  <c r="Z13" i="22"/>
  <c r="AA13" i="22" s="1"/>
  <c r="N19" i="22"/>
  <c r="O19" i="22" s="1"/>
  <c r="R17" i="22"/>
  <c r="S17" i="22" s="1"/>
  <c r="R33" i="22"/>
  <c r="S33" i="22" s="1"/>
  <c r="Z43" i="22"/>
  <c r="AA43" i="22" s="1"/>
  <c r="AA2" i="22"/>
  <c r="V13" i="22"/>
  <c r="W13" i="22" s="1"/>
  <c r="J16" i="22"/>
  <c r="K16" i="22" s="1"/>
  <c r="J11" i="22"/>
  <c r="K11" i="22" s="1"/>
  <c r="V31" i="22"/>
  <c r="W31" i="22" s="1"/>
  <c r="V37" i="22"/>
  <c r="W37" i="22" s="1"/>
  <c r="R9" i="22"/>
  <c r="S9" i="22" s="1"/>
  <c r="V25" i="22"/>
  <c r="W25" i="22" s="1"/>
  <c r="W74" i="22"/>
  <c r="W86" i="22"/>
  <c r="W98" i="22"/>
  <c r="Z25" i="22"/>
  <c r="AA25" i="22" s="1"/>
  <c r="Z31" i="22"/>
  <c r="AA31" i="22" s="1"/>
  <c r="Z37" i="22"/>
  <c r="AA37" i="22" s="1"/>
  <c r="AC409" i="22"/>
  <c r="AC385" i="22"/>
  <c r="AC361" i="22"/>
  <c r="AC336" i="22"/>
  <c r="AC312" i="22"/>
  <c r="AC421" i="22"/>
  <c r="AC397" i="22"/>
  <c r="AC373" i="22"/>
  <c r="AC349" i="22"/>
  <c r="AC324" i="22"/>
  <c r="AC300" i="22"/>
  <c r="AC276" i="22"/>
  <c r="AC179" i="22"/>
  <c r="AC81" i="22"/>
  <c r="AC264" i="22"/>
  <c r="AC166" i="22"/>
  <c r="AC69" i="22"/>
  <c r="AC106" i="22"/>
  <c r="AC251" i="22"/>
  <c r="AC154" i="22"/>
  <c r="AC57" i="22"/>
  <c r="AC239" i="22"/>
  <c r="AC142" i="22"/>
  <c r="AC45" i="22"/>
  <c r="AC227" i="22"/>
  <c r="AC130" i="22"/>
  <c r="AC33" i="22"/>
  <c r="AC203" i="22"/>
  <c r="AC9" i="22"/>
  <c r="AC215" i="22"/>
  <c r="AC118" i="22"/>
  <c r="AC21" i="22"/>
  <c r="AC288" i="22"/>
  <c r="AC191" i="22"/>
  <c r="AC94" i="22"/>
  <c r="AC235" i="22"/>
  <c r="AC138" i="22"/>
  <c r="AC5" i="22"/>
  <c r="AC41" i="22"/>
  <c r="AC77" i="22"/>
  <c r="AC53" i="22"/>
  <c r="AC29" i="22"/>
  <c r="AC17" i="22"/>
  <c r="AC407" i="22"/>
  <c r="AC383" i="22"/>
  <c r="AC359" i="22"/>
  <c r="AC298" i="22"/>
  <c r="AC201" i="22"/>
  <c r="AC104" i="22"/>
  <c r="AC371" i="22"/>
  <c r="AC310" i="22"/>
  <c r="AC286" i="22"/>
  <c r="AC189" i="22"/>
  <c r="AC92" i="22"/>
  <c r="AC322" i="22"/>
  <c r="AC274" i="22"/>
  <c r="AC177" i="22"/>
  <c r="AC79" i="22"/>
  <c r="AC419" i="22"/>
  <c r="AC334" i="22"/>
  <c r="AC262" i="22"/>
  <c r="AC164" i="22"/>
  <c r="AC67" i="22"/>
  <c r="AC347" i="22"/>
  <c r="AC249" i="22"/>
  <c r="AC152" i="22"/>
  <c r="AC55" i="22"/>
  <c r="AC237" i="22"/>
  <c r="AC140" i="22"/>
  <c r="AC43" i="22"/>
  <c r="AC395" i="22"/>
  <c r="AC225" i="22"/>
  <c r="AC31" i="22"/>
  <c r="AC213" i="22"/>
  <c r="AC116" i="22"/>
  <c r="AC19" i="22"/>
  <c r="AC7" i="22"/>
  <c r="AC128" i="22"/>
  <c r="AC402" i="22"/>
  <c r="AC378" i="22"/>
  <c r="AC354" i="22"/>
  <c r="AC329" i="22"/>
  <c r="AC305" i="22"/>
  <c r="AC281" i="22"/>
  <c r="AC257" i="22"/>
  <c r="AC232" i="22"/>
  <c r="AC208" i="22"/>
  <c r="AC184" i="22"/>
  <c r="AC159" i="22"/>
  <c r="AC135" i="22"/>
  <c r="AC111" i="22"/>
  <c r="AC87" i="22"/>
  <c r="AC62" i="22"/>
  <c r="AC38" i="22"/>
  <c r="AC14" i="22"/>
  <c r="AC414" i="22"/>
  <c r="AC390" i="22"/>
  <c r="AC366" i="22"/>
  <c r="AC342" i="22"/>
  <c r="AC317" i="22"/>
  <c r="AC293" i="22"/>
  <c r="AC269" i="22"/>
  <c r="AC244" i="22"/>
  <c r="AC220" i="22"/>
  <c r="AC196" i="22"/>
  <c r="AC172" i="22"/>
  <c r="AC147" i="22"/>
  <c r="AC123" i="22"/>
  <c r="AC99" i="22"/>
  <c r="AC74" i="22"/>
  <c r="AC50" i="22"/>
  <c r="AC26" i="22"/>
  <c r="AC408" i="22"/>
  <c r="AC384" i="22"/>
  <c r="AC360" i="22"/>
  <c r="AC420" i="22"/>
  <c r="AC396" i="22"/>
  <c r="AC372" i="22"/>
  <c r="AC348" i="22"/>
  <c r="AC311" i="22"/>
  <c r="AC287" i="22"/>
  <c r="AC190" i="22"/>
  <c r="AC93" i="22"/>
  <c r="AC323" i="22"/>
  <c r="AC275" i="22"/>
  <c r="AC178" i="22"/>
  <c r="AC80" i="22"/>
  <c r="AC335" i="22"/>
  <c r="AC263" i="22"/>
  <c r="AC165" i="22"/>
  <c r="AC68" i="22"/>
  <c r="AC250" i="22"/>
  <c r="AC153" i="22"/>
  <c r="AC56" i="22"/>
  <c r="AC238" i="22"/>
  <c r="AC141" i="22"/>
  <c r="AC44" i="22"/>
  <c r="AC214" i="22"/>
  <c r="AC117" i="22"/>
  <c r="AC20" i="22"/>
  <c r="AC226" i="22"/>
  <c r="AC129" i="22"/>
  <c r="AC32" i="22"/>
  <c r="AC299" i="22"/>
  <c r="AC202" i="22"/>
  <c r="AC105" i="22"/>
  <c r="AC8" i="22"/>
  <c r="AC410" i="22"/>
  <c r="AC386" i="22"/>
  <c r="AC362" i="22"/>
  <c r="AC337" i="22"/>
  <c r="AC313" i="22"/>
  <c r="AC289" i="22"/>
  <c r="AC265" i="22"/>
  <c r="AC240" i="22"/>
  <c r="AC216" i="22"/>
  <c r="AC192" i="22"/>
  <c r="AC167" i="22"/>
  <c r="AC143" i="22"/>
  <c r="AC119" i="22"/>
  <c r="AC95" i="22"/>
  <c r="AC70" i="22"/>
  <c r="AC46" i="22"/>
  <c r="AC22" i="22"/>
  <c r="AC422" i="22"/>
  <c r="AC398" i="22"/>
  <c r="AC374" i="22"/>
  <c r="AC350" i="22"/>
  <c r="AC325" i="22"/>
  <c r="AC301" i="22"/>
  <c r="AC277" i="22"/>
  <c r="AC252" i="22"/>
  <c r="AC228" i="22"/>
  <c r="AC204" i="22"/>
  <c r="AC180" i="22"/>
  <c r="AC155" i="22"/>
  <c r="AC131" i="22"/>
  <c r="AC107" i="22"/>
  <c r="AC82" i="22"/>
  <c r="AC58" i="22"/>
  <c r="AC34" i="22"/>
  <c r="AC10" i="22"/>
  <c r="AC247" i="22"/>
  <c r="AC418" i="22"/>
  <c r="AC394" i="22"/>
  <c r="AC370" i="22"/>
  <c r="AC346" i="22"/>
  <c r="AC321" i="22"/>
  <c r="AC297" i="22"/>
  <c r="AC273" i="22"/>
  <c r="AC248" i="22"/>
  <c r="AC224" i="22"/>
  <c r="AC200" i="22"/>
  <c r="AC176" i="22"/>
  <c r="AC151" i="22"/>
  <c r="AC127" i="22"/>
  <c r="AC103" i="22"/>
  <c r="AC78" i="22"/>
  <c r="AC54" i="22"/>
  <c r="AC30" i="22"/>
  <c r="AC406" i="22"/>
  <c r="AC382" i="22"/>
  <c r="AC358" i="22"/>
  <c r="AC333" i="22"/>
  <c r="AC309" i="22"/>
  <c r="AC285" i="22"/>
  <c r="AC261" i="22"/>
  <c r="AC236" i="22"/>
  <c r="AC212" i="22"/>
  <c r="AC188" i="22"/>
  <c r="AC163" i="22"/>
  <c r="AC139" i="22"/>
  <c r="AC115" i="22"/>
  <c r="AC91" i="22"/>
  <c r="AC66" i="22"/>
  <c r="AC42" i="22"/>
  <c r="AC18" i="22"/>
  <c r="AC6" i="22"/>
  <c r="AC126" i="22"/>
  <c r="AC223" i="22"/>
  <c r="AC150" i="22"/>
  <c r="AC417" i="22"/>
  <c r="AC393" i="22"/>
  <c r="AC369" i="22"/>
  <c r="AC345" i="22"/>
  <c r="AC320" i="22"/>
  <c r="AC405" i="22"/>
  <c r="AC381" i="22"/>
  <c r="AC357" i="22"/>
  <c r="AC332" i="22"/>
  <c r="AC308" i="22"/>
  <c r="AC65" i="22"/>
  <c r="AC162" i="22"/>
  <c r="AC260" i="22"/>
  <c r="AC175" i="22"/>
  <c r="AC272" i="22"/>
  <c r="AC90" i="22"/>
  <c r="AC187" i="22"/>
  <c r="AC284" i="22"/>
  <c r="AC102" i="22"/>
  <c r="AC199" i="22"/>
  <c r="AC296" i="22"/>
  <c r="AC114" i="22"/>
  <c r="AC211" i="22"/>
  <c r="E393" i="3" l="1"/>
  <c r="E392" i="3"/>
  <c r="E391" i="3"/>
  <c r="E390" i="3"/>
  <c r="E389" i="3"/>
  <c r="AA402" i="3"/>
  <c r="AB100" i="17" l="1"/>
  <c r="AB99" i="17"/>
  <c r="Z103" i="17"/>
  <c r="Z102" i="17"/>
  <c r="Z101" i="17"/>
  <c r="Z100" i="17"/>
  <c r="Z99" i="17"/>
  <c r="Y115" i="17"/>
  <c r="Y114" i="17"/>
  <c r="Y113" i="17"/>
  <c r="Y112" i="17"/>
  <c r="Y111" i="17"/>
  <c r="Y110" i="17"/>
  <c r="Y109" i="17"/>
  <c r="Y108" i="17"/>
  <c r="Y107" i="17"/>
  <c r="Y106" i="17"/>
  <c r="Y105" i="17"/>
  <c r="Y104" i="17"/>
  <c r="Y103" i="17"/>
  <c r="Y102" i="17"/>
  <c r="Y101" i="17"/>
  <c r="Y100" i="17"/>
  <c r="Y99" i="17"/>
  <c r="X102" i="17"/>
  <c r="X101" i="17"/>
  <c r="X100" i="17"/>
  <c r="X99" i="17"/>
  <c r="W101" i="17"/>
  <c r="W100" i="17"/>
  <c r="W99" i="17"/>
  <c r="P104" i="17"/>
  <c r="P103" i="17"/>
  <c r="P102" i="17"/>
  <c r="P101" i="17"/>
  <c r="P100" i="17"/>
  <c r="P99" i="17"/>
  <c r="O113" i="17"/>
  <c r="O112" i="17"/>
  <c r="O111" i="17"/>
  <c r="O110" i="17"/>
  <c r="O109" i="17"/>
  <c r="O108" i="17"/>
  <c r="O107" i="17"/>
  <c r="O106" i="17"/>
  <c r="O105" i="17"/>
  <c r="O104" i="17"/>
  <c r="O103" i="17"/>
  <c r="O102" i="17"/>
  <c r="O101" i="17"/>
  <c r="O100" i="17"/>
  <c r="O99" i="17"/>
  <c r="M113" i="17"/>
  <c r="M112" i="17"/>
  <c r="M111" i="17"/>
  <c r="M110" i="17"/>
  <c r="M109" i="17"/>
  <c r="M108" i="17"/>
  <c r="M107" i="17"/>
  <c r="M106" i="17"/>
  <c r="M105" i="17"/>
  <c r="M104" i="17"/>
  <c r="M103" i="17"/>
  <c r="M102" i="17"/>
  <c r="M101" i="17"/>
  <c r="M100" i="17"/>
  <c r="M99" i="17"/>
  <c r="J107" i="17"/>
  <c r="J106" i="17"/>
  <c r="J105" i="17"/>
  <c r="J104" i="17"/>
  <c r="J103" i="17"/>
  <c r="J102" i="17"/>
  <c r="J101" i="17"/>
  <c r="J100" i="17"/>
  <c r="J99" i="17"/>
  <c r="E104" i="17"/>
  <c r="E103" i="17"/>
  <c r="E102" i="17"/>
  <c r="E101" i="17"/>
  <c r="E100" i="17"/>
  <c r="E99" i="17"/>
  <c r="C115" i="17"/>
  <c r="C114" i="17"/>
  <c r="C113" i="17"/>
  <c r="C112" i="17"/>
  <c r="C111" i="17"/>
  <c r="C110" i="17"/>
  <c r="C109" i="17"/>
  <c r="C108" i="17"/>
  <c r="C107" i="17"/>
  <c r="C106" i="17"/>
  <c r="C105" i="17"/>
  <c r="C104" i="17"/>
  <c r="C103" i="17"/>
  <c r="C102" i="17"/>
  <c r="C101" i="17"/>
  <c r="C100" i="17"/>
  <c r="C99" i="17"/>
  <c r="C973" i="19" l="1"/>
  <c r="C972" i="19"/>
  <c r="C971" i="19"/>
  <c r="C969" i="19"/>
  <c r="C968" i="19"/>
  <c r="C967" i="19"/>
  <c r="C965" i="19"/>
  <c r="C964" i="19"/>
  <c r="C963" i="19"/>
  <c r="C961" i="19"/>
  <c r="C960" i="19"/>
  <c r="C959" i="19"/>
  <c r="B7246" i="18"/>
  <c r="B7245" i="18"/>
  <c r="B7244" i="18"/>
  <c r="K107" i="17" l="1"/>
  <c r="K106" i="17"/>
  <c r="K105" i="17"/>
  <c r="K104" i="17"/>
  <c r="K103" i="17"/>
  <c r="K102" i="17"/>
  <c r="K101" i="17"/>
  <c r="W103" i="17"/>
  <c r="K100" i="17"/>
  <c r="W102" i="17"/>
  <c r="K99" i="17"/>
  <c r="Y125" i="17" l="1"/>
  <c r="C116" i="17"/>
  <c r="E105" i="17"/>
  <c r="W104" i="17"/>
  <c r="AB101" i="17"/>
  <c r="M114" i="17"/>
  <c r="Y118" i="17"/>
  <c r="O114" i="17"/>
  <c r="D109" i="17"/>
  <c r="D110" i="17" s="1"/>
  <c r="X104" i="17"/>
  <c r="Y116" i="17"/>
  <c r="Y123" i="17" s="1"/>
  <c r="X103" i="17"/>
  <c r="P105" i="17"/>
  <c r="J108" i="17"/>
  <c r="Z104" i="17"/>
  <c r="Z106" i="17" s="1"/>
  <c r="Y119" i="17" l="1"/>
  <c r="Z109" i="17"/>
  <c r="Y120" i="17"/>
  <c r="Z108" i="17"/>
  <c r="Y121" i="17"/>
  <c r="Z105" i="17"/>
  <c r="Y124" i="17"/>
  <c r="X105" i="17"/>
  <c r="Z107" i="17"/>
  <c r="Y122" i="17"/>
  <c r="F15" i="14"/>
  <c r="F7" i="14"/>
  <c r="F14" i="14"/>
  <c r="F13" i="14"/>
  <c r="E15" i="14"/>
  <c r="E13" i="14"/>
  <c r="E14" i="14"/>
  <c r="E11" i="14"/>
  <c r="E9" i="14"/>
  <c r="F9" i="14"/>
  <c r="E5" i="14"/>
  <c r="F5" i="14" s="1"/>
  <c r="F3" i="14"/>
  <c r="F4" i="14"/>
  <c r="F6" i="14"/>
  <c r="F8" i="14"/>
  <c r="F10" i="14"/>
  <c r="F2" i="14"/>
  <c r="E10" i="14"/>
  <c r="E8" i="14"/>
  <c r="E7" i="14"/>
  <c r="E6" i="14"/>
  <c r="E4" i="14"/>
  <c r="E3" i="14"/>
  <c r="E2" i="14"/>
  <c r="M12" i="13"/>
  <c r="M11" i="13"/>
  <c r="M10" i="13"/>
  <c r="M8" i="13"/>
  <c r="M7" i="13"/>
  <c r="M6" i="13"/>
  <c r="M3" i="13"/>
  <c r="M4" i="13"/>
  <c r="M2" i="13"/>
  <c r="L13" i="13"/>
  <c r="M13" i="13" s="1"/>
  <c r="M9" i="13"/>
  <c r="L9" i="13"/>
  <c r="L5" i="13"/>
  <c r="M5" i="13" s="1"/>
  <c r="H5" i="13"/>
  <c r="I5" i="13" s="1"/>
  <c r="F5" i="13"/>
  <c r="E5" i="13"/>
  <c r="I2" i="12"/>
  <c r="J2" i="12" s="1"/>
  <c r="I3" i="13"/>
  <c r="I4" i="13"/>
  <c r="F3" i="13"/>
  <c r="F4" i="13"/>
  <c r="F2" i="13"/>
  <c r="C2" i="13"/>
  <c r="I2" i="13"/>
  <c r="Z154" i="12"/>
  <c r="Z155" i="12"/>
  <c r="Z156" i="12"/>
  <c r="Z157" i="12"/>
  <c r="Z158" i="12"/>
  <c r="Z159" i="12"/>
  <c r="Z160" i="12"/>
  <c r="Z161" i="12"/>
  <c r="Z153" i="12"/>
  <c r="Y154" i="12"/>
  <c r="Y155" i="12"/>
  <c r="Y156" i="12"/>
  <c r="Y157" i="12"/>
  <c r="Y158" i="12"/>
  <c r="Y159" i="12"/>
  <c r="Y160" i="12"/>
  <c r="Y161" i="12"/>
  <c r="Y153" i="12"/>
  <c r="Y150" i="12"/>
  <c r="Z150" i="12" s="1"/>
  <c r="Y149" i="12"/>
  <c r="Z149" i="12" s="1"/>
  <c r="Y148" i="12"/>
  <c r="Z148" i="12" s="1"/>
  <c r="Y147" i="12"/>
  <c r="Z147" i="12" s="1"/>
  <c r="Y146" i="12"/>
  <c r="Z146" i="12" s="1"/>
  <c r="Y145" i="12"/>
  <c r="Z145" i="12" s="1"/>
  <c r="Y144" i="12"/>
  <c r="Z144" i="12" s="1"/>
  <c r="Y143" i="12"/>
  <c r="Z143" i="12" s="1"/>
  <c r="Y142" i="12"/>
  <c r="Y140" i="12"/>
  <c r="Z140" i="12" s="1"/>
  <c r="Y139" i="12"/>
  <c r="Z139" i="12" s="1"/>
  <c r="Y138" i="12"/>
  <c r="Z138" i="12" s="1"/>
  <c r="Y137" i="12"/>
  <c r="Z137" i="12" s="1"/>
  <c r="Y136" i="12"/>
  <c r="Z136" i="12" s="1"/>
  <c r="Y135" i="12"/>
  <c r="Z135" i="12" s="1"/>
  <c r="Y134" i="12"/>
  <c r="Z134" i="12" s="1"/>
  <c r="Y133" i="12"/>
  <c r="Z133" i="12" s="1"/>
  <c r="Y132" i="12"/>
  <c r="Y130" i="12"/>
  <c r="Z130" i="12" s="1"/>
  <c r="Y129" i="12"/>
  <c r="Z129" i="12" s="1"/>
  <c r="Y128" i="12"/>
  <c r="Z128" i="12" s="1"/>
  <c r="Y127" i="12"/>
  <c r="Z127" i="12" s="1"/>
  <c r="Y126" i="12"/>
  <c r="Z126" i="12" s="1"/>
  <c r="Y125" i="12"/>
  <c r="Z125" i="12" s="1"/>
  <c r="Y124" i="12"/>
  <c r="Z124" i="12" s="1"/>
  <c r="Y123" i="12"/>
  <c r="Z123" i="12" s="1"/>
  <c r="Y122" i="12"/>
  <c r="Y120" i="12"/>
  <c r="Z120" i="12" s="1"/>
  <c r="Y119" i="12"/>
  <c r="Z119" i="12" s="1"/>
  <c r="Y118" i="12"/>
  <c r="Z118" i="12" s="1"/>
  <c r="Y117" i="12"/>
  <c r="Z117" i="12" s="1"/>
  <c r="Y116" i="12"/>
  <c r="Z116" i="12" s="1"/>
  <c r="Y115" i="12"/>
  <c r="Z115" i="12" s="1"/>
  <c r="Y114" i="12"/>
  <c r="Z114" i="12" s="1"/>
  <c r="Y113" i="12"/>
  <c r="Z113" i="12" s="1"/>
  <c r="Y112" i="12"/>
  <c r="Y110" i="12"/>
  <c r="Z110" i="12" s="1"/>
  <c r="Y109" i="12"/>
  <c r="Z109" i="12" s="1"/>
  <c r="Y108" i="12"/>
  <c r="Z108" i="12" s="1"/>
  <c r="Y107" i="12"/>
  <c r="Z107" i="12" s="1"/>
  <c r="Y106" i="12"/>
  <c r="Z106" i="12" s="1"/>
  <c r="Y105" i="12"/>
  <c r="Z105" i="12" s="1"/>
  <c r="Y104" i="12"/>
  <c r="Z104" i="12" s="1"/>
  <c r="Y103" i="12"/>
  <c r="Z103" i="12" s="1"/>
  <c r="Y102" i="12"/>
  <c r="Y100" i="12"/>
  <c r="Z100" i="12" s="1"/>
  <c r="Y99" i="12"/>
  <c r="Z99" i="12" s="1"/>
  <c r="Y98" i="12"/>
  <c r="Z98" i="12" s="1"/>
  <c r="Y97" i="12"/>
  <c r="Z97" i="12" s="1"/>
  <c r="Y96" i="12"/>
  <c r="Z96" i="12" s="1"/>
  <c r="Y95" i="12"/>
  <c r="Z95" i="12" s="1"/>
  <c r="Y94" i="12"/>
  <c r="Z94" i="12" s="1"/>
  <c r="Y93" i="12"/>
  <c r="Z93" i="12" s="1"/>
  <c r="Y92" i="12"/>
  <c r="Y90" i="12"/>
  <c r="Z90" i="12" s="1"/>
  <c r="Y89" i="12"/>
  <c r="Z89" i="12" s="1"/>
  <c r="Y88" i="12"/>
  <c r="Z88" i="12" s="1"/>
  <c r="Y87" i="12"/>
  <c r="Z87" i="12" s="1"/>
  <c r="Y86" i="12"/>
  <c r="Z86" i="12" s="1"/>
  <c r="Y85" i="12"/>
  <c r="Z85" i="12" s="1"/>
  <c r="Y84" i="12"/>
  <c r="Z84" i="12" s="1"/>
  <c r="Y83" i="12"/>
  <c r="Z83" i="12" s="1"/>
  <c r="Y82" i="12"/>
  <c r="Y80" i="12"/>
  <c r="Z80" i="12" s="1"/>
  <c r="Y79" i="12"/>
  <c r="Z79" i="12" s="1"/>
  <c r="Y78" i="12"/>
  <c r="Z78" i="12" s="1"/>
  <c r="Y77" i="12"/>
  <c r="Z77" i="12" s="1"/>
  <c r="Y76" i="12"/>
  <c r="Z76" i="12" s="1"/>
  <c r="Y75" i="12"/>
  <c r="Z75" i="12" s="1"/>
  <c r="Y74" i="12"/>
  <c r="Z74" i="12" s="1"/>
  <c r="Y73" i="12"/>
  <c r="Z73" i="12" s="1"/>
  <c r="Y72" i="12"/>
  <c r="Y70" i="12"/>
  <c r="Z70" i="12" s="1"/>
  <c r="Y69" i="12"/>
  <c r="Z69" i="12" s="1"/>
  <c r="Y68" i="12"/>
  <c r="Z68" i="12" s="1"/>
  <c r="Y67" i="12"/>
  <c r="Z67" i="12" s="1"/>
  <c r="Y66" i="12"/>
  <c r="Z66" i="12" s="1"/>
  <c r="Y65" i="12"/>
  <c r="Z65" i="12" s="1"/>
  <c r="Y64" i="12"/>
  <c r="Z64" i="12" s="1"/>
  <c r="Y63" i="12"/>
  <c r="Z63" i="12" s="1"/>
  <c r="Y62" i="12"/>
  <c r="Y60" i="12"/>
  <c r="Z60" i="12" s="1"/>
  <c r="Y59" i="12"/>
  <c r="Z59" i="12" s="1"/>
  <c r="Y58" i="12"/>
  <c r="Z58" i="12" s="1"/>
  <c r="Y57" i="12"/>
  <c r="Z57" i="12" s="1"/>
  <c r="Y56" i="12"/>
  <c r="Z56" i="12" s="1"/>
  <c r="Y55" i="12"/>
  <c r="Z55" i="12" s="1"/>
  <c r="Y54" i="12"/>
  <c r="Z54" i="12" s="1"/>
  <c r="Y53" i="12"/>
  <c r="Z53" i="12" s="1"/>
  <c r="Y52" i="12"/>
  <c r="Y50" i="12"/>
  <c r="Z50" i="12" s="1"/>
  <c r="Y49" i="12"/>
  <c r="Z49" i="12" s="1"/>
  <c r="Y48" i="12"/>
  <c r="Z48" i="12" s="1"/>
  <c r="Y47" i="12"/>
  <c r="Z47" i="12" s="1"/>
  <c r="Y46" i="12"/>
  <c r="Z46" i="12" s="1"/>
  <c r="Y45" i="12"/>
  <c r="Z45" i="12" s="1"/>
  <c r="Y44" i="12"/>
  <c r="Z44" i="12" s="1"/>
  <c r="Y43" i="12"/>
  <c r="Z43" i="12" s="1"/>
  <c r="Y42" i="12"/>
  <c r="Y40" i="12"/>
  <c r="Z40" i="12" s="1"/>
  <c r="Y39" i="12"/>
  <c r="Z39" i="12" s="1"/>
  <c r="Y38" i="12"/>
  <c r="Z38" i="12" s="1"/>
  <c r="Y37" i="12"/>
  <c r="Z37" i="12" s="1"/>
  <c r="Y36" i="12"/>
  <c r="Z36" i="12" s="1"/>
  <c r="Y35" i="12"/>
  <c r="Z35" i="12" s="1"/>
  <c r="Y34" i="12"/>
  <c r="Z34" i="12" s="1"/>
  <c r="Y33" i="12"/>
  <c r="Z33" i="12" s="1"/>
  <c r="Y32" i="12"/>
  <c r="Y30" i="12"/>
  <c r="Z30" i="12" s="1"/>
  <c r="Y29" i="12"/>
  <c r="Z29" i="12" s="1"/>
  <c r="Y28" i="12"/>
  <c r="Z28" i="12" s="1"/>
  <c r="Y27" i="12"/>
  <c r="Z27" i="12" s="1"/>
  <c r="Y26" i="12"/>
  <c r="Z26" i="12" s="1"/>
  <c r="Y25" i="12"/>
  <c r="Z25" i="12" s="1"/>
  <c r="Y24" i="12"/>
  <c r="Z24" i="12" s="1"/>
  <c r="Y23" i="12"/>
  <c r="Z23" i="12" s="1"/>
  <c r="Y22" i="12"/>
  <c r="Y20" i="12"/>
  <c r="Z20" i="12" s="1"/>
  <c r="Y19" i="12"/>
  <c r="Z19" i="12" s="1"/>
  <c r="Y18" i="12"/>
  <c r="Z18" i="12" s="1"/>
  <c r="Y17" i="12"/>
  <c r="Z17" i="12" s="1"/>
  <c r="Y16" i="12"/>
  <c r="Z16" i="12" s="1"/>
  <c r="Y15" i="12"/>
  <c r="Z15" i="12" s="1"/>
  <c r="Y14" i="12"/>
  <c r="Z14" i="12" s="1"/>
  <c r="Y13" i="12"/>
  <c r="Z13" i="12" s="1"/>
  <c r="Y12" i="12"/>
  <c r="Y11" i="12"/>
  <c r="Y10" i="12"/>
  <c r="Z10" i="12" s="1"/>
  <c r="Y9" i="12"/>
  <c r="Z9" i="12" s="1"/>
  <c r="Y8" i="12"/>
  <c r="Z8" i="12" s="1"/>
  <c r="Y7" i="12"/>
  <c r="Z7" i="12" s="1"/>
  <c r="Y6" i="12"/>
  <c r="Z6" i="12" s="1"/>
  <c r="Y5" i="12"/>
  <c r="Z5" i="12" s="1"/>
  <c r="Y4" i="12"/>
  <c r="Z4" i="12" s="1"/>
  <c r="Y3" i="12"/>
  <c r="Z3" i="12" s="1"/>
  <c r="Z11" i="12"/>
  <c r="Y2" i="12"/>
  <c r="Z2" i="12" s="1"/>
  <c r="U64" i="12"/>
  <c r="V64" i="12" s="1"/>
  <c r="U63" i="12"/>
  <c r="V63" i="12" s="1"/>
  <c r="U62" i="12"/>
  <c r="V62" i="12" s="1"/>
  <c r="U61" i="12"/>
  <c r="V61" i="12" s="1"/>
  <c r="U60" i="12"/>
  <c r="V60" i="12" s="1"/>
  <c r="U59" i="12"/>
  <c r="V59" i="12" s="1"/>
  <c r="U58" i="12"/>
  <c r="V58" i="12" s="1"/>
  <c r="U57" i="12"/>
  <c r="V57" i="12" s="1"/>
  <c r="U56" i="12"/>
  <c r="V56" i="12" s="1"/>
  <c r="U55" i="12"/>
  <c r="V55" i="12" s="1"/>
  <c r="U54" i="12"/>
  <c r="V54" i="12" s="1"/>
  <c r="U53" i="12"/>
  <c r="V53" i="12" s="1"/>
  <c r="U52" i="12"/>
  <c r="V52" i="12" s="1"/>
  <c r="U51" i="12"/>
  <c r="V51" i="12" s="1"/>
  <c r="U50" i="12"/>
  <c r="U48" i="12"/>
  <c r="V48" i="12" s="1"/>
  <c r="U47" i="12"/>
  <c r="V47" i="12" s="1"/>
  <c r="U46" i="12"/>
  <c r="V46" i="12" s="1"/>
  <c r="U45" i="12"/>
  <c r="V45" i="12" s="1"/>
  <c r="U44" i="12"/>
  <c r="V44" i="12" s="1"/>
  <c r="U43" i="12"/>
  <c r="V43" i="12" s="1"/>
  <c r="U42" i="12"/>
  <c r="V42" i="12" s="1"/>
  <c r="U41" i="12"/>
  <c r="V41" i="12" s="1"/>
  <c r="U40" i="12"/>
  <c r="V40" i="12" s="1"/>
  <c r="U39" i="12"/>
  <c r="V39" i="12" s="1"/>
  <c r="U38" i="12"/>
  <c r="V38" i="12" s="1"/>
  <c r="U37" i="12"/>
  <c r="V37" i="12" s="1"/>
  <c r="U36" i="12"/>
  <c r="V36" i="12" s="1"/>
  <c r="U35" i="12"/>
  <c r="V35" i="12" s="1"/>
  <c r="U34" i="12"/>
  <c r="U32" i="12"/>
  <c r="V32" i="12" s="1"/>
  <c r="U31" i="12"/>
  <c r="V31" i="12" s="1"/>
  <c r="U30" i="12"/>
  <c r="V30" i="12" s="1"/>
  <c r="U29" i="12"/>
  <c r="V29" i="12" s="1"/>
  <c r="U28" i="12"/>
  <c r="V28" i="12" s="1"/>
  <c r="U27" i="12"/>
  <c r="V27" i="12" s="1"/>
  <c r="U26" i="12"/>
  <c r="V26" i="12" s="1"/>
  <c r="U25" i="12"/>
  <c r="V25" i="12" s="1"/>
  <c r="U24" i="12"/>
  <c r="V24" i="12" s="1"/>
  <c r="U23" i="12"/>
  <c r="V23" i="12" s="1"/>
  <c r="U22" i="12"/>
  <c r="V22" i="12" s="1"/>
  <c r="U21" i="12"/>
  <c r="V21" i="12" s="1"/>
  <c r="U20" i="12"/>
  <c r="V20" i="12" s="1"/>
  <c r="U19" i="12"/>
  <c r="V19" i="12" s="1"/>
  <c r="U18" i="12"/>
  <c r="V3" i="12"/>
  <c r="V4" i="12"/>
  <c r="V5" i="12"/>
  <c r="V6" i="12"/>
  <c r="V7" i="12"/>
  <c r="V8" i="12"/>
  <c r="V9" i="12"/>
  <c r="V10" i="12"/>
  <c r="V11" i="12"/>
  <c r="V12" i="12"/>
  <c r="V13" i="12"/>
  <c r="V14" i="12"/>
  <c r="V15" i="12"/>
  <c r="V16" i="12"/>
  <c r="V17" i="12"/>
  <c r="U17" i="12"/>
  <c r="U16" i="12"/>
  <c r="U15" i="12"/>
  <c r="U14" i="12"/>
  <c r="U13" i="12"/>
  <c r="U12" i="12"/>
  <c r="U11" i="12"/>
  <c r="U10" i="12"/>
  <c r="U9" i="12"/>
  <c r="U8" i="12"/>
  <c r="U7" i="12"/>
  <c r="U6" i="12"/>
  <c r="U5" i="12"/>
  <c r="U4" i="12"/>
  <c r="U3" i="12"/>
  <c r="V2" i="12"/>
  <c r="U2" i="12"/>
  <c r="Q272" i="12"/>
  <c r="R272" i="12" s="1"/>
  <c r="Q271" i="12"/>
  <c r="R271" i="12" s="1"/>
  <c r="Q270" i="12"/>
  <c r="R270" i="12" s="1"/>
  <c r="Q269" i="12"/>
  <c r="R269" i="12" s="1"/>
  <c r="Q268" i="12"/>
  <c r="R268" i="12" s="1"/>
  <c r="Q267" i="12"/>
  <c r="R267" i="12" s="1"/>
  <c r="Q266" i="12"/>
  <c r="R266" i="12" s="1"/>
  <c r="Q265" i="12"/>
  <c r="R265" i="12" s="1"/>
  <c r="Q264" i="12"/>
  <c r="R264" i="12" s="1"/>
  <c r="Q263" i="12"/>
  <c r="R263" i="12" s="1"/>
  <c r="Q262" i="12"/>
  <c r="R262" i="12" s="1"/>
  <c r="Q261" i="12"/>
  <c r="R261" i="12" s="1"/>
  <c r="Q260" i="12"/>
  <c r="R260" i="12" s="1"/>
  <c r="Q259" i="12"/>
  <c r="R259" i="12" s="1"/>
  <c r="Q258" i="12"/>
  <c r="Q256" i="12"/>
  <c r="R256" i="12" s="1"/>
  <c r="Q255" i="12"/>
  <c r="R255" i="12" s="1"/>
  <c r="Q254" i="12"/>
  <c r="R254" i="12" s="1"/>
  <c r="Q253" i="12"/>
  <c r="R253" i="12" s="1"/>
  <c r="Q252" i="12"/>
  <c r="R252" i="12" s="1"/>
  <c r="Q251" i="12"/>
  <c r="R251" i="12" s="1"/>
  <c r="Q250" i="12"/>
  <c r="R250" i="12" s="1"/>
  <c r="Q249" i="12"/>
  <c r="R249" i="12" s="1"/>
  <c r="Q248" i="12"/>
  <c r="R248" i="12" s="1"/>
  <c r="Q247" i="12"/>
  <c r="R247" i="12" s="1"/>
  <c r="Q246" i="12"/>
  <c r="R246" i="12" s="1"/>
  <c r="Q245" i="12"/>
  <c r="R245" i="12" s="1"/>
  <c r="Q244" i="12"/>
  <c r="R244" i="12" s="1"/>
  <c r="Q243" i="12"/>
  <c r="R243" i="12" s="1"/>
  <c r="Q242" i="12"/>
  <c r="Q240" i="12"/>
  <c r="R240" i="12" s="1"/>
  <c r="Q239" i="12"/>
  <c r="R239" i="12" s="1"/>
  <c r="Q238" i="12"/>
  <c r="R238" i="12" s="1"/>
  <c r="Q237" i="12"/>
  <c r="R237" i="12" s="1"/>
  <c r="Q236" i="12"/>
  <c r="R236" i="12" s="1"/>
  <c r="Q235" i="12"/>
  <c r="R235" i="12" s="1"/>
  <c r="Q234" i="12"/>
  <c r="R234" i="12" s="1"/>
  <c r="Q233" i="12"/>
  <c r="R233" i="12" s="1"/>
  <c r="Q232" i="12"/>
  <c r="R232" i="12" s="1"/>
  <c r="Q231" i="12"/>
  <c r="R231" i="12" s="1"/>
  <c r="Q230" i="12"/>
  <c r="R230" i="12" s="1"/>
  <c r="Q229" i="12"/>
  <c r="R229" i="12" s="1"/>
  <c r="Q228" i="12"/>
  <c r="R228" i="12" s="1"/>
  <c r="Q227" i="12"/>
  <c r="R227" i="12" s="1"/>
  <c r="Q226" i="12"/>
  <c r="Q224" i="12"/>
  <c r="R224" i="12" s="1"/>
  <c r="Q223" i="12"/>
  <c r="R223" i="12" s="1"/>
  <c r="Q222" i="12"/>
  <c r="R222" i="12" s="1"/>
  <c r="Q221" i="12"/>
  <c r="R221" i="12" s="1"/>
  <c r="Q220" i="12"/>
  <c r="R220" i="12" s="1"/>
  <c r="Q219" i="12"/>
  <c r="R219" i="12" s="1"/>
  <c r="Q218" i="12"/>
  <c r="R218" i="12" s="1"/>
  <c r="Q217" i="12"/>
  <c r="R217" i="12" s="1"/>
  <c r="Q216" i="12"/>
  <c r="R216" i="12" s="1"/>
  <c r="Q215" i="12"/>
  <c r="R215" i="12" s="1"/>
  <c r="Q214" i="12"/>
  <c r="R214" i="12" s="1"/>
  <c r="Q213" i="12"/>
  <c r="R213" i="12" s="1"/>
  <c r="Q212" i="12"/>
  <c r="R212" i="12" s="1"/>
  <c r="Q211" i="12"/>
  <c r="R211" i="12" s="1"/>
  <c r="Q210" i="12"/>
  <c r="Q208" i="12"/>
  <c r="R208" i="12" s="1"/>
  <c r="Q207" i="12"/>
  <c r="R207" i="12" s="1"/>
  <c r="Q206" i="12"/>
  <c r="R206" i="12" s="1"/>
  <c r="Q205" i="12"/>
  <c r="R205" i="12" s="1"/>
  <c r="Q204" i="12"/>
  <c r="R204" i="12" s="1"/>
  <c r="Q203" i="12"/>
  <c r="R203" i="12" s="1"/>
  <c r="Q202" i="12"/>
  <c r="R202" i="12" s="1"/>
  <c r="Q201" i="12"/>
  <c r="R201" i="12" s="1"/>
  <c r="Q200" i="12"/>
  <c r="R200" i="12" s="1"/>
  <c r="Q199" i="12"/>
  <c r="R199" i="12" s="1"/>
  <c r="Q198" i="12"/>
  <c r="R198" i="12" s="1"/>
  <c r="Q197" i="12"/>
  <c r="R197" i="12" s="1"/>
  <c r="Q196" i="12"/>
  <c r="R196" i="12" s="1"/>
  <c r="Q195" i="12"/>
  <c r="R195" i="12" s="1"/>
  <c r="Q194" i="12"/>
  <c r="Q192" i="12"/>
  <c r="R192" i="12" s="1"/>
  <c r="Q191" i="12"/>
  <c r="R191" i="12" s="1"/>
  <c r="Q190" i="12"/>
  <c r="R190" i="12" s="1"/>
  <c r="Q189" i="12"/>
  <c r="R189" i="12" s="1"/>
  <c r="Q188" i="12"/>
  <c r="R188" i="12" s="1"/>
  <c r="Q187" i="12"/>
  <c r="R187" i="12" s="1"/>
  <c r="Q186" i="12"/>
  <c r="R186" i="12" s="1"/>
  <c r="Q185" i="12"/>
  <c r="R185" i="12" s="1"/>
  <c r="Q184" i="12"/>
  <c r="R184" i="12" s="1"/>
  <c r="Q183" i="12"/>
  <c r="R183" i="12" s="1"/>
  <c r="Q182" i="12"/>
  <c r="R182" i="12" s="1"/>
  <c r="Q181" i="12"/>
  <c r="R181" i="12" s="1"/>
  <c r="Q180" i="12"/>
  <c r="R180" i="12" s="1"/>
  <c r="Q179" i="12"/>
  <c r="R179" i="12" s="1"/>
  <c r="Q178" i="12"/>
  <c r="Q176" i="12"/>
  <c r="R176" i="12" s="1"/>
  <c r="Q175" i="12"/>
  <c r="R175" i="12" s="1"/>
  <c r="Q174" i="12"/>
  <c r="R174" i="12" s="1"/>
  <c r="Q173" i="12"/>
  <c r="R173" i="12" s="1"/>
  <c r="Q172" i="12"/>
  <c r="R172" i="12" s="1"/>
  <c r="Q171" i="12"/>
  <c r="R171" i="12" s="1"/>
  <c r="Q170" i="12"/>
  <c r="R170" i="12" s="1"/>
  <c r="Q169" i="12"/>
  <c r="R169" i="12" s="1"/>
  <c r="Q168" i="12"/>
  <c r="R168" i="12" s="1"/>
  <c r="Q167" i="12"/>
  <c r="R167" i="12" s="1"/>
  <c r="Q166" i="12"/>
  <c r="R166" i="12" s="1"/>
  <c r="Q165" i="12"/>
  <c r="R165" i="12" s="1"/>
  <c r="Q164" i="12"/>
  <c r="R164" i="12" s="1"/>
  <c r="Q163" i="12"/>
  <c r="R163" i="12" s="1"/>
  <c r="Q162" i="12"/>
  <c r="Q160" i="12"/>
  <c r="R160" i="12" s="1"/>
  <c r="Q159" i="12"/>
  <c r="R159" i="12" s="1"/>
  <c r="Q158" i="12"/>
  <c r="R158" i="12" s="1"/>
  <c r="Q157" i="12"/>
  <c r="R157" i="12" s="1"/>
  <c r="Q156" i="12"/>
  <c r="R156" i="12" s="1"/>
  <c r="Q155" i="12"/>
  <c r="R155" i="12" s="1"/>
  <c r="Q154" i="12"/>
  <c r="R154" i="12" s="1"/>
  <c r="Q153" i="12"/>
  <c r="R153" i="12" s="1"/>
  <c r="Q152" i="12"/>
  <c r="R152" i="12" s="1"/>
  <c r="Q151" i="12"/>
  <c r="R151" i="12" s="1"/>
  <c r="Q150" i="12"/>
  <c r="R150" i="12" s="1"/>
  <c r="Q149" i="12"/>
  <c r="R149" i="12" s="1"/>
  <c r="Q148" i="12"/>
  <c r="R148" i="12" s="1"/>
  <c r="Q147" i="12"/>
  <c r="Q146" i="12"/>
  <c r="R146" i="12" s="1"/>
  <c r="Q144" i="12"/>
  <c r="R144" i="12" s="1"/>
  <c r="Q143" i="12"/>
  <c r="R143" i="12" s="1"/>
  <c r="Q142" i="12"/>
  <c r="R142" i="12" s="1"/>
  <c r="Q141" i="12"/>
  <c r="R141" i="12" s="1"/>
  <c r="Q140" i="12"/>
  <c r="R140" i="12" s="1"/>
  <c r="Q139" i="12"/>
  <c r="R139" i="12" s="1"/>
  <c r="Q138" i="12"/>
  <c r="R138" i="12" s="1"/>
  <c r="Q137" i="12"/>
  <c r="R137" i="12" s="1"/>
  <c r="Q136" i="12"/>
  <c r="R136" i="12" s="1"/>
  <c r="Q135" i="12"/>
  <c r="R135" i="12" s="1"/>
  <c r="Q134" i="12"/>
  <c r="R134" i="12" s="1"/>
  <c r="Q133" i="12"/>
  <c r="R133" i="12" s="1"/>
  <c r="Q132" i="12"/>
  <c r="R132" i="12" s="1"/>
  <c r="Q131" i="12"/>
  <c r="R131" i="12" s="1"/>
  <c r="Q130" i="12"/>
  <c r="Q128" i="12"/>
  <c r="R128" i="12" s="1"/>
  <c r="Q127" i="12"/>
  <c r="R127" i="12" s="1"/>
  <c r="Q126" i="12"/>
  <c r="R126" i="12" s="1"/>
  <c r="Q125" i="12"/>
  <c r="R125" i="12" s="1"/>
  <c r="Q124" i="12"/>
  <c r="R124" i="12" s="1"/>
  <c r="Q123" i="12"/>
  <c r="R123" i="12" s="1"/>
  <c r="Q122" i="12"/>
  <c r="R122" i="12" s="1"/>
  <c r="Q121" i="12"/>
  <c r="R121" i="12" s="1"/>
  <c r="Q120" i="12"/>
  <c r="R120" i="12" s="1"/>
  <c r="Q119" i="12"/>
  <c r="R119" i="12" s="1"/>
  <c r="Q118" i="12"/>
  <c r="R118" i="12" s="1"/>
  <c r="Q117" i="12"/>
  <c r="R117" i="12" s="1"/>
  <c r="Q116" i="12"/>
  <c r="R116" i="12" s="1"/>
  <c r="Q115" i="12"/>
  <c r="R115" i="12" s="1"/>
  <c r="Q114" i="12"/>
  <c r="Q112" i="12"/>
  <c r="R112" i="12" s="1"/>
  <c r="Q111" i="12"/>
  <c r="R111" i="12" s="1"/>
  <c r="Q110" i="12"/>
  <c r="R110" i="12" s="1"/>
  <c r="Q109" i="12"/>
  <c r="R109" i="12" s="1"/>
  <c r="Q108" i="12"/>
  <c r="R108" i="12" s="1"/>
  <c r="Q107" i="12"/>
  <c r="R107" i="12" s="1"/>
  <c r="Q106" i="12"/>
  <c r="R106" i="12" s="1"/>
  <c r="Q105" i="12"/>
  <c r="R105" i="12" s="1"/>
  <c r="Q104" i="12"/>
  <c r="R104" i="12" s="1"/>
  <c r="Q103" i="12"/>
  <c r="R103" i="12" s="1"/>
  <c r="Q102" i="12"/>
  <c r="R102" i="12" s="1"/>
  <c r="Q101" i="12"/>
  <c r="R101" i="12" s="1"/>
  <c r="Q100" i="12"/>
  <c r="R100" i="12" s="1"/>
  <c r="Q99" i="12"/>
  <c r="R99" i="12" s="1"/>
  <c r="Q98" i="12"/>
  <c r="Q96" i="12"/>
  <c r="R96" i="12" s="1"/>
  <c r="Q95" i="12"/>
  <c r="R95" i="12" s="1"/>
  <c r="Q94" i="12"/>
  <c r="R94" i="12" s="1"/>
  <c r="Q93" i="12"/>
  <c r="R93" i="12" s="1"/>
  <c r="Q92" i="12"/>
  <c r="R92" i="12" s="1"/>
  <c r="Q91" i="12"/>
  <c r="R91" i="12" s="1"/>
  <c r="Q90" i="12"/>
  <c r="R90" i="12" s="1"/>
  <c r="Q89" i="12"/>
  <c r="R89" i="12" s="1"/>
  <c r="Q88" i="12"/>
  <c r="R88" i="12" s="1"/>
  <c r="Q87" i="12"/>
  <c r="R87" i="12" s="1"/>
  <c r="Q86" i="12"/>
  <c r="R86" i="12" s="1"/>
  <c r="Q85" i="12"/>
  <c r="R85" i="12" s="1"/>
  <c r="Q84" i="12"/>
  <c r="R84" i="12" s="1"/>
  <c r="Q83" i="12"/>
  <c r="R83" i="12" s="1"/>
  <c r="Q82" i="12"/>
  <c r="Q80" i="12"/>
  <c r="R80" i="12" s="1"/>
  <c r="Q79" i="12"/>
  <c r="R79" i="12" s="1"/>
  <c r="Q78" i="12"/>
  <c r="R78" i="12" s="1"/>
  <c r="Q77" i="12"/>
  <c r="R77" i="12" s="1"/>
  <c r="Q76" i="12"/>
  <c r="R76" i="12" s="1"/>
  <c r="Q75" i="12"/>
  <c r="R75" i="12" s="1"/>
  <c r="Q74" i="12"/>
  <c r="R74" i="12" s="1"/>
  <c r="Q73" i="12"/>
  <c r="R73" i="12" s="1"/>
  <c r="Q72" i="12"/>
  <c r="R72" i="12" s="1"/>
  <c r="Q71" i="12"/>
  <c r="R71" i="12" s="1"/>
  <c r="Q70" i="12"/>
  <c r="R70" i="12" s="1"/>
  <c r="Q69" i="12"/>
  <c r="R69" i="12" s="1"/>
  <c r="Q68" i="12"/>
  <c r="R68" i="12" s="1"/>
  <c r="Q67" i="12"/>
  <c r="R67" i="12" s="1"/>
  <c r="Q66" i="12"/>
  <c r="Q64" i="12"/>
  <c r="R64" i="12" s="1"/>
  <c r="Q63" i="12"/>
  <c r="R63" i="12" s="1"/>
  <c r="Q62" i="12"/>
  <c r="R62" i="12" s="1"/>
  <c r="Q61" i="12"/>
  <c r="R61" i="12" s="1"/>
  <c r="Q60" i="12"/>
  <c r="R60" i="12" s="1"/>
  <c r="Q59" i="12"/>
  <c r="R59" i="12" s="1"/>
  <c r="Q58" i="12"/>
  <c r="R58" i="12" s="1"/>
  <c r="Q57" i="12"/>
  <c r="R57" i="12" s="1"/>
  <c r="Q56" i="12"/>
  <c r="R56" i="12" s="1"/>
  <c r="Q55" i="12"/>
  <c r="R55" i="12" s="1"/>
  <c r="Q54" i="12"/>
  <c r="R54" i="12" s="1"/>
  <c r="Q53" i="12"/>
  <c r="R53" i="12" s="1"/>
  <c r="Q52" i="12"/>
  <c r="R52" i="12" s="1"/>
  <c r="Q51" i="12"/>
  <c r="R51" i="12" s="1"/>
  <c r="Q50" i="12"/>
  <c r="Q48" i="12"/>
  <c r="R48" i="12" s="1"/>
  <c r="Q47" i="12"/>
  <c r="R47" i="12" s="1"/>
  <c r="Q46" i="12"/>
  <c r="R46" i="12" s="1"/>
  <c r="Q45" i="12"/>
  <c r="R45" i="12" s="1"/>
  <c r="Q44" i="12"/>
  <c r="R44" i="12" s="1"/>
  <c r="Q43" i="12"/>
  <c r="R43" i="12" s="1"/>
  <c r="Q42" i="12"/>
  <c r="R42" i="12" s="1"/>
  <c r="Q41" i="12"/>
  <c r="R41" i="12" s="1"/>
  <c r="Q40" i="12"/>
  <c r="R40" i="12" s="1"/>
  <c r="Q39" i="12"/>
  <c r="R39" i="12" s="1"/>
  <c r="Q38" i="12"/>
  <c r="R38" i="12" s="1"/>
  <c r="Q37" i="12"/>
  <c r="R37" i="12" s="1"/>
  <c r="Q36" i="12"/>
  <c r="R36" i="12" s="1"/>
  <c r="Q35" i="12"/>
  <c r="R35" i="12" s="1"/>
  <c r="Q34" i="12"/>
  <c r="Q32" i="12"/>
  <c r="R32" i="12" s="1"/>
  <c r="Q31" i="12"/>
  <c r="R31" i="12" s="1"/>
  <c r="Q30" i="12"/>
  <c r="R30" i="12" s="1"/>
  <c r="Q29" i="12"/>
  <c r="R29" i="12" s="1"/>
  <c r="Q28" i="12"/>
  <c r="R28" i="12" s="1"/>
  <c r="Q27" i="12"/>
  <c r="R27" i="12" s="1"/>
  <c r="Q26" i="12"/>
  <c r="R26" i="12" s="1"/>
  <c r="Q25" i="12"/>
  <c r="R25" i="12" s="1"/>
  <c r="Q24" i="12"/>
  <c r="R24" i="12" s="1"/>
  <c r="Q23" i="12"/>
  <c r="R23" i="12" s="1"/>
  <c r="Q22" i="12"/>
  <c r="R22" i="12" s="1"/>
  <c r="Q21" i="12"/>
  <c r="R21" i="12" s="1"/>
  <c r="Q20" i="12"/>
  <c r="R20" i="12" s="1"/>
  <c r="Q19" i="12"/>
  <c r="R19" i="12" s="1"/>
  <c r="Q18" i="12"/>
  <c r="R3" i="12"/>
  <c r="R4" i="12"/>
  <c r="R5" i="12"/>
  <c r="R6" i="12"/>
  <c r="R7" i="12"/>
  <c r="R8" i="12"/>
  <c r="R9" i="12"/>
  <c r="R10" i="12"/>
  <c r="R11" i="12"/>
  <c r="R12" i="12"/>
  <c r="R13" i="12"/>
  <c r="R14" i="12"/>
  <c r="R15" i="12"/>
  <c r="R16" i="12"/>
  <c r="R17" i="12"/>
  <c r="R2" i="12"/>
  <c r="Q17" i="12"/>
  <c r="Q16" i="12"/>
  <c r="Q15" i="12"/>
  <c r="Q14" i="12"/>
  <c r="Q13" i="12"/>
  <c r="Q12" i="12"/>
  <c r="Q11" i="12"/>
  <c r="Q10" i="12"/>
  <c r="Q9" i="12"/>
  <c r="Q8" i="12"/>
  <c r="Q7" i="12"/>
  <c r="Q6" i="12"/>
  <c r="Q5" i="12"/>
  <c r="Q4" i="12"/>
  <c r="Q3" i="12"/>
  <c r="Q2" i="12"/>
  <c r="N3" i="12"/>
  <c r="N4" i="12"/>
  <c r="N5" i="12"/>
  <c r="N6" i="12"/>
  <c r="N2" i="12"/>
  <c r="M6" i="12"/>
  <c r="M5" i="12"/>
  <c r="M4" i="12"/>
  <c r="M3" i="12"/>
  <c r="M2" i="12"/>
  <c r="J3" i="12"/>
  <c r="J4" i="12"/>
  <c r="J5" i="12"/>
  <c r="J6" i="12"/>
  <c r="J7" i="12"/>
  <c r="J8" i="12"/>
  <c r="J9" i="12"/>
  <c r="J10" i="12"/>
  <c r="J11" i="12"/>
  <c r="J12" i="12"/>
  <c r="J13" i="12"/>
  <c r="J14" i="12"/>
  <c r="J15" i="12"/>
  <c r="J16" i="12"/>
  <c r="J17" i="12"/>
  <c r="J18" i="12"/>
  <c r="I19" i="12"/>
  <c r="J19" i="12" s="1"/>
  <c r="I18" i="12"/>
  <c r="I17" i="12"/>
  <c r="I16" i="12"/>
  <c r="I15" i="12"/>
  <c r="I14" i="12"/>
  <c r="I13" i="12"/>
  <c r="I12" i="12"/>
  <c r="I11" i="12"/>
  <c r="I10" i="12"/>
  <c r="I9" i="12"/>
  <c r="I8" i="12"/>
  <c r="I7" i="12"/>
  <c r="I6" i="12"/>
  <c r="I5" i="12"/>
  <c r="I4" i="12"/>
  <c r="I3" i="12"/>
  <c r="L2" i="6"/>
  <c r="Y151" i="12" l="1"/>
  <c r="Z151" i="12" s="1"/>
  <c r="Y141" i="12"/>
  <c r="Z141" i="12" s="1"/>
  <c r="Y131" i="12"/>
  <c r="Z131" i="12" s="1"/>
  <c r="Y121" i="12"/>
  <c r="Z121" i="12" s="1"/>
  <c r="Y111" i="12"/>
  <c r="Z111" i="12" s="1"/>
  <c r="Y101" i="12"/>
  <c r="Z101" i="12" s="1"/>
  <c r="Y91" i="12"/>
  <c r="Z91" i="12" s="1"/>
  <c r="Y81" i="12"/>
  <c r="Z81" i="12" s="1"/>
  <c r="Y71" i="12"/>
  <c r="Z71" i="12" s="1"/>
  <c r="Y61" i="12"/>
  <c r="Z61" i="12" s="1"/>
  <c r="Y51" i="12"/>
  <c r="Z51" i="12" s="1"/>
  <c r="Y41" i="12"/>
  <c r="Z41" i="12" s="1"/>
  <c r="Y31" i="12"/>
  <c r="Z31" i="12" s="1"/>
  <c r="Y21" i="12"/>
  <c r="Z21" i="12" s="1"/>
  <c r="Z142" i="12"/>
  <c r="Z132" i="12"/>
  <c r="Z122" i="12"/>
  <c r="Z112" i="12"/>
  <c r="Z102" i="12"/>
  <c r="Z92" i="12"/>
  <c r="Z82" i="12"/>
  <c r="Z72" i="12"/>
  <c r="Z62" i="12"/>
  <c r="Z52" i="12"/>
  <c r="Z42" i="12"/>
  <c r="Z32" i="12"/>
  <c r="Z22" i="12"/>
  <c r="Z12" i="12"/>
  <c r="U65" i="12"/>
  <c r="V65" i="12" s="1"/>
  <c r="U49" i="12"/>
  <c r="V49" i="12" s="1"/>
  <c r="U33" i="12"/>
  <c r="V33" i="12" s="1"/>
  <c r="V50" i="12"/>
  <c r="V34" i="12"/>
  <c r="V18" i="12"/>
  <c r="Q273" i="12"/>
  <c r="R273" i="12" s="1"/>
  <c r="Q257" i="12"/>
  <c r="R257" i="12" s="1"/>
  <c r="Q241" i="12"/>
  <c r="R241" i="12" s="1"/>
  <c r="Q225" i="12"/>
  <c r="R225" i="12" s="1"/>
  <c r="Q209" i="12"/>
  <c r="R209" i="12" s="1"/>
  <c r="Q193" i="12"/>
  <c r="R193" i="12" s="1"/>
  <c r="Q177" i="12"/>
  <c r="R177" i="12" s="1"/>
  <c r="Q161" i="12"/>
  <c r="R161" i="12" s="1"/>
  <c r="Q145" i="12"/>
  <c r="R145" i="12" s="1"/>
  <c r="Q129" i="12"/>
  <c r="R129" i="12" s="1"/>
  <c r="Q113" i="12"/>
  <c r="R113" i="12" s="1"/>
  <c r="Q97" i="12"/>
  <c r="R97" i="12" s="1"/>
  <c r="Q81" i="12"/>
  <c r="R81" i="12" s="1"/>
  <c r="Q65" i="12"/>
  <c r="R65" i="12" s="1"/>
  <c r="Q49" i="12"/>
  <c r="R49" i="12" s="1"/>
  <c r="Q33" i="12"/>
  <c r="R33" i="12" s="1"/>
  <c r="R258" i="12"/>
  <c r="R242" i="12"/>
  <c r="R226" i="12"/>
  <c r="R210" i="12"/>
  <c r="R194" i="12"/>
  <c r="R178" i="12"/>
  <c r="R162" i="12"/>
  <c r="R147" i="12"/>
  <c r="R130" i="12"/>
  <c r="R114" i="12"/>
  <c r="R98" i="12"/>
  <c r="R82" i="12"/>
  <c r="R66" i="12"/>
  <c r="R50" i="12"/>
  <c r="R34" i="12"/>
  <c r="R18" i="12"/>
  <c r="AV18" i="6" l="1"/>
  <c r="AW18" i="6" s="1"/>
  <c r="AV17" i="6"/>
  <c r="AW17" i="6" s="1"/>
  <c r="AV15" i="6"/>
  <c r="AW15" i="6" s="1"/>
  <c r="AV14" i="6"/>
  <c r="AV12" i="6"/>
  <c r="AW12" i="6" s="1"/>
  <c r="AV11" i="6"/>
  <c r="AV9" i="6"/>
  <c r="AW9" i="6" s="1"/>
  <c r="AV8" i="6"/>
  <c r="AV6" i="6"/>
  <c r="AW6" i="6" s="1"/>
  <c r="AV5" i="6"/>
  <c r="AV3" i="6"/>
  <c r="AW3" i="6" s="1"/>
  <c r="AV2" i="6"/>
  <c r="AW2" i="6" s="1"/>
  <c r="AR42" i="6"/>
  <c r="AS42" i="6" s="1"/>
  <c r="AR41" i="6"/>
  <c r="AS41" i="6" s="1"/>
  <c r="AR40" i="6"/>
  <c r="AS40" i="6" s="1"/>
  <c r="AR39" i="6"/>
  <c r="AS39" i="6" s="1"/>
  <c r="AR38" i="6"/>
  <c r="AS38" i="6" s="1"/>
  <c r="AR37" i="6"/>
  <c r="AR35" i="6"/>
  <c r="AS35" i="6" s="1"/>
  <c r="AR34" i="6"/>
  <c r="AS34" i="6" s="1"/>
  <c r="AR33" i="6"/>
  <c r="AS33" i="6" s="1"/>
  <c r="AR32" i="6"/>
  <c r="AS32" i="6" s="1"/>
  <c r="AR31" i="6"/>
  <c r="AS31" i="6" s="1"/>
  <c r="AR30" i="6"/>
  <c r="AR28" i="6"/>
  <c r="AS28" i="6" s="1"/>
  <c r="AR27" i="6"/>
  <c r="AS27" i="6" s="1"/>
  <c r="AR26" i="6"/>
  <c r="AS26" i="6" s="1"/>
  <c r="AR25" i="6"/>
  <c r="AS25" i="6" s="1"/>
  <c r="AR24" i="6"/>
  <c r="AS24" i="6" s="1"/>
  <c r="AR23" i="6"/>
  <c r="AR21" i="6"/>
  <c r="AS21" i="6" s="1"/>
  <c r="AR20" i="6"/>
  <c r="AS20" i="6" s="1"/>
  <c r="AR19" i="6"/>
  <c r="AS19" i="6" s="1"/>
  <c r="AR18" i="6"/>
  <c r="AS18" i="6" s="1"/>
  <c r="AR17" i="6"/>
  <c r="AS17" i="6" s="1"/>
  <c r="AR16" i="6"/>
  <c r="AR14" i="6"/>
  <c r="AS14" i="6" s="1"/>
  <c r="AR13" i="6"/>
  <c r="AS13" i="6" s="1"/>
  <c r="AR12" i="6"/>
  <c r="AS12" i="6" s="1"/>
  <c r="AR11" i="6"/>
  <c r="AS11" i="6" s="1"/>
  <c r="AR10" i="6"/>
  <c r="AS10" i="6" s="1"/>
  <c r="AR9" i="6"/>
  <c r="AR7" i="6"/>
  <c r="AS7" i="6" s="1"/>
  <c r="AR6" i="6"/>
  <c r="AS6" i="6" s="1"/>
  <c r="AR5" i="6"/>
  <c r="AS5" i="6" s="1"/>
  <c r="AR3" i="6"/>
  <c r="AR4" i="6"/>
  <c r="AS4" i="6" s="1"/>
  <c r="AR2" i="6"/>
  <c r="AS2" i="6" s="1"/>
  <c r="AN105" i="6"/>
  <c r="AO105" i="6" s="1"/>
  <c r="AN104" i="6"/>
  <c r="AO104" i="6" s="1"/>
  <c r="AN103" i="6"/>
  <c r="AO103" i="6" s="1"/>
  <c r="AN102" i="6"/>
  <c r="AO102" i="6" s="1"/>
  <c r="AN101" i="6"/>
  <c r="AO101" i="6" s="1"/>
  <c r="AN100" i="6"/>
  <c r="AN98" i="6"/>
  <c r="AO98" i="6" s="1"/>
  <c r="AN97" i="6"/>
  <c r="AO97" i="6" s="1"/>
  <c r="AN96" i="6"/>
  <c r="AO96" i="6" s="1"/>
  <c r="AN95" i="6"/>
  <c r="AO95" i="6" s="1"/>
  <c r="AN94" i="6"/>
  <c r="AO94" i="6" s="1"/>
  <c r="AN93" i="6"/>
  <c r="AO93" i="6" s="1"/>
  <c r="AN91" i="6"/>
  <c r="AO91" i="6" s="1"/>
  <c r="AN90" i="6"/>
  <c r="AO90" i="6" s="1"/>
  <c r="AN89" i="6"/>
  <c r="AO89" i="6" s="1"/>
  <c r="AN88" i="6"/>
  <c r="AO88" i="6" s="1"/>
  <c r="AN87" i="6"/>
  <c r="AO87" i="6" s="1"/>
  <c r="AN86" i="6"/>
  <c r="AN84" i="6"/>
  <c r="AO84" i="6" s="1"/>
  <c r="AN83" i="6"/>
  <c r="AO83" i="6" s="1"/>
  <c r="AN82" i="6"/>
  <c r="AO82" i="6" s="1"/>
  <c r="AN81" i="6"/>
  <c r="AO81" i="6" s="1"/>
  <c r="AN80" i="6"/>
  <c r="AO80" i="6" s="1"/>
  <c r="AN79" i="6"/>
  <c r="AN77" i="6"/>
  <c r="AO77" i="6" s="1"/>
  <c r="AN76" i="6"/>
  <c r="AO76" i="6" s="1"/>
  <c r="AN75" i="6"/>
  <c r="AO75" i="6" s="1"/>
  <c r="AN74" i="6"/>
  <c r="AO74" i="6" s="1"/>
  <c r="AN73" i="6"/>
  <c r="AO73" i="6" s="1"/>
  <c r="AN72" i="6"/>
  <c r="AN70" i="6"/>
  <c r="AO70" i="6" s="1"/>
  <c r="AN69" i="6"/>
  <c r="AO69" i="6" s="1"/>
  <c r="AN68" i="6"/>
  <c r="AO68" i="6" s="1"/>
  <c r="AN67" i="6"/>
  <c r="AO67" i="6" s="1"/>
  <c r="AN66" i="6"/>
  <c r="AO66" i="6" s="1"/>
  <c r="AN65" i="6"/>
  <c r="AN63" i="6"/>
  <c r="AO63" i="6" s="1"/>
  <c r="AN62" i="6"/>
  <c r="AO62" i="6" s="1"/>
  <c r="AN61" i="6"/>
  <c r="AO61" i="6" s="1"/>
  <c r="AN60" i="6"/>
  <c r="AO60" i="6" s="1"/>
  <c r="AN59" i="6"/>
  <c r="AO59" i="6" s="1"/>
  <c r="AN58" i="6"/>
  <c r="AO58" i="6" s="1"/>
  <c r="AN56" i="6"/>
  <c r="AO56" i="6" s="1"/>
  <c r="AN55" i="6"/>
  <c r="AO55" i="6" s="1"/>
  <c r="AN54" i="6"/>
  <c r="AO54" i="6" s="1"/>
  <c r="AN53" i="6"/>
  <c r="AO53" i="6" s="1"/>
  <c r="AN52" i="6"/>
  <c r="AO52" i="6" s="1"/>
  <c r="AN51" i="6"/>
  <c r="AN49" i="6"/>
  <c r="AO49" i="6" s="1"/>
  <c r="AN48" i="6"/>
  <c r="AO48" i="6" s="1"/>
  <c r="AN47" i="6"/>
  <c r="AO47" i="6" s="1"/>
  <c r="AN46" i="6"/>
  <c r="AO46" i="6" s="1"/>
  <c r="AN45" i="6"/>
  <c r="AO45" i="6" s="1"/>
  <c r="AN44" i="6"/>
  <c r="AN42" i="6"/>
  <c r="AO42" i="6" s="1"/>
  <c r="AN41" i="6"/>
  <c r="AO41" i="6" s="1"/>
  <c r="AN40" i="6"/>
  <c r="AO40" i="6" s="1"/>
  <c r="AN39" i="6"/>
  <c r="AO39" i="6" s="1"/>
  <c r="AN38" i="6"/>
  <c r="AO38" i="6" s="1"/>
  <c r="AN37" i="6"/>
  <c r="AN35" i="6"/>
  <c r="AO35" i="6" s="1"/>
  <c r="AN34" i="6"/>
  <c r="AO34" i="6" s="1"/>
  <c r="AN33" i="6"/>
  <c r="AO33" i="6" s="1"/>
  <c r="AN32" i="6"/>
  <c r="AO32" i="6" s="1"/>
  <c r="AN31" i="6"/>
  <c r="AO31" i="6" s="1"/>
  <c r="AN30" i="6"/>
  <c r="AN28" i="6"/>
  <c r="AO28" i="6" s="1"/>
  <c r="AN27" i="6"/>
  <c r="AO27" i="6" s="1"/>
  <c r="AN26" i="6"/>
  <c r="AO26" i="6" s="1"/>
  <c r="AN25" i="6"/>
  <c r="AO25" i="6" s="1"/>
  <c r="AN24" i="6"/>
  <c r="AO24" i="6" s="1"/>
  <c r="AN23" i="6"/>
  <c r="AN21" i="6"/>
  <c r="AO21" i="6" s="1"/>
  <c r="AN20" i="6"/>
  <c r="AO20" i="6" s="1"/>
  <c r="AN19" i="6"/>
  <c r="AO19" i="6" s="1"/>
  <c r="AN18" i="6"/>
  <c r="AO18" i="6" s="1"/>
  <c r="AN17" i="6"/>
  <c r="AO17" i="6" s="1"/>
  <c r="AN16" i="6"/>
  <c r="AN14" i="6"/>
  <c r="AO14" i="6" s="1"/>
  <c r="AN13" i="6"/>
  <c r="AO13" i="6" s="1"/>
  <c r="AN12" i="6"/>
  <c r="AO12" i="6" s="1"/>
  <c r="AN11" i="6"/>
  <c r="AO11" i="6" s="1"/>
  <c r="AN10" i="6"/>
  <c r="AO10" i="6" s="1"/>
  <c r="AN9" i="6"/>
  <c r="AN7" i="6"/>
  <c r="AO7" i="6" s="1"/>
  <c r="AN6" i="6"/>
  <c r="AO6" i="6" s="1"/>
  <c r="AN5" i="6"/>
  <c r="AO5" i="6" s="1"/>
  <c r="AN4" i="6"/>
  <c r="AO4" i="6" s="1"/>
  <c r="AN3" i="6"/>
  <c r="AO3" i="6" s="1"/>
  <c r="AN2" i="6"/>
  <c r="AO2" i="6" s="1"/>
  <c r="AJ105" i="6"/>
  <c r="AK105" i="6" s="1"/>
  <c r="AJ104" i="6"/>
  <c r="AK104" i="6" s="1"/>
  <c r="AJ103" i="6"/>
  <c r="AK103" i="6" s="1"/>
  <c r="AJ102" i="6"/>
  <c r="AK102" i="6" s="1"/>
  <c r="AJ101" i="6"/>
  <c r="AK101" i="6" s="1"/>
  <c r="AJ100" i="6"/>
  <c r="AJ98" i="6"/>
  <c r="AK98" i="6" s="1"/>
  <c r="AJ97" i="6"/>
  <c r="AK97" i="6" s="1"/>
  <c r="AJ96" i="6"/>
  <c r="AK96" i="6" s="1"/>
  <c r="AJ95" i="6"/>
  <c r="AK95" i="6" s="1"/>
  <c r="AJ94" i="6"/>
  <c r="AK94" i="6" s="1"/>
  <c r="AJ93" i="6"/>
  <c r="AJ91" i="6"/>
  <c r="AK91" i="6" s="1"/>
  <c r="AJ90" i="6"/>
  <c r="AK90" i="6" s="1"/>
  <c r="AJ89" i="6"/>
  <c r="AK89" i="6" s="1"/>
  <c r="AJ88" i="6"/>
  <c r="AK88" i="6" s="1"/>
  <c r="AJ87" i="6"/>
  <c r="AK87" i="6" s="1"/>
  <c r="AJ86" i="6"/>
  <c r="AJ84" i="6"/>
  <c r="AK84" i="6" s="1"/>
  <c r="AJ83" i="6"/>
  <c r="AK83" i="6" s="1"/>
  <c r="AJ82" i="6"/>
  <c r="AK82" i="6" s="1"/>
  <c r="AJ81" i="6"/>
  <c r="AK81" i="6" s="1"/>
  <c r="AJ80" i="6"/>
  <c r="AK80" i="6" s="1"/>
  <c r="AJ79" i="6"/>
  <c r="AJ77" i="6"/>
  <c r="AK77" i="6" s="1"/>
  <c r="AJ76" i="6"/>
  <c r="AK76" i="6" s="1"/>
  <c r="AJ75" i="6"/>
  <c r="AK75" i="6" s="1"/>
  <c r="AJ74" i="6"/>
  <c r="AK74" i="6" s="1"/>
  <c r="AJ73" i="6"/>
  <c r="AK73" i="6" s="1"/>
  <c r="AJ72" i="6"/>
  <c r="AJ70" i="6"/>
  <c r="AK70" i="6" s="1"/>
  <c r="AJ69" i="6"/>
  <c r="AK69" i="6" s="1"/>
  <c r="AJ68" i="6"/>
  <c r="AK68" i="6" s="1"/>
  <c r="AJ67" i="6"/>
  <c r="AK67" i="6" s="1"/>
  <c r="AJ66" i="6"/>
  <c r="AK66" i="6" s="1"/>
  <c r="AJ65" i="6"/>
  <c r="AJ63" i="6"/>
  <c r="AK63" i="6" s="1"/>
  <c r="AJ62" i="6"/>
  <c r="AK62" i="6" s="1"/>
  <c r="AJ61" i="6"/>
  <c r="AK61" i="6" s="1"/>
  <c r="AJ60" i="6"/>
  <c r="AK60" i="6" s="1"/>
  <c r="AJ59" i="6"/>
  <c r="AK59" i="6" s="1"/>
  <c r="AJ58" i="6"/>
  <c r="AJ56" i="6"/>
  <c r="AK56" i="6" s="1"/>
  <c r="AJ55" i="6"/>
  <c r="AK55" i="6" s="1"/>
  <c r="AJ54" i="6"/>
  <c r="AK54" i="6" s="1"/>
  <c r="AJ53" i="6"/>
  <c r="AK53" i="6" s="1"/>
  <c r="AJ52" i="6"/>
  <c r="AK52" i="6" s="1"/>
  <c r="AJ51" i="6"/>
  <c r="AJ49" i="6"/>
  <c r="AK49" i="6" s="1"/>
  <c r="AJ48" i="6"/>
  <c r="AK48" i="6" s="1"/>
  <c r="AJ47" i="6"/>
  <c r="AK47" i="6" s="1"/>
  <c r="AJ46" i="6"/>
  <c r="AK46" i="6" s="1"/>
  <c r="AJ45" i="6"/>
  <c r="AK45" i="6" s="1"/>
  <c r="AJ44" i="6"/>
  <c r="AJ42" i="6"/>
  <c r="AK42" i="6" s="1"/>
  <c r="AJ41" i="6"/>
  <c r="AK41" i="6" s="1"/>
  <c r="AJ40" i="6"/>
  <c r="AK40" i="6" s="1"/>
  <c r="AJ39" i="6"/>
  <c r="AK39" i="6" s="1"/>
  <c r="AJ38" i="6"/>
  <c r="AK38" i="6" s="1"/>
  <c r="AJ37" i="6"/>
  <c r="AJ35" i="6"/>
  <c r="AK35" i="6" s="1"/>
  <c r="AJ34" i="6"/>
  <c r="AK34" i="6" s="1"/>
  <c r="AJ33" i="6"/>
  <c r="AK33" i="6" s="1"/>
  <c r="AJ32" i="6"/>
  <c r="AK32" i="6" s="1"/>
  <c r="AJ31" i="6"/>
  <c r="AK31" i="6" s="1"/>
  <c r="AJ30" i="6"/>
  <c r="AJ28" i="6"/>
  <c r="AK28" i="6" s="1"/>
  <c r="AJ27" i="6"/>
  <c r="AK27" i="6" s="1"/>
  <c r="AJ26" i="6"/>
  <c r="AK26" i="6" s="1"/>
  <c r="AJ25" i="6"/>
  <c r="AK25" i="6" s="1"/>
  <c r="AJ24" i="6"/>
  <c r="AK24" i="6" s="1"/>
  <c r="AJ23" i="6"/>
  <c r="AJ21" i="6"/>
  <c r="AK21" i="6" s="1"/>
  <c r="AJ20" i="6"/>
  <c r="AK20" i="6" s="1"/>
  <c r="AJ19" i="6"/>
  <c r="AK19" i="6" s="1"/>
  <c r="AJ18" i="6"/>
  <c r="AK18" i="6" s="1"/>
  <c r="AJ17" i="6"/>
  <c r="AK17" i="6" s="1"/>
  <c r="AJ16" i="6"/>
  <c r="AJ14" i="6"/>
  <c r="AK14" i="6" s="1"/>
  <c r="AJ13" i="6"/>
  <c r="AK13" i="6" s="1"/>
  <c r="AJ12" i="6"/>
  <c r="AK12" i="6" s="1"/>
  <c r="AJ11" i="6"/>
  <c r="AK11" i="6" s="1"/>
  <c r="AJ10" i="6"/>
  <c r="AK10" i="6" s="1"/>
  <c r="AJ9" i="6"/>
  <c r="AK8" i="6"/>
  <c r="AJ8" i="6"/>
  <c r="AJ7" i="6"/>
  <c r="AK7" i="6" s="1"/>
  <c r="AJ6" i="6"/>
  <c r="AK6" i="6" s="1"/>
  <c r="AJ5" i="6"/>
  <c r="AK5" i="6" s="1"/>
  <c r="AJ4" i="6"/>
  <c r="AK4" i="6" s="1"/>
  <c r="AJ3" i="6"/>
  <c r="AK3" i="6" s="1"/>
  <c r="AJ2" i="6"/>
  <c r="AK2" i="6" s="1"/>
  <c r="AF240" i="6"/>
  <c r="AG240" i="6" s="1"/>
  <c r="AF239" i="6"/>
  <c r="AG239" i="6" s="1"/>
  <c r="AF238" i="6"/>
  <c r="AG238" i="6" s="1"/>
  <c r="AF237" i="6"/>
  <c r="AG237" i="6" s="1"/>
  <c r="AF236" i="6"/>
  <c r="AG236" i="6" s="1"/>
  <c r="AF235" i="6"/>
  <c r="AG235" i="6" s="1"/>
  <c r="AF234" i="6"/>
  <c r="AG234" i="6" s="1"/>
  <c r="AF233" i="6"/>
  <c r="AG233" i="6" s="1"/>
  <c r="AF232" i="6"/>
  <c r="AG232" i="6" s="1"/>
  <c r="AF231" i="6"/>
  <c r="AG231" i="6" s="1"/>
  <c r="AF230" i="6"/>
  <c r="AG230" i="6" s="1"/>
  <c r="AF229" i="6"/>
  <c r="AG229" i="6" s="1"/>
  <c r="AF228" i="6"/>
  <c r="AG228" i="6" s="1"/>
  <c r="AF227" i="6"/>
  <c r="AG227" i="6" s="1"/>
  <c r="AF226" i="6"/>
  <c r="AF224" i="6"/>
  <c r="AG224" i="6" s="1"/>
  <c r="AF223" i="6"/>
  <c r="AG223" i="6" s="1"/>
  <c r="AF222" i="6"/>
  <c r="AG222" i="6" s="1"/>
  <c r="AF221" i="6"/>
  <c r="AG221" i="6" s="1"/>
  <c r="AF220" i="6"/>
  <c r="AG220" i="6" s="1"/>
  <c r="AF219" i="6"/>
  <c r="AG219" i="6" s="1"/>
  <c r="AF218" i="6"/>
  <c r="AG218" i="6" s="1"/>
  <c r="AF217" i="6"/>
  <c r="AG217" i="6" s="1"/>
  <c r="AF216" i="6"/>
  <c r="AG216" i="6" s="1"/>
  <c r="AF215" i="6"/>
  <c r="AG215" i="6" s="1"/>
  <c r="AF214" i="6"/>
  <c r="AG214" i="6" s="1"/>
  <c r="AF213" i="6"/>
  <c r="AG213" i="6" s="1"/>
  <c r="AF212" i="6"/>
  <c r="AG212" i="6" s="1"/>
  <c r="AF211" i="6"/>
  <c r="AG211" i="6" s="1"/>
  <c r="AF210" i="6"/>
  <c r="AG210" i="6" s="1"/>
  <c r="AF208" i="6"/>
  <c r="AG208" i="6" s="1"/>
  <c r="AF207" i="6"/>
  <c r="AG207" i="6" s="1"/>
  <c r="AF206" i="6"/>
  <c r="AG206" i="6" s="1"/>
  <c r="AF205" i="6"/>
  <c r="AG205" i="6" s="1"/>
  <c r="AF204" i="6"/>
  <c r="AG204" i="6" s="1"/>
  <c r="AF203" i="6"/>
  <c r="AG203" i="6" s="1"/>
  <c r="AF202" i="6"/>
  <c r="AG202" i="6" s="1"/>
  <c r="AF201" i="6"/>
  <c r="AG201" i="6" s="1"/>
  <c r="AF200" i="6"/>
  <c r="AG200" i="6" s="1"/>
  <c r="AF199" i="6"/>
  <c r="AG199" i="6" s="1"/>
  <c r="AF198" i="6"/>
  <c r="AG198" i="6" s="1"/>
  <c r="AF197" i="6"/>
  <c r="AG197" i="6" s="1"/>
  <c r="AF196" i="6"/>
  <c r="AG196" i="6" s="1"/>
  <c r="AF195" i="6"/>
  <c r="AG195" i="6" s="1"/>
  <c r="AF194" i="6"/>
  <c r="AG194" i="6" s="1"/>
  <c r="AF192" i="6"/>
  <c r="AG192" i="6" s="1"/>
  <c r="AF191" i="6"/>
  <c r="AG191" i="6" s="1"/>
  <c r="AF190" i="6"/>
  <c r="AG190" i="6" s="1"/>
  <c r="AF189" i="6"/>
  <c r="AG189" i="6" s="1"/>
  <c r="AF188" i="6"/>
  <c r="AG188" i="6" s="1"/>
  <c r="AF187" i="6"/>
  <c r="AG187" i="6" s="1"/>
  <c r="AF186" i="6"/>
  <c r="AG186" i="6" s="1"/>
  <c r="AF185" i="6"/>
  <c r="AG185" i="6" s="1"/>
  <c r="AF184" i="6"/>
  <c r="AG184" i="6" s="1"/>
  <c r="AF183" i="6"/>
  <c r="AG183" i="6" s="1"/>
  <c r="AF182" i="6"/>
  <c r="AG182" i="6" s="1"/>
  <c r="AF181" i="6"/>
  <c r="AG181" i="6" s="1"/>
  <c r="AF180" i="6"/>
  <c r="AG180" i="6" s="1"/>
  <c r="AF179" i="6"/>
  <c r="AG179" i="6" s="1"/>
  <c r="AF178" i="6"/>
  <c r="AF176" i="6"/>
  <c r="AG176" i="6" s="1"/>
  <c r="AF175" i="6"/>
  <c r="AG175" i="6" s="1"/>
  <c r="AF174" i="6"/>
  <c r="AG174" i="6" s="1"/>
  <c r="AF173" i="6"/>
  <c r="AG173" i="6" s="1"/>
  <c r="AF172" i="6"/>
  <c r="AG172" i="6" s="1"/>
  <c r="AF171" i="6"/>
  <c r="AG171" i="6" s="1"/>
  <c r="AF170" i="6"/>
  <c r="AG170" i="6" s="1"/>
  <c r="AF169" i="6"/>
  <c r="AG169" i="6" s="1"/>
  <c r="AF168" i="6"/>
  <c r="AG168" i="6" s="1"/>
  <c r="AF167" i="6"/>
  <c r="AG167" i="6" s="1"/>
  <c r="AF166" i="6"/>
  <c r="AG166" i="6" s="1"/>
  <c r="AF165" i="6"/>
  <c r="AG165" i="6" s="1"/>
  <c r="AF164" i="6"/>
  <c r="AG164" i="6" s="1"/>
  <c r="AF163" i="6"/>
  <c r="AG163" i="6" s="1"/>
  <c r="AF162" i="6"/>
  <c r="AF160" i="6"/>
  <c r="AG160" i="6" s="1"/>
  <c r="AF159" i="6"/>
  <c r="AG159" i="6" s="1"/>
  <c r="AF158" i="6"/>
  <c r="AG158" i="6" s="1"/>
  <c r="AF157" i="6"/>
  <c r="AG157" i="6" s="1"/>
  <c r="AF156" i="6"/>
  <c r="AG156" i="6" s="1"/>
  <c r="AF155" i="6"/>
  <c r="AG155" i="6" s="1"/>
  <c r="AF154" i="6"/>
  <c r="AG154" i="6" s="1"/>
  <c r="AF153" i="6"/>
  <c r="AG153" i="6" s="1"/>
  <c r="AF152" i="6"/>
  <c r="AG152" i="6" s="1"/>
  <c r="AF151" i="6"/>
  <c r="AG151" i="6" s="1"/>
  <c r="AF150" i="6"/>
  <c r="AG150" i="6" s="1"/>
  <c r="AF149" i="6"/>
  <c r="AG149" i="6" s="1"/>
  <c r="AF148" i="6"/>
  <c r="AG148" i="6" s="1"/>
  <c r="AF147" i="6"/>
  <c r="AG147" i="6" s="1"/>
  <c r="AF146" i="6"/>
  <c r="AF144" i="6"/>
  <c r="AG144" i="6" s="1"/>
  <c r="AF143" i="6"/>
  <c r="AG143" i="6" s="1"/>
  <c r="AF142" i="6"/>
  <c r="AG142" i="6" s="1"/>
  <c r="AF141" i="6"/>
  <c r="AG141" i="6" s="1"/>
  <c r="AF140" i="6"/>
  <c r="AG140" i="6" s="1"/>
  <c r="AF139" i="6"/>
  <c r="AG139" i="6" s="1"/>
  <c r="AF138" i="6"/>
  <c r="AG138" i="6" s="1"/>
  <c r="AF137" i="6"/>
  <c r="AG137" i="6" s="1"/>
  <c r="AF136" i="6"/>
  <c r="AG136" i="6" s="1"/>
  <c r="AF135" i="6"/>
  <c r="AG135" i="6" s="1"/>
  <c r="AF134" i="6"/>
  <c r="AG134" i="6" s="1"/>
  <c r="AF133" i="6"/>
  <c r="AG133" i="6" s="1"/>
  <c r="AF132" i="6"/>
  <c r="AG132" i="6" s="1"/>
  <c r="AF131" i="6"/>
  <c r="AG131" i="6" s="1"/>
  <c r="AF130" i="6"/>
  <c r="AG130" i="6" s="1"/>
  <c r="AF128" i="6"/>
  <c r="AG128" i="6" s="1"/>
  <c r="AF127" i="6"/>
  <c r="AG127" i="6" s="1"/>
  <c r="AF126" i="6"/>
  <c r="AG126" i="6" s="1"/>
  <c r="AF125" i="6"/>
  <c r="AG125" i="6" s="1"/>
  <c r="AF124" i="6"/>
  <c r="AG124" i="6" s="1"/>
  <c r="AF123" i="6"/>
  <c r="AG123" i="6" s="1"/>
  <c r="AF122" i="6"/>
  <c r="AG122" i="6" s="1"/>
  <c r="AF121" i="6"/>
  <c r="AG121" i="6" s="1"/>
  <c r="AF120" i="6"/>
  <c r="AG120" i="6" s="1"/>
  <c r="AF119" i="6"/>
  <c r="AG119" i="6" s="1"/>
  <c r="AF118" i="6"/>
  <c r="AG118" i="6" s="1"/>
  <c r="AF117" i="6"/>
  <c r="AG117" i="6" s="1"/>
  <c r="AF116" i="6"/>
  <c r="AG116" i="6" s="1"/>
  <c r="AF115" i="6"/>
  <c r="AG115" i="6" s="1"/>
  <c r="AF114" i="6"/>
  <c r="AF112" i="6"/>
  <c r="AG112" i="6" s="1"/>
  <c r="AF111" i="6"/>
  <c r="AG111" i="6" s="1"/>
  <c r="AF110" i="6"/>
  <c r="AG110" i="6" s="1"/>
  <c r="AF109" i="6"/>
  <c r="AG109" i="6" s="1"/>
  <c r="AF108" i="6"/>
  <c r="AG108" i="6" s="1"/>
  <c r="AF107" i="6"/>
  <c r="AG107" i="6" s="1"/>
  <c r="AF106" i="6"/>
  <c r="AG106" i="6" s="1"/>
  <c r="AF105" i="6"/>
  <c r="AG105" i="6" s="1"/>
  <c r="AF104" i="6"/>
  <c r="AG104" i="6" s="1"/>
  <c r="AF103" i="6"/>
  <c r="AG103" i="6" s="1"/>
  <c r="AF102" i="6"/>
  <c r="AG102" i="6" s="1"/>
  <c r="AF101" i="6"/>
  <c r="AG101" i="6" s="1"/>
  <c r="AF100" i="6"/>
  <c r="AG100" i="6" s="1"/>
  <c r="AF99" i="6"/>
  <c r="AG99" i="6" s="1"/>
  <c r="AF98" i="6"/>
  <c r="AF96" i="6"/>
  <c r="AG96" i="6" s="1"/>
  <c r="AF95" i="6"/>
  <c r="AG95" i="6" s="1"/>
  <c r="AF94" i="6"/>
  <c r="AG94" i="6" s="1"/>
  <c r="AF93" i="6"/>
  <c r="AG93" i="6" s="1"/>
  <c r="AF92" i="6"/>
  <c r="AG92" i="6" s="1"/>
  <c r="AF91" i="6"/>
  <c r="AG91" i="6" s="1"/>
  <c r="AF90" i="6"/>
  <c r="AG90" i="6" s="1"/>
  <c r="AF89" i="6"/>
  <c r="AG89" i="6" s="1"/>
  <c r="AF88" i="6"/>
  <c r="AG88" i="6" s="1"/>
  <c r="AF87" i="6"/>
  <c r="AG87" i="6" s="1"/>
  <c r="AF86" i="6"/>
  <c r="AG86" i="6" s="1"/>
  <c r="AF85" i="6"/>
  <c r="AG85" i="6" s="1"/>
  <c r="AF84" i="6"/>
  <c r="AG84" i="6" s="1"/>
  <c r="AF83" i="6"/>
  <c r="AG83" i="6" s="1"/>
  <c r="AF82" i="6"/>
  <c r="AF80" i="6"/>
  <c r="AG80" i="6" s="1"/>
  <c r="AF79" i="6"/>
  <c r="AG79" i="6" s="1"/>
  <c r="AF78" i="6"/>
  <c r="AG78" i="6" s="1"/>
  <c r="AF77" i="6"/>
  <c r="AG77" i="6" s="1"/>
  <c r="AF76" i="6"/>
  <c r="AG76" i="6" s="1"/>
  <c r="AF75" i="6"/>
  <c r="AG75" i="6" s="1"/>
  <c r="AF74" i="6"/>
  <c r="AG74" i="6" s="1"/>
  <c r="AF73" i="6"/>
  <c r="AG73" i="6" s="1"/>
  <c r="AF72" i="6"/>
  <c r="AG72" i="6" s="1"/>
  <c r="AF71" i="6"/>
  <c r="AG71" i="6" s="1"/>
  <c r="AF70" i="6"/>
  <c r="AG70" i="6" s="1"/>
  <c r="AF69" i="6"/>
  <c r="AG69" i="6" s="1"/>
  <c r="AF68" i="6"/>
  <c r="AG68" i="6" s="1"/>
  <c r="AF67" i="6"/>
  <c r="AG67" i="6" s="1"/>
  <c r="AF66" i="6"/>
  <c r="AF64" i="6"/>
  <c r="AG64" i="6" s="1"/>
  <c r="AF63" i="6"/>
  <c r="AG63" i="6" s="1"/>
  <c r="AF62" i="6"/>
  <c r="AG62" i="6" s="1"/>
  <c r="AF61" i="6"/>
  <c r="AG61" i="6" s="1"/>
  <c r="AF60" i="6"/>
  <c r="AG60" i="6" s="1"/>
  <c r="AF59" i="6"/>
  <c r="AG59" i="6" s="1"/>
  <c r="AF58" i="6"/>
  <c r="AG58" i="6" s="1"/>
  <c r="AF57" i="6"/>
  <c r="AG57" i="6" s="1"/>
  <c r="AF56" i="6"/>
  <c r="AG56" i="6" s="1"/>
  <c r="AF55" i="6"/>
  <c r="AG55" i="6" s="1"/>
  <c r="AF54" i="6"/>
  <c r="AG54" i="6" s="1"/>
  <c r="AF53" i="6"/>
  <c r="AG53" i="6" s="1"/>
  <c r="AF52" i="6"/>
  <c r="AG52" i="6" s="1"/>
  <c r="AF51" i="6"/>
  <c r="AG51" i="6" s="1"/>
  <c r="AF50" i="6"/>
  <c r="AF48" i="6"/>
  <c r="AG48" i="6" s="1"/>
  <c r="AF47" i="6"/>
  <c r="AG47" i="6" s="1"/>
  <c r="AF46" i="6"/>
  <c r="AG46" i="6" s="1"/>
  <c r="AF45" i="6"/>
  <c r="AG45" i="6" s="1"/>
  <c r="AF44" i="6"/>
  <c r="AG44" i="6" s="1"/>
  <c r="AF43" i="6"/>
  <c r="AG43" i="6" s="1"/>
  <c r="AF42" i="6"/>
  <c r="AG42" i="6" s="1"/>
  <c r="AF41" i="6"/>
  <c r="AG41" i="6" s="1"/>
  <c r="AF40" i="6"/>
  <c r="AG40" i="6" s="1"/>
  <c r="AF39" i="6"/>
  <c r="AG39" i="6" s="1"/>
  <c r="AF38" i="6"/>
  <c r="AG38" i="6" s="1"/>
  <c r="AF37" i="6"/>
  <c r="AG37" i="6" s="1"/>
  <c r="AF36" i="6"/>
  <c r="AG36" i="6" s="1"/>
  <c r="AF35" i="6"/>
  <c r="AG35" i="6" s="1"/>
  <c r="AF34" i="6"/>
  <c r="AF32" i="6"/>
  <c r="AG32" i="6" s="1"/>
  <c r="AF31" i="6"/>
  <c r="AG31" i="6" s="1"/>
  <c r="AF30" i="6"/>
  <c r="AG30" i="6" s="1"/>
  <c r="AF29" i="6"/>
  <c r="AG29" i="6" s="1"/>
  <c r="AF28" i="6"/>
  <c r="AG28" i="6" s="1"/>
  <c r="AF27" i="6"/>
  <c r="AG27" i="6" s="1"/>
  <c r="AF26" i="6"/>
  <c r="AG26" i="6" s="1"/>
  <c r="AF25" i="6"/>
  <c r="AG25" i="6" s="1"/>
  <c r="AF24" i="6"/>
  <c r="AG24" i="6" s="1"/>
  <c r="AF23" i="6"/>
  <c r="AG23" i="6" s="1"/>
  <c r="AF22" i="6"/>
  <c r="AG22" i="6" s="1"/>
  <c r="AF21" i="6"/>
  <c r="AG21" i="6" s="1"/>
  <c r="AF20" i="6"/>
  <c r="AG20" i="6" s="1"/>
  <c r="AF19" i="6"/>
  <c r="AG19" i="6" s="1"/>
  <c r="AF18" i="6"/>
  <c r="AF16" i="6"/>
  <c r="AG16" i="6" s="1"/>
  <c r="AF15" i="6"/>
  <c r="AG15" i="6" s="1"/>
  <c r="AF14" i="6"/>
  <c r="AG14" i="6" s="1"/>
  <c r="AF13" i="6"/>
  <c r="AG13" i="6" s="1"/>
  <c r="AF12" i="6"/>
  <c r="AG12" i="6" s="1"/>
  <c r="AF11" i="6"/>
  <c r="AG11" i="6" s="1"/>
  <c r="AF10" i="6"/>
  <c r="AG10" i="6" s="1"/>
  <c r="AF9" i="6"/>
  <c r="AG9" i="6" s="1"/>
  <c r="AF8" i="6"/>
  <c r="AG8" i="6" s="1"/>
  <c r="AF7" i="6"/>
  <c r="AG7" i="6" s="1"/>
  <c r="AF6" i="6"/>
  <c r="AG6" i="6" s="1"/>
  <c r="AF5" i="6"/>
  <c r="AG5" i="6" s="1"/>
  <c r="AF4" i="6"/>
  <c r="AG4" i="6" s="1"/>
  <c r="AF3" i="6"/>
  <c r="AG3" i="6" s="1"/>
  <c r="AG2" i="6"/>
  <c r="AF2" i="6"/>
  <c r="AN8" i="6" l="1"/>
  <c r="AO8" i="6" s="1"/>
  <c r="AV4" i="6"/>
  <c r="AW4" i="6" s="1"/>
  <c r="AV16" i="6"/>
  <c r="AW16" i="6" s="1"/>
  <c r="AV13" i="6"/>
  <c r="AW13" i="6" s="1"/>
  <c r="AV10" i="6"/>
  <c r="AW10" i="6" s="1"/>
  <c r="AV7" i="6"/>
  <c r="AW7" i="6" s="1"/>
  <c r="AV19" i="6"/>
  <c r="AW19" i="6" s="1"/>
  <c r="AW14" i="6"/>
  <c r="AW11" i="6"/>
  <c r="AW8" i="6"/>
  <c r="AW5" i="6"/>
  <c r="AR43" i="6"/>
  <c r="AS43" i="6" s="1"/>
  <c r="AR36" i="6"/>
  <c r="AS36" i="6" s="1"/>
  <c r="AR29" i="6"/>
  <c r="AS29" i="6" s="1"/>
  <c r="AR22" i="6"/>
  <c r="AS22" i="6" s="1"/>
  <c r="AR15" i="6"/>
  <c r="AS15" i="6" s="1"/>
  <c r="AS37" i="6"/>
  <c r="AS30" i="6"/>
  <c r="AS23" i="6"/>
  <c r="AS16" i="6"/>
  <c r="AS9" i="6"/>
  <c r="AR8" i="6"/>
  <c r="AS8" i="6" s="1"/>
  <c r="AS3" i="6"/>
  <c r="AN106" i="6"/>
  <c r="AO106" i="6" s="1"/>
  <c r="AN92" i="6"/>
  <c r="AO92" i="6" s="1"/>
  <c r="AN85" i="6"/>
  <c r="AO85" i="6" s="1"/>
  <c r="AN78" i="6"/>
  <c r="AO78" i="6" s="1"/>
  <c r="AN71" i="6"/>
  <c r="AO71" i="6" s="1"/>
  <c r="AN57" i="6"/>
  <c r="AO57" i="6" s="1"/>
  <c r="AN50" i="6"/>
  <c r="AO50" i="6" s="1"/>
  <c r="AN43" i="6"/>
  <c r="AO43" i="6" s="1"/>
  <c r="AN36" i="6"/>
  <c r="AO36" i="6" s="1"/>
  <c r="AN29" i="6"/>
  <c r="AO29" i="6" s="1"/>
  <c r="AN22" i="6"/>
  <c r="AO22" i="6" s="1"/>
  <c r="AN15" i="6"/>
  <c r="AO15" i="6" s="1"/>
  <c r="AO100" i="6"/>
  <c r="AN99" i="6"/>
  <c r="AO99" i="6" s="1"/>
  <c r="AO86" i="6"/>
  <c r="AO79" i="6"/>
  <c r="AO72" i="6"/>
  <c r="AO65" i="6"/>
  <c r="AN64" i="6"/>
  <c r="AO64" i="6" s="1"/>
  <c r="AO51" i="6"/>
  <c r="AO44" i="6"/>
  <c r="AO37" i="6"/>
  <c r="AO30" i="6"/>
  <c r="AO23" i="6"/>
  <c r="AO16" i="6"/>
  <c r="AO9" i="6"/>
  <c r="AJ106" i="6"/>
  <c r="AK106" i="6" s="1"/>
  <c r="AJ99" i="6"/>
  <c r="AK99" i="6" s="1"/>
  <c r="AJ92" i="6"/>
  <c r="AK92" i="6" s="1"/>
  <c r="AJ85" i="6"/>
  <c r="AK85" i="6" s="1"/>
  <c r="AJ78" i="6"/>
  <c r="AK78" i="6" s="1"/>
  <c r="AJ71" i="6"/>
  <c r="AK71" i="6" s="1"/>
  <c r="AJ64" i="6"/>
  <c r="AK64" i="6" s="1"/>
  <c r="AJ57" i="6"/>
  <c r="AK57" i="6" s="1"/>
  <c r="AJ50" i="6"/>
  <c r="AK50" i="6" s="1"/>
  <c r="AJ43" i="6"/>
  <c r="AK43" i="6" s="1"/>
  <c r="AJ36" i="6"/>
  <c r="AK36" i="6" s="1"/>
  <c r="AJ29" i="6"/>
  <c r="AK29" i="6" s="1"/>
  <c r="AJ22" i="6"/>
  <c r="AK22" i="6" s="1"/>
  <c r="AJ15" i="6"/>
  <c r="AK15" i="6" s="1"/>
  <c r="AK100" i="6"/>
  <c r="AK93" i="6"/>
  <c r="AK86" i="6"/>
  <c r="AK79" i="6"/>
  <c r="AK72" i="6"/>
  <c r="AK65" i="6"/>
  <c r="AK58" i="6"/>
  <c r="AK51" i="6"/>
  <c r="AK44" i="6"/>
  <c r="AK37" i="6"/>
  <c r="AK30" i="6"/>
  <c r="AK23" i="6"/>
  <c r="AK16" i="6"/>
  <c r="AK9" i="6"/>
  <c r="AF241" i="6"/>
  <c r="AG241" i="6" s="1"/>
  <c r="AF193" i="6"/>
  <c r="AG193" i="6" s="1"/>
  <c r="AF177" i="6"/>
  <c r="AG177" i="6" s="1"/>
  <c r="AF161" i="6"/>
  <c r="AG161" i="6" s="1"/>
  <c r="AF129" i="6"/>
  <c r="AG129" i="6" s="1"/>
  <c r="AF113" i="6"/>
  <c r="AG113" i="6" s="1"/>
  <c r="AF97" i="6"/>
  <c r="AG97" i="6" s="1"/>
  <c r="AF81" i="6"/>
  <c r="AG81" i="6" s="1"/>
  <c r="AF65" i="6"/>
  <c r="AG65" i="6" s="1"/>
  <c r="AF49" i="6"/>
  <c r="AG49" i="6" s="1"/>
  <c r="AF33" i="6"/>
  <c r="AG33" i="6" s="1"/>
  <c r="AG226" i="6"/>
  <c r="AF225" i="6"/>
  <c r="AG225" i="6" s="1"/>
  <c r="AF209" i="6"/>
  <c r="AG209" i="6" s="1"/>
  <c r="AG178" i="6"/>
  <c r="AG162" i="6"/>
  <c r="AG146" i="6"/>
  <c r="AF145" i="6"/>
  <c r="AG145" i="6" s="1"/>
  <c r="AG114" i="6"/>
  <c r="AG98" i="6"/>
  <c r="AG82" i="6"/>
  <c r="AG66" i="6"/>
  <c r="AG50" i="6"/>
  <c r="AG34" i="6"/>
  <c r="AG18" i="6"/>
  <c r="AF17" i="6"/>
  <c r="AG17" i="6" s="1"/>
  <c r="AB63" i="6" l="1"/>
  <c r="AC63" i="6" s="1"/>
  <c r="AB62" i="6"/>
  <c r="AC62" i="6" s="1"/>
  <c r="AB61" i="6"/>
  <c r="AC61" i="6" s="1"/>
  <c r="AB60" i="6"/>
  <c r="AC60" i="6" s="1"/>
  <c r="AB59" i="6"/>
  <c r="AB58" i="6"/>
  <c r="AB56" i="6"/>
  <c r="AC56" i="6" s="1"/>
  <c r="AB55" i="6"/>
  <c r="AC55" i="6" s="1"/>
  <c r="AB54" i="6"/>
  <c r="AC54" i="6" s="1"/>
  <c r="AB53" i="6"/>
  <c r="AC53" i="6" s="1"/>
  <c r="AB52" i="6"/>
  <c r="AC52" i="6" s="1"/>
  <c r="AB51" i="6"/>
  <c r="AB49" i="6"/>
  <c r="AC49" i="6" s="1"/>
  <c r="AB48" i="6"/>
  <c r="AC48" i="6" s="1"/>
  <c r="AB47" i="6"/>
  <c r="AC47" i="6" s="1"/>
  <c r="AB46" i="6"/>
  <c r="AC46" i="6" s="1"/>
  <c r="AB45" i="6"/>
  <c r="AC45" i="6" s="1"/>
  <c r="AB44" i="6"/>
  <c r="AB42" i="6"/>
  <c r="AC42" i="6" s="1"/>
  <c r="AB41" i="6"/>
  <c r="AC41" i="6" s="1"/>
  <c r="AB40" i="6"/>
  <c r="AC40" i="6" s="1"/>
  <c r="AB39" i="6"/>
  <c r="AC39" i="6" s="1"/>
  <c r="AB38" i="6"/>
  <c r="AC38" i="6" s="1"/>
  <c r="AB37" i="6"/>
  <c r="AB35" i="6"/>
  <c r="AC35" i="6" s="1"/>
  <c r="AB34" i="6"/>
  <c r="AC34" i="6" s="1"/>
  <c r="AB33" i="6"/>
  <c r="AC33" i="6" s="1"/>
  <c r="AB32" i="6"/>
  <c r="AC32" i="6" s="1"/>
  <c r="AB31" i="6"/>
  <c r="AC31" i="6" s="1"/>
  <c r="AB30" i="6"/>
  <c r="AB28" i="6"/>
  <c r="AB27" i="6"/>
  <c r="AC27" i="6" s="1"/>
  <c r="AB26" i="6"/>
  <c r="AC26" i="6" s="1"/>
  <c r="AB25" i="6"/>
  <c r="AC25" i="6" s="1"/>
  <c r="AB24" i="6"/>
  <c r="AC24" i="6" s="1"/>
  <c r="AB23" i="6"/>
  <c r="AB21" i="6"/>
  <c r="AC21" i="6" s="1"/>
  <c r="AB20" i="6"/>
  <c r="AC20" i="6" s="1"/>
  <c r="AB19" i="6"/>
  <c r="AC19" i="6" s="1"/>
  <c r="AB18" i="6"/>
  <c r="AC18" i="6" s="1"/>
  <c r="AB17" i="6"/>
  <c r="AC17" i="6" s="1"/>
  <c r="AB16" i="6"/>
  <c r="AC16" i="6" s="1"/>
  <c r="AB14" i="6"/>
  <c r="AC14" i="6" s="1"/>
  <c r="AB13" i="6"/>
  <c r="AC13" i="6" s="1"/>
  <c r="AB12" i="6"/>
  <c r="AC12" i="6" s="1"/>
  <c r="AB11" i="6"/>
  <c r="AC11" i="6" s="1"/>
  <c r="AB10" i="6"/>
  <c r="AC10" i="6" s="1"/>
  <c r="AB9" i="6"/>
  <c r="AC59" i="6"/>
  <c r="AC28" i="6"/>
  <c r="AC8" i="6"/>
  <c r="AB8" i="6"/>
  <c r="AB7" i="6"/>
  <c r="AC7" i="6" s="1"/>
  <c r="AB6" i="6"/>
  <c r="AC6" i="6" s="1"/>
  <c r="AB5" i="6"/>
  <c r="AC5" i="6" s="1"/>
  <c r="AB4" i="6"/>
  <c r="AC4" i="6" s="1"/>
  <c r="AB3" i="6"/>
  <c r="AC3" i="6" s="1"/>
  <c r="AB2" i="6"/>
  <c r="AC2" i="6" s="1"/>
  <c r="X144" i="6"/>
  <c r="Y144" i="6" s="1"/>
  <c r="X143" i="6"/>
  <c r="Y143" i="6" s="1"/>
  <c r="X142" i="6"/>
  <c r="Y142" i="6" s="1"/>
  <c r="X141" i="6"/>
  <c r="Y141" i="6" s="1"/>
  <c r="X140" i="6"/>
  <c r="Y140" i="6" s="1"/>
  <c r="X139" i="6"/>
  <c r="Y139" i="6" s="1"/>
  <c r="X138" i="6"/>
  <c r="Y138" i="6" s="1"/>
  <c r="X137" i="6"/>
  <c r="Y137" i="6" s="1"/>
  <c r="X136" i="6"/>
  <c r="Y136" i="6" s="1"/>
  <c r="X135" i="6"/>
  <c r="Y135" i="6" s="1"/>
  <c r="X134" i="6"/>
  <c r="Y134" i="6" s="1"/>
  <c r="X133" i="6"/>
  <c r="Y133" i="6" s="1"/>
  <c r="X132" i="6"/>
  <c r="Y132" i="6" s="1"/>
  <c r="X131" i="6"/>
  <c r="Y131" i="6" s="1"/>
  <c r="X130" i="6"/>
  <c r="X128" i="6"/>
  <c r="Y128" i="6" s="1"/>
  <c r="X127" i="6"/>
  <c r="Y127" i="6" s="1"/>
  <c r="X126" i="6"/>
  <c r="Y126" i="6" s="1"/>
  <c r="X125" i="6"/>
  <c r="Y125" i="6" s="1"/>
  <c r="X124" i="6"/>
  <c r="Y124" i="6" s="1"/>
  <c r="X123" i="6"/>
  <c r="Y123" i="6" s="1"/>
  <c r="X122" i="6"/>
  <c r="Y122" i="6" s="1"/>
  <c r="X121" i="6"/>
  <c r="Y121" i="6" s="1"/>
  <c r="X120" i="6"/>
  <c r="Y120" i="6" s="1"/>
  <c r="X119" i="6"/>
  <c r="Y119" i="6" s="1"/>
  <c r="X118" i="6"/>
  <c r="Y118" i="6" s="1"/>
  <c r="X117" i="6"/>
  <c r="Y117" i="6" s="1"/>
  <c r="X116" i="6"/>
  <c r="Y116" i="6" s="1"/>
  <c r="X115" i="6"/>
  <c r="Y115" i="6" s="1"/>
  <c r="X114" i="6"/>
  <c r="X112" i="6"/>
  <c r="Y112" i="6" s="1"/>
  <c r="X111" i="6"/>
  <c r="Y111" i="6" s="1"/>
  <c r="X110" i="6"/>
  <c r="Y110" i="6" s="1"/>
  <c r="X109" i="6"/>
  <c r="Y109" i="6" s="1"/>
  <c r="X108" i="6"/>
  <c r="Y108" i="6" s="1"/>
  <c r="X107" i="6"/>
  <c r="Y107" i="6" s="1"/>
  <c r="X106" i="6"/>
  <c r="Y106" i="6" s="1"/>
  <c r="X105" i="6"/>
  <c r="Y105" i="6" s="1"/>
  <c r="X104" i="6"/>
  <c r="Y104" i="6" s="1"/>
  <c r="X103" i="6"/>
  <c r="Y103" i="6" s="1"/>
  <c r="X102" i="6"/>
  <c r="Y102" i="6" s="1"/>
  <c r="X101" i="6"/>
  <c r="Y101" i="6" s="1"/>
  <c r="X100" i="6"/>
  <c r="Y100" i="6" s="1"/>
  <c r="X99" i="6"/>
  <c r="Y99" i="6" s="1"/>
  <c r="X98" i="6"/>
  <c r="Y98" i="6" s="1"/>
  <c r="X96" i="6"/>
  <c r="Y96" i="6" s="1"/>
  <c r="X95" i="6"/>
  <c r="Y95" i="6" s="1"/>
  <c r="X94" i="6"/>
  <c r="Y94" i="6" s="1"/>
  <c r="X93" i="6"/>
  <c r="Y93" i="6" s="1"/>
  <c r="X92" i="6"/>
  <c r="Y92" i="6" s="1"/>
  <c r="X91" i="6"/>
  <c r="Y91" i="6" s="1"/>
  <c r="X90" i="6"/>
  <c r="Y90" i="6" s="1"/>
  <c r="X89" i="6"/>
  <c r="Y89" i="6" s="1"/>
  <c r="X88" i="6"/>
  <c r="Y88" i="6" s="1"/>
  <c r="X87" i="6"/>
  <c r="Y87" i="6" s="1"/>
  <c r="X86" i="6"/>
  <c r="Y86" i="6" s="1"/>
  <c r="X85" i="6"/>
  <c r="Y85" i="6" s="1"/>
  <c r="X84" i="6"/>
  <c r="Y84" i="6" s="1"/>
  <c r="X83" i="6"/>
  <c r="Y83" i="6" s="1"/>
  <c r="X82" i="6"/>
  <c r="X80" i="6"/>
  <c r="Y80" i="6" s="1"/>
  <c r="X79" i="6"/>
  <c r="Y79" i="6" s="1"/>
  <c r="X78" i="6"/>
  <c r="Y78" i="6" s="1"/>
  <c r="X77" i="6"/>
  <c r="Y77" i="6" s="1"/>
  <c r="X76" i="6"/>
  <c r="Y76" i="6" s="1"/>
  <c r="X75" i="6"/>
  <c r="Y75" i="6" s="1"/>
  <c r="X74" i="6"/>
  <c r="Y74" i="6" s="1"/>
  <c r="X73" i="6"/>
  <c r="Y73" i="6" s="1"/>
  <c r="X72" i="6"/>
  <c r="Y72" i="6" s="1"/>
  <c r="X71" i="6"/>
  <c r="Y71" i="6" s="1"/>
  <c r="X70" i="6"/>
  <c r="Y70" i="6" s="1"/>
  <c r="X69" i="6"/>
  <c r="Y69" i="6" s="1"/>
  <c r="X68" i="6"/>
  <c r="Y68" i="6" s="1"/>
  <c r="X67" i="6"/>
  <c r="Y67" i="6" s="1"/>
  <c r="X66" i="6"/>
  <c r="X64" i="6"/>
  <c r="Y64" i="6" s="1"/>
  <c r="X63" i="6"/>
  <c r="Y63" i="6" s="1"/>
  <c r="X62" i="6"/>
  <c r="Y62" i="6" s="1"/>
  <c r="X61" i="6"/>
  <c r="Y61" i="6" s="1"/>
  <c r="X60" i="6"/>
  <c r="Y60" i="6" s="1"/>
  <c r="X59" i="6"/>
  <c r="Y59" i="6" s="1"/>
  <c r="X58" i="6"/>
  <c r="Y58" i="6" s="1"/>
  <c r="X57" i="6"/>
  <c r="Y57" i="6" s="1"/>
  <c r="X56" i="6"/>
  <c r="Y56" i="6" s="1"/>
  <c r="X55" i="6"/>
  <c r="Y55" i="6" s="1"/>
  <c r="X54" i="6"/>
  <c r="Y54" i="6" s="1"/>
  <c r="X53" i="6"/>
  <c r="Y53" i="6" s="1"/>
  <c r="X52" i="6"/>
  <c r="Y52" i="6" s="1"/>
  <c r="X51" i="6"/>
  <c r="Y51" i="6" s="1"/>
  <c r="X50" i="6"/>
  <c r="X48" i="6"/>
  <c r="Y48" i="6" s="1"/>
  <c r="X47" i="6"/>
  <c r="Y47" i="6" s="1"/>
  <c r="X46" i="6"/>
  <c r="Y46" i="6" s="1"/>
  <c r="X45" i="6"/>
  <c r="Y45" i="6" s="1"/>
  <c r="X44" i="6"/>
  <c r="Y44" i="6" s="1"/>
  <c r="X43" i="6"/>
  <c r="Y43" i="6" s="1"/>
  <c r="X42" i="6"/>
  <c r="Y42" i="6" s="1"/>
  <c r="X41" i="6"/>
  <c r="Y41" i="6" s="1"/>
  <c r="X40" i="6"/>
  <c r="Y40" i="6" s="1"/>
  <c r="X39" i="6"/>
  <c r="Y39" i="6" s="1"/>
  <c r="X38" i="6"/>
  <c r="Y38" i="6" s="1"/>
  <c r="X37" i="6"/>
  <c r="Y37" i="6" s="1"/>
  <c r="X36" i="6"/>
  <c r="Y36" i="6" s="1"/>
  <c r="X35" i="6"/>
  <c r="Y35" i="6" s="1"/>
  <c r="X34" i="6"/>
  <c r="Y34" i="6" s="1"/>
  <c r="X32" i="6"/>
  <c r="Y32" i="6" s="1"/>
  <c r="X31" i="6"/>
  <c r="Y31" i="6" s="1"/>
  <c r="X30" i="6"/>
  <c r="Y30" i="6" s="1"/>
  <c r="X29" i="6"/>
  <c r="Y29" i="6" s="1"/>
  <c r="X28" i="6"/>
  <c r="Y28" i="6" s="1"/>
  <c r="X27" i="6"/>
  <c r="Y27" i="6" s="1"/>
  <c r="X26" i="6"/>
  <c r="Y26" i="6" s="1"/>
  <c r="X25" i="6"/>
  <c r="Y25" i="6" s="1"/>
  <c r="X24" i="6"/>
  <c r="Y24" i="6" s="1"/>
  <c r="X23" i="6"/>
  <c r="Y23" i="6" s="1"/>
  <c r="X22" i="6"/>
  <c r="Y22" i="6" s="1"/>
  <c r="X21" i="6"/>
  <c r="Y21" i="6" s="1"/>
  <c r="X20" i="6"/>
  <c r="Y20" i="6" s="1"/>
  <c r="X19" i="6"/>
  <c r="Y19" i="6" s="1"/>
  <c r="X18" i="6"/>
  <c r="Y17" i="6"/>
  <c r="X17" i="6"/>
  <c r="X16" i="6"/>
  <c r="Y16" i="6" s="1"/>
  <c r="X15" i="6"/>
  <c r="Y15" i="6" s="1"/>
  <c r="X14" i="6"/>
  <c r="Y14" i="6" s="1"/>
  <c r="X13" i="6"/>
  <c r="Y13" i="6" s="1"/>
  <c r="X12" i="6"/>
  <c r="Y12" i="6" s="1"/>
  <c r="X11" i="6"/>
  <c r="Y11" i="6" s="1"/>
  <c r="X10" i="6"/>
  <c r="Y10" i="6" s="1"/>
  <c r="X9" i="6"/>
  <c r="Y9" i="6" s="1"/>
  <c r="X8" i="6"/>
  <c r="Y8" i="6" s="1"/>
  <c r="X7" i="6"/>
  <c r="Y7" i="6" s="1"/>
  <c r="X6" i="6"/>
  <c r="Y6" i="6" s="1"/>
  <c r="X5" i="6"/>
  <c r="Y5" i="6" s="1"/>
  <c r="X4" i="6"/>
  <c r="Y4" i="6" s="1"/>
  <c r="X3" i="6"/>
  <c r="Y3" i="6" s="1"/>
  <c r="X2" i="6"/>
  <c r="Y2" i="6" s="1"/>
  <c r="T2" i="6"/>
  <c r="T11" i="6" s="1"/>
  <c r="U11" i="6" s="1"/>
  <c r="T150" i="6"/>
  <c r="U150" i="6" s="1"/>
  <c r="T149" i="6"/>
  <c r="U149" i="6" s="1"/>
  <c r="T148" i="6"/>
  <c r="U148" i="6" s="1"/>
  <c r="T147" i="6"/>
  <c r="U147" i="6" s="1"/>
  <c r="T146" i="6"/>
  <c r="U146" i="6" s="1"/>
  <c r="T145" i="6"/>
  <c r="U145" i="6" s="1"/>
  <c r="T144" i="6"/>
  <c r="U144" i="6" s="1"/>
  <c r="T143" i="6"/>
  <c r="U143" i="6" s="1"/>
  <c r="T142" i="6"/>
  <c r="T140" i="6"/>
  <c r="U140" i="6" s="1"/>
  <c r="T139" i="6"/>
  <c r="U139" i="6" s="1"/>
  <c r="T138" i="6"/>
  <c r="U138" i="6" s="1"/>
  <c r="T137" i="6"/>
  <c r="U137" i="6" s="1"/>
  <c r="T136" i="6"/>
  <c r="U136" i="6" s="1"/>
  <c r="T135" i="6"/>
  <c r="U135" i="6" s="1"/>
  <c r="T134" i="6"/>
  <c r="U134" i="6" s="1"/>
  <c r="T133" i="6"/>
  <c r="U133" i="6" s="1"/>
  <c r="T132" i="6"/>
  <c r="T130" i="6"/>
  <c r="U130" i="6" s="1"/>
  <c r="T129" i="6"/>
  <c r="U129" i="6" s="1"/>
  <c r="T128" i="6"/>
  <c r="U128" i="6" s="1"/>
  <c r="T127" i="6"/>
  <c r="U127" i="6" s="1"/>
  <c r="T126" i="6"/>
  <c r="U126" i="6" s="1"/>
  <c r="T125" i="6"/>
  <c r="U125" i="6" s="1"/>
  <c r="T124" i="6"/>
  <c r="U124" i="6" s="1"/>
  <c r="T123" i="6"/>
  <c r="U123" i="6" s="1"/>
  <c r="T122" i="6"/>
  <c r="T120" i="6"/>
  <c r="U120" i="6" s="1"/>
  <c r="T119" i="6"/>
  <c r="U119" i="6" s="1"/>
  <c r="T118" i="6"/>
  <c r="U118" i="6" s="1"/>
  <c r="T117" i="6"/>
  <c r="U117" i="6" s="1"/>
  <c r="T116" i="6"/>
  <c r="U116" i="6" s="1"/>
  <c r="T115" i="6"/>
  <c r="U115" i="6" s="1"/>
  <c r="T114" i="6"/>
  <c r="U114" i="6" s="1"/>
  <c r="T113" i="6"/>
  <c r="U113" i="6" s="1"/>
  <c r="T112" i="6"/>
  <c r="T110" i="6"/>
  <c r="U110" i="6" s="1"/>
  <c r="T109" i="6"/>
  <c r="U109" i="6" s="1"/>
  <c r="T108" i="6"/>
  <c r="U108" i="6" s="1"/>
  <c r="T107" i="6"/>
  <c r="U107" i="6" s="1"/>
  <c r="T106" i="6"/>
  <c r="U106" i="6" s="1"/>
  <c r="T105" i="6"/>
  <c r="U105" i="6" s="1"/>
  <c r="T104" i="6"/>
  <c r="U104" i="6" s="1"/>
  <c r="T103" i="6"/>
  <c r="U103" i="6" s="1"/>
  <c r="T102" i="6"/>
  <c r="T100" i="6"/>
  <c r="U100" i="6" s="1"/>
  <c r="T99" i="6"/>
  <c r="U99" i="6" s="1"/>
  <c r="T98" i="6"/>
  <c r="U98" i="6" s="1"/>
  <c r="T97" i="6"/>
  <c r="U97" i="6" s="1"/>
  <c r="T96" i="6"/>
  <c r="U96" i="6" s="1"/>
  <c r="T95" i="6"/>
  <c r="U95" i="6" s="1"/>
  <c r="T94" i="6"/>
  <c r="U94" i="6" s="1"/>
  <c r="T93" i="6"/>
  <c r="U93" i="6" s="1"/>
  <c r="T92" i="6"/>
  <c r="T90" i="6"/>
  <c r="U90" i="6" s="1"/>
  <c r="T89" i="6"/>
  <c r="U89" i="6" s="1"/>
  <c r="T88" i="6"/>
  <c r="U88" i="6" s="1"/>
  <c r="T87" i="6"/>
  <c r="U87" i="6" s="1"/>
  <c r="T86" i="6"/>
  <c r="U86" i="6" s="1"/>
  <c r="T85" i="6"/>
  <c r="U85" i="6" s="1"/>
  <c r="T84" i="6"/>
  <c r="U84" i="6" s="1"/>
  <c r="T83" i="6"/>
  <c r="U83" i="6" s="1"/>
  <c r="T82" i="6"/>
  <c r="T80" i="6"/>
  <c r="U80" i="6" s="1"/>
  <c r="T79" i="6"/>
  <c r="U79" i="6" s="1"/>
  <c r="T78" i="6"/>
  <c r="U78" i="6" s="1"/>
  <c r="T77" i="6"/>
  <c r="U77" i="6" s="1"/>
  <c r="T76" i="6"/>
  <c r="U76" i="6" s="1"/>
  <c r="T75" i="6"/>
  <c r="U75" i="6" s="1"/>
  <c r="T74" i="6"/>
  <c r="U74" i="6" s="1"/>
  <c r="T73" i="6"/>
  <c r="U73" i="6" s="1"/>
  <c r="T72" i="6"/>
  <c r="T70" i="6"/>
  <c r="U70" i="6" s="1"/>
  <c r="T69" i="6"/>
  <c r="U69" i="6" s="1"/>
  <c r="T68" i="6"/>
  <c r="U68" i="6" s="1"/>
  <c r="T67" i="6"/>
  <c r="U67" i="6" s="1"/>
  <c r="T66" i="6"/>
  <c r="U66" i="6" s="1"/>
  <c r="T65" i="6"/>
  <c r="U65" i="6" s="1"/>
  <c r="T64" i="6"/>
  <c r="U64" i="6" s="1"/>
  <c r="T63" i="6"/>
  <c r="U63" i="6" s="1"/>
  <c r="T62" i="6"/>
  <c r="T60" i="6"/>
  <c r="U60" i="6" s="1"/>
  <c r="T59" i="6"/>
  <c r="U59" i="6" s="1"/>
  <c r="T58" i="6"/>
  <c r="U58" i="6" s="1"/>
  <c r="T57" i="6"/>
  <c r="U57" i="6" s="1"/>
  <c r="T56" i="6"/>
  <c r="U56" i="6" s="1"/>
  <c r="T55" i="6"/>
  <c r="U55" i="6" s="1"/>
  <c r="T54" i="6"/>
  <c r="U54" i="6" s="1"/>
  <c r="T53" i="6"/>
  <c r="U53" i="6" s="1"/>
  <c r="T52" i="6"/>
  <c r="T50" i="6"/>
  <c r="U50" i="6" s="1"/>
  <c r="T49" i="6"/>
  <c r="U49" i="6" s="1"/>
  <c r="T48" i="6"/>
  <c r="U48" i="6" s="1"/>
  <c r="T47" i="6"/>
  <c r="U47" i="6" s="1"/>
  <c r="T46" i="6"/>
  <c r="U46" i="6" s="1"/>
  <c r="T45" i="6"/>
  <c r="U45" i="6" s="1"/>
  <c r="T44" i="6"/>
  <c r="U44" i="6" s="1"/>
  <c r="T43" i="6"/>
  <c r="U43" i="6" s="1"/>
  <c r="T42" i="6"/>
  <c r="T40" i="6"/>
  <c r="U40" i="6" s="1"/>
  <c r="T39" i="6"/>
  <c r="U39" i="6" s="1"/>
  <c r="T38" i="6"/>
  <c r="U38" i="6" s="1"/>
  <c r="T37" i="6"/>
  <c r="U37" i="6" s="1"/>
  <c r="T36" i="6"/>
  <c r="U36" i="6" s="1"/>
  <c r="T35" i="6"/>
  <c r="U35" i="6" s="1"/>
  <c r="T34" i="6"/>
  <c r="U34" i="6" s="1"/>
  <c r="T33" i="6"/>
  <c r="U33" i="6" s="1"/>
  <c r="T32" i="6"/>
  <c r="T30" i="6"/>
  <c r="U30" i="6" s="1"/>
  <c r="T29" i="6"/>
  <c r="U29" i="6" s="1"/>
  <c r="T28" i="6"/>
  <c r="U28" i="6" s="1"/>
  <c r="T27" i="6"/>
  <c r="U27" i="6" s="1"/>
  <c r="T26" i="6"/>
  <c r="U26" i="6" s="1"/>
  <c r="T25" i="6"/>
  <c r="U25" i="6" s="1"/>
  <c r="T24" i="6"/>
  <c r="U24" i="6" s="1"/>
  <c r="T23" i="6"/>
  <c r="U23" i="6" s="1"/>
  <c r="T22" i="6"/>
  <c r="T20" i="6"/>
  <c r="U20" i="6" s="1"/>
  <c r="T19" i="6"/>
  <c r="U19" i="6" s="1"/>
  <c r="T18" i="6"/>
  <c r="U18" i="6" s="1"/>
  <c r="T17" i="6"/>
  <c r="U17" i="6" s="1"/>
  <c r="T16" i="6"/>
  <c r="U16" i="6" s="1"/>
  <c r="T15" i="6"/>
  <c r="U15" i="6" s="1"/>
  <c r="T14" i="6"/>
  <c r="U14" i="6" s="1"/>
  <c r="T13" i="6"/>
  <c r="U13" i="6" s="1"/>
  <c r="T12" i="6"/>
  <c r="U3" i="6"/>
  <c r="U4" i="6"/>
  <c r="U5" i="6"/>
  <c r="U6" i="6"/>
  <c r="U7" i="6"/>
  <c r="U8" i="6"/>
  <c r="U9" i="6"/>
  <c r="U10" i="6"/>
  <c r="T10" i="6"/>
  <c r="T9" i="6"/>
  <c r="T8" i="6"/>
  <c r="T7" i="6"/>
  <c r="T6" i="6"/>
  <c r="T5" i="6"/>
  <c r="T4" i="6"/>
  <c r="T3" i="6"/>
  <c r="P2" i="6"/>
  <c r="Q2" i="6" s="1"/>
  <c r="P64" i="6"/>
  <c r="Q64" i="6" s="1"/>
  <c r="P63" i="6"/>
  <c r="Q63" i="6" s="1"/>
  <c r="P62" i="6"/>
  <c r="Q62" i="6" s="1"/>
  <c r="P61" i="6"/>
  <c r="Q61" i="6" s="1"/>
  <c r="P60" i="6"/>
  <c r="Q60" i="6" s="1"/>
  <c r="P59" i="6"/>
  <c r="Q59" i="6" s="1"/>
  <c r="P58" i="6"/>
  <c r="Q58" i="6" s="1"/>
  <c r="P57" i="6"/>
  <c r="Q57" i="6" s="1"/>
  <c r="P56" i="6"/>
  <c r="Q56" i="6" s="1"/>
  <c r="P55" i="6"/>
  <c r="Q55" i="6" s="1"/>
  <c r="P54" i="6"/>
  <c r="Q54" i="6" s="1"/>
  <c r="P53" i="6"/>
  <c r="Q53" i="6" s="1"/>
  <c r="P52" i="6"/>
  <c r="Q52" i="6" s="1"/>
  <c r="P51" i="6"/>
  <c r="Q51" i="6" s="1"/>
  <c r="P50" i="6"/>
  <c r="P48" i="6"/>
  <c r="Q48" i="6" s="1"/>
  <c r="P47" i="6"/>
  <c r="Q47" i="6" s="1"/>
  <c r="P46" i="6"/>
  <c r="Q46" i="6" s="1"/>
  <c r="P45" i="6"/>
  <c r="Q45" i="6" s="1"/>
  <c r="P44" i="6"/>
  <c r="Q44" i="6" s="1"/>
  <c r="P43" i="6"/>
  <c r="Q43" i="6" s="1"/>
  <c r="P42" i="6"/>
  <c r="Q42" i="6" s="1"/>
  <c r="P41" i="6"/>
  <c r="Q41" i="6" s="1"/>
  <c r="P40" i="6"/>
  <c r="Q40" i="6" s="1"/>
  <c r="P39" i="6"/>
  <c r="Q39" i="6" s="1"/>
  <c r="P38" i="6"/>
  <c r="Q38" i="6" s="1"/>
  <c r="P37" i="6"/>
  <c r="Q37" i="6" s="1"/>
  <c r="P36" i="6"/>
  <c r="Q36" i="6" s="1"/>
  <c r="P35" i="6"/>
  <c r="Q35" i="6" s="1"/>
  <c r="P34" i="6"/>
  <c r="P32" i="6"/>
  <c r="Q32" i="6" s="1"/>
  <c r="P31" i="6"/>
  <c r="Q31" i="6" s="1"/>
  <c r="P30" i="6"/>
  <c r="Q30" i="6" s="1"/>
  <c r="P29" i="6"/>
  <c r="Q29" i="6" s="1"/>
  <c r="P28" i="6"/>
  <c r="Q28" i="6" s="1"/>
  <c r="P27" i="6"/>
  <c r="Q27" i="6" s="1"/>
  <c r="P26" i="6"/>
  <c r="Q26" i="6" s="1"/>
  <c r="P25" i="6"/>
  <c r="Q25" i="6" s="1"/>
  <c r="P24" i="6"/>
  <c r="Q24" i="6" s="1"/>
  <c r="P23" i="6"/>
  <c r="Q23" i="6" s="1"/>
  <c r="P22" i="6"/>
  <c r="Q22" i="6" s="1"/>
  <c r="P21" i="6"/>
  <c r="Q21" i="6" s="1"/>
  <c r="P20" i="6"/>
  <c r="Q20" i="6" s="1"/>
  <c r="P19" i="6"/>
  <c r="Q19" i="6" s="1"/>
  <c r="P18" i="6"/>
  <c r="P16" i="6"/>
  <c r="Q16" i="6" s="1"/>
  <c r="P15" i="6"/>
  <c r="Q15" i="6" s="1"/>
  <c r="P14" i="6"/>
  <c r="Q14" i="6" s="1"/>
  <c r="P13" i="6"/>
  <c r="Q13" i="6" s="1"/>
  <c r="P12" i="6"/>
  <c r="Q12" i="6" s="1"/>
  <c r="P11" i="6"/>
  <c r="Q11" i="6" s="1"/>
  <c r="P10" i="6"/>
  <c r="Q10" i="6" s="1"/>
  <c r="P9" i="6"/>
  <c r="Q9" i="6" s="1"/>
  <c r="P8" i="6"/>
  <c r="Q8" i="6" s="1"/>
  <c r="P7" i="6"/>
  <c r="Q7" i="6" s="1"/>
  <c r="P6" i="6"/>
  <c r="Q6" i="6" s="1"/>
  <c r="P5" i="6"/>
  <c r="Q5" i="6" s="1"/>
  <c r="P4" i="6"/>
  <c r="Q4" i="6" s="1"/>
  <c r="P3" i="6"/>
  <c r="Q3" i="6" s="1"/>
  <c r="L272" i="6"/>
  <c r="M272" i="6" s="1"/>
  <c r="L271" i="6"/>
  <c r="M271" i="6" s="1"/>
  <c r="L270" i="6"/>
  <c r="M270" i="6" s="1"/>
  <c r="L269" i="6"/>
  <c r="M269" i="6" s="1"/>
  <c r="L268" i="6"/>
  <c r="M268" i="6" s="1"/>
  <c r="L267" i="6"/>
  <c r="M267" i="6" s="1"/>
  <c r="L266" i="6"/>
  <c r="M266" i="6" s="1"/>
  <c r="L265" i="6"/>
  <c r="M265" i="6" s="1"/>
  <c r="L264" i="6"/>
  <c r="M264" i="6" s="1"/>
  <c r="L263" i="6"/>
  <c r="M263" i="6" s="1"/>
  <c r="L262" i="6"/>
  <c r="M262" i="6" s="1"/>
  <c r="L261" i="6"/>
  <c r="M261" i="6" s="1"/>
  <c r="L260" i="6"/>
  <c r="M260" i="6" s="1"/>
  <c r="L259" i="6"/>
  <c r="M259" i="6" s="1"/>
  <c r="L258" i="6"/>
  <c r="L256" i="6"/>
  <c r="M256" i="6" s="1"/>
  <c r="L255" i="6"/>
  <c r="M255" i="6" s="1"/>
  <c r="L254" i="6"/>
  <c r="M254" i="6" s="1"/>
  <c r="L253" i="6"/>
  <c r="M253" i="6" s="1"/>
  <c r="L252" i="6"/>
  <c r="M252" i="6" s="1"/>
  <c r="L251" i="6"/>
  <c r="M251" i="6" s="1"/>
  <c r="L250" i="6"/>
  <c r="M250" i="6" s="1"/>
  <c r="L249" i="6"/>
  <c r="M249" i="6" s="1"/>
  <c r="L248" i="6"/>
  <c r="M248" i="6" s="1"/>
  <c r="L247" i="6"/>
  <c r="M247" i="6" s="1"/>
  <c r="L246" i="6"/>
  <c r="M246" i="6" s="1"/>
  <c r="L245" i="6"/>
  <c r="M245" i="6" s="1"/>
  <c r="L244" i="6"/>
  <c r="M244" i="6" s="1"/>
  <c r="L243" i="6"/>
  <c r="M243" i="6" s="1"/>
  <c r="L242" i="6"/>
  <c r="L240" i="6"/>
  <c r="M240" i="6" s="1"/>
  <c r="L239" i="6"/>
  <c r="M239" i="6" s="1"/>
  <c r="L238" i="6"/>
  <c r="M238" i="6" s="1"/>
  <c r="L237" i="6"/>
  <c r="M237" i="6" s="1"/>
  <c r="L236" i="6"/>
  <c r="M236" i="6" s="1"/>
  <c r="L235" i="6"/>
  <c r="M235" i="6" s="1"/>
  <c r="L234" i="6"/>
  <c r="M234" i="6" s="1"/>
  <c r="L233" i="6"/>
  <c r="M233" i="6" s="1"/>
  <c r="L232" i="6"/>
  <c r="M232" i="6" s="1"/>
  <c r="L231" i="6"/>
  <c r="M231" i="6" s="1"/>
  <c r="L230" i="6"/>
  <c r="M230" i="6" s="1"/>
  <c r="L229" i="6"/>
  <c r="M229" i="6" s="1"/>
  <c r="L228" i="6"/>
  <c r="M228" i="6" s="1"/>
  <c r="L227" i="6"/>
  <c r="M227" i="6" s="1"/>
  <c r="L226" i="6"/>
  <c r="L224" i="6"/>
  <c r="M224" i="6" s="1"/>
  <c r="L223" i="6"/>
  <c r="M223" i="6" s="1"/>
  <c r="L222" i="6"/>
  <c r="M222" i="6" s="1"/>
  <c r="L221" i="6"/>
  <c r="M221" i="6" s="1"/>
  <c r="L220" i="6"/>
  <c r="M220" i="6" s="1"/>
  <c r="L219" i="6"/>
  <c r="M219" i="6" s="1"/>
  <c r="L218" i="6"/>
  <c r="M218" i="6" s="1"/>
  <c r="L217" i="6"/>
  <c r="M217" i="6" s="1"/>
  <c r="L216" i="6"/>
  <c r="M216" i="6" s="1"/>
  <c r="L215" i="6"/>
  <c r="M215" i="6" s="1"/>
  <c r="L214" i="6"/>
  <c r="M214" i="6" s="1"/>
  <c r="L213" i="6"/>
  <c r="M213" i="6" s="1"/>
  <c r="L212" i="6"/>
  <c r="M212" i="6" s="1"/>
  <c r="L211" i="6"/>
  <c r="M211" i="6" s="1"/>
  <c r="L210" i="6"/>
  <c r="L208" i="6"/>
  <c r="M208" i="6" s="1"/>
  <c r="L207" i="6"/>
  <c r="M207" i="6" s="1"/>
  <c r="L206" i="6"/>
  <c r="M206" i="6" s="1"/>
  <c r="L205" i="6"/>
  <c r="M205" i="6" s="1"/>
  <c r="L204" i="6"/>
  <c r="M204" i="6" s="1"/>
  <c r="L203" i="6"/>
  <c r="M203" i="6" s="1"/>
  <c r="L202" i="6"/>
  <c r="M202" i="6" s="1"/>
  <c r="L201" i="6"/>
  <c r="M201" i="6" s="1"/>
  <c r="L200" i="6"/>
  <c r="M200" i="6" s="1"/>
  <c r="L199" i="6"/>
  <c r="M199" i="6" s="1"/>
  <c r="L198" i="6"/>
  <c r="M198" i="6" s="1"/>
  <c r="L197" i="6"/>
  <c r="M197" i="6" s="1"/>
  <c r="L196" i="6"/>
  <c r="M196" i="6" s="1"/>
  <c r="L195" i="6"/>
  <c r="M195" i="6" s="1"/>
  <c r="L194" i="6"/>
  <c r="L192" i="6"/>
  <c r="M192" i="6" s="1"/>
  <c r="L191" i="6"/>
  <c r="M191" i="6" s="1"/>
  <c r="L190" i="6"/>
  <c r="M190" i="6" s="1"/>
  <c r="L189" i="6"/>
  <c r="M189" i="6" s="1"/>
  <c r="L188" i="6"/>
  <c r="M188" i="6" s="1"/>
  <c r="L187" i="6"/>
  <c r="M187" i="6" s="1"/>
  <c r="L186" i="6"/>
  <c r="M186" i="6" s="1"/>
  <c r="L185" i="6"/>
  <c r="M185" i="6" s="1"/>
  <c r="L184" i="6"/>
  <c r="M184" i="6" s="1"/>
  <c r="L183" i="6"/>
  <c r="M183" i="6" s="1"/>
  <c r="L182" i="6"/>
  <c r="M182" i="6" s="1"/>
  <c r="L181" i="6"/>
  <c r="M181" i="6" s="1"/>
  <c r="L180" i="6"/>
  <c r="M180" i="6" s="1"/>
  <c r="L179" i="6"/>
  <c r="M179" i="6" s="1"/>
  <c r="L178" i="6"/>
  <c r="L176" i="6"/>
  <c r="M176" i="6" s="1"/>
  <c r="L175" i="6"/>
  <c r="M175" i="6" s="1"/>
  <c r="L174" i="6"/>
  <c r="M174" i="6" s="1"/>
  <c r="L173" i="6"/>
  <c r="M173" i="6" s="1"/>
  <c r="L172" i="6"/>
  <c r="M172" i="6" s="1"/>
  <c r="L171" i="6"/>
  <c r="M171" i="6" s="1"/>
  <c r="L170" i="6"/>
  <c r="M170" i="6" s="1"/>
  <c r="L169" i="6"/>
  <c r="M169" i="6" s="1"/>
  <c r="L168" i="6"/>
  <c r="M168" i="6" s="1"/>
  <c r="L167" i="6"/>
  <c r="M167" i="6" s="1"/>
  <c r="L166" i="6"/>
  <c r="M166" i="6" s="1"/>
  <c r="L162" i="6"/>
  <c r="L165" i="6"/>
  <c r="M165" i="6" s="1"/>
  <c r="L164" i="6"/>
  <c r="M164" i="6" s="1"/>
  <c r="L163" i="6"/>
  <c r="M163" i="6" s="1"/>
  <c r="L160" i="6"/>
  <c r="M160" i="6" s="1"/>
  <c r="L159" i="6"/>
  <c r="M159" i="6" s="1"/>
  <c r="L158" i="6"/>
  <c r="M158" i="6" s="1"/>
  <c r="L157" i="6"/>
  <c r="M157" i="6" s="1"/>
  <c r="L156" i="6"/>
  <c r="M156" i="6" s="1"/>
  <c r="L155" i="6"/>
  <c r="M155" i="6" s="1"/>
  <c r="L154" i="6"/>
  <c r="M154" i="6" s="1"/>
  <c r="L153" i="6"/>
  <c r="M153" i="6" s="1"/>
  <c r="L152" i="6"/>
  <c r="M152" i="6" s="1"/>
  <c r="L151" i="6"/>
  <c r="M151" i="6" s="1"/>
  <c r="L150" i="6"/>
  <c r="M150" i="6" s="1"/>
  <c r="L149" i="6"/>
  <c r="M149" i="6" s="1"/>
  <c r="L148" i="6"/>
  <c r="M148" i="6" s="1"/>
  <c r="L147" i="6"/>
  <c r="M147" i="6" s="1"/>
  <c r="L146" i="6"/>
  <c r="L144" i="6"/>
  <c r="M144" i="6" s="1"/>
  <c r="L143" i="6"/>
  <c r="M143" i="6" s="1"/>
  <c r="L142" i="6"/>
  <c r="M142" i="6" s="1"/>
  <c r="L141" i="6"/>
  <c r="M141" i="6" s="1"/>
  <c r="L140" i="6"/>
  <c r="M140" i="6" s="1"/>
  <c r="L139" i="6"/>
  <c r="M139" i="6" s="1"/>
  <c r="L138" i="6"/>
  <c r="M138" i="6" s="1"/>
  <c r="L137" i="6"/>
  <c r="M137" i="6" s="1"/>
  <c r="L136" i="6"/>
  <c r="M136" i="6" s="1"/>
  <c r="L135" i="6"/>
  <c r="M135" i="6" s="1"/>
  <c r="L134" i="6"/>
  <c r="M134" i="6" s="1"/>
  <c r="L133" i="6"/>
  <c r="M133" i="6" s="1"/>
  <c r="L132" i="6"/>
  <c r="M132" i="6" s="1"/>
  <c r="L131" i="6"/>
  <c r="M131" i="6" s="1"/>
  <c r="L130" i="6"/>
  <c r="L128" i="6"/>
  <c r="M128" i="6" s="1"/>
  <c r="L127" i="6"/>
  <c r="M127" i="6" s="1"/>
  <c r="L126" i="6"/>
  <c r="M126" i="6" s="1"/>
  <c r="L125" i="6"/>
  <c r="M125" i="6" s="1"/>
  <c r="L124" i="6"/>
  <c r="M124" i="6" s="1"/>
  <c r="L123" i="6"/>
  <c r="M123" i="6" s="1"/>
  <c r="L122" i="6"/>
  <c r="M122" i="6" s="1"/>
  <c r="L121" i="6"/>
  <c r="M121" i="6" s="1"/>
  <c r="L120" i="6"/>
  <c r="M120" i="6" s="1"/>
  <c r="L119" i="6"/>
  <c r="M119" i="6" s="1"/>
  <c r="L118" i="6"/>
  <c r="M118" i="6" s="1"/>
  <c r="L117" i="6"/>
  <c r="M117" i="6" s="1"/>
  <c r="L116" i="6"/>
  <c r="M116" i="6" s="1"/>
  <c r="L115" i="6"/>
  <c r="M115" i="6" s="1"/>
  <c r="L114" i="6"/>
  <c r="L112" i="6"/>
  <c r="M112" i="6" s="1"/>
  <c r="L111" i="6"/>
  <c r="M111" i="6" s="1"/>
  <c r="L110" i="6"/>
  <c r="M110" i="6" s="1"/>
  <c r="L109" i="6"/>
  <c r="M109" i="6" s="1"/>
  <c r="L108" i="6"/>
  <c r="M108" i="6" s="1"/>
  <c r="L107" i="6"/>
  <c r="M107" i="6" s="1"/>
  <c r="L106" i="6"/>
  <c r="M106" i="6" s="1"/>
  <c r="L105" i="6"/>
  <c r="M105" i="6" s="1"/>
  <c r="L104" i="6"/>
  <c r="M104" i="6" s="1"/>
  <c r="L103" i="6"/>
  <c r="M103" i="6" s="1"/>
  <c r="L102" i="6"/>
  <c r="M102" i="6" s="1"/>
  <c r="L101" i="6"/>
  <c r="M101" i="6" s="1"/>
  <c r="L100" i="6"/>
  <c r="M100" i="6" s="1"/>
  <c r="L99" i="6"/>
  <c r="M99" i="6" s="1"/>
  <c r="L98" i="6"/>
  <c r="L96" i="6"/>
  <c r="M96" i="6" s="1"/>
  <c r="L95" i="6"/>
  <c r="M95" i="6" s="1"/>
  <c r="L94" i="6"/>
  <c r="M94" i="6" s="1"/>
  <c r="L93" i="6"/>
  <c r="M93" i="6" s="1"/>
  <c r="L92" i="6"/>
  <c r="M92" i="6" s="1"/>
  <c r="L91" i="6"/>
  <c r="M91" i="6" s="1"/>
  <c r="L90" i="6"/>
  <c r="M90" i="6" s="1"/>
  <c r="L89" i="6"/>
  <c r="M89" i="6" s="1"/>
  <c r="L88" i="6"/>
  <c r="M88" i="6" s="1"/>
  <c r="L87" i="6"/>
  <c r="M87" i="6" s="1"/>
  <c r="L86" i="6"/>
  <c r="M86" i="6" s="1"/>
  <c r="L85" i="6"/>
  <c r="M85" i="6" s="1"/>
  <c r="L84" i="6"/>
  <c r="M84" i="6" s="1"/>
  <c r="L83" i="6"/>
  <c r="M83" i="6" s="1"/>
  <c r="L82" i="6"/>
  <c r="L80" i="6"/>
  <c r="M80" i="6" s="1"/>
  <c r="L79" i="6"/>
  <c r="M79" i="6" s="1"/>
  <c r="L78" i="6"/>
  <c r="M78" i="6" s="1"/>
  <c r="L77" i="6"/>
  <c r="M77" i="6" s="1"/>
  <c r="L76" i="6"/>
  <c r="M76" i="6" s="1"/>
  <c r="L75" i="6"/>
  <c r="M75" i="6" s="1"/>
  <c r="L74" i="6"/>
  <c r="M74" i="6" s="1"/>
  <c r="L73" i="6"/>
  <c r="M73" i="6" s="1"/>
  <c r="L72" i="6"/>
  <c r="M72" i="6" s="1"/>
  <c r="L71" i="6"/>
  <c r="M71" i="6" s="1"/>
  <c r="L70" i="6"/>
  <c r="M70" i="6" s="1"/>
  <c r="L69" i="6"/>
  <c r="M69" i="6" s="1"/>
  <c r="L68" i="6"/>
  <c r="M68" i="6" s="1"/>
  <c r="L67" i="6"/>
  <c r="M67" i="6" s="1"/>
  <c r="L66" i="6"/>
  <c r="L64" i="6"/>
  <c r="M64" i="6" s="1"/>
  <c r="L63" i="6"/>
  <c r="M63" i="6" s="1"/>
  <c r="L62" i="6"/>
  <c r="M62" i="6" s="1"/>
  <c r="L61" i="6"/>
  <c r="M61" i="6" s="1"/>
  <c r="L60" i="6"/>
  <c r="M60" i="6" s="1"/>
  <c r="L59" i="6"/>
  <c r="M59" i="6" s="1"/>
  <c r="L58" i="6"/>
  <c r="M58" i="6" s="1"/>
  <c r="L57" i="6"/>
  <c r="M57" i="6" s="1"/>
  <c r="L56" i="6"/>
  <c r="M56" i="6" s="1"/>
  <c r="L55" i="6"/>
  <c r="M55" i="6" s="1"/>
  <c r="L54" i="6"/>
  <c r="M54" i="6" s="1"/>
  <c r="L53" i="6"/>
  <c r="M53" i="6" s="1"/>
  <c r="L52" i="6"/>
  <c r="M52" i="6" s="1"/>
  <c r="L51" i="6"/>
  <c r="M51" i="6" s="1"/>
  <c r="L50" i="6"/>
  <c r="L48" i="6"/>
  <c r="M48" i="6" s="1"/>
  <c r="L47" i="6"/>
  <c r="M47" i="6" s="1"/>
  <c r="L46" i="6"/>
  <c r="M46" i="6" s="1"/>
  <c r="L45" i="6"/>
  <c r="M45" i="6" s="1"/>
  <c r="L44" i="6"/>
  <c r="M44" i="6" s="1"/>
  <c r="L43" i="6"/>
  <c r="M43" i="6" s="1"/>
  <c r="L42" i="6"/>
  <c r="M42" i="6" s="1"/>
  <c r="L41" i="6"/>
  <c r="M41" i="6" s="1"/>
  <c r="L40" i="6"/>
  <c r="M40" i="6" s="1"/>
  <c r="L39" i="6"/>
  <c r="M39" i="6" s="1"/>
  <c r="L38" i="6"/>
  <c r="M38" i="6" s="1"/>
  <c r="L37" i="6"/>
  <c r="M37" i="6" s="1"/>
  <c r="L36" i="6"/>
  <c r="M36" i="6" s="1"/>
  <c r="L35" i="6"/>
  <c r="M35" i="6" s="1"/>
  <c r="L34" i="6"/>
  <c r="L32" i="6"/>
  <c r="M32" i="6" s="1"/>
  <c r="L31" i="6"/>
  <c r="M31" i="6" s="1"/>
  <c r="L30" i="6"/>
  <c r="M30" i="6" s="1"/>
  <c r="L29" i="6"/>
  <c r="M29" i="6" s="1"/>
  <c r="L28" i="6"/>
  <c r="M28" i="6" s="1"/>
  <c r="L27" i="6"/>
  <c r="M27" i="6" s="1"/>
  <c r="L26" i="6"/>
  <c r="M26" i="6" s="1"/>
  <c r="L25" i="6"/>
  <c r="M25" i="6" s="1"/>
  <c r="L24" i="6"/>
  <c r="M24" i="6" s="1"/>
  <c r="L23" i="6"/>
  <c r="M23" i="6" s="1"/>
  <c r="L22" i="6"/>
  <c r="M22" i="6" s="1"/>
  <c r="L21" i="6"/>
  <c r="M21" i="6" s="1"/>
  <c r="L20" i="6"/>
  <c r="M20" i="6" s="1"/>
  <c r="L19" i="6"/>
  <c r="M19" i="6" s="1"/>
  <c r="L18" i="6"/>
  <c r="M3" i="6"/>
  <c r="M4" i="6"/>
  <c r="M5" i="6"/>
  <c r="M6" i="6"/>
  <c r="M7" i="6"/>
  <c r="M8" i="6"/>
  <c r="M9" i="6"/>
  <c r="M10" i="6"/>
  <c r="M11" i="6"/>
  <c r="M12" i="6"/>
  <c r="M13" i="6"/>
  <c r="M14" i="6"/>
  <c r="M15" i="6"/>
  <c r="M16" i="6"/>
  <c r="M2" i="6"/>
  <c r="L17" i="6"/>
  <c r="M17" i="6" s="1"/>
  <c r="L16" i="6"/>
  <c r="L15" i="6"/>
  <c r="L14" i="6"/>
  <c r="L13" i="6"/>
  <c r="L12" i="6"/>
  <c r="L11" i="6"/>
  <c r="L10" i="6"/>
  <c r="L9" i="6"/>
  <c r="L8" i="6"/>
  <c r="L7" i="6"/>
  <c r="L6" i="6"/>
  <c r="L5" i="6"/>
  <c r="L4" i="6"/>
  <c r="L3" i="6"/>
  <c r="C392" i="3"/>
  <c r="AB389" i="3"/>
  <c r="AB388" i="3"/>
  <c r="Z392" i="3"/>
  <c r="Z391" i="3"/>
  <c r="Z390" i="3"/>
  <c r="Z389" i="3"/>
  <c r="Z388" i="3"/>
  <c r="Y404" i="3"/>
  <c r="Y403" i="3"/>
  <c r="Y402" i="3"/>
  <c r="Y401" i="3"/>
  <c r="Y400" i="3"/>
  <c r="Y399" i="3"/>
  <c r="Y398" i="3"/>
  <c r="Y397" i="3"/>
  <c r="Y396" i="3"/>
  <c r="Y395" i="3"/>
  <c r="Y394" i="3"/>
  <c r="Y393" i="3"/>
  <c r="Y392" i="3"/>
  <c r="Y391" i="3"/>
  <c r="Y390" i="3"/>
  <c r="Y389" i="3"/>
  <c r="Y388" i="3"/>
  <c r="X391" i="3"/>
  <c r="X390" i="3"/>
  <c r="X389" i="3"/>
  <c r="X388" i="3"/>
  <c r="W390" i="3"/>
  <c r="W389" i="3"/>
  <c r="W388" i="3"/>
  <c r="P393" i="3"/>
  <c r="P392" i="3"/>
  <c r="P391" i="3"/>
  <c r="P390" i="3"/>
  <c r="P389" i="3"/>
  <c r="P388" i="3"/>
  <c r="O402" i="3"/>
  <c r="O401" i="3"/>
  <c r="O400" i="3"/>
  <c r="O399" i="3"/>
  <c r="O398" i="3"/>
  <c r="O397" i="3"/>
  <c r="O406" i="3" s="1"/>
  <c r="O396" i="3"/>
  <c r="O395" i="3"/>
  <c r="O394" i="3"/>
  <c r="O393" i="3"/>
  <c r="O392" i="3"/>
  <c r="O391" i="3"/>
  <c r="O405" i="3" s="1"/>
  <c r="O390" i="3"/>
  <c r="O389" i="3"/>
  <c r="O388" i="3"/>
  <c r="M402" i="3"/>
  <c r="M401" i="3"/>
  <c r="M400" i="3"/>
  <c r="M399" i="3"/>
  <c r="M398" i="3"/>
  <c r="M397" i="3"/>
  <c r="M396" i="3"/>
  <c r="M395" i="3"/>
  <c r="M394" i="3"/>
  <c r="M393" i="3"/>
  <c r="M392" i="3"/>
  <c r="M391" i="3"/>
  <c r="M390" i="3"/>
  <c r="M389" i="3"/>
  <c r="M388" i="3"/>
  <c r="K394" i="3"/>
  <c r="K392" i="3"/>
  <c r="K389" i="3"/>
  <c r="J396" i="3"/>
  <c r="K396" i="3" s="1"/>
  <c r="J395" i="3"/>
  <c r="K395" i="3" s="1"/>
  <c r="J394" i="3"/>
  <c r="J393" i="3"/>
  <c r="K393" i="3" s="1"/>
  <c r="J392" i="3"/>
  <c r="J391" i="3"/>
  <c r="K391" i="3" s="1"/>
  <c r="J390" i="3"/>
  <c r="K390" i="3" s="1"/>
  <c r="J389" i="3"/>
  <c r="J388" i="3"/>
  <c r="K388" i="3" s="1"/>
  <c r="E388" i="3"/>
  <c r="C404" i="3"/>
  <c r="C403" i="3"/>
  <c r="C402" i="3"/>
  <c r="C401" i="3"/>
  <c r="C400" i="3"/>
  <c r="D398" i="3" s="1"/>
  <c r="D399" i="3" s="1"/>
  <c r="C399" i="3"/>
  <c r="C398" i="3"/>
  <c r="C397" i="3"/>
  <c r="C396" i="3"/>
  <c r="C409" i="3" s="1"/>
  <c r="C395" i="3"/>
  <c r="C394" i="3"/>
  <c r="C393" i="3"/>
  <c r="C391" i="3"/>
  <c r="C390" i="3"/>
  <c r="C389" i="3"/>
  <c r="C388" i="3"/>
  <c r="C407" i="3" s="1"/>
  <c r="C410" i="3" l="1"/>
  <c r="C405" i="3"/>
  <c r="E394" i="3"/>
  <c r="C408" i="3"/>
  <c r="Y407" i="3"/>
  <c r="W392" i="3"/>
  <c r="AB64" i="6"/>
  <c r="AC64" i="6" s="1"/>
  <c r="AB57" i="6"/>
  <c r="AC57" i="6" s="1"/>
  <c r="AB50" i="6"/>
  <c r="AC50" i="6" s="1"/>
  <c r="AB43" i="6"/>
  <c r="AC43" i="6" s="1"/>
  <c r="AB36" i="6"/>
  <c r="AC36" i="6" s="1"/>
  <c r="AB29" i="6"/>
  <c r="AC29" i="6" s="1"/>
  <c r="AB15" i="6"/>
  <c r="AC15" i="6" s="1"/>
  <c r="AC58" i="6"/>
  <c r="AC51" i="6"/>
  <c r="AC44" i="6"/>
  <c r="AC37" i="6"/>
  <c r="AC30" i="6"/>
  <c r="AC23" i="6"/>
  <c r="AB22" i="6"/>
  <c r="AC22" i="6" s="1"/>
  <c r="AC9" i="6"/>
  <c r="X145" i="6"/>
  <c r="Y145" i="6" s="1"/>
  <c r="X129" i="6"/>
  <c r="Y129" i="6" s="1"/>
  <c r="X97" i="6"/>
  <c r="Y97" i="6" s="1"/>
  <c r="X81" i="6"/>
  <c r="Y81" i="6" s="1"/>
  <c r="X65" i="6"/>
  <c r="Y65" i="6" s="1"/>
  <c r="X33" i="6"/>
  <c r="Y33" i="6" s="1"/>
  <c r="Y130" i="6"/>
  <c r="Y114" i="6"/>
  <c r="X113" i="6"/>
  <c r="Y113" i="6" s="1"/>
  <c r="Y82" i="6"/>
  <c r="Y66" i="6"/>
  <c r="Y50" i="6"/>
  <c r="X49" i="6"/>
  <c r="Y49" i="6" s="1"/>
  <c r="Y18" i="6"/>
  <c r="U2" i="6"/>
  <c r="T151" i="6"/>
  <c r="U151" i="6" s="1"/>
  <c r="T141" i="6"/>
  <c r="U141" i="6" s="1"/>
  <c r="T131" i="6"/>
  <c r="U131" i="6" s="1"/>
  <c r="T121" i="6"/>
  <c r="U121" i="6" s="1"/>
  <c r="T111" i="6"/>
  <c r="U111" i="6" s="1"/>
  <c r="T101" i="6"/>
  <c r="U101" i="6" s="1"/>
  <c r="T91" i="6"/>
  <c r="U91" i="6" s="1"/>
  <c r="T81" i="6"/>
  <c r="U81" i="6" s="1"/>
  <c r="T71" i="6"/>
  <c r="U71" i="6" s="1"/>
  <c r="T61" i="6"/>
  <c r="U61" i="6" s="1"/>
  <c r="T51" i="6"/>
  <c r="U51" i="6" s="1"/>
  <c r="T41" i="6"/>
  <c r="U41" i="6" s="1"/>
  <c r="T31" i="6"/>
  <c r="U31" i="6" s="1"/>
  <c r="T21" i="6"/>
  <c r="U21" i="6" s="1"/>
  <c r="U142" i="6"/>
  <c r="U132" i="6"/>
  <c r="U122" i="6"/>
  <c r="U112" i="6"/>
  <c r="U102" i="6"/>
  <c r="U92" i="6"/>
  <c r="U82" i="6"/>
  <c r="U72" i="6"/>
  <c r="U62" i="6"/>
  <c r="U52" i="6"/>
  <c r="U42" i="6"/>
  <c r="U32" i="6"/>
  <c r="U22" i="6"/>
  <c r="U12" i="6"/>
  <c r="P65" i="6"/>
  <c r="Q65" i="6" s="1"/>
  <c r="P49" i="6"/>
  <c r="Q49" i="6" s="1"/>
  <c r="P33" i="6"/>
  <c r="Q33" i="6" s="1"/>
  <c r="Q50" i="6"/>
  <c r="Q34" i="6"/>
  <c r="Q18" i="6"/>
  <c r="P17" i="6"/>
  <c r="Q17" i="6" s="1"/>
  <c r="L273" i="6"/>
  <c r="M273" i="6" s="1"/>
  <c r="L257" i="6"/>
  <c r="M257" i="6" s="1"/>
  <c r="L241" i="6"/>
  <c r="M241" i="6" s="1"/>
  <c r="L225" i="6"/>
  <c r="M225" i="6" s="1"/>
  <c r="L209" i="6"/>
  <c r="M209" i="6" s="1"/>
  <c r="L193" i="6"/>
  <c r="M193" i="6" s="1"/>
  <c r="L177" i="6"/>
  <c r="M177" i="6" s="1"/>
  <c r="L161" i="6"/>
  <c r="M161" i="6" s="1"/>
  <c r="L145" i="6"/>
  <c r="M145" i="6" s="1"/>
  <c r="L129" i="6"/>
  <c r="M129" i="6" s="1"/>
  <c r="L113" i="6"/>
  <c r="M113" i="6" s="1"/>
  <c r="L97" i="6"/>
  <c r="M97" i="6" s="1"/>
  <c r="L81" i="6"/>
  <c r="M81" i="6" s="1"/>
  <c r="L65" i="6"/>
  <c r="M65" i="6" s="1"/>
  <c r="L49" i="6"/>
  <c r="M49" i="6" s="1"/>
  <c r="M258" i="6"/>
  <c r="M242" i="6"/>
  <c r="M226" i="6"/>
  <c r="M210" i="6"/>
  <c r="M194" i="6"/>
  <c r="M178" i="6"/>
  <c r="M162" i="6"/>
  <c r="M146" i="6"/>
  <c r="M130" i="6"/>
  <c r="M114" i="6"/>
  <c r="M98" i="6"/>
  <c r="M82" i="6"/>
  <c r="M66" i="6"/>
  <c r="M50" i="6"/>
  <c r="M34" i="6"/>
  <c r="L33" i="6"/>
  <c r="M33" i="6" s="1"/>
  <c r="M18" i="6"/>
  <c r="AB390" i="3"/>
  <c r="Y414" i="3"/>
  <c r="Y405" i="3"/>
  <c r="Y413" i="3" s="1"/>
  <c r="X393" i="3"/>
  <c r="X392" i="3"/>
  <c r="W391" i="3"/>
  <c r="P394" i="3"/>
  <c r="O403" i="3"/>
  <c r="M403" i="3"/>
  <c r="J397" i="3"/>
  <c r="Z393" i="3"/>
  <c r="Z397" i="3" s="1"/>
  <c r="W393" i="3" l="1"/>
  <c r="Y408" i="3"/>
  <c r="X394" i="3"/>
  <c r="Z394" i="3"/>
  <c r="Z398" i="3"/>
  <c r="Y409" i="3"/>
  <c r="Y412" i="3"/>
  <c r="Y411" i="3"/>
  <c r="Y410" i="3"/>
  <c r="Z396" i="3"/>
  <c r="Z395" i="3"/>
  <c r="F11" i="14" l="1"/>
</calcChain>
</file>

<file path=xl/sharedStrings.xml><?xml version="1.0" encoding="utf-8"?>
<sst xmlns="http://schemas.openxmlformats.org/spreadsheetml/2006/main" count="84519" uniqueCount="39607">
  <si>
    <t>Year</t>
  </si>
  <si>
    <t>Publication type</t>
  </si>
  <si>
    <t>Study area</t>
  </si>
  <si>
    <t>Study focus / Flood type</t>
  </si>
  <si>
    <t>N DEMs</t>
  </si>
  <si>
    <t>Actuality of DEM</t>
  </si>
  <si>
    <t>Vertical datum documentation</t>
  </si>
  <si>
    <t>Vertical datum type</t>
  </si>
  <si>
    <t>DEM accuracy assessment</t>
  </si>
  <si>
    <t>Peer-reviewed article</t>
  </si>
  <si>
    <t>Africa</t>
  </si>
  <si>
    <t>(Relative) sea-level rise</t>
  </si>
  <si>
    <t>actual</t>
  </si>
  <si>
    <t>complete</t>
  </si>
  <si>
    <t>Geoid (EGM96)</t>
  </si>
  <si>
    <t>included</t>
  </si>
  <si>
    <t>Report</t>
  </si>
  <si>
    <t>Antarctica</t>
  </si>
  <si>
    <t>Storm surge</t>
  </si>
  <si>
    <t>outdated</t>
  </si>
  <si>
    <t>incomplete</t>
  </si>
  <si>
    <t>Geoid (EGM2008)</t>
  </si>
  <si>
    <t>not included</t>
  </si>
  <si>
    <t>Preprint</t>
  </si>
  <si>
    <t>Asia</t>
  </si>
  <si>
    <t>Coastal exposure / vulnerability / risk</t>
  </si>
  <si>
    <t>multiple DEMs (both actual and outdated)</t>
  </si>
  <si>
    <t>absent</t>
  </si>
  <si>
    <t>Ellipsoid (WGS84)</t>
  </si>
  <si>
    <t>multiple</t>
  </si>
  <si>
    <t>Conference paper</t>
  </si>
  <si>
    <t>Australia and Oceania</t>
  </si>
  <si>
    <t>Technical focus</t>
  </si>
  <si>
    <t>multiple DEMs (actual)</t>
  </si>
  <si>
    <t>N/A</t>
  </si>
  <si>
    <t>Tidal (MSL-altimetry reference documented)</t>
  </si>
  <si>
    <t>Non-peer reviewed article</t>
  </si>
  <si>
    <t>Europe</t>
  </si>
  <si>
    <t>(Relative) sea-level rise AND Storm surge</t>
  </si>
  <si>
    <t>multiple DEMs (outdated)</t>
  </si>
  <si>
    <t>Tidal (MSL-altimetry reference not documented)</t>
  </si>
  <si>
    <t>Book chapter</t>
  </si>
  <si>
    <t>N-America</t>
  </si>
  <si>
    <t>(Relative) sea-level rise AND Coastal exposure / vulnerability / risk</t>
  </si>
  <si>
    <t>Tidal (MHHW-altimetry reference documented)</t>
  </si>
  <si>
    <t>S-America</t>
  </si>
  <si>
    <t>(Relative) sea-level rise AND Technical focus</t>
  </si>
  <si>
    <t>Tidal (MHHW-altimetry reference not documented)</t>
  </si>
  <si>
    <t>Global</t>
  </si>
  <si>
    <t>Storm surge AND Coastal exposure / vulnerability / risk</t>
  </si>
  <si>
    <t>Multiple</t>
  </si>
  <si>
    <t>Storm surge AND Technical focus</t>
  </si>
  <si>
    <t>Coastal exposure / vulnerability / risk AND Technical focus</t>
  </si>
  <si>
    <t>not known</t>
  </si>
  <si>
    <t>not documented/assessable</t>
  </si>
  <si>
    <t>Authors</t>
  </si>
  <si>
    <t>DOI/URL</t>
  </si>
  <si>
    <t>Journal/Book/Report title</t>
  </si>
  <si>
    <t>Publication title</t>
  </si>
  <si>
    <t>Distance to shore (km)</t>
  </si>
  <si>
    <t>DEM used</t>
  </si>
  <si>
    <t>DEM type</t>
  </si>
  <si>
    <t>DEM coverage</t>
  </si>
  <si>
    <t>Acquisition</t>
  </si>
  <si>
    <t>Technique</t>
  </si>
  <si>
    <t>Vertical datum</t>
  </si>
  <si>
    <t>Accuracy (m) in study area</t>
  </si>
  <si>
    <t>Horizontal datum</t>
  </si>
  <si>
    <t>Spatial resolution (m)</t>
  </si>
  <si>
    <t>Availability</t>
  </si>
  <si>
    <t>Comment</t>
  </si>
  <si>
    <t>Article</t>
  </si>
  <si>
    <t>WGS84</t>
  </si>
  <si>
    <t>Free</t>
  </si>
  <si>
    <t>not investigated</t>
  </si>
  <si>
    <t>not documented</t>
  </si>
  <si>
    <t>Tidal</t>
  </si>
  <si>
    <t>EGM96</t>
  </si>
  <si>
    <t>EGM2008</t>
  </si>
  <si>
    <t>Ganges-Brahmaputra-Meghna Delta</t>
  </si>
  <si>
    <t>Journal of Hydrology</t>
  </si>
  <si>
    <t>Cyclone-induced storm surge flooding in the Ganges-Brahmaputra-Meghna delta under different mean-sea level rise scenarios</t>
  </si>
  <si>
    <t>Elahi, M.W., Wang, X. H., Ritchie, E.A.</t>
  </si>
  <si>
    <t>Ocean Dynamics</t>
  </si>
  <si>
    <t>https://doi.org/10.1007/s10236-025-01671-w</t>
  </si>
  <si>
    <t>ca. 0-156 km</t>
  </si>
  <si>
    <t>Modelling storm surge inundation under SLR scenarios</t>
  </si>
  <si>
    <t>Global Dataset of Extreme Sea Levels and Coastal Flood Impacts over the 21st Century</t>
  </si>
  <si>
    <t>Data</t>
  </si>
  <si>
    <t>Global dataset of extreme sea levels and coastal flood impacts</t>
  </si>
  <si>
    <t>DSM/DTM; nearly DTM</t>
  </si>
  <si>
    <t>60° N to 56° S; 60° N to 56° S</t>
  </si>
  <si>
    <t>11/02/2000 to 22/02/2000; 11/02/2000 to 22/02/2000</t>
  </si>
  <si>
    <t>MERIT DEM; CoastalDEM v2.1</t>
  </si>
  <si>
    <t>MDT  (CNES-CLS13)</t>
  </si>
  <si>
    <t>Kirezci, E., Young, I., Ranasinghe, R., Chen, Y., Zhang, Y., Rajabifard, A.</t>
  </si>
  <si>
    <t>Deep learning-based downscaling of global digital elevation models for enhanced urban flood modeling</t>
  </si>
  <si>
    <t>https://doi.org/10.3390/data10020015</t>
  </si>
  <si>
    <t>https://doi.org/10.1016/j.jhydrol.2025.132687</t>
  </si>
  <si>
    <t>Portsmouth (Virginia)</t>
  </si>
  <si>
    <t>NAD1983 UTM18N</t>
  </si>
  <si>
    <t>ca. 0-15 km</t>
  </si>
  <si>
    <t>Improvement of global DEMs for urban flood modelling</t>
  </si>
  <si>
    <t>Zandsalimi, Z., Barbosa, S.A., Alemazkoor, N., Goodall, J.L., Shafiee-Jood, M.</t>
  </si>
  <si>
    <t>Spatial Modeling of Tidal Flood Hazard and Mitigation Efforts in the Coastal Area of Bandar Lampung City, Indonesia</t>
  </si>
  <si>
    <t>International Journal of Geoinformatics</t>
  </si>
  <si>
    <t>Improving the usability of global SRTM DEM for reach-scale floodplain inundation mapping in data-scarce regions through bias correction</t>
  </si>
  <si>
    <t>Asbi, A.M., Mardiatno, D., Ruslanjari, D.</t>
  </si>
  <si>
    <t>Coastal area of Bandar Lampung City (Indonesia)</t>
  </si>
  <si>
    <t>ca. 0-5 km</t>
  </si>
  <si>
    <t>Characterisation of tidal flood hazard and investigation of mitigation measures</t>
  </si>
  <si>
    <t>DEMNAS</t>
  </si>
  <si>
    <t>ALOS; ASTER; SRTM; NASADEM; LiDAR</t>
  </si>
  <si>
    <t>DSM; DSM; DSM; DSM; DTM</t>
  </si>
  <si>
    <t>80° N to 80° S; 83° N to 83° S, 60° N to 56° S; 60° N to 56° S; local</t>
  </si>
  <si>
    <t>Resampling AW3D (5 m resolution, based on optical stereo panchromatic imagery) by applying average and medium methods; Correlation of optical stereo near infrared imagery; Synthetic Aperture Radar interferometry (dual antennas); Correction of SRTM (by void-filling and integrating ICESat/GLAS, ASTER, NDEM, GMTED2010 and Canadian elevation data); airborne LiDAR</t>
  </si>
  <si>
    <r>
      <t xml:space="preserve">not documented </t>
    </r>
    <r>
      <rPr>
        <sz val="11"/>
        <rFont val="Aptos Narrow"/>
        <family val="2"/>
        <scheme val="minor"/>
      </rPr>
      <t>(likely Geoid)</t>
    </r>
  </si>
  <si>
    <t>WGS84 UTM48S</t>
  </si>
  <si>
    <t>DSM</t>
  </si>
  <si>
    <t>national</t>
  </si>
  <si>
    <t>IFSAR data (5m resolution), TERRASAR-X (5m resolution) and ALOS PALSAR (11.25m resolution), adding Mass-plotted stereo data</t>
  </si>
  <si>
    <t>https://doi.org/10.52939/ijg.v21i2.3937</t>
  </si>
  <si>
    <t>no direct reference to dataset documentation given</t>
  </si>
  <si>
    <t>24/01/2006 to 12/05/2011; 01/2000 to 30/11/2013; 11/02/2000 to 22/02/2000; 11/02/2000 to 22/02/2000;</t>
  </si>
  <si>
    <t>30 (resampled to 5); 30 (resampled to 5); 30 (resampled to 5); 30 (resampled to 5); 1 (resmapled to 5)</t>
  </si>
  <si>
    <t>LiDAR DEM was used as reference for assessing the global DEMs</t>
  </si>
  <si>
    <t>5; 5; 9; 5; 0.1</t>
  </si>
  <si>
    <r>
      <t xml:space="preserve">not documented </t>
    </r>
    <r>
      <rPr>
        <sz val="11"/>
        <rFont val="Aptos Narrow"/>
        <family val="2"/>
        <scheme val="minor"/>
      </rPr>
      <t>(Geoid for global DEMs?)</t>
    </r>
  </si>
  <si>
    <t>Earth Science Informatics</t>
  </si>
  <si>
    <t>https://doi.org/10.1007/s12145-025-01812-1</t>
  </si>
  <si>
    <t>Brazos River in Fort Bend County, Texas (USA)</t>
  </si>
  <si>
    <t>ca. 0-85 km</t>
  </si>
  <si>
    <t>Bias correction of global DEM by LiDAR data for improving flood inundation mapping</t>
  </si>
  <si>
    <t>SRTM; LiDAR</t>
  </si>
  <si>
    <t>DSM; DTM</t>
  </si>
  <si>
    <t>60° N to 56° S; local</t>
  </si>
  <si>
    <t>11/02/2000 to 22/02/2000;</t>
  </si>
  <si>
    <t>Synthetic Aperture Radar interferometry (dual antennas); airborne LiDAR</t>
  </si>
  <si>
    <r>
      <t xml:space="preserve">not documented </t>
    </r>
    <r>
      <rPr>
        <sz val="11"/>
        <rFont val="Aptos Narrow"/>
        <family val="2"/>
        <scheme val="minor"/>
      </rPr>
      <t>(Geoid for global DEM?)</t>
    </r>
  </si>
  <si>
    <r>
      <rPr>
        <b/>
        <sz val="11"/>
        <rFont val="Aptos Narrow"/>
        <family val="2"/>
        <scheme val="minor"/>
      </rPr>
      <t>not documented</t>
    </r>
    <r>
      <rPr>
        <sz val="11"/>
        <rFont val="Aptos Narrow"/>
        <family val="2"/>
        <scheme val="minor"/>
      </rPr>
      <t xml:space="preserve"> (EGM96 for global DEM?)</t>
    </r>
  </si>
  <si>
    <r>
      <rPr>
        <b/>
        <sz val="11"/>
        <rFont val="Aptos Narrow"/>
        <family val="2"/>
        <scheme val="minor"/>
      </rPr>
      <t>not documented</t>
    </r>
    <r>
      <rPr>
        <sz val="11"/>
        <rFont val="Aptos Narrow"/>
        <family val="2"/>
        <scheme val="minor"/>
      </rPr>
      <t xml:space="preserve"> (EGM96 for global DEMs?)</t>
    </r>
  </si>
  <si>
    <r>
      <rPr>
        <b/>
        <sz val="11"/>
        <rFont val="Aptos Narrow"/>
        <family val="2"/>
        <scheme val="minor"/>
      </rPr>
      <t>not documented</t>
    </r>
    <r>
      <rPr>
        <sz val="11"/>
        <rFont val="Aptos Narrow"/>
        <family val="2"/>
        <scheme val="minor"/>
      </rPr>
      <t xml:space="preserve"> (EGM2008?)</t>
    </r>
  </si>
  <si>
    <t>mean error of 4.20 m (ca. 0 m for biased-corrected SRTM); standard deviation of 3.40 m (1.60 m for biased-corrected SRTM)</t>
  </si>
  <si>
    <t xml:space="preserve">30; </t>
  </si>
  <si>
    <t>LiDAR DEM was used as reference for assessing the global DEM</t>
  </si>
  <si>
    <t>Jesna, I., Bhallamudi, S.M., Sudheer, K.P.</t>
  </si>
  <si>
    <t>Quantifying probabilistic tsunami inundation risk and its application to the Guangdong-Hong Kong-Macao Greater Bay Area</t>
  </si>
  <si>
    <t>International Journal of Disaster Risk Reduction</t>
  </si>
  <si>
    <t>ca. 0-290 km</t>
  </si>
  <si>
    <t>Quantification of tsunami inundation risk</t>
  </si>
  <si>
    <t>Tsunami</t>
  </si>
  <si>
    <t>(Relative) sea-level rise AND Tsunami</t>
  </si>
  <si>
    <t>Storm surge AND Tsunami</t>
  </si>
  <si>
    <t>Tsunami AND Coastal exposure / vulnerability / risk</t>
  </si>
  <si>
    <t>Tsunami AND Technical focus</t>
  </si>
  <si>
    <t>Copernicus DEM</t>
  </si>
  <si>
    <t>90° N to 90° S</t>
  </si>
  <si>
    <t>12/12/2010 to 16/01/2015 (source TanDEM)</t>
  </si>
  <si>
    <t>Geoid</t>
  </si>
  <si>
    <r>
      <rPr>
        <b/>
        <sz val="11"/>
        <rFont val="Aptos Narrow"/>
        <family val="2"/>
        <scheme val="minor"/>
      </rPr>
      <t>not documented</t>
    </r>
    <r>
      <rPr>
        <sz val="11"/>
        <rFont val="Aptos Narrow"/>
        <family val="2"/>
        <scheme val="minor"/>
      </rPr>
      <t xml:space="preserve"> (WGS84)</t>
    </r>
  </si>
  <si>
    <t>https://doi.org/10.1016/j.ijdrr.2025.105217Get rights and content</t>
  </si>
  <si>
    <t>Sun, Z., Niu, X.</t>
  </si>
  <si>
    <t>Tiwari, P., Rao, A.D., Pandey, S., Pant, V.</t>
  </si>
  <si>
    <t>Investigation of the impact of complex coastline geometry on the evolution of storm surges along the eastern coast of India: a sensitivity study using a numerical model</t>
  </si>
  <si>
    <t>Ocean Science</t>
  </si>
  <si>
    <t>ca. 0-65 km</t>
  </si>
  <si>
    <t>Investigation of storm surge evolution based on historical cyclone track data</t>
  </si>
  <si>
    <t>East coast of India (15° N to 16.50° N, 80° E to 82° E)</t>
  </si>
  <si>
    <t>airborne DEM; CARTO2, SRTM30</t>
  </si>
  <si>
    <t>DTM?; DSM; DSM</t>
  </si>
  <si>
    <t>airborne; based on Cartosat-2 multi-view data; Synthetic Aperture Radar interferometry (dual antennas)</t>
  </si>
  <si>
    <t xml:space="preserve">local; local/national?; 60° N to 56° S </t>
  </si>
  <si>
    <t>not documented; not documented; 11/02/2000 to 22/02/2000</t>
  </si>
  <si>
    <r>
      <rPr>
        <b/>
        <sz val="11"/>
        <rFont val="Aptos Narrow"/>
        <family val="2"/>
        <scheme val="minor"/>
      </rPr>
      <t>not documented</t>
    </r>
    <r>
      <rPr>
        <sz val="11"/>
        <rFont val="Aptos Narrow"/>
        <family val="2"/>
        <scheme val="minor"/>
      </rPr>
      <t xml:space="preserve"> (Geoid for global DEM?)</t>
    </r>
  </si>
  <si>
    <t>1; 10; 30</t>
  </si>
  <si>
    <t>https://doi.org/10.5194/os-21-381-2025</t>
  </si>
  <si>
    <t>https://doi.org/10.1007/s00024-025-03681-7</t>
  </si>
  <si>
    <t>Pure and Applied Geophysics</t>
  </si>
  <si>
    <t>Quantitative Risk Assessment of a Tsunami Induced by the Averroes Fault (Alboran Sea): Case of Martil City, the Mediterranean Coast of Morocco</t>
  </si>
  <si>
    <t>Martil City (Morocco)</t>
  </si>
  <si>
    <t>ca. 0-13 km</t>
  </si>
  <si>
    <t>Modelling tsunami inundation</t>
  </si>
  <si>
    <t>GEBCO</t>
  </si>
  <si>
    <t>combination of SRTM supplemented by GMTED and MEaSUREs BedMachine Antarctica</t>
  </si>
  <si>
    <t>11/02/2000 to 22/02/2000 (SRTM)</t>
  </si>
  <si>
    <r>
      <rPr>
        <b/>
        <sz val="11"/>
        <rFont val="Aptos Narrow"/>
        <family val="2"/>
        <scheme val="minor"/>
      </rPr>
      <t>not documented</t>
    </r>
    <r>
      <rPr>
        <sz val="11"/>
        <rFont val="Aptos Narrow"/>
        <family val="2"/>
        <scheme val="minor"/>
      </rPr>
      <t xml:space="preserve"> (Geoid?)</t>
    </r>
  </si>
  <si>
    <r>
      <rPr>
        <b/>
        <sz val="11"/>
        <rFont val="Aptos Narrow"/>
        <family val="2"/>
        <scheme val="minor"/>
      </rPr>
      <t>not documented</t>
    </r>
    <r>
      <rPr>
        <sz val="11"/>
        <rFont val="Aptos Narrow"/>
        <family val="2"/>
        <scheme val="minor"/>
      </rPr>
      <t xml:space="preserve"> (EGM96?)</t>
    </r>
  </si>
  <si>
    <t>400, 100, 25 (different model grids)</t>
  </si>
  <si>
    <t>Outiskt, M., Tadibaght, A., Agharroud, K., Baptista, M.A., Francisco, P.R.J., Tichli, S., Aboumaria, K.</t>
  </si>
  <si>
    <t>Mapping flood risk using a workflow including deep learning and MCDM– Application to southern Iran</t>
  </si>
  <si>
    <t>Urban Climate</t>
  </si>
  <si>
    <t>Development of an approach to map flood risk by combining a hazard map produced by a bidirectional long short-term memory deep learning model, and a flood vulnerability map produced by a complex proportional
assessment model as a multi-criteria decision making model</t>
  </si>
  <si>
    <t>SRTM</t>
  </si>
  <si>
    <t>60° N to 56° S</t>
  </si>
  <si>
    <t>11/02/2000 to 22/02/2000</t>
  </si>
  <si>
    <t>Synthetic Aperture Radar interferometry (dual antennas)</t>
  </si>
  <si>
    <t>ca. 0-94 km</t>
  </si>
  <si>
    <t>Eastern Hormozgan province in southern Iran</t>
  </si>
  <si>
    <t>https://doi.org/10.1016/j.uclim.2024.102272</t>
  </si>
  <si>
    <t>Gholami, H., Mohammadifar, A., Golzari, S., Torkamandi, R., Moayedi, E., Reshkooeiyeh, M.Z., Song, Y., Zeeden,C.</t>
  </si>
  <si>
    <t>Amra, R., Araki, S., Geiß, C., Davies, G.</t>
  </si>
  <si>
    <t>Error-reduced digital elevation models and high-resolution land cover roughness in mapping tsunami exposure for low elevation coastal zones</t>
  </si>
  <si>
    <t>Remote Sensing Applications: Society and Environment</t>
  </si>
  <si>
    <t>Banda Aceh, Sumatra (Indonesia)</t>
  </si>
  <si>
    <t>ca. 0-7 km</t>
  </si>
  <si>
    <t>Tsunami inundation and exposure assessment based on error-reduced global DEMs</t>
  </si>
  <si>
    <t>DSM; DSM; DSM; nearly DTM; DSM; nearly DTM; DSM; nearly DTM; DSM/DTM; DSM; DSM</t>
  </si>
  <si>
    <t>80° N to 80° S; 90° N to 90° S; 90° N to 90° S;  60° N to 56° S; national; 90° N to 90° S; 90° N to 90° S; 90° N to 90° S; 60° N to 56° S; 60° N to 56° S; 60° N to 56° S</t>
  </si>
  <si>
    <t>AW3D30; Copernicus DEM; CRAWDEM; Coastal DEM v2.1; DEMNAS; DiluviumDEM; EDEM; FABDEM; MERIT DEM; NASADEM; SRTM</t>
  </si>
  <si>
    <t>Correction WorldDEM (based on TanDEM-X 12 m) by filling voids with ASTER, SRTM90, SRTM30, GMTED2010, SRTM30plus, TerraSAR-X Radargrammetric DEM, AW3D30, and Norway DEM</t>
  </si>
  <si>
    <r>
      <rPr>
        <sz val="11"/>
        <rFont val="Aptos Narrow"/>
        <family val="2"/>
        <scheme val="minor"/>
      </rPr>
      <t xml:space="preserve">24/01/2006 to 12/05/2011; 12/12/2010 to 16/01/2015 (source TanDEM); 2016 to 2022 (source TanDEM); 11/02/2000 to 22/02/2000 (i.e. SRTM); </t>
    </r>
    <r>
      <rPr>
        <b/>
        <sz val="11"/>
        <rFont val="Aptos Narrow"/>
        <family val="2"/>
        <scheme val="minor"/>
      </rPr>
      <t>not documented</t>
    </r>
    <r>
      <rPr>
        <sz val="11"/>
        <rFont val="Aptos Narrow"/>
        <family val="2"/>
        <scheme val="minor"/>
      </rPr>
      <t>; 12/12/2010 to 16/01/2015 (source TanDEM); 12/12/2010 to 16/01/2015 (source TanDEM); 12/12/2010 to 16/01/2015 (source TanDEM); 11/02/2000 to 22/02/2000 (i.e. SRTM); 11/02/2000 to 22/02/2000 (i.e. SRTM); 11/02/2000 to 22/02/2000</t>
    </r>
  </si>
  <si>
    <t>Resampling AW3D (5m resolution, based on optical stereo panchromaticimagery) by applying average and medium methods; Correction WorldDEM (based on TanDEM-X 12 m) by filling voids with ASTER, SRTM90, SRTM30, GMTED2010, SRTM30plus, TerraSAR-X Radargrammetric DEM, AW3D30, and Norway DEM; Integration of new data into EDEM (2016-2022); Correction of NASADEM by training with ICESat 2 satellite LiDAR data and using additional population and vegetation datasets in a neural network; IFSAR data (5m resolution), TERRASAR-X (5m resolution) and ALOS PALSAR (11.25m resolution), adding Mass-plotted stereo data; Correction of Copernicus DEM GLO-30 by training with LiDAR data and using 52 explanatory variables in a LightGBM regression model; Flattening and void-filling of TanDEM-X; Correction of Copernicus DEM GLO-30 by removing buildings and forest height bias through machine learning techniques; SRTM with removal of tree heights; Correction of SRTM (by void-filling and integrating ICESat/GLAS, ASTER, NDEM, GMTED2010 and Canadian elevation data); Synthetic Aperture Radar interferometry (dual antennas)</t>
  </si>
  <si>
    <t>3.13 (RMSE); 1.64 (RMSE); 2.06 (RMSE); 1.53 (RMSE); 2.35 (RMSE); 1.18 (RMSE); 1.78 (RMSE); 1.09 (RMSE); 2.74 (RMSE); 2.14 (RMSE); 3.13 (RMSE)</t>
  </si>
  <si>
    <t>30; 30; 30; 90; 8; 30; 30; 30; 90; 30; 30</t>
  </si>
  <si>
    <t>Workflow of vertical datum documentation and conversion to EGM2008 does not provide any information about whether geoid offset between EGM96 and EGM2008 was considered</t>
  </si>
  <si>
    <t>https://doi.org/10.1016/j.rsase.2024.101438</t>
  </si>
  <si>
    <t>Flood analysis using HEC-RAS 1D model for the delta of Brahmani river, Odisha, India</t>
  </si>
  <si>
    <t>Natural Hazards</t>
  </si>
  <si>
    <t>https://doi.org/10.1007/s11069-025-07121-6</t>
  </si>
  <si>
    <t>Brahmani Delta, Odisha (India)</t>
  </si>
  <si>
    <t>Modelling flood inundation</t>
  </si>
  <si>
    <t>ca. 0-315 km</t>
  </si>
  <si>
    <t>UTM 45S</t>
  </si>
  <si>
    <t>likely DSM</t>
  </si>
  <si>
    <r>
      <rPr>
        <b/>
        <sz val="11"/>
        <rFont val="Aptos Narrow"/>
        <family val="2"/>
        <scheme val="minor"/>
      </rPr>
      <t>not documented</t>
    </r>
    <r>
      <rPr>
        <sz val="11"/>
        <rFont val="Aptos Narrow"/>
        <family val="2"/>
        <scheme val="minor"/>
      </rPr>
      <t xml:space="preserve"> (USGS) (likely SRTM)</t>
    </r>
  </si>
  <si>
    <t>Samal, P., Swain, P.C., Samantaray, S.</t>
  </si>
  <si>
    <t>Flood mapping, damage assessment, and susceptibility zonation in northeastern Bangladesh in 2022 using geospatial datasets</t>
  </si>
  <si>
    <t>Progress in Disaster Science</t>
  </si>
  <si>
    <t>https://doi.org/10.1016/j.pdisas.2024.100402</t>
  </si>
  <si>
    <t>Northeastern Bangladesh</t>
  </si>
  <si>
    <t>ca. 125-261 km</t>
  </si>
  <si>
    <t>Assessment of flood inundation, impacts and susceptibility zones during the 2022 flood</t>
  </si>
  <si>
    <t>Rahman, Md.M., Kamruzzaman, M., Deb, L., Islam, H.M.T.</t>
  </si>
  <si>
    <t>Machine learning driven multi-hazard risk framework for coastal resilience</t>
  </si>
  <si>
    <t>Journal of South American Earth Sciences</t>
  </si>
  <si>
    <t>Coastal area of Buenos Aires (Argentina)</t>
  </si>
  <si>
    <t>ca. 0-70 km</t>
  </si>
  <si>
    <t>Proposal of a multi-hazard risk analysis framework using machine learning to model and predict risks</t>
  </si>
  <si>
    <t>Authors document the use of DEMs from satellite imagery and local government sources but the reference cited does not entail information on elevation data for Buenos Aires</t>
  </si>
  <si>
    <t>https://doi.org/10.1016/j.jsames.2024.105331</t>
  </si>
  <si>
    <t>Palanikkumar, D., Maashi, M., Alsamri, J., Obayya, M.</t>
  </si>
  <si>
    <t>Comparing freely-available DEMs for the Geomorphic Flood Index to map flood-prone areas</t>
  </si>
  <si>
    <t>Basento River basin (Italy)</t>
  </si>
  <si>
    <t>ca. 0-103 km</t>
  </si>
  <si>
    <t>Use of digital elevation models for flood susceptibility assessment via a hydrogeomorphic approach: A case study of the Basento River in Italy</t>
  </si>
  <si>
    <t>https://doi.org/10.1007/s11069-025-07144-z</t>
  </si>
  <si>
    <t>HydroSHEDs; ASTER; EUDEM; TinItaly DEM; RSDI Basilicata Region DEM</t>
  </si>
  <si>
    <t>60° N to 56° S; 83° N to 83° S; PanEuropean; national (Italy); local (Basilicata Region)</t>
  </si>
  <si>
    <t>Hydrological conditioning of SRTM; Correlation of optical stereo near infrared imagery; Hydrological conditioning of TerraSAR-X and TanDEM-X; TIN interpolation of heterogeneous elevation datasets obtained from existing Italian digital cartography; TIN interpolation Laser Scanner, Ground Model Keypoint</t>
  </si>
  <si>
    <t xml:space="preserve">11/02/2000 to 22/02/2000 (SRTM); 01/2000 to 30/11/2013; 12/12/2010 to 16/01/2015 (TanDEM-X); published in 2007; </t>
  </si>
  <si>
    <t>DSM; DSM; DSM; DTM; DTM</t>
  </si>
  <si>
    <t>not documented (likely Geoid); ellipsoid for local DEM</t>
  </si>
  <si>
    <r>
      <rPr>
        <b/>
        <sz val="11"/>
        <rFont val="Aptos Narrow"/>
        <family val="2"/>
        <scheme val="minor"/>
      </rPr>
      <t>not documented</t>
    </r>
    <r>
      <rPr>
        <sz val="11"/>
        <rFont val="Aptos Narrow"/>
        <family val="2"/>
        <scheme val="minor"/>
      </rPr>
      <t xml:space="preserve"> (EGM96?); WGS84 for local DEM</t>
    </r>
  </si>
  <si>
    <t>90; 30; 25; 10; 5</t>
  </si>
  <si>
    <t>Albano, R., Adamowski, J.</t>
  </si>
  <si>
    <t>A method for simulating coastal inundation and inland flooding by integrating inland hydrology with ocean hydrodynamics</t>
  </si>
  <si>
    <t>Brahmani Delta, Odisha (India); Bay of Bengal</t>
  </si>
  <si>
    <t>Simulation of tides, surges, waves and inland flooding</t>
  </si>
  <si>
    <t>Correction WorldDEM (based on TanDEM-X 12 m) by filling voids with ASTER, SRTM90, SRTM30; GMTED2010, SRTM30plus, TerraSAR-X Radargrammetric DEM, AW3D30, and Norway DEM</t>
  </si>
  <si>
    <r>
      <rPr>
        <b/>
        <sz val="11"/>
        <rFont val="Aptos Narrow"/>
        <family val="2"/>
        <scheme val="minor"/>
      </rPr>
      <t>not documented</t>
    </r>
    <r>
      <rPr>
        <sz val="11"/>
        <rFont val="Aptos Narrow"/>
        <family val="2"/>
        <scheme val="minor"/>
      </rPr>
      <t xml:space="preserve"> (likely Geoid)</t>
    </r>
  </si>
  <si>
    <t>ca. 0-120 km</t>
  </si>
  <si>
    <t xml:space="preserve">https://doi.org/10.1007/s11069-025-07149-8 </t>
  </si>
  <si>
    <t>Tejaswi, A., Sahoo, B., Kale, R.V., Murty, P.L.N., Mohanty, A.</t>
  </si>
  <si>
    <t>Coastal Flood Induced Salinity Intrusion Risk Assessment Using a Spatial Multi-criteria Approach in the South-Western Bangladesh</t>
  </si>
  <si>
    <t>Earth Systems and Environment</t>
  </si>
  <si>
    <t>ASTER</t>
  </si>
  <si>
    <t>83° N to 83° S</t>
  </si>
  <si>
    <t>01/2000 to 30/11/2013</t>
  </si>
  <si>
    <t>Correlation of optical stereo near infrared imagery</t>
  </si>
  <si>
    <t>WGS84 UTM45N</t>
  </si>
  <si>
    <t>Establishment and evaluation of spatial-multicriteria approach for mapping risk levels to salinity intrusion impacts</t>
  </si>
  <si>
    <t>Khulna District (Bangladesh)</t>
  </si>
  <si>
    <t>ASTER is a DSM but in this study was treated as a bare-earth DEM; rather assessment of exposure than vulnerability and risk</t>
  </si>
  <si>
    <t>ca. 50-143 km</t>
  </si>
  <si>
    <t>https://doi.org/10.1007/s41748-024-00399-9</t>
  </si>
  <si>
    <t>Akter, T., Hoque, M.A.-A., Mukul, S.A., Pradhan, B.</t>
  </si>
  <si>
    <t>Saltwater intrusion and human health risks for coastal populations under 2050 climate scenarios</t>
  </si>
  <si>
    <t>Scientific Reports</t>
  </si>
  <si>
    <t>Assessment of vulnerability to future saltwater intrusion associated with climate change in 2050 under RCP4.5 and RCP8.5</t>
  </si>
  <si>
    <t>Mueller, W., Zamrsky, D., Essink, G.O., Fleming, L.E., Deshpande, A., Makris, K.C., Wheeler, B.W., Newton, J.N., Narayan, K.M.V., Naser, A.M., Gribble, M.O.</t>
  </si>
  <si>
    <t>https://doi.org/10.1038/s41598-024-66956-4</t>
  </si>
  <si>
    <t>Enhancing flood risk assessment in northern Morocco with tuned machine learning and advanced geospatial techniques</t>
  </si>
  <si>
    <t>Journal of Geographical Sciences</t>
  </si>
  <si>
    <t>Tangier, Tetouan, and Larache (northern Morocco)</t>
  </si>
  <si>
    <t>Prediction of flood-prone areas using unsupervised learning techniques</t>
  </si>
  <si>
    <r>
      <t xml:space="preserve">not documented </t>
    </r>
    <r>
      <rPr>
        <sz val="11"/>
        <rFont val="Aptos Narrow"/>
        <family val="2"/>
        <scheme val="minor"/>
      </rPr>
      <t>(WGS84?)</t>
    </r>
  </si>
  <si>
    <t>ca. 0-22 km</t>
  </si>
  <si>
    <t>https://doi.org/10.1007/s11442-024-2301-4</t>
  </si>
  <si>
    <t>Wassima, M., Soufiane, H., Shawki, S., Driss, L., Amine, M.M., Bouchaib, C., Abdelhadi, R.</t>
  </si>
  <si>
    <t>Patuakhali District (Bangladesh)</t>
  </si>
  <si>
    <t>Rahman, Md.Z., Akter, A.</t>
  </si>
  <si>
    <t>Coastal flood risk assessment</t>
  </si>
  <si>
    <t>ca. 0-76 km</t>
  </si>
  <si>
    <t>WGS84 UTM46N</t>
  </si>
  <si>
    <t>Assessment of coastal flood risks in a selected urban area in Bangladesh</t>
  </si>
  <si>
    <t>https://doi.org/10.1007/s11069-024-06752-5</t>
  </si>
  <si>
    <t>Kocadere-Ilıcadere watershed that covers Karşıyaka district
in İzmir (Turkey)</t>
  </si>
  <si>
    <t>ca. 0-16 km</t>
  </si>
  <si>
    <t>Assessment of vulnerability to climate change hazards, high temperature, flood and sea-level rise</t>
  </si>
  <si>
    <t>Source of DEM is only documented as "prepared" (based on topographic maps?)</t>
  </si>
  <si>
    <t>Climate change vulnerability assessment of Karşıyaka, İzmir</t>
  </si>
  <si>
    <t>https://doi.org/10.1007/s11069-024-06798-5</t>
  </si>
  <si>
    <t>Cangüzel, A., Hepcan, Ç.C.</t>
  </si>
  <si>
    <t>Sea level rise and coastal flooding risks in the Gulf of Guinea</t>
  </si>
  <si>
    <t>FABDEM</t>
  </si>
  <si>
    <t>Gulf of Guinea</t>
  </si>
  <si>
    <t>Evaluation of severity of potential coastal iundation</t>
  </si>
  <si>
    <t>nearly DTM</t>
  </si>
  <si>
    <t>Correction of Copernicus DEM GLO-30 by removing buildings and forest height bias through machine learning techniques</t>
  </si>
  <si>
    <t>https://doi.org/10.1038/s41598-024-80748-w</t>
  </si>
  <si>
    <t>Ghomsi, F.E.K., Nyberg, B., Raj, R.P., Bonaduce, A., Abiodun, B.J., Johannessen, O.M.</t>
  </si>
  <si>
    <t>An integrated coastal exposure modelling approach to assist mangrove ecosystem based disaster risk reduction (Eco-DRR) in Tamil Nadu, India</t>
  </si>
  <si>
    <t>ca. 0-20 km</t>
  </si>
  <si>
    <t>Pichavaram mangrove area, Tamil Nadu (India)</t>
  </si>
  <si>
    <t>Measuring the impact of mangroves in minimising coastal exposure using InVEST Coastal Vulnerability Assessment model</t>
  </si>
  <si>
    <t>https://doi.org/10.1016/j.pdisas.2024.100388</t>
  </si>
  <si>
    <t>Singha, P., Dasgupta, R., Hashimoto, S., Mitra, B.K.</t>
  </si>
  <si>
    <t>Coastal erosion and flooding risk assessment based on grid scale: A case study of six coastal metropolitan areas</t>
  </si>
  <si>
    <t>Science of the Total Environment</t>
  </si>
  <si>
    <t>Shanghai, New Yourk, Sydney, San Francisco, Randstad, Tokyo</t>
  </si>
  <si>
    <t>Development of a coastal risk assessment model based on grid scale</t>
  </si>
  <si>
    <t>https://doi.org/10.1016/j.scitotenv.2024.174393</t>
  </si>
  <si>
    <t>Cao, X., Sun, Y., Wang, Y., Wang, Y., Cheng, X., Zhang, W., Zong, J., Wang, R.</t>
  </si>
  <si>
    <t>Distribution of economic damages due to climate-driven sea-level rise across European regions and sectors</t>
  </si>
  <si>
    <t>Exploring direct and indirect economic consequences of sea-level rise at regional and sectoral levels in Europe</t>
  </si>
  <si>
    <t>investigation of SLR impact without referring to any DEM</t>
  </si>
  <si>
    <t>https://doi.org/10.1038/s41598-023-48136-y</t>
  </si>
  <si>
    <t>Arbués, I.C., Chatzivasileiadis, T., Ivanova, O., Storm, S., Bosello, F., Filatova, T.</t>
  </si>
  <si>
    <t>Risk of compound flooding substantially increases in the future Mekong River delta</t>
  </si>
  <si>
    <t>Natural Hazards and Earth System Sciences</t>
  </si>
  <si>
    <t>Mekong Delta (Cambodia, Vietnam)</t>
  </si>
  <si>
    <t>ca. 0-286 km</t>
  </si>
  <si>
    <t>Analysing exposure of the Mekong Delta to compound flooding based on 1D river model and 2D storm tide levels</t>
  </si>
  <si>
    <t>Correction to sea level is not the latest approach and does not account for sea-level variations between study site and location of reference tide gauge</t>
  </si>
  <si>
    <t>MSL (Hon Dau tide gauge)</t>
  </si>
  <si>
    <t>WGS84 UTM48N</t>
  </si>
  <si>
    <t>https://doi.org/10.5194/nhess-24-3627-2024</t>
  </si>
  <si>
    <t>Wood, M., Haigh, I.D., Le, Q.Q., Nguyen, H.N., Tran, H.B., Darby, S.E., Marsh, R., Skliris, N., Hirschi, J.J.-M.</t>
  </si>
  <si>
    <t>Climate change and urban sprawl: Unveiling the escalating flood risks in river deltas with a deep dive into the GBM river delta</t>
  </si>
  <si>
    <t>Coastal vulnerability assessment of the West African coast to flooding and erosion</t>
  </si>
  <si>
    <t>West African Coast</t>
  </si>
  <si>
    <t>0 km</t>
  </si>
  <si>
    <t>Coastal vulnerability assessment (CVI) of the West African coast to flooding and erosion</t>
  </si>
  <si>
    <t>AW3D30</t>
  </si>
  <si>
    <t>80° N to 80° S</t>
  </si>
  <si>
    <t>24/01/2006 to 12/05/2011</t>
  </si>
  <si>
    <t>Resampling AW3D (5 m resolution, based on optical stereo panchromatic imagery) by applying average and medium methods</t>
  </si>
  <si>
    <r>
      <t xml:space="preserve">not documented </t>
    </r>
    <r>
      <rPr>
        <sz val="11"/>
        <rFont val="Aptos Narrow"/>
        <family val="2"/>
        <scheme val="minor"/>
      </rPr>
      <t>(Geoid?)</t>
    </r>
  </si>
  <si>
    <r>
      <t xml:space="preserve">EGM96: </t>
    </r>
    <r>
      <rPr>
        <b/>
        <sz val="11"/>
        <rFont val="Aptos Narrow"/>
        <family val="2"/>
        <scheme val="minor"/>
      </rPr>
      <t>datum aligned with extreme coastal water levels (where sea-level anomaly is referenced to WGS84) but not explicitly documented</t>
    </r>
  </si>
  <si>
    <t>Dada, O., Almar, R., Morand, P.</t>
  </si>
  <si>
    <t>https://doi.org/10.1038/s41598-023-48612-5</t>
  </si>
  <si>
    <t>Flood risk assessment in Limbe (Cameroon) using a GIS weighed sum method</t>
  </si>
  <si>
    <t>Assessment of coastal vulnerability using AHP and machine learning techniques</t>
  </si>
  <si>
    <t>Assessment of coastal flood risk scenarios on infrastructure in the Keta municipality in Ghana using a GIS approach</t>
  </si>
  <si>
    <t>Climate-Induced Saltwater Intrusion in 2100: Recharge-Driven Severity, Sea Level-Driven Prevalence</t>
  </si>
  <si>
    <t>SRTM or MERIT DEM</t>
  </si>
  <si>
    <t>DSM or DSM/DTM</t>
  </si>
  <si>
    <t>It is not clear which DEM was used. The link to the source DEM leads to SRTM while the text refers to the MERIT DEM.</t>
  </si>
  <si>
    <t>https://doi.org/10.1016/j.scitotenv.2024.174703</t>
  </si>
  <si>
    <t>ca. 0-383 km</t>
  </si>
  <si>
    <t>Investigation of the evolution of urban flood risks in the Ganges-Brahmaputra-Meghna Delta</t>
  </si>
  <si>
    <r>
      <t xml:space="preserve">Coastal slope is considered a better parameter than elevation; see elevation data in Almar et al. (2021): https://doi.org/10.1038/s41467-021-24008-9; </t>
    </r>
    <r>
      <rPr>
        <b/>
        <sz val="11"/>
        <rFont val="Aptos Narrow"/>
        <family val="2"/>
        <scheme val="minor"/>
      </rPr>
      <t>rather assessment of exposure than vulnerability</t>
    </r>
  </si>
  <si>
    <t>Wu, S., Zhou, X., Reyns, J., Yamazaki, D., Yin, J., Li, X.</t>
  </si>
  <si>
    <t>Environment, Development and Sustainability</t>
  </si>
  <si>
    <t>Limbe (Cameroon)</t>
  </si>
  <si>
    <t>ca. 0-4 km</t>
  </si>
  <si>
    <t>Elevation-based flood risk zone mapping based on GIS weighted sum method</t>
  </si>
  <si>
    <t>WGS84 UTM32N</t>
  </si>
  <si>
    <t>https://doi.org/10.1007/s10668-023-03836-3</t>
  </si>
  <si>
    <t>Enomah, L.D., Downs, J., Mbaigoto, N., Fonda, B., Umar, M.</t>
  </si>
  <si>
    <t>0-0.2 km</t>
  </si>
  <si>
    <t>Vila Belmiro, southern coast of Brazil</t>
  </si>
  <si>
    <t>Establishment of the Coastal Vulnerability Index using the Analytical Hierarchical Process</t>
  </si>
  <si>
    <t>https://doi.org/10.1016/j.jsames.2024.105107</t>
  </si>
  <si>
    <t>Sethuraman, S., Alshahrani, H.M., Tamizhselvi, A., Sujaatha, A.</t>
  </si>
  <si>
    <t>Keta (Ghana)</t>
  </si>
  <si>
    <t>ca. 0-27 km</t>
  </si>
  <si>
    <t>Prediction of coastal flooding impact on infrastructure</t>
  </si>
  <si>
    <t>WGS84 UTM31N</t>
  </si>
  <si>
    <t>Rather exposure assessment than risk assessment</t>
  </si>
  <si>
    <t>Heliyon</t>
  </si>
  <si>
    <t>https://doi.org/10.1016/j.heliyon.2024.e39824</t>
  </si>
  <si>
    <t>Tumawu, A.F., Kafu, G.Y., Albert, G., Yiran, B., Frimpong, L.K.</t>
  </si>
  <si>
    <t>Hydrological conditioning of SRTM</t>
  </si>
  <si>
    <t>HydroSHEDs</t>
  </si>
  <si>
    <t>Geophysical Research Letters</t>
  </si>
  <si>
    <t>Assessment of global saltwater intrusion risk by integrating future recharge and sea-level rise</t>
  </si>
  <si>
    <t>https://doi.org/10.1029/2024GL110359</t>
  </si>
  <si>
    <t>Adams, K.H., Reager, J.T., Buzzanga, B.A., David, C.H., Sawyer, A.H., Hamlington, B.D.</t>
  </si>
  <si>
    <t>Climate change scenario simulations for urban flood resilience with system dynamics approach: A case study of smart city shanghai in Yangtze River Delta region</t>
  </si>
  <si>
    <t>Shanghai (China)</t>
  </si>
  <si>
    <t>Simulation of social, economic, and environmental conditions under various climate change scenarios to strengthen urban flood resilience in smart cities</t>
  </si>
  <si>
    <t xml:space="preserve">Use of a DEM is documented but none of the references listed specifies the DEM nor provides any further reference (https://doi.org/10.1016/j.ecolind.2023.109959; https://doi.org/10.1016/j.ijdrr.2024.104243) </t>
  </si>
  <si>
    <t>https://doi.org/10.1016/j.ijdrr.2024.104801</t>
  </si>
  <si>
    <t>Zhu, S., Li, D., Chen, M., Zhang, Y.</t>
  </si>
  <si>
    <t>ca. 0-97 km</t>
  </si>
  <si>
    <t>Yangtze River Delta (China)</t>
  </si>
  <si>
    <t>Evaluating Factors Affecting Flood Susceptibility in the Yangtze River Delta Using Machine Learning Methods</t>
  </si>
  <si>
    <t>International Journal of Disaster Risk Science</t>
  </si>
  <si>
    <t>Flood susceptibility assessment using machine learning methods</t>
  </si>
  <si>
    <t>Use of a DEM is documented but no specification nor reference given</t>
  </si>
  <si>
    <t>Zhu, K., Wang, Z., Lai, C., Li, S., Zeng, Z., Chen, X.</t>
  </si>
  <si>
    <t>https://doi.org/10.1007/s13753-024-00590-6</t>
  </si>
  <si>
    <t>Tropical Cyclone Storm Surge-Based Flood Risk Assessment Under Combined Scenarios of High Tides and Sea-Level Rise: A Case Study of Hainan Island, China</t>
  </si>
  <si>
    <t>ca. 0-428 km</t>
  </si>
  <si>
    <t>Earth's Future</t>
  </si>
  <si>
    <t>Hainan Island (China)</t>
  </si>
  <si>
    <t>Development of the Tropical Cyclone Storm Surge-based Flood Risk Assessment under Combined Scenarios Framework (TCSoS-FRACS) and application to Hainand Island</t>
  </si>
  <si>
    <t>ca. 0-91 km</t>
  </si>
  <si>
    <t>MSL</t>
  </si>
  <si>
    <t>https://doi.org/10.1029/2023EF004236</t>
  </si>
  <si>
    <t>Zhou, Z., Yang, S., Hu, F., Chen, B., Shi, X., Liu, X.</t>
  </si>
  <si>
    <t>Risk of Tropical Cyclones and Floods to Power Grids in Southeast and East Asia</t>
  </si>
  <si>
    <t>Assessment of tropical cyclone-induced wind and coastal flood risk to power grids</t>
  </si>
  <si>
    <t>Southeast and East Asia</t>
  </si>
  <si>
    <t>MERIT DEM</t>
  </si>
  <si>
    <t>DSM/DTM</t>
  </si>
  <si>
    <t>SRTM with removal of tree heights</t>
  </si>
  <si>
    <t>https://doi.org/10.1007/s13753-024-00573-7</t>
  </si>
  <si>
    <t>Ye, M., Ward, P.J., Bloemendaal, N., Nirandjan, S., Koks, E.E.</t>
  </si>
  <si>
    <t>Tsunami inundation and vulnerability analysis on the Makran coast, Pakistan</t>
  </si>
  <si>
    <t>Estimation of maximum tsunami wave potential in the Arabian Sea</t>
  </si>
  <si>
    <t>TanDEM-X 12m</t>
  </si>
  <si>
    <t>12/12/2010 to 16/01/2015</t>
  </si>
  <si>
    <t>Bi-static Synthetic Aperture Radar interferometry (twin satellites)</t>
  </si>
  <si>
    <t>Pasni and Gwadar, Makran coast (Pakistan)</t>
  </si>
  <si>
    <t>ca. 0-641 km</t>
  </si>
  <si>
    <t>Free (upon request/proposal)</t>
  </si>
  <si>
    <t>TanDEM-X data is provided either with reference to the WGS84 ellipsoid or the EGM96 geoid (based on the client's preference). In case the TanDEM-X DEM in this study was referenced to the ellipsoid, there are offsets to the GEBCO bathymetry data</t>
  </si>
  <si>
    <t>https://doi.org/10.5194/nhess-24-3279-2024</t>
  </si>
  <si>
    <t>Haider, R., Ali, S., Hoffmann, G., Reicherter, K.</t>
  </si>
  <si>
    <t>Comprehensive economic losses assessment of storm surge disasters using open data: a case study of Zhoushan, China</t>
  </si>
  <si>
    <t>Journal of Water and Climate Change</t>
  </si>
  <si>
    <t>A GIS-based integrated study assessing the socio-physical vulnerability of the south-central and south-western coastal regions of Bangladesh</t>
  </si>
  <si>
    <t>GeoJournal</t>
  </si>
  <si>
    <t>Sustainable urban planning to control flood exposure in the coastal zones of China</t>
  </si>
  <si>
    <t>Landscape Ecology</t>
  </si>
  <si>
    <t>Coastal zones of China</t>
  </si>
  <si>
    <t>Zhoushan City (China)</t>
  </si>
  <si>
    <t>ca. 0-6 km</t>
  </si>
  <si>
    <t>Proposal of a framework for economic losses assessment of storm surges using open data</t>
  </si>
  <si>
    <t>Inundation depth is documented but no specification nor reference to DEM given</t>
  </si>
  <si>
    <t>https://doi.org/10.2166/wcc.2024.731</t>
  </si>
  <si>
    <t>Chen, B., He, Z., Li, L., Chen, Q., He, J., Li, F., Chu, D., Cao, Z., Yang, X.</t>
  </si>
  <si>
    <t>ca. 0-106 km</t>
  </si>
  <si>
    <t>Southwestern Bangladesh</t>
  </si>
  <si>
    <t>Assessment of integrated coastal vulnerability index</t>
  </si>
  <si>
    <t>https://doi.org/10.1007/s10708-024-11185-5</t>
  </si>
  <si>
    <t>Hasan, M., Uddin, M.M., Mahbub-E-Kibria, A.S.Md., Das, M.K., Deb, D.</t>
  </si>
  <si>
    <t>Usage of DEM is documented and that the data source is from 2000 but reference does not specify the DEM</t>
  </si>
  <si>
    <t>https://doi.org/10.1007/s10980-024-01951-8</t>
  </si>
  <si>
    <t>Wu, Y., Li, J., Wu, H., Duan, Y., Shen, H., Du, S.</t>
  </si>
  <si>
    <t>Assessment of future dynamics of urban exposure to flooding and identification of substainable urban planning options for controlooing the increase of urban flood exposure</t>
  </si>
  <si>
    <t>On the role of digital terrain topography and land use dynamics in flood hazard assessment of urban floodplain</t>
  </si>
  <si>
    <t>ca. 0-30 km</t>
  </si>
  <si>
    <t>Surat City (India)</t>
  </si>
  <si>
    <t>Topo DEM; TanDEM-X 12m; FABDEM</t>
  </si>
  <si>
    <t>DTM; nearly DTM; nearly DTM</t>
  </si>
  <si>
    <t>Surat floodplain region; 90° N to 90° S; 90° N to 90° S</t>
  </si>
  <si>
    <t>2006; 12/12/2010 to 16/01/2015; 12/12/2010 to 16/01/2015 (source TanDEM)</t>
  </si>
  <si>
    <t>Interpolation of hydrographic and topographic surveyed contours; Bi-static Synthetic Aperture Radar interferometry (twin satellites); Correction of Copernicus DEM GLO-30 by removing buildings and forest height bias through machine learning techniques</t>
  </si>
  <si>
    <t>multiple (Geoid and Ellipsoid)</t>
  </si>
  <si>
    <t>EGM96; WGS84; EGM2008</t>
  </si>
  <si>
    <t>; 1.88 (RMSE); 1.59 (RMSE)</t>
  </si>
  <si>
    <t>; 12; 30</t>
  </si>
  <si>
    <t>Restricted; Free; Free</t>
  </si>
  <si>
    <t>TanDEM-X data was processed to a DTM; Indirect DEM accuracy assessments as they are based on flood modelling results</t>
  </si>
  <si>
    <t>Assessment of DEM performance in flood and hazard mapping in data-sparse regions</t>
  </si>
  <si>
    <t>https://doi.org/10.1007/s11069-024-06664-4</t>
  </si>
  <si>
    <t>Nandam, V., Patel, P.L.</t>
  </si>
  <si>
    <t>30 (resampled to 10)</t>
  </si>
  <si>
    <t>Assessment of coastal and mangrove vulnerability in the Andaman Island, Indian Ocean</t>
  </si>
  <si>
    <t>Geoscience Frontiers</t>
  </si>
  <si>
    <t>Andaman Island (India)</t>
  </si>
  <si>
    <t>Analysing vulnerability of coastal zones using the Coastal and Mangrove Vulnerability Index</t>
  </si>
  <si>
    <t>https://doi.org/10.1016/j.gsf.2024.101820</t>
  </si>
  <si>
    <t>Mondal, B., Bhomia, R.K., Saha, A.K., MacKenzie, R.A.</t>
  </si>
  <si>
    <t>The Identification of Flood-Prone Areas in Accra, Ghana Using a Hydrological Screening Method</t>
  </si>
  <si>
    <t>GeoHazards</t>
  </si>
  <si>
    <t>Airbus DTM</t>
  </si>
  <si>
    <t>DTM</t>
  </si>
  <si>
    <t>Geospatial Analysis of Flood Susceptibility in Nigeria’s Vulnerable Coastal States: A Detailed Assessment and Mitigation Strategy Proposal</t>
  </si>
  <si>
    <t>Climate</t>
  </si>
  <si>
    <t>https://doi.org/10.3390/cli12070093</t>
  </si>
  <si>
    <t>https://doi.org/10.3390/geohazards5030038</t>
  </si>
  <si>
    <t>Delta and Bayelsa states (Nigeria)</t>
  </si>
  <si>
    <t>ca. 0-200 km</t>
  </si>
  <si>
    <t>Assessment of flood susceptibility</t>
  </si>
  <si>
    <t>Bello, M., Singh, S., Singh, S.K., Pandey, V., Kumar, P., Meraj, G., Kanga, S., Sajan, B.</t>
  </si>
  <si>
    <t>Accra, Odaw River basin (Ghana)</t>
  </si>
  <si>
    <t>Assessment of flood exposure</t>
  </si>
  <si>
    <t>ca. 0-36 km</t>
  </si>
  <si>
    <t>2018/03/01 to 2018/04/01</t>
  </si>
  <si>
    <t>Composite of TerraSAR-X stereo pairs</t>
  </si>
  <si>
    <r>
      <t>538 km</t>
    </r>
    <r>
      <rPr>
        <vertAlign val="superscript"/>
        <sz val="11"/>
        <rFont val="Aptos Narrow"/>
        <family val="2"/>
        <scheme val="minor"/>
      </rPr>
      <t>2</t>
    </r>
    <r>
      <rPr>
        <sz val="11"/>
        <rFont val="Aptos Narrow"/>
        <family val="2"/>
        <scheme val="minor"/>
      </rPr>
      <t xml:space="preserve"> of the Greater Accra Metropolitan Area region</t>
    </r>
  </si>
  <si>
    <t>Balstrøm, T., Hasholt, B., Allotey, A.N.M., Gyekye, P.M.</t>
  </si>
  <si>
    <t>Comprehensive Risk Assessment of Sea Level Rise and Tropical Cyclones in Dongzhaigang Mangroves, China</t>
  </si>
  <si>
    <t>Chinese Geographical Science</t>
  </si>
  <si>
    <t>Dongzhaigang Mangroves, Hainan Island (China)</t>
  </si>
  <si>
    <t>Risk assessment of mangroves under low, intermediate and very high GHG emission scenarios</t>
  </si>
  <si>
    <t>Ding, R., Cai, R., Yan, X., Li, C., Wang, C., Nie, X.</t>
  </si>
  <si>
    <t>https://doi.org/10.1007/s11769-024-1442-9</t>
  </si>
  <si>
    <t>Indus Delta (Pakistan)</t>
  </si>
  <si>
    <t>Assessing the impact of sea level rise on the Indus delta in Pakistan: A comprehensive analysis of flooded areas and future vulnerabilities</t>
  </si>
  <si>
    <t>SLR impact assessment</t>
  </si>
  <si>
    <t>Google Earth Pro DEM (SRTM)</t>
  </si>
  <si>
    <r>
      <t xml:space="preserve">not documented </t>
    </r>
    <r>
      <rPr>
        <sz val="11"/>
        <rFont val="Aptos Narrow"/>
        <family val="2"/>
        <scheme val="minor"/>
      </rPr>
      <t>(EGM96?)</t>
    </r>
  </si>
  <si>
    <t>UTM WGS84</t>
  </si>
  <si>
    <t>30 (refined to 10 by including Google Earth data and IDW interpolation)</t>
  </si>
  <si>
    <t>Authors state to improve accuracy of the study by generating a 10 m resolution DEM</t>
  </si>
  <si>
    <t>https://doi.org/10.1016/j.heliyon.2024.e33120</t>
  </si>
  <si>
    <t>Mitra, B., Rahman, M.M., Khan, A.A., Rahman, S.M.</t>
  </si>
  <si>
    <t>ca. 0-90 km</t>
  </si>
  <si>
    <t>Risk assessment of coastal flooding disaster by storm surge based on Elevation-Area method and hydrodynamic models: Taking Bohai Bay as an example</t>
  </si>
  <si>
    <t>China Geology</t>
  </si>
  <si>
    <t>Bohai Bay (China)</t>
  </si>
  <si>
    <t>Assessment of storm surge inundation based on elevation-area and regional ocean model system</t>
  </si>
  <si>
    <t>ALOS</t>
  </si>
  <si>
    <t>ca. 0-163 km</t>
  </si>
  <si>
    <t>Wang, F., Liu, X.-Z., Li, Y., Yu, H., Wen, M.-Z., Hu, Y.-Z.</t>
  </si>
  <si>
    <t>Free (only 30 m resolution)</t>
  </si>
  <si>
    <t>https://doi.org/10.31035/CG2024074</t>
  </si>
  <si>
    <t>0-2 km</t>
  </si>
  <si>
    <t>Coastal risk assessment</t>
  </si>
  <si>
    <t>From perils to preparedness: Decoding coastal hazard risks on Kerala’s central coast through the IPCC framework</t>
  </si>
  <si>
    <t>https://doi.org/10.1007/s11069-024-06543-y</t>
  </si>
  <si>
    <t>Sreelakshmi, M., Balachandran, S., Abdurazak, F., Gopinath, G., Joseph, S.</t>
  </si>
  <si>
    <t>Assessment and spatialization of vulnerability of Benin coast to sea level rise using composite/blended approach</t>
  </si>
  <si>
    <t>Environmental Science and Policy</t>
  </si>
  <si>
    <t>https://doi.org/10.1016/j.envsci.2024.103762</t>
  </si>
  <si>
    <t>ca. 0-31 km</t>
  </si>
  <si>
    <t>Déguénon, S.D.D.M., Baguere, O.N.F., Teka, O., Aheto, D.W., Sinsin, B.</t>
  </si>
  <si>
    <t>Coast of Benin</t>
  </si>
  <si>
    <t>Coastal vulnerability assessment (by applying CVI and AHP)</t>
  </si>
  <si>
    <t>WGS UTM31N</t>
  </si>
  <si>
    <t>Calabar City (Nigeria)</t>
  </si>
  <si>
    <t>Modelling flood susceptibility using frequency ratio and GIS</t>
  </si>
  <si>
    <t>Geospatial Modelling of Flood Susceptibility of the Calabar City, Cross River State, Nigeria</t>
  </si>
  <si>
    <t>Applied Environmental Research</t>
  </si>
  <si>
    <t>ca. 0-33 km</t>
  </si>
  <si>
    <t>Efiong, J., Efiong, E.J., Akintoye, O.A., Inah, E.O., Awan, O.E., Ogban, F.E.</t>
  </si>
  <si>
    <t>https://doi.org/10.35762/AER.2024044</t>
  </si>
  <si>
    <t>Development of a novel storm surge inundation model framework for efficient prediction</t>
  </si>
  <si>
    <t>https://doi.org/10.5194/gmd-17-5497-2024</t>
  </si>
  <si>
    <t>Geoscientific Model Development</t>
  </si>
  <si>
    <t>Development of a storm surge inundation model based on a wetting and drying algorithm</t>
  </si>
  <si>
    <t>Cangzhou, Hebei and Shenzhen, Guangdong (China)</t>
  </si>
  <si>
    <t>ca. 0-40 km</t>
  </si>
  <si>
    <t>Gao, X., Li, S., Mo, D., Liu, Y., Hu, P.</t>
  </si>
  <si>
    <t>Coastal vulnerability considering combined effect of tropical cyclones and future sea level rise</t>
  </si>
  <si>
    <t>Journal of Coastal Conservation</t>
  </si>
  <si>
    <t>head Bay region of Bay of Bengal</t>
  </si>
  <si>
    <t>Assessment and projection of coastal vulnerability</t>
  </si>
  <si>
    <t>https://doi.org/10.1007/s11852-024-01055-0</t>
  </si>
  <si>
    <t>Naren, A., Maity, R.</t>
  </si>
  <si>
    <t>ca. 0-160 km</t>
  </si>
  <si>
    <t>Study refers to use updated GEBCO (2014) data but this dataset was already outdated before submission of the paper</t>
  </si>
  <si>
    <t>Coastal Vulnerability Index sensitivity to shoreline position and coastal elevation parameters in the Niger Delta region, Nigeria</t>
  </si>
  <si>
    <t>https://doi.org/10.1016/j.scitotenv.2024.170830</t>
  </si>
  <si>
    <t>Niger Delta (Nigeria)</t>
  </si>
  <si>
    <t>ca. 0-46 km</t>
  </si>
  <si>
    <t>SRTM; AW3D; MERIT DEM; Bare-Earth SRTM; WorldDEM-DTM</t>
  </si>
  <si>
    <t>DSM; DSM; DSM/DTM; nearly DTM; DTM</t>
  </si>
  <si>
    <t xml:space="preserve">60° N to 56° S; 80° N to 80° S; 60° N to 56° S; 60° N to 56° S; 90° N to 90° S </t>
  </si>
  <si>
    <t>11/02/2000 to 22/02/2000; 24/01/2006 to 12/05/2011; 11/02/2000 to 22/02/2000; 11/02/2000 to 22/02/2000; 12/12/2010 to 16/01/2015</t>
  </si>
  <si>
    <t>Synthetic Aperture Radar interferometry (dual antennas); Resampling AW3D (5 m resolution, based on optical stereo panchromatic imagery) by applying average and medium methods; SRTM with removal of tree heights; Correction of SRTM by integrating ICESat data and applying vegetation height data; Bi-static Synthetic Aperture Radar interferometry (twin satellites)</t>
  </si>
  <si>
    <t>30; 30; 90; 90; 12</t>
  </si>
  <si>
    <t>Free (WorldDEM-DTM: upon request)</t>
  </si>
  <si>
    <t>Assessment of coastal vulnerability by using different DEMs</t>
  </si>
  <si>
    <t>Dike, E.C., Amaechi, C.V., Beddu, S.B., Weje, I.I., Ameme, B.G., Efeovbokhan, O., Oyetunji, A.K.</t>
  </si>
  <si>
    <t>Multi-hazard assessment in the coastal tourism city of Denpasar, Bali, Indonesia</t>
  </si>
  <si>
    <t>Denpasar (Indonesia)</t>
  </si>
  <si>
    <t>Analysis of coastal multi-hazards using the Coastal Hazard Wheel</t>
  </si>
  <si>
    <t>ca. 0-14 km</t>
  </si>
  <si>
    <t>https://doi.org/10.1007/s11069-024-06506-3</t>
  </si>
  <si>
    <t>Widawantara, K.W., Mutaqin, B.W.</t>
  </si>
  <si>
    <t>Impacts of anthropocene sea-level rise on people, environments, and archaeological sites in Marajó Island, Brazilian Amazonia</t>
  </si>
  <si>
    <t>NASADEM</t>
  </si>
  <si>
    <t>Correction of SRTM (by void-filling and integrating ICESat/GLAS, ASTER, NDEM, GMTED2010 and Canadian elevation data)</t>
  </si>
  <si>
    <t>Marajó Island (Brazil)</t>
  </si>
  <si>
    <t>Investigation of SLR impact, coastline changes and social-environmental vulnerabilities</t>
  </si>
  <si>
    <t>https://doi.org/10.1016/j.jsames.2024.104836</t>
  </si>
  <si>
    <t>Henriques, R.J., de Oliveira, F.S., Schaefer, C.E.G.R., Lopes, P.R.C., Senra, E.O., Lourenço, V.R., Francelino, M.R.</t>
  </si>
  <si>
    <t>Flood risk evaluation of the coastal city by the EWM-TOPSIS and machine learning hybrid method</t>
  </si>
  <si>
    <t>Xiamen City (China)</t>
  </si>
  <si>
    <t>Evaluation of flood risk using EFM-TOPSIS model with a neural network</t>
  </si>
  <si>
    <t>Link to data platform is given but there is no further specification which DEM was used and  its documentation</t>
  </si>
  <si>
    <t>https://doi.org/10.1016/j.ijdrr.2024.104435</t>
  </si>
  <si>
    <t>Luo, Z., Tian, J., Zeng, J., Pilla, F.</t>
  </si>
  <si>
    <t>Impact of coastal inundation due to rise in sea level: A case study of Surat City, India</t>
  </si>
  <si>
    <t>Water Practice and Technology</t>
  </si>
  <si>
    <t>Assessment of SLR exposure and socioeconomic vulnerability</t>
  </si>
  <si>
    <t>ca. 0-180 km</t>
  </si>
  <si>
    <t>https://doi.org/10.2166/wpt.2024.116</t>
  </si>
  <si>
    <t>Sahu, R.T., Mehta, D.J.</t>
  </si>
  <si>
    <t>rather exposure assessment than vulnerability assessment</t>
  </si>
  <si>
    <t>Assessment of storm-related coastal risk</t>
  </si>
  <si>
    <t>0-10 km</t>
  </si>
  <si>
    <t>Estimating storm-related coastal risk in Mexico using Bayesian networks and the occurrence of natural ecosystems</t>
  </si>
  <si>
    <t>https://doi.org/10.1007/s11069-024-06460-0</t>
  </si>
  <si>
    <r>
      <t>Salgado, K., Martínez, M.L., Pérez-Maqueo, O., Equihua, M., Mari</t>
    </r>
    <r>
      <rPr>
        <sz val="11"/>
        <rFont val="Aptos Narrow"/>
        <family val="2"/>
      </rPr>
      <t>ño-Tapia, I., Hesp, P.</t>
    </r>
  </si>
  <si>
    <t>Unveiling flood vulnerability in the Vietnamese Mekong Delta: A case study of an Giang province</t>
  </si>
  <si>
    <t>https://doi.org/10.1016/j.ijdrr.2024.104429</t>
  </si>
  <si>
    <t>An Giang province, Mekong Delta (Vietnam)</t>
  </si>
  <si>
    <t>ca. 20-130 km</t>
  </si>
  <si>
    <t>Assessment of flood vulnerability</t>
  </si>
  <si>
    <t>Van, C.T., Thuy, H.T.T., Viet, C.T., Anh, L.N., Anh, V.T.V., Tran, D.D.</t>
  </si>
  <si>
    <t>LiDAR; DEMNAS; TerraSAR</t>
  </si>
  <si>
    <t>Mapping of flood hazard induced by land subsidence in Semarang City, Indonesia, using hydraulic and spatial models</t>
  </si>
  <si>
    <t>Risk Assessment and Categorization of Flood Risk Zones Using Geospatial Data and Multi-Criteria Decision Model in a Low-Lying Deltaic Region, Kuttanad, India</t>
  </si>
  <si>
    <t>airborne LiDAR; IFSAR data (5m resolution), TERRASAR-X (5m resolution) and ALOS PALSAR (11.25m resolution), adding Mass-plotted stereo data</t>
  </si>
  <si>
    <t>all DEMs are actual as they were updated with latest subsidence information; integration of subsidence into DEMs followed linear assumptions; indirect DEM accuracy assessments as they are based on flood modelling results</t>
  </si>
  <si>
    <t>DTM; DSM; DSM</t>
  </si>
  <si>
    <t>88%; 23%; 31%</t>
  </si>
  <si>
    <t>1; 8.1; 9</t>
  </si>
  <si>
    <t>ca. 0-10 km</t>
  </si>
  <si>
    <t>Semarang City (Indonesia)</t>
  </si>
  <si>
    <t>Assessment of fluvial and tidal flooding in a subsidence-affected area</t>
  </si>
  <si>
    <t>https://doi.org/10.1007/s11069-023-06398-9</t>
  </si>
  <si>
    <t>Yuwono, B.D., Abidin, H.Z., Poerbandono, Andreas, H., Pratama, A.S.P., Gradiyanto, F.</t>
  </si>
  <si>
    <t>Lukose, N., Sunilkumar, N.</t>
  </si>
  <si>
    <t>https://doi.org/10.1007/s12524-024-01852-y</t>
  </si>
  <si>
    <t>Journal of the Indian Society of Remote Sensing</t>
  </si>
  <si>
    <t>Kuttanad in Alappuzha District (India)</t>
  </si>
  <si>
    <t>ca. 0-29 km</t>
  </si>
  <si>
    <t>Assessment of flood risk</t>
  </si>
  <si>
    <t>Compound extreme inundation risk of coastal wetlands caused by climate change and anthropogenic activities in the Yellow River Delta, China</t>
  </si>
  <si>
    <t>Advances in Climate Change Research</t>
  </si>
  <si>
    <t>https://doi.org/10.1016/j.accre.2024.01.010</t>
  </si>
  <si>
    <t>0.65 (correlation coefficient), 0.85 (bias)</t>
  </si>
  <si>
    <t>WGS84 UTM50N</t>
  </si>
  <si>
    <t>Assessment of exposure to inundation from SLR, storm surge, astronomical high tide and land use land cover change</t>
  </si>
  <si>
    <t>ca. 0-107 km</t>
  </si>
  <si>
    <t>Yellow River Delta (China)</t>
  </si>
  <si>
    <t>Wang, X.-L., Feng, A.-Q., Hou, X.-Y., Chao, Q.-C., Song, B.-Y., Liu, Y.-B., Wang, Q.-G., Xu, H., Zhang, Y.-X., Li, D., Dong, L.-J., Guo, Y.</t>
  </si>
  <si>
    <t>alignment of elevation and local bathymetry data through seamless integration; rather exposure than risk assessment</t>
  </si>
  <si>
    <t>Modeling Land Use Transformations and Flood Hazard on Ibaraki’s Coastal in 2030: A Scenario-Based Approach Amid Population Fluctuations</t>
  </si>
  <si>
    <t>Remote Sensing</t>
  </si>
  <si>
    <t>Restricted</t>
  </si>
  <si>
    <t>Correlation of optical stereo panchromatic imagery</t>
  </si>
  <si>
    <t>Ibaraki Prefecture (Japan)</t>
  </si>
  <si>
    <t>Prediction of future flooding from intensified high tides and waves in scenario-based forecasts</t>
  </si>
  <si>
    <t>https://doi.org/10.3390/rs16050898</t>
  </si>
  <si>
    <t>Safabakhshpachehkenari, M., Tonooka, H.</t>
  </si>
  <si>
    <t>Assessment of multiple hazards (ecosystem disruption, gradual inundation, seawater intrusion, erosion, coastal flooding)</t>
  </si>
  <si>
    <t>Multi-hazard assessment under climate change in the aerotropolis coastal city of Kulon Progo, Yogyakarta – Indonesia</t>
  </si>
  <si>
    <t>Kulon Progo Regency (Indonesia)</t>
  </si>
  <si>
    <t>https://doi.org/10.1007/s11852-023-01015-0</t>
  </si>
  <si>
    <t>Ningsih, R.L., Mutaqin, B.W.</t>
  </si>
  <si>
    <t>Modeling saltwater intrusion risk in the presence of uncertainty</t>
  </si>
  <si>
    <t>Mekong Delta (Vietnam)</t>
  </si>
  <si>
    <t>Assessment of saltwater intrusion risk and driving factors</t>
  </si>
  <si>
    <t>1998; 2005</t>
  </si>
  <si>
    <t>ca. 0-215 km</t>
  </si>
  <si>
    <t>https://doi.org/10.1016/j.scitotenv.2023.168140</t>
  </si>
  <si>
    <t>Tran, D.Q., Nguyen, N.N.T., Huynh, M.V.T., Bairagi, S.K., Le, K.N., Tran, T.V., Durand-Morat, A.</t>
  </si>
  <si>
    <t>A comprehensive investigation of storm surge-induced urban flooding in Macao during Typhoon Hato in 2017</t>
  </si>
  <si>
    <t>Engineering Applications of Computational Fluid Mechanics</t>
  </si>
  <si>
    <t>Pearl River Estuary (China)</t>
  </si>
  <si>
    <t>3D-simulation of storm surge</t>
  </si>
  <si>
    <t>ca. 0-1 km (only Macao)</t>
  </si>
  <si>
    <t>https://doi.org/10.1080/19942060.2024.2394641</t>
  </si>
  <si>
    <t>Guo, J., Huang, S., Ge, M., Lee, J.H.W.</t>
  </si>
  <si>
    <t>Global Impact of Sea Level Rise on Coastal Fresh Groundwater Resources</t>
  </si>
  <si>
    <t>Assessment of Coastal Physical Vulnerability to Climate Change Impacts along the Coast of Bolaang Mongondow Regency (North Sulawesi, Indonesia)</t>
  </si>
  <si>
    <t>Ecological Engineering and Environmental Technology</t>
  </si>
  <si>
    <t>Assessment of SLR impact on coastal fresh groundwater resources</t>
  </si>
  <si>
    <t>CoastalDEM v1.1; MERIT DEM; GEBCO</t>
  </si>
  <si>
    <t>nearly DTM; DSM/DTM; DSM</t>
  </si>
  <si>
    <t xml:space="preserve">60° N to 56° S; 60° N to 56° S; </t>
  </si>
  <si>
    <t>11/02/2000 to 22/02/2000 (i.e. SRTM); 11/02/2000 to 22/02/2000 (i.e. SRTM); 11/02/2000 to 22/02/2000 (i.e. SRTM)</t>
  </si>
  <si>
    <t>Correction of SRTM by training with NOAA coastal lidar from the US and using additional population and vegetation datasets in a neural network; SRTM with removal of tree heights; SRTM and GMTED2010 for areas outside SRTM extent</t>
  </si>
  <si>
    <r>
      <rPr>
        <b/>
        <sz val="11"/>
        <rFont val="Aptos Narrow"/>
        <family val="2"/>
        <scheme val="minor"/>
      </rPr>
      <t>not documented</t>
    </r>
    <r>
      <rPr>
        <sz val="11"/>
        <rFont val="Aptos Narrow"/>
        <family val="2"/>
        <scheme val="minor"/>
      </rPr>
      <t xml:space="preserve"> (WGS84?)</t>
    </r>
  </si>
  <si>
    <t>30; 90; 1000</t>
  </si>
  <si>
    <t>only 90 m Free; Free; Free</t>
  </si>
  <si>
    <t>no documentation about datum conversion from EGM96 to MSL; thus it remains open whether geoid reference was converted to local MSL globally</t>
  </si>
  <si>
    <t>https://doi.org/10.1029/2023EF003581</t>
  </si>
  <si>
    <t>Zamrsky, D., Oude Essink, G.H.P., Bierkens, M.F.P.</t>
  </si>
  <si>
    <t>A novel conceptual flood inundation model for large scale data-scarce regions</t>
  </si>
  <si>
    <t>Environmental Modelling and Software</t>
  </si>
  <si>
    <t>Determination and projection of flood risk based on multi-criteria decision analysis (MCDA) combining with CA-Markov model in Zhejiang Province, China</t>
  </si>
  <si>
    <t>DEMNAS; topographic elevation</t>
  </si>
  <si>
    <t>national; Rupa Bumi Indonesia</t>
  </si>
  <si>
    <r>
      <t xml:space="preserve">IFSAR data (5m resolution), TERRASAR-X (5m resolution) and ALOS PALSAR (11.25m resolution), adding Mass-plotted stereo data; </t>
    </r>
    <r>
      <rPr>
        <b/>
        <sz val="11"/>
        <rFont val="Aptos Narrow"/>
        <family val="2"/>
        <scheme val="minor"/>
      </rPr>
      <t>not documented</t>
    </r>
  </si>
  <si>
    <t>Assessment of physical vulnerability to climate change impacts</t>
  </si>
  <si>
    <t>ca. 0-21 km</t>
  </si>
  <si>
    <t>Paputungan, H., Idrus, R.M., Lanuru, M.</t>
  </si>
  <si>
    <t>https://doi.org/10.12912/27197050/192770</t>
  </si>
  <si>
    <t>Provision of a novel conceptual flood inundation model that can be coupled with any hydrological model to generate probabilistic flood extent maps</t>
  </si>
  <si>
    <t>LiDAR; SRTM; ASTER</t>
  </si>
  <si>
    <t>Kerala (India); Louisiana (USA)</t>
  </si>
  <si>
    <t xml:space="preserve">Local (Louisiana); 60° N to 56° S; 83°N to 83° S </t>
  </si>
  <si>
    <t xml:space="preserve"> ; 11/02/2000 to 22/02/2000; 01/2000 to 30/11/2013</t>
  </si>
  <si>
    <t>airborne LiDAR; Synthetic Aperture Radar interferometry (dual antennas); Correlation of optical stereo near infrared imagery</t>
  </si>
  <si>
    <r>
      <t>not documented</t>
    </r>
    <r>
      <rPr>
        <sz val="11"/>
        <rFont val="Aptos Narrow"/>
        <family val="2"/>
        <scheme val="minor"/>
      </rPr>
      <t>; Free; Free</t>
    </r>
  </si>
  <si>
    <t>10 (also resampled to 30, 90, 270, 810); 30, 90 (also resampled to 270) ; 30, 90 (also resampled to 270)</t>
  </si>
  <si>
    <t>See Fig. 12 in the publication</t>
  </si>
  <si>
    <t>indirect accuracy assessment for study sites and various DEM resolutions via model-derived flood inundation map</t>
  </si>
  <si>
    <t>not documented; WGS84; WGS84</t>
  </si>
  <si>
    <t>NAVD88; EGM96; EGM96</t>
  </si>
  <si>
    <t>https://doi.org/10.1016/j.envsoft.2023.105863</t>
  </si>
  <si>
    <t>Unnithan, S.L.K., Biswal, B., Rüdiger, C., Dubey, A.K.</t>
  </si>
  <si>
    <t>Wu, X., Shen, X., Li, J., Xie, X.</t>
  </si>
  <si>
    <t>A framework for coastal flood hazard assessment under sea level rise: Application to the Persian Gulf</t>
  </si>
  <si>
    <t>Journal of Environmental Management</t>
  </si>
  <si>
    <t>https://doi.org/10.1016/j.jenvman.2023.119502</t>
  </si>
  <si>
    <t>https://doi.org/10.1016/j.uclim.2023.101769</t>
  </si>
  <si>
    <t>Irani, M., Naderi, M.M., Bavani, A.R.M., Hassanzadeh, E., Moftakhari, H.</t>
  </si>
  <si>
    <t xml:space="preserve">Assessment and projection of flood risk for 2020, 2025 and 2030 by adopting the CA-Markov method </t>
  </si>
  <si>
    <t>Zhejiang Province (China)</t>
  </si>
  <si>
    <t>ca. 0-387 km</t>
  </si>
  <si>
    <t>2000, 2005, 2010, 2015, 2020</t>
  </si>
  <si>
    <t>Usage of DEM is documented and that the data source is from 2000, 2005, 2015, and 2020 but reference does not specify the DEM</t>
  </si>
  <si>
    <t>Persian Gulf coast (Iran)</t>
  </si>
  <si>
    <t>Provision of a framework for estimating extreme total water level from relative SLR, high tides, 100-yr storm surge, and 100-yr wave setup and run-up</t>
  </si>
  <si>
    <t>The expected impacts of sea level on the Mexican Atlantic coast</t>
  </si>
  <si>
    <t>https://doi.org/10.1016/j.scitotenv.2023.166317</t>
  </si>
  <si>
    <r>
      <t>Sánchez-García, E.A., Ya</t>
    </r>
    <r>
      <rPr>
        <sz val="11"/>
        <rFont val="Aptos Narrow"/>
        <family val="2"/>
      </rPr>
      <t>ñez-Arenas, C., Lindig-Cisneros, R., Lira-Noriega, A., Ibarra, R.M., Moreno-Casasola, P.</t>
    </r>
  </si>
  <si>
    <t>SLR impact assessment based on synthetic model</t>
  </si>
  <si>
    <t>Mexican Atlantic coast</t>
  </si>
  <si>
    <t>30; 5</t>
  </si>
  <si>
    <t>11/02/2000 to 22/02/2000; not documented</t>
  </si>
  <si>
    <t>Liu, S., Tan, N., Liu, R.</t>
  </si>
  <si>
    <t>https://doi.org/10.3390/ijgi12110463</t>
  </si>
  <si>
    <t>ISPRS International Journal of Geo-Information</t>
  </si>
  <si>
    <t>A Weighted k-Nearest-Neighbors-Based Spatial Framework of Flood Inundation Risk for Coastal Tourism—A Case Study in Zhejiang, China</t>
  </si>
  <si>
    <t>Development of spatial tourism-aimed for flood inundation risk assessment</t>
  </si>
  <si>
    <t>Reference was made to USGS EarthExplorer, however, without any specification which DEM was used.</t>
  </si>
  <si>
    <t>Evaluating geomorphological changes and coastal flood vulnerability of the Nijhum Dwip Island using remote sensing techniques</t>
  </si>
  <si>
    <t>https://doi.org/10.1016/j.rsase.2023.101028</t>
  </si>
  <si>
    <t>Hasan, Md.A., Mayeesha, A.N., Razzak, Md.Z.A.</t>
  </si>
  <si>
    <t>Assessment of geomorphological changes and coastal inundation</t>
  </si>
  <si>
    <t>upon request</t>
  </si>
  <si>
    <t>Dairy farming exposure and impacts from coastal flooding and sea level rise in Aotearoa-New Zealand</t>
  </si>
  <si>
    <t>https://doi.org/10.1016/j.ijdrr.2023.104079</t>
  </si>
  <si>
    <t>Craig, H., Wild, A., Paulik, R.</t>
  </si>
  <si>
    <t>Aotearoa (New Zealand)</t>
  </si>
  <si>
    <t>Assessment of dairy farm exposure and impacts from extreme sea levels and relative SLR</t>
  </si>
  <si>
    <t>LiDAR; SRTM</t>
  </si>
  <si>
    <t>DTM; DSM</t>
  </si>
  <si>
    <t xml:space="preserve">local; 60° N to 56° S </t>
  </si>
  <si>
    <t>not documented; 11/02/2000 to 22/02/2000</t>
  </si>
  <si>
    <t>airborne LiDAR; Synthetic Aperture Radar interferometry (dual antennas)</t>
  </si>
  <si>
    <t>not documented; Free</t>
  </si>
  <si>
    <t>Free; not documented</t>
  </si>
  <si>
    <t>A new European coastal flood database for low-medium intensity events</t>
  </si>
  <si>
    <t>https://doi.org/10.5194/nhess-23-3585-2023</t>
  </si>
  <si>
    <t>Le Gal, M., Fernández-Montblanc, T., Duo, E., Perez, J.M., Cabrita, P., Ceccon, P.S., Gastal, V., Ciavola, P., Armaroli, C.</t>
  </si>
  <si>
    <t>12 test cases across Europe (La Faute-sur-Mer, Norfolk, Lorient, Rimini, Warnemunde, Wismar, Swinoujscie, Cadiz, Lido delle Nazioni, Castellon, Ebro, Girona)</t>
  </si>
  <si>
    <t>Flood hazard assessment</t>
  </si>
  <si>
    <t>10 (resampled to 100)</t>
  </si>
  <si>
    <t xml:space="preserve">60° N to 56° S </t>
  </si>
  <si>
    <t>ca. 0-25 km</t>
  </si>
  <si>
    <t>Assessment of storm surge hazard</t>
  </si>
  <si>
    <t>Shenzhen City (China)</t>
  </si>
  <si>
    <t>Nijhum Dwip Island (Bangladesh)</t>
  </si>
  <si>
    <t>Investigating the Storm Surge and Flooding in Shenzhen City, China</t>
  </si>
  <si>
    <t>https://doi.org/10.3390/rs15205002</t>
  </si>
  <si>
    <t>Bai, P., Wu, L., Chen, Z., Xu, J., Li, B., Li, P.</t>
  </si>
  <si>
    <t>Comprehensive Assessment of Vulnerability to Storm Surges in Coastal China: Towards a Prefecture-Level Cities Perspective</t>
  </si>
  <si>
    <t>Coastal China</t>
  </si>
  <si>
    <t>Assessment of storm surge vulnerability</t>
  </si>
  <si>
    <t>https://doi.org/10.3390/rs15194828</t>
  </si>
  <si>
    <t>Liu, X., Liu, Y., Wang., Z., Yang, X., Zeng, X., Meng, D.</t>
  </si>
  <si>
    <t>Evaluation of tsunami inundation in the plain of Martil (north Morocco): Comparison of four inundation estimation methods</t>
  </si>
  <si>
    <t>SRTM integrated with topographic maps</t>
  </si>
  <si>
    <t>https://doi.org/10.1016/j.nhres.2023.06.002</t>
  </si>
  <si>
    <t>The Bahamas at risk: Material stocks, sea-level rise, and the implications for development</t>
  </si>
  <si>
    <t>Application of the analytical hierarchy process (AHP) for flood susceptibility mapping using GIS techniques in Thamirabarani river basin, Srivaikundam region, Southern India</t>
  </si>
  <si>
    <t>CoastalDEM v2.1; SRTM15+ v2.5 (for polar latitudes)</t>
  </si>
  <si>
    <t>11/02/2000 to 22/02/2000 (i.e. SRTM)</t>
  </si>
  <si>
    <t>DSCIM-Coastal v1.1: an open-source modeling platform for global impacts of sea level rise</t>
  </si>
  <si>
    <t>Sea level rise risk interactions with coastal property values: a case study of O‘ahu, Hawai‘i</t>
  </si>
  <si>
    <t>Natural Hazards Research</t>
  </si>
  <si>
    <t>Coast plain of Martil (Morocco)</t>
  </si>
  <si>
    <t>ca. 0-8 km</t>
  </si>
  <si>
    <t>Martil coastal plain</t>
  </si>
  <si>
    <t>11/02/2000 to 22/02/2000; not documented for topographic map data</t>
  </si>
  <si>
    <t>Synthetic Aperture Radar interferometry (dual antennas); not documented for topographic map data</t>
  </si>
  <si>
    <t>WGS84 UTM30N</t>
  </si>
  <si>
    <t>Basquin, E., El Baz, A., Sainte-Marie, J., Rabaute, A., Thomas, M., Lafuerza, S., El M'rini, A., Mercier, D., d'Acremont, E., Bristeau, M.-O., Creach, A.</t>
  </si>
  <si>
    <t>Tsunami inundation assessment using four estimation methods</t>
  </si>
  <si>
    <t>Journal of Industrial Ecology</t>
  </si>
  <si>
    <t>Bahamas island archipelago</t>
  </si>
  <si>
    <t>Sea-level rise impact assessment</t>
  </si>
  <si>
    <t>https://doi.org/10.1111/jiec.13402</t>
  </si>
  <si>
    <t>del Campo, F.M., Singh, S.J., Fishman, T., Thomas, A., Drescher, M.</t>
  </si>
  <si>
    <t>Flood susceptibility assessment</t>
  </si>
  <si>
    <t>Thamirabarani river basin</t>
  </si>
  <si>
    <t>ca. 0-38 km</t>
  </si>
  <si>
    <t>https://doi.org/10.1007/s11069-023-06037-3</t>
  </si>
  <si>
    <t>Selvam, R.A., Jebamalai, A.R.A.</t>
  </si>
  <si>
    <t>60° N to 56° S ; up to 90° N and 90° N</t>
  </si>
  <si>
    <t>nearly DTM; DSM</t>
  </si>
  <si>
    <t>Correction of NASADEM by training with ICESat 2 satellite LiDAR data and using additional population and vegetation datasets in a neural network; Synthetic Aperture Radar interferometry (dual antennas)</t>
  </si>
  <si>
    <t>MDT (CNES-CLS18)</t>
  </si>
  <si>
    <t>Provision of open-source modular platform to provide scalable least-cost optimisation framework that estimates
adaptation and net SLR costs</t>
  </si>
  <si>
    <t>https://doi.org/10.5194/gmd-16-4331-2023</t>
  </si>
  <si>
    <t>Depsky, N., Bolliger, I., Allen, D., Choi, J.H., Delgado, M., Greenstone, M., Hamidi, A., Houser, T., Kopp, R.E., Hsiang, S.</t>
  </si>
  <si>
    <t>Climatic Change</t>
  </si>
  <si>
    <t>O‘ahu (Hawai‘i)</t>
  </si>
  <si>
    <t>ca. 0-41 km</t>
  </si>
  <si>
    <t>https://doi.org/10.1007/s10584-023-03602-4</t>
  </si>
  <si>
    <t>Tarui, N., Urbanski, S., Lam, Q.L., Coffman, M., Newfield, C.</t>
  </si>
  <si>
    <t>Application of geographical information system-based analytical hierarchy process modeling for flood susceptibility mapping of Krishna District in Andhra Pradesh</t>
  </si>
  <si>
    <t>Coastal Flooding Associated with Hurricane Irma in Central Cuba (Ciego de Ávila Province)</t>
  </si>
  <si>
    <t>A Combined Assessment of Sea Level Rise (SLR) Effect on Antalya Gulf (Türkiye) and Future Predictions on Land Loss</t>
  </si>
  <si>
    <t>A multi-proxy approach to assess tsunami hazard with a preliminary risk assessment: A case study of the Makran Coast, Pakistan</t>
  </si>
  <si>
    <t>Modeling compound flood risk and risk reduction using a globally applicable framework: a pilot in the Sofala province of Mozambique</t>
  </si>
  <si>
    <t>ca. 0-165 km</t>
  </si>
  <si>
    <t>Krishna District (India)</t>
  </si>
  <si>
    <t>Environmental Science and Pollution Research</t>
  </si>
  <si>
    <t>https://doi.org/10.1007/s11356-022-22924-x</t>
  </si>
  <si>
    <t>Penki, R., Basina, S.S., Tanniru, S.R.</t>
  </si>
  <si>
    <t>Assessment of storm surge impact</t>
  </si>
  <si>
    <t>Ciego de Ávila Province (Cuba)</t>
  </si>
  <si>
    <t>ca. 0-39 km</t>
  </si>
  <si>
    <t>Atmosphere</t>
  </si>
  <si>
    <t>https://doi.org/10.3390/atmos14091445</t>
  </si>
  <si>
    <t>Matos-Pupo, F., Peros, M.C., González-De Zayas, R., Valero-Jorge, A., Péréz-López, O.E., Álvarez-Taboada, F., Sorí, R.</t>
  </si>
  <si>
    <t xml:space="preserve">Antalya Gulf (Turkey) </t>
  </si>
  <si>
    <t>https://doi.org/10.1007/s12524-023-01694-0</t>
  </si>
  <si>
    <t>Zengin, E.</t>
  </si>
  <si>
    <t>Tsunami hazard assessment</t>
  </si>
  <si>
    <t>Makran Coast (Pakistan)</t>
  </si>
  <si>
    <t>Assessment of extreme wave event hazards</t>
  </si>
  <si>
    <t>ca. 0-462 km</t>
  </si>
  <si>
    <t>DSM (improved to DTM by subtracting approximate heights of vegetation, houses and poles)</t>
  </si>
  <si>
    <r>
      <rPr>
        <b/>
        <sz val="11"/>
        <rFont val="Aptos Narrow"/>
        <family val="2"/>
        <scheme val="minor"/>
      </rPr>
      <t>not documented</t>
    </r>
    <r>
      <rPr>
        <sz val="11"/>
        <rFont val="Aptos Narrow"/>
        <family val="2"/>
        <scheme val="minor"/>
      </rPr>
      <t xml:space="preserve"> (Ellipsoid or Geoid?)</t>
    </r>
  </si>
  <si>
    <r>
      <rPr>
        <b/>
        <sz val="11"/>
        <rFont val="Aptos Narrow"/>
        <family val="2"/>
        <scheme val="minor"/>
      </rPr>
      <t>not documented</t>
    </r>
    <r>
      <rPr>
        <sz val="11"/>
        <rFont val="Aptos Narrow"/>
        <family val="2"/>
        <scheme val="minor"/>
      </rPr>
      <t xml:space="preserve"> (WGS84 or EGM2008?)</t>
    </r>
  </si>
  <si>
    <t>Marine Geology</t>
  </si>
  <si>
    <t>https://doi.org/10.1016/j.margeo.2023.107032</t>
  </si>
  <si>
    <t>Provision of a global applicable framework for compound flood risk assessment and application to case study</t>
  </si>
  <si>
    <t>Sofala Province (Mozambique)</t>
  </si>
  <si>
    <t>UTM36S</t>
  </si>
  <si>
    <t>ca. 0-110 km</t>
  </si>
  <si>
    <t>https://doi.org/10.5194/nhess-23-2251-2023</t>
  </si>
  <si>
    <t>Eilander, D., Couasnon, A., Weiland, F.C.S., Ligtvoet, W., Bouwman, A., Winsemius, H.C., Ward, P.J.</t>
  </si>
  <si>
    <t>Coastal vulnerability assessment for the coast of Tamil Nadu, India—a geospatial approach</t>
  </si>
  <si>
    <t>Deterministic tsunamigenic earthquake hazard assessment for the northern coast of Egypt based on multi-scenario approach</t>
  </si>
  <si>
    <t>Cyclone-induced coastal vulnerability, livelihood challenges and mitigation measures of Matla–Bidya inter-estuarine area, Indian Sundarban</t>
  </si>
  <si>
    <t>How to identify tsunami prevention zones: a case study of Putuoshan Island in China</t>
  </si>
  <si>
    <t>ETOPO; SRTM</t>
  </si>
  <si>
    <t>Coromandel Coast, Tamil Nadu coastline (India)</t>
  </si>
  <si>
    <t>Assessment of coastal vulnerability by using CVI</t>
  </si>
  <si>
    <t>Rather exposure than vulnerability assessment</t>
  </si>
  <si>
    <t>ca. 0-52 km</t>
  </si>
  <si>
    <t>https://doi.org/10.1007/s11356-023-27686-8</t>
  </si>
  <si>
    <t>Abijith, D., Saravanan, S., Sundar, P.K.S.</t>
  </si>
  <si>
    <t>northern coast of Egypt</t>
  </si>
  <si>
    <t>SRTM; ASTER</t>
  </si>
  <si>
    <t>DSM; DSM</t>
  </si>
  <si>
    <t>60° N to 56° S ; 83° N to 83° S</t>
  </si>
  <si>
    <t>11/02/2000 to 22/02/2000; 01/2000 to 30/11/2013</t>
  </si>
  <si>
    <t>Synthetic Aperture Radar interferometry (dual antennas); Correlation of optical stereo near infrared imagery</t>
  </si>
  <si>
    <t>WGS84 UTM36N</t>
  </si>
  <si>
    <t>No documentation about how SRTM and ASTER elevation data was integrated; no documentation about whether DEM data was resampled</t>
  </si>
  <si>
    <t>ca. 0-224 km</t>
  </si>
  <si>
    <t>Mediterranean Geoscience Reviews</t>
  </si>
  <si>
    <t>https://doi.org/10.1007/s42990-023-00098-z</t>
  </si>
  <si>
    <t>Hassan, H.M., Peresan, A., ElGabry, M.N., Hussein, H.</t>
  </si>
  <si>
    <t>Assessment of vulnerability to cyclones</t>
  </si>
  <si>
    <t>Matla-Bidya inter-estuarine (India)</t>
  </si>
  <si>
    <t>ca. 0-44 km</t>
  </si>
  <si>
    <t>https://doi.org/10.1007/s11069-023-05840-2</t>
  </si>
  <si>
    <t>Ghosh, S., Mistri, B.</t>
  </si>
  <si>
    <t>DSM (?); DSM</t>
  </si>
  <si>
    <t xml:space="preserve"> ; 60° N to 56° S </t>
  </si>
  <si>
    <t>01/01/1940 to 01/01/2008; 11/02/2000 to 22/02/2000</t>
  </si>
  <si>
    <t>Combination of diverse global and regional datasets; Synthetic Aperture Radar interferometry (dual antennas)</t>
  </si>
  <si>
    <t>multiple (not documented ("Generic sea level" = various datums without considering offset); Geoid)</t>
  </si>
  <si>
    <t>various; EGM96</t>
  </si>
  <si>
    <t>3600; 450; ca. 56</t>
  </si>
  <si>
    <t>Finer resolutions were used for smaller study extents/grids</t>
  </si>
  <si>
    <t>Tsunami inundation assessment</t>
  </si>
  <si>
    <t>Putuoshan Island (China)</t>
  </si>
  <si>
    <t>ca. 0-0.8 km</t>
  </si>
  <si>
    <t>https://doi.org/10.1007/s11069-022-05667-3</t>
  </si>
  <si>
    <t>Hou, J., Wang, J., Wang, P., Ren, Z.</t>
  </si>
  <si>
    <t>Vulnerability and risk assessment mapping of Bhitarkanika national park, Odisha, India using machine-based embedded decision support system</t>
  </si>
  <si>
    <t>A globally applicable framework for compound flood hazard modeling</t>
  </si>
  <si>
    <t>Uneven vulnerability: characterizing population composition and change in the low elevation coastal zone in the United States with a climate justice lens, 1990–2020</t>
  </si>
  <si>
    <t>A spatial model for coastal flood susceptibility assessment using the 2D-SPR method with complex network theory: A case study of a reclamation island in Zhoushan, China</t>
  </si>
  <si>
    <t>Flood-related challenges and impacts within coastal informal settlements: a case from LAGOS, NIGERIA</t>
  </si>
  <si>
    <t>InSAR-Derived Coastal Subsidence Reveals New Inundation Scenarios over the Yellow River Delta</t>
  </si>
  <si>
    <t>New LiDAR-Based Elevation Model Shows Greatest Increase in Global Coastal Exposure to Flooding to Be Caused by Early-Stage Sea-Level Rise</t>
  </si>
  <si>
    <t>GLL-DTM v2; SRTM; MERIT; NASADEM; TanDEM-X; Copernicus DEM; ASTER; AW3D30; CoastalDEM v2.1; FABDEM</t>
  </si>
  <si>
    <t>Provision of new GLL-DTM v2, SLR impact assessment</t>
  </si>
  <si>
    <t>Land loss implications of sea level rise along the coastline of Colombia under different climate change scenarios</t>
  </si>
  <si>
    <t>Bhitarkanika National Park, Odisha (India)</t>
  </si>
  <si>
    <t>ca. 0-18 km</t>
  </si>
  <si>
    <t>Rather exposure than vulnerability and risk assessment</t>
  </si>
  <si>
    <t>Frontiers in Environmental Science</t>
  </si>
  <si>
    <t>https://doi.org/10.3389/fenvs.2023.1176547</t>
  </si>
  <si>
    <t>Mohanty, S., Mustak, S., Singh, D., Van Hoang, T., Mondal, M., Wang, C.-T.</t>
  </si>
  <si>
    <t>ca. 0-79</t>
  </si>
  <si>
    <t>Provision of a framework for modelling compound flood hazard</t>
  </si>
  <si>
    <t xml:space="preserve"> </t>
  </si>
  <si>
    <t>https://doi.org/10.5194/nhess-23-823-2023</t>
  </si>
  <si>
    <t>Eilander, D., Couasnon, A., Leijnse, T., Ikeuchi, H., Yamazaki, D., Muis, S., Dullaart, J., Haag, A., Winsemius, H.C., Ward, P.J.</t>
  </si>
  <si>
    <t>United States of America</t>
  </si>
  <si>
    <t>Assessment of exposure and population change in LECZ</t>
  </si>
  <si>
    <t>https://doi.org/10.3389/fenvs.2023.1111856</t>
  </si>
  <si>
    <t>Tagtachian, D., Balk, D.</t>
  </si>
  <si>
    <t>CGCS2000</t>
  </si>
  <si>
    <t>ca. 0-2 km</t>
  </si>
  <si>
    <t>Donggang New Town, Zhoushan Island (China)</t>
  </si>
  <si>
    <t>Environmental Impact Assessment Review</t>
  </si>
  <si>
    <t>https://doi.org/10.1016/j.eiar.2022.106953</t>
  </si>
  <si>
    <t>Fang, X., Zhang, Y., Xiang, Y., Zou, J., Li, X., Hao, C., Wang, J.</t>
  </si>
  <si>
    <t>Adegun, O.B.</t>
  </si>
  <si>
    <t>Lagos (Nigeria)</t>
  </si>
  <si>
    <t>International Journal of Urban Sustainable Development</t>
  </si>
  <si>
    <t>https://doi.org/10.1080/19463138.2022.2159415</t>
  </si>
  <si>
    <t>Provision of inundation estimation method by combining extended seeded region growing model and relative SLR</t>
  </si>
  <si>
    <t>ca. 0-146 km</t>
  </si>
  <si>
    <t>1.09 (RMSE)</t>
  </si>
  <si>
    <t>Accuracy assessment was performed using ICESat</t>
  </si>
  <si>
    <t>IEEE Journal of Selected Topics in Applied Earth Observations and Remote Sensing</t>
  </si>
  <si>
    <t>https://doi.org/10.1109/JSTARS.2023.3272782</t>
  </si>
  <si>
    <t>Li, P., Wang, G., Liang, C., Wang, H., Li, Z.</t>
  </si>
  <si>
    <t>DTM; DSM; DSM/DTM; DSM; DSM; DSM; DSM; DSM; nearly DTM; nearly DTM</t>
  </si>
  <si>
    <t>90° N to 90° S (input elevation ≤ 10 m); 60° N to 56° S; 60° N to 56° S; 60° N to 56° S; 90° N to 90° S; 90° N to 90° S; 83° N to 83° S; 80° N to 80° S;  60° N to 56° S;  90° N to 90° S</t>
  </si>
  <si>
    <t>14/10/2018 to 08/06/2022; 11/02/2000 to 22/02/2000; 11/02/2000 to 22/02/2000; 11/02/2000 to 22/02/2000; 12/12/2010 to 16/01/2015; 12/12/2010 to 16/01/2015; 01/2000 to 30/11/2013; 24/01/2006 to 12/05/2011; 11/02/2000 to 22/02/2000; 12/12/2010 to 16/01/2015</t>
  </si>
  <si>
    <t>Refinement of GLL-DTM v1 including more data filtering steps for outlier removal in the ICESat 2 data (ICESat 2 ATL08 v5); Synthetic Aperture Radar interferometry (dual antennas); SRTM with removal of tree heights; Correction of SRTM (by void-filling and integrating ICESat/GLAS, ASTER, NDEM, GMTED2010 and Canadian elevation data); Bi-static Synthetic Aperture Radar interferometry (twin satellites); Correction WorldDEM (based on TanDEM-X 12 m) by filling voids with ASTER, SRTM90, SRTM30, GMTED2010, SRTM30plus, TerraSAR-X Radargrammetric DEM, AW3D30, and Norway DEM; Correlation of optical stereo near infrared imagery; Resampling AW3D (5m resolution, based on optical stereo panchromaticimagery) by applying average and medium methods; Correction of NASADEM by training with ICESat 2 satellite LiDAR data and using additional population and vegetation datasets in a neural network; Correction of Copernicus DEM GLO-30 by removing buildings and forest height bias through machine learning techniques</t>
  </si>
  <si>
    <t>0.53 m (RMSE; for max. elevations of &lt;10 m)</t>
  </si>
  <si>
    <t>1000; 30; 90; 30; 12; 30; 30; 30; 90; 30</t>
  </si>
  <si>
    <t>https://doi.org/10.1029/2022EF002880</t>
  </si>
  <si>
    <t>Vernimmen, R., Hooijer, A.</t>
  </si>
  <si>
    <t>https://doi.org/10.1016/j.crm.2022.100470</t>
  </si>
  <si>
    <t>Carribean and Pacific coastlines of Colombia</t>
  </si>
  <si>
    <t>ca. 0-125 km</t>
  </si>
  <si>
    <t>Nevermann, H., Gomez, J.N.B., Fröhle, P., Shokri, N.</t>
  </si>
  <si>
    <t>Flood influence using GIS and remote sensing based morphometric parameters: A case study in Niger delta region</t>
  </si>
  <si>
    <t>Potential impacts of storm surge-induced flooding based on refined exposure estimation: a case study in Zhoushan island, China</t>
  </si>
  <si>
    <t>Sea level rise risks and societal adaptation benefits in low-lying coastal areas</t>
  </si>
  <si>
    <t>GLOBE</t>
  </si>
  <si>
    <t>DSM/DTM?</t>
  </si>
  <si>
    <t>1950s to 1998</t>
  </si>
  <si>
    <t>Combination of 6 gridded DEMs and 5 cartographic sources</t>
  </si>
  <si>
    <t>MSL?</t>
  </si>
  <si>
    <t>Performance analysis of open-source DEMs in tsunami inundation modelling</t>
  </si>
  <si>
    <t>Understanding the Drivers of Coastal Flood Exposure and Risk From 1860 to 2100</t>
  </si>
  <si>
    <t>Numerical assessment of potential sea level rise impacts on coastal retreat along the Nigerian Mahin mud coast</t>
  </si>
  <si>
    <t>Estimation of flood-exposed population in data-scarce regions combining satellite imagery and high resolution hydrological-hydraulic modelling: A case study in the Licungo basin (Mozambique)</t>
  </si>
  <si>
    <t>Assessing multi-climate-hazard threat in the coastal region of Bangladesh by combining influential environmental and anthropogenic factors</t>
  </si>
  <si>
    <t>GIS-BASED ASSESSMENT OF COASTAL VULNERABILITY IN THE JATABEK (JAKARTA, TANGERANG, AND BEKASI) REGION, INDONESIA</t>
  </si>
  <si>
    <t>Storm surge hazard over Bengal delta: a probabilistic-deterministic modelling approach</t>
  </si>
  <si>
    <t>Coastal Multi-Hazard Vulnerability Mapping: A Case Study Along the Coast of South 24 Parganas District, East Coast of India</t>
  </si>
  <si>
    <t>Coastal Vulnerability Assessment of Bali Province, Indonesia Using Remote Sensing and GIS Approaches</t>
  </si>
  <si>
    <t>Assessment of coastal vulnerability in terms of SLR exposure (by applying CVI)</t>
  </si>
  <si>
    <t>Integrated hydrodynamic and machine learning models for compound flooding prediction in a data-scarce estuarine delta</t>
  </si>
  <si>
    <t>Coastal vulnerability assessment of India's Purba Medinipur-Balasore coastal stretch: A comparative study using empirical models</t>
  </si>
  <si>
    <t>Assessing coastal vulnerability and governance in Mahanadi Delta, Odisha, India</t>
  </si>
  <si>
    <t>Bayelsa State (Nigeria)</t>
  </si>
  <si>
    <t>Ellipsoid</t>
  </si>
  <si>
    <t>Morphometric analysis to understand flooding</t>
  </si>
  <si>
    <t>ca. 0-283 km</t>
  </si>
  <si>
    <t>Climate Risk Management</t>
  </si>
  <si>
    <t>Journal of Asian Scientific Research</t>
  </si>
  <si>
    <t>https://doi.org/10.55493/5003.v13i1.4719</t>
  </si>
  <si>
    <t>Oborie, E., Rowland, E.D.</t>
  </si>
  <si>
    <t>Chen, B., He, J., He, Z., Li, L., Chen, Q., Li, F., Chu, D., Cao, Z., Yang, X.</t>
  </si>
  <si>
    <t>https://doi.org/10.1080/19475705.2023.2232080</t>
  </si>
  <si>
    <t>Geomatics, Natural Hazards and Risk</t>
  </si>
  <si>
    <t>Provision of a multidisciplinary framework for refined impact assessment of storm-surge flooding</t>
  </si>
  <si>
    <t>Southeast Zhoushan Island, Zhejiang Province (China)</t>
  </si>
  <si>
    <t>ca. 0-9 km</t>
  </si>
  <si>
    <t>SLR risk assessment under 2 warming and 2 adaptation scenarios for 4 coastal settlement archetypes (Urban Atoll Islands, Arctic Communities, Large Tropical Deltas, Resource-Rich Cities) and showcasing of adaptation benefits</t>
  </si>
  <si>
    <t>DEM only indirectly mentioned as just a link for LECZ dataset was provided which was generated based on GLOBE DEM</t>
  </si>
  <si>
    <t>https://doi.org/10.1038/s41598-022-14303-w</t>
  </si>
  <si>
    <t>Magnan, A.K., Oppenheimer, M., Garschagen, M., Buchanan, M.K., Duvat, V.K.E., Forbes, D.L., Ford, J.D., Lambert, E., Petzold, J., Renaud, F.G., Sebesvari, Z., van de Wal, R.S.W., Hinkel, J., Pörtner, H.-O.</t>
  </si>
  <si>
    <t>DEM accuracy assessment for tsunami modelling</t>
  </si>
  <si>
    <t>Silivri District, Istanbul (Turkey)</t>
  </si>
  <si>
    <t>LiDAR; AW3D30; ASTER; SRTM</t>
  </si>
  <si>
    <t>ca. 0-3 km</t>
  </si>
  <si>
    <t>local (Istanbul); 80° N to 80° S; 83° N to 83° S; 60° N to 56° S</t>
  </si>
  <si>
    <t>2013; 24/01/2006 to 12/05/2011; 01/2000 to 30/11/2013; 11/02/2000 to 22/02/2000</t>
  </si>
  <si>
    <t>airborne LiDAR; Resampling AW3D (5 m resolution, based on optical stereo panchromatic imagery) by applying average and medium methods; Correlation of optical stereo near infrared imagery; Synthetic Aperture Radar interferometry (dual antennas)</t>
  </si>
  <si>
    <t>not documented; Geoid (global DEMs)</t>
  </si>
  <si>
    <t>not documented (local datum); EGM96 (global DEMs)</t>
  </si>
  <si>
    <t>DTM (processed towards a DSM); DSM; DSM; DSM</t>
  </si>
  <si>
    <t>ca. 1.6 (RMSE); ca. 2.5 (RMSE); ca. 1.8 (RMSE)</t>
  </si>
  <si>
    <t>1; 30; 30; 30</t>
  </si>
  <si>
    <t>Restricted; Free; Free; Free</t>
  </si>
  <si>
    <t>Authors document negligible datum offset, still the data should be converted to the same vertical reference system</t>
  </si>
  <si>
    <t>https://doi.org/10.1007/s12145-022-00852-1</t>
  </si>
  <si>
    <t>Tufekci-Enginar, D., Dogan, G.G., Suzen, M.L., Yalciner, A.C.</t>
  </si>
  <si>
    <t>Attribution of coastal exposure and flood risk to climate-related sea-level change, vertical land motion and socio-economic development</t>
  </si>
  <si>
    <t>https://doi.org/10.1029/2021EF002584</t>
  </si>
  <si>
    <t>Lincke, D., Hinkel, J., Mengel, M., Nicholls, R.J.</t>
  </si>
  <si>
    <t>Mahin mud coast (Nigeria)</t>
  </si>
  <si>
    <t>Investigation of coastal hydrodynamics and SLR impact</t>
  </si>
  <si>
    <t>DSM (integrated with 68 orthometric point elevations)</t>
  </si>
  <si>
    <t>3.4 (RMSE)</t>
  </si>
  <si>
    <t>Accuracy assessment was performed by Daramola et al. (2022; https://doi.org/10.1016/j.rsma.2022.102272)</t>
  </si>
  <si>
    <t>https://doi.org/10.1007/s11852-022-00894-z</t>
  </si>
  <si>
    <t>Daramola, S., Li, H., Akinrinade, O., Hoenyedzi, G., Adenugba, O.</t>
  </si>
  <si>
    <t>Licungo Basin (Mozambique)</t>
  </si>
  <si>
    <t>Provision of a methodology to estimate population exposed to flooding at catchment scale in data-sparse regions</t>
  </si>
  <si>
    <t>ca. 0-253 km</t>
  </si>
  <si>
    <t>Link to data source is now expired</t>
  </si>
  <si>
    <t>Journal of Hydrology: Regional Studies</t>
  </si>
  <si>
    <t>https://doi.org/10.1016/j.ejrh.2022.101247</t>
  </si>
  <si>
    <t>Cea, L., Álvarez, M., Puertas, J.</t>
  </si>
  <si>
    <t>Multi-hazard assessment</t>
  </si>
  <si>
    <t>Coast of Bangladesh</t>
  </si>
  <si>
    <t>ca. 0-191 km</t>
  </si>
  <si>
    <t>Link to data source does not lead to  the specific elevation dataset but only to the general data platform</t>
  </si>
  <si>
    <t>https://doi.org/10.1016/j.pdisas.2022.100261</t>
  </si>
  <si>
    <t>Murshed, S., Griffin, A.L., Islam, Md.A., Wang, X.H., Paull, D.</t>
  </si>
  <si>
    <t>Jakarta, Tangerang and Bekasi (Indonesia)</t>
  </si>
  <si>
    <t>Coastal exposure assessment</t>
  </si>
  <si>
    <t>rather exposure than vulnerability assessment</t>
  </si>
  <si>
    <t>Use of DEM is reported but no specifications or references are given; rather exposure than vulnerability assessment</t>
  </si>
  <si>
    <t>Geographia Technica</t>
  </si>
  <si>
    <t>http://dx.doi.org/10.21163/GT_2022.172.08</t>
  </si>
  <si>
    <t>Rahmawan, G.A., Dhiauddin, R., Wisha, U.J., Gemilang, W.A., Syetiawan, A., Ambarwulan, W., Rahadiati, A.</t>
  </si>
  <si>
    <t>Probabilistic-deterministic modelling of storm surge hazard</t>
  </si>
  <si>
    <t>Use of DEM is reported but no specifications or references are given</t>
  </si>
  <si>
    <t>Use of topography data is reported but no specifications or references are given</t>
  </si>
  <si>
    <t>ca. 0-285 km</t>
  </si>
  <si>
    <t>https://doi.org/10.5194/nhess-22-2359-2022</t>
  </si>
  <si>
    <t>Khan, Md.J.U., Durand, F., Emanuel, K., Krien, Y., Testut, L., Islam, A.K.M.S.</t>
  </si>
  <si>
    <t>Coastal zone of South 24 Parganas District (India)</t>
  </si>
  <si>
    <t>ca. 0-113 km</t>
  </si>
  <si>
    <r>
      <rPr>
        <b/>
        <sz val="11"/>
        <rFont val="Aptos Narrow"/>
        <family val="2"/>
        <scheme val="minor"/>
      </rPr>
      <t>not documented</t>
    </r>
    <r>
      <rPr>
        <sz val="11"/>
        <rFont val="Aptos Narrow"/>
        <family val="2"/>
        <scheme val="minor"/>
      </rPr>
      <t xml:space="preserve"> (WGS84 UTM45N?)</t>
    </r>
  </si>
  <si>
    <t>https://doi.org/10.1007/s12524-022-01558-z</t>
  </si>
  <si>
    <t>Pal, S., Yadav, V.K., Sharma, A., Ananthan, P.S., Qureshi, N.W., Dey, S., Jana, P., Karmakar, S., Ojha, S.N.</t>
  </si>
  <si>
    <t>No documentation about alignment with GEBCO data which was used to estimate coastal slope; rather exposure than vulnerability assessment</t>
  </si>
  <si>
    <t>Link to source does not work; no direct reference to dataset documentation given</t>
  </si>
  <si>
    <t>https://doi.org/10.3390/rs14174409</t>
  </si>
  <si>
    <t>Link to data source does not work anymore; rather exposure than vulnerability assessment</t>
  </si>
  <si>
    <t>Hastuti, A.W., Nagai, M., Suniada, K.I.</t>
  </si>
  <si>
    <t>Coastal area of Bali Province (Indonesia)</t>
  </si>
  <si>
    <t>Pontianak, Kapuas River delta (Indonesia)</t>
  </si>
  <si>
    <t>Provision of an integrated hydrodynamic and machine learning approach for compound flood prediction</t>
  </si>
  <si>
    <t>ca. 12-25 km</t>
  </si>
  <si>
    <t>Nonlinear Processes in Geophysics</t>
  </si>
  <si>
    <t>https://doi.org/10.5194/npg-29-301-2022</t>
  </si>
  <si>
    <t>Sampurno, J., Vallaeys, V., Ardianto, R., Hanert, E.</t>
  </si>
  <si>
    <t>Coastal stretch between Balasore District, Odisha, to Purba Medinipur, West Bengal (India)</t>
  </si>
  <si>
    <t>Coastal hazard assessment using CVI</t>
  </si>
  <si>
    <t>ca. 0-24 km</t>
  </si>
  <si>
    <t>https://doi.org/10.1016/j.ijdrr.2022.103065</t>
  </si>
  <si>
    <t>Hossain, S.A., Mondal, I., Thakur, S., Al-Quraishi, A.M.F.</t>
  </si>
  <si>
    <t>Coastal vulnerability assessment and projection</t>
  </si>
  <si>
    <t>Odisha coast (India)</t>
  </si>
  <si>
    <t>https://doi.org/10.1016/j.pdisas.2022.100223</t>
  </si>
  <si>
    <t>Hazra, S., Ghosh, A., Ghosh, S., Pal, I., Ghosh, T.</t>
  </si>
  <si>
    <t>A Multi-Data Geospatial Approach for Understanding Flood Risk in the Coastal Plains of Tamil Nadu, India</t>
  </si>
  <si>
    <t>Using TanDEM-X Global DEM to Map Coastal Flooding Exposure under Sea-Level Rise: Application to Guinea-Bissau</t>
  </si>
  <si>
    <t>Spatial-Temporal Land Loss Modeling and Simulation in a Vulnerable Coast: A Case Study in Coastal Louisiana</t>
  </si>
  <si>
    <t>Geospatial analysis of flood emergency evacuation sites in Accra</t>
  </si>
  <si>
    <t>Flood susceptibility mapping of Northeast coastal districts of Tamil Nadu India using Multi-source Geospatial data and Machine Learning techniques</t>
  </si>
  <si>
    <t>Changes of Chinese Coastal Regions Induced by Land Reclamation as Revealed through TanDEM-X DEM and InSAR Analyses</t>
  </si>
  <si>
    <t>Vulnerability assessment of mangrove areas in coastal West Bengal, India</t>
  </si>
  <si>
    <t>Understanding hazards: Probabilistic cyclone modelling for disaster risk to the Eastern Coast in Bangladesh</t>
  </si>
  <si>
    <t>Vulnerability of tourism to climate change on the Mediterranean coastal area of El Hammam–EL Alamein, Egypt</t>
  </si>
  <si>
    <t>Comparison of coastal vulnerability assessment for Subang Regency in North Coast West Java-Indonesia</t>
  </si>
  <si>
    <t>Estimating population and urban areas at risk of coastal hazards, 1990-2015: How data choices matter</t>
  </si>
  <si>
    <t>Accounting for tropical cyclones more than doubles the global population exposed to low-probability coastal flooding</t>
  </si>
  <si>
    <t>Coastal plains of Tamil Nadu (India)</t>
  </si>
  <si>
    <t>Flood risk assessment</t>
  </si>
  <si>
    <t>ca. 0-75 km</t>
  </si>
  <si>
    <t>Earth (Switzerland)</t>
  </si>
  <si>
    <t>https://doi.org/10.3390/earth3010023</t>
  </si>
  <si>
    <t>George, S.L., Kantamaneni, K., V, R.A., Prasad, K.A., Shekhar, S., Panneer, S., Rice, L., Balasubramani, K.</t>
  </si>
  <si>
    <t>Bissau, Bubaque and Suzana (Guinea-Bissau)</t>
  </si>
  <si>
    <t>Assessment of exposure to coastal flooding and SLR</t>
  </si>
  <si>
    <t>ca. 0-37 km</t>
  </si>
  <si>
    <t>WGS84 UTM28N</t>
  </si>
  <si>
    <t>12 (90 for Suzana, but was resampled to 12)</t>
  </si>
  <si>
    <t>https://doi.org/10.3390/ijgi11040225</t>
  </si>
  <si>
    <t>Fandé, M.B., Ponte Lira, C., Penha-Lopes, G.</t>
  </si>
  <si>
    <t>Modelling of current and future land loss</t>
  </si>
  <si>
    <t>Coastal Louisiana (USA)</t>
  </si>
  <si>
    <t>https://doi.org/10.3390/rs14040896</t>
  </si>
  <si>
    <t>Yang, M., Zou, L., Cai, H., Qiang, Y., Lin, B., Zhou, B., Abedin, J.</t>
  </si>
  <si>
    <t>Flood hazard assessment and analysis of flood emergency evacuation centres</t>
  </si>
  <si>
    <t>Accra Metropolitan Assembly, Greater Accra Region (Ghana)</t>
  </si>
  <si>
    <t>Use of DEM is reported but no specifications are given</t>
  </si>
  <si>
    <t>Jamba: Journal of Disaster Risk Studies</t>
  </si>
  <si>
    <t>https://doi.org/10.4102/jamba.v14i1.1172</t>
  </si>
  <si>
    <t>Atanga, R.A., Tankpa, V.</t>
  </si>
  <si>
    <t>Chennai, Tiruvallur, Kanchipuram, Villupuram and Cuddalore Districts and Pondicherry Union Territory, Tamil Nadu (India)</t>
  </si>
  <si>
    <t>Reference link to DEM source does not give any further specifications</t>
  </si>
  <si>
    <t>ca. 0-128 km</t>
  </si>
  <si>
    <t>Geocarto International</t>
  </si>
  <si>
    <t>https://doi.org/10.1080/10106049.2022.2096702</t>
  </si>
  <si>
    <t>Saravanan, S., Abijith, D.</t>
  </si>
  <si>
    <t>Investigation of landscape changes due to land reclamation and flood risk assessment</t>
  </si>
  <si>
    <t>Coastal China, with a focus on Shanghai and Yellow River Delta</t>
  </si>
  <si>
    <t>SRTM; ASTER; AW3D30; TanDEM-X 90m</t>
  </si>
  <si>
    <t>DSM; DSM; DSM; DSM</t>
  </si>
  <si>
    <t>30; 30; 30; 90</t>
  </si>
  <si>
    <t>60° N to 56° S; 83° N to 83° S; 80° N to 80° S; 90° N to 90° S</t>
  </si>
  <si>
    <t>11/02/2000 to 22/02/2000; 01/2000 to 30/11/2013; 24/01/2006 to 12/05/2011; 12/12/2010 to 16/01/2015</t>
  </si>
  <si>
    <t>Synthetic Aperture Radar interferometry (dual antennas); Correlation of optical stereo near infrared imagery; Resampling AW3D (5 m resolution, based on optical stereo panchromatic imagery) by applying average and medium methods; Bi-static Synthetic Aperture Radar interferometry (twin satellites)</t>
  </si>
  <si>
    <t>https://doi.org/10.3390/rs14030637</t>
  </si>
  <si>
    <t>Tang, M., Zhao, Q., Pepe, A., Devlin, A.T., Falabella, F., Yao, C., Li, Z.</t>
  </si>
  <si>
    <t>Analysing vulnerability of coastal zone using the Coastal and Mangrove Vulnerability Index</t>
  </si>
  <si>
    <t>Coastal West Bengal (India)</t>
  </si>
  <si>
    <t>https://doi.org/10.1016/j.rsase.2021.100680</t>
  </si>
  <si>
    <t>Mondal, B., Roy, A., Saha, A.K.</t>
  </si>
  <si>
    <t>Cox's Bazar area (Bangladesh)</t>
  </si>
  <si>
    <t>Synthetic cyclone modelling for understanding cyclone impact and ist compounding hazard</t>
  </si>
  <si>
    <t>https://doi.org/10.1016/j.pdisas.2022.100216</t>
  </si>
  <si>
    <t>Fakhruddin, B., Kintada, K., Hassan, Q.</t>
  </si>
  <si>
    <t>SLR impact and vulnerability assessment</t>
  </si>
  <si>
    <t>Coast of El Hammam-El Alamein (Egypt)</t>
  </si>
  <si>
    <t>ca. 0-28 km</t>
  </si>
  <si>
    <t>https://doi.org/10.1007/s10668-021-01488-9</t>
  </si>
  <si>
    <t>El-Masry, E., El-Sayed, M.Kh., Awad, M.A., El-Sammak, A., El Sabarouti, M.A.</t>
  </si>
  <si>
    <t>Comparison and evaluation of CVI and weighted CVI</t>
  </si>
  <si>
    <t>Subang Regency, northern Java (Indonesia)</t>
  </si>
  <si>
    <t>https://doi.org/10.1080/19475705.2022.2066573</t>
  </si>
  <si>
    <t>Handiani, D.N., Heriati, A., Gunawan, W.A.</t>
  </si>
  <si>
    <t>Estimation of population and urban areas in LECZ</t>
  </si>
  <si>
    <t>DSM; DSM/DTM; DSM; nearly DTM; DSM</t>
  </si>
  <si>
    <t>SRTM; MERIT DEM; TanDEM-X 90m; CoastalDEM v1.1; AW3D30</t>
  </si>
  <si>
    <t>60° N to 56° S; 60° N to 56° S; 90° N to 90° S; 60° N to 56° S (i.e. SRTM); 80° N to 80° S</t>
  </si>
  <si>
    <t>11/02/2000 to 22/02/2000; 11/02/2000 to 22/02/2000 (i.e. SRTM); 12/12/2010 to 16/01/2015; 11/02/2000 to 22/02/2000 (i.e. SRTM); 24/01/2006 to 12/05/2011</t>
  </si>
  <si>
    <t>Synthetic Aperture Radar interferometry (dual antennas); SRTM with removal of tree heights; Bi-static Synthetic Aperture Radar interferometry (twin satellites); Correction of SRTM by training with NOAA coastal lidar from the US and using additional population and vegetation datasets in a neural network; Resampling AW3D (5 m resolution, based on optical stereo panchromatic imagery) by applying average and medium methods</t>
  </si>
  <si>
    <t>90; 90; 90; 90; 30</t>
  </si>
  <si>
    <t>Earth System Science Data</t>
  </si>
  <si>
    <t>https://doi.org/10.5194/essd-13-5747-2021</t>
  </si>
  <si>
    <t>MacManus, K., Balk, D., Engin, H., McGrahanan, G., Inman, R.</t>
  </si>
  <si>
    <t>Provision of storm tide return periods and cyclone exposure assessment</t>
  </si>
  <si>
    <t>Communications Earth and Environment</t>
  </si>
  <si>
    <t>https://doi.org/10.1038/s43247-021-00204-9</t>
  </si>
  <si>
    <t>Dullaart, J.C.M., Muis, S., Bloemendaal, N., Chertova, M.V., Couasnon, A., Aerts, J.C.J.H.</t>
  </si>
  <si>
    <t>The Importance of Digital Elevation Model Selection in Flood Simulation and a Proposed Method to Reduce DEM Errors: A Case Study in Shanghai</t>
  </si>
  <si>
    <t>Impact of sea level rise and shoreline changes in the tropical island ecosystem of Andaman and Nicobar region, India</t>
  </si>
  <si>
    <t>Cost–benefit analysis of adaptation to storm surge due to climate change in Osaka Bay, Japan</t>
  </si>
  <si>
    <t>Integrated analysis of the combined risk of ground subsidence, sea level rise, and natural hazards in coastal and delta river regions</t>
  </si>
  <si>
    <t>Identifying the efficacy of tidal waves on flood assessment study — a case of coastal urban flooding</t>
  </si>
  <si>
    <t>Towards an efficient storm surge and inundation forecasting system over the Bengal delta: Chasing the Supercyclone Amphan</t>
  </si>
  <si>
    <t>SRTM or ASTER</t>
  </si>
  <si>
    <t>Towards better flood risk management: Assessing flood risk and investigating the potential mechanism based on machine learning models</t>
  </si>
  <si>
    <t>ca. 0-288 km</t>
  </si>
  <si>
    <t>Flood risk assessment and quantification of driving factors</t>
  </si>
  <si>
    <t>Natural and Anthropogenic Coastal Environmental Hazards: An Integrated Remote Sensing, GIS, and Geophysical-based Approach</t>
  </si>
  <si>
    <t>Loss and damage implications of sea-level rise on Small Island Developing States</t>
  </si>
  <si>
    <t>Small Island Developing States</t>
  </si>
  <si>
    <t>Review on key emerging topics in SLR; characterisation of regional nature of SLR in SIDS, impacts &amp; risks</t>
  </si>
  <si>
    <t>SRTM; CoastalDEM v1.1</t>
  </si>
  <si>
    <t>DSM; nearly DTM</t>
  </si>
  <si>
    <t>Quantitative risk assessment of storm surge using GIS techniques and open data: A case study of Daya Bay Zone, China</t>
  </si>
  <si>
    <t>Flood Susceptibility Analysis in Chennai Corporation Using Frequency Ratio Model</t>
  </si>
  <si>
    <t>Development of a Multi-Dimensional Coastal Vulnerability Index: Assessing vulnerability to inundation scenarios in the Italian coast</t>
  </si>
  <si>
    <t>Lekki Peninsula (SE Lagos; 3° 25' 50'' E to 4° 21' 20'' E, 6° 22' 00'' N to 6° 37' 10'' N)</t>
  </si>
  <si>
    <t>Assessment of landscape dynamics (1984 to 2014) and evaluation of flood risk due to storm surge (considering also SLR)</t>
  </si>
  <si>
    <t>UTM</t>
  </si>
  <si>
    <t>90 (resampled to 50)</t>
  </si>
  <si>
    <t>Flood risks to urban development on a coastal barrier landscape of Lekki Peninsula in Lagos, Nigeria</t>
  </si>
  <si>
    <t>Coastal inundation modeling and mapping for North Jakarta coast during a supermoon period</t>
  </si>
  <si>
    <t>Osaka Bay (Japan)</t>
  </si>
  <si>
    <t>Simulation of storm surge inundation risk including climate change and cost-benefit analysis as well as exploration of effectiveness of structural adaptation measures</t>
  </si>
  <si>
    <t>https://doi.org/10.1007/s10584-021-03282-y</t>
  </si>
  <si>
    <t>Ha, S., Tatano, H., Mori, N., Fujimi, T., Jiang, X.</t>
  </si>
  <si>
    <t>Assessment of DEM performance in flood simulation</t>
  </si>
  <si>
    <t>DSM; DSM/DTM; nearly DTM; DSM; DSM; DSM</t>
  </si>
  <si>
    <t>60° N to 56° S; 60° N to 56° S; 60° N to 56° S; 83° N to 83° S; 60° N to 56° S; 80° N to 80° S</t>
  </si>
  <si>
    <t>11/02/2000 to 22/02/2000; 11/02/2000 to 22/02/2000; 11/02/2000 to 22/02/2000 (i.e. SRTM); 01/2000 to 30/11/2013; 11/02/2000 to 22/02/2000; 24/01/2006 to 12/05/2011</t>
  </si>
  <si>
    <t>Synthetic Aperture Radar interferometry (dual antennas); SRTM with removal of tree heights; Correction of SRTM by training with NOAA coastal lidar from the US and using additional population and vegetation datasets in a neural network; Correlation of optical stereo near infrared imagery; Correction of SRTM (by void-filling and integrating ICESat/GLAS, ASTER, NDEM, GMTED2010 and Canadian elevation data); Resampling AW3D (5 m resolution, based on optical stereo panchromatic imagery) by applying average and medium methods</t>
  </si>
  <si>
    <t>SRTM; MERIT DEM; CoastalDEM v1.1; ASTER; NASADEM; AW3D30</t>
  </si>
  <si>
    <t>F1-Scores for 50yr and 100yr flood events per DEM: 0.29, 0.42; 0.52, 0.60; 0.45, 0.40; 0.02, 0.02; 0.42, 0.49; 0.35, 0.44</t>
  </si>
  <si>
    <t>30, 90; 90; 90; 30; 30; 30</t>
  </si>
  <si>
    <t>Accuracy of DEMs was indirectly assessed by flood simulation</t>
  </si>
  <si>
    <t>ca. 32-79 km</t>
  </si>
  <si>
    <t>https://doi.org/10.1007/s13753-021-00377-z</t>
  </si>
  <si>
    <t>Xu, K., Fang, J., Fang, Y., Sun, Q., Wu, C., Liu, M.</t>
  </si>
  <si>
    <t>Identification of the efficacy of boundary conditions on flood hydrodynamic studes</t>
  </si>
  <si>
    <t>Navsari City, Gujarat (India)</t>
  </si>
  <si>
    <t>Arabian Journal of Geosciences</t>
  </si>
  <si>
    <t>https://doi.org/10.1007/s12517-021-08538-6</t>
  </si>
  <si>
    <t>Pathan, A.I., Agnihotri, P.G., Patel, D., Prieto, C.</t>
  </si>
  <si>
    <t>Provision of a multi-dimensional coastal vulnerability index and application to coastal Italy</t>
  </si>
  <si>
    <t>PanEuropean</t>
  </si>
  <si>
    <t>EUDEM</t>
  </si>
  <si>
    <t>12/12/2010 to 16/01/2015 (TanDEM-X)</t>
  </si>
  <si>
    <t>Hydrological conditioning of TerraSAR-X and TanDEM-X</t>
  </si>
  <si>
    <t>https://doi.org/10.1016/j.scitotenv.2020.144650</t>
  </si>
  <si>
    <t>Furlan, E., Dalla Pozza, P., Michetti, M., Torresan, S., Critto, A., Marcomini, A.</t>
  </si>
  <si>
    <t>88 micro-watersheds of Adyar, Cooum and Kosasthalaiyar watersheds, Chennai Corporation area (India)</t>
  </si>
  <si>
    <t>Flood susceptibility mapping using a frequency ratio model</t>
  </si>
  <si>
    <t>References included do not lead to specifications of the metadata</t>
  </si>
  <si>
    <t>ca. 0-19 km</t>
  </si>
  <si>
    <t>https://doi.org/10.1007/s12524-021-01331-8</t>
  </si>
  <si>
    <t>Natarajan, L., Usha, T., Gowrappan, M., Kasthuri, B.P., Moorthy, P., Chokkalingam, L.</t>
  </si>
  <si>
    <t>Storm surge and inundation forecast in real time</t>
  </si>
  <si>
    <t>No documentation whether DEM data was resampled and which technique was used to do so.</t>
  </si>
  <si>
    <t>https://doi.org/10.5194/nhess-21-2523-2021</t>
  </si>
  <si>
    <t>Khan, Md.J.U., Durand, F., Bertin, X., Testut, L., Krien, Y., Islam, A.K.M.S., Pezerat, M., Hossain, S.</t>
  </si>
  <si>
    <t>Suez City (Egypt)</t>
  </si>
  <si>
    <t>Hazard mapping</t>
  </si>
  <si>
    <t>Surveys in Geophysics</t>
  </si>
  <si>
    <t>https://doi.org/10.1007/s10712-021-09660-6</t>
  </si>
  <si>
    <t>Youssef, Y.M., Gemail, K.S., Sugita, M., AlBarqawy, M., Teama, M.A., Koch, M., Saada, S.A.</t>
  </si>
  <si>
    <t>Provision of an open-data approach to perform quantitative storm-surge risk assessment and application to Daya Bay Zone</t>
  </si>
  <si>
    <t>Daya Bay Zone, Guangdong Province (China)</t>
  </si>
  <si>
    <t>Use of a DEM is documented but the references listed does not provide any further specified information</t>
  </si>
  <si>
    <t>https://doi.org/10.1016/j.jenvman.2021.112514</t>
  </si>
  <si>
    <t>Wang, S., Mu, L., Qi, M., Yu, Z., Yao, Z., Zhao, E.</t>
  </si>
  <si>
    <t>Little Andaman Island (India)</t>
  </si>
  <si>
    <t>Assessment of SLR impact on land-use land cover and assessment of shoreline changes</t>
  </si>
  <si>
    <t>ca. 0-149 km</t>
  </si>
  <si>
    <t>SRTM supplemented by topographic map contour data</t>
  </si>
  <si>
    <t>DSM (locally improved to DTM)</t>
  </si>
  <si>
    <t>local</t>
  </si>
  <si>
    <t>11/02/2000 to 22/02/2000; 1979</t>
  </si>
  <si>
    <t>Synthetic Aperture Radar interferometry (dual antennas); contour data from topographic maps</t>
  </si>
  <si>
    <r>
      <rPr>
        <b/>
        <sz val="11"/>
        <rFont val="Aptos Narrow"/>
        <family val="2"/>
        <scheme val="minor"/>
      </rPr>
      <t>not documented</t>
    </r>
    <r>
      <rPr>
        <sz val="11"/>
        <rFont val="Aptos Narrow"/>
        <family val="2"/>
        <scheme val="minor"/>
      </rPr>
      <t xml:space="preserve"> (multiple?)</t>
    </r>
  </si>
  <si>
    <r>
      <rPr>
        <b/>
        <sz val="11"/>
        <rFont val="Aptos Narrow"/>
        <family val="2"/>
        <scheme val="minor"/>
      </rPr>
      <t>not documented</t>
    </r>
    <r>
      <rPr>
        <sz val="11"/>
        <rFont val="Aptos Narrow"/>
        <family val="2"/>
        <scheme val="minor"/>
      </rPr>
      <t xml:space="preserve"> (EGM96?; local datum?)</t>
    </r>
  </si>
  <si>
    <t>https://doi.org/10.1007/s11069-021-04895-3</t>
  </si>
  <si>
    <t>Mageswaran, T., Sachithanandam, V., Sridhar, R., Mahapatra, M., Purvaja, R., Ramesh, R.</t>
  </si>
  <si>
    <t>Assessment of relative SLR</t>
  </si>
  <si>
    <t>SRTM; TanDEM-X 12m</t>
  </si>
  <si>
    <t>60° N to 56° S; 90° N to 90° S</t>
  </si>
  <si>
    <t>11/02/2000 to 22/02/2000; 12/12/2010 to 16/01/2015</t>
  </si>
  <si>
    <t>Synthetic Aperture Radar interferometry (dual antennas); Bi-static Synthetic Aperture Radar interferometry (twin satellites)</t>
  </si>
  <si>
    <r>
      <t xml:space="preserve">Geoid; </t>
    </r>
    <r>
      <rPr>
        <b/>
        <sz val="11"/>
        <rFont val="Aptos Narrow"/>
        <family val="2"/>
        <scheme val="minor"/>
      </rPr>
      <t>not documented</t>
    </r>
    <r>
      <rPr>
        <sz val="11"/>
        <rFont val="Aptos Narrow"/>
        <family val="2"/>
        <scheme val="minor"/>
      </rPr>
      <t xml:space="preserve"> (Ellipsoid?)</t>
    </r>
  </si>
  <si>
    <r>
      <rPr>
        <sz val="11"/>
        <rFont val="Aptos Narrow"/>
        <family val="2"/>
        <scheme val="minor"/>
      </rPr>
      <t xml:space="preserve">EGM96; </t>
    </r>
    <r>
      <rPr>
        <b/>
        <sz val="11"/>
        <rFont val="Aptos Narrow"/>
        <family val="2"/>
        <scheme val="minor"/>
      </rPr>
      <t>not documented</t>
    </r>
  </si>
  <si>
    <t>90; 12</t>
  </si>
  <si>
    <t>Free; Free (upon request/proposal)</t>
  </si>
  <si>
    <t>Yangtze River Delta; Pearl River Delta; Shanghai; Chinese east coast (China)</t>
  </si>
  <si>
    <t>https://doi.org/10.3390/rs13173431</t>
  </si>
  <si>
    <t>Zhao, Q., Pan, J., Devlin, A., Xu, Q., Tang, M., Li, Z., Zamparelli, V., Falabella, F., Mastro, P., Pepe, A.</t>
  </si>
  <si>
    <t>Jakarta (Indonesia)</t>
  </si>
  <si>
    <t>Modelling and mapping of coastal inundation</t>
  </si>
  <si>
    <t>Terrestrial, Atmospheric and Oceanic Sciences</t>
  </si>
  <si>
    <t>https://doi.org/10.3319/TAO.2021.04.02.01</t>
  </si>
  <si>
    <t>Riama, N.F., Sari, R.F., Sulistya, W., Rahmayanti, H., Pratama, K.R., Pratama, B.E., Suryo, A.W.</t>
  </si>
  <si>
    <t>60° N to 56° S or 83° N to 83° S</t>
  </si>
  <si>
    <t>11/02/2000 to 22/02/2000 or 01/03/2000 to 30/11/2013</t>
  </si>
  <si>
    <t>Synthetic Aperture Radar interferometry (dual antennas) or Correlation of optical stereo near-infrared imagery</t>
  </si>
  <si>
    <r>
      <rPr>
        <b/>
        <sz val="11"/>
        <rFont val="Aptos Narrow"/>
        <family val="2"/>
        <scheme val="minor"/>
      </rPr>
      <t>not documented</t>
    </r>
    <r>
      <rPr>
        <sz val="11"/>
        <rFont val="Aptos Narrow"/>
        <family val="2"/>
        <scheme val="minor"/>
      </rPr>
      <t xml:space="preserve"> (EGM96)</t>
    </r>
  </si>
  <si>
    <t>Link to database does not provide any information to specify the DEM used</t>
  </si>
  <si>
    <t>https://doi.org/10.1016/j.jenvman.2021.112810</t>
  </si>
  <si>
    <t>Chen, J., Huang, G., Chen, W.</t>
  </si>
  <si>
    <t>60° N to 56° S; 60° N to 56° S (i.e. SRTM)</t>
  </si>
  <si>
    <t>Synthetic Aperture Radar interferometry (dual antennas); Correction of SRTM by training with NOAA coastal lidar from the US and using additional population and vegetation datasets in a neural network</t>
  </si>
  <si>
    <t>Free; only 90 m Free</t>
  </si>
  <si>
    <r>
      <t>not documented</t>
    </r>
    <r>
      <rPr>
        <sz val="11"/>
        <rFont val="Aptos Narrow"/>
        <family val="2"/>
        <scheme val="minor"/>
      </rPr>
      <t xml:space="preserve"> (30 or 90 m?)</t>
    </r>
  </si>
  <si>
    <t>Current Opinion in Environmental Sustainability</t>
  </si>
  <si>
    <t>https://doi.org/10.1016/j.cosust.2021.05.001</t>
  </si>
  <si>
    <t>Martyr-Koller, R., Thomas, A., Schleussner, C.-F., Nauels, A., Lissner, T.</t>
  </si>
  <si>
    <t>Scientific African</t>
  </si>
  <si>
    <t>https://doi.org/10.1016/j.sciaf.2021.e00787</t>
  </si>
  <si>
    <t>Obiefuna, J., Adeaga, O., Omojola, A., Atagbaza, A., Okolie, C.</t>
  </si>
  <si>
    <t>Urbanization and climate change impacts on future flood risk in the Pearl River Delta under shared socioeconomic pathways</t>
  </si>
  <si>
    <t>Spatialized flood resilience measurement in rapidly urbanized coastal areas with a complex semi-arid environment in northern Morocco</t>
  </si>
  <si>
    <t>Modeling Human Migration Under Environmental Change: A Case Study of the Effect of Sea Level Rise in Bangladesh</t>
  </si>
  <si>
    <t>A global analysis of subsidence, relative sea-level change and coastal flood exposure</t>
  </si>
  <si>
    <t>Assessment of 21st century global coastal migration for SLR scenarios, SSPs &amp; discount rate assumptions</t>
  </si>
  <si>
    <r>
      <rPr>
        <b/>
        <sz val="11"/>
        <rFont val="Aptos Narrow"/>
        <family val="2"/>
        <scheme val="minor"/>
      </rPr>
      <t>not documented</t>
    </r>
    <r>
      <rPr>
        <sz val="11"/>
        <rFont val="Aptos Narrow"/>
        <family val="2"/>
        <scheme val="minor"/>
      </rPr>
      <t xml:space="preserve"> (SRTM?)</t>
    </r>
  </si>
  <si>
    <r>
      <rPr>
        <b/>
        <sz val="11"/>
        <rFont val="Aptos Narrow"/>
        <family val="2"/>
        <scheme val="minor"/>
      </rPr>
      <t>not documented</t>
    </r>
    <r>
      <rPr>
        <sz val="11"/>
        <rFont val="Aptos Narrow"/>
        <family val="2"/>
        <scheme val="minor"/>
      </rPr>
      <t xml:space="preserve"> (90?)</t>
    </r>
  </si>
  <si>
    <t>Coastal Migration due to 21st Century Sea-Level Rise</t>
  </si>
  <si>
    <t>Impacts of climate change on the tourism sector of a Small Island Developing State: A case study for the Bahamas</t>
  </si>
  <si>
    <t>Tropical cyclone risk mapping for a coastal city using geospatial techniques</t>
  </si>
  <si>
    <t>Vulnerability assessment of African coasts to sea level rise using GIS and remote sensing</t>
  </si>
  <si>
    <t>GIS-based approach to estimate sea level rise impacts on Damietta coast, Egypt</t>
  </si>
  <si>
    <t>Impact of Sea-Level-Rise and Human Activities in Coastal Regions: An Overview</t>
  </si>
  <si>
    <t>Sea level rise undermines SDG2 and SDG6 in Pantai Acheh, Penang, Malaysia</t>
  </si>
  <si>
    <t>JUPEM</t>
  </si>
  <si>
    <t>Coastal vulnerability to climate change in China's Bohai Economic Rim</t>
  </si>
  <si>
    <t>Earth Observation Technique-Based Coastal Vulnerability Assessment of Northern Odisha, East Coast of India</t>
  </si>
  <si>
    <t>Assessing socio-economic vulnerability to climate change-induced disasters: evidence from Sundarban Biosphere Reserve, India</t>
  </si>
  <si>
    <t>Wet-bulb Temperature and Sea-level Rise in the United Arab Emirates–Planning Responses</t>
  </si>
  <si>
    <t>Rapid monitoring of cyclone induced flood through an automated approach using multi–temporal Earth Observation (EO) images in RSS CloudToolbox platform</t>
  </si>
  <si>
    <t>Flooded with Error: Handling Uncertainty in SRTM for the Assessment of Sea Level Rise in the Mississippi River Delta</t>
  </si>
  <si>
    <t>Airports in coastal regions worldwide</t>
  </si>
  <si>
    <t>SLR risk assessment to airports globally</t>
  </si>
  <si>
    <t>Airport elevation information</t>
  </si>
  <si>
    <t>DTM(?), use of single elevation value per airport</t>
  </si>
  <si>
    <t>one single elevation value per airport</t>
  </si>
  <si>
    <t>ground surveys according to Yesudian and Dawson (2021); but apparently very poor documentation without any specific reference</t>
  </si>
  <si>
    <t>Global analysis of sea level rise risk to airports</t>
  </si>
  <si>
    <t>GIS-based flood proneness screening: a prelude to stormwater management in rapidly urbanizing catchments</t>
  </si>
  <si>
    <t>Yangtze River Delta</t>
  </si>
  <si>
    <t>ca. 0-320 km</t>
  </si>
  <si>
    <t>Assessment of population exposure in LECZ to SLR over 1990-2100</t>
  </si>
  <si>
    <t>CoastalDEM v1.1</t>
  </si>
  <si>
    <t>Correction of SRTM by training with NOAA coastal lidar from the US and using additional population and vegetation datasets in a neural network</t>
  </si>
  <si>
    <r>
      <rPr>
        <b/>
        <sz val="11"/>
        <rFont val="Aptos Narrow"/>
        <family val="2"/>
        <scheme val="minor"/>
      </rPr>
      <t>not documented</t>
    </r>
    <r>
      <rPr>
        <sz val="11"/>
        <rFont val="Aptos Narrow"/>
        <family val="2"/>
        <scheme val="minor"/>
      </rPr>
      <t xml:space="preserve"> (Geoid or MSL?)</t>
    </r>
  </si>
  <si>
    <r>
      <t xml:space="preserve">EGM96 or MDT based on MDT_CNES_CLS_13; </t>
    </r>
    <r>
      <rPr>
        <b/>
        <sz val="11"/>
        <rFont val="Aptos Narrow"/>
        <family val="2"/>
        <scheme val="minor"/>
      </rPr>
      <t>MDT outdated; not explicitly documented which datum is used in the end</t>
    </r>
  </si>
  <si>
    <t>5 m</t>
  </si>
  <si>
    <t>Population pattern and exposure under sea level rise: Low elevation coastal zone in the Yangtze River Delta, 1990–2100</t>
  </si>
  <si>
    <t>Assessing coastal vulnerability of Chittagong District, Bangladesh using geospatial techniques</t>
  </si>
  <si>
    <t>Sea-Level Rise in Northern Germany: A GIS-Based Simulation and Visualization</t>
  </si>
  <si>
    <t>Impact Assessment of Climate Change on Storm Surge and Sea Level Rise Around Viti Levu, Fiji</t>
  </si>
  <si>
    <t>SRTM (filled with holes; Jarvis et al., 2008)</t>
  </si>
  <si>
    <t>SRTM with holes filled</t>
  </si>
  <si>
    <t>no information about vertical reference of GEBCO bathymetry data and whether the vertical datums of topography and bathymetry datasets match</t>
  </si>
  <si>
    <t>Projections of global-scale extreme sea levels and resulting episodic coastal flooding over the 21st Century</t>
  </si>
  <si>
    <t>Identification of global "hotspots" of significant change in episodic flooding by the end of 2100</t>
  </si>
  <si>
    <t>EGM96; MDT  (CNES-CLS13)</t>
  </si>
  <si>
    <t xml:space="preserve">Instead of DEM, extreme sea-level data is referenced to EGM96 using MDT. As geoid offset was not considered here, the datums of extreme sea-level data and DEM do not match. </t>
  </si>
  <si>
    <t>A FVCOM study of the potential coastal flooding in apponagansett bay and clarks cove, Dartmouth Town (MA)</t>
  </si>
  <si>
    <t>Assessment of future flood risk combined with effects from climate change, urbanisation and socio-economic development</t>
  </si>
  <si>
    <t>Pearl River Delta (China)</t>
  </si>
  <si>
    <t>ca. 0-367 km</t>
  </si>
  <si>
    <t>https://doi.org/10.1016/j.scitotenv.2020.143144</t>
  </si>
  <si>
    <t>Chen, X., Zhang, H., Chen, W., Huang, G.</t>
  </si>
  <si>
    <t>Assessment of flood resilience</t>
  </si>
  <si>
    <t>Fnideq, M'diq and Martil (Morocco)</t>
  </si>
  <si>
    <t>https://doi.org/10.5194/nhess-21-1101-2021</t>
  </si>
  <si>
    <t>Satour, N., Raji, O., El Moçayd, N., Kacimi, I., Kassou, N.</t>
  </si>
  <si>
    <t>Provision of a modelling framework to predict the effect of SLR on migration patterns and application to Bangladesh</t>
  </si>
  <si>
    <t>Bangladesh</t>
  </si>
  <si>
    <t>ca. 0-556 km</t>
  </si>
  <si>
    <t>https://doi.org/10.1029/2020EF001931</t>
  </si>
  <si>
    <t>De Lellis, P., Marín, M.R., Porfiri, M.</t>
  </si>
  <si>
    <t>Assessment of climate-change impacts on tourism</t>
  </si>
  <si>
    <t>New Providence Island and Paradise Island (Bahamas)</t>
  </si>
  <si>
    <t>Environmental Development</t>
  </si>
  <si>
    <t>https://doi.org/10.1016/j.envdev.2020.100556</t>
  </si>
  <si>
    <t>Pathak, A., van Beynen, P.E., Akiwumi, F.A., Lindeman, K.C.</t>
  </si>
  <si>
    <t>Cox's Bazar Sadar Upazilla (Bangladesh)</t>
  </si>
  <si>
    <t>Assessment of present and future storm surge wave heights using a GIS-based risk model</t>
  </si>
  <si>
    <t>ca. 0-23 km</t>
  </si>
  <si>
    <t>https://doi.org/10.1007/s11852-020-00788-y</t>
  </si>
  <si>
    <t>Akter, A., Dayem, A.</t>
  </si>
  <si>
    <t>African coasts</t>
  </si>
  <si>
    <t>SLR vulnerability assessment by using CVI</t>
  </si>
  <si>
    <t>World Mercator 1984</t>
  </si>
  <si>
    <t>https://doi.org/10.1007/s10668-020-00639-8</t>
  </si>
  <si>
    <t>El-Shahat, S., El-Zafarany, A.M., El Seoud, T.A., Ghoniem, S.A.</t>
  </si>
  <si>
    <t>Damietta Coast (Egypt)</t>
  </si>
  <si>
    <t>Assessment of SLR impact and shoreline retreat</t>
  </si>
  <si>
    <t>ASTER; local GPS heights; local DEM</t>
  </si>
  <si>
    <t>DSM; DTM; DTM</t>
  </si>
  <si>
    <t>83° N to 83° S; local; local</t>
  </si>
  <si>
    <r>
      <t xml:space="preserve">01/2000 to 30/11/2013; </t>
    </r>
    <r>
      <rPr>
        <b/>
        <sz val="11"/>
        <rFont val="Aptos Narrow"/>
        <family val="2"/>
        <scheme val="minor"/>
      </rPr>
      <t>not documented; not documented</t>
    </r>
  </si>
  <si>
    <r>
      <t xml:space="preserve">Correlation of optical stereo near infrared imagery; GPS measurements extracted from topographic map; </t>
    </r>
    <r>
      <rPr>
        <b/>
        <sz val="11"/>
        <rFont val="Aptos Narrow"/>
        <family val="2"/>
        <scheme val="minor"/>
      </rPr>
      <t>not documented</t>
    </r>
  </si>
  <si>
    <r>
      <rPr>
        <b/>
        <sz val="11"/>
        <rFont val="Aptos Narrow"/>
        <family val="2"/>
        <scheme val="minor"/>
      </rPr>
      <t>not documented</t>
    </r>
    <r>
      <rPr>
        <sz val="11"/>
        <rFont val="Aptos Narrow"/>
        <family val="2"/>
        <scheme val="minor"/>
      </rPr>
      <t xml:space="preserve"> (likely multiple)</t>
    </r>
  </si>
  <si>
    <r>
      <rPr>
        <b/>
        <sz val="11"/>
        <rFont val="Aptos Narrow"/>
        <family val="2"/>
        <scheme val="minor"/>
      </rPr>
      <t>not documented</t>
    </r>
    <r>
      <rPr>
        <sz val="11"/>
        <rFont val="Aptos Narrow"/>
        <family val="2"/>
        <scheme val="minor"/>
      </rPr>
      <t xml:space="preserve"> (EGM96?; local datum?; local datum?)</t>
    </r>
  </si>
  <si>
    <t>not documented (30?); 1:25,000; not documented</t>
  </si>
  <si>
    <t>Free; restricted</t>
  </si>
  <si>
    <t>https://doi.org/10.1007/s12517-021-06810-3</t>
  </si>
  <si>
    <t>Samra, R.M.A., El-Gammal, M., Al-Mutairi, N., Alsahli, M.M., Ibrahim, M.S.</t>
  </si>
  <si>
    <t>Provision of an overview of well-established earth observation remote sensing technologies for monitoring changes in coastal urban areas and SLR impact</t>
  </si>
  <si>
    <t>Yangtze River Delta, Pearl River Delta (China)</t>
  </si>
  <si>
    <t>No documentation whether DEM data was resampled to 6 m as the original TanDEM-X data is provided in 12 m spatial resolution</t>
  </si>
  <si>
    <t>Journal of Geodesy and Geoinformation Science</t>
  </si>
  <si>
    <t>https://doi.org/10.11947/j.JGGS.2021.0115</t>
  </si>
  <si>
    <t>Zhao, Q., Pepe, A., Devlin, A., Zhang, S., Falabella, F., Zeni, G., Wang, Q., Ding, J., Dong, D., Liu, M., Xu, Q., Lei, X., Pan, J.</t>
  </si>
  <si>
    <t>Pantai Acheh, Penang (Malaysia)</t>
  </si>
  <si>
    <t>Assessment of the impact of global climate change and SLR on the sustainability of coastal groundwater and vegetation</t>
  </si>
  <si>
    <t>Use of DEM is reported but no references with specifications are given</t>
  </si>
  <si>
    <t>https://doi.org/10.1007/s11852-021-00797-5</t>
  </si>
  <si>
    <t>Kh'ng, X.Y., Teh, S.Y., Koh, H.L., Shuib, S.</t>
  </si>
  <si>
    <t>Provision of a holistic framework to assess coastal vulnerability</t>
  </si>
  <si>
    <t>Liaoning, Hebei and Shandong Provinces and Tianjin municipal city (China)</t>
  </si>
  <si>
    <t>ca. 0-475 km</t>
  </si>
  <si>
    <t>Use of DEM is reported but reference does not lead to further specifications</t>
  </si>
  <si>
    <t>Environment International</t>
  </si>
  <si>
    <t>https://doi.org/10.1016/j.envint.2020.106359</t>
  </si>
  <si>
    <t>Zhang, Y., Wu, T., Arkema, K.K., Han, B., Lu, F., Ruckelshaus, M., Ouyang, Z.</t>
  </si>
  <si>
    <t>ca. 0-55 km</t>
  </si>
  <si>
    <t>Assessment of coastal susceptibility</t>
  </si>
  <si>
    <t>https://doi.org/10.1007/s12524-020-01216-2</t>
  </si>
  <si>
    <t>Barik, K.K., Mohanty, P.C., Nanda, S., Ramasamy, A., Mahendra, R.S.</t>
  </si>
  <si>
    <t>Sundarban Reserve (India)</t>
  </si>
  <si>
    <t>Assessment of socio-economic vulnerability</t>
  </si>
  <si>
    <t>Geology, Ecology, and Landscapes</t>
  </si>
  <si>
    <t>https://doi.org/10.1080/24749508.2019.1700670</t>
  </si>
  <si>
    <t>Sahana, M., Rehman, S., Paul, A.K., Sajjad, H.</t>
  </si>
  <si>
    <t>Evaluation of urban development with respect to SLR</t>
  </si>
  <si>
    <t>United Arab Emirates</t>
  </si>
  <si>
    <t>Use of DEM is reported but reference only refers to the DIVA model user interface which cannot be accessed; no further specification on elevation data given</t>
  </si>
  <si>
    <r>
      <t>not documented</t>
    </r>
    <r>
      <rPr>
        <sz val="11"/>
        <rFont val="Aptos Narrow"/>
        <family val="2"/>
        <scheme val="minor"/>
      </rPr>
      <t xml:space="preserve"> (resampled to 10000 ?)</t>
    </r>
  </si>
  <si>
    <r>
      <t>not documented</t>
    </r>
    <r>
      <rPr>
        <sz val="11"/>
        <color theme="1"/>
        <rFont val="Aptos Narrow"/>
        <family val="2"/>
        <scheme val="minor"/>
      </rPr>
      <t xml:space="preserve"> (SRTM?)</t>
    </r>
  </si>
  <si>
    <t>ca. 0-229 km</t>
  </si>
  <si>
    <t>Planning Practice and Research</t>
  </si>
  <si>
    <t>https://doi.org/10.1080/02697459.2020.1859199</t>
  </si>
  <si>
    <t>Bolleter, J., Grace, B., Hooper, P., Foster, S.</t>
  </si>
  <si>
    <t>Provision of a collective flood monitoring framework for cyclone-induced flood assessment in the CloudToolbox platform</t>
  </si>
  <si>
    <t>ca. 0-363 km</t>
  </si>
  <si>
    <t>West Bengal State (India)</t>
  </si>
  <si>
    <t>European Journal of Remote Sensing</t>
  </si>
  <si>
    <t>https://doi.org/10.1080/22797254.2021.1983471</t>
  </si>
  <si>
    <t>Vanama, V.S.K., Rao, Y.S., Bhatt, C.M.</t>
  </si>
  <si>
    <t>Professional Geographer</t>
  </si>
  <si>
    <t xml:space="preserve">Assessment of DEM quality and SLR impact </t>
  </si>
  <si>
    <t>SRTM; NDEM; SRTM improved by NDEM</t>
  </si>
  <si>
    <t>DSM; DTM; DSM/DTM</t>
  </si>
  <si>
    <t>60° N to 56° S; national; local</t>
  </si>
  <si>
    <t>11/02/2000 to 22/02/2000; bi-monthly updated; 2018 (time of submission)</t>
  </si>
  <si>
    <t>Synthetic Aperture Radar interferometry (dual antennas); airborne LiDAR and aerial photography; SRTM improved by NDEM and vegetation cover fraction</t>
  </si>
  <si>
    <t>EGM96; NAVD88; multiple as different datums of source data result in artificial datum offset</t>
  </si>
  <si>
    <t xml:space="preserve">21% (SRTM); 81% (adjusted SRTM) </t>
  </si>
  <si>
    <t>30; 10 (resampled to 30); 30</t>
  </si>
  <si>
    <t>indirect DEM accuracy assessments as they are based on flood modelling results</t>
  </si>
  <si>
    <t>WGS84 UTM16N</t>
  </si>
  <si>
    <t>ca. 0-214 km</t>
  </si>
  <si>
    <t>https://doi.org/10.1080/00330124.2021.1898992</t>
  </si>
  <si>
    <t>Kadhim, A.A., Shortridge, A.M.</t>
  </si>
  <si>
    <t>Assessment of the impact of catchment heterogeneity on the susceptibility of urban catchments to stormwater-borne hazards</t>
  </si>
  <si>
    <t>Mbezi River catchment, Kinondoni Municipality, Dar es Salaam (Tanzania)</t>
  </si>
  <si>
    <t>Frontiers of Earth Science</t>
  </si>
  <si>
    <t>https://doi.org/10.1007/s11707-021-0924-7</t>
  </si>
  <si>
    <r>
      <t>Mhina, G.J., Jensen, M.B., Balstr</t>
    </r>
    <r>
      <rPr>
        <sz val="11"/>
        <color theme="1"/>
        <rFont val="Aptos Narrow"/>
        <family val="2"/>
      </rPr>
      <t>øm, T.</t>
    </r>
  </si>
  <si>
    <t>Chittagong District (Bangladesh)</t>
  </si>
  <si>
    <t>Coastal vulnerability assessment</t>
  </si>
  <si>
    <t>https://doi.org/10.1007/s11852-020-00784-2</t>
  </si>
  <si>
    <t>Miah, J., Hossain, K.T., Hossain, M.A., Najia, S.I.</t>
  </si>
  <si>
    <t>North Sea and Baltic coast (Germany)</t>
  </si>
  <si>
    <t>ca. 0-234 km</t>
  </si>
  <si>
    <t>Visualisation of relative SLR in Germany as media map</t>
  </si>
  <si>
    <t xml:space="preserve">No documentation whether DEM data was resampled to 10 m as the original TanDEM-X data is provided in 12 m spatial resolution; Integration of VLM via IDW interpolation </t>
  </si>
  <si>
    <t>KN - Journal of Cartography and Geographic Information</t>
  </si>
  <si>
    <t>https://doi.org/10.1007/s42489-020-00059-8</t>
  </si>
  <si>
    <t>Schuldt, C., Schiewe, J., Kröger, J.</t>
  </si>
  <si>
    <t>Provision of a high-resolution Finite-Volume Coastal Ocean Model for SLR impact, current, wave and surge assessment as well as flood protection evaluation</t>
  </si>
  <si>
    <t>Mississippi River Delta (USA)</t>
  </si>
  <si>
    <t>Dartmouth Town, Apponagansett Bay and Clarks Cove, Massachusetts (USA)</t>
  </si>
  <si>
    <t>SRTM data was used in areas where no LiDAR was available, however, there is not documentation on the different datasets themselves and how they were aligned.</t>
  </si>
  <si>
    <t>1; 30</t>
  </si>
  <si>
    <t>Restricted; Free</t>
  </si>
  <si>
    <r>
      <t xml:space="preserve">not documented </t>
    </r>
    <r>
      <rPr>
        <sz val="11"/>
        <rFont val="Aptos Narrow"/>
        <family val="2"/>
        <scheme val="minor"/>
      </rPr>
      <t>(NAVD88?; EGM96?)</t>
    </r>
  </si>
  <si>
    <t>https://doi.org/10.1007/s11069-020-04102-9</t>
  </si>
  <si>
    <t>Zhang, Z., Chen, C., Song, Z., Zhang, D., Hu, D., Guo, F.</t>
  </si>
  <si>
    <t>Quantification of global-mean relative SLR, with focus on population-weighted relative SLR</t>
  </si>
  <si>
    <t>https://doi.org/10.1038/s41558-021-00993-z</t>
  </si>
  <si>
    <t>Nature Climate Change</t>
  </si>
  <si>
    <t>Nicholls, R.J., Lincke, D., Hinkel, J., Brown, S., Vafeidis, A.T., Meyssignac, B., Hanson, S.E., Merkens, J.-L., Fang, J.</t>
  </si>
  <si>
    <t>https://doi.org/10.1029/2020EF001965</t>
  </si>
  <si>
    <t>Lincke, D., Hinkel, J.</t>
  </si>
  <si>
    <t>https://doi.org/10.1016/j.crm.2020.100266</t>
  </si>
  <si>
    <t>Yesudian, A.N., Dawson, R.J.</t>
  </si>
  <si>
    <t>No details on datum conversion; MDT was already outdated as MDT_CNES_CLS_18 was at least available since 11/2020; see Hamden et al. (2021; https://doi.org/10.3389/feart.2021.665876)</t>
  </si>
  <si>
    <t>https://doi.org/10.1016/j.crm.2021.100348</t>
  </si>
  <si>
    <t>Lv, Y., Li, W., Wen, J., Xu, H., Du, S.</t>
  </si>
  <si>
    <t>Viti Levu (Fiji)</t>
  </si>
  <si>
    <t>Assessment of storm surge and SLR due to climate change</t>
  </si>
  <si>
    <t>ca. 0-50 km</t>
  </si>
  <si>
    <t>Frontiers in Climate</t>
  </si>
  <si>
    <t>https://doi.org/10.3389/fclim.2020.579715</t>
  </si>
  <si>
    <r>
      <t>Sab</t>
    </r>
    <r>
      <rPr>
        <sz val="11"/>
        <color theme="1"/>
        <rFont val="Aptos Narrow"/>
        <family val="2"/>
      </rPr>
      <t>ūnas, A., Mori, N., Fukui, N., Miyashita, T., Shimura, T.</t>
    </r>
  </si>
  <si>
    <t>https://doi.org/10.1038/s41598-020-67736-6</t>
  </si>
  <si>
    <t>Kirezci, E., Young, I.R., Ranasinghe, R., Muis, S., Nicholls, R.J., Lincke, D., Hinkel, J.</t>
  </si>
  <si>
    <t>No documentation about how datum conversion was done and whether vertical references of elevation and sea-level data were aligned</t>
  </si>
  <si>
    <t>TanDEM-X and sea-level data were transposed to EGM96 geoid, but details are not documented</t>
  </si>
  <si>
    <t>elevation not explicitly documented but speculated based on DINAS-COAST database (Vafeidis et al., 2008); no documentation whether vertical reference systems of elevation and sea-level data were aligned</t>
  </si>
  <si>
    <t>Paper builds on very poorly documented elevation data,  where only one value per airport is given; no documentation whether vertical reference systems of different airport elevations and extreme sea-level data (CoDEC; Muis et al., 2020) were aligned</t>
  </si>
  <si>
    <t>An early warning system for inundation forecast due to a tropical cyclone along the east coast of India</t>
  </si>
  <si>
    <t>Uncertainties in coastal flood risk assessments in small island developing states</t>
  </si>
  <si>
    <t>Urbanisation and differential vulnerability to coastal flooding among migrants and nonmigrants in Bangladesh</t>
  </si>
  <si>
    <t>New icesat-2 satellite lidar data allow first global lowland dtm suitable for accurate coastal flood risk assessment</t>
  </si>
  <si>
    <t>Provision of new GLL-DTM v1, SLR impact assessment</t>
  </si>
  <si>
    <t>GLL-DTM v1; SRTM 90m; MERIT 90m; CoastalDEM v1.1; TanDEM-X</t>
  </si>
  <si>
    <t>DTM; DSM; DSM/DTM; nearly DTM; DSM</t>
  </si>
  <si>
    <t>0.50-0.54 m (RMSE; for max. elevations of 2 to 10 m)</t>
  </si>
  <si>
    <t>Bou Ismail Bay (Algeria)</t>
  </si>
  <si>
    <t>ca. 0-1.5 km</t>
  </si>
  <si>
    <t>Assessment of coastal exposure and vulnerability to erosion and marine submersion (by applying CVI and CRI)</t>
  </si>
  <si>
    <r>
      <rPr>
        <b/>
        <sz val="11"/>
        <rFont val="Aptos Narrow"/>
        <family val="2"/>
        <scheme val="minor"/>
      </rPr>
      <t>not documented</t>
    </r>
    <r>
      <rPr>
        <sz val="11"/>
        <rFont val="Aptos Narrow"/>
        <family val="2"/>
        <scheme val="minor"/>
      </rPr>
      <t xml:space="preserve"> (USGS)</t>
    </r>
  </si>
  <si>
    <t>Evaluation of coastal vulnerability and exposure to erosion and submersion risks in Bou Ismail Bay (Algeria) using the coastal risk index (CRI)</t>
  </si>
  <si>
    <t>Effects of typhoon paths on storm surge and coastal inundation in the Pearl river Estuary, China</t>
  </si>
  <si>
    <t>The effectiveness of setback zones for adapting to sea-level rise in Croatia</t>
  </si>
  <si>
    <t>Coastal development and risks of flooding in Morocco: The cases of Tahaddart and Saidia coasts</t>
  </si>
  <si>
    <t>Fine-scale coastal storm surge disaster vulnerability and risk assessment model: A case study of Laizhou Bay, China</t>
  </si>
  <si>
    <t>Assessing coastal vulnerability and land use to sea level rise in Jeddah province, Kingdom of Saudi Arabia</t>
  </si>
  <si>
    <t>Jeddah Province (Saudi Arabia)</t>
  </si>
  <si>
    <t>Assessment of SLR impact</t>
  </si>
  <si>
    <t>SIRGAS 2000 UTM</t>
  </si>
  <si>
    <t>https://doi.org/10.1016/j.heliyon.2023.e18508</t>
  </si>
  <si>
    <t>Almaliki, A.H., Zerouali, B., Santos, C.A.G., Almaliki, A.A., da Silva, R.M., Ghoneim, S.S.M., Ali, E.</t>
  </si>
  <si>
    <t>GIS modeling of flooding exposure in Dar es Salaam coastal areas</t>
  </si>
  <si>
    <t>FLOOD RISK, COASTAL MEGACITIES, AND URBAN POOR: ASSESSING THE FUTURE URBAN FLOOD RISK IN THE H/E WARD OF MUMBAI</t>
  </si>
  <si>
    <t>Coastal vulnerability assessment using GIS-Based multicriteria analysis of Alexandria-northwestern Nile Delta, Egypt</t>
  </si>
  <si>
    <t>ASTER integrated with geodetic heights</t>
  </si>
  <si>
    <t>Coastal inundation due to tropical cyclones along the east coast of India: an influence of climate change impact</t>
  </si>
  <si>
    <t>Analysis of the Approaches for the Modelling of Sea-level Rise due to Climate Change: Galician Coast (Spain)</t>
  </si>
  <si>
    <t>Coastal flood risks in China through the 21st century – An application of DIVA</t>
  </si>
  <si>
    <t>Coastline of China</t>
  </si>
  <si>
    <t>Quantification of potential damage and adaptation costs of coastal flooding over the 21st century, including effects of SLR (by applying DIVA model)</t>
  </si>
  <si>
    <r>
      <t xml:space="preserve">EGM96: </t>
    </r>
    <r>
      <rPr>
        <b/>
        <sz val="11"/>
        <rFont val="Aptos Narrow"/>
        <family val="2"/>
        <scheme val="minor"/>
      </rPr>
      <t>datum aligned with extreme coastal water levels but not explicitly documented</t>
    </r>
  </si>
  <si>
    <r>
      <t xml:space="preserve">Use of DIVA model and extreme water levels from Muis et al. (2016), which were converted to vertical datum of DEM; </t>
    </r>
    <r>
      <rPr>
        <b/>
        <sz val="11"/>
        <rFont val="Aptos Narrow"/>
        <family val="2"/>
        <scheme val="minor"/>
      </rPr>
      <t>but no description of datum conversion</t>
    </r>
  </si>
  <si>
    <t>Cyclone-induced inundation modelling</t>
  </si>
  <si>
    <t>airborne LiDAR DEM supplemented by CARTO2 DEM and SRTM</t>
  </si>
  <si>
    <t>no documentation whether the vertical reference systems of elevation data and ETOPO bathymetry data (i.e. EGM2008) were aligned; no documentation which spatial resolution the final DEM composite has</t>
  </si>
  <si>
    <r>
      <rPr>
        <b/>
        <sz val="11"/>
        <rFont val="Aptos Narrow"/>
        <family val="2"/>
        <scheme val="minor"/>
      </rPr>
      <t>not documented</t>
    </r>
    <r>
      <rPr>
        <sz val="11"/>
        <rFont val="Aptos Narrow"/>
        <family val="2"/>
        <scheme val="minor"/>
      </rPr>
      <t xml:space="preserve"> (EGM96 for global DEM?); </t>
    </r>
    <r>
      <rPr>
        <b/>
        <sz val="11"/>
        <rFont val="Aptos Narrow"/>
        <family val="2"/>
        <scheme val="minor"/>
      </rPr>
      <t>no documentation about alignment of DEM and bathymetry data</t>
    </r>
    <r>
      <rPr>
        <sz val="11"/>
        <rFont val="Aptos Narrow"/>
        <family val="2"/>
        <scheme val="minor"/>
      </rPr>
      <t xml:space="preserve"> (ETOPO is referenced to EGM2008)</t>
    </r>
  </si>
  <si>
    <t>East coast of India</t>
  </si>
  <si>
    <t>https://doi.org/10.1007/s11069-020-04082-w</t>
  </si>
  <si>
    <t>Mandal, A.K., Ramakrishnan, R., Pandey, S., Rao, A.D., Kumar, P.</t>
  </si>
  <si>
    <t>Evaluation of uncertainties in coastal flood risk assessments</t>
  </si>
  <si>
    <t>Pantufo and Praia Abade (Democratic Republic of São Tomé and Príncipe)</t>
  </si>
  <si>
    <t>ca. 0-0.5 km</t>
  </si>
  <si>
    <t>12/2018; 12/12/2010 to 16/01/2015; 2013; 11/02/2000 to 22/02/2000; 01/2000 to 30/11/2013; 11/02/2000 to 22/02/2000</t>
  </si>
  <si>
    <t xml:space="preserve">local; 90° N to 90° S; not documented; 60° N to 56° S; 83° N to 83° S; 60° N to 56° S  </t>
  </si>
  <si>
    <t>multiple (Ellipsoid; Ellipsoid; Ellipsoid; Geoid; Geoid; Geoid)</t>
  </si>
  <si>
    <t>multiple (WGS84; WGS84; WGS84; EGM96; EGM96; EGM96); no documentation about alignment of DEM and bathymetry data</t>
  </si>
  <si>
    <t>Standard deviation for Pantufo, Praia Abade by comparing to UAV-DEM: 0.68, 0.54; 2.30, not available; 0.89, 0.55; 0.69, 0.73; 0.97, 0.95</t>
  </si>
  <si>
    <t>0.1; 90; 10; 90; 90; 30</t>
  </si>
  <si>
    <t>Upon request; Free; Restricted; Free; Free; Free</t>
  </si>
  <si>
    <t>no documentation whether the vertical reference systems of elevation data and GEBCO bathymetry data were aligned; different spatial resolutions of the DEMs used hampers the comparability in accuracy</t>
  </si>
  <si>
    <t>https://doi.org/10.5194/nhess-20-2397-2020</t>
  </si>
  <si>
    <t>Parodi, M.U., Giardino, A., van Dongeren, A., Pearson, A.G., Bricker, J.D., Reniers, A.J.H.M.</t>
  </si>
  <si>
    <t>Analysis of urban change and vulnerability in and out of flood-prone areas</t>
  </si>
  <si>
    <t>https://doi.org/10.1002/psp.2334</t>
  </si>
  <si>
    <t>Population, Space and Place</t>
  </si>
  <si>
    <t>Liu, Z., Balk, D.</t>
  </si>
  <si>
    <t xml:space="preserve">90° N to 90° S (input elevation &lt;10 m); 60° N to 56° S; 60° N to 56° S; 60° N to 56° S; 90° N to 90° S </t>
  </si>
  <si>
    <t>UAV-DEM; TanDEM-X 90m; TerraSAR-X; MERIT DEM; ASTER; SRTM</t>
  </si>
  <si>
    <t>14/10/2018 to 13/05/2020; 11/02/2000 to 22/02/2000; 11/02/2000 to 22/02/2000 (i.e. SRTM); 11/02/2000 to 22/02/2000 (i.e. SRTM); 12/12/2010 to 16/01/2015</t>
  </si>
  <si>
    <t>UAV-imagery; Bi-static Synthetic Aperture Radar interferometry (twin satellites); Bi-static Synthetic Aperture Radar interferometry; SRTM with removal of tree heights; Correlation of optical stereo near infrared imagery; Synthetic Aperture Radar interferometry (dual antennas)</t>
  </si>
  <si>
    <t>Inverse distance interpolation of ICESat 2 satellite LiDAR data; Synthetic Aperture Radar interferometry (dual antennas); SRTM with removal of tree heights; Correction of SRTM by training with NOAA coastal lidar from the US and using additional population and vegetation datasets in a neural network; Bi-static Synthetic Aperture Radar interferometry (twin satellites)</t>
  </si>
  <si>
    <t>5000; 90 (resampled to 5000); 90 (resampled to 5000); 90 (resampled to 5000); 90 (resampled to 5000)</t>
  </si>
  <si>
    <t>https://doi.org/10.3390/rs12172827</t>
  </si>
  <si>
    <t>Vernimmen, R., Hooijer, A., Pronk, M.</t>
  </si>
  <si>
    <t>https://doi.org/10.1007/s12517-020-05407-6</t>
  </si>
  <si>
    <t>Chaib, W., Guerfi, M., Hemdane, Y.</t>
  </si>
  <si>
    <t>Assessment of typhoon impact on storm surge and coastal inundation based on high-resolution numerical hydrodynamic modelling and an assimilation typhoon model</t>
  </si>
  <si>
    <r>
      <rPr>
        <b/>
        <sz val="11"/>
        <color theme="1"/>
        <rFont val="Aptos Narrow"/>
        <family val="2"/>
        <scheme val="minor"/>
      </rPr>
      <t>not documented</t>
    </r>
    <r>
      <rPr>
        <sz val="11"/>
        <color theme="1"/>
        <rFont val="Aptos Narrow"/>
        <family val="2"/>
        <scheme val="minor"/>
      </rPr>
      <t xml:space="preserve"> (WGS84?)</t>
    </r>
  </si>
  <si>
    <t>Reference link to DEM source does not give any further specifications; no documentation whether there are datum offsets between global bathymetry data (GEBCO) and local bathymetry (nautical charts)</t>
  </si>
  <si>
    <t>ca. 0-138 km</t>
  </si>
  <si>
    <t>https://doi.org/10.3390/rs12111851</t>
  </si>
  <si>
    <t>Du, M., Hou, Y., Hu, P., Wang, K.</t>
  </si>
  <si>
    <t>Assessment of SLR and the effect of setback zones on future coastal flood impacts</t>
  </si>
  <si>
    <t>Coastal Croatia</t>
  </si>
  <si>
    <t>multiple (Ellipsoid; MSL)</t>
  </si>
  <si>
    <t>No documentation on whether vertical reference systems of elevation (WGS84) and extreme sea-level data (MDT CNES-CLS13 (Rio et al., 2014)) were considered</t>
  </si>
  <si>
    <t>Regional Environmental Change</t>
  </si>
  <si>
    <t>https://doi.org/10.1007/s10113-020-01628-3</t>
  </si>
  <si>
    <t>Lincke, D., Wolff, C., Hinkel, J., Vafeidis, A., Blickensdörfer, L., Skugor, D.P.</t>
  </si>
  <si>
    <t>Tahaddart and Saidia coasts (Morocco)</t>
  </si>
  <si>
    <t>Assessment of SLR and storm surge risk</t>
  </si>
  <si>
    <t>Journal of African Earth Sciences</t>
  </si>
  <si>
    <t>https://doi.org/10.1016/j.jafrearsci.2020.103771</t>
  </si>
  <si>
    <t>Aitali, R., Snoussi, M., Kasmi, S.</t>
  </si>
  <si>
    <t>Provision of a fine-scale coastal storm surge disaster vulnerability and risk assessment model and application to Laizhou Bay (China)</t>
  </si>
  <si>
    <t>Laizhou Bay (China)</t>
  </si>
  <si>
    <t>ca. 0-32 km</t>
  </si>
  <si>
    <t>https://doi.org/10.3390/rs12081301</t>
  </si>
  <si>
    <t>Liu, Y., Lu, C., Yang, X., Wang, Z., Liu, B.</t>
  </si>
  <si>
    <t>Coastal Dar es Salaam (Tanzania)</t>
  </si>
  <si>
    <t>African Geographical Review</t>
  </si>
  <si>
    <t>https://doi.org/10.1080/19376812.2019.1650082</t>
  </si>
  <si>
    <t>Kabanda, T.</t>
  </si>
  <si>
    <t>Assessment of coastal vulnerability</t>
  </si>
  <si>
    <t>Assessment of present and future flood risk</t>
  </si>
  <si>
    <t>H/E Ward, Mumbai (India)</t>
  </si>
  <si>
    <t>ca. 2-6 km</t>
  </si>
  <si>
    <t>http://dx.doi.org/10.4090/juee.2020.v14n2.192203</t>
  </si>
  <si>
    <t>Journal of Urban and Environmental Engineering</t>
  </si>
  <si>
    <t>Tyagi, P.</t>
  </si>
  <si>
    <t>Alexandria and Behera, Nile Delta (Egypt)</t>
  </si>
  <si>
    <t>ca. 0-81 km</t>
  </si>
  <si>
    <t>DSM (improved to DTM by integration of geodetic heights)</t>
  </si>
  <si>
    <t>01/2000 to 30/11/2013; 1996</t>
  </si>
  <si>
    <t>Correlation of optical stereo near infrared imagery; digitised elevation points and contours from topographic maps</t>
  </si>
  <si>
    <t>30; 1:50000</t>
  </si>
  <si>
    <t>https://doi.org/10.1016/j.jafrearsci.2020.103751</t>
  </si>
  <si>
    <t>Mohamed, S.A.</t>
  </si>
  <si>
    <t>ca. 0-310 km</t>
  </si>
  <si>
    <t>Assessment of coastal inundation due to tropical cyclones</t>
  </si>
  <si>
    <t>https://doi.org/10.1007/s11069-020-03861-9</t>
  </si>
  <si>
    <t>Rao, A.D., Upadhaya, P., Ali, H., Pandey, S., Warrier, V.</t>
  </si>
  <si>
    <t>Analysis of bathtub approach and wave propagation numerical model to investigate SLR impact</t>
  </si>
  <si>
    <t>GEBCO; LiDAR</t>
  </si>
  <si>
    <t>90° N to 90° S; regional</t>
  </si>
  <si>
    <t>11/02/2000 to 22/02/2000 (SRTM); not documented</t>
  </si>
  <si>
    <t>combination of SRTM supplemented by GMTED and MEaSUREs BedMachine Antarctica; airborne LiDAR and aerial photography</t>
  </si>
  <si>
    <r>
      <rPr>
        <b/>
        <sz val="11"/>
        <rFont val="Aptos Narrow"/>
        <family val="2"/>
        <scheme val="minor"/>
      </rPr>
      <t>not documented</t>
    </r>
    <r>
      <rPr>
        <sz val="11"/>
        <rFont val="Aptos Narrow"/>
        <family val="2"/>
        <scheme val="minor"/>
      </rPr>
      <t xml:space="preserve"> (EGM96?; not documented)</t>
    </r>
  </si>
  <si>
    <t>Free; Free</t>
  </si>
  <si>
    <r>
      <rPr>
        <b/>
        <sz val="11"/>
        <color theme="1"/>
        <rFont val="Aptos Narrow"/>
        <family val="2"/>
        <scheme val="minor"/>
      </rPr>
      <t>not documented</t>
    </r>
    <r>
      <rPr>
        <sz val="11"/>
        <color theme="1"/>
        <rFont val="Aptos Narrow"/>
        <family val="2"/>
        <scheme val="minor"/>
      </rPr>
      <t>; 5</t>
    </r>
  </si>
  <si>
    <t>Ría de Vigo and Bay of Baiona, Galician coast (Spain)</t>
  </si>
  <si>
    <t>Journal of Coastal Research</t>
  </si>
  <si>
    <t>http://dx.doi.org/10.2112/SI95-210.1</t>
  </si>
  <si>
    <t>Esteban, M.D., Martínez-Orozco, J.M., Fernández, B.</t>
  </si>
  <si>
    <t>https://doi.org/10.1016/j.scitotenv.2019.135311</t>
  </si>
  <si>
    <t>Fang, J., Lincke, D., Brown, S., Nicholls, R.J., Wolff, C., Merkens, J.-L., Hinkel, J., Vafeidis, A.T., Shi, P., Liu, M.</t>
  </si>
  <si>
    <t>Inundation modelling for Bangladeshi coasts using downscaled and bias-corrected temperature</t>
  </si>
  <si>
    <t>Assessment of post-tsunami disaster land use/land cover change and potential impact of future sea-level rise to low-lying coastal areas: A case study of Banda Aceh coast of Indonesia</t>
  </si>
  <si>
    <t>Integrating risk perceptions into flood risk management: Trinidad case study</t>
  </si>
  <si>
    <t>Evaluation of the effects of a possible sea-level rise in Mangaratiba - RJ</t>
  </si>
  <si>
    <t>Water-level attenuation in global-scale assessments of exposure to coastal flooding: A sensitivity analysis</t>
  </si>
  <si>
    <t>Geoinformatics based assessment of coastal multi-hazard vulnerability along the East Coast of India</t>
  </si>
  <si>
    <t>GIS-based vulnerability mapping of the coastal stretch from Puri to Konark in Odisha using analytical hierarchy process</t>
  </si>
  <si>
    <t>Google Earth Pro; field survey</t>
  </si>
  <si>
    <t>Assessment of the global impact of SLR and evaluation of the effectiveness of adaptation</t>
  </si>
  <si>
    <t>ETOPO1</t>
  </si>
  <si>
    <t>DSM (?)</t>
  </si>
  <si>
    <t>01/01/1940 to 01/01/2008</t>
  </si>
  <si>
    <t>Combination of diverse global and regional datasets</t>
  </si>
  <si>
    <t>"Generic sea level" (various datums without considering offset)</t>
  </si>
  <si>
    <r>
      <rPr>
        <b/>
        <sz val="11"/>
        <rFont val="Aptos Narrow"/>
        <family val="2"/>
        <scheme val="minor"/>
      </rPr>
      <t>not documented</t>
    </r>
    <r>
      <rPr>
        <sz val="11"/>
        <rFont val="Aptos Narrow"/>
        <family val="2"/>
        <scheme val="minor"/>
      </rPr>
      <t xml:space="preserve"> (various)</t>
    </r>
  </si>
  <si>
    <t>Source elevation data were not converted to a common vertical datum due to the large cell size of ETOPO1 (1 arc-minute; ~2 km). This means the vertical uncertainty of ETOPO1 elevations (greater than 10 meters) exceeds the differences between vertical datums near sea level (usually less than a meter). However, Tamura et al. (2019) document geoid as a vertical datum but do not specify any further.</t>
  </si>
  <si>
    <t>Global assessment of the effectiveness of adaptation in coastal areas based on RCP/SSP scenarios</t>
  </si>
  <si>
    <t>Characterizing the Indian Ocean sea level changes and potential coastal flooding impacts under global warming</t>
  </si>
  <si>
    <t>Long-term flood-hazard modeling for coastal areas using InSAR measurements and a hydrodynamic model: The case study of Lingang New City, Shanghai</t>
  </si>
  <si>
    <t>TanDEM-X</t>
  </si>
  <si>
    <t>Identification of Areas Exposed to Storm Surge Flooding: Topographic Factors and Ecosystem Changes</t>
  </si>
  <si>
    <t>Climate change impacts on critical international transportation assets of Caribbean Small Island Developing States (SIDS): the case of Jamaica and Saint Lucia</t>
  </si>
  <si>
    <t>Assessment of population exposure to 1 in 100-yr coastal flooding under different population scenarios (consistent with SSPs) and different SLR scenarios (application of DIVA framework)</t>
  </si>
  <si>
    <t>SRTM; GTOPO (for areas outside SRTM)</t>
  </si>
  <si>
    <t>11/02/2000 to 22/02/2000; 1993 to 1996</t>
  </si>
  <si>
    <t>Synthetic Aperture Radar interferometry (dual antennas); Combination of different elevation datasets</t>
  </si>
  <si>
    <t>Geoid; Tidal</t>
  </si>
  <si>
    <r>
      <t xml:space="preserve">EGM96; </t>
    </r>
    <r>
      <rPr>
        <b/>
        <sz val="11"/>
        <rFont val="Aptos Narrow"/>
        <family val="2"/>
        <scheme val="minor"/>
      </rPr>
      <t>which MSL???</t>
    </r>
  </si>
  <si>
    <t>Regionalisation of population growth projections in coastal exposure analysis</t>
  </si>
  <si>
    <t>Developing a framework to quantify potential Sea level rise-driven environmental losses: A case study in Semarang coastal area, Indonesia</t>
  </si>
  <si>
    <t>Assessing coastal landscape vulnerability using geospatial techniques along Vizianagaram–Srikakulam coast of Andhra Pradesh, India</t>
  </si>
  <si>
    <t>Economically robust protection against 21st century sea-level rise</t>
  </si>
  <si>
    <t>Assessment of economic robustness of global coastline coastal protection across 21st century global SLR, the 5 SSPs and discount rates from 0 to 6 %</t>
  </si>
  <si>
    <t>11/02/2000 to 22/02/200</t>
  </si>
  <si>
    <r>
      <t xml:space="preserve">not documented </t>
    </r>
    <r>
      <rPr>
        <sz val="11"/>
        <rFont val="Aptos Narrow"/>
        <family val="2"/>
        <scheme val="minor"/>
      </rPr>
      <t>(WGS84)</t>
    </r>
  </si>
  <si>
    <t>SLR projection</t>
  </si>
  <si>
    <t>https://doi.org/10.1016/j.crm.2019.100207</t>
  </si>
  <si>
    <t>Hasan, Md.K., Kumar, L., Gopalakrishnan, T.</t>
  </si>
  <si>
    <t>Provision of flood risk assessment method integrating qualitative and quantitative methods and application to case study</t>
  </si>
  <si>
    <t>Trinidad</t>
  </si>
  <si>
    <t>https://doi.org/10.1007/s11069-019-03720-2</t>
  </si>
  <si>
    <t>Thongs, G.</t>
  </si>
  <si>
    <t>Coastal multi-hazard vulnerability mapping</t>
  </si>
  <si>
    <t>East Godavari, West Godavari, Krishna and Gundur Districts (India)</t>
  </si>
  <si>
    <t>ca. 0-168 km</t>
  </si>
  <si>
    <t>12.5 (resampled to 5)</t>
  </si>
  <si>
    <t>Spatial Information Research</t>
  </si>
  <si>
    <t>https://doi.org/10.1007/s41324-018-00236-y</t>
  </si>
  <si>
    <t>Ahammed, K.K.B., Pandey, A.C.</t>
  </si>
  <si>
    <r>
      <t xml:space="preserve">11/02/2000 to 22/02/2000; </t>
    </r>
    <r>
      <rPr>
        <b/>
        <sz val="11"/>
        <rFont val="Aptos Narrow"/>
        <family val="2"/>
        <scheme val="minor"/>
      </rPr>
      <t>not documented</t>
    </r>
    <r>
      <rPr>
        <sz val="11"/>
        <rFont val="Aptos Narrow"/>
        <family val="2"/>
        <scheme val="minor"/>
      </rPr>
      <t xml:space="preserve"> (2017/2018?)</t>
    </r>
  </si>
  <si>
    <t>Synthetic Aperture Radar interferometry (dual antennas); GPS measurements</t>
  </si>
  <si>
    <t>https://doi.org/10.1007/s11069-018-03566-0</t>
  </si>
  <si>
    <t>Behera, R., Kar, A., Das, M.R., Panda, P.P.</t>
  </si>
  <si>
    <t>Jamaica and Saint Lucia</t>
  </si>
  <si>
    <t>Assessment of the vulnerability of critical transportation infrastructure to climate variability and change</t>
  </si>
  <si>
    <t>SRTM (for Jamaica); CHARIM DEM (for Saint Lucia)</t>
  </si>
  <si>
    <r>
      <t xml:space="preserve">DSM; </t>
    </r>
    <r>
      <rPr>
        <b/>
        <sz val="11"/>
        <color theme="1"/>
        <rFont val="Aptos Narrow"/>
        <family val="2"/>
        <scheme val="minor"/>
      </rPr>
      <t>not documented</t>
    </r>
  </si>
  <si>
    <t>60° N to 56° S; Saint Lucia</t>
  </si>
  <si>
    <r>
      <t xml:space="preserve">11/02/2000 to 22/02/2000; </t>
    </r>
    <r>
      <rPr>
        <b/>
        <sz val="11"/>
        <rFont val="Aptos Narrow"/>
        <family val="2"/>
        <scheme val="minor"/>
      </rPr>
      <t>not documented</t>
    </r>
  </si>
  <si>
    <r>
      <t xml:space="preserve">Synthetic Aperture Radar interferometry (dual antennas); </t>
    </r>
    <r>
      <rPr>
        <b/>
        <sz val="11"/>
        <rFont val="Aptos Narrow"/>
        <family val="2"/>
        <scheme val="minor"/>
      </rPr>
      <t>not documented</t>
    </r>
  </si>
  <si>
    <t>Tidal (MSL)</t>
  </si>
  <si>
    <t>MSL (local reference not documented)</t>
  </si>
  <si>
    <t>Tidal (MSL-tide gauge or location reference documented)</t>
  </si>
  <si>
    <t>Tidal (MSL-tide gauge or location reference not documented)</t>
  </si>
  <si>
    <t>Tidal (MHW-tide gauge or location reference documented)</t>
  </si>
  <si>
    <t>Tidal (MHW-tide gauge or location reference not documented)</t>
  </si>
  <si>
    <t>Tidal (MHHW-tide gauge reference or location documented)</t>
  </si>
  <si>
    <t>Tidal (MHHW-tide gauge or location reference not documented)</t>
  </si>
  <si>
    <t>Tidal (MLLW-tide gauge or location reference documented)</t>
  </si>
  <si>
    <t>Tidal (MLLW-tide gauge or location reference not documented)</t>
  </si>
  <si>
    <t>30 (for Jamaica); 5 (for Saint Lucia)</t>
  </si>
  <si>
    <t>ca. 0-1 km</t>
  </si>
  <si>
    <t>https://doi.org/10.1007/s10113-018-1360-4</t>
  </si>
  <si>
    <t xml:space="preserve">Monioudi, I.N., Asariotis, R., Becker, A., Bhat, C., Dowding-Gooden, D., Esteban, M., Feyen, L., Mentaschi, L., Nikolaou, A., Nurse, L., Phillips, W., Smith, D.A.Y., Satoh, M., Trotz, U.O.D., Velegrakis, A.F., Voukouvalas, E., Vousdoukas, M.I., Witkop, R. </t>
  </si>
  <si>
    <t>https://doi.org/10.1016/j.ijdrr.2019.101292</t>
  </si>
  <si>
    <t>Meilianda, E., Pradhan, B., Syamsidik, Comfort, L.K., Alfian, D., Juanda, R., Syahreza, S., Munadi, K.</t>
  </si>
  <si>
    <t>Assessment of SLR impact on coastal land use/land cover</t>
  </si>
  <si>
    <t>Mangaratiba, Rio de Janeiro (Brazil)</t>
  </si>
  <si>
    <r>
      <t>not documented</t>
    </r>
    <r>
      <rPr>
        <sz val="11"/>
        <rFont val="Aptos Narrow"/>
        <family val="2"/>
        <scheme val="minor"/>
      </rPr>
      <t xml:space="preserve"> (WGS84?)</t>
    </r>
  </si>
  <si>
    <t>https://doi.org/10.1007/s11852-018-0665-2</t>
  </si>
  <si>
    <t>dos Santos Passos, A., Dias, F.F., dos Santos, P.R.A., da Silveira Barros, S.R., de Gouveia Souza, C.R., Bernardino, D., Araujo, J.C., Vargas, R., dos Santos, C.A.</t>
  </si>
  <si>
    <t>Uncertainty assessment of coastal flood exposure and risk assessments when not accounting for water-level attenuation due to land-surface characteristics</t>
  </si>
  <si>
    <t>https://doi.org/10.5194/nhess-19-973-2019</t>
  </si>
  <si>
    <t>Vafeidis, A.T., Schuerch, M., Wolff, C., Spencer, T., Merkens, J.L., Hinkel, J., Lincke, D., Brown, S., Nicholls, R.J.</t>
  </si>
  <si>
    <t>Vizianagaram-Srikakulam coast, Andhra Pradesh (India)</t>
  </si>
  <si>
    <t>https://doi.org/10.1007/s11069-018-3414-9</t>
  </si>
  <si>
    <t>Rani, M., Rehman, S., Sajjad, H., Chaudhary, B.S., Sharma, J., Bhardwaj, S., Kumar, P.</t>
  </si>
  <si>
    <t>ca. 0-17 km</t>
  </si>
  <si>
    <t>Lingang New City, Shanghai (China)</t>
  </si>
  <si>
    <t>image taken on 04/11/2012</t>
  </si>
  <si>
    <t>6 (resampled to 18)</t>
  </si>
  <si>
    <t>Assessment of relative SLR impact</t>
  </si>
  <si>
    <t>https://doi.org/10.1016/j.jhydrol.2019.02.015</t>
  </si>
  <si>
    <t>Yin, J., Zhao, Q., Yu, D., Lin, N., Kubanek, J., Ma, G., Liu, M., Pepe, A.</t>
  </si>
  <si>
    <t>Provision of a framework to quantify potential environmental losses from SLR</t>
  </si>
  <si>
    <t>Plumbon Estuary, Maron Beach and Marina Beach, Semarang (Indonesia)</t>
  </si>
  <si>
    <t>Reference to the source of the elevation data was provided (i.e. USGS), however, the link only leads to the general data explorer, without any specifitations.</t>
  </si>
  <si>
    <t>https://doi.org/10.1016/j.envsci.2018.06.019</t>
  </si>
  <si>
    <t>Mehvar, S., Filatova, T., Syukri, I., Dastgheib, A., Ranasinghe, R.</t>
  </si>
  <si>
    <t>Indian Ocean (30° N to 35° S, 20° E to 140° E)</t>
  </si>
  <si>
    <t>Evaluation of coastal exposure to storm surge</t>
  </si>
  <si>
    <t>http://dx.doi.org/10.2112/SI92-008.1</t>
  </si>
  <si>
    <t>Cueto, Y.R., Silva, R.</t>
  </si>
  <si>
    <t>https://doi.org/10.1007/s10584-018-2356-2</t>
  </si>
  <si>
    <t>Tamura, M., Kumano, N., Yotsukuri, M., Yokoki, H.</t>
  </si>
  <si>
    <t>Investigation of sea-level changes of the Indian Ocean and potential coastal flooding impacts (by using tide gauge data)</t>
  </si>
  <si>
    <t>https://doi.org/10.1016/j.jhydrol.2018.11.072</t>
  </si>
  <si>
    <t>Carvalho, K.S., Wang, S.</t>
  </si>
  <si>
    <t>SRTM (filled with holes; Jarvis et al., 2008); GTOPO (for areas outside SRTM)</t>
  </si>
  <si>
    <t>https://doi.org/10.1007/s10584-018-2334-8</t>
  </si>
  <si>
    <t>Merkens, J.-L., Lincke, D., Hinkel, J., Brown, S., Vafeidis, A.T.</t>
  </si>
  <si>
    <t>Low-elevation coastal zone of southern-central Cuba</t>
  </si>
  <si>
    <t>https://doi.org/10.1016/j.gloenvcha.2018.05.003</t>
  </si>
  <si>
    <t>Global Environmental Change</t>
  </si>
  <si>
    <t>What are the implications of sea-level rise for a 1.5, 2 and 3 °C rise in global mean temperatures in the Ganges-Brahmaputra-Meghna and other vulnerable deltas?</t>
  </si>
  <si>
    <t>Effects of sea level rise, land subsidence, bathymetric change and typhoon tracks on storm flooding in the coastal areas of Shanghai</t>
  </si>
  <si>
    <t>Comparison of SLR, land subsidence and bathymetric change in coastal Shanghai via simulating coastal flooding using scenarios for 2030 and 2050</t>
  </si>
  <si>
    <r>
      <rPr>
        <b/>
        <sz val="11"/>
        <rFont val="Aptos Narrow"/>
        <family val="2"/>
        <scheme val="minor"/>
      </rPr>
      <t>not documented</t>
    </r>
    <r>
      <rPr>
        <sz val="11"/>
        <rFont val="Aptos Narrow"/>
        <family val="2"/>
        <scheme val="minor"/>
      </rPr>
      <t xml:space="preserve"> (Local DEM?, combined with bathymetry?)</t>
    </r>
  </si>
  <si>
    <r>
      <rPr>
        <b/>
        <sz val="11"/>
        <rFont val="Aptos Narrow"/>
        <family val="2"/>
        <scheme val="minor"/>
      </rPr>
      <t>not documented</t>
    </r>
    <r>
      <rPr>
        <sz val="11"/>
        <rFont val="Aptos Narrow"/>
        <family val="2"/>
        <scheme val="minor"/>
      </rPr>
      <t xml:space="preserve"> (Yangtze River Estuary?)</t>
    </r>
  </si>
  <si>
    <t>Future hydrological alterations in the Mekong Delta under the impact of water resources development, land subsidence and sea level rise</t>
  </si>
  <si>
    <t>Mekong Delta</t>
  </si>
  <si>
    <t>Quantification of effects of water infrastructure development, land subsidence and SLR on hydrological regimes (by applying a hydrodynamic model)</t>
  </si>
  <si>
    <t>integration of (linear?) land subsidence from Erban et al. (2014; http://dx.doi.org/10.1088/1748-9326/9/8/084010) into SRTM data</t>
  </si>
  <si>
    <t>Investigation of land subsidence &amp; drivers, SLR impact assessment</t>
  </si>
  <si>
    <t>EGM2008 (2.5 min resolution)</t>
  </si>
  <si>
    <t>on mean 4.5 cm lower than 50 benchmark heights</t>
  </si>
  <si>
    <t>Assessing Land Deformation and Sea Encroachment in the Nile Delta: A Radar Interferometric and Inundation Modeling Approach</t>
  </si>
  <si>
    <t>Decadal flood trends in Bangladesh from extensive hydrographic data</t>
  </si>
  <si>
    <t>Regionalized Shared Socioeconomic Pathways: narratives and spatial population projections for the Mediterranean coastal zone</t>
  </si>
  <si>
    <t>A comprehensive data set for tropical cyclone storm surge-induced inundation for the east coast of India</t>
  </si>
  <si>
    <t>Adaptation to Sea Level Rise: A Multidisciplinary Analysis for Ho Chi Minh City, Vietnam</t>
  </si>
  <si>
    <t>Assessment of coastal communities’ vulnerability to floods using indicator-based approach: a case study of Greater Accra Metropolitan Area, Ghana</t>
  </si>
  <si>
    <t>Vulnerability of the Nigerian coast: An insight into sea level rise owing to climate change and anthropogenic activities</t>
  </si>
  <si>
    <t>Storm flood risk zoning in the typical regions of Asia using GIS technology</t>
  </si>
  <si>
    <t>Impacts of predicted sea level rise on land use/land cover categories of the adjacent coastal areas of Mumbai megacity, India</t>
  </si>
  <si>
    <t>Vulnerability of Caribbean Island Cemeteries to Sea Level Rise and Storm Surge</t>
  </si>
  <si>
    <t>Assessment of coastal risks to climate change related impacts at the regional scale: The case of the Mediterranean region</t>
  </si>
  <si>
    <t>The use of cartographic modeling to assess the impacts of coastal flooding: a case study of Port Said Governorate, Egypt</t>
  </si>
  <si>
    <t>Assessment of hydro-geomorphological hazard potentials in the Chilean semiarid coastal range and its impacts on La Serena city, Coquimbo Region</t>
  </si>
  <si>
    <t>A comparison of two global datasets of extreme sea levels and resulting flood exposure</t>
  </si>
  <si>
    <t>Evaluation of global extreme sea level datasets (DCESL vs. GTSR)</t>
  </si>
  <si>
    <t>Impact of tropical cyclones on flood risk in southeastern China: Spatial patterns, causes and implications</t>
  </si>
  <si>
    <t>Assessment of hammocks (Petenes) resilience to sea level rise due to climate change in Mexico</t>
  </si>
  <si>
    <t>NEXTMap World 30 m</t>
  </si>
  <si>
    <t>Simulating storm surge and inundation along the coast of Taiwan During typhoon Fanapi in 2010 and Soulik in 2013</t>
  </si>
  <si>
    <t>Gridded population projections for the coastal zone under the Shared Socioeconomic Pathways</t>
  </si>
  <si>
    <t>Projection of global coastal population distribution for the 5 basic SSPs (i.e. population in LECZ)</t>
  </si>
  <si>
    <r>
      <t xml:space="preserve">EGM96; </t>
    </r>
    <r>
      <rPr>
        <b/>
        <sz val="11"/>
        <rFont val="Aptos Narrow"/>
        <family val="2"/>
        <scheme val="minor"/>
      </rPr>
      <t>which MSL?</t>
    </r>
  </si>
  <si>
    <t>Coastal vulnerability assessment of the predicted sea level rise in the coastal zone of Krishna–Godavari delta region, Andhra Pradesh, east coast of India</t>
  </si>
  <si>
    <t>Physical and Economic Consequences of Sea-Level Rise: A Coupled GIS and CGE Analysis Under Uncertainties</t>
  </si>
  <si>
    <t>GTOPO</t>
  </si>
  <si>
    <t>Flooding risk assessment of coastal tourist attractions affected by sea level rise and storm surge: a case study in Zhejiang Province, China</t>
  </si>
  <si>
    <t>Facing the Hungry Tide: Climate Change, Livelihood Threats, and Household Responses in Coastal Bangladesh</t>
  </si>
  <si>
    <t>Tsunami hazard assessment of Indian coast</t>
  </si>
  <si>
    <t>An assessment of the tsunami risk in Muscat and Salalah, Oman, based on estimations of probable maximum loss</t>
  </si>
  <si>
    <t>Developments in large-scale coastal flood hazard mapping</t>
  </si>
  <si>
    <t>Assessment of Coastal Inundation due to Sea-Level Rise along the Mediterranean Coast of Egypt</t>
  </si>
  <si>
    <t>An assessment of urban vulnerability in the Amazon Delta and Estuary: a multi-criterion index of flood exposure, socio-economic conditions and infrastructure</t>
  </si>
  <si>
    <t>Ganges-Brahmaputra-Meghna Delta (Bangladesh)</t>
  </si>
  <si>
    <t>ca. 0-145 km</t>
  </si>
  <si>
    <t>Multiple (Geoid; Tidal for sea-level data)</t>
  </si>
  <si>
    <t>Multiple (EGM96; MDT  (CNES-CLS13))</t>
  </si>
  <si>
    <t>No alignment of vertical reference systems of elevation data and extreme sea-level data (Muis et al., 2016) reported</t>
  </si>
  <si>
    <t>https://doi.org/10.1007/s10113-018-1311-0</t>
  </si>
  <si>
    <t>Brown, S., Nicholls, R.J., Lázár, A.N., Hornby, D.D., Hill, C., Hazra, S., Addo, K.A., Haque, A., Caesar, J., Tompkins, E.L.</t>
  </si>
  <si>
    <t>https://doi.org/10.1016/j.scitotenv.2017.11.224</t>
  </si>
  <si>
    <t>Wang, J., Yi, S., Li, M., Wang, L., Song, C.</t>
  </si>
  <si>
    <t>https://doi.org/10.1016/j.ejrh.2017.12.002</t>
  </si>
  <si>
    <t>Dang, T.D., Cochrane, T.A., Arias, M.E., Tri, V.P.D.</t>
  </si>
  <si>
    <t>Nile Delta (Egypt)</t>
  </si>
  <si>
    <t>https://doi.org/10.1002/2017JB015084</t>
  </si>
  <si>
    <t>Journal of Geophysical Research: Solid Earth</t>
  </si>
  <si>
    <t>Gebremichael, E., Sultan, M., Becker, R., El Bastawesy, M., Cherif, O., Emil, M.</t>
  </si>
  <si>
    <t>Assessment of flood impact</t>
  </si>
  <si>
    <t>SRTM void-filled; SRTM; ASTER</t>
  </si>
  <si>
    <t>DSM; DSM; DSM</t>
  </si>
  <si>
    <t>60° N to 56° S; 60° N to 56° S; 83° N to 83° S</t>
  </si>
  <si>
    <t>11/02/2000 to 22/02/2000; 11/02/2000 to 22/02/2000; 01/2000 to 30/11/2013</t>
  </si>
  <si>
    <t>Synthetic Aperture Radar interferometry (dual antennas); Synthetic Aperture Radar interferometry (dual antennas); Correlation of optical stereo near infrared imagery</t>
  </si>
  <si>
    <t>Links to data sources are expired; indirect accuracy assessment via flood maps</t>
  </si>
  <si>
    <t>DEM needs to be lowered by 1.977477 m to adequately simulate flooding extent</t>
  </si>
  <si>
    <t>https://doi.org/10.1007/s11069-017-3036-7</t>
  </si>
  <si>
    <t>Sciance, M.B., Nooner, S.L.</t>
  </si>
  <si>
    <t>Provision of storm surge dataset and inundation assessment</t>
  </si>
  <si>
    <t>International Journal of Climatology</t>
  </si>
  <si>
    <t>https://doi.org/10.1002/joc.5184</t>
  </si>
  <si>
    <t>Sahoo, B., Bhaskaran, P.K.</t>
  </si>
  <si>
    <t>Regionalisation of global Shared Socioeconomic Pathways to account for differences in coastal population development</t>
  </si>
  <si>
    <t>Mediterranean region</t>
  </si>
  <si>
    <t>https://doi.org/10.1007/s10113-017-1189-2</t>
  </si>
  <si>
    <t>Reimann, L., Merkens, J.-L., Vafeidis, A.T.</t>
  </si>
  <si>
    <t>Ho Chi Minh City (Vietnam)</t>
  </si>
  <si>
    <t>Greater Accra Metropolitan Area (Ghana)</t>
  </si>
  <si>
    <t>VN-2000</t>
  </si>
  <si>
    <t>ca. 27-70 km</t>
  </si>
  <si>
    <t>Water Resources Research</t>
  </si>
  <si>
    <t>https://doi.org/10.1002/2017WR021344</t>
  </si>
  <si>
    <t>Scussolini, P., Tran, T.V.T., Koks, E., Diaz-Loaiza, A., Ho, P.L., Lasage, R.</t>
  </si>
  <si>
    <t>Link to data source is expired now</t>
  </si>
  <si>
    <t>ca. 0-34 km</t>
  </si>
  <si>
    <t>https://doi.org/10.1007/s11069-017-2985-1</t>
  </si>
  <si>
    <t>Yankson, P.W.K., Owusu, A.B., Owusu, G., Boakye-Danquah, J., Tetteh, J.D.</t>
  </si>
  <si>
    <t>Coastal Nigeria</t>
  </si>
  <si>
    <t>Assessment of potential future SLR impact and coastline changes</t>
  </si>
  <si>
    <t>ca. 0-500 km</t>
  </si>
  <si>
    <t>https://doi.org/10.1016/j.jafrearsci.2017.07.019</t>
  </si>
  <si>
    <t>Danladi, I.B., Kore, B.M., Gül, M.</t>
  </si>
  <si>
    <t>Assessment of risk to storm-surge flooding</t>
  </si>
  <si>
    <t>China, Korea, Japan, Myanmar, Philippines, India and Bangladesh</t>
  </si>
  <si>
    <t>WGS84 Albers Equivalent Conical Projection</t>
  </si>
  <si>
    <r>
      <rPr>
        <b/>
        <sz val="11"/>
        <color theme="1"/>
        <rFont val="Aptos Narrow"/>
        <family val="2"/>
        <scheme val="minor"/>
      </rPr>
      <t xml:space="preserve">not documented </t>
    </r>
    <r>
      <rPr>
        <sz val="11"/>
        <color theme="1"/>
        <rFont val="Aptos Narrow"/>
        <family val="2"/>
        <scheme val="minor"/>
      </rPr>
      <t>(resampled to 1000)</t>
    </r>
  </si>
  <si>
    <t>https://doi.org/10.1007/s11069-017-2843-1</t>
  </si>
  <si>
    <t>Liu, J., Wang, X., Zhang, B., Li, J., Zhang, J., Liu, X.</t>
  </si>
  <si>
    <t>Mumbai City (India)</t>
  </si>
  <si>
    <t>Assessment of SLR impact on habitats and land use/land cover</t>
  </si>
  <si>
    <t>https://doi.org/10.1007/s10668-016-9804-9</t>
  </si>
  <si>
    <t>Pramanik, M.K.</t>
  </si>
  <si>
    <t>Assessment of SLR impact on cemeteries</t>
  </si>
  <si>
    <t>Carribean Islands</t>
  </si>
  <si>
    <t>Coastal Management</t>
  </si>
  <si>
    <t>https://doi.org/10.1080/08920753.2017.1327343</t>
  </si>
  <si>
    <t>Mueller, N.J., Meindl, C.F.</t>
  </si>
  <si>
    <t>Provision of a Coastal Risk Index to assess risks and vulnerabilities for climate-change driven physical and socio-economic impacts along the Mediterranean coasts</t>
  </si>
  <si>
    <t>https://doi.org/10.1016/j.ijdrr.2017.06.018</t>
  </si>
  <si>
    <t>Satta, A., Puddu, M., Venturini, S., Giupponi, C.</t>
  </si>
  <si>
    <t>Flood impact assessment</t>
  </si>
  <si>
    <t>Port Said City (Egypt)</t>
  </si>
  <si>
    <t>Environmental Monitoring and Assessment</t>
  </si>
  <si>
    <t>https://doi.org/10.1007/s10661-017-6152-7</t>
  </si>
  <si>
    <t>Samra, R.M.A.</t>
  </si>
  <si>
    <t>La Serena City (Chile)</t>
  </si>
  <si>
    <t>Assessment of hydrometeorological hazards</t>
  </si>
  <si>
    <t>ca. 0-63 km</t>
  </si>
  <si>
    <t>https://doi.org/10.1007/s11069-017-2873-8</t>
  </si>
  <si>
    <t>Soto, M.V., Sarricolea, P., Sepúlveda, S.A., Rodolfi, G., Cabello, M., Maerker, M.</t>
  </si>
  <si>
    <t>Link leads to general data platform but not data set; link is expired now</t>
  </si>
  <si>
    <t>ca. 0-74 km</t>
  </si>
  <si>
    <t>https://doi.org/10.1007/s11069-016-2444-4</t>
  </si>
  <si>
    <t>Fang, Y., Yin, J., Wu, B.</t>
  </si>
  <si>
    <t>Coast of India</t>
  </si>
  <si>
    <t>Assessment of tsunami hazard</t>
  </si>
  <si>
    <t>https://doi.org/10.1007/s11069-016-2216-1</t>
  </si>
  <si>
    <t>ca. 0-530 km</t>
  </si>
  <si>
    <t>Roshan, A.D., Basu, P.C., Jangid, R.S.</t>
  </si>
  <si>
    <t>Muscat and Salalah (Oman)</t>
  </si>
  <si>
    <t>Provision of a method to assess tsunami risk and application to case study</t>
  </si>
  <si>
    <t>https://doi.org/10.1016/j.ijdrr.2016.02.002</t>
  </si>
  <si>
    <t>Browning, J., Thomas, N.</t>
  </si>
  <si>
    <t>No information whether vertical reference systems of total water levels and elevation data were aligned</t>
  </si>
  <si>
    <t>Coast of Europe</t>
  </si>
  <si>
    <t>0-100 km</t>
  </si>
  <si>
    <t>https://doi.org/10.5194/nhess-16-1841-2016</t>
  </si>
  <si>
    <t>Vousdoukas, M.I., Voukouvalas, E., Mentaschi, L., Dottori, F., Giardino, A., Bouziotas, D., Bianchi, A., Salamon, P., Feyen, L.</t>
  </si>
  <si>
    <t>https://doi.org/10.1142/S201000781650007X</t>
  </si>
  <si>
    <t>Climate Change Economics</t>
  </si>
  <si>
    <t>Quantification of inundation impact and soil salinisation</t>
  </si>
  <si>
    <t>ca. 0-190 km</t>
  </si>
  <si>
    <t>Dasgupta, S., Hossain, Md.M., Huq, M., Wheeler, D.</t>
  </si>
  <si>
    <t>Assessment of typhoon impact on flood magnitude and frequency</t>
  </si>
  <si>
    <t>Guangdong Province(China)</t>
  </si>
  <si>
    <t>ca. 0-345 km</t>
  </si>
  <si>
    <t>Global and Planetary Change</t>
  </si>
  <si>
    <t>https://doi.org/10.1016/j.gloplacha.2017.02.004</t>
  </si>
  <si>
    <t>Zhang, Q., Gu, X., Shi, P., Singh, V.P.</t>
  </si>
  <si>
    <t>Assessment of urban vulnerability</t>
  </si>
  <si>
    <t>Amazon Delta and Estuary (Brazil)</t>
  </si>
  <si>
    <t>Sustainability Science</t>
  </si>
  <si>
    <t>https://doi.org/10.1007/s11625-016-0355-7</t>
  </si>
  <si>
    <t>Mansur, A.V., Brondízio, E.S., Roy, S., Hetrick, S., Vogt, N.D., Newton, A.</t>
  </si>
  <si>
    <t>Provision of a strategy to assess the resilience of hammocks (Petenes) in the absence of high-quality data</t>
  </si>
  <si>
    <t>Los Petenes Biosphere Reserve (Mexico)</t>
  </si>
  <si>
    <t xml:space="preserve"> 90° N to 90° S</t>
  </si>
  <si>
    <t>Fusion of SRTM 90, ASTER 30; GTOPO, ground-controlled by ICESat</t>
  </si>
  <si>
    <t>11/02/2000 to 22/02/2000; 1999 to 2007; 1996;  2003 to 2010</t>
  </si>
  <si>
    <t>PLoS ONE</t>
  </si>
  <si>
    <t>https://doi.org/10.1371/journal.pone.0162637</t>
  </si>
  <si>
    <t>Hernández-Montilla, M.C., Martínez-Morales, M.A., Vanegas, G.P., de Jong, B.H.J.</t>
  </si>
  <si>
    <t>Taiwan</t>
  </si>
  <si>
    <t>Simulation of storm surge and coastal inundation</t>
  </si>
  <si>
    <t>No documentation neither for elevation nor for bathymetry data and whether their respective vertical reference systems were aligned</t>
  </si>
  <si>
    <t>500; 40 (only for area around Kaohsiung City)</t>
  </si>
  <si>
    <t>ca. 0-100 km</t>
  </si>
  <si>
    <t>https://doi.org/10.3319/TAO.2016.06.13.01(Oc)</t>
  </si>
  <si>
    <t>Sheng, Y.P., Paramygin, V.A., Terng, C.-T., Chu, C.-H.</t>
  </si>
  <si>
    <t>Provision of a modelling framework to assess physical and economic consequences of SLR</t>
  </si>
  <si>
    <t>1993 to 1996</t>
  </si>
  <si>
    <t>Combination of different elevation datasets</t>
  </si>
  <si>
    <t>which MSL?</t>
  </si>
  <si>
    <t>90; 1000</t>
  </si>
  <si>
    <t>Africa, Australia and New Zealand, Canada, China, Eastern European Countries, Former Soviet Union, India, Latin America, Middle East, Rest of Eastern Asia, Rest of Southern Asia, United States of America, Western European Countries</t>
  </si>
  <si>
    <t>Environmental and Resource Economics</t>
  </si>
  <si>
    <t>https://doi.org/10.1007/s10640-015-9927-8</t>
  </si>
  <si>
    <t>Joshi, S.R., Vielle, M., Babonneau, F., Edwards, N.R., Holden, P.B.</t>
  </si>
  <si>
    <t>Assessment of coastal vulnerability using CVI</t>
  </si>
  <si>
    <t>ca. 0-161 km</t>
  </si>
  <si>
    <t>https://doi.org/10.1007/s10668-015-9708-0</t>
  </si>
  <si>
    <t>Pramanik, M.K., Biswas, S.S., Mondal, B., Pal, R.</t>
  </si>
  <si>
    <t>Krishna-Godavari delta region, Andhra Pradesh (India)</t>
  </si>
  <si>
    <t>Validation of GTOPO by SRTM and GPS ground control</t>
  </si>
  <si>
    <t>Comparison of GTOPO with SRTM: 1.096 to 1.926 m (RMSE); comparison of GTOPO with GPS: 1.603 to 23.262 m (RMSE)</t>
  </si>
  <si>
    <t>Assessment of DEM performance for SLR impact assessment</t>
  </si>
  <si>
    <t>ca. 0-114 km</t>
  </si>
  <si>
    <t>Marine Geodesy</t>
  </si>
  <si>
    <t>https://doi.org/10.1080/01490419.2016.1189471</t>
  </si>
  <si>
    <t>Refaat, M.M., Eldeberky, Y.</t>
  </si>
  <si>
    <t>https://doi.org/10.1016/j.gloplacha.2016.08.009</t>
  </si>
  <si>
    <t>Merkens, J.-L., Reimann, L., Hinkel, J., Vafeidis, A.T.</t>
  </si>
  <si>
    <t>https://doi.org/10.1002/2016EF000430</t>
  </si>
  <si>
    <t>Muis, S., Verlaan, M., Nicholls, R.J., Brown, S., Hinkel, J., Lincke, D., Vafeidis, A.T., Scussolini, P., Winsemius, H.C., Ward, P.J.</t>
  </si>
  <si>
    <t>Global DEM errors underpredict coastal vulnerability to sea level rise and flooding</t>
  </si>
  <si>
    <t>A numerical study of hypothetical storm surge and coastal inundation for AILA cyclone in the Bay of Bengal</t>
  </si>
  <si>
    <t>Flood hazard vulnerability for settlements of Turkey’s province of Edirne, using ASTER DEM data and Landsat-7 ETM+ image data</t>
  </si>
  <si>
    <t>Coastal economic vulnerability to sea level rise of Bohai Rim in China</t>
  </si>
  <si>
    <t>Earth observation data based rapid flood-extent modelling for tsunami-devastated coastal areas</t>
  </si>
  <si>
    <t>Characterizing the multi-risk with respect to plausible natural hazards in the Balasore coast, Odisha, India: a multi-criteria analysis (MCA) appraisal</t>
  </si>
  <si>
    <t>Vulnerability of Kuwait coast to sea level rise</t>
  </si>
  <si>
    <t>Urban flood vulnerability zoning of Cochin City, southwest coast of India, using remote sensing and GIS</t>
  </si>
  <si>
    <t>Simulation of tsunami generation, propagation and coastal inundation in the Eastern Mediterranean</t>
  </si>
  <si>
    <t>Investigation of potential sea level rise impact on the Nile Delta, Egypt using digital elevation models</t>
  </si>
  <si>
    <t>Future coastal population growth and exposure to sea-level rise and coastal flooding - A global assessment</t>
  </si>
  <si>
    <t>Assessment of future population change in LECZ and exposure to 100-yr coastal floods based on 4 different SL and socio-economic scenarios</t>
  </si>
  <si>
    <t>SRTM; GTOPO (for Greenland)</t>
  </si>
  <si>
    <r>
      <rPr>
        <b/>
        <sz val="11"/>
        <rFont val="Aptos Narrow"/>
        <family val="2"/>
        <scheme val="minor"/>
      </rPr>
      <t>not documented</t>
    </r>
    <r>
      <rPr>
        <sz val="11"/>
        <rFont val="Aptos Narrow"/>
        <family val="2"/>
        <scheme val="minor"/>
      </rPr>
      <t xml:space="preserve"> (likely Geoid; Tidal)</t>
    </r>
  </si>
  <si>
    <r>
      <rPr>
        <b/>
        <sz val="11"/>
        <rFont val="Aptos Narrow"/>
        <family val="2"/>
        <scheme val="minor"/>
      </rPr>
      <t>not documented</t>
    </r>
    <r>
      <rPr>
        <sz val="11"/>
        <rFont val="Aptos Narrow"/>
        <family val="2"/>
        <scheme val="minor"/>
      </rPr>
      <t xml:space="preserve"> (likely EGM96; </t>
    </r>
    <r>
      <rPr>
        <b/>
        <sz val="11"/>
        <rFont val="Aptos Narrow"/>
        <family val="2"/>
        <scheme val="minor"/>
      </rPr>
      <t>which MSL?</t>
    </r>
    <r>
      <rPr>
        <sz val="11"/>
        <rFont val="Aptos Narrow"/>
        <family val="2"/>
        <scheme val="minor"/>
      </rPr>
      <t>)</t>
    </r>
  </si>
  <si>
    <t>Assessment of DEM performance for coastal exposure assessment</t>
  </si>
  <si>
    <t>LiDAR; SRTM; GLOBE</t>
  </si>
  <si>
    <t>DTM; DSM; DSM/DTM?</t>
  </si>
  <si>
    <t>national; 60° N to 56° S; 90° N to 90° S</t>
  </si>
  <si>
    <t>1996 to 2015; 11/02/2000 to 22/02/2000; 1950s to 1998</t>
  </si>
  <si>
    <t>airborne LiDAR; Synthetic Aperture Radar interferometry (dual antennas); Combination of 6 gridded DEMs and 5 cartographic sources</t>
  </si>
  <si>
    <t>5; 30, 90; 900</t>
  </si>
  <si>
    <t>Free; Free; Free</t>
  </si>
  <si>
    <t>MHHW</t>
  </si>
  <si>
    <t>multiple (Geoid; Geoid; not documented)</t>
  </si>
  <si>
    <r>
      <t xml:space="preserve">not documented </t>
    </r>
    <r>
      <rPr>
        <sz val="11"/>
        <rFont val="Aptos Narrow"/>
        <family val="2"/>
        <scheme val="minor"/>
      </rPr>
      <t>(Geoid?; likely Geoid)</t>
    </r>
  </si>
  <si>
    <t>SRTM-30m underpredicts population exposure by a factor of 2.5 compared to LiDAR; GLOBE performs better but results can only be expected to be acceptable for 1/3 of the world</t>
  </si>
  <si>
    <t>https://doi.org/10.3389/feart.2016.00036</t>
  </si>
  <si>
    <t>Frontiers in Earth Science</t>
  </si>
  <si>
    <t>Kulp, S., Strauss, B.H.</t>
  </si>
  <si>
    <t>West Bengal State (India), coastal Bangladesh</t>
  </si>
  <si>
    <t>Environmental Fluid Mechanics</t>
  </si>
  <si>
    <t>https://doi.org/10.1007/s10652-015-9434-z</t>
  </si>
  <si>
    <t>Gayathri, R., Murty, P.L.N., Bhaskaran, P.K., Kumar, T.S.</t>
  </si>
  <si>
    <t>Edirne Province (Turkey)</t>
  </si>
  <si>
    <t>WGS84 UTM35N</t>
  </si>
  <si>
    <t>ca. 0-167 km</t>
  </si>
  <si>
    <t>rather exposure than risk assessment; ground control points were only used for assessing the accuracy of image classification</t>
  </si>
  <si>
    <t>https://doi.org/10.1007/s12517-015-2263-z</t>
  </si>
  <si>
    <t>Demirkesen, A.C.</t>
  </si>
  <si>
    <t>Bohai Rim (China)</t>
  </si>
  <si>
    <t>Assessment of vulnerability to SLR</t>
  </si>
  <si>
    <t>7.2 (RMSE)</t>
  </si>
  <si>
    <t>Accuracy assessment of ASTER based on comparison with heights from Google Earth; Link to data source is expired</t>
  </si>
  <si>
    <t>ca. 0-109 km</t>
  </si>
  <si>
    <t>https://doi.org/10.1007/s11069-015-2020-3</t>
  </si>
  <si>
    <t>Wu, T., Hou, X., Chen, Q.</t>
  </si>
  <si>
    <t>East coast of Japan</t>
  </si>
  <si>
    <t>Improving flood extent modelling</t>
  </si>
  <si>
    <t>not documented (30?) (resampled to 6.5)</t>
  </si>
  <si>
    <t>indirect accuracy assessment for study sites via model-derived flood inundation map</t>
  </si>
  <si>
    <t>51.53% to 94.02%</t>
  </si>
  <si>
    <t>International Journal of Applied Earth Observation and Geoinformation</t>
  </si>
  <si>
    <t>https://doi.org/10.1016/j.jag.2015.11.005</t>
  </si>
  <si>
    <t>Hese, S., Heyer, T.</t>
  </si>
  <si>
    <t>Balasore District, Odisha (India)</t>
  </si>
  <si>
    <r>
      <t>not documented</t>
    </r>
    <r>
      <rPr>
        <sz val="11"/>
        <rFont val="Aptos Narrow"/>
        <family val="2"/>
        <scheme val="minor"/>
      </rPr>
      <t xml:space="preserve"> (30? 90?)</t>
    </r>
  </si>
  <si>
    <t>No information on whether and how vertical reference systems of elevation and bathymetry data were aligned</t>
  </si>
  <si>
    <t>https://doi.org/10.1007/s11069-015-2035-9</t>
  </si>
  <si>
    <t>Mukhopadhyay, A., Hazra, S., Mitra, D., Hutton, C., Chandra, A., Mukherjee, S.</t>
  </si>
  <si>
    <t>Coastal Kuwait</t>
  </si>
  <si>
    <t>ca. 0-67 km</t>
  </si>
  <si>
    <t>Assessment of exposure to SLR</t>
  </si>
  <si>
    <t>4.9 (RMSE)</t>
  </si>
  <si>
    <t>30, 17, 75</t>
  </si>
  <si>
    <t>DEM accuracy assessment by comparison with heights from topographic maps; several spatial resolutions documented for ASTER; rather exposure than vulnerability assessment</t>
  </si>
  <si>
    <t xml:space="preserve">Geografisk Tidsskrift - Danish Journal of Geography </t>
  </si>
  <si>
    <t>https://doi.org/10.1080/00167223.2015.1121403</t>
  </si>
  <si>
    <t>Alsahli, M.M.M., AlHasem, A.M.</t>
  </si>
  <si>
    <t>Cochin City (India)</t>
  </si>
  <si>
    <t>Assessment of urban flood vulnerability</t>
  </si>
  <si>
    <t>ca. 0-12 km</t>
  </si>
  <si>
    <t>https://doi.org/10.1007/s11069-014-1372-4</t>
  </si>
  <si>
    <t>Sowmya, K., John, C.M., Shrivasthava, N.K.</t>
  </si>
  <si>
    <t>Simulation of earthquake-induced tsunami scenarios</t>
  </si>
  <si>
    <t>https://doi.org/10.5194/os-11-643-2015</t>
  </si>
  <si>
    <t>Samaras, A.G., Karambas, Th.V., Archetti, R.</t>
  </si>
  <si>
    <t>Assessment of DEM performance and SLR impact</t>
  </si>
  <si>
    <t>2.5 (bias); 0.8</t>
  </si>
  <si>
    <t>90; 30 (resampled to 90)</t>
  </si>
  <si>
    <t>30; 900</t>
  </si>
  <si>
    <t>SRTM; ASTER; GPS</t>
  </si>
  <si>
    <t>DSM; DSM; point measurements</t>
  </si>
  <si>
    <t>60° N to 56° S; 83° N to 83° S; local</t>
  </si>
  <si>
    <t>11/02/2000 to 22/02/2000; 01/2000 to 30/11/2013; 08/2014</t>
  </si>
  <si>
    <r>
      <t xml:space="preserve">not documented </t>
    </r>
    <r>
      <rPr>
        <sz val="11"/>
        <rFont val="Aptos Narrow"/>
        <family val="2"/>
        <scheme val="minor"/>
      </rPr>
      <t>(Geoid? Ellipsoid?)</t>
    </r>
  </si>
  <si>
    <r>
      <t xml:space="preserve">not documented </t>
    </r>
    <r>
      <rPr>
        <sz val="11"/>
        <rFont val="Aptos Narrow"/>
        <family val="2"/>
        <scheme val="minor"/>
      </rPr>
      <t>(EGM96? WGS84?)</t>
    </r>
  </si>
  <si>
    <t>Free; Free; not documented</t>
  </si>
  <si>
    <t>Validation of SRTM and ASTER by GPS ground control; link to ASTER source is expired now; GPS measurements were integrated into DEMs after accuracy assessment; no information whether potentially different vertical reference systems of DEMs and GPS measurements were aligned before integration</t>
  </si>
  <si>
    <t>SRTM; GTOPO; GPS</t>
  </si>
  <si>
    <t>60° N to 56° S; 90° N to 90° S; local</t>
  </si>
  <si>
    <t>11/02/2000 to 22/02/2000; 1993 to 1996; not documented</t>
  </si>
  <si>
    <t>Synthetic Aperture Radar interferometry (dual antennas); Combination of different elevation datasets; GPS</t>
  </si>
  <si>
    <t>Geoid; Tidal; Geoid</t>
  </si>
  <si>
    <r>
      <t xml:space="preserve">EGM96; </t>
    </r>
    <r>
      <rPr>
        <b/>
        <sz val="11"/>
        <rFont val="Aptos Narrow"/>
        <family val="2"/>
        <scheme val="minor"/>
      </rPr>
      <t>which MSL?</t>
    </r>
    <r>
      <rPr>
        <sz val="11"/>
        <rFont val="Aptos Narrow"/>
        <family val="2"/>
        <scheme val="minor"/>
      </rPr>
      <t>; EGM96</t>
    </r>
  </si>
  <si>
    <t>https://doi.org/10.1007/s10661-015-4868-9</t>
  </si>
  <si>
    <t>Hasan, E., Khan, S.I., Hong, Y.</t>
  </si>
  <si>
    <t>https://doi.org/10.1371/journal.pone.0118571</t>
  </si>
  <si>
    <t>Neumann, B., Vafeidis, A.T., Zimmermann, J., Nicholls, R.J.</t>
  </si>
  <si>
    <t>Implications of sea level rise scenarios on land use /land cover classes of the coastal zones of Cochin, India</t>
  </si>
  <si>
    <t>Development of a Tsunami Inundation Map in Detecting Tsunami Risk in Gulf of Fethiye, Turkey</t>
  </si>
  <si>
    <t>Quickbird</t>
  </si>
  <si>
    <t>Probabilistic storm surge inundation maps for Metro Manila based on Philippine public storm warning signals</t>
  </si>
  <si>
    <t>Human settlement and regional development in the context of climate change: a spatial analysis of low elevation coastal zones in China</t>
  </si>
  <si>
    <t>Flood risk assessment for delta mega-cities: a case study of Jakarta</t>
  </si>
  <si>
    <t>A simple model to map areas prone to surface water flooding</t>
  </si>
  <si>
    <t>The Niger Delta's vulnerability to river floods due to sea level rise</t>
  </si>
  <si>
    <t>Projected flood risks in China based on CMIP5</t>
  </si>
  <si>
    <t>Assessing the vulnerability of an industrial city to predicted sea level rise using SRTM and GPS observations: The case of Yanbu, Saudi Arabia</t>
  </si>
  <si>
    <t>SRTM; GPS</t>
  </si>
  <si>
    <t>Impacts of and adaptations to sea level rise in Malaysia</t>
  </si>
  <si>
    <t>Combined use of remote Sensing and GIS for degradation risk assessment in some soils of the Northern Nile Delta, Egypt</t>
  </si>
  <si>
    <t>Coastal vulnerability assessment of Puducherry coast, India, using the analytical hierarchical process</t>
  </si>
  <si>
    <t>Future flood losses in major coastal cities</t>
  </si>
  <si>
    <t>136 largest coastal cities</t>
  </si>
  <si>
    <t>Quantification of present and future flood losses (including VLM and SLR)</t>
  </si>
  <si>
    <t>SRTM, Infoterra DEM (Great Britain)</t>
  </si>
  <si>
    <t>60° N to 56° S; Great Britain</t>
  </si>
  <si>
    <t>90; 30 (only USA); 10 m (Great Britain)</t>
  </si>
  <si>
    <r>
      <rPr>
        <b/>
        <sz val="11"/>
        <rFont val="Aptos Narrow"/>
        <family val="2"/>
        <scheme val="minor"/>
      </rPr>
      <t>not documented</t>
    </r>
    <r>
      <rPr>
        <sz val="11"/>
        <rFont val="Aptos Narrow"/>
        <family val="2"/>
        <scheme val="minor"/>
      </rPr>
      <t xml:space="preserve"> (Geoid; not documented)</t>
    </r>
  </si>
  <si>
    <r>
      <rPr>
        <b/>
        <sz val="11"/>
        <rFont val="Aptos Narrow"/>
        <family val="2"/>
        <scheme val="minor"/>
      </rPr>
      <t>not documented</t>
    </r>
    <r>
      <rPr>
        <sz val="11"/>
        <rFont val="Aptos Narrow"/>
        <family val="2"/>
        <scheme val="minor"/>
      </rPr>
      <t xml:space="preserve"> (EGM96; not documented)</t>
    </r>
  </si>
  <si>
    <t>DSM; DSM?</t>
  </si>
  <si>
    <t>Synthetic Aperture Radar interferometry (dual antennas); not documented</t>
  </si>
  <si>
    <t>https://doi.org/10.1038/nclimate1979</t>
  </si>
  <si>
    <t>Hallegatte, S., Green, C., Nicholls, R.J., Corfee-Morlot, J.</t>
  </si>
  <si>
    <t>Assessment of SLR impact on land-use land cover</t>
  </si>
  <si>
    <t>WGS84 UTM43N</t>
  </si>
  <si>
    <t>https://doi.org/10.1016/j.jenvman.2014.06.010</t>
  </si>
  <si>
    <t>Murali, R.M., Kumar, P.K.D.</t>
  </si>
  <si>
    <t>Puducherry coast (India)</t>
  </si>
  <si>
    <t>https://doi.org/10.5194/nhess-13-3291-2013</t>
  </si>
  <si>
    <t>Murali, R.M., Ankita, M., Amrita, S., Vethamony, P.</t>
  </si>
  <si>
    <t>Quantification of soil degradation risk</t>
  </si>
  <si>
    <t>ca. 14-33 km</t>
  </si>
  <si>
    <t>Egyptian Journal of Remote Sensing and Space Science</t>
  </si>
  <si>
    <t>https://doi.org/10.1016/j.ejrs.2014.01.001</t>
  </si>
  <si>
    <t>El Baroudy, A.A., Moghanm, F.S.</t>
  </si>
  <si>
    <t>Gulf of Fethiye (Turkey)</t>
  </si>
  <si>
    <r>
      <t>not documented</t>
    </r>
    <r>
      <rPr>
        <sz val="11"/>
        <rFont val="Aptos Narrow"/>
        <family val="2"/>
        <scheme val="minor"/>
      </rPr>
      <t xml:space="preserve"> (which MSL?)</t>
    </r>
  </si>
  <si>
    <t>Quickbird multispectral image</t>
  </si>
  <si>
    <t>Upon request</t>
  </si>
  <si>
    <t>No information whether vertical reference systems of bathymetry (GEBCO) and elevation data were aligned</t>
  </si>
  <si>
    <t>Simulation of tsunami inundation</t>
  </si>
  <si>
    <t>https://doi.org/10.1007/s00024-014-0936-2</t>
  </si>
  <si>
    <t>Dilmen, D.I., Kemec, S., Yalciner, A.C., Düzgün, S., Zaytsev, A.</t>
  </si>
  <si>
    <t>Definition of LECZ and population living in it</t>
  </si>
  <si>
    <t>Mitigation and Adaptation Strategies for Global Change</t>
  </si>
  <si>
    <t>https://doi.org/10.1007/s11027-013-9506-7</t>
  </si>
  <si>
    <t>Liu, J., Wen, J., Huang, Y., Shi, M., Meng, Q., Ding, J., Xu, H.</t>
  </si>
  <si>
    <t>Coastal Italy</t>
  </si>
  <si>
    <t>Central Kerala coast (India)</t>
  </si>
  <si>
    <t>Coastal Mexico</t>
  </si>
  <si>
    <t>Coastal Bolaan Mongondow (Indonesia)</t>
  </si>
  <si>
    <t>Northern Odisha coast (India)</t>
  </si>
  <si>
    <t>Southwest Crete (Greece), east Sicily (Italy)</t>
  </si>
  <si>
    <t>Mapping of storm surge inundation</t>
  </si>
  <si>
    <t>Manila, including Meycauayan and Obando in Bulacan (Philippines)</t>
  </si>
  <si>
    <t>No information whether vertical reference systems of bathymetry (ETOPO2) and elevation data were aligned</t>
  </si>
  <si>
    <t>https://doi.org/10.5194/nhess-15-557-2015</t>
  </si>
  <si>
    <t>Tablazon, J., Caro, C.V., Lagmay, A.M.F., Briones, J.B.L., Dasallas, L., Lapidez, J.P., Santiago, J., Suarez, J.K., Ladiero, C., Gonzalo, L.A., Mungcal, M.T.F., Malano, V.</t>
  </si>
  <si>
    <t>Provision of a flood risk assessment model</t>
  </si>
  <si>
    <r>
      <t>not documented</t>
    </r>
    <r>
      <rPr>
        <sz val="11"/>
        <color theme="1"/>
        <rFont val="Aptos Narrow"/>
        <family val="2"/>
        <scheme val="minor"/>
      </rPr>
      <t xml:space="preserve"> (Deltares)</t>
    </r>
  </si>
  <si>
    <r>
      <rPr>
        <b/>
        <sz val="11"/>
        <color theme="1"/>
        <rFont val="Aptos Narrow"/>
        <family val="2"/>
        <scheme val="minor"/>
      </rPr>
      <t>not documented</t>
    </r>
    <r>
      <rPr>
        <sz val="11"/>
        <color theme="1"/>
        <rFont val="Aptos Narrow"/>
        <family val="2"/>
        <scheme val="minor"/>
      </rPr>
      <t xml:space="preserve"> (resampled to 50?)</t>
    </r>
  </si>
  <si>
    <t>https://doi.org/10.1007/s11069-014-1327-9</t>
  </si>
  <si>
    <t xml:space="preserve">Budiyono, Y., Aerts, J., Brinkman, J., Marfai, M.A., Ward, P. </t>
  </si>
  <si>
    <t>Provision of a flood model and application to different environments</t>
  </si>
  <si>
    <t>Small Island Developing States of the Carribean</t>
  </si>
  <si>
    <t>It remains open whether vertical datums of SRTM and GTOPO were aligned</t>
  </si>
  <si>
    <t xml:space="preserve"> Link to data source is expired now</t>
  </si>
  <si>
    <t>https://doi.org/10.1016/j.ijdrr.2014.04.006</t>
  </si>
  <si>
    <t>Rudari, R., Gabellani, S., Delogu, F.</t>
  </si>
  <si>
    <t>ca. 0-86 km</t>
  </si>
  <si>
    <t>https://doi.org/10.5194/nhess-14-3317-2014</t>
  </si>
  <si>
    <t>Musa, Z.N., Popescu, I., Mynett, A.</t>
  </si>
  <si>
    <t>Projection of flood risk based on simulations of CMIP5 models</t>
  </si>
  <si>
    <t>China</t>
  </si>
  <si>
    <t>ca. 0-4000 km</t>
  </si>
  <si>
    <t>https://doi.org/10.3724/SP.J.1248.2014.057</t>
  </si>
  <si>
    <t>Ying, X., Bing, Z., Bo-Tao, Z., Si-Yan, D., Li, Y., Rou-Ke, L.</t>
  </si>
  <si>
    <t>Malaysia</t>
  </si>
  <si>
    <t>Assessment of SLR impact and adaptation measures</t>
  </si>
  <si>
    <t>http://dx.doi.org/10.3233/AJW-2014-11_2_05</t>
  </si>
  <si>
    <t>Sarkar, Md.S.K., Begum, R.A., Pereira, J.J., Jaafar, A.H., Saari, M.Y.</t>
  </si>
  <si>
    <t>Asian Journal of Water, Environment and Pollution</t>
  </si>
  <si>
    <t>DSM; point measurements</t>
  </si>
  <si>
    <t>Synthetic Aperture Radar interferometry (dual antennas); Correlation of optical stereo near infrared imagery; GPS measurements</t>
  </si>
  <si>
    <t>WGS84 UTM37N</t>
  </si>
  <si>
    <r>
      <t xml:space="preserve">2.07 (RMSE) for elevations </t>
    </r>
    <r>
      <rPr>
        <sz val="11"/>
        <rFont val="Aptos Narrow"/>
        <family val="2"/>
      </rPr>
      <t>≤3 m</t>
    </r>
  </si>
  <si>
    <t>Accuracy assessment of SRTM based on comparison with heights from GPS measurements; No information whether vertical reference systems of SRTM elevation and GPS measurements were aligned; Link to data source is expired; rather exposure than vulnerability assessment</t>
  </si>
  <si>
    <t>Yanbu Industrial City (Saudi Arabia)</t>
  </si>
  <si>
    <t>https://www.scopus.com/inward/record.uri?eid=2-s2.0-84920876096&amp;partnerID=40&amp;md5=ab2b1866b8687f765fa9f4eb4faff72b</t>
  </si>
  <si>
    <t>Aina, Y.A., Aleem, K.F.</t>
  </si>
  <si>
    <t>Northern Nile Delta (Egypt)</t>
  </si>
  <si>
    <t>ca. 0-153 km</t>
  </si>
  <si>
    <t>Ecosystem service value losses from coastal erosion in Europe: Historical trends and future projections</t>
  </si>
  <si>
    <t>Delineation of small-scale landforms relative to flood inundation in the western Red River delta, northern Vietnam using remotely sensed data</t>
  </si>
  <si>
    <t>Satellite Data for a Rapid Assessment of Tsunami Inundation Areas after the 2011 Tohoku Tsunami</t>
  </si>
  <si>
    <t>Hydro-morphologic setting of the Samborombón Bay (Argentina) at the end of the 21st century</t>
  </si>
  <si>
    <t>Simulation of water levels and extent of coastal inundation due to a cyclonic storm along the east coast of India</t>
  </si>
  <si>
    <t>A storm surge inundation model of the northern Bay of Bengal using publicly available data</t>
  </si>
  <si>
    <t>Classifying inundation limits in SE coast of India: Application of GIS</t>
  </si>
  <si>
    <t>Coupling hydrodynamic models with GIS for storm surge simulation: Application to the Yangtze Estuary and the Hangzhou Bay, China</t>
  </si>
  <si>
    <t>SRTM; ASTER; MFC; DGPS</t>
  </si>
  <si>
    <t>Potential of remote sensing techniques for tsunami hazard and vulnerability analysis-a case study from Phang-Nga province, Thailand</t>
  </si>
  <si>
    <t>National assessment of coastal vulnerability to sea-level rise for the Chinese coast</t>
  </si>
  <si>
    <t>Coastal vulnerability assessment for Chennai, east coast of India using geospatial techniques</t>
  </si>
  <si>
    <t>An assessment of the physical impacts of sea-level rise and coastal adaptation: A case study of the eastern coast of Ghana</t>
  </si>
  <si>
    <t>The vulnerability of Caribbean coastal tourism to scenarios of climate change related sea level rise</t>
  </si>
  <si>
    <t>Algeria's vulnerability to tsunamis from near-field seismic sources</t>
  </si>
  <si>
    <t>The Samoa tsunami of 29 September 2009 early warning and inundation assessment</t>
  </si>
  <si>
    <t>Investigation of coastal inundation due to a rise in sea level (temporary and permanent)</t>
  </si>
  <si>
    <t>A 3-tier tsunami vulnerability assessment technique for the north-west coast of Peninsular Malaysia</t>
  </si>
  <si>
    <t>Future climate change driven sea-level rise: Secondary consequences from human displacement for island biodiversity</t>
  </si>
  <si>
    <t>Behavior of tsunami waves along the coasts of Kancheepuram and Villupuram districts in Tamil Nadu, India</t>
  </si>
  <si>
    <t>ALTM; SRTM</t>
  </si>
  <si>
    <t>Impacts of climate change and sea-level rise: A preliminary case study of Mombasa, Kenya</t>
  </si>
  <si>
    <t>World Resources Institute</t>
  </si>
  <si>
    <t>Assessment of flood hazard, vulnerability and risk of mid-eastern Dhaka using DEM and 1D hydrodynamic model</t>
  </si>
  <si>
    <t>Exposure and vulnerability to climate extremes: Population and asset exposure to coastal flooding in Dar es Salaam, Tanzania</t>
  </si>
  <si>
    <t>Analysis of flood vulnerability and assessment of the impacts in coastal zones of Bangladesh due to potential sea-level rise</t>
  </si>
  <si>
    <t>GIS assessment of coastal vulnerability to climate change and coastal adaption planning in Vietnam</t>
  </si>
  <si>
    <t>Coastal inundation in the north-eastern mediterranean coastal zone due to storm surge events</t>
  </si>
  <si>
    <t>Coastal Vietnam</t>
  </si>
  <si>
    <t>Assessment of coastal flood impact and possible adaptation policies</t>
  </si>
  <si>
    <t>https://doi.org/10.1007/s11852-011-0165-0</t>
  </si>
  <si>
    <t>Boateng, I.</t>
  </si>
  <si>
    <t>Northeastern Mediterranean coastal zone (Adriatic, Aegean, north Levantine seas)</t>
  </si>
  <si>
    <t>Assessment of storm-surge induced flooding</t>
  </si>
  <si>
    <t>No information whether vertical reference systems of elevation and sea-level data were aligned</t>
  </si>
  <si>
    <t>Geoid; not documented for sea-level data</t>
  </si>
  <si>
    <t>EGM96; not documented for sea-level data</t>
  </si>
  <si>
    <t>https://doi.org/10.1007/s11852-010-0090-7</t>
  </si>
  <si>
    <t>Krestenitis, Y.N., Androulidakis, Y.S., Kontos, Y.N., Georgakopoulos, G.</t>
  </si>
  <si>
    <t>Assessment of past and future erosion impact</t>
  </si>
  <si>
    <t>The DIVA model (Hinkel and Klein, 2009; https://doi.org/10.1016/j.gloenvcha.2009.03.002) was used to study the impact of future coastal erosion and subsequent land cover type losses, however, documentation on the underlying elevation data is missing</t>
  </si>
  <si>
    <t>Coastal Europe</t>
  </si>
  <si>
    <t>https://doi.org/10.1007/s11852-013-0235-6</t>
  </si>
  <si>
    <r>
      <t>Roebeling, P.C., Coasta, L., Magalh</t>
    </r>
    <r>
      <rPr>
        <sz val="11"/>
        <color theme="1"/>
        <rFont val="Aptos Narrow"/>
        <family val="2"/>
      </rPr>
      <t>ães-Filho, L., Tekken, V.</t>
    </r>
  </si>
  <si>
    <t>Western Red River Delta (Vietnam)</t>
  </si>
  <si>
    <t>Small-scale landform classification for flood susceptibility mapping</t>
  </si>
  <si>
    <t>SRTM; local DEM; local spot heights</t>
  </si>
  <si>
    <t xml:space="preserve">nearly DTM (improved by local DEM and local spot heights; DTM; DTM </t>
  </si>
  <si>
    <t>60° N to 56° S; local; local</t>
  </si>
  <si>
    <t>11/02/2000 to 22/02/2000; not documented; not documented</t>
  </si>
  <si>
    <t>Synthetic Aperture Radar interferometry (dual antennas); interpolation of elevation points from field survey and topographic maps; not documented</t>
  </si>
  <si>
    <t>2.4 (mean bias, before integration of local elevation data); -0.2 (mean error compared to local DEM, after integration of local elevation data)</t>
  </si>
  <si>
    <t>Error statistics of DEM accuracy assessment are badly comparable because different error statistics are given for the original and post-processed DEM; water bodies in the DEM are not masked</t>
  </si>
  <si>
    <t>ca. 95-152 km</t>
  </si>
  <si>
    <t>https://doi.org/10.1007/s11069-013-0742-7</t>
  </si>
  <si>
    <t>Ho, L.T.K., Yamaguchi, Y., Umitsu, M.</t>
  </si>
  <si>
    <t>Rikuzentakata, Oyagawahama and Yagawahama, and Sendai coastal plain (Sendai City to Yamamoto City) (Japan)</t>
  </si>
  <si>
    <t>SRTM; ASTER; field measurements</t>
  </si>
  <si>
    <t>11/02/2000 to 22/02/2000; 01/2000 to 30/11/2013; 03/2011</t>
  </si>
  <si>
    <t>Synthetic Aperture Radar interferometry (dual antennas); Correlation of optical stereo near infrared imagery; field survey</t>
  </si>
  <si>
    <t>0-23 (difference to field observation); 12.46-24 (difference to field observation)</t>
  </si>
  <si>
    <t>90; 30</t>
  </si>
  <si>
    <r>
      <t xml:space="preserve">Free; Free; </t>
    </r>
    <r>
      <rPr>
        <b/>
        <sz val="11"/>
        <color theme="1"/>
        <rFont val="Aptos Narrow"/>
        <family val="2"/>
        <scheme val="minor"/>
      </rPr>
      <t>not documented</t>
    </r>
  </si>
  <si>
    <t>DEM accuracy assessment by comparison with heights from field survey, however, without any information on whether the vertical reference systems of all datasets were aligned</t>
  </si>
  <si>
    <t>Assessment of tsunami inundation and runup</t>
  </si>
  <si>
    <t>https://doi.org/10.1007/s00024-012-0537-x</t>
  </si>
  <si>
    <t>Ramírez-Herrera, M.T., Navarrete-Pacheco, J.A.</t>
  </si>
  <si>
    <t>Samborombón Bay (Argendina)</t>
  </si>
  <si>
    <t xml:space="preserve">nearly DTM (improved by local DEM and local spot heights; DTM </t>
  </si>
  <si>
    <t>SRTM (filled with holes; Jarvis et al., 2008); local spot heights</t>
  </si>
  <si>
    <r>
      <t xml:space="preserve">Free; </t>
    </r>
    <r>
      <rPr>
        <b/>
        <sz val="11"/>
        <color theme="1"/>
        <rFont val="Aptos Narrow"/>
        <family val="2"/>
        <scheme val="minor"/>
      </rPr>
      <t>not documented</t>
    </r>
  </si>
  <si>
    <t>No information whether vertical reference systems of elevation datasets were aligned before integration</t>
  </si>
  <si>
    <t>ca. 0-58 km</t>
  </si>
  <si>
    <t>https://doi.org/10.5194/nhess-13-523-2013</t>
  </si>
  <si>
    <t>Tosi, L., Kruse, E.E., Braga, F., Carol, E.S., Carretero, S.C., Pousa, J.L., Rizzetto, F., Teatini, P.</t>
  </si>
  <si>
    <t>Assessment of cyclone-induced flooding</t>
  </si>
  <si>
    <r>
      <t>not documented</t>
    </r>
    <r>
      <rPr>
        <sz val="11"/>
        <color theme="1"/>
        <rFont val="Aptos Narrow"/>
        <family val="2"/>
        <scheme val="minor"/>
      </rPr>
      <t xml:space="preserve"> (GEBCO?)</t>
    </r>
  </si>
  <si>
    <r>
      <rPr>
        <b/>
        <sz val="11"/>
        <rFont val="Aptos Narrow"/>
        <family val="2"/>
        <scheme val="minor"/>
      </rPr>
      <t>not documented</t>
    </r>
    <r>
      <rPr>
        <sz val="11"/>
        <rFont val="Aptos Narrow"/>
        <family val="2"/>
        <scheme val="minor"/>
      </rPr>
      <t xml:space="preserve"> (DSM?)</t>
    </r>
  </si>
  <si>
    <r>
      <rPr>
        <b/>
        <sz val="11"/>
        <rFont val="Aptos Narrow"/>
        <family val="2"/>
        <scheme val="minor"/>
      </rPr>
      <t>not documented</t>
    </r>
    <r>
      <rPr>
        <sz val="11"/>
        <rFont val="Aptos Narrow"/>
        <family val="2"/>
        <scheme val="minor"/>
      </rPr>
      <t xml:space="preserve"> (90° N to 90° S?)</t>
    </r>
  </si>
  <si>
    <r>
      <rPr>
        <b/>
        <sz val="11"/>
        <rFont val="Aptos Narrow"/>
        <family val="2"/>
        <scheme val="minor"/>
      </rPr>
      <t>not documented</t>
    </r>
    <r>
      <rPr>
        <sz val="11"/>
        <rFont val="Aptos Narrow"/>
        <family val="2"/>
        <scheme val="minor"/>
      </rPr>
      <t xml:space="preserve"> (11/02/2000 to 22/02/2000 (SRTM)?)</t>
    </r>
  </si>
  <si>
    <r>
      <rPr>
        <b/>
        <sz val="11"/>
        <rFont val="Aptos Narrow"/>
        <family val="2"/>
        <scheme val="minor"/>
      </rPr>
      <t>not documented</t>
    </r>
    <r>
      <rPr>
        <sz val="11"/>
        <rFont val="Aptos Narrow"/>
        <family val="2"/>
        <scheme val="minor"/>
      </rPr>
      <t xml:space="preserve"> (combination of SRTM supplemented by GMTED and MEaSUREs BedMachine Antarctica?)</t>
    </r>
  </si>
  <si>
    <t>https://doi.org/10.1007/s11069-012-0193-6</t>
  </si>
  <si>
    <t>Rao, A.D., Murty, P.L.N., Jain, I., Kankara, R.S., Dube, S.K., Murty, T.S.</t>
  </si>
  <si>
    <t>Assessment of flood hazard</t>
  </si>
  <si>
    <t>90 (resampled to 30)</t>
  </si>
  <si>
    <t>DEM was modified by raising elevation in an area of land filling and lowering elevation in a river cross-section</t>
  </si>
  <si>
    <t>ca. 156-161 km</t>
  </si>
  <si>
    <t>https://doi.org/10.1007/s11069-011-0060-x</t>
  </si>
  <si>
    <t>Mid-eastern Dhaka (Bangladesh)</t>
  </si>
  <si>
    <t>Masood, M., Takeuchi, K.</t>
  </si>
  <si>
    <t>Southwestern to south-central Bangladesh</t>
  </si>
  <si>
    <t>Flood modelling  including SLR</t>
  </si>
  <si>
    <t>ca. 0-259 km</t>
  </si>
  <si>
    <t>HYDRO-1k DEM (GTOPO)</t>
  </si>
  <si>
    <r>
      <rPr>
        <b/>
        <sz val="11"/>
        <color theme="1"/>
        <rFont val="Aptos Narrow"/>
        <family val="2"/>
        <scheme val="minor"/>
      </rPr>
      <t>not documented</t>
    </r>
    <r>
      <rPr>
        <sz val="11"/>
        <color theme="1"/>
        <rFont val="Aptos Narrow"/>
        <family val="2"/>
        <scheme val="minor"/>
      </rPr>
      <t xml:space="preserve"> (Tidal?)</t>
    </r>
  </si>
  <si>
    <t>not documented (which MSL?)</t>
  </si>
  <si>
    <t>https://doi.org/10.1007/s11069-011-0059-3</t>
  </si>
  <si>
    <t>Bhuiyan, Md.J.A.N., Dutta, D.</t>
  </si>
  <si>
    <t>Dar es Salaam (Tanzania)</t>
  </si>
  <si>
    <t xml:space="preserve">Assessment of coastal flood exposure </t>
  </si>
  <si>
    <t>Kebede, A.S., Nicholls, R.J.</t>
  </si>
  <si>
    <t>Rather exposure than vulnerability assessment; flood levels were simulated using bathtub modelling</t>
  </si>
  <si>
    <t>Mombasa (Kenya)</t>
  </si>
  <si>
    <t>https://doi.org/10.1007/s10113-011-0239-4</t>
  </si>
  <si>
    <t xml:space="preserve">Data link only leads to data platform but not to further specification of the elevation data used. </t>
  </si>
  <si>
    <t>https://doi.org/10.2112/JCOASTRES-D-10-00069.1</t>
  </si>
  <si>
    <t>Kebede, A.S., Nicholls, R.J., Hanson, S., Mokrech, M.</t>
  </si>
  <si>
    <t>ca. 0-188 km</t>
  </si>
  <si>
    <t>Kancheepuram and Villupuram Districts, Tamil Nadu (India)</t>
  </si>
  <si>
    <t>Modelling of tsunami inundation and runup</t>
  </si>
  <si>
    <t>local; 60° N to 56° S</t>
  </si>
  <si>
    <t>local (up to 2 km inland); 60° N to 56° S</t>
  </si>
  <si>
    <t>01/2005; 11/02/2000 to 22/02/2000</t>
  </si>
  <si>
    <t>0.35 (ALTM)</t>
  </si>
  <si>
    <t>Airborne LiDAR; Synthetic Aperture Radar interferometry (dual antennas)</t>
  </si>
  <si>
    <r>
      <rPr>
        <b/>
        <sz val="11"/>
        <rFont val="Aptos Narrow"/>
        <family val="2"/>
        <scheme val="minor"/>
      </rPr>
      <t>not documented</t>
    </r>
    <r>
      <rPr>
        <sz val="11"/>
        <rFont val="Aptos Narrow"/>
        <family val="2"/>
        <scheme val="minor"/>
      </rPr>
      <t xml:space="preserve"> ( ; Geoid?)</t>
    </r>
  </si>
  <si>
    <r>
      <rPr>
        <b/>
        <sz val="11"/>
        <rFont val="Aptos Narrow"/>
        <family val="2"/>
        <scheme val="minor"/>
      </rPr>
      <t>not documented</t>
    </r>
    <r>
      <rPr>
        <sz val="11"/>
        <rFont val="Aptos Narrow"/>
        <family val="2"/>
        <scheme val="minor"/>
      </rPr>
      <t xml:space="preserve"> ( ; EGM96?)</t>
    </r>
  </si>
  <si>
    <r>
      <rPr>
        <b/>
        <sz val="11"/>
        <color theme="1"/>
        <rFont val="Aptos Narrow"/>
        <family val="2"/>
        <scheme val="minor"/>
      </rPr>
      <t>not documented</t>
    </r>
    <r>
      <rPr>
        <sz val="11"/>
        <color theme="1"/>
        <rFont val="Aptos Narrow"/>
        <family val="2"/>
        <scheme val="minor"/>
      </rPr>
      <t>; Free</t>
    </r>
  </si>
  <si>
    <t>The paper documents that vertical reference systems of all datasets were aligned, however, any further documentation (e.g. on the datum used, on the datum conversion itself, etc.) is missing</t>
  </si>
  <si>
    <t>https://doi.org/10.1007/s11069-011-9955-9</t>
  </si>
  <si>
    <t>Rajakumari, S., Subramanian, B.R.</t>
  </si>
  <si>
    <t>Assessment of potential ecological consequences of SLR</t>
  </si>
  <si>
    <t>&gt;1,200 islands in Southeast Asia and the Pacific Region</t>
  </si>
  <si>
    <t>Global Change Biology</t>
  </si>
  <si>
    <t>https://doi.org/10.1111/j.1365-2486.2012.02736.x</t>
  </si>
  <si>
    <t>Wetzel, F.T., Kissling, W.D., Beissmann, H., Penn, D.J.</t>
  </si>
  <si>
    <t>Northwest coast of Malaysia</t>
  </si>
  <si>
    <t>ca. 0-101 km</t>
  </si>
  <si>
    <t>https://doi.org/10.1007/s11069-012-0166-9</t>
  </si>
  <si>
    <t xml:space="preserve">Ismail, H., Abd Wahab, A.K., Mohd Amin, M.F., Mohd Yunus, M.Z., Jaffar Sidek, F., Esfandier J., B. </t>
  </si>
  <si>
    <t>Assessment  of SLR impact</t>
  </si>
  <si>
    <t>Bandarabbas City (Iran)</t>
  </si>
  <si>
    <t>Polish Journal of Environmental Studies</t>
  </si>
  <si>
    <t>https://www.scopus.com/inward/record.uri?eid=2-s2.0-84861370828&amp;partnerID=40&amp;md5=a47a34b1611143f6056a787d0ecdc051</t>
  </si>
  <si>
    <t>Vafaee, F., Harati, S.A.N., Sabbaghian, H.</t>
  </si>
  <si>
    <t>Assessment of tsunami characteristics and inundation</t>
  </si>
  <si>
    <t>Samoa Islands</t>
  </si>
  <si>
    <t>SRTM; NOAA</t>
  </si>
  <si>
    <r>
      <rPr>
        <b/>
        <sz val="11"/>
        <rFont val="Aptos Narrow"/>
        <family val="2"/>
        <scheme val="minor"/>
      </rPr>
      <t>not documented</t>
    </r>
    <r>
      <rPr>
        <sz val="11"/>
        <rFont val="Aptos Narrow"/>
        <family val="2"/>
        <scheme val="minor"/>
      </rPr>
      <t xml:space="preserve"> (Tidal; Geoid?)</t>
    </r>
  </si>
  <si>
    <r>
      <rPr>
        <b/>
        <sz val="11"/>
        <rFont val="Aptos Narrow"/>
        <family val="2"/>
        <scheme val="minor"/>
      </rPr>
      <t>not documented</t>
    </r>
    <r>
      <rPr>
        <sz val="11"/>
        <rFont val="Aptos Narrow"/>
        <family val="2"/>
        <scheme val="minor"/>
      </rPr>
      <t xml:space="preserve"> (MHW; EGM96?)</t>
    </r>
  </si>
  <si>
    <t>10; 90</t>
  </si>
  <si>
    <t>No information whether potentially different vertical reference systems of SRTM and NOAA Pago elevation model were aligned; Links to data sources are partly expired</t>
  </si>
  <si>
    <t>Compilation from multiple topographic datasets; Synthetic Aperture Radar interferometry (dual antennas)</t>
  </si>
  <si>
    <t>not documented; DSM</t>
  </si>
  <si>
    <t>Science of Tsunami Hazards</t>
  </si>
  <si>
    <t>https://www.scopus.com/inward/record.uri?eid=2-s2.0-84858965347&amp;partnerID=40&amp;md5=0e7c4dcd7e699d31c5ad552c32aa9aed</t>
  </si>
  <si>
    <t>Franchello, G., Annunziato, A.</t>
  </si>
  <si>
    <t>Provision of a measure to assess tsunami vulnerability and application to case study</t>
  </si>
  <si>
    <t>ca, 0-2 km</t>
  </si>
  <si>
    <t>Northern Algeria</t>
  </si>
  <si>
    <t>https://www.scopus.com/inward/record.uri?eid=2-s2.0-84858986556&amp;partnerID=40&amp;md5=7db4fa940bf3864f9edbae8470b488b6</t>
  </si>
  <si>
    <t>Amir, L., Cisternas, A., Vigneresse, J.-L., Dudley, W., Mc Adoo, B.</t>
  </si>
  <si>
    <t>Creation of a geo-referenced database of coastal resort properties to assess their potential sirk to 1 m SLR</t>
  </si>
  <si>
    <t>19 Caribbean Community Countries</t>
  </si>
  <si>
    <t>WGS84 Equal Earth</t>
  </si>
  <si>
    <t>Journal of Sustainable Tourism</t>
  </si>
  <si>
    <t>https://doi.org/10.1080/09669582.2012.699063</t>
  </si>
  <si>
    <t>Scott, D., Simpson, M.C., Sim, R.</t>
  </si>
  <si>
    <t>Eastern coast of Ghana</t>
  </si>
  <si>
    <t>ca. 0-51 km</t>
  </si>
  <si>
    <t>SRTM; topographic map elevation data</t>
  </si>
  <si>
    <t>60° N to 56° S; national</t>
  </si>
  <si>
    <t>11/02/2000 to 22/02/2000; 1996</t>
  </si>
  <si>
    <t>Synthetic Aperture Radar interferometry (dual antennas); elevation measurements in topographic maps</t>
  </si>
  <si>
    <r>
      <rPr>
        <b/>
        <sz val="11"/>
        <rFont val="Aptos Narrow"/>
        <family val="2"/>
        <scheme val="minor"/>
      </rPr>
      <t>not documented</t>
    </r>
    <r>
      <rPr>
        <sz val="11"/>
        <rFont val="Aptos Narrow"/>
        <family val="2"/>
        <scheme val="minor"/>
      </rPr>
      <t xml:space="preserve"> (Geoid?; )</t>
    </r>
  </si>
  <si>
    <r>
      <rPr>
        <b/>
        <sz val="11"/>
        <rFont val="Aptos Narrow"/>
        <family val="2"/>
        <scheme val="minor"/>
      </rPr>
      <t>not documented</t>
    </r>
    <r>
      <rPr>
        <sz val="11"/>
        <rFont val="Aptos Narrow"/>
        <family val="2"/>
        <scheme val="minor"/>
      </rPr>
      <t xml:space="preserve"> (EGM96?; )</t>
    </r>
  </si>
  <si>
    <r>
      <rPr>
        <b/>
        <sz val="11"/>
        <rFont val="Aptos Narrow"/>
        <family val="2"/>
        <scheme val="minor"/>
      </rPr>
      <t>not documented</t>
    </r>
    <r>
      <rPr>
        <sz val="11"/>
        <rFont val="Aptos Narrow"/>
        <family val="2"/>
        <scheme val="minor"/>
      </rPr>
      <t xml:space="preserve"> (WGS84?; )</t>
    </r>
  </si>
  <si>
    <t>Spot heights from topographic maps were used for accuracy assessment of SRTM, however, no results are presented</t>
  </si>
  <si>
    <t>https://doi.org/10.1007/s10584-011-0394-0</t>
  </si>
  <si>
    <t>Coast of Chennai District (India)</t>
  </si>
  <si>
    <t>Kumar, A.A., Kunte, P.D.</t>
  </si>
  <si>
    <t>No information on vertical reference systems of bathymetry datasets (ETOPO and nautical charts) and whether and how their potentially different datums were aligned; rather exposure than vulnerability assessment</t>
  </si>
  <si>
    <t>https://doi.org/10.1007/s11069-012-0276-4</t>
  </si>
  <si>
    <t>Coast of China</t>
  </si>
  <si>
    <t>Yin, J., Yin, Z., Wang, J., Xu, S.</t>
  </si>
  <si>
    <t>https://doi.org/10.1007/s11852-012-0180-9</t>
  </si>
  <si>
    <t>ca. 0-525 km</t>
  </si>
  <si>
    <t>Extending the Finite-Volume Coastal Ocean Model (FVCOM) by adding a cyclone component, supplementing storm sruge model by MarineTools Pro and application to case study to reconstruct storm surge and impact</t>
  </si>
  <si>
    <t>Yangtze Estuary and Hangzhou Bay (China)</t>
  </si>
  <si>
    <t>https://doi.org/10.1007/s11707-012-0304-4</t>
  </si>
  <si>
    <t>Wang, L., Zhao, X., Shen, Y.</t>
  </si>
  <si>
    <t>Nagapattinam Region (India)</t>
  </si>
  <si>
    <t>Assessment of coastal inundation and flood hazard using CVI</t>
  </si>
  <si>
    <t>Muthusankar, G., Lakshumanan, C., Pradeep-Kishore, V., Eswaramoorthi, S., Jonathan, M.P.</t>
  </si>
  <si>
    <t>https://doi.org/10.1007/s11069-012-0427-7</t>
  </si>
  <si>
    <t>90 (resampled to 900)</t>
  </si>
  <si>
    <t>Provision of an inundation model based on open data for case study</t>
  </si>
  <si>
    <t>nearly DTM (due to correction of vegetation heights)</t>
  </si>
  <si>
    <t>EGM96; information given about the alignment of vertical reference systems of elevation and bathymetry data is not complete</t>
  </si>
  <si>
    <t>Quarterly Journal of the Royal Meteorological Society</t>
  </si>
  <si>
    <t>Information how vertical reference systems of elevation datasets were aligned is incomplete</t>
  </si>
  <si>
    <t>Northern Bay of Bengal</t>
  </si>
  <si>
    <t>ca. 0-450 km</t>
  </si>
  <si>
    <t>Lewis, M., Bates, P., Horsburgh, K., Neal, J., Schumann, G.</t>
  </si>
  <si>
    <t>Assessment of tsunami hazard and vulnerability</t>
  </si>
  <si>
    <t>https://doi.org/10.1002/qj.2040</t>
  </si>
  <si>
    <t>Ban Mueang, Khuek Kak, Laem Kaen, Thung
Maphrao and Thai Mueang Tambons, Phang-Nga Province (Thailand)</t>
  </si>
  <si>
    <t>60° N to 56° S; 83° N to 83° S; local; local</t>
  </si>
  <si>
    <t xml:space="preserve">11/02/2000 to 22/02/2000; 01/2000 to 30/11/2013; 11/2008; 09/2008 </t>
  </si>
  <si>
    <t>Synthetic Aperture Radar interferometry (dual antennas); Correlation of optical stereo near infrared imagery; stereo image pairs of the Multi-functional camera
MFC-3; Differential GPS measurements</t>
  </si>
  <si>
    <t>90; 30; 0.15 (resampled to 1)</t>
  </si>
  <si>
    <t>Free; Free; Upon request; Upon request</t>
  </si>
  <si>
    <t>DSM (also corrected for vegetation heights, thus nearly DTM); DSM; DSM (also corrected by integrating DGPS points, thus nearly DTM); ground control point measurements</t>
  </si>
  <si>
    <t>No information about potentially different vertical reference systems of the elevation data used and how these were aligned</t>
  </si>
  <si>
    <t>Natural Hazards and Earth System Science</t>
  </si>
  <si>
    <t>https://doi.org/10.5194/nhess-12-2103-2012</t>
  </si>
  <si>
    <t>Römer, H., Willroth, P., Kaiser, G., Vafeidis, A.T., Ludwig, R., Sterr, H., Revilla Diez, J.</t>
  </si>
  <si>
    <t>ca. 0-59 km</t>
  </si>
  <si>
    <t>ca. 0-237 km</t>
  </si>
  <si>
    <t>Understanding the demographic implications of climate change: Estimates of localized population predictions under future scenarios of sea-level rise</t>
  </si>
  <si>
    <t>Exploring data-related uncertainties in analyses of land area and population in the "Low-Elevation Coastal Zone" (LECZ)</t>
  </si>
  <si>
    <t>Examining the potential impacts of sea level rise on coastal wetlands in north-eastern NSW, Australia</t>
  </si>
  <si>
    <t>Numerical model of storm surge and inundation in Bohai Bay</t>
  </si>
  <si>
    <t>Tsunami hazard for the city of Catania, eastern Sicily, Italy, assessed by means of Worst-case Credible Tsunami Scenario Analysis (WCTSA)</t>
  </si>
  <si>
    <t>Physical and economic consequences of climate change in Europe</t>
  </si>
  <si>
    <t>Quality analysis of SRTM and HYDRO1K: A case study of flood inundation in mozambique</t>
  </si>
  <si>
    <t>A global ranking of port cities with high exposure to climate extremes</t>
  </si>
  <si>
    <t>global</t>
  </si>
  <si>
    <t>Exposure assessment of the world's largest port cities to coastal flooding due to SLR and storm surge (including socio-economic and climate change scenarios)</t>
  </si>
  <si>
    <t>use of water levels from DIVA database (Vafeidis et al., 2008)</t>
  </si>
  <si>
    <t>Coastal adaptation to sea level rise along the Nile delta, Egypt</t>
  </si>
  <si>
    <t>Vulnerability of the Nile Delta to sea level rise: An assessment using remote sensing</t>
  </si>
  <si>
    <t>Geomatics Based Analysis of Predicted Sea Level Rise and its Impacts in Parts of Tamil Nadu Coast, India</t>
  </si>
  <si>
    <t>Simulation of storm surge, wave, and coastal inundation in the Northeastern Gulf of Mexico region during Hurricane Ivan in 2004</t>
  </si>
  <si>
    <t>NAVD88</t>
  </si>
  <si>
    <t>Numerical simulation for the assessment of tsunami scenarios in southern Yogyakarta, central Java Island, Indonesia</t>
  </si>
  <si>
    <t>Coastal geomorphology and tsunami hazard scenario along the Kachchh coast, Western India</t>
  </si>
  <si>
    <t>Modelling climate change impacts on the flood pulse in the lower mekong floodplains</t>
  </si>
  <si>
    <t>Orissa (NE coast of India; 17° 49' N to 22° 34' N, 81° 27' E to 87° 29' E)</t>
  </si>
  <si>
    <t>ca. 0-375 km</t>
  </si>
  <si>
    <t>Development of a coastal vulnerability index for Orissa (including 8 relative risk variables)</t>
  </si>
  <si>
    <t>90 (resampled to 1000)</t>
  </si>
  <si>
    <t>local DTM data is only used for classifying geomorphology</t>
  </si>
  <si>
    <t>Coastal vulnerability assessment for Orissa State, East Coast of India</t>
  </si>
  <si>
    <t>Impacts of climate change on the Senegalese coastal zones: Examples of the Cap Vert peninsula and Saloum estuary</t>
  </si>
  <si>
    <t>Sea-level rise vulnerability in the countries of the Coral Triangle</t>
  </si>
  <si>
    <t>Global (33 deltas)</t>
  </si>
  <si>
    <t>Deltaic flood vulnerability due to subsidence</t>
  </si>
  <si>
    <t>Sinking deltas due to human activities</t>
  </si>
  <si>
    <t>GIS analysis of global impacts from sea level rise</t>
  </si>
  <si>
    <t>National assessment of sea level rise using topographic and census data for Turkish coastal zone</t>
  </si>
  <si>
    <t>Synthetic Aperture Radar interferometry (dual antennas); topographic; not documented for topographic map data</t>
  </si>
  <si>
    <t>Albers Equal Area projection</t>
  </si>
  <si>
    <t>Elevation-based assessments taken from Mulligan (2007) and Titus and Richman (2001)</t>
  </si>
  <si>
    <t>California, Florida, New Jersey, South Carolina (USA)</t>
  </si>
  <si>
    <t>ca. 0-158 km</t>
  </si>
  <si>
    <r>
      <rPr>
        <b/>
        <sz val="11"/>
        <rFont val="Aptos Narrow"/>
        <family val="2"/>
        <scheme val="minor"/>
      </rPr>
      <t>not documented</t>
    </r>
    <r>
      <rPr>
        <sz val="11"/>
        <rFont val="Aptos Narrow"/>
        <family val="2"/>
        <scheme val="minor"/>
      </rPr>
      <t xml:space="preserve"> (Geoid?; multiple)</t>
    </r>
  </si>
  <si>
    <r>
      <rPr>
        <b/>
        <sz val="11"/>
        <rFont val="Aptos Narrow"/>
        <family val="2"/>
        <scheme val="minor"/>
      </rPr>
      <t>not documented</t>
    </r>
    <r>
      <rPr>
        <sz val="11"/>
        <rFont val="Aptos Narrow"/>
        <family val="2"/>
        <scheme val="minor"/>
      </rPr>
      <t xml:space="preserve"> (EGM96?; NGVD, NAVD88)</t>
    </r>
  </si>
  <si>
    <t>11/02/2000 to 22/02/2000; 1999?</t>
  </si>
  <si>
    <r>
      <t>not documented</t>
    </r>
    <r>
      <rPr>
        <sz val="11"/>
        <rFont val="Aptos Narrow"/>
        <family val="2"/>
        <scheme val="minor"/>
      </rPr>
      <t xml:space="preserve"> (30? 90?; )</t>
    </r>
  </si>
  <si>
    <t>Population and Environment</t>
  </si>
  <si>
    <t>https://doi.org/10.1007/s11111-011-0136-2</t>
  </si>
  <si>
    <t>Curtis, K.J., Schneider, A.</t>
  </si>
  <si>
    <t>Impact assessment of DEM choice on exposure assessment in LECZ</t>
  </si>
  <si>
    <t>GTOPO; GLOBE; SRTM</t>
  </si>
  <si>
    <t>DSM; DSM/DTM?; DSM</t>
  </si>
  <si>
    <t>90° N to 90° S; 90° N to 90° S; 60° N to 56° S</t>
  </si>
  <si>
    <t>1993 to 1996; 1950s to 1998; 11/02/2000 to 22/02/2000</t>
  </si>
  <si>
    <t>Combination of different elevation datasets; Combination of 6 gridded DEMs and 5 cartographic sources; Synthetic Aperture Radar interferometry (dual antennas)</t>
  </si>
  <si>
    <r>
      <t>multiple (</t>
    </r>
    <r>
      <rPr>
        <b/>
        <sz val="11"/>
        <rFont val="Aptos Narrow"/>
        <family val="2"/>
        <scheme val="minor"/>
      </rPr>
      <t>which MSL?</t>
    </r>
    <r>
      <rPr>
        <sz val="11"/>
        <rFont val="Aptos Narrow"/>
        <family val="2"/>
        <scheme val="minor"/>
      </rPr>
      <t>; MSL?; EGM96); no documentation about alignment of DEM data</t>
    </r>
  </si>
  <si>
    <t>World Mollweide Equal Area projection</t>
  </si>
  <si>
    <t>1000; 1000; 1000</t>
  </si>
  <si>
    <t>Though elevation data were handled individually, statistics resulting from the conducted calculations are hardly comparable as the elevation datasets are referenced to different vertical datums</t>
  </si>
  <si>
    <t>https://doi.org/10.2112/JCOASTRES-D-10-00072.1</t>
  </si>
  <si>
    <t>Lichter, M., Vafeidis, A.T., Nicholls, R.J., Kaiser, G.</t>
  </si>
  <si>
    <t>Assessment of potential SLR impact on coastal wetland communities</t>
  </si>
  <si>
    <t>Coastal wetlands of northeaster New South Wales</t>
  </si>
  <si>
    <t>ca. 0-66 km</t>
  </si>
  <si>
    <t>https://doi.org/10.1007/s11852-010-0114-3</t>
  </si>
  <si>
    <t>Akumu, C.E., Pathirana, S., Baban, S., Bucher, D.</t>
  </si>
  <si>
    <t>Modelling extratropical storm surge and inundation</t>
  </si>
  <si>
    <t>Transactions of Tianjin University</t>
  </si>
  <si>
    <t>https://doi.org/10.1007/s12209-011-1515-6</t>
  </si>
  <si>
    <t>Li, D., Fu, Q., Xie, Y., Bai, L.</t>
  </si>
  <si>
    <t>Catania City, eastern Sicily (Italy)</t>
  </si>
  <si>
    <t>SRTM; DRPC-CT</t>
  </si>
  <si>
    <t>DSM; not documented</t>
  </si>
  <si>
    <t>90; 1:10000</t>
  </si>
  <si>
    <t>WGS84 UTM33N</t>
  </si>
  <si>
    <t>https://doi.org/10.5194/nhess-11-1217-2011</t>
  </si>
  <si>
    <t>Tonini, R., Armigliato, A., Pagnoni, G., Zaniboni, F., Tinti, S.</t>
  </si>
  <si>
    <t>Quantification of potential consequences of climate change</t>
  </si>
  <si>
    <t>Study applies the DIVA model in which elevation data is implemented, however, was not documented here</t>
  </si>
  <si>
    <t>Proceedings of the National Academy of Sciences of the United States of America</t>
  </si>
  <si>
    <t>https://doi.org/10.1073/pnas.1011612108</t>
  </si>
  <si>
    <t>Ciscar, J.-C., Iglesias, A., Feyen, L., Szabó, L., Van Regemorter, D., Amelung, B., Nicholls, R., Watkiss, P., Christensen, O.B., Dankers, R., Garrote, L., Goodess, C.M., Hunt, A., Moreno, A., Richards, J., Soria, A.</t>
  </si>
  <si>
    <t>Assessment of DEM performance for simple static flood inundation model</t>
  </si>
  <si>
    <t>Lower Limpopo Basin (Mozambique)</t>
  </si>
  <si>
    <t>ca. 0-169 km</t>
  </si>
  <si>
    <t>SRTM; Hydro-1k DEM; topographic map elevation data</t>
  </si>
  <si>
    <t xml:space="preserve"> 60° N to 56° S; 90° N to 90° S; local</t>
  </si>
  <si>
    <t>Synthetic Aperture Radar interferometry (dual antennas); Combination of different elevation datasets; not documented</t>
  </si>
  <si>
    <r>
      <rPr>
        <b/>
        <sz val="11"/>
        <color theme="1"/>
        <rFont val="Aptos Narrow"/>
        <family val="2"/>
        <scheme val="minor"/>
      </rPr>
      <t>not documented</t>
    </r>
    <r>
      <rPr>
        <sz val="11"/>
        <color theme="1"/>
        <rFont val="Aptos Narrow"/>
        <family val="2"/>
        <scheme val="minor"/>
      </rPr>
      <t xml:space="preserve"> (Geoid?; Tidal?; )</t>
    </r>
  </si>
  <si>
    <r>
      <t xml:space="preserve">not documented </t>
    </r>
    <r>
      <rPr>
        <sz val="11"/>
        <color theme="1"/>
        <rFont val="Aptos Narrow"/>
        <family val="2"/>
        <scheme val="minor"/>
      </rPr>
      <t>(EGM96?; which MSL?; )</t>
    </r>
  </si>
  <si>
    <t>4.21 (standard deviation); 10.88 (standard deviation)</t>
  </si>
  <si>
    <t>Clarke 1866 UTM36S</t>
  </si>
  <si>
    <t>Accuracy assessment of elevation data based on comparison with elevations from topographic maps; however, no documentation on whether and how potential offsets between vertical reference systems were considered</t>
  </si>
  <si>
    <t>International Journal of Remote Sensing</t>
  </si>
  <si>
    <t>https://doi.org/10.1080/01431160903464112</t>
  </si>
  <si>
    <t>Karlsson, J.M., Arnberg, W.</t>
  </si>
  <si>
    <t>https://doi.org/10.1007/s10584-010-9977-4</t>
  </si>
  <si>
    <t>Hanson, S., Nicholls, R., Ranger, N., Hallegatte, S., Corfee-Morlot, J., Herweijer, C., Chateau, J.</t>
  </si>
  <si>
    <t>http://dx.doi.org/10.2307/40605480</t>
  </si>
  <si>
    <t>Kumar, T.S., Mahendra, R.S., Nayak, S., Radhakrishnan, K., Sahu, K.C.</t>
  </si>
  <si>
    <t>Side info: 1.1 to 1.6 m RMSE in deltaic lowlands (Schumann et al. 2008)</t>
  </si>
  <si>
    <r>
      <rPr>
        <b/>
        <sz val="11"/>
        <rFont val="Aptos Narrow"/>
        <family val="2"/>
        <scheme val="minor"/>
      </rPr>
      <t xml:space="preserve">not documented </t>
    </r>
    <r>
      <rPr>
        <sz val="11"/>
        <rFont val="Aptos Narrow"/>
        <family val="2"/>
        <scheme val="minor"/>
      </rPr>
      <t>(30? 90?)</t>
    </r>
  </si>
  <si>
    <t>Nature Geoscience</t>
  </si>
  <si>
    <t>https://doi.org/10.1038/ngeo629</t>
  </si>
  <si>
    <t>Syvitski, J.P.M., Kettner, A.J., Overeem, I., Hutton, E.W.H., Hannon, M.T., Brakenridge, G.R., Day, J., Vörösmarty, C., Saito, Y., Giosan, L., Nicholls, R.J.</t>
  </si>
  <si>
    <t>Assessment of SLR impact and identification of adaptation measures</t>
  </si>
  <si>
    <t>No specification of elevation given; Link to reference (Rekacewicz and Simonett, without date) is expired</t>
  </si>
  <si>
    <t>WIT Transactions on Ecology and the Environment</t>
  </si>
  <si>
    <t>http://dx.doi.org/10.2495/CP110041</t>
  </si>
  <si>
    <t>Eldeberky, Y.</t>
  </si>
  <si>
    <t>Assessment of climate-change impact</t>
  </si>
  <si>
    <t>Assessment of climate-change impact and potential adaptation options</t>
  </si>
  <si>
    <t>Cap Vert Peninsula, Saloum Estuary (Senegal)</t>
  </si>
  <si>
    <r>
      <rPr>
        <b/>
        <sz val="11"/>
        <rFont val="Aptos Narrow"/>
        <family val="2"/>
        <scheme val="minor"/>
      </rPr>
      <t>not documented</t>
    </r>
    <r>
      <rPr>
        <sz val="11"/>
        <rFont val="Aptos Narrow"/>
        <family val="2"/>
        <scheme val="minor"/>
      </rPr>
      <t xml:space="preserve"> (Niang-Diop et al., 2000)</t>
    </r>
  </si>
  <si>
    <t>No specification of elevation given; the provided reference (Niang-Diop et al., 2000) does not entail any information about the elevation data used to map elevation-based SLR impact</t>
  </si>
  <si>
    <t>ca. 0-68 km</t>
  </si>
  <si>
    <t>https://doi.org/10.1016/j.gloplacha.2010.01.005</t>
  </si>
  <si>
    <t>Niang, I., Dansokho, M., Faye, S., Gueye, K., Ndiaye, P.</t>
  </si>
  <si>
    <t>Coastal Turkey</t>
  </si>
  <si>
    <t>https://doi.org/10.1007/s10661-008-0495-z</t>
  </si>
  <si>
    <r>
      <t xml:space="preserve">Kuleli, T., </t>
    </r>
    <r>
      <rPr>
        <sz val="11"/>
        <color theme="1"/>
        <rFont val="Aptos Narrow"/>
        <family val="2"/>
      </rPr>
      <t>Şenkal, O., Erdem, M.</t>
    </r>
  </si>
  <si>
    <t>1000; 4000; 10000</t>
  </si>
  <si>
    <t>GLOBE; ETOPO2; ETOPO5</t>
  </si>
  <si>
    <t>DSM/DTM?; DSM (?); DSM (?)</t>
  </si>
  <si>
    <t xml:space="preserve">90° N to 90° S; ; </t>
  </si>
  <si>
    <t>1950s to 1998; 01/01/1940 to 01/01/2008; 01/01/1940 to 01/01/2008</t>
  </si>
  <si>
    <t>Combination of 6 gridded DEMs and 5 cartographic sources; Combination of diverse global and regional datasets; Combination of diverse global and regional datasets</t>
  </si>
  <si>
    <r>
      <rPr>
        <b/>
        <sz val="11"/>
        <rFont val="Aptos Narrow"/>
        <family val="2"/>
        <scheme val="minor"/>
      </rPr>
      <t>not documented</t>
    </r>
    <r>
      <rPr>
        <sz val="11"/>
        <rFont val="Aptos Narrow"/>
        <family val="2"/>
        <scheme val="minor"/>
      </rPr>
      <t xml:space="preserve"> (Tidal? (</t>
    </r>
    <r>
      <rPr>
        <b/>
        <sz val="11"/>
        <rFont val="Aptos Narrow"/>
        <family val="2"/>
        <scheme val="minor"/>
      </rPr>
      <t>due to different datums of source data, the DEM contains offsets</t>
    </r>
    <r>
      <rPr>
        <sz val="11"/>
        <rFont val="Aptos Narrow"/>
        <family val="2"/>
        <scheme val="minor"/>
      </rPr>
      <t>); "Generic sea level" (various datums without considering offset); "Generic sea level" (various datums without considering offset)</t>
    </r>
  </si>
  <si>
    <r>
      <t xml:space="preserve">MSL?; </t>
    </r>
    <r>
      <rPr>
        <b/>
        <sz val="11"/>
        <rFont val="Aptos Narrow"/>
        <family val="2"/>
        <scheme val="minor"/>
      </rPr>
      <t>not documented</t>
    </r>
    <r>
      <rPr>
        <sz val="11"/>
        <rFont val="Aptos Narrow"/>
        <family val="2"/>
        <scheme val="minor"/>
      </rPr>
      <t xml:space="preserve"> (various); </t>
    </r>
    <r>
      <rPr>
        <b/>
        <sz val="11"/>
        <rFont val="Aptos Narrow"/>
        <family val="2"/>
        <scheme val="minor"/>
      </rPr>
      <t>not documented</t>
    </r>
    <r>
      <rPr>
        <sz val="11"/>
        <rFont val="Aptos Narrow"/>
        <family val="2"/>
        <scheme val="minor"/>
      </rPr>
      <t xml:space="preserve"> (various)</t>
    </r>
  </si>
  <si>
    <t>Photogrammetric Engineering and Remote Sensing</t>
  </si>
  <si>
    <t>http://dx.doi.org/10.14358/PERS.75.7.807</t>
  </si>
  <si>
    <t>Li, X., Rowley, R.J., Kostelnick, J.C., Braaten, D., Meisel, J., Hulbutta, K.</t>
  </si>
  <si>
    <t>Simulation of hurricane-induced storm surge, waves and coastal inundation</t>
  </si>
  <si>
    <t>Northeastern Gulf of Mexico Region</t>
  </si>
  <si>
    <t>Ocean Modelling</t>
  </si>
  <si>
    <t>Geoid (with tide gauge reference)</t>
  </si>
  <si>
    <t>https://doi.org/10.1016/j.ocemod.2010.09.004</t>
  </si>
  <si>
    <t>Sheng, Y.P., Zhang, Y., Paramygin, V.A.</t>
  </si>
  <si>
    <t>Tamil Nadu coast (India)</t>
  </si>
  <si>
    <t>90 ("resampled" (i.e. divided) to 30)</t>
  </si>
  <si>
    <t>Link to DEM reference is expired now; Water bodies were not masked and consequently affect the outcomes of the assessment; No resampling algorithm applied but pixels were divided to derive 30 m spatial resolution</t>
  </si>
  <si>
    <t>https://doi.org/10.1007/s12524-011-0067-5</t>
  </si>
  <si>
    <t>Ramasamy, S.M., Kumanan, C.J., Saravanavel, J., Rajawat, A.S., Tamilarasan, V., Ajay</t>
  </si>
  <si>
    <t>Indonesia, Malaysia, Philippines, East Timor, Papua New Guinea, Solomon Islands</t>
  </si>
  <si>
    <t>https://doi.org/10.1007/s11625-010-0105-1</t>
  </si>
  <si>
    <t>Mcleod, E., Hinkel, J., Vafeidis, A.T., Nicholls, R.J., Harvey, N., Salm, R.</t>
  </si>
  <si>
    <t>Assessment of potential tsunami impact</t>
  </si>
  <si>
    <t>Yogyakarta, central Java (Indonesia)</t>
  </si>
  <si>
    <t>ca. 0-54 km</t>
  </si>
  <si>
    <t>Bulletin of the International Institute of Seismology and Earthquake Engineering</t>
  </si>
  <si>
    <t>https://www.scopus.com/inward/record.uri?eid=2-s2.0-84875715580&amp;partnerID=40&amp;md5=ca55ead8f1f8db588ae5abae6b254990</t>
  </si>
  <si>
    <t>Prasetya, T., Imamura, F.</t>
  </si>
  <si>
    <t>Lower Mekong floodplains (Cambodia, Vietnam)</t>
  </si>
  <si>
    <t>ca. 0-344 km</t>
  </si>
  <si>
    <t>https://doi.org/10.2166/wcc.2010.008</t>
  </si>
  <si>
    <t>Västilä, K., Kummu, M., Sangmanee, C., Chinvanno, S.</t>
  </si>
  <si>
    <t>Kachchh coast (India)</t>
  </si>
  <si>
    <t>Assessment of coastal landforms to respond to tsunami surge</t>
  </si>
  <si>
    <t>60° N to 56° S; 83° N to 83° S</t>
  </si>
  <si>
    <t>Indian Journal of Marine Sciences</t>
  </si>
  <si>
    <t>Shukla, S.B., Prizomwala, S.P., Ukey, V., Bhatt, N., Chamyal, L.S.</t>
  </si>
  <si>
    <t>https://www.scopus.com/inward/record.uri?eid=2-s2.0-78751477881&amp;partnerID=40&amp;md5=9620641d292ab387082580e0ae6c26b9</t>
  </si>
  <si>
    <t>https://doi.org/10.1080/19475705.2010.516912</t>
  </si>
  <si>
    <t>Hereher, M.E.</t>
  </si>
  <si>
    <t>Modeling surge dynamics improves coastal flood estimates in a global set of tropical cyclones</t>
  </si>
  <si>
    <t>Impact of tropical cyclones and socioeconomic exposure on flood risk distribution in the Mekong Basin</t>
  </si>
  <si>
    <t>Effective Adaptation Options to Alleviate Nuisance Flooding in Coastal Megacities—Learning From Ho Chi Minh City, Vietnam</t>
  </si>
  <si>
    <t>Coastal resilience and adaptation strategies: Natural habitats for coastal protection and Atlantic forest restoration on the coast of the Rio de Janeiro state</t>
  </si>
  <si>
    <t>Spatiotemporal evolution and influencing factors of flood resilience in Beibu Gulf Urban Agglomeration</t>
  </si>
  <si>
    <t>Introducing a climate, demographics, and infrastructure multi-module workflow for projected flood risk mapping in the greater Pamba River Basin, Kerala, India</t>
  </si>
  <si>
    <t>Impacts of Sea-Level Rise on Coastal Groundwater Table Simulated by an Earth System Model With a Land-Ocean Coupling Scheme</t>
  </si>
  <si>
    <t>Optimizing flood risk modelling with high-resolution remote sensing data and analytic hierarchy process</t>
  </si>
  <si>
    <t>Google Earth</t>
  </si>
  <si>
    <t>A framework to evaluate the impact of a hazard chain and geographical covariates on spatial extreme water levels: A case study in the Pearl River Delta</t>
  </si>
  <si>
    <r>
      <rPr>
        <b/>
        <sz val="11"/>
        <color theme="1"/>
        <rFont val="Aptos Narrow"/>
        <family val="2"/>
        <scheme val="minor"/>
      </rPr>
      <t>not documented</t>
    </r>
    <r>
      <rPr>
        <sz val="11"/>
        <color theme="1"/>
        <rFont val="Aptos Narrow"/>
        <family val="2"/>
        <scheme val="minor"/>
      </rPr>
      <t xml:space="preserve"> (elevatr)</t>
    </r>
  </si>
  <si>
    <t>Forecasting of compound ocean-fluvial floods using machine learning</t>
  </si>
  <si>
    <t>Socioeconomic impacts from coastal flooding in the 21st century China's coastal zone: A coupling analysis between coastal flood risk and socioeconomic development</t>
  </si>
  <si>
    <t>Coastal adaptation and migration dynamics under future shoreline changes</t>
  </si>
  <si>
    <t>Hidden Threat: The Influence of Sea-Level Rise on Coastal Groundwater and the Convergence of Impacts on Municipal Infrastructure</t>
  </si>
  <si>
    <t>CoastalDEM v2.1</t>
  </si>
  <si>
    <t>ForeINTiFlood: A Novel Framework for Forensic Investigation of Coastal Tidal Floods in The Pekalongan Coastal Area, Central Java, Indonesia</t>
  </si>
  <si>
    <t>Provision of a computational efficient, globally applicable modelling approach of ocean surge and coastal inundation dynamics</t>
  </si>
  <si>
    <t>SRTM15+; CoastalDEM v2.1; MERIT DEM</t>
  </si>
  <si>
    <t>DSM; nearly DTM; DSM/DTM</t>
  </si>
  <si>
    <t>60° N to 56° S; 60° N to 56° S; 60° N to 56° S</t>
  </si>
  <si>
    <t>11/02/2000 to 22/02/2000; 11/02/2000 to 22/02/2000 (source SRTM); 11/02/2000 to 22/02/2000 (source SRTM)</t>
  </si>
  <si>
    <t>Synthetic Aperture Radar interferometry (dual antennas); Correction of NASADEM by training with ICESat 2 satellite LiDAR data and using additional population and vegetation datasets in a neural network; SRTM with removal of tree heights</t>
  </si>
  <si>
    <t>SRTM with removal of tree heights; Correction of NASADEM by training with ICESat 2 satellite LiDAR data and using additional population and vegetation datasets in a neural network</t>
  </si>
  <si>
    <t>500 (resampled to 90); 90; 90</t>
  </si>
  <si>
    <t>https://doi.org/10.1038/s43247-024-01707-x</t>
  </si>
  <si>
    <t>Vogt, T., Treu, S., Mengel, M., Frieler, K., Otto, C.</t>
  </si>
  <si>
    <t>Assessment of tropical cyclone impact and socioeconomic exposure on spatiotemporal changes in flood risk</t>
  </si>
  <si>
    <t>Mekong River Basin</t>
  </si>
  <si>
    <t>https://doi.org/10.1038/s43247-024-01868-9</t>
  </si>
  <si>
    <t>Chen, A., Pokhrel, Y., Chen, D., Huang, H., Dai, Z., He, B., Wang, J., Li, J., Wang, H., Liu, J.</t>
  </si>
  <si>
    <t>Assessment of flood risk and effectiveness of adaptation options</t>
  </si>
  <si>
    <t>ca. 41-69 km</t>
  </si>
  <si>
    <t>https://doi.org/10.1029/2024EF004766</t>
  </si>
  <si>
    <t>Scheiber, L., Sairam, N., Jalloul, M.H., Shahi, K.R., Jordan, C., Visscher, J., Zadeh, T.E., Oostwegel, L.J.N., Schorlemmer, D., Son, N.T., Quan, H.N., Schlurmann, T., Garschagen, M., Kreibich, H.</t>
  </si>
  <si>
    <t>Coastal Rio de Janeiro state (Brazil)</t>
  </si>
  <si>
    <t>Link does not lead to any specification of the elevation data used but just to the general repository</t>
  </si>
  <si>
    <t>https://doi.org/10.1016/j.ijdrr.2024.104861</t>
  </si>
  <si>
    <t>Henud, I.R., Póvoa, A.A., Tavares, M.G., Soares-Gomes, A.</t>
  </si>
  <si>
    <t>WGS84 Albers Conic Equal-Area Projection</t>
  </si>
  <si>
    <t>Beibu Gulf Urban Agglomeration (China)</t>
  </si>
  <si>
    <t>ca. 0-277 km</t>
  </si>
  <si>
    <t>Provision of dynamic evaluation index system on the "Robustness-Resistance-Recovery" framework and application to case study</t>
  </si>
  <si>
    <t>https://doi.org/10.1016/j.ijdrr.2024.104905</t>
  </si>
  <si>
    <t>Deng, J., Zhang, R., Chen, S., Li, Z., Gao, L., Li, Y., Wei, C.</t>
  </si>
  <si>
    <t>Greater Pamba River Basin, Kerala (India)</t>
  </si>
  <si>
    <t>Provision of a multi-module integration framework for flood risk evaluation and application to case study</t>
  </si>
  <si>
    <t>ca. 0-98 km</t>
  </si>
  <si>
    <t>https://doi.org/10.1016/j.ijdrr.2024.104780</t>
  </si>
  <si>
    <r>
      <t>Gr, A.N., S, A., Mu</t>
    </r>
    <r>
      <rPr>
        <sz val="11"/>
        <color theme="1"/>
        <rFont val="Aptos Narrow"/>
        <family val="2"/>
      </rPr>
      <t>ñ</t>
    </r>
    <r>
      <rPr>
        <sz val="11"/>
        <color theme="1"/>
        <rFont val="Aptos Narrow"/>
        <family val="2"/>
        <scheme val="minor"/>
      </rPr>
      <t>oz-Arriola, F.</t>
    </r>
  </si>
  <si>
    <t>Discussion of SLR-influenced coastal groundwater and related processes to damage critical infrastructure and contaminating urban environments as well as proposal of actions</t>
  </si>
  <si>
    <t>Correction of NASADEM by training with ICESat 2 satellite LiDAR data and using additional population and vegetation datasets in a neural network</t>
  </si>
  <si>
    <t>11/02/2000 to 22/02/2000 (source SRTM)</t>
  </si>
  <si>
    <t>Free (only 90 m resolution)</t>
  </si>
  <si>
    <t>Annual Review of Marine Science</t>
  </si>
  <si>
    <t>https://doi.org/10.1146/annurev-marine-020923-120737</t>
  </si>
  <si>
    <t>Habel, S., Fletcher, C.H., Barbee, M.M., Fornace, K.L.</t>
  </si>
  <si>
    <t>Provision of a novel approach for modelling and forecasting compound coastal-fluvial floods and application to case study</t>
  </si>
  <si>
    <t>Cork City (Ireland)</t>
  </si>
  <si>
    <t>ca. 15-20 km</t>
  </si>
  <si>
    <t>https://doi.org/10.1016/j.jenvman.2024.121295</t>
  </si>
  <si>
    <t>Moradian, S., AghaKouchak, A., Gharbia, S., Broderick, C., Olbert, A.I.</t>
  </si>
  <si>
    <t>Provision of a land-ocean hydrologic coupling scheme to assess impacts of SLR on coastal groundwater systems and hydrologic cycles</t>
  </si>
  <si>
    <t>MERIT DEM; HydroSHEDs</t>
  </si>
  <si>
    <t>DSM/DTM; DSM</t>
  </si>
  <si>
    <t>11/02/2000 to 22/02/2000 (SRTM); 11/02/2000 to 22/02/2000 (SRTM)</t>
  </si>
  <si>
    <t>SRTM with removal of tree heights; Hydrological conditioning of SRTM</t>
  </si>
  <si>
    <t>90; 90</t>
  </si>
  <si>
    <t>https://doi.org/10.1029/2024EF004479</t>
  </si>
  <si>
    <t>Xu, D., Bisht, G., Feng, D., Tan, Z., Li, L., Qiu, H., Leung, L.R.</t>
  </si>
  <si>
    <t>Optimisation of flood risk assessment</t>
  </si>
  <si>
    <t>Korley Klottey Municipality, Greater Accra Metropolitan Area (Ghana)</t>
  </si>
  <si>
    <t>Though Google Earth imagery from 2020 was used (i.e. acquisition date: 17/02/2020), the underlying elevation data is likely older. Google Earth elevation data is hardly specified (general issue of Google Earth elevation data), however, seems to trace back to SRTM</t>
  </si>
  <si>
    <t>SN Social Sciences</t>
  </si>
  <si>
    <t>https://doi.org/10.1007/s43545-024-00909-6</t>
  </si>
  <si>
    <t>Yiran, G.A.B., Kwang, C., Blagogie, L.</t>
  </si>
  <si>
    <t>Provision of a multivariate spatial extreme value hierarchical framework to assess extreme water levels at different return levels under the influence of hazard chain and geographical covariates and application to case study</t>
  </si>
  <si>
    <t>Though She et al. (2024) provide reference to the description of the elevatr package used, neither they nor the R package description specify the elevation dataset used in this study.</t>
  </si>
  <si>
    <t>Guangdong-Hong Kong-Macao Greater Bay Area in Pearl River Estuary (China)</t>
  </si>
  <si>
    <t>ca. 0-126 km</t>
  </si>
  <si>
    <t>https://doi.org/10.1016/j.scitotenv.2024.172066</t>
  </si>
  <si>
    <t>She, Z., Liu, Z., Cai, H., Liu, H., Song, Y., Li, B., Lan, X., Jiang, T.</t>
  </si>
  <si>
    <t>Quantification of GDP and population affected by coastal flooding under various climate scenarios</t>
  </si>
  <si>
    <t>ca. 0-271 km</t>
  </si>
  <si>
    <t>Coastal China (excluding Hong Kong, Macao, Taiwan and islands in the South China Sea)</t>
  </si>
  <si>
    <t>90 (resampled to 100?)</t>
  </si>
  <si>
    <t>Elevation data as used by Xu et al. (2022; https://doi.org/10.1016/j.ecss.2022.108155)</t>
  </si>
  <si>
    <t>https://doi.org/10.1016/j.scitotenv.2024.170187</t>
  </si>
  <si>
    <t>Xu, H., Hou, X., Pan, S., Bray, M., Wang, C.</t>
  </si>
  <si>
    <t>Provision of a novel framework to model coastal adaptation and migration dynamics under SLR and shoreline change</t>
  </si>
  <si>
    <t>Reference to Ward et al. (2020; https://openresearch.amsterdam/image/2021/10/28/aqueduct_floods_methodology.pdf) entails all information regarding elevation</t>
  </si>
  <si>
    <t>Coastal France</t>
  </si>
  <si>
    <t>https://doi.org/10.1016/j.scitotenv.2024.170239</t>
  </si>
  <si>
    <t>Tierolf, L., Haer, T., Athanasiou, P., Luijendijk, A.P., Botzen, W.J.W., Aerts, J.C.J.H.</t>
  </si>
  <si>
    <t>Pekalongan Coastal Area, central Java (Indonesia)</t>
  </si>
  <si>
    <t>Provision of the Forensic Investigations Tidal Flood (ForeINTiFlood) framework to investigate tidal floods and application to case study</t>
  </si>
  <si>
    <t>https://doi.org/10.1007/s41748-024-00447-4</t>
  </si>
  <si>
    <t>Yulianto, F., Wibowo, M., Yananto, A., Perdana, D.H.F., Prabowo, Y., Wiguna, E.A., Khoirunnisa, H., Aziz, H., Nurwijayanti, A., Fachrudin, I., Kongko, W.</t>
  </si>
  <si>
    <t>Assessment of spatial cyclone surge susceptibility through GIS-based AHP multi-criteria analysis and frequency ratio: a case study from the Bangladesh coast</t>
  </si>
  <si>
    <t>TSUNAMI EVACUATION MODEL IN THE PANIMBANG SUBDISTRICT, BANTEN PROVINCE, INDONESIA: GIS-AND AGENT-BASED MODELING APPROACHES</t>
  </si>
  <si>
    <t>Novel integrated modelling based on multiplicative long short-term memory (mLSTM) deep learning model and ensemble multi-criteria decision making (MCDM) models for mapping flood risk</t>
  </si>
  <si>
    <t>Integrating flood risk assessment and management based on HV-SS model: A case study of the Pearl River Delta, China</t>
  </si>
  <si>
    <t>Scenario-based hydrodynamic simulation of adaptive strategies for urban design to improve flood resilience: A case study of the Mingzhu Bay Region, Guangzhou, Greater Bay Area</t>
  </si>
  <si>
    <t>Analysing the Role of AHP Model to Identify Flood Hazard Zonation in a Coastal Island, India</t>
  </si>
  <si>
    <t>Instrumenting GIS as Smart City Tools to Identify the Impact of Tidal Flood Threat in the Coastal Zone of Pekalongan City</t>
  </si>
  <si>
    <t>Climate change and human activity impacts on future flood risk in the Pearl River Delta based on the MaxEnt model</t>
  </si>
  <si>
    <t>Quantitative risk assessment of typhoon storm surge for multi-risk sources</t>
  </si>
  <si>
    <t>Sea Level and Socioeconomic Uncertainty Drives High-End Coastal Adaptation Costs</t>
  </si>
  <si>
    <t>TIDAL FLOOD MODEL PROJECTION USING LAND SUBSIDENCE PARAMETER IN PONTIANAK, INDONESIA</t>
  </si>
  <si>
    <t>Finite Element Modeling of Tsunami-induced Water Levels and Associated Inundation Extent: A Case Study of the 26th December 2004 Indian Ocean Tsunami</t>
  </si>
  <si>
    <t>SRTM; ASTER; NASADEM; ALOS</t>
  </si>
  <si>
    <t>Impacts of sea-level rise on groundwater inundation and river floods under changing climate</t>
  </si>
  <si>
    <t>Tsunami modeling and inundation maps of the ∼M8.6, 1787 earthquake along the Oaxacan coast</t>
  </si>
  <si>
    <t>Coastal vulnerability assessment based on multi-hazards and bio-geophysical parameters. case study - northwestern coastline of Guinea-Bissau</t>
  </si>
  <si>
    <t>Tsunami impact assessment for low-lying cities along the Northern Atlantic coast of Morocco using MIRONE software</t>
  </si>
  <si>
    <t>Assessment of storm surge susceptibility</t>
  </si>
  <si>
    <t>Barguna Sadar Upazila (Bangladesh)</t>
  </si>
  <si>
    <t>https://doi.org/10.1080/19475705.2024.2368071</t>
  </si>
  <si>
    <t>Mamun, M.M.A.A., Zhang, L., Chen, B., Rahman, Z.U., Mahzabin, T., Zuo, J., Zhang, Q., Reza, S.A.</t>
  </si>
  <si>
    <t>http://dx.doi.org/10.21163/GT_2023.182.10</t>
  </si>
  <si>
    <t xml:space="preserve">Purbani, D., Marzuki, M.I., Ontowirjo, B., Zein, F.M., Tjahjo, D.W.H., Purnamaningtyas, S.E., Akhwady, R., Syam, A.R., Rahman, A., Sugianti, Y., Dody, S., Nastiti, A.S., Warsa, A., Astuti Yosmaniar, L.P., Kadarini, T., Prihadi, T.H., Wisha, U.J. </t>
  </si>
  <si>
    <t>Citeureup and Mekarsari Villages, Panimbang Subdistrict, Banten Province (Indonesia)</t>
  </si>
  <si>
    <t>Minab-Shamil plain (souther Iran)</t>
  </si>
  <si>
    <t>Provision of a flood risk mapping approach based on multiplicative long short-term memory deep-learning models and an multi-criteria decision making ensemble model</t>
  </si>
  <si>
    <t>ca. 0-88 km</t>
  </si>
  <si>
    <t>https://doi.org/10.1016/j.jenvman.2023.118838</t>
  </si>
  <si>
    <t>Mohammadifar, A., Gholami, H., Golzari, S.</t>
  </si>
  <si>
    <t>Provision of a Hazard-Vulnerability Source-Sink model and application to case study</t>
  </si>
  <si>
    <t>30? 100?</t>
  </si>
  <si>
    <t>ca. 0-294 km</t>
  </si>
  <si>
    <r>
      <rPr>
        <b/>
        <sz val="11"/>
        <rFont val="Aptos Narrow"/>
        <family val="2"/>
        <scheme val="minor"/>
      </rPr>
      <t>not documented</t>
    </r>
    <r>
      <rPr>
        <sz val="11"/>
        <rFont val="Aptos Narrow"/>
        <family val="2"/>
        <scheme val="minor"/>
      </rPr>
      <t xml:space="preserve"> (AW3D30?)</t>
    </r>
  </si>
  <si>
    <t>Reference link provided does not specify the elevation dataset used but just refers to the data repository; Zhu et al. (2023) document both resolutions and do not mention any resampling.</t>
  </si>
  <si>
    <r>
      <rPr>
        <b/>
        <sz val="11"/>
        <rFont val="Aptos Narrow"/>
        <family val="2"/>
        <scheme val="minor"/>
      </rPr>
      <t>not documented</t>
    </r>
    <r>
      <rPr>
        <sz val="11"/>
        <rFont val="Aptos Narrow"/>
        <family val="2"/>
        <scheme val="minor"/>
      </rPr>
      <t xml:space="preserve"> (80° N to 80° S)</t>
    </r>
  </si>
  <si>
    <r>
      <rPr>
        <b/>
        <sz val="11"/>
        <rFont val="Aptos Narrow"/>
        <family val="2"/>
        <scheme val="minor"/>
      </rPr>
      <t>not documented</t>
    </r>
    <r>
      <rPr>
        <sz val="11"/>
        <rFont val="Aptos Narrow"/>
        <family val="2"/>
        <scheme val="minor"/>
      </rPr>
      <t xml:space="preserve"> (24/01/2006 to 12/05/2011?)</t>
    </r>
  </si>
  <si>
    <r>
      <rPr>
        <b/>
        <sz val="11"/>
        <rFont val="Aptos Narrow"/>
        <family val="2"/>
        <scheme val="minor"/>
      </rPr>
      <t>not documented</t>
    </r>
    <r>
      <rPr>
        <sz val="11"/>
        <rFont val="Aptos Narrow"/>
        <family val="2"/>
        <scheme val="minor"/>
      </rPr>
      <t xml:space="preserve"> (Resampling AW3D (5 m resolution, based on optical stereo panchromatic imagery) by applying average and medium methods?)</t>
    </r>
  </si>
  <si>
    <t>https://doi.org/10.1016/j.ijdrr.2023.103963</t>
  </si>
  <si>
    <t>Zhu, Z., Zhang, S., Zhang, Y., Yao, R., Jin, H.</t>
  </si>
  <si>
    <t>linear assumption of SLR</t>
  </si>
  <si>
    <t>Mingzhu Bay Region, Nansha District, Guangzhou (China)</t>
  </si>
  <si>
    <t>River Research and Applications</t>
  </si>
  <si>
    <t>https://doi.org/10.1002/rra.3913</t>
  </si>
  <si>
    <t>Lu, P., Sun, Y.</t>
  </si>
  <si>
    <t>Provision of a hyperanalytic framework to evaluate adaptive strategies for improving flood resilience and application to case study</t>
  </si>
  <si>
    <t>Sagar Island, Hooghly River Estuary (India)</t>
  </si>
  <si>
    <t>WGS84 N45</t>
  </si>
  <si>
    <t>Roy et al. (2023) likely reproject the data to WGS84 UTM N45</t>
  </si>
  <si>
    <t>https://doi.org/10.1007/s12524-023-01697-x</t>
  </si>
  <si>
    <t>Roy, P.K., Ghosh, A., Basak, S.K., Mohinuddin, S., Roy, M.B.</t>
  </si>
  <si>
    <t>Pekalongan City, central Java (Indonesia)</t>
  </si>
  <si>
    <t>https://doi.org/10.13189/eer.2023.110208</t>
  </si>
  <si>
    <t>Environment and Ecology Research</t>
  </si>
  <si>
    <t>Wahyuddin, Y., Fernanda, A.R., Sabri, L.M., Ammarohman, F.J.</t>
  </si>
  <si>
    <t>Peark River Delta (China)</t>
  </si>
  <si>
    <t>Assessment of the impact of climate change and human activities on future flood risk</t>
  </si>
  <si>
    <t>https://doi.org/10.3389/feart.2022.1053829</t>
  </si>
  <si>
    <t>Zuo, D., Wu, C., Zheng, Y., Chen, X., Wang, L.</t>
  </si>
  <si>
    <t>Assessment of storm surge risk</t>
  </si>
  <si>
    <t>ca. 0-362 km</t>
  </si>
  <si>
    <r>
      <t xml:space="preserve">multiple (EGM (not further specified); National height datum 1985 for sea-level data): </t>
    </r>
    <r>
      <rPr>
        <b/>
        <sz val="11"/>
        <rFont val="Aptos Narrow"/>
        <family val="2"/>
        <scheme val="minor"/>
      </rPr>
      <t>Datum offset correction to sea-level data not considered</t>
    </r>
  </si>
  <si>
    <t>Elevation data was converted from WGS84 ellipsoid to EGM geoid (however no specification about the EGM geoid used); no alignment of the different vertical reference systems of elevation and sea-level data</t>
  </si>
  <si>
    <t>https://doi.org/10.1016/j.jenvman.2022.116860</t>
  </si>
  <si>
    <t>Zhang, S., Zhang, J., Li, X., Du, X., Zhao, T., Hou, Q., Jin, X.</t>
  </si>
  <si>
    <t>Assessment of the impact of uncertainties in SLR and socioeconomic conditions on coastal adaptation costs</t>
  </si>
  <si>
    <r>
      <rPr>
        <b/>
        <sz val="11"/>
        <rFont val="Aptos Narrow"/>
        <family val="2"/>
        <scheme val="minor"/>
      </rPr>
      <t>not documented</t>
    </r>
    <r>
      <rPr>
        <sz val="11"/>
        <rFont val="Aptos Narrow"/>
        <family val="2"/>
        <scheme val="minor"/>
      </rPr>
      <t xml:space="preserve"> (Tidal? (</t>
    </r>
    <r>
      <rPr>
        <b/>
        <sz val="11"/>
        <rFont val="Aptos Narrow"/>
        <family val="2"/>
        <scheme val="minor"/>
      </rPr>
      <t>due to different datums of source data, the DEM contains offsets</t>
    </r>
    <r>
      <rPr>
        <sz val="11"/>
        <rFont val="Aptos Narrow"/>
        <family val="2"/>
        <scheme val="minor"/>
      </rPr>
      <t>))</t>
    </r>
  </si>
  <si>
    <r>
      <rPr>
        <b/>
        <sz val="11"/>
        <rFont val="Aptos Narrow"/>
        <family val="2"/>
        <scheme val="minor"/>
      </rPr>
      <t>not documented</t>
    </r>
    <r>
      <rPr>
        <sz val="11"/>
        <rFont val="Aptos Narrow"/>
        <family val="2"/>
        <scheme val="minor"/>
      </rPr>
      <t xml:space="preserve"> (MSL?)</t>
    </r>
  </si>
  <si>
    <r>
      <rPr>
        <b/>
        <sz val="11"/>
        <rFont val="Aptos Narrow"/>
        <family val="2"/>
        <scheme val="minor"/>
      </rPr>
      <t>not documented</t>
    </r>
    <r>
      <rPr>
        <sz val="11"/>
        <rFont val="Aptos Narrow"/>
        <family val="2"/>
        <scheme val="minor"/>
      </rPr>
      <t xml:space="preserve"> (1000?)</t>
    </r>
  </si>
  <si>
    <t>https://doi.org/10.1029/2022EF003061</t>
  </si>
  <si>
    <t>Wong, T.E., Ledna, C., Rennels, L., Sheets, H., Errickson, F.C., Diaz, D., Anthoff, D.</t>
  </si>
  <si>
    <t>Assessment of the impact of land subsidence on tidal flooding</t>
  </si>
  <si>
    <t>ca. 13-24 km</t>
  </si>
  <si>
    <t>DSM (locally adjusted by subtracting mean absolute error very limited benchmarks)</t>
  </si>
  <si>
    <t>http://dx.doi.org/10.21163/GT_2022.172.12</t>
  </si>
  <si>
    <t>Ardianto, R., Ismanto, A., Sampurno, J., Widada, S.</t>
  </si>
  <si>
    <t>DEM was vertically adjusted by subtracting the mean absolute error of very limited benchmark elevation points (n = 8); no information how the vertical land motion component was integrated into the elevation data (linear assumption?)</t>
  </si>
  <si>
    <t>Modelling of tsunami wave height and associated coastal inundation</t>
  </si>
  <si>
    <t>DEM Ensemble from ALTM, CARTOSAT and SRTM</t>
  </si>
  <si>
    <t>Combination of ALTM (up to 2 km inland), CARTOSAT (up to 5 km inland) and SRTM</t>
  </si>
  <si>
    <r>
      <t xml:space="preserve">not documented </t>
    </r>
    <r>
      <rPr>
        <sz val="11"/>
        <rFont val="Aptos Narrow"/>
        <family val="2"/>
        <scheme val="minor"/>
      </rPr>
      <t>(likely multiple)</t>
    </r>
  </si>
  <si>
    <r>
      <rPr>
        <b/>
        <sz val="11"/>
        <rFont val="Aptos Narrow"/>
        <family val="2"/>
        <scheme val="minor"/>
      </rPr>
      <t>not documented</t>
    </r>
    <r>
      <rPr>
        <sz val="11"/>
        <rFont val="Aptos Narrow"/>
        <family val="2"/>
        <scheme val="minor"/>
      </rPr>
      <t xml:space="preserve"> (likely multiple; likely also datum offset correction to sea-level data not considered)</t>
    </r>
  </si>
  <si>
    <t>50 (ALTM and CARTOSAT were resampled)</t>
  </si>
  <si>
    <t>The generated DEM ensemble likely includes multiple vertical reference systems as elevation data of different geoid reference systems were combined; further vertical datum offsets are likely when the DEM ensemble is combined with bathymetry data from local bathymetric charts and GEBCO.</t>
  </si>
  <si>
    <t>Cuddalore coast, Tamil Nadu (India)</t>
  </si>
  <si>
    <t>Journal of the Geological Society of India</t>
  </si>
  <si>
    <t>https://doi.org/10.1007/s12594-022-2183-y</t>
  </si>
  <si>
    <t xml:space="preserve">Murty, P.L.N., Kolukula, S.S., Pattabhi Ramarao, E., Srinivasa Kumar, T. </t>
  </si>
  <si>
    <t>Assessment of SLR impact on groundwater inundation</t>
  </si>
  <si>
    <t>60° N to 56° S; 83° N to 83° S; 60° N to 56° S; 80° N to 80° S</t>
  </si>
  <si>
    <t>11/02/2000 to 22/02/2000; 01/2000 to 30/11/2013; 11/02/2000 to 22/02/2000; 24/01/2006 to 12/05/2011</t>
  </si>
  <si>
    <t>30; 30; 30; 12.5</t>
  </si>
  <si>
    <t>Synthetic Aperture Radar interferometry (dual antennas); Correlation of optical stereo near infrared imagery; Correction of SRTM (by void-filling and integrating ICESat/GLAS, ASTER, NDEM, GMTED2010 and Canadian elevation data); Resampling AW3D (5 m resolution, based on optical stereo panchromatic imagery) by applying average and medium methods</t>
  </si>
  <si>
    <t>Free; Free; Free; upon request</t>
  </si>
  <si>
    <t>EGM96; EGM96; EGM96; EGM96</t>
  </si>
  <si>
    <t>Southeastern Guangdong Province (China)</t>
  </si>
  <si>
    <t>https://doi.org/10.1016/j.jhydrol.2022.128554</t>
  </si>
  <si>
    <t>Yu, X., Luo, L., Hu, P., Tu, X., Chen, X., Wei, J.</t>
  </si>
  <si>
    <t>Salina Cruz, Huatulco, Mazunte-Puerto Ángel segment, Oaxacan coast (Mexico)</t>
  </si>
  <si>
    <t>Tsunami modelling and inundation mapping</t>
  </si>
  <si>
    <t>ca. 0-187 km</t>
  </si>
  <si>
    <t>No information whether or how potentially different vertical datums of elevation and bathymetry data (GEBCO, local nautic charts) were aligned.</t>
  </si>
  <si>
    <r>
      <rPr>
        <b/>
        <sz val="11"/>
        <rFont val="Aptos Narrow"/>
        <family val="2"/>
        <scheme val="minor"/>
      </rPr>
      <t>not documented</t>
    </r>
    <r>
      <rPr>
        <sz val="11"/>
        <rFont val="Aptos Narrow"/>
        <family val="2"/>
        <scheme val="minor"/>
      </rPr>
      <t xml:space="preserve"> (EGM96?; No information whether or how potentially different vertical datums of elevation and bathymetry data were aligned.)</t>
    </r>
  </si>
  <si>
    <t>https://doi.org/10.1016/j.jsames.2022.103982</t>
  </si>
  <si>
    <t>Tadibaght, A., El M'rini, A., Siame, L., Bellier, O.</t>
  </si>
  <si>
    <t>Solano-Hernández, E.A., Vázquez Caamal, L., Melgar, D.</t>
  </si>
  <si>
    <t>Assessment of tsunami impact</t>
  </si>
  <si>
    <t>Southwest Iberian Margin</t>
  </si>
  <si>
    <t>300, 60, 15, 10, 2 (nested grid)</t>
  </si>
  <si>
    <t>https://doi.org/10.1016/j.jafrearsci.2022.104580</t>
  </si>
  <si>
    <t>Assessment of coastal vulnerability based on multi‑hazards
and bio‑geophysical parameters</t>
  </si>
  <si>
    <t>Northwestern coastline of Guinea-Bissau</t>
  </si>
  <si>
    <r>
      <rPr>
        <b/>
        <sz val="11"/>
        <rFont val="Aptos Narrow"/>
        <family val="2"/>
        <scheme val="minor"/>
      </rPr>
      <t>not documented</t>
    </r>
    <r>
      <rPr>
        <sz val="11"/>
        <rFont val="Aptos Narrow"/>
        <family val="2"/>
        <scheme val="minor"/>
      </rPr>
      <t xml:space="preserve"> (USGS? Seatemperature.info?)</t>
    </r>
  </si>
  <si>
    <t>https://doi.org/10.1007/s11069-022-05420-w</t>
  </si>
  <si>
    <t>Lopes, N.D.R., Li, T., Matomela, N., Sá, R.M.</t>
  </si>
  <si>
    <t>Tsunami coastal hazard along the US East Coast from coseismic sources in the Açores convergence zone and the Caribbean arc areas</t>
  </si>
  <si>
    <t>SPATIAL MODELING OF TSUNAMIS AND TSUNAMI INUNDATION ANALYSIS OF “PANJANG” BEACH IN BENGKULU CITY, INDONESIA</t>
  </si>
  <si>
    <t>The Risk Mapping of Coastal Flooding Areas Due to Tsunami Wave Run-Up Using DAS Model and its Impact on Nekor Bay (Morocco)</t>
  </si>
  <si>
    <t>Do we prioritize floodplains for development and farming? Mapping global dependence and exposure to inundation</t>
  </si>
  <si>
    <t>Investigation of the character and impact of tropical cyclone Yaas: a study over coastal districts of West Bengal, India</t>
  </si>
  <si>
    <t>Flood hazard mapping for data-scarce and ungauged coastal river basins using advanced hydrodynamic models, high temporal-spatial resolution remote sensing precipitation data, and satellite imageries</t>
  </si>
  <si>
    <t>Flood inundation mapping and hazard assessment of Baitarani River basin using hydrologic and hydraulic model</t>
  </si>
  <si>
    <t>Enhancing urban flood resilience: A holistic framework incorporating historic worst flood to Yangtze River Delta, China</t>
  </si>
  <si>
    <t>Assessing flood-induced ecological vulnerability and risk using GIS-based in situ measurements in Bhagirathi sub-basin, India</t>
  </si>
  <si>
    <t>Regional analysis of multivariate compound coastal flooding potential around Europe and environs: Sensitivity analysis and spatial patterns</t>
  </si>
  <si>
    <r>
      <t>not documented</t>
    </r>
    <r>
      <rPr>
        <sz val="11"/>
        <color theme="1"/>
        <rFont val="Aptos Narrow"/>
        <family val="2"/>
        <scheme val="minor"/>
      </rPr>
      <t xml:space="preserve"> (ETOPO2?)</t>
    </r>
  </si>
  <si>
    <t>Numerical investigation of tsunami impact in newly developed tourism coast, case study: Melasti Beach</t>
  </si>
  <si>
    <t>Probabilistic Tsunami Hazard Assessment (PTHA) for Southeast Coast of Chinese Mainland and Taiwan Island</t>
  </si>
  <si>
    <t>Meteotsunami-related flooding and drying: numerical modeling of four Adriatic events</t>
  </si>
  <si>
    <t>Scenario-based economic and societal risk assessment of storm flooding in Shanghai</t>
  </si>
  <si>
    <t>Risk-based determination of polder height against storm surge Hazard in the south-west coastal area of Bangladesh</t>
  </si>
  <si>
    <t>Modelling of tsunami hazard</t>
  </si>
  <si>
    <t>East Coast of the United States of America</t>
  </si>
  <si>
    <t>https://doi.org/10.1007/s11069-021-05103-y</t>
  </si>
  <si>
    <t>Grilli, S.T., Mohammadpour, M., Schambach, L., Grilli, A.R.</t>
  </si>
  <si>
    <t>Modelling of tsunami and tsunami inundation</t>
  </si>
  <si>
    <t>Panjang Beach, Bengkulu City (Indonesia)</t>
  </si>
  <si>
    <t>https://www.scopus.com/inward/record.uri?eid=2-s2.0-85136600535&amp;partnerID=40&amp;md5=07adf1a25a22d6605590d72556bcb16d</t>
  </si>
  <si>
    <t>Fauzi, Y., Hardiansyah, Mayasari, Z.M., Susanto, A.</t>
  </si>
  <si>
    <t>Nekor Bay (Morocco)</t>
  </si>
  <si>
    <t>Mapping of coastal flooding due to tsunami runup</t>
  </si>
  <si>
    <t>https://doi.org/10.12912/27197050/150310</t>
  </si>
  <si>
    <t>Taher, M., Mourabit, T., El Talibi, H., Etebaai, I., Bourjila, A., Errahmouni, A., Lamgharbaj, M.</t>
  </si>
  <si>
    <t>Analysing spring flooding</t>
  </si>
  <si>
    <t>Lena Delta (Russia)</t>
  </si>
  <si>
    <t>ca. 165-557 km</t>
  </si>
  <si>
    <t>TanDEM-X data is provided either with reference to the WGS84 ellipsoid or the EGM96 geoid (based on the client's preference).</t>
  </si>
  <si>
    <r>
      <t>not documented</t>
    </r>
    <r>
      <rPr>
        <sz val="11"/>
        <rFont val="Aptos Narrow"/>
        <family val="2"/>
        <scheme val="minor"/>
      </rPr>
      <t xml:space="preserve"> (Ellipsoid or Geoid?)</t>
    </r>
  </si>
  <si>
    <r>
      <t>not documented</t>
    </r>
    <r>
      <rPr>
        <sz val="11"/>
        <rFont val="Aptos Narrow"/>
        <family val="2"/>
        <scheme val="minor"/>
      </rPr>
      <t xml:space="preserve"> (WGS84 or EGM2008?)</t>
    </r>
  </si>
  <si>
    <t>Monitoring the spring flood in lena delta with hydrodynamic modeling based on sar satellite products</t>
  </si>
  <si>
    <t>https://doi.org/10.3390/rs13224695</t>
  </si>
  <si>
    <t>Pertiwi, A.P., Roth, A., Schaffhauser, T., Bhola, P.K., Reuß, F., Stettner, S., Kuenzer, C., Disse, M.</t>
  </si>
  <si>
    <t>Assessment of the dependence and exposure of human populations, urban areas, roads, and agriculture on current inundation patterns using the GIEMS-D15 model</t>
  </si>
  <si>
    <t>HydroSHEDs; HYDRO-1k DEM</t>
  </si>
  <si>
    <t>60° N to 56° S;  90° N to 90° S</t>
  </si>
  <si>
    <t>11/02/2000 to 22/02/2000 (SRTM); 1993 to 1996</t>
  </si>
  <si>
    <t>Hydrological conditioning of SRTM; Combination of different elevation datasets</t>
  </si>
  <si>
    <r>
      <rPr>
        <b/>
        <sz val="11"/>
        <rFont val="Aptos Narrow"/>
        <family val="2"/>
        <scheme val="minor"/>
      </rPr>
      <t>not documented</t>
    </r>
    <r>
      <rPr>
        <sz val="11"/>
        <rFont val="Aptos Narrow"/>
        <family val="2"/>
        <scheme val="minor"/>
      </rPr>
      <t xml:space="preserve"> (Geoid; not documented (Tidal?))</t>
    </r>
  </si>
  <si>
    <r>
      <rPr>
        <b/>
        <sz val="11"/>
        <rFont val="Aptos Narrow"/>
        <family val="2"/>
        <scheme val="minor"/>
      </rPr>
      <t>not documented</t>
    </r>
    <r>
      <rPr>
        <sz val="11"/>
        <rFont val="Aptos Narrow"/>
        <family val="2"/>
        <scheme val="minor"/>
      </rPr>
      <t xml:space="preserve"> (EGM96; not documented (which MSL?))</t>
    </r>
  </si>
  <si>
    <t>Dryden et al. (2021) apply the Global Inundation Extent from Multi-Satellites - Downscaled to 15 arcsec (GIEMS-D15) model of Fluet-Chouinard et al. (2015; https://doi.org/10.1016/j.rse.2014.10.015) in which elevation data is integrated.</t>
  </si>
  <si>
    <t>https://doi.org/10.1016/j.gloenvcha.2021.102370</t>
  </si>
  <si>
    <t>Dryden, R., Anand, M., Lehner, B., Fluet-Chouinard, E.</t>
  </si>
  <si>
    <t>Assessment of cyclone impact</t>
  </si>
  <si>
    <t>ca. 0-447 km</t>
  </si>
  <si>
    <t>https://doi.org/10.1007/s42797-021-00044-y</t>
  </si>
  <si>
    <t>Safety in Extreme Environments</t>
  </si>
  <si>
    <t>Paul, S., Chowdhury, S.</t>
  </si>
  <si>
    <t>Tra Bong river basin, Binh Son District, Quang Ngai Province (Vietnam)</t>
  </si>
  <si>
    <t>Modelling of flooding for data-sparse small- and medium-sized coastal river basins</t>
  </si>
  <si>
    <t>WGS84 UTM49N</t>
  </si>
  <si>
    <t>AW3D30 (integrated by local heights)</t>
  </si>
  <si>
    <t>DSM (integrated with local heights)</t>
  </si>
  <si>
    <t>80° N to 80° S; local</t>
  </si>
  <si>
    <r>
      <t xml:space="preserve">24/01/2006 to 12/05/2011; </t>
    </r>
    <r>
      <rPr>
        <b/>
        <sz val="11"/>
        <rFont val="Aptos Narrow"/>
        <family val="2"/>
        <scheme val="minor"/>
      </rPr>
      <t>not documented</t>
    </r>
  </si>
  <si>
    <t>Resampling AW3D (5 m resolution, based on optical stereo panchromatic imagery) by applying average and medium methods; topographic maps (1:2000)</t>
  </si>
  <si>
    <r>
      <t xml:space="preserve">not documented </t>
    </r>
    <r>
      <rPr>
        <sz val="11"/>
        <rFont val="Aptos Narrow"/>
        <family val="2"/>
        <scheme val="minor"/>
      </rPr>
      <t>(likely Geoid; not documented)</t>
    </r>
  </si>
  <si>
    <t>No information whether or how potentially different vertical datums of DEM and elevation information (point or contour data?) from topographic maps were aligned.</t>
  </si>
  <si>
    <t>ca. 0-72 km</t>
  </si>
  <si>
    <t>https://doi.org/10.1007/s11069-021-04843-1</t>
  </si>
  <si>
    <t>Trinh, M.X., Molkenthin, F.</t>
  </si>
  <si>
    <t>Baitarani River Basin (India)</t>
  </si>
  <si>
    <t>Flood inundation mapping using hydrologic-hydraulic modelling</t>
  </si>
  <si>
    <t>ca. 0-436 km</t>
  </si>
  <si>
    <t>Talukdar, G., Swain, J.B., Patra, K.C.</t>
  </si>
  <si>
    <t>Provision of a holistic framework to assess urban flood resilience</t>
  </si>
  <si>
    <t>https://doi.org/10.1007/s11069-021-04841-3</t>
  </si>
  <si>
    <t>https://doi.org/10.1016/j.ijdrr.2021.102355</t>
  </si>
  <si>
    <t>ca. 0-53 km</t>
  </si>
  <si>
    <t>Zhu, S., Li, D., Huang, G., Chhipi-Shrestha, G., Nahiduzzaman, K.M., Hewage, K., Sadiq, R.</t>
  </si>
  <si>
    <t>Bhagirathi Sub-Basin (India)</t>
  </si>
  <si>
    <t>Assessment of flood-induced ecological vulnerability and risk</t>
  </si>
  <si>
    <t>ca. 0-597 km</t>
  </si>
  <si>
    <t>https://doi.org/10.1007/s12517-021-07780-2</t>
  </si>
  <si>
    <t>Rehman, S., Hasan, M.S.U., Rai, A.K., Avtar, R., Sajjad, H.</t>
  </si>
  <si>
    <t>Analysing compound flood potential</t>
  </si>
  <si>
    <t>No documentation on elevation data used (only for bathymetry, where ETOPO2 was used); no documentation whether or how potential different vertical reference systems of topography/bathymetry and extreme sea-level data (CoDEC; Muis et al., 2020) were aligned</t>
  </si>
  <si>
    <t>https://doi.org/10.5194/nhess-21-2021-2021</t>
  </si>
  <si>
    <t>Camus, P., Haigh, I.D., Nasr, A.A., Wahl, T., Darby, S.E., Nicholls, R.J.</t>
  </si>
  <si>
    <t>Melasti Beach, Bali (Indonesia)</t>
  </si>
  <si>
    <t>Physics and Chemistry of the Earth</t>
  </si>
  <si>
    <t>https://doi.org/10.1016/j.pce.2021.103001</t>
  </si>
  <si>
    <t>Damarnegara, S., Winarta, B., Fuddoly, Lasminto, U., Al Kindhi, B., Sarwono, B.</t>
  </si>
  <si>
    <t>Coastal China and Taiwan Island</t>
  </si>
  <si>
    <t>Probabilistic tsunami hazard assessment</t>
  </si>
  <si>
    <r>
      <rPr>
        <b/>
        <sz val="11"/>
        <rFont val="Aptos Narrow"/>
        <family val="2"/>
        <scheme val="minor"/>
      </rPr>
      <t>not documented</t>
    </r>
    <r>
      <rPr>
        <sz val="11"/>
        <rFont val="Aptos Narrow"/>
        <family val="2"/>
        <scheme val="minor"/>
      </rPr>
      <t xml:space="preserve"> ("Generic sea level" (various datums without considering offset))</t>
    </r>
  </si>
  <si>
    <t>https://doi.org/10.1029/2020JB020344</t>
  </si>
  <si>
    <t>Yuan, Y., Li, H., Wei, Y., Shi, F., Wang, Z., Hou, J., Wang, P., Xu, Z.</t>
  </si>
  <si>
    <t>Modelling of historic meteotsunami events</t>
  </si>
  <si>
    <t>Adriatic Sea coast (Croatia)</t>
  </si>
  <si>
    <t>ASTER integrated with topographic charts</t>
  </si>
  <si>
    <t>DSM (improved by topographic charts)</t>
  </si>
  <si>
    <t>01/2000 to 30/11/2013; not documented</t>
  </si>
  <si>
    <t>Correlation of optical stereo near infrared imagery; not documented</t>
  </si>
  <si>
    <r>
      <rPr>
        <b/>
        <sz val="11"/>
        <rFont val="Aptos Narrow"/>
        <family val="2"/>
        <scheme val="minor"/>
      </rPr>
      <t>not documented</t>
    </r>
    <r>
      <rPr>
        <sz val="11"/>
        <rFont val="Aptos Narrow"/>
        <family val="2"/>
        <scheme val="minor"/>
      </rPr>
      <t xml:space="preserve"> (Geoid?; not documented)</t>
    </r>
  </si>
  <si>
    <t>No documentation whether or how potential different vertical reference systems of topography (i.e. of DEM and topographic charts) as well as bathymetry (Croatian Hydrographic Institute) were aligned</t>
  </si>
  <si>
    <r>
      <rPr>
        <b/>
        <sz val="11"/>
        <rFont val="Aptos Narrow"/>
        <family val="2"/>
        <scheme val="minor"/>
      </rPr>
      <t>not documented</t>
    </r>
    <r>
      <rPr>
        <sz val="11"/>
        <rFont val="Aptos Narrow"/>
        <family val="2"/>
        <scheme val="minor"/>
      </rPr>
      <t xml:space="preserve"> (EGM96?; ) (potential vertical datum offset between DEM, topographic charts and bathymetry (Croatian Hydrographic Institute))</t>
    </r>
  </si>
  <si>
    <t>https://doi.org/10.1007/s11069-020-04444-4</t>
  </si>
  <si>
    <t>Bubalo, M., Janeković, I., Orlić, M.</t>
  </si>
  <si>
    <t>Assessment of economic and societal risk due to storm-induced flooding</t>
  </si>
  <si>
    <t>Tang et al. (2021) refer to the usage of storm flood inundation scenarios produced by Wang et al. (2019; https://doi.org/10.14042/j.cnki.32.1309.2019.04.010), however, the source was not accessible.</t>
  </si>
  <si>
    <t>International Journal of Climate Change Strategies and Management</t>
  </si>
  <si>
    <t>https://doi.org/10.1108/IJCCSM-06-2021-0058</t>
  </si>
  <si>
    <t>Tang, J., Li, W., Fang, J., Zhang, Z., Du, S., Wu, Y., Wen, J.</t>
  </si>
  <si>
    <t>Provision of risk-based framework to determine optimal polder level against storm surge hazard</t>
  </si>
  <si>
    <t>Polder No. 33, Dacope Upazila, Khulna District (Bangladesh)</t>
  </si>
  <si>
    <t>ca. 49-66 km</t>
  </si>
  <si>
    <t>https://doi.org/10.1016/j.pdisas.2020.100131</t>
  </si>
  <si>
    <t>Zaman, S., Mondal, M.S.</t>
  </si>
  <si>
    <t>Contrasting development trajectories for coastal Bangladesh to the end of century</t>
  </si>
  <si>
    <t>Tsunami risk assessment: economic, environmental and social dimensions</t>
  </si>
  <si>
    <t>A Geospatial Expose of Flood-Risk and Vulnerable Areas in Nigeria</t>
  </si>
  <si>
    <t>Development of a time-varying MODIS/ 2D hydrodynamic model relationship between water levels and flooded areas in the Inner Niger Delta, Mali, West Africa</t>
  </si>
  <si>
    <t>Assessment of infrastructure vulnerability to Tsunamis upon the coastal zone of oman using GIS</t>
  </si>
  <si>
    <t>Impacts of Potential Sea-Level Rise on Tidal Dynamics in Khor Abdullah and Khor Al-Zubair, Northwest of Arabian Gulf</t>
  </si>
  <si>
    <t>Inundation exposure assessment for majuro atoll, republic of the Marshall islands using a high-accuracy digital elevation model</t>
  </si>
  <si>
    <t>A Comparative Study of Typhoon Hato (2017) and Typhoon Mangkhut (2018)—Their Impacts on Coastal Inundation in Macau</t>
  </si>
  <si>
    <t>Resilience-vulnerability balance to urban flooding: A case study in a densely populated coastal city in China</t>
  </si>
  <si>
    <t>SRTM; ASTER; ALOS</t>
  </si>
  <si>
    <t>Remote sensing and GIS contribution to a natural hazard database in western Saudi Arabia</t>
  </si>
  <si>
    <t>Assessment of the 1783 Scilla landslide-tsunami's effects on the Calabrian and Sicilian coasts through numerical modeling</t>
  </si>
  <si>
    <t>Simulation of the Submarine Landslide Tsunami on 28 September 2018 in Palu Bay, Sulawesi Island, Indonesia, Using a Two-Layer Model</t>
  </si>
  <si>
    <t>Framework for mapping the drivers of coastal vulnerability and spatial decision making for climate-change adaptation: A case study from Maharashtra, India</t>
  </si>
  <si>
    <t>CARTO DEM</t>
  </si>
  <si>
    <t>Prediction of storm surge and coastal inundation using Artificial Neural Network – A case study for 1999 Odisha Super Cyclone</t>
  </si>
  <si>
    <t>ETOPO1; SRTM</t>
  </si>
  <si>
    <t>The probabilistic tsunami hazard assessment along Karnataka Coast from Makran Subduction Zone, west coast of India</t>
  </si>
  <si>
    <t>Survey tool for rapid assessment of socio-economic vulnerability of fishing communities in Vietnam to climate change</t>
  </si>
  <si>
    <t>Evaluation of flood susceptibility mapping using logistic regression and GIS conditioning factors</t>
  </si>
  <si>
    <t>Alternative to non-linear model for simulating tsunami inundation in real-time</t>
  </si>
  <si>
    <t>Understanding epistemic uncertainty in large-scale coastal flood risk assessment for present and future climates</t>
  </si>
  <si>
    <t>Assessment of development trajectories to meet present/future coastal challenges</t>
  </si>
  <si>
    <t>ca. 0-139 km</t>
  </si>
  <si>
    <t>Coastal Bangladesh</t>
  </si>
  <si>
    <t>https://doi.org/10.1007/s10113-020-01681-y</t>
  </si>
  <si>
    <t>Lázár, A.N., Nicholls, R.J., Hall, J.W., Barbour, E.J., Haque, A.</t>
  </si>
  <si>
    <t>Eastern Mediterranean coast</t>
  </si>
  <si>
    <t>Provision of new method to assess tsunami risk</t>
  </si>
  <si>
    <t>https://doi.org/10.1007/s11069-020-04226-y</t>
  </si>
  <si>
    <t>Yavuz, C., Kentel, E., Aral, M.M.</t>
  </si>
  <si>
    <t>Nigeria</t>
  </si>
  <si>
    <t>ca. 0-1008 km</t>
  </si>
  <si>
    <r>
      <rPr>
        <b/>
        <sz val="11"/>
        <color theme="1"/>
        <rFont val="Aptos Narrow"/>
        <family val="2"/>
        <scheme val="minor"/>
      </rPr>
      <t>not documented</t>
    </r>
    <r>
      <rPr>
        <sz val="11"/>
        <color theme="1"/>
        <rFont val="Aptos Narrow"/>
        <family val="2"/>
        <scheme val="minor"/>
      </rPr>
      <t xml:space="preserve"> (USGS? Google Earth?)</t>
    </r>
  </si>
  <si>
    <t>It is not clear which DEM was used. Njoku (2020) refers to both USGS and Google Earth, however, without any reference (link) to the data source or repository.</t>
  </si>
  <si>
    <t>International Journal of Applied Geospatial Research</t>
  </si>
  <si>
    <t>https://doi.org/10.4018/IJAGR.20200701.oa1</t>
  </si>
  <si>
    <t>Njoku, C.G.</t>
  </si>
  <si>
    <t>Inner Niger Delta (Mali)</t>
  </si>
  <si>
    <t>Analysing the relationships between water levels and inundation extents using hydrodynamic modelling</t>
  </si>
  <si>
    <t>ca. 292-1480 km</t>
  </si>
  <si>
    <t>https://doi.org/10.1016/j.ejrh.2020.100703</t>
  </si>
  <si>
    <t>Haque, M.M., Seidou, O., Mohammadian, A., Djibo, A.G.</t>
  </si>
  <si>
    <t>Assessment of infrastructure exposure to tsunami inundation</t>
  </si>
  <si>
    <t>Rather assessment of exposure than vulnerability; no description of method how tsunami inundation was assessed (bathtub model?)</t>
  </si>
  <si>
    <t>Oman</t>
  </si>
  <si>
    <t>ca. 0-323 km</t>
  </si>
  <si>
    <t>https://doi.org/10.3390/geosciences10050175</t>
  </si>
  <si>
    <t>Geosciences (Switzerland)</t>
  </si>
  <si>
    <t>Assessment of SLR impact on tidal dynamics</t>
  </si>
  <si>
    <t>Khor Abdullah and Khor Al-Zubair, Northwest Arabian Gulf (Iraq)</t>
  </si>
  <si>
    <t>multiple (Geoid; local datum for local bathymetry)</t>
  </si>
  <si>
    <t>multiple (EGM96; local chart datum)</t>
  </si>
  <si>
    <t>No information which local chart datum was used as vertical reference system for local bathymetry data</t>
  </si>
  <si>
    <t>WGS8 UTM</t>
  </si>
  <si>
    <t>2000 (resampled to 3700)</t>
  </si>
  <si>
    <t>ca. 0-45 km</t>
  </si>
  <si>
    <t>https://doi.org/10.1007/s41748-020-00147-9</t>
  </si>
  <si>
    <t>Lafta, A.A., Altaei, S.A., Al-Hashimi, N.H.</t>
  </si>
  <si>
    <t>Assessment of inundation exposure including vertical uncertainty of elevation data</t>
  </si>
  <si>
    <t>Point measurements; DTM; DSM; DSM; DSM; DSM; not documented (DSM? DTM?)</t>
  </si>
  <si>
    <t xml:space="preserve">local; local; 60° N to 56° S; 83° N to 83° S; 80° N to 80° S; 90° N to 90° S; 90° N to 90° S  </t>
  </si>
  <si>
    <r>
      <rPr>
        <b/>
        <sz val="11"/>
        <rFont val="Aptos Narrow"/>
        <family val="2"/>
        <scheme val="minor"/>
      </rPr>
      <t xml:space="preserve">Ground truth points and each DEM were brought into the same vertical reference frame </t>
    </r>
    <r>
      <rPr>
        <sz val="11"/>
        <rFont val="Aptos Narrow"/>
        <family val="2"/>
        <scheme val="minor"/>
      </rPr>
      <t>(source: Ellipsoid; Ellipsoid; Geoid; Geoid; Geoid; Ellipsoid; not documented)</t>
    </r>
  </si>
  <si>
    <r>
      <rPr>
        <b/>
        <sz val="11"/>
        <rFont val="Aptos Narrow"/>
        <family val="2"/>
        <scheme val="minor"/>
      </rPr>
      <t>not documented</t>
    </r>
    <r>
      <rPr>
        <sz val="11"/>
        <rFont val="Aptos Narrow"/>
        <family val="2"/>
        <scheme val="minor"/>
      </rPr>
      <t xml:space="preserve"> (source: ITRF2008; ITRF2008; EGM96; EGM96; EGM96; WGS84-G1150; not documented)</t>
    </r>
  </si>
  <si>
    <t>0.03 (RMSE); 0.30 (RMSE); 9.73 (RMSE); 10.20 (RMSE); 5.0 (RMSE); 6.08 (RMSE); 2.43 (RMSE)</t>
  </si>
  <si>
    <t>As our study focuses on how satellite-based elevation and sea-level datasets are used, we only evaluate the DEM accuracy assessment conducted by Gesch et al. (2020) but not the SLR impact assessment which was conducted based on the local UAS-SfM DEM. The DEM accuracy assessment was based on 69,000 GNSS geodetic control points</t>
  </si>
  <si>
    <t>Restricted; Restricted; Free; Free; Free; Free (upon request/proposal); Restricted</t>
  </si>
  <si>
    <t>1; 30; 30; 30; 12; 2</t>
  </si>
  <si>
    <t>local GNSS elevation points; UAS-SfM; SRTM; ASTER; AW3D30; TanDEM-X 12m; DG-AES</t>
  </si>
  <si>
    <t>16/09/2016 to 26/09/2016; 2016; 11/02/2000 to 22/02/2000; 01/2000 to 30/11/2013; 24/01/2006 to 12/05/2011; 12/12/2010 to 16/01/2015; not documented</t>
  </si>
  <si>
    <t>local GNSS RTK survey; UAS; Synthetic Aperture Radar interferometry (dual antennas); Correlation of optical stereo near infrared imagery; Resampling AW3D (5 m resolution, based on optical stereo panchromatic imagery) by applying average and medium methods; Bi-static Synthetic Aperture Radar interferometry (twin satellites); DEM generation based on WorldView high-resolution satellite stereo-optical imagery</t>
  </si>
  <si>
    <t>ca. 0-0.6 km</t>
  </si>
  <si>
    <t>https://doi.org/10.3390/rs12010154</t>
  </si>
  <si>
    <t>Gesch, D., Palaseanu-Lovejoy, M., Danielson, J., Fletcher, C., Kottermair, M., Barbee, M., Jalandoni, A.</t>
  </si>
  <si>
    <t xml:space="preserve">Majuro Atoll (Republic of the Marshall Islands) </t>
  </si>
  <si>
    <t>Macau, Pearl River Estuary (China)</t>
  </si>
  <si>
    <t>Assessment of typhoon impact and related coastal inundation</t>
  </si>
  <si>
    <t>local topographic elevation data; SRTM</t>
  </si>
  <si>
    <t>not documented (point measurements or contours); DSM</t>
  </si>
  <si>
    <t>elevations from topographic maps (1:1000 ); Synthetic Aperture Radar interferometry (dual antennas)</t>
  </si>
  <si>
    <t xml:space="preserve"> MSL (which MSL?)</t>
  </si>
  <si>
    <t>No information whether and how potentially different vertical reference systems of elevation and bathymetry datasets (i.e.GEBCO and local nautical charts) where aligned.</t>
  </si>
  <si>
    <t>Journal of Geophysical Research: Oceans</t>
  </si>
  <si>
    <t>https://doi.org/10.1029/2019JC015249</t>
  </si>
  <si>
    <t>Yang, J., Li, L., Zhao, K., Wang, P., Wang, D., Sou, I.M., Yang, Z., Hu, J., Tang, X., Mok, K.M., Liu, P.L.-F.</t>
  </si>
  <si>
    <t>Assessment of urban flood hazard</t>
  </si>
  <si>
    <t>Information on the elevation data used might be included in the information about depths and areas of surface runoff in the Appendix, which, however, is not provided along with the paper.</t>
  </si>
  <si>
    <t>ca. 0-42 km</t>
  </si>
  <si>
    <t>Cities</t>
  </si>
  <si>
    <t>https://doi.org/10.1016/j.cities.2019.06.012</t>
  </si>
  <si>
    <t>Song, J., Chang, Z., Li, W., Feng, Z., Wu, J., Cao, Q., Liu, J.</t>
  </si>
  <si>
    <t>Mapping of geohazards</t>
  </si>
  <si>
    <t>60° N to 56° S; 83° N to 83° S; 80° N to 80° S</t>
  </si>
  <si>
    <t>11/02/2000 to 22/02/2000; 01/2000 to 30/11/2013; 24/01/2006 to 12/05/2011</t>
  </si>
  <si>
    <t>Synthetic Aperture Radar interferometry (dual antennas); Correlation of optical stereo near infrared imagery; Resampling AW3D (5 m resolution, based on optical stereo panchromatic imagery) by applying average and medium methods</t>
  </si>
  <si>
    <t>Western Saudi Arabia</t>
  </si>
  <si>
    <t>30; 30; 12.5</t>
  </si>
  <si>
    <t>https://doi.org/10.3390/geosciences9090380</t>
  </si>
  <si>
    <t>Theilen-Willige, B., Wenzel, H.</t>
  </si>
  <si>
    <t>Modelling of tsunami impact</t>
  </si>
  <si>
    <t>Sicily and Calabria (Italy)</t>
  </si>
  <si>
    <t>No information on whether and/or how vertical reference systems of elevation and bathymetry datasets (EMODnet DTM, local nautical charts) were properly aligned.</t>
  </si>
  <si>
    <t>EGM96; no information given about the alignment of vertical reference systems of elevation and bathymetry data (EMODnet, local nautical charts)</t>
  </si>
  <si>
    <t>https://doi.org/10.5194/nhess-19-1585-2019</t>
  </si>
  <si>
    <t>Zaniboni, F., Pagnoni, G., Gallotti, G., Paparo, M.A., Armigliato, A., Tinti, S.</t>
  </si>
  <si>
    <t>Palu Bay, Sulawesi Island (Indonesia)</t>
  </si>
  <si>
    <t>Simulation of tsunami and tsunami inundation</t>
  </si>
  <si>
    <t>DSM (corrected to nearly DTM by removing buildings and infrastructure based on linear smoothing)</t>
  </si>
  <si>
    <t>5 (resampled to 30)</t>
  </si>
  <si>
    <t>https://doi.org/10.1007/s00024-019-02235-y</t>
  </si>
  <si>
    <t>Pakoksung, K., Suppasri, A., Imamura, F., Athanasius, C., Omang, A., Muhari, A.</t>
  </si>
  <si>
    <t>Maharashtra (India)</t>
  </si>
  <si>
    <t>Provision of a framework to assess coastal vulnerability of coastal India at different levels</t>
  </si>
  <si>
    <t xml:space="preserve"> based on Cartosat-1 stereo data</t>
  </si>
  <si>
    <t>https://doi.org/10.1007/s13280-018-1061-8</t>
  </si>
  <si>
    <t>Ambio</t>
  </si>
  <si>
    <t>Krishnan, P., Ananthan, P.S., Purvaja, R., Jeevamani, J.J.J., Infantina, J.A., Rao, C.S., Anand, A., Mahendra, R.S., Sekar, I., Kareemulla, K., Biswas, A., Sastry, R.K., Ramesh, R.</t>
  </si>
  <si>
    <t>Prediction of storm surge and coastal inundation based on an Artificial Neural Network and application to case study</t>
  </si>
  <si>
    <t>Coastal Odisha (India)</t>
  </si>
  <si>
    <t>ca. 0-115 km</t>
  </si>
  <si>
    <t>Also data documentation in the reference that is cited in terms of inundation (and thus indirectly of elevation) is incomplete (Sahoo and Bhaskaran, 2017; https://doi.org/10.1002/joc.5184)</t>
  </si>
  <si>
    <t>https://doi.org/10.1016/j.wace.2019.100196</t>
  </si>
  <si>
    <t>Weather and Climate Extremes</t>
  </si>
  <si>
    <t>Karnataka Coast (India)</t>
  </si>
  <si>
    <t>2000; 90</t>
  </si>
  <si>
    <t>EGM2008; EGM96</t>
  </si>
  <si>
    <t>multiple (Geoid; Geoid)</t>
  </si>
  <si>
    <t>ca. 0-628 km</t>
  </si>
  <si>
    <t>https://doi.org/10.1007/s10661-018-7048-x</t>
  </si>
  <si>
    <t>K, S., Kumar, Ch.P., Jayappa, K.S.</t>
  </si>
  <si>
    <t>Provision of a tool for vulnerability assessment</t>
  </si>
  <si>
    <t>Phu Trinh and Duc Long Wards, Phan Thiet City (Vietnam)</t>
  </si>
  <si>
    <t>Also data documentation in the reference that is cited in terms of inundation (and thus indirectly of elevation) is incomplete (i.e. Ministry of Natural Resources and Environment (MoNRE), 2016; http://www.imh.ac.vn/files/doc/2017/CCS%20final.compressed.pdf)</t>
  </si>
  <si>
    <t>https://doi.org/10.3390/geosciences8120452</t>
  </si>
  <si>
    <t>Avelino, J.E., Crichton, R.N., Valenzuela, V.P., Odara, M.G.N., Padilla, M.A.T., Kiet, N., Anh, D.H., Van, P.C., Bao, H.D., Thao, N.H.P., Linh, M.T.Y., Hoai, P.T.P., Thao, N.D., Onuki, M., Esteban, M.</t>
  </si>
  <si>
    <t>Gaza strip</t>
  </si>
  <si>
    <t>0-12 km</t>
  </si>
  <si>
    <t>Mapping of flood susceptibility</t>
  </si>
  <si>
    <r>
      <t>not documented</t>
    </r>
    <r>
      <rPr>
        <sz val="11"/>
        <color theme="1"/>
        <rFont val="Aptos Narrow"/>
        <family val="2"/>
        <scheme val="minor"/>
      </rPr>
      <t xml:space="preserve"> (NASA)</t>
    </r>
  </si>
  <si>
    <t>https://doi.org/10.1007/s12517-018-4095-0</t>
  </si>
  <si>
    <t>Al-Juaidi, A.E.M., Nassar, A.M., Al-Juaidi, O.E.M.</t>
  </si>
  <si>
    <t>Provision of a method for tsunami inundation modelling using a projection matrix based on a principal component analysis and application to case study</t>
  </si>
  <si>
    <t>Rikuzentakata and Otsuchi Bay (Japan)</t>
  </si>
  <si>
    <t>Geophysical Journal International</t>
  </si>
  <si>
    <t>https://doi.org/10.1093/gji/ggy238</t>
  </si>
  <si>
    <t>Mulia, I.E., Gusman, A.R., Satake, K.</t>
  </si>
  <si>
    <t>Analysis of uncertainties in coastal flood risk assessment</t>
  </si>
  <si>
    <t>Ria Formosa, Algarve (Portugal) and Iberia (Spain and Portugal)</t>
  </si>
  <si>
    <t>Free; Restricted</t>
  </si>
  <si>
    <t>LiDAR DEM was taken from Vousdoukas et al. (2012; https://doi.org/10.1007/s10236-011-0480-x)</t>
  </si>
  <si>
    <t>2.15 (RMSE)</t>
  </si>
  <si>
    <t>100; 0.5 (resampled to 10, 20, 50, and 100)</t>
  </si>
  <si>
    <t>Multiple (Geoid; Geoid)</t>
  </si>
  <si>
    <t>Multiple (EGM96; Datum 73)</t>
  </si>
  <si>
    <t>60° N to 56° S; local (Faro Beach)</t>
  </si>
  <si>
    <t>11/02/2000 to 22/02/2000; 09/2009 to 04/2010</t>
  </si>
  <si>
    <t>WGS84; International 1924</t>
  </si>
  <si>
    <t>https://doi.org/10.5194/nhess-18-2127-2018</t>
  </si>
  <si>
    <t>Vousdoukas, M.I., Bouziotas, D., Giardino, A., Bouwer, L.M., Mentaschi, L., Voukouvalas, E., Feyen, L.</t>
  </si>
  <si>
    <t>Geographic information system and AHP-based flood hazard zonation of Vaitarna basin, Maharashtra, India</t>
  </si>
  <si>
    <t>Assessing Hazard Vulnerability, Habitat Conservation, and Restoration for the Enhancement of Mainland China's Coastal Resilience</t>
  </si>
  <si>
    <t>CARTO DEM 1</t>
  </si>
  <si>
    <t>Storm surge vulnerability assessment of Saurashtra coast, Gujarat, using GIS techniques</t>
  </si>
  <si>
    <t>Developing a theoretical framework for integrated vulnerability of businesses to sea level rise</t>
  </si>
  <si>
    <t>Estimating global damages from sea level rise with the Coastal Impact and Adaptation Model (CIAM)</t>
  </si>
  <si>
    <t>An integrated framework for urban resilience to climate change - Case study: Sea level rise impacts on the Nile Delta coastal urban areas</t>
  </si>
  <si>
    <t>Advanced Tsunami Numerical Simulations and Energy Considerations by use of 3D–2D Coupled Models: The October 11, 1918, Mona Passage Tsunami</t>
  </si>
  <si>
    <t>The Coastal Hazard Wheel system for coastal multi-hazard assessment &amp; management in a changing climate</t>
  </si>
  <si>
    <t>Profiling risk and sustainability in coastal deltas of the world</t>
  </si>
  <si>
    <t>An integrated approach for assessing flood impacts due to future climate and socio-economic conditions and the scope of adaptation in Europe</t>
  </si>
  <si>
    <t>Climate-related flood risks and urban responses in the Pearl River Delta, China</t>
  </si>
  <si>
    <t>Digital elevation based flood hazard and vulnerability study at various return periods in Sirajganj Sadar Upazila, Bangladesh</t>
  </si>
  <si>
    <t>A global analysis of erosion of sandy beaches and sea-level rise: An application of DIVA</t>
  </si>
  <si>
    <t>ETOPO2</t>
  </si>
  <si>
    <t>Assessment of climate change impacts on flooding vulnerability for lowland management in southwestern Taiwan</t>
  </si>
  <si>
    <t>Global assessment of vulnerability to sea-level rise in topography-limited and recharge-limited coastal groundwater systems</t>
  </si>
  <si>
    <t>GTOPO30</t>
  </si>
  <si>
    <t>Global exposure to river and coastal flooding: Long term trends and changes</t>
  </si>
  <si>
    <t>Tsunami Inundation Modeling and Mapping using ALTM- and CARTOSAT-Derived Coastal Topographic Data</t>
  </si>
  <si>
    <t>Economic impacts of climate change in Europe: Sea-level rise</t>
  </si>
  <si>
    <t>Tsunami hazard and casualty estimation in a coastal area that neighbors the Indian Ocean and South China Sea</t>
  </si>
  <si>
    <t>A multitemporal analysis of tsunami impact on coastal vegetation using remote sensing: A case study on Koh Phra Thong Island, Thailand</t>
  </si>
  <si>
    <t>Numerical simulations of the coastal effects of tsunami waves caused by the 1993 Hokkaido-Nansei-Oki earthquake</t>
  </si>
  <si>
    <t>Coastal Multi-hazard vulnerability mapping: A case study along the coast of Nellore District, East Coast of India; [Mappatura della vulnerabilità costiera: Un caso di studio nel distretto di Nellore nella costa est dell'India]</t>
  </si>
  <si>
    <t>CARTO DEM1</t>
  </si>
  <si>
    <t>Last-Mile preparation for a potential disaster - Interdisciplinary approach towards tsunami early warning and an evacuation information system for the coastal city of Padang, Indonesia</t>
  </si>
  <si>
    <t>Vaitarna Basin (India)</t>
  </si>
  <si>
    <t>ca. 0-132 km</t>
  </si>
  <si>
    <t>https://doi.org/10.1007/s12517-018-3933-4</t>
  </si>
  <si>
    <t>Das, S.</t>
  </si>
  <si>
    <t>Reference link provided does not specify the elevation dataset used but just refers to the data repository.</t>
  </si>
  <si>
    <t>Assessment of coastal vulnerability by coupling human–natural systems</t>
  </si>
  <si>
    <t>https://doi.org/10.1002/2017EF000676</t>
  </si>
  <si>
    <t>Sajjad, M., Li, Y., Tang, Z., Cao, L., Liu, X.</t>
  </si>
  <si>
    <t>Provision of Coastal Fluvial Flood (CFFlood) model to assess coastal and fluvial flood impacts under present and future climate and socioeconomic conditions and application to case study</t>
  </si>
  <si>
    <t>SRTM (void-filled using GTOPO30)</t>
  </si>
  <si>
    <t>https://doi.org/10.1007/s10584-014-1298-6</t>
  </si>
  <si>
    <t>SRTM with voids filled by GTOPO30</t>
  </si>
  <si>
    <r>
      <rPr>
        <b/>
        <sz val="11"/>
        <rFont val="Aptos Narrow"/>
        <family val="2"/>
        <scheme val="minor"/>
      </rPr>
      <t>not documented</t>
    </r>
    <r>
      <rPr>
        <sz val="11"/>
        <rFont val="Aptos Narrow"/>
        <family val="2"/>
        <scheme val="minor"/>
      </rPr>
      <t xml:space="preserve"> (EGM96?, which MSL?)</t>
    </r>
  </si>
  <si>
    <t>200 (source: 90; 1000)</t>
  </si>
  <si>
    <t>Mokrech, M., Kebede, A.S., Nicholls, R.J., Wimmer, F., Feyen, L.</t>
  </si>
  <si>
    <t>Assessment of flood hazards</t>
  </si>
  <si>
    <t>Rather assessment of exposure than vulnerability</t>
  </si>
  <si>
    <t>Sirajganj Sadar Upazila, Sirajganj District (Bangladesh)</t>
  </si>
  <si>
    <t>ca. 252-284 km</t>
  </si>
  <si>
    <t>https://doi.org/10.1016/j.ijdrr.2014.06.001</t>
  </si>
  <si>
    <t>Bhuiyan, S.R., Al Baky, A.</t>
  </si>
  <si>
    <t>Assessment of climate change trends, impacts on flood events, vulnerability and risk and response strategies</t>
  </si>
  <si>
    <t>ca. 0-144 km</t>
  </si>
  <si>
    <t>https://doi.org/10.1007/s10113-014-0651-7</t>
  </si>
  <si>
    <t>Yang, L., Scheffran, J., Qin, H., You, Q.</t>
  </si>
  <si>
    <t>Provision of the Coastal Hazard Wheel system for multi-hazard assessment and -management of coastal areas</t>
  </si>
  <si>
    <t>https://doi.org/10.1007/s11852-015-0379-7</t>
  </si>
  <si>
    <t>Rosendahl Appelquist, L., Halsnæs, K.</t>
  </si>
  <si>
    <t>Quantification of changing flood risk due to extreme events</t>
  </si>
  <si>
    <t>Science</t>
  </si>
  <si>
    <t>https://doi.org/10.1126/science.aab3574</t>
  </si>
  <si>
    <t>Tessler, Z.D., Vörösmarty, C.J., Grossberg, M., Gladkova, I., Aizenman, H., Syvitski, J.P.M., Foufoula-Georgiu, E.</t>
  </si>
  <si>
    <t>Assessment of the effects of SLR on the erosion of
sandy beaches and its consequent impacts</t>
  </si>
  <si>
    <t>https://doi.org/10.1016/j.gloplacha.2013.09.002</t>
  </si>
  <si>
    <t>Hinkel, J., Nicholls, R.J., Tol, R.S.J., Wang, Z.B., Hamilton, J.M., Boot, G., Vafeidis, A.T., McFadden, L., Ganopolski, A., Klein, R.J.T.</t>
  </si>
  <si>
    <t>Provision of open-source optimisation model for SLR impact assessment in terms of economic efficiency</t>
  </si>
  <si>
    <t>Diaz, D.B.</t>
  </si>
  <si>
    <t>Bay of County, Florida (United States of America)</t>
  </si>
  <si>
    <t>Provision of an integrated business vulnerability framework and application to case study</t>
  </si>
  <si>
    <t>https://doi.org/10.1007/s11069-016-2483-x</t>
  </si>
  <si>
    <t>Song, J., Peng, Z.-R., Zhao, L., Hsu, C.-H.</t>
  </si>
  <si>
    <t>https://doi.org/10.1007/s10584-016-1675-4</t>
  </si>
  <si>
    <t>MHW</t>
  </si>
  <si>
    <t>Improving simulations of tsunami</t>
  </si>
  <si>
    <t>Northwest coast of Puerto Rico</t>
  </si>
  <si>
    <t>https://doi.org/10.1007/s00024-014-0988-3</t>
  </si>
  <si>
    <t>López-Venegas, A.M., Horrillo, J., Pampell-Manis, A., Huérfano, V., Mercado, A.</t>
  </si>
  <si>
    <t>Saurashtra Coast, Gujarat (India)</t>
  </si>
  <si>
    <t>ca. 0-57 km</t>
  </si>
  <si>
    <t>Mahapatra, M., Ratheesh, R., Rajawat, A.S.</t>
  </si>
  <si>
    <t>https://doi.org/10.1007/s11069-016-2718-x</t>
  </si>
  <si>
    <t>Provision of an integrated resilience framework and application of urban resilience index to case study</t>
  </si>
  <si>
    <t>https://doi.org/10.1016/j.uclim.2015.09.005</t>
  </si>
  <si>
    <t>Abdrabo, M.A., Hassaan, M.A.</t>
  </si>
  <si>
    <t>Padang City, Sumatra (Indonesia)</t>
  </si>
  <si>
    <t>Provision of an interdisciplinary approach towards tsunami early warning</t>
  </si>
  <si>
    <t>GPS; local DEM; SRTM</t>
  </si>
  <si>
    <t>GPS measurements; airborne survey; Synthetic Aperture Radar interferometry (dual antennas)</t>
  </si>
  <si>
    <t>WGS84 UTM</t>
  </si>
  <si>
    <t>0.2 (local DEM validated by 12 GPS points)</t>
  </si>
  <si>
    <t>0.25; 25</t>
  </si>
  <si>
    <t>Point measurements; DTM; DSM</t>
  </si>
  <si>
    <t>local; local; 60° N to 56° S</t>
  </si>
  <si>
    <t>not documented; not documented; Free</t>
  </si>
  <si>
    <r>
      <rPr>
        <b/>
        <sz val="11"/>
        <color theme="1"/>
        <rFont val="Aptos Narrow"/>
        <family val="2"/>
        <scheme val="minor"/>
      </rPr>
      <t>not documented</t>
    </r>
    <r>
      <rPr>
        <sz val="11"/>
        <color theme="1"/>
        <rFont val="Aptos Narrow"/>
        <family val="2"/>
        <scheme val="minor"/>
      </rPr>
      <t xml:space="preserve"> (multiple? (Ellipsoid?; ; EGM96?))</t>
    </r>
  </si>
  <si>
    <t>https://doi.org/10.5194/nhess-9-1509-2009</t>
  </si>
  <si>
    <t>Taubenböck, H., Goseberg, N., Setiadi, N., Lämmel, G., Moder, F., Oczipka, M., Klüpfel, H., Wahl, R., Schlurmann, T., Strunz, G., Birkmann, J., Nagel, K., Siegert, F., Lehmann, F., Dech, S., Gress, A., Klein, R.</t>
  </si>
  <si>
    <t>Provision of anew method to quantify tsunami risk</t>
  </si>
  <si>
    <t>Coasts along the Indian Ocean and South China Sea</t>
  </si>
  <si>
    <t>Journal of Earthquake and Tsunami</t>
  </si>
  <si>
    <t>Suppasri, A., Imamura, F., Koshimura, S.</t>
  </si>
  <si>
    <t>https://doi.org/10.1142/S1793431112500108</t>
  </si>
  <si>
    <t>Koh Phra Thong Island (Thailand)</t>
  </si>
  <si>
    <t>Assessment of tsunami impact on coastal vegetation</t>
  </si>
  <si>
    <t>WGS84 UTM47N</t>
  </si>
  <si>
    <t>https://doi.org/10.1007/s11069-012-0261-y</t>
  </si>
  <si>
    <t xml:space="preserve">Villa, P., Boschetti, M., Morse, J.L., Politte, N. </t>
  </si>
  <si>
    <t>Assessment of climate change impact on flood vulnerability</t>
  </si>
  <si>
    <t>Southern Yunlin Coast, Southwestern Taiwan</t>
  </si>
  <si>
    <t>https://doi.org/10.1007/s11069-013-0670-6</t>
  </si>
  <si>
    <t>Wang, H.-W., Kuo, P.-H., Shiau, J.-T.</t>
  </si>
  <si>
    <t>GPS; ALTM; CARTO DEM</t>
  </si>
  <si>
    <t>Modelling of tsunami inundation</t>
  </si>
  <si>
    <t>local; local (up to 2 km inland); national</t>
  </si>
  <si>
    <t>01/2005; 2005</t>
  </si>
  <si>
    <t xml:space="preserve"> GPS point measurements; Airborne LiDAR; based on Cartosat-1 stereo data</t>
  </si>
  <si>
    <t>0.3 to 0.5 ; 1 to 3</t>
  </si>
  <si>
    <t>5 to 50; 5; 10 (data was interpolated to 93 using nearest neighbour and inverse distance weighting algorithms)</t>
  </si>
  <si>
    <t>No documentation on whether and/or how potentially different vertical reference systems among the elevation data used but also together with the bathymetry data (GEBCO; CMAP/field survey) were aligned; Accuracy assessment of digital elevation models by comparison with GPS measurements</t>
  </si>
  <si>
    <r>
      <t>not documented</t>
    </r>
    <r>
      <rPr>
        <sz val="11"/>
        <rFont val="Aptos Narrow"/>
        <family val="2"/>
        <scheme val="minor"/>
      </rPr>
      <t xml:space="preserve"> (multiple?)</t>
    </r>
  </si>
  <si>
    <r>
      <t>not documented</t>
    </r>
    <r>
      <rPr>
        <sz val="11"/>
        <rFont val="Aptos Narrow"/>
        <family val="2"/>
        <scheme val="minor"/>
      </rPr>
      <t xml:space="preserve"> (no information on correction of potentially different vertical datum offsets)</t>
    </r>
  </si>
  <si>
    <t>https://doi.org/10.1080/01490419.2011.646606</t>
  </si>
  <si>
    <t>Nayak, S., Usha, T., Kankara, R.S., Reddy, N.T.</t>
  </si>
  <si>
    <t>Assessment of direct and indirect costs of SLR for a range of SLR scenarios</t>
  </si>
  <si>
    <t>Elevation data was used inside the DIVA model, however, also the literature cited on the DIVA model does not specify the elevation data nor can the CD-ROM containing the model environment be assessed.</t>
  </si>
  <si>
    <t>https://doi.org/10.1007/s10584-011-0340-1</t>
  </si>
  <si>
    <t>Bosello, F., Nicholls, R.J., Richards, J., Roson, R., Tol, R.S.J.</t>
  </si>
  <si>
    <t>Assessment of multiple hazards</t>
  </si>
  <si>
    <t>Coast of Nellore District between Ramaypatnam and Coramandal (India)</t>
  </si>
  <si>
    <t>2006 to 2007</t>
  </si>
  <si>
    <t>No documentation on whether and/or how potentially different vertical reference systems between the elevation data and storm surge heights were aligned; Rather assessment of exposure than vulnerability</t>
  </si>
  <si>
    <t>Italian Journal of Remote Sensing / Rivista Italiana di Telerilevamento</t>
  </si>
  <si>
    <t>http://dx.doi.org/10.5721/ItJRS20104235</t>
  </si>
  <si>
    <t>Mahendra, R.S., Mohanty, P.C., Srinivasa Kumar, T., Shenoi, S.S.C., Nayak, S.R.</t>
  </si>
  <si>
    <t>Chinese Journal of Oceanology and Limnology</t>
  </si>
  <si>
    <t>Okushiri Island (Japan)</t>
  </si>
  <si>
    <t>Simulation of tunami runup and inundation</t>
  </si>
  <si>
    <t>https://doi.org/10.1007/s00343-010-9041-2</t>
  </si>
  <si>
    <t>Pan, W., Wang, S., Cai, S.</t>
  </si>
  <si>
    <t>Assessment of susceptibility to SLR in recharge- and topography-limited caostal groundwater systems</t>
  </si>
  <si>
    <t>https://doi.org/10.1002/wrcr.20213</t>
  </si>
  <si>
    <t>Michael, H.A., Russoniello, C.J., Byron, L.A.</t>
  </si>
  <si>
    <t>Estimation of global economic exposure to both river and coastal flooding</t>
  </si>
  <si>
    <t>https://doi.org/10.1016/j.gloenvcha.2012.07.004</t>
  </si>
  <si>
    <t>Jongman, B., Ward, P.J., Aerts, J.C.J.H.</t>
  </si>
  <si>
    <t>ca. 0-112 km</t>
  </si>
  <si>
    <t>Number</t>
  </si>
  <si>
    <t>SUM</t>
  </si>
  <si>
    <t>absent + incomplete</t>
  </si>
  <si>
    <t>Tidal datum (reference documented)</t>
  </si>
  <si>
    <t>Not documented/not assessable</t>
  </si>
  <si>
    <t>Tidal datum (reference not documented)</t>
  </si>
  <si>
    <t>Summary</t>
  </si>
  <si>
    <t>2009 to 2012</t>
  </si>
  <si>
    <t>2013 to 2016</t>
  </si>
  <si>
    <t>2017 to 2020</t>
  </si>
  <si>
    <t>2021 to 2025</t>
  </si>
  <si>
    <t>Year (summarised)</t>
  </si>
  <si>
    <t>N DEMs (summarised)</t>
  </si>
  <si>
    <t>4 to 9</t>
  </si>
  <si>
    <t>≥10</t>
  </si>
  <si>
    <t>Study focus</t>
  </si>
  <si>
    <t>Percentage (%)</t>
  </si>
  <si>
    <t>Not known</t>
  </si>
  <si>
    <t>Vertical datum type (summarised)</t>
  </si>
  <si>
    <t>Vertical datum type (summarised_1)</t>
  </si>
  <si>
    <t>Sea level (reference documented)</t>
  </si>
  <si>
    <t>Sea level (reference not documented)</t>
  </si>
  <si>
    <t>Not assessable</t>
  </si>
  <si>
    <t>Combination</t>
  </si>
  <si>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Actual sea-level reference</t>
    </r>
  </si>
  <si>
    <t>Overall completeness and correctness in vertical datum handling</t>
  </si>
  <si>
    <t>Screening1</t>
  </si>
  <si>
    <t>Included</t>
  </si>
  <si>
    <t>Excluded</t>
  </si>
  <si>
    <t>Screening2</t>
  </si>
  <si>
    <t>Not accessible</t>
  </si>
  <si>
    <t>Included (fits the scope well)</t>
  </si>
  <si>
    <t>Included (fits the scope less well)</t>
  </si>
  <si>
    <t>Excluded (does not fit the scope)</t>
  </si>
  <si>
    <t>Title</t>
  </si>
  <si>
    <t>Screening (yes 1, maybe 2, no 3)</t>
  </si>
  <si>
    <t>Screening 2(yes 1, maybe 2, no 3)</t>
  </si>
  <si>
    <t>A physical climate storyline for the Hercules storm in Portugal: Extreme coastal flooding in southwestern Europe under a changing climate</t>
  </si>
  <si>
    <t>Storm Surge Risk Assessment Based on LULC Identification Utilizing Deep Learning Method and Multi-Source Data Fusion: A Case Study of Huizhou City</t>
  </si>
  <si>
    <t>Impact of Sea Level Rise on Sustainable Regional Land Use of the Nile Delta</t>
  </si>
  <si>
    <t>Coastal land subsidence accelerates timelines for future flood exposure in Hawai'i</t>
  </si>
  <si>
    <t>Sea level trends along the South African coast from 1993 to 2022 using XTRACK altimetry, tide gauges, and GNSS measurements</t>
  </si>
  <si>
    <t>Application of the HEC-RAS Model in Flood Modeling on the Code River Segment in Sewon District, Bantul Regency, Indonesia</t>
  </si>
  <si>
    <t>Social-ecological vulnerability and risk to coastal flooding and erosion in major coastal cities</t>
  </si>
  <si>
    <t>On-demand coastal modelling with two-way nesting</t>
  </si>
  <si>
    <t>EMODnet Geology: pan-European assessment of coastal resilience and vulnerability</t>
  </si>
  <si>
    <t>Developing a coupled hydraulic-mechanical-chemical model to investigate the influences of geological model complexity in simulating seawater intrusion and land subsidence</t>
  </si>
  <si>
    <t>Decadal shifts and future projections of the Han River Delta coastline</t>
  </si>
  <si>
    <t>Environmental pressures on livelihood transformation in the Vietnamese Mekong Delta: Implications and adaptive pathways</t>
  </si>
  <si>
    <t>The tidal flood implications for territorial resilience in the coastal area of Sayung, Demak Indonesia</t>
  </si>
  <si>
    <t>Multi-Temporal Relative Sea Level Rise Scenarios up to 2150 for the Venice Lagoon (Italy)</t>
  </si>
  <si>
    <t>Agent-Based Modeling Under Climate Uncertainties: The Coastal Resilience (CRes-ABM) Model</t>
  </si>
  <si>
    <t>The growing trend of saltwater intrusion and its impact on coastal agriculture: Challenges and opportunities</t>
  </si>
  <si>
    <t>Can Restoring Tidal Wetlands Reduce Estuarine Nuisance Flooding of Coasts Under Future Sea-Level Rise?</t>
  </si>
  <si>
    <t>Soaring Building Collapses in Southern Mediterranean Coasts: Hydroclimatic Drivers &amp; Adaptive Landscape Mitigations</t>
  </si>
  <si>
    <t>Accounting for Compound Flooding Can Prevent Maladaptation—A Baltic Sea Case Study</t>
  </si>
  <si>
    <t>A European database of resources on coastal storm impacts</t>
  </si>
  <si>
    <t>INterpolated FLOod Surface (INFLOS), a Rapid and Operational Tool to Estimate Flood Depths from Earth Observation Data for Emergency Management</t>
  </si>
  <si>
    <t>Innovative absolute probability approach for coastal vulnerability assessment due to sea level rise: Application in Tagus Estuary, Portugal</t>
  </si>
  <si>
    <t>Hydrological and hydrodynamic coupling simulation under composite underlying surfaces in urban polder areas</t>
  </si>
  <si>
    <t>Tsunami inundation limit based on probabilistic analysis of runup and inundation distance</t>
  </si>
  <si>
    <t>Integrating GIS, MCDM, and Spatial Analysis for Comprehensive Flood Risk Assessment and Mapping in Uttarakhand, India</t>
  </si>
  <si>
    <t>Real-Time Flood Inundation Modeling With Flow Resistance Parameter Learning</t>
  </si>
  <si>
    <t>Enhancing 2D hydrodynamic flood model predictions in data-scarce regions through integration of multiple terrain datasets</t>
  </si>
  <si>
    <t>Evaluating the capability of UAV-Derived DEMs for flood hazard analysis</t>
  </si>
  <si>
    <t>County-scale flood risk assessment of properties and associated population in the United States</t>
  </si>
  <si>
    <t>Developing a scalable framework for accurate flood forecasting in arid regions: A case study of the Jerash Basin, Jordan</t>
  </si>
  <si>
    <t>Characterizing Storm-Induced Coastal Flooding Using SAR Imagery and Deep Learning</t>
  </si>
  <si>
    <t>Physics-Based Hazard Assessment of Compound Flooding From Tropical and Extratropical Cyclones in a Warming Climate</t>
  </si>
  <si>
    <t>Urban flood risk assessment and evacuation planning: a bi-level optimization model for sustainable high-density coastal areas</t>
  </si>
  <si>
    <t>The Influence of Tropical Cyclones on Mixed-Population Flood Frequency Analysis</t>
  </si>
  <si>
    <t>Impact of Tropical Cyclone Yaas on Coastal Regions of Odisha and West Bengal, India: An Assessment Using Sentinel Datasets</t>
  </si>
  <si>
    <t>Regional Storm Surge Forecast Method Based on a Neural Network and the Coupled ADCIRC-SWAN Model</t>
  </si>
  <si>
    <t>Hydraulic modelling and flood hazard zoning in rivers of the urban basin of Sulaymaniyah using 2D modelling with HEC-RAS and GIS</t>
  </si>
  <si>
    <t>Cyclone modelling in the Western Indian Ocean–an application to the Comoros Islands; [Modélisation cyclonique dans l’Océan Indien occidental–application à l’archipel des Comores]</t>
  </si>
  <si>
    <t>Storm Daniel Extreme Flood Event in Thessaly, Greece: Assessing the Pollution Status of the Impacted Coastal Marine Areas through Extended Screening of Emerging Contaminants Using LC-TIMS-HRMS</t>
  </si>
  <si>
    <t>Resilient Waterfront Futures: Mapping Vulnerabilities and Designing Floating Urban Models for Flood Adaptation on the Tiber Delta</t>
  </si>
  <si>
    <t>Incorporating socioeconomic variables in coastal vulnerability assessment on the Southern Coast of Yogyakarta, Indonesia</t>
  </si>
  <si>
    <t>Modeling flood hazard impacts using GIS-based HEC-RAS technique towards climate risk in Şanlıurfa, Türkiye</t>
  </si>
  <si>
    <t>Scenario-based flood adaption of a fast-developing delta city: Modeling the extreme compound flood adaptations for shanghai</t>
  </si>
  <si>
    <t>A random forest machine learning model to detect fluvial hazards</t>
  </si>
  <si>
    <t>Storm-induced marine flooding on Morocco’s Atlantic Coast — case of El Jadida Bay</t>
  </si>
  <si>
    <t>Rising seas could cross thresholds for initiating coastal wetland drowning within decades across much of the United States</t>
  </si>
  <si>
    <t>Coastal Vulnerability Impact Assessment under Climate Change in the Arctic Coasts of Tromsø, Norway</t>
  </si>
  <si>
    <t>Hindcasting the typhoon haiyan storm surge in coastal eastern leyte</t>
  </si>
  <si>
    <t>Simulating the effects of sea level rise and soil salinization on adaptation and migration decisions in Mozambique</t>
  </si>
  <si>
    <t>A fast and efficient method to estimate inland water levels using CYGNSS L1 data and DTMs: Application to Floods, lakes and reservoirs monitoring</t>
  </si>
  <si>
    <t>Compound effects of sea level and flow on river-induced flooding in coastal areas of southern Sweden</t>
  </si>
  <si>
    <t>Coastal urban flood risk management: Challenges and opportunities − A systematic review</t>
  </si>
  <si>
    <t>Prediction of the impact of sea level rise in coastal areas where the tide embankments have been constructed</t>
  </si>
  <si>
    <t>Enhancing flood forecasting accuracy in Data-Scarce regions through advanced modeling approaches</t>
  </si>
  <si>
    <t>Evaluating the Enhanced Bathtub Model for Coastal Flood Risk Assessment in Table Bay, South Africa</t>
  </si>
  <si>
    <t>Vulnerability assessment of English and Welsh coastal areas</t>
  </si>
  <si>
    <t>Integrating a multi-variable scenario with Attention-LSTM model to forecast long-term coastal beach erosion</t>
  </si>
  <si>
    <t>Towards integrated flood management: Vulnerability and flood risk in the Ayeyarwady Delta of Myanmar</t>
  </si>
  <si>
    <t>Stochastic simulation of storm surge extremes along the contiguous United States coastlines using the max-stable process</t>
  </si>
  <si>
    <t>Mapping cumulative compound hydrometeorological and marine-induced risks on the NW Mediterranean coast</t>
  </si>
  <si>
    <t>Changing sea level, changing shorelines: Integration of remote-sensing observations at the Terschelling barrier island</t>
  </si>
  <si>
    <t>Tsunami propagation and flooding maps: An application for the Island of Lampedusa, Sicily Channel, Italy</t>
  </si>
  <si>
    <t>Enhancing flood risk assessment in urban areas by integrating hydrodynamic models and machine learning techniques</t>
  </si>
  <si>
    <t>Nonlinear Tide-River-Surge Interactions and Their Impacts on Compound Flooding During Typhoon Hato in the Pearl River Delta</t>
  </si>
  <si>
    <t>Assessment of tangible coastal inundation damage related to critical infrastructure and buildings: The case of Mauritius Island</t>
  </si>
  <si>
    <t>Inundation and evacuation of shoreline populations during landslide-Triggered tsunamis: An integrated numerical and statistical hazard assessment</t>
  </si>
  <si>
    <t>Future frequencies of coastal floods in Australia: a seamless approach and dataset for visualising local impacts and informing adaptation</t>
  </si>
  <si>
    <t>A new approach to flood susceptibility analysis of urbanised alluvial fans: the case of Bursa City (Türkiye)</t>
  </si>
  <si>
    <t>Projecting urban flood risk through hydrodynamic modeling under shared socioeconomic pathways</t>
  </si>
  <si>
    <t>Assessment of coastal vulnerability using integrated fuzzy analytical hierarchy process and geospatial technology for effective coastal management</t>
  </si>
  <si>
    <t>Towards sustainable coastal management: a hybrid model for vulnerability and risk assessment</t>
  </si>
  <si>
    <t>Joint Occurrence of Extreme Water Level and River Flows in St. Lawrence River Coasts Under Present and Sea Level Rise Conditions</t>
  </si>
  <si>
    <t>Hydraulic Risk Assessment on Historic Masonry Bridges Using Hydraulic Open-Source Software and Geomatics Techniques: A Case Study of the “Hannibal Bridge”, Italy</t>
  </si>
  <si>
    <t>Assessing coastal flood risk under extreme events and sea level rise in the Casablanca-Mohammedia coastline (Morocco)</t>
  </si>
  <si>
    <t>A Study of the Effect of DEM Spatial Resolution on Flood Simulation in Distributed Hydrological Modeling</t>
  </si>
  <si>
    <t>Development of risk maps for flood, landslide, and soil erosion using machine learning model</t>
  </si>
  <si>
    <t>Coastal Vulnerability Index (CVI) Assessment: Evaluating Risks Associated with Human-Made Activities along the Limassol Coastline, Cyprus</t>
  </si>
  <si>
    <t>Flood assessment using machine learning and its implications for coastal spatial planning in Phu Yen Province, Vietnam</t>
  </si>
  <si>
    <t>NORA-Surge: A storm surge hindcast for the Norwegian Sea, the North Sea and the Barents Sea</t>
  </si>
  <si>
    <t>Identification of coastal natural disasters using official databases to provide support for the coastal management: the case of Santa Catarina, Brazil</t>
  </si>
  <si>
    <t>A high-performance, parallel, and hierarchically distributed model for coastal run-up events simulation and forecasting</t>
  </si>
  <si>
    <t>GIS-Based Integrated Multi-Hazard Vulnerability Assessment in Makedonska Kamenica Municipality, North Macedonia</t>
  </si>
  <si>
    <t>Future scenarios in the former oil capital: coastal flooding and social vulnerability in Macaé, RJ</t>
  </si>
  <si>
    <t>Quantitative study of storm surge risk assessment in an undeveloped coastal area of China based on deep learning and geographic information system techniques: A case study of Double Moon Bay</t>
  </si>
  <si>
    <t>The compound impact of rainfall, river flow and sea level on a watercourse through a coastal city: Methodology in making</t>
  </si>
  <si>
    <t>Modeling the Impacts of Sea Level Rise Scenarios on the Amazon River Estuary</t>
  </si>
  <si>
    <t>Flood susceptibility modeling using geo-morphometric ranking approach in Jhelum River basin, Pakistan</t>
  </si>
  <si>
    <t>Evolution of Coastal Environments under Inundation Scenarios Using an Oceanographic Model and Remote Sensing Data</t>
  </si>
  <si>
    <t>Flood plain inundation modeling with explicit description of land surface macrostructures</t>
  </si>
  <si>
    <t>Evaluating Sea Level Rise Impacts on the Southeastern Türkiye Coastline: a Coastal Vulnerability Perspective</t>
  </si>
  <si>
    <t>Flood risk identification in high-density urban areas of Macau based on disaster scenario simulation</t>
  </si>
  <si>
    <t>Compound Flooding Potential from the Joint Occurrence of Precipitation and Storm Surge in the Qiantang Estuary, China</t>
  </si>
  <si>
    <t>Enhancing Digital Elevation Model Accuracy for Flood Modelling – A Case Study of the Ciberes River in Cirebon, Indonesia</t>
  </si>
  <si>
    <t>Assessment of inundation extent due to super cyclones Amphan and Yaas using Sentinel-1 SAR imagery in Google Earth Engine</t>
  </si>
  <si>
    <t>The contribution of coastal land subsidence to potential sea-level rise impact in data-sparse settings: The case of Ghana's Volta delta</t>
  </si>
  <si>
    <t>Nonstationary coastal flood hazard analysis</t>
  </si>
  <si>
    <t>Impact of tidal dynamics and typhoon-induced inundation on saltwater intrusion in coastal farms</t>
  </si>
  <si>
    <t>Disappearing cities on US coasts</t>
  </si>
  <si>
    <t>Assessing the inundation risk of cultural heritages along the southwestern coast of Taiwan: present and future</t>
  </si>
  <si>
    <t>Assessing social-ecological vulnerability and risk to coastal flooding: A case study for Prince Edward Island, Canada</t>
  </si>
  <si>
    <t>Impacts of DEM type and resolution on deep learning-based flood inundation mapping</t>
  </si>
  <si>
    <t>The Impact Of Tidal Floods On Poor Households In The Sayung Coast, Demak Regency, Indonesia</t>
  </si>
  <si>
    <t>High-level characterisation and mapping of key climate-change hazards in European coastal cities</t>
  </si>
  <si>
    <t>Saltwater intrusion and sea level rise threatens U.S. rural coastal landscapes and communities</t>
  </si>
  <si>
    <t>High efficiency integrated urban flood inundation simulation based on the urban hydrologic unit</t>
  </si>
  <si>
    <t>Coastal Vulnerability in the Stretch Between Beaches of Peroba and Redonda in the Municipality of Icapuí-Ceará, Brazil; [Vulnerabilidade Costeira no Trecho entre as Praias de Peroba e Redonda no Município de Icapuí-Ceará, Brasil]</t>
  </si>
  <si>
    <t>Regional variations in relative sea-level changes influenced by nonlinear vertical land motion</t>
  </si>
  <si>
    <t>Unveiling the role of storm surges as a driver of flooding on the western Mediterranean: a case study of the Ebro Delta</t>
  </si>
  <si>
    <t>Climate change hazards along the Indian coastal districts: spatial analysis on a climatic impact-driver framework</t>
  </si>
  <si>
    <t>Coastal flood and damage assessment under sea level rise projections: a case study in San Francisco de Campeche, Mexico; [Evaluación de daños e inundaciones costeras bajo proyecciones de aumento del nivel del mar: un estudio de caso en San Francisco de Campeche, México]</t>
  </si>
  <si>
    <t>FLOOD VULNERABILITY IN JAKARTA COASTAL SETTLEMENT: A STUDY AT KALIBARU SUBDISTRICT, NORTH JAKARTA, INDONESIA</t>
  </si>
  <si>
    <t>Impacts of Sea Level Rise on Danish Coastal Wetlands – a GIS-based Analysis</t>
  </si>
  <si>
    <t>Impact analysis of cyclonic effects and landform change in part of Indian Sundarban using remote sensing and Google Earth Engine</t>
  </si>
  <si>
    <t>Influence of maximum water level and coastal inundation on the east coast of India based on future tropical cyclones</t>
  </si>
  <si>
    <t>Quantification of surface water extent and volume in the Inner Niger Delta (IND) over 2000–2022 using multispectral imagery and radar altimetry</t>
  </si>
  <si>
    <t>Model of Storm Surge Maximum Water Level Increase in a Coastal Area Using Ensemble Machine Learning and Explicable Algorithm</t>
  </si>
  <si>
    <t>Sea level rise and the increasing frequency of inundation in Australia’s most exposed estuary</t>
  </si>
  <si>
    <t>Analysis of compound floods from storm surge and extreme precipitation in China</t>
  </si>
  <si>
    <t>The value of advanced flood models, damage costs and land use data in cost-effective climate change adaptation</t>
  </si>
  <si>
    <t>Coastal Vulnerability Assessment of Thrace Peninsula: Implications for Climate Change and Sea Level Rise</t>
  </si>
  <si>
    <t>Deriving synthetic rating curves from a digital elevation model to delineate the inundated areas of small watersheds</t>
  </si>
  <si>
    <t>GeoFabrics 1.0.0: An open-source Python package for automatic hydrological conditioning of digital elevation models for flood modelling</t>
  </si>
  <si>
    <t>Future socioeconomic development along the West African coast forms a larger hazard than sea level rise</t>
  </si>
  <si>
    <t>One-way coupling of E3SM with ADCIRC demonstrated on Hurricane Harvey</t>
  </si>
  <si>
    <t>Evaluation of Flood Risk Map Development through GIS-Based Multi-Criteria Decision Analysis in Maran District, Pahang-Malaysia</t>
  </si>
  <si>
    <t>Is rapid urbanization of low-elevation deltas undermining adaptation to climate change? A global review</t>
  </si>
  <si>
    <t>Effects of droughts, sea level rise, and increase in outfall discharges on phytoplankton in a temperate estuary (Tagus Estuary, Portugal)</t>
  </si>
  <si>
    <t>Flood vulnerability under sea level rise for a coastal community located in a backbarrier environment, Portugal</t>
  </si>
  <si>
    <t>Regional assessment of extreme sea levels and associated coastal flooding along the German Baltic Sea coast</t>
  </si>
  <si>
    <t>A changing coastal ecosystem: Cox’s Bazar in southeastern coastal region of Bangladesh</t>
  </si>
  <si>
    <t>The effect of tidal range and mean sea-level changes on coastal flood hazards at Lakes Entrance, south-east Australia</t>
  </si>
  <si>
    <t>A coupled wave-hydrodynamical model to assess the effect of Mediterranean storms under climate change: The Calabaia case study</t>
  </si>
  <si>
    <t>CoastFLOOD: A High-Resolution Model for the Simulation of Coastal Inundation Due to Storm Surges</t>
  </si>
  <si>
    <t>Future flooding of the Volta Delta caused by sea level rise and land subsidence</t>
  </si>
  <si>
    <t>Assessing the coastal hazard of Medicane Ianos through ensemble modelling</t>
  </si>
  <si>
    <t>Modeling of impact assessment of super cyclone Amphan with machine learning algorithms in Sundarban Biosphere Reserve, India</t>
  </si>
  <si>
    <t>Analysis of the Extreme Tsunami Risk to Sanya New Airport in the South China Sea</t>
  </si>
  <si>
    <t>Methodology for sea level rise hazard assessment in the exposed coastal zone of the Portuguese mainland</t>
  </si>
  <si>
    <t>Development of an integrated coastal vulnerability index and its application to the low-lying Mandarmani–Dadanpatrabar coastal sector, India</t>
  </si>
  <si>
    <t>Continuously Updated Digital Elevation Models (CUDEMs) to Support Coastal Inundation Modeling</t>
  </si>
  <si>
    <t>A Near-Real-Time Flood Detection Method Based on Deep Learning and SAR Images</t>
  </si>
  <si>
    <t>Increased exposure of coastal cities to sea-level rise due to internal climate variability</t>
  </si>
  <si>
    <t>Interacting Effects of Watershed and Coastal Processes on the Evolution of Compound Flooding During Hurricane Irene</t>
  </si>
  <si>
    <t>Compound flood hazard assessment and analysis due to tropical cyclone-induced storm surges, waves and precipitation: a case study for coastal lowlands of Kelani river basin in Sri Lanka</t>
  </si>
  <si>
    <t>Storm surges and coastal inundation during extreme events in the Mediterranean Sea: the IANOS Medicane</t>
  </si>
  <si>
    <t>Climate Scenarios for Coastal Flood Vulnerability Assessments: A Case Study for the Ligurian Coastal Region</t>
  </si>
  <si>
    <t>Toward an Integrated Probabilistic Coastal Vulnerability Assessment: A Novel Copula-Based Vulnerability Index</t>
  </si>
  <si>
    <t>Sinking into the ocean? Climate change risks and second home planning</t>
  </si>
  <si>
    <t>Coastal Vulnerability Assessment To Tidal (Rob) Flooding In Indramayu Coast, West Java, Indonesia</t>
  </si>
  <si>
    <t>Improving Risk Projection and Mapping of Coastal Flood Hazards Caused by Typhoon-Induced Storm Surges and Extreme Sea Levels</t>
  </si>
  <si>
    <t>Evidence of sea level rise at the Peruvian coast (1942–2019)</t>
  </si>
  <si>
    <t>Development of inundation maps along East Coast of Peninsular Malaysia due to predicted seaquake from Manila Trench</t>
  </si>
  <si>
    <t>Machine Learning Enhances Flood Resilience Measurement in a Coastal Area-Case Study of Morocco</t>
  </si>
  <si>
    <t>Flood hazard assessment for the coastal urban floodplain using 1D/2D coupled hydrodynamic model</t>
  </si>
  <si>
    <t>Perilous Future for River Deltas</t>
  </si>
  <si>
    <t>Climate change and coastal resiliency of Suva, Fiji: a holistic approach for measuring climate risk using the climate and ocean risk vulnerability index (CORVI)</t>
  </si>
  <si>
    <t>Assessing land elevation in the Ayeyarwady Delta (Myanmar) and its relevance for studying sea level rise and delta flooding</t>
  </si>
  <si>
    <t>Flood risk assessment of loss of life for a coastal city under the compound effect of storm surge and rainfall</t>
  </si>
  <si>
    <t>APPLYING TWO METHODOLOGIES OF AN INTEGRATED COASTAL VULNERABILITY INDEX (ICVI) TO FUTURE SEA-LEVEL RISE. CASE STUDY: SOUTHERN COAST OF THE GULF OF CORINTH, GREECE; [PRIMJENA DVIJE METODOLOGIJE INTEGRIRANOG INDEKSA RANJIVOSTI OBALNOG PODRUČJA (ICVI) NA BUDUĆI PORAST RAZINE MORA. STUDIJA SLUČAJA: JUŽNA OBALA KORINTSKOG ZALJEVA, GRČKA]</t>
  </si>
  <si>
    <t>Moderate Flood Level Scenarios: Synthetic Storm-Driven Flood-Inundation Maps for Coastal Communities in 10 New Jersey Counties</t>
  </si>
  <si>
    <t>Development of an Inundation Model for the Northern Coastal Zone of the Nile Delta Region, Egypt Using High-Resolution DEM</t>
  </si>
  <si>
    <t>Intercomparison of Automated Near-Real-Time Flood Mapping Algorithms Using Satellite Data and DEM-Based Methods: A Case Study of 2022 Madagascar Flood</t>
  </si>
  <si>
    <t>Social Vulnerability Level Appraisal at Tidal Flood Areas The Case of A Coastal Settlement in Indonesia</t>
  </si>
  <si>
    <t>Risk Assessment of Sea Level Rise for Karasu Coastal Area, Turkey</t>
  </si>
  <si>
    <t>Coastal inundation scenarios in the north-eastern sector of the Island of Gozo (Malta, Mediterranean Sea) as a response to sea level rise</t>
  </si>
  <si>
    <t>Identification of risk hotspots to storm events in a coastal region with high morphodynamic alongshore variability</t>
  </si>
  <si>
    <t>Compound Flood Model for the Lower Nooksack River and Delta, Western Washington—Assessment of Vulnerability and Nature-Based Adaptation Opportunities to Mitigate Higher Sea Level and Stream Flooding</t>
  </si>
  <si>
    <t>Multi-hazard analysis of flood and tsunamis on the western Mediterranean coast of Turkey</t>
  </si>
  <si>
    <t>Numerical assessment of coastal multihazard vulnerability in Tokyo Bay</t>
  </si>
  <si>
    <t>Evaluation of future estuarine floods in a sea level rise context</t>
  </si>
  <si>
    <t>Projecting Compound Flood Hazard Under Climate Change With Physical Models and Joint Probability Methods</t>
  </si>
  <si>
    <t>Housing market impairment from future sea-level rise inundation</t>
  </si>
  <si>
    <t>Impacts of sea-level rise on coastal zones of Mauritius: insights following calculation of a coastal vulnerability index</t>
  </si>
  <si>
    <t>Assessment of coastal vulnerability for extreme events</t>
  </si>
  <si>
    <t>Indicator-based approach for flood vulnerability assessment in ancient heritage city of Hoi An, Central Region of Vietnam</t>
  </si>
  <si>
    <t>Assessing the Implication of Climate Change to Forecast Future Flood Using CMIP6 Climate Projections and HEC-RAS Modeling</t>
  </si>
  <si>
    <t>Risk assessment of typhoon storm surge based on a simulated annealing algorithm and the least squares method: a case study in Guangdong Province, China</t>
  </si>
  <si>
    <t>Spotting areas critical to storm waves and surge impacts on coasts with data scarcity: a case study in Santa Catarina, Brazil</t>
  </si>
  <si>
    <t>A GIS-based Screening Workflow for Coastal Storm Surge Impact Assessments and Mitigation Action Consideration</t>
  </si>
  <si>
    <t>Coastal vulnerability assessment using Geospatial technologies and a Multi-Criteria Decision Making approach – a case study of Kozhikode District coast, Kerala State, India</t>
  </si>
  <si>
    <t>Improved Cartosat-1 Based DEM for Flood Inundation Modeling in the Delta Region of Mahanadi River Basin, India</t>
  </si>
  <si>
    <t>Urban dynamics and potential vulnerability of coastal urban areas to sea level rise in the southeastern Levantine Basin</t>
  </si>
  <si>
    <t>Assessing potential impacts of sea level rise on mangrove ecosystems in the Mekong Delta, Vietnam</t>
  </si>
  <si>
    <t>Bangladesh's vulnerability to cyclonic coastal flooding</t>
  </si>
  <si>
    <t>Coastal inundation under concurrent mean and extreme sea-level rise in Coral Gables, Florida, USA</t>
  </si>
  <si>
    <t>Potential Sea Level Rise Impacts in Acapulco Diamante, Mexico</t>
  </si>
  <si>
    <t>Risk Assessment of Typhoon Disaster Chains in the Guangdong–Hong Kong–Macau Greater Bay Area, China</t>
  </si>
  <si>
    <t>People-centric geo-spatial exposure and damage assessment of 2014 flood in lower Chenab Basin, upper Indus Plain in Pakistan</t>
  </si>
  <si>
    <t>Geohazard assessment of the north-eastern Sicily continental margin (SW Mediterranean): coastal erosion, sea-level rise and retrogressive canyon head dynamics</t>
  </si>
  <si>
    <t>Assessing tropical cyclone compound flood risk using hydrodynamic modelling: a case study in Haikou City, China</t>
  </si>
  <si>
    <t>Assessment of the sensitivity of Zakynthos Island (Ionian Sea, Western Greece) to climate change-induced coastal hazards</t>
  </si>
  <si>
    <t>ASSESSMENT OF COASTAL VULNERABILITY IN NORTH CHENNAI REGION IN EAST COAST OF TAMIL NADU</t>
  </si>
  <si>
    <t>Assessing Risk of Storm Surge for Coastal Provinces in Viet Nam</t>
  </si>
  <si>
    <t>Forecasting and Evaluation of Impacts and Risk Due to Tidal Anomalies on a Coastal Island</t>
  </si>
  <si>
    <t>Estimating floodwater depth using SAR-derived flood inundation maps and geomorphic model in kosi river basin (India)</t>
  </si>
  <si>
    <t>Hurricane storm surge: toward a normalized damage index for coastal regions</t>
  </si>
  <si>
    <t>Modeling Hydrodynamic and Hydrological Processes in Tidal Wetlands</t>
  </si>
  <si>
    <t>Prediction of flood risk zone of Ghaggar river basin, India using graph theory technique</t>
  </si>
  <si>
    <t>Impacts of climate hazards on coastal livelihoods in Ghana: the case of Ningo-Prampram in the Greater Accra region</t>
  </si>
  <si>
    <t>Determining Extreme Still Water Levels for Design and Planning Purposes Incorporating Sea Level Rise: Sydney, Australia</t>
  </si>
  <si>
    <t>Comparative analysis of 1D hydrodynamic flood model using globally available DEMs – a case of the coastal region</t>
  </si>
  <si>
    <t>A methodology for the assessment of compound sea level and rainfall impact on urban drainage networks in a coastal city under climate change</t>
  </si>
  <si>
    <t>Projecting Climate Dependent Coastal Flood Risk With a Hybrid Statistical Dynamical Model</t>
  </si>
  <si>
    <t>Accuracy Assessment of Different Open-Source Digital Elevation Model Through Morphometric Analysis for a Semi-arid River Basin in the Western Part of India</t>
  </si>
  <si>
    <t>Effects of sea level rise on salinity and tidal flooding patterns in the Guadiana Estuary</t>
  </si>
  <si>
    <t>An integrated framework of coastal flood modelling under the failures of sea dikes: a case study in Shanghai</t>
  </si>
  <si>
    <t>Risk mapping of Indian coastal districts using IPCC-AR5 framework and multi-attribute decision-making approach</t>
  </si>
  <si>
    <t>Two-dimensional hydrodynamic tidal model for the coastal zone of Jeddah, eastern coast of the Red Sea</t>
  </si>
  <si>
    <t>Data-driven flood hazard zonation of Italy</t>
  </si>
  <si>
    <t>Predicting coastal urban floods using artificial neural network: The case study of Macau, China</t>
  </si>
  <si>
    <t>Compound flood potential from storm surge and heavy precipitation in coastal China: Dependence, drivers, and impacts</t>
  </si>
  <si>
    <t>The Effect of Sea Level Rise on Adjacent Land and the Resulting Land Value Assessment Method</t>
  </si>
  <si>
    <t>Tsunami inundation maps for the northwest of Peninsular Malaysia and demarcation of affected electrical assets</t>
  </si>
  <si>
    <t>Uncertainty and Bias in Global to Regional Scale Assessments of Current and Future Coastal Flood Risk</t>
  </si>
  <si>
    <t>Assessing the Vulnerability of a Deltaic Environment due to Climate Change Impact on Surface and Coastal Waters: The Case of Nestos River (Greece)</t>
  </si>
  <si>
    <t>An Examination of Compound Flood Hazard Zones for Past, Present, and Future Low-Gradient Coastal Land-Margins</t>
  </si>
  <si>
    <t>A cross-scale study for compound flooding processes during Hurricane Florence</t>
  </si>
  <si>
    <t>Floodwater detection in urban areas using Sentinel-1 and WorldDEM data</t>
  </si>
  <si>
    <t>Multicriterial method of AHP analysis for the identification of coastal vulnerability regarding the rise of sea level: case study in Ilha Grande Bay, Rio de Janeiro, Brazil</t>
  </si>
  <si>
    <t>Development of tools for coastal management in google earth engine: Uncertainty bathtub model and bruun rule</t>
  </si>
  <si>
    <t>Coastal Wetlands Exposure to Storm Surge and Waves in the Albemarle-Pamlico Estuarine System during Extreme Events</t>
  </si>
  <si>
    <t>Mapping coastal flood susceptible areas using shannon’s entropy model: The case of muscat governorate, Oman</t>
  </si>
  <si>
    <t>Assessing and zoning of typhoon storm surge risk with a geographic information system (GIS) technique: A case study of the coastal area of Huizhou</t>
  </si>
  <si>
    <t>Timescales of emergence of chronic flooding in the major economic center of Guadeloupe</t>
  </si>
  <si>
    <t>Testing Tsunami Inundation Maps for Evacuation Planning in Italy</t>
  </si>
  <si>
    <t>Is Bangkok at risk of marine flooding? Evidence relating to the historical floods of AD 1785 and 1983</t>
  </si>
  <si>
    <t>A Hidden Markov Tree Model for Flood Extent Mapping in Heavily Vegetated Areas based on High Resolution Aerial Imagery and DEM: A Case Study on Hurricane Matthew Floods</t>
  </si>
  <si>
    <t>Building-level adaptation analysis under uncertain sea-level rise</t>
  </si>
  <si>
    <t>Risk assessment for typhoon-induced storm surges in Wenchang, Hainan Island of China</t>
  </si>
  <si>
    <t>Coastal settlement patterns and exposure to sea-level rise in the Jaffna Peninsula, Sri Lanka</t>
  </si>
  <si>
    <t>Future projections of flood dynamics in the Vietnamese Mekong Delta</t>
  </si>
  <si>
    <t>Vulnerability to Coastal Flooding of Industrial Urban Areas in Greece</t>
  </si>
  <si>
    <t>Egypt's Coastal Vulnerability to Sea-Level Rise and Storm Surge: Present and Future Conditions</t>
  </si>
  <si>
    <t>Coastal Airports and Rising Sea Levels</t>
  </si>
  <si>
    <t>Simulation of storm surge inundation under different typhoon intensity scenarios: Case study of Pingyang County, China</t>
  </si>
  <si>
    <t>Assessing storm surge impacts on coastal inundation due to climate change: case studies of Baltimore and Dorchester County in Maryland</t>
  </si>
  <si>
    <t>Vulnerability assessment for Sagar Island coast, West Bengal with respect to inundation hazards</t>
  </si>
  <si>
    <t>Potential Impacts of Sea-Level Rise upon the Jaffna Peninsula, Sri Lanka: How Climate Change Can Adversely Affect the Coastal Zone</t>
  </si>
  <si>
    <t>Potential impact of sea level rise on the geomorphology of Kuwait state coastline</t>
  </si>
  <si>
    <t>The impact of Sea level rise in the guadiana estuary</t>
  </si>
  <si>
    <t>Flood Risks in Sinking Delta Cities: Time for a Reevaluation?</t>
  </si>
  <si>
    <t>Comparative assessment of the GIS based bathtub model and an enhanced bathtub model for coastal inundation</t>
  </si>
  <si>
    <t>Coastal Vulnerability of Rio de Janeiro Shoreline (SE Brazil) due to Natural and Social Impacts</t>
  </si>
  <si>
    <t>Spatial heterogeneities of current and future hurricane flood risk along the U.S. Atlantic and Gulf coasts</t>
  </si>
  <si>
    <t>Assessment on Shoreline Retreat in Response to Sea Level Rise - Chennai Coast</t>
  </si>
  <si>
    <t>Total vulnerability of the littoral zone to climate change-driven natural hazards in north Brittany, France</t>
  </si>
  <si>
    <t>Assessment of Coastal Inundation due to Storm Surge under Future Sea-Level Rise Conditions</t>
  </si>
  <si>
    <t>A methodological approach for mapping Tunisia's lower coast's risk of submersion: The case of the coastal sabkhas of Sidi Khlifa and Halq El Minjel (Central-East Tunisia)</t>
  </si>
  <si>
    <t>Insar maps of land subsidence and sea level scenarios to quantify the flood inundation risk in coastal cities: The case of Singapore</t>
  </si>
  <si>
    <t>Modeling migration patterns in the USA under sea level rise</t>
  </si>
  <si>
    <t>Assessment and zonation of storm surge hazards in the coastal areas of China</t>
  </si>
  <si>
    <t>An integrated coastal vulnerability approach to small islands: The Azores case</t>
  </si>
  <si>
    <t>Projected changes of inundation of cyclonic storms in the Ganges–Brahmaputra–Meghna delta of Bangladesh due to SLR by 2100</t>
  </si>
  <si>
    <t>Analysis of coastal vulnerability of Rangsang Island due to climate changes</t>
  </si>
  <si>
    <t>Coastal flood assessment due to sea level rise and extreme storm events: A case study of the atlantic coast of Portugal’s mainland</t>
  </si>
  <si>
    <t>The impact of sea-level rise on the coast of Tianjin-Hebei, China</t>
  </si>
  <si>
    <t>Flood risk assessment due to cyclone-induced dike breaching in coastal areas of Bangladesh</t>
  </si>
  <si>
    <t>Flood risk and adaptation in Indian coastal cities: recent scenarios</t>
  </si>
  <si>
    <t>Vulnerability of Coastal Resort Cities to Mean Sea Level Rise in the Mexican Caribbean</t>
  </si>
  <si>
    <t>Coastal sensitivity and population exposure to sea level rise: a case study on Santa Catarina Island, Brazil</t>
  </si>
  <si>
    <t>Application of analytical hierarchy process (AHP) for flood risk assessment: a case study in Malda district of West Bengal, India</t>
  </si>
  <si>
    <t>Sectoral Migration of Ganga River and Its Implication on the Stability of Phaphamau Bridge Near Allahabad, U.P., India</t>
  </si>
  <si>
    <t>Human damage assessments of coastal flooding for Hong Kong and the Pearl River Delta due to climate change-related sea level rise in the twenty-first century</t>
  </si>
  <si>
    <t>Multi-hazard risk assessment of coastal vulnerability from tropical cyclones – A GIS based approach for the Odisha coast</t>
  </si>
  <si>
    <t>Assess the human and environmental vulnerability for coastal hazard by using a multi-criteria decision analysis</t>
  </si>
  <si>
    <t>Tsunami evacuation plan for the city of Tangier-Morocco based on gis tools</t>
  </si>
  <si>
    <t>Flood risk assessment in a coastal lagoon under present and future scenarios: Ria de Aveiro case study</t>
  </si>
  <si>
    <t>An assessment of vulnerability and adaptation to cyclones through impact assessment guidelines: a bottom-up case study from Bangladesh coast</t>
  </si>
  <si>
    <t>Assessing storm surge risk under future sea-level rise scenarios: a case study in the North Adriatic coast</t>
  </si>
  <si>
    <t>Flood Inundation Modelling for Mid-Lower Brisbane Estuary</t>
  </si>
  <si>
    <t>Coastal inundation research: An overview of the process</t>
  </si>
  <si>
    <t>Future typhoon and storm surges under different global warming scenarios: case study of typhoon Haiyan (2013)</t>
  </si>
  <si>
    <t>Testing new sources of topographic data for flood propagation modelling under structural, parameter and observation uncertainty</t>
  </si>
  <si>
    <t>Regional Risk Assessment addressing the impacts of climate change in the coastal area of the Gulf of Gabes (Tunisia)</t>
  </si>
  <si>
    <t>Assessment of storm surge inundation and potential hazard maps for the southern coast of Taiwan</t>
  </si>
  <si>
    <t>A cost-effective method to protect the coastal regions from sea level rise. A case study: Northern coasts of Egypt</t>
  </si>
  <si>
    <t>Climate change and economic growth: An intertemporal general equilibrium analysis for Egypt</t>
  </si>
  <si>
    <t>Coupling scenarios of urban growth and flood hazards along the Emilia-Romagna coast (Italy)</t>
  </si>
  <si>
    <t>A method for assessing the coastline recession due to the sea level rise by assuming stationary wind-wave climate</t>
  </si>
  <si>
    <t>Increasing risk of compound flooding from storm surge and rainfall for major US cities</t>
  </si>
  <si>
    <t>Critical elevation levels for flooding due to sea-level rise in Hawai‘i</t>
  </si>
  <si>
    <t>Coastal flooding of urban areas by overtopping: Dynamic modelling application to the Johanna storm (2008) in Gâvres (France)</t>
  </si>
  <si>
    <t>Assessment of South Sinai Coastal Vulnerability to Climate Change</t>
  </si>
  <si>
    <t>Evaluating uncertainties of future marine flooding occurrence as sea-level rises</t>
  </si>
  <si>
    <t>Future flood frequency under sea-level rise scenarios</t>
  </si>
  <si>
    <t>Assessment of Coastal Vulnerability Due to Sea Level Change at Bhola Island, Bangladesh: Using Geospatial Techniques</t>
  </si>
  <si>
    <t>Tsunami impact and vulnerability in the harbour area of Tangier, Morocco</t>
  </si>
  <si>
    <t>Shoreline change and sea level rise at the Muni-Pomadze coastal wetland (Ramsar site), Ghana</t>
  </si>
  <si>
    <t>Future Sea Level Rise and Changes on Tides in the Patagonian Continental Shelf</t>
  </si>
  <si>
    <t>Digital Elevation Model of coastal and flood plains obtained from vector data: An alternative method applied to the Coatzacoalcos fluvial plain (Mexico)</t>
  </si>
  <si>
    <t>Coastal vulnerability assessment for Egypt's Mediterranean coast</t>
  </si>
  <si>
    <t>Identification of storm surge vulnerable areas in the Philippines through the simulation of Typhoon Haiyan-induced storm surge levels over historical storm tracks</t>
  </si>
  <si>
    <t>Interdisciplinary assessment of sea-level rise and climate change impacts on the lower Nile delta, Egypt</t>
  </si>
  <si>
    <t>Incorporating climate change and morphological uncertainty into coastal change hazard assessments</t>
  </si>
  <si>
    <t>Black Sea beaches vulnerability to sea level rise</t>
  </si>
  <si>
    <t>Managing the Anthropocene marine transgression to the year 2100 and beyond in the State of Florida U.S.A.</t>
  </si>
  <si>
    <t>Sea-level rise, inundation, and marsh migration: Simulating impacts on developed lands and environmental systems</t>
  </si>
  <si>
    <t>Spatial vulnerability assessment of floods in the coastal regions of Bangladesh</t>
  </si>
  <si>
    <t>Low-cost inundation modelling at the reach scale with sparse data in the Lower Damodar River basin, India; [Modélisation économique des inondations à l’échelle du bief utilisant peu de données dans le bassin inférieur de la rivière Damodar (Inde)]</t>
  </si>
  <si>
    <t>Managing Shoreline Change Under Increasing Sea-Level Rise in Ghana</t>
  </si>
  <si>
    <t>A practical approach to floodplain mapping for large-scale catastrophe models</t>
  </si>
  <si>
    <t>Assessing sea level rise costs and adaptation benefits under uncertainty in Greece</t>
  </si>
  <si>
    <t>Coastal sensitivity assessment for Thiruvananthapuram, west coast of India</t>
  </si>
  <si>
    <t>Vulnerability assessment of the impact of sea level rise and land subsidence on north Nile Delta region</t>
  </si>
  <si>
    <t>Flood impact in the Mekong Delta, Vietnam</t>
  </si>
  <si>
    <t>Coastal flooding in Scotland: Towards national-level hazard assessment</t>
  </si>
  <si>
    <t>GIS-based risk assessment for the Nile Delta coastal zone under different sea level rise scenarios case study: Kafr EL Sheikh Governorate, Egypt</t>
  </si>
  <si>
    <t>Coastal erosion hazard and vulnerability assessment for southern coastal Tamil Nadu of India by using remote sensing and GIS</t>
  </si>
  <si>
    <t>Development of a relative coastal vulnerability index in a macro-tidal environment for climate change adaptation</t>
  </si>
  <si>
    <t>Coastal flooding hazard related to swell events in Cartagena de Indias, Colombia</t>
  </si>
  <si>
    <t>Cost-effective methods for accurate determination of sea level rise vulnerability: A Solomon Islands example</t>
  </si>
  <si>
    <t>Risk assessment on storm surges in the coastal area of Guangdong Province</t>
  </si>
  <si>
    <t>Flood-risk mapping for storm surge and tsunami at Cocos Bay (Manzanilla), Trinidad</t>
  </si>
  <si>
    <t>Exposure of atoll population to coastal erosion and flooding: A South Tarawa assessment, Kiribati</t>
  </si>
  <si>
    <t>The importance of the vertical accuracy of digital elevation models in gauging inundation by sea level rise along the Valdelagrana beach and marshes (Bay of Cádiz, SW Spain)</t>
  </si>
  <si>
    <t>Assessment of groundwater inundation as a consequence of sea-level rise</t>
  </si>
  <si>
    <t>An AHP-derived method for mapping the physical vulnerability of coastal areas at regional scales</t>
  </si>
  <si>
    <t>Coastal inundation due to sea level rise and extreme sea state and its potential impacts: Çukurova Delta case</t>
  </si>
  <si>
    <t>Modeling potential coastal vegetation response to sea level rise and storm surge on estuarine peninsulas</t>
  </si>
  <si>
    <t>Assessment of the sensitivity of the southern coast of the Gulf of Corinth (Peloponnese, Greece) to sea-level rise</t>
  </si>
  <si>
    <t>Flood Protection in Venice under Conditions of Sea-Level Rise: An Analysis of Institutional and Technical Measures</t>
  </si>
  <si>
    <t>Evaluation of aster GDEM2 in comparison with GDEM1, SRTM DEM and topographic-map-derived DEM using inundation area analysis and RTK-DGPS data</t>
  </si>
  <si>
    <t>Evaluation of building damage and tsunami inundation based on satellite images and GIS data following the 2010 Chile earthquake</t>
  </si>
  <si>
    <t>Impacts and preventative measures against flooding and coastal erosion in Thailand</t>
  </si>
  <si>
    <t>The impact of DEM data source on prediction of flooding and erosion risk due to sea-level rise</t>
  </si>
  <si>
    <t>Tsunami vulnerability and damage assessment in the coastal area of Rabat and Salé, Morocco</t>
  </si>
  <si>
    <t>Development of flood exposure in the Netherlands during the 20th and 21st century</t>
  </si>
  <si>
    <t>Coastal inundation and damage exposure estimation: A case study for Jakarta</t>
  </si>
  <si>
    <t>Impact of climate change on sea level rise in Lagos, Nigeria</t>
  </si>
  <si>
    <t>Modelling the future coastal zone urban development as implied by the IPCC SRES and assessing the impact from sea level rise</t>
  </si>
  <si>
    <t>Vulnerability of Varna central beach to extreme storm events</t>
  </si>
  <si>
    <t>Improving coastal vulnerability assessments to sea-level rise: A new indicator-based methodology for decision makers</t>
  </si>
  <si>
    <t>Tsunami inundation modelling based on detailed roughness maps of densely populated areas</t>
  </si>
  <si>
    <t>An Enhanced Framework for Assessing Pluvial Flooding Risk with Integrated Dynamic Population Vulnerability at Urban Scale</t>
  </si>
  <si>
    <t>Review article: A comprehensive review of compound flooding literature with a focus on coastal and estuarine regions</t>
  </si>
  <si>
    <t>Is it worth it? Land-fallowing and saltwater intrusion control under uncertainty</t>
  </si>
  <si>
    <t>Integrating AI and climate change scenarios for multi-risk assessment in the coastal municipalities of the Veneto region</t>
  </si>
  <si>
    <t>Evaluating terrain-based HAND-SRC flood mapping model in low-relief rural plains using high resolution topography and crowdsourced data</t>
  </si>
  <si>
    <t>Investigating aquifer vulnerability in the Saigon River Basin (Vietnam) using time domain electromagnetic soundings (TDEM)</t>
  </si>
  <si>
    <t>Enhanced understanding on spatial and dependence properties of rainfall extremes and storm tides in coastal cities</t>
  </si>
  <si>
    <t>Prioritizing flood drivers: an AHP-based study of physical factors in Digha’s coastal belt, East Coast, India</t>
  </si>
  <si>
    <t>Low-Cost, LiDAR-Based, Dynamic, Flood Risk Communication Viewer</t>
  </si>
  <si>
    <t>DEM Generation Incorporating River Channels in Data-Scarce Contexts: The “Fluvial Domain Method”</t>
  </si>
  <si>
    <t>Uncertainties in Simulating Flooding During Hurricane Harvey Using 2D Shallow Water Equations</t>
  </si>
  <si>
    <t>Prediction of coastline evolution using remote sensing and deep learning approach; Case study of the Northwest of the Persian Gulf</t>
  </si>
  <si>
    <t>Generation and selection of training events for surrogate flood inundation models</t>
  </si>
  <si>
    <t>Development of an inclusive, scalable, and flexible hydrologic modeling system: Establishing integrated flood simulation system at agricultural watersheds</t>
  </si>
  <si>
    <t>Key aspects of seawater intrusion in the Dniester River during storm surges</t>
  </si>
  <si>
    <t>Evaluating wetland ecosystem services value and dominant functions: Insights from the Pearl River Delta</t>
  </si>
  <si>
    <t>Differential flood insurance participation and housing market trajectories under future coastal flooding in the United States</t>
  </si>
  <si>
    <t>Overestimation of Mangroves Deterioration From Sea Level Rise in Tropical Deltas</t>
  </si>
  <si>
    <t>Eastern Australian estuaries will transition to tidal flood regimes in coming decades</t>
  </si>
  <si>
    <t>Sea level variability in Gulf of Guinea from satellite altimetry</t>
  </si>
  <si>
    <t>Compound effects in complex estuary-ocean interaction region under various combination patterns of storm surge and fluvial floods</t>
  </si>
  <si>
    <t>Near field tsunamis on volcanic islands: Blueprint for risk management using Stromboli as a test bed</t>
  </si>
  <si>
    <t>The Impact of Climate Change on Migration Patterns in Coastal Communities</t>
  </si>
  <si>
    <t>How do storm surge disaster losses affect economic development?: Perspectives from disaster prevention and mitigation capacity</t>
  </si>
  <si>
    <t>A simple method to automatically remove artificial terrain from airborne LiDAR DTMs in plain areas</t>
  </si>
  <si>
    <t>The value of marsh restoration for flood risk reduction in an urban estuary</t>
  </si>
  <si>
    <t>Navigating the sea level rise: Exploring the interplay of climate change, sea level rise, and coastal communities in india</t>
  </si>
  <si>
    <t>Brief communication: From modelling to reality - flood modelling gaps highlighted by a recent severe storm surge event along the German Baltic Sea coast</t>
  </si>
  <si>
    <t>Machine learning insights into the evolution of flood Resilience: A synthesized framework study</t>
  </si>
  <si>
    <t>Machine learning and hydrodynamic proxies for enhanced rapid tsunami vulnerability assessment</t>
  </si>
  <si>
    <t>A Coupled Human and Natural Systems (CHANS) framework integrated with reinforcement learning for urban flood mitigation</t>
  </si>
  <si>
    <t>Integrating historical storm surge events into flood risk security in the Copenhagen region</t>
  </si>
  <si>
    <t>Significant challenges to the sustainability of the California coast considering climate change</t>
  </si>
  <si>
    <t>Stormwater Management: An Integrated Approach to Support Healthy, Livable, and Ecological Cities</t>
  </si>
  <si>
    <t>Reflection of Storm Surge and Tides in Convergent Estuaries With Dams, the Case of Charleston, USA</t>
  </si>
  <si>
    <t>Cities and the sea level</t>
  </si>
  <si>
    <t>Challenges, Advances and Opportunities in Regional Sea Level Projections: The Role of Ocean-Shelf Dynamics</t>
  </si>
  <si>
    <t>Breaching of the Sillon de Talbert gravel spit (North Brittany, France) and coastal flooding risk assessment</t>
  </si>
  <si>
    <t>Risk assessment of national railway infrastructure due to sea-level rise: an application of a methodological framework in Italian coastal railways</t>
  </si>
  <si>
    <t>SHIFT: a spatial-heterogeneity improvement in DEM-based mapping of global geomorphic floodplains</t>
  </si>
  <si>
    <t>Assessing the socio-environmental challenges by floods in 2017: a case from an Upazila of Northern Bangladesh</t>
  </si>
  <si>
    <t>Model-based assessment of climate change impact on inland flood risk at the German North Sea coast caused by compounding storm tide and precipitation events</t>
  </si>
  <si>
    <t>Predicting Land Cover Using a GIS-Based Markov Chain and Sea Level Inundation for a Coastal Area</t>
  </si>
  <si>
    <t>A machine learning approach to evaluate coastal risks related to extreme weather events in the veneto region (Italy)</t>
  </si>
  <si>
    <t>Improving Coastal Storm Surge Monitoring Through Joint Modeling Based on Permanent and Temporary Tide Gauges</t>
  </si>
  <si>
    <t>A systemic and comprehensive assessment of coastal hazard changes: method and application to France and its overseas territories</t>
  </si>
  <si>
    <t>Forecasting tropical cyclone coastal and marine hazards and impacts</t>
  </si>
  <si>
    <t>Assessing coastal vulnerability and climate resilience for Caribbean small island states using ecological principles</t>
  </si>
  <si>
    <t>Enhancing urban flood resilience: A coupling coordinated evaluation and geographical factor analysis under SES-PSR framework</t>
  </si>
  <si>
    <t>The spatial analysis of urbanization dynamic impacts in a 50-year flood frequency in Java, Indonesia</t>
  </si>
  <si>
    <t>Local-level impacts of Cyclone Yaas on the Islands of the Indian Sundarbans Delta</t>
  </si>
  <si>
    <t>Insurance retreat in residential properties from future sea level rise in Aotearoa New Zealand</t>
  </si>
  <si>
    <t>Hazards of sea level rise and dams built on the River Nile on water budget and salinity of the Nile Delta aquifer</t>
  </si>
  <si>
    <t>A direct insertion technique to assimilate sea surface height into a storm surge model</t>
  </si>
  <si>
    <t>Pseudo-Dynamics Identification (1817–2022) on the North Coast of Java (Pantura) using Dynamics Topography; [Pseudodinamička identifikacija (1817–2022) na Sjevernoj obali Jave (Pantura) primjenom dinamičke topografije]</t>
  </si>
  <si>
    <t>Automatic Detection of Flood Extent and Volume Estimation from Sentinel-2 Satellite Images using Deep Learning Techniques in India</t>
  </si>
  <si>
    <t>Assessing flood susceptibility with ALOS PALSAR and LiDAR digital terrain models using the height above nearest drainage (HAND) model</t>
  </si>
  <si>
    <t>Patterns of hurricane induced displacement in The Bahamas: Building equitable resilience in small island developing states</t>
  </si>
  <si>
    <t>Mapping the vulnerability of groundwater to saltwater intrusion from estuarine rivers under sea level rise</t>
  </si>
  <si>
    <t>The Rising Concern for Sea Level Rise: Altimeter Record and Geo-Engineering Debate</t>
  </si>
  <si>
    <t>Mapping Compound Flooding Risks for Urban Resilience in Coastal Zones: A Comprehensive Methodological Review</t>
  </si>
  <si>
    <t>Modeling coastal inundation for adaptation to climate change at local scale: the case of Marche Region (central Italy)</t>
  </si>
  <si>
    <t>Regional storm surge hazard quantification using Gaussian process metamodeling techniques</t>
  </si>
  <si>
    <t>Total water levels along the South Atlantic Bight during three along-shelf propagating tropical cyclones: relative contributions of storm surge and wave runup</t>
  </si>
  <si>
    <t>Operational forecasts of wave-driven water levels and coastal hazards for US Gulf and Atlantic coasts</t>
  </si>
  <si>
    <t>Rapid spatio-Temporal flood modelling via hydraulics-based graph neural networks</t>
  </si>
  <si>
    <t>Estimating coastal flood damage costs to transit infrastructure under future sea level rise</t>
  </si>
  <si>
    <t>Integrating Place and Sense of Place into Geovisualizations of Hurricane Storm Surge Risk</t>
  </si>
  <si>
    <t>A global assessment of estuarine tidal response to sea level rise</t>
  </si>
  <si>
    <t>Evaluation of potential flood hazard through spatial zoning in Acha–Arica, northern Chile, integrating GIS, multi-criteria analysis and two-dimensional numerical simulation</t>
  </si>
  <si>
    <t>The Global Drivers of Chronic Coastal Flood Hazards Under Sea-Level Rise</t>
  </si>
  <si>
    <t>Climate-induced storminess forces major increases in future storm surge hazard in the South China Sea region</t>
  </si>
  <si>
    <t>Performance of the flood models in different topographies</t>
  </si>
  <si>
    <t>Toward Collaborative Adaptation: Assessing Impacts of Coastal Flooding at the Watershed Scale</t>
  </si>
  <si>
    <t>Land Subsidence Phenomena vs. Coastal Flood Hazard—The Cases of Messolonghi and Aitolikon (Greece)</t>
  </si>
  <si>
    <t>Big Data, Small Island: Earth Observations for Improving Flood and Landslide Risk Assessment in Jamaica</t>
  </si>
  <si>
    <t>Evaluation of surge hazard based on a storm surge hazard indicator along the mainland coast of China</t>
  </si>
  <si>
    <t>Compound floods in Hong Kong: Hazards, triggers, and socio-economic consequences</t>
  </si>
  <si>
    <t>Geomorphic flood hazard mapping: from floodplain delineation to flood hazard characterization</t>
  </si>
  <si>
    <t>An innovative approach of GSSHA model in flood analysis of large watersheds based on accuracy of DEM, size of grids, and stream density</t>
  </si>
  <si>
    <t>Measuring Heterogeneous Preferences for Adaptation Strategies in Response to Sea Level Rise: Evidence from Miami-Dade County</t>
  </si>
  <si>
    <t>Simulation of Tsunami Inundation for the Island of Martinique to Nearby Large Earthquakes</t>
  </si>
  <si>
    <t>Tsunami Runup and Inundation in Tonga from the January 2022 Eruption of Hunga Volcano</t>
  </si>
  <si>
    <t>Forecasting Impacts on Vulnerable Shorelines: Vulnerability Assessment along the Coastal Zone of Messolonghi Area—Western Greece</t>
  </si>
  <si>
    <t>Holocene to near-future evolution of the southern Molise coast (Central Adriatic, Italy) under the influence of natural and anthropogenic controls</t>
  </si>
  <si>
    <t>Tsunami inundation characteristics along the Japan Sea coastline: effect of dunes, breakwaters, and rivers</t>
  </si>
  <si>
    <t>Flooding trends and their impacts on coastal communities of Western Cape Province, South Africa</t>
  </si>
  <si>
    <t>Climate change impacts to the coastal flood hazard in the northeastern United States</t>
  </si>
  <si>
    <t>Vulnerability Assessment of Climate Change in Vietnam: A Case Study of Binh Chanh District, Ho Chi Minh City</t>
  </si>
  <si>
    <t>A Semi-Empirical Approach for Tsunami Inundation: An Application to the Coasts of South Italy</t>
  </si>
  <si>
    <t>GIS-based multicriteria decision analysis for settlement areas: a case study in Canik</t>
  </si>
  <si>
    <t>Real-time coastal flood hazard assessment using DEM-based hydrogeomorphic classifiers</t>
  </si>
  <si>
    <t>Staying Afloat: Planning and Managing Climate Change and Sea Level Rise Risk in Florida’s Coastal Counties</t>
  </si>
  <si>
    <t>Geomorphic impacts of Hurricane Florence on the lower Neuse River: Portents and particulars</t>
  </si>
  <si>
    <t>Rapid eco-physical impact assessment of tropical cyclones using geospatial technology: a case from severe cyclonic storms Amphan</t>
  </si>
  <si>
    <t>Coastal dilemma: Climate change, public assistance and population displacement</t>
  </si>
  <si>
    <t>POTENTIAL EFFECTS OF SEA–LEVEL RISE ON CRITICAL INFRASTRUCTURE IN NEW YORK CITY AND LOS ANGELES</t>
  </si>
  <si>
    <t>Satellite flood detection integrating hydrogeomorphic and spectral indices</t>
  </si>
  <si>
    <t>A framework for risk-based assessment of urban floods in coastal cities</t>
  </si>
  <si>
    <t>Integrating remote sensing and social sensing for flood mapping</t>
  </si>
  <si>
    <t>1D and 2D model coupling approach for the development of operational spatial flood early warning system</t>
  </si>
  <si>
    <t>Tracing Uncertainty Contributors in the Multi-Hazard Risk Analysis for Compound Extremes</t>
  </si>
  <si>
    <t>Neodymium Isotope Geochemistry of a Subterranean Estuary</t>
  </si>
  <si>
    <t>The 16 September 2015 Illapel Earthquake and Tsunami: Post-Event Tsunami Inundation, Building and Infrastructure Damage Survey in Coquimbo, Chile</t>
  </si>
  <si>
    <t>Analysis of Storm Surge Considering Waves on the Southeastern Coast of South Korea</t>
  </si>
  <si>
    <t>Multiscale Quantification of Tsunami Hazard Exposure in a Pacific Small Island Developing State: The Case of Samoa</t>
  </si>
  <si>
    <t>Economic evaluation of sea-level rise adaptation strongly influenced by hydrodynamic feedbacks</t>
  </si>
  <si>
    <t>The Coupling Effect of Flood Discharge and Storm Surge on Extreme Flood Stages: A Case Study in the Pearl River Delta, South China</t>
  </si>
  <si>
    <t>Improving coastal flooding predictions by switching meshes during a simulation</t>
  </si>
  <si>
    <t>Flood depth mapping in street photos with image processing and deep neural networks</t>
  </si>
  <si>
    <t>Tide-only inundation: a metric to quantify the contribution of tides to coastal inundation under sea-level rise</t>
  </si>
  <si>
    <t>Temporal-spatial characteristics of storm surges and rough seas in coastal areas of Mainland China from 2000 to 2019</t>
  </si>
  <si>
    <t>Recent nationwide climate change impact assessments of natural hazards in Japan and East Asia</t>
  </si>
  <si>
    <t>Evolving tides aggravate nuisance flooding along the U.S. coastline</t>
  </si>
  <si>
    <t>A comparison of machine learning approaches to improve free topography data for flood modelling</t>
  </si>
  <si>
    <t>Evaluation of climate induced hazards risk for coastal Bangladesh: a participatory approach-based assessment</t>
  </si>
  <si>
    <t>Understanding coastal flood risk prevention by combining modelling and sketch maps (Mediterranean coast, France)</t>
  </si>
  <si>
    <t>Stability of the Northern coast of Egypt under the effect of urbanization and climate change</t>
  </si>
  <si>
    <t>Physical Instability of Individuals Exposed to Storm-Induced Coastal Flooding: Vulnerability of New Yorkers During Hurricane Sandy</t>
  </si>
  <si>
    <t>Field surveys and numerical modeling of the August 2016 Typhoon Lionrock along the northeastern coast of Japan: the first typhoon making landfall in Tohoku region</t>
  </si>
  <si>
    <t>SALINE INTRUSION: A POTENTIAL RISK FOR COASTAL AQUIFER MANAGEMENT IN SEA LEVEL RISE SCENARIOS THE CASE STUDY OF AN ADAPTATION PLAN FOR THE MUNICIPALITY OF FANO</t>
  </si>
  <si>
    <t>Uncertainty quantification of tsunami inundation in Kuroshio, Kochi Prefecture, Japan, using the Nankai-Tonankai megathrust rupture scenarios</t>
  </si>
  <si>
    <t>Assessment of tsunami hazard in sabah – level of threat, constraints and future work</t>
  </si>
  <si>
    <t>Sea Level Rise Driving Increasingly Predictable Coastal Inundation in Sydney, Australia</t>
  </si>
  <si>
    <t>Damage of extreme water levels and the adaptation cost of dikes in the pearl river delta</t>
  </si>
  <si>
    <t>The effect of sea level rise on coastal populations: The case of the Gironde (Estuaries of Gironde)</t>
  </si>
  <si>
    <t>Increasing pressures, eroding beaches and climate change in Morocco</t>
  </si>
  <si>
    <t>Coastal Vulnerability Index revisited: a case study from Maricá, RJ, Brazil; [Coastal Vulnerability Index revisto: estudo de caso para Maricá, RJ, Brasil]</t>
  </si>
  <si>
    <t>Storm Response and Recovery Process after Nourishment of Dongsha Beach, Zhujiajian Island, Zhejiang Province</t>
  </si>
  <si>
    <t>Determining the best remotely sensed DEM for flood inundation mapping in data sparse regions</t>
  </si>
  <si>
    <t>Flood hazard assessment from storm tides, rain and sea level rise for a tidal river estuary</t>
  </si>
  <si>
    <t>Enhancing Estuarine Flood Risk Management: Comparative Analysis of Three Estuarine Systems</t>
  </si>
  <si>
    <t>Keeping the business going: SMEs and urban floods in Asian megacities</t>
  </si>
  <si>
    <t>Delineating flood hazards using the interpreted structural setting and GIS in Attaif, western Saudi Arabia</t>
  </si>
  <si>
    <t>Integrated sea storm management strategy: The 29 October 2018 event in the Adriatic Sea</t>
  </si>
  <si>
    <t>Risk Modelling in Urban Coastal Areas to Support Adaptation to Climate Change and Extreme Weather Events: Early Warning, Emergency Planning and Risk Management Systems</t>
  </si>
  <si>
    <t>Vulnerability and Resilience in San Mateo County: Identifying Social, Economic and Physical Discrepancies in Stakeholder Perception of Risk</t>
  </si>
  <si>
    <t>Characteristic of Wave-induced Setup in Yangtze Estuary during Typhoon Processes</t>
  </si>
  <si>
    <t>Climate change assessment impacts on the coastal area of maliakos gulf, Greece</t>
  </si>
  <si>
    <t>Spatial exposure and livelihood vulnerability to climate-related disasters in the North Coast of Tegal City, Indonesia</t>
  </si>
  <si>
    <t>Modeling of a future scenario of potential sea level rise and consequences to land use in the Cananéia-iguape estuarine- lagoonal complex (Brazil); [Modelagem de cenário futuro de potencial aumento no nível do mar e suas consequências no uso do solo do complexo estuarino-lagunar de iguape-cananéia (Brasil)]</t>
  </si>
  <si>
    <t>Multi-hazards vulnerability assessment of southern coasts of Iran</t>
  </si>
  <si>
    <t>Coastal Social Vulnerability and Risk Analysis for Cyclone Hazard Along the Andhra Pradesh, East Coast of India; [Küsten Soziale Anfälligkeit und Risikoanalyse für Zyklon Gefahr entlang der Andhra Pradesh, Ostküste von India]</t>
  </si>
  <si>
    <t>Tidal inundation modeling within GIS</t>
  </si>
  <si>
    <t>Damage analysis of typhoon surge flood in coastal urban areas using GIS and ADCIRC</t>
  </si>
  <si>
    <t>Developing an Approximate Tsunami Hazard Zone for Areas with Poor Topographic Coverage in Alaska</t>
  </si>
  <si>
    <t>Sources of uncertainty in estuarine climate impact modeling</t>
  </si>
  <si>
    <t>Intertidal Area Disappears Under Sea Level Rise: 250 Years of Morphodynamic Modeling in San Pablo Bay, California</t>
  </si>
  <si>
    <t>Probabilistic Tsunami Hazard Assessment (PTHA) for resilience assessment of a coastal community</t>
  </si>
  <si>
    <t>Practical tools for quantitative analysis of coastal vulnerability and sea level rise impacts—application in a Caribbean island and assessment of the 1.5 °C threshold</t>
  </si>
  <si>
    <t>Estimating Coastal Digital Elevation Model Uncertainty</t>
  </si>
  <si>
    <t>The Tsunami Threat to Sydney Harbour, Australia: Modelling potential and historic events</t>
  </si>
  <si>
    <t>Prioritizing countermeasures for reducing seawater-intrusion area by considering regional characteristics using SEAWAT and a multicriteria decision-making method</t>
  </si>
  <si>
    <t>Reducing risk in reserve selection using Modern Portfolio Theory: Coastal planning under sea-level rise</t>
  </si>
  <si>
    <t>Flood risk mapping using GIS and multi-criteria analysis: A greater toronto area case study</t>
  </si>
  <si>
    <t>A GIS-based analysis of constraints on pedestrian tsunami evacuation routes: Cascais case study (Portugal)</t>
  </si>
  <si>
    <t>Sea-level rise and resilience in Vietnam and the AsiaPacific: A synthesis</t>
  </si>
  <si>
    <t>Advanced casualty estimation based on tsunami evacuation intended behavior: case study at Yuigahama Beach, Kamakura, Japan</t>
  </si>
  <si>
    <t>Comparing the cost effectiveness of nature-based and coastal adaptation: A case study from the Gulf Coast of the United States</t>
  </si>
  <si>
    <t>Assessing the impact of sea level rise due to climate change on seawater intrusion in Mekong Delta, Vietnam</t>
  </si>
  <si>
    <t>Impact of sea level rise and coastal slope on shoreline change along the Indian coast</t>
  </si>
  <si>
    <t>Evaluating the impacts of sea-level rise on the Moroccan coast: Quantifying coastal erosion and inundation in a Atlantic alluvial plain (Kenitra coastal)</t>
  </si>
  <si>
    <t>A DEM-based approach for large-scale floodplain mapping in ungauged watersheds</t>
  </si>
  <si>
    <t>Vulnerability assessment of coastal areas to sea level rise from the physical and socioeconomic parameters: case of the Gulf Coast of Bejaia, Algeria</t>
  </si>
  <si>
    <t>Migration induced by sea-level rise could reshape the US population landscape</t>
  </si>
  <si>
    <t>Future projection of flood inundation considering land-use changes and land subsidence in Jakarta, Indonesia</t>
  </si>
  <si>
    <t>A Rapid, Low-Cost Approach to Coastal Vulnerability Assessment at a National Level</t>
  </si>
  <si>
    <t>Evaluation of dynamic coastal response to sea-level rise modifies inundation likelihood</t>
  </si>
  <si>
    <t>Spatial data analysis and remote sensing for observing tsunami-inundated areas</t>
  </si>
  <si>
    <t>Tidal hydrodynamics under future sea level rise and coastal morphology in the Northern Gulf of Mexico</t>
  </si>
  <si>
    <t>Sea-level rise impacts on transport infrastructure: The notorious case of the coastal railway line at Dawlish, England</t>
  </si>
  <si>
    <t>Severity and exposure associated with tsunami actions in urban waterfronts: the case of Lisbon, Portugal</t>
  </si>
  <si>
    <t>Hurricane-induced waves and storm surge modeling for the Mexican coast</t>
  </si>
  <si>
    <t>I-C-SEA Change: A participatory tool for rapid assessment of vulnerability of tropical coastal communities to climate change impacts</t>
  </si>
  <si>
    <t>Variability in storm climate along the Gulf of Cadiz: the role of large scale atmospheric forcing and implications to coastal hazards</t>
  </si>
  <si>
    <t>Increased nuisance flooding along the coasts of the United States due to sea level rise: Past and future</t>
  </si>
  <si>
    <t>Assessing urban flooding vulnerability with an emergy approach</t>
  </si>
  <si>
    <t>Storm surge damage to residential areas: a quantitative analysis for Hurricane Sandy in comparison with FEMA flood map</t>
  </si>
  <si>
    <t>Blending of satellite and tide gauge sea level observations and its assimilation in a storm surge model of the North Sea and Baltic Sea</t>
  </si>
  <si>
    <t>Climate change risks to US infrastructure: impacts on roads, bridges, coastal development, and urban drainage</t>
  </si>
  <si>
    <t>Southern North Sea storm surge event of 5 December 2013: Water levels, waves and coastal impacts</t>
  </si>
  <si>
    <t>Coastal vulnerability assessment of Gujarat coast to sea level rise using GIS techniques: a preliminary study</t>
  </si>
  <si>
    <t>Integrated risk assessment of multi-hazards in China</t>
  </si>
  <si>
    <t>The dynamic effects of sea level rise on low-gradient coastal landscapes: A review</t>
  </si>
  <si>
    <t>Merging Socioeconomic Imperatives with Geospatial Data: A Non-Negotiable for Coastal Risk Management in South Africa</t>
  </si>
  <si>
    <t>Application of flood risk modelling in a web-based geospatial decision support tool for coastal adaptation to climate change</t>
  </si>
  <si>
    <t>Cyclone hazard proneness of districts of India</t>
  </si>
  <si>
    <t>Coupled storm surge and wave simulations for the Southern Coast of Korea</t>
  </si>
  <si>
    <t>Information for Australian Impact and Adaptation Planning in response to Sea-level Rise</t>
  </si>
  <si>
    <t>The application of WebGIS Tools for visualizing coastal flooding vulnerability and planning for resiliency: The New Jersey experience</t>
  </si>
  <si>
    <t>A modeling study of coastal inundation induced by storm surge, sea-level rise, and subsidence in the Gulf of Mexico</t>
  </si>
  <si>
    <t>Dynamics of sea level rise and coastal flooding on a changing landscape</t>
  </si>
  <si>
    <t>Guidelines for the strategic management of flood risks in industrial plant oil in the Brazilian coast: Adaptive measures to the impacts by relative sea level rise</t>
  </si>
  <si>
    <t>Impact of sea level rise to coastal ecology: A case study on the northern part of java island, indonesia</t>
  </si>
  <si>
    <t>Coupling of sea level rise, tidal amplification, and inundation</t>
  </si>
  <si>
    <t>Impact of the 2004 Indian Ocean tsunami along the Tamil Nadu coastline: Field survey review and numerical simulations</t>
  </si>
  <si>
    <t>Cyclones in a changing climate: the case of Bangladesh</t>
  </si>
  <si>
    <t>Development of habitation vulnerability assessment framework for coastal hazards: Cuddalore coast in Tamil Nadu, India-A case study</t>
  </si>
  <si>
    <t>Tsunami hazard assessment in El Salvador, Central America, from seismic sources through flooding numerical models.</t>
  </si>
  <si>
    <t>Assessment of inundation risk from sea level rise and storm surge in northeastern coastal national parks</t>
  </si>
  <si>
    <t>The impact of climate change on the archaeology of New Zealand's coastline: A case study from the Whangarei District</t>
  </si>
  <si>
    <t>A Probabilistic Tsunami Hazard Study of the Auckland Region, Part II: Inundation Modelling and Hazard Assessment</t>
  </si>
  <si>
    <t>Could a 1755-Like Tsunami Reach the French Atlantic Coastline? Constraints from Twentieth Century Observations and Numerical Modeling</t>
  </si>
  <si>
    <t>Global mapping of storm surges and the assessment of coastal vulnerability</t>
  </si>
  <si>
    <t>Study and mapping of natural hazards in the coastal zone of Murcia; [Estudio y cartografía de los peligros naturales costeros de la región de Murcia]</t>
  </si>
  <si>
    <t>Coastal hazard mapping in the Cuddalore region, South India</t>
  </si>
  <si>
    <t>Coastal protection structures in Tarawa Atoll, Republic of Kiribati</t>
  </si>
  <si>
    <t>A coupled physical and economic model of the response of coastal real estate to climate risk</t>
  </si>
  <si>
    <t>Potential impacts of extreme storm surges on a low-lying densely populated coastline: The case of Dunkirk area, Northern France</t>
  </si>
  <si>
    <t>General observations about rising sea levels in Peninsular Malaysia</t>
  </si>
  <si>
    <t>Sea-level rise implications for coastal regions</t>
  </si>
  <si>
    <t>Economic vulnerability to sea-level rise along the Northern U.S. gulf coast</t>
  </si>
  <si>
    <t>Scenario-based projection of extreme sea levels</t>
  </si>
  <si>
    <t>Evaluation of the combined risk of sea level rise, land subsidence, and storm surges on the coastal areas of Shanghai, China</t>
  </si>
  <si>
    <t>Modelling of coastal vulnerability in the stretch between the beaches of Porto de Mós and Falésia, Algarve (Portugal)</t>
  </si>
  <si>
    <t>Computational investigation of typhoon-induced storm surges along the coast of Taiwan</t>
  </si>
  <si>
    <t>Continental scale mapping of tidal flats across east Asia using the landsat archive</t>
  </si>
  <si>
    <t>Classification of cyclone hazard prone districts of India</t>
  </si>
  <si>
    <t>Flood hazards and masonry constructions: A probabilistic framework for damage, risk and resilience at urban scale</t>
  </si>
  <si>
    <t>Climate change, sea level rise and protecting displaced coastal communities: Possible solutions</t>
  </si>
  <si>
    <t>Potential inundation of Lisbon downtown by a 1755-like tsunami</t>
  </si>
  <si>
    <t>Vulnerability assessment of storm surges in the coastal area of Guangdong Province</t>
  </si>
  <si>
    <t>Impact of sea level rise and over-pumping on seawater intrusion in coastal aquifers</t>
  </si>
  <si>
    <t>A Second Generation of Tsunami Inundation Maps for the State of California</t>
  </si>
  <si>
    <t>Sea level history of the northern Gulf of Mexico coast and sea level rise scenarios for the near future</t>
  </si>
  <si>
    <t>Probabilistic coastal vulnerability assessment to storms at regional scale - Application to Catalan beaches (NW Mediterranean)</t>
  </si>
  <si>
    <t>Multi-objective automatic calibration of hydrodynamic models utilizing inundation maps and gauge data</t>
  </si>
  <si>
    <t>Potential impact of climate change on hurricane flooding inundation, population affected and property damages in Corpus Christi</t>
  </si>
  <si>
    <t>The economic impact of substantial sea-level rise</t>
  </si>
  <si>
    <t>Cities at risk: Asia's coastal cities in an age of climate change</t>
  </si>
  <si>
    <t>The potential impacts of sea level rise along the coastal zone of Kanyakumari District in Tamilnadu, India</t>
  </si>
  <si>
    <t>Estimates of exposure of a coastal city to spatial use changes - A case study in Xiamen</t>
  </si>
  <si>
    <t>Assessing vulnerability to sea-level rise using a coastal sensitivity index: A case study from southeast Australia</t>
  </si>
  <si>
    <t>Simulation of storm surge, wave, currents, and inundation in the outer banks and Chesapeake bay during Hurricane Isabel in 2003: The importance of waves</t>
  </si>
  <si>
    <t>Influence of interannual tidal modulation on coastal flooding along the Western Australian coast</t>
  </si>
  <si>
    <t>Impacts of sea-level rise on the Moroccan coastal zone: Quantifying coastal erosion and flooding in the Tangier Bay</t>
  </si>
  <si>
    <t>Environmenttoday natural hazards in Dominica</t>
  </si>
  <si>
    <t>The application of integrated urban inundation model in Republic of Korea</t>
  </si>
  <si>
    <t>Evaluating the cumulative impacts of multiple stressors on marine and coastal ecosystems in China's marine waters</t>
  </si>
  <si>
    <t>Action plan for implementation of an ecosystem-based coastal management approach in Ghana</t>
  </si>
  <si>
    <t>Assessing the impact of climate and land use change on flood vulnerability: a machine learning approach in coastal region of Tamil Nadu, India</t>
  </si>
  <si>
    <t>A hydromechanical EFG-based model for numerical simulation of land subsidence induced by groundwater extraction in anisotropic aquifers</t>
  </si>
  <si>
    <t>Revealing future effectiveness of protected areas for biodiversity conservation in the Guangdong-Hong Kong-Macao Greater Bay Area</t>
  </si>
  <si>
    <t>Well-balanced and positivity-preserving wet-dry front reconstruction scheme for Ripa models</t>
  </si>
  <si>
    <t>Potential Impact of Flood Control Projects on Hydrological Processes in the Coastal Regions of the Taihu Basin, China</t>
  </si>
  <si>
    <t>Widespread Expansion of Salt Marsh Pools Observed on Maine Marshes Since 2009</t>
  </si>
  <si>
    <t>Coastal Marsh Vulnerability to Sea-Level Rise Is Exacerbated by Plant Species Invasion</t>
  </si>
  <si>
    <t>Cross-scale prediction for the Laurentian Great Lakes</t>
  </si>
  <si>
    <t>Recreation impact on the early establishment of dune-building grasses Elytrigia juncea and Ammophila arenaria on the beach</t>
  </si>
  <si>
    <t>HOLSEA-NL: a Holocene water level and sea level indicator dataset for the Netherlands</t>
  </si>
  <si>
    <t>Interpretable flash flood susceptibility mapping in Yarlung Tsangpo River Basin using H2O Auto-ML</t>
  </si>
  <si>
    <t>A simple method for the enhancement of river bathymetry in LiDAR DEM</t>
  </si>
  <si>
    <t>Soil Organic Carbon Assessment Using Remote-Sensing Data and Machine Learning: A Systematic Literature Review</t>
  </si>
  <si>
    <t>First-order multirate mass transfer for modeling coupled flow and deformation in heterogeneous fractured media</t>
  </si>
  <si>
    <t>A Geomorphodiversity Index for Caçapava UNESCO Global Geopark – Brazil</t>
  </si>
  <si>
    <t>Optimizing evacuation paths using agent-based evacuation simulations and reinforcement learning</t>
  </si>
  <si>
    <t>The role of ecocultural communication, dialogue, and collective action in the sustainability of mangrove ecotourism</t>
  </si>
  <si>
    <t>Chronic enrichment affects nitrogen removal in tidal freshwater river and estuarine creek sediments</t>
  </si>
  <si>
    <t>Assessing the performance of convection-permitting climate model in reproducing basin-scale hydrological extremes: A western Norway case study</t>
  </si>
  <si>
    <t>Strengthening WASH resilience in flood-affected urban poor communities: Insights from Patna</t>
  </si>
  <si>
    <t>Physical and numerical study of the dynamic response of the surrounding rocks and supporting structures of deep caverns subjected to explosion plane waves</t>
  </si>
  <si>
    <t>Simulating ice–wave interactions in the Laurentian Great Lakes using a fully coupled hydrodynamic–ice–wave model</t>
  </si>
  <si>
    <t>Evaluation of land ecological security and driving factors in the Lower Yellow River Flood Plain based on quality, structure and function</t>
  </si>
  <si>
    <t>Event-driven erosion of a glacial till cliff</t>
  </si>
  <si>
    <t>Wave climate projections off coastal French Guiana based on high-resolution modelling over the Atlantic Ocean</t>
  </si>
  <si>
    <t>Operationalizing equity in nature-based coastal adaptation: Assessing practitioner perspectives from the San Francisco Bay Area, California</t>
  </si>
  <si>
    <t>Multidimensional risk assessment of marine litter pollution in the ecologically fragile coral atolls of India</t>
  </si>
  <si>
    <t>Greenhouse gas fluxes and their determining factors in salt marsh wetlands along the south shore of Hangzhou Bay, East China Sea</t>
  </si>
  <si>
    <t>Impacts of faulty grey infrastructures on the bathymetry and salinity of Vembanad Lake, a tropical estuary along the south west coast of India</t>
  </si>
  <si>
    <t>Intertidal zonation of mangrove organic carbon fractions driven by vegetation biomass and soil nutrient levels</t>
  </si>
  <si>
    <t>Investigating appropriate artificial intelligence approaches to reliably predict coastal wave overtopping and identify process contributions</t>
  </si>
  <si>
    <t>Subgrid corrections for the linear inertial equations of a compound flood model - a case study using SFINCS 2.1.1 Dollerup release</t>
  </si>
  <si>
    <t>FloodGame: An interactive 3D serious game on flood mitigation for disaster awareness and education</t>
  </si>
  <si>
    <t>A high-order, fully well-balanced, unconditionally positivity-preserving finite volume framework for flood simulations</t>
  </si>
  <si>
    <t>Causes and Transmission Characteristics of the Regional PM2.5 Heavy Pollution Process in the Urban Agglomerations of the Central Taihang Mountains</t>
  </si>
  <si>
    <t>Reoccupation of late Quaternary relative sea level indicators in a tectonically quasi-stable coastal area in Southern Italy (Cilento headland): Insights into the Last Interglacial stillstands</t>
  </si>
  <si>
    <t>Subseasonal prediction of weekly precipitation anomalies over Southern China during early summer based on predictability analysis and machine learning</t>
  </si>
  <si>
    <t>Numerical modelling of the hydrodynamics driven by tidal flooding of the land surface after dyke breaching</t>
  </si>
  <si>
    <t>Satellite-based flood mapping of coastal floods: The Senegal River estuary study case</t>
  </si>
  <si>
    <t>Analytical solution approach for geomechanical response of 3-D geological model</t>
  </si>
  <si>
    <t>The influence of anthropogenic topographic changes on geomorphological processes in the city of Rome (Italy): A case study of the Malagrotta area</t>
  </si>
  <si>
    <t>Monitoring land subsidence using Sentinel-1A, persistent scatterer InSAR, and machine learning techniques</t>
  </si>
  <si>
    <t>Modeling green infrastructure as a flood mitigation strategy in an urban coastal area</t>
  </si>
  <si>
    <t>Diurnal temperature variation exacerbates the effects of phenanthrene on Trochus pyramis Born in a warmer ocean</t>
  </si>
  <si>
    <t>Passive microwave-based diagnostics of medicanes over the period 2000–2021</t>
  </si>
  <si>
    <t>Hurricane Hilary (2023) and Rare Tropical Cyclones in the Southwest United States: Impacts on Temperature and Precipitation</t>
  </si>
  <si>
    <t>Response to sea-level change in a non-deltaic coastal plain: Insights from cores chronologies</t>
  </si>
  <si>
    <t>Shifted baselines: Using the adaptive cycle to assess the post-tsunami mangrove social-ecological system recovery in the Nicobar Islands</t>
  </si>
  <si>
    <t>Climate change-immobility nexus: perspectives of voluntary immobile populations from three coastal communities in Ghana</t>
  </si>
  <si>
    <t>Multidecadal Morphodynamic evolution of shorelines and coral reefs along the Arabian Sea Coast of Oman: Bar Al Hikman Peninsula</t>
  </si>
  <si>
    <t>Present-day foreland development and its relation to plate tectonics in the northern Andes</t>
  </si>
  <si>
    <t>Dynamics of suspended sediment concentration in Indian Sundarban through field observation and remotely sensed data</t>
  </si>
  <si>
    <t>Variable Tidal Amplitude in Hawaiʻi and the Connection to Pacific Decadal Climate Variability</t>
  </si>
  <si>
    <t>Generalized Gumbel model for r-largest order statistics, with an application to peak streamflow</t>
  </si>
  <si>
    <t>An Improved Soil Moisture Downscaling Method Based on Soil Properties and Geographical Divisions over the Loess Plateau</t>
  </si>
  <si>
    <t>Biodiversity effects of the Russia–Ukraine War and the Kakhovka Dam destruction: ecological consequences and predictions for marine, estuarine, and freshwater communities in the northern Black Sea</t>
  </si>
  <si>
    <t>Land subsidence in coastal reclamation with impact on metro operation under rapid urbanization: A case study of Shenzhen</t>
  </si>
  <si>
    <t>IberSWMM+: A high-performance computing solver for 2D-1D pluvial flood modelling in urban environments</t>
  </si>
  <si>
    <t>Vertical modeling of carbon sequestration in coastal wetlands using fractional-order derivatives and moisture dynamics</t>
  </si>
  <si>
    <t>Association between climate related hazards and depression among coastal communities in Indonesia</t>
  </si>
  <si>
    <t>The potential of Sentinel-1 imagery for flood event detection: A satellite vs. hydraulic model comparison</t>
  </si>
  <si>
    <t>Farmers' attitudes toward environmental protection: A cross-sectional study in the Mekong delta</t>
  </si>
  <si>
    <t>Variation of bacterial community diversity and composition in saline-alkali soils reclaimed with flood irrigation and crop cultivation is driven by salinity and edaphic factors</t>
  </si>
  <si>
    <t>A parametric and visualization model of the rainfall runoff production process in an urban green infrastructure at the park scale: a case study of Zhengzhou Green Expo Park</t>
  </si>
  <si>
    <t>Spatial Variability of Ground Deformation of Coastal Regions of the Krishna Delta, East Coast of India Using SAR Interferometry</t>
  </si>
  <si>
    <t>Social and environmental justice implications of flood-related road closures in Virginia</t>
  </si>
  <si>
    <t>Unravelling Champlain Clay Subsidence: Integrating Persistent Scatterer InSAR and Finite-Element Modeling</t>
  </si>
  <si>
    <t>Analysis of subsidence factors and modeling of susceptibility under coupled geohydrological conditions - A case study of Jiangsu Yangtze River section</t>
  </si>
  <si>
    <t>Coupling of Atmospheric Rivers and Levee Failure Events in California’s Sacramento–San Joaquin Delta, 1980–2021</t>
  </si>
  <si>
    <t>A modeling approach for water and sediment transport in Jezero crater on Mars based on new geomorphological evidence</t>
  </si>
  <si>
    <t>MAPunet: High-resolution snow depth mapping through U-Net pixel-wise regression</t>
  </si>
  <si>
    <t>Water Table Fluctuations Control Nitrate and Ammonium Fate in Coastal Aquifers</t>
  </si>
  <si>
    <t>Characterizing Tidal Marsh Inundation with Synthetic Aperture Radar, Radiometric Modeling, and In Situ Water Level Observations</t>
  </si>
  <si>
    <t>Land Subsidence in the Yangtze River Delta, China Explored Using InSAR Technique From 2019 to 2021</t>
  </si>
  <si>
    <t>Washover fan deposits resulting from perigean spring tides: An example from Cape Cod, Massachusetts, USA</t>
  </si>
  <si>
    <t>Characterization of a deep-water turbiditic reservoir under an active hydrodynamic regime (Niger delta)</t>
  </si>
  <si>
    <t>Adaptive Planning Approaches for Coastal Climate Adaptation: Process and Key-elements</t>
  </si>
  <si>
    <t>Streamflow simulation improvements enabled by a state-of-the-art algorithm for reservoir routing in the U.S. National Water Model</t>
  </si>
  <si>
    <t>High-resolution analysis of hydraulic response characteristics of silted stormwater pipeline and manholes in urban catchments using GASM-TranGRU and CFD-DEM</t>
  </si>
  <si>
    <t>Numerical investigation of the Baige landslide-induced wave propagation in a narrow river channel</t>
  </si>
  <si>
    <t>A Perceptual Model of Drivers and Limiters of Coastal Groundwater Dynamics</t>
  </si>
  <si>
    <t>Environmental health, climate change, and equity: Understanding geographic vulnerabilities</t>
  </si>
  <si>
    <t>Evaluation of decision-support tools for coastal flood and erosion control: A multicriteria perspective</t>
  </si>
  <si>
    <t>Tidally influenced deposits in the Río Alías Strait connecting a marginal basin with the Mediterranean Sea (Pliocene, South-East Spain)</t>
  </si>
  <si>
    <t>Investigation of the flow characteristics of slit check dams using novel models</t>
  </si>
  <si>
    <t>Urbanization-informed, uncertainty-based calibration approach for simulating the impact of urbanization on flooding in a data-limited region</t>
  </si>
  <si>
    <t>Multi-scenario land use change simulation and spatial-temporal evolution of carbon storage in the Yangtze River Delta region based on the PLUS-InVEST model</t>
  </si>
  <si>
    <t>Spatial-temporal analysis of flood patterns in semiarid river catchments of SE Iberian Peninsula since CE 1850</t>
  </si>
  <si>
    <t>The effects of secondary currents in tight bends on large wood transport in rivers: Lesson learned from Versilia flood in 1996</t>
  </si>
  <si>
    <t>Sediment transport modelling at river confluence using HEC-RAS2D</t>
  </si>
  <si>
    <t>GLOF in the South Lhonak Lake, India: photogrammetric analysis and estimation</t>
  </si>
  <si>
    <t>Numerical investigation of nonlinear interaction between salinity- and sediment-induced stratification in highly turbid estuaries and coastal seas</t>
  </si>
  <si>
    <t>Distribution and Structure of China–ASEAN’s Intertidal Ecosystems: Insights from High-Precision, Satellite-Based Mapping</t>
  </si>
  <si>
    <t>A glimpse into the Late Cretaceous (Cenomanian) palynology of the Arlington Archosaur Site, Texas, USA</t>
  </si>
  <si>
    <t>Deformation Behavior of an Asymmetric Foundation Pit Under Varying Tides</t>
  </si>
  <si>
    <t>EarthObsNet: A comprehensive Benchmark dataset for data-driven earth observation image synthesis</t>
  </si>
  <si>
    <t>Adaptation for whom? Understanding the impacts of dyke policies on small-scale farmers in Ca Mau Province of Vietnam1</t>
  </si>
  <si>
    <t>MANAGING SUSTAINABLE TOURISM OF PERAWAN BEACH, EAST JAVA, INDONESIA BASED ON THE COASTAL ECOSYSTEM SERVICE (CES) APPROACH</t>
  </si>
  <si>
    <t>Distribution and human health risk assessment of cadmium, arsenic, mercury, lead, and iron in settling particles from the transboundary estuary in three rivers of Côte d’Ivoire, West Africa</t>
  </si>
  <si>
    <t>NaturaSat computational tools for supporting hydrological modelling in environmental study and control</t>
  </si>
  <si>
    <t>Spatiotemporal Variability of Soil Water δ18O and δ2H Reveals Hydrological Processes in Two Floodplain Soils</t>
  </si>
  <si>
    <t>Thermo-mechanical behaviour of energy pile considering non-uniform initial ground temperatures</t>
  </si>
  <si>
    <t>Influence of deep foundation pit excavation on surrounding environment: a case study in Nanjing, China</t>
  </si>
  <si>
    <t>Coastal carbon sentinels: A decade of forest change along the eastern shore of the US signals complex climate change dynamics</t>
  </si>
  <si>
    <t>Determination of Ground Subsidence Around Snow Fences in the Arctic Region</t>
  </si>
  <si>
    <t>Enhanced well-based surrogate reservoir modeling with integrated streamlines simulation data</t>
  </si>
  <si>
    <t>Modeling flood and breach evolution of the landslide dam due to overtopping</t>
  </si>
  <si>
    <t>Modelling of scour depth in the existing bridge piers with and without an adjacent parallel bridge</t>
  </si>
  <si>
    <t>Assessing natural and human-induced river corridor changes using object-based image analysis (Orljava River, Croatia)</t>
  </si>
  <si>
    <t>Geomorphology of the northeast Sardinian continental shelf between Olbia and Posada (Italy)</t>
  </si>
  <si>
    <t>Mapping ground deformation in the northern Yangtze River estuary using improved MT-InSAR based on ICA and non-stationary analysis</t>
  </si>
  <si>
    <t>Numerical study of impact pressure and force of cascading dam-break floods on the downstream dam</t>
  </si>
  <si>
    <t>A spatiotemporal framework to assess the bio-geomorphic interplay of saltmarsh vegetation and tidal emergence (Western Scheldt estuary)</t>
  </si>
  <si>
    <t>TRANSFORMATION AND FRAGMENTATION OF WETLANDS IN MEKONG DELTA FLOODPLAINS: A CASE STUDY IN DONG THAP PROVINCE, VIETNAM</t>
  </si>
  <si>
    <t>Automated rice mapping using multitemporal Sentinel-1 SAR imagery using dynamic threshold and slope-based index methods</t>
  </si>
  <si>
    <t>Grfin Tools—User Guide and Methods for Modeling Landslide Runout and Debris-Flow Growth and Inundation</t>
  </si>
  <si>
    <t>Moving beyond single slope quantitative analysis: A 3D slope stability assessment at urban scale</t>
  </si>
  <si>
    <t>Optimizing Cover Mapping in Coastal Areas Using Swin Transformer-Based Multi-Sensor Remote Sensing Satellite Data Fusion</t>
  </si>
  <si>
    <t>Assessing blue carbon in mangrove ecosystems of Seychelles</t>
  </si>
  <si>
    <t>Seismic hazard and shifting channels: Exploring coseismic river response</t>
  </si>
  <si>
    <t>Steep orographic effects on local precipitation in the Hengduan Mountain region: Insights from an idealized modeling perspective</t>
  </si>
  <si>
    <t>Assessing hydrological erosion estimation using the Revised Universal Soil Loss Equation (RUSLE) model in Google Earth Engine: a case study of Medjerda River Catchment, Tunisia</t>
  </si>
  <si>
    <t>Enhancing urban flood hazard assessment: A comparative analysis of frequency ratio and xgboost models for precision risk mapping</t>
  </si>
  <si>
    <t>History and dynamics of Fennoscandian Ice Sheet retreat, contemporary ice-dammed lake evolution, and faulting in the Torneträsk area, northwestern Sweden</t>
  </si>
  <si>
    <t>FRACTAL MODEL FOR HETEROGENEOUS EFFECTIVE DIFFUSION AND ITS APPLICATION IN COMPOSITIONAL SIMULATIONS OF CO2 FLOODING IN TIGHT RESERVOIRS</t>
  </si>
  <si>
    <t>Synergy of Remote Sensing and Geospatial Technologies to Advance Sustainable Development Goals for Future Coastal Urbanization and Environmental Challenges in a Riverine Megacity</t>
  </si>
  <si>
    <t>Spatiotemporal distribution of GNSS-derived PWV in Australia from 2010 to 2019</t>
  </si>
  <si>
    <t>Sediment flow connectivity index data for the Apulia region (Italy): An open-source geodatabase and the innovative CONNECTOSED WebGIS platform</t>
  </si>
  <si>
    <t>Multi-Parameter Investigation of Cretaceous to Palaeocene Sedimentary Sequences in the Anambra and Niger Delta Basins, Nigeria: Organic Matter Characterisation, Palynofacies and Implications for Palaeoclimate and Sea-Level Changes</t>
  </si>
  <si>
    <t>Growing a community’s sense of ‘heritage’: a former mataī forest from SW Ōtautahi Christchurch and its nitrogen status, 860–1430 CE</t>
  </si>
  <si>
    <t>Viscous compression of clay and peat</t>
  </si>
  <si>
    <t>Numerical simulation of the movement of the water surface with macroscopic particles during a partial dam break for various complex reliefs</t>
  </si>
  <si>
    <t>The role of community leadership in building community adaptive capacity to coastal hazards – Insights from neighborhood networks in Semarang, Indonesia</t>
  </si>
  <si>
    <t>Assessing Water Level Variability in the Mekong Delta under the Impacts of Anthropogenic and Climatic Factors</t>
  </si>
  <si>
    <t>Analysis of extreme water levels on Feiyun River (Rui’an section) based on peaks-over-threshold (POT) model</t>
  </si>
  <si>
    <t>Perception and community input towards flash flood management in Mauritius Island</t>
  </si>
  <si>
    <t>Remote sensing and GPS tracking reveal temporal shifts in habitat use in nonbreeding Black-tailed Godwits</t>
  </si>
  <si>
    <t>Rapid Expansion of Coastal Mangrove Forest in Guangxi Beibu Gulf: Patterns, Drivers, and Impacts</t>
  </si>
  <si>
    <t>Research progress and prospects of urban flooding simulation: From traditional numerical models to deep learning approaches</t>
  </si>
  <si>
    <t>A study on classification of vegetation zones based on flow regimes in Riparian wetlands</t>
  </si>
  <si>
    <t>DEM-based pluvial flood inundation modeling at a metropolitan scale</t>
  </si>
  <si>
    <t>Co-producing new knowledge systems for resilient and just coastal cities: A social-ecological-technological systems framework for data visualization</t>
  </si>
  <si>
    <t>Insights into the public engagement of coastal geoscientists</t>
  </si>
  <si>
    <t>Evaluation of fluid mobility and factors influencing the deep tight sandstone of the third member of the Shahejie formation in the Jiyang depression, Bohai Bay Basin</t>
  </si>
  <si>
    <t>Tipping points in river deltas</t>
  </si>
  <si>
    <t>Identifying the pattern of shallow groundwater hydrochemistry and its driving factors in a typical estuarine delta of Poyang Lake watershed, China: Insights into water quality assessment</t>
  </si>
  <si>
    <t>Remote sensing-based decadal landform monitoring in island ecosystem</t>
  </si>
  <si>
    <t>Features of the Velocity Distribution and Secondary Flow in a Compound Channel With Vegetation</t>
  </si>
  <si>
    <t>Habitat availability decline for waterbirds in a sensitive wetland: Climate change impact on the Ebro Delta</t>
  </si>
  <si>
    <t>Shaping coastal nature-based solutions: Perceptions and policy priorities of living shorelines</t>
  </si>
  <si>
    <t>Mapping Sahelian groundwater-dependent ecosystems based on an updated typology; [基于更新分类的萨赫尔地区依赖地下水的生态系统绘图]; [Cartographie des écosystèmes dépendant des eaux souterraines au Sahel sur la base d’une typologie actualisée]; [Mapeamento dos ecossistemas dependentes das águas subterrâneas do Sahel com base numa tipologia atualizada]; [Cartografía de los ecosistemas dependientes de las aguas subterráneas del Sahel basada en una tipología actualizada]</t>
  </si>
  <si>
    <t>Fifty years marshland changes in a large floodplain lake: Natural driving or human impact?</t>
  </si>
  <si>
    <t>An operational discontinuous Galerkin shallow water model for coastal flood assessment</t>
  </si>
  <si>
    <t>High-resolution elevation models of Larsen B glaciers extracted from 1960s imagery</t>
  </si>
  <si>
    <t>PuzzleAvatar: Assembling 3D Avatars from Personal Albums</t>
  </si>
  <si>
    <t>Coupling sewers to the surface: Systematic approaches to correcting data discrepancies for 1D-2D drainage modelling</t>
  </si>
  <si>
    <t>Hydroclimatic Mapping in Geographical Atlases of the Baikal Region</t>
  </si>
  <si>
    <t>Iteratively coupled elastoplastic simulation of pumping-induced land deformation using a finite volume-finite element method</t>
  </si>
  <si>
    <t>Quantitative identification of landslide hazard in mountainous open-pit mining areas combined with ascending and descending orbit InSAR technology</t>
  </si>
  <si>
    <t>Dissipation Scaled Internal Wave Drag in a Global Heterogeneously Coupled Internal/External Mode Total Water Level Model</t>
  </si>
  <si>
    <t>Manifestations of a glacier surge in central Himalaya using multi-temporal satellite data</t>
  </si>
  <si>
    <t>Evaluating socio-hydrological stress through potential stormwater harvesting sites using multi-criteria analysis in Mumbai, India</t>
  </si>
  <si>
    <t>Dynamic Geo-Visualization of Urban Land Subsidence and Land Cover Data Using PS-InSAR and Google Earth Engine (GEE) for Spatial Planning Assessment</t>
  </si>
  <si>
    <t>The influence of astronomical tide phases on urban flooding during rainstorms: Application to Macau</t>
  </si>
  <si>
    <t>The first spatio-temporal study of the microplastics and meso–macroplastics transport in the Romanian Danube</t>
  </si>
  <si>
    <t>Effectiveness of Emergent Coastal Vegetation as a Defense System to Mitigate Debris Load on a Structure During Extreme Events</t>
  </si>
  <si>
    <t>Lidar-Derived Decadal Change in Barrier Morphology: A Case Study of Waisanding, Taiwan</t>
  </si>
  <si>
    <t>Mediterranean seagrasses provide essential coastal protection under climate change</t>
  </si>
  <si>
    <t>Fast recovery of North Atlantic sea level in response to atmospheric carbon dioxide removal</t>
  </si>
  <si>
    <t>Degradation assessment of high-density polyethylene (HDPE) debris after long exposure to marine conditions</t>
  </si>
  <si>
    <t>User needs for coastal inundation at climate time scales: A multi-sectoral case study in the coproduction of knowledge</t>
  </si>
  <si>
    <t>A blueprint for coupling a hydrological model with fine- and coarse-scale atmospheric regional climate change models for probabilistic streamflow projections</t>
  </si>
  <si>
    <t>Ice-Jam Flooding of the Peace–Athabasca Delta, Canada: Insights from Recent Notable Spring Breakup Events and Implications for Strategic Flow Releases from Upstream Dams</t>
  </si>
  <si>
    <t>The Impact of Hard Coal Mining on the Long-Term Spatio-Temporal Evolution of Land Subsidence in the Urban Area (Bielszowice, Poland)</t>
  </si>
  <si>
    <t>Modelling study on pedestrian evacuation dynamics considering exit selection behaviour under flood disaster</t>
  </si>
  <si>
    <t>Nature-based solutions for coastal protection in the southern Caribbean</t>
  </si>
  <si>
    <t>Including dynamic capacity impact in an improved model for optimal flood control operation in river-type reservoirs</t>
  </si>
  <si>
    <t>A novel back analysis framework for the probabilistic risk assessment of subaerial landslide-induced tsunami hazard</t>
  </si>
  <si>
    <t>Iron-bound organic carbon declined after estuarine wetland reclamation into paddy fields</t>
  </si>
  <si>
    <t>Permafrost thaw subsidence, sea-level rise, and erosion are transforming Alaska's Arctic coastal zone</t>
  </si>
  <si>
    <t>A Holistic Approach for Coastal–Watershed Management on Tourist Islands: A Case Study from Petra–Molyvos Coast, Lesvos Island (Greece)</t>
  </si>
  <si>
    <t>Rapid Mapping: Unmanned Aerial Vehicles and Mobile-Based Remote Sensing for Flash Flood Consequence Monitoring (A Case Study of Tsarevo Municipality, South Bulgarian Black Sea Coast)</t>
  </si>
  <si>
    <t>A high-resolution spatiotemporal morphological dataset: Port Aransas beach, Texas</t>
  </si>
  <si>
    <t>Climate adaptation in agricultural sector of coastal India: a comprehensive exploration of adaptation strategies</t>
  </si>
  <si>
    <t>Mapping coastal green infrastructure along the Pondicherry coast using remote sensing data and machine learning algorithm</t>
  </si>
  <si>
    <t>Effects of the Western Pacific Subtropical High on the urban heat island characteristics in the middle and lower reaches of the Yangtze River, China</t>
  </si>
  <si>
    <t>An Optimized Method for the Simultaneous Analysis of 16 Lipophilic Marine Toxins Using LC–MS/MS with Solid-Phase Extraction Cleanup in Seafood Matrices</t>
  </si>
  <si>
    <t>Snow Avalanche Hazards and Avalanche-Prone Area Mapping in Tibet</t>
  </si>
  <si>
    <t>Impact of crop types on land subsidence: a case study of Nourabad aquifer, Iran</t>
  </si>
  <si>
    <t>Improving Flood Streamflow Estimation of Ungauged Small Reservoir Basins Using Remote Sensing and Hydrological Modeling</t>
  </si>
  <si>
    <t>Validating ex210Pb sediment dating methods applied to a large anthropogenically-impacted river basin</t>
  </si>
  <si>
    <t>Modeling carbon dynamics from a heterogeneous watershed in the mid-Atlantic USA: A distributed-calibration and independent verification (DCIV) approach</t>
  </si>
  <si>
    <t>A Link Between U.S. East Coast Sea Level and North Atlantic Subtropical Ocean Heat Content</t>
  </si>
  <si>
    <t>Interaction between formal and informal actors in the shadow of policymaking: Case studies of community-based urban pluvial flood risk management in Pearl River Delta cities</t>
  </si>
  <si>
    <t>Dynamic analysis of soil erosion and sediment yield engrossment involving rainfall, land use and land cover impacts using GIS-based RUSLE &amp; SDR modeling: southern western Ghats River Basin of Kerala, India</t>
  </si>
  <si>
    <t>Response of estuarine morphology to storm surge barriers, closure dams and sea level rise</t>
  </si>
  <si>
    <t>Accurate simulation of extreme rainfall–flood events via an improved distributed hydrological model</t>
  </si>
  <si>
    <t>Anthropogenic effects on flood hazards in a hyper-arid watershed: The 2015 Atacama floods</t>
  </si>
  <si>
    <t>Spatiotemporal Evolution of the Dongting Lake Beach in Recent 90 Years</t>
  </si>
  <si>
    <t>Monitoring and Disaster Assessment of Glacier Lake Outburst in High Mountains Asian Using Multi-Satellites and HEC-RAS: A Case of Kyagar in 2018</t>
  </si>
  <si>
    <t>Mechanism of vertical displacement beneath shallow compression zone in coastal area</t>
  </si>
  <si>
    <t>Calculating carbon: The value of information in precision for blue carbon restoration projects</t>
  </si>
  <si>
    <t>Coastal Reclamation Embankment Deformation: Dynamic Monitoring and Future Trend Prediction Using Multi-Temporal InSAR Technology in Funing Bay, China</t>
  </si>
  <si>
    <t>Shoreline delineation and change analysis in response to sea level rise and coastal bathymetry along the coast of Visakhapatnam, India using high-resolution optical imagery</t>
  </si>
  <si>
    <t>Hydroacoustic Observations Reveal Drivers of Mixing and Salinization of a Karst Subterranean Estuary During Intense Precipitation</t>
  </si>
  <si>
    <t>Simultaneously reducing methane emissions and arsenic mobility by birnessite in flooded paddy soil: Overlooked key role of organic polymerisation</t>
  </si>
  <si>
    <t>Significant impacts of artificial regulation on nutrient concentrations and transport in Huanghe River</t>
  </si>
  <si>
    <t>Impact of Varying Ground Control Points Configurations on the Accuracy of Unmanned Aerial Vehicle-Based Digital Elevation Models</t>
  </si>
  <si>
    <t>2023 November Storm in The Port of Klaipeda; Why was The Port Closed?</t>
  </si>
  <si>
    <t>Tracking the Filling, Outburst Flood and Resulting Subglacial Water Channel From a Large Canadian Arctic Subglacial Lake</t>
  </si>
  <si>
    <t>Strain Localization at Volcanoes Undergoing Extension: Investigation of Long-Term Deformation at Krafla and Askja Volcanic Systems in North Iceland</t>
  </si>
  <si>
    <t>The effect of intentional summer flooding for mosquito control on the nitrogen dynamics of impounded Avicennia germinans mangrove forests</t>
  </si>
  <si>
    <t>Geostatistical Interpolation Approach for Improving Flood Simulation Within a Data-Scarce Region in the Tibetan Plateau</t>
  </si>
  <si>
    <t>Determining the factors impacting the quality of life among the general population in coastal communities in central Vietnam</t>
  </si>
  <si>
    <t>Vulnerability indicators of seawater intrusion in offshore aquifers</t>
  </si>
  <si>
    <t>Applying the new multi-objective algorithms for the operation of a multi-reservoir system in hydropower plants</t>
  </si>
  <si>
    <t>Assessing the Origin and Mapping the Extension of Salinity Around Shrimp Culture Ponds in Rio Grande Do Norte (Brazil)</t>
  </si>
  <si>
    <t>Flood regulation ecosystem services analysis and security pattern optimization for resilient management adapted to the complex terrain of coastal estuaries: A case study in Xiamen</t>
  </si>
  <si>
    <t>Identification of influencing factors and risk assessment of underground space flooding in the mountain city</t>
  </si>
  <si>
    <t>Improving our understanding of future tropical cyclone intensities in the Caribbean using a high-resolution regional climate model</t>
  </si>
  <si>
    <t>Extreme coastal El Niño events are tightly linked to the development of the Pacific Meridional Modes</t>
  </si>
  <si>
    <t>Influence of Evaporation and High-Frequency Seawater Inundation on Salinity Dynamics in Swash Zones</t>
  </si>
  <si>
    <t>Factors controlling land subsidence in the Southern Hau River Region, Vietnam</t>
  </si>
  <si>
    <t>Blue Carbon Assessment in the Salt Marshes of the Venice Lagoon: Dimensions, Variability and Influence of Storm-Surge Regulation</t>
  </si>
  <si>
    <t>Expansion of C4 plants in the tropical Leizhou Peninsula during the Last Glacial Maximum: Modulating effect of regional sea-level change</t>
  </si>
  <si>
    <t>A comparison of sea-level rise and storm-surge overwash effects on groundwater salinity of a barrier island</t>
  </si>
  <si>
    <t>Hawaiian legends of coastal devastation and paleotsunami reconstruction, Nu'u, Kaupō, Maui, Hawai'i</t>
  </si>
  <si>
    <t>Beach nourishment for coastal aquifers impacted by climate change and population growth using machine learning approaches</t>
  </si>
  <si>
    <t>Unforeseen cascading effects of an inlet opening</t>
  </si>
  <si>
    <t>DeltaDTM: A global coastal digital terrain model</t>
  </si>
  <si>
    <t>Vertical accretion trends project doughnut-like fragmentation of saltmarshes</t>
  </si>
  <si>
    <t>A New Method for Extracting Three-Dimensional Surface Deformation in Underground Mining Areas Based on the Differentiability of D-InSAR Line-of-Sight Displacements</t>
  </si>
  <si>
    <t>A dataset of high-resolution digital elevation models of the Skeiðarársandur kettle holes, Southern Iceland</t>
  </si>
  <si>
    <t>Delayed coastal inundations caused by ocean dynamics post-Hurricane Matthew</t>
  </si>
  <si>
    <t>A landslide runout model for sediment transport, landscape evolution, and hazard assessment applications</t>
  </si>
  <si>
    <t>Determining sea-level rise in the Caribbean: A shift from temperature to mass control</t>
  </si>
  <si>
    <t>A metamodel for estimating time-dependent groundwater-induced subsidence at large scales</t>
  </si>
  <si>
    <t>Climate Change May Increase the Impact of Coastal Flooding on Carbon Storage in China’s Coastal Terrestrial Ecosystems</t>
  </si>
  <si>
    <t>Slower-decaying tropical cyclones produce heavier precipitation over China</t>
  </si>
  <si>
    <t>The Verification of Sea Level Anomaly (SLA) Versus Tide Gauge for Geoid Modelling</t>
  </si>
  <si>
    <t>Error correction method based on deep learning for improving the accuracy of conceptual rainfall-runoff model</t>
  </si>
  <si>
    <t>A Novel Input Schematization Method for Coastal Flooding Early Warning Systems Incorporating Climate Change Impacts</t>
  </si>
  <si>
    <t>Sub-core permeability estimation from coreflooding experiments: Numerical analysis for evaluating accuracy and improving methods</t>
  </si>
  <si>
    <t>Modelling the Contributions of Riparian Vegetation and Topography to Stream Shade Using LiDAR and Conventional Digital Elevation Data</t>
  </si>
  <si>
    <t>Numerical simulation and its optimization of cold air pools in the Lanzhou Valley</t>
  </si>
  <si>
    <t>Social consequences of planned relocation in response to sea level rise: impacts on anxiety, well-being, and perceived safety</t>
  </si>
  <si>
    <t>Challenges and opportunities for implementing nature-based coastal protection in an urbanised coastal city based on public perceptions</t>
  </si>
  <si>
    <t>Exploring the relationship between climate change events and migration decisions: Evidence from a choice experiment in Bangladesh</t>
  </si>
  <si>
    <t>Quantification of the spatial distribution of individual mangrove tree species derived from LiDAR point clouds</t>
  </si>
  <si>
    <t>Geomorphic changes and socio-environmental impacts of recent sand mining in the Sakarya River, NW Turkey</t>
  </si>
  <si>
    <t>High-Resolution 3D Shallow S-Wave Velocity Structure Revealed by Ambient-Noise Double Beamforming with a Dense Array in Guangzhou Urban Area, China</t>
  </si>
  <si>
    <t>Integration of disaster risk reductionand climate change adaptation in Aceh: Progress and challenges after 20 Years of Indian Ocean Tsunamis</t>
  </si>
  <si>
    <t>The influence of wind and basin geometry on surge attenuation along a microtidal channel in the western Baltic Sea</t>
  </si>
  <si>
    <t>Construction of Mining Subsidence Basin and Inversion of Predicted Subsidence Parameters Based on UAV Photogrammetry Products Considering Horizontal Displacement</t>
  </si>
  <si>
    <t>Hydrologic remobilisation of tephra-fall deposits: A sedimentological analysis throughout fluvio-lacustrine systems of North-West Patagonia</t>
  </si>
  <si>
    <t>Geomorphological evolution in transitional environments on the eastern coast of Brazil</t>
  </si>
  <si>
    <t>Development and performance of a high-resolution surface wave and storm surge forecast model: Application to a large lake</t>
  </si>
  <si>
    <t>Dam-Break waves over mobile bed</t>
  </si>
  <si>
    <t>Flood-induced mobility in rural and urban coastal jurisdictions: a homeowner’s perspective</t>
  </si>
  <si>
    <t>High Water Level Forecast Under the Effect of the Northeast Monsoon During Spring Tides</t>
  </si>
  <si>
    <t>Using historical data to access the surface subsidence in the vegetable belt of the Three Lakes Region, Switzerland</t>
  </si>
  <si>
    <t>Lead-time-dependent calibration of a flood forecasting model</t>
  </si>
  <si>
    <t>River Ice Mapping from Landsat-8 OLI Top of Atmosphere Reflectance Data by Addressing Atmospheric Influences with Random Forest: A Case Study on the Han River in South Korea</t>
  </si>
  <si>
    <t>From Data to Decision: Interpretable Machine Learning for Predicting Flood Susceptibility in Gdańsk, Poland</t>
  </si>
  <si>
    <t>Estimating catchment-scale sediment storage in a large River Basin, Colorado River, USA</t>
  </si>
  <si>
    <t>High-precision U[sbnd]Pb zircon dating of explosive volcanism in an early bi-modal volcano-sedimentary sequence from the Isle of Mull, North Atlantic Igneous Province</t>
  </si>
  <si>
    <t>A Geographical approach of watershed prioritization in the Himalayas: a case study in the middle mountain district of Nepal</t>
  </si>
  <si>
    <t>Measures to safeguard and restore river connectivity</t>
  </si>
  <si>
    <t>Analysis of volumetric and geomorphological changes mapping using remote sensing and GIS approaches</t>
  </si>
  <si>
    <t>A Dataset of Two-Dimensional XBeach Model Set-Up Files for Northern California</t>
  </si>
  <si>
    <t>Interregional watershed services: Valuation of the benefits of controlled embankment breaches to manage urban flood risk</t>
  </si>
  <si>
    <t>Decadal Changes (1980–2021) of Shoreline and Mangrove Cover in Sundarban Delta, India, Using Remote Sensing and GIS</t>
  </si>
  <si>
    <t>A new perspective to understand public response to the Typhoon Doksuri from coastal and inland regions</t>
  </si>
  <si>
    <t>Simulation of the Full-Process Dynamics of Floating Vehicles Driven by Flash Floods</t>
  </si>
  <si>
    <t>Trends and amount changes of temperature and precipitation under future projections in high–low groups and intra-period for the Eastern Black Sea, the Wettest Basin in Türkiye</t>
  </si>
  <si>
    <t>Determination of potential hazard level for flood-induced damage during different life cycle stages of T. Aman rice along the floodplain of the Jamuna River</t>
  </si>
  <si>
    <t>Snowdrift-Permitting Simulations of Seasonal Snowpack Processes Over Large Mountain Extents</t>
  </si>
  <si>
    <t>Interpretation techniques to explain the output of a spatial land subsidence hazard model in an area with a diverted tributary</t>
  </si>
  <si>
    <t>Assessing the potential long-term effects of sea-level rise on salt marsh’s coastal protective capacity under different climate pathway scenarios</t>
  </si>
  <si>
    <t>Two-Way Coupling of the National Water Model (NWM) and Semi-Implicit Cross-Scale Hydroscience Integrated System Model (SCHISM) for Enhanced Coastal Discharge Predictions</t>
  </si>
  <si>
    <t>Assessing the influence of land use and land cover data on cyclonic winds and coastal inundation due to tropical cyclones: a case study for the east coast of India</t>
  </si>
  <si>
    <t>Policy priorities to enable engaged and transformational adaptation on the coast: Learning from practitioner experiences in England</t>
  </si>
  <si>
    <t>Seasonal Temperature Distributions and Variations in Salt Marshes: Field Investigation and Numerical Simulation</t>
  </si>
  <si>
    <t>Organic matter composition and stability in estuarine wetlands depending on soil salinity</t>
  </si>
  <si>
    <t>Diffusive and ebullitive methane emissions under tidal fluctuation and climate warming in a nutrient-rich subtropical estuary</t>
  </si>
  <si>
    <t>Moist heatwaves intensified by entrainment of dry air that limits deep convection</t>
  </si>
  <si>
    <t>Ecological Evaluation of Land Resources in the Yangtze River Delta Region by Remote Sensing Observation</t>
  </si>
  <si>
    <t>Beyond the Wedge: Impact of Tidal Streams on Salinization of Groundwater in a Coastal Aquifer Stressed by Pumping and Sea-Level Rise</t>
  </si>
  <si>
    <t>Multi-step-ahead prediction of water levels using machine learning: A comparative analysis in the vietnamese mekong delta</t>
  </si>
  <si>
    <t>On water level forecasting using artificial neural networks: the case of the Río de la Plata Estuary, Argentina</t>
  </si>
  <si>
    <t>Ecogeomorphological Investigation of Anthropogenic Changes in the Kızılırmak River Mouth, Türkiye</t>
  </si>
  <si>
    <t>Enhanced Monitoring of Sub-Seasonal Land Use Dynamics in Vietnam’s Mekong Delta through Quantile Mapping and Harmonic Regression</t>
  </si>
  <si>
    <t>Effects of building configuration and upstream buildings on pedestrian risk around ideal buildings in a floodwater–wind joint environment</t>
  </si>
  <si>
    <t>Capability of logistic regression in identifying flood-susceptible areas in a small watershed</t>
  </si>
  <si>
    <t>Understanding land subsidence in the Pearl River Delta region of China based on InSAR observations</t>
  </si>
  <si>
    <t>Comparison of CMIP5 and CMIP6 models for temperature and precipitation simulation over the Yarlung Tsangpo-Brahmaputra River Basin</t>
  </si>
  <si>
    <t>Possible Indication of the Impact of the Storegga Slide Tsunami on the German North Sea Coast around 8150 cal BP</t>
  </si>
  <si>
    <t>Cold Region River Flood Mapping and Scour Potential Prediction: Insights from Hydraulic Model Using Advanced Autonomous Surface Vehicles</t>
  </si>
  <si>
    <t>From Debt to Sustainability: Advancing Wastewater Projects in Developing Countries through Innovative Financing Mechanisms—The Role of Debt-for-Climate Swaps</t>
  </si>
  <si>
    <t>Testing the Feasibility of an Agent-Based Model for Hydrologic Flow Simulation</t>
  </si>
  <si>
    <t>Sediment Source Partitioning and Budgeting Over Historical Timescales in a Glacierized, Mountain Catchment</t>
  </si>
  <si>
    <t>Assessing the effectiveness of adaptation against sea level rise in Japanese coastal areas: protection or relocation?</t>
  </si>
  <si>
    <t>High-frequency lacustrine sequence stratigraphy of clastic lakes: lessons from ancient successions</t>
  </si>
  <si>
    <t>Contemporary Dynamics of Glacial Lakes: Comparison between Selected Systems Developing in Northern, Central and Southern Regions in Spitsbergen</t>
  </si>
  <si>
    <t>A Remote Sensing Approach to Characterize Cold Region Watershed Storage and its Influence on Streamflow Generation</t>
  </si>
  <si>
    <t>Unveiling the potential of karst vadose deposits in constraining Quaternary tectonic subsidence</t>
  </si>
  <si>
    <t>Pluvial flood modeling for coastal areas under future climate change – A case study for Prince Edward Island, Canada</t>
  </si>
  <si>
    <t>The Gaps Between Institutional and Practical Disaster Risk Management Measures on Coastal Flood Risks in South Korea’s Coastal Communities</t>
  </si>
  <si>
    <t>Basin Analysis and Paleogeography of the Zagros Foreland Basin during the Maastrichtian, High Zagros Basin, Iran</t>
  </si>
  <si>
    <t>Assessment of groundwater resources through hydrogeochemical investigation and multivariate chemometric statistics in Bagerhat district, Bangladesh</t>
  </si>
  <si>
    <t>El Paso Formation: A key unit for the correlation of the Carboniferous glaciation in the Calingasta-Uspallata basin of western Argentina</t>
  </si>
  <si>
    <t>Influence of short-term configurations of a mouth deviation on river hydraulics: the Pescara River case study</t>
  </si>
  <si>
    <t>Transformation of coastal wetlands in the Sundarban Delta (1999–2020)</t>
  </si>
  <si>
    <t>Assessing the potential of free-tropospheric water vapour isotopologue satellite observations for improving the analyses of convective events</t>
  </si>
  <si>
    <t>Cartographic analysis as spatial determinant for climate change adaptation in the Hunter River Estuary, Australia</t>
  </si>
  <si>
    <t>Rising groundwater levels in Dare County, North Carolina: implications for onsite wastewater management for coastal communities</t>
  </si>
  <si>
    <t>Integration Sentinel-1 SAR data and machine learning for land subsidence in-depth analysis in the North Coast of Central Java, Indonesia</t>
  </si>
  <si>
    <t>The influence of backdune morphology on air flow dynamics through an excavated foredune notch</t>
  </si>
  <si>
    <t>Monitoring Coastal Evolution and Geomorphological Processes Using Time-Series Remote Sensing and Geospatial Analysis: Application Between Cape Serrat and Kef Abbed, Northern Tunisia</t>
  </si>
  <si>
    <t>Monthly Monitoring of Inundated Areas and Water Storage Dynamics in China's Large Reservoirs Using Multisource Remote Sensing</t>
  </si>
  <si>
    <t>Community perceptions, knowledge, and coping mechanisms concerning perennial climate change-related disasters along the Volta estuary of Ghana, West Africa</t>
  </si>
  <si>
    <t>Coastal Storm-Induced Sinkholes: Insights from Unmanned Aerial Vehicle Monitoring</t>
  </si>
  <si>
    <t>Advanced Method for Determining Land Plot’s Physical Surface</t>
  </si>
  <si>
    <t>Heuristic estimation of river bathymetry in braided streams using digital image processing</t>
  </si>
  <si>
    <t>Optimization of Manning’s roughness coefficient using 1-dimensional hydrodynamic modelling in the perennial river system: A case of lower Narmada Basin, India</t>
  </si>
  <si>
    <t>Evolution of Coastal Cliffs Characterized by Lateral Spreading in the Maltese Archipelago</t>
  </si>
  <si>
    <t>Non-linear ground deformation detection and monitoring using time series InSAR along the coastal urban areas of Pakistan</t>
  </si>
  <si>
    <t>Women and urban flooding vulnerability: A case study from Can Tho City in the Vietnamese Mekong Delta</t>
  </si>
  <si>
    <t>Community future climate resilience assessment based on CMIP6, A case study of communities along an urban-rural gradient in Shanghai</t>
  </si>
  <si>
    <t>Testing alternative tectonic models for the Permian-Pleistocene tectonic development of the Kyrenia Range, N Cyprus: Implications for E Mediterranean Tethyan palaeogeography</t>
  </si>
  <si>
    <t>Lidar DEM and Computational Mesh Grid Resolutions Modify Roughness in 2D Hydrodynamic Models</t>
  </si>
  <si>
    <t>Extreme Wind Waves on the Northeastern Shelf of the Black Sea</t>
  </si>
  <si>
    <t>Large-scale bedforms in the vicinity of Serwy Lake (NE Poland): their morphometry and links to the high-energy glaciofluvial environment</t>
  </si>
  <si>
    <t>Potentially Toxic Elements (PTEs) Distribution in Drainage Canal Sediments of a Low-Lying Coastal Area</t>
  </si>
  <si>
    <t>Assessing multi-source random forest classification and robustness of predictor variables in flooded areas mapping</t>
  </si>
  <si>
    <t>Variations in provenance and transport of terrestrial organic matter in the Changjiang River during the flood season</t>
  </si>
  <si>
    <t>Mitigation measures of storm surge inundation at an onshore aquaculture farm</t>
  </si>
  <si>
    <t>Extraction of paddy rice planting areas based on feature optimization and phenological information</t>
  </si>
  <si>
    <t>Estuarine hurricane wind can intensify surge-dominated extreme water level in shallow and converging coastal systems</t>
  </si>
  <si>
    <t>Barriers to Coastal Managed Retreat: Evidence from New Jersey’s Blue Acres Program</t>
  </si>
  <si>
    <t>Modelling and Validation of the Derna Dam Break Event</t>
  </si>
  <si>
    <t>New chronology for submerged relict paleoshorelines and associated rates of crustal vertical movements offshore the Marzamemi village, Sicily (Southern Italy)</t>
  </si>
  <si>
    <t>Research on the Value of Water-Related Cultural Heritage Architecture from Historical Environmental Records: Evidence from the Li River Basin in China</t>
  </si>
  <si>
    <t>Probabilistic reconstruction of sea-level changes and their causes since 1900</t>
  </si>
  <si>
    <t>ORIGIN AND EVOLUTION OF COASTAL LAGOONS FROM THE PAMPEAN REGION: MAR CHIQUITA, LAS BRUSQUITAS, RETA (BUENOS AIRES PROVINCE, ARGENTINA)</t>
  </si>
  <si>
    <t>A framework for physically consistent storylines of UK future mean sea level rise</t>
  </si>
  <si>
    <t>Estimation of return dates and return levels of extreme rainfall in the city of Douala, Cameroon</t>
  </si>
  <si>
    <t>Assessment of shoreline changes and associated erosion and accretion pattern in coastal watersheds of Tamil Nadu, India</t>
  </si>
  <si>
    <t>The role of atmospheric aerosols on severe convective precipitation in a Mediterranean coastal region</t>
  </si>
  <si>
    <t>Assessing the impact of hurricane Fiona on the coast of PEI National Park and implications for the effectiveness of beach-dune management policies</t>
  </si>
  <si>
    <t>LiDAR topo-bathymetry for riverbed elevation assessment: A review of approaches and performance for hydrodynamic modelling of flood plains</t>
  </si>
  <si>
    <t>Ubiquitous Increases in Streamflow and Flooding Magnitude Across the Yellow River Basin</t>
  </si>
  <si>
    <t>Lílwat oral traditions of Q ’welq ’welústen (Mount Meager): Indigenous records of volcanic eruption, outburst flood, and landscape change in southwest British Columbia</t>
  </si>
  <si>
    <t>Inner Niger Delta Inundation Extent (2010–2022) Based on Landsat Imagery and the Google Earth Engine</t>
  </si>
  <si>
    <t>A novel framework for urban flood resilience assessment at the urban agglomeration scale</t>
  </si>
  <si>
    <t>Assessment of Flash Flooding Hazard and Groundwater Recharge Potentials Using Remotely Sensed Data of Wadi El-Assiuti Basin, Eastern Desert, Egypt</t>
  </si>
  <si>
    <t>Post-glacial small delta process uncovered by luminescence and radiocarbon chronology of core sediments from coastal South China Sea</t>
  </si>
  <si>
    <t>MIDDLE–LATE HOLOCENE PALEOENVIRONMENTAL RECONSTRUCTION OF A SALADO RIVER SECTOR - SAMBOROMBÓN BAY USING BENTHIC FORAMINIFERA</t>
  </si>
  <si>
    <t>Interplay of Hydroperiod on Root Shear Strength for Coastal Wetlands</t>
  </si>
  <si>
    <t>High-resolution tsunami hazard assessment for the Guangdong-Hong Kong-Macao Greater Bay Area based on a non-hydrostatic tsunami model</t>
  </si>
  <si>
    <t>Evolution of river regimes in the Mekong River basin over 8 decades and the role of dams in recent hydrological extremes</t>
  </si>
  <si>
    <t>The Use of Unmanned Aerial Systems for River Monitoring: A Bibliometric Analysis Covering the Last 25 Years</t>
  </si>
  <si>
    <t>Characterizing Climatic Socio-Environmental Tipping Points in Coastal Communities: A Conceptual Framework for Research and Practice</t>
  </si>
  <si>
    <t>Is the coastal vulnerability index a suitable index? Review and proposal of alternative indices for coastal vulnerability to sea level rise</t>
  </si>
  <si>
    <t>Studies on Climate Change and its Impact on the Occupation and Health of Fisherfolk in West Bengal</t>
  </si>
  <si>
    <t>Numerical simulation of flow characteristics in nonprismatic compound channels</t>
  </si>
  <si>
    <t>Tsunami hazard evaluation of river embankment structures incorporating their vulnerability to seismic strong motion</t>
  </si>
  <si>
    <t>Dynamics of Natural Resource Use in the Selenga River Delta as a Result of Regulating the Level of Lake Baikal</t>
  </si>
  <si>
    <t>Stakeholder Driven Sensor Deployments to Characterize Chronic Coastal Flooding in Key West Florida</t>
  </si>
  <si>
    <t>Comprehensive approach integrating remote sensing, machine learning, and physicochemical parameters to detect hydrodynamic conditions and groundwater quality deterioration in non-rechargeable aquifer systems</t>
  </si>
  <si>
    <t>Climate change impact on flood inundation along the downstream reach of the Humber River basin</t>
  </si>
  <si>
    <t>Navigating the Uncertain Terrain: Venezuela’s Future Using the Shared Socioeconomic Pathways Framework—A Systematic Review</t>
  </si>
  <si>
    <t>Determining factors and barriers to the uptake of climate change adaptation strategies of agriculture and aquaculture farm households in Myanmar</t>
  </si>
  <si>
    <t>Liquefaction ground deformations and cascading coastal flood hazard in the 2023 Kahramanmaraş earthquake sequence</t>
  </si>
  <si>
    <t>Coastal Shoreline Change in Eastern Indian Metropolises</t>
  </si>
  <si>
    <t>Disaster Event, Preparedness, and Response in Indonesian Coastal Areas: Data Mining of Official Statistics</t>
  </si>
  <si>
    <t>Inferring channel incision in gravel-bed rivers: Integrating LiDAR data, historical aerial photographs and drone-based SfM topo-bathymetry</t>
  </si>
  <si>
    <t>SAR Features and Techniques for Urban Planning—A Review</t>
  </si>
  <si>
    <t>Assessment of the Vulnerability of Households Led by Men and Women to the Impacts of Climate-Related Natural Disasters in the Coastal Areas of Myanmar and Vietnam</t>
  </si>
  <si>
    <t>Spatial Vulnerability Investigation by Morphotectonic Analysis of the Mandakini River Basin near Kedarnath, Uttarakhand, India using SRTM DEM in a GIS Platform and GPS Data</t>
  </si>
  <si>
    <t>Building resilience in Asian mega-deltas</t>
  </si>
  <si>
    <t>Global application of a regional frequency analysis to extreme sea levels</t>
  </si>
  <si>
    <t>Supplementary Dam Site Selection Using a Geospatial Approach: A Case Study of Wivenhoe Dam</t>
  </si>
  <si>
    <t>Flood Inundation mapping and mitigation options in data-scarce region of Beledwayne town in the Wabi Shebele River Basin of Somalia</t>
  </si>
  <si>
    <t>Discovery of imbricated beachrock deposits adjacent to the Java trench, Indonesia: influence of tsunami and storm waves, and implications for mega-thrust earthquakes</t>
  </si>
  <si>
    <t>Quantifying Compound and Nonlinear Effects of Hurricane-Induced Flooding Using a Dynamically Coupled Hydrological-Ocean Model</t>
  </si>
  <si>
    <t>Seasonal coupling of iron (hydr-) oxides and organic carbon across elevations in Phragmites marshes of Yangtze Estuary</t>
  </si>
  <si>
    <t>Dissolved organic matter released from beach wrack is source-specific and molecularly highly diverse</t>
  </si>
  <si>
    <t>Measuring Urban and Landscape Change Due to Sea Level Rise: Case Studies in Southeastern USA</t>
  </si>
  <si>
    <t>Global Coastal Characteristics (GCC): A global dataset of geophysical, hydrodynamic, and socioeconomic coastal indicators</t>
  </si>
  <si>
    <t>Structural characteristics and spatiotemporal changes of a reticular river network based on complex network theory</t>
  </si>
  <si>
    <t>Concurrent and dynamical interdependency of compound precipitation and wind speed extremes over India</t>
  </si>
  <si>
    <t>Quantifying the Impacts of Land-Cover Change on the Hydrologic Response to Hurricane Ida in the Lower Mississippi River Basin</t>
  </si>
  <si>
    <t>The influence of weathering processes on microtopographic changes of sandstone under simulated upper intertidal conditions from weekly to monthly scales</t>
  </si>
  <si>
    <t>Insights from a topo-bathymetric and oceanographic dataset for coastal flooding studies: The French Flooding Prevention Action Program of Saint-Malo</t>
  </si>
  <si>
    <t>Global insights from local actions: a case study on enhancing flood disaster management efficiency in China’s Greater Bay Area</t>
  </si>
  <si>
    <t>Monitoring solutions for remote locations: A data gathering approach for remote nature-based solution sites</t>
  </si>
  <si>
    <t>Assessment of household vulnerability to embankment breaching in the coastal area of the Indian Sundarban</t>
  </si>
  <si>
    <t>Observing glacier elevation changes from spaceborne optical and radar sensors - an inter-comparison experiment using ASTER and TanDEM-X data</t>
  </si>
  <si>
    <t>Climate Change Can Intensify the Effects of Local Interventions: A Morphological Modeling Study of a Highly Engineered Estuary</t>
  </si>
  <si>
    <t>A multi-faceted methodology for calibration of coastal vegetation drag coefficient</t>
  </si>
  <si>
    <t>Improved flood depth estimation with SAR image, digital elevation model, and machine learning schemes</t>
  </si>
  <si>
    <t>Isotopic compositions of organic and inorganic nitrogen reveal processing and source dynamics at septic influenced and undeveloped estuary sites</t>
  </si>
  <si>
    <t>Quantification of landuse changes driven by the dynamics of the Jamuna River, a giant tropical river of Bangladesh</t>
  </si>
  <si>
    <t>Advanced Sea Ice Modeling for Short-Term Forecasting for Alaska’s Coasts</t>
  </si>
  <si>
    <t>Width undulation drives flow convergence routing in five flashy ephemeral river types across a dry summer subtropical region</t>
  </si>
  <si>
    <t>Effects of sea level rise and tidal flat growth on tidal dynamics and geometry of the Elbe estuary</t>
  </si>
  <si>
    <t>Rising plant demand strengthens nitrogen limitation in tidal marsh</t>
  </si>
  <si>
    <t>Quantifying the role of saltmarsh as a vulnerable carbon sink: A case study from Northern Portugal</t>
  </si>
  <si>
    <t>Analysis of environmental transport of suspended sediment particles in a tidal wetland flow under the effect of floating vegetation absorption</t>
  </si>
  <si>
    <t>Wetland responses to non-stationary hydro-climatic dynamics in the context of land cover and land use change</t>
  </si>
  <si>
    <t>Combined surge-meteotsunami dynamics: A numerical model for hurricane Leslie on the coast of Portugal</t>
  </si>
  <si>
    <t>Historical ecological monitoring and appraisal for extractive uses and other values in Malaysia unveils consequences of regime shifts in 120 years of mangrove management</t>
  </si>
  <si>
    <t>Analysis of the Impact of Hydraulic Gates on a Stabilized Tidal Inlet Structure: Mathematical Model and Data Measurements</t>
  </si>
  <si>
    <t>Nature-based solutions for coastal risk management in the Mediterranean basin: A literature review</t>
  </si>
  <si>
    <t>FOCA: a new quality-controlled database of floods and catchment descriptors in Italy</t>
  </si>
  <si>
    <t>Novel optimized deep learning algorithms and explainable artificial intelligence for storm surge susceptibility modeling and management in a flood-prone island</t>
  </si>
  <si>
    <t>The color of water: Racial and income differences in exposure to floods across US neighborhoods</t>
  </si>
  <si>
    <t>A novel framework for feature simplification and selection in flood susceptibility assessment based on machine learning</t>
  </si>
  <si>
    <t>Reconstructing glacial lake outburst floods in the Poiqu River basin, central Himalaya</t>
  </si>
  <si>
    <t>Variability of Extreme Climate Events and Prediction of Land Cover Change and Future Climate Change Effects on the Streamflow in Southeast Queensland, Australia</t>
  </si>
  <si>
    <t>Development of an intelligent system for early forecasting and modelling of flood situation on the example of the Republic of Bashkortostan using a proprietary machine and deep learning library</t>
  </si>
  <si>
    <t>What drives uncertainty surrounding riverine flood risks?</t>
  </si>
  <si>
    <t>Simultaneous suppression of As mobilization and N2O emission from NH4+/As-rich paddy soils by combined nitrate and birnessite amendment</t>
  </si>
  <si>
    <t>Understanding groundwater use and vulnerability of rural communities in the Mekong Delta: The case of Tra Vinh province, Vietnam</t>
  </si>
  <si>
    <t>Future changes in intense tropical cyclone hazards in the Pearl River Delta region: an air-wave-ocean coupled model study</t>
  </si>
  <si>
    <t>Spatio-temporal dynamics monitoring of surface water bodies in Nhat Le River Basin, Vietnam, by Google Earth Engine</t>
  </si>
  <si>
    <t>Influence of the spatial resolution of Digital Elevation Models on water-balance estimations in temporary shallow lakes</t>
  </si>
  <si>
    <t>Homogeneity Adjustment of Surface Temperature Data and Study of the Climate Variability Over Coastal Odisha by a Climate Departure Index</t>
  </si>
  <si>
    <t>Emerging climate threats to the Mississippi River Delta: Moving from restoration to adaptation</t>
  </si>
  <si>
    <t>Species Abundance Modelling of Arctic-Boreal Zone Ducks Informed by Satellite Remote Sensing</t>
  </si>
  <si>
    <t>Simulating earth deformation evolution caused by groundwater pumping through ordinary state-based Peridynamics method</t>
  </si>
  <si>
    <t>Tracking the spatial footprints of extreme storm surges around the coastline of the UK and Ireland</t>
  </si>
  <si>
    <t>Significant Local Sea Level Variations Caused by Continental Hydrology Signals</t>
  </si>
  <si>
    <t>Flood susceptibility mapping using a novel integration of multi-temporal sentinel-1 data and eXtreme deep learning model</t>
  </si>
  <si>
    <t>InSAR-measured permafrost degradation of palsa peatlands in northern Sweden</t>
  </si>
  <si>
    <t>Positive Storm Surges in the Río de la Plata Estuary: forcings, long-term variability, trends and linkage with Southwestern Atlantic Continental Shelf dynamics</t>
  </si>
  <si>
    <t>Climate threats to coastal infrastructure and sustainable development outcomes</t>
  </si>
  <si>
    <t>Boon and burden: economic performance and future perspectives of the Venice flood protection system</t>
  </si>
  <si>
    <t>A Synergistic Use of Remote Sensing and Hydrodynamic Techniques for Flash Flood Mitigation Toward Sustainable Urban Expansion in Najran Valley, Saudi Arabia</t>
  </si>
  <si>
    <t>Large wood fluctuation and longitudinal connectivity conditions along a segment of the Blanco River (Chilean Patagonia)</t>
  </si>
  <si>
    <t>A Major Improvement of Atmospheric Wave Boundary Layer Model for Storm Surge Modeling by Including Effect of Wave Breaking on Air–Sea Momentum Exchange</t>
  </si>
  <si>
    <t>Human biomonitoring of trace metals from different altitudinal settings of Pakistan</t>
  </si>
  <si>
    <t>PDFID: A high-resolution flood inundation dataset with a long time series</t>
  </si>
  <si>
    <t>The potential of global coastal flood risk reduction using various DRR measures</t>
  </si>
  <si>
    <t>Social Media and Political Literacy of Voters in Rural Neighbourhoods in Ethiope East Local Government Area of Delta State, Nigeria</t>
  </si>
  <si>
    <t>Benthos as a key driver of morphological change in coastal regions</t>
  </si>
  <si>
    <t>Climate change projection using statistical downscaling model over southern coastal Iran</t>
  </si>
  <si>
    <t>Implications for the resilience of modern coastal systems derived from mesoscale barrier dynamics at Fire Island, New York</t>
  </si>
  <si>
    <t>Airborne GNSS reflectometry for coastal monitoring of sea state; [Monitoreo del estado del mar en zonas costeras usando GNSS reflectometría]</t>
  </si>
  <si>
    <t>Quantitative and qualitative study of the Tawi basin: Inferences from Digital Elevation Model (DEM) using geospatial technology</t>
  </si>
  <si>
    <t>Tropical cyclone-related heatwave episodes in the Greater Bay Area, China: Synoptic patterns and urban-rural disparities</t>
  </si>
  <si>
    <t>Bias correction of operational storm surge forecasts using Neural Networks</t>
  </si>
  <si>
    <t>A hydrogeomorphic dataset for characterizing catchment hydrological behavior across the Tibetan Plateau</t>
  </si>
  <si>
    <t>Contribution of GIS and Simulations of Capacity of Hydraulic Structures to the Mapping of Flood Zones in the City of Agadir in Central Morocco</t>
  </si>
  <si>
    <t>Simulation of the Hydraulic Model HEC-RAS Coupled with GIS and Remote Sensing to Study the Effect of River Cross-section Width in Detecting Flood-prone Areas</t>
  </si>
  <si>
    <t>Suitability of the height above nearest drainage (HAND) model for flood inundation mapping in data-scarce regions: a comparative analysis with hydrodynamic models</t>
  </si>
  <si>
    <t>Mangroves as nature-based mitigation for ENSO-driven compound flood risks in a large river delta</t>
  </si>
  <si>
    <t>Land Subsidence Susceptibility Mapping in Ca Mau Province, Vietnam, Using Boosting Models</t>
  </si>
  <si>
    <t>Towards efficient coastal flood modeling: A comparative assessment of bathtub, extended hydrodynamic, and total water level approaches</t>
  </si>
  <si>
    <t>Assessing urban drainage pressure and impacts of future climate change based on shared socioeconomic pathways</t>
  </si>
  <si>
    <t>Methods and insights on enabling geovisualisation for coastal communities of the North Shore of Vancouver</t>
  </si>
  <si>
    <t>Exploring the potentiality of InSAR data to estimate land subsidence of the Nile Delta</t>
  </si>
  <si>
    <t>The Future of Developed Barrier Systems: 1. Pathways Toward Uninhabitability, Drowning, and Rebound</t>
  </si>
  <si>
    <t>Coupling and decoupling of soil carbon and nutrients cycles at different salinity levels in a mangrove wetland: Insights from CUE and enzymatic stoichiometry</t>
  </si>
  <si>
    <t>Precision in mapping and assessing mangrove Biomass: Insights from the Persian Gulf coasts</t>
  </si>
  <si>
    <t>Dynamically downscaled coastal flooding in Brazil’s Guanabara Bay under a future climate change scenario</t>
  </si>
  <si>
    <t>Deformation Monitoring and Primary Driving Factor Analysis in the Coastal Area of Liaohe Oilfield Utilizing MT-InSAR and PCA</t>
  </si>
  <si>
    <t>Bio-cementation for tidal erosion resistance improvement of foreshore slopes based on microbially induced magnesium and calcium precipitation</t>
  </si>
  <si>
    <t>Evaluation of the Neogene depositional dynamics in the Malay-Tho Chu Basin based on seismic analysis: effects of local and regional tectonism and paleoclimatic variations</t>
  </si>
  <si>
    <t>Retreat from flood zones: Simulating land use changes in response to compound flood risk in coastal communities</t>
  </si>
  <si>
    <t>Urban flood mapping using Sentinel-1 and RADARSAT Constellation Mission image and convolutional Siamese network</t>
  </si>
  <si>
    <t>Disaster management in the Sundarbans delta ecosystem through environmental governance and sustainable planning; [Gestão de catástrofes no ecossistema do delta do Sundarbans através da governação ambiental e do planeamento sustentável]</t>
  </si>
  <si>
    <t>Status and prospects of nature-based solutions for coastal flood and erosion risk management in the Federal State of Schleswig–Holstein, Germany</t>
  </si>
  <si>
    <t>SIMULATION OF FLOOD-PRONE AREAS USING MACHINE LEARNING AND GIS TECHNIQUES IN SAMANGAN PROVINCE, AFGHANISTAN</t>
  </si>
  <si>
    <t>Channel Morphology Change after Restoration: Drone Laser Scanning versus Traditional Surveying Techniques</t>
  </si>
  <si>
    <t>Between hard protection measures, nature-based solutions, and managed retreat: Adapting coastal areas to sea level rise in the Netherlands and France; [Zwischen natürlichen Klimaschutzlösungen, harten Schutzmaßnahmen und Verleugnung: Anpassung an den Meeresspiegelanstieg in den Niederlanden und Frankreich]</t>
  </si>
  <si>
    <t>Assessing the dam's stability of the pond at the ‘El Bosque’ renaissance garden (Béjar, Spain)</t>
  </si>
  <si>
    <t>Effects of regulation on open-water flows in the lower Peace River, Canada, and implications for the recharge of Peace-Athabasca Delta basins</t>
  </si>
  <si>
    <t>A Comparative Analysis of Selected Glaciers of Hunza Basin, Pakistan since 1972‒2018: Varied Responses to Climate Change</t>
  </si>
  <si>
    <t>Decision making in disaster management: considering the medicated society–a case study</t>
  </si>
  <si>
    <t>Blueprint for Blue Carbon: Lessons from Seychelles for Small Island States</t>
  </si>
  <si>
    <t>Assessing LISFLOOD-FP with the next-generation digital elevation model FABDEM using household survey and remote sensing data in the Central Highlands of Vietnam</t>
  </si>
  <si>
    <t>Adapting to sea level rise: participatory, solution-oriented policy tools in vulnerable Mediterranean areas</t>
  </si>
  <si>
    <t>Climate change and human security in coastal regions</t>
  </si>
  <si>
    <t>ASEAN’s climate change mitigation and adaptation measures: abandoning stagnant policy responses</t>
  </si>
  <si>
    <t>Tidal Intrusion Fronts, Surface Convergence, and Mixing in an Estuary with Complex Topography</t>
  </si>
  <si>
    <t>Review of tropical cyclones impacting the Western Arabian Sea and Oman</t>
  </si>
  <si>
    <t>Acquisition of disability after age 50 following extreme urban coastal flooding events in India</t>
  </si>
  <si>
    <t>The potential of industrial green stormwater infrastructure to provide long-term supplementary flood mitigation for low-lying coastal cities under climate change</t>
  </si>
  <si>
    <t>Optimizing slope unit-based landslide susceptibility mapping using the priority-flood flow direction algorithm</t>
  </si>
  <si>
    <t>Integrated analytic hierarchy process and fuzzy analytic hierarchy process for Sahel watershed flood susceptibility assessment, Algeria</t>
  </si>
  <si>
    <t>Third-order elasticity of transversely isotropic field shales</t>
  </si>
  <si>
    <t>Comparison of wave overtopping estimation models for urban beaches. Towards an early warning system on the Basque coast</t>
  </si>
  <si>
    <t>Households’ resilience to flood disaster in Lagos State, Nigeria: developing a conceptual framework unifying disaster resilience components and dimensions</t>
  </si>
  <si>
    <t>Considering Uncertainty of Historical Ice Jam Flood Records in a Bayesian Frequency Analysis for the Peace-Athabasca Delta</t>
  </si>
  <si>
    <t>Understanding flow characteristics from tsunami deposits at Odaka, Joban Coast, using a deep neural network (DNN) inverse model</t>
  </si>
  <si>
    <t>Damming consequences: Quantifying the effects on channel geometry and floodplain inundation</t>
  </si>
  <si>
    <t>Instrumentation and Data Interpretation in Transportation Geotechnics</t>
  </si>
  <si>
    <t>Numerical assessment of the risk of GERD break on the downstream countries</t>
  </si>
  <si>
    <t>Shoreline subsurface dams to protect coastal aquifers from sea level rise and saltwater intrusion</t>
  </si>
  <si>
    <t>Geotechnology Applied to Morphometric Characterization of the Lucite River Sub-Watershed, Mozambique</t>
  </si>
  <si>
    <t>Nutrient dynamics in the Yellow River -a case study of different reservoir regulation operations</t>
  </si>
  <si>
    <t>An automatic mesh generator for coupled 1D-2D hydrodynamic models</t>
  </si>
  <si>
    <t>Role of the Southern Annular Mode in the sea level over the southern Blue Amazon</t>
  </si>
  <si>
    <t>Dynamics and related hazards of the Belvedere Glacier in the Italian Alps: a review</t>
  </si>
  <si>
    <t>Technical Note: Resolution enhancement of flood inundation grids</t>
  </si>
  <si>
    <t>PATTERNS OF PLANT SPECIES COMPOSITION OF A TEMPERATE FLOODPLAIN MEADOW IN RESPONSE TO FINE-SCALE TOPOGRAPHY</t>
  </si>
  <si>
    <t>Current and future rainfall-driven flood risk from hurricanes in Puerto Rico under 1.5 and 2°C climate change</t>
  </si>
  <si>
    <t>Google Earth Engine and Sentinel 1/2 data-based forest degradation monitoring of Sundarban Biosphere Reserve</t>
  </si>
  <si>
    <t>Comparison of Compact and Decentralized Urban Development Pathways for Flood Mitigation in Urbanizing Deltas—Guangzhou in the Pearl River Delta as a Case Study</t>
  </si>
  <si>
    <t>Simulation-Based Analysis of Evacuation Information Sharing Systems Using Geographical Data</t>
  </si>
  <si>
    <t>Water resource sustainability: Challenges, opportunities and research gaps in the English-speaking Caribbean Small Island Developing States</t>
  </si>
  <si>
    <t>Sudden wave flooding on steep rock shores: a clear but hidden danger</t>
  </si>
  <si>
    <t>Integrating groundwater pumping data with regression-enhanced random forest models to improve groundwater monitoring and management in a coastal region</t>
  </si>
  <si>
    <t>Rockfall susceptibility assessment along M-2 Motorway in Salt Range, Pakistan</t>
  </si>
  <si>
    <t>Authigenic-cemented pebbles formed during Pleisto–Holocene transgression of gently inclined coastal plains</t>
  </si>
  <si>
    <t>Participatory justice and climate adaptation for water management in Small Island Developing States: a systematic literature review and discussion</t>
  </si>
  <si>
    <t>Shallow groundwater characterisation and hydrograph classification in the coastal city of Ōtautahi/Christchurch, New Zealand</t>
  </si>
  <si>
    <t>Generation and Evolution of Internal Solitary Waves in a Coastal Plain Estuary</t>
  </si>
  <si>
    <t>Can crop production intensification through irrigation be sustainable? An ex-ante impact study of the south-central coastal zone of Bangladesh</t>
  </si>
  <si>
    <t>The Holocene Destruction of the Tumannaya River Delta and the Formation of Shallow Gas Accumulations along the Shelf in the Western Part of Peter the Great Bay (Sea of Japan)</t>
  </si>
  <si>
    <t>Development of a hazard risk map for assessing pedestrian risk in urban flash floods: A case study in Cúcuta, Colombia</t>
  </si>
  <si>
    <t>Assessment of marsh terrace designs for wave attenuation utilizing a wave model</t>
  </si>
  <si>
    <t>Linking ground ice and glacier melting to lake volume change in the Dogai Coring watershed on the Tibetan Plateau</t>
  </si>
  <si>
    <t>ANALYSIS AND FORECAST OF SEA LEVEL CHANGES ALONG CHINA SEAS AND NEIGHBORING OCEAN OVER 1993–2020</t>
  </si>
  <si>
    <t>Community-Centric Approaches to Coastal Hazard Assessment and Management in Southside Norfolk, Virginia, USA</t>
  </si>
  <si>
    <t>A system for the management of sandy shorelines under climate change: United States Virgin Islands (USVI)</t>
  </si>
  <si>
    <t>Spatial and temporal variability of environmental proxies from the top 120m of two ice cores in Dronning Maud Land (East Antarctica)</t>
  </si>
  <si>
    <t>Analytical estimation of sea-level rise impacts on the freshwater lenses of elliptical islands with sloping shorelines</t>
  </si>
  <si>
    <t>Dissolved organic matter composition and characteristics during extreme flood events in the Yangtze River Estuary</t>
  </si>
  <si>
    <t>Unravelling increasing flood hazard and influential factors in a tidal river</t>
  </si>
  <si>
    <t>Spatiotemporal changes in hurricane-force wind risk assessment in the Yucatan Peninsula, Mexico</t>
  </si>
  <si>
    <t>Storm identification for high-energy wave climates as a tool to improve long-term analysis</t>
  </si>
  <si>
    <t>A machine learning-based method for multi-satellite SAR data integration</t>
  </si>
  <si>
    <t>Insight into land cover dynamics and water challenges under anthropogenic and climatic changes in the eastern Nile Delta: Inference from remote sensing and GIS data</t>
  </si>
  <si>
    <t>An interpretable deep learning model to map land subsidence hazard</t>
  </si>
  <si>
    <t>Key ingredients in regional climate modelling for improving the representation of typhoon tracks and intensities</t>
  </si>
  <si>
    <t>Morphological processes and potential for lacustrine delta restoration</t>
  </si>
  <si>
    <t>A semantic notation for comparing global high-resolution coastal flooding studies</t>
  </si>
  <si>
    <t>Geo-pressure and geo-mechanical models for the Late Messinian Abu Madi reservoir in the Nidoco and Baltim gas fields, offshore Nile Delta Basin, Egypt</t>
  </si>
  <si>
    <t>Measurement report: Nocturnal subsidence behind the cold front enhances surface particulate matter in plains regions: observations from the mobile multi-lidar system</t>
  </si>
  <si>
    <t>Stochastic properties of coastal flooding events - Part 1: convolutional-neural-network-based semantic segmentation for water detection</t>
  </si>
  <si>
    <t>Sea-level rise and flood mapping: a review of models for coastal management</t>
  </si>
  <si>
    <t>Hydrometeorological Trends in a Low-Gradient Forested Watershed on the Southeastern Atlantic Coastal Plain in the USA</t>
  </si>
  <si>
    <t>Climate change impact on the architecture and built environment dwellers’ well-being in Niger Delta Region: a systematic review</t>
  </si>
  <si>
    <t>Observing coastal wetland transitions using national land cover products</t>
  </si>
  <si>
    <t>Corn straw biochar addition elevated phosphorus availability in a coastal salt-affected soil under the conditions of different halophyte litter input and moisture contents</t>
  </si>
  <si>
    <t>Storm Impacts on Mineral Mass Accumulation Rates of Coastal Marshes</t>
  </si>
  <si>
    <t>Effect of landforms and vegetations on pedological variability and crop yield along the toposequence of Eastern Coastal Plain of Odisha, India</t>
  </si>
  <si>
    <t>Remote Sensing Observations of a Coastal Water Environment Based on Neural Network and Spatiotemporal Fusion Technology: A Case Study of Hangzhou Bay</t>
  </si>
  <si>
    <t>This land is your land, this could be marsh land: Property parcel characteristics of marsh migration corridors in Rhode Island, USA</t>
  </si>
  <si>
    <t>The changing nature of groundwater in the global water cycle</t>
  </si>
  <si>
    <t>Short communication: Perception of coastal barrier landscapes and implications for selection of landscape morphometrics</t>
  </si>
  <si>
    <t>Three-dimensional surface deformation from multi-track InSAR and oil reservoir characterization: A case study in the Liaohe Oilfield, northeast China</t>
  </si>
  <si>
    <t>Historical vertical ground movements in the Campi Flegrei volcano: A new transect across the caldera rim</t>
  </si>
  <si>
    <t>Quantitative biostratigraphy of the Miocene-Pleistocene succession in Sapphire field, offshore Nile Delta, Egypt</t>
  </si>
  <si>
    <t>Use of HAND Model for Estimating Flood-Prone in Serawai Basins Base on Remote Sensing and Sistem Information Geography</t>
  </si>
  <si>
    <t>Edaphic Drivers Influencing Forage Grasslands in Bujagh National Park, Iran</t>
  </si>
  <si>
    <t>Increasing Occurrence of Sudden Turns From Drought to Flood Over China</t>
  </si>
  <si>
    <t>Integrated Hydrological and Hydraulic Modeling for River Freezing Simulation: Impacts of a Changing Climate on the Freeze-Up of the Exploits River in Newfoundland</t>
  </si>
  <si>
    <t>Linking climate change perceptions, adaptive strategies, and food insecurity: evidence from southwest coastal Bangladesh</t>
  </si>
  <si>
    <t>A volcanic and gravity flow controlled fine-grained organic rich deposits of the lower Jurassic Beipiao formation in the Western Liaoning, northeast China</t>
  </si>
  <si>
    <t>The presence of ampicillin-resistant coliforms in urban floodwaters of a coastal city in the southeastern United States</t>
  </si>
  <si>
    <t>Land Subsidence in the Mekong Delta Derived From Advanced Persistent Scatterer Interferometry With an Infrastructural Reference Network</t>
  </si>
  <si>
    <t>Assessment of erosion-accretion patterns, land dynamics, and climate change impacts on the islands of the south-central coastal zone of Bangladesh using remote sensing techniques</t>
  </si>
  <si>
    <t>Adaptability comparison of climate downscaling methods and future climate projections in the Pearl River Delta, China</t>
  </si>
  <si>
    <t>Assessing coupled human-flood interactions using LiDAR geostatistics and neighbourhood analyses</t>
  </si>
  <si>
    <t>Expanding glacial lakes and assessing outburst susceptibility of moraine-dammed lakes using logistic regression in the Yigong Tsangpo Basin, Tibet, China</t>
  </si>
  <si>
    <t>Flood-Inundation Maps for the Cuyahoga River at Jaite, Ohio, 2024</t>
  </si>
  <si>
    <t>How flood risk management projects can improve urban resilience: a combined assessment approach of functional resilience and adaptive capacity</t>
  </si>
  <si>
    <t>Flood Vulnerability Analysis Based on Gis and Remote Sensing at Silat Hulu</t>
  </si>
  <si>
    <t>Economic losses and damages in aquaculture production caused by extreme weather events: an empirical assessment at the household scale in Quang Ngai province, Vietnam</t>
  </si>
  <si>
    <t>Investigation of compound occurrence of storm surge and river flood in Mikawa Bay, Japan, using typhoon track ensemble experiments</t>
  </si>
  <si>
    <t>Comprehensive database of land subsidence in 143 major coastal cities around the world: overview of issues, causes, and future challenges</t>
  </si>
  <si>
    <t>Assessing and improving the walkability of Caribbean SIDS: a case study</t>
  </si>
  <si>
    <t>Post-mining deformations in the area affected by the former ”Siersza” Hard Coal Mine in Trzebinia (southern Poland)</t>
  </si>
  <si>
    <t>Glacier velocity and surge detection in the Karakoram region, Pakistan: using remotely sensed data with cross-correlation feature tracking</t>
  </si>
  <si>
    <t>Identifying erosion risk criteria for coastal city sustainability by using a Hyper-Delphi-hierarchy model: a case study of Kuala Terengganu, Malaysia</t>
  </si>
  <si>
    <t>Flood-Inundation Maps for the Cuyahoga River in and Near Independence, Ohio, 2024</t>
  </si>
  <si>
    <t>Protection of the Indian Coastal Ecosystem through CRZ Notifications: An Analysis</t>
  </si>
  <si>
    <t>Collective and individual adaptation of rice farmers to climatic variability in the Vietnamese Mekong Delta</t>
  </si>
  <si>
    <t>Analysis of watershed attributes for water resource management using geospatial technology: a case study of Haringmuri watershed</t>
  </si>
  <si>
    <t>Challenges of relief modeling in flat areas: a case study in the Amazon coast floodplains</t>
  </si>
  <si>
    <t>City-scale high-resolution flood models and the role of topographic data: a case study of Kathmandu, Nepal</t>
  </si>
  <si>
    <t>Exploring tidal inundation: temporal trends analysis and community perceptions in Chattogram City coastal area, Bangladesh</t>
  </si>
  <si>
    <t>Participatory engagement to reduce communication gaps</t>
  </si>
  <si>
    <t>A comparative assessment of accommodation strategies based on elevated buildings for coastal adaptation</t>
  </si>
  <si>
    <t>THE INFLUENCE OF GEOLOGICAL STRUCTURES ON THE CHARACTER OF THE CHANNELS OF RIGHT-BANK TRIBUTARIES OF THE DNIESTER RIVER</t>
  </si>
  <si>
    <t>INVESTIGATION OF TIDAL AND SUBTIDAL VARIATIONS IN SEA LEVEL CLOSE TO THE SOUTHEASTERN COAST OF SAKHALIN ISLAND USING TWO-YEAR TIME SERIES</t>
  </si>
  <si>
    <t>The history of hydrological studies on the Mekong floodplains–from colonial experiments to computational models</t>
  </si>
  <si>
    <t>c-HAND: near real-time coastal flood mapping</t>
  </si>
  <si>
    <t>Hydrological Analysis of Wadi Arab Valley Dam by Integrate Soil Conservation Service and Geographic Information Systems</t>
  </si>
  <si>
    <t>Adult Green Sturgeon (Acipenser medirostris) Movements in the Sacramento–San Joaquin River Delta, California, December 2020–January 2023</t>
  </si>
  <si>
    <t>Early warning system for floods at estuarine areas: combining artificial intelligence with process-based models</t>
  </si>
  <si>
    <t>Hydrological connectivity, structural and ecological functionality of a meandering ecosystem of the Danube Delta</t>
  </si>
  <si>
    <t>Designing flash flood control measures for urban areas using the Monte Carlo water flow simulation</t>
  </si>
  <si>
    <t>Climate change induced risks assessment of a coastal area: A “socioeconomic and livelihood vulnerability index” based study in coastal Bangladesh</t>
  </si>
  <si>
    <t>Study of Fluctuation in Surface Water Quality in Can Tho Province (Mekong Delta, Vietnam)</t>
  </si>
  <si>
    <t>Impact of soil salinity on the increasing trends of Aqua farming in the coastal blocks of Purba Medinipur District: a Geospatial Approach</t>
  </si>
  <si>
    <t>Three Decades of River Bank Erosion and Accretion Appraisal along Bank Line Shifting Trend in a Transboundary River, Teesta Floodplain of Bangladesh</t>
  </si>
  <si>
    <t>Experimental study of dynamic shear stiffness decay characteristics of interbedded soil: a case study in Yangtze River floodplain</t>
  </si>
  <si>
    <t>Deriving Accurate Intertidal Topography for Sandy Beaches Using ICESat-2 Data and Sentinel-2 Imagery</t>
  </si>
  <si>
    <t>Land subsidence monitoring using InSAR technique in the southwestern region of Bangladesh</t>
  </si>
  <si>
    <t>Algae-coral symbiosis: fragility owing to anthropogenic activities and adaptive response to changing climatic trends</t>
  </si>
  <si>
    <t>Kaitiakitanga: A Proclamation for Indigenous Active Agency in Climate Change in Aotearoa, New Zealand</t>
  </si>
  <si>
    <t>Integrated assessment of flood susceptibility and exposure rate in the lower Niger Basin, Onitsha, Southeastern Nigeria</t>
  </si>
  <si>
    <t>Coastal Area Sustainability How the Components Impact the Economy of Community?</t>
  </si>
  <si>
    <t>An exploration of exposure to river flood risk in Spain using the National Floodplain Mapping System</t>
  </si>
  <si>
    <t>Monitoring of Wave, Current, and Sediment Dynamics Along the Fog Point Living Shoreline, Glenn Martin National Wildlife Refuge, Maryland</t>
  </si>
  <si>
    <t>Salt-wedge estuary's response to rising sea level, reduced discharge, and Nature-Based Solution</t>
  </si>
  <si>
    <t>Bacterial Reduction of Sulfates as Suitable Method for Removal of Sulfates from Acid Mine Drainage</t>
  </si>
  <si>
    <t>A “natural sand plant” at the shelf edge in the low-energy Gulf of Lions, western Mediterranean Sea</t>
  </si>
  <si>
    <t>Factors Affecting Flash Flood Disaster in Ghat Town in Libya; [العوامل المؤثرة في كارثة السيول في مدينة غات بليبيا]</t>
  </si>
  <si>
    <t>Analysis of hydrodynamic behavior in response to diverse pile arrangements adjacent to an impermeable dike</t>
  </si>
  <si>
    <t>MORPHOMETRIC CHARACTERIZATION OF THE CATU RIVER HYDROGRAPHIC SUB-BASIN IN THE MUNICIPALITY OF ALAGOINHAS-BA; [CARACTERIZAÇÃO MORFOMÉTRICA DA SUB-BACIA HIDROGRÁFICA DO RIO CATU NO MUNICÍPIO DE ALAGOINHAS-BA]</t>
  </si>
  <si>
    <t>Integrated Flood Modeling for Klang River Basin Using HEC-HMS and Radar Rainfall Input</t>
  </si>
  <si>
    <t>Fusion of InSAR and GNSS Based on Adaptive Spatio-Temporal Kalman Model for Reconstructing High Spatio-Temporal Resolution Deformation</t>
  </si>
  <si>
    <t>Monitoring of land subsidence by combining small baseline subset interferometric synthetic aperture radar and generic atmospheric correction online service in Qingdao City, China</t>
  </si>
  <si>
    <t>Sea level rise, claims-making and managed retreat in Fairbourne, North Wales</t>
  </si>
  <si>
    <t>The first 10-m China’s national-scale sandy beach map in 2022 derived from Sentinel-2 imagery</t>
  </si>
  <si>
    <t>Coastal watershed and morphologic changes of their mouth along the Moroccan Mediterranean coastline</t>
  </si>
  <si>
    <t>Palynology of the Late Berriasian to Early Hauterivian of the Tethyan Realm in SE France: biostratigraphy and taxonomy of the Vergol (Montbrun-les-Bains) and La Charce (Serre de l’Âne) sections, Vocontian Basin</t>
  </si>
  <si>
    <t>A fuzzy analytical hierarchy process -GIS approach to flood susceptibility mapping in NEOM, Saudi Arabia</t>
  </si>
  <si>
    <t>Morphometric Analysis of Barren Island Volcano Using Remote Sensing and Field Studies: Insights into Volcanic Processes and Caldera Formation</t>
  </si>
  <si>
    <t>MONITORING OF POST-MINING SUBSIDENCE USING AIRBORNE AND TERRESTRIAL LASER SCANNING APPROACH</t>
  </si>
  <si>
    <t>Dam break analysis using hydrodynamic modelling and geospatial techniques: a case of Damanganga Reservoir, Gujarat, India</t>
  </si>
  <si>
    <t>The 3D Elevation Program—Supporting Michigan’s Economy</t>
  </si>
  <si>
    <t>Distribution law of Chang 7 Member tight oil in the western Ordos Basin based on geological, logging and numerical simulation techniques</t>
  </si>
  <si>
    <t>Urbanization and land subsidence: multi-decadal investigation combined SBAS-InSAR and multi-factors in Shanghai, China</t>
  </si>
  <si>
    <t>Assessing the Impact of Coastal Erosion on Land use and Landcover, A Time Series Analysis using DSAS and GIS in Cuddalore Shore, Tamil Nadu, India</t>
  </si>
  <si>
    <t>Anatomization of flood risk and vulnerability using the analytical hierarchy process and frequency ratio in Dibrugarh district of Assam, India</t>
  </si>
  <si>
    <t>Does spending time with nature affect people’s desire to protect it? A case study of Nigerian beachgoers</t>
  </si>
  <si>
    <t>Deferring flood damage in coastal lowlands: assessing surface uplift by geo-engineered CO2sequestration with easy-to-use land-uplift model</t>
  </si>
  <si>
    <t>Contribution of high turbidity to tidal dynamics in a curved channel in Zhoushan Islands, China</t>
  </si>
  <si>
    <t>Palaeontological and sedimentological studies of dated cores from the coast of Thyna (Sfax, Gulf of Gabes, Tunisia): multiproxy evidence for a high-energy extreme event and palaeoenvironmental reconstructions</t>
  </si>
  <si>
    <t>Geoelectrical and Hydrochemical Insights in Tracing the Seawater Intrusion Along Coastal Aquifers of the East Coast of South Andaman Island, India</t>
  </si>
  <si>
    <t>Revisiting the Çüngüş Formation, a controversial tectono-stratigraphic unit in front of the Southeast Anatolian Suture Belt</t>
  </si>
  <si>
    <t>Assessing Spatial Variability of Nutrients, Phytoplankton, and Related Water-Quality Constituents in the California Sacramento–San Joaquin Delta at the Landscape Scale: 2018 High Resolution Mapping Surveys</t>
  </si>
  <si>
    <t>Numerical simulation of long-distance debris flows (lahars) on glacier-clad volcanoes: the case of Cotopaxi, Ecuador</t>
  </si>
  <si>
    <t>Applying portfolio theory to benefit endangered amphibians in coastal wetlands threatened by climate change, high uncertainty, and significant investment risk</t>
  </si>
  <si>
    <t>Planning for wastewater infrastructure adaptation under deep uncertainty</t>
  </si>
  <si>
    <t>Morphometric analysis and risk assessment of flash floods in the Atlas chain of eastern Algeria and the Algerian–Tunisian borders</t>
  </si>
  <si>
    <t>Sedimentation Yield Assessment in Bangladesh: A Model Study on Surma-Meghna River System</t>
  </si>
  <si>
    <t>Public support for flood adaptation policy in Tokyo lowland areas</t>
  </si>
  <si>
    <t>Assessment of dams’ hydrological efficiency under the effect of climate change and urban expansion: Brayman Dam in Jeddah City, Saudi Arabia as a case study</t>
  </si>
  <si>
    <t>Postconstruction Deformation Characteristics of High-Fill Foundations of Kunming Changshui International Airport Using Time-Series InSAR Technology</t>
  </si>
  <si>
    <t>Rapid expansion of proglacial lake and deglaciation of host glacier in Kishtwar Himalaya, Jammu and Kashmir, India, from 1993 to 2020</t>
  </si>
  <si>
    <t>Utility of remotely operated underwater vehicle in flood inundation mapping for dam failure: A case study of Lake Tuscaloosa Dam</t>
  </si>
  <si>
    <t>Physics to Fish: Understanding the Factors that Create and Sustain Native Fish Habitat in the San Francisco Estuary</t>
  </si>
  <si>
    <t>Balance by Compromise and Negotiation: Does a Citizen-led Shoreline Regulatory Process Achieve Environmental Policy Outcomes?</t>
  </si>
  <si>
    <t>A novel and efficient method for real-time simulating spatial and temporal evolution of coastal urban pluvial flood without drainage network</t>
  </si>
  <si>
    <t>Real-time model predictive control of urban drainage system in coastal areas</t>
  </si>
  <si>
    <t>Multiple lines of evidence to assess risk from dioxins and dioxin-like chemicals in sediment and fish from waterbodies along a large prairie river</t>
  </si>
  <si>
    <t>Coupling deformation mechanism of geological stratification and metro tunnel structure in deep quaternary sedimentary area</t>
  </si>
  <si>
    <t>Warming and flooding have different effects on organic carbon stability in mangrove soils</t>
  </si>
  <si>
    <t>Landslide susceptibility mapping for the Red Sea Mountains: A multi-criteria decision analysis approach</t>
  </si>
  <si>
    <t>Mitigation policies buffer multiple climate stressors in a socio-ecological salt marsh habitat</t>
  </si>
  <si>
    <t>Assessment of flood susceptibility in coastal peri-urban areas: an alternative MCDA approach for ungauged catchments</t>
  </si>
  <si>
    <t>The late Quaternary palynological record of the northern Yangtze Delta: Implication for palaeoclimate change in East Asia</t>
  </si>
  <si>
    <t>Building adaptive capacity to address coastal flooding: The case of a small Texas City</t>
  </si>
  <si>
    <t>Climate migration amplifies demographic change and population aging</t>
  </si>
  <si>
    <t>Delft3D model-based estuarine suspended sediment budget with morphodynamic changes of the channel-shoal complex in a mega fluvial-tidal delta</t>
  </si>
  <si>
    <t>People beyond the border in the sandbars of Damodar River: understanding the people’s management in a changing landscape, India</t>
  </si>
  <si>
    <t>High-Resolution Flood Monitoring Based on Advanced Statistical Modeling of Sentinel-1 Multi-Temporal Stacks</t>
  </si>
  <si>
    <t>Soil liquefaction and subsidence disaster in İskenderun related to the 6 February 2023 Pazarcık (Mw: 7.7) and 20 February Defne (Mw: 6.4) earthquakes, Türkiye</t>
  </si>
  <si>
    <t>Evaluating the satellite-derived DEM accuracy with rain-on-grid modeling for flood hydrograph prediction of Katulampa Watershed, Indonesia</t>
  </si>
  <si>
    <t>Influencing Mechanism of Tidal Disasters on Locust Breeding Area Evolution in the Eastern Coastal Area of China during the Ming and Qing Dynasties</t>
  </si>
  <si>
    <t>Buried but not dead: The impact of stream and wetland loss on flood risk in redlined neighborhoods</t>
  </si>
  <si>
    <t>THE USE OF COMPUTATIONAL MODELING FOR SIMULATION AND COMPARISON OF DIGITAL ELEVATION MODELS IN NORTHWEST FLUMINENSE. CASE STUDY: POMBA RIVER AND PARAÍBA DO SUL RIVER; [O USO DA MODELAGEM COMPUTACIONAL PARA SIMULAÇÃO E COMPARAÇÃO DOS MODELOS DIGITAIS DE ELEVAÇÃO DO NOROESTE FLUMINENSE. ESTUDO DE CASO: RIO POMBA E RIO PARAÍBA DO SUL]</t>
  </si>
  <si>
    <t>Innovative remote sensing methodologies and applications in coastal and marine environments</t>
  </si>
  <si>
    <t>Nature-based solutions for coastal resilience in South Africa</t>
  </si>
  <si>
    <t>Effects of Spartina alterniflora control on soil carbon and nitrogen in coastal wetlands</t>
  </si>
  <si>
    <t>Who collaborates on urban resilience? An analysis of flood resilience planning networks in four coastal cities</t>
  </si>
  <si>
    <t>Sedimentary characteristics and model of seasonal deltaic sandstone: a case study on the continental red bed from the Cretaceous Baxigai Formation, Tarim Basin, NW China</t>
  </si>
  <si>
    <t>Sea level rise estimation and projection from long-term multi-mission satellite altimetry and tidal data in the Southeast Asia region</t>
  </si>
  <si>
    <t>Managing retreat? An empirical reflection on adopting relocation initiatives as adaptation policy in Louisiana</t>
  </si>
  <si>
    <t>Melting ice and rising seas–connecting projected change in Antarctica’s ice sheets to communities in Aotearoa New Zealand</t>
  </si>
  <si>
    <t>S1S2-Water: A Global Dataset for Semantic Segmentation of Water Bodies From Sentinel- 1 and Sentinel-2 Satellite Images</t>
  </si>
  <si>
    <t>Pricing Coastal Amenities and Flood Hazards</t>
  </si>
  <si>
    <t>(Im)balance in household balance sheet in the aftermath of a natural disaster</t>
  </si>
  <si>
    <t>Resilient urban expansion: Identifying critical conflict patches by integrating flood risk and land use predictions: A case study of Min Delta Urban Agglomerations in China</t>
  </si>
  <si>
    <t>Episodes of post-Caledonian burial and exhumation in Greenland and Fennoscandia</t>
  </si>
  <si>
    <t>Application of machine learning-based surrogate models for urban flood depth modeling in Ho Chi Minh City, Vietnam [Formula presented]</t>
  </si>
  <si>
    <t>A new analytical method for estimating hydraulic parameters of a nonlinear consolidated aquitard with variable drawdown in adjacent aquifers</t>
  </si>
  <si>
    <t>Climate and Vegetation Change in a Coastal Marsh: Two Snapshots of Groundwater Dynamics and Tidal Flooding at Piermont Marsh, NY Spanning 20 Years</t>
  </si>
  <si>
    <t>Nutrient fluxes in the Bons Sinais Estuary (Mozambique)–sources and sinks</t>
  </si>
  <si>
    <t>Integrated Assessment of Coastal Subsidence in Nansha District, Guangzhou City, China: Insights from SBAS-InSAR Monitoring and Risk Evaluation</t>
  </si>
  <si>
    <t>WATER RESOURCES VULNERABILITY ASSESSMENT WITH WSN IN COASTAL ECOSYSTEMS</t>
  </si>
  <si>
    <t>Mining Deformation Monitoring Based on Lutan-1 Monostatic and Bistatic Data</t>
  </si>
  <si>
    <t>Unveiling the past: Utilizing satellite imagery archives to study archaeological landscapes in the northeastern Nile Delta, Egypt</t>
  </si>
  <si>
    <t>Shallow seismic imaging of sub-seafloor structures off the subsiding area of Linbian estuary in Pingtung, SW Taiwan: implications for recent tectonic activities and focused fluid migrations</t>
  </si>
  <si>
    <t>Coping with disasters: changing patterns of disaster risk reduction activities in the southwestern coastal areas of Bangladesh</t>
  </si>
  <si>
    <t>Thirty-five-year timber harvesting disturbance effects on composition and biomass of tupelo-cypress (Nyssa-Taxodium) forested wetlands, southwest Alabama, USA</t>
  </si>
  <si>
    <t>Levels and Health Risks of Heavy Metals and Organochlorine Pesticide Residues in Soil and Drinking Water of Flood-Prone Residential Area of Lagos, Nigeria</t>
  </si>
  <si>
    <t>Evaluation of multiple digital elevation models for hypsometric analysis in the watersheds affected by the opening of the Red Sea</t>
  </si>
  <si>
    <t>Study on the influence of reverse faulting on deformation of foundation pit retaining piles</t>
  </si>
  <si>
    <t>GIS-based flash flooding susceptibility analysis and water management in arid mountain ranges: Safaga Region, Red Sea Mountains, Egypt</t>
  </si>
  <si>
    <t>Sentinel-1 InSAR-derived land subsidence assessment along the Texas Gulf Coast</t>
  </si>
  <si>
    <t>GIS-assisted Flood-risk Potential Mapping of Ilorin and its Environs, Kwara State, Nigeria</t>
  </si>
  <si>
    <t>Urban development induced subsidence in deltaic environments: A case study in Hanoi, Vietnam</t>
  </si>
  <si>
    <t>Ambiguities in implementing regulations for sustainable groundwater resources development in Vietnam with a case study of Tra Vinh province in Mekong Delta</t>
  </si>
  <si>
    <t>Assessing impending hazards from summit eruptions: the new probabilistic map for lava flow inundation at Mt. Etna</t>
  </si>
  <si>
    <t>Deformation characteristics and mechanism of an impoundment-induced toppling landslide in Baihetan Reservoir based on multi-source remote sensing</t>
  </si>
  <si>
    <t>Opportunity mapping for nature-based solutions: Mitigating storm surge and land erosion in the Caribbean</t>
  </si>
  <si>
    <t>Rapid increase in warm‒wet compound extreme events with high health risks in southern China: Joint influence of ENSO and the Indian Ocean</t>
  </si>
  <si>
    <t>Remote Sensing Data and Indices to Support Water Management: A Holistic Post-mining Approach for Lignite Mining in Greece; [Fernerkundungsdaten und Indikatoren zur Unterstützung der Wasserwirtschaft: Ein ganzheitlicher Nachbergbau-Ansatz für den Braunkohlebergbau in Griechenland]; [Datos e Índices de Teledetección como Apoyo a la Gestión del Agua: Un Enfoque Integral Post-minería para la Extracción de Lignito en Grecia]</t>
  </si>
  <si>
    <t>Uncertainties and discrepancies in the representation of recent storm surges in a non-tidal semi-enclosed basin: a hindcast ensemble for the Baltic Sea</t>
  </si>
  <si>
    <t>Impact of climate change factor on the resource (providing) ecosystem services of the Lower Danube wetlands</t>
  </si>
  <si>
    <t>Application of high-dimensional uniform manifold approximation and projection (UMAP) to cluster existing landfills on the basis of geographical and environmental features</t>
  </si>
  <si>
    <t>Turbulent Viscosity and Flow Resistance in Tidal Estuaries</t>
  </si>
  <si>
    <t>Evaluation of the Effectiveness of Water Ecological Restoration Based on the Relationship between the Supply and Demand of Ecological Products—A Case Study of the Yellow River Delta</t>
  </si>
  <si>
    <t>Forecast of the Dynamics of a Sandy Beach in Complexed Hydrodynamic Conditions</t>
  </si>
  <si>
    <t>Time Series Analysis of Landsat Images for Monitoring Flooded Areas in the Inner Niger Delta, Mali</t>
  </si>
  <si>
    <t>Perceptions of climate variability and change in coastal: The case of mangrove-dependent communities in the Lower Tana Delta</t>
  </si>
  <si>
    <t>Chronic flooding events due to sea-level rise in French Guiana</t>
  </si>
  <si>
    <t>Reconstructing missing time-varying land subsidence data using back propagation neural network with principal component analysis</t>
  </si>
  <si>
    <t>Evaluating the Benefits of Flood Warnings in the Management of an Urban Flood-Prone Polder Area</t>
  </si>
  <si>
    <t>Hydrogeochemical Characteristics of Subsurface and Overland Runoff Indicating Seawater Intrusion into Deep Coastal Aquifers</t>
  </si>
  <si>
    <t>Improving storm surge simulations by considering wave-steepness-dependent drag coefficient in the northern East China Sea</t>
  </si>
  <si>
    <t>Long-term vertical-land-motion investigation with space and terrestrial geodetic techniques near San Leon, Texas, USA</t>
  </si>
  <si>
    <t>Geographic scale dependency and the structure of climate adaptation policy networks in San Francisco Bay</t>
  </si>
  <si>
    <t>Characterization of a Small Abandoned Municipal Solid Waste Scattered Landfill Combining Remote Sensing and Near-Surface Geophysical Investigations</t>
  </si>
  <si>
    <t>Climate Change and Geotourism: Impacts, Challenges, and Opportunities</t>
  </si>
  <si>
    <t>Foundations of modeling resilience of tidal saline wetlands to sea-level rise along the U.S. Pacific Coast</t>
  </si>
  <si>
    <t>Present-day land subsidence over Semarang revealed by time series InSAR new small baseline subset technique</t>
  </si>
  <si>
    <t>Groundwater chemistry and entropy weighted water quality index of tsunami affected and ecologically sensitive coastal region of India</t>
  </si>
  <si>
    <t>TSUNAMI HAZARD MAPPING BASED ON COASTAL SYSTEM ANALYSIS USING HIGH-RESOLUTION UNMANNED AERIAL VEHICLE (UAV) IMAGERY (Case Study in Kukup Coastal Area, Gunungkidul Regency, Indonesia)</t>
  </si>
  <si>
    <t>A flash flood detected area using classification-based image processing for sentinel-2 satellites data: A case study of Zafaraana Road at Red Sea</t>
  </si>
  <si>
    <t>Depositional architecture and sequence stratigraphic framework of the fluvio-lacustrine Ash Shumaysi Formation, Jeddah-Makkah Region, Saudi Arabia: Implications for climatic and tectonic changes in a local-scale sub-basin</t>
  </si>
  <si>
    <t>Methodological proposal for geomorphological mapping based on digital terrain analysis: application in the state of Paraná (Brazil); [Proposta metodológica para mapeamento geomorfológico baseada na análise digital do relevo: aplicação no estado do Paraná (Brasil)]</t>
  </si>
  <si>
    <t>Remote volcano monitoring using crowd-sourced imagery and Structure-from-Motion photogrammetry: A case study of Oldoinyo Lengai's active pit crater since the 2007–08 paroxysm</t>
  </si>
  <si>
    <t>Mitigating seawater intrusion in coastal aquifers: Novel approach with treated wastewater injection and groundwater circulation</t>
  </si>
  <si>
    <t>The Miocene record of the Betic Cordillera uplift in Los Guájares valley (Granada province, S Spain); [El registro del levantamiento de la Cordillera Bética durante el Mioceno en el valle de Los Guájares (provincia de Granada, sur de España]</t>
  </si>
  <si>
    <t>Efficient Tropical Cyclone Scenario Selection Based on Cumulative Likelihood of Potential Impacts</t>
  </si>
  <si>
    <t>Introducing a new floodplain scheme in ORCHIDEE (version 7885): validation and evaluation over the Pantanal wetlands</t>
  </si>
  <si>
    <t>The utility of historical records for hazard analysis in an area of marginal cyclone influence</t>
  </si>
  <si>
    <t>An integrated framework for examining groundwater vulnerability in the Mekong River Delta region</t>
  </si>
  <si>
    <t>Tectono-geomorphic and active deformation studies in the Ujh basin of Northwestern Himalaya</t>
  </si>
  <si>
    <t>The concept of land bridge marshes in the Mississippi River Delta and implications for coastal restoration</t>
  </si>
  <si>
    <t>Reconstruction of the Late Miocene to Pliocene continental succession of Samos Island: Palaeoenvironmental implications for the Eastern Aegean domain</t>
  </si>
  <si>
    <t>Sea-level changes control coastal organic carbon burial in the southern East China Sea during the late MIS 3</t>
  </si>
  <si>
    <t>Improving the Accuracy of Urban Waterlogging Simulation: A Novel Computer Vision-Based Digital Elevation Model Refinement Approach for Roads and Densely Built-Up Areas</t>
  </si>
  <si>
    <t>Morphologic, Atmospheric, and Oceanic Drivers Cause Multi-Temporal Saltwater Intrusion on a Remote, Sand Island</t>
  </si>
  <si>
    <t>Quantifying the ecological consequences of climate change in coastal ecosystems</t>
  </si>
  <si>
    <t>Climate change perception and adaptation among farmers in coastal communities of Bayelsa State, Nigeria: a photovoice study</t>
  </si>
  <si>
    <t>On a ~210 t Caribbean coastal boulder: The huracanolito seaward of the ruins of the Bucanero resort, Juragua, Oriente, Cuba</t>
  </si>
  <si>
    <t>Groundwater Use Habits and Environmental Awareness in Ca Mau Province, Vietnam: Implications for Sustainable Water Resource Management</t>
  </si>
  <si>
    <t>Fluxes of settling sediment particles and associated mercury in a coastal environment contaminated by past mining (Gulf of Trieste, northern Adriatic Sea)</t>
  </si>
  <si>
    <t>Coastal erosion and climate change: A review on coastal-change process and modeling</t>
  </si>
  <si>
    <t>Combined volcano-tectonic processes for the drowning of the Roman western coastal settlements at Campi Flegrei (southern Italy)</t>
  </si>
  <si>
    <t>Mega-Tidal and Surface Flooding Controls on Coastal Groundwater and Saltwater Intrusion Within Agricultural Dikelands</t>
  </si>
  <si>
    <t>Glacial Lake Outburst Flood Monitoring and Modeling through Integrating Multiple Remote Sensing Methods and HEC-RAS</t>
  </si>
  <si>
    <t>Water Quality Status of Mangrove Ecosystem in Bedono, Sayung, Demak, Central Java</t>
  </si>
  <si>
    <t>Monitoring temporal changes in coastal mangroves to understand the impacts of climate change: Red Sea, Egypt</t>
  </si>
  <si>
    <t>Large-Scale Surface Deformation Monitoring Using SBAS-InSAR and Intelligent Prediction in Typical Cities of Yangtze River Delta</t>
  </si>
  <si>
    <t>Characterization of salt wedge intrusion process in a geographically complex microtidal deltaic estuarine system</t>
  </si>
  <si>
    <t>Rapid tropicalization evidence of subtidal seaweed assemblages along a coastal transitional zone</t>
  </si>
  <si>
    <t>Normal and reverse storm surges along the coast of Florida during the September 2022 Hurricane Ian: Observations, analysis, and modelling</t>
  </si>
  <si>
    <t>Households' readiness and community-based organisations' role in flood management: The case of Freetown City's coastal area</t>
  </si>
  <si>
    <t>Soil microbial communities regulate the threshold effect of salinity stress on SOM decomposition in coastal salt marshes</t>
  </si>
  <si>
    <t>Flood risk from geophysical and hydroclimatic hazards: an essential integration for disaster risk management and climate change adaptation in the coastal zone</t>
  </si>
  <si>
    <t>Terrain analysis and hydrogeomorphic investigation of the Sita-Swarna river basin, Udupi, SW India: Insights from remote sensing methods</t>
  </si>
  <si>
    <t>Pesticides and pharmaceuticals data collected during two consecutive years in a Mediterranean micro-estuary</t>
  </si>
  <si>
    <t>Impact of floods and river-bank erosion on the riverine people in Manikchak Block of Malda District, West Bengal</t>
  </si>
  <si>
    <t>Impact of Hurricane Ida on Covid-19 surge and its relationship with vaccination status in the Unites States</t>
  </si>
  <si>
    <t>2-Dimensional joint inversion modelling of the Niger – Delta basement using potential field data</t>
  </si>
  <si>
    <t>The exposure of vulnerable coastal populations to flood-induced Natech events in Hampton Roads, Virginia</t>
  </si>
  <si>
    <t>Application of Analytical Hierarchy Process and Frequency Ratio Model for Predictive Flood Susceptibility Mapping Using GIS for the Khazir River Basin, Northern Iraq</t>
  </si>
  <si>
    <t>Responses of soil organic and inorganic carbon to organic and phosphorus fertilization in a saline − alkaline paddy field</t>
  </si>
  <si>
    <t>Climate change and coastal population dynamics in Togo (West Africa)</t>
  </si>
  <si>
    <t>Socio-spatial factors influence climate change adaptation decisions of rural coastal landowners</t>
  </si>
  <si>
    <t>Study on instability mechanism of tunnel face in clay-gravel strata under confined water conditions based on DEM-CFD coupling method</t>
  </si>
  <si>
    <t>Growth faults and avalanches: Reconstructing Paleoarchean basins in the Pilbara and Kaapvaal cratons</t>
  </si>
  <si>
    <t>Assessing Spectral Band, Elevation, and Collection Date Combinations for Classifying Salt Marsh Vegetation with Unoccupied Aerial Vehicle (UAV)-Acquired Imagery</t>
  </si>
  <si>
    <t>Are Near-Coastal Sea Levels Accelerating Faster Than Global during the Satellite Altimetry Era?</t>
  </si>
  <si>
    <t>Terrain-derived measures for basin conservation and restoration planning</t>
  </si>
  <si>
    <t>How does buoyancy behavior impact microplastic transport in an estuarine environment?</t>
  </si>
  <si>
    <t>A scoping review of coastal vulnerability, subsidence and sea level rise in Ghana: Assessments, knowledge gaps and management implications</t>
  </si>
  <si>
    <t>Marsh migration and beyond: A scalable framework to assess tidal wetland resilience and support strategic management</t>
  </si>
  <si>
    <t>The impact of short-duration precipitation events over the historic Cauvery basin: a study on altered water resource patterns and associated threats</t>
  </si>
  <si>
    <t>Assessing the destructiveness of tropical cyclones induced by anthropogenic aerosols in an atmosphere-ocean coupled framework</t>
  </si>
  <si>
    <t>Tide-modulated river discharge division in the Ganges-Brahmaputra-Meghna delta channel network, Bangladesh</t>
  </si>
  <si>
    <t>Mental health and socio-psychological manifestations of cyclone-induced water insecurity in the Indian Sundarban delta</t>
  </si>
  <si>
    <t>Risk assessment of coastal erosion for Odisha coast along Bay of Bengal, India using coastal hazard wheel model</t>
  </si>
  <si>
    <t>Rainfall extremes under future climate change with implications for urban flood risk in Kathmandu, Nepal</t>
  </si>
  <si>
    <t>A Tampa Bay coastal ocean model (TBCOM) nowcast/forecast system</t>
  </si>
  <si>
    <t>MatFlood: An efficient algorithm for mapping flood extent and depth</t>
  </si>
  <si>
    <t>Increasing impacts of summer extreme precipitation and heatwaves in eastern China</t>
  </si>
  <si>
    <t>Risks to Coastal Critical Infrastructure from Climate Change</t>
  </si>
  <si>
    <t>Anthropogenic interventions on land neutrality in a critically vulnerable estuarine island ecosystem: a case of Munro Island (India)</t>
  </si>
  <si>
    <t>Locating flood susceptible areas in Sabah Al-Ahmed city, Kuwait</t>
  </si>
  <si>
    <t>High-Resolution Real-Time Coastline Detection Using GNSS RTK, Optical, and Thermal SfM Photogrammetric Data in the Po River Delta, Italy</t>
  </si>
  <si>
    <t>Global survey shows planners use widely varying sea-level rise projections for coastal adaptation</t>
  </si>
  <si>
    <t>Three decades of coastal subsidence in the slow-moving Nice Côte d'Azur Airport area (France) revealed by InSAR (interferometric synthetic-aperture radar): insights into the deformation mechanism</t>
  </si>
  <si>
    <t>The contribution of typhoon local and remote forcings to storm surge along the Makou-Dahengqin tidal reach of Pearl River Estuary</t>
  </si>
  <si>
    <t>Locating real-time water level sensors in coastal communities to assess flood risk by optimizing across multiple objectives</t>
  </si>
  <si>
    <t>Paleoenvironmental changes in the coastal zone of the northwest South China Sea during the last 13 kyr</t>
  </si>
  <si>
    <t>Disaggregation of the Copernicus Land Use/Land Cover (LULC) and Population Density Data to Fit Mesoscale Flood Risk Assessment Requirements in Partially Urbanized Catchments in Croatia</t>
  </si>
  <si>
    <t>Impervious Land Expansion as a Control Parameter for Climate-Resilient Planning on the Mediterranean Coast: Evidence from Greece</t>
  </si>
  <si>
    <t>Sea-Level Rise in Pakistan: Recommendations for Strengthening Evidence-Based Coastal Decision-Making</t>
  </si>
  <si>
    <t>Setback zones can effectively reduce exposure to sea-level rise in Europe</t>
  </si>
  <si>
    <t>Mine Subsidence Monitoring Integrating DS-InSAR with UAV Photogrammetry Products: Case Studies on Hebei and Inner Mongolia</t>
  </si>
  <si>
    <t>Assessing Walkability to Mitigate Climate Change and Empower Women in a Vulnerable Coastal Settlement</t>
  </si>
  <si>
    <t>Multi-regional observations and validation of the M3 ocean tide</t>
  </si>
  <si>
    <t>Comparative Analysis of BALSSA and Conventional NWP Methods: A Case Study in Extreme Storm Surge Prediction in Macao</t>
  </si>
  <si>
    <t>GIS-based hydrodynamic modeling for urban flood mitigation in fast-growing regions: a case study of Erbil, Kurdistan Region of Iraq</t>
  </si>
  <si>
    <t>Mechanisms of water-rock interaction and implications for remediating flooded mine workings elucidated from environmental tracers, stable isotopes, and rare earth elements</t>
  </si>
  <si>
    <t>Mangrove ecosystem properties regulate high water levels in a river delta</t>
  </si>
  <si>
    <t>Projection of Sea Level Change in the South China Sea Based on Dynamical Downscaling</t>
  </si>
  <si>
    <t>Evaluating the Effectiveness of Land-Use Policies in Preventing the Risk of Coastal Flooding: Coastal Regions of Helsinki and Espoo</t>
  </si>
  <si>
    <t>Image-based machine learning for monitoring the dynamics of deltaic islands in the Atchafalaya River Delta Complex between 1991 and 2019</t>
  </si>
  <si>
    <t>Model based estimation of climate change impacts on the drainage demand of low lying coastal areas in Northwest Germany along the North Sea</t>
  </si>
  <si>
    <t>Bayesian hierarchical modelling of sea-level extremes in the Finnish coastal region</t>
  </si>
  <si>
    <t>MODEL OF TRANSMISSION COVID-19 USING SIQRD MODEL WITH THE EFFECT OF VACCINATION IN MATARAM</t>
  </si>
  <si>
    <t>The acceleration of sea-level rise along the coast of the Netherlands started in the 1960s</t>
  </si>
  <si>
    <t>How do spatial factors of green spaces contribute to flood regulation in urban areas? A systematic mapping approach</t>
  </si>
  <si>
    <t>Nouméa: A new multi-mission calibration and validation site for past and future altimetry missions?</t>
  </si>
  <si>
    <t>DEMOGRAPHY OF Mora paraensis (DUCKE) DUCKE IN THE ESTUARINE FLOODPLAIN FORESTS OF THE AMAZON RIVER</t>
  </si>
  <si>
    <t>Investigating extreme sea level components and their interactions in the Adriatic and Tyrrhenian Seas</t>
  </si>
  <si>
    <t>Dimension of community capability and its effect on the social vulnerability at Semarang coastal area</t>
  </si>
  <si>
    <t>Curvature properties of 3- (α, δ) -Sasaki manifolds</t>
  </si>
  <si>
    <t>Economic Exclusion and Forgotten Floodplains on Karst Terrain</t>
  </si>
  <si>
    <t>How does high resolution topography affect flood simulation at watershed scale: A case study in a small watershed based on tilt photography</t>
  </si>
  <si>
    <t>Managing coastal aquifer salinity under sea level rise using rice cultivation recharge for sustainable land cover</t>
  </si>
  <si>
    <t>Filling data gaps using citizen science for flood modeling in urbanized catchment of Akaki</t>
  </si>
  <si>
    <t>Determining Undersampled Coastal Tidal Harmonics Using Regularized Least Squares</t>
  </si>
  <si>
    <t>Impacts of a Cascadia Subduction Zone Earthquake on Water Levels and Wetlands of the Lower Columbia River and Estuary</t>
  </si>
  <si>
    <t>Global Projections of Storm Surges Using High-Resolution CMIP6 Climate Models</t>
  </si>
  <si>
    <t>Integration of physically-based numerical tools and socio-hydrological variables in urban flood modeling</t>
  </si>
  <si>
    <t>Co-creating a coastal climate service to prioritise investments in erosion prevention and sea-level rise adaptation in the Maldives</t>
  </si>
  <si>
    <t>Change of stream network connectivity under polder-type flood control measure</t>
  </si>
  <si>
    <t>How could students be safe during flood and tsunami events?</t>
  </si>
  <si>
    <t>Under the Surface: Climatic and Societal Challenges in Marine Spatial Planning in the Westfjords of Iceland</t>
  </si>
  <si>
    <t>UAV-Based Quantification of Dynamic Lahar Channel Morphology at Volcán de Fuego, Guatemala</t>
  </si>
  <si>
    <t>Improved Prediction of Local Significant Wave Height by Considering the Memory of Past Winds</t>
  </si>
  <si>
    <t>Application of nonstationary extreme value analysis in the coastal environment – A systematic literature review</t>
  </si>
  <si>
    <t>Legal Protection of Internally Displaced Persons due to Climate Change Disaster in Indonesia</t>
  </si>
  <si>
    <t>Future Marsh Evolution Due To Tidal Changes Induced by Human Adaptation to Sea Level Rise</t>
  </si>
  <si>
    <t>Hydrozoans (Cnidaria) from the estuarine zone of the International Minho River, NW Iberian Peninsula, Atlantic Europe</t>
  </si>
  <si>
    <t>Soil Transformation along the Coast of Baikal Due to Lake Level Fluctuations (Irkutsk Oblast)</t>
  </si>
  <si>
    <t>Geospatial Tool-Based Geomorphological Mapping of The Lower Kulsi Basin, India</t>
  </si>
  <si>
    <t>Contribution of mangroves ecosystems to coastal communities' resilience towards climate change: a case study in southern Cote d'Ivoire</t>
  </si>
  <si>
    <t>Geometric Analysis of the Suggested Derlock Dam, DuhokReservoir using a Digital Elevation Model</t>
  </si>
  <si>
    <t>Microbially mediated climate feedbacks from wetland ecosystems</t>
  </si>
  <si>
    <t>Characterizing the surge behaviour and associated ice-dammed lake evolution of the Kyagar Glacier in the Karakoram</t>
  </si>
  <si>
    <t>Forecasting of absolute dynamic topography using deep learning algorithm with application to the Baltic Sea</t>
  </si>
  <si>
    <t>Urban flood susceptibility analysis of Saroor Nagar Watershed of India using Geomatics-based multi-criteria analysis framework</t>
  </si>
  <si>
    <t>A Numerical Modeling Approach for Better Differentiation of Boulders Transported by a Tsunami, Storm, and Storm-Induced Energetic Infragravity Waves</t>
  </si>
  <si>
    <t>Modelling extreme water levels using intertidal topography and bathymetry derived from multispectral satellite images</t>
  </si>
  <si>
    <t>Impact of sea level changes on future wave conditions along the coasts of western Europe</t>
  </si>
  <si>
    <t>Projections of Changes in Atmospheric Conditions Leading to Storm Surges along the Coast of Santos, Brazil</t>
  </si>
  <si>
    <t>Towards affordable 3D physics-based river flow rating: application over the Luangwa River basin</t>
  </si>
  <si>
    <t>Flood Extent and Volume Estimation Using Remote Sensing Data</t>
  </si>
  <si>
    <t>Extreme events and impacts on organic carbon cycles from ocean color remote sensing: Review with case study, challenges, and future directions</t>
  </si>
  <si>
    <t>A small extent of seawater intrusion significantly enhanced Cd uptake by rice in coastal paddy fields</t>
  </si>
  <si>
    <t>Enhanced wave overtopping simulation at vertical breakwaters using machine learning algorithms</t>
  </si>
  <si>
    <t>Surface Water-Groundwater Connections as Pathways for Inland Salinization of Coastal Aquifers</t>
  </si>
  <si>
    <t>The coming perfect storm: Diminishing sustainability of coastal human-natural systems in the Anthropocene</t>
  </si>
  <si>
    <t>Groundwater salinization in northwestern Germany: A case of anticipatory governance in the field of climate adaptation?</t>
  </si>
  <si>
    <t>Permafrost degradation in the ice-wedge tundra terrace of Paulatuk Peninsula (Darnley Bay, Canada)</t>
  </si>
  <si>
    <t>Urban Flood Modelling under Extreme Rainfall Conditions for Building-Level Flood Exposure Analysis</t>
  </si>
  <si>
    <t>Beach erosion aggravates the drastic decline in marine turtle populations in French Guiana</t>
  </si>
  <si>
    <t>Resolution effects on ox-bow lake mapping and inundation consistency analysis in moribund deltaic flood plain of India</t>
  </si>
  <si>
    <t>Partial climatic risk screening, adaptation and livelihoods in a coastal urban area in Ghana</t>
  </si>
  <si>
    <t>The influence of extreme water levels on coastal wetland extent across the Laurentian Great Lakes</t>
  </si>
  <si>
    <t>Application of Hydro-Based Morphological Models for Environmental Assessment of Watersheds</t>
  </si>
  <si>
    <t>The changing demography of hurricane at-risk areas in the United States (1970–2018)</t>
  </si>
  <si>
    <t>Satellite Remote Sensing of Surface Winds, Waves, and Currents: Where are we Now?</t>
  </si>
  <si>
    <t>Joint probability analysis of storm surges and waves caused by tropical cyclones for the estimation of protection standard: a case study on the eastern coast of the Leizhou Peninsula and the island of Hainan in China</t>
  </si>
  <si>
    <t>Refined Three-Dimensional River Channel Reconstruction Method Based on Coarse DEMs for Flood Simulation</t>
  </si>
  <si>
    <t>Monitoring and Comparative Analysis of Hohhot Subway Subsidence Using StaMPS-PS Based on Two DEMS</t>
  </si>
  <si>
    <t>Soil resistivity measurements to evaluate subsoil salinity in rice production systems in the Vietnam Mekong Delta</t>
  </si>
  <si>
    <t>Assessment of the 1693 tsunami wave generation and propagation simulation based on multiple focal mechanism scenarios for recent disaster mitigation in eastern sicily, Italy</t>
  </si>
  <si>
    <t>The Paleo-Lupar: Bathymetric and seismic evidence for a submerged Late Pleistocene river valley on the Sunda Shelf, off Sarawak</t>
  </si>
  <si>
    <t>A parallel Python-based tool for meshing watershed rivers at continental scale</t>
  </si>
  <si>
    <t>Modeling the Spatial Distribution of Soil Organic Carbon and Carbon Stocks in the Casanare Flooded Savannas of the Colombian Llanos</t>
  </si>
  <si>
    <t>A Case Study on GIS Based Method to Develop Geographically Distributed Synthetic Unit Hydrograph using Geo-Spatial Tools in Ungauged Sub-watershed of Ambika River Basin, Gujarat</t>
  </si>
  <si>
    <t>Neural networks for fast fluvial flood predictions: Too good to be true?</t>
  </si>
  <si>
    <t>A comprehensive review on sustainable coastal zone management in Bangladesh: Present status and the way forward</t>
  </si>
  <si>
    <t>The late Pleistocene-Holocene sedimentary evolution in the Ba Lat River mouth area of the Red River Delta</t>
  </si>
  <si>
    <t>New Perspectives on the Quaternary Paleogeography of Coastal Ecuador and Its Relationships with Climate Change</t>
  </si>
  <si>
    <t>Multi-Scale Drivers of Land-Use Changes at Farm Level II: Application of Conceptual Framework in the Salinity Intrusion Zone of the Vietnamese Mekong Delta and Cross-Case Comparison with the Highly Flooded Zone</t>
  </si>
  <si>
    <t>A long-Term monthly surface water storage dataset for the Congo basin from 1992 to 2015</t>
  </si>
  <si>
    <t>Analysis of Sea Level Changes in Eastern Taiwan Coast-Case of Yilan Area</t>
  </si>
  <si>
    <t>Scenario-based performance assessment of green-grey-blue infrastructure for flood-resilient spatial solution: A case study of Pazhou, Guangzhou, greater Bay area</t>
  </si>
  <si>
    <t>Topographies of Resistance, Resilience, Bathymetrical Realities, and Dynamics of the Mekong and Sài Gòn-Đồng Nai Deltas; [湄公河和西贡内河三角洲的抵抗力、韧性、水文环境及动态变化的地形学研究]</t>
  </si>
  <si>
    <t>Integrating a choice experiment into an agent-based model to simulate climate-change induced migration: The case of the Mekong River Delta, Vietnam</t>
  </si>
  <si>
    <t>The Lambousa (Cyprus) Fishtank in a Quasi-Stable Coastal Area of the Eastern Mediterranean, a Notable Marker for Testing GIA Models</t>
  </si>
  <si>
    <t>Hydrogeologic controls on barrier island geomorphology: Insights from electromagnetic surveys</t>
  </si>
  <si>
    <t>Numerical modeling of wave attenuation: implications of representing vegetation found in coastal saltmarshes in the Chesapeake Bay</t>
  </si>
  <si>
    <t>Crowdsourcing data interpretation for the response to the first public tsunami alert in the Mediterranean sea, after the October 30th, 2020 earthquake (Mw7.0), Samos, Greece</t>
  </si>
  <si>
    <t>Waterways transformation in the vulnerable port city of Alexandria</t>
  </si>
  <si>
    <t>An improved azimuth-dependent Holland model for typhoons along the Zhejiang coast prior to landfall based on WRF–ARW simulations</t>
  </si>
  <si>
    <t>Sources of Drag in Estuarine Meanders: Momentum Redistribution, Bottom Stress Enhancement, and Bend-Scale Form Drag</t>
  </si>
  <si>
    <t>Novel Landslide Susceptibility Mapping Based on Multi-criteria Decision-Making in Ouro Preto, Brazil</t>
  </si>
  <si>
    <t>Evaluating Urban Flood Resilience within the Social-Economic-Natural Complex Ecosystem: A Case Study of Cities in the Yangtze River Delta</t>
  </si>
  <si>
    <t>Global seamless tidal simulation using a 3D unstructured-grid model (SCHISM v5.10.0)</t>
  </si>
  <si>
    <t>Coastline and shoreline change assessment in sandy coasts based on machine learning models and high-resolution satellite images</t>
  </si>
  <si>
    <t>Adapting to Changing Climate: Understanding Coastal Rural Residents’ Relocation Intention in Response to Sea Level Rise</t>
  </si>
  <si>
    <t>Evaluating topography-based approaches for fast floodplain mapping in data-scarce complex-terrain regions: Findings from a Himalayan basin</t>
  </si>
  <si>
    <t>Monitoring the storage volume of impounding reservoirs in inaccessible regions using multi-sensor satellite data: the case study of Tuyen Quang Reservoir (Vietnam)</t>
  </si>
  <si>
    <t>Multi-Source SAR-Based Surface Deformation Monitoring and Groundwater Relationship Analysis in the Yellow River Delta, China</t>
  </si>
  <si>
    <t>Evaluating geo-hydrological environs through morphometric aspects using geospatial techniques: A case study of Kashang Khad watershed in the Middle Himalayas, India</t>
  </si>
  <si>
    <t>Porosity and permeability estimation using seismic wave velocity along Yangtze River embankment</t>
  </si>
  <si>
    <t>Geospatial Modeling Based-Multi-Criteria Decision-Making for Flash Flood Susceptibility Zonation in an Arid Area</t>
  </si>
  <si>
    <t>The present, past and future of blue carbon</t>
  </si>
  <si>
    <t>Sedimentary record of a late Holocene storm event in Laizhou Bay, Bohai Sea, China</t>
  </si>
  <si>
    <t>Invasion patterns of Spartina alterniflora: Response of clones and seedlings to flooding and salinity—A case study in the Yellow River Delta, China</t>
  </si>
  <si>
    <t>Features of Formation of the Lena Polynya on the Estuarine Nearshore of the Bykovsky Arm in Summer</t>
  </si>
  <si>
    <t>Spatiotemporal estimation of fresh submarine groundwater discharge across the coastal shorelines of Oahu Island, Hawaii</t>
  </si>
  <si>
    <t>Trapdoor Fault Activation: A Step Toward Caldera Collapse at Sierra Negra, Galápagos, Ecuador</t>
  </si>
  <si>
    <t>Using EEMD mode decomposition in combination with machine learning models to improve the accuracy of monthly sea level predictions in the coastal area of China</t>
  </si>
  <si>
    <t>Welfare Effects and the Immaterial Costs of Coastal Flooding</t>
  </si>
  <si>
    <t>Distribution and morphometry of pingos, western Canadian Arctic, Northwest Territories, Canada</t>
  </si>
  <si>
    <t>Socially-driven risk in a town of the Amazon coastal zone: the case of Vigia de Nazaré, in Pará state, Brazil; [O risco socialmente construído em uma cidade da zona costeira amazônica, dinâmica ambiental e ocupação do solo em Vigia de Nazaré/PA, Brasil]</t>
  </si>
  <si>
    <t>The Issue of Land Subsidence in Coastal and Alluvial Plains: A Bibliometric Review</t>
  </si>
  <si>
    <t>Geospatial Assessment of Long-Term Changes (1937–2019) in Mangrove Vegetation and Shoreline Dynamics of Godavari Estuary, East Coast of India</t>
  </si>
  <si>
    <t>Crater morphology, nested ring structures, and temperature anomalies studied by unoccupied aircraft system data at Lascar volcano, northern Chile</t>
  </si>
  <si>
    <t>Inferring the influence of urban vegetation on urban water storage capacity from evapotranspiration recession</t>
  </si>
  <si>
    <t>The effect of DEM resolution on topographic wetness index calculation and visualization: An insight to the hidden danger unraveled in Bozkurt in August, 2021</t>
  </si>
  <si>
    <t>Land Tenure, Ownership and Use as Barriers to Coastal Wetland Restoration Projects in Australia: Recommendations and Solutions</t>
  </si>
  <si>
    <t>Reproducible construction of a high-resolution national variable-density groundwater salinity model for the Netherlands</t>
  </si>
  <si>
    <t>Mining and analysis of public sentiment during disaster events: The extreme rainstorm disaster in megacities of China in 2021</t>
  </si>
  <si>
    <t>Waterline digital elevation model development to quantify inundation duration and coastal protection of tidal wetlands</t>
  </si>
  <si>
    <t>The impact of future hydrology stresses and climate change on submarine groundwater discharge in arid regions: A case study of the Nile Delta aquifer, Egypt</t>
  </si>
  <si>
    <t>Flood Risk Analysis in Potential Points, Zerin City in Erbil as a Case Study</t>
  </si>
  <si>
    <t>An Integrated Approach for Analyzing the Morphological Evolution of the Lower Reaches of the Minjiang River Based on Long-Term Remote Sensing Data</t>
  </si>
  <si>
    <t>Invasive plant indirectly affects its self-expansion and native species via bio-geomorphic feedbacks: Implications for salt marsh restoration</t>
  </si>
  <si>
    <t>Storm surge predictions from ocean to subgrid scales</t>
  </si>
  <si>
    <t>Hydro-Morphometric Characters of Watershed Heshkaro River in Duhok City, Kurdistan Region, Northern Iraq Using Geospatial Techniques</t>
  </si>
  <si>
    <t>Spatio-temporal distribution, composition and influencing factors of economic losses from storm surge disasters: An empirical study from China (2007–2016)</t>
  </si>
  <si>
    <t>Unruly waters: exploring the embodied dimension of an urban flood in Bangkok through materiality, affect and emotions</t>
  </si>
  <si>
    <t>Detecting human interventions by spatial dependence of extreme water levels using a high dimensional conditional probability approach over the Pearl River Delta</t>
  </si>
  <si>
    <t>Local’s perception and coping strategies to flood risks in the coastal zone of the Accra Metropolitan Area, Ghana</t>
  </si>
  <si>
    <t>Understanding Drivers of Salinity and Temperature Dynamics in Barataria Estuary, Louisiana</t>
  </si>
  <si>
    <t>Coastal morphodynamic emulator for early warning short-term forecasts</t>
  </si>
  <si>
    <t>COMPARISON OF FLOOD HYDROGRAPH PREDICTION BETWEEN SYNTHETIC UNIT HYDROGRAPH METHODS AND RAIN-ON-GRID MODEL FOR KATULAMPA WATERSHED, INDONESIA; [PRIMERJAVA NAPOVEDI POPLAVNEGA HIDROGRAMA MED METODAMI SINTETIČNEGA HIDROGRAMA ENOTE IN MODELOM MREŽNIH PADAVIN ZA POVODJE KATULAMPA, INDONEZIJA]</t>
  </si>
  <si>
    <t>Territorial inertia versus adaptation to climate change. When local authorities discuss coastal management in a French Mediterranean region</t>
  </si>
  <si>
    <t>In-situ observation of seabed vertical deformation in Yellow River Delta under storm surges</t>
  </si>
  <si>
    <t>Comparison of Meteorological Drivers of Two Large Coastal Slope-Land Wildfire Events in Croatia and South-East Australia</t>
  </si>
  <si>
    <t>Land Subsidence in the Singapore Coastal Area with Long Time Series of TerraSAR-X SAR Data</t>
  </si>
  <si>
    <t>Time distribution pattern and spatial heterogeneity of hourly scale event-based extreme precipitation in China</t>
  </si>
  <si>
    <t>Hydrological Object-Based Flow Direction Model for Constructing a Lake-Stream Topological System</t>
  </si>
  <si>
    <t>Urban Flood Risk Assessment through the Integration of Natural and Human Resilience Based on Machine Learning Models</t>
  </si>
  <si>
    <t>Spatio-temporal snow cover change in the early twenty-first century using improved MODIS dataset: a case study of District Hunza, Pakistan</t>
  </si>
  <si>
    <t>A sixfold urban design framework to assess climate resilience: Generative transformation in Negril, Jamaica</t>
  </si>
  <si>
    <t>Morphology and land use change analysis of lower Padma River floodplain of Bangladesh</t>
  </si>
  <si>
    <t>Climate change mitigation potential of Louisiana's coastal area: Current estimates and future projections</t>
  </si>
  <si>
    <t>Geomorphic and ecological constraints on the coastal carbon sink</t>
  </si>
  <si>
    <t>Integrating numerical modelling and scenario-based sensitivity analysis for saltwater intrusion management: case study of a complex heterogeneous island aquifer system</t>
  </si>
  <si>
    <t>Missing in action: Reference sites</t>
  </si>
  <si>
    <t>Evaluating the Efficacy of Different DEMs for Application in Flood Frequency and Risk Mapping of the Indian Coastal River Basin</t>
  </si>
  <si>
    <t>Satellite-Based Mapping of Gold-Mining-Related Land-Cover Changes in the Magadan Region, Northeast Russia</t>
  </si>
  <si>
    <t>Low-regret climate change adaptation in coastal megacities - evaluating large-scale flood protection and small-scale rainwater detention measures for Ho Chi Minh City, Vietnam</t>
  </si>
  <si>
    <t>Groundwater flooding hazard assessment in a semi-urban aquifer through probability modelling of surrogate data</t>
  </si>
  <si>
    <t>Inventory of River Basin Flood Events for Drainage System Examination Using Multi-Temporal Composite Remote Sensing Data</t>
  </si>
  <si>
    <t>The sea level simulator v1.0: A model for integration of mean sea level change and sea level extremes into a joint probabilistic framework</t>
  </si>
  <si>
    <t>The Response of Anomalous Vertically Integrated Moisture Flux Patterns Related to Drought and Flood in Southern China to Sea Surface Temperature Anomaly</t>
  </si>
  <si>
    <t>Are Floods Becoming a More Expensive Hazard? A Damages Review of the Southeastern Spanish Coast (1996–2016)</t>
  </si>
  <si>
    <t>Enabling dynamic modelling of coastal flooding by defining storm tide hydrographs</t>
  </si>
  <si>
    <t>Key Waterways in the Halifax River Basin</t>
  </si>
  <si>
    <t>Mechanism of mining-induced landslides in the karst mountains of Southwestern China: a case study of the Baiyan landslide in Guizhou</t>
  </si>
  <si>
    <t>Impacts of human modifications on material transport in deltas</t>
  </si>
  <si>
    <t>Optimizing Simultaneous Water Level and Wave Measurements From Multi-GNSS Interferometric Reflectometry Over 1 Year at an Exposed Coastal Site</t>
  </si>
  <si>
    <t>Digital elevation model for flood hazards analysis in complex terrain: Case study from Jeddah, Saudi Arabia</t>
  </si>
  <si>
    <t>The variable nature of the coastal 14C marine reservoir effect: A temporal perspective for Rio de Janeiro</t>
  </si>
  <si>
    <t>Changes over flood season in turbidity maximum zone in a mountainous macrotidal estuary from 1986 to 2020</t>
  </si>
  <si>
    <t>Identification of Ground Deformation Patterns in Coal Mining Areas via Rapid Topographical Analysis</t>
  </si>
  <si>
    <t>Communicating future sea-level rise uncertainty and ambiguity to assessment users</t>
  </si>
  <si>
    <t>Vulnerability of Coastal Infrastructure and Communities to Extreme Storms and Rising Sea Levels: An Improved Model for Grenada and Its Dependencies</t>
  </si>
  <si>
    <t>Evaluation of Spatio-Temporal Dynamics of Guyana’s Mangroves Using SAR and GEE</t>
  </si>
  <si>
    <t>Modeling Stakeholders’ Perceptions in Participatory Multi-risk Assessment on a Deltaic Environment Under Climate Change Conditions</t>
  </si>
  <si>
    <t>Regional Climate Change Adaptation Based on the PSR Model—Multi-Case Comparative Analysis on a Global Scale</t>
  </si>
  <si>
    <t>Sea-level projections using a NARX-NN model of tide gauge data for the coastal city of Kuala Terengganu in Malaysia</t>
  </si>
  <si>
    <t>River delta eco-morphodynamics under changing scenarios: The case of Lake Turkana, Kenya</t>
  </si>
  <si>
    <t>Quantitative Assessment of Sea Surface Salinity Estimates Using a High-Frequency Radar in Ise Bay, Japan</t>
  </si>
  <si>
    <t>Extension of the general unit hydrograph theory for the spread of salinity in estuaries</t>
  </si>
  <si>
    <t>An index-based approach to assess the vulnerability of socio-ecological systems to aridity and drought in the Danube Delta, Romania</t>
  </si>
  <si>
    <t>Climate-Adaptive Potential Crops Selection in Vulnerable Agricultural Lands Adjacent to the Jamuna River Basin of Bangladesh Using Remote Sensing and a Fuzzy Expert System</t>
  </si>
  <si>
    <t>Rapid and large changes in coastal wetland structure in China's four major river deltas</t>
  </si>
  <si>
    <t>Isotopic compositions (δD, δ18O) and end-member mixing for the control interface in a complex tidal region</t>
  </si>
  <si>
    <t>Evaluation of Various Resolution DEMs in Flood Risk Assessment and Practical Rules for Flood Mapping in Data-Scarce Geospatial Areas: A Case Study in Thessaly, Greece</t>
  </si>
  <si>
    <t>Wave Climate Variability and Trends in Tuvalu Based on a 44-Year High-Resolution Wave Hindcast</t>
  </si>
  <si>
    <t>Flexibility for intergenerational justice in climate resilience decision-making: an application on sea-level rise in the Netherlands</t>
  </si>
  <si>
    <t>Spatio-temporal variability in geometry and geodetic mass balance of Jostedalsbreen ice cap, Norway</t>
  </si>
  <si>
    <t>Recent changes in drainage route and outburst magnitude of the Russell Glacier ice-dammed lake, West Greenland</t>
  </si>
  <si>
    <t>Assessing the impacts of climate change on flooding under Coupled Model Intercomparison Project Phase 6 scenarios in the river Chenab, Pakistan</t>
  </si>
  <si>
    <t>Contribution of high-frequency (T &lt; 2 h) sea level oscillations to the Adriatic sea level maxima</t>
  </si>
  <si>
    <t>MICROZONATION FOR EARTHQUAKE HAZARDS WITH HVSR MICROTREMOR METHOD IN THE COASTAL AREAS OF SEMARANG, INDONESIA</t>
  </si>
  <si>
    <t>Sustainability assessment of Indian Sundarban delta islands using DPSIR framework in the context of natural hazards</t>
  </si>
  <si>
    <t>Probable maximum tropical cyclone parameters for east and west coast of India</t>
  </si>
  <si>
    <t>Microplastics in the Ganga-Brahmaputra delta: Sources and Pathways to the Sundarbans Biosphere Reserve - an UNESCO World Heritage Centre</t>
  </si>
  <si>
    <t>Changes in Nutrient Concentration Resulting From Floods and Their Impact on the Estuary–Sea Continuum</t>
  </si>
  <si>
    <t>A modeling application of integrated nature based solutions (NBS) for coastal erosion and flooding mitigation in the Emilia-Romagna coastline (Northeast Italy)</t>
  </si>
  <si>
    <t>Strong Ocean Melting Feedback During the Recent Retreat of Thwaites Glacier</t>
  </si>
  <si>
    <t>Modeling present and future ecosystem services and environmental justice within an urban-coastal watershed</t>
  </si>
  <si>
    <t>Growing impacts of low-flow events on vegetation dynamics in hydrologically connected wetlands downstream Yangtze River Basin after the operation of the Three Gorges Dam</t>
  </si>
  <si>
    <t>HEC-RAS 2D modeling for flood inundation mapping: a case study of the Krishna River Basin</t>
  </si>
  <si>
    <t>Flood Vulnerability-Rural Poverty Nexus: Implications for Disaster Risk Reduction and Sustainable Rural Development in Vietnam</t>
  </si>
  <si>
    <t>Historical Trend Analysis and Forecasting of Shoreline Change at the Nile Delta Using RS Data and GIS with the DSAS Tool</t>
  </si>
  <si>
    <t>Controls on sulfide accumulation in coastal soils during simulated sea level rise</t>
  </si>
  <si>
    <t>Land subsidence modeling and assessment in the West Pearl River Delta from combined InSAR time series, land use and geological data</t>
  </si>
  <si>
    <t>Coping with and adapting to climate and non-climate stressors within the small-scale farming, fishing and seaweed growing sectors, Zanzibar</t>
  </si>
  <si>
    <t>Reconstruction of Recharge and Discharge Pattern in the Polder Drainage Canal Network</t>
  </si>
  <si>
    <t>Shoreline change rate estimation: Impact on salt production in Kutubdia Island using multi-temporal satellite data and geo-statistics</t>
  </si>
  <si>
    <t>Integrating habitat models for threatened species with landownership information to inform coastal resiliency and conservation planning</t>
  </si>
  <si>
    <t>Hydraulic analysis of flash flood events using UAV based topographic data and citizen science in Enkare Narok river basin</t>
  </si>
  <si>
    <t>The (dis)engagement of mangrove forests and mangrove rice in academic and non-academic literature on Guinea-Bissau-a systematic review protocol</t>
  </si>
  <si>
    <t>Observed and modelled tidal bar sedimentology reveals preservation bias against mud in estuarine stratigraphy</t>
  </si>
  <si>
    <t>Measuring glacier mass changes from space—a review</t>
  </si>
  <si>
    <t>Managing dyke retreat: Importance of century-scale channel network evolution on storm surge modification over salt marshes under rising sea levels</t>
  </si>
  <si>
    <t>Foredune defending role: Vulnerability and potential risk through combined satellite and hydrodynamics approach</t>
  </si>
  <si>
    <t>Shoreline change on a tropical island beach, Seven Mile Beach, Grand Cayman: The influence of beachrock and shore protection structures</t>
  </si>
  <si>
    <t>The study of morphological characteristics for best management practices over the Halayapura micro-watershed of Karnataka, India, using remote sensing and geospatial techniques</t>
  </si>
  <si>
    <t>Appraisal of Ancient Quarries and WWII Air Raids as Factors of Subsidence in Rome: A Geomatic Approach</t>
  </si>
  <si>
    <t>Thunderstorm Nowcasting With Deep Learning: A Multi-Hazard Data Fusion Model</t>
  </si>
  <si>
    <t>Seismic Source of 1966 Huacho Peru Earthquake (Mw 8.1) from Tsunami Waveform Inversion</t>
  </si>
  <si>
    <t>U-net-based semantic classification for flood extent extraction using SAR imagery and GEE platform: A case study for 2019 central US flooding</t>
  </si>
  <si>
    <t>Urban Flood Hazard Assessment and Management Practices in South Asia: A Review</t>
  </si>
  <si>
    <t>Sensitivity Analysis of Modelled Flood Inundation Extents over Hawkesbury–Nepean Catchment</t>
  </si>
  <si>
    <t>Greenhouse-gas forced changes in the Atlantic meridional overturning circulation and related worldwide sea-level change</t>
  </si>
  <si>
    <t>Thalweg and Ridge Network Extraction From Unaltered Topographic Data as a Basis for Terrain Partitioning</t>
  </si>
  <si>
    <t>Loss of tidal creek ecosystem vitality caused by tidal flat narrowing on the central Jiangsu coast, China</t>
  </si>
  <si>
    <t>Improved elasticity estimation model for typhoon storm surge losses in China</t>
  </si>
  <si>
    <t>Opportunities for blue carbon restoration projects in degraded agricultural land of the coastal zone in Queensland, Australia</t>
  </si>
  <si>
    <t>Hazard Potential in Southern Pakistan: A Study on the Subsidence and Neotectonics of Karachi and Surrounding Areas</t>
  </si>
  <si>
    <t>Eddy covariance assessment of alternate wetting and drying floodwater management on rice methane emissions</t>
  </si>
  <si>
    <t>The Impacts of Climate Change on Coastal Georgia Heritage Tourism Sites</t>
  </si>
  <si>
    <t>Sea Level Variability in the Equatorial Malacca Strait: The Influence of Climatic–Oceanographic Factors and Its Implications for Tidal Properties in the Estuarine Zone</t>
  </si>
  <si>
    <t>Coastal Melaleuca wetlands under future climate and sea-level rise scenarios in the Mekong Delta, Vietnam: vulnerability and conservation</t>
  </si>
  <si>
    <t>Effects of tropical cyclones with different tracks on ozone pollution over the Pearl River Delta region</t>
  </si>
  <si>
    <t>Assessment of typhoon storm surge disaster scale based on expansion model</t>
  </si>
  <si>
    <t>The early evolution of the Neotethys in the eastern Mediterranean area: implication of new evidence from the Levant basin and margin</t>
  </si>
  <si>
    <t>Challenges and prospects of climate change impact assessment on mangrove environments through mathematical models</t>
  </si>
  <si>
    <t>Hydraulic gradient and wave height control the success of estuary artificial entrance openings</t>
  </si>
  <si>
    <t>Tsunami Occurrence 1900–2020: A Global Review, with Examples from Indonesia</t>
  </si>
  <si>
    <t>Toward sustainable inland aquaculture: Coastal subsidence monitoring in Taiwan</t>
  </si>
  <si>
    <t>The effect of sea-level rise on estuary filling in scaled landscape experiments</t>
  </si>
  <si>
    <t>Examining the Hydro-Climatic Drivers of Lagoon Breaching and Healing in a Deltaic Barrier</t>
  </si>
  <si>
    <t>A Remote Sensing View of the 2020 Extreme Lake-Expansion Flood Event into the Peace–Athabasca Delta Floodplain—Implications for the Future SWOT Mission</t>
  </si>
  <si>
    <t>Developing a deep learning-based storm surge forecasting model</t>
  </si>
  <si>
    <t>Modeling hypersalinity caused by evaporation and surface–subsurface exchange in a coastal marsh</t>
  </si>
  <si>
    <t>Atmospheric patterns favourable to storm surge events on the coast of São Paulo State, Brazil</t>
  </si>
  <si>
    <t>Combining remote sensing and social media data for flood mapping: a case study in Linhai, Zhejiang Province, China</t>
  </si>
  <si>
    <t>Assessing lake health in China: Challenges due to multiple coexisting standards</t>
  </si>
  <si>
    <t>Anthropogenic amplification of geomorphic processes on fluvial channel morphology, case study in Gilgel Abay river mouth; lake Tana Sub Basin, Ethiopia</t>
  </si>
  <si>
    <t>The Urban Public Space between Land and Sea: The Case of Quarteira, Portugal</t>
  </si>
  <si>
    <t>Floodplain Connecting Channels as Critical Paths for Hydrological Connectivity of Deltaic River Networks</t>
  </si>
  <si>
    <t>Mapping Environmental Impacts on Coastal Tourist Areas of Oceanic Islands (Gran Canaria, Canary Islands): A Current and Future Scenarios Assessment</t>
  </si>
  <si>
    <t>Increasing extreme flood risk under future climate change scenarios in South Korea</t>
  </si>
  <si>
    <t>Multi-Hazard Susceptibility Assessment Using the Analytical Hierarchy Process in Coastal Regions of South Aegean Volcanic Arc Islands</t>
  </si>
  <si>
    <t>Disruptive Role of Vertical Land Motion in Future Assessments of Climate Change-Driven Sea-Level Rise and Coastal Flooding Hazards in the Chesapeake Bay</t>
  </si>
  <si>
    <t>Cultural Heritage in the Light of Flood Hazard: The Case of the “Ancient” Olympia, Greece</t>
  </si>
  <si>
    <t>Scientific Evidence for the Effectiveness of Mangrove Forests in Reducing Floods and Associated Hazards in Coastal Areas</t>
  </si>
  <si>
    <t>Vertical land motion monitored with satellite radar altimetry and tide gauge along the Texas coastline, USA, between 1993 and 2020</t>
  </si>
  <si>
    <t>Estuarine response to storm surge and sea-level rise associated with channel deepening: a flood vulnerability assessment of southwest Louisiana, USA</t>
  </si>
  <si>
    <t>Monitoring multidecadal coastline change and reconstructing tidal flat topography</t>
  </si>
  <si>
    <t>A geospatial assessment of flood hazard in north-eastern depressed basin, Bangladesh</t>
  </si>
  <si>
    <t>A Bibliometric and Visualized Analysis of Remote Sensing Methods for Glacier Mass Balance Research</t>
  </si>
  <si>
    <t>Compelled to Compete: Rendering Climate Change Vulnerability Investable</t>
  </si>
  <si>
    <t>Increasing sequential tropical cyclone hazards along the US East and Gulf coasts</t>
  </si>
  <si>
    <t>Spatial–Temporal Evolution Monitoring and Ecological Risk Assessment of Coastal Wetlands on Hainan Island, China</t>
  </si>
  <si>
    <t>Bayesian estimation of glacier surface elevation changes from DEMs</t>
  </si>
  <si>
    <t>Hydrological Modeling for Determining Flooded Land from Unmanned Aerial Vehicle Images—Case Study at the Dniester River</t>
  </si>
  <si>
    <t>Drivers of migration intentions in coastal Vietnam under increased flood risk from sea level rise</t>
  </si>
  <si>
    <t>Using Spatial Autocorrelation for the Hypsometric Integral to Differentiate Geology and Neotectonics: A Case Study in Bailongjiang Drainage Basin (Eastern Tibet Plateau)</t>
  </si>
  <si>
    <t>River effects on sea-level rise in the Río de la Plata estuary during the past century</t>
  </si>
  <si>
    <t>Economic loss assessment of typhoon-induced storm surge disasters in the South China Sea based on GSA-BP model</t>
  </si>
  <si>
    <t>Spatio-temporal assessment of regional scale evolution and distribution of glacial lakes in Himalaya</t>
  </si>
  <si>
    <t>Tree-ring records of surface displacements in a coal-mining subsided region and their links to hypsometric changes and extreme precipitation</t>
  </si>
  <si>
    <t>Automation of the Rational Formula using GIS infrastructure – Case study Siret River Basin-Romania</t>
  </si>
  <si>
    <t>Long-term spatio-temporal trends and periodicities in monthly and seasonal precipitation in Turkey</t>
  </si>
  <si>
    <t>Quality over Quantity: Nonmarket Values of Restoring Coastal Dunes in the U.S. Pacific Northwest</t>
  </si>
  <si>
    <t>Bare-earth DEM generation from ArcticDEM and its use in flood simulation</t>
  </si>
  <si>
    <t>Prediction of flash flood susceptibility using integrating analytic hierarchy process (AHP) and frequency ratio (FR) algorithms</t>
  </si>
  <si>
    <t>Flood mapping of the lower Mejerda Valley (Tunisia) using Sentinel-1 SAR: geological and geomorphological controls on flood hazard</t>
  </si>
  <si>
    <t>Demonstrating the Potential of Low-Cost GNSS Receiver for tidal monitoring, storms, and flood detecting: example of 2022 Noru Storm in Thua Thien Hue province, Vietnam</t>
  </si>
  <si>
    <t>Shoreline Change and Coastal Erosion in West Africa: A Systematic Review of Research Progress and Policy Recommendation</t>
  </si>
  <si>
    <t>Compound flood models in coastal areas: a review of methods and uncertainty analysis</t>
  </si>
  <si>
    <t>Changes in wetland and other landscape elements of the Keta Municipal area of Ghana</t>
  </si>
  <si>
    <t>Preparing for sea-level rise thanks to hydrography</t>
  </si>
  <si>
    <t>Operation of Gate-Controlled Irrigation System Using HEC-RAS 2D for Spring Flood Hazard Reduction</t>
  </si>
  <si>
    <t>Impacts and causative fault of the 2022 magnitude (Mw) 7.0 Northwestern Luzon earthquake, Philippines</t>
  </si>
  <si>
    <t>The race for space: Modelling the landward migration of coastal wetlands under sea level rise at regional scale</t>
  </si>
  <si>
    <t>The March 2023 UAS-based high-resolution Digital Surface Model and orthomosaic of the NE flank of Stromboli volcano (Sicily, Italy)</t>
  </si>
  <si>
    <t>Opposite microplate rotations on the East African Rift: Similarity to double saloon door tectonics</t>
  </si>
  <si>
    <t>Mapping high marsh and salt pannes/flats along the northern Gulf of Mexico coast</t>
  </si>
  <si>
    <t>Combining remote sensing analysis with machine learning to evaluate short-term coastal evolution trend in the shoreline of Venice</t>
  </si>
  <si>
    <t>Frequent Storm Surges Affect the Groundwater of Coastal Ecosystems</t>
  </si>
  <si>
    <t>Saltwater intrusion from an estuarine river: A field investigation</t>
  </si>
  <si>
    <t>Warning water level determination and its spatial distribution in coastal areas of China</t>
  </si>
  <si>
    <t>Seasonality of storm frequency in Türkiye</t>
  </si>
  <si>
    <t>Topographical dynamics based on global and UAV-SfM derived DEM products: a case study of transboundary Teesta River, Bangladesh</t>
  </si>
  <si>
    <t>An ensemble-based assessment of bias adjustment performance, changes in hydrometeorological predictors and compound extreme events in EAS-CORDEX</t>
  </si>
  <si>
    <t>Quantification of global Digital Elevation Model (DEM) – A case study of the newly released NASADEM for a river basin in Central Vietnam</t>
  </si>
  <si>
    <t>Allocation of water resources in the lower Yellow river based on ecological footprint</t>
  </si>
  <si>
    <t>Creation of Tsunami Evacuation Time Map for the Mentawai Islands, Indonesia</t>
  </si>
  <si>
    <t>Estimating the likelihood of roadway pluvial flood based on crowdsourced traffic data and depression-based DEM analysis</t>
  </si>
  <si>
    <t>Assessment of Prerestoration Water Quality in the Herring River To Support Adaptive Management at the Cape Cod National Seashore</t>
  </si>
  <si>
    <t>Planning and Designing Natural and Urban Environments with an Adaptive Visualization Framework: The Case of Pazhou Island, Guangzhou, Pearl River Delta</t>
  </si>
  <si>
    <t>Relative Sea Level Trends for the Coastal Areas of Peninsular and East Malaysia Based on Remote and In Situ Observations</t>
  </si>
  <si>
    <t>Ancient megafloods of Mars: interpretations from MOM MCC data and hydrodynamic simulations</t>
  </si>
  <si>
    <t>Benefits of Beach Erosion Control on the East Coast of Korea</t>
  </si>
  <si>
    <t>Coastal sand mining of heavy mineral sands: Contestations, resistance, and ecological distribution conflicts at HMS extraction frontiers across the world</t>
  </si>
  <si>
    <t>Is Obliterated Land Still Land? Tenure Security and Climate Change in Indonesia</t>
  </si>
  <si>
    <t>Coastal Flood Risk and Smart Resilience Evaluation under a Changing Climate</t>
  </si>
  <si>
    <t>Responses and adjustments of the coastal systems of Dominica (Lesser Antilles) when faced with an extreme event: Hurricane Maria (September 2017)</t>
  </si>
  <si>
    <t>The Coastal Zone Management Act in Its Sixth Decade: An Unsung Cornerstone in the Nation’s Response to Climate and Ocean Change, Part II</t>
  </si>
  <si>
    <t>Comparative Analysis of the Unmanned Aerial Vehicles and Terrestrial Laser Scanning Application for Coastal Zone Monitoring</t>
  </si>
  <si>
    <t>Towards flood risk reduction: Commonalities and differences between urban flood resilience and risk based on a case study in the Pearl River Delta</t>
  </si>
  <si>
    <t>Seawall-induced impacts on large river delta wetlands and blue carbon storage under sea level rise</t>
  </si>
  <si>
    <t>Flume experiment study of the formation process and sedimentary characteristics of a shallow-water delta</t>
  </si>
  <si>
    <t>Island area changes in the Sundarban region of the abandoned western Ganga–Brahmaputra–Meghna Delta, India and Bangladesh</t>
  </si>
  <si>
    <t>Temporally varied coastal uplift rates north of the Littoral Fault Zone since the late Quaternary in the northern South China Sea: Insights from the wave-cut platform and cosmogenic exposure dating</t>
  </si>
  <si>
    <t>Surface water-groundwater interaction affects soil temperature distributions and variations in salt marshes</t>
  </si>
  <si>
    <t>Exploring past and present dynamics of coastal protection as possible signposts for the future?: A case study on the Islands of Amrum and Föhr in the North Frisian Wadden Sea (GER)</t>
  </si>
  <si>
    <t>Bayesian networks to predict storm impact using data from both monitoring networks and statistical learning methods</t>
  </si>
  <si>
    <t>ANALYSIS OF SURFACE WATER QUALITY INDICATORS IN THE DNIPRO-BUG ESTUARY REGION IN THE FIRST MONTHS AFTER THE DESTRUCTION OF THE KAKHOVKA HYDROELECTRIC POWER STATION DAM</t>
  </si>
  <si>
    <t>Debris flow modelling and hazard assessment for a glacier area: a case study in Barsem, Tajikistan</t>
  </si>
  <si>
    <t>Localized uplift, widespread subsidence, and implications for sea level rise in the New York City metropolitan area</t>
  </si>
  <si>
    <t>Investigating compound flooding in a low elevation coastal karst environment using multivariate statistical and 2D hydrodynamic modeling</t>
  </si>
  <si>
    <t>Understanding the Natural Variability of Still Water Levels in the San Francisco Bay Over the Past 500 yr: Implications for Future Coastal Flood Risk</t>
  </si>
  <si>
    <t>The Norwegian strandflat reviewed and constrained in an offshore perspective</t>
  </si>
  <si>
    <t>A methodological framework for flood hazard assessment for land transport infrastructures</t>
  </si>
  <si>
    <t>Digital elevation models for high-resolution base flood elevation mapping in a densely populated city</t>
  </si>
  <si>
    <t>PLANNING SEAWEED FARMING BASED ECOTOURISM: A TOURISM SPECTRUM APPROACH IN BANTAENG REGENCY, INDONESIA</t>
  </si>
  <si>
    <t>Mapping 21st Century Global Coastal Land Reclamation</t>
  </si>
  <si>
    <t>Going beyond generalisation: perspective on the persistence of urban floods in Dar es Salaam</t>
  </si>
  <si>
    <t>GWL-FCS30: a global 30m wetland map with a fine classification system using multi-sourced and time-series remote sensing imagery in 2020</t>
  </si>
  <si>
    <t>Metagenomic insights into the functional genes across transects in a typical estuarine marsh</t>
  </si>
  <si>
    <t>The Coastline Change Pattern of Gresik Beach around the Madura Strait, Indonesia</t>
  </si>
  <si>
    <t>Flood frequency and flood intensity changes in the post embankment period in the Kosi sub-basin India: Impact of location, caste, and class on the flood vulnerability of the marginal communities</t>
  </si>
  <si>
    <t>The impact of climate change on the storm surges of the Mediterranean Sea: Coastal sea level responses to deep depression atmospheric systems</t>
  </si>
  <si>
    <t>STRUCTURAL ANALYSIS OF THE GEOSYSTEMS OF THE TOBOL RIVER BASIN WITHIN THE KOSTANAY REGION</t>
  </si>
  <si>
    <t>The ULR-repro3 GPS data reanalysis and its estimates of vertical land motion at tide gauges for sea level science</t>
  </si>
  <si>
    <t>The complexity of the coastal zone: Definition of typologies in Portugal as a contribution to coastal disaster risk reduction and management</t>
  </si>
  <si>
    <t>ODRA2D - TWO-DIMENSIONAL CASCADE FLOOD MODELLING FOR THE ODRA RIVER - DEVELOPMENT AND APPLICATIONS; [ODRA2D - KASKADOWY MODEL 2D POWODZI NA ODRZE - OPRACOWANIE I ZASTOSOWANIA]</t>
  </si>
  <si>
    <t>Understanding spatially nonstationary effects of natural and human-induced factors on land subsidence based on multi-temporal InSAR and multi-source geospatial data: a case study in the Guangdong-Hong Kong-Macao Greater Bay Area</t>
  </si>
  <si>
    <t>Geospatiality of sea level rise impacts and communities’ adaptation: a bibliometric analysis and systematic review</t>
  </si>
  <si>
    <t>Population development as a driver of coastal risk: Current trends and future pathways</t>
  </si>
  <si>
    <t>GEOHAZARDS IN PORTUGAL: A STATE OF THE ART; [PERIGOS GEOMORFOLÓGICOS EM PORTUGAL: ESTADO DA ARTE]; [PELIGROS GEOMORFOLOGICOS EN PORTUGAL: ESTADO DEL ARTE]</t>
  </si>
  <si>
    <t>A 2D hydrodynamic model for river flood prediction in a coastal floodplain</t>
  </si>
  <si>
    <t>A hybrid multi-step storm surge forecasting model using multiple feature selection, deep learning neural network and transfer learning</t>
  </si>
  <si>
    <t>Multivariate analysis and modeling of shoreline changes using geospatial data</t>
  </si>
  <si>
    <t>Morphostructural mapping of Borealis Planitia, Mercury</t>
  </si>
  <si>
    <t>A robust glacial lake outburst susceptibility assessment approach validated by GLOF event in 2020 in the Nidu Zangbo Basin, Tibetan Plateau</t>
  </si>
  <si>
    <t>Spatio-temporal changes in daily extreme precipitation for the Lancang–Mekong River Basin</t>
  </si>
  <si>
    <t>Tidal amplification and river capture in response to land reclamation in the Ganges-Brahmaputra delta</t>
  </si>
  <si>
    <t>Predicting Future Global Sea Level Rise From Climate Change Variables Using Deep Learning</t>
  </si>
  <si>
    <t>Uncertainty and disaster recovery: an analysis of victim perceptions utilizing the problematic integration theory</t>
  </si>
  <si>
    <t>Flood hazard mapping of the Welang river, Pasuruan, East Java, Indonesia</t>
  </si>
  <si>
    <t>Potentially toxic elements in surface soils of the Lower Don floodplain and the Taganrog Bay coast: sources, spatial distribution and pollution assessment</t>
  </si>
  <si>
    <t>Failure process and three-dimensional motions of mining-induced Jianshanying landslide in China observed by optical, LiDAR and SAR datasets</t>
  </si>
  <si>
    <t>Stratigraphic expression of the Paleocene-Eocene Thermal Maximum climate event during long-lived transient uplift—An example from a shallow to deep-marine clastic system in the Norwegian Sea</t>
  </si>
  <si>
    <t>Relationship between fractal dimensions of stream and morphometric characteristics of basin for the soil conservation from water erosion</t>
  </si>
  <si>
    <t>Future prediction of existing glacial lake’s size in the Himalaya by Markov model and glacial surface topography</t>
  </si>
  <si>
    <t>Quantitative evaluation of drainage attributes to infer hydrologic and morphological characteristics of upper Beas Basin, Himachal Pradesh: A GIS-based approach</t>
  </si>
  <si>
    <t>Natural levees increase in prevalence in the backwater zone: Coastal Trinity River, Texas, USA</t>
  </si>
  <si>
    <t>Gap analysis of climate adaptation policymaking in Coastal Virginia</t>
  </si>
  <si>
    <t>Geomorphological and Sedimentological Indicators of Contemporary Erosion Processes: An Example of the Eastern Rhodopes Mountains (Bulgaria)</t>
  </si>
  <si>
    <t>WHEN A TSUNAMI THREAT IS IMMINENT AIR-SEALED TYPE OF ENCLOSURES CAN SERVE AS TEMPORARY SHELTERS TO SAVE LIVES RELIABLY AND ECONOMICALLY</t>
  </si>
  <si>
    <t>Sediment Deposition, Erosion, and Bathymetric Change in San Francisco Bay, California, 1971–1990 and 1999–2020</t>
  </si>
  <si>
    <t>(Multi)wavelet-based Godunov-type simulators of flood inundation: Static versus dynamic adaptivity</t>
  </si>
  <si>
    <t>Assessment and analysis of morphometric characteristics of Lake Tana sub-basin, Upper Blue Nile Basin, Ethiopia</t>
  </si>
  <si>
    <t>Nationwide Subsidence in Bahrain Island: Drivers and Implications for Relative Sea-Level Rise</t>
  </si>
  <si>
    <t>Assessing social vulnerability to riverbank erosion across the Vietnamese Mekong Delta</t>
  </si>
  <si>
    <t>Improved mapping of coastal salt marsh habitat change at Barnegat Bay (NJ, USA) using object-based image analysis of high-resolution aerial imagery</t>
  </si>
  <si>
    <t>Longitudinal stream synoptic monitoring tracks chemicals along watershed continuums: a typology of trends</t>
  </si>
  <si>
    <t>Flood Susceptibility Mapping Using Image-Based 2D-CNN Deep Learning: Overview and Case Study Application Using Multiparametric Spatial Data in Data-Scarce Urban Environments</t>
  </si>
  <si>
    <t>Shoreline Change Assessment in the Coastal Region of Bangladesh Delta Using Tasseled Cap Transformation from Satellite Remote Sensing Dataset</t>
  </si>
  <si>
    <t>Reducing flood risk and improving system resiliency in Sacramento, California: overcoming obstacles and emerging solutions</t>
  </si>
  <si>
    <t>An assessment of the effects of DEM quality and spatial resolution on a model for mapping lahar inundation areas at volcán Copahue (Argentina &amp; Chile)</t>
  </si>
  <si>
    <t>Gender dimension and forced migration in Tanzania</t>
  </si>
  <si>
    <t>Flood-Inundation Maps for the Muddy River, near Moapa, Nevada</t>
  </si>
  <si>
    <t>Monitoring pelagic Sargassum inundation potential for coastal communities</t>
  </si>
  <si>
    <t>Co-occurrence of pluvial and fluvial floods exacerbates inundation and economic losses: evidence from a scenario-based analysis in Longyan, China</t>
  </si>
  <si>
    <t>Rapid urbanization and global warming significantly impact tidal dynamics in the Pearl River Estuary, China</t>
  </si>
  <si>
    <t>Multi-decadal observations in the Alps reveal less and wetter snow, with increasing variability</t>
  </si>
  <si>
    <t>Uplifted marine terraces by active coastal tectonic deformation along the east of Algiers: implications for African and European plate convergence and sea-level curves; [Terrazas marinas levantadas por deformación tectónica costera activa a lo largo del este de Argel: implicaciones para la convergencia de las placas africana y europea y las curvas del nivel del mar]</t>
  </si>
  <si>
    <t>Changes in urban green spaces in coastal cities and human well-being: The case of Cape Coast Metropolis, Ghana</t>
  </si>
  <si>
    <t>Investigating two-dimensional deformations of the head of the Central Route of the South–North Water Diversion Project in China with TerraSAR-X datasets</t>
  </si>
  <si>
    <t>Generalized Additive Model Estimation of No-Flow Fractions and L-Moments to Support Flow-Duration Curve Quantile Estimation Using Selected Probability Distributions for Bay and Estuary Restoration in the Gulf States</t>
  </si>
  <si>
    <t>Lateral Hydrological Connectivity Driven by Tidal Flooding Regulates Range-Expansion of Invasive Spartina alterniflora in Tidal Channel-Salt Marsh Systems</t>
  </si>
  <si>
    <t>Ice thickness distribution of Himalayan glaciers inferred from DInSAR-based glacier surface velocity</t>
  </si>
  <si>
    <t>The resource (in)sufficiency of the Caribbean: analyzing socio-metabolic risks (SMR) of water, energy, and food</t>
  </si>
  <si>
    <t>Geomorphology of the lower Mesopotamian plain at Tell Zurghul archaeological site</t>
  </si>
  <si>
    <t>Forcing uncertainty and salinity response to dredging in a tidal freshwater river</t>
  </si>
  <si>
    <t>Documenting the effects of diagenesis on bone artifacts in coastal Florida through wetting experiments</t>
  </si>
  <si>
    <t>Mapping of Mean Deformation Rates Based on APS-Corrected InSAR Data Using Unsupervised Clustering Algorithms</t>
  </si>
  <si>
    <t>Simulation of floating debris in SPH shallow water flow model with tsunami application</t>
  </si>
  <si>
    <t>Overview of Coastal Vulnerability Indices with Reference to Physical Characteristics of the Croatian Coast of Istria</t>
  </si>
  <si>
    <t>Searching for Reconnection: Environmental Challenges and Course Changes in Spatial Development Along Shanghai’s Shipping Channels</t>
  </si>
  <si>
    <t>Arsenic in the soil–rice system of the Mekong River delta</t>
  </si>
  <si>
    <t>Identification of areas of interest for radiological impact assessments in an evolving landscape context</t>
  </si>
  <si>
    <t>Human-Induced Resource Scarcity in the Colorado River Basin and Its Implications for Water Supply and the Environment in the Mexicali Valley Transboundary Aquifer</t>
  </si>
  <si>
    <t>Effect of Estuary Urbanization on Tidal Dynamics and High Tide Flooding in a Coastal Lagoon</t>
  </si>
  <si>
    <t>Spatial heterogeneity of preferences for sea-level rise adaptation: Empirical evidence from yearlong and seasonal residents in Florida</t>
  </si>
  <si>
    <t>Intensive and extensive rice farm adaptations in salinity-prone areas of the Mekong Delta</t>
  </si>
  <si>
    <t>Coastal land use change and evaluation of ecosystem services value enhancement under the background of Yangtze River protection: Taking Jiangyin coastal areas as an example</t>
  </si>
  <si>
    <t>Coastal Salinity and Water Management Practices in the Bengal Delta: A Critical Analysis to Inform Salinisation Risk Management Strategies in Asian Deltas</t>
  </si>
  <si>
    <t>A Fast 2-D Phase Unwrapping Algorithm Based on Convolutional Neural Network</t>
  </si>
  <si>
    <t>Flood-Inundation Maps for an 8-Mile Reach of Papillion Creek near Offutt Air Force Base, Nebraska, 2022</t>
  </si>
  <si>
    <t>Estuary contexts and governance models in the new climate era, New South Wales, Australia</t>
  </si>
  <si>
    <t>Automatic levee detection using a high-resolution DEM − Case study in Kinu river basin, Japan</t>
  </si>
  <si>
    <t>Monitoring Mining Surface Subsidence with Multi-Temporal Three-Dimensional Unmanned Aerial Vehicle Point Cloud</t>
  </si>
  <si>
    <t>Evolution of the Limpopo River Basin in Botswana based on morphometric and morphotectonic features from selected rivers using GIS techniques</t>
  </si>
  <si>
    <t>DECIPHERING THE WATER BALANCE OF POLJES: EXAMPLE OF PLANINSKO POLJE (SLOVENIA); [O VODNI BILANCI KRAŠKIH POLJ: PRIMER PLANINSKEGA POLJA (SLOVENIJA)]</t>
  </si>
  <si>
    <t>Tectonic setting, provenance, depositional, and paleo-climatic conditions of the late quaternary subcrop sediments of the southeastern coastal region of the Bengal basin</t>
  </si>
  <si>
    <t>INTEGRATING LIDAR DATA, 2D HEC-RAS MODELING AND REMOTE SENSING TO DEVELOP FLOOD HAZARD MAPS DOWNSTREAM OF A LARGE RESERVOIR IN THE INNER EASTERN CARPATHIANS</t>
  </si>
  <si>
    <t>Dutch national climate change adaptation policy through a securitization lens: Variations of securitization</t>
  </si>
  <si>
    <t>Flood-Inundation Maps for Fourmile Creek at Silver Grove, Kentucky</t>
  </si>
  <si>
    <t>Sound-Side Inundation and Seaward Erosion of a Barrier Island During Hurricane Landfall</t>
  </si>
  <si>
    <t>Multiple Income-Generating Activities: A Way to Resilience for the Waterlog Community in Bangladesh</t>
  </si>
  <si>
    <t>Morphometric Characterization of Gelana Watershed, Awash River Basin, Ethiopia</t>
  </si>
  <si>
    <t>Measuring biodiversity and the loss of indigenous landscapes in coastal Louisiana using airborne imagery and satellite data</t>
  </si>
  <si>
    <t>Geographic Information System for Mapping Coastal Inundation Impact to the Sustainability of Agriculture Sector in Pekalongan City, Indonesia</t>
  </si>
  <si>
    <t>The Coastal Zone Management Act in Its Sixth Decade: An Unsung Cornerstone in the Nation’s Response to Climate and Ocean Change</t>
  </si>
  <si>
    <t>Physics-based simulations of multiple natural hazards for risk-sensitive planning and decision-making in expanding urban regions</t>
  </si>
  <si>
    <t>The temporal clustering of storm surge, wave height, and high sea level exceedances around the UK coastline</t>
  </si>
  <si>
    <t>Experimental Study of Tsunami Force Coefficients for Imwon Port on the East Coast of Korea</t>
  </si>
  <si>
    <t>SeeLevelViz: A simple data science tool for dynamic visualization of shoreline displacement caused by sea-level change</t>
  </si>
  <si>
    <t>An integrated methodology for post-processing ensemble prediction systems to produce more representative extreme water level forecasts: the case of the Río de la Plata estuary</t>
  </si>
  <si>
    <t>Ecosystem-Based Disaster Management Planning for the Eastern Coast of India</t>
  </si>
  <si>
    <t>Flood hazard and susceptibility assessment in a semi-arid environment: A case study of Seyad basin, south of Morocco</t>
  </si>
  <si>
    <t>Observation-based trajectory of future sea level for the coastal United States tracks near high-end model projections</t>
  </si>
  <si>
    <t>InSAR stacking with atmospheric correction for rapid geohazard detection: Applications to ground subsidence and landslides in China</t>
  </si>
  <si>
    <t>Extent and Causes of Chesapeake Bay Warming</t>
  </si>
  <si>
    <t>An assessment of future tidal marsh resilience in the San Francisco Estuary through modeling and quantifiable metrics of sustainability</t>
  </si>
  <si>
    <t>SHELTER FROM THE STORM</t>
  </si>
  <si>
    <t>Improved accuracy of storm surge simulations by incorporating changing along-track parameters</t>
  </si>
  <si>
    <t>Flood impacts on urban road connectivity in southern China</t>
  </si>
  <si>
    <t>Using Neural Networks to Predict Hurricane Storm Surge and to Assess the Sensitivity of Surge to Storm Characteristics</t>
  </si>
  <si>
    <t>Salinization of the Bangladesh Delta worsens economic precarity</t>
  </si>
  <si>
    <t>Estimating dune erosion at the regional scale using a meta-model based on neural networks</t>
  </si>
  <si>
    <t>Evaluation of Coastal Erosion in the Watersheds of Municipality of Buenaventura, Colombia: Using Geospatial Techniques and the Composite Vulnerability Index</t>
  </si>
  <si>
    <t>A method to detect abrupt shifts in river channel position using a Landsat-derived water occurrence record</t>
  </si>
  <si>
    <t>A Digital Twin modelling framework for the assessment of seagrass Nature Based Solutions against storm surges</t>
  </si>
  <si>
    <t>Social perceptions of coastal hazards in the Anlo Beach Community in the Western Region of Ghana</t>
  </si>
  <si>
    <t>The effects of coastal marsh geometry and surge scales on water level attenuation</t>
  </si>
  <si>
    <t>Investigation of Waves Generated by Tropical Cyclone Kyarr in the Arabian Sea: An Application of ERA5 Reanalysis Wind Data</t>
  </si>
  <si>
    <t>Knickpoint morphotectonics of the Middle Shire River basin: Implications for the evolution of rift interaction zones</t>
  </si>
  <si>
    <t>The qualitative analysis of the nexus dynamics in the Pekalongan coastal area, Indonesia</t>
  </si>
  <si>
    <t>River flooding on the French Mediterranean coast and its relation to climate and land use change over the past two millennia</t>
  </si>
  <si>
    <t>The Coastline Paradox: A New Perspective</t>
  </si>
  <si>
    <t>Glacial Lake Outburst Flood Hazard and Risk Assessment of Gangabal Lake in the Upper Jhelum Basin of Kashmir Himalaya Using Geospatial Technology and Hydrodynamic Modeling</t>
  </si>
  <si>
    <t>A Deep Learning Based Method to Delineate the Wet/Dry Shoreline and Compute Its Elevation Using High-Resolution UAS Imagery</t>
  </si>
  <si>
    <t>Transitional polders along estuaries: Driving land-level rise and reducing flood propagation</t>
  </si>
  <si>
    <t>Superposition of coastal-trapped waves and Kuroshio warm water intrusions caused unusually high sea levels around the southern coasts of Japan in early September 1971</t>
  </si>
  <si>
    <t>Late Pleistocene submarine terraces in the Eastern Mediterranean, central Lebanon, Byblos: Revealing their formation time frame through modeling</t>
  </si>
  <si>
    <t>Verification of PCSWMM's LID processes and their scalability over time and space</t>
  </si>
  <si>
    <t>Modeling of wave run-up by applying integrated models of group method of data handling</t>
  </si>
  <si>
    <t>Determination of potential secondary lahar hazard areas based on pre-and post-eruption UAV DEMs: Automatic identification of initial lahar starting points and supplied lahar volume</t>
  </si>
  <si>
    <t>A High-End Estimate of Sea Level Rise for Practitioners</t>
  </si>
  <si>
    <t>Increasing tidal inundation corresponds to rising porewater nutrient concentrations in a southeastern U.S. salt marsh</t>
  </si>
  <si>
    <t>Coastal paleogeography of the Pacific Northwest, USA, for the last 12,000 years accounting for three-dimensional earth structure</t>
  </si>
  <si>
    <t>Internal relocation as a relevant and feasible adaptation strategy in Rangiroa Atoll, French Polynesia</t>
  </si>
  <si>
    <t>Morphologic evolution of bifurcated reaches in a macrotidal estuary with mountain streams</t>
  </si>
  <si>
    <t>Evaluation of machine learning-based algorithms for landslide detection across satellite sensors for the 2019 Cyclone Idai event, Chimanimani District, Zimbabwe</t>
  </si>
  <si>
    <t>Intensity of relief geodynamic processes in the Coastal Lowland, Lithuania: based on cartographic analysis</t>
  </si>
  <si>
    <t>Hidden levees: Small-scale flood defense on rural coasts</t>
  </si>
  <si>
    <t>Assessing the scope for promoting climate resilient agriculture in the Indian Sundarban Delta: A SWOT-AHP analysis</t>
  </si>
  <si>
    <t>Numerical investigations to assess ground subsidence and fault reactivation during underground coal gasification</t>
  </si>
  <si>
    <t>Assessing the Adaptive Capacity of Slum Households to Flooding in the Coastline of Portee and Rokupa, Freetown, Sierra Leone</t>
  </si>
  <si>
    <t>Outwelling of nutrients into the Pasur River estuary from the Sundarbans mangrove creeks</t>
  </si>
  <si>
    <t>Coping with increasing tides: Evolving agglomeration dynamics and technological change under exacerbating hazards</t>
  </si>
  <si>
    <t>Destructive coastal sea level oscillations generated by Typhoon Maysak in the Sea of Japan in September 2020</t>
  </si>
  <si>
    <t>Hazard assessment and hydrodynamic, morphodynamic, and hydrological response to Hurricane Gamma and Hurricane Delta on the northern Yucatán Peninsula</t>
  </si>
  <si>
    <t>Automated mapping of glacial lakes using multisource remote sensing data and deep convolutional neural network</t>
  </si>
  <si>
    <t>Accelerating Tsunami Modeling for Evacuation Studies through Modification of the Manning Roughness Values</t>
  </si>
  <si>
    <t>Flood modeling and baseline study in urban and high population environment: A case study of Majalaya, Indonesia</t>
  </si>
  <si>
    <t>Using UAV Photogrammetry and Automated Sensors to Assess Aquifer Recharge from a Coastal Wetland</t>
  </si>
  <si>
    <t>The Trendermarsch polder (North Frisia, Germany) - Geophysical and geoarchaeological investigations of an anthropogenic medieval coastal landscape and its vulnerability against natural hazards</t>
  </si>
  <si>
    <t>An online Indigenous Knowledge Database on Climate Change Adaptation of Farmers in the Vietnam Mekong Delta</t>
  </si>
  <si>
    <t>Depositional Model for the Early Triassic Braided River Delta and Controls on Oil Reservoirs in the Eastern Junggar Basin, Northwestern China</t>
  </si>
  <si>
    <t>Role of saltmarsh systems in estuarine trapping of microplastics</t>
  </si>
  <si>
    <t>Venice Was Flooding ⋯ One Tweet at a Time</t>
  </si>
  <si>
    <t>Preliminary identification of areas suitable for Sustainable Drainage Systems and Managed Aquifer Recharge to mitigate stormwater flooding phenomena in Rome (Italy); [Identificazione preliminare delle aree idonee per i Sistemi di Drenaggio Sostenibile (SuDS) e le tecniche di Ricarica in condizioni controllate degli Acquiferi (MAR), per mitigare i fenomeni di allagamento dovuti a precipitazioni intense nella Città di Roma (Italia)]</t>
  </si>
  <si>
    <t>Boulder Transportation on the Flat Bed by Dam Break</t>
  </si>
  <si>
    <t>Flood Modeling and Simulation Using HEC-HMS/HEC-GeoHMS and GIS Tools for River Sindh-NW Himalayas; [Hochwassermodellierung und -simulation mit HEC-HMS/HEC-GeoHMS und GIS-Tools für den Fluss Sindh im NW-Himalaya]</t>
  </si>
  <si>
    <t>Unequal Landscapes: Vulnerability Traps in Informal Settlements of the Jacuí River Delta (Brazil)</t>
  </si>
  <si>
    <t>Runnels mitigate marsh drowning in microtidal salt marshes</t>
  </si>
  <si>
    <t>Reexamination of tsunami source models for the twentieth century earthquakes off Hokkaido and Tohoku along the eastern margin of the Sea of Japan</t>
  </si>
  <si>
    <t>Identification and analysis of long-term changes in river deltas and riparian zones using time-series multispectral data</t>
  </si>
  <si>
    <t>High-resolution synthetic population mapping for quantifying disparities in disaster impacts: An application in the Bangladesh Coastal Zone</t>
  </si>
  <si>
    <t>Combined analysis of PS-InSAR and hypsometry integral (HI) for comparing seismic vulnerability and assessment of various regions of Pakistan</t>
  </si>
  <si>
    <t>Nonstationary footprints of ENSO in the Mekong River Delta hydrology</t>
  </si>
  <si>
    <t>Estimating Household Preferences for Coastal Flood Risk Mitigation Policies Under Ambiguity</t>
  </si>
  <si>
    <t>A Two-Period Model of Coastal Urban Adaptation Supported by Climate Services</t>
  </si>
  <si>
    <t>Storm Wave Characteristics during Typhoons Maysak and Haishen on the East and South Coasts of Korea</t>
  </si>
  <si>
    <t>Review of the effects of the anthropogenic on the wetland environment</t>
  </si>
  <si>
    <t>Performance comparison of two deep learning models for flood susceptibility map in Beira area, Mozambique</t>
  </si>
  <si>
    <t>Death and Regeneration of an Amazonian Mangrove Forest by Anthropic and Natural Forces</t>
  </si>
  <si>
    <t>Dilution or enrichment: the effects of flood on pollutants in urban rivers</t>
  </si>
  <si>
    <t>Geospatial Mapping of Areas at Risk to Flood along Sokoto-Rima River Basin, Sokoto Nigeria</t>
  </si>
  <si>
    <t>A GIS-based assessment of active tectonics from morphometric parameters and geomorphic indices of Assam Region, India</t>
  </si>
  <si>
    <t>Arctic drainage of Laurentide Ice Sheet meltwater throughout the past 14,700 years</t>
  </si>
  <si>
    <t>Flood Hazard Zone Mapping of Kasari River Basin (Kolhapur, India), Using Remote Sensing and GIS Techniques</t>
  </si>
  <si>
    <t>Digitising historical sea level records in the Thames Estuary, UK</t>
  </si>
  <si>
    <t>Epoch-Based Height Reference System for Sea Level Rise Impact Assessment on the Coast of Peninsular Malaysia</t>
  </si>
  <si>
    <t>Estimating mangrove forest gross primary production by quantifying environmental stressors in the coastal area</t>
  </si>
  <si>
    <t>A global open-source database of flood-protection levees on river deltas (openDELvE)</t>
  </si>
  <si>
    <t>The landscape of sea-level rise adaptation resources: Applying grounded theory in California</t>
  </si>
  <si>
    <t>Sustained coral reef growth in the critical wave dissipation zone of a Maldivian atoll</t>
  </si>
  <si>
    <t>Flood vulnerable zones mapping using geospatial techniques: Case study of Osogbo Metropolis, Nigeria</t>
  </si>
  <si>
    <t>Evolution of Land Cover in the Traras MTS. Region between 1984 and 2020 by Remote Sensing and Gis (Northwest Algeria)</t>
  </si>
  <si>
    <t>Flash flooding hazard assessment, modeling, and management in the coastal zone of Ras Ghareb City, Gulf of Suez, Egypt</t>
  </si>
  <si>
    <t>Insights on the origin of multiple tsunami events affected the archaeological site of Ognina (south-eastern Sicily, Italy)</t>
  </si>
  <si>
    <t>Lipid Biomarker and Stable Isotopic Profiles through Late Carboniferous–Early Triassic of the Deepest Well MS-1 in the Junggar Basin, Northwest China</t>
  </si>
  <si>
    <t>Perception on coastal erosion: An assessment of how national level coastal resilience strategies promote indigenous knowledge and affect local level adaptation in Ghanaian communities</t>
  </si>
  <si>
    <t>Incorporating conceptual site models into national-scale environmental risk assessments for legacy waste in the coastal zone</t>
  </si>
  <si>
    <t>Coastal impacts of storm surges on a changing climate: a global bibliometric analysis</t>
  </si>
  <si>
    <t>Influence of tidal flat reclamations on storm surge in the West Korean Bay of DPR Korea</t>
  </si>
  <si>
    <t>Consequences of Coastal Wetlands Reclamation and the Need for Integrating Impact Assessment of Invasive Alien Plants Species and Coastal Armoring in Life Cycle Assessment (LCA)</t>
  </si>
  <si>
    <t>Subsidence drives habitat loss in a large permafrost delta, Mackenzie River outlet to the Beaufort Sea, western Arctic Canada</t>
  </si>
  <si>
    <t>Lava deltas, a key landform in oceanic volcanic islands: El Hierro, Canary Islands</t>
  </si>
  <si>
    <t>Nearly five decades of changing shoreline mobility along the densely developed Lagos barrier-lagoon coast of Nigeria: A remote sensing approach</t>
  </si>
  <si>
    <t>Monitoring 23-year of shoreline changes of the Zengwun Estuary in Southern Taiwan using time-series Landsat data and edge detection techniques</t>
  </si>
  <si>
    <t>Impact of Tides and Surges on Fluvial Floods in Coastal Regions</t>
  </si>
  <si>
    <t xml:space="preserve"> 10Be exposure age dating of Late Quaternary relative sea level changes and deglaciation of W Jura and NE Islay, Scottish Inner Hebrides</t>
  </si>
  <si>
    <t>Combining SAR images with land cover products for rapid urban flood mapping</t>
  </si>
  <si>
    <t>Quantification of Coastal Change and Preliminary Sediment Budget Calculation Using SfM Photogrammetry and Archival Aerial Imagery</t>
  </si>
  <si>
    <t>Post-Flood Analysis for Damage and Restoration Assessment Using Drone Imagery</t>
  </si>
  <si>
    <t>Coastal Land Use Management Methodologies under Pressure from Climate Change and Population Growth</t>
  </si>
  <si>
    <t>Stochastic Modeling of Surfaces with Modified Gauss Functions</t>
  </si>
  <si>
    <t>Probabilistic dam breach flood modeling: the case of Valsamiotis dam in Crete</t>
  </si>
  <si>
    <t>The impacts of humans on geomorphology</t>
  </si>
  <si>
    <t>Tidal range electricity generation: A comparison between estuarine barrages and coastal lagoons</t>
  </si>
  <si>
    <t>Equitable buyouts? Learning from state, county, and local floodplain management programs</t>
  </si>
  <si>
    <t>Structural and palynomorph evidence for Early Palaeogene-Neogene conglomerate series in Peninsular Malaysia: Implication for basin development and tectonic history</t>
  </si>
  <si>
    <t>High Resolution 3D Mapping of Hurricane Flooding from Moderate-Resolution Operational Satellites</t>
  </si>
  <si>
    <t>Partitioning the contributions of dependent offshore forcing conditions in the probabilistic assessment of future coastal flooding</t>
  </si>
  <si>
    <t>Quantifying Aggravated Threats to Stormwater Management Ponds by Tropical Cyclone Storm Surge and Inundation under Climate Change Scenarios</t>
  </si>
  <si>
    <t>Wave-induced mean currents and setup over barred and steep sandy beaches</t>
  </si>
  <si>
    <t>Surface melt on the Shackleton Ice Shelf, East Antarctica (2003-2021)</t>
  </si>
  <si>
    <t>PyVF: A python program for extracting vertical features from LiDAR-DEMs</t>
  </si>
  <si>
    <t>Spatial and temporal heterogeneity of tropical cyclone precipitation over China from 1959 to 2018</t>
  </si>
  <si>
    <t>A large-scale waterlogging investigation in a megacity</t>
  </si>
  <si>
    <t>The microfacies distribution pattern of Cozumel Island in southeastern Mexico: An atoll-like model led by quaternary glacioeustatic sea-level changes</t>
  </si>
  <si>
    <t>Natural 15N abundance as an indicator of nitrogen utilization efficiency in rice under alternate wetting and drying irrigation in soils with high clay contents</t>
  </si>
  <si>
    <t>Negative impacts of sea-level rise on soil microbial involvement in carbon metabolism</t>
  </si>
  <si>
    <t>Loss of lateral hydrological connectivity impacts multiple facets of molluscan biodiversity in floodplain lakes</t>
  </si>
  <si>
    <t>Hydrography90m: A new high-resolution global hydrographic dataset</t>
  </si>
  <si>
    <t>GHOSTly flute music: drumlins, moats and the bed of Thwaites Glacier</t>
  </si>
  <si>
    <t>A detailed luminescence chronology of the Lower Volga loess-palaeosol sequence at Leninsk</t>
  </si>
  <si>
    <t>The Impact of Future Sea-Level Rise on Low-Lying Subsiding Coasts: A Case Study of Tavoliere Delle Puglie (Southern Italy)</t>
  </si>
  <si>
    <t>Evaluation of Lesser Zab River Course Change between Dokan and Dibbs Dams (N-Iraq), Using GIS Techniques</t>
  </si>
  <si>
    <t>Impact of Flood Duration on Germination Success of Paraná River Delta (Argentina) Plants</t>
  </si>
  <si>
    <t>Comprehensive evaluation and reservoir classification in the Quan 3 Member of the Cretaceous Quantou Formation in the Fuxin Uplift, Songliao Basin</t>
  </si>
  <si>
    <t>Surface Water Mapping and Flood Monitoring in the Mekong Delta Using Sentinel-1 SAR Time Series and Otsu Threshold</t>
  </si>
  <si>
    <t>Occurrence and risk assessment of organotin compounds in the surface water of the upper Yangtze River Estuary</t>
  </si>
  <si>
    <t>Investigating Present Status of Floodplain Wetlands as Habitat of Water Birds and its Determinants: An Experience from Lower Part of Deltaic West Bengal, India</t>
  </si>
  <si>
    <t>A Bivariate Nonstationary Extreme Values Analysis of Skew Surge and Significant Wave Height in the English Channel</t>
  </si>
  <si>
    <t>Finding Simplicity in the Complexity of Postseismic Coastal Uplift and Subsidence Following Great Subduction Earthquakes</t>
  </si>
  <si>
    <t>Water management infrastructure alters plant species composition, functional diversity and soil condition in a livestock-impaired mosaic of wetlands</t>
  </si>
  <si>
    <t>Human-centered flood mapping and intelligent routing through augmenting flood gauge data with crowdsourced street photos</t>
  </si>
  <si>
    <t>Impact of river erosion on variances in colluvial movement and type for landslides in the Polish Outer Carpathians</t>
  </si>
  <si>
    <t>Assessment of land-use change and its impact on the environment using GIS techniques: a case of Kolkata Municipal Corporation, West Bengal, India</t>
  </si>
  <si>
    <t>Urban Flood-Related Remote Sensing: Research Trends, Gaps and Opportunities</t>
  </si>
  <si>
    <t>Ecosystem services at risk in Italy from coastal inundation under extreme sea level scenarios up to 2050: A spatially resolved approach supporting climate change adaptation</t>
  </si>
  <si>
    <t>Study on the Opportunities Related to Coastal Vulnerability in Indonesia Using Bibliometric Analysis</t>
  </si>
  <si>
    <t>The effect of bottomset on fluviodeltaic land-building process: Numerical modelling and physical experiment</t>
  </si>
  <si>
    <t>Major, trace and rare earth elemental geochemistry of Santonian–Campanian onland-offshore transition in a Gilbert-type deltaic setting, Cauvery Basin, southern India</t>
  </si>
  <si>
    <t>Mangrove Recovery in Semiarid Coast Shows Increase of Ecological Processes from Biotic and Abiotic Drivers in Response to Hydrological Restoration</t>
  </si>
  <si>
    <t>Future changes in habitat availability for two specialist snake species in the imperiled rocklands of South Florida, USA</t>
  </si>
  <si>
    <t>Coastal subsidence detection and characterization caused by brine mining over the Yellow River Delta using time series InSAR and PCA</t>
  </si>
  <si>
    <t>Exploring the capabilities of electrical resistivity tomography to study subsea permafrost</t>
  </si>
  <si>
    <t>Increased rice yield and reduced greenhouse gas emissions through alternate wetting and drying in a triple-cropped rice field in the Mekong Delta</t>
  </si>
  <si>
    <t>Terrestrial or oceanic forcing? Water level variations in coastal lagoons constrained by river inflow and ocean tides</t>
  </si>
  <si>
    <t>Integrating Bayesian Networks to Forecast Sea-Level Rise Impacts on Barrier Island Characteristics and Habitat Availability</t>
  </si>
  <si>
    <t>Variability in Antarctic surface climatology across regional climate models and reanalysis datasets</t>
  </si>
  <si>
    <t>A conceptual flood model based on cellular automata for probabilistic risk applications.</t>
  </si>
  <si>
    <t>Dust storm ‘hot spots’ and Transport Pathways Affecting the Arabian Peninsula</t>
  </si>
  <si>
    <t>Quality Control of CyGNSS Reflectivity for Robust Spatiotemporal Detection of Tropical Wetlands</t>
  </si>
  <si>
    <t>Geographic information system data considerations in the context of the enhanced bathtub model for coastal inundation</t>
  </si>
  <si>
    <t>Ground Penetrating Radar in Coastal Hazard Mitigation Studies Using Deep Convolutional Neural Networks</t>
  </si>
  <si>
    <t>A Detailed Liquefaction Susceptibility Map of Nestos River Delta, Thrace, Greece Based on Surficial Geology and Geomorphology</t>
  </si>
  <si>
    <t>Assessing household perception, autonomous adaptation and economic value of adaptation benefits: Evidence from West Coast of Peninsular Malaysia</t>
  </si>
  <si>
    <t>Deformation and Volumetric Change in a Typical Retrogressive Thaw Slump in Permafrost Regions of the Central Tibetan Plateau, China</t>
  </si>
  <si>
    <t>A Comparative Analysis of Weighting Methods in Geospatial Flood Risk Assessment: A Trinidad Case Study</t>
  </si>
  <si>
    <t>Climate-driven decoupling of wetland and upland biomass trends on the mid-Atlantic coast</t>
  </si>
  <si>
    <t>Dispersion Processes in Weakly Dissipative Tidal Channels</t>
  </si>
  <si>
    <t>Sensitivity of Remote Sensing Floodwater Depth Calculation to Boundary Filtering and Digital Elevation Model Selections</t>
  </si>
  <si>
    <t>Negative Storm Surges in the Elbe Estuary—Large-Scale Meteorological Conditions and Future Climate Change</t>
  </si>
  <si>
    <t>The relationships between neighbourhood vacancy, probable PTSD, and health-related quality of life in flood-disaster-impacted communities</t>
  </si>
  <si>
    <t>Impacts of climate change on rivers and biodiversity in a water-scarce semi-arid region of the Western Cape, South Africa</t>
  </si>
  <si>
    <t>Spatial-temporal NDVI pattern of global mangroves: A growing trend during 2000–2018</t>
  </si>
  <si>
    <t>A Comprehensive Assessment of Floodwater Depth Estimation Models in Semiarid Regions</t>
  </si>
  <si>
    <t>Future inundation of coastal on-site wastewater treatment systems in a region with pronounced sea-level rise</t>
  </si>
  <si>
    <t>Surface Subsidence Monitoring Induced by Underground Coal Mining by Combining DInSAR and UAV Photogrammetry</t>
  </si>
  <si>
    <t>A new insight into coalbed methane occurrence and accumulation in the Qinshui Basin, China</t>
  </si>
  <si>
    <t>Rio (1992) to Glasgow (2021): Three decades of inadequate mitigation of climate change and its slow onset effects</t>
  </si>
  <si>
    <t>Assessment of the impact of climate change on urban flooding: A case study of Beijing, China</t>
  </si>
  <si>
    <t>Comprehensive assessment of 20 state-of-the-art multi-objective meta-heuristic algorithms for multi-reservoir system operation</t>
  </si>
  <si>
    <t>Hydrodynamics of a tidal inlet under gray to green coastal protection interventions</t>
  </si>
  <si>
    <t>Computing efficiency of XBeach hydro- and wave dynamics on Graphics Processing Units (GPUs)</t>
  </si>
  <si>
    <t>Vertical Saltwater Intrusion in Coastal Aquifers Driven by Episodic Flooding: A Review</t>
  </si>
  <si>
    <t>Monitoring detailed mangrove hurricane damage and early recovery using multisource remote sensing data</t>
  </si>
  <si>
    <t>More extensive land loss expected on coastal deltas due to rivers jumping course during sea-level rise</t>
  </si>
  <si>
    <t>Multivariable Integrated Evaluation of Hydrodynamic Modeling: A Comparison of Performance Considering Different Baseline Topography Data</t>
  </si>
  <si>
    <t>InSAR-based mapping of ground deformation caused by industrial waste disposals: the case study of the Huelva phosphogypsum stack, SW Spain</t>
  </si>
  <si>
    <t>Soil-geomorphological mapping of Samoylov Island based on UAV imaging</t>
  </si>
  <si>
    <t>Subsurface salinity distribution and evolution in low-permeability coastal areas after land reclamation: Field investigation</t>
  </si>
  <si>
    <t>Planning for Earthquakes and Tsunamis: Lessons from Japan for British Columbia, Canada</t>
  </si>
  <si>
    <t>Analysis of Spatial–Temporal Variations and Driving Factors of Typical Tail-Reach Wetlands in the Ili-Balkhash Basin, Central Asia</t>
  </si>
  <si>
    <t>Monsoon-Driven Geomorphological Changes Along the West Coast of Sri Lanka: A Combined Approach Utilizing ‘CoastSat’ and Google Earth Engine</t>
  </si>
  <si>
    <t>Disturbed boundaries extraction in coal–grain overlap areas with high groundwater levels using UAV-based visible and multispectral imagery</t>
  </si>
  <si>
    <t>An Efficient Modeling Approach for Probabilistic Assessments of Present-Day and Future Fluvial Flooding</t>
  </si>
  <si>
    <t>Quantification of geogenic carbon in anthropogenic alluvial coal soils of the Susquehanna River</t>
  </si>
  <si>
    <t>Development, hotspots and trend directions of groundwater salinization research in both coastal and inland areas: a bibliometric and visualization analysis from 1970 to 2021</t>
  </si>
  <si>
    <t>The Devil Is in the Tail Dependence: An Assessment of Multivariate Copula-Based Frameworks and Dependence Concepts for Coastal Compound Flood Dynamics</t>
  </si>
  <si>
    <t>Meshfree Methods in Geohazards Prevention: A Survey</t>
  </si>
  <si>
    <t>Flood anticipation, reality, and uncertainty, the 2019 flood in Khuzestan, Iran</t>
  </si>
  <si>
    <t>Precipitation Trends Analysis Using Gridded Dynamic Sampling Zones: Case Study Yangtze Delta Megalopolis</t>
  </si>
  <si>
    <t>Datasets for the assessment of changes in the incidence, extents, and spatial patterns of inundations in the Cambodian Mekong Delta, based on a water level – flood link calculated from in-situ water levels, and Sentinel-derived inundation maps</t>
  </si>
  <si>
    <t>Assessment of mercury enrichment in lake sediment records from Alberta Oil Sands development via fluvial and atmospheric pathways</t>
  </si>
  <si>
    <t>Observing tectonic-geomorphological changes along the Dawki Fault and adjoining areas of Sylhet, Bangladesh from 1980 to 2020 using remote sensing and GIS techniques</t>
  </si>
  <si>
    <t>Spatial characteristics of the stability of mangrove ecosystems in freshwater and seawater floods in Southeast Asia</t>
  </si>
  <si>
    <t>Climate risk perceptions and perceived yield loss increases agricultural technology adoption in the polder areas of Bangladesh</t>
  </si>
  <si>
    <t>Coastal groundwater model calibration using filtered and amplified hydraulic information retained in the freshwater–saltwater interface; [利用过滤和放大后的咸-淡水界面保留的水力信息校正海岸带地下水模型]; [Calage d’un modèle des eaux souterraines côtières utilisant l’information hydraulique filtrée et amplifiée contenue dans l’interface eau douce–eau salée]; [Calibração de modelo de águas subterrâneas costeiras utilizando informação hidráulica filtrada e ampliada retida na interface água doce–salgada]; [Calibración de modelos de aguas subterráneas en zonas costeras utilizando información hidráulica filtrada y amplificada en la interfaz agua dulce–agua salada]</t>
  </si>
  <si>
    <t>Multivariate Analysis of Compound Flood Hazard Across Canada's Atlantic, Pacific and Great Lakes Coastal Areas</t>
  </si>
  <si>
    <t>UAV-borne, LiDAR-based elevation modelling: a method for improving local-scale urban flood risk assessment</t>
  </si>
  <si>
    <t>Application of Geospatial Techniques to Determine Coastal Erosion and Accretion along the Ramanathapuram Shore, Tamil Nadu, India</t>
  </si>
  <si>
    <t>Effects of saltwater intrusion and sea level rise on aging and corrosion rates of iron pipes in water distribution and wastewater collection systems in coastal areas</t>
  </si>
  <si>
    <t>Automatic monitoring of surface water dynamics using Sentinel-1 and Sentinel-2 data with Google Earth Engine</t>
  </si>
  <si>
    <t>New Data of the 1755 Earthquake and Tsunami in Lisbon, Portugal</t>
  </si>
  <si>
    <t>A systematic review of coastal community adaptation practices in response to climate change-induced tidal inundation</t>
  </si>
  <si>
    <t>On the Influence of Antecedent Morphology on Development of Equilibrium Bathymetry in Estuaries Past and Future</t>
  </si>
  <si>
    <t>Simulation and Analysis of Sea-Level Change from Tide Gauge Station by using Artificial Neural Network Models; [Simulasi dan Analisis Perubahan Aras Laut dari Stesen Tolok Air Pasang Surut dengan menggunakan Model Rangkaian Neural Buatan]</t>
  </si>
  <si>
    <t>Super typhoons Hato and Mangkhut, part II: challenges in forecasting and early warnings</t>
  </si>
  <si>
    <t>Integration of satellite gravimetry, multispectral imagery and digital elevation model for investigating crustal deformation in the Niger Delta Basin</t>
  </si>
  <si>
    <t>Climate Change Vulnerability Assessment for the Major Habitats and Species in Lung Ngoc Hoang Nature Reserve, Vietnamese Mekong Delta</t>
  </si>
  <si>
    <t>GEOINFORMATION TECHNOLOGIES IN THE EVALUATION OF SHORT-TERM GEOMORPHIC CHANGE: AN EXAMPLE OF DAMDERE DEBRIS FLOOD AREA (BULGARIA)</t>
  </si>
  <si>
    <t>Impact of extreme events on the transformation of hydrological characteristics of Asia’s largest brackish water system, Chilika Lake</t>
  </si>
  <si>
    <t>Land Subsidence Detection in the Coastal Plain of Tabasco, Mexico Using Differential SAR Interferometry</t>
  </si>
  <si>
    <t>Lag in response of coastal barrier-island retreat to sea-level rise</t>
  </si>
  <si>
    <t>Modelling the sequential earthquake-tsunami response of coastal road embankment infrastructure</t>
  </si>
  <si>
    <t>Detection of Flash Flood Inundated Areas Using Relative Difference in NDVI from Sentinel-2 Images: A Case Study of the August 2020 Event in Charikar, Afghanistan</t>
  </si>
  <si>
    <t>Restoration of coastal ecosystems as an approach to the integrated mangrove ecosystem management and mitigation and adaptation to climate changes in north coast of East Java</t>
  </si>
  <si>
    <t>Creeping disaster along the U.S. coastline: Understanding exposure to sea level rise and hurricanes through historical development</t>
  </si>
  <si>
    <t>Andean retroarc-basin dune fields and Pampean Sand Sea (Argentina): Provenance and drainage changes driven by tectonics and climate</t>
  </si>
  <si>
    <t>Reconstructing subsurface sandbody connectivity from temporal evolution of surface networks</t>
  </si>
  <si>
    <t>An Integrated Approach to Coastal Zone Management to Control Development and Ensure Sustainability in a Rapidly Increasing Coastal Urban Environment: The Sultanate of Oman</t>
  </si>
  <si>
    <t>Comparative analysis of freely available digital elevation models for applications in multi-criteria environmental modeling over data limited regions</t>
  </si>
  <si>
    <t>Ice thickness and morphological analysis reveal the future glacial lake distribution and formation probability in the Tibetan Plateau and its surroundings</t>
  </si>
  <si>
    <t>Data-driven approach for 2D shoreline, and 3D volumetric change detection analysis: a case study for Jupiter inlet lighthouse outstanding natural area</t>
  </si>
  <si>
    <t>Invited perspectives: Managed realignment as a solution to mitigate coastal flood risks - optimizing success through knowledge co-production</t>
  </si>
  <si>
    <t>Anthropogenic influences on coastal environmental changes in the Mekong Delta: a study from Ben Tre Province, Southern Vietnam</t>
  </si>
  <si>
    <t>Effects of Typhoon on Saltwater Intrusion in a High Discharge Estuary</t>
  </si>
  <si>
    <t>Physical vulnerability of the coastal zone under wind farms influence of the cities of Pedra Grande and São Miguel do Gostoso/RN, Brazil; [Vulnerabilidade física e ambiental da zona costeira sob a influência de parques eólicos nos municípios de Pedra Grande e São Miguel do Gostoso/RN, Brasil]</t>
  </si>
  <si>
    <t>Developing Intensity-Duration-Frequency (IDF) Curves Based on Rainfall Cumulative Distribution Frequency (CDF) for Can Tho City, Vietnam</t>
  </si>
  <si>
    <t>Predicting Shoreline Change for the Agadir and Taghazout Coasts (Morocco)</t>
  </si>
  <si>
    <t>From Long- to Short-Term Inter-Plate Coupling at the Subducted Carnegie Ridge Crest, Offshore Central Ecuador</t>
  </si>
  <si>
    <t>Responding to transboundary water challenges in the Vietnamese Mekong Delta: In search of institutional fit</t>
  </si>
  <si>
    <t>Creating a climate changed future with the sea level rise interactive-fiction game “Lagos2199”</t>
  </si>
  <si>
    <t>Analysing Effects on Ground Water Levels Due to Conversion of Rural to Urban Landscapes</t>
  </si>
  <si>
    <t>Buyouts with rentbacks: a policy proposal for managing coastal retreat</t>
  </si>
  <si>
    <t>IMPROVING THE FACIES MODEL FOR SYN-ERUPTIVE FLUVIAL SUCCESSIONS: LESSONS FROM THE CHAITÉN VOLCANO AND BLANCO RIVER, CHILE</t>
  </si>
  <si>
    <t>Valuing ecosystem services and disservices of blue/green infrastructure. Evidence from a choice experiment in Vietnam</t>
  </si>
  <si>
    <t>A Review of Event Deposits in Lake Sediments</t>
  </si>
  <si>
    <t>Epibenthic microbial mats behavior as phosphorus sinks or sources in relation to biological and physicochemical conditions</t>
  </si>
  <si>
    <t>Towards a classification of vulnerability of small-scale fisheries</t>
  </si>
  <si>
    <t>Integrated Modeling of Dynamic Marsh Feedbacks and Evolution Under Sea-Level Rise in a Mesotidal Estuary (Plum Island, MA, USA)</t>
  </si>
  <si>
    <t>Coastal Flood Risks and the Business Community: Stakeholders’ Perception in Malta</t>
  </si>
  <si>
    <t>Mid- and Short-Term Monitoring of Sea Cliff Erosion based on Structure-from-Motion (SfM) Photogrammetry: Application of Two Differing Camera Systems for 3D Point Cloud Construction</t>
  </si>
  <si>
    <t>Dredging of the Shenzhen-Zhongshan Link in the Pearl River Estuary, China: Short-Term Siltation Mechanism for a Trial Trench</t>
  </si>
  <si>
    <t>New formulation of the two-dimensional steep-slope shallow water equations. Part I: Theory and analysis</t>
  </si>
  <si>
    <t>Formation mechanism of ground fissure at Beijing Capital International Airport revealed by high-resolution InSAR and numerical modelling</t>
  </si>
  <si>
    <t>High nutrient loads amplify carbon cycling across California and New York coastal wetlands but with ambiguous effects on marsh integrity and sustainability</t>
  </si>
  <si>
    <t>Future Thermodynamic Impacts of Global Warming on Landfalling Typhoons and Their Induced Storm Surges to the Pearl River Delta Region as Inferred from High-Resolution Regional Models</t>
  </si>
  <si>
    <t>Compound flooding in convergent estuaries: Insights from an analytical model</t>
  </si>
  <si>
    <t>Application of Unmanned Aerial Vehicle DEM in flood modeling and comparison with global DEMs: Case study of Atrak River Basin, Iran</t>
  </si>
  <si>
    <t>Systemic vulnerability of coastal territories to erosion and marine flooding: A conceptual and methodological approach applied to Brittany (France)</t>
  </si>
  <si>
    <t>Geo-spatial mapping and simulation of the sea level rise influence on groundwater head and upward land subsidence at the Rosetta coastal zone, Nile Delta, Egypt</t>
  </si>
  <si>
    <t>Continentality and Oceanicity as Indicators of the Current Ecological State of the Russian Far East</t>
  </si>
  <si>
    <t>Topography and morphodynamic study of intertidal mudflats along the eastern coast of the Gulf of Khambhat, India using remote sensing techniques</t>
  </si>
  <si>
    <t>Land deformation monitoring in the Taiyuan area based on PS-InSAR</t>
  </si>
  <si>
    <t>Very severe cyclonic storm “Gaja” and its impact off the Tamil Nadu coastline</t>
  </si>
  <si>
    <t>Random Forest Classification Method for Predicting Intertidal Wetland Migration Under Sea Level Rise</t>
  </si>
  <si>
    <t>The Current State of Deformation Parameters in the Nile Delta, Egypt, Using GNSS and Seismological Data</t>
  </si>
  <si>
    <t>Understanding the effects of digital elevation model resolution and building treatment for urban flood modelling</t>
  </si>
  <si>
    <t>Managing estuaries under a changing climate: A case study of the Humber Estuary, UK</t>
  </si>
  <si>
    <t>Eutopian and Dystopian Water Resource Systems Design and Operation—Three Irish Case Studies</t>
  </si>
  <si>
    <t>Salt-tolerant plant moderates the effect of salinity on soil organic carbon mineralization in a subtropical tidal wetland</t>
  </si>
  <si>
    <t>Using Multidisciplinary Analysis to Develop Adaptation Options against Extreme Coastal Floods</t>
  </si>
  <si>
    <t>Households’ perceptions and socio-economic determinants of climate change awareness: Evidence from Selangor Coast Malaysia</t>
  </si>
  <si>
    <t>Comparison of analytic network process and artificial neural network models for flash flood susceptibility assessment</t>
  </si>
  <si>
    <t>Estimation of the Madeira floodplain dynamics from 2008 to 2018</t>
  </si>
  <si>
    <t>Accelerating sea-level rise and the fate of mangrove plant communities in South Florida, U.S.A.</t>
  </si>
  <si>
    <t>Multilevel multifidelity Monte Carlo methods for assessing uncertainty in coastal flooding</t>
  </si>
  <si>
    <t>Morphological wave attenuation of the nature-based flood defense: A case study from Chongming Dongtan Shoal, China</t>
  </si>
  <si>
    <t>Geomorphological controls on the coastal response under projected sea level rise: A case study at an oceanic island (Trindade, Brazil)</t>
  </si>
  <si>
    <t>Vertical Ground Displacements and Its Impact on Erosion along the Karachi Coastline, Pakistan</t>
  </si>
  <si>
    <t>Thresholds in Road Network Functioning on US Atlantic and Gulf Barrier Islands</t>
  </si>
  <si>
    <t>Rural households' food security and its determinants in coastal regions of Bangladesh</t>
  </si>
  <si>
    <t>Coastal Erosion and Flooding Threaten Low-Lying Coastal Tracts at Lipari (Aeolian Islands, Italy)</t>
  </si>
  <si>
    <t>Rapid flash flood calamity in Chamoli, Uttarakhand region during Feb 2021: an analysis based on satellite data</t>
  </si>
  <si>
    <t>Interplay of River and Tidal Forcings Promotes Loops in Coastal Channel Networks</t>
  </si>
  <si>
    <t>Quaternary Evolutionary Stages of Selinitsa Cave (SW Peloponnese, Greece) Reveal Sea-Level Changes Based on 3D Scanning, Geomorphological, Biological, and Sedimentological Indicators</t>
  </si>
  <si>
    <t>Tidal frequencies and quasiperiodic subsurface water level variations dominate redox dynamics in a salt marsh system</t>
  </si>
  <si>
    <t>Flood Risks, Mangrove Ecosystem and Coastal Megacities: Assessing the Adaptation Benefits of Mangrove Ecosystem to Urban Flood Risk in the H/E Ward of Mumbai</t>
  </si>
  <si>
    <t>The Western Cameroon Highland margin: Is there any geomorphometric evidence of active tectonics?</t>
  </si>
  <si>
    <t>Analysis and evaluation of surface water changes in the lower reaches of the Yangtze River using Sentinel-1 imagery</t>
  </si>
  <si>
    <t>Multidimensional hazards, vulnerabilities, and perceived risks regarding climate change and Covid-19 at the city level: An empirical study from Haifa, Israel</t>
  </si>
  <si>
    <t>Assessment of Open Access Global Elevation Model Errors Impact on Flood Extents in Southern Niger</t>
  </si>
  <si>
    <t>Global sensitivity analysis in hydrodynamic modeling and flood inundation mapping</t>
  </si>
  <si>
    <t>The impact of climate change on land degradation along with shoreline migration in Ghoramara Island, India</t>
  </si>
  <si>
    <t>Automatic classification and mapping of the seabed using airborne LiDAR bathymetry</t>
  </si>
  <si>
    <t>The Effect of Harbor Developments on Future High-Tide Flooding in Miami, Florida</t>
  </si>
  <si>
    <t>Geomorphic characterization of a seasonal river network in semi-arid western India using the River Styles Framework</t>
  </si>
  <si>
    <t>Assessing the future of an intertidal seagrass meadow in response to sea level rise with a hybrid ecogeomorphic model of elevation change</t>
  </si>
  <si>
    <t>Saltwater Intrusion into Coastal Aquifers and Associated Risk Management: Critical Review and Research Directives</t>
  </si>
  <si>
    <t>Land use and land cover change and its impact on river morphology in Johor River Basin, Malaysia</t>
  </si>
  <si>
    <t>Forensic analysis and numerical simulation of a catastrophic landslide of dissolved and fractured rock slope subject to underground mining</t>
  </si>
  <si>
    <t>Characterizing multivariate coastal flooding events in a semi-arid region: The implications of copula choice, sampling, and infrastructure</t>
  </si>
  <si>
    <t>Complex rupture of the 2015mw 8.3 illapel earthquake and prehistoric events in the central chile tsunami gap</t>
  </si>
  <si>
    <t>Assessment of the flood mitigation ecosystem service in a coastal wetland and potential impact of future urban development in Chile</t>
  </si>
  <si>
    <t>Groundwater Rise and Associated Flooding in Coastal Settlements Due To Sea-Level Rise: A Review of Processes and Methods</t>
  </si>
  <si>
    <t>Feedback Effects of Sediment Suspensions on Transport Mechanisms in an Estuarine Turbidity Maximum</t>
  </si>
  <si>
    <t>Spatial and temporal predictions of whooping crane (Grus americana) habitat along the US Gulf Coast</t>
  </si>
  <si>
    <t>Elastic and Inelastic Ground Deformation in Shanghai Lingang Area Revealed by Sentinel-1, Leveling, and Groundwater Level Data</t>
  </si>
  <si>
    <t>Digital mapping of soil erodibility factor in northwestern Iran using machine learning models</t>
  </si>
  <si>
    <t>Generating reliable estimates of tropical-cyclone-induced coastal hazards along the Bay of Bengal for current and future climates using synthetic tracks</t>
  </si>
  <si>
    <t>Influence of Gate Dams on Yellow River Delta Wetlands</t>
  </si>
  <si>
    <t>Potential sea-level rise effects on the hydrodynamics and transport processes in Hudson–Raritan Estuary, NY–NJ</t>
  </si>
  <si>
    <t>Restoring human freedoms: from utilitarianism to a capability approach to wetland restoration in Louisiana’s coastal master plan</t>
  </si>
  <si>
    <t>Stage-based flood inundation mapping</t>
  </si>
  <si>
    <t>Soil Moisture Influence on the FTIR Spectrum of Salt-Affected Soils</t>
  </si>
  <si>
    <t>Reclamation of Tidal Flats Within Tidal Basins Alters Centennial Morphodynamic Adaptation to Sea-Level Rise</t>
  </si>
  <si>
    <t>Hydrologic similarity based on width function and hypsometry: An unsupervised learning approach</t>
  </si>
  <si>
    <t>Assessment of the Coastal Sensitivity in the Southern Mediterranean Using the CSI</t>
  </si>
  <si>
    <t>Improving the performance of city-scale hydrodynamic flood modelling through a GIS-based DEM correction method</t>
  </si>
  <si>
    <t>Wave attenuation potential, sediment properties and mangrove growth dynamics data over Guyana's intertidal mudflats: Assessing the potential of mangrove restoration works</t>
  </si>
  <si>
    <t>A Framework for Cloud to Coast Adaptation: Maturity and Experiences from across the North Sea</t>
  </si>
  <si>
    <t>Novel Combined Approach of GIS and Electrical Tomography to Identify Marsh/Lake at Kastrouli Late Mycenaean Settlement (Desfina, Greece)</t>
  </si>
  <si>
    <t>SPH–DEM coupling method based on GPU and its application to the landslide tsunami. Part II: reproduction of the Vajont landslide tsunami</t>
  </si>
  <si>
    <t>Feedback thresholds between coastal retreat and landslide activity</t>
  </si>
  <si>
    <t>Application of Multi-Channel Convolutional Neural Network to Improve DEM Data in Urban Cities</t>
  </si>
  <si>
    <t>Interactions between Dongsha Atoll and Mw 9 Tsunamis and their Impacts in South China Sea Region</t>
  </si>
  <si>
    <t>Simplified Marsh Response Model (SMRM): A Methodological Approach to Quantify the Evolution of Salt Marshes in a Sea-Level Rise Context</t>
  </si>
  <si>
    <t>Nature-Based Solutions in Coastal and Estuarine Areas of Europe</t>
  </si>
  <si>
    <t>Delta-scale solutions for human-scale needs</t>
  </si>
  <si>
    <t>Merging Landsat and airborne LiDAR observations for continuous monitoring of floodplain water extent, depth and volume</t>
  </si>
  <si>
    <t>Impact of Estuarine Dams on the Estuarine Parameter Space and Sediment Flux Decomposition: Idealized Numerical Modeling Study</t>
  </si>
  <si>
    <t>Factors Affecting Risk Attitude of Rice Farmers: Evidence from Vietnam’s Mekong Delta</t>
  </si>
  <si>
    <t>A framework for detecting stage-discharge hysteresis due to flow unsteadiness: Application to France's national hydrometry network</t>
  </si>
  <si>
    <t>Long-term assessments are critical to determining persistence and shoreline protection from oyster reef nature-based coastal defenses</t>
  </si>
  <si>
    <t>Sea level rise and climate change acting as interactive stressors on development and dynamics of tropical peatlands in coastal Sumatra and South Borneo since the Last Glacial Maximum</t>
  </si>
  <si>
    <t>A review of hydro-geomorphic studies in the Ganga Plains: the emergence of a new interdisciplinary area of research</t>
  </si>
  <si>
    <t>Flash Flood Risk Assessment and Mitigation in Digital-Era Governance Using Unmanned Aerial Vehicle and GIS Spatial Analyses Case Study: Small River Basins</t>
  </si>
  <si>
    <t>Data-assimilation-based parameter estimation of bathymetry and bottom friction coefficient to improve coastal accuracy in a global tide model</t>
  </si>
  <si>
    <t>Late Pennsylvanian vegetation changes in the Donets Basin: syndynamic aspect</t>
  </si>
  <si>
    <t>Remote Sensing and Field Survey Data Integration to Investigate on the Evolution of the Coastal Area: The Case Study of Bagnara Calabra (Southern Italy)</t>
  </si>
  <si>
    <t>Challenges of Managing Maritime Cultural Heritage in Asia in the Face of Climate Change</t>
  </si>
  <si>
    <t>Political ecologies of resettlement in river deltas</t>
  </si>
  <si>
    <t>Quantitative Stress Test of Compound Coastal-Fluvial Floods in China's Pearl River Delta</t>
  </si>
  <si>
    <t>Last Interglacial sea-level data points from Northwest Europe</t>
  </si>
  <si>
    <t>Inundation Resilience Analysis of Metro-Network from a Complex System Perspective Using the Grid Hydrodynamic Model and FBWM Approach: A Case Study of Wuhan</t>
  </si>
  <si>
    <t>Enhancing disaster risk resilience using greenspace in urbanising Quito, Ecuador</t>
  </si>
  <si>
    <t>Monitoring Extractive Activity-Induced Surface Subsidence in Highland and Alpine Opencast Coal Mining Areas with Multi-Source Data</t>
  </si>
  <si>
    <t>Virtual outcrop-based analysis of channel and crevasse splay sandstone body architecture in the Middle Jurassic Ravenscar Group, Yorkshire, NE England</t>
  </si>
  <si>
    <t>Beyond the vulnerability/resilience dichotomy: Perceptions of and responses to the climate crisis on Emau, Vanuatu</t>
  </si>
  <si>
    <t>The potential of disaster digital archives in disaster education: The case of the Japan disasters digital archive (JDA) and its geo-location functions</t>
  </si>
  <si>
    <t>Indices of Coastal Vulnerability to Climate Change: a Review</t>
  </si>
  <si>
    <t>Assessment of long and short-term flood risk using the multi-criteria analysis model with the AHP-Entropy method in Poyang Lake basin</t>
  </si>
  <si>
    <t>Systematic Comparison of Tsunami Simulations on the Chilean Coast Based on Different Numerical Approaches</t>
  </si>
  <si>
    <t>The impact of coastal development on land surface temperature in the mangrove ecosystem of the Chattogram coast in Bangladesh</t>
  </si>
  <si>
    <t>Adding baroclinicity to a global operational model for forecasting total water level: Approach and impact</t>
  </si>
  <si>
    <t>Wave-current interactions at the Tagus Estuary Mouth (Portugal) under storm wave conditions</t>
  </si>
  <si>
    <t>Remotely sensed time series of rapid terrace formation: Laguna del Viedma valley (Patagonia); [Series temporales de teledetección de la formación rápida de terrezas: valle de la Laguna del Viedma (Patagonia)]</t>
  </si>
  <si>
    <t>Where rivers jump course</t>
  </si>
  <si>
    <t>Effect of DEM resolution in flood modeling: a case study of Gorganrood River, Northeastern Iran</t>
  </si>
  <si>
    <t>Sea level rise drives carbon and habitat loss in the U.S. mid-Atlantic coastal zone</t>
  </si>
  <si>
    <t>The impact of a bias-correction approach (delta change) applied directly to hydrological model output when modelling the severity of ice jam flooding under future climate scenarios</t>
  </si>
  <si>
    <t>Assessing the societal adoptability of participatory water management: an application of the Motivation and Ability (MOTA) framework</t>
  </si>
  <si>
    <t>Datasets of land use change and flood dynamics in the vietnamese mekong delta</t>
  </si>
  <si>
    <t>Towards principles and policy levers for advancing living shorelines</t>
  </si>
  <si>
    <t>Studying the effect of sea level rise on nuisance flooding due to groundwater in a coastal urban area with aging infrastructure</t>
  </si>
  <si>
    <t>Surface Elevation Change Dynamics in Coastal Marshes Along the Northwestern Gulf of Mexico: Anticipating Effects of Rising Sea-Level and Intensifying Hurricanes</t>
  </si>
  <si>
    <t>Environmental Viability Analysis of Connected European Inland–Marine Waterways and Their Services in View of Climate Change</t>
  </si>
  <si>
    <t>Impact of El Niño–Southern Oscillation (ENSO) on the Precipitable Water Vapor in Thailand from Long Term GPS Observation</t>
  </si>
  <si>
    <t>Hydro-Geomorphic Metrics for High Resolution Fluvial Landscape Analysis</t>
  </si>
  <si>
    <t>Analysis of the Periodic Component of Vertical Land Motion in the Po Delta (Northern Italy) by GNSS and Hydrological Data</t>
  </si>
  <si>
    <t>Land Cover and Land Use Mapping of the East Asian Summer Monsoon Region from 1982 to 2015</t>
  </si>
  <si>
    <t>Predicted Sea-Level Rise-Driven Biogeomorphological Changes on Fire Island, New York: Implications for People and Plovers</t>
  </si>
  <si>
    <t>What does transverse furrow train in scabland-like topography originate from? The unique records of upper-flow-regime bedforms of a glacial lake-outburst flood in NE Poland</t>
  </si>
  <si>
    <t>Submarine Landslide Susceptibility Mapping in Recently Deglaciated Terrain, Glacier Bay, Alaska</t>
  </si>
  <si>
    <t>Complex drivers of reef-fronted beach change</t>
  </si>
  <si>
    <t>An Improved Groundwater Model Framework for Aquifer Structures of the Quaternary-Formed Sediment Body in the Southernmost Parts of the Mekong Delta, Vietnam</t>
  </si>
  <si>
    <t>Impacts of Hurricane Irma (2017) on wave-induced ocean transport processes</t>
  </si>
  <si>
    <t>Transdisciplinary, Co-Designed and Adaptive Management for the Sustainable Development of Rongcheng, a Coastal City in China in the Context of Human Activities and Climate Change</t>
  </si>
  <si>
    <t>Applying Google earth engine for flood mapping and monitoring in the downstream provinces of Mekong river</t>
  </si>
  <si>
    <t>Applicability Study of a Global Numerical Weather Prediction Model MPAS to Storm Surges and Waves in the South Coast of Korea</t>
  </si>
  <si>
    <t>Evacuation behaviors in tsunami drills</t>
  </si>
  <si>
    <t>Maximising resilience to sea-level rise in urban coastal ecosystems through systematic conservation planning</t>
  </si>
  <si>
    <t>Systematic Study of Legacy Phosphorus (P) Desorption Mechanisms in High-P Agricultural Soils</t>
  </si>
  <si>
    <t>Land subsidence and environmental threats in coastal aquifers under sea level rise and over-pumping stress</t>
  </si>
  <si>
    <t>Ice-dominated Arctic deltas</t>
  </si>
  <si>
    <t>Australian Coastal Sea Level Trends Over 16 yr of Reprocessed Jason Altimeter 20-Hz Data Sets</t>
  </si>
  <si>
    <t>Estimating the costs and benefits of protecting a coastal amenity from climate change-related hazards: Nature based solutions via oyster reef restoration versus grey infrastructure</t>
  </si>
  <si>
    <t>The sedimentation of whiteness as landscape</t>
  </si>
  <si>
    <t>Measuring Coastal Subsidence after Recent Earthquakes in Chile Central Using SAR Interferometry and GNSS Data</t>
  </si>
  <si>
    <t>New systematically measured sand mining budget for the Mekong Delta reveals rising trends and significant volume underestimations</t>
  </si>
  <si>
    <t>Assessment of Proglacial Lakes in Sikkim Himalaya, India for Glacial Lake Outburst Flood (GLOF) Risk Analysis using HEC-RAS and Geospatial Techniques</t>
  </si>
  <si>
    <t>Sea level rise induced impacts on coastal areas of Bangladesh and local-led community-based adaptation</t>
  </si>
  <si>
    <t>Spatial variation in the biotic and abiotic filters of oyster recruitment: Implications for restoration</t>
  </si>
  <si>
    <t>A numerical study of storm surge behavior in and around Lingdingyang Bay, Pearl River Estuary, China</t>
  </si>
  <si>
    <t>Land use change in the Vietnamese Mekong Delta: New evidence from remote sensing</t>
  </si>
  <si>
    <t>Peak Water Level Response to Channel Deepening Depends on Interaction Between Tides and the River Flow</t>
  </si>
  <si>
    <t>Climate risk insurance in Pacific Small Island Developing States: possibilities, challenges and vulnerabilities—a comprehensive review</t>
  </si>
  <si>
    <t>Spatial–temporal evolution pattern and prediction analysis of flood disasters in China in recent 500 years</t>
  </si>
  <si>
    <t>Coastal Wetland Responses to Sea Level Rise: The Losers and Winners Based on Hydro-Geomorphological Settings</t>
  </si>
  <si>
    <t>Flood risk of embanked areas and potential use of dredge spoils as mitigation measures in the southwest region of the Ganges–Brahmaputra–Meghna Delta, Bangladesh</t>
  </si>
  <si>
    <t>Evaluation of Wave Contributions in Hurricane Irma Storm Surge Hindcast</t>
  </si>
  <si>
    <t>Simulation of Glacial Lake Outburst Flood in Southeastern Qinghai-Tibet Plateau—A Case Study of JiwenCo Glacial Lake</t>
  </si>
  <si>
    <t>Spatiotemporal Patterns of Leymus arenarius Nebkhas during Early Primary Succession on the Sub-Arctic Coastal Sand Plains of Iceland</t>
  </si>
  <si>
    <t>Long-term hydrological alterations and the agricultural landscapes in the Mekong Delta: Insights from remote sensing and national statistics</t>
  </si>
  <si>
    <t>Social vulnerability of coastal fish farming community to tidal (Rob) flooding: a case study from Indramayu, Indonesia</t>
  </si>
  <si>
    <t>The role of morphodynamics in predicting coastal flooding from storms on a dissipative beach with sea level rise conditions</t>
  </si>
  <si>
    <t>Statistically examining the connection between dike development and human perceptions in the floodplains' socio-hydrology system of Vietnamese Mekong Delta</t>
  </si>
  <si>
    <t>Assessment of groundwater sustainable development considering geo-environment stability and ecological environment: a case study in the Pearl River Delta, China</t>
  </si>
  <si>
    <t>The social construction of risk: A local perspective of the vulnerability of artisanal fisheries to climate change</t>
  </si>
  <si>
    <t>Planform evolution and hydrodynamics near the multi-channel confluence between the Yarlung Zangbo River and the delta of the Niyang River</t>
  </si>
  <si>
    <t>A geospatial assessment of growth pattern of aquaculture in the Indian Sundarbans Biosphere Reserve</t>
  </si>
  <si>
    <t>The impact of peripheral circulation characteristics of typhoon on sustained ozone episodes over the Pearl River Delta region, China</t>
  </si>
  <si>
    <t>Impacts of Storm Surge Barriers on Drag, Mixing, and Exchange Flow in a Partially Mixed Estuary</t>
  </si>
  <si>
    <t>A Numerical Simulation of the Development Process of a Mesoscale Convection Complex Causing Severe Rainstorm in the Yangtze River Delta Region behind a Northward Moving Typhoon</t>
  </si>
  <si>
    <t>Inundation of Stormwater Infrastructure Is Common and Increases Risk of Flooding in Coastal Urban Areas Along the US Atlantic Coast</t>
  </si>
  <si>
    <t>Assessing the Meteorological Impacts of Time-Varying Land Cover in the Intertidal Zone</t>
  </si>
  <si>
    <t>Establishment of flood hazard mapping based on simulating rainfall intensity-duration-frequency curve for the Ca Mau Peninsula of Vietnam</t>
  </si>
  <si>
    <t>The worst 2020 saline water intrusion disaster of the past century in the Mekong Delta: Impacts, causes, and management implications</t>
  </si>
  <si>
    <t>Implications of Coastal Conditions and Sea-Level Rise on Mangrove Vulnerability: A Bio-Morphodynamic Modeling Study</t>
  </si>
  <si>
    <t>Storm surge damage interpretation by satellite imagery: case review</t>
  </si>
  <si>
    <t>Spatial Mapping of Dissolved Gases in the Danube Delta Reveals Intense Plant-Mediated Gas Transfer</t>
  </si>
  <si>
    <t>The Cambodian Mekong floodplain under future development plans and climate change</t>
  </si>
  <si>
    <t>Modelling wave attenuation by saltmarsh using satellite-derived vegetation properties</t>
  </si>
  <si>
    <t>Correlation of wind waves and sea level variations on the coast of the seasonally ice-covered Gulf of Finland</t>
  </si>
  <si>
    <t>Sea Storm Analysis: Evaluation of Multiannual Wave Parameters Retrieved from HF Radar and Wave Model</t>
  </si>
  <si>
    <t>Comparison of different quantile delta mapping schemes in frequency analysis of precipitation extremes over mainland Southeast Asia under climate change</t>
  </si>
  <si>
    <t>Dynamic spatio-temporal flow modeling with raster DEMs</t>
  </si>
  <si>
    <t>The legacy of vulnerability to floods in the Tana River, Kenya</t>
  </si>
  <si>
    <t>Modeling the impact of sea level rise on maximum water elevation during storm surge events: a closer look at coastal embayments</t>
  </si>
  <si>
    <t>Modelling and spectral analysis of sea-level trend over Indian coastal area</t>
  </si>
  <si>
    <t>Accounting for uncertainty in real-time flood inundation mapping using HAND model: Iowa case study</t>
  </si>
  <si>
    <t>Flood disaster risk assessment of and countermeasures toward Yangtze River Delta by considering index interaction</t>
  </si>
  <si>
    <t>Multi-proxy characterization of storm deposits on Sanibel Island, Florida: A modern analog for paleotempestology</t>
  </si>
  <si>
    <t>A quantitative multi-hazard risk assessment framework for compound flooding considering hazard inter-dependencies and interactions</t>
  </si>
  <si>
    <t>Flood Depth Estimation during Hurricane Harvey Using Sentinel-1 and UAVSAR Data</t>
  </si>
  <si>
    <t>Sustainable development of coastal cities through control of land subsidence: Activities of IGCP Project 663 in Jakarta</t>
  </si>
  <si>
    <t>Quantifying vertical land motion at tide gauge sites using permanent scatterer interferometric synthetic aperture radar and global navigation satellite system solutions</t>
  </si>
  <si>
    <t>Investigating the present status, spatial change, and emerging issues related to riparian wetlands of Bhagirathi–Jalangi Floodplain (BJF) in lower deltaic West Bengal, India</t>
  </si>
  <si>
    <t>Sea-level rise in Hai Phong coastal area (Vietnam) and its response to ENSO-evidence from tide gauge measurement of 1960-2020</t>
  </si>
  <si>
    <t>Spatiotemporal Variation and Circulation Characteristics of Extreme Maximum Temperature Events in East China (1961–2020)</t>
  </si>
  <si>
    <t>Ecological challenges* for the use of soil and water bioengineering techniques in river and coastal engineering projects</t>
  </si>
  <si>
    <t>The use of multivariate PCA dataset in identifying the underlying drivers of critical stressors, looking at global problems through a local lens</t>
  </si>
  <si>
    <t>Experimental investigation on the mechanical properties of thawed deep permafrost from the Kuparuk River Delta of the North Slope of Alaska</t>
  </si>
  <si>
    <t>Trends in Europe storm surge extremes match the rate of sea-level rise</t>
  </si>
  <si>
    <t>Mapping and assessment of future changes in the coastal and marine ecosystem services supply in Lithuania</t>
  </si>
  <si>
    <t>Improving salt leaching efficiency of subsurface drainage systems using low-permeability surface mulch</t>
  </si>
  <si>
    <t>Remote Sensing to Characterize River Floodplain Structure and Function</t>
  </si>
  <si>
    <t>Multi-technique geodetic detection of onshore and offshore subsidence along the Upper Adriatic Sea coasts</t>
  </si>
  <si>
    <t>Potential Impacts of Future Extreme Precipitation Changes on Flood Engineering Design Across the Contiguous United States</t>
  </si>
  <si>
    <t>Transboundary River Cooperation in Mekong Basin: A Sub-regional Perspective</t>
  </si>
  <si>
    <t>Designing for coastal wastewater resiliency—WWTP hardening in Fairfield, Connecticut</t>
  </si>
  <si>
    <t>Dealing with Multisource Information for Estuarine Flood Risk Appraisal in Two Western European Coastal Areas</t>
  </si>
  <si>
    <t>Estimation of land subsidence potential via distributed fiber optic sensing</t>
  </si>
  <si>
    <t>Evaluating the reliability of synthetic rating curves for continental scale flood mapping</t>
  </si>
  <si>
    <t>Narrow is normal: Exploring the extent and significance of flooded marine shelves in icehouse, transitional, and greenhouse climate settings</t>
  </si>
  <si>
    <t>Climate change and livelihood vulnerability of the rice farmers in the North Central Region of Vietnam: A case study in Nghe An province, Vietnam</t>
  </si>
  <si>
    <t>Automated classification of A-DInSAR-based ground deformation by using random forest</t>
  </si>
  <si>
    <t>Climate adaptation to Multi-Hazard climate related risks in ten Indonesian Cities: Ambitions and challenges</t>
  </si>
  <si>
    <t>A Novel Framework for Parametric Analysis of Coastal Transition Zone Modeling</t>
  </si>
  <si>
    <t>‘How would an extreme flood have behaved if flood protection works were built?’ the case of the disastrous flash flood of November 2017 in Mandra, Attica, Greece</t>
  </si>
  <si>
    <t>An Extreme High Temperature Event in Coastal East Antarctica Associated With an Atmospheric River and Record Summer Downslope Winds</t>
  </si>
  <si>
    <t>Flood stages assessment using open source 1D hydrodynamic modelling in data scarce region</t>
  </si>
  <si>
    <t>Simulation of an Extreme Precipitation Event Using Ensemble-Based WRF Model in the Southeastern Coastal Region of China</t>
  </si>
  <si>
    <t>The influence of infragravity waves on the safety of coastal defences: A case study of the Dutch Wadden Sea</t>
  </si>
  <si>
    <t>Digital Elevation Model-Derived Morphometric Indices for Physical Characterization of the Issen Basin (Western High Atlas of Morocco)</t>
  </si>
  <si>
    <t>METHODOLOGY FOR MAPPING AREAS UNDER TORRENTIAL FLOOD RISK: CASE STUDY - THE REBROVAČKI BROOK BASIN / BANJA LUKA MUNICIPALITY (B&amp;H)</t>
  </si>
  <si>
    <t>Anatomy of Anthropically Controlled Natural Lagoons through Geophysical, Geological, and Remote Sensing Observations: The Valli Di Comacchio (NE Italy) Case Study</t>
  </si>
  <si>
    <t>Heterogeneity of values for coastal flood risk management with nature-based solutions</t>
  </si>
  <si>
    <t>Lessons learnt from Typhoons Fitow and In-Fa: implications for improving urban flood resilience in Asian Coastal Cities</t>
  </si>
  <si>
    <t>Technology and policy integration: modelling morphometric characterization and land use change using artificial neural networks in the Western Amazon; [Integração de tecnlogia e política: modelando caracterização moformétrica e mudança de uso da terra usando redes neurais artificiais na Amazônia Ocidental]</t>
  </si>
  <si>
    <t>Research and application of the mathematical model for extreme weather event in coastal urban areas</t>
  </si>
  <si>
    <t>Observations and Simulated Mechanisms of Elevation-Dependent Warming over the Tropical Andes</t>
  </si>
  <si>
    <t>The 2021 Western Germany flood event: The value of flood risk dissemination strategies and social media</t>
  </si>
  <si>
    <t>Implications of Flood Risk Reduction Interventions on Community Resilience: An Assessment of Community Perception in Bangladesh</t>
  </si>
  <si>
    <t>A novel approach to partitioning evapotranspiration into evaporation and transpiration in flooded ecosystems</t>
  </si>
  <si>
    <t>Trade-off between microbial carbon use efficiency and microbial phosphorus limitation under salinization in a tidal wetland</t>
  </si>
  <si>
    <t>Geomorphological Analysis and Distribution of Landform of Erbil Masterplan Layout, 2030</t>
  </si>
  <si>
    <t>Landform Development of Kimotsuki Plain before Deposition of Osumi Pumice Fall, Kyushu, Japan: Formation of Buried Ata Welded Ignimbrite Plateau beneath Ito Ignimbrite</t>
  </si>
  <si>
    <t>Characterization and assessment of flood inundated areas of lower Brahmaputra River Basin using multitemporal Synthetic Aperture Radar data: A case study from NE India</t>
  </si>
  <si>
    <t>Inter-Model Comparison of Delft3D-FM and 2D HEC-RAS for Total Water Level Prediction in Coastal to Inland Transition Zones</t>
  </si>
  <si>
    <t>Decarbonizing the Global Electricity Sector through Demand-Side Management: A Systematic Critical Review of Policy Responses; [Penyahkarbonan Sektor Elektrik Global Melalui Pengurusan Sebelah Permintaan: Kajian Kritikal Sistematik Terhadap Tindak Balas Dasar]</t>
  </si>
  <si>
    <t>Understanding the Past-Present-Future Hydrogeologic System Through Numerical Groundwater Modeling of South Bengal Basin, India</t>
  </si>
  <si>
    <t>Shifting Baselines May Undermine Shoreline Management Efforts in the United States</t>
  </si>
  <si>
    <t>Flash Flood Water Depth Estimation Using SAR Images, Digital Elevation Models, and Machine Learning Algorithms</t>
  </si>
  <si>
    <t>Evaluating essential processes and forecast requirements for meteotsunami-induced coastal flooding</t>
  </si>
  <si>
    <t>A geometrically and locally adaptive remeshing method for finite difference modeling of mining-induced surface subsidence</t>
  </si>
  <si>
    <t>Towards ice-thickness inversion: An evaluation of global digital elevation models (DEMs) in the glacierized Tibetan Plateau</t>
  </si>
  <si>
    <t>Variations in community perceptions of ecosystem services within the Tana River estuary, Kenya: Implications for ocean governance</t>
  </si>
  <si>
    <t>Slope Break and Avulsion Locations Scale Consistently in Global Deltas</t>
  </si>
  <si>
    <t>To Plant or Not to Plant: When can Planting Facilitate Mangrove Restoration?</t>
  </si>
  <si>
    <t>Australian Coastal Flooding Trends and Forcing Factors</t>
  </si>
  <si>
    <t>The 1513 Monte Crenone rock avalanche: Numerical model and geomorphological analysis</t>
  </si>
  <si>
    <t>Enhancing a Coastal Territorial Vulnerability Index: Anticipating the Impacts of Coastal Flooding with a Local Scale Approach</t>
  </si>
  <si>
    <t>Factoring Climate Change Risks in the Wetland Ecosystems Governance: A Policy Look Ahead</t>
  </si>
  <si>
    <t>Permafrost Base Degradation: Characteristics and Unknown Thread With Specific Example From Hornsund, Svalbard</t>
  </si>
  <si>
    <t>Riemann Problem for a Class of Non-strictly Hyperbolic Systems of Conservation Laws</t>
  </si>
  <si>
    <t>Micromorphological features of medieval cultural layers formed in different environmental backgrounds; [Rasgos micromorfológicos de las capas culturales medievales formadas en diferentes entornos ambientales]</t>
  </si>
  <si>
    <t>Towards a Monitoring Approach for Understanding Permafrost Degradation and Linked Subsidence in Arctic Peatlands</t>
  </si>
  <si>
    <t>Factors Influencing Smallholder Rice Farmers’ Vulnerability to Climate Change and Variability in the Mekong Delta Region of Vietnam</t>
  </si>
  <si>
    <t>Layered seawater intrusion and melt under grounded ice</t>
  </si>
  <si>
    <t>Numerical Investigation of Climate Change Effects on Storm Surges and Extreme Waves on Canada’s Pacific Coast</t>
  </si>
  <si>
    <t>Effect of Agricultural Land-Use Patterns on Soil Organic Carbon Stock in the Upper Vietnamese Mekong Delta</t>
  </si>
  <si>
    <t>Tracking transient boreal wetland inundation with Sentinel-1 SAR: Peace-Athabasca Delta, Alberta and Yukon Flats, Alaska</t>
  </si>
  <si>
    <t>Flood impact on the Spanish Mediterranean coast since 1960 based on the prevailing synoptic patterns</t>
  </si>
  <si>
    <t>Monitoring the Deformation of the Western part of the Nile Delta, Egypt Using Sentinel-1A and Seismicity Data</t>
  </si>
  <si>
    <t>Remote sensing estimation of the flood storage capacity of basin-scale lakes and reservoirs at high spatial and temporal resolutions</t>
  </si>
  <si>
    <t>ASSESSING CARBON SEQUESTRATION AND POSSIBLE GREENHOUSE GAS EMISSION WITHIN THE DANUBE DELTA SOILS – PAST AND CURRENT ENVIRONMENTAL CONSIDERATIONS</t>
  </si>
  <si>
    <t>Numerical Simulation and Experiment for the Bottom Boundary of Riprap of Seawall by GPR</t>
  </si>
  <si>
    <t>Changes in stream power and morphological adjustments at the event-scale and high spatial resolution along an ephemeral gravel-bed channel</t>
  </si>
  <si>
    <t>Perigean spring tides along the Indian coast</t>
  </si>
  <si>
    <t>New multiproxy data obtained from the sedimentary fill of the Ría de Ferrol, NW Iberia</t>
  </si>
  <si>
    <t>Livelihood Vulnerability Due to Climate Change: The Case of the Khmer Community in Mekong Delta, Vietnam</t>
  </si>
  <si>
    <t xml:space="preserve">  First a wudd, and syne a sea: postglacial coastal change of Scotland recalled in ancient stories</t>
  </si>
  <si>
    <t>Pre-dam valley reconstruction based on archival spatial data sources: Methods, accuracy, and 3D printing possibilities</t>
  </si>
  <si>
    <t>Locality of Topographic Ground Truth Data for Salt Marsh Lidar DEM Elevation Bias Mitigation</t>
  </si>
  <si>
    <t>The option of Roman canal construction by Drusus in the Vecht river area (the Netherlands): A geoarchaeological approach</t>
  </si>
  <si>
    <t>Using an inverted funnel analogy to develop a theory of change supporting resilient ecosystem-based adaptation in the Great Lakes Basin: a case study of Lincoln, Ontario, Canada</t>
  </si>
  <si>
    <t>FOLKLIFE AS GEONARRATIVE: THE FLUVIAL LIFEWORLD CONFLUENCES OF THE LOWER ABRA RIVER-DELTA AND THE TOWN OF SANTA</t>
  </si>
  <si>
    <t>Assessing Storm Response of Multiple Intertidal Bars Using an Open-Source Automatic Processing Toolbox</t>
  </si>
  <si>
    <t>Still normal? Near-real-time evaluation of storm surge events in the context of climate change</t>
  </si>
  <si>
    <t>Variation of Leaf Area Index (LAI) under Changing Climate: Kadolkele Mangrove Forest, Sri Lanka</t>
  </si>
  <si>
    <t>Adaptive Governance of River Deltas Under Accelerating Environmental Change</t>
  </si>
  <si>
    <t>Validating predictability of a sea level rise at a tide gauge station</t>
  </si>
  <si>
    <t>Deriving Tidal Flat Topography Using ICESat-2 Laser Altimetry and Sentinel-2 Imagery</t>
  </si>
  <si>
    <t>Generation of Dense and High-Precision Digital Elevation Model Using Low-Cost Unmanned Aerial Vehicle and Space-Borne TanDEM-X to Measure Exposed Area Change Due to Tidal Invasion</t>
  </si>
  <si>
    <t>Comparing the Yangtze and Mississippi River Deltas in the light of coupled natural-human dynamics: Lessons learned and implications for management</t>
  </si>
  <si>
    <t>Coastal Hazards of Tropical-Like Cyclones Over the Mediterranean Sea</t>
  </si>
  <si>
    <t>Climate change and disaster preparedness issues in Eastern Cape and Kwazulu-Natal, South Africa</t>
  </si>
  <si>
    <t>Tectono-stratigraphic evolution of the offshore western Niger Delta from the Cretaceous to present: Implications of delta dynamics and paleo-topography on gravity-driven deformation</t>
  </si>
  <si>
    <t>Observations of Coastal Circulation, Waves, and Sediment Transport along West Maui, Hawaiʻi (November 2017– March 2018), and Modeling Effects of Potential Watershed Restoration on Decreasing Sediment Loads to Adjacent Coral Reefs</t>
  </si>
  <si>
    <t>Gravel barrier resilience to future sea level rise and storms</t>
  </si>
  <si>
    <t>Spatial resolution of airborne gravity estimates in Kalman filtering</t>
  </si>
  <si>
    <t>Space-Based Displacement Monitoring of Coastal Urban Areas: The Case of Limassol’s Coastal Front</t>
  </si>
  <si>
    <t>Community adaptation strategies toward tidal flood: A Case study in Langsa, Indonesia</t>
  </si>
  <si>
    <t>Exploring Methodological Approaches for Strengthening the Resilience of Coastal Flood Protection System</t>
  </si>
  <si>
    <t>Reconstruction and Characterisation of Past and the Most Recent Slope Failure Events at the 2021 Rock-Ice Avalanche Site in Chamoli, Indian Himalaya</t>
  </si>
  <si>
    <t>Large-scale cloud-based building elevation data extraction and flood insurance estimation to support floodplain management</t>
  </si>
  <si>
    <t>What Controls the Magnitude and the Shape of Landslide Dam-Breaching Flood Hydrograph? Case Studies of Emergent Forecasts for Outburst Floods of Jiala and Baige Barrier Lakes</t>
  </si>
  <si>
    <t>Investigation of Characteristics of Maximum Storm Surges in Japanese Coastal Regions Caused by Typhoon Jebi (2018) Based on Typhoon Track Ensemble Simulations</t>
  </si>
  <si>
    <t>The role of geological mouth islands on the morphodynamics of back-barrier tidal basins</t>
  </si>
  <si>
    <t>Past and future coastal flooding in Pacific Small-Island Nations: insights from the Pacific Sea Level and Geodetic Monitoring (PSLGM) Project tide gauges</t>
  </si>
  <si>
    <t>Effects of dam break on downstream dam and lands using GIS and Hec Ras: a decision basis for the safe operation of two successive dams</t>
  </si>
  <si>
    <t>Community perceptions of climate change and ecosystem-based adaptation in the mangrove ecosystem of the Rufiji Delta, Tanzania</t>
  </si>
  <si>
    <t>Coastal Meteo-marine Parameters of Hurricane Matthew along the Colombian Caribbean Coast: Establishing a Baseline of Knowledge</t>
  </si>
  <si>
    <t>Groundwater pumping causes salinization of coastal streams due to baseflow depletion: Analytical framework and application to Savannah River, GA</t>
  </si>
  <si>
    <t>Drones, virtual reality, and modeling: communicating catastrophic dam failure</t>
  </si>
  <si>
    <t>Using rapid repeat SAR interferometry to improve hydrodynamic models of flood propagation in coastal wetlands</t>
  </si>
  <si>
    <t>Satellite and UAV-based remote sensing for assessing the flooding risk from Tibetan lake expansion and optimizing the village relocation site</t>
  </si>
  <si>
    <t>Flood inundation mapping in data-scarce areas: A case of Mbire District, Zimbabwe</t>
  </si>
  <si>
    <t>Application of risk analysis in the screening of flood disaster hot spots and adaptation strategies</t>
  </si>
  <si>
    <t>Do rice varieties matter? Climate change adaptation and livelihood diversification among rural smallholder households in the Mekong Delta region of Vietnam</t>
  </si>
  <si>
    <t>Analysis of glacial lake outburst flood terrain and sedimentary deposits in Valle Soler, Northern Patagonia Icefield</t>
  </si>
  <si>
    <t>Rural livelihood resilience on multiple dimensions: a case study from selected coastal areas in Central Java</t>
  </si>
  <si>
    <t>Minimum record length for detecting a prospective uniform sea level acceleration at a tide gauge station</t>
  </si>
  <si>
    <t>Impacts of sea-level rise on prehistoric coastal communities: land use and risk perception during the Mesolithic-Neolithic transition in central Mediterranean Spain</t>
  </si>
  <si>
    <t>An alternative approach to estimate river cross-sections using LIDAR-based digital elevation model</t>
  </si>
  <si>
    <t>Sustained Wind Forcing and Water Level Anomalies in Annapolis, Maryland</t>
  </si>
  <si>
    <t>How Have the U.S. Coasts Changed (and How Are They Going to Change) as Cultural and Policy Spaces? An Example from California</t>
  </si>
  <si>
    <t>Anticipating sea-level rise and human migration: A review of empirical evidence and avenues for future research</t>
  </si>
  <si>
    <t>Ohuka landslide, New Zealand: a low angle bedding-controlled coastal landslide at Port Waikato, North Island, New Zealand</t>
  </si>
  <si>
    <t>Farm level adaptation to climate change: insight from rice farmers in the coastal region of Bangladesh</t>
  </si>
  <si>
    <t>Water urbanism and “living with flooding”: a case study in the Mekong Delta, Vietnam</t>
  </si>
  <si>
    <t>Spatiotemporal changes of manufacturing firms in the flood prone Yangtze Delta</t>
  </si>
  <si>
    <t>The Norwegian mountains: the result of multiple episodes of uplift and subsidence</t>
  </si>
  <si>
    <t>The Economics of Storm Gates</t>
  </si>
  <si>
    <t>Sustainable development goals (SDGs) associated with flash flood hazard mapping and management measures through morphometric evaluation</t>
  </si>
  <si>
    <t>Spatial correlation between the changes of ecosystem service supply and demand: An ecological zoning approach</t>
  </si>
  <si>
    <t>Resilience-Oriented Practices in Sea-LevelRise-Induced Human Migration in Coastal Bangladesh and Louisiana</t>
  </si>
  <si>
    <t>Topographic indices and two-dimensional hydrodynamic modelling for flood hazard mapping in a data-scarce plain area: a case study of Oued Laou catchment (Northern of Morocco)</t>
  </si>
  <si>
    <t>Economic Value of Salt Marshes under Uncertainty of Sea Level Rise: A Case Study of the Narragansett Bay</t>
  </si>
  <si>
    <t>Detection of lake shoreline active zones and water volume changes using digital lake bottom model and water level fluctuations</t>
  </si>
  <si>
    <t>Is Building Walls around Our Threatened Coastal Cities the Best Long-Term Solution to Extreme Events and Rising Sea Level?</t>
  </si>
  <si>
    <t>Enhancing the Use of Flood Resilient Spatial Planning in Dutch Water Management. A Study of Barriers and Opportunities in Practice</t>
  </si>
  <si>
    <t>Mismatches between policy planning and implementation on the actively living with flood approach in the Vietnamese Mekong Delta</t>
  </si>
  <si>
    <t>Climate change and rural vulnerability in Vietnam: An analysis of livelihood vulnerability index</t>
  </si>
  <si>
    <t>Roadway flooding as a bellwether for household retreat in rural, coastal regions vulnerable to sea-level rise</t>
  </si>
  <si>
    <t>Spatiotemporal variability of intensity–duration–frequency (Idf) curves in arid areas: Wadi al-lith, saudi arabia as a case study</t>
  </si>
  <si>
    <t>Deformation Monitoring and Spatiotemporal Evolution of Mining Area with Unmanned Aerial Vehicle and D-InSAR Technology</t>
  </si>
  <si>
    <t>On the runup parameterisation for reef-lined coasts</t>
  </si>
  <si>
    <t>Surface Elevation Changes Estimation Underneath Mangrove Canopy Using SNERL Filtering Algorithm and DoD Technique on UAV-Derived DSM Data</t>
  </si>
  <si>
    <t>Are Current UK Coastal Defences Good Enough for Tomorrow? An Assessment of Vulnerability to Coastal Erosion</t>
  </si>
  <si>
    <t>Precise Elevation Thresholds Associated with Salt Marsh–Upland Ecotones along the Mississippi Gulf Coast</t>
  </si>
  <si>
    <t>An Accurate Digital Subsidence Model for Deformation Detection of Coal Mining Areas Using a UAV-Based LiDAR</t>
  </si>
  <si>
    <t>Evolution and management of Atlantic Canadian coastal dunes over the next century</t>
  </si>
  <si>
    <t>Channel Migration in Experimental River Networks Mapped by Particle Image Velocimetry</t>
  </si>
  <si>
    <t>Reviewing the nature and pitfalls of multilateral adaptation finance for small island developing states</t>
  </si>
  <si>
    <t>Updated Surge-Type Glacier Inventory in the West Kunlun Mountains, Tibetan Plateau, and Implications for Glacier Change</t>
  </si>
  <si>
    <t>Sentinel-1 Spatiotemporal Simulation Using Convolutional LSTM for Flood Mapping</t>
  </si>
  <si>
    <t>Nonlinear fractional arctic systems</t>
  </si>
  <si>
    <t>Who’s Tapped Out and What’s on Tap? Tapping Into Engagement Within a Place-Based Citizen Science Effort</t>
  </si>
  <si>
    <t>Mapping risk factors to climate change impacts using traditional ecological knowledge to support adaptation planning with a Native American Tribe in Louisiana</t>
  </si>
  <si>
    <t>Influence of Sliding Structure on Water Flowing Fracture Zone and Surface Subsidence in the Antidip of Overlying Strata Area</t>
  </si>
  <si>
    <t>Novel Time Series Bagging Based Hybrid Models for Predicting Historical Water Levels in the Mekong Delta Region, Vietnam</t>
  </si>
  <si>
    <t>A New Approach of the Tsunami Mitigation Strategies for the City of Banda Aceh, Indonesia</t>
  </si>
  <si>
    <t>Framework for incorporating climate projections in the integrated planning and management of urban infrastructure</t>
  </si>
  <si>
    <t>Synergistic analysis of satellite, unmanned aerial vehicle, terrestrial laser scanner data and process-based modelling for understanding the dynamics and morphological changes around the snout of Gangotri Glacier, India</t>
  </si>
  <si>
    <t>Long and Short-Term Coastal Changes Assessment Using Earth Observation Data and GIS Analysis: The Case of Sperchios River Delta</t>
  </si>
  <si>
    <t>Rolling covenants to protect coastal ecosystems in the face of sea-level rise</t>
  </si>
  <si>
    <t>Negative Pore Water Pressure in Aquitard Enhances Land Subsidence: Field, Laboratory, and Numerical Evidence</t>
  </si>
  <si>
    <t>What do large-scale patterns teach us about extreme precipitation over the Mediterranean at medium- and extended-range forecasts?</t>
  </si>
  <si>
    <t>Quantitative estimation of drainage characteristics of the Pohru Catchment, Kashmir valley, India: a remote sensing and GIS based approach</t>
  </si>
  <si>
    <t>Development of an adaptation model by applying non-linear programming to compute adaptation deficiency in climatic hotspots</t>
  </si>
  <si>
    <t>Processing of nationwide topographic data for ensuring consistent river network representation</t>
  </si>
  <si>
    <t>Assessment of Storm Surge History as Recorded by Driftwood in the Mackenzie Delta and Tuktoyaktuk Coastlands, Arctic Canada</t>
  </si>
  <si>
    <t>Geological framework for assessing variability in subsurface piping parameters underneath dikes in the Rhine-Meuse delta, the Netherlands</t>
  </si>
  <si>
    <t>Characteristics and coastal effects of a destructive marine storm in the Gulf of Naples (southern Italy)</t>
  </si>
  <si>
    <t>Towards pragmatism in climate risk analysis and adaptation</t>
  </si>
  <si>
    <t>Spatial and temporal variations of hydrodynamics and sediment dynamics in Indus River Estuary, Pakistan</t>
  </si>
  <si>
    <t>THE ASSESSMENT OF WATER COMPATIBILITY OF ADAPTABLE STICK-NET CAGE FOR RESILIENCE MILKFISH CULTIVATION IN TANJUNG MAS, INDONESIA</t>
  </si>
  <si>
    <t>Effectiveness of selected planned adaptations in micro level: Evidence from coastal community in Bangladesh</t>
  </si>
  <si>
    <t>Assessing the dependence structure between oceanographic, fluvial, and pluvial flooding drivers along the United States coastline</t>
  </si>
  <si>
    <t>Importance of quantifying the full-depth carbon reservoir of Jamaica Bay salt Marshes, New York</t>
  </si>
  <si>
    <t>Probabilistic storm surge hazard using a steady-state surge model for the Pearl River Delta Region, China</t>
  </si>
  <si>
    <t>The mapping of closed depressions and its contribution to the geodiversity inventory</t>
  </si>
  <si>
    <t>Salt marsh construction as a nature-based solution in an estuarine social-ecological system</t>
  </si>
  <si>
    <t>Managing flood hazard in a complex cross-border region using sentinel-1 sar and sentinel-2 optical data: A case study from prut river basin (ne romania)</t>
  </si>
  <si>
    <t>Quaternary coastal landscape evolution and sea-level rise: An example from south-east sicily</t>
  </si>
  <si>
    <t>Spatiotemporal Dynamics and Geodetic Mass Changes of Glaciers With Varying Debris Cover in the Pangong Region of Trans-Himalayan Ladakh, India Between 1990 and 2019</t>
  </si>
  <si>
    <t>Variability and trend of sea level in southern waters of Java, Indonesia</t>
  </si>
  <si>
    <t>Tropical cyclones near landfall can induce their own intensification through feedbacks on radiative forcing</t>
  </si>
  <si>
    <t>Application of a neuro-fuzzy controller for single machine infinite bus power system to damp low-frequency oscillations</t>
  </si>
  <si>
    <t>Impacts of in-stream aggregate mining on the distributary channels of the alluvial fans of Tafí valley (Northwest Argentina)</t>
  </si>
  <si>
    <t>Assessment of glacier status and its controlling parameters from 1990 to 2018 of Hunza Basin, Western Karakorum</t>
  </si>
  <si>
    <t>Investigation of atmospheric conditions associated with a storm surge in the south-west of Iran</t>
  </si>
  <si>
    <t>The global water body layer from tandem-x interferometric sar data</t>
  </si>
  <si>
    <t>A multi-model architecture based on Long Short-Term Memory neural networks for multi-step sea level forecasting</t>
  </si>
  <si>
    <t>HydroBlocks v0.2: Enabling a field-scale two-way coupling between the land surface and river networks in Earth system models</t>
  </si>
  <si>
    <t>Observing tidal and storm generated wave height impact on groundwater levels in a tropical delta (the Sundarbans)</t>
  </si>
  <si>
    <t>Emergent coastal behaviour results in extreme dune erosion decoupled from hydrodynamic forcing</t>
  </si>
  <si>
    <t>Coupling a 1D-local inertia 2D hydraulic model for flood dispatching simulation in a floodplain under joint control of multiple gates</t>
  </si>
  <si>
    <t>Projections of salt intrusion in a mega-delta under climatic and anthropogenic stressors</t>
  </si>
  <si>
    <t>Coseismic slip gradient at the western terminus of the 1920 Haiyuan Mw 7.9 earthquake</t>
  </si>
  <si>
    <t>Predicting regional coastal sea level changes with machine learning</t>
  </si>
  <si>
    <t>Flood hazard mapping using fuzzy logic, analytical hierarchy process, and multi-source geospatial datasets</t>
  </si>
  <si>
    <t>A review of frameworks for using bryophytes as indicators of climate change with special emphasis on Sri Lankan bryoflora</t>
  </si>
  <si>
    <t>Assessment of groundwater recharge potential depending on morphologic analysis in east of wasit, southeastern iraq</t>
  </si>
  <si>
    <t>Correlation analysis between land-use/cover change and coastal subsidence in the yellow river delta, China: Reviewing the past and prospecting the future</t>
  </si>
  <si>
    <t>Mangrove roots model suggest an optimal porosity to prevent erosion</t>
  </si>
  <si>
    <t>Application of artificial substrate samplers to assess enrichment of metals of concern by river floodwaters to lakes across the Peace-Athabasca Delta</t>
  </si>
  <si>
    <t>Archaeological prospection in ultra-shallow aquatic environments: the case of the prehistoric submerged site of Lambayanna, Greece</t>
  </si>
  <si>
    <t>Tidal flood area mapping in the face of climate change scenarios: Case study in a tropical estuary in the Brazilian semi-arid region</t>
  </si>
  <si>
    <t>Vegetation scenario of Indian part of Ganga Delta: a change analysis using Sentinel-1 time series data on Google earth engine platform</t>
  </si>
  <si>
    <t>Climate Signatures on Lake And Wetland Size Distributions in Arctic Deltas</t>
  </si>
  <si>
    <t>Matlab software for supervised habitat mapping of freshwater systems using image processing</t>
  </si>
  <si>
    <t>The emergency discharge of sewage to the Bay of Gdańsk as a source of bacterial enrichment in coastal air</t>
  </si>
  <si>
    <t>Dam break analysis using HEC-RAS and HEC-GeoRAS: A case study of Hidkal dam, Karnataka state, India</t>
  </si>
  <si>
    <t>Impact of identical digital elevation model resolution and sources on morphometric parameters of Tena watershed, Ethiopia</t>
  </si>
  <si>
    <t>Examining factors influencing plan integration for community resilience in six US coastal cities using Hierarchical Linear Modeling</t>
  </si>
  <si>
    <t>Modelling and mitigation of real-time sea level measurement over the coastal area of Japan</t>
  </si>
  <si>
    <t>Extended Water Level Trends at Long-Record Tide Gauges Via Moving Window Averaging and Implications for Future Coastal Flooding</t>
  </si>
  <si>
    <t>Monitoring the erosion and accretion of a human-built living shoreline with drone technology</t>
  </si>
  <si>
    <t>Tidal variability of water quality parameters in a mesotidal estuary (Sado Estuary, Portugal)</t>
  </si>
  <si>
    <t>Analysis of wetland landcover change in great lakes urban areas using self-organizing maps</t>
  </si>
  <si>
    <t>Simulation of a flash-flood event over the Adriatic Sea with a high-resolution atmosphere–ocean–wave coupled system</t>
  </si>
  <si>
    <t>The Impact of Sea Level Rise Due to Global Warming on the Coastal Population Dynamics: A Modeling Study</t>
  </si>
  <si>
    <t>Spatial modeling of flood susceptibility using machine learning algorithms</t>
  </si>
  <si>
    <t>Public risk salience of sea level rise in Louisiana, United States</t>
  </si>
  <si>
    <t>Synergistic use of geospatial data for water body extraction from sentinel-1 images for operational flood monitoring across southeast Asia using deep neural networks</t>
  </si>
  <si>
    <t>Seismic Source of the Earthquake of Camana Peru 2001 (Mw 8.2) from Joint Inversion of Geodetic and Tsunami Data</t>
  </si>
  <si>
    <t>Environmental Flow Requirements of Estuaries: Providing Resilience to Current and Future Climate and Direct Anthropogenic Changes</t>
  </si>
  <si>
    <t>Geomorphic change in the Ganges–Brahmaputra–Meghna delta</t>
  </si>
  <si>
    <t>Methodology for the remote transfer of GPS receiver station data through a GSM network</t>
  </si>
  <si>
    <t>How the saline water intrusion has reshaped the agricultural landscape of the Vietnamese Mekong Delta, a review</t>
  </si>
  <si>
    <t>Underwater Mortgages for Underwater Homes: The Elimination of Signals in the Coastal Lending Market</t>
  </si>
  <si>
    <t>Soil erosion assessment in arid region: A case study in Wadi Naghamish, Northwest Coast, Egypt</t>
  </si>
  <si>
    <t>Lake pannon transgression on the westernmost tip of the carpathians constrained by biostratigraphy and authigenic 10be/9be dating (central Europe)</t>
  </si>
  <si>
    <t>Classification of topography for ground vulnerability assessment of alluvial plains and mountains of Japan using 30 m DEM</t>
  </si>
  <si>
    <t>Beach sustainability assessment: The development and utility of an interdisciplinary approach to sandy beach monitoring</t>
  </si>
  <si>
    <t>Overestimating coastal urban resilience: The groundwater problem</t>
  </si>
  <si>
    <t>Non-invasive methods in the identification of hydrological ecosystem services of a tropical isolated wetland (Brazilian study case)</t>
  </si>
  <si>
    <t>An unintended ecological benefit from human intervention: The enhancement of carbon storage in seagrass meadows</t>
  </si>
  <si>
    <t>Long-term remote sensing monitoring on LUCC around Chaohu Lake with new information of algal bloom and flood submerging</t>
  </si>
  <si>
    <t>Modelling early medieval flood-induced breaching of a coversand ridge in the IJssel valley, Rhine delta, the Netherlands</t>
  </si>
  <si>
    <t>Ecological engineering with oysters enhances coastal resilience efforts</t>
  </si>
  <si>
    <t>A new lake classification scheme for the Peace-Athabasca Delta (Canada) characterizes hydrological processes that cause lake-level variation</t>
  </si>
  <si>
    <t>Build in prevention and preparedness to improve climate resilience in coastal cities: Lessons from China's GBA</t>
  </si>
  <si>
    <t>Vested interests, rather than adaptation considerations, explain varying post-tsunami relocation outcomes in Laamu atoll, Maldives</t>
  </si>
  <si>
    <t>GIS-based statistical model for the prediction of flood hazard susceptibility</t>
  </si>
  <si>
    <t>Non-Monotonic Floodplain Responses to Changes in Flooding Intensity</t>
  </si>
  <si>
    <t>Two-phased Mass Rarity and Extinction in Land Plants During the End-Triassic Climate Crisis</t>
  </si>
  <si>
    <t>Improving forest detection with machine learning in remote sensing data</t>
  </si>
  <si>
    <t>Non-monotonic vegetation activity trends in the Lower Delta of the Paraná River: Masking evidence of wetland degradation?</t>
  </si>
  <si>
    <t>Recent trends in inland water level change in coastal Bangladesh–implications of sea level rise in low-lying deltas</t>
  </si>
  <si>
    <t>Effects of different vegetation drag parameterizations on the tidal propagation in coastal marshlands</t>
  </si>
  <si>
    <t>Combining a statistical model with machine learning to predict groundwater flooding (or infiltration) into sewer networks</t>
  </si>
  <si>
    <t>Projected Changes in Precipitation Extremes Over Jiulongjiang River Basin in Coastal Southeast China</t>
  </si>
  <si>
    <t>New geomorphological and archaeological evidence for drainage evolution in the Luangwa Valley (Zambia) during the Late Pleistocene</t>
  </si>
  <si>
    <t>An operational framework for communicating flood warnings to indigenous farmers in southern Nigeria: a systems thinking analysis</t>
  </si>
  <si>
    <t>Flooding duration and volume more important than peak discharge in explaining 18 years of gravel–cobble river change</t>
  </si>
  <si>
    <t>GIS-based landform and LULC classifications in the Sub-Himalayan Kaljani Basin: Special reference to 2016 Flood</t>
  </si>
  <si>
    <t>Comparison of sentinel-2 and multitemporal sentinel-1 sar imagery for mapping aquaculture pond distribution in the coastal region of brebes regency, central java, Indonesia</t>
  </si>
  <si>
    <t>Hybrid model for ecological vulnerability assessment in Benin</t>
  </si>
  <si>
    <t>Biogeochemical impacts of flooding discharge with high suspended sediment on coastal seas: a modeling study for a microtidal open bay</t>
  </si>
  <si>
    <t>A hybridized model based on neural network and swarm intelligence-grey wolf algorithm for spatial prediction of urban flood-inundation</t>
  </si>
  <si>
    <t>Distinguishing Between Regression Model Fits to Global Mean Sea Level Reconstructions</t>
  </si>
  <si>
    <t>Inadequacy Revealed and the Transition to Adaptation as Risk Management in New Zealand</t>
  </si>
  <si>
    <t>Baseline data for monitoring geomorphological effects of glacier lake outburst flood: A very-high-resolution image and GIS datasets of the distal part of the Zackenberg River, northeast Greenland</t>
  </si>
  <si>
    <t>Impact of climate change on flood inundation in a tropical river basin in Indonesia</t>
  </si>
  <si>
    <t>Twenty-first-century projections of shoreline change along inlet-interrupted coastlines</t>
  </si>
  <si>
    <t>A flood assessment of data scarce region using an open-source 2D hydrodynamic modeling and Google Earth Image: a case of Sabarmati flood, India</t>
  </si>
  <si>
    <t>Spatio-temporal pattern of change in mangrove populations along the coastal West Bengal, India</t>
  </si>
  <si>
    <t>Implications of sea-level rise for overwash enhancement at South Portugal</t>
  </si>
  <si>
    <t>Shoreline Changes Analysis and Forecast Using Digital Shoreline Assessment System 5.0: Evidences from Parts of East Coast of India</t>
  </si>
  <si>
    <t>Shoreline change behavior study of Jambudwip island of Indian Sundarban using DSAS model</t>
  </si>
  <si>
    <t>Hurricane Matthew in 2100: effects of extreme sea level rise scenarios on a highly valued coastal area (Palm Beach, FL, USA)</t>
  </si>
  <si>
    <t>Measuring coastal absolute sea-level changes using GNSS interferometric reflectometry</t>
  </si>
  <si>
    <t>GFPLAIN and multi-source data assimilation modeling: Conceptualization of a flood forecasting framework supported by hydrogeomorphic floodplain rapid mapping</t>
  </si>
  <si>
    <t>Capacity building in participatory approaches for hydro-climatic Disaster Risk Management in the Caribbean</t>
  </si>
  <si>
    <t>Assessment and attribution of mangrove forest changes in the indian sundarbans from 2000 to 2020</t>
  </si>
  <si>
    <t>Climate change in rural Pakistan: evidence and experiences from a people-centered perspective</t>
  </si>
  <si>
    <t>Combining co$ting nature and suitability modeling to identify high flood risk areas in need of nature-based services</t>
  </si>
  <si>
    <t>Coastal erosion in NW Spain: Recent patterns under extreme storm wave events</t>
  </si>
  <si>
    <t>Planning tsunami vertical evacuation routes using high-resolution UAV digital elevation model: case study in Drini Coastal Area, Java, Indonesia</t>
  </si>
  <si>
    <t>Impacts of Tropical Cyclones on the Caribbean Under Future Climate Conditions</t>
  </si>
  <si>
    <t>Towards kilometer-scale ocean-atmosphere-wave coupled forecast: A case study on a Mediterranean heavy precipitation event</t>
  </si>
  <si>
    <t>Tidal flood risk on salt farming: Evaluation of post events in the northern part of java using a parametric approach</t>
  </si>
  <si>
    <t>Hurricane Irma Simulation at South Florida Using the Parallel CEST Model</t>
  </si>
  <si>
    <t>Changes of groundwater flow field of Luanhe River Delta under the human activities and its impact on the ecological environment in the past 30 years</t>
  </si>
  <si>
    <t>Urban correction of global DEMs using building density for Nairobi, Kenya</t>
  </si>
  <si>
    <t>Numerical Hydrodynamic 2D-Simulation of the Inundation of Tulun Town on the Iya R. during Flood 2019</t>
  </si>
  <si>
    <t>Assessment of empirical algorithms for shallow water bathymetry using multi-spectral imagery of pearl river delta coast, China</t>
  </si>
  <si>
    <t>Hydrologic models coupled with 2D hydrodynamic model for high-resolution urban flood simulation</t>
  </si>
  <si>
    <t>Revised chrono and lithostratigraphy for the Oligocene-Miocene Patagoniense marine deposits in Patagonia: Implications for stratigraphic cycles, paleogeography, and major drivers</t>
  </si>
  <si>
    <t>Ionic Strength and Species Drive Iron-Carbon Adsorption Dynamics: Implications for Carbon Cycling in Future Coastal Environments</t>
  </si>
  <si>
    <t>High-resolution topography of the Antarctic Peninsula combining the TanDEM-X DEM and Reference Elevation Model of Antarctica (REMA) mosaic</t>
  </si>
  <si>
    <t>Assessment of combined sewer overflows impacts under flooding in coastal cities</t>
  </si>
  <si>
    <t>Dynamic landscapes and the driving forces in the Yellow River Delta wetland region in the past four decades</t>
  </si>
  <si>
    <t>Skew Surge and Storm Tides of Tropical Cyclones in the Delaware and Chesapeake Bays for 1980–2019</t>
  </si>
  <si>
    <t>Assessment of Methods to Control Invasive Reed Canarygrass (Phalaris arundinacea) in Tidal Freshwater Wetlands</t>
  </si>
  <si>
    <t>Parameter Optimization of a Conceptual Rainfall-Runoff Model in the Coastal Urban Region</t>
  </si>
  <si>
    <t>Natural solutions versus technical solutions How ecosystem benefits can make a difference in public decisions</t>
  </si>
  <si>
    <t>THE STUDY OF MANGROVE ECOSYSTEMS' SERVICES VALUATION IN SEMARANG CITY</t>
  </si>
  <si>
    <t>A quantitative graph-based approach to monitoring ice-wedge trough dynamics in polygonal permafrost landscapes</t>
  </si>
  <si>
    <t>Diminishing Opportunities for Sustainability of Coastal Cities in the Anthropocene: A Review</t>
  </si>
  <si>
    <t>Development of adjoint-based ocean state estimation for the Amundsen and Bellingshausen seas and ice shelf cavities using MITgcm-ECCO (66j)</t>
  </si>
  <si>
    <t>Morphometric analysis and watershed prioritization in relation to soil erosion in Dudhnai Watershed</t>
  </si>
  <si>
    <t>Actual and forecasted vulnerability assessment to seawater intrusion via galdit-susi in the volturno river mouth (Italy)</t>
  </si>
  <si>
    <t>High-resolution monitoring of debris-covered glacier mass budget and flow velocity using repeated UAV photogrammetry in Iran</t>
  </si>
  <si>
    <t>The detection of active sinkholes by airborne differential lidar dems and insar cloud computing tools</t>
  </si>
  <si>
    <t>Temporally generalizable land cover classification: A recurrent convolutional neural network unveils major coastal change through time</t>
  </si>
  <si>
    <t>Rising seas, immobilities, and translocality in small island states: case studies from Fiji and Tuvalu</t>
  </si>
  <si>
    <t>Application of artificial intelligence deep learning in numerical simulation of seawater intrusion</t>
  </si>
  <si>
    <t>Environmental monitoring and hydrological simulations of a natural wetland based on high-resolution unmanned aerial vehicle data (Paulista Peripheral Depression, Brazil)</t>
  </si>
  <si>
    <t>Construction of rating curve at high water level considering rainfall effect in a tidal river</t>
  </si>
  <si>
    <t>Livestock grazing promotes ecosystem multifunctionality of a coastal salt marsh</t>
  </si>
  <si>
    <t>Lava flow hazard map of Piton de la Fournaise volcano</t>
  </si>
  <si>
    <t>A long-term record of quaternary facies patterns and palaeonvironmental trends from the po plain (Ne italy) as revealed by bio-sedimentary data</t>
  </si>
  <si>
    <t>Cross-temporal analysis of disaster vulnerability of the southwest coastal communities in Bangladesh</t>
  </si>
  <si>
    <t>From local to regional compound flood mapping with deep learning and data fusion techniques</t>
  </si>
  <si>
    <t>Volcanoes in the estuaries: Insights into Earth's oldest (3.22 Ga) terrestrial microbial habitats, Moodies Group, Barberton Greenstone Belt</t>
  </si>
  <si>
    <t>Interplay Between Coastal Elevation and Wave Height Controls the Occurrence of Coastal Boulder Deposits in the Aran Islands, Ireland</t>
  </si>
  <si>
    <t>Unraveling the Transport and Fate of Polycyclic Aromatic Hydrocarbons Through Coupling Fluvial Geomorphic Modeling and Measured Data</t>
  </si>
  <si>
    <t>Construction of an evacuee placement model for tsunami shelters considering physical distancing to prevent COVID-19 infection</t>
  </si>
  <si>
    <t>Dataset of results from numerical simulations of increased storm intensity in an estuarine salt marsh system</t>
  </si>
  <si>
    <t>Predictability of Coastal Extreme Wave Heights Based on a Nonstationary Hierarchical Bayesian Model: The Role of the Sea Surface Temperature</t>
  </si>
  <si>
    <t>Frontiers in assessing septic systems vulnerability in coastal Georgia, USA: Modeling approach and management implications</t>
  </si>
  <si>
    <t>An early warning system for wave-driven coastal flooding at Imperial Beach, CA</t>
  </si>
  <si>
    <t>Flood vulnerability and resilience assessment in China based on super-efficiency DEA and SBM-DEA methods</t>
  </si>
  <si>
    <t>Reliability of detrital marine sediments as proxy for continental crust composition: The effects of hydrodynamic sorting on Ti and Zr isotope systematics</t>
  </si>
  <si>
    <t>InletTracker: An open-source Python toolkit for historic and near real-time monitoring of coastal inlets from Landsat and Sentinel-2</t>
  </si>
  <si>
    <t>Source, transport and fate of terrestrial organic carbon from Yangtze River during a large flood event: Insights from multiple-isotopes (δ13C, δ15N, Δ14C) and geochemical tracers</t>
  </si>
  <si>
    <t>Is shoreline armoring a response to marsh migration? Modeling relationships between coastal marshes and private adaptation decisions</t>
  </si>
  <si>
    <t>Using empirical data and modeled scenarios of Everglades restoration to understand changes in coastal vulnerability to sea level rise</t>
  </si>
  <si>
    <t>Characteristics of surface energy balance and atmospheric circulation during hot-And-polluted episodes and their synergistic relationships with urban heat islands over the Pearl River Delta region</t>
  </si>
  <si>
    <t>Remote sensing of ecosystem structure—part 2: Initial findings of ecosystem functioning through intra‐ and inter‐annual comparisons with earth observation data</t>
  </si>
  <si>
    <t>Identifying drivers of streamflow extremes in West Africa to inform a nonstationary prediction model</t>
  </si>
  <si>
    <t>Assessing the impact of flood inundation dynamics on an urban environment</t>
  </si>
  <si>
    <t>Compaction of the Groningen Gas Reservoir Sandstone: Discrete Element Modeling Using Microphysically Based Grain-Scale Interaction Laws</t>
  </si>
  <si>
    <t>Identifying rainfall threshold of flash flood using entropy decision approach and hydrological model method</t>
  </si>
  <si>
    <t>Flood drainage rights in watersheds based on the harmonious allocation method</t>
  </si>
  <si>
    <t>Experimental and Numerical Study on the Wave, Surge, and Structure Interactions on a Coastal Residential Building</t>
  </si>
  <si>
    <t>Identifying oceanographic conditions conducive to coastal impacts on temperate open coastal beaches</t>
  </si>
  <si>
    <t>Integrated coastal zone management to protect the Sarawak shoreline</t>
  </si>
  <si>
    <t>Coastal flood risk within a peri-urban area: SUSSEX Inlet district, SE Australia</t>
  </si>
  <si>
    <t>Flash flood hazard assessment and prioritization of sub-watersheds in Heliopolis basin, East Cairo, Egypt</t>
  </si>
  <si>
    <t>Decadal shoreline erosion and recovery of beaches in modified and natural estuaries</t>
  </si>
  <si>
    <t>Towards a Landscape-based Regional Design Approach for Adaptive Transformation in Urbanizing Deltas</t>
  </si>
  <si>
    <t>Tracing δ18o and δ2h in source waters and recharge pathways of a fractured-basalt and interbedded-sediment aquifer, columbia river flood basalt province</t>
  </si>
  <si>
    <t>Assessing geomorphic floodplain models for large scale coarse resolution 2D flood modelling in data scarce regions</t>
  </si>
  <si>
    <t>Monitoring flash flood hazard using modeling-based techniques and multi-source remotely sensed data: the case study of Ras Ghareb City, Egypt</t>
  </si>
  <si>
    <t>Geohazard characterization using remote sensing to model flash floods of the southeast Sinai, Egypt</t>
  </si>
  <si>
    <t>Operationalising coastal resilience to flood and erosion hazard: A demonstration for England</t>
  </si>
  <si>
    <t>Development versus adaptation? Facing climate change in Ca Mau, Vietnam</t>
  </si>
  <si>
    <t>Enabling nature-based solutions for climate change on a peri-urban sandspit in Christchurch, New Zealand</t>
  </si>
  <si>
    <t>An insight to the sedimentological developments of quaternary detritus ring fluvial network, altun kupri paleolake, ne iraq</t>
  </si>
  <si>
    <t>Impact of Channel Dredging and Straightening in an Atlantic White Cedar (Chamaecyparis thyoides L. (B.S.P.)) Freshwater Tidal Wetland</t>
  </si>
  <si>
    <t>Form and process based geomorphic classification and mapping of a meandering river using satellite remote sensing data</t>
  </si>
  <si>
    <t>Advancing estuarine ecological forecasts: seasonal hypoxia in Chesapeake Bay</t>
  </si>
  <si>
    <t>Adaptive capacity of the Pearl River Delta cities in the face of the growing flood risk: Institutions, ideas and interests</t>
  </si>
  <si>
    <t>Stability Analysis of Metro Shield Construction in Sandy Soil Strata under Tidal Forces in Coastal Areas</t>
  </si>
  <si>
    <t>Salt marsh resilience to sea-level rise and increased storm intensity</t>
  </si>
  <si>
    <t>The anthropogenic influence on the estuarine system of Gosaba Island, Sundarban, India</t>
  </si>
  <si>
    <t>The resident and visitor gaze: A comparison of coastal social values at risk due to sea-level rise</t>
  </si>
  <si>
    <t>Transboundary river water pesticide pollution in historical agriculture areas in West Africa: a case study in the Comoe, Bia, and Tanoe rivers (Cote d’Ivoire)</t>
  </si>
  <si>
    <t>Grassroots mobilization in Brazil's urban Amazon: Global investments, persistent floods, and local resistance across political and legal arenas</t>
  </si>
  <si>
    <t>Flood forecasting scheme of Nanshui reservoir based on Liuxihe model</t>
  </si>
  <si>
    <t>Late Miocene - Quaternary forearc uplift in southern Peru: new insights from 10Be dates and rocky coastal sequences</t>
  </si>
  <si>
    <t>Combined SBAS-InSAR and geostatistics to detect topographic change and fluid paths in geothermal areas</t>
  </si>
  <si>
    <t>Dem-based river cross-section extraction and 1-d streamflow simulation for eco-hydrological modeling: A case study in upstream hiikawa river, japan</t>
  </si>
  <si>
    <t>Comparison between the skew surge and residual water level along the coastline of China</t>
  </si>
  <si>
    <t>Conservation and Restoration of Coastal Reed Beds in the Context of Global Change: Potential Effects of Habitat Fragmentation for Specialist Marshland Passerines</t>
  </si>
  <si>
    <t>Impact of Vegetation on Lateral Exchanges in a Salt Marsh-Tidal Creek System</t>
  </si>
  <si>
    <t>Changes in coastal agricultural land use in response to climate change: An assessment using satellite remote sensing and household survey data in tien hai district, Thai Binh province, Vietnam</t>
  </si>
  <si>
    <t>Climatology and seasonal variability of satellite-derived chlorophyll a around the Shandong Peninsula</t>
  </si>
  <si>
    <t>Challenges and perspectives for the Brazilian semi-arid coast under global environmental changes</t>
  </si>
  <si>
    <t>Mapping flood inundation areas using GIS and HEC-RAS model at Fetam River, Upper Abbay Basin, Ethiopia</t>
  </si>
  <si>
    <t>Does building development in Dhaka comply with land use zoning? An analysis using nighttime light and digital building heights</t>
  </si>
  <si>
    <t>Post-event field observations in the İzmir–Sığacık village for the tsunami of the 30 October 2020 Samos (Greece) M w 6.9 earthquake</t>
  </si>
  <si>
    <t>Sea level characteristics and extremes along Alexandria coastal zone</t>
  </si>
  <si>
    <t>A national topographic dataset for hydrological modeling over the contiguous United States</t>
  </si>
  <si>
    <t>Ocean and atmosphere changes in the Caribbean Sea during the twenty-first century using CMIP5 models</t>
  </si>
  <si>
    <t>Changing Climatic Conditions and Agricultural Livelihoods: An Impact Study in Jagatsinghpur District, Odisha</t>
  </si>
  <si>
    <t>Rock avalanche induced flash flood on 07 February 2021 in Uttarakhand, India—a photogeological reconstruction of the event</t>
  </si>
  <si>
    <t>Impacts of fluvial flood on physical and biogeochemical environments in estuary–shelf continuum in the East China Sea</t>
  </si>
  <si>
    <t>Saltwater intrusion into groundwater systems in the Mekong Delta and links to global change</t>
  </si>
  <si>
    <t>“Grey swan” storm surges pose a greater coastal flood hazard than climate change</t>
  </si>
  <si>
    <t>Selection of charging sites for electric vehicles in the Republic of Korea based on fuzzy analytic hierarchy process</t>
  </si>
  <si>
    <t>El Niño driven extreme sea levels in an Eastern Pacific tropical river delta: Landward amplification and shift from oceanic to fluvial forcing</t>
  </si>
  <si>
    <t>Determinant factors of protective behaviors regarding erosion and coastal flooding risk</t>
  </si>
  <si>
    <t>Hydrological management strategies for the control of algal blooms in regulated lowland rivers</t>
  </si>
  <si>
    <t>3D Linked Subduction, Dynamic Rupture, Tsunami, and Inundation Modeling: Dynamic Effects of Supershear and Tsunami Earthquakes, Hypocenter Location, and Shallow Fault Slip</t>
  </si>
  <si>
    <t>Space-time evolutions of land subsidence in the choushui river alluvial fan (Taiwan) from multiple-sensor observations</t>
  </si>
  <si>
    <t>Recasting geomorphology as a landscape science</t>
  </si>
  <si>
    <t>Flash flood events along the west mediterranean coasts: Inundations of urbanized areas conditioned by anthropic impacts</t>
  </si>
  <si>
    <t>Measuring household resilience to cyclone disasters in coastal Bangladesh</t>
  </si>
  <si>
    <t>A catastrophic natural disaster chain of typhoon-rainstorm-landslide-barrier lake-flooding in Zhejiang Province, China</t>
  </si>
  <si>
    <t>Statistical modelling and climate variability of compound surge and precipitation events in a managed water system: A case study in the Netherlands</t>
  </si>
  <si>
    <t>Data-driven reconstruction reveals large-scale ocean circulation control on coastal sea level</t>
  </si>
  <si>
    <t>Exposure of loggerhead sea turtle nests to waves in the Florida panhandle</t>
  </si>
  <si>
    <t>Spatial dynamics in people-wetland association: an assessment of rural dependency on ecosystem services extended by Purbasthali Wetland, West Bengal</t>
  </si>
  <si>
    <t>Estimating floodplain vegetative roughness using drone-based laser scanning and structure from motion photogrammetry</t>
  </si>
  <si>
    <t>An assessment of large-scale flood modelling based on LiDAR data</t>
  </si>
  <si>
    <t>Urban flood risks and emerging challenges in a Chinese delta: The case of the Pearl River Delta</t>
  </si>
  <si>
    <t>Rapid increases and extreme months in projections of United States high-tide flooding</t>
  </si>
  <si>
    <t>Examining the impact of different dem sources and geomorphology on flash flood analysis in hyper-arid deserts</t>
  </si>
  <si>
    <t>Assessing salinization of coastal groundwater by tidal action: The tropical Wouri Estuary, Douala, Cameroon</t>
  </si>
  <si>
    <t>Review on processes and management of saltmarshes across Great Britain</t>
  </si>
  <si>
    <t>The use of UAV remote sensing for observing lava dome emplacement and areas of potential lahar hazards: An example from the 2017–2019 eruption crisis at Mount Agung in Bali</t>
  </si>
  <si>
    <t>Climate-Change Controls on River Delta Avulsion Location and Frequency</t>
  </si>
  <si>
    <t>Linking the Surface and Subsurface in River Deltas—Part 1: Relating Surface and Subsurface Geometries</t>
  </si>
  <si>
    <t>Satellite remote sensing and the marine biodiversity observation network: Current science and future steps</t>
  </si>
  <si>
    <t>Spatially compounded surge events: An example from hurricanes Matthew and Florence</t>
  </si>
  <si>
    <t>Quantifying drivers of coastal forest carbon decline highlights opportunities for targeted human interventions</t>
  </si>
  <si>
    <t>Contextualizing linkages between water security and global health in Africa, Asia and Europe. Geography matters in research, policy and practice</t>
  </si>
  <si>
    <t>Quantifying Psychosocial Impacts From Coastal Hazards for Cost-Benefit Analysis in Eastern Quebec, Canada</t>
  </si>
  <si>
    <t>Anthropogenic Effects on the Contemporary Sediment Budget of the Lower Rhine-Meuse Delta Channel Network</t>
  </si>
  <si>
    <t>Evaluation of an urban drainage system and its resilience using remote sensing and GIS</t>
  </si>
  <si>
    <t>Towards reliable global allowances for sea level rise</t>
  </si>
  <si>
    <t>Vertical land motion as a driver of coastline changes on a deltaic system in the colombian caribbean</t>
  </si>
  <si>
    <t>Land subsidence: A global challenge</t>
  </si>
  <si>
    <t>Effects of the Water-Sediment Regulation Scheme on the Expansion of Spartina alterniflora at the Yellow River Estuary, China</t>
  </si>
  <si>
    <t>Eco-hydrology as a driver for tidal restoration: Observations from a Ramsar wetland in eastern Australia</t>
  </si>
  <si>
    <t>Formation, evolution, and drainage of short-lived glacial lakes in permafrost environments of the northern Teskey Range, Central Asia</t>
  </si>
  <si>
    <t>Comparative analysis of different mobile LiDAR mapping systems for ditch line characterization</t>
  </si>
  <si>
    <t>Assessment of flash flood hazard based on morphometric aspects and rainfall-runoff modeling in Wadi Nisah, central Saudi Arabia</t>
  </si>
  <si>
    <t>Enhancing ecological integrity while preserving ecosystem services: Constructing soft-sediment islands in a shallow lake</t>
  </si>
  <si>
    <t>Impacts of climate change on environmental flows in West Africa’s Upper Niger Basin and the Inner Niger Delta</t>
  </si>
  <si>
    <t>Management of saltwater intrusion in coastal aquifers using different wells systems: a case study of the Nile Delta aquifer in Egypt; [使用不同的井系统管理沿海含水层的盐水入侵:以埃及尼罗河三角洲含水层为例]; [Gestion de l’intrusion d’eau salée dans les aquifères côtiers faisant appel à différents systèmes de puits: étude du cas de l’aquifère du Delta du Nil en Egypte]; [Gestión de la intrusión de agua salada en acuíferos costeros utilizando diferentes sistemas de perforaciones: un estudio de caso del acuífero del Delta del Nilo en Egipto]; [Gerenciamento da intrusão salgada em aquíferos costeiros utilizando diferentes sistemas de poços: um estudo de caso no aquífero do Delta do Nilo no Egito]</t>
  </si>
  <si>
    <t>Spatial hedonic analysis to support tourism-sensitive tsunami mitigation planning</t>
  </si>
  <si>
    <t>Integrating user-generated content to track urban flooding hotspots and foster emergency management: A case study in central China</t>
  </si>
  <si>
    <t>Integrating sponge city concept and neural network into land suitability assessment: Evidence from a satellite town of shenzhen metropolitan area</t>
  </si>
  <si>
    <t>Extreme fire weather associated with nocturnal drying in elevated coastal Terrain of California</t>
  </si>
  <si>
    <t>Hindcasts of sea surface wind around the korean peninsula using the wrf model: Added value evaluation and estimation of extreme wind speeds</t>
  </si>
  <si>
    <t>Application of elemental geochemistry in high‐frequency sequence—stratigraphic analysis of lacustrine shale</t>
  </si>
  <si>
    <t>The three-dimensional groundwater salinity distribution and fresh groundwater volumes in the Mekong Delta, Vietnam, inferred from geostatistical analyses</t>
  </si>
  <si>
    <t>Loose and Limited Concepts: Using Coauthor Network Analysis to Identify Potential Gaps in the Understanding of Barrier Islands</t>
  </si>
  <si>
    <t>Lake-Level Changes and Their Paleo-Climatic Implications at the MIS12 Lower Paleolithic (Middle Pleistocene) Site Marathousa 1, Greece</t>
  </si>
  <si>
    <t>The last interglacial sea-level record of Aotearoa New Zealand</t>
  </si>
  <si>
    <t>Mapping outburst floods using a collaborative learning method based on temporally dense optical and sar data: A case study with the baige landslide dam on the jinsha river, tibet</t>
  </si>
  <si>
    <t>Geospatial technology for prioritization of Koyna River basin of India based on soil erosion rates using different approaches</t>
  </si>
  <si>
    <t>Environmental impact index for tidal power plants in amazon region coast</t>
  </si>
  <si>
    <t>Quantifying the transition of impact mechanisms of geophysical flows against flexible barrier</t>
  </si>
  <si>
    <t>Evolution of Frequency and Intensity of Concurrent Heavy Precipitation and Storm Surge at the Global Scale: Implications for Compound Floods</t>
  </si>
  <si>
    <t>HAZARDOUS PHENOMENA IN THE SLIDES ZONE OF THE UKRAINIAN SECTION IN AZOV SEA</t>
  </si>
  <si>
    <t>A review of impact of subsidence induced by gas exploitation on costal erosion in Emilia-Romagna, Italy</t>
  </si>
  <si>
    <t>On Teichmüller space of circle diffeomorphisms with Hölder continuous derivative</t>
  </si>
  <si>
    <t>Integrating new sea-level scenarios into coastal risk and adaptation assessments: An ongoing process</t>
  </si>
  <si>
    <t>Geology and geochemistry of large gas fields in the deepwater areas, continental margin basins of northern South China Sea</t>
  </si>
  <si>
    <t>Integrating climate change adaptation in coastal governance of the Barcelona metropolitan area</t>
  </si>
  <si>
    <t>Rainfall-runoff modeling using the hec-hms model for the al-adhaim river catchment, northern iraq</t>
  </si>
  <si>
    <t>Monitoring of land subsidence in the Po river delta (Northern Italy) using geodetic networks</t>
  </si>
  <si>
    <t>Feng Shui and Imperial Examinations: a case study on the 1849 severe flood in Nanjing and debates on flood discharge</t>
  </si>
  <si>
    <t>Accounting for Multisectoral Dynamics in Supporting Equitable Adaptation Planning: A Case Study on the Rice Agriculture in the Vietnam Mekong Delta</t>
  </si>
  <si>
    <t>Mapping soil salinity using a combined spectral and topographical indices with artificial neural network</t>
  </si>
  <si>
    <t>Decreasing land growth and unique seasonal area fluctuations of two newborn Mississippi subdeltas</t>
  </si>
  <si>
    <t>Real-time flood mapping on client-side web systems using hand model</t>
  </si>
  <si>
    <t>Assessing the accuracy of alos/palsar-2 and sentinel-1 radar images in estimating the land subsidence of coastal areas: A case study in alexandria city, egypt</t>
  </si>
  <si>
    <t>Drivers of soil salinity and their correlation with climate change</t>
  </si>
  <si>
    <t>Uncertainty of drone-derived dems and significance of detected morphodynamics in artificially scraped dunes</t>
  </si>
  <si>
    <t>Effects of geomorphological and geohydrological features on flood hazard in a coastal basin</t>
  </si>
  <si>
    <t>Observing water surface temperature from two different airborne platforms over temporarily flooded wadden areas at the elbe estuary—methods for corrections and analysis</t>
  </si>
  <si>
    <t>Strategies for adapting to hazards and environmental inequalities in coastal urban areas: What kind of resilience for these territories?</t>
  </si>
  <si>
    <t>Land subsidence risk assessment using GIS fuzzy logic spatial modeling in Varamin aquifer, Iran</t>
  </si>
  <si>
    <t>The emergence of lotus farming as an innovation for adapting to climate change in the upper vietnamese mekong delta</t>
  </si>
  <si>
    <t>The deadliest tropical cyclone ‘Amphan’: investigate the natural flood inundation over south 24 Parganas using google earth engine</t>
  </si>
  <si>
    <t>Hazards of the Densu River delta in Accra—Ghana</t>
  </si>
  <si>
    <t>Assessment of flood prone zones in the Tarkwa mining area of Ghana using a GIS-based approach</t>
  </si>
  <si>
    <t>Interacting effects of land-use change and natural hazards on rice agriculture in the Mekong and Red River deltas in Vietnam</t>
  </si>
  <si>
    <t>Active and passive seismic surface wave methods for levee assessment in the Sacramento–San Joaquin Delta, California, USA</t>
  </si>
  <si>
    <t>Detectable Increases in Sequential Flood-Heatwave Events Across China During 1961–2018</t>
  </si>
  <si>
    <t>Environmental threats induced heavy ecological burdens on the coastal zone of the Bohai Sea, China</t>
  </si>
  <si>
    <t>The tipping points and early warning indicators for Pine Island Glacier, West Antarctica</t>
  </si>
  <si>
    <t>Visualizing sea level rise impacts to transportation infrastructure using virtual reality</t>
  </si>
  <si>
    <t>Human Adaptation to Coastal Hazards in Greater Bridgetown, Barbados</t>
  </si>
  <si>
    <t>Estimating the probability of compound floods in estuarine regions</t>
  </si>
  <si>
    <t>Shallow offshore geophysical prospection of archaeological sites in eastern mediterranean</t>
  </si>
  <si>
    <t>New Zealand’s tsunami death toll rises</t>
  </si>
  <si>
    <t>The application of uav for the analysis of geological hazard in krk island, croatia, mediterranean sea</t>
  </si>
  <si>
    <t>Thermal stress jeopardizes carbonate production of coral reefs across the western and central Pacific Ocean</t>
  </si>
  <si>
    <t>How Important Is Coastal Tourism for Island Nations? An Assessment of African and Indian Ocean Islands</t>
  </si>
  <si>
    <t>Phosphorus mobilization and availability across the freshwater to oligohaline water transition in subtropical estuarine marshes</t>
  </si>
  <si>
    <t>Effect of evaporation on soil salinization caused by ocean surge inundation</t>
  </si>
  <si>
    <t>Extreme value analysis of the typhoon-induced surges on the coastal seas of South Korea</t>
  </si>
  <si>
    <t>The Soil Diversity and Soil Resources of the Central Ecological Zone of the Lake Baikal Natural Territory (within the Republic of Buryatia)</t>
  </si>
  <si>
    <t>Integrated Hydrologic Study of the Arid and Semi-arid Regions using RST and GIS in the Riyadh Metropolitan Area, Saudi Arabia</t>
  </si>
  <si>
    <t>Evaluating Variations in Tropical Cyclone Precipitation in Eastern Mexico Using Machine Learning Techniques</t>
  </si>
  <si>
    <t>Facilitating use of climate information for adaptation actions in small coastal communities</t>
  </si>
  <si>
    <t>Co-production of climate services: A story map for future coastal flooding for the city of Flensburg</t>
  </si>
  <si>
    <t>Downscaling of real-time coastal flooding predictions for decision support</t>
  </si>
  <si>
    <t>Unusually high sea level at the south coast of Japan in September 2011 induced by the Kuroshio</t>
  </si>
  <si>
    <t>Constructing adaptive deformation models for estimating dem error in sbas-insar based on hypothesis testing</t>
  </si>
  <si>
    <t>Biophysical controls of marsh soil shear strength along an estuarine salinity gradient</t>
  </si>
  <si>
    <t>Spatio-Temporal Variation of Seawater Intrusion (SWI) inferred from geophysical methods as an ecological indicator; A case study from Dikili, NW İzmir, Turkey</t>
  </si>
  <si>
    <t>Quantifying Slopes as a Driver of Forest to Marsh Conversion Using Geospatial Techniques: Application to Chesapeake Bay Coastal-Plain, United States</t>
  </si>
  <si>
    <t>Climatic Drivers of Extreme Sea Level Events Along the Coastline of Western Australia</t>
  </si>
  <si>
    <t>Effect of rating curve hysteresis on flood extent simulation with a 2D hydrodynamic model: A case study of the Inner Niger Delta, Mali, West Africa</t>
  </si>
  <si>
    <t>Suitability of GNSS for analysis of soil subsidence in Recife in a highly urbanized coastal area</t>
  </si>
  <si>
    <t>Urban resilience of shenzhen city under climate change</t>
  </si>
  <si>
    <t>Debris-flow and debris-flood susceptibility mapping for geohazard risk prioritization</t>
  </si>
  <si>
    <t>Time-series unmanned aerial vehicle photogrammetry monitoring method without ground control points to measure mining subsidence</t>
  </si>
  <si>
    <t>Effect of inundation on greenhouse gas emissions from temperate coastal wetland soils with different vegetation types in southern Australia</t>
  </si>
  <si>
    <t>Evaluation of Atmospheric Boundary Layer Height From Wind Profiling Radar and Slab Models and Its Responses to Seasonality of Land Cover, Subsidence, and Advection</t>
  </si>
  <si>
    <t>Investigating sea-state effects on flash flood hydrograph and inundation forecasting</t>
  </si>
  <si>
    <t>Tailored flood risk management: Accounting for socio-economic and cultural differences when designing strategies</t>
  </si>
  <si>
    <t>Thirty-year dynamics of LULC at the dong thap muoi area, Southern Vietnam, using google earth engine</t>
  </si>
  <si>
    <t>Bare-Earth DEM Generation in Urban Areas for Flood Inundation Simulation Using Global Digital Elevation Models</t>
  </si>
  <si>
    <t>Comprehensive bathymetry and intertidal topography of the Amazon estuary</t>
  </si>
  <si>
    <t>Climate Change and Changes in Compound Coastal-Riverine Flooding Hazard Along the U.S. Coasts</t>
  </si>
  <si>
    <t>Tidal flat extraction and change analysis based on the rf-w model: A case study of jiaozhou bay, east china</t>
  </si>
  <si>
    <t>Tide–surge and wave interaction around the Taiwan coast: insight from Typhoon Nepartak in 2016</t>
  </si>
  <si>
    <t>Advances in the simulation of debris flow erosion: The case study of the Rio Gere (Italy) event of the 4th August 2017</t>
  </si>
  <si>
    <t>Modeling urban development and its exposure to river flood risk in Southeast Asia</t>
  </si>
  <si>
    <t>Glacial Lake Outburst Flood (GLOF) Hazard Assessment of Gepang Gath Pro-Glacial Lake Located in Chandra Basin, Western Himalaya, India</t>
  </si>
  <si>
    <t>Impacts of Fully Coupling Land Surface and Flood Models on the Simulation of Large Wetlands' Water Dynamics: The Case of the Inner Niger Delta</t>
  </si>
  <si>
    <t>Sea-level rise enhances carbon accumulation in United States tidal wetlands</t>
  </si>
  <si>
    <t>Flood Susceptibility Modeling of Megech River Catchment, Lake Tana Basin, North Western Ethiopia, Using Morphometric Analysis</t>
  </si>
  <si>
    <t>UAV to Inform Restoration: A Case Study From a California Tidal Marsh</t>
  </si>
  <si>
    <t>Adapting to Rising Sea Levels: How Short-Term Responses Complement Long-Term Investment</t>
  </si>
  <si>
    <t>Simulating major storm surge events in a complex coastal region</t>
  </si>
  <si>
    <t>Modeling long-term delta dynamics reveals persistent geometric river avulsion locations</t>
  </si>
  <si>
    <t>Climate change impacts on Peace River ice thickness and implications to ice-jam flooding of Peace-Athabasca Delta, Canada</t>
  </si>
  <si>
    <t>A geomorphic approach for identifying flash flood potential areas in the east rapti river basin of nepal</t>
  </si>
  <si>
    <t>The impacts of coastal dynamics on the Saco da Pedra shell midden in northeast Brazil</t>
  </si>
  <si>
    <t>A river channel terrain reconstruction method for flood simulations based on coarse DEMs</t>
  </si>
  <si>
    <t>Geo-spatial Analysis for Flash Flood Susceptibility Mapping in the North-East Haor (Wetland) Region in Bangladesh</t>
  </si>
  <si>
    <t>Geomorphological Evolution of the Patagonian Coast Surrounding the Golfo Nuevo (Chubut, Argentina) during Late Quaternary: Overview and New Proposal</t>
  </si>
  <si>
    <t>Generational retreat: locally driven adaption to coastal hazard risk in two Indigenous communities in Fiji</t>
  </si>
  <si>
    <t>Moving towards sustainable coastal adaptation: Analysis of hydrological drivers of saltwater intrusion in the Vietnamese Mekong Delta</t>
  </si>
  <si>
    <t>Climate Change Adaptation Priority Strategies in the Philippines: Differences between Local Government Decision Makers and Marginalized Coastal Communities</t>
  </si>
  <si>
    <t>Root Systems Research for Bioinspired Resilient Design: A Concept Framework for Foundation and Coastal Engineering</t>
  </si>
  <si>
    <t>Future of Asian Deltaic Megacities under sea level rise and land subsidence: current adaptation pathways for Tokyo, Jakarta, Manila, and Ho Chi Minh City</t>
  </si>
  <si>
    <t>Changes in Organic Matter Deposition Can Impact Benthic Marine Meiofauna in Karst Subterranean Estuaries</t>
  </si>
  <si>
    <t>Palaeogeography of the Rhenish slate mountain region during the early Devonian</t>
  </si>
  <si>
    <t>Analyzing climate variability and its effects in Sundarban Biosphere Reserve, India: reaffirmation from local communities</t>
  </si>
  <si>
    <t>Groundwater dynamics in the Vietnamese Mekong Delta: Trends, memory effects, and response times</t>
  </si>
  <si>
    <t>Assessment of flood vulnerability in some communities in Lokoja, Kogi State, Nigeria, using Participatory Geographic Information Systems</t>
  </si>
  <si>
    <t>Modeling and Mapping High Water Table for a Coastal Region in Florida using Lidar DEM Data</t>
  </si>
  <si>
    <t>Land deformation monitoring by GNSS in the Nile Delta and the measurements analysis</t>
  </si>
  <si>
    <t>Floristic diversity in the small rivers with different morphology in the zone affected by backwater of a lowland reservoir</t>
  </si>
  <si>
    <t>Flash flood susceptibility assessment using the parameters of drainage basin morphometry in SE Bangladesh</t>
  </si>
  <si>
    <t>Petroleum Geology in Deepwater Settings in a Passive Continental Margin of a Marginal Sea: A Case Study from the South China Sea</t>
  </si>
  <si>
    <t>A Rapid Cooling Event Over the Western Pacific Region During the Middle Bronze Age</t>
  </si>
  <si>
    <t>Direct push, in situ video imaging of buried prehistoric landscapes in soft soils: First results in the polders, coversands, and loess belt of Belgium</t>
  </si>
  <si>
    <t>Three-dimensional inundation mapping using UAV image segmentation and digital surface model</t>
  </si>
  <si>
    <t>Production, validation and morphometric analysis of a digital terrain model for lake trichonis using geospatial technologies and hydroacoustics</t>
  </si>
  <si>
    <t>Exploring the effect of urbanization on hourly extreme rainfall over Yangtze River Delta of China</t>
  </si>
  <si>
    <t>Morphometric analysis and prioritization of upper Benue River watershed, Northern Nigeria</t>
  </si>
  <si>
    <t>Impacts of Sediment Removal from and Placement in Coastal Barrier Island Systems</t>
  </si>
  <si>
    <t>Convolutional Neural Networks for forecasting flood process in Internet-of-Things enabled smart city</t>
  </si>
  <si>
    <t>Meteorologically generated long-period waves and their impact on the Dutch primary national flooding protection system</t>
  </si>
  <si>
    <t>How would the potential collapse of the cumbre vieja volcano in la palma canary islands impact the guadeloupe islands? Insights into the consequences of climate change</t>
  </si>
  <si>
    <t>Combined hazard of typhoon-generated meteorological tsunamis and storm surges along the coast of Japan</t>
  </si>
  <si>
    <t>Geomechanical investigation for abandoned salt caverns used for solid waste disposal</t>
  </si>
  <si>
    <t>Application of UAV Remote Sensing Technology for Sand Quarry Volumetric Audit and Environmental Impact Assessment: A Case Study Done in Neyvasal Sand Quarry, Cuddalore District, Tamil Nadu—India</t>
  </si>
  <si>
    <t>Intermittent hydrologic perturbations control solute cycling and export in the Okavango Delta</t>
  </si>
  <si>
    <t>Upgrades of coastal protective infrastructure affect benthic communities</t>
  </si>
  <si>
    <t>Building a strategic performance management model for enterprises investing to coastal urban projects toward sustainability</t>
  </si>
  <si>
    <t>Combined Modeling of US Fluvial, Pluvial, and Coastal Flood Hazard Under Current and Future Climates</t>
  </si>
  <si>
    <t>Shoreline changes and coastal erosion: The case study of the coast of togo (bight of benin, west africa margin)</t>
  </si>
  <si>
    <t>The impact of morphodynamics and storm floods on pore water flow and transport in the subterranean estuary</t>
  </si>
  <si>
    <t>Determination of Flash Floods Hazards and Risks for Irbid Governorates Using Hydrological and Hydraulic Modelling</t>
  </si>
  <si>
    <t>Crossover comparison of climate-change adaptation measures taken in the Gdansk (Baltic-sea) and Rotterdam (Nord-sea) deltas.</t>
  </si>
  <si>
    <t>D-SRGAN: DEM Super-Resolution with Generative Adversarial Networks</t>
  </si>
  <si>
    <t>A predictive human health risk assessment of non-choleraic vibrio spp. During hurricane-driven flooding events in Coastal South Carolina, USA</t>
  </si>
  <si>
    <t>A methodological framework of quantifying the cost of environmental degradation driven by coastal flooding and erosion: A case study in West Africa</t>
  </si>
  <si>
    <t>Probabilistic characterisation of coastal storm-induced risks using Bayesian networks</t>
  </si>
  <si>
    <t>A global climatological perspective on the importance of Rossby wave breaking and intense moisture transport for extreme precipitation events</t>
  </si>
  <si>
    <t>Using aerial imagery to determine the effects of sea-level rise on fluvial marshes at the mouth of the pascagoula river (Mississippi, USA)</t>
  </si>
  <si>
    <t>Dynamics of phosphorus fractions and potential bioavailability along soil profiles from seasonal-flooding wetlands in a Chinese estuary</t>
  </si>
  <si>
    <t>Exploring urbanization and critical habitat loss through land cover change around the Bons Sinais Estuary, Mozambique</t>
  </si>
  <si>
    <t>Mapping properties of vegetation in a tidal salt marsh from multi-spectral satellite imagery using the SCOPE model</t>
  </si>
  <si>
    <t>Observing the impacts of 1950s great Assam earthquake in the tectono-geomorphological deformations at the Young Meghna Estuarine Floodplain of Bangladesh: evidence from Noakhali Coastal Region</t>
  </si>
  <si>
    <t>Household dependence on fish-based farming systems in the Bons Sinais Estuary in Mozambique</t>
  </si>
  <si>
    <t>Dataset on effect of sand grain size and water salinity on oil recovery</t>
  </si>
  <si>
    <t>Evaluation of land subsidence potential by linking subsurface deformation to microstructure characteristics in Suzhou, China</t>
  </si>
  <si>
    <t>Monitoring the coastal changes of the Po River Delta (Northern Italy) since 1911 using archival cartography, multi-temporal aerial photogrammetry and LiDAR data: Implications for coastline changes in 2100 A.D.</t>
  </si>
  <si>
    <t>Agent-based modelling of juvenile eel migration via selective tidal stream transport</t>
  </si>
  <si>
    <t>Shoreline mapping based on beachrocks identification in Krakal-Sadranan beach, Yogyakarta, Indonesia</t>
  </si>
  <si>
    <t>Restoring Fringing Tidal Marshes for Ecological Function and Ecosystem Resilience to Moderate Sea-level Rise in the Northern Gulf of Mexico</t>
  </si>
  <si>
    <t>Natural resource-use in the Lower Tana River Delta based on household surveys and remote sensing of land cover and land use patterns</t>
  </si>
  <si>
    <t>Rhyolitic volcano dynamics in the Southern Andes: Contributions from 17 years of InSAR observations at Cordón Caulle volcano from 2003 to 2020</t>
  </si>
  <si>
    <t>Numerical investigation on the hydrodynamic characteristics of coastal bridge decks under the impact of extreme waves</t>
  </si>
  <si>
    <t>Signatures of late Quaternary land-sea interactions and landform dynamics along southern Kerala coast, SW India</t>
  </si>
  <si>
    <t>Historical flood imprints reveal factors causing catastrophic impacts on modern Jeddah, Saudi Arabia: a case of flash floods versus rapid urbanization</t>
  </si>
  <si>
    <t>An integrated approach to assess coastal vulnerability versus fisheries livelihood sustainability: Strategies for climate change adaptation in Sindhudurg, west coast of India</t>
  </si>
  <si>
    <t>Assessing losses from multi-hazard coastal events using Poisson regression: empirical evidence from Sundarban Biosphere Reserve (SBR), India</t>
  </si>
  <si>
    <t>Long-term fate of rapidly eroding carbon stock soil profiles in coastal wetlands</t>
  </si>
  <si>
    <t>A framework of dam-break hazard risk mapping for a data-sparse region in Indonesia</t>
  </si>
  <si>
    <t>Future losses of ecosystem services due to coastal erosion in Europe</t>
  </si>
  <si>
    <t>A Place Worth Protecting: Rethinking Cost-Benefit Analysis Under FEMA's Flood-Mitigation Programs</t>
  </si>
  <si>
    <t>A modified digital elevation modeling for stormwater management planning in segmentalized micro-catchment areas</t>
  </si>
  <si>
    <t>An ice jam flood hazard assessment of a lowland river and its terminus inland delta</t>
  </si>
  <si>
    <t>Importance of an efficient tide-surge interaction model for the coast of Bangladesh: a case study with the tropical cyclone Roanu</t>
  </si>
  <si>
    <t>Identifying causes of urban differential subsidence in the Vietnamese mekong delta by combining insar and field observations</t>
  </si>
  <si>
    <t>Impacts of sea level rise on future storm-induced coastal inundations over massachusetts coast</t>
  </si>
  <si>
    <t>Spatiotemporal Features of Storm Surge Activity and Its Response to Climate Change in the Southeastern Coastal Area of China in the Past 60 years</t>
  </si>
  <si>
    <t>The effect of seed addition and litter removal on plant composition in a coastal marsh of the Yellow River Delta</t>
  </si>
  <si>
    <t>Caspian Sea Level Fluctuations in the Neopleistocene (Was There an Atelian Regression?)</t>
  </si>
  <si>
    <t>Data for: Terrain units, land use/cover, and gross primary productivity of the largest fluvial basin in the Brazilian Amazonia/Cerrado ecotone: The Araguaia River Basin</t>
  </si>
  <si>
    <t>Extreme floods of the Changjiang River over the past two millennia: Contributions of climate change and human activity</t>
  </si>
  <si>
    <t>Holocene progradation and retrogradation of the Central Texas Coast regulated by alongshore and cross-shore sediment flux variability</t>
  </si>
  <si>
    <t>Spatial-planning-based ecosystem adaptation (SPBEA): A concept and modeling of prone shoreline retreat areas</t>
  </si>
  <si>
    <t>Weather radar and ancillary observations of the convective system causing the northern Persian Gulf meteotsunami on 19 March 2017</t>
  </si>
  <si>
    <t>Quantifying active deformation on a dry maar’s bottom through a light unmanned aerial vehicle and Structure-from-Motion</t>
  </si>
  <si>
    <t>Increased tropical cyclone risk to coasts</t>
  </si>
  <si>
    <t>Impact of compound flood event on coastal critical infrastructures considering current and future climate</t>
  </si>
  <si>
    <t>Compounding factors for extreme flooding around Galveston Bay during Hurricane Harvey</t>
  </si>
  <si>
    <t>Small streams dominate US tidal reaches and will be disproportionately impacted by sea-level rise</t>
  </si>
  <si>
    <t>Rapid tidal marsh development in anthropogenic backwaters</t>
  </si>
  <si>
    <t>Assessing the Influence of Shoreline Adaptation on Tidal Hydrodynamics: The Role of Shoreline Typologies</t>
  </si>
  <si>
    <t>Probabilistic Characterization of Extreme Storm Surges Induced by Tropical Cyclones</t>
  </si>
  <si>
    <t>Habitat Partitioning in the Marine Sector of Karst Subterranean Estuaries and Bermuda's Marine Caves: Benthic Foraminiferal Evidence</t>
  </si>
  <si>
    <t>Indigenous microbial strains as bioresource for remediation of chronically polluted Niger Delta soils</t>
  </si>
  <si>
    <t>Impact of Environmental Factors on the Formation of Soil-Mite (Acari) Assemblages on Coastal Marshes of Shokalsky Island, Kara Sea</t>
  </si>
  <si>
    <t>Quantitative estimation of provenance contributions to loess deposits in Eastern China and implication for paleo-dust storm activity</t>
  </si>
  <si>
    <t>A Historical Earthquake-Induced Landslide Damming Event at the Qiaojia Reach of the Jinsha River, SE Tibetan Plateau: Implication for the Seismic Hazard of the Xiaojiang Fault</t>
  </si>
  <si>
    <t>Social vulnerability to environmental hazards in the Ganges-Brahmaputra-Meghna delta, India and Bangladesh</t>
  </si>
  <si>
    <t>Variation in Tsunami Wave-Heights Due to Coastal Topography and Impact of Rock Boulders on Inundation: A Case Study of 2004 Indian Ocean Tsunami Along the Pondicherry Coast</t>
  </si>
  <si>
    <t>Taking Stock of Climate Change Induced Sea Level Rise across the West African Coast</t>
  </si>
  <si>
    <t>Premiers tests de la méthode Cartino2D sur le territoire de Toulon Provence Méditerranée; [  First tests of Cartino2D method on Toulon French metropolis]</t>
  </si>
  <si>
    <t>The Sea-Level Changes in Hong Kong from Tide-Gauge Records and Remote Sensing Observations over the Last Seven Decades</t>
  </si>
  <si>
    <t>Quantifying the influence of shoreface shape on coastal responses to sea level rise</t>
  </si>
  <si>
    <t>Measuring, modelling and projecting coastal land subsidence</t>
  </si>
  <si>
    <t>Developing coastal relocation policy: lessons learned from the FEMA Hazard Mitigation Grant Program</t>
  </si>
  <si>
    <t>Influence of Hurricane Wind Field Variability on Real-Time Forecast Simulations of the Coastal Environment</t>
  </si>
  <si>
    <t>Inondations sur la Côte d’Azur : bilan hydro-météorologique des épisodes de 2015 et 2019; [  French Riviera floods: hydrometeorological comparison of 2015 and 2019 extremes events]</t>
  </si>
  <si>
    <t>Comparing Drone-Derived Elevation Data with Air-Borne LiDAR to Analyze Coastal Sea Level Rise at the Local Level</t>
  </si>
  <si>
    <t>Designation of flood risk zones using the geographic information system technique and remote sensing data in wasit, iraq</t>
  </si>
  <si>
    <t>Late-Holocene sea-level reconstruction (1200 BC-AD 100) in the Westergo terp region of the northern Netherlands</t>
  </si>
  <si>
    <t>Disentangling the effects of hydro-climatic factors and land use intensification on wetland vegetation dynamics in the Lower Delta of the Paraná River</t>
  </si>
  <si>
    <t>A GIS-based tool for automatic extraction of drainage anomalies. A case study of enfidha (North-East of Tunisia)</t>
  </si>
  <si>
    <t>Why do people persist in sea-level rise threatened coastal regions? Empirical evidence on risk aversion and place attachment</t>
  </si>
  <si>
    <t>Hydrological regulation of Vibrio dynamics in a tropical monsoonal estuary: a classification and regression tree approach</t>
  </si>
  <si>
    <t>Multisector risk identification to assess resilience to flooding</t>
  </si>
  <si>
    <t>Two-dimensional food model for risk exposure analysis of land use/land cover in a watershed</t>
  </si>
  <si>
    <t>Simulation of glacial lake outburst flood hazard in Hunza valley of upper Indus Basin</t>
  </si>
  <si>
    <t>Sea level rise inundation risk assessment in residential cadastral parcels along the mediterranean andalusian coast; [Evaluación del riesgo de inundación por subida del nivel del mar para parcelas residenciales catastrales en la costa mediterránea andaluza]</t>
  </si>
  <si>
    <t>Hydropower dams, river drought and health effects: A detection and attribution study in the lower Mekong Delta Region</t>
  </si>
  <si>
    <t>Retrieval of digital elevation models from Sentinel-1 radar data - Open applications, techniques, and limitations</t>
  </si>
  <si>
    <t>Landslide susceptibility zonation in the tartagal river basin, Sierras Subandinas, Salta, Argentina; [Zonación de susceptibilidad a procesos de remoción en masa en la cuenca del río tartagal, Sierras Subandinas, Aalta, Argentina]</t>
  </si>
  <si>
    <t>Sustainable livelihood strategies of the riverine communities at sadong jaya, sarawak, malaysia: Role of capital assets</t>
  </si>
  <si>
    <t>Integrated modelling of sea-state forecasts for safe navigation and operational management in ports: Application in the Mediterranean Sea</t>
  </si>
  <si>
    <t>An automated approach in estimation and prediction of riverbank shifting for flood-prone middle-lower course of the Subarnarekha river, India</t>
  </si>
  <si>
    <t>The devastating flood in the arid region a consequence of rainfall and dam failure: Case study, al-lith flood on 23th November 2018, Kingdom of Saudi Arabia</t>
  </si>
  <si>
    <t>Morphometric analysis of debris flows basins in the Eastern Rhodopes (Bulgaria) using geospatial technologies</t>
  </si>
  <si>
    <t>Evaluating pluvial flood hazard for highly urbanised cities: a case study of the Pearl River Delta Region in China</t>
  </si>
  <si>
    <t>Identifying land subsidence using global digital elevation models</t>
  </si>
  <si>
    <t>Extreme-city-territories. Coastal geographies in the Veneto region</t>
  </si>
  <si>
    <t>Mozambique flood (2019) caused by tropical cyclone idai monitored from sentinel-1 and sentinel-2 images</t>
  </si>
  <si>
    <t>Optimizing flood mapping using multi-synthetic aperture radar images for regions of the lower mekong basin in Vietnam</t>
  </si>
  <si>
    <t>Multi-temporal UAV based repeat monitoring of rivers sensitive to flood</t>
  </si>
  <si>
    <t>DETECTION OF COASTAL DYNAMICS DEPENDING ON THE CASPIAN SEA LEVEL CHANGE USING REMOTE SENSING DATA: A CASE STUDY IN THE KURA GEOMORPHOLOGICAL SUB-REGION (AZERBAIJAN)</t>
  </si>
  <si>
    <t>To move or stay? A cellular automata model to predict urban growth in coastal regions amidst rising sea levels</t>
  </si>
  <si>
    <t>Geochemical characteristics of paleotsunami deposits from the Shizuoka plain on the Pacific coast of middle Japan</t>
  </si>
  <si>
    <t>Uncovering multilayered vulnerability and resilience in rural villages in the pacific: A case study of ono island, fiji</t>
  </si>
  <si>
    <t>Adapting to Sea Level Rise: Insights from a New Evaluation Framework of Physical Design Projects</t>
  </si>
  <si>
    <t>Changes in consecutive dry/wet days and their relationships with local and remote climate drivers in the coastal area of China</t>
  </si>
  <si>
    <t>Flood Extent Mapping: An Integrated Method Using Deep Learning and Region Growing Using UAV Optical Data</t>
  </si>
  <si>
    <t>Assessment of digital terrain models in dam break simulation studies; [Avaliação de modelos digitais de terrenos em estudos de simulação de rompimento de barragens]</t>
  </si>
  <si>
    <t>A regional assessment of seasonal-to-decadal changes in estuarine socio-ecological systems in the Western Indian Ocean</t>
  </si>
  <si>
    <t>Assessment of climate-driven flood risk and adaptation supporting the conservation management plan of a heritage site. The national art schools of Cuba</t>
  </si>
  <si>
    <t>Using search-constrained inverse distance weight modeling for near real-time riverine flood modeling: Harris County, Texas, USA before, during, and after Hurricane Harvey</t>
  </si>
  <si>
    <t>Extreme water levels along the central Red Sea coast of Saudi Arabia: processes and frequency analysis</t>
  </si>
  <si>
    <t>Drivers of marine fishery dependence: Micro-level evidence from the coastal lowlands of Kenya</t>
  </si>
  <si>
    <t>Generation of 1D and 2D flood maps of Sakarya river passing through Geyve district of Sakarya city in Turkey</t>
  </si>
  <si>
    <t>Coarse-to-fine waterlogging probability assessment based on remote sensing image and social media data</t>
  </si>
  <si>
    <t>Building more common wealth in a climate changed world</t>
  </si>
  <si>
    <t>Mapping flood risk uncertainty zones in support of urban resilience planning</t>
  </si>
  <si>
    <t>Development and evaluation of an ensemble forecast/hindcast system for storm surges in the Río de la Plata Estuary</t>
  </si>
  <si>
    <t>Is it scientific? Viewer perceptions of storm surge visualizations</t>
  </si>
  <si>
    <t>ASSESSMENT OF SHORELINE POSITIONAL UNCERTAINTY USING REMOTE SENSING AND GIS TECHNIQUES: A CASE STUDY FROM THE EAST COAST OF INDIA</t>
  </si>
  <si>
    <t>From marginal to axial tidal-strait facies in the Early Pleistocene Siderno Strait</t>
  </si>
  <si>
    <t>The Effect of Salt Marsh on Residential Property Values</t>
  </si>
  <si>
    <t>Danger from beneath: groundwater–sea-level interactions and implications for coastal archaeological sites in the southeast US</t>
  </si>
  <si>
    <t>Living with water: Infrastructure and urbanism in Jakarta</t>
  </si>
  <si>
    <t>Bayesian confidence intervals for variance of delta-lognormal distribution with an application to rainfall dispersion</t>
  </si>
  <si>
    <t>Urban geomorphology of the Vistula River valley in Warsaw</t>
  </si>
  <si>
    <t>Social Resilience to Flooding in Vancouver: The Issue of Scale</t>
  </si>
  <si>
    <t>Estimating economic values for beach and foreshore assets and preservation against future climate change impacts in Victoria, Australia</t>
  </si>
  <si>
    <t>Planning for a different kind of sea change: lessons from Australia for sea level rise and coastal flooding</t>
  </si>
  <si>
    <t>Shaping the Global High-Resolution TanDEM-X Digital Elevation Model</t>
  </si>
  <si>
    <t>Collaboration of Government Policies and the Marind Tribe Communities on Mangrove Resources Management in the Payum Coastal Area of Merauke Regency in Papua</t>
  </si>
  <si>
    <t>The future protection from the climate change-related hazards and the willingness to pay for home insurance in the coastal wetlands of West Sardinia, Italy</t>
  </si>
  <si>
    <t>Palynology and organic petrography of the Tyler Formation (lower Pennsylvanian), Williston Basin, North Dakota, USA</t>
  </si>
  <si>
    <t>A history of the circum-Pontic river channels marked by climate and sea level changes during the Late Quaternary (25-8 ka BP)</t>
  </si>
  <si>
    <t>GIS-based multi-criteria analysis for flood prone areas mapping in the trans-boundary Shatt Al-Arab basin, Iraq-Iran</t>
  </si>
  <si>
    <t>Creating the conditions for climate resilience: a community‐based approach in canumay east, Philippines</t>
  </si>
  <si>
    <t>Workflow for hydrologic modelling with sUAS-acquired aerial imagery</t>
  </si>
  <si>
    <t>The Millennials Metacognitive Assessment toward Flood-Disaster in Semarang City</t>
  </si>
  <si>
    <t>COASTAL EROSION AND FLOOD SUSCEPTIBILITY IN PARATY, SOUTHEAST BRAZIL; [EROSIÓN COSTERA Y SUSCEPTIBILIDAD A INUNDACIONES EN PARATY, SURESTE DE BRASIL]</t>
  </si>
  <si>
    <t>Studying the sensitivity of satellite altimetry, tide gauge and gnss observations to changes in vertical displacements</t>
  </si>
  <si>
    <t>LAND CAPABILITY EVALUATION OF FORMER BAUXITE MINING LAND FOR LAND USE PLANNING BY INTEGRATING REMOTE SENSING AND GEOGRAPHIC INFORMATION SYSTEM IN SANGGAU WEST KALIMANTAN INDONESIA</t>
  </si>
  <si>
    <t>Modeling dependence and coincidence of storm surges and high tide: Methodology, discussion and recommendations based on a simplified case study in Le Havre (France)</t>
  </si>
  <si>
    <t>Identifying opportunities for local assisted expansion of coastal upland vegetation in an urban estuary</t>
  </si>
  <si>
    <t>The cryostratigraphy of the Yedoma cliff of Sobo-Sise Island (Lena delta) reveals permafrost dynamics in the central Laptev Sea coastal region during the last 52&amp;thinsp;kyr</t>
  </si>
  <si>
    <t>Estuarine and Coastal Ecosystems as Defense Against Flood Damages: An Economic Perspective</t>
  </si>
  <si>
    <t>Projecting circum-Arctic excess-ground-ice melt with a sub-grid representation in the Community Land Model</t>
  </si>
  <si>
    <t>Geomorphology of fluvial deposits in the middle Tocantins River, eastern Amazon</t>
  </si>
  <si>
    <t>Climate Change and Brazil's coastal zone: Socio-environmental vulnerabilities and action strategies</t>
  </si>
  <si>
    <t>Ecological Interfaces between Land and Flowing Water: Themes and Trends in Riparian Research and Management</t>
  </si>
  <si>
    <t>Locked-in and living delta pathways in the Anthropocene</t>
  </si>
  <si>
    <t>Exploring wetland transformations in moribund deltaic parts of India</t>
  </si>
  <si>
    <t>Remote Sensing Revealed Geomorphic Anomalies and Recent Earth Movements in Cauvery Delta, Tamil Nadu, India</t>
  </si>
  <si>
    <t>LiDAR-derived high-resolution palaeo-DEM construction workflow and application to the early medieval Lower Rhine valley and upper delta</t>
  </si>
  <si>
    <t>Characterization of plastic beach litter by Raman spectroscopy in South-western Spain</t>
  </si>
  <si>
    <t>An update on the status of mean sea level rise around the korean peninsula</t>
  </si>
  <si>
    <t>Extreme rainfall trends over the Mekong Delta under the impacts of climate change</t>
  </si>
  <si>
    <t>The 2018 Palu Tsunami: Coeval landslide and coseismic sources</t>
  </si>
  <si>
    <t>Assessing social resilience of flood-vulnerable communities in Ayeyarwady Delta, Myanmar</t>
  </si>
  <si>
    <t>Harnessing new data technologies for nature-based solutions in assessing and managing risk in coastal zones</t>
  </si>
  <si>
    <t>System wide channel network analysis reveals hotspots of morphological change in anthropogenically modified regions of the Ganges Delta</t>
  </si>
  <si>
    <t>Picophytoplankton dynamics in a large temperate estuary and impacts of extreme storm events</t>
  </si>
  <si>
    <t>Geomorphometric characterisation of natural and anthropogenic land covers</t>
  </si>
  <si>
    <t>Impacts of climate change on tropical cyclones and induced storm surges in the Pearl River Delta region using pseudo-global-warming method</t>
  </si>
  <si>
    <t>Protective behaviors regarding coastal flooding risk in a context of climate change</t>
  </si>
  <si>
    <t>REFRAMING THE LANGUAGE OF RETREAT: With so many communities facing relocation from the coasts amid rising seas, reframing the discussion on managed retreat can give them real agency</t>
  </si>
  <si>
    <t>The use of unmanned aerial vehicles to determine differences in vegetation cover: A tool for monitoring coastal wetland restoration schemes</t>
  </si>
  <si>
    <t>Assessment of soil erosion by RUSLE model using remote sensing and GIS - A case study of Ziz Upper Basin Southeast Morocco; [Rezumat. Evaluarea eroziunii solului prin modelul RUSLE folosind metode de teledecție și SIG - Studiu de caz: Bazinul superior al râului Ziz din sud-estul Marocului]</t>
  </si>
  <si>
    <t>Single-input, multiple-output iterative algorithm for the volume, area, elevation, and shape calculation using 3D topobathymetric models; [Algoritmo iterativo de una entrada y salida múltiple para el cálculo de volumen, área, elevación y forma utilizando modelos topobatimétricos 3D]</t>
  </si>
  <si>
    <t>Effects of earthquake spatial slip correlation on variability of tsunami potential energy and intensities</t>
  </si>
  <si>
    <t>Palaeogeographic reconstruction of a fluvio-marine transitional system in Narmada rift basin, India — Implications on Late Cretaceous global sea-level rise</t>
  </si>
  <si>
    <t>Increase in sea level variability with ocean warming associated with the nonlinear thermal expansion of seawater</t>
  </si>
  <si>
    <t>Impact of Historical Channel Deepening on Tidal Hydraulics in the Delaware Estuary</t>
  </si>
  <si>
    <t>Identification of tidal trapping of microplastics in a temperate salt marsh system using sea surface microlayer sampling</t>
  </si>
  <si>
    <t>A novel real-world ecotoxicological dataset of pelagic microbial community responses to wastewater</t>
  </si>
  <si>
    <t>Formation and outburst of the toguz-bulak glacial lake in the northern teskey range, tien shan, kyrgyzstan</t>
  </si>
  <si>
    <t>Spatial-temporal trends analysis of flood events in the republic of armenia in the context of climate change</t>
  </si>
  <si>
    <t>Sediment Budget of the Mouth Bar in the Yangtze Estuary Response to the Change of Marine Input Conditions: A Process-Based Model Approach</t>
  </si>
  <si>
    <t>Sea level prediction using climatic variables: a comparative study of SVM and hybrid wavelet SVM approaches</t>
  </si>
  <si>
    <t>Using Tracer Variance Decay to Quantify Variability of Salinity Mixing in the Hudson River Estuary</t>
  </si>
  <si>
    <t>Towards adaptation pathways for atoll islands. Insights from the Maldives</t>
  </si>
  <si>
    <t>Spatial and temporal variations in depositional systems in the Kazusa Group: insights into the origins of deep-water massive sandstones in a Pleistocene forearc basin on the Boso Peninsula, Japan</t>
  </si>
  <si>
    <t>What drives relocation policies in the Maldives?</t>
  </si>
  <si>
    <t>A comprehensive system of definitions of land surface (topographic) curvatures, with implications for their application in geoscience modelling and prediction</t>
  </si>
  <si>
    <t>Ammonium aggravates salt stress in plants by entrapping them in a chloride over-accumulation state in an NRT1.1-dependent manner</t>
  </si>
  <si>
    <t>Characteristics of extreme precipitation in South China during April–July for early rice season</t>
  </si>
  <si>
    <t>New insights into the food web of an Australian tropical river to inform water resource management</t>
  </si>
  <si>
    <t>Impact of river discharge seasonality change on tidal duration asymmetry in the Yangtze River Estuary</t>
  </si>
  <si>
    <t>Detecting precursors of an imminent landslide along the Jinsha River</t>
  </si>
  <si>
    <t>Flash flood susceptibility assessment based on geodetector, certainty factor, and logistic regression analyses in fujian province, china</t>
  </si>
  <si>
    <t>How much spatial resolution do we need to model a local flood event? Benchmark testing based on UAV data from Biga River (Turkey)</t>
  </si>
  <si>
    <t>Evaluating the viability of coastal wet grassland to a changing management regime through flood hazard modelling</t>
  </si>
  <si>
    <t>Long-term alterations of flow regimes of the Mekong River and adaptation strategies for the Vietnamese Mekong Delta</t>
  </si>
  <si>
    <t>Tidal Wetland Resilience to Increased Rates of Sea Level Rise in the Chesapeake Bay: Introduction to the Special Feature</t>
  </si>
  <si>
    <t>Measurements of hydrodynamics, sediment, morphology and benthos on Ameland ebb-tidal delta and lower shoreface</t>
  </si>
  <si>
    <t>Surface deformation of the Barren Island volcano, Andaman Sea (2007–2017) constrained by InSAR measurements: Evidence for shallow magma reservoir and lava field subsidence</t>
  </si>
  <si>
    <t>Steel slag amendment impacts on soil microbial communities and activities of rice (Oryza sativa L.)</t>
  </si>
  <si>
    <t>Surface subsidence in urbanized coastal areas: Psi methods based on sentinel-1 for ho chi minh city</t>
  </si>
  <si>
    <t>Nitrogen enrichment increases greenhouse gas emissions from emerged intertidal sandflats</t>
  </si>
  <si>
    <t>More meteorological events that drive compound coastal flooding are projected under climate change</t>
  </si>
  <si>
    <t>Transgressive architecture of coastal barrier systems in the ofanto incised valley and its surrounding shelf in response to stepped sea-level rise</t>
  </si>
  <si>
    <t>Nitrogen and phosphorus losses from paddy fields and the yield of rice with different water and nitrogen management practices</t>
  </si>
  <si>
    <t>Simulating rainfall IDF curve for flood warnings in the Ca Mau coastal area under the impacts of climate change</t>
  </si>
  <si>
    <t>Courts’ views on climate change inundation risks for developments: Australian perspectives and considerations for valuers</t>
  </si>
  <si>
    <t>Mapping of cyclone induced extreme water levels along Gujarat and Maharashtra coasts: a climate change perspective</t>
  </si>
  <si>
    <t>Future urban development exacerbates coastal exposure in the Mediterranean</t>
  </si>
  <si>
    <t>Marsh Migration, Climate Change, and Coastal Resilience: Human Dimensions Considerations for a Fair Path Forward</t>
  </si>
  <si>
    <t>The hazardous 2017–2019 surge and river damming by Shispare Glacier, Karakoram</t>
  </si>
  <si>
    <t>The Operation of the Three Gorges Dam Alters Wetlands in the Middle and Lower Reaches of the Yangtze River</t>
  </si>
  <si>
    <t>Socio-hydrology: A key approach for adaptation to water scarcity and achieving human well-being in large riverine islands</t>
  </si>
  <si>
    <t>Random-walk simulation of non-conservative pollutant transport in shallow water flows</t>
  </si>
  <si>
    <t>Impacts of Hurricane Winds and Precipitation on Hydrodynamics in a Back-Barrier Estuary</t>
  </si>
  <si>
    <t>Evolution of Tidal Marsh Distribution under Accelerating Sea Level Rise</t>
  </si>
  <si>
    <t>Monitoring active open-pit mine stability in the Rhenish coalfields of Germany using a coherence-based SBAS method</t>
  </si>
  <si>
    <t>UAS-derived surficial deformation around the epicenter of the 2016 Mw 5.8 Pawnee, Oklahoma, USA, Earthquake</t>
  </si>
  <si>
    <t>Rainfall flooding in urban areas in the context of geomorphological aspects</t>
  </si>
  <si>
    <t>Dynamics of Marsh-Derived Sediments in Lagoon-Type Estuaries</t>
  </si>
  <si>
    <t>Remote Sensing-Based Modeling of the Bathymetry and Water Storage for Channel-Type Reservoirs Worldwide</t>
  </si>
  <si>
    <t>The role of culture for coastal disaster risk reduction measures: Empirical evidence from northern and southern Europe</t>
  </si>
  <si>
    <t>Using SRTM Elevation Matrices in Preliminary Calculations and Mapping of the Depths of the Potential Flood Inundation of Fluvial Plains</t>
  </si>
  <si>
    <t>Strontium isotopes (87Sr/86Sr) reveal the life history of freshwater migratory fishes in the La Plata Basin</t>
  </si>
  <si>
    <t>Laboratory study of non-linear wave-wave interactions of extreme focused waves in the nearshore zone</t>
  </si>
  <si>
    <t>Global Intercomparison of Atmospheric Rivers Precipitation in Remote Sensing and Reanalysis Products</t>
  </si>
  <si>
    <t>Translocal social capital as a resource for community-based responses to coastal flooding – Evidence from urban and rural areas on Java, Indonesia</t>
  </si>
  <si>
    <t>UAV-derived data application for environmental monitoring of the coastal area of Lake Sevan, Armenia with a changing water level</t>
  </si>
  <si>
    <t>Uncertainty and overfitting in fluvial landform classification using laser scanned data and machine learning: A comparison of pixel and object-based approaches</t>
  </si>
  <si>
    <t>Slower decay of landfalling hurricanes in a warming world</t>
  </si>
  <si>
    <t>Evaporation and Salt Accumulation Effects on Riparian Freshwater Lenses</t>
  </si>
  <si>
    <t>Living on the Edge: Multi-Scale Analyses of Bird Habitat Use in Coastal Marshes of Barataria Basin, Louisiana, USA</t>
  </si>
  <si>
    <t>Delineation of main relief subdomains of central Amazonia for regional geomorphometric mapping with SRTM data</t>
  </si>
  <si>
    <t>Flood-generated hyperpycnal delta front sands of the Brora Arenaceous Formation (upper Callovian–middle Oxfordian) of the Inner Moray Firth, Scotland, record the onset of rifting</t>
  </si>
  <si>
    <t>The Importance of Atmospheric Corrections on InSAR Surveys Over Turkey: Case Study of Tectonic Deformation of Bodrum-Kos Earthquake</t>
  </si>
  <si>
    <t>Coastal dam inundation assessment for the yellow river delta: Measurements, analysis and scenario</t>
  </si>
  <si>
    <t>Reconstructing the Chongbaxia Tsho glacial lake outburst flood in the Eastern Himalaya: Evolution, process and impacts</t>
  </si>
  <si>
    <t>The contribution of short-wave breaking to storm surges: The case Klaus in the Southern Bay of Biscay</t>
  </si>
  <si>
    <t>Digital Elevation Models for topographic characterisation and flood flow modelling along low-gradient, terminal dryland rivers: A comparison of spaceborne datasets for the Río Colorado, Bolivia</t>
  </si>
  <si>
    <t>Unraveling the Gordian Knot: Eight testable hypotheses on the effects of nutrient enrichment on tidal wetland sustainability</t>
  </si>
  <si>
    <t>Natural levee evolution in vegetated fluvial-tidal environments</t>
  </si>
  <si>
    <t>The potential of icesat-2 to identify carbon-rich peatlands in indonesia</t>
  </si>
  <si>
    <t>A modified dsm based on social media for treating waste management issue</t>
  </si>
  <si>
    <t>Hydroclimatic information needs of smallholder farmers in the lower Bengal delta, Bangladesh</t>
  </si>
  <si>
    <t>Vulnerability of Fishery-Based Livelihoods to Extreme Events: Local Perceptions of Damages from Hurricane Irma and Tropical Storm Alberto in Yaguajay, Central Cuba</t>
  </si>
  <si>
    <t>On the characterization and forecasting of ground displacements of ocean-reclaimed lands</t>
  </si>
  <si>
    <t>Geomorphometric characterization and analysis of the bued watershed using advanced spaceborne thermal emission and reflection radiometer - global digital elevation model V3 through geospatial techniques</t>
  </si>
  <si>
    <t>Evolving a total-evaluation map of flash flood hazard for hydro-prioritization based on geohydromorphometric parameters and GIS–RS manner in Al-Hussain river basin, Tartous, Syria</t>
  </si>
  <si>
    <t>Development and validation of a storm surge forecasting/hindcasting modelling system for the extensive Río de la Plata Estuary and its adjacent Continental Shelf</t>
  </si>
  <si>
    <t>Accumulation of copper and cadmium in soil–rice systems in terrace and lowland paddies of the Red River basin, Vietnam: the possible regulatory role of silicon</t>
  </si>
  <si>
    <t>Assessing salt marsh vulnerability using high-resolution hyperspectral imagery</t>
  </si>
  <si>
    <t>Advancing real-time flood prediction in large estuaries: iFLOOD a fully coupled surge-wave automated web-based guidance system</t>
  </si>
  <si>
    <t>Pseudo-global warming projections of extreme wave storms in complex coastal regions: the case of the Adriatic Sea</t>
  </si>
  <si>
    <t>Intermittent Channel Systems of a Low-Relief, Low-Gradient Floodplain: Comparison of Automatic Extraction Methods</t>
  </si>
  <si>
    <t>ECOMSNet – An edge computing-based sensory network for real-time water level prediction and correction</t>
  </si>
  <si>
    <t>The role of mean sea level annual cycle on extreme water levels along european coastline</t>
  </si>
  <si>
    <t>Perception of Disasters and Land Reclamation in an Informal Settlement on Reclaimed Land: Case of the BASECO Compound, Manila, the Philippines</t>
  </si>
  <si>
    <t>Modeling a contraflow evacuation method for tropical cyclone evacuations in Nueces County, Texas</t>
  </si>
  <si>
    <t>Highly resolved rainfall-runoff simulation of retrofitted green stormwater infrastructure at the micro-watershed scale</t>
  </si>
  <si>
    <t>Effects of Social Learning on Rural Farmers’ Adaptive Capacity: Empirical Insights from the Vietnamese Mekong Delta</t>
  </si>
  <si>
    <t>Land subsidence monitoring in sinking coastal areas using distributed fiber optic sensing: a case study</t>
  </si>
  <si>
    <t>Spatial Footprints of Storm Surges Along the Global Coastlines</t>
  </si>
  <si>
    <t>Shoreline changes along the coast of mainland China-time to pause and reflect?</t>
  </si>
  <si>
    <t>Extending Urban Development on Water: Jakarta Case Study</t>
  </si>
  <si>
    <t>Soil Salinity Impacts Future Community Composition of Coastal Forests</t>
  </si>
  <si>
    <t>Morphological and Sedimentological Impacts of Hurricane Michael along the Northwest Florida Coast</t>
  </si>
  <si>
    <t>Storm tide amplification and habitat changes due to urbanization of a lagoonal estuary</t>
  </si>
  <si>
    <t>Mid-Winter Breakout of Landfast Sea Ice and Major Storm Leads to Significant Ice Push Event Along Chukchi Sea Coastline</t>
  </si>
  <si>
    <t>Coastal sea level rise at senetosa (Corsica) during the jason altimetry missions</t>
  </si>
  <si>
    <t>Pyroclastic density current hazard assessment and modeling uncertainties for Fuego volcano, Guatemala</t>
  </si>
  <si>
    <t>Coastal Wetland Monitoring and Mapping along the Turkish Mediterranean: Determining the Impact of Habitat Inundation on Breeding Bird Species</t>
  </si>
  <si>
    <t>Study on subsidence monitoring technology using terrestrial 3D laser scanning without a target in a mining area: an example of Wangjiata coal mine, China</t>
  </si>
  <si>
    <t>Impacts of surface gravity waves on a tidal front: A coupled model perspective</t>
  </si>
  <si>
    <t>Was Alexandria (Egypt) destroyed in A.D. 365? A famous historical tsunami revisited</t>
  </si>
  <si>
    <t>A novel method for river bank detection from landsat satellite data: A case study in the Vietnamese Mekong delta</t>
  </si>
  <si>
    <t>Effects of DEM resolution and resampling technique on building treatment for urban inundation modeling: a case study for the 2016 flooding of the HUST campus in Wuhan</t>
  </si>
  <si>
    <t>Prediction of soil water infiltration using multiple linear regression and random forest in a dry flood plain, eastern Iran</t>
  </si>
  <si>
    <t>Morphological responses of unsheltered channel-shoal system to a major storm: The combined effects of surges, wind-driven currents and waves</t>
  </si>
  <si>
    <t>Trends in social vulnerability to storm surges in Shenzhen, China</t>
  </si>
  <si>
    <t>Factors Influencing Measure-based Adaptation of Rice Farmers for Slow-Onset Hazard: the Case of Saltwater Inundation in the Philippines and Vietnam</t>
  </si>
  <si>
    <t>Basal Channel Evolution on the Getz Ice Shelf, West Antarctica</t>
  </si>
  <si>
    <t>Methodology of sub-catchment division considering land uses and flow directions</t>
  </si>
  <si>
    <t>Knowledge-Building Approach for Tsunami Impact Analysis Aided by Citizen Science</t>
  </si>
  <si>
    <t>Multiple environmental factors analysis of flash flood risk in Upper Hanjiang River, southern China</t>
  </si>
  <si>
    <t>Mapping of gis-flood hazard using the geomorphometric-hazard model: Case study of the al-shamal train pathway in the city of qurayyat, kingdom of saudi arabia</t>
  </si>
  <si>
    <t>Modeling the combined impact of climate change and sea-level rise on general circulation and residence time in a semi-enclosed sea</t>
  </si>
  <si>
    <t>Integration of remotely sensed and seismicity data for geo-natural hazard assessment along the Red Sea Coast, Egypt</t>
  </si>
  <si>
    <t>Catastrophic flood of August 2018, Kerala, India: Study of partitioning role of lineaments in modulating flood level using remote sensing data</t>
  </si>
  <si>
    <t>Hydrodynamic impacts on tidal-scale dissolved inorganic nitrogen cycling and export across the estuarine turbidity maxima to coast</t>
  </si>
  <si>
    <t>Investigating the impact of high-resolution land-sea masks on hurricane forecasts in HWRF</t>
  </si>
  <si>
    <t>Open-surface river extraction based on sentinel-2 MSI imagery and DEM Data: Case study of the upper yellow river</t>
  </si>
  <si>
    <t>Fall in the sea, eventually? A green paradox in climate adaptation for coastal housing markets</t>
  </si>
  <si>
    <t>Updated Mean Sea-Level Analysis: Australia</t>
  </si>
  <si>
    <t>Past and future contributions of artificial reservoirs on global sea-level rise</t>
  </si>
  <si>
    <t>Nation-scale mapping of coastal aquaculture ponds with sentinel-1 SAR data using google earth engine</t>
  </si>
  <si>
    <t>Catchment-scale flood modelling in data-sparse regions using open-access geospatial technology</t>
  </si>
  <si>
    <t>Constraining the landscape of Late Bronze Age Santorini prior to the Minoan eruption: Insights from volcanological, geomorphological and archaeological findings</t>
  </si>
  <si>
    <t>Using LiDAR-DEM based rapid flood inundation modelling framework to map floodplain inundation extent and depth</t>
  </si>
  <si>
    <t>Sentinel-1 SAR time series-based assessment of the impact of severe salinity intrusion events on spatiotemporal changes in distribution of rice planting areas in coastal provinces of the mekong delta, Vietnam</t>
  </si>
  <si>
    <t>Coastal Groundwater Flow at the Nearshore and Embayment Scales: A Field and Modeling Study</t>
  </si>
  <si>
    <t>Effective Monitoring of Permafrost Coast Erosion: Wide-scale Storm Impacts on Outer Islands in the Mackenzie Delta Area</t>
  </si>
  <si>
    <t>Implications of Using Global Digital Elevation Models for Flood Risk Analysis in Cities</t>
  </si>
  <si>
    <t>Identification, delineation and morphometric analysis of closed terrain depressions on Mars</t>
  </si>
  <si>
    <t>Evolution of groundwater chemistry in coastal aquifers of the Jiangsu, east China: Insights from a multi-isotope (δ2H, δ18O, 87Sr/86Sr, and δ11B) approach</t>
  </si>
  <si>
    <t>“We are feeling older than our age”: Vulnerability and adaptive strategies of aging people to cyclones in coastal Bangladesh</t>
  </si>
  <si>
    <t>Flash flood risk modeling of swat river sub-watershed: a comparative analysis of morphometric ranking approach and El-Shamy approach</t>
  </si>
  <si>
    <t>A risk analysis framework for transmission towers under potential pluvial flood - LiDAR survey and geometric modelling</t>
  </si>
  <si>
    <t>An approach to urban building height and floor estimation by using LiDAR data</t>
  </si>
  <si>
    <t>Ice Sheet Changes and GIA-Induced Surface Displacement of the Larsemann Hills During the Last 50 kyr</t>
  </si>
  <si>
    <t>Assessment for which tide level saltwater intrusion occurs in a sewer network. Case study: Barreiro/moita wwtp, portugal</t>
  </si>
  <si>
    <t>Tidally Driven Interannual Variation in Extreme Sea Level Frequencies in the Gulf of Maine</t>
  </si>
  <si>
    <t>Unravelling the impacts to the built environment caused by floods in a river heavily perturbed by volcanic eruptions</t>
  </si>
  <si>
    <t>A new algorithm for estimating ground elevation and vegetation characteristics in coastal salt marshes from high-resolution UAV-based LiDAR point clouds</t>
  </si>
  <si>
    <t>Earth Observations for Coastal Hazards Monitoring and International Services: A European Perspective</t>
  </si>
  <si>
    <t>A novel model for storage dynamics simulation and inundation mapping in the prairies</t>
  </si>
  <si>
    <t>Soil erosion and flood hazard zonation using morphometric and morphotectonic parameters in Upper Alaknanda river basin</t>
  </si>
  <si>
    <t>Soil bacterial diversity, structure, and function of Suaeda salsa in rhizosphere and non-rhizosphere soils in various habitats in the Yellow River Delta, China</t>
  </si>
  <si>
    <t>A New 1D/2D Coupled Modeling Approach for a Riverine-Estuarine System Under Storm Events: Application to Delaware River Basin</t>
  </si>
  <si>
    <t>The language of risk and the risk of language: Mismatches in risk response in Cuban coastal villages</t>
  </si>
  <si>
    <t>Channel incision by headcut migration: Reconnection of the Colorado River to its estuary and the Gulf of California during the floods of 1979–1988</t>
  </si>
  <si>
    <t>Sediment and Submarine Groundwater Discharge Mediated Arsenic Flux into the Bay of Bengal, India: an Appraisal</t>
  </si>
  <si>
    <t>Koyna-Warna Shallow Seismic Region, India: Is there Any Geomorphic Expression of Active Tectonics?</t>
  </si>
  <si>
    <t>Mapping flood-based farming systems with Bayesian networks</t>
  </si>
  <si>
    <t>Testing urban flood mapping approaches from satellite and in-situ data collected during 2017 and 2019 events in Eastern Canada</t>
  </si>
  <si>
    <t>Impact of wave-dependent stress on storm surge simulations in the North Sea: Ocean model evaluation against in situ and satellite observations</t>
  </si>
  <si>
    <t>Scenario-based flood risk assessment for urbanizing deltas using future land-use simulation (FLUS): Guangzhou Metropolitan Area as a case study</t>
  </si>
  <si>
    <t>A review on coastal erosion and flooding risks and best management practices in West Africa: what has been done and should be done</t>
  </si>
  <si>
    <t>Learning as an everyday adaptation practice in the rural Vietnamese Mekong Delta</t>
  </si>
  <si>
    <t>Numerical modeling of the hydro-morphodynamics of a distributary channel of the po river delta (Italy) during the spring 2009 flood event</t>
  </si>
  <si>
    <t>Leveraging public adaptation finance through urban land reclamation: cases from Germany, the Netherlands and the Maldives</t>
  </si>
  <si>
    <t>Failure Mechanism and Deformation Characteristics of Gob-Side Entry Retaining in Solid Backfill Mining: A Case Study</t>
  </si>
  <si>
    <t>Will flooding or erosion of historic landfills result in a significant release of soluble contaminants to the coastal zone?</t>
  </si>
  <si>
    <t>Dramatic decrease of flood frequency in the Mekong Delta due to river-bed mining and dyke construction</t>
  </si>
  <si>
    <t>A dataset for the flood vulnerability assessment of the upper Cross River basin using morphometric analysis</t>
  </si>
  <si>
    <t>Community resilience to cyclone and storm surge disasters: Evidence from coastal communities of Bangladesh</t>
  </si>
  <si>
    <t>Impact of flight altitude and cover orientation on Digital Surface Model (DSM) accuracy for flood damage assessment in Murcia (Spain) using a fixed-wing UAV</t>
  </si>
  <si>
    <t>Assessing and managing design storm variability and projection uncertainty in a changing coastal environment</t>
  </si>
  <si>
    <t>Measuring local sea-level rise adaptation and adaptive capacity: A national survey in the United States</t>
  </si>
  <si>
    <t>Re-invasion of Spartina alterniflora in restored saltmarshes: Seed arrival, retention, germination, and establishment</t>
  </si>
  <si>
    <t>Spatio-temporal assessment of land deformation as a factor contributing to relative sea level rise in coastal urban and natural protected areas using multi-source earth observation data</t>
  </si>
  <si>
    <t>A geospatial investigation of interlinkage between basement fault architecture and coastal aquifer hydrogeochemistry</t>
  </si>
  <si>
    <t>Coastal decision-makers’ perspectives on updating storm surge guidance tools</t>
  </si>
  <si>
    <t>A climatology-based forecast tool for coastal flooding in the low country</t>
  </si>
  <si>
    <t>Social benefit cost analysis of ecosystem-based climate change adaptations: a community-level case study in Tanna Island, Vanuatu</t>
  </si>
  <si>
    <t>Conservation ecology of Tasmanian coastal saltmarshes, south-east Australia-a review</t>
  </si>
  <si>
    <t>Accelerated transgressive processes in a Mediterranean coastal barrier: Subsidence, anthropic action and geomorphological changes since the Little Ice Age</t>
  </si>
  <si>
    <t>Inferencing the land subsidence in the Nile Delta using Sentinel-1 satellites and GPS between 2015 and 2019</t>
  </si>
  <si>
    <t>Patterns of Adaptation Response by Coastal Communities to Climate Risks</t>
  </si>
  <si>
    <t>Adapting wastewater treatment plants to sea level rise: learning from land subsidence in Tohoku, Japan</t>
  </si>
  <si>
    <t>Reconstructing flood events in mediterranean coastal areas using different reanalyses and high-resolution meteorological models</t>
  </si>
  <si>
    <t>A 3-Year In-Situ Measurement of CO2 Efflux in Coastal Wetlands: Understanding Carbon Loss through Ecosystem Respiration and its Partitioning</t>
  </si>
  <si>
    <t>Coexistence mechanisms of Tamarix chinensis and Suaeda salsa in the Yellow River Delta, China</t>
  </si>
  <si>
    <t>Impact of very severe cyclonic storm Phailin on shoreline change along South Odisha Coast</t>
  </si>
  <si>
    <t>Glacier Studies in India: Remote Sensing Applications and Challenges</t>
  </si>
  <si>
    <t>Pixel size effects on dam water storage capacity estimation using GIS: Case study of buyuk karacay dam, Turkey</t>
  </si>
  <si>
    <t>Hydro-environmental changes assessment after Guadalhorce River mouth channelization. An example of hydromodification in southern Spain</t>
  </si>
  <si>
    <t>When floods hit the road: Resilience to flood-related traffic disruption in the San Francisco Bay Area and beyond</t>
  </si>
  <si>
    <t>Coastal impacts of Storm Gloria (January 2020) over the north-western Mediterranean</t>
  </si>
  <si>
    <t>Study on Mercury Methylation in Phragmites australis Soil and Its Influencing Factors</t>
  </si>
  <si>
    <t>The use of LiDAR-derived DEM in flood applications: A review</t>
  </si>
  <si>
    <t>Disaster awareness in three low risk coastal communities in Puerto Princesa City, Palawan, Philippines</t>
  </si>
  <si>
    <t>Plant Community Establishment in a Coastal Marsh Restored Using Sediment Additions</t>
  </si>
  <si>
    <t>Impacts of Urbanization on the Precipitation Characteristics in Guangdong Province, China</t>
  </si>
  <si>
    <t>Assessment of USGS DEMs for modelling pothole inundation in the prairie pothole region of Iowa</t>
  </si>
  <si>
    <t>Investigating the Impact of Hurricane Harvey and Driving on Beach-Dune Morphology</t>
  </si>
  <si>
    <t>A monthly tidal envelope classification for semidiurnal regimes in terms of the relative proportions of the S2, N2, and M2 constituents</t>
  </si>
  <si>
    <t>Fluvial inundation parameterization in climate model and its effects on regional climate: a case study of the 2009 Red River spring flood</t>
  </si>
  <si>
    <t>A water and salt balance model for the polders and islands in the Ganges delta</t>
  </si>
  <si>
    <t>A Spatially Variable Time Series of Sea Level Change Due to Artificial Water Impoundment</t>
  </si>
  <si>
    <t>Quantifying Coastal Fluvial Morphodynamics Over the Last 100 Years on the Lower Rio Grande, USA and Mexico</t>
  </si>
  <si>
    <t>Total phosphorus accident pollution and emergency response study based on geographic information system in Three Gorges Reservoir area</t>
  </si>
  <si>
    <t>Contribution of Wave Setup to Projected Coastal Sea Level Changes</t>
  </si>
  <si>
    <t>Improving solar radiation pressure modeling for GLONASS satellites</t>
  </si>
  <si>
    <t>Morphodynamic Evolution of a Fringing Sandy Shoal: From Tidal Levees to Sea Level Rise</t>
  </si>
  <si>
    <t>Monitoring water level change and seasonal vegetation change in the coastal wetlands of louisiana using L-band time-series</t>
  </si>
  <si>
    <t>Bibliometric analysis of the scientific production on coastal communities’ social vulnerability to climate change and to the impact of extreme events</t>
  </si>
  <si>
    <t>The AD 365 Ammianus tsunami in Alexandria, Egypt, and the Crete ca. 365 fault and tsunami</t>
  </si>
  <si>
    <t>An implicit wetting–drying algorithm for the discontinuous Galerkin method: application to the Tonle Sap, Mekong River Basin</t>
  </si>
  <si>
    <t>Uncertainty analysis for precipitation and sea-level rise of a variable-density groundwater simulation model based on surrogate models</t>
  </si>
  <si>
    <t>Tolerance between non-resource stress and an invader determines competition intensity and importance in an invaded estuary</t>
  </si>
  <si>
    <t>Evaluation on the behavior and contributing factors of subsidence in the intersection area of Expwy 78 and Taiwan High Speed Rail based on in situ monitoring and numerical simulations</t>
  </si>
  <si>
    <t>Paving the way to coastal adaptation pathways: An interdisciplinary approach based on territorial archetypes</t>
  </si>
  <si>
    <t>Learning from risk reduction pilot projects for enhancing long-term adaptation governance: The case of Mauritius Island (Indian Ocean)</t>
  </si>
  <si>
    <t>Exploring effectiveness of frequency ratio and support vector machine models in storm surge flood susceptibility assessment: A study of Sundarban Biosphere Reserve, India</t>
  </si>
  <si>
    <t>HY-1C observations of the impacts of Islands on suspended sediment distribution in Zhoushan coastal waters, China</t>
  </si>
  <si>
    <t>UAV applications for determination of land deformations caused by underground mining</t>
  </si>
  <si>
    <t>Historical Reconstruction of Storm Surge Activity in the Southeastern Coastal Area of China for the Past 60 Years</t>
  </si>
  <si>
    <t>Floodplain Inundation and Salinization From a Recently Restored First-Order Tidal Stream</t>
  </si>
  <si>
    <t>Quantitative Geomorphic Approach for Identifying Active Deformation in the Foreland Region of Central Indo-Nepal Himalaya</t>
  </si>
  <si>
    <t>Drawing mechanism of fractured top coal in longwall top coal caving</t>
  </si>
  <si>
    <t>Spaceborne L-Band synthetic Aperture Radar Data for geoscientific analyses in coastal land applications: A review</t>
  </si>
  <si>
    <t>Coastal infrastructure operativity against flooding – A methodology</t>
  </si>
  <si>
    <t>Earth system governance for transformation towards sustainable deltas: What does research into socio-eco-technological systems tell us?</t>
  </si>
  <si>
    <t>Effects of inundation duration on southeastern Louisiana oyster reefs</t>
  </si>
  <si>
    <t>Risk prediction of coastal hazards induced by Typhoon: A case study in the coastal region of Shenzhen, China</t>
  </si>
  <si>
    <t>Contemporary monitoring of storm surge activity</t>
  </si>
  <si>
    <t>Data stratification toward advanced flood waste estimation: A case study in South Korea</t>
  </si>
  <si>
    <t>Projected regional responses of precipitation extremes and their joint probabilistic behaviors to climate change in the upper and middle reaches of Huaihe River Basin, China</t>
  </si>
  <si>
    <t>Relationship between Growth Faults, Subsidence, and Land Loss: An Example from Cameron Parish, Southwestern Louisiana, USA</t>
  </si>
  <si>
    <t>Flood-resilient urban design based on the indigenous landscape in the city of Can Tho, Vietnam</t>
  </si>
  <si>
    <t>Tidal regime shift in Lingdingyang Bay, the Pearl River Delta: An identification and assessment of driving factors</t>
  </si>
  <si>
    <t>An integrated approach to modeling the impact of floods on emergency services: A case study of Calgary, Alberta</t>
  </si>
  <si>
    <t>DEM simulation of the size effect on the wetting deformation of rockfill materials based on single-particle crushing tests</t>
  </si>
  <si>
    <t>Coastal resilience against storm surge from tropical cyclones</t>
  </si>
  <si>
    <t>Coordinated planning effort as multilevel climate governance: Insights from coastal resilience and climate adaptation</t>
  </si>
  <si>
    <t>Vulnerability and risk: climate change and water supply from California’s Central Valley water system</t>
  </si>
  <si>
    <t>Recent Trends in Individual and Multivariate Compound Flood Drivers in Canada's Coasts</t>
  </si>
  <si>
    <t>Investigating reconstructed inflows and pathogen infection patterns between low-relief and high-relief subtropical oyster reefs</t>
  </si>
  <si>
    <t>Dual-frequency airborne SAR for large scale mapping of tidal flats</t>
  </si>
  <si>
    <t>Water Surface Elevation Constraints in a Data Assimilation Scheme to Infer Floodplain Topography: A Case Study in the Logone Floodplain</t>
  </si>
  <si>
    <t>Spatial Structure Planning and Optimization Strategy of Sponge City in Coastal Area</t>
  </si>
  <si>
    <t>How does co-registration affect geomorphic change estimates in multi-temporal surveys?</t>
  </si>
  <si>
    <t>Extreme storm tides in the German Bight (North Sea) and their potential for amplification</t>
  </si>
  <si>
    <t>Model sensitivity during extreme positive and negative surges in the río de la plata estuary: Highlighting the need for an appropriate hindcast/forecast system</t>
  </si>
  <si>
    <t>Multiple Stressors Influence Salt Marsh Recovery after a Spring Fire at Mugu Lagoon, CA</t>
  </si>
  <si>
    <t>A comparison of high-end methods for topographic modelling of a coastal dune complex</t>
  </si>
  <si>
    <t>Towards Blue Economy: A Perspective</t>
  </si>
  <si>
    <t>Effect of Wave Radiation Stress in Storm Surge-Induced Inundation: A Case Study for the East Coast of India</t>
  </si>
  <si>
    <t>Fiscal effects and the potential implications on economic growth of sea-level rise impacts and coastal zone protection</t>
  </si>
  <si>
    <t>Future challenges of coastal landfills exacerbated by sea level rise</t>
  </si>
  <si>
    <t>Social and ecological outcomes of conservation interventions in tropical coastal marine ecosystems: A systematic map protocol</t>
  </si>
  <si>
    <t>Measuring Success through Outcome Indicators for Restoration Efforts in Louisiana</t>
  </si>
  <si>
    <t>Sea level anomaly forecasts on a coastal waveguide</t>
  </si>
  <si>
    <t>Coastal Resiliency through Value Capture and Transfer: A Framework Proposal</t>
  </si>
  <si>
    <t>Numerical Investigation of Baroclinic Channel-Shoal Interaction in Partially Stratified Estuaries</t>
  </si>
  <si>
    <t>What are the effects of flow-regime changes on fish productivity in temperate regions? A systematic map</t>
  </si>
  <si>
    <t>‘A commons before the sea:’ climate justice considerations for coastal zone management</t>
  </si>
  <si>
    <t>A novel way to present flood hazards using 3D-printing with transparent layers of return period isolines</t>
  </si>
  <si>
    <t>Climate hazards in small and medium cities in the Amazon Delta and Estuary: challenges for resilience</t>
  </si>
  <si>
    <t>Predicting the impact of sea-level rise on intertidal rocky shores with remote sensing</t>
  </si>
  <si>
    <t>A fuzzy GIS model to determine confluence morphological sensitivity to tributary inputs at the watershed scale</t>
  </si>
  <si>
    <t>Socio-cultural perceptions of flood risk and management of a levee system: Applying the Q methodology in the California Delta</t>
  </si>
  <si>
    <t>Floodplain response to varied flows in a large coastal plain river</t>
  </si>
  <si>
    <t>The biostratigraphic framework of CSDP-003 well, Central Swamp Depobelt, Niger Delta, Nigeria</t>
  </si>
  <si>
    <t>What does it cost to ensure salt marsh migration? Using hedonic modeling to inform cost-effective conservation</t>
  </si>
  <si>
    <t>An integrated model of real estate market responses to coastal flooding</t>
  </si>
  <si>
    <t>Evaluating simulated RADARSAT constellation mission (RCM) compact polarimetry for open-water and flooded-vegetation wetland mapping</t>
  </si>
  <si>
    <t>Tide-Storm Surge Interactions in Highly Altered Estuaries: How Channel Deepening Increases Surge Vulnerability</t>
  </si>
  <si>
    <t>Automated inundation mapping over large areas using landsat data and google earth engine</t>
  </si>
  <si>
    <t>Assessing the impact of topography and land cover data resolutions on two-dimensional HEC-RAS hydrodynamic model simulations for urban flood hazard analysis</t>
  </si>
  <si>
    <t>Modeling the seasonality of extreme coastal water levels with mixtures of circular probability density functions</t>
  </si>
  <si>
    <t>Assessment of climate change impacts on sea surface temperatures and sea level rise-The Arabian Gulf</t>
  </si>
  <si>
    <t>Carbon and nutrient export from intertidal sand systems elucidated by 224Ra/228Th disequilibria</t>
  </si>
  <si>
    <t>Potential future lakes from continued glacier shrinkage in the Aosta Valley Region (Western Alps, Italy)</t>
  </si>
  <si>
    <t>Mapping 30 Years of Change in the Marshlands of Breton Sound Basin (Southeastern Louisiana, U.S.A.: Coastal Land Area and Vegetation Green Cover</t>
  </si>
  <si>
    <t>Potential fate of wetland soil carbon in a deltaic coastal wetland subjected to high relative sea level rise</t>
  </si>
  <si>
    <t>The hydrocarbon accumulation potential of Upper Cretaceous to Paleogene in the northern Kaikang trough, Muglad Basin</t>
  </si>
  <si>
    <t>Hydrodynamic Response of a Floating Aquaculture Farm in a Low Inflow Estuary</t>
  </si>
  <si>
    <t>Deformation behaviors of dip slopes considering the scale effect and their geological properties</t>
  </si>
  <si>
    <t>The weight of islands: Leveraging Grenada's material stocks to adapt to climate change</t>
  </si>
  <si>
    <t>The role of frequency spread on swash dynamics</t>
  </si>
  <si>
    <t>The way of microplastic through the environment – Application of the source-pathway-receptor model (review)</t>
  </si>
  <si>
    <t>Taliks, cryopegs, and permafrost dynamics related to channel migration, Colville River Delta, Alaska</t>
  </si>
  <si>
    <t>Mapping Nature-based Marine Flooding Risk using VHR Wave, Airborne LiDAR and Satellite Imagery: The Case Study of the Dol Marsh (Bay of Mont-Saint-Michel, France)</t>
  </si>
  <si>
    <t>On a flood-producing coastal mesoscale convective storm associated with the kor'easterlies: Multi-Data analyses using remotely-sensed and in-situ observations and storm-scale model simulations</t>
  </si>
  <si>
    <t>Downscaling projections of climate change in Sao Tome and Principe Islands, Africa</t>
  </si>
  <si>
    <t>Secondary circulation in shallow ocean straits: Observations and numerical modeling of the Danish Straits</t>
  </si>
  <si>
    <t>Coastal Flooding Process: Comparing Different Coastal Typologies Response to Extreme Hydrodynamic Conditions</t>
  </si>
  <si>
    <t>Commodity Consistent Meta-Analysis of Wetland Values: An Illustration for Coastal Marsh Habitat</t>
  </si>
  <si>
    <t>Spatial and temporal analysis of extreme storm-tide and skew-surge events around the coastline of New Zealand</t>
  </si>
  <si>
    <t>Contribution of Atmospheric Rivers to Annual, Seasonal, and Extreme Precipitation Across British Columbia and Southeastern Alaska</t>
  </si>
  <si>
    <t>Dynamics of sediments in reservoir inflows: A case study of the skalka and nechranice reservoirs, Czech Republic</t>
  </si>
  <si>
    <t>Three-dimensional urban flood inundation simulation based on digital aerial photogrammetry</t>
  </si>
  <si>
    <t>Mapping the groundwater potentiality of West Qena area, Egypt, using integrated remote sensing and hydro-geophysical techniques</t>
  </si>
  <si>
    <t>A Subtidal Box Model Based on the Longitudinal Anomaly of Potential Energy for Narrow Estuaries. An Application to the Guadalquivir River Estuary (SW Spain)</t>
  </si>
  <si>
    <t>Mapping topobathymetry in a shallow tidal environment using low-cost technology</t>
  </si>
  <si>
    <t>Mobile phone network data reveal nationwide economic value of coastal tourism under climate change</t>
  </si>
  <si>
    <t>Coastal Adaptation Planning in Fairbourne, Wales: lessons for Climate Change Adaptation</t>
  </si>
  <si>
    <t>Unmanned Aerial Vehicle and Structure from Motion Approach for Flood Assessment in Coastal Channels</t>
  </si>
  <si>
    <t>Simulation of High Water Levels in Waters off the Mackenzie Delta during an Arctic Storm</t>
  </si>
  <si>
    <t>Wetlandscape hydrologic dynamics driven by shallow groundwater and landscape topography</t>
  </si>
  <si>
    <t>Influence of manganese abundances on iron and arsenic solubility in rice paddy soils</t>
  </si>
  <si>
    <t>Development of a Low-cost Ultrasonic Sensor for Groundwater Monitoring in Coastal Environments: Validation using Field and Laboratory Observations</t>
  </si>
  <si>
    <t>Relationship between infiltration, sewer rehabilitation, and groundwater flooding in coastal urban areas</t>
  </si>
  <si>
    <t>Detection of levee damage based on UAS data-optical imagery and LiDAR point clouds</t>
  </si>
  <si>
    <t>Spatial-Temporal Dynamics Land Use/Land Cover Change and Flood Hazard Mapping in the Upstream Citarum Watershed, West Java, Indonesia</t>
  </si>
  <si>
    <t>Coastal wetlands reduce property damage during tropical cyclones</t>
  </si>
  <si>
    <t>Surging seas, rising fiscal stress: Exploring municipal fiscal vulnerability to climate change</t>
  </si>
  <si>
    <t>Assessment of a Parametric Tropical Cyclone Model for Typhoon Wind Modeling in the Yellow Sea</t>
  </si>
  <si>
    <t>The monthly dynamics of blue water footprints and electricity generation of four types of hydropower plants in Ecuador</t>
  </si>
  <si>
    <t>Exposure of real estate properties to the 2018 Hurricane Florence flooding</t>
  </si>
  <si>
    <t>Effects of sea-level rise on tides and sediment dynamics in a Dutch tidal bay</t>
  </si>
  <si>
    <t>Integrated coastal zone management practices for Sundarbans, India</t>
  </si>
  <si>
    <t>An adaptive discontinuous Galerkin method for the simulation of hurricane storm surge</t>
  </si>
  <si>
    <t>Numerical Investigation on Coastal Inundation of Storm Surges in Estuarine Wetland Waters</t>
  </si>
  <si>
    <t>Round robin assessment of radar altimeter low resolution mode and delay-doppler retracking algorithms for significant wave height</t>
  </si>
  <si>
    <t>Object-based ensemble learning for Pan-European riverscape units mapping based on copernicus VHR and EU-DEM data fusion</t>
  </si>
  <si>
    <t>Climate change adaptation as a development challenge to small Island states: A case study from the Solomon Islands</t>
  </si>
  <si>
    <t>GIS application for urban domestic wastewater treatment site selection in the Northern Ethiopia, Tigray Regional State: a case study in Mekelle City</t>
  </si>
  <si>
    <t>From free to forced adaptation: A political ecology of the ‘state-society-flood’ nexus in the Vietnamese Mekong Delta</t>
  </si>
  <si>
    <t>Tipping points of Mississippi Delta marshes due to accelerated sea-level rise</t>
  </si>
  <si>
    <t>Individual and combined impacts of future land-use and climate conditions on extreme hydrological events in a representative basin of the Yangtze River Delta, China</t>
  </si>
  <si>
    <t>Naturalized flow regime of the regulated Peace River, Canada, during the spring breakup of the ice cover</t>
  </si>
  <si>
    <t>Risk assessment of torrential rain and flood disaster in datong river basin based on flood area model</t>
  </si>
  <si>
    <t>Rapid Remote Assessment of Culvert Flooding Risk</t>
  </si>
  <si>
    <t>Coastal barriers - fresh look at origins, nomenclature and classification issues</t>
  </si>
  <si>
    <t>The social representations of climate change: comparison of two territories exposed to the coastal flooding risk</t>
  </si>
  <si>
    <t>Multi-component and multi-source approach for studying land subsidence in deltas</t>
  </si>
  <si>
    <t>Coastal Flooding: Joint Probability of Extreme Water Levels and Waves along the Baltic Sea Coast</t>
  </si>
  <si>
    <t>A preliminary assessment of coastal GI’s role during Hurricane Sandy: a case study of three communities</t>
  </si>
  <si>
    <t>Monitoring of landslide activity at the Sirobagarh landslide, Uttarakhand, India, using LiDAR, SAR interferometry and geodetic surveys</t>
  </si>
  <si>
    <t>Investigation of the ground displacement in Saint Petersburg, Russia, using multiple-track differential synthetic aperture radar interferometry</t>
  </si>
  <si>
    <t>Probabilistic Flood Height Estimation of the Limpopo River at the Beitbridge using r-Largest Order Statistics</t>
  </si>
  <si>
    <t>Sea-level Rise Impacts on the Saline Water Intrusion and Stratification of the Yangtze Estuary</t>
  </si>
  <si>
    <t>Understanding Drivers of Connectivity and Resilience under Tropical Cyclones in Coastal Ecosystems at Puerto Morelos, Mexico</t>
  </si>
  <si>
    <t>Palaeo and present channel of Assi river, Uttar Pradesh, India</t>
  </si>
  <si>
    <t>REE fractionation and human Gd footprint along the continuum between Paraguaçu River to coastal South Atlantic waters</t>
  </si>
  <si>
    <t>Modelling coincidence and dependence of flood hazard phenomena in a Probabilistic Flood Hazard Assessment (PFHA) framework: case study in Le Havre</t>
  </si>
  <si>
    <t>Mangroves protect coastal economic activity from hurricanes</t>
  </si>
  <si>
    <t>Spatio-temporal change of drainage network at human-nature interface and its future implication to the estuarine environment in Gosaba island, Sundarban, India</t>
  </si>
  <si>
    <t>Extreme Surge Heights Incorporating Long-term Tidal Variation and Sea-level Rise</t>
  </si>
  <si>
    <t>The transfer of Dutch Delta Planning expertise to Bangladesh: A process of policy translation</t>
  </si>
  <si>
    <t>Integrating Analytic Hierarchy Process in Assessing the Criticality of Vulnerable Oil and Gas Infrastructure to Climate Change Impacts in the Niger Delta</t>
  </si>
  <si>
    <t>Global change—Local values: Assessing tradeoffs for coastal ecosystem services in the face of sea level rise</t>
  </si>
  <si>
    <t>Lidar time-series analysis of a rapidly transgressing low-lying mainland barrier (Caminada Headlands, Louisiana, USA)</t>
  </si>
  <si>
    <t>Improving Predictions of Salt Marsh Evolution Through Better Integration of Data and Models</t>
  </si>
  <si>
    <t>Response of Stratification Processes to Tidal Current Alteration due to Channel Narrowing and Deepening</t>
  </si>
  <si>
    <t>Verification of novel integrations of swarm intelligence algorithms into deep learning neural network for flood susceptibility mapping</t>
  </si>
  <si>
    <t>Exploring the application of topographic indices in urban areas as indicators of pluvial flooding locations</t>
  </si>
  <si>
    <t>Late Neoproterozoic-to-recent long-term t–T-evolution of the Kaoko and Damara belts in NW Namibia</t>
  </si>
  <si>
    <t>Quantifying flood water levels using image-based volunteered geographic information</t>
  </si>
  <si>
    <t>Evolution of Extreme Waves in Cadiz (SW Spain)</t>
  </si>
  <si>
    <t>An operational forecasting system for physical processes in the Santos-Sao Vicente-Bertioga Estuarine System, Southeast Brazil</t>
  </si>
  <si>
    <t>Numerical Modeling for Hydrodynamics and Near-Surface Flow Patterns of a Tidal Confluence</t>
  </si>
  <si>
    <t>A subregional model of system dynamics research on surface water resource assessment for paddy rice production under climate change in the Vietnamese mekong delta</t>
  </si>
  <si>
    <t>Quantifying intertidal habitat relative coverage in a Florida estuary using UAS imagery and GEOBIA</t>
  </si>
  <si>
    <t>Policy transfer into flood management in the Vietnamese Mekong Delta: a North Vam Nao study</t>
  </si>
  <si>
    <t>Community-based natural resource management: a promising strategy for reducing subsistence poaching around protected areas, northern Botswana</t>
  </si>
  <si>
    <t>Rice Acreage Delineation in the Nile Delta Based on Thermal Signature</t>
  </si>
  <si>
    <t>Spreading the Use of Economic Methods in Coastal Risk Management: A Simple but Insightful Calculator</t>
  </si>
  <si>
    <t>Assessment of long-term hydrogeological changes and plausible solutions to manage hydrological extremes in the transnational Ganga river basin</t>
  </si>
  <si>
    <t>Geomorphological Responses Due to Storm Wave Events at Praia da Barra, Garopaba - Santa Catarina State, Southern Brazil</t>
  </si>
  <si>
    <t>Tsunami Modelling with Static and Dynamic Tides in Drowned River Valleys with Morphological Constrictions</t>
  </si>
  <si>
    <t>Recovery of Beach-Foredune Vegetation after Disturbance by Storms</t>
  </si>
  <si>
    <t>Impacts of riverine sand mining on freshwater ecosystems: A review of the scientific evidence and guidance for future research</t>
  </si>
  <si>
    <t>Wave Energy Patterns under Different Sea Level Rise (SLR) Probabilities in the Andalusian Atlantic coast</t>
  </si>
  <si>
    <t>Cost and Benefit Analysis of Climate Change Adaptation Strategies in Coastal Areas at Risk</t>
  </si>
  <si>
    <t>Changing fluvial styles and backwater flooding along the Upper Paraguay River plains in the Brazilian Pantanal wetland</t>
  </si>
  <si>
    <t>Earthquakes, Coasts... and Climate Change? Multi-hazard Opportunities, Challenges and Approaches for Coastal Cities</t>
  </si>
  <si>
    <t>Anthropogenic Drivers of Relative Sea-Level Rise in the Mekong Delta - A Review</t>
  </si>
  <si>
    <t>Shifting baselines of disaster mitigation</t>
  </si>
  <si>
    <t>Evaluation of Australian Tsunami Warning Thresholds Using Inundation Modelling</t>
  </si>
  <si>
    <t>Erosion of Carbonate Beaches on the Northeastern Coast of Cuba</t>
  </si>
  <si>
    <t>Assessing Social Vulnerability through a Local Lens: An Integrated Geovisual Approach</t>
  </si>
  <si>
    <t>Coastal Processes within a Coral Reef Lagoon System: Erakor Lagoon, Efate Island, Vanuatu</t>
  </si>
  <si>
    <t>Tropical Cyclone Induced Wave Setup around New Caledonia during Cyclone COOK (2017)</t>
  </si>
  <si>
    <t>Future Interactions Between Sea Level Rise, Tides, and Storm Surges in the World's Largest Urban Area</t>
  </si>
  <si>
    <t>Numerical investigation of the spatial distribution of Escherichia coli in river deltas for different values of river discharge, temperature and irradiation of the water surface</t>
  </si>
  <si>
    <t>The evolution of the Samaoding paleolandslide river blocking event at the upstream reaches of the Jinsha River, Tibetan Plateau</t>
  </si>
  <si>
    <t>‘Is global warming affecting the weather?’ Evidence for increased attribution beliefs among coastal versus inland US residents</t>
  </si>
  <si>
    <t>Changing Urban Ecology a Challenge for Coastal Urban Resilience: A Study on Muscat</t>
  </si>
  <si>
    <t>Projections of Proper Beach Nourishment Volume as an Adaptation to Beach Recession based SLR along the Nile Delta Coastline of Egypt</t>
  </si>
  <si>
    <t>Modeling wetland transitions and loss in coastal Louisiana under scenarios of future relative sea-level rise</t>
  </si>
  <si>
    <t>Trigger mechanisms of gravity flow deposits in the Lower Cretaceous lacustrine rift basin of Lingshan Island, Eastern China</t>
  </si>
  <si>
    <t>Tsunami Inundation and Maritime Hazard Modelling for a Maximum Credible Tsunami Scenario in Southeast Tasmania, Australia</t>
  </si>
  <si>
    <t>Delineating wetland areas from the cut-and-fill method using a Digital Elevation Model (DEM)</t>
  </si>
  <si>
    <t>Cosmo-SkyMed and TerraSAR-X datasets for geomorphological mapping in the eastern of Marajó Island, Amazon coast</t>
  </si>
  <si>
    <t>Delineation of flood-prone areas using modified topographic index for a river basin</t>
  </si>
  <si>
    <t>Surface water evolution (2001-2017) at the Cambodia/Vietnam border in the upper mekong delta using satellite MODIS observations</t>
  </si>
  <si>
    <t>Water level changes, subsidence, and sea level rise in the Ganges-Brahmaputra-Meghna delta</t>
  </si>
  <si>
    <t>Forward Modeling of Fine Seismic Wave Velocity Model in Coastal Oilfields</t>
  </si>
  <si>
    <t>Advances and Practices on the Research, Prevention and Control of Land Subsidence in Coastal Cities</t>
  </si>
  <si>
    <t>Optimal interventions for flood control, drainage and irrigation project improvements</t>
  </si>
  <si>
    <t>Flooding in the Mekong Delta: The impact of dyke systems on downstream hydrodynamics</t>
  </si>
  <si>
    <t>Sedimentation in a synclinal shallow-marine embayment: Coniacian of the North Sudetic Synclinorium, SW Poland</t>
  </si>
  <si>
    <t>Evaluating flood resilience in rural communities: a case-based assessment of Dyer County, Tennessee</t>
  </si>
  <si>
    <t>Impact of rapid salinity variation on aquaculture organisms caused by water drainage from an estuary sluice</t>
  </si>
  <si>
    <t>Effects of hydrodynamical regime on morphological evolution at cua dai estuary and coastlines of Quang Nam Province</t>
  </si>
  <si>
    <t>Horizontal Runup and Seagrass Beach Cast-litters: Modelling and Observations</t>
  </si>
  <si>
    <t>Multi-temporal reconstruction of long-term changes in land cover in and around the Swartkops River Estuary, Eastern Cape, South Africa</t>
  </si>
  <si>
    <t>Reconstruction of the track and a simulation of the storm surge associated with the calamitous typhoon affecting the Pearl River Estuary in September 1874</t>
  </si>
  <si>
    <t>The January 2018 to September 2019 surge of Shisper Glacier, Pakistan, detected from remote sensing observations</t>
  </si>
  <si>
    <t>Transition from factor-driven to innovation-driven urbanization in China: A study of manufacturing industry automation in Dongguan City</t>
  </si>
  <si>
    <t>Space in transformation: Public versus private climate change adaptation in peripheral coastal tourism areas—Case studies from Quebec, Canada</t>
  </si>
  <si>
    <t>Constraining source attribution of methane in an alluvial aquifer with multiple recharge pathways</t>
  </si>
  <si>
    <t>Value chain analysis of mangrove forests in central Mozambique: Uses, stakeholders and income</t>
  </si>
  <si>
    <t>Effect of Spatial Resolution on Nationwide Projection of Future Beach Loss Rate in Japan</t>
  </si>
  <si>
    <t>Quantifying forcing uncertainties in the hydrodynamics of the Gironde estuary</t>
  </si>
  <si>
    <t>Hydrodynamic Modeling for Flood Hazard Assessment in a Data Scarce Region: a Case Study of Bharathapuzha River Basin</t>
  </si>
  <si>
    <t>The significance of coastal bathymetry representation for modelling the tidal response to mean sea level rise in the German Bight</t>
  </si>
  <si>
    <t>Elevation Changes of West-Central Greenland Glaciers From 1985 to 2012 From Remote Sensing</t>
  </si>
  <si>
    <t>Simplified Method for the Identification of Erosion and Flooding Hazard Hotspots on Sandy Beaches</t>
  </si>
  <si>
    <t>Application of the Spatial Statistic Methods to Coastal Zone Management: SE Baltic Sea Coast Case</t>
  </si>
  <si>
    <t>The Aegean Sea: Wind Waves and Tides</t>
  </si>
  <si>
    <t>Impact of salinization and pollution of groundwater on the adaptation of mosquito vectors in the Jaffna peninsula, Sri Lanka</t>
  </si>
  <si>
    <t>High-accuracy coastal flood mapping for Norway using lidar data</t>
  </si>
  <si>
    <t>Lithological and paleogeographic conditions for the formation and location of sedimentary basins of the caspian region</t>
  </si>
  <si>
    <t>An analysis of UNFCCC-financed coastal adaptation projects: Assessing patterns of project design and contributions to adaptive capacity</t>
  </si>
  <si>
    <t>A quasigeoid-derived transformation model accounting for land subsidence in the mekong delta towards height system unification in Vietnam</t>
  </si>
  <si>
    <t>UAV-Based photogrammetry and LiDAR for the characterization of ice morphology evolution</t>
  </si>
  <si>
    <t>Going Dutch in the Mekong Delta: a framing perspective on water policy translation</t>
  </si>
  <si>
    <t>Appraisal of hydro-meteorological factors during extreme precipitation event: case study of Kedarnath cloudburst, Uttarakhand, India</t>
  </si>
  <si>
    <t>Mapping and monitoring of glacier lake outburst floods using geospatial modelling approach for Darkut valley, Pakistan</t>
  </si>
  <si>
    <t>Micro-scale flood hazard assessment based on catastrophe theory and an integrated 2-D hydraulic model: A case study of gongshuangcha detention basin in dongting lake area, China</t>
  </si>
  <si>
    <t>Engaging coastal community members about natural and nature-based solutions to assess their ecosystem function</t>
  </si>
  <si>
    <t>Recent coastal sea-level variations and flooding events in the Nigerian Transgressive Mud coast of Gulf of Guinea</t>
  </si>
  <si>
    <t>Innovative Coastal Risk Reduction through Hybrid Design: Combining Sand Cover and Structural Defenses</t>
  </si>
  <si>
    <t>Channel-Trapped Convergence and Divergence of Lateral Velocity in the Pearl River Estuary: Influence of Along-Estuary Variations of Channel Depth and Width</t>
  </si>
  <si>
    <t>The impact of grants on homeowner decisions to retroﬁt to reduce hurricane-induced wind and flood damage</t>
  </si>
  <si>
    <t>Implications of ambiguity in Antarctic ice sheet dynamics for future coastal erosion estimates: a probabilistic assessment</t>
  </si>
  <si>
    <t>Seismic imaging of the shallow and deep structures in the Ancona landslide area</t>
  </si>
  <si>
    <t>Submarine groundwater discharge in an anthropogenically disturbed, semi-arid estuary</t>
  </si>
  <si>
    <t>Rapid urban flood damage assessment using high resolution remote sensing data and an object-based approach</t>
  </si>
  <si>
    <t>Community resilience and urban planning in tsunami-prone settlements in Chile</t>
  </si>
  <si>
    <t>Preparing Singapore changi airport for the effects of climate change</t>
  </si>
  <si>
    <t>Reconstruction of the morphology and hydrography of the centre of krakÓw before the mid-13th century</t>
  </si>
  <si>
    <t>The origins of s-forms: Form similarity, process analogy, and links to high-energy, subglacial meltwater flows</t>
  </si>
  <si>
    <t>Ground Subsidence Triggered by the Overexploitation of Aquifers Affecting Urban Sites: The Case of Athens Coastal Zone along Faliro Bay (Greece)</t>
  </si>
  <si>
    <t>Salt-tolerant rice variety adoption in the Mekong River Delta: Farmer adaptation to sea-level rise</t>
  </si>
  <si>
    <t>Early to middle holocene estuarine shellfish collecting on the islands and mainland coast of the Santa Barbara channel, California, USA</t>
  </si>
  <si>
    <t>Climate diagnostics of the extreme floods in Peru during early 2017</t>
  </si>
  <si>
    <t>Three decades of coastal changes in Sindh, Pakistan (1989-2018): A geospatial assessment</t>
  </si>
  <si>
    <t>Past variation in lower peace river ice-jam flood frequency</t>
  </si>
  <si>
    <t>A publicly available GIS-based web platform for reservoir inundation mapping in the lower Mekong region</t>
  </si>
  <si>
    <t>Alternate erosion and deposition in the Yangtze Estuary and the future change</t>
  </si>
  <si>
    <t>It's not “too late”: Learning from Pacific Small Island Developing States in a warming world</t>
  </si>
  <si>
    <t>Evaluation of land cover changes in southwestern lithuania from 1984 to 2018 using medium spatial resolution satellite imagery</t>
  </si>
  <si>
    <t>Channel stability assessment in the lower reaches of the Krishna River (India) using multi-temporal satellite data during 1973–2015</t>
  </si>
  <si>
    <t>Typology of coastal urban vulnerability under rapid urbanization</t>
  </si>
  <si>
    <t>Valuing natural habitats for enhancing coastal resilience: Wetlands reduce property damage from storm surge and sea level rise</t>
  </si>
  <si>
    <t>Flood hazard micro zonation from a geomatic perspective on Vitilevu Island, Fiji</t>
  </si>
  <si>
    <t>Hazards from lava–river interactions during the 1783–1784 Laki fissure eruption</t>
  </si>
  <si>
    <t>Building adaptation to extreme rain effects in San Francisco de Campeche, Mexico</t>
  </si>
  <si>
    <t>Post-fire debris flow modeling analyses: case study of the post-Thomas Fire event in California</t>
  </si>
  <si>
    <t>A new age interpretation for the meluhu formation in toronipa peninsula, the southeast arm of sulawesi, indonesia</t>
  </si>
  <si>
    <t>Encouraging Living Shorelines over Shoreline Armoring: Insights from Property Owners Choices in the Chesapeake Bay</t>
  </si>
  <si>
    <t>Potential impacts of climate change on extreme weather events in the Niger Delta part of Nigeria</t>
  </si>
  <si>
    <t>Flooding extent mapping for synthetic aperture radar time series using river gauge observations</t>
  </si>
  <si>
    <t>New approach to enhance the involvement of stakeholders through the collaborative flood-serv platform in flood risk management</t>
  </si>
  <si>
    <t>Evaluating exposure to coastal hazards in the supervised offender population using social disorganization theory</t>
  </si>
  <si>
    <t>Arctic River Delta Morphologic Variability and Implications for Riverine Fluxes to the Coast</t>
  </si>
  <si>
    <t>Managed retreat for climate change adaptation in coastal megacities: A comparison of policy and practice in Manila and Vancouver</t>
  </si>
  <si>
    <t>The diest formation: A review of insights from the last decades</t>
  </si>
  <si>
    <t>Interannual Variation and Hazard Analysis of Meteorological Disasters in East China</t>
  </si>
  <si>
    <t>Flow velocity model for a coastal estuarine Sandbar using multivariate regression</t>
  </si>
  <si>
    <t>Effect of sea level rise on oil spill model drift using telemac-2d</t>
  </si>
  <si>
    <t>Economics over Risk: Flooding Is Not the Only Driving Factor of Migration Considerations on a Vulnerable Coast</t>
  </si>
  <si>
    <t>Glacier mass and area changes on the Kenai Peninsula, Alaska, 1986-2016</t>
  </si>
  <si>
    <t>Environmental pollution control and sustainability management of slum settlements in makassar city, south sulawesi, Indonesia</t>
  </si>
  <si>
    <t>A participatory system dynamics modeling approach to facilitate collaborative flood risk management: A case study in the Bradano River (Italy)</t>
  </si>
  <si>
    <t>Catastrophic glacial-lake outburst flooding of the Patagonian Ice Sheet</t>
  </si>
  <si>
    <t>Use of Mamdani fuzzy algorithm for multi-hazard susceptibility assessment in a developing urban settlement (Mamak, Ankara, Turkey)</t>
  </si>
  <si>
    <t>Water Scarcity and Challenges for Access to Safe Water: A Case of Bangladesh's Coastal Area Vulnerable to Climate Change</t>
  </si>
  <si>
    <t>Ricostruzione 3D della distribuzione delle tessiture nel sottosuolo della Pianura Lombarda centro-occidentale</t>
  </si>
  <si>
    <t>Identifying the greatest earthquakes of the past 2000 years at the Nehalem river Estuary, northern Oregon coast, USA</t>
  </si>
  <si>
    <t>Impacts of sea level rise on real estate prices in coastal Georgia</t>
  </si>
  <si>
    <t>Predictive numerical modeling of groundwater drawdown impacts in Jakarta</t>
  </si>
  <si>
    <t>A New Automated Method for Improved Flood Defense Representation in Large-Scale Hydraulic Models</t>
  </si>
  <si>
    <t>The impact of climate change on the archaeology of new zealand’s coastline a case study from the whangarei district simon bickler, rod clough and sarah macready</t>
  </si>
  <si>
    <t>Water, livelihoods, and migration in SIDS: Climate change and future prospects for carriacou, West Indies</t>
  </si>
  <si>
    <t>Growth and habitat of sebaea ovata (Gentianaceae) in New Zealand and Australia</t>
  </si>
  <si>
    <t>Tidal amplification and salt intrusion in the Mekong Delta driven by anthropogenic sediment starvation</t>
  </si>
  <si>
    <t>Morphological changes in the proximity of the Greek colonies founded along the western (Romanian) Black Sea coast: Orgame, Histria, Tomis, and Kallatis</t>
  </si>
  <si>
    <t>Community business resilience: adaptation practice of micro- and small enterprises around the Pearl River Estuary</t>
  </si>
  <si>
    <t>Assessment of Aggregation Frameworks for Composite Indicators in Measuring Flood Vulnerability to Climate Change</t>
  </si>
  <si>
    <t>Assessment of the household’s flood social vulnerability in vietnam’s mekong river delta</t>
  </si>
  <si>
    <t>Socioeconomic and environmental predictors of estuarine shoreline hard armoring</t>
  </si>
  <si>
    <t>On the feasibility of managed retreat in the Wadden Sea of Schleswig-Holstein</t>
  </si>
  <si>
    <t>Spatio-temporal patterns of pre-eclampsia and eclampsia in relation to drinking water salinity at the district level in Bangladesh from 2016 to 2018</t>
  </si>
  <si>
    <t>The impact of climate change on the archaeology of new zealand’s coastline: A case study from the whangarei district</t>
  </si>
  <si>
    <t>Flash flood as an effective pebble transport mechanism: a case study from the Permian Sulige Gas Field, Ordos Basin, China</t>
  </si>
  <si>
    <t>Cloud-based typhoon-derived paddy rice flooding and lodging detection using multi-temporal Sentinel-1&amp;2</t>
  </si>
  <si>
    <t>Climate change impact on Caspian Sea wave conditions in the Noshahr Port</t>
  </si>
  <si>
    <t>Si cycling in transition zones: a study of Si isotopes and biogenic silica accumulation in the Chesapeake Bay through the Holocene</t>
  </si>
  <si>
    <t>GIS-based investigation of historic landfill sites in the coastal zones of Wales (UK)</t>
  </si>
  <si>
    <t>Visual and statistical comparison of ASTER, SRTM, and Cartosat digital elevation models for watershed</t>
  </si>
  <si>
    <t>High-Frequency Tide-Surge-River Interaction in Estuaries: Causes and Implications for Coastal Flooding</t>
  </si>
  <si>
    <t>Application of numerical models to assess multi-source saltwater intrusion under natural and pumping conditions in the Great Maputo aquifer, Mozambique; [数值模型在莫桑比克马普托大含水层天然和抽水条件下多源盐水入侵评估中的应用]; [Application de modèles numériques pour déterminer les sources multiples d’intrusion saline en conditions naturelle et de pompage dans l’aquifère du Grand Maputo, Mozambique]; [Aplicação de modelos numéricos para avaliar a intrusão de água salgada de várias fontes em condições naturais e de bombeamento no aquífero Grande Maputo, Moçambique]; [Aplicación de modelos numéricos para evaluar la intrusión de agua salada de múltiples fuentes en condiciones naturales y de bombeo en el Gran Acuífero de Maputo, Mozambique]</t>
  </si>
  <si>
    <t>Flow accumulation based method for the identification of erosion risk points in unpaved roads</t>
  </si>
  <si>
    <t>A Stochastic Approach to Modeling Tidal Creek Evolution: Exploring Environmental Influences on CreekTopologies Through Ensemble Predictions</t>
  </si>
  <si>
    <t>Estuarine Responses to Long-Term Changes in Inlets, Morphology, and Sea Level Rise</t>
  </si>
  <si>
    <t>Dense DSM and DTM Point Cloud Generation Using CARTOSAT-2E Satellite Images for High-Resolution Applications</t>
  </si>
  <si>
    <t>Quantification of the Uncertainty in Coastal Storm Hazard Predictions Due to Wave-Current Interaction and Wind Forcing</t>
  </si>
  <si>
    <t>Miami Beach forever? Urbanism in the back loop</t>
  </si>
  <si>
    <t>Characterisation of low-frequency sea level oscillations in the mediterranean sea; [DOLOCANJE NIZKOFREKVENCNEGA NIHANJA MORSKE GLADINE V SREDOZEMSKEM MORJU]</t>
  </si>
  <si>
    <t>Time-Varying Emulator for Short and Long-Term Analysis of Coastal Flood Hazard Potential</t>
  </si>
  <si>
    <t>Sea-level-rise-induced threats depend on the size of tide-influenced estuaries worldwide</t>
  </si>
  <si>
    <t>Improving distribution models of riparian vegetation with mobile laser scanning and hydraulic modelling</t>
  </si>
  <si>
    <t>Interactions Between Mean Sea Level, Tide, Surge, Waves and Flooding: Mechanisms and Contributions to Sea Level Variations at the Coast</t>
  </si>
  <si>
    <t>Introducing WIW for detecting the presence of water in wetlands with landsat and sentinel satellites</t>
  </si>
  <si>
    <t>Valuing floodplain protection and avoidance in a coastal watershed</t>
  </si>
  <si>
    <t>A methodology to assess land use development, flooding, and wetland change as indicators of coastal vulnerability</t>
  </si>
  <si>
    <t>Sustaining marine ecotourism through multi-use planning for securing mangrove ecosystems</t>
  </si>
  <si>
    <t>Variability of precipitation extremes over the Yangtze River Delta, eastern China, during 1960–2016</t>
  </si>
  <si>
    <t>Analysis and quantification of potential consequences in multirisk coastal context at different spatial scales (Normandy, France)</t>
  </si>
  <si>
    <t>Monitoring of a Sea-Dike in Northern Germany by Means of ERS-1, ENVISAT/ASAR, and Sentinel-1 SAR Interferometry</t>
  </si>
  <si>
    <t>Do the Adaptations of Venice and Miami to Sea Level Rise Offer Lessons for Other Vulnerable Coastal Cities?</t>
  </si>
  <si>
    <t>Values, bias, and stressors affect intentions to adapt to coastal flood risk: A case study from New York city</t>
  </si>
  <si>
    <t>Analyzing Vietnam's national disaster loss database for flood risk assessment using multiple linear regression-TOPSIS</t>
  </si>
  <si>
    <t>Sea-Level Rise and Climate Change Impacts on an Urbanized Pacific Coast Estuary</t>
  </si>
  <si>
    <t>Modelling Holocene analogues of coastal plain estuaries reveals the magnitude of sea-level threat</t>
  </si>
  <si>
    <t>Assessment of land use and climate change effects on land subsidence using a hydrological model and radar technique</t>
  </si>
  <si>
    <t>Climate services for whom? The political economics of contextualizing climate data in Louisiana’s coastal Master Plan</t>
  </si>
  <si>
    <t>Imprints of wave climate and mean sea level variations in the dynamics of a coastal spit over the last 250 years: Cap Ferret, SW France</t>
  </si>
  <si>
    <t>Review of Australian east coast low pressure systems and associated extremes</t>
  </si>
  <si>
    <t>Drainage network analysis and structuring of topologically noisy vector stream data</t>
  </si>
  <si>
    <t>Avoiding or mitigating flooding: Bottom-up drivers of urban resilience to climate change in the USA</t>
  </si>
  <si>
    <t>Past hurricane damage and flood zone outweigh shoreline hardening for predicting residential-scale impacts of Hurricane Matthew</t>
  </si>
  <si>
    <t>Health vulnerability to flood-induced risks of households in flood-prone informal settlements in the Coastal City of Mombasa, Kenya</t>
  </si>
  <si>
    <t>Regional 1D hydrocarbon maturation modelling of the Cenomanian–Turonian Lokpanta Shale, southern Benue Trough, Nigeria: Implications for the origin of Niger Delta deep sea oils</t>
  </si>
  <si>
    <t>Daily temperature extremes over Egypt: Spatial patterns, temporal trends, and driving forces</t>
  </si>
  <si>
    <t>Social vulnerability in the coastal region of Bangladesh: An investigation of social vulnerability index and scalar change effects</t>
  </si>
  <si>
    <t>Unusual Beach Changes Induced by Hurricane Irma with a Negative Storm Surge and Poststorm Recovery</t>
  </si>
  <si>
    <t>Wood properties of Carapa guianensis from floodplain and upland forests in Eastern Amazonia, Brazil</t>
  </si>
  <si>
    <t>Evaluation of approaches for mapping tidal wetlands of the Chesapeake and Delaware Bays</t>
  </si>
  <si>
    <t>A Semi-distributed Flood Forecasting Model for the Nagavali River Using Space Inputs</t>
  </si>
  <si>
    <t>Climate change, environmental stress and loss of livelihoods can push people towards illegal activities: a case study from coastal Bangladesh</t>
  </si>
  <si>
    <t>Satellite Altimetry Measurements of Sea Level in the Coastal Zone</t>
  </si>
  <si>
    <t>Benchmarking the Indian National CartoDEM against SRTM for 1D hydraulic modelling</t>
  </si>
  <si>
    <t>An Assessment of the Utility of Satellite Altimetry and Tide Gauge Data (ALT-TG) as a Proxy for Estimating Vertical Land Motion</t>
  </si>
  <si>
    <t>The measurement of mobility-based accessibility-the impact of floods on trips of various length and motivation</t>
  </si>
  <si>
    <t>Influence of landscape features on the large variation of shallow groundwater salinity in southwestern Bangladesh</t>
  </si>
  <si>
    <t>Spatial and Temporal Changes in Emergent Marsh and Associated Marsh Birds of the Lower Mobile-Tensaw River Delta in Alabama, USA</t>
  </si>
  <si>
    <t>Addressing awareness gaps in environmental valuation: choice experiments with citizens in the Inner Forth, Scotland</t>
  </si>
  <si>
    <t>Mapping trajectories of coastal land reclamation in nine deltaic megacities using google earth engine</t>
  </si>
  <si>
    <t>Uncertainties in Long-Term Twenty-First Century Process-Based Coastal Sea-Level Projections</t>
  </si>
  <si>
    <t>River base level change in mouth channel evolution: The case of the Yellow River delta, China</t>
  </si>
  <si>
    <t>Current Geo-Ecological Problems Within the Lake Khanka Drainage Basin</t>
  </si>
  <si>
    <t>Dikes, rice, and fish: how rapid changes in land use and hydrology have transformed agriculture and subsistence living in the Mekong Delta</t>
  </si>
  <si>
    <t>Extreme Coastal Water Levels Exacerbate Fluvial Flood Hazards in Northwestern Europe</t>
  </si>
  <si>
    <t>A closer look at the effects of restoration design on biologic function in restored estuarine wetlands: A case study in Galveston Bay, Texas</t>
  </si>
  <si>
    <t>Relative effect of location alternatives on urban hydrology. The case of Greater Port-Harcourt Watershed, Niger Delta</t>
  </si>
  <si>
    <t>Sulfate Mobility in Fen Peat and Its Impact on the Release of Solutes</t>
  </si>
  <si>
    <t>Exploring the co-occurrence between coastal squeeze and coastal tourism in a changing climate and its consequences</t>
  </si>
  <si>
    <t>Governance and stakeholder perspectives of managed re-alignment: adapting to sea level rise in the Inner Forth estuary, Scotland</t>
  </si>
  <si>
    <t>The characteristics and controlling factors of facies-controlled coastal eogenetic karst: insights from the Fourth Member of Neoproterozoic Dengying Formation, Central Sichuan Basin, China</t>
  </si>
  <si>
    <t>Safety precautions for swimmers - A frequent whirlpool appearance at Pattaya Bay</t>
  </si>
  <si>
    <t>Assessment of parameters and preparation of hydrodynamic model for lower damodar basin using geomatic techniques</t>
  </si>
  <si>
    <t>Brief communication: Subglacial lake drainage beneath Isunguata Sermia, West Greenland: Geomorphic and ice dynamic effects</t>
  </si>
  <si>
    <t>Impacts of Basin-Scale Climate Modes on Coastal Sea Level: a Review</t>
  </si>
  <si>
    <t>Heterogeneous spatial and temporal pattern of surface elevation change and mass balance of the Patagonian ice fields between 2000 and 2016</t>
  </si>
  <si>
    <t>Disparities in the implementation gap: adaptation to flood risk in the Densu Delta, Accra, Ghana</t>
  </si>
  <si>
    <t>Impact of Climate Change and Land Use on Groundwater Salinization in Southern Bangladesh—Implications for Other Asian Deltas</t>
  </si>
  <si>
    <t>Higher probability of compound flooding from precipitation and storm surge in Europe under anthropogenic climate change</t>
  </si>
  <si>
    <t>Tidal Responses to Future Sea Level Trends on the Yellow Sea Shelf</t>
  </si>
  <si>
    <t>Probabilistic Sea Level Projections at the Coast by 2100</t>
  </si>
  <si>
    <t>Influence of Floods and Growth Duration on the Productivity of Wet Grasslands of Echinochloa stagnina (Retz) P. Beauv. in an East African Floodplain</t>
  </si>
  <si>
    <t>Spatiotemporal trends of temperature and precipitation extremes across contrasting climatic zones of China during 1956–2015</t>
  </si>
  <si>
    <t>WHAT-IF: An open-source decision support tool for water infrastructure investment planning within the water-energy-food-climate nexus</t>
  </si>
  <si>
    <t>Validation of an operational forecasting system of sea dike risk in the southern Zhejiang, South China</t>
  </si>
  <si>
    <t>Numerical study of tsunami wave run-up and land inundation on coastal vegetated beaches</t>
  </si>
  <si>
    <t>Turbulence and suspended sediment processes in the Garonne River tidal bore in november 2016</t>
  </si>
  <si>
    <t>Eco-Ethnography and Citizen Science: Lessons from Within</t>
  </si>
  <si>
    <t>Uptake and accumulation of cadmium, manganese and zinc by fisheries species: Trophic differences in sensitivity to environmental metal accumulation</t>
  </si>
  <si>
    <t>The Contribution of Wind-Generated Waves to Coastal Sea-Level Changes</t>
  </si>
  <si>
    <t>Historical perspective of climate change in sustainable livelihoods of coastal areas of the Red River Delta, Nam Dinh, Vietnam</t>
  </si>
  <si>
    <t>The development of flood risk management in the United States</t>
  </si>
  <si>
    <t>Shallow Salt Marsh Tidal Ponds–An Environment With Extreme Oxygen Dynamics</t>
  </si>
  <si>
    <t>Application of system approach framework for coastal zone management in Pärnu, SW Estonia</t>
  </si>
  <si>
    <t>Uncertain seas: probabilistic modeling of future coastal flood zones</t>
  </si>
  <si>
    <t>Towards a general framework for the assessment of interactive effects of multiple stressors on aquatic ecosystems: Results from the Making Aquatic Ecosystems Great Again (MAEGA) workshop</t>
  </si>
  <si>
    <t>Coastal Armoring and Sea Turtles: Beachfront Homeowners’ Opinions and Intent</t>
  </si>
  <si>
    <t>Comparing 2D capabilities of HEC-RAS and LISFLOOD-FP on complex topography</t>
  </si>
  <si>
    <t>Development of anchialine cave habitats and karst subterranean estuaries since the last ice age</t>
  </si>
  <si>
    <t>Two decades of glacier mass loss along the Andes</t>
  </si>
  <si>
    <t>Numerical study of groundwater flow cycling controlled by seawater/freshwater interaction in Woodville Karst Plain</t>
  </si>
  <si>
    <t>Physicochemical models of effusive rhyolitic eruptions constrained with InSAR and DEM data: A case study of the 2011-2012 Cordón Caulle eruption</t>
  </si>
  <si>
    <t>Grounded and global: Water infrastructure development and policymaking in the Ayeyarwady Delta, Myanmar</t>
  </si>
  <si>
    <t>Planning for an uncertain future: the challenges of a locally based collaborative approach to coastal development decisions</t>
  </si>
  <si>
    <t>Upstream perturbation and floodplain formation effects on chute-cutoff-dominated meandering river pattern and dynamics</t>
  </si>
  <si>
    <t>Volume loss of the Greenland ice sheet revealed by SARAL/AltiKa repeat passes radar altimetry</t>
  </si>
  <si>
    <t>Coastline evolution based on statistical analysis and modeling</t>
  </si>
  <si>
    <t>Vulnerability of Vietnam to typhoons: A spatial assessment based on hazards, exposure and adaptive capacity</t>
  </si>
  <si>
    <t>Hydro-mechanical modeling of sinkhole occurrence processes in covered karst terrains during a flood</t>
  </si>
  <si>
    <t>Analysis of the dynamics of coastal landform change based on the integration of remote sensing and gis techniques: Implications for tidal flooding impact in pekalongan, central Java, Indonesia</t>
  </si>
  <si>
    <t>River network delineation from Sentinel-1 SAR data</t>
  </si>
  <si>
    <t>The Floodwater Depth Estimation Tool (FwDET v2.0) for improved remote sensing analysis of coastal flooding</t>
  </si>
  <si>
    <t>Monitoring Beach Topography and Nearshore Bathymetry Using Spaceborne Remote Sensing: A Review</t>
  </si>
  <si>
    <t>Impact of storm propagation speed on coastal flood hazard induced by offshore storms in the North Sea</t>
  </si>
  <si>
    <t>Global potential for the growth of fresh groundwater resources with large beach nourishments</t>
  </si>
  <si>
    <t>A practical framework of quantifying climate change-driven environmental losses (QuantiCEL) in coastal areas in developing countries</t>
  </si>
  <si>
    <t>Special Flood Hazard Effects on Coastal and Interior Home Values: One Size Does Not Fit All</t>
  </si>
  <si>
    <t>Exploring institutional structures for Tidal River Management in the Ganges-Brahmaputra Delta in Bangladesh</t>
  </si>
  <si>
    <t>Automated extraction of antarctic glacier and ice shelf fronts from Sentinel-1 imagery using deep learning</t>
  </si>
  <si>
    <t>Development and implementation of an empirical habitat change model and decision support tool for estuarine ecosystems</t>
  </si>
  <si>
    <t>A low-cost shoreline dynamic simulation model for proposed beach nourishment and dune construction: Introducing a new feasibility analysis tool</t>
  </si>
  <si>
    <t>A study on the utilization of 3D spatial-grid for coastal area management</t>
  </si>
  <si>
    <t>Climate risk assessments and management options for redevelopment of the Parliamentary Complex in Samoa, South Pacific</t>
  </si>
  <si>
    <t>The influence of nutrient addition on the invasion of Spartina alterniflora towards the non-tidal wetlands in the Chinese Yellow River delta</t>
  </si>
  <si>
    <t>Provenance of submerged stone pillars in an earthquake and typhoon hazard zone, coastal Tosashimizu, southwest Japan: A multidisciplinary geological approach</t>
  </si>
  <si>
    <t>Development of a marine environmental information system (MEIS) using data on land-sea interactions in the nakdong river estuary, South Korea</t>
  </si>
  <si>
    <t>Modeling subgrid-scale topographic effects on shallow marsh hydrodynamics and salinity transport</t>
  </si>
  <si>
    <t>Effects of urban development on future multi-hazard risk: the case of Vancouver, Canada</t>
  </si>
  <si>
    <t>Field Survey of the 2018 Sulawesi Tsunami: Inundation and Run-up Heights and Damage to Coastal Communities</t>
  </si>
  <si>
    <t>Scatterometry for land hydrology science and its applications</t>
  </si>
  <si>
    <t>Sea Level Prediction in the Yellow Sea From Satellite Altimetry With a Combined Least Squares-Neural Network Approach</t>
  </si>
  <si>
    <t>Climate-related uncertainties in urban exposure to sea level rise and storm surge flooding: a multi-temporal and multi-scenario analysis</t>
  </si>
  <si>
    <t>Ice-jam flood regime of the Peace-Athabasca Delta: Update in light of the 2014 event</t>
  </si>
  <si>
    <t>Modeling DEM Errors in Coastal Flood Inundation and Damages: A Spatial Nonstationary Approach</t>
  </si>
  <si>
    <t>Temporal Modeling of Anomalous Coastal Sea Level Values Using Synoptic Climatological Patterns</t>
  </si>
  <si>
    <t>Remobilizing stabilized island dunes for keeping up with sea level rise?</t>
  </si>
  <si>
    <t>Global-change controls on soil-carbon accumulation and loss in coastal vegetated ecosystems</t>
  </si>
  <si>
    <t>Index based multi-criteria approach to coastal risk assesment</t>
  </si>
  <si>
    <t>Addressing ambiguity in probabilistic assessments of future coastal flooding using possibility distributions</t>
  </si>
  <si>
    <t>The channels in Storebælt, Denmark: Implications of new radiocarbon ages</t>
  </si>
  <si>
    <t>Cross-scale operational oceanography in the Adriatic Sea</t>
  </si>
  <si>
    <t>Numerical modelling of coastal inundation from Cascadia Subduction Zone tsunamis and implications for coastal communities on western Vancouver Island, Canada</t>
  </si>
  <si>
    <t>Nonstationary joint probability analysis of extreme marine variables to assess design water levels at the shoreline in a changing climate</t>
  </si>
  <si>
    <t>Experimental study on relation between breach process and velocity distribution on levee due to overflow</t>
  </si>
  <si>
    <t>Does it matter if you “believe” in climate change? Not for coastal home vulnerability</t>
  </si>
  <si>
    <t>Characterization of Sea-level Variations Along the Metropolitan Coasts of France: Waves, Tides, Storm Surges and Long-term Changes</t>
  </si>
  <si>
    <t>Planning for the past: Local temporality and the construction of denial in climate change adaptation</t>
  </si>
  <si>
    <t>Controls on Shoreline Changes at Pluri-annual to Secular Timescale in Mixed-energy Rocky and Sedimentary Estuarine Systems</t>
  </si>
  <si>
    <t>Morphometric network drainage analysis for railway location: case study of Saudi Railway Company’s project</t>
  </si>
  <si>
    <t>Tidal variability in the Hong Kong region</t>
  </si>
  <si>
    <t>Identifying salt marsh shorelines from remotely sensed elevation data and imagery</t>
  </si>
  <si>
    <t>Unearthing the ripple effects of power and resilience in large river deltas</t>
  </si>
  <si>
    <t>Key beliefs and attitudes for sea-level rise policy</t>
  </si>
  <si>
    <t>Impact of urbanization on basin hydrology: a case study of the Malir Basin, Karachi, Pakistan</t>
  </si>
  <si>
    <t>Mussel Shell Geochemical Analyses Reflect Coastal Environmental Changes following the 2011 Tohoku Tsunami</t>
  </si>
  <si>
    <t>Saline water intrusion in relation to strong winds during winter cold outbreaks: North Branch of the Yangtze Estuary</t>
  </si>
  <si>
    <t>Heterogeneous sea-level rises along coastal zones and small islands</t>
  </si>
  <si>
    <t>Influence of topographic resolution and accuracy on hydraulic channel flow simulations: Case study of the Versilia River (Italy)</t>
  </si>
  <si>
    <t>Assessment of active tectonics from geomorphic indices and morphometric parameters in part of Ganga basin</t>
  </si>
  <si>
    <t>An integrated approach in developing flood vulnerability index of India using spatial multi-criteria evaluation technique</t>
  </si>
  <si>
    <t>Field and spaceborne imagery data for evaluation of the paleo-stress regime during formation of the Jurassic dike swarms in the Kalateh Alaeddin Mountain area, Shahrood, north Iran</t>
  </si>
  <si>
    <t>From Hazard to Consequences: Evaluation of Direct and Indirect Impacts of Flooding Along the Emilia-Romagna Coastline, Italy</t>
  </si>
  <si>
    <t>A Modelling Study on Tsunami Propagation in the Caspian Sea</t>
  </si>
  <si>
    <t>Sea level changes and vertical land motion from altimetry and tide gauges in the Southern Levantine Basin</t>
  </si>
  <si>
    <t>Health consequences of climate change in Bangladesh: An overview of the evidence, knowledge gaps and challenges</t>
  </si>
  <si>
    <t>Examining coastal dynamics and archaeological site evidence at a drowned cirque basin influenced by earthquakes and little ice age glaciation</t>
  </si>
  <si>
    <t>Water resource and ecotone transformation in coastal ecosystems</t>
  </si>
  <si>
    <t>Geomorphic response of inlet barrier islands to storms</t>
  </si>
  <si>
    <t>Remote sensing monitoring of a coastal-valley earthflow in northwestern Galicia, Spain</t>
  </si>
  <si>
    <t>The interactive relationship between coastal erosion and flood risk</t>
  </si>
  <si>
    <t>Determination of water level design for an estuarine city</t>
  </si>
  <si>
    <t>A GIS tool for mapping dam-break flood hazards in Italy</t>
  </si>
  <si>
    <t>Flood hazard assessment and mapping of River Swat using HEC-RAS 2D model and high-resolution 12-m TanDEM-X DEM (WorldDEM)</t>
  </si>
  <si>
    <t>Study on the permeability and tss removal efficiency of permeable pavement using constant head particle loading test</t>
  </si>
  <si>
    <t>Skill assessment of global, regional, and coastal circulation forecast models: Evaluating the benefits of dynamical downscaling in IBI (Iberia-Biscay-Ireland) surface waters</t>
  </si>
  <si>
    <t>Uncertainty assessment of extreme flood estimation in the Dongting Lake basin, China</t>
  </si>
  <si>
    <t>Wave climate projections along the Indian coast</t>
  </si>
  <si>
    <t>What's streamflow got to do with it? A probabilistic simulation of the competing oceanographic and fluvial processes driving extreme along-river water levels</t>
  </si>
  <si>
    <t>Changes in the behavioral characteristics of the gangmun and anmok beaches following the construction of artificial reefs</t>
  </si>
  <si>
    <t>RFim: A real-time inundation extent model for large floodplains based on remote sensing big data and water level observations</t>
  </si>
  <si>
    <t>High resolution mapping of inundation area in the Amazon basin from a combination of L-band passive microwave, optical and radar datasets</t>
  </si>
  <si>
    <t>Insights into estuary habitat loss in the western United States using a new method for mapping maximum extent of tidal wetlands</t>
  </si>
  <si>
    <t>An economic evaluation of adaptation pathways in coastal mega cities: An illustration for Los Angeles</t>
  </si>
  <si>
    <t>Impacts of sea level rise and storm surge in yeosu, Korea</t>
  </si>
  <si>
    <t>Optimization of multiple storm surge risk mitigation strategies for an island City On a Wedge</t>
  </si>
  <si>
    <t>Flow Reorganization in an Anthropogenically Modified Tidal Channel Network: An Example From the Southwestern Ganges-Brahmaputra-Meghna Delta</t>
  </si>
  <si>
    <t>Towards multi-objective optimization of large-scale fluvial landscaping measures</t>
  </si>
  <si>
    <t>An adaptive managed retreat approach to address Shoreline Erosion at the Kennedy Space Center, Florida</t>
  </si>
  <si>
    <t>Storm surge and seiche modelling in the Adriatic Sea and the impact of data assimilation</t>
  </si>
  <si>
    <t>Projecting wet season rainfall extremes using regional climate models ensemble and the advanced delta change model: Impact on the streamflow peaks in Mkurumudzi Catchment, Kenya</t>
  </si>
  <si>
    <t>Ice-dams, outburst floods, and movement heterogeneity of glaciers, Karakoram</t>
  </si>
  <si>
    <t>Red oak acorn yields in green-tree reservoirs and nonimpounded forests in Mississippi</t>
  </si>
  <si>
    <t>Sedimentary records of paleoseismic events in the Late Pleistocene sediments of the Southern Yangtze River deltaic plain, East China, and their implications for differential subsidence of the Taihu block</t>
  </si>
  <si>
    <t>Numerical Modeling of the June 17, 2017 Landslide and Tsunami Events in Karrat Fjord, West Greenland</t>
  </si>
  <si>
    <t>Impacts of submerging and emerging shorelines on various biota and indigenous alaskan harvesting patterns</t>
  </si>
  <si>
    <t>Examining the scalar knowledge politics of risk within coastal sea level rise adaptation planning knowledge systems</t>
  </si>
  <si>
    <t>Joint probability risk modelling of storm surge and cyclone wind along the coast of Bay of Bengal using a statistical copula</t>
  </si>
  <si>
    <t>Recent Warming of Landfalling Atmospheric Rivers Along the West Coast of the United States</t>
  </si>
  <si>
    <t>High-efficient extraction of drainage networks from digital elevation models constrained by enhanced flow enforcement from known river maps</t>
  </si>
  <si>
    <t>Spatial appraisal of flood risk assessment and evaluation using integrated hydro-probabilistic approach in Panjkora River Basin, Pakistan</t>
  </si>
  <si>
    <t>Impacts of Ocean Warming, Sea Level Rise, and Coastline Management on Storm Surge in a Semienclosed Bay</t>
  </si>
  <si>
    <t>High resolution modeling of western Alaskan tides and storm surge under varying sea ice conditions</t>
  </si>
  <si>
    <t>Hazard assessment of glacial lake outburst floods in Southeast Tibet based on RS and GIS technologies</t>
  </si>
  <si>
    <t>Increased operational costs of electricity generation in the Delaware River and Estuary from salinity increases due to sea-level rise and a deepened channel</t>
  </si>
  <si>
    <t>A review of glacier outburst floods in Iceland and Greenland with a megafloods perspective</t>
  </si>
  <si>
    <t>Linking residential saltwater intrusion risk perceptions to physical exposure of climate change impacts in rural coastal communities of North Carolina</t>
  </si>
  <si>
    <t>Groundwater quality assessment using fuzzy-ahp in an Giang Province of Vietnam</t>
  </si>
  <si>
    <t>A versatile, linear complexity algorithm for flow routing in topographies with depressions</t>
  </si>
  <si>
    <t>Nitrous oxide emissions from a full-scale biological aerated filter (BAF) subject to seawater infiltration</t>
  </si>
  <si>
    <t>The integration of local government, residents, and insurance in coastal adaptation: An agent-based modeling approach</t>
  </si>
  <si>
    <t>Decreasing uncertainty in flood frequency analyses by including historic flood events in an efficient bootstrap approach</t>
  </si>
  <si>
    <t>Assessing the potential highest storm tide hazard in Taiwan based on 40-year historical typhoon surge hindcasting</t>
  </si>
  <si>
    <t>Key assessments from the IPCC special report on global warming of 1.5 °C and the implications for the Sendai framework for disaster risk reduction</t>
  </si>
  <si>
    <t>High spatial resolution remote sensing for salt marsh mapping and change analysis at fire Island national seashore</t>
  </si>
  <si>
    <t>Automatic detection of potential dam locations in digital terrain models</t>
  </si>
  <si>
    <t>Economic damages of rice crop due to flood 2010 and its mitigations in Larkana division using geo-spatial tools</t>
  </si>
  <si>
    <t>Collaborative spatial planning in the face of flood risk in delta cities: A policy framing perspective</t>
  </si>
  <si>
    <t>Sea Level Rise in Miami Beach: Vulnerability and Real Estate Exposure</t>
  </si>
  <si>
    <t>Assessing the multiple impacts of extreme hurricanes in southern new England, USA</t>
  </si>
  <si>
    <t>Effects of recent morphodynamic evolution on flood regimes in the Pearl River Delta</t>
  </si>
  <si>
    <t>Modeling δ18O as an early indicator of regime shift arising from salinity stress in coastal vegetation; [将δ18O模拟为沿海植被盐度胁迫引起转移的早期指标]; [Modélisation du δ18O comme indicateur précoce d’un changement de régime de la végétation côtière résultant du stress salin]; [Modelagem de δ18O como um indicador precoce de mudança de regime devido ao estresse na salinidade na vegetação costeira]; [Modelado de δ18O como un indicador temprano del cambio de régimen que surge del estrés de salinidad en la vegetación costera]</t>
  </si>
  <si>
    <t>The behavior of a tsunami-like wave produced by dam break and its run-up on 1:20 slope</t>
  </si>
  <si>
    <t>CoastAdapt: an adaptation decision support framework for Australia’s coastal managers</t>
  </si>
  <si>
    <t>Efficient Priority-Flood depression filling in raster digital elevation models</t>
  </si>
  <si>
    <t>A low-cost autonomous rover for polar science</t>
  </si>
  <si>
    <t>Atmospheric circulation changes and their impact on extreme sea levels around Australia</t>
  </si>
  <si>
    <t>The Dominant Climate Change Event for Salinity Intrusion in the GBM Delta</t>
  </si>
  <si>
    <t>Tidal and meteorological influences on the growth of invasive Spartina alterniflora: Evidence from UAV remote sensing</t>
  </si>
  <si>
    <t>Modeling residential coastal flood vulnerability using finished-floor elevations and socio-economic characteristics</t>
  </si>
  <si>
    <t>The dynamics of shoreline change analysis based on the integration of remote sensing and geographic information system (GIS) techniques in Pekalongan coastal area, Central Java, Indonesia</t>
  </si>
  <si>
    <t>Impact of Coral Reef Mining Pits on Nearshore Hydrodynamics and Wave Runup During Extreme Wave Events</t>
  </si>
  <si>
    <t>Residential flood vulnerability along the developed North Carolina, USA coast: High resolution social and physical data for decision support</t>
  </si>
  <si>
    <t>(Re)Development of fluvial islands along the lower Mississippi River over five decades, 1965–2015</t>
  </si>
  <si>
    <t>The Influence of Hazard Maps and Trust of Flood Controls on Coastal Flood Spatial Awareness and Risk Perception</t>
  </si>
  <si>
    <t>Pathways of ice-wedge degradation in polygonal tundra under different hydrological conditions</t>
  </si>
  <si>
    <t>A new GIS-based model for karst dolines mapping using LiDAR; Application of a multidepth threshold approach in the Yucatan karst, Mexico</t>
  </si>
  <si>
    <t>Precision mapping of boundaries of flood plain river basins using high-resolution satellite imagery: A case study of the Varuna river basin in Uttar Pradesh, India</t>
  </si>
  <si>
    <t>Origin of a Preferential Avulsion Node on Lowland River Deltas</t>
  </si>
  <si>
    <t>Analysis of Ocean-Space and Sea-Level Rise Policy in Two Coastal Cities</t>
  </si>
  <si>
    <t>No landward movement: examining 80 years of population migration and shoreline change in Louisiana</t>
  </si>
  <si>
    <t>Overprinted allocyclic processes by tidal resonance in an epicontinental basin: The Upper Jurassic Curtis Formation, east-central Utah, USA</t>
  </si>
  <si>
    <t>Coastal Dune Vegetation Resilience on South Padre Island, Texas: A Spatiotemporal Evaluation of the Landscape Structure</t>
  </si>
  <si>
    <t>Evaluation of the resistance of coastal Pinus thunbergii Parlat. forests to the tsunami fluid force in Japan</t>
  </si>
  <si>
    <t>Implementing a Flood Vulnerability Index in urban coastal areas with industrial activity</t>
  </si>
  <si>
    <t>A partially coupled hydro-mechanical analysis of the Bengal Aquifer System under hydrological loading</t>
  </si>
  <si>
    <t>A review of Libyan soil databases for use within an ecosystem services framework</t>
  </si>
  <si>
    <t>The long-term variability of extreme sea levels in the German Bight</t>
  </si>
  <si>
    <t>A multi-scale comparison of elevation measurement methods in northeastern tidal marshes of the United States</t>
  </si>
  <si>
    <t>Influence of storm timing and forward speed on tides and storm surge during Hurricane Matthew</t>
  </si>
  <si>
    <t>Geochemical evidence for expansion of marine euxinia during an early Silurian (Llandovery–Wenlock boundary) mass extinction</t>
  </si>
  <si>
    <t>Land subsidence (2004–2013) in Changzhou in Central Yangtze River delta revealed by MT-InSAR</t>
  </si>
  <si>
    <t>Modeling barrier island habitats using landscape position information</t>
  </si>
  <si>
    <t>Morphology of coast and textural characteristics of coastal sediments (NE Gökova Graben, SW Turkey)</t>
  </si>
  <si>
    <t>What is shaping vulnerability to climate change? The case of laamu atoll, maldives</t>
  </si>
  <si>
    <t>Linking hydrologic connectivity in salt marsh ponds to fish assemblages across a heterogenous coastal habitat</t>
  </si>
  <si>
    <t>Disentangling and Parameterizing Shallow Sources of Subsidence: Application to a Reclaimed Coastal Area, Flevoland, the Netherlands</t>
  </si>
  <si>
    <t>Vertical Coseismic Offsets Derived From High-Resolution Stereogrammetric DSM Differencing: The 2013 Baluchistan, Pakistan Earthquake</t>
  </si>
  <si>
    <t>Morphology of Drained Upland Depressions on the Des Moines Lobe of Iowa</t>
  </si>
  <si>
    <t>Assessing the sea-level rise vulnerability in coastal communities: A case study in the Tampa Bay Region, US</t>
  </si>
  <si>
    <t>Effects of sea level rise on storm surge and waves within the Yangtze River Estuary</t>
  </si>
  <si>
    <t>US flood insurance at 50 years: Is the public–private partnership working?</t>
  </si>
  <si>
    <t>Creating a lowland and peatland landscape digital terrain model (DTM) from interpolated partial coverage LiDAR data for Central Kalimantan and East Sumatra, Indonesia</t>
  </si>
  <si>
    <t>Ecohydraulic modelling of anabranching rivers</t>
  </si>
  <si>
    <t>SMCε, a coastal modeling system for assessing beach processes and coastal interventions: Application to the Brazilian coast</t>
  </si>
  <si>
    <t>Climate Change and Livelihood Vulnerability of the Local Population on Sagar Island, India</t>
  </si>
  <si>
    <t>An assessment of areal and transect-based historic shoreline changes in the context of coastal planning</t>
  </si>
  <si>
    <t>Modified priority flood and global slope enforcement algorithm for topographic processing in physically based hydrologic modeling applications</t>
  </si>
  <si>
    <t>Rapid mapping of small-scale river-floodplain environments using UAV SfM supports classical theory</t>
  </si>
  <si>
    <t>Assessment of the environmental and societal impacts of the category-3 typhoon Hato</t>
  </si>
  <si>
    <t>Linking statistical and hydrodynamic modeling for compound flood hazard assessment in tidal channels and estuaries</t>
  </si>
  <si>
    <t>A methodology for urban micro-scale coastal flood vulnerability and risk assessment and mapping</t>
  </si>
  <si>
    <t>Monitoring and mapping of rice cropping pattern in flooding area in the Vietnamese Mekong delta using Sentinel-1A data: A case of an Giang province</t>
  </si>
  <si>
    <t>Creation of river terrain data using region growing method based on point cloud data from UAV photography</t>
  </si>
  <si>
    <t>Mapping tidal flats with landsat 8 images and google Earth Engine: A case study of the China's Eastern coastal zone circa 2015</t>
  </si>
  <si>
    <t>Modelling glacier topography in Antarctica using unmanned aerial survey: assessment of opportunities</t>
  </si>
  <si>
    <t>Hurricane flood risk assessment for the Yucatan and Campeche State coastal area</t>
  </si>
  <si>
    <t>An urban flash flood alert tool for megacities-Application for Manhattan, New York City, USA</t>
  </si>
  <si>
    <t>Willingness to pay for agricultural flood insurance in the Mekong River Delta</t>
  </si>
  <si>
    <t>Severe salinity contamination in drinking water and associated human health hazards increase migration risk in the southwestern coastal part of Bangladesh</t>
  </si>
  <si>
    <t>Net Submarine Groundwater-Derived Dissolved Inorganic Nutrients and Carbon Input to the Oligotrophic Stratified Karstic Estuary of the Krka River (Adriatic Sea, Croatia)</t>
  </si>
  <si>
    <t>Chevrons: Origin and relevance for the reconstruction of past wind regimes</t>
  </si>
  <si>
    <t>A suite of macrophyte species distribution models for investigating hydrology-driven spatial changes in a large flood-pulsed tropical wetland</t>
  </si>
  <si>
    <t>Flash flood susceptibility modelling using geomorphometric approach in the Ushairy Basin, eastern Hindu Kush</t>
  </si>
  <si>
    <t>The largest delta plain in Earth's history</t>
  </si>
  <si>
    <t>Assessing Social Vulnerability to Flood Hazards in the Dutch Province of Zeeland</t>
  </si>
  <si>
    <t>Distant swells and their impacts on atolls and tropical coastlines. The example of submersions produced by lagoon water filling and flushing currents in French Polynesia during 1996 and 2011 mega swells</t>
  </si>
  <si>
    <t>A Statistical Model for Frequency of Coastal Flooding in Honolulu, Hawaii, During the 21st Century</t>
  </si>
  <si>
    <t>Consequences of dike breaches and dike overflow in a bifurcating river system</t>
  </si>
  <si>
    <t>Rock-buffered recrystallization of Marion Plateau dolomites at low temperature evidenced by clumped isotope thermometry and X-ray diffraction analysis</t>
  </si>
  <si>
    <t>Paleogeographic reconstruction of the Tar – San Martín lacustrine system during late Pleistocene to early Holocene: Landscape availability and hunter-gatherer circulation (Santa Cruz, Argentina)</t>
  </si>
  <si>
    <t>Sea level change: Mapping danish municipality needs for climate information</t>
  </si>
  <si>
    <t>Multi-chronometer thermochronological modelling of the Late Neoproterozoic to recent t-T-evolution of the SE coastal region of Brazil</t>
  </si>
  <si>
    <t>Combining water fraction and DEM-based methods to create a coastal flood map: A case study of hurricane harvey</t>
  </si>
  <si>
    <t>A compendium of Coastal Dune Lakes in Northwest Florida</t>
  </si>
  <si>
    <t>Investigating hydrogeomorphic floodplain mapping performance with varying DTM resolution and stream order</t>
  </si>
  <si>
    <t>Reducing sea level rise with submerged barriers and dams in Greenland</t>
  </si>
  <si>
    <t>Optimal Costal Reinsurance and Investment with Exponential Utility: Dependent Claims</t>
  </si>
  <si>
    <t>Global modeling of tropical cyclone storm surges using high-resolution forecasts</t>
  </si>
  <si>
    <t>Metal Distribution and Short-Time Variability in Recent Sediments from the Ganges River towards the Bay of Bengal(India)</t>
  </si>
  <si>
    <t>Impacts of Three Gorges Dam's operation on spatial-temporal patterns of tide-river dynamics in the Yangtze River estuary, China</t>
  </si>
  <si>
    <t>Optimal strategy of a GPS position time series analysis for post-glacial rebound investigation in Europe</t>
  </si>
  <si>
    <t>Changes in hydrodynamics and wave energy as a result of seagrass decline along the shoreline of a microtidal back-barrier estuary</t>
  </si>
  <si>
    <t>Tracing of palaeochannels of Bakulahi river system in Uttar Pradesh, India</t>
  </si>
  <si>
    <t>Spatio-temporal evolution of Australasian monsoon hydroclimate over the last 40,000 years</t>
  </si>
  <si>
    <t>Anticipated improvements to river surface elevation profiles from the surface water and ocean topography mission</t>
  </si>
  <si>
    <t>Vertical land motion in the Southwest and Central Pacific from available GNSS solutions and implications for relative sea levels</t>
  </si>
  <si>
    <t>Ice-margin fluctuation sequences and grounding zone wedges: The record of the Late Palaeozoic Ice Age in the eastern Karoo Basin (Dwyka Group, South Africa)</t>
  </si>
  <si>
    <t>Adaptive strategies and transformation for community recovery – A case study of villages in Hinthada, Ayeyarwady Region, Myanmar</t>
  </si>
  <si>
    <t>Multi-Hazard Resilience Assessment of a Coastal Community Due to Offshore Earthquakes</t>
  </si>
  <si>
    <t>A method for monthly mapping of wet and dry snow using Sentinel-1 and MODIS: Application to a Himalayan river basin</t>
  </si>
  <si>
    <t>Meeting User Needs for Sea Level Rise Information: A Decision Analysis Perspective</t>
  </si>
  <si>
    <t>Fine-Scale Mapping of Coastal Plant Communities in the Northeastern USA</t>
  </si>
  <si>
    <t>Managing food and water security in Small Island States: New evidence from economic modelling of climate stressed groundwater resources</t>
  </si>
  <si>
    <t>Masked Shoreline Erosion at Large Spatial Scales as a Collective Effect of Beach Nourishment</t>
  </si>
  <si>
    <t>Land use evaluation over the jema watershed, in the upper blue nile river basin, northwestern highlands of Ethiopia</t>
  </si>
  <si>
    <t>Integrating farmers’ adaptive knowledge into flood management and adaptation policies in the Vietnamese Mekong Delta: A social learning perspective</t>
  </si>
  <si>
    <t>Lingering Carbon Cycle Effects of Hurricane Matthew in North Carolina's Coastal Waters</t>
  </si>
  <si>
    <t>Spatial and temporal variability of open-ocean barrier islands along the Indus Delta region</t>
  </si>
  <si>
    <t>Deriving high spatial-resolution coastal topography from sub-meter satellite stereo imagery</t>
  </si>
  <si>
    <t>Petrography, micromorphology and geochemistry of Mio-Pleistocene palustrine limestones in Kuwait, Arabian Gulf</t>
  </si>
  <si>
    <t>Novel microbial community composition and carbon biogeochemistry emerge over time following saltwater intrusion in wetlands</t>
  </si>
  <si>
    <t>An Integrated flood risk assessment model for cities located in the transitional zone between taihang mountains and North China plain: A case study in Shijiazhuang, Hebei, China</t>
  </si>
  <si>
    <t>A model-aided satellite-altimetry-based flood forecasting system for the Mekong River</t>
  </si>
  <si>
    <t>Chaotic correlation optical fiber liquid level sensor</t>
  </si>
  <si>
    <t>Integrating multidisciplinary instruments for assessing coastal vulnerability to erosion and sea level rise: lessons and challenges from the Adriatic Sea, Italy</t>
  </si>
  <si>
    <t>Sentinel-1 for monitoring land subsidence of coastal cities in Africa using PSInSAR: A methodology based on the integration of SNAP and staMPS</t>
  </si>
  <si>
    <t>Preferences among coastal and inland residents relating to managed retreat: Influence of risk perception in acceptability of relocation strategies</t>
  </si>
  <si>
    <t>Adaptive co-management in the Vietnamese Mekong Delta: examining the interface between flood management and adaptation</t>
  </si>
  <si>
    <t>Quality of flood extents delineated by a non-hydrodynamic GIS tool</t>
  </si>
  <si>
    <t>Delineation of flood-prone areas using geomorphological approach in the Mekong River Basin</t>
  </si>
  <si>
    <t>Improved Priority-Flood method for depression filling by redundant calculation optimization in local micro-relief areas</t>
  </si>
  <si>
    <t>Potential impacts of cold frontal passage on air quality over the Yangtze River Delta, China</t>
  </si>
  <si>
    <t>Urban flood modelling combining cellular automata framework with semi-implicit finite difference numerical formulation</t>
  </si>
  <si>
    <t>Dynamics of Accumulative Coasts in Enclosed Bays of Antarctica (with an Example of the Key Area of the South Georgia Microcontinent)</t>
  </si>
  <si>
    <t>A Stochastic Extreme Sea Level Model for the German Baltic Sea Coast</t>
  </si>
  <si>
    <t>Futures of Crisis, Futures of Urban Political Theory: Flooding in Asian Coastal Megacities</t>
  </si>
  <si>
    <t>Understanding the Large-Scale Influence of Levees on Floodplain Connectivity Using a Hydrogeomorphic Approach</t>
  </si>
  <si>
    <t>Sea-level rise impacts on longitudinal salinity for a low-gradient estuarine system</t>
  </si>
  <si>
    <t>Climate change induced salinization of drinking water inlets along a tidal branch of the Rhine River: Impact assessment and an adaptive strategy for water resources management</t>
  </si>
  <si>
    <t>Mapping wetland types in semiarid floodplains: A statistical learning approach</t>
  </si>
  <si>
    <t>Coupling land use evolution and subsidence in the Po Delta, Italy: Revising the past occurrence and prospecting the future management challenges</t>
  </si>
  <si>
    <t>Intertidal Creeks and Overmarsh Circulation in a Small Salt Marsh Basin</t>
  </si>
  <si>
    <t>An integrated approach of ground and aerial observations in flash flood disaster investigations. The case of the 2017 Mandra flash flood in Greece</t>
  </si>
  <si>
    <t>Disparities of population exposed to flood hazards in the United States</t>
  </si>
  <si>
    <t>A Quantitative and Qualitative Framework for Reliability Assessment of Waste Water Treatment Plants Under Coastal Flooding</t>
  </si>
  <si>
    <t>Characterizing groundwater quality and seawater intrusion in coastal aquifers of Nagapattinam and Karaikal, South India using hydrogeochemistry and modeling techniques</t>
  </si>
  <si>
    <t>Modelling gravel barrier response to storms and sudden relative sea-level change using XBeach-G</t>
  </si>
  <si>
    <t>Adaptation, sea level rise, and property prices in the Chesapeake Bay watershed</t>
  </si>
  <si>
    <t>Participatory coastal management through elicitation of ecosystem service preferences and modelling driven by “coastal squeeze”</t>
  </si>
  <si>
    <t>Assessing the tsunami mitigation effectiveness of the planned Banda Aceh Outer Ring Road (BORR), Indonesia</t>
  </si>
  <si>
    <t>Modeling the impact of earthquake-induced debris on tsunami evacuation times of coastal cities</t>
  </si>
  <si>
    <t>Institutional and Conceptual Barriers to Climate Change Adaptation for Coastal Cultural Heritage</t>
  </si>
  <si>
    <t>Evaluating the influence of watershed characteristics on flood vulnerability of Markanda River basin in north-west India</t>
  </si>
  <si>
    <t>A Coherent Statistical Model for Coastal Flood Frequency Analysis Under Nonstationary Sea Level Conditions</t>
  </si>
  <si>
    <t>Resolving the contributing factors to Mississippi Delta subsidence: Past and Present</t>
  </si>
  <si>
    <t>PRIMo: Parallel raster inundation model</t>
  </si>
  <si>
    <t>Laboratory Investigation on Effects of Flood Intermittency on Fan Delta Dynamics</t>
  </si>
  <si>
    <t>Spatiotemporal patterns and evolution of storm surge threats along the southeastern coastline of China</t>
  </si>
  <si>
    <t>Evaluating the spatial and vertical distribution of agriculturally important nutrients — nitrogen, phosphorous and boron — in North West Iran</t>
  </si>
  <si>
    <t>Sinking tide gauge revealed by space-borne InSAR: Implications for sea level acceleration at Pohang, South Korea</t>
  </si>
  <si>
    <t>After the storm: The importance of acknowledging environmental justice in sustainable development and disaster preparedness</t>
  </si>
  <si>
    <t>Wave-tide interaction modulates nearshore wave height</t>
  </si>
  <si>
    <t>Geospatial analysis of surface hydrological parameters for Kyushu Island, Japan</t>
  </si>
  <si>
    <t>Sea-Level Rise Impact on Salt Marsh Sustainability and Migration for a Subtropical Estuary: GTMNERR (Guana Tolomato Matanzas National Estuarine Research Reserve)</t>
  </si>
  <si>
    <t>Effectiveness assessment of risk reduction measures at coastal areas using a decision support system: Findings from Emma storm</t>
  </si>
  <si>
    <t>Development of a composite climate change vulnerability index for small craft harbours</t>
  </si>
  <si>
    <t>The impact of sea-level rise on tidal characteristics around Australia</t>
  </si>
  <si>
    <t>GIS framework for spatiotemporal mapping of urban flooding</t>
  </si>
  <si>
    <t>Population vulnerability to tsunami hazards informed by previous and projected disasters: a case study of American Samoa</t>
  </si>
  <si>
    <t>Analytical modeling of coastal dune erosion at South Padre Island: A consideration of the effects of vegetation roots and shear strength</t>
  </si>
  <si>
    <t>Resistance to relocation in flood-vulnerable coastal areas: a proposed composite index</t>
  </si>
  <si>
    <t>Incorporating inland flooding into hurricane evacuation decision support modeling</t>
  </si>
  <si>
    <t>Water resources planning in the Upper Niger River basin: Are there gaps between water demand and supply?</t>
  </si>
  <si>
    <t>The usefulness of alos-palsar dem data for drainage extraction in semi-arid environments in The Iishana sub-basin</t>
  </si>
  <si>
    <t>Characterizing and monitoring ground settlement of marine reclamation land of Xiamen New Airport, China with Sentinel-1 SAR Datasets</t>
  </si>
  <si>
    <t>Salinization in large river deltas: Drivers, impacts and socio-hydrological feedbacks</t>
  </si>
  <si>
    <t>Unconventional Natural Gas Accumulations in Stacked Deposits: A Discussion of Upper Paleozoic Coal-Bearing Strata in the East Margin of the Ordos Basin, China</t>
  </si>
  <si>
    <t>Large lake gauging using fractional imagery</t>
  </si>
  <si>
    <t>Floods, landscape modifications and population dynamics in anthropogenic coastal lowlands: The Polesine (northern Italy) case study</t>
  </si>
  <si>
    <t>Neolithic to modern period palaeogeographic transformations in southern Danube delta and their impact on human settlements in the Enisala-Babadag region</t>
  </si>
  <si>
    <t>Removal of positive elevation bias of digital elevation models for sea-level rise planning</t>
  </si>
  <si>
    <t>Coastal land use planning in Ben Tre, Vietnam: constraints and recommendations</t>
  </si>
  <si>
    <t>The September 28th, 2018, Tsunami In Palu-Sulawesi, Indonesia: A Post-Event Field Survey</t>
  </si>
  <si>
    <t>Rising Sea Levels: Helping Decision-Makers Confront the Inevitable</t>
  </si>
  <si>
    <t>Assessment of coastal aquaculture for India from Sentinel-1 SAR time series</t>
  </si>
  <si>
    <t>Influence of topographic data uncertainties and model resolution on the numerical simulation of lava flows</t>
  </si>
  <si>
    <t>Resilient Growth: Fantasy Plans and Unplanned Developments in India's Flood-Prone Coastal Cities</t>
  </si>
  <si>
    <t>New insights into the fluvial geomorphology and its effects on paleofloods in the Black Hills, South Dakota</t>
  </si>
  <si>
    <t>Contesting the coast: Ecosystems as infrastructure in the Mississippi River Delta</t>
  </si>
  <si>
    <t>Assessing and mapping regional coastal vulnerability for port environments and coastal cities</t>
  </si>
  <si>
    <t>Geomorphic effectiveness of check dams in a debris-flow catchment using multi-temporal topographic surveys</t>
  </si>
  <si>
    <t>Mapping shoreline indicators on a sandy beach with supervised edge detection of soil moisture differences</t>
  </si>
  <si>
    <t>Using MODIS/Terra and Landsat imageries to improve surface water quantification in Sylhet, Bangladesh</t>
  </si>
  <si>
    <t>Managed retreat as a strategy for climate change adaptation in small communities: public health implications</t>
  </si>
  <si>
    <t>Nexus between coastal resources and community livelihoods in a changing climate</t>
  </si>
  <si>
    <t>Modeling nonlinear tidal evolution in an energetic estuary</t>
  </si>
  <si>
    <t>Sinuosity evolution along an incising channel: New insights from the Jordan River response to the Dead Sea level fall</t>
  </si>
  <si>
    <t>Mapping of river terraces with low-cost UAS Based Structure-from-Motion Photogrammetry in a complex terrain setting</t>
  </si>
  <si>
    <t>Remote sensing for the quantification of land surface dynamics in large river delta regions-a review</t>
  </si>
  <si>
    <t>Extended Spectral Analysis of Tidal Variability in the North Atlantic Ocean</t>
  </si>
  <si>
    <t>Effect of hydrogeomorphological changes in flood plain on bridge multi-hazard performance</t>
  </si>
  <si>
    <t>Radon-augmented Sentinel-2 satellite imagery to derive wave-patterns and regional bathymetry</t>
  </si>
  <si>
    <t>K-Means clustering of a soil sampling scheme with data on the morphography of the Ogosta Valley Northwestern Bulgaria</t>
  </si>
  <si>
    <t>Future hydroclimatological changes in South America based on an ensemble of regional climate models</t>
  </si>
  <si>
    <t>Controls of faulting on synrift infill patterns in the Eocene PY4 Sag, Pearl River Mouth Basin, South China Sea</t>
  </si>
  <si>
    <t>Flood-inundation maps of the meramec river from eureka to arnold, Missouri, 2018</t>
  </si>
  <si>
    <t>Heterogeneous Changes in Western North American Glaciers Linked to Decadal Variability in Zonal Wind Strength</t>
  </si>
  <si>
    <t>Emphasizing livelihoods in the study of social-ecological systems: insights from fishing practices in the Okavango Delta, Botswana</t>
  </si>
  <si>
    <t>Assessing the Surface Radiation Balance and Associated Components in an Intertidal Wetland</t>
  </si>
  <si>
    <t>High-Resolution Modeling of Reservoir Release and Storage Dynamics at the Continental Scale</t>
  </si>
  <si>
    <t>Morphometry of hydrographic basins placed in the urban area of dourados – MS – Brazil; [Morfometria das bacias hidrográficas inseridas na zona urbana de dourados – MS]</t>
  </si>
  <si>
    <t>Coastline evolution of the Po River Delta (Italy) by archival multi-temporal digital photogrammetry</t>
  </si>
  <si>
    <t>Investigating the simultaneous ecological operation of dam gates to meet the water flow requirements of fish spawning migration</t>
  </si>
  <si>
    <t>Are tides controlled by latitude?</t>
  </si>
  <si>
    <t>Assessing the mechanisms governing the daytime evolution of marine stratocumulus using large-eddy simulation</t>
  </si>
  <si>
    <t>Natural hazards and their impact on rural settlements in NE Romania - A cartographical approach</t>
  </si>
  <si>
    <t>Climate change and coastal policy: the need to address erosion-flooding interactions for effective coastal risk management</t>
  </si>
  <si>
    <t>Physical Drivers of Changes in Probabilistic Surge Hazard Under Sea Level Rise</t>
  </si>
  <si>
    <t>Mathematical terrain modelling with the help of modified Gaussian functions</t>
  </si>
  <si>
    <t>Semi-automatic identification and pre-screening of geological-geotechnical deformational processes using persistent scatterer interferometry datasets</t>
  </si>
  <si>
    <t>An evaluation on climate change adaptation for tourism sector in the Mekong Delta of Vietnam</t>
  </si>
  <si>
    <t>Depositional environments, age, and sequence stratigraphy of the Minjur formation in outcrop and near subsurface—Central Saudi Arabia</t>
  </si>
  <si>
    <t>Abnormal k-ar illite ages and illiti-sation processes of montmorillonite within flank sediments at salt diapirs: Examples from the albian in the eastern part of the lower saxony basin, northern germany.; [Anomale k-ar-illit-alter und montmorillonit-illit-übergänge in flankengesteinen von salzdiapiren: Beispiele aus dem alb am ostrand des niedersächsischen beckens]</t>
  </si>
  <si>
    <t>Planned relocation and everyday agency in low-lying coastal villages in Fiji</t>
  </si>
  <si>
    <t>Coastal adaptation, government-subsidized insurance, and perverse incentives to stay</t>
  </si>
  <si>
    <t>Roman and early-medieval habitation patterns in a delta landscape: The link between settlement elevation and landscape dynamics</t>
  </si>
  <si>
    <t>GFPLAIN250m, a global high-resolution dataset of earth’s floodplains</t>
  </si>
  <si>
    <t>Delimitation of flood areas based on a calibrated a DEM and geoprocessing: Case study on the Uruguay River, Itaqui, southern Brazil</t>
  </si>
  <si>
    <t>A quantitative evaluation of hyperpycnal flow occurrence in a temperate coastal zone: The example of the Salerno Gulf (southern Italy)</t>
  </si>
  <si>
    <t>Flood-inundation maps for lake champlain in Vermont and New York</t>
  </si>
  <si>
    <t>The control of sea-level changes on sedimentation in the Mut Basin: Late Serravallian-Early Tortonian incised valley-fill</t>
  </si>
  <si>
    <t>Review of tropical cyclones in the Australian region: Climatology, variability, predictability, and trends</t>
  </si>
  <si>
    <t>Source model for the tsunami inside palu bay following the 2018 palu earthquake, Indonesia</t>
  </si>
  <si>
    <t>Multi-method analysis of the destabilization of a mechanical lift tower located on a rock glacier in the French Alps; [Analyse multi-méthodes de la déstabilisation d'un pylône de remontée mécanique implanté sur un glacier rocheux des Alpes françaises]</t>
  </si>
  <si>
    <t>Geoecological monitoring using InSAR technology</t>
  </si>
  <si>
    <t>Calculating connectivity patterns in delta landscapes: Modelling Roman and early-medieval route networks and their stability in dynamic lowlands</t>
  </si>
  <si>
    <t>Traditional versus modern settlement on torrential alluvial fans considering the danger of debris flows: A case study of the Upper Sava Valley (NW Slovenia)</t>
  </si>
  <si>
    <t>The effects of changing climate on estuarine water levels: A United States Pacific Northwest case study</t>
  </si>
  <si>
    <t>Sea Level Rise of West Sumatra Waters based on Multi-Satellite Altimetry Data</t>
  </si>
  <si>
    <t>Flood-inundation maps for the yellow river from river drive to centerville highway, gwinnett county, Georgia</t>
  </si>
  <si>
    <t>Landslide risk in mountain areas</t>
  </si>
  <si>
    <t>Impact, Mechanism, Monitoring of Land Subsidence in Coastal Cities (Annual Work of IGCP 663)</t>
  </si>
  <si>
    <t>Modelbuilder and Unit Hydrograph for Flood Prediction and Watershed Flow Direction Determination at The West Branch of The Little River, Stowe, Lamoille County, Vermont, USA</t>
  </si>
  <si>
    <t>Design for disruption: Creating anti-fragile urban delta landscapes</t>
  </si>
  <si>
    <t>International law as an adaptation measure to sea-level rise and its impacts on Islands and Offshore Features</t>
  </si>
  <si>
    <t>Effects of Shoal Margin Collapses on the Morphodynamics of a Sandy Estuary</t>
  </si>
  <si>
    <t>Biomonitoring of heavy metals (Fe, Zn, Cu, Mn, Cd and Cr) in oysters: Crassostrea rhizophorae of mangrove areas of Alagoas (Brazil)</t>
  </si>
  <si>
    <t>Investigation of Land Subsidence Based on the Column Element Settlement Model in a Soft-Soil Area</t>
  </si>
  <si>
    <t>Surface deformation of 0206 Hualien earthquake revealed by the integrated network of RTK GPS</t>
  </si>
  <si>
    <t>Coastal vulnerability assessment: Through regional to local downscaling of wave characteristics along the Bay of Lalzit (Albania)</t>
  </si>
  <si>
    <t>Climate change: thinking small islands beyond Small Island Developing States (SIDS)</t>
  </si>
  <si>
    <t>Landforms classification of Wadi Al-Mujib Basin in Jordan, based on Topographic Position Index (TPI), and the production of a flood forecasting map</t>
  </si>
  <si>
    <t>Recent transformation of intertidal environments under a sea-level rise scenario: Examples from northern Spain; [Transformación reciente de ambientes intermareales bajo un escenario de ascenso del nivel marino: Ejemplos del norte de Espana]</t>
  </si>
  <si>
    <t>The socioeconomic future of deltas in a changing environment</t>
  </si>
  <si>
    <t>Development of a participatory approach for mapping climate risks and adaptive interventions (CS-MAP) in Vietnam's Mekong River Delta</t>
  </si>
  <si>
    <t>Strongly aligned coastal boulders on Ko Larn island (Thailand): a proxy for past typhoon-driven high-energy wave events in the Bay of Bangkok</t>
  </si>
  <si>
    <t>Determination of a localized mean sea surface model for Malaysian seas using multi-mission Satellite Altimeter</t>
  </si>
  <si>
    <t>Communicating Climate Change Oceanically: Sea Level Rise Information Increases Mitigation, Inundation, and Global Warming Acceptance</t>
  </si>
  <si>
    <t>The Bight Basin, Evolution &amp; Prospectivity I: gravity, deep seismic &amp; basin morphology</t>
  </si>
  <si>
    <t>Quantifying the services of natural and built infrastructure in the context of climate change: The case of the Tana River Basin, Kenya</t>
  </si>
  <si>
    <t>The influence of precipitation, stream discharge, and physiographic factors on flood vulnerability at Cimanuk Riverwest Java, Indonesia</t>
  </si>
  <si>
    <t>Predictive capability of a high-resolution hydrometeorological forecasting framework coupling WRF cycling 3DVAR and continuum</t>
  </si>
  <si>
    <t>Development of a flood water level estimation method using satellite images and a digital elevation model for the Mekong floodplain</t>
  </si>
  <si>
    <t>Groundwater and River Flooding: The Importance of Wetlands in Coastal Zones</t>
  </si>
  <si>
    <t>Oil exploration, environmental degradation, and future generations in the Niger delta: Options for enforcement of intergenerational rights and sustainable development through legal and judicial activism</t>
  </si>
  <si>
    <t>Smart water and soil-salinity management in agro-wetlands</t>
  </si>
  <si>
    <t>The Bight Basin, evolution and prospectivity II; seismic, structure and balanced sections</t>
  </si>
  <si>
    <t>Soil erosion risk zoning in the ecuadorian coastal region using geo-technological tools; [Zonificación de riesgo erosivo en la costa ecuatoriana usando herramientas geotecnológicas]</t>
  </si>
  <si>
    <t>Impacts and implications of climate change on waituna lagoon, Southland</t>
  </si>
  <si>
    <t>Coastal foraminifera from the Iranian coast of Makran, Oman Sea (Chabahar Bay to Gawater Bay) as an indicator of tsunamis</t>
  </si>
  <si>
    <t>Role of coastal convection to moisture buildup during the South China sea summer monsoon onset</t>
  </si>
  <si>
    <t>Trends in extreme rainfall events in Sri Lanka,1961-2010</t>
  </si>
  <si>
    <t>Flood map boundary sensitivity due to combined effects of DEM resolution and roughness in relation to model performance</t>
  </si>
  <si>
    <t>Identifying emerging reservoirs along regulated rivers using multi-source remote sensing observations</t>
  </si>
  <si>
    <t>Wave Attenuation by Spartina Saltmarshes in the Chesapeake Bay Under Storm Surge Conditions</t>
  </si>
  <si>
    <t>Political Ecologies of Dynamic Wetlands: Hydrosocial Waterscapes in the Okavango Delta</t>
  </si>
  <si>
    <t>Environmental Perception, Sense of Place, and Residence Time in the Okavango Delta, Botswana</t>
  </si>
  <si>
    <t>Rapid assessment of flood inundation and damaged rice area in Red River Delta from Sentinel 1A imagery</t>
  </si>
  <si>
    <t>Soil salinity mapping using SAR Sentinel-1 data and advanced machine learning algorithms: A case study at Ben Tre Province of the Mekong River Delta (Vietnam)</t>
  </si>
  <si>
    <t>Assessing Improvement in the Public's Understanding of Hurricane Storm Tides Through Interactive Visualization Models</t>
  </si>
  <si>
    <t>Assessment of soil subsidence due to long-term dewatering, Esna city, Egypt</t>
  </si>
  <si>
    <t>Tide Gauge Records Show That the 18.61-Year Nodal Tidal Cycle Can Change High Water Levels by up to 30 cm</t>
  </si>
  <si>
    <t>Litho-structure of the Oltrepo Pavese, Northern Apennines (Italy)</t>
  </si>
  <si>
    <t>Paying to save the beach: effects of local finance decisions on coastal management</t>
  </si>
  <si>
    <t>Threat of pollution hotspots reworking in river systems: Case study of the Ploučnice River (Czech Republic)</t>
  </si>
  <si>
    <t>Potential for increased inundation in flood-prone regions of southeast Florida in response to climate and sea-level changes in broward county, Florida, 2060–69</t>
  </si>
  <si>
    <t>Measuring rates of present-day relative sea-level rise in low-elevation coastal zones: A critical evaluation</t>
  </si>
  <si>
    <t>Bathymetry of Northwest Greenland using "Ocean Melting Greenland" (OMG) high-resolution airborne gravity and other data</t>
  </si>
  <si>
    <t>Accuracy assessment of deep learning based classification of LiDAR and UAV points clouds for DTM creation and flood risk mapping</t>
  </si>
  <si>
    <t>Tidally-averaged flows in the interior Sacramento–San Joaquin River Delta: Trends and change attribution</t>
  </si>
  <si>
    <t>Development of a spatially complete floodplain map of the conterminous United States using random forest</t>
  </si>
  <si>
    <t>A general framework for adaptation strategies to sea level rise: The case of Turkey</t>
  </si>
  <si>
    <t>A spatial multicriteria prioritizing approach for geo-hydrological risk mitigation planning in small and densely urbanized Mediterranean basins</t>
  </si>
  <si>
    <t>From boats to bikes? Assembling contestations along the Chao Phraya river in Bangkok, Thailand</t>
  </si>
  <si>
    <t>Drainage network characteristics of the Ghaghghar River Basin (GRB), Son Valley, India</t>
  </si>
  <si>
    <t>Geomorphological characteristics of a transect from the Yellow River to the Iron Pagoda In Kaifeng City, China</t>
  </si>
  <si>
    <t>Cryosphere carbon dynamics control early Toarcian global warming and sea level evolution</t>
  </si>
  <si>
    <t>Liquefaction flow slides in large flumes</t>
  </si>
  <si>
    <t>Impact assessment of coal mining on river water and groundwater and its interaction through hydrological, isotopic characteristics, and simulation flow modeling</t>
  </si>
  <si>
    <t>Towards robust pan-European storm surge forecasting</t>
  </si>
  <si>
    <t>Coastal Sea level rise around the China Seas</t>
  </si>
  <si>
    <t>Modeling analysis of tidal bore formation in convergent estuaries</t>
  </si>
  <si>
    <t>Decentralized Implementation of Flood Resilience Measures–A Blessing or a Curse? Lessons from the Thames Estuary 2100 Plan and the Royal Docks Regeneration</t>
  </si>
  <si>
    <t>Numerical modelling of hydrodynamic and morphodynamic response of a meso-tidal estuary inlet to the impacts of global climate variabilities</t>
  </si>
  <si>
    <t>Salt intrusion adaptation measures for sustainable agricultural development under climate change effects: A case of Ca Mau Peninsula, Vietnam</t>
  </si>
  <si>
    <t>Adjustable robust strategies for flood protection</t>
  </si>
  <si>
    <t>Mapping suitable sites for water storage structure in the Sokoto-Rima basin of northwest Nigeria</t>
  </si>
  <si>
    <t>Bigger Tides, Less Flooding: Effects of Dredging on Barotropic Dynamics in a Highly Modified Estuary</t>
  </si>
  <si>
    <t>Hurricane storm surge in Volusia County, Florida: evidence of a tipping point for infrastructure damage</t>
  </si>
  <si>
    <t>The development of a GIS methodology to identify oxbows and former stream meanders from LiDAR-derived digital elevation models</t>
  </si>
  <si>
    <t>Probabilistic floodplain mapping using HAND-based statistical approach</t>
  </si>
  <si>
    <t>Flood mapping in small ungauged basins: A comparison of different approaches for two case studies in Slovakia</t>
  </si>
  <si>
    <t>Evaluating regional resiliency of coastal wetlands to sea level rise through hypsometry-based modeling</t>
  </si>
  <si>
    <t>Bibliometric Analysis of Global Research Progress on Coastal Flooding 1995–2016</t>
  </si>
  <si>
    <t>The Po Delta is restarting progradation: Geomorphological evolution based on a 47-years Earth Observation dataset</t>
  </si>
  <si>
    <t>Glacial and geomorphic effects of a supraglacial lake drainage and outburst event, Everest region, Nepal Himalaya</t>
  </si>
  <si>
    <t>Towards risk-based flood management in highly productive paddy rice cultivation-concept development and application to the Mekong Delta</t>
  </si>
  <si>
    <t>The role of atmospheric rivers in compound events consisting of heavy precipitation and high storm surges along the Dutch coast</t>
  </si>
  <si>
    <t>High-resolution geological cartography and coastal evolution assessment at Armação de Pêra – Galé sector: a prototype for a national coastal mapping</t>
  </si>
  <si>
    <t>Exploring Wave and Sea-Level Rise Effects on Delta Morphodynamics With a Coupled River-Ocean Model</t>
  </si>
  <si>
    <t>Advancing disaster risk reduction through the integration of science, design, and policy into eco-engineering and several global resource management processes</t>
  </si>
  <si>
    <t>Vegetation height estimate in rice fields using single polarization TanDEM-X Science Phase data</t>
  </si>
  <si>
    <t>Seismic characteristics and sedimentary record of the late Pleistocene delta offshore southwestern Hainan Island, northwestern South China Sea</t>
  </si>
  <si>
    <t>Damages from extreme flooding events to cultural heritage and landscapes: Water component estimation for Centa River (Albenga, Italy)</t>
  </si>
  <si>
    <t>Model selection in Bayesian framework to identify the best WorldView-2 based vegetation index in predicting green biomass of salt marshes in the northern Gulf of Mexico</t>
  </si>
  <si>
    <t>Geomorphic characteristics of a bedrock river inferred from drainage quantification, longitudinal profile, knickzone identification and concavity analysis: a DEM-based study</t>
  </si>
  <si>
    <t>Flow Behavior of Clay-Silt to Sand-Silt Water-Rich Suspensions at Low to High Shear Rates: Implications for Slurries, Transitional Flows, and Submarine Debris-Flows</t>
  </si>
  <si>
    <t>Impact of storm Xynthia in 2010 on coastal agricultural areas: the Saint Laurent de la Prée research farm’s experience</t>
  </si>
  <si>
    <t>Complex and Cascading Triggering of Submarine Landslides and Turbidity Currents at Volcanic Islands Revealed From Integration of High-Resolution Onshore and Offshore Surveys</t>
  </si>
  <si>
    <t>Coastal erosion in Shandong of China: status and protection challenges</t>
  </si>
  <si>
    <t>Modelling the growth of floodplain grasslands to explore the impact of changing hydrological conditions on vegetation productivity</t>
  </si>
  <si>
    <t>Monitoring river morphology &amp; bank erosion using UAV imagery – A case study of the river Buëch, Hautes-Alpes, France</t>
  </si>
  <si>
    <t>Examining the interaction of flood vulnerability determinants in Cambodia and Vietnam using partial least squares structural equation modeling</t>
  </si>
  <si>
    <t>Atlantic Forest loss caused by the world´s largest tailing dam collapse (Fundão Dam, Mariana, Brazil)</t>
  </si>
  <si>
    <t>Local-scale post-event assessments with GPS and UAV-based quick-response surveys: A pilot case from the Emilia-Romagna (Italy) coast</t>
  </si>
  <si>
    <t>Modeling multiple sea level rise stresses reveals up to twice the land at risk compared to strictly passive flooding methods</t>
  </si>
  <si>
    <t>Spatial-temporal changes in the longitudinal functional connectivity of river systems in the Taihu Plain, China</t>
  </si>
  <si>
    <t>Evolution and characteristics of sedimentary systems during fault-depressed transition in songliao basin—case study of the denglouku formation in the southeast uplift region</t>
  </si>
  <si>
    <t>Quantifying geomorphic and vegetation change at sandbar campsites in response to flow regulation and controlled floods, Grand Canyon National Park, Arizona</t>
  </si>
  <si>
    <t>Time and Scale Dependence in Estuarine Longitudinal Dispersion</t>
  </si>
  <si>
    <t>Inundation mapping based on reach-scale effective geometry</t>
  </si>
  <si>
    <t>Floodplain terrain analysis for coarse resolution 2D flood modeling</t>
  </si>
  <si>
    <t>Differential subsidence in the urbanised coastal-deltaic plain of the Netherlands</t>
  </si>
  <si>
    <t>Risk assessment of coastal flood in a site of special scientific interest</t>
  </si>
  <si>
    <t>Assessment of future changes in Southeast Asian precipitation using the NASA Earth Exchange Global Daily Downscaled Projections data set</t>
  </si>
  <si>
    <t>A Regional Scale Approach to Assessing Current and Potential Future Exposure to Tidal Inundation in Different Types of Estuaries</t>
  </si>
  <si>
    <t>The 2014 ice–jam flood of the Peace-Athabasca Delta: Insights from numerical modelling</t>
  </si>
  <si>
    <t>Identifying vulnerability indicators of rural and freshwater and sanitation systems climate change and its application in Ho Chi Minh City, Vietnam</t>
  </si>
  <si>
    <t>Topography of the intertidal zone along the shoreline of Chittagong (Bangladesh) using PROBA-V imagery</t>
  </si>
  <si>
    <t>Modelling glacial lake outburst flood impacts in the Bolivian Andes</t>
  </si>
  <si>
    <t>The unique geomorphology and structural geology of the Haulani crater of dwarf planet Ceres as revealed by geological mapping of equatorial quadrangle Ac-6 Haulani</t>
  </si>
  <si>
    <t>Contributions to coastal flooding events in southeast of Vietnam and their link with global mean sea level rise</t>
  </si>
  <si>
    <t>The influence of cultivation frequency on weed species composition and diversity in flood recession farming in the Okavango Delta, Botswana</t>
  </si>
  <si>
    <t>Estimation of land subsidence in deltaic areas through differential SAR interferometry: the Po River Delta case study (Northeast Italy)</t>
  </si>
  <si>
    <t>Adapting to sea level rise: Emerging governance issues in the San Francisco Bay Region</t>
  </si>
  <si>
    <t>Exploring the impacts of climate and policy changes on coastal community resilience: Simulating alternative future scenarios</t>
  </si>
  <si>
    <t>Catastrophic storm impact and gradual recovery on the Mississippi-Alabama barrier islands, 2005–2010: Changes in vegetated and total land area, and relationships of post-storm ecological communities with surface elevation</t>
  </si>
  <si>
    <t>Structural patterns of the Lake Erçek Basin, eastern Anatolia (Turkey): evidence from single-channel seismic interpretation</t>
  </si>
  <si>
    <t>Assessment of flash flood vulnerability zonation through Geospatial technique in high altitude Himalayan watershed, Himachal Pradesh India</t>
  </si>
  <si>
    <t>Tourist responses to climate change: Potential impacts and adaptation in Florida's coastal destinations</t>
  </si>
  <si>
    <t>Long-term hazard analysis of destructive storm surges using the ADCIRC- SWAN model: A case study of Bohai Sea, China</t>
  </si>
  <si>
    <t>Failure to protect beaches under slowly rising sea level</t>
  </si>
  <si>
    <t>Ground Deformations in the Corinth Rift, Greece, Investigated Through the Means of SAR Multitemporal Interferometry</t>
  </si>
  <si>
    <t>Morphometric, statistical, and hazard analyses using ASTER data and GIS technique of WADI El-Mathula watershed, Qena, Egypt</t>
  </si>
  <si>
    <t>Potential and limitations of open satellite data for flood mapping</t>
  </si>
  <si>
    <t>A human-environmental network model for assessing coastal mitigation decisions informed by imperfect climate studies</t>
  </si>
  <si>
    <t>Estimating rice production in the Mekong Delta, Vietnam, utilizing time series of Sentinel-1 SAR data</t>
  </si>
  <si>
    <t>Potential Disruption of Flood Dynamics in the Lower Mekong River Basin Due to Upstream Flow Regulation</t>
  </si>
  <si>
    <t>Field survey of 2018 Typhoon Jebi in Japan: Lessons for disaster risk management</t>
  </si>
  <si>
    <t>Flood depth estimation by means of high-resolution SAR images and lidar data</t>
  </si>
  <si>
    <t>Evaluation of sea level rise and associated responses in Hangzhou Bay from 1978 to 2017</t>
  </si>
  <si>
    <t>Gendered consequences of mobility for adaptation in small island developing states: Case studies from Maafushi and Kudafari in the Maldives</t>
  </si>
  <si>
    <t>Bank retreat and streambank morphology of a meandering river during summer and single flood events in Northern Norway</t>
  </si>
  <si>
    <t>Dynamic analysis of mangrove forests based on an optimal segmentation scale model and multi-seasonal images in Quanzhou Bay, China</t>
  </si>
  <si>
    <t>Multi-hazard risks in New York City</t>
  </si>
  <si>
    <t>Stratigraphy of late Quaternary deposits in the mid-western North Yellow Sea</t>
  </si>
  <si>
    <t>Analysis of the risk associated with coastal flooding hazards: A new historical extreme storm surges dataset for Dunkirk, France</t>
  </si>
  <si>
    <t>Impact of ocean–wave coupling on typhoon-induced waves and surge levels around the Korean Peninsula: a case study of Typhoon Bolaven</t>
  </si>
  <si>
    <t>Effects of DEM Resolution on Modeling Coastal Flood Vulnerability</t>
  </si>
  <si>
    <t>The role of sedimentation and natural compaction in a prograding delta: insights from the mega Mekong delta, Vietnam</t>
  </si>
  <si>
    <t>Broad threat to humanity from cumulative climate hazards intensified by greenhouse gas emissions</t>
  </si>
  <si>
    <t>Heading for the hills: climate-driven community relocations in the Solomon Islands and Alaska provide insight for a 1.5 °C future</t>
  </si>
  <si>
    <t>Bayesian surface reconstruction of geodetic uplift rates: Mapping the global fingerprint of Glacial Isostatic Adjustment</t>
  </si>
  <si>
    <t>Estimating the thickness of unconsolidated coastal aquifers along the global coastline</t>
  </si>
  <si>
    <t>Use of Sentinel-1 imagery for flood management in a reservoir-regulated river basin</t>
  </si>
  <si>
    <t>Controls on strath terrace formation and evolution: The lower Guadiana River, Pulo do Lobo, Portugal</t>
  </si>
  <si>
    <t>Is storm surge scary? The influence of hazard, impact, and fear-based messages and individual differences on responses to hurricane risks in the USA</t>
  </si>
  <si>
    <t>UAS as tools for rapid detection of storm-induced morphodynamic changes at Camposoto beach, SW Spain</t>
  </si>
  <si>
    <t>Land subsidence in coastal environments: Knowledge advance in the Venice coastland by TerraSAR-X PSI</t>
  </si>
  <si>
    <t>Reconstructing Early Hydrologic Change in the California Delta and its Watersheds</t>
  </si>
  <si>
    <t>Trends in Sea Level around the Cap Vert Peninsula, Senegal</t>
  </si>
  <si>
    <t>Household vulnerability on the frontline of climate change: the Pacific atoll nation of Tuvalu</t>
  </si>
  <si>
    <t>A CyberGIS Integration and Computation Framework for High-Resolution Continental-Scale Flood Inundation Mapping</t>
  </si>
  <si>
    <t>Detecting Surface Changes from an Underground Explosion in Granite Using Unmanned Aerial System Photogrammetry</t>
  </si>
  <si>
    <t>Big Data Approaches for coastal flood risk assessment and emergency response</t>
  </si>
  <si>
    <t>Flood energy dissipation in anabranching channels</t>
  </si>
  <si>
    <t>Investigating effects of climate change, urbanization, and sea level changes on groundwater resources in a coastal aquifer: an integrated assessment</t>
  </si>
  <si>
    <t>Transience of seawater intrusion and retreat in response to incremental water-level variations</t>
  </si>
  <si>
    <t>Near real-time coastal flood inundation simulation with uncertainty analysis and GPU acceleration in a web environment</t>
  </si>
  <si>
    <t>Structural and facies modeling of the Lower Cretaceous Alam El Bueib reservoirs in the Shushan Basin, Western Desert, Egypt</t>
  </si>
  <si>
    <t>Boundary spanning for governance of climate change adaptation in cities: Insights from a Dutch urban region</t>
  </si>
  <si>
    <t>Identification of elements exposed to flood hazard in a section of Trotus river, Romania</t>
  </si>
  <si>
    <t>Detection and Mapping of the Geomorphic Effects of Flooding Using UAV Photogrammetry</t>
  </si>
  <si>
    <t>Coastal hazard due to submarine canyons in active insular volcanoes: examples from Lipari Island (southern Tyrrhenian Sea)</t>
  </si>
  <si>
    <t>Consistent estimation of geodetic parameters from SLR satellite constellation measurements</t>
  </si>
  <si>
    <t>Identification of extreme storm surges with high-impact potential along the German North Sea coastline</t>
  </si>
  <si>
    <t>Flooding a landscape: impact of Holocene transgression on coastal sedimentology and underwater archaeology in Kiladha Bay (Greece)</t>
  </si>
  <si>
    <t>Decadal evolution of tidal flats and channels in the Outer Weser estuary, Germany</t>
  </si>
  <si>
    <t>Combining probability distributions of sea level variations and wave run-up to evaluate coastal flooding risks</t>
  </si>
  <si>
    <t>Reconstruction of Tidal Discharges in the St. Lawrence Fluvial Estuary: The Method of Cubature Revisited</t>
  </si>
  <si>
    <t>Vulnerability, impacts and assessment of climate change on Jakarta and Venice</t>
  </si>
  <si>
    <t>Flood hazard assessment supported by reduced cost aerial precision photogrammetry</t>
  </si>
  <si>
    <t>Justification of Hydrological Safety Conditions in Residential Areas Using Numerical Modelling</t>
  </si>
  <si>
    <t>Environmental gradients and complexity in coastal landscape response to sea level rise</t>
  </si>
  <si>
    <t>Land subsidence in the Friuli Venezia Giulia coastal plain, Italy: 1992–2010 results from SAR-based interferometry</t>
  </si>
  <si>
    <t>A biophysical and socioeconomic review of the Volta Delta, Ghana</t>
  </si>
  <si>
    <t>Interannual Variability of Atmospheric Conditions and Surface Melt in Greenland in 2000–2014</t>
  </si>
  <si>
    <t>The Holocene paleo-environmental history of the Gangkou River estuary, Hengchun Peninsula, Taiwan</t>
  </si>
  <si>
    <t>Quantifying anthropogenic modification of the shallow geosphere in central London, UK</t>
  </si>
  <si>
    <t>Consideration of the Mechanisms for Tidal Bore Formation in an Idealized Planform Geometry</t>
  </si>
  <si>
    <t>1.5°C Hotspots: Climate hazards, vulnerabilities, and impacts</t>
  </si>
  <si>
    <t>Beyond the tradition: Using Fuzzy Cognitive Maps to elicit expert views on coastal susceptibility to erosion in Bangladesh</t>
  </si>
  <si>
    <t>Historical maps and satellite images as tools for shoreline variations and territorial changes assessment: the case study of Volturno Coastal Plain (Southern Italy)</t>
  </si>
  <si>
    <t>Contemporary sea level rise rates around Malaysia: Altimeter data optimization for assessing coastal impact</t>
  </si>
  <si>
    <t>River Channel Geometry and Rating Curve Estimation Using Height above the Nearest Drainage</t>
  </si>
  <si>
    <t>Integrating drone imagery into high resolution satellite remote sensing assessments of estuarine environments</t>
  </si>
  <si>
    <t>Storm-driven particulate organic matter flux connects a tidal tributary floodplain wetland, mainstem river, and estuary</t>
  </si>
  <si>
    <t>Estuarine flooding in urban areas: enhancing vulnerability assessment</t>
  </si>
  <si>
    <t>Examining the Effects of Objective Hurricane Risks and Community Resilience on Risk Perceptions of Hurricanes at the County Level in the U.S. Gulf Coast: An Innovative Approach</t>
  </si>
  <si>
    <t>Methodology for improving the analysis, interpretation, and geo-visualisation of erosion rates in coastal beaches—andalusia, Southern Spain</t>
  </si>
  <si>
    <t>Korean East Coast wave predictions by means of ensemble Kalman filter data assimilation</t>
  </si>
  <si>
    <t>Ancient settlement dynamics and predictive archaeological models for the Metapontum coastal area in Basilicata, southern Italy: from geomorphological survey to spatial analysis</t>
  </si>
  <si>
    <t>Major typhoon phases in the upper Gulf of Thailand over the last 1.5 millennia, determined from coastal deposits on rock islands</t>
  </si>
  <si>
    <t>Analysis of impacts of polders on flood processes in Qinhuai River Basin, China, using the HEC-RAS model</t>
  </si>
  <si>
    <t>Impacts of gravel mining and renaturation measures on the sediment flux and budget in an alpine catchment (Johnsbach Valley, Austria)</t>
  </si>
  <si>
    <t>Watershed management strategies for flood mitigation: A case study of Jakarta's flooding</t>
  </si>
  <si>
    <t>Analyzing successive landslide dam formation by different triggering mechanisms: The case of the Tangjiawan landslide, Sichuan, China</t>
  </si>
  <si>
    <t>Modeling of local sea level rise and its future projection under climate change using regional information through EOF analysis</t>
  </si>
  <si>
    <t>Chronology of alluvial terrace sediment accumulation and incision in the Pativilca Valley, western Peruvian Andes</t>
  </si>
  <si>
    <t>A comparison of simplified conceptual models for rapid web-based flood inundation mapping</t>
  </si>
  <si>
    <t>Modeling the Dynamics of Community Resilience to Coastal Hazards Using a Bayesian Network</t>
  </si>
  <si>
    <t>A framework for identifying and selecting long term adaptation policy directions for deltas</t>
  </si>
  <si>
    <t>Modeling Trench Sediment-Controlled Flow in Subduction Channels: Implications for the Topographic Evolution of the Central Andean Fore Arc</t>
  </si>
  <si>
    <t>Optimisation of the two-dimensional hydraulic model LISFOOD-FP for CPU architecture</t>
  </si>
  <si>
    <t>Climate projections and extremes in dynamically downscaled CMIP5 model outputs over the Bengal delta: a quartile based bias-correction approach with new gridded data</t>
  </si>
  <si>
    <t>Co-genetic, cohesive and non-cohesive delta front facies: A case study of flow transformation in a lacustrine setting, Camaquã Basin, southernmost Brazil</t>
  </si>
  <si>
    <t>Influence of El Niño-Southern Oscillation on Global Coastal Flooding</t>
  </si>
  <si>
    <t>Inner shelf response to storm track variations over the east LeiZhou Peninsula, China</t>
  </si>
  <si>
    <t>Assessment of Land Surface Subsidence Due to Underground Metal Mining Using Integrated Spaceborne Repeat-Pass Differential Interferometric Synthetic Aperture Radar (DInSAR) Technique and Ground Based Observations</t>
  </si>
  <si>
    <t>Uncertainty in estuarine extreme water level predictions due to surge-tide interaction</t>
  </si>
  <si>
    <t>On the interaction between a hurricane, the Gulf Stream and coastal sea level</t>
  </si>
  <si>
    <t>Estimation of methane emissions from rice paddies in the mekong delta based on land surface dynamics characterization with remote sensing</t>
  </si>
  <si>
    <t>Using direct policy search to identify robust strategies in adapting to uncertain sea-level rise and storm surge</t>
  </si>
  <si>
    <t>Tidal fluxes of mercury and methylmercury for Mendall Marsh, Penobscot River estuary, Maine</t>
  </si>
  <si>
    <t>Urban Landscape Design Adaption to Flood Risk: A Case Study in Can Tho City, Vietnam</t>
  </si>
  <si>
    <t>An integrated framework for high-resolution urban flood modelling considering multiple information sources and urban features</t>
  </si>
  <si>
    <t>The relative contribution of peat compaction and oxidation to subsidence in built-up areas in the Rhine-Meuse delta, The Netherlands</t>
  </si>
  <si>
    <t>Thermokarst development detected from high-definition topographic data in central Yakutia</t>
  </si>
  <si>
    <t>Sea-level change in the Dutch Wadden Sea</t>
  </si>
  <si>
    <t>Constraining coupled hydrological-hydraulic flood model by past storm events and post-event measurements in data-sparse regions</t>
  </si>
  <si>
    <t>A multi-scale conceptual model of flood-tide delta morphodynamics in micro-tidal estuaries</t>
  </si>
  <si>
    <t>Multidisciplinary study for the assessment of the geometry, boundaries and preferential recharge zones of an overexploited aquifer in the Atacama Desert (Pampa del Tamarugal, Northern Chile)</t>
  </si>
  <si>
    <t>Use of probabilistic medium- to long-range weather-pattern forecasts for identifying periods with an increased likelihood of coastal flooding around the UK</t>
  </si>
  <si>
    <t>Managing flood risks in the Mekong Delta: How to address emerging challenges under climate change and socioeconomic developments</t>
  </si>
  <si>
    <t>Effects of agricultural drainage systems on sediment connectivity in a small Mediterranean lowland catchment</t>
  </si>
  <si>
    <t>Marine microorganisms as amber inclusions: Insights from coastal forests of New Caledonia</t>
  </si>
  <si>
    <t>Time-varying storm surges on Lorentz’s Wadden Sea networks</t>
  </si>
  <si>
    <t>Paleotsunami deposits along the coast of Egypt correlate with historical earthquake records of eastern Mediterranean</t>
  </si>
  <si>
    <t>Automated tool for the extraction of the surface ponds based on lidar data</t>
  </si>
  <si>
    <t>Anatomy, age and origin of an intramontane top basin surface (Sorbas basin, betic cordillera, SE Spain)</t>
  </si>
  <si>
    <t>The assessment of the coastal vulnerability and exposure degree of Gran Canaria Island (Spain) with a focus on the coastal risk of Las Canteras Beach in Las Palmas de Gran Canaria</t>
  </si>
  <si>
    <t>Resilience unpacked–framing of ‘uncertainty’ and ‘adaptability’ in long-term flood risk management strategies for London and Rotterdam</t>
  </si>
  <si>
    <t>Research on Intelligent Measurement Methods of Land Area Inundated by Seawater in Coastal Cities under Rainy Season Conditions</t>
  </si>
  <si>
    <t>Hydrologic scaling for hydrogeomorphic floodplain mapping: Insights into human-induced floodplain disconnectivity</t>
  </si>
  <si>
    <t>More frequent flooding? Changes in flood frequency in the Pearl River basin, China, since 1951 and over the past 1000 years</t>
  </si>
  <si>
    <t>Questioning triple rice intensification on the Vietnamese mekong delta floodplains: An environmental and economic analysis of current land-use trends and alternatives</t>
  </si>
  <si>
    <t>High-resolution mapping of Manawatu palaeochannels</t>
  </si>
  <si>
    <t>Glacial curvilineations found along the southern sector of the Laurentide Ice sheet and a hypothesis of formation involving subglacial slope failure in tunnel valleys and subglacial lakes</t>
  </si>
  <si>
    <t>Policy entrepreneurs in international river basins—getting climate adaptation on the cross-border water policy agenda</t>
  </si>
  <si>
    <t>Migration and displacement risks due to mean sea-level rise</t>
  </si>
  <si>
    <t>Intercomparison of Satellite Remote Sensing-Based Flood Inundation Mapping Techniques</t>
  </si>
  <si>
    <t>55-year (1960–2015) spatiotemporal shoreline change analysis using historical DISP and Landsat time series data in Shanghai</t>
  </si>
  <si>
    <t>Downscaling of the global HadGEM2-ES results to model the future and present-day ocean conditions of the southeastern Brazilian continental shelf</t>
  </si>
  <si>
    <t>First-hand experience of extreme climate events and household energy conservation in coastal Cambodia</t>
  </si>
  <si>
    <t>Adding to the toolbox for tidal-inundation mapping in estuarine areas</t>
  </si>
  <si>
    <t>Building capacity on ecosystem-based adaptation strategy to cope with extreme events and sea-level rise on the Uruguayan coast</t>
  </si>
  <si>
    <t>Fine-Scale Monitoring of Long-term Wetland Loss Using LiDAR Data and Historical Aerial Photographs: the Example of the Couesnon Floodplain, France</t>
  </si>
  <si>
    <t>Effect of input data in hydraulic modeling for flood warning systems</t>
  </si>
  <si>
    <t>Low cost, multiscale and multi-sensor application for flooded area mapping</t>
  </si>
  <si>
    <t>Adaptive delta management: a comparison between the Netherlands and Bangladesh Delta Program</t>
  </si>
  <si>
    <t>Towards integrated flood management along the lower Rhine and Mississippi Rivers and the international legacy of the 2005 New Orleans Hurricanes Katrina–Rita flood disaster</t>
  </si>
  <si>
    <t>Response of a vulnerable barrier island to multi-year storm impacts: LiDAR-data-inferred morphodynamic changes on Ship Island, Mississippi, USA</t>
  </si>
  <si>
    <t>Climate change adaptation and the African fisheries: evidence from the UNFCCC National Communications</t>
  </si>
  <si>
    <t>A New Coastal Erosion Risk Assessment Indicator: Application to the Calabria Tyrrhenian Littoral (Southern Italy)</t>
  </si>
  <si>
    <t>Risk assessment of storm surge disaster based on numerical models and remote sensing</t>
  </si>
  <si>
    <t>A Model Ensemble for Projecting Multidecadal Coastal Cliff Retreat During the 21st Century</t>
  </si>
  <si>
    <t>Fluctuations in the tidal limit of the Yangtze River estuary in the last decade</t>
  </si>
  <si>
    <t>Impact of and adaptation strategies for sea-level rise on Yangtze River Delta</t>
  </si>
  <si>
    <t>A hydro-economic model of South Florida water resources system</t>
  </si>
  <si>
    <t>The role of the reef-dune system in coastal protection in Puerto Morelos (Mexico)</t>
  </si>
  <si>
    <t>Future extreme precipitation intensities based on a historic event</t>
  </si>
  <si>
    <t>Mapping the Brazilian Amazon fluvial sensitivity index to oil spills with Shuttle Radar Topography Mission (SRTM) data</t>
  </si>
  <si>
    <t>Salem (v1.0) - The Soil and Landscape Evolution Model (Salem) for simulation of regolith depth in periglacial environments</t>
  </si>
  <si>
    <t>Spatial and temporal variation of tectonic uplift in the southeastern Ethiopian Plateau from morphotectonic analysis</t>
  </si>
  <si>
    <t>Coastal hazard vulnerability assessment based on geomorphic, oceanographic and demographic parameters: The case of the Peloponnese (Southern Greece)</t>
  </si>
  <si>
    <t>Exploring the sensitivity of coastal inundation modelling to DEM vertical error</t>
  </si>
  <si>
    <t>Extreme Landfalling Atmospheric River Events in Arizona: Possible Future Changes</t>
  </si>
  <si>
    <t>The role of unmanned aerial vehicles in monitoring rapidly occurring landslides; [Uloga bespilotnih letjelica u praćenju naglih pojava klizišta]</t>
  </si>
  <si>
    <t>A combined coastal protection, realignment and wetland restoration scheme in the southern Baltic: planning process, public information and participation</t>
  </si>
  <si>
    <t>Soil Loss Estimation based on RUSLE along the Central Hunter Valley Region, NSW, Australia</t>
  </si>
  <si>
    <t>Geoinformatics vulnerability predictions of coastal ecosystems to sea-level rise in Southeastern Australia</t>
  </si>
  <si>
    <t>Using Ecosystem Service Values to Evaluate Tradeoffs in Coastal Hazard Adaptation</t>
  </si>
  <si>
    <t xml:space="preserve">Flood risk management approaches and tools for mitigation strategies of coastal submersions and preparedness of crisis management in France*                     </t>
  </si>
  <si>
    <t>Estimating Floodwater Depths from Flood Inundation Maps and Topography</t>
  </si>
  <si>
    <t>Geological record of marine tsunami backwash: The role of the hydraulic jump</t>
  </si>
  <si>
    <t>Towards the optimal fusion of high-resolution Digital Elevation Models for detailed urban flood assessment</t>
  </si>
  <si>
    <t>Temporal and spatial variability of sediment transport in a mountain river: A preliminary investigation of the caldone river, Italy</t>
  </si>
  <si>
    <t>Cenozoic magmatism of the Sierra Madre del Sur and tectonic truncation of the Pacific margin of southern Mexico</t>
  </si>
  <si>
    <t>Multi-factor evaluation indicator method for the risk assessment of atmospheric and oceanic hazard group due to the attack of tropical cyclones</t>
  </si>
  <si>
    <t>Role of Meteorologically Induced Water Level Oscillations on Bottom Shear Stress in Freshwater Estuaries in the Great Lakes</t>
  </si>
  <si>
    <t>Evolution and controls of large glacial lakes in the Nepal Himalaya</t>
  </si>
  <si>
    <t>Structure of microphytoplankton community and environmental variables in a macrotidal estuarine complex, São Marcos bay, Maranhão-Brazil</t>
  </si>
  <si>
    <t>Degrading flood regulation function of river systems in the urbanization process</t>
  </si>
  <si>
    <t>The tenth dragon: controlled seasonal flooding in long-term policy plans for the Vietnamese Mekong delta</t>
  </si>
  <si>
    <t>A distributed approach for calculating inundation height based on Dijkstra's algorithm</t>
  </si>
  <si>
    <t>Growth of retrogressive thaw slumps in the Noatak Valley, Alaska, 2010-2016, measured by airborne photogrammetry</t>
  </si>
  <si>
    <t>Unpacking local impacts of climate change: learning with a coastal community in Central Vietnam</t>
  </si>
  <si>
    <t>A nested hierarchical perspective to enhance interpretations and communication in fluvial geomorphology for use in water resources management: Lessons from the Okavango Delta, Botswana</t>
  </si>
  <si>
    <t>Toward anticipatory adaptation: Transforming social-ecological vulnerabilities in the Okavango Delta, Botswana</t>
  </si>
  <si>
    <t>Benefits of adapting to sea level rise: the importance of ecosystem services in the French Mediterranean sandy coastline</t>
  </si>
  <si>
    <t>High-resolution topographic analyses of mounds in southern acidalia planitia, mars: Implications for possible mud volcanism in submarine and subaerial environments</t>
  </si>
  <si>
    <t>Impact of human interventions on coastal and marine geological hazards: a review</t>
  </si>
  <si>
    <t>A GIS tool for cost-effective delineation of flood-prone areas</t>
  </si>
  <si>
    <t>Coupling of 1D models (SWAT and SWMM) with 2D model (iRIC) for mapping inundation in Brahmani and Baitarani river delta</t>
  </si>
  <si>
    <t>Adapting to urban challenges in the Amazon: flood risk and infrastructure deficiencies in Belém, Brazil</t>
  </si>
  <si>
    <t>Morphometric Analysis and Hydrological Inference for Water Resource Management in Atrai-Sib River Basin, NW Bangladesh Using Remote Sensing and GIS Technique</t>
  </si>
  <si>
    <t>Sentinel-1 InSAR measurements of elevation changes over Yedoma uplands on Sobo-Sise Island, Lena Delta</t>
  </si>
  <si>
    <t>Assessing coastal management case studies around Europe using an indicator based tool</t>
  </si>
  <si>
    <t>Describing adaptation tipping points in coastal flood risk management</t>
  </si>
  <si>
    <t>Flood Inundation Hazard Modelling Using CCHE2D Hydrodynamic Model and Geospatial Data for Embankment Breaching Scenario of Brahmaputra River in Assam</t>
  </si>
  <si>
    <t>Study of storm surge trends in typhoon-prone coastal areas based on observations and surge-wave coupled simulations</t>
  </si>
  <si>
    <t>Recovery and resilience of communities in flood risk zones in a small island developing state: A case study from a suburban settlement of Port Louis, Mauritius</t>
  </si>
  <si>
    <t>DEM Resolution Effects on Coastal Flood Vulnerability Assessment: Deterministic and Probabilistic Approach</t>
  </si>
  <si>
    <t>Assessment of coastal flooding and associated hydrodynamic processes on the south-eastern coast of Mexico, during Central American cold surge events</t>
  </si>
  <si>
    <t>Decades of urban growth and development on the Asian megadeltas</t>
  </si>
  <si>
    <t>Automatic, unstructured mesh optimization for simulation and assessment of tide- and surge-driven hydrodynamics in a longitudinal estuary: St. Johns River</t>
  </si>
  <si>
    <t>Short-term tidal asymmetry inversion in a macrotidal estuary (Beira, Mozambique)</t>
  </si>
  <si>
    <t>Surficial sediment texture database for the south-western Iberian Atlantic margin</t>
  </si>
  <si>
    <t>Restoring the natural functional capacity of coastal dune ecosystems: Utilising research records for New Zealand littoral refurbishment as a proxy for analogous global responses</t>
  </si>
  <si>
    <t>The King Tide Conundrum</t>
  </si>
  <si>
    <t>Nitrogen limitation, toxin synthesis potential, and toxicity of cyanobacterial populations in Lake Okeechobee and the St. Lucie River Estuary, Florida, during the 2016 state of emergency event</t>
  </si>
  <si>
    <t>Assessing sea-level rise impact on saltwater intrusion into the root zone of a geo-typical area in coastal east-central Florida</t>
  </si>
  <si>
    <t>Time variability of hydrodynamics and potential use of surface water and ocean topography mission in estuarine macrotidal system: Example of Seine estuary</t>
  </si>
  <si>
    <t>The dynamic relationship between sense of place and risk perception in landscapes of mobility</t>
  </si>
  <si>
    <t>Hazard assessment of storm events for the portuguese northern coast</t>
  </si>
  <si>
    <t>Estimations of statistical dependence as joint return period modulator of compound events-Part 1: Storm surge and wave height</t>
  </si>
  <si>
    <t>Social adaptability in ecotones: Sea-level rise and climate change adaptation in flushing and the isles of scilly, UK</t>
  </si>
  <si>
    <t>Assessment of climate change vulnerability of farm households in Pyapon District, a delta region in Myanmar</t>
  </si>
  <si>
    <t>Anthropogenic disturbance of tropical forests threatens pollination services to açaí palm in the Amazon river delta</t>
  </si>
  <si>
    <t>Contrasting geometric and dynamic evolution of lake and land-terminating glaciers in the central Himalaya</t>
  </si>
  <si>
    <t>Modelling hydrologic and hydrodynamic processes in basins with large semi-arid wetlands</t>
  </si>
  <si>
    <t>The role of beach morphology on coastal cliff erosion under extreme waves</t>
  </si>
  <si>
    <t>Remote Monitoring of Expansion of Aquaculture Ponds Along Coastal Region of the Yellow River Delta from 1983 to 2015</t>
  </si>
  <si>
    <t>Assessing hydro-morphological changes in Mediterranean stream using curvilinear grid modeling approach - climate change impacts</t>
  </si>
  <si>
    <t>Numerical modeling of historical storm tides and waves and their interactions along the U.S. East and Gulf Coasts</t>
  </si>
  <si>
    <t>Island Edge Morphodynamics along a Chronosequence in a Prograding Deltaic Floodplain Wetland</t>
  </si>
  <si>
    <t>Coping capacities for improving adaptation pathways for flood protection in Can Tho, Vietnam</t>
  </si>
  <si>
    <t>Visualizing flood risk, enabling participation and supporting climate change adaptation using the Geoweb: the case of coastal communities in Nova Scotia, Canada</t>
  </si>
  <si>
    <t>A predictive model to assess spatial planning in addressing hydro-meteorological hazards: A case study of Semarang City, Indonesia</t>
  </si>
  <si>
    <t>Effect of surface texture and structure on the development of stable fluvial armors</t>
  </si>
  <si>
    <t>Withholding Municipal Services to Facilitate Coastal Retreat: Legal Risks and Possibilities</t>
  </si>
  <si>
    <t>Pleistocene volcanism and shifting shorelines at Lake Tahoe, California</t>
  </si>
  <si>
    <t>Spatio-temporal variability of annual sea level cycle in the Baltic Sea</t>
  </si>
  <si>
    <t>Influence of a spatially complex framework geology on barrier island geomorphology</t>
  </si>
  <si>
    <t>Unsupervised detection of salt marsh platforms: A topographic method</t>
  </si>
  <si>
    <t>A spatial dynamic model of population changes in a vulnerable coastal environment</t>
  </si>
  <si>
    <t>Taphonomy of isisfordia duncani specimens from the lower cretaceous (Upper albian) portion of the winton formation, isisford, Central-West Queensland</t>
  </si>
  <si>
    <t>Hydraulic correction method (HCM) to enhance the efficiency of SRTM DEM in flood modeling</t>
  </si>
  <si>
    <t>Fostering coastal resilience to climate change vulnerability in Bangladesh, Brazil, Cameroon and Uruguay: a cross-country comparison</t>
  </si>
  <si>
    <t>Impacts of wave-induced circulation in the surf zone on wave setup</t>
  </si>
  <si>
    <t>Influence of system controls on the Late Quaternary geomorphic evolution of a rapidly-infilled incised-valley system: The lower Manawatu valley, North Island New Zealand</t>
  </si>
  <si>
    <t>Numerical investigation on the spatiotemporal evolutions characteristics of tsunami-induced currents and its responses to the input uncertainties in bays and harbors; [港湾中海啸流的模拟及其时空演变特征对输入条件不确定性的响应分析]</t>
  </si>
  <si>
    <t>A near real-time flood-mapping approach by integrating social media and post-event satellite imagery</t>
  </si>
  <si>
    <t>Social learning through rural communities of practice: Empirical evidence from farming households in the Vietnamese Mekong Delta</t>
  </si>
  <si>
    <t>Representation of mid-latitude North American coastal storm activity by six global reanalyses</t>
  </si>
  <si>
    <t>Using satellite altimetry to calibrate the simulation of typhoon seth storm surge offSoutheast China</t>
  </si>
  <si>
    <t>The impact of multiple seashore reclamation activities on vegetation cover in the Yellow River Delta, China: implications based on structural equation modeling</t>
  </si>
  <si>
    <t>The transformation of salinity variance: A new approach to quantifying the influence of straining and mixing on estuarine stratification</t>
  </si>
  <si>
    <t>The influence of sea surface temperature on the intensity and associated storm surge of tropical cyclone Yasi: A sensitivity study</t>
  </si>
  <si>
    <t>Extreme storm surge modelling in the North Sea: The role of the sea state, forcing frequency and spatial forcing resolution</t>
  </si>
  <si>
    <t>Spatio-temporal characterization of a reclamation settlement in the Shanghai coastal area with time series analyses of X-, C-, and L-band SAR datasets</t>
  </si>
  <si>
    <t>Effects of longitudinal valley slopes on runup of the 2011 Tohoku tsunami on the Sanriku coast, northeastern Japan</t>
  </si>
  <si>
    <t>A Meta-Modelling Approach for Estimating Long-Term Wave Run-Up and Total Water Level on Beaches</t>
  </si>
  <si>
    <t>A model of water and sediment balance as determinants of relative sea level rise in contemporary and future deltas</t>
  </si>
  <si>
    <t>Impact of coastal forcing and groundwater recharge on the growth of a fresh groundwater lens in a mega-scale beach nourishment</t>
  </si>
  <si>
    <t>A comparative analysis of flooding in Warri and Port Harcourt urban areas of the Niger Delta region in southern Nigeria</t>
  </si>
  <si>
    <t>Investigating compound flooding in an estuary using hydrodynamic modelling: A case study from the Shoalhaven River, Australia</t>
  </si>
  <si>
    <t>Detecting coastline change with all available landsat data over 1986-2015: A case study for the state of Texas, USA</t>
  </si>
  <si>
    <t>Soil-Aggregate-Associated Organic Carbon Along Vegetation Zones in Tidal Salt Marshes in the Liaohe Delta</t>
  </si>
  <si>
    <t>Characterization of the mangrove swamp rice soils along the Great Scarcies River in Sierra Leone using principal component analysis</t>
  </si>
  <si>
    <t>Frontal dynamics at the edge of the Columbia River plume</t>
  </si>
  <si>
    <t>The behavior of squall lines in horizontally heterogeneous coastal environments</t>
  </si>
  <si>
    <t>Transdisciplinary sea level rise risk communication and outreach strategies from stakeholder focus groups</t>
  </si>
  <si>
    <t>A plausible atmospheric trigger for the 2017 coastal El Niño</t>
  </si>
  <si>
    <t>Under-estimated wave contribution to coastal sea-level rise</t>
  </si>
  <si>
    <t>Assessing impacts of dike construction on the flood dynamics of the Mekong Delta</t>
  </si>
  <si>
    <t>Secondary Circulation Asymmetry in a Meandering, Partially Stratified Estuary</t>
  </si>
  <si>
    <t>Projecting of wave height and water level on reef-lined coasts due to intensified tropical cyclones and sea level rise in Palau to 2100</t>
  </si>
  <si>
    <t>Irish Ice Sheet dynamics during deglaciation of the central Irish Midlands: Evidence of ice streaming and surging from airborne LiDAR</t>
  </si>
  <si>
    <t>UAV-imaging to model growth response of marram grass to sand burial: Implications for coastal dune development</t>
  </si>
  <si>
    <t>Comparing machine learning and decision making approaches to forecast long lead monthly rainfall: The city of Vancouver, Canada</t>
  </si>
  <si>
    <t>Assessment of LiDAR and spectral techniques for high-resolution mapping of sporadic permafrost on the Yukon-Kuskokwim Delta, Alaska</t>
  </si>
  <si>
    <t>Development and decay processes of dual inversion layers in winter over the northwest coast of the South China sea</t>
  </si>
  <si>
    <t>Long-term recovery narratives following major disasters in Southeast Asia</t>
  </si>
  <si>
    <t>Modeling lateral circulation and its influence on the along-channel flow in a branched estuary</t>
  </si>
  <si>
    <t>Assessing the vulnerability of hydrological infrastructure to flood damage in coastal cities of developing nations</t>
  </si>
  <si>
    <t>The climate change vulnerability and risk management matrix for the coastal zone of The Gambia</t>
  </si>
  <si>
    <t>Governance conditions for adaptive freshwater management in the Vietnamese Mekong Delta</t>
  </si>
  <si>
    <t>Article multitemporal SAR data and 2D hydrodynamic model flood scenario dynamics assessment</t>
  </si>
  <si>
    <t>A Novel Approach to Model Earth Fissure Caused by Extensive Aquifer Exploitation and its Application to the Wuxi Case, China</t>
  </si>
  <si>
    <t>Mapping Double and Single Crop Paddy Rice with Sentinel-1A at Varying Spatial Scales and Polarizations in Hanoi, Vietnam</t>
  </si>
  <si>
    <t>Sea level rise sedimentary record and organic carbon fluxes in a low-lying tropical coastal ecosystem</t>
  </si>
  <si>
    <t>Seabed morphology and sedimentary regimes defining fishing grounds along the eastern Brazilian shelf</t>
  </si>
  <si>
    <t>On the improvement of wave and storm surge hindcasts by downscaled atmospheric forcing: Application to historical storms</t>
  </si>
  <si>
    <t>Competing knowledge systems and adaptability to sea-level rise in The Bahamas</t>
  </si>
  <si>
    <t>Effects of Flood Control Strategies on Flood Resilience Under Sociohydrological Disturbances</t>
  </si>
  <si>
    <t>Implications of horsts and grabens on the development of canyons and seismicity on the west africa coast</t>
  </si>
  <si>
    <t>Analysis of secular ground motions in istanbul from a long-term InSAR time-series (1992-2017)</t>
  </si>
  <si>
    <t>Modelling present and future permafrost thermal regimes in Northeast Greenland</t>
  </si>
  <si>
    <t>Modelling and mitigation of storm-induced saltwater intrusion: Improvement of the resilience of coastal aquifers against marine floods by subsurface drainage</t>
  </si>
  <si>
    <t>Principles for climate-related resettlement of informal settlements in less developed nations: a review of resettlement literature and institutional guidelines</t>
  </si>
  <si>
    <t>How do local communities adapt to climate changes along heavily damaged coasts? A Stakeholder Delphi study in Ky Anh (Central Vietnam)</t>
  </si>
  <si>
    <t>Coastal risk forecast system</t>
  </si>
  <si>
    <t>Rapid losses of intertidal salt marshes due to global change in the Gironde estuary (France) and conservation implications for marshland passerines</t>
  </si>
  <si>
    <t>Joint distribution of design precipitation and tide and impact of sampling in a coastal area</t>
  </si>
  <si>
    <t>Elevation and mass changes of the southern Patagonia icefield derived from TanDEM-X and SRTM data</t>
  </si>
  <si>
    <t>Quantification of surface water volume changes in the Mackenzie Delta using satellite multi-mission data</t>
  </si>
  <si>
    <t>Thaw subsidence of a yedoma landscape in Northern Siberia, measured in situ and estimated from TerraSAR-X Interferometry</t>
  </si>
  <si>
    <t>Relationships of Marsh Soil Strength to Belowground Vegetation Biomass in Louisiana Coastal Marshes</t>
  </si>
  <si>
    <t>Dynamic modeling of surface runoff and storm surge during hurricane and tropical storm events</t>
  </si>
  <si>
    <t>Boulder coastal deposits at Favignana Island rocky coast (Sicily, Italy): Litho-structural and hydrodynamic control</t>
  </si>
  <si>
    <t>Mercury methylation in the soils and sediments of Three Gorges Reservoir Region</t>
  </si>
  <si>
    <t>U.S. Pacific coastal wetland resilience and vulnerability to sea-level rise</t>
  </si>
  <si>
    <t>Assessment of educational methods for improving children’s awareness of tsunamis and other natural disasters: Focusing on changes in awareness and regional characteristics in Japan</t>
  </si>
  <si>
    <t>Interannual sea level variability in the Pearl River Estuary and its response to El Niño–Southern Oscillation</t>
  </si>
  <si>
    <t>Modeling impacts of sea-level rise, oil price, and management strategy on the costs of sustaining Mississippi delta marshes with hydraulic dredging</t>
  </si>
  <si>
    <t>Assessing Flood Risk Under Sea Level Rise and Extreme Sea Levels Scenarios: Application to the Ebro Delta (Spain)</t>
  </si>
  <si>
    <t>Evaluation and projection of extreme precipitation indices in the Eastern Mediterranean based on CMIP5 multi-model ensemble</t>
  </si>
  <si>
    <t>Sea-Level Rise Tipping Point of Delta Survival</t>
  </si>
  <si>
    <t>Cost–benefit analysis of mangrove ecosystems in flood risk reduction: a case study of the Tana Delta, Kenya</t>
  </si>
  <si>
    <t>Flood vulnerability, risk, and social disadvantage: current and future patterns in the UK</t>
  </si>
  <si>
    <t>A regional perspective on urbanization and climate-related disasters in the northern coastal region of central Java, Indonesia</t>
  </si>
  <si>
    <t>Recent Niger Delta shoreline response to Niger River hydrology: Conflict between forces of Nature and Humans</t>
  </si>
  <si>
    <t>River dam effects on cuban fisheries and aquaculture development with recommendations for mitigation</t>
  </si>
  <si>
    <t>Extracting drainage networks and their connectivity using LiDAR data</t>
  </si>
  <si>
    <t>Modelling the Diurnal Variations of Methane Emissions from the Cyperus malaccensis Tidal Marsh in the Minjiang River Estuary</t>
  </si>
  <si>
    <t>Heavy metal contents and transfer capacities of Phragmites australis and Suaeda salsa in the Yellow River Delta, China</t>
  </si>
  <si>
    <t>Invasive cordgrass (Spartina spp.) in south-eastern Australia induces island formation, salt marsh development, and carbon storage</t>
  </si>
  <si>
    <t>Environmental hazard assessment of coal ash disposal at the proposed Rampal power plant</t>
  </si>
  <si>
    <t>A Collaborative Effort Between Caribbean States for Tsunami Numerical Modeling: Case Study CaribeWave15</t>
  </si>
  <si>
    <t>Community resilience to floods in the coastal zone for disaster risk reduction</t>
  </si>
  <si>
    <t>Mapping Outlets of Iowa Flood Center and National Water Center River Networks for Hydrologic Model Comparison</t>
  </si>
  <si>
    <t>Land deformation associated with exploitation of groundwater in Changzhou City measured by COSMO-SkyMed and Sentinel-1A SAR data</t>
  </si>
  <si>
    <t>Characterising households’ vulnerability to climate change in pyapon district in the delta region of myanmar</t>
  </si>
  <si>
    <t>A multi-component flood risk assessment in the Maresme coast (NW Mediterranean)</t>
  </si>
  <si>
    <t>Subsidence trends of Volturno river coastal plain (Northern Campania, Southern Italy) inferred by sar interferometry data</t>
  </si>
  <si>
    <t>Characterization of coastal hazards of erosion and flooding in Brittany through historical approach; [Caractérisation des aléas littoraux d’érosion et de submersion en bretagne par l’approche historique]</t>
  </si>
  <si>
    <t>Modeling the Economic Value of Blue Carbon in Delaware Estuary Wetlands: Historic Estimates and Future Projections</t>
  </si>
  <si>
    <t>Stratigraphy and paleohydrology of delta channel deposits, Jezero crater, Mars</t>
  </si>
  <si>
    <t>Mainstreaming climate adaptation in spatial planning. The case of Baixa Pombalina in Lisbon</t>
  </si>
  <si>
    <t>Coastal dwellers-power against climate change: a place-based perspective on individual and collective engagement in North Frisia</t>
  </si>
  <si>
    <t>Regional landslide susceptibility assessment using multi-stage remote sensing data along the coastal range highway in northeastern Taiwan</t>
  </si>
  <si>
    <t>MIS 5–1 dinoflagellate cyst analyses and morphometric evaluation of Galeacysta etrusca and Spiniferites cruciformis in southwestern Black Sea</t>
  </si>
  <si>
    <t>Structural blocks as flood control in Brazilian Pantanal; [Blocos estruturais como controle da inundação no Pantanal Brasileiro]</t>
  </si>
  <si>
    <t>Severe floods in nemunas river delta</t>
  </si>
  <si>
    <t>High-resolution marine flood modelling coupling overflow and overtopping processes: Framing the hazard based on historical and statistical approaches</t>
  </si>
  <si>
    <t>Assessment and Management Flash Flood in Najran Wady Using GIS and Remote Sensing</t>
  </si>
  <si>
    <t>Detection of coastal landforms in a deltaic area using a multi-scale object-based classification method</t>
  </si>
  <si>
    <t>Formation of a coastal barrier jet in the Gulf of Mexico due to the interaction of cold fronts with the Sierra Madre Oriental mountain range</t>
  </si>
  <si>
    <t>Perspectives on second homes, climate change and tourism in South Africa</t>
  </si>
  <si>
    <t>Applications of open-access remotely sensed data for flood modelling and mapping in developing regions</t>
  </si>
  <si>
    <t>Tidal Response to Sea-Level Rise in Different Types of Estuaries: The Importance of Length, Bathymetry, and Geometry</t>
  </si>
  <si>
    <t>Coupling infrastructure resilience and flood risk assessment via copulas analyses for a coastal green-grey-blue drainage system under extreme weather events</t>
  </si>
  <si>
    <t>Climate change denial: vulnerability and costs for Florida’s coastal destinations</t>
  </si>
  <si>
    <t>Empirical assessment tool for bathymetry, flow velocity and salinity in estuaries based on tidal amplitude and remotely-sensed imagery</t>
  </si>
  <si>
    <t>Achieving SDG 6: water resources sustainability in Caribbean Small Island Developing States through improved water governance</t>
  </si>
  <si>
    <t>Crisis and relief in the Niger Delta (2012–13): assessment of the effects of a flood on relational capabilities</t>
  </si>
  <si>
    <t>Spatial distribution of organic pollutants (PAHs and polar pesticides) in the floodplain of the Ohře (Eger) River, Czech Republic</t>
  </si>
  <si>
    <t>Modeling of marine inundations in the Kuban river delta</t>
  </si>
  <si>
    <t>Disaster waste management in Italy: Analysis of recent case studies</t>
  </si>
  <si>
    <t>Vulnerability to climate change and residents' adaptations in coastal areas of Soc Trang Province, Vietnam</t>
  </si>
  <si>
    <t>Using smart ICT to provide weather and water information to smallholders in Africa: The case of the Gash River Basin, Sudan</t>
  </si>
  <si>
    <t>Geological mapping of lunar highland crater Lalande: Topographic configuration, morphology and cratering process</t>
  </si>
  <si>
    <t>Tsunami modelling procedures to refine coastal architectural design strategies at Kuala muda</t>
  </si>
  <si>
    <t>Man-made landforms survey and mapping of an urban historical center in a coastal mediterranean environment</t>
  </si>
  <si>
    <t>The concept of water storage on agriculture lands: Exploring the notion in South Florida</t>
  </si>
  <si>
    <t>Earthquake induced liquefaction hazard, probability and risk assessment in the city of Kolkata, India: its historical perspective and deterministic scenario</t>
  </si>
  <si>
    <t>Climate change adaptation in the Schleswig-Holstein sector of the Wadden Sea: an integrated state governmental strategy</t>
  </si>
  <si>
    <t>Impacts of tidal link drain, along the coastal areas of districts Badin and Sujawal in Indus deltaic region, Sindh Pakistan</t>
  </si>
  <si>
    <t>Effect of a strong rainstorm on the hydrodynamics of the puerto princesa underground river (Palawan, Philippines); [Učinek močnega naliva na hidrodinamiko podzemske reke puerto princese (Palawan, Filipini)]</t>
  </si>
  <si>
    <t>Influences of terrestrial inputs of organic matter on coastal water and bottom sediments in the Seto Inland Sea, Japan</t>
  </si>
  <si>
    <t>Hydrodynamic simulation of a cloudburst event in Asi Ganga valley of Indian Himalayan region using MIKE11 and GIS techniques</t>
  </si>
  <si>
    <t>Structural Restoration of Carbonate Platform in the Southern Part of Central Luconia, Malaysia</t>
  </si>
  <si>
    <t>The influence of floodplain geomorphology and hydrologic connectivity on alligator gar (Atractosteus spatula) habitat along the embanked floodplain of the Lower Mississippi River</t>
  </si>
  <si>
    <t>Generation of high-resolution digital surface models for urban flood modelling using UAV imagery</t>
  </si>
  <si>
    <t>Mitigation measures of coastal erosion on the Kotlin Island's shores in the Gulf of Finland, the Baltic Sea</t>
  </si>
  <si>
    <t>The colorado and virgin rivers before lake mead</t>
  </si>
  <si>
    <t>Depositional, diagenetic and sequence stratigraphic controls on the reservoir potential of the cretaceous Chichali and Lumshiwal formations, Nizampur basin, Pakistan</t>
  </si>
  <si>
    <t>Responding to multiple climate-linked stressors in a remote island context: The example of Yadua Island, Fiji</t>
  </si>
  <si>
    <t>Hydrogeomorphological differentiation between floodplains and terraces</t>
  </si>
  <si>
    <t>An investigation of coastal climate change risk assessment practice in Australia</t>
  </si>
  <si>
    <t>Learning from collaborative research on sustainably managing fresh water: Implications for ethical research–practice engagement</t>
  </si>
  <si>
    <t>Retrospective assessment of a managed coastal realignment and lagoon restoration measure: the Geltinger Birk, Germany</t>
  </si>
  <si>
    <t>Place-based or sector-based adaptation? A case study of municipal and fishery policy integration</t>
  </si>
  <si>
    <t>Ground deformation and associated hazards in NW peloponnese (Greece)</t>
  </si>
  <si>
    <t>The hyperpycnite problem</t>
  </si>
  <si>
    <t>Vulnerability assessment of climate change impact on critical oil/Gas infrastructure: A decision-maker's perception in the Niger Delta</t>
  </si>
  <si>
    <t>Time to teach post-normal science communication? Fostering the engagement of the extended peer community in an academic course of Environmental Sciences</t>
  </si>
  <si>
    <t>Synoptic characteristics of surge-producing extratropical cyclones along the northeast coast of the United States</t>
  </si>
  <si>
    <t>Evaluating morphometric parameters of Haro River drainage basin in Northern Pakistan</t>
  </si>
  <si>
    <t>Alkalinity, inorganic carbon and CO2 flux variability during extreme rainfall years (2010-2011) in two polluted tropical estuaries ne Brazil</t>
  </si>
  <si>
    <t>Improving flood hazard prediction models</t>
  </si>
  <si>
    <t>Agricultural productivity, household poverty and migration in the Indian Sundarban Delta</t>
  </si>
  <si>
    <t>Land subsidence in Chiayi, Taiwan, from compaction well, leveling and ALOS/PALSAR: Aquaculture-induced relative sea level rise</t>
  </si>
  <si>
    <t>Spatial and temporal distribution of Neolithic sites in coastal China: Sea level changes, geomorphic evolution and human adaption</t>
  </si>
  <si>
    <t>Evaluation of weather forecast systems for storm surge modeling in the Chesapeake Bay</t>
  </si>
  <si>
    <t>The Influence of Sediment Isostatic Adjustment on Sea Level Change and Land Motion Along the U.S. Gulf Coast</t>
  </si>
  <si>
    <t>Vulnerability assessment for resource management of a natural protected area</t>
  </si>
  <si>
    <t>Microscale Heterogeneity of Floodplain Meadows (Using the Example of the Delta of the Northern Dvina River)</t>
  </si>
  <si>
    <t>Recent glacier mass balance and area changes in the Kangri Karpo Mountains from DEMs and glacier inventories</t>
  </si>
  <si>
    <t>Coastal climate change and transferable development rights</t>
  </si>
  <si>
    <t>Asymmetric Effects of Subaerial and Subaqueous Basement Slopes on Self-Similar Morphology of Prograding Deltas</t>
  </si>
  <si>
    <t>Evolving Understanding of Antarctic Ice-Sheet Physics and Ambiguity in Probabilistic Sea-Level Projections</t>
  </si>
  <si>
    <t>Impact of physical geographical factors on sustainable planning of South Baltic seaside resorts</t>
  </si>
  <si>
    <t>Petroleum systems in Southeast Asian tertiary basins</t>
  </si>
  <si>
    <t>Vertical deformation and sea level changes in the coast of Chile by satellite altimetry and tide gauges</t>
  </si>
  <si>
    <t>UAV remote sensing surveillance of a mine tailings impoundment in Sub-Arctic conditions</t>
  </si>
  <si>
    <t>Simulation of Storm Surge in Myanmar Coast</t>
  </si>
  <si>
    <t>Mapping coastal floods induced by hurricane storm surge using atms data</t>
  </si>
  <si>
    <t>Sea-level rise along the Emilia-Romagna coast (Northern Italy) in 2100: Scenarios and impacts</t>
  </si>
  <si>
    <t>Extreme Climate Events, Household Decision-Making and Transitions in the Immediate Aftermath of Hurricane Sandy</t>
  </si>
  <si>
    <t>Excessive input of phosphorus significantly affects microbial Fe(III) reduction in flooded paddy soils by changing the abundances and community structures of Clostridium and Geobacteraceae</t>
  </si>
  <si>
    <t>On the construction and use of a Paleo-DEM to reproduce tsunami inundation in a historical urban environment–the case of the 1755 Lisbon tsunami in Cascais</t>
  </si>
  <si>
    <t>Preliminary results in assessing flood-prone areas using UAS System within the Ozana River Upper Basin (the Eastern Carpathians)</t>
  </si>
  <si>
    <t>Out-migration from coastal areas in Ghana and Indonesia-the role of environmental factors</t>
  </si>
  <si>
    <t>Adaptation Decision Support: An Application of System Dynamics Modeling in Coastal Communities</t>
  </si>
  <si>
    <t>Remote sensing of the Grand Ethiopian Renaissance Dam: a hazard and environmental impacts assessment</t>
  </si>
  <si>
    <t>The impact of synoptic circulation on air quality and pollution-related human health in the Yangtze River Delta region</t>
  </si>
  <si>
    <t>Interactions of Estuarine Shoreline Infrastructure With Multiscale Sea Level Variability</t>
  </si>
  <si>
    <t>Translating Uncertain Sea Level Projections Into Infrastructure Impacts Using a Bayesian Framework</t>
  </si>
  <si>
    <t>Development of flood inundation extent libraries over a range of potential flood levels: a practical framework for quick flood response</t>
  </si>
  <si>
    <t>Use of aerial multispectral images for spatial analysis of flooded riverbed-alluvial plain systems: the case study of the Paglia River (central Italy)</t>
  </si>
  <si>
    <t>Evaluating Conveyance-Based DEM Correction Technique on NED and SRTM DEMs for Flood Impact Assessment of the 2010 Cumberland River Flood</t>
  </si>
  <si>
    <t>An application of coastal erosion decision problem using interval type-2 fuzzy DEMATEL method</t>
  </si>
  <si>
    <t>Geomorphic Response of a Low-Gradient Channel to Modern, Progressive Base-Level Lowering: Nahal HaArava, the Dead Sea</t>
  </si>
  <si>
    <t>Hydrogeochemical and isotopic indicators of vulnerability and sustainability in the GAS aquifer, São Paulo State, Brazil</t>
  </si>
  <si>
    <t>Modelling small groundwater systems: experiences from the Braunton Burrows and Ainsdale coastal dune systems, UK</t>
  </si>
  <si>
    <t>Improvement to flooding risk assessment of storm surges by residual interpolation in the coastal areas of Guangdong Province, China</t>
  </si>
  <si>
    <t>Airborne LiDAR point cloud in mapping of fluvial forms: a case study of a Hungarian floodplain</t>
  </si>
  <si>
    <t>Salt Marsh Denitrification Provides a Significant Nitrogen Sink in Barnegat Bay, New Jersey</t>
  </si>
  <si>
    <t>Effects of vegetation type on surface elevation change in Liaohe River Delta wetlands facing accelerated sea level rise</t>
  </si>
  <si>
    <t>Using LiDAR surveys to document floods: A case study of the 2008 Iowa flood</t>
  </si>
  <si>
    <t>Development of a cylindrical polar coordinates shallow water storm surge model for the coast of Bangladesh</t>
  </si>
  <si>
    <t>Restoration of degraded area by flotation tailings made by flood wave of bor river</t>
  </si>
  <si>
    <t>Sea-level variations during Marine Isotope Stage 7 and coastal tectonics in the eastern Seto Inland Sea area, western Japan</t>
  </si>
  <si>
    <t>Adaptation Pathways in Coastal Case Studies: Lessons Learned and Future Directions</t>
  </si>
  <si>
    <t>Deep Uncertainty Surrounding Coastal Flood Risk Projections: A Case Study for New Orleans</t>
  </si>
  <si>
    <t>GIS tools for preliminary debris-flow assessment at regional scale</t>
  </si>
  <si>
    <t>Projection of climate change-induced sea-level rise for the coasts of Tamil Nadu and Puducherry, India using SimCLIM: a first step towards planning adaptation policies</t>
  </si>
  <si>
    <t>The potential vulnerability indices as tools for natural risk reduction. The Volturno coastal plain case study</t>
  </si>
  <si>
    <t>Monitoring subsidence of open pit iron mines at Carajás Province based on SBAS interferometric technique using TerraSAR-X data</t>
  </si>
  <si>
    <t>Deriving spatio-temporal development of ground subsidence due to subway construction and operation in Delta regions with PS-InSAR data: A case study in Guangzhou, China</t>
  </si>
  <si>
    <t>A Study of Storm Surge Disasters Based on Extreme Value Distribution Theory</t>
  </si>
  <si>
    <t>Vegetation and Shear Strength in a Delta-splay Mouth Bar</t>
  </si>
  <si>
    <t>Flash flood hazard zonation based on basin morphometry using remote sensing and GIS techniques: A case study of Wadi Qena basin, Eastern Desert, Egypt</t>
  </si>
  <si>
    <t>The geomorphological evidences of subsidence in the Nile Delta: Analysis of high resolution topographic DEM and multi-temporal satellite images</t>
  </si>
  <si>
    <t>Soluble ions dynamics in Mediterranean coastal pinewood forest soils interested by saline groundwater</t>
  </si>
  <si>
    <t>Human–Wildlife Interactions and Environmental Dynamics in the Okavango Delta, Botswana</t>
  </si>
  <si>
    <t>UAS-SfM for coastal research: Geomorphic feature extraction and land cover classification from high-resolution elevation and optical imagery</t>
  </si>
  <si>
    <t>Using remotely sensed data to modify wind forcing in operational storm surge forecasting</t>
  </si>
  <si>
    <t>Effects of shoreline armouring and overwater structures on coastal and estuarine fish: opportunities for habitat improvement</t>
  </si>
  <si>
    <t>Adapting without Retreating: Responses to Shoreline Change on an Inlet-Associated Coastal Beach</t>
  </si>
  <si>
    <t>The Adriatic Sea: A Long-Standing Laboratory for Sea Level Studies</t>
  </si>
  <si>
    <t>Coastal flooding in the Maldives: an assessment of historic events and their implications</t>
  </si>
  <si>
    <t>Overview of geological evolution and hydrocarbon generation of the Pannonian basin</t>
  </si>
  <si>
    <t>A numerical study of equilibrium states in tidal network morphodynamics</t>
  </si>
  <si>
    <t>Sensitivity analysis of Hurricane Arthur (2014) storm surge forecasts to WRF physics parameterizations and model configurations</t>
  </si>
  <si>
    <t>The contribution of historical information to flood risk management in the Tagus estuary</t>
  </si>
  <si>
    <t>Short communication: Multi-scale topographic anisotropy patterns on a Barrier Island</t>
  </si>
  <si>
    <t>Application of UAV-SfM photogrammetry and aerial lidar to a disastrous flood: Repeated topographic measurement of a newly formed crevasse splay of the Kinu River, central Japan</t>
  </si>
  <si>
    <t>Institutional bricolage and the production of vulnerability to floods in an urbanising delta in Accra</t>
  </si>
  <si>
    <t>Impact of land subsidence due to residual gas production on surficial infrastructures: The Dosso degli Angeli field study (Ravenna, Northern Italy)</t>
  </si>
  <si>
    <t>Process-based indicators to assess storm induced coastal hazards</t>
  </si>
  <si>
    <t>Who can you trust? Implications of institutional vulnerability in flood exposure along the Spanish Mediterranean coast</t>
  </si>
  <si>
    <t>Outburst susceptibility assessment of moraine-dammed lakes in Western Himalaya using an analytic hierarchy process</t>
  </si>
  <si>
    <t>Multi-sectoral, high-resolution assessment of climate change consequences of coastal flooding</t>
  </si>
  <si>
    <t>Modeling joint evacuation decisions in social networks: The case of Hurricane Sandy</t>
  </si>
  <si>
    <t>Subduction and vertical coastal motions in the eastern Mediterranean</t>
  </si>
  <si>
    <t>Natural levee evolution in the Rhine-Meuse delta, the Netherlands, during the first millennium CE</t>
  </si>
  <si>
    <t>What Determines Water Temperature Dynamics in the San Francisco Bay-Delta System?</t>
  </si>
  <si>
    <t>Regionalisation of the “intensity-duration-frequency” curves in Northern Algeria</t>
  </si>
  <si>
    <t>How Important Is Connectivity for Surface Water Fluxes? A Generalized Expression for Flow Through Heterogeneous Landscapes</t>
  </si>
  <si>
    <t>Ocean commitments under the Paris Agreement</t>
  </si>
  <si>
    <t>Racial coastal formation: The environmental injustice of colorblind adaptation planning for sea-level rise</t>
  </si>
  <si>
    <t>Nuisance Flooding and Relative Sea-Level Rise: The Importance of Present-Day Land Motion</t>
  </si>
  <si>
    <t>Tectonic evolution of an intraplate basin: the Lower Tagus Cenozoic Basin, Portugal</t>
  </si>
  <si>
    <t>Residential tourism influence on flood hazard in the coastline of the region of Murcia; [Influencia del turismo residencial sobre el riesgo de inundación en el litoral de la región de Murcia]</t>
  </si>
  <si>
    <t>Advance, Retreat, and Halt of Abrupt Gravel-Sand Transitions in Alluvial Rivers</t>
  </si>
  <si>
    <t>Recent evolution of the Mekong Delta and the impacts of dams</t>
  </si>
  <si>
    <t>Quantitative estimates of flash flood discharge into waste water disposal sites in Wadi Al Saaf, the Eastern Desert of Egypt</t>
  </si>
  <si>
    <t>Assessing the magnitude of potential environmental impacts related to water and toxicity in the Peruvian hyper-arid coast: A case study for the cultivation of grapes for pisco production</t>
  </si>
  <si>
    <t>Hydroclimatic modelling of local sea level rise and its projection in future</t>
  </si>
  <si>
    <t>A multi-scale ensemble-based framework for forecasting compound coastal-riverine flooding: The Hackensack-Passaic watershed and Newark Bay</t>
  </si>
  <si>
    <t>Geomorphological analysis and classification of foredune ridges based on Terrestrial Laser Scanning (TLS) technology</t>
  </si>
  <si>
    <t>Palaeovalleys in foreland ramp settings: what happens as accommodation decreases down dip?</t>
  </si>
  <si>
    <t>The crestline approach for assessing the development of coastal flooding due to sea level rise</t>
  </si>
  <si>
    <t>Observations and analytical modeling of freshwater and rainwater lenses in coastal dune systems</t>
  </si>
  <si>
    <t>A barrier-beach system under threat:Cocos bay (manzanilla),trinidad</t>
  </si>
  <si>
    <t>Impacts of spatial resolution and representation of flow connectivity on large-scale simulation of floods</t>
  </si>
  <si>
    <t>Environmental hazard and migration intentions in a coastal area in Ghana: a case of sea flooding</t>
  </si>
  <si>
    <t>Tidal asymmetry and characteristics of tides at the head of the Bay of Bengal</t>
  </si>
  <si>
    <t>Basin form characteristics, causes and implications of the ten kongduis in the upper reaches of the Yellow River</t>
  </si>
  <si>
    <t>Entropy-based fusion of water indices and DSM derivatives for automatic water surfaces extraction and flood monitoring</t>
  </si>
  <si>
    <t>Transition of the Tsushima Warm Current path observed over Toyama Trough, Japan</t>
  </si>
  <si>
    <t>Ostracods biostratigraphy of the Oligocene-Miocene carbonate platform in the Northeastern Amazonia coast and its correlation with the Caribbean region</t>
  </si>
  <si>
    <t>Model simulations of potential contribution of the proposed Huangpu Gate to flood control in the Lake Taihu basin of China</t>
  </si>
  <si>
    <t>Future Reef Growth Can Mitigate Physical Impacts of Sea-Level Rise on Atoll Islands</t>
  </si>
  <si>
    <t>Impact of storm tides and inundation frequency on water table salinity and vegetation on a juvenile barrier island</t>
  </si>
  <si>
    <t>Quantifying and Predicting the Contribution of Sea-Level Rise to Shoreline Change in Ghana: Information for Coastal Adaptation Strategies</t>
  </si>
  <si>
    <t>Fast shoreline erosion induced by ship wakes in a coastal lagoon: Field evidence and remote sensing analysis</t>
  </si>
  <si>
    <t>Understanding the detectability of potential changes to the 100-year peak storm surge</t>
  </si>
  <si>
    <t>Aqueous dune-like bedforms in Athabasca Valles and neighbouring locations utilized in palaeoflood reconstruction</t>
  </si>
  <si>
    <t>Hydroclimatic sustainability assessment of changing climate on cholera in the Ganges-Brahmaputra basin</t>
  </si>
  <si>
    <t>The changing hydro-ecological dynamics of rivers and deltas of the Western Indian Ocean: Anthropogenic and environmental drivers, local adaptation and policy response</t>
  </si>
  <si>
    <t>Perceptions of severe storms, climate change, ecological structures and resiliency three years post-hurricane Sandy in New Jersey</t>
  </si>
  <si>
    <t>Using open access satellite data alongside ground based remote sensing: An assessment, with case studies from Egypt’s delta</t>
  </si>
  <si>
    <t>Recent unrest (2002–2015) imaged by space geodesy at the highest risk Chilean volcanoes: Villarrica, Llaima, and Calbuco (Southern Andes)</t>
  </si>
  <si>
    <t>South Flank of the Yangtze Delta: Past, present, and future</t>
  </si>
  <si>
    <t>Vulnerability for systems described by cellular automata: Application to flood phenomena</t>
  </si>
  <si>
    <t>Giant boulders and Last Interglacial storm intensity in the North Atlantic</t>
  </si>
  <si>
    <t>Rising tides, cumulative impacts and cascading changes to estuarine ecosystem functions</t>
  </si>
  <si>
    <t>Air-photo based change in channel width in the Minnesota River basin: Modes of adjustment and implications for sediment budget</t>
  </si>
  <si>
    <t>The 2015-2016 ground displacements of the Shanghai coastal area inferred from a combined COSMO-SkyMed/Sentinel-1 DInSAR analysis</t>
  </si>
  <si>
    <t>Monitoring tropical debris-covered glacier dynamics from high-resolution unmanned aerial vehicle photogrammetry, Cordillera Blanca, Peru</t>
  </si>
  <si>
    <t>HERA: A dynamic web application for visualizing community exposure to flood hazards based on storm and sea level rise scenarios</t>
  </si>
  <si>
    <t>Quick Release of Internal Water Storage in a Glacier Leads to Underestimation of the Hazard Potential of Glacial Lake Outburst Floods From Lake Merzbacher in Central Tian Shan Mountains</t>
  </si>
  <si>
    <t>Quantifying deformation in North Borneo with GPS</t>
  </si>
  <si>
    <t>Variability of precipitation extremes and dryness/wetness over the southeast coastal region of China, 1960–2014</t>
  </si>
  <si>
    <t>Multi-sensor Space-Borne Earth Observation Data for Characterizing Fluvial-Geomorphic Provinces: A Case Study from Kosi River, India</t>
  </si>
  <si>
    <t>Artificial sandbanks in the Elbe Estuary mouth: a method for surge mitigation?</t>
  </si>
  <si>
    <t>Has dyke development in the Vietnamese Mekong Delta shifted flood hazard downstream?</t>
  </si>
  <si>
    <t>Digital shoreline analysis system-based change detection along the highly eroding Krishna-Godavari delta front</t>
  </si>
  <si>
    <t>A geospatial framework to estimate depth of scour under buildings due to storm surge in coastal areas</t>
  </si>
  <si>
    <t>Density-driven vertical transport of saltwater through the freshwater lens on the island of Baltrum (Germany) following the 1962 storm flood</t>
  </si>
  <si>
    <t>On the secular changes in the tidal constituents in San Francisco Bay</t>
  </si>
  <si>
    <t>Evaluation of the risk and the evacuation policy in the case of a tsunami in the city of Iquique, Chile</t>
  </si>
  <si>
    <t>Using helicopter TEM to delineate fresh water and salt water zones in the aquifer beneath the Okavango Delta, Botswana</t>
  </si>
  <si>
    <t>Geomorphometric delineation of floodplains and terraces from objectively defined topographic thresholds</t>
  </si>
  <si>
    <t>Flood Effects Provide Evidence of an Alternate Stable State from Dam Management on the Upper Missouri River</t>
  </si>
  <si>
    <t>Storm waves on the east coast of Korea: 20 Years of Wave Hindcasting</t>
  </si>
  <si>
    <t>Efficient retention of mud drives land building on the Mississippi Delta plain</t>
  </si>
  <si>
    <t>Climate adaptation in South America with emphasis in coastal areas: the state-of-the-art and case studies from Venezuela and Uruguay</t>
  </si>
  <si>
    <t>Nationwide flood monitoring for disaster risk reduction using multiple satellite data</t>
  </si>
  <si>
    <t>Development of geospatial and temporal characteristics for Hispaniola'S Lake Azuei and Enriquillo using landsat imagery</t>
  </si>
  <si>
    <t>The effects of natural structure on estimated tropical cyclone surge extremes</t>
  </si>
  <si>
    <t>Transformation of household livelihoods in adapting to the impacts of flood control schemes in the Vietnamese Mekong Delta</t>
  </si>
  <si>
    <t>Geometrical feature analysis and disaster assessment of the Xinmo landslide based on remote sensing data</t>
  </si>
  <si>
    <t>Absolute Sea Level Surface Modeling for the Mediterranean from Satellite Altimeter and Tide Gauge Measurements</t>
  </si>
  <si>
    <t>Morphogenetic modelling of coastal and estuarine evolution</t>
  </si>
  <si>
    <t>The "shallow-waterness" of the wave climate in European coastal regions</t>
  </si>
  <si>
    <t>Identifying the Salinity Thresholds that Impact Greenhouse Gas Production in Subtropical Tidal Freshwater Marsh Soils</t>
  </si>
  <si>
    <t>Monitoring and simulation of salinity changes in response to tide and storm surges in a sandy coastal aquifer system</t>
  </si>
  <si>
    <t>A question of scale: How turbulence around aerial roots shapes the seabed morphology in mangrove forests of the Mekong delta</t>
  </si>
  <si>
    <t>Applicability of transfer functions for relative sea-level reconstructions in the southern North Sea coastal region based on salt-marsh foraminifera</t>
  </si>
  <si>
    <t>Tsunami hazard assessments with consideration of uncertain earthquake slip distribution and location</t>
  </si>
  <si>
    <t>Tsunami hazards in the Catalan Coast, a low-intensity seismic activity area</t>
  </si>
  <si>
    <t>Environmental degradation of a tropical estuary due to human interferences—a case study from southern Kerala, SW India</t>
  </si>
  <si>
    <t>Fusion of SAR, optical imagery and airborne LiDAR for surface water detection</t>
  </si>
  <si>
    <t>Influence of the structural framework on peat bog distribution in the tropical highlands of Minas Gerais, Brazil</t>
  </si>
  <si>
    <t>Here comes the rain: Assessing storm hazards vulnerability in Northeast Ohio</t>
  </si>
  <si>
    <t>Tsunami Hazard in La Réunion Island (SW Indian Ocean): Scenario-Based Numerical Modelling on Vulnerable Coastal Sites</t>
  </si>
  <si>
    <t>Stationarity of major flood frequencies and heights on the Ba River, Fiji, over a 122-year record</t>
  </si>
  <si>
    <t>A new phase in the production of quality-controlled sea level data</t>
  </si>
  <si>
    <t>Spatiotemporal changes in extreme sea levels along the coasts of the North Atlantic and the Gulf of Mexico</t>
  </si>
  <si>
    <t>A spatially resolved estimate of High Mountain Asia glacier mass balances from 2000 to 2016</t>
  </si>
  <si>
    <t>Securitisation of climate change: The risk of exaggeration</t>
  </si>
  <si>
    <t>Vulnerability of bridges to scour: Insights from an international expert elicitation workshop</t>
  </si>
  <si>
    <t>A climate change assessment via trend estimation of certain climate parameters with in situ measurement at the coasts and islands of Viet Nam</t>
  </si>
  <si>
    <t>Management system for dam-break hazard mapping in a complex basin environment</t>
  </si>
  <si>
    <t>Timing of floods in southeastern China: Seasonal properties and potential causes</t>
  </si>
  <si>
    <t>Supervised and semi-supervised classifiers for the detection of flood-prone areas</t>
  </si>
  <si>
    <t>Robust-yet-fragile nature of partly engineered social-ecological systems: A case study of coastal Bangladesh</t>
  </si>
  <si>
    <t>Greenup and evapotranspiration following the Minute 319 pulse flow to Mexico: An analysis using Landsat 8 Normalized Difference Vegetation Index (NDVI) data</t>
  </si>
  <si>
    <t>Utilizing a cellular automaton model to explore the influence of coastal flood adaptation strategies on Helsinki's urbanization patterns</t>
  </si>
  <si>
    <t>Constraining and enabling factors to using long-term climate information in decision-making</t>
  </si>
  <si>
    <t>Salt-Wedge Response to Variable River Flow and Sea-Level Rise in the Microtidal Rječina River Estuary, Croatia</t>
  </si>
  <si>
    <t>Envisat RA-2 individual echoes: A unique dataset for a better understanding of inland water altimetry potentialities</t>
  </si>
  <si>
    <t>DRASTIC assessment of groundwater vulnerability to pollution in the Vistula floodplain in central Poland</t>
  </si>
  <si>
    <t>Buried alive or washed away: The challenging life of mangroves in the Mekong delta</t>
  </si>
  <si>
    <t>The physics behind Van der Burgh's empirical equation, providing a new predictive equation for salinity intrusion in estuaries</t>
  </si>
  <si>
    <t>Forward planning to maintain the attractiveness of coastal areas: Choosing between seawalls and managed retreat</t>
  </si>
  <si>
    <t>A globally deployable strategy for co-development of adaptation preferences to sea-level rise: the public participation case of Santos, Brazil</t>
  </si>
  <si>
    <t>Rapid shelf-wide cooling response of a stratified coastal ocean to hurricanes</t>
  </si>
  <si>
    <t>Armoring Against Coastal Climate Adaptation in the US: A Massachusetts Perspective</t>
  </si>
  <si>
    <t>Statistical wave climate projections for coastal impact assessments</t>
  </si>
  <si>
    <t>Using Fuzzy Analytic Hierarchy Process multi-criteria and automatic computation to analyse coastal vulnerability</t>
  </si>
  <si>
    <t>Awareness of coastal floods in impoverished subsiding coastal communities in Jakarta: Tsunamis, typhoon storm surges and dyke-induced tsunamis</t>
  </si>
  <si>
    <t>Sedimentation and survival of the Mekong delta: A case study of decreased sediment supply and accelerating rates of relative sea level rise</t>
  </si>
  <si>
    <t>Impacts of Antarctic fast dynamics on sea-level projections and coastal flood defense</t>
  </si>
  <si>
    <t>Early flood warning in the Itajaí-Açu River basin using numerical weather forecasting and hydrological modeling</t>
  </si>
  <si>
    <t>An extraction method for long-term tropical cyclone precipitation from daily rain gauges</t>
  </si>
  <si>
    <t>Hydrological and biological processes modulate carbon, nitrogen and phosphorus flux from the St. Lawrence River to its estuary (Quebec, Canada)</t>
  </si>
  <si>
    <t>Geomorphological Changes along the Nile Delta Coastline between 1945 and 2015 Detected Using Satellite Remote Sensing and GIS</t>
  </si>
  <si>
    <t>Freshwater flow to the San Francisco Bay-Delta estuary over nine decades (Part 2): Change attribution</t>
  </si>
  <si>
    <t>High-resolution digital elevation modeling from TLS and UAV campaign reveals structural complexity at the 2014/2015 Holuhraun Eruption site, Iceland</t>
  </si>
  <si>
    <t>Dataset of 100-year flood susceptibility maps for the continental U.S. derived with a geomorphic method</t>
  </si>
  <si>
    <t>Impact of accelerated future global mean sea level rise on hypoxia in the Baltic Sea</t>
  </si>
  <si>
    <t>Importance of the 2014 Colorado River Delta pulse flow for migratory songbirds: Insights from foraging behavior</t>
  </si>
  <si>
    <t>Assessment of sediment sources throughout the proglacial area of a small Arctic catchment based on high-resolution digital elevation models</t>
  </si>
  <si>
    <t>Adapting cities to sea level rise: A perspective from Chinese deltas</t>
  </si>
  <si>
    <t>Understanding the allure of big infrastructure: Jakarta's great garuda sea wall project</t>
  </si>
  <si>
    <t>Hydrological response to an environmental flood: Pulse flow 2014 on the Colorado River Delta</t>
  </si>
  <si>
    <t>Parallel identification and filling of depressions in raster digital elevation models</t>
  </si>
  <si>
    <t>Crafting adaptive capacity: Institutional bricolage in adaptation to urban flooding in greater accra</t>
  </si>
  <si>
    <t>Sedimentary processes building a tropical delta yesterday, today, and tomorrow: The mekong system</t>
  </si>
  <si>
    <t>Comparing fuzzy sets and random sets to model the uncertainty of fuzzy shorelines</t>
  </si>
  <si>
    <t>Natural responses to changes in morphodynamic processes caused by human action in watercourses: A contribution to support management</t>
  </si>
  <si>
    <t>Population Structure and Fruit Production of Carapa guianensis (Andiroba) in Amazonian Floodplain Forests: Implications for Community-Based Management</t>
  </si>
  <si>
    <t>The specific vulnerability of plant biodiversity and vegetation on Mediterranean islands in the face of global change</t>
  </si>
  <si>
    <t>The Impact of Aquatic Salinization on Fish Habitats and Poor Communities in a Changing Climate: Evidence from Southwest Coastal Bangladesh</t>
  </si>
  <si>
    <t>Minimizing the residual topography effect on interferograms to improve DInSAR results: Estimating land subsidence in Port-Said City, Egypt</t>
  </si>
  <si>
    <t>“Sinking islands” and the UNSC: Five modalities of mobilising science</t>
  </si>
  <si>
    <t>Modeling wave attenuation by salt marshes in Jamaica Bay, New York, using a new rapid wave model</t>
  </si>
  <si>
    <t>Comparing flood mortality in Portugal and Greece (Western and Eastern Mediterranean)</t>
  </si>
  <si>
    <t>Urban Geomorphology in Coastal Environment: Man-Made Morphological Changes in a Seaside Tourist Resort (Rapallo, Eastern Liguria, Italy)</t>
  </si>
  <si>
    <t>Salt marsh plant response to vertical deformation resulting from the February 2011 Christchurch earthquake</t>
  </si>
  <si>
    <t>Laying the foundation for the Sydney Light Rail</t>
  </si>
  <si>
    <t>The 1979 Submarine Landslide-Generated Tsunami in Mururoa, French Polynesia</t>
  </si>
  <si>
    <t>The hydrologic landscape of the Ajó coastal plain, Argentina: An assessment of human-induced changes</t>
  </si>
  <si>
    <t>Mapping and economic analysis of the human vulnerability of seven villages on the French Atlantic coast facing the risk of marine submersion; [Cartographie et analyse économique de la vulnérabilité humaine de sept communes du littoral atlantique français face au risque de submersion marine]</t>
  </si>
  <si>
    <t>Impact of justice and solidarity variables on the acceptability of managed realignment</t>
  </si>
  <si>
    <t>A framework for adapting to climate change risk in coastal cities</t>
  </si>
  <si>
    <t>Can Strategies to Cope with Hazard Shocks be Explained by At-Risk Households’ Socioeconomic Asset Profile? Evidence from Tropical Cyclone-Prone Coastal Bangladesh</t>
  </si>
  <si>
    <t>A new roadmap to reduce coastal risk</t>
  </si>
  <si>
    <t>Sea-level rise and coastal groundwater inundation and shoaling at select sites in California, USA</t>
  </si>
  <si>
    <t>Large-watershed flood forecasting with high-resolution distributed hydrological model</t>
  </si>
  <si>
    <t>A Hybrid Power Law Approach for Spatial and Temporal Pattern Analysis of Salt Marsh Evolution</t>
  </si>
  <si>
    <t>Controls on the occurrence and prevalence of floodplain channels in meandering rivers</t>
  </si>
  <si>
    <t>Modeling morphological change in anthropogenically controlled estuaries</t>
  </si>
  <si>
    <t>Applicability of Sentinel-1 Terrain Observation by Progressive Scans multitemporal interferometry for monitoring slow ground motions in the San Francisco Bay Area</t>
  </si>
  <si>
    <t>Optimal strategies for flood prevention</t>
  </si>
  <si>
    <t>Cumulative hazard: The case of nuisance flooding</t>
  </si>
  <si>
    <t>Causes of accelerating sea level on the East Coast of North America</t>
  </si>
  <si>
    <t>The differences in morphological development between the intertidal flats of the Eastern and Western Scheldt</t>
  </si>
  <si>
    <t>A two scale cellular automaton for flow dynamics modeling (2CAFDYM)</t>
  </si>
  <si>
    <t>The contrasting effect of increasing mean sea level and decreasing storminess on the maximum water level during storms along the coast of the Mediterranean Sea in the mid 21st century</t>
  </si>
  <si>
    <t>Keeping it simple: Monitoring flood extent in large data-poor wetlands using MODIS SWIR data</t>
  </si>
  <si>
    <t>Performance of Models for Flash Flood Warning and Hazard Assessment: The 2015 Kali Gandaki Landslide Dam Breach in Nepal</t>
  </si>
  <si>
    <t>Salinity-induced increase of the hydraulic conductivity in the hyporheic zone of coastal wetlands</t>
  </si>
  <si>
    <t>Evidence of extreme wave events from boulder deposits on the south-east coast of Malta (Central Mediterranean)</t>
  </si>
  <si>
    <t>Optimal real estate capital durability and localized climate change disaster risk</t>
  </si>
  <si>
    <t>Assessment of Storm Surge along the Coast of Central Vietnam</t>
  </si>
  <si>
    <t>Formation and Height of the Interconnected Fractures Zone after Extraction of Thick Coal Seams with Weak Overburden in Western China; [Bildung und Ausdehnung von verbundene Bruchzonen nach dem Abbau von mächtigen Kohleflözen unter bruchanfälligem Deckgebirge in Westchina]; [Formación y altura de la zona de fracturas interconectadas después de la extracción de vetas gruesas de carbón dentro de rocas débiles en minas del oeste de China]</t>
  </si>
  <si>
    <t>A complete glacier inventory of the Antarctic Peninsula based on Landsat 7 images from 2000 to 2002 and other preexisting data sets</t>
  </si>
  <si>
    <t>Improving accuracy of LiDAR-derived digital terrain models for saltmarsh management</t>
  </si>
  <si>
    <t>Tropical cyclone disaster management using remote sensing and spatial analysis: A review</t>
  </si>
  <si>
    <t>Dynamics of a “low-enrichment high-retention” upwelling center over the southern Senegal shelf</t>
  </si>
  <si>
    <t>Is flow velocity important in tsunami empirical fragility modeling?</t>
  </si>
  <si>
    <t>Integrated geo-scientific surveys in the historical centre of Mesagne (Brindisi, Southern Italy)</t>
  </si>
  <si>
    <t>Environmental Management in Coastal Louisiana: A Historical Review</t>
  </si>
  <si>
    <t>Optimal house elevation for reducing flood-related losses</t>
  </si>
  <si>
    <t>Flood Analysis Supported by Low-cost Geometric Modelling</t>
  </si>
  <si>
    <t>Inland thinning on the Greenland ice sheet controlled by outlet glacier geometry</t>
  </si>
  <si>
    <t>Human Impact on Coastal Resilience along the Coast of Veracruz, Mexico</t>
  </si>
  <si>
    <t>What are the impacts of flow regime changes on fish productivity in temperate regions? A systematic map protocol</t>
  </si>
  <si>
    <t>Qualitative and quantitative assessment of TanDEM-X DEM over western Himalayan glaciated terrain</t>
  </si>
  <si>
    <t>Drivers of species richness and compositional change in Scottish coastal vegetation</t>
  </si>
  <si>
    <t>UAV-based optical granulometry as tool for detecting changes in structure of flood depositions</t>
  </si>
  <si>
    <t>Probabilistic flood inundation mapping at ungauged streams due to roughness coefficient uncertainty in hydraulic modelling</t>
  </si>
  <si>
    <t>Comparing 1D and combined 1D/2D hydraulic simulations using high-resolution topographic data: a case study of the Koiliaris basin, Greece</t>
  </si>
  <si>
    <t>Assessing Storm Impact on a French Coastal Dune System Using Morphodynamic Modeling</t>
  </si>
  <si>
    <t>Source of the 1730 Chilean earthquake from historical records: Implications for the future tsunami hazard on the coast of Metropolitan Chile</t>
  </si>
  <si>
    <t>Modeling surface water dynamics in the Amazon Basin using MOSART-Inundation v1.0: Impacts of geomorphological parameters and river flow representation</t>
  </si>
  <si>
    <t>Community disruptions and business costs for distant tsunami evacuations using maximum versus scenario-based zones</t>
  </si>
  <si>
    <t>From ERS-1/2 to Sentinel-1: two decades of subsidence monitored through A-DInSAR techniques in the Ravenna area (Italy)</t>
  </si>
  <si>
    <t>Climate change and migration in the Pacific: options for Tuvalu and the Marshall Islands</t>
  </si>
  <si>
    <t>Social work models for climate adaptation: the case of small islands in the Caribbean</t>
  </si>
  <si>
    <t>Effect of external digital elevation model on monitoring of mine subsidence by two-pass differential interferometric synthetic aperture radar</t>
  </si>
  <si>
    <t>Coastal Flooding, Uncertainty and Climate Change: Science as a Solution to (mis) Perceptions? A Qualitative Enquiry in Three Coastal European Settings</t>
  </si>
  <si>
    <t>Coastal aquifer response to extreme storm events in Emilia-Romagna, Italy</t>
  </si>
  <si>
    <t>Evaluation of the accuracy of lidar data acquired using a UAS for levee monitoring: preliminary results</t>
  </si>
  <si>
    <t>Unravelling the association between the impact of natural hazards and household poverty: evidence from the Indian Sundarban delta</t>
  </si>
  <si>
    <t>Tropical cyclones and coastal communities: the dialectics of social and environmental change in the Sundarban delta</t>
  </si>
  <si>
    <t>Channel dynamics and geomorphic resilience in an ephemeral Mediterranean river affected by gravel mining</t>
  </si>
  <si>
    <t>River gradient anomalies reveal recent tectonic movements when assuming an exponential gradient decrease along a river course</t>
  </si>
  <si>
    <t>Impact of sea level rise on tidal range in Chesapeake and Delaware Bays</t>
  </si>
  <si>
    <t>Bringing in the tides. from closing down to opening up delta polders via Tidal River Management in the southwest delta of Bangladesh</t>
  </si>
  <si>
    <t>Development of high-resolution multi-scale modelling system for simulation of coastal-fluvial urban flooding</t>
  </si>
  <si>
    <t>Hydrogeologic controls on chemical transport at Malibu Lagoon, CA: Implications for land to sea exchange in coastal lagoon systems</t>
  </si>
  <si>
    <t>The relative contribution of waves, tides, and nontidal residuals to extreme total water levels on U.S. West Coast sandy beaches</t>
  </si>
  <si>
    <t>Modeling daily soil salinity dynamics in response to agricultural and environmental changes in coastal Bangladesh</t>
  </si>
  <si>
    <t>A study of damage district forecast by combine topograph modeling of insular areas using GIS</t>
  </si>
  <si>
    <t>Flow and turbulence structure in a hypertidal estuary with the world's biggest tidal bore</t>
  </si>
  <si>
    <t>Flood vulnerability among rural households in the Red River Delta of Vietnam: implications for future climate change risk and adaptation</t>
  </si>
  <si>
    <t>The contribution of human capital to a holistic response to climate change: learning from and for the Mekong Delta, Vietnam</t>
  </si>
  <si>
    <t>Camera system considerations for geomorphic applications of SfM photogrammetry</t>
  </si>
  <si>
    <t>The role of hydrodynamic sorting on the accumulation and distribution of organic carbon in an impoundment: Englebright Lake, California, USA</t>
  </si>
  <si>
    <t>A framework for assessing risk to coastal ecosystems in Taiwan due to climate change</t>
  </si>
  <si>
    <t>Salt wedge dynamics lead to enhanced sediment trapping within side embayments in high-energy estuaries</t>
  </si>
  <si>
    <t>Observations and a linear model of water level in an interconnected inlet-bay system</t>
  </si>
  <si>
    <t>Interannual kinetics (2010–2013) of large wood in a river corridor exposed to a 50-year flood event and fluvial ice dynamics</t>
  </si>
  <si>
    <t>Tourists’ representations of coastal managed realignment as a climate change adaptation strategy</t>
  </si>
  <si>
    <t>Extreme sea levels on the rise along Europe's coasts</t>
  </si>
  <si>
    <t>An atmosphere&amp;ndash;wave regional coupled model: Improving predictions of wave heights and surface winds in the southern North Sea</t>
  </si>
  <si>
    <t>Farmers’ perceptions of climate change, impacts on freshwater aquaculture and adaptation strategies in climatic change hotspots: A case of the Indian Sundarban delta</t>
  </si>
  <si>
    <t>Application of a new river classification scheme to Australia's tropical rivers</t>
  </si>
  <si>
    <t>Impacts of the Madden-Julian oscillation on intraseasonal precipitation over Northeast Brazil</t>
  </si>
  <si>
    <t>Australian east coast mid-latitude cyclones in the 20th Century Reanalysis ensemble</t>
  </si>
  <si>
    <t>Tidal-fluvial interaction in the Guadalquivir River Estuary: Spatial and frequency-dependent response of currents and water levels</t>
  </si>
  <si>
    <t>Global changes of extreme coastal wave energy fluxes triggered by intensified teleconnection patterns</t>
  </si>
  <si>
    <t>Governance challenges of flood-prone delta cities: Integrating flood risk management and climate change in spatial planning</t>
  </si>
  <si>
    <t>Mapping inundation probability due to increasing sea level rise along El Puerto de Santa María (SW Spain)</t>
  </si>
  <si>
    <t>Relationships Between Salinity and Short-Term Soil Carbon Accumulation Rates from Marsh Types Across a Landscape in the Mississippi River Delta</t>
  </si>
  <si>
    <t>Eyes in the sky: Advanced survey technologies give 20/20 view of remote assets</t>
  </si>
  <si>
    <t>Understanding perceptions of changing hurricane strength along the US Gulf coast</t>
  </si>
  <si>
    <t>A new climate index controlling winter wave activity along the Atlantic coast of Europe: The West Europe Pressure Anomaly</t>
  </si>
  <si>
    <t>Sinkholes, subsidence and subrosion on the eastern shore of the Dead Sea as revealed by a close-range photogrammetric survey</t>
  </si>
  <si>
    <t>A comparison of terrain indices toward their ability in assisting surface water mapping from sentinel-1 data</t>
  </si>
  <si>
    <t>Perturbations environnementales et migrations au Vietnam</t>
  </si>
  <si>
    <t>Numerical investigation of surge–tide interactions in the Bay of Bengal along the Bangladesh coast</t>
  </si>
  <si>
    <t>Lightweight UAV digital elevation models and orthoimagery for environmental applications: data accuracy evaluation and potential for river flood risk modelling</t>
  </si>
  <si>
    <t>Rapid escalation of coastal flood exposure in US municipalities from sea level rise</t>
  </si>
  <si>
    <t>Hypsometry of Cape Cod Salt Marshes (Massachusetts, U.S.A.) and Predictions of Marsh Vegetation Responses to Sea-Level Rise</t>
  </si>
  <si>
    <t>Statistical modeling and trend detection of extreme sea level records in the Pearl River Estuary</t>
  </si>
  <si>
    <t>Modelling of flood hazard extent in data sparse areas: a case study of the Oti River basin, West Africa</t>
  </si>
  <si>
    <t>Risky business: Publicly insuring against rising tides</t>
  </si>
  <si>
    <t>Probability evaluation of lahar risk assessment on the NE flank of the Popocatépetl volcano, Mexico; [Evaluación probabilística del peligro por lahares en el flanco NE del Volcán Popocatépetl]</t>
  </si>
  <si>
    <t>Active tectonics revealed by isobase surfaces analysis from South Rifian Ridges, Northern Morocco</t>
  </si>
  <si>
    <t>Natural and anthropogenic hazards in the Yellow River Delta, China</t>
  </si>
  <si>
    <t>A measure-theoretic algorithm for estimating bottom friction in a coastal inlet: Case study of bay st. louis during hurricane gustav (2008)</t>
  </si>
  <si>
    <t>Statistical downscaling of gridded wind speed data using local topography</t>
  </si>
  <si>
    <t>Watershed spatial discretization for the analysis of land use change in coastal regions; [Discretização espacial da bacia hidrográfica para análise da mudança do uso de solo em regiões costeiras]</t>
  </si>
  <si>
    <t>Flash flood disaster threat to Indian rail bridges: A spatial simulation study of Machak River flood, Madhya Pradesh</t>
  </si>
  <si>
    <t xml:space="preserve">Effective inundation of continental United States communities with 21st century sea level rise                     </t>
  </si>
  <si>
    <t>Observed changes in temperature extremes for the Beijing–Tianjin–Hebei region of China</t>
  </si>
  <si>
    <t>Determination of flood risk: A case study in the rainiest city of Turkey</t>
  </si>
  <si>
    <t>Design with nature: Causation and avoidance of catastrophic flooding, Myanmar</t>
  </si>
  <si>
    <t>Metals impact into the Paranaguá estuarine complex (Brazil) during the exceptional flood of 2011</t>
  </si>
  <si>
    <t>Unsteady turbulence, dynamic similarity and scale effects in bores and positive surges</t>
  </si>
  <si>
    <t>Sand dune conservation assessment in coastal area using alos palsar DInSAR technique</t>
  </si>
  <si>
    <t>Bangladesh’s diverse and complex physical geography: implications for agricultural development</t>
  </si>
  <si>
    <t>Numerical analysis of a large landslide induced by coal mining subsidence</t>
  </si>
  <si>
    <t>Formation of a new delta-like object in the Kapchagai Reservoir on the Ili River</t>
  </si>
  <si>
    <t>The geomorphology of svínafellsjökull and virkisjökull-falljökull glacier forelands, Southeast Iceland</t>
  </si>
  <si>
    <t>Operational forecast framework applied to extreme sea levels at regional and local scales</t>
  </si>
  <si>
    <t>Effects of the winter storms of 2017 on the Atlantic coast of Rabat: A preliminary evaluation</t>
  </si>
  <si>
    <t>Impact of simulated twenty-first-century changes in extratropical cyclones on coastal flooding at the Battery, New York City</t>
  </si>
  <si>
    <t>Impacts of sea-level rise-induced erosion on the Catalan coast</t>
  </si>
  <si>
    <t>Nonstationarity-based evaluation of flood risk in the Pearl River basin: changing patterns, causes and implications</t>
  </si>
  <si>
    <t>Tectonic geomorphology of the sudetes mountains (Central Europe) – A review and re-appraisal</t>
  </si>
  <si>
    <t>Riverbank change detection and impact of water level rise along Mekong river in Nong Khai province of northeast Thailand using geo-informatics approach</t>
  </si>
  <si>
    <t>Estimating the effect of urban growth on annual runoff volume using GIS in the Erbil Sub-Basin of the Kurdistan Region of Iraq</t>
  </si>
  <si>
    <t>Wetland monitoring with global navigation satellite system reflectometry</t>
  </si>
  <si>
    <t>Development of flood warning system and flood inundation mapping using field survey and LiDAR data for the grand river near the city of Painesville, Ohio</t>
  </si>
  <si>
    <t>The sea level rise impact on four seashore breeding birds: the key study of Sečovlje Salina Nature Park</t>
  </si>
  <si>
    <t>Fidelity of the integrated kinetic energy factor as an indicator of storm surge impacts</t>
  </si>
  <si>
    <t>Overview of the geophysical studies in the dead sea coastal area related to evaporite karst and recent sinkhole development</t>
  </si>
  <si>
    <t>Simulation of physical and socioeconomic factors of vulnerability to cyclones and storm surges using GIS: a case study</t>
  </si>
  <si>
    <t>Numerical simulations and statistics of surges in the White and Barents seas</t>
  </si>
  <si>
    <t>Water balance analysis over the Niger Inland Delta-Mali: Spatio-temporal dynamics of the flooded area and water losses</t>
  </si>
  <si>
    <t>Participatory simulation to foster social learning on coastal flooding prevention</t>
  </si>
  <si>
    <t>Influence of Potential Future Sea-Level Rise on Tides in the China Sea</t>
  </si>
  <si>
    <t>Morphometric analysis of river basins using GIS and remote sensing of an Andean section of Route 150, Argentina. A comparison between manual and automated delineation of basins</t>
  </si>
  <si>
    <t>Application of multi-parametric AHP for flood hazard zonation in coastal lowland area of Central Vietnam</t>
  </si>
  <si>
    <t>Evolving deltas: Coevolution with engineered interventions</t>
  </si>
  <si>
    <t>Changes of breiðamerkurjökull glacier, SE-iceland, from its late nineteenth century maximum to the present</t>
  </si>
  <si>
    <t>Biodiversity recovery following delta-wide measures for flood risk reduction</t>
  </si>
  <si>
    <t>Geotechnical and geo-environmental characterization of the Lara-Kundu coastal zone (SW Turkey)</t>
  </si>
  <si>
    <t>Assessment of three wind reanalyses in the North Atlantic Ocean</t>
  </si>
  <si>
    <t>Flooding scenario for four italian coastal plains using three relative sea level rise models</t>
  </si>
  <si>
    <t>Effects of wave-induced forcing on a circulation model of the North Sea</t>
  </si>
  <si>
    <t>Coastal types of graben: the Gulf of Gökova, Mugla-SW Turkey</t>
  </si>
  <si>
    <t>Downscaling wind and wavefields for 21st century coastal flood hazard projections in a region of complex terrain</t>
  </si>
  <si>
    <t>Flooding scenarios due to land subsidence and sea-level rise: a case study for Lipari Island (Italy)</t>
  </si>
  <si>
    <t>Assessing the economic value of 3D geo-information</t>
  </si>
  <si>
    <t>Determination of flood inundation areas and assessment of flood hazard costs in urban settlements: A case study of agva</t>
  </si>
  <si>
    <t>Seismic and inter-seismic ground surface deformations of the murono mud volcano (Central Japan): A laser scanning approach</t>
  </si>
  <si>
    <t>A Multi-Methodological Approach to Determine Permafrost Occurrence and Ground Surface Subsidence in Mountain Terrain, Tyrol, Austria</t>
  </si>
  <si>
    <t>Error in digital network and basin area delineation using d8 method: A case study in a sub-basin of the Ganga</t>
  </si>
  <si>
    <t>Comparison of Microbial Community Composition and Diversity in Native Coastal Wetlands and Wetlands that Have Undergone Long-Term Agricultural Reclamation</t>
  </si>
  <si>
    <t>Rapid risk assessment of wetland degradation and loss in low-lying coastal zone of Shanghai, China</t>
  </si>
  <si>
    <t>A quantitative analysis of socioeconomic impacts of sea level rise on the anzali international coastal wetland</t>
  </si>
  <si>
    <t>Subaerial beach volume change on a decadal time scale: The Lithuanian Baltic Sea coast</t>
  </si>
  <si>
    <t>Flood risk mapping and analysis of the m'zab valley, Algeria</t>
  </si>
  <si>
    <t>A new hydromorphological typification of the Russian Arctic river mouths</t>
  </si>
  <si>
    <t>Consideration of the rainfall-runoff-inundation (RRI) model for flood mapping in a deltaic area of myanmar</t>
  </si>
  <si>
    <t>Geochemistry, origin, and accumulation of petroleum in the Eocene Wenchang Formation reservoirs in Pearl River Mouth Basin, South China Sea: A case study of HZ25-7 oil field</t>
  </si>
  <si>
    <t>Factors influencing the organic carbon pools in tidal marsh soils of the Elbe estuary (Germany)</t>
  </si>
  <si>
    <t>Historical changes and future projection of extreme precipitation in China</t>
  </si>
  <si>
    <t>Mapping Vulnerability and Risk of Ghana's Coastline to Sea Level Rise</t>
  </si>
  <si>
    <t>Heavy metals pollution in soil profiles from seasonal-flooding riparian wetlands in a Chinese delta: Levels, distributions and toxic risks</t>
  </si>
  <si>
    <t>On the necessity of improving the research infrastructure in the western black sea for the purposes of flood risk management</t>
  </si>
  <si>
    <t>Lessons learned from the preparation of the flood risk management plans on the Seine basin and perspectives</t>
  </si>
  <si>
    <t>Late- and post-glacial history of the east branch of the Penobscot River, Maine, USA</t>
  </si>
  <si>
    <t>Storm-induced marine flooding: Lessons from a multidisciplinary approach</t>
  </si>
  <si>
    <t>Government support, social capital and adaptation to urban flooding by residents in the Pearl River Delta area, China</t>
  </si>
  <si>
    <t>The impact of extra-tropical transitioning on storm surge and waves in catastrophe risk modelling: application to the Japanese coastline</t>
  </si>
  <si>
    <t>Long- and short-term evolution of tourist beaches of the romanian littoral. Mamaia bay case study</t>
  </si>
  <si>
    <t>Uncertainty of the peak flow reconstruction of the 1907 flood in the Ebro River in Xerta (NE Iberian Peninsula)</t>
  </si>
  <si>
    <t>Modern and fossil siliciclastic sediments colonized by microbial mats. A comparative study for analog determination</t>
  </si>
  <si>
    <t>New estimates of potential impacts of sea level rise and coastal floods in Poland</t>
  </si>
  <si>
    <t>A multimodal wave spectrum-based approach for statistical downscaling of local wave climate</t>
  </si>
  <si>
    <t>Sea-level rise induced amplification of coastal protection design heights</t>
  </si>
  <si>
    <t>Morphological responses of the Wax Lake Delta, Louisiana, to Hurricanes Rita</t>
  </si>
  <si>
    <t>The Dinosaurian Ichnofauna of the Lower Cretaceous (Valanginian–Barremian) Broome Sandstone of the Walmadany Area (James Price Point), Dampier Peninsula, Western Australia</t>
  </si>
  <si>
    <t>The importance of community based approach to reduce sea level rise vulnerability and enhance resilience capacity in the coastal areas of Bangladesh: A review</t>
  </si>
  <si>
    <t>Solidarity in water management</t>
  </si>
  <si>
    <t>Tsunami hazard assessment in the Hudson River Estuary based on dynamic tsunami–tide simulations</t>
  </si>
  <si>
    <t>Lidar-based mapping of flood control levees in South Louisiana</t>
  </si>
  <si>
    <t>Toward understanding the impacts of sediment contamination on a native fish species: transcriptional effects, EROD activity, and biliary PAH metabolites</t>
  </si>
  <si>
    <t>The Effects on Tsunami Hazard Assessment in Chile of Assuming Earthquake Scenarios with Spatially Uniform Slip</t>
  </si>
  <si>
    <t>Topobathymetric elevation model development using a new methodology: Coastal national elevation database</t>
  </si>
  <si>
    <t>Introduction: Special issue on advances in topobathymetric mapping, models, and applications</t>
  </si>
  <si>
    <t>Fifteen years of surface deformation in Western Taiwan: Insight from SAR interferometry</t>
  </si>
  <si>
    <t>Coastal vulnerability index for the Tabasco State coast, Mexico; [Índice de vulnerabilidad costera del litoral tabasqueño, México]</t>
  </si>
  <si>
    <t>Path-dependency and policy learning in the dutch delta: Toward more resilient flood risk management in the Netherlands?</t>
  </si>
  <si>
    <t>How high will the seas rise?</t>
  </si>
  <si>
    <t>A computationally efficient depression-filling algorithm for digital elevation models, applied to proglacial lake drainage</t>
  </si>
  <si>
    <t>Creating a coastal national elevation database (CoNED) for science and conservation applications</t>
  </si>
  <si>
    <t>Geological indicators of sea-level changes at northern sabah, malaysia: Tools for instilling public awareness on global climate changes</t>
  </si>
  <si>
    <t>Typhoon Haiyan's sedimentary record in coastal environments of the Philippines and its palaeotempestological implications</t>
  </si>
  <si>
    <t>Application and Comparison of Tsunami Vulnerability and Damage Models for the Town of Siracusa, Sicily, Italy</t>
  </si>
  <si>
    <t>Vulnerability to typhoon hazards in the coastal informal settlements of Metro Manila, the Philippines</t>
  </si>
  <si>
    <t>Past, Present and Future Perspectives of Sediment Compaction as a Driver of Relative Sea Level and Coastal Change</t>
  </si>
  <si>
    <t>Selected extreme weather events on the Polish coast of the Baltic Sea in the period 2001-2014</t>
  </si>
  <si>
    <t>A database on flash flood events in Campania, southern Italy, with an evaluation of their spatial and temporal distribution</t>
  </si>
  <si>
    <t>Wetland shoreline recession in the Mississippi River Delta from petroleum oiling and cyclonic storms</t>
  </si>
  <si>
    <t>Observations of Cyclone-Induced Storm Surge in Coastal Bangladesh</t>
  </si>
  <si>
    <t>Assessing the extreme overwash regime along an embayed urban beach</t>
  </si>
  <si>
    <t>Natural hazards in Australia: sea level and coastal extremes</t>
  </si>
  <si>
    <t>Job and residential location changes responding to floods and cyclones: an analysis based on a cross-nested logit model</t>
  </si>
  <si>
    <t>Modelling sea level surges in the Firth of Clyde, a fjordic embayment in south-west Scotland</t>
  </si>
  <si>
    <t>Geological evidences of extreme waves along the Gujarat coast of western India</t>
  </si>
  <si>
    <t>Simulation of Storm Surges in the Bay of Bengal Using One-Way Coupling Between NMM-WRF and IITD Storm Surge Model</t>
  </si>
  <si>
    <t>Delineating floodplain and upland areas for hydrologic models: a comparison of methods</t>
  </si>
  <si>
    <t>Dynamical downscaling of future sea level change in the western North Pacific using ROMS</t>
  </si>
  <si>
    <t>Developing an Event-Tree Probabilistic Tsunami Inundation Model for NE Atlantic Coasts: Application to a Case Study</t>
  </si>
  <si>
    <t>Sea-Level Rise Risk Communication: Public Understanding, Risk Perception, and Attitudes about Information</t>
  </si>
  <si>
    <t>Coastal flooding: Impact of waves on storm surge during extremes &amp;ndash; A case study for the German Bight</t>
  </si>
  <si>
    <t>Flood hazard assessment of 2014 floods in Sonawari sub-district of Bandipore district (Jammu &amp; Kashmir): An application of geoinformatics</t>
  </si>
  <si>
    <t>Coastal sea level rise with warming above 2 °C</t>
  </si>
  <si>
    <t>Quantifying the importance of spatial resolution and other factors through global sensitivity analysis of a flood inundation model</t>
  </si>
  <si>
    <t>Impact of Hellenic Arc Tsunamis on Corsica (France)</t>
  </si>
  <si>
    <t>Are Quasi-Monte Carlo algorithms efficient for two-stage stochastic programs?</t>
  </si>
  <si>
    <t>Shoreline Evolution and Metocean Data Behaviour in Southwest England: Is There Any Historical Link?</t>
  </si>
  <si>
    <t>Analyzing the sensitivity of a flood risk assessment model towards its input data</t>
  </si>
  <si>
    <t>Evaluating the Benefits of Green Infrastructure for Coastal Areas: Location, Location, Location</t>
  </si>
  <si>
    <t>Cost-Benefit Analysis of Seawalls in South Korea: A Bottom-Up Assessment</t>
  </si>
  <si>
    <t>A local-scale approach to estuarine flood risk management</t>
  </si>
  <si>
    <t>Forecasting Arabian Sea level rise using exponential smoothing state space models and ARIMA from TOPEX and Jason satellite radar altimeter data</t>
  </si>
  <si>
    <t>Assessment of the impact of sea-level rise due to climate change on coastal groundwater discharge</t>
  </si>
  <si>
    <t>Projecting nuisance flooding in a warming climate using generalized linear models and Gaussian processes</t>
  </si>
  <si>
    <t>A smart classifier for extracting environmental data from digital image time-series: Applications for PhenoCam data in a tidal salt marsh</t>
  </si>
  <si>
    <t>GIS applications in morphometric analysis of Koshalya-Jhajhara watershed in northwestern India</t>
  </si>
  <si>
    <t>Trends in wind-wave climate over the head Bay of Bengal region</t>
  </si>
  <si>
    <t>Long-term coastal openness variation and its impact on sediment grain-size distribution: A case study from the Baltic Sea</t>
  </si>
  <si>
    <t>Review: Advances in delta-subsidence research using satellite methods</t>
  </si>
  <si>
    <t>A review of the drivers of 200 years of wetland degradation in the Mekong Delta of Vietnam</t>
  </si>
  <si>
    <t>Tide-surge and wave interaction in the Gulf of Maine during an extratropical storm</t>
  </si>
  <si>
    <t>Comparison and Computational Performance of Tsunami-HySEA and MOST Models for LANTEX 2013 Scenario: Impact Assessment on Puerto Rico Coasts</t>
  </si>
  <si>
    <t>The morphology and evolution of tidal sand bodies in the macrotidal Gulf of Khambhat, western India</t>
  </si>
  <si>
    <t>The effect of channel deepening on tides and storm surge: A case study of Wilmington, NC</t>
  </si>
  <si>
    <t>Radio astronomy demonstrator: Assessment of the appropriate sites through a GIS open source application</t>
  </si>
  <si>
    <t>Housing Prices and the Public Disclosure of Flood Risk: A Difference-in-Differences Analysis in Finland</t>
  </si>
  <si>
    <t>Flood hazard and risk assessment of 2014 floods in Kashmir Valley: a space-based multisensor approach</t>
  </si>
  <si>
    <t>Parallel Priority-Flood depression filling for trillion cell digital elevation models on desktops or clusters</t>
  </si>
  <si>
    <t>Large-Scale Soil Resource Mapping Using IRS-P6 LISS-IV and Cartosat-1 DEM in Basaltic Terrain of Central India</t>
  </si>
  <si>
    <t>A framework to analyze vulnerability of critical infrastructure to climate change: the case of a coastal community in Florida</t>
  </si>
  <si>
    <t>Coastal wetland response to sea-level rise in a fluvial estuarine system</t>
  </si>
  <si>
    <t>Generation of bathymetric digital elevation models along French coasts :Coastal risk assessment</t>
  </si>
  <si>
    <t>Improved Bathymetric Dataset and Tidal Model for the Northern Bay of Bengal</t>
  </si>
  <si>
    <t>Integration between morphometric parameters, hydrologic model, and geo-informatics techniques for estimating WADI runoff (case study WADI HALYAH—Saudi Arabia)</t>
  </si>
  <si>
    <t>Adapting drinking-water systems to coastal climate change: evidence from Viet Nam and the Philippines</t>
  </si>
  <si>
    <t>Are you prepared?' Representations and management of floods in Lomanikoro, Rewa (Fiji)</t>
  </si>
  <si>
    <t>Incorporating climate warming scenarios in coastal permafrost engineering design – Case studies from Svalbard and northwest Russia</t>
  </si>
  <si>
    <t>The 2011 flood event in the Mekong Delta: preparedness, response, damage and recovery of private households and small businesses</t>
  </si>
  <si>
    <t>Eddy diffusivity: a single dispersion analysis of high resolution drifters in a tidal shallow estuary</t>
  </si>
  <si>
    <t>Assessment of the Ivorian Coastal Vulnerability</t>
  </si>
  <si>
    <t>Evolution or Revolution? Evaluating the Territorial State-Based Regime of International Law in the Context of the Physical Disappearance of Territory Due to Climate Change and Sea-Level Rise</t>
  </si>
  <si>
    <t>Landowner's perception of flood risk and preventive actions in estuarine environment: An empirical investigation</t>
  </si>
  <si>
    <t>A storm surge projection and disaster risk assessment model for China coastal areas</t>
  </si>
  <si>
    <t>Identifying the risk areas and urban growth by ArcGIS-tools</t>
  </si>
  <si>
    <t>Spatial and temporal changes in flood hazard potential at coastal lowland area: a case study in the Kujukuri Plain, Japan</t>
  </si>
  <si>
    <t>Linking land subsidence over the Yellow River delta, China, to hydrocarbon exploitation using multi-temporal InSAR</t>
  </si>
  <si>
    <t>Effects of an emergent vegetation patch on channel reach bathymetry and stability during repeated unsteady flows</t>
  </si>
  <si>
    <t>Morphology and distribution of dolines on ultramafic rocks from airborne LiDAR data: the case of southern Grande Terre in New Caledonia (SW Pacific)</t>
  </si>
  <si>
    <t>Century-long increasing trend and variability of dissolved organic carbon export from the Mississippi River basin driven by natural and anthropogenic forcing</t>
  </si>
  <si>
    <t>Instability of a caisson-type breakwater induced by an earthquake-tsunami event</t>
  </si>
  <si>
    <t>Appropriate Engineering Measures with Participation of Community for Flood Disaster Reduction: Case of the Tha Chin Basin, Thailand</t>
  </si>
  <si>
    <t>A textual processing model of risk communication: Lessons from Typhoon Haiyan</t>
  </si>
  <si>
    <t>Understanding Ebb Channel Dynamics through Locational Probability Analysis of Historical Maps: A Comparable Study</t>
  </si>
  <si>
    <t>Motivating action under uncertain conditions: Enhancing emergency briefings during coastal storms</t>
  </si>
  <si>
    <t>Lessons from the construction of a climate change adaptation plan: A Broads wetland case study</t>
  </si>
  <si>
    <t>Ocean forecasting for the German Bight: From regional to coastal scales</t>
  </si>
  <si>
    <t>Sea level rise impacts on rice production: The Ebro Delta as an example</t>
  </si>
  <si>
    <t>Q-LAVHA: A flexible GIS plugin to simulate lava flows</t>
  </si>
  <si>
    <t>Satellite remote sensing and GIS-based multi-criteria analysis for flood hazard mapping</t>
  </si>
  <si>
    <t>Storm surge risk assessment for Yuhuan County in Taizhou City</t>
  </si>
  <si>
    <t>Projections of extreme storm surge levels along Europe</t>
  </si>
  <si>
    <t>Coupled modeling of storm surge and coastal inundation: A case study in New York City during Hurricane Sandy</t>
  </si>
  <si>
    <t>Establishing a baseline on the distribution and pattern of occurrence of Salvadora persica L. with meteorological data and assessing its adaptation in the adjacent warmed-up zones</t>
  </si>
  <si>
    <t>Teleconnection between the North Indian Ocean high swell events and meteorological conditions over the Southern Indian Ocean</t>
  </si>
  <si>
    <t>Landscape controls and vertical variability of soil organic carbon storage in permafrost-affected soils of the Lena River Delta</t>
  </si>
  <si>
    <t>A millennium-long management perspective for promoting the geological-social resiliency of barrier islands: a preliminary proposal for Fire Island, NY</t>
  </si>
  <si>
    <t>Assessments of oil characterization, source affinities, and hydrocarbon dynamic of East Baghdad oil fields, Central Iraq</t>
  </si>
  <si>
    <t>Flood inundation mapping sensitivity to riverine spatial resolution and modelling approach</t>
  </si>
  <si>
    <t>The Impacts of Sea-Level Rise on Tidal Flooding in Boston, Massachusetts</t>
  </si>
  <si>
    <t>Kaolin: Soil, rock and ore: From the mineral to the magmatic, sedimentary and metamorphic environments</t>
  </si>
  <si>
    <t>Modeling Salt Panne Land-Cover Suitability under Sea-Level Rise</t>
  </si>
  <si>
    <t>Divergent drivers of carbon dioxide and methane dynamics in an agricultural coastal floodplain: Post-flood hydrological and biological drivers</t>
  </si>
  <si>
    <t>Grounding line variability and subglacial lake drainage on Pine Island Glacier, Antarctica</t>
  </si>
  <si>
    <t>Description of coastline variations in an ocean general circulation model</t>
  </si>
  <si>
    <t>Coastal infrastructure vulnerability: an integrated assessment model</t>
  </si>
  <si>
    <t>Assessment of shoreline changes over the Northern Tamil Nadu Coast, South India using WebGIS techniques</t>
  </si>
  <si>
    <t>Capturing coupled riparian and coastal disturbance from industrial mining using cloud-resilient satellite time series analysis</t>
  </si>
  <si>
    <t>Cadastral information as a tool for the analysis of exposure to flood hazards in the Spanish Mediterranean coast; [La información catastral como herramienta para el análisis de la exposición al peligro de inundaciones en el litoral mediterráneo Español]</t>
  </si>
  <si>
    <t>Predicting the Extent of Inundation due to Sea-Level Rise: Al Hamra Development, Ras Al Khaimah, UAE. A Pilot Project</t>
  </si>
  <si>
    <t>Glacial lake evolution in the southeastern Tibetan Plateau and the cause of rapid expansion of proglacial lakes linked to glacial-hydrogeomorphic processes</t>
  </si>
  <si>
    <t>Cultural dimension and adaptation to floods in a coastal settlement and a savannah community in Ghana</t>
  </si>
  <si>
    <t>A people‐centred perspective on climate change, environmental stress, and livelihood resilience in Bangladesh</t>
  </si>
  <si>
    <t>Anthropogenic forcing dominates global mean sea-level rise since 1970</t>
  </si>
  <si>
    <t>An evaluation of disaster risk reduction (DRR) approaches for coastal delta cities: a comparative analysis</t>
  </si>
  <si>
    <t>South African geomorphology: current status and new challenges</t>
  </si>
  <si>
    <t>Integration of depositional, petrophysical, and petrographic facies for predicting permeability in tight gas reservoirs</t>
  </si>
  <si>
    <t>Ponds delineation in various urban landforms. Case study for cluj-napoca, Romania</t>
  </si>
  <si>
    <t>A systematic assessment of maritime disruptions affecting UK ports, coastal areas and surrounding seas from 1950 to 2014</t>
  </si>
  <si>
    <t>Modeling the interaction between flooding events and economic growth</t>
  </si>
  <si>
    <t>(En)visioning place-based adaptation to sea-level rise</t>
  </si>
  <si>
    <t>Investigating fault propagation and segment linkage using throw distribution analysis within the Agbada formation of Ewan and Oloye fields, northwestern Niger delta</t>
  </si>
  <si>
    <t>Tsunami inundation area and run-up height in the Iwate coastal region following the Great East Japan Earthquake as estimated from aerial photographs and digital elevation data</t>
  </si>
  <si>
    <t>Investigation into pluvial flooding hazards caused by heavy rain and protection measures in Shanghai, China</t>
  </si>
  <si>
    <t>Geostatistical data fusion of multiple type observations to improve land subsidence monitoring resolution in the choushui river fluvial plain, Taiwan</t>
  </si>
  <si>
    <t>Population dynamics, delta vulnerability and environmental change: comparison of the Mekong, Ganges–Brahmaputra and Amazon delta regions</t>
  </si>
  <si>
    <t>Payenia Quaternary flood basalts (southern Mendoza, Argentina): Geophysical constraints on their volume</t>
  </si>
  <si>
    <t>Insights into a historic severe haze event in Shanghai: Synoptic situation, boundary layer and pollutants</t>
  </si>
  <si>
    <t>Coastal clouds at the Eastern Margin of the Southeast Pacific: Climatology and trends</t>
  </si>
  <si>
    <t>Marine Chemistry in the Coastal Environment: Principles, Perspective and Prospectus</t>
  </si>
  <si>
    <t>Quantification of bias of wave measurements from lightvessels</t>
  </si>
  <si>
    <t>Fluvial system response to late Pleistocene-Holocene sea-level change on Santa Rosa Island, Channel Islands National Park, California</t>
  </si>
  <si>
    <t>Co-evolution of wetland landscapes, flooding, and human settlement in the Mississippi River Delta Plain</t>
  </si>
  <si>
    <t>Adaptive environmental governance of changing social-ecological systems: Empirical insights from the Okavango Delta, Botswana</t>
  </si>
  <si>
    <t>Baltic Sea datums and their unification as a basis for coastal and seabed studies</t>
  </si>
  <si>
    <t>Impact of topography on groundwater salinization due to ocean surge inundation</t>
  </si>
  <si>
    <t>Flood risk and climate change in the Rotterdam area, The Netherlands: enhancing citizen's climate risk perceptions and prevention responses despite skepticism</t>
  </si>
  <si>
    <t>River networks system changes and its impact on storage and flood control capacity under rapid urbanization</t>
  </si>
  <si>
    <t>Monitoring and reconstructing past biogeomorphic succession within fluvial corridors using stereophotogrammetry</t>
  </si>
  <si>
    <t>A numerical scheme for coastal morphodynamic modelling on unstructured grids</t>
  </si>
  <si>
    <t>Differential impact of long-shore currents on coastal geomorphology development in the context of rapid sea level changes: The case of the Old Sefidrud (Caspian Sea)</t>
  </si>
  <si>
    <t>Mapping and characterization of hydrological dynamics in a coastal marsh using high temporal resolution Sentinel-1A images</t>
  </si>
  <si>
    <t>Last interglacial (MIS 5e) sea-level determined from a tectonically stable, far-field location, Eyre Peninsula, southern Australia</t>
  </si>
  <si>
    <t>Chemical composition of waters and the phytoplankton of the lakes within the delta of the Selenga river</t>
  </si>
  <si>
    <t>Assessing relative vulnerability to sea-level rise in the western part of the Mekong River Delta in Vietnam</t>
  </si>
  <si>
    <t>One-dimensional hydrodynamic modeling of GLOF and impact on hydropower projects in Dhauliganga River using remote sensing and GIS applications</t>
  </si>
  <si>
    <t>A global empirical typology of anthropogenic drivers of environmental change in deltas</t>
  </si>
  <si>
    <t>A GCM investigation of dust aerosol impact on the regional climate of North Africa and South/East Asia</t>
  </si>
  <si>
    <t>On the relationship between atmospheric rivers and high sea water levels along the U.S. West Coast</t>
  </si>
  <si>
    <t>Potential effects of tidal flat variations on decomposition and nutrient dynamics of Phragmites australis, Suaeda salsa and Suaeda glauca litter in newly created marshes of the Yellow River estuary, China</t>
  </si>
  <si>
    <t>Digital terrain models derived from digital surface model uniform regions in urban areas</t>
  </si>
  <si>
    <t>GPS-derived ground deformation (2005-2014) within the Gulf of Mexico region referred to a stable Gulf of Mexico reference frame</t>
  </si>
  <si>
    <t>Assessment of beach and dune erosion and accretion using LiDAR: Impact of the stormy 2013-14 winter and longer term trends on the Sefton Coast, UK</t>
  </si>
  <si>
    <t>Risk management study on impulse waves generated by Hongyanzi landslide in Three Gorges Reservoir of China on June 24, 2015</t>
  </si>
  <si>
    <t>Assessing climate change impacts on open sandy coasts: A review</t>
  </si>
  <si>
    <t>Flood-prone area delimitation using UAV technology, in the areas hard-to-reach for classic aircrafts: case study in the north-east of Apuseni Mountains, Transylvania</t>
  </si>
  <si>
    <t>Projection of sea-level change in the vicinity of Hong Kong in the 21st century</t>
  </si>
  <si>
    <t>The spatial distribution of vulnerability to the health impacts of flooding in the Mekong Delta, Vietnam</t>
  </si>
  <si>
    <t>Numerical Modelling of Braided Rivers with Structure-from-Motion-Derived Terrain Models</t>
  </si>
  <si>
    <t>Morphological properties of tunnel valleys of the southern sector of the Laurentide Ice Sheet and implications for their formation</t>
  </si>
  <si>
    <t>Assessing vulnerability: an integrated approach for mapping adaptive capacity, sensitivity, and exposure</t>
  </si>
  <si>
    <t>Development of an unstructured-grid wave-current coupled model and its application</t>
  </si>
  <si>
    <t>An integrated analysis of the March 2015 Atacama floods</t>
  </si>
  <si>
    <t>POD-based model reduction for stabilized finite element approximations of shallow water flows</t>
  </si>
  <si>
    <t>Local ecological knowledge and incremental adaptation to changing flood patterns in the Amazon delta</t>
  </si>
  <si>
    <t>Socio-economic vulnerability of the megacity of Shanghai (China) to sea-level rise and associated storm surges</t>
  </si>
  <si>
    <t>The October 2011 devastating flash flood event of Antalya: triggering mechanisms and quantitative precipitation forecasting</t>
  </si>
  <si>
    <t>Relevance of infragravity waves in a wave-dominated inlet</t>
  </si>
  <si>
    <t>Modeling the interaction between tides and storm surges for the Taiwan coast</t>
  </si>
  <si>
    <t>Modeling the effect of wave-vegetation interaction on wave setup</t>
  </si>
  <si>
    <t>Human impacts and changes in the coastal waters of south China</t>
  </si>
  <si>
    <t>Fresh groundwater resources in a large sand replenishment</t>
  </si>
  <si>
    <t>Developing an algorithm for enhancement of a digital terrain model for a densely vegetated floodplain wetland</t>
  </si>
  <si>
    <t>Quaternary fluvial history of the Delaware River, New Jersey and Pennsylvania, USA: The effects of glaciation, glacioisostasy, and eustasy on a proglacial river system</t>
  </si>
  <si>
    <t>Numerical Simulation of Water Flow from the Coal Seam Floor in a Deep Longwall Mine in China; [Numerische Simulation von Wasserzuflüssen aus dem Kohlenflözliegenden in einer tiefen Strebbaugrube in China]; [Simulación numérica del flujo de agua en el piso de la veta de carbón en la mina profunda de frente largo en China]</t>
  </si>
  <si>
    <t>Modelling wave-current interactions off the east coast of Scotland</t>
  </si>
  <si>
    <t>Explanatory analysis of the relationship between atmospheric circulation and occurrence of flood-generating events in a coastal city</t>
  </si>
  <si>
    <t>Global synthesis of the classifications, distributions, benefits and issues of terracing</t>
  </si>
  <si>
    <t>Considering the locals: coastal construction and destruction in times of climate change on Anjouan, Comoros</t>
  </si>
  <si>
    <t>Reenvisioning velocity reversal as a diversity of hydraulic patch behaviours</t>
  </si>
  <si>
    <t>Rapid evolution of water resources in the Senegal delta</t>
  </si>
  <si>
    <t>The use of ALS, botanical, and soil data to monitor the environmental hazards and regeneration capacity of areas devastated by highway construction</t>
  </si>
  <si>
    <t>From regional to local scale modelling on the south-eastern Brazilian shelf: Case study of Paranaguá estuarine system</t>
  </si>
  <si>
    <t>Assessing the impacts of and resilience to Tropical Cyclone Bejisa, Reunion Island (Indian Ocean)</t>
  </si>
  <si>
    <t>Fluid waters and rigid livelihoods in the Okavango Delta of Botswana</t>
  </si>
  <si>
    <t>An efficient algorithm for assignment of flow direction over flat surfaces in raster DEMs based on distance transform</t>
  </si>
  <si>
    <t>Palaeontology, sedimentology, and biostratigraphy of a fossiliferous outcrop of the Early Miocene Querales Formation, Falcón Basin, Venezuela</t>
  </si>
  <si>
    <t>Allowances for evolving coastal flood risk under uncertain local sea-level rise</t>
  </si>
  <si>
    <t>Wave runup estimations on platform-beaches for coastal flood hazard assessment</t>
  </si>
  <si>
    <t>Parallel Landscape Driven Data Reduction &amp; Spatial Interpolation Algorithm for Big LiDAR Data</t>
  </si>
  <si>
    <t>Tsunami hazard assessment along the north shore of Hispaniola from far- and near-field Atlantic sources</t>
  </si>
  <si>
    <t>Vulnerability assessment to climate change of households from mabacan, sta. cruz and balanac watersheds in Laguna, Philippines</t>
  </si>
  <si>
    <t>Regional and local scale atmospheric forcing upon sea level along the coast of SW Europe</t>
  </si>
  <si>
    <t xml:space="preserve">A conventional value for the geoid reference potential W0       </t>
  </si>
  <si>
    <t>Using SPOT and aerial false-color infrared (fCIR) imagery to verify floodplain model results in west central Florida</t>
  </si>
  <si>
    <t>Legal geography and coastal climate change adaptation: the Vaughan litigation</t>
  </si>
  <si>
    <t>Effect of evapotranspiration on dissolved inorganic carbon and stable carbon isotopic evolution in rivers in semi-arid climates: The Okavango Delta in North West Botswana</t>
  </si>
  <si>
    <t>Perceived and projected flood risk and adaptation in coastal Southeast Queensland, Australia</t>
  </si>
  <si>
    <t>Assessing climate change impacts on the stability of small tidal inlet systems: Why and how?</t>
  </si>
  <si>
    <t>Projected sea level rise and changes in extreme storm surge and wave events during the 21st century in the region of Singapore</t>
  </si>
  <si>
    <t>A multi-scale GIS and hydrodynamic modelling approach to fish passage assessment: Clarence and Shoalhaven Rivers, NSW Australia</t>
  </si>
  <si>
    <t>Regional flood disaster resilience evaluation based on analytic network process: a case study of the Chaohu Lake Basin, Anhui Province, China</t>
  </si>
  <si>
    <t>What dominates sea level at the coast: a case study for the Gulf of Guinea</t>
  </si>
  <si>
    <t>Coupling centennial-scale shoreline change to sea-level rise and coastal morphology in the Gulf of Mexico using a Bayesian network</t>
  </si>
  <si>
    <t>Basin mass dynamic changes in China from GRACE based on a multibasin inversion method</t>
  </si>
  <si>
    <t>Sea-level rise impacts on seawater intrusion in coastal aquifers: Review and integration</t>
  </si>
  <si>
    <t>Assessment of the impact of spatio-temporal attributes of wetlands on stream flows using a hydrological modelling framework: A theoretical case study of a watershed under temperate climatic conditions</t>
  </si>
  <si>
    <t>Radar and optical mapping of surge persistence and marsh dieback along the New Jersey Mid-Atlantic coast after Hurricane Sandy</t>
  </si>
  <si>
    <t>Ocean tide modelling for urban flood risk assessment in the Mekong Delta</t>
  </si>
  <si>
    <t>Evaluating the impacts of sea level rise on coastal wetlands in Languedoc-Roussillon, France</t>
  </si>
  <si>
    <t>Analysis and attribution of trends in water levels in the Vietnamese Mekong Delta</t>
  </si>
  <si>
    <t>The key role of vertical land motions in coastal sea level variations: A global synthesis of multisatellite altimetry, tide gauge data and GPS measurements</t>
  </si>
  <si>
    <t>Coupling environmental, social and economic models to understand land-use change dynamics in the Mekong Delta</t>
  </si>
  <si>
    <t>Shallow landslide susceptibility mapping using high-resolution topography for areas devastated by super typhoon Haiyan</t>
  </si>
  <si>
    <t>Present-day oxidative subsidence of organic soils and mitigation in the Sacramento-San Joaquin Delta, California, USA</t>
  </si>
  <si>
    <t>Empirical realised niche models for British coastal plant species</t>
  </si>
  <si>
    <t>Quantifying the patterns and dynamics of river deltas under conditions of steady forcing and relative sea level rise</t>
  </si>
  <si>
    <t>Historic and ancient tsunamis uncovered on the Jalisco-Colima Pacific coast, the Mexican subduction zone</t>
  </si>
  <si>
    <t>Evaluation of Error Reduction Techniques on a LIDAR-Derived Salt Marsh Digital Elevation Model</t>
  </si>
  <si>
    <t>Scenario-based tsunami risk assessment using a static flooding approach and high-resolution digital elevation data: An example from Muscat in Oman</t>
  </si>
  <si>
    <t>Quantifying changes to historic fish habitat extent on north coast NSW floodplains, Australia</t>
  </si>
  <si>
    <t>Food security and livelihood in coastal area under increased salinity and frequent tidal surge</t>
  </si>
  <si>
    <t>Catalyzing action towards the sustainability of deltas</t>
  </si>
  <si>
    <t>Spatio-temporal characteristics of precipitation and dryness/wetness in Yangtze River Delta, eastern China, during 1960-2012</t>
  </si>
  <si>
    <t>A coupled, two-dimensional hydrodynamic-marsh model with biological feedback</t>
  </si>
  <si>
    <t>Growth of Common Brackish Marsh Macrophytes Under Altered Hydrologic and Salinity Regimes</t>
  </si>
  <si>
    <t>Toward a High-Resolution Monitoring of Continental Surface Water Extent and Dynamics, at Global Scale: from GIEMS (Global Inundation Extent from Multi-Satellites) to SWOT (Surface Water Ocean Topography)</t>
  </si>
  <si>
    <t>Deformational behaviours of alluvial units detected by advanced radar interferometry in the vega media of the segura river, southeast spain</t>
  </si>
  <si>
    <t>Estimation of sub-catchment area parameters for Storm Water Management Model (SWMM) using geo-informatics</t>
  </si>
  <si>
    <t>On the use of SRTM and altimetry data for flood modeling in data-sparse regions</t>
  </si>
  <si>
    <t>Hidden sinkholes and karst cavities in the travertine plateau of a highly-populated geothermal seismic territory (Tivoli, central Italy)</t>
  </si>
  <si>
    <t>Coastal lagoons and rising sea level: A review</t>
  </si>
  <si>
    <t>Decentralizing urban disaster risk management in a centralized system? Agendas, actors and contentions in Vietnam</t>
  </si>
  <si>
    <t>Progress in operational flood mapping using satellite synthetic aperture radar (SAR) and airborne light detection and ranging (LiDAR) data</t>
  </si>
  <si>
    <t>Impact assessment of coastal hazards due to future changes of tropical cyclones in the North Pacific Ocean</t>
  </si>
  <si>
    <t>Revealing the natural complexity of topographic change processes through repeat surveys and decision-tree classification</t>
  </si>
  <si>
    <t>Specifying the areas suitable for flood spreading with the approach of sustainable development of groundwater resources, case study: Sarkhoon plain of Hormozgan</t>
  </si>
  <si>
    <t>Nitrogen cycling in a freshwater estuary</t>
  </si>
  <si>
    <t>Hydrocarbon maturation modeling of Paleocene to Lower Miocene source rocks in the Niger Delta Basin: implications for hydrocarbon generation</t>
  </si>
  <si>
    <t>Overestimation of marsh vulnerability to sea level rise</t>
  </si>
  <si>
    <t>Drinking water vulnerability to climate change and alternatives for adaptation in coastal South and South East Asia</t>
  </si>
  <si>
    <t>The impacts of climate change across the globe: A multi-sectoral assessment</t>
  </si>
  <si>
    <t>Storms or cold fronts: What is really responsible for the extreme waves regime in the Colombian Caribbean coastal region?</t>
  </si>
  <si>
    <t>Field Survey of the 2015 Chile Tsunami with Emphasis on Coastal Wetland and Conservation Areas</t>
  </si>
  <si>
    <t>The hydrogeology of the military inundation at the 1914–1918 Yser front (Belgium); [Hydrogéologie de l’inondation du front militaire d’Yser en 1914–1918 (Belgique)]; [A hidrogeologia da inundação militar na frente de batalha de Yser (Bélgica) entre 1914–1918]; [La hidrogeología en la inundación militar del frente de Yser 1914–1918 (Bélgica)]</t>
  </si>
  <si>
    <t>Attitudes toward disaster-prevention risk in Japanese coastal areas: analysis of civil preference</t>
  </si>
  <si>
    <t>Tidal asymmetry in a tidal creek with mixed mainly semidiurnal tide, Bushehr Port, Persian Gulf</t>
  </si>
  <si>
    <t>Can the Gulf Stream induce coherent short-term fluctuations in sea level along the US East Coast? A modeling study</t>
  </si>
  <si>
    <t>Subsurface Evidence of Storm-Driven Breaching along a Transgressing Barrier System, Cape Cod, U.S.A.</t>
  </si>
  <si>
    <t>Assessing the Hydro-Morphodynamic Response of a Beach Protected by Detached, Impermeable, Submerged Breakwaters: A Numerical Approach</t>
  </si>
  <si>
    <t>Source-to-sink sedimentary systems and global carbon burial: A river runs through it</t>
  </si>
  <si>
    <t>Deconstructing vulnerability and adaptation in a coastal river basin ecosystem: a participatory analysis of flood risk in Nadi, Fiji Islands</t>
  </si>
  <si>
    <t>Hydraulic models for the reconstruction of the July 1987 event in Valtellina; [Modelli idraulici per la ricostruzione dell'evento del Luglio 1987 in Valtellina]</t>
  </si>
  <si>
    <t>Spatio-temporal characteristics of the extreme precipitation by L-moment-based index-flood method in the Yangtze River Delta region, China</t>
  </si>
  <si>
    <t>Enhanced Atlantic sea-level rise relative to the Pacific under high carbon emission rates</t>
  </si>
  <si>
    <t>Vulnerability assessment for preliminary flood risk mapping and management in coastal areas</t>
  </si>
  <si>
    <t>Supratidal Land Use Change and Its Morphodynamic Effects along the Eastern Coast of Laizhou Bay during the Recent 50 Years</t>
  </si>
  <si>
    <t>Energy and carbon assessment of ground improvement works. II: Working model and example</t>
  </si>
  <si>
    <t>Short-Term Response of Aquatic Metabolism to Hydrologic Pulsing in the Coastal Wetlands of Yellow River Delta</t>
  </si>
  <si>
    <t>Assessing the Relationship Between River Mobility and Habitat</t>
  </si>
  <si>
    <t>Projection of future streamflow changes of the Pearl River basin in China using two delta-change methods</t>
  </si>
  <si>
    <t>Evaluation of farmland losses from sea level rise and storm surges in the Pearl River Delta region under global climate change</t>
  </si>
  <si>
    <t>Quantifying the effect of sea level rise and flood defence &amp;ndash; A point process perspective on coastal flood damage</t>
  </si>
  <si>
    <t>Tidal asymmetry in a funnel-shaped estuary with mixed semidiurnal tides</t>
  </si>
  <si>
    <t>Improving spatiotemporal groundwater estimates after natural disasters using remotely sensed data – a case study of the Indian Ocean Tsunami</t>
  </si>
  <si>
    <t>Solar pacing of storm surges, coastal flooding and agricultural losses in the Central Mediterranean</t>
  </si>
  <si>
    <t>Geomorphology as an indicator of the biophysical vulnerability of estuaries to coastal and flood hazards in a changing climate</t>
  </si>
  <si>
    <t>Engineering innovation of a length of nearly 3300m large diameter pipeline installed by HDD</t>
  </si>
  <si>
    <t>Future sea level rise constrained by observations and long-term commitment</t>
  </si>
  <si>
    <t>GIS-based approach for flood analysis: case study of Keçidere flash flood event (Turkey)</t>
  </si>
  <si>
    <t>Land use affects soil organic carbon of paddy soils: empirical evidence from 6280 years BP to present</t>
  </si>
  <si>
    <t>Perfusion deficits and functional connectivity alterations in memory-related regions of patients with post-traumatic stress disorder</t>
  </si>
  <si>
    <t>Flood inundation uncertainty: The case of a 0.5% annual probability flood event</t>
  </si>
  <si>
    <t>A description of the tides and effect of Qeshm canal on that in the Persian Gulf using two-dimensional numerical model</t>
  </si>
  <si>
    <t>Navigating interests, navigating knowledge: Towards an inclusive set-back delineation along Cape Town's coastline</t>
  </si>
  <si>
    <t>A decade of investigations on groundwater arsenic contamination in Middle Ganga Plain, India</t>
  </si>
  <si>
    <t>Evolution of extreme high waters along the east coast of India and at the head of the Bay of Bengal</t>
  </si>
  <si>
    <t>Long-term changes in the frequency, intensity and duration of extreme storm surge events in southern Europe</t>
  </si>
  <si>
    <t>Adaptive Delta Management for flood risk and resilience in Dordrecht, The Netherlands</t>
  </si>
  <si>
    <t>Preface: Monitoring and modelling to guide coastal adaptation to extreme storm events in a changing climate</t>
  </si>
  <si>
    <t>Developing and managing transdisciplinary and transformative research on the coastal dynamics of sea level rise: Experiences and lessons learned</t>
  </si>
  <si>
    <t>An efficient variant of the Priority-Flood algorithm for filling depressions in raster digital elevation models</t>
  </si>
  <si>
    <t>Creating southeast Louisiana risk assessment maps</t>
  </si>
  <si>
    <t>Mapping floods due to Hurricane Sandy using NPP VIIRS and ATMS data and geotagged Flickr imagery</t>
  </si>
  <si>
    <t>Kedarnath disaster 2013: causes and consequences using remote sensing inputs</t>
  </si>
  <si>
    <t>Combined fluvial and pluvial urban flood hazard analysis: Concept development and application to Can Tho city, Mekong Delta, Vietnam</t>
  </si>
  <si>
    <t>Simulating the effects of Sea Level Rise on the resilience and migration of tidal wetlands along the Hudson River</t>
  </si>
  <si>
    <t>Storm surge hazard in Manila Bay: Typhoon Nesat (Pedring) and the SW monsoon</t>
  </si>
  <si>
    <t>Floodplain Mapping Using HEC-RAS and ArcGIS: A Case Study of Kabul River</t>
  </si>
  <si>
    <t>Vertical land motion as a key to understanding sea level change and variability</t>
  </si>
  <si>
    <t>Methods of tsunami detection and of post-tsunami surveys</t>
  </si>
  <si>
    <t>Estimation of insurance-related losses resulting from coastal flooding in France</t>
  </si>
  <si>
    <t>Managed realignment for habitat compensation: Use of a new intertidal habitat by fishes</t>
  </si>
  <si>
    <t>Comparing a hydrodynamic model from fifth generation dtm data and a model from data modified by means of crosolver tool</t>
  </si>
  <si>
    <t>Tunnel boring machine collision with an ancient boulder beach during the excavation of the Barcelona city subway L10 line: A case of adverse geology and resulting engineering solutions</t>
  </si>
  <si>
    <t>Seasonal variation of tidal prism and energy in the Changjiang River estuary: a numerical study</t>
  </si>
  <si>
    <t>Impact assessment of climate change on coastal hazards in Japan</t>
  </si>
  <si>
    <t>Coastal zone management</t>
  </si>
  <si>
    <t>Australia's wetlands - Learning from the past to manage for the future</t>
  </si>
  <si>
    <t>High-accuracy elevation data at large scales from airborne single-pass SAR interferometry</t>
  </si>
  <si>
    <t>Statistical analysis of historical extreme water levels for the U.S. North Atlantic coast using Monte Carlo life-cycle simulation</t>
  </si>
  <si>
    <t>Modelling small-scale foraging habitat use in breeding Eurasian oystercatchers (Haematopus ostralegus) in relation to prey distribution and environmental predictors</t>
  </si>
  <si>
    <t>Flood Hazard Mapping by Using Geographic Information System and Hydraulic Model: Mert River, Samsun, Turkey</t>
  </si>
  <si>
    <t>3D modelling of the Holocene succession in the southern Po Delta (Italy): From geology to applications</t>
  </si>
  <si>
    <t>Application of DC resistivity method for groundwater investigation, case study at West Nile Delta, Egypt</t>
  </si>
  <si>
    <t>Hydrological and economic effects of oil palm cultivation in Indonesian peatlands</t>
  </si>
  <si>
    <t>Fuzzy classification for shoreline change monitoring in a part of the Northern coastal area of Java, Indonesia</t>
  </si>
  <si>
    <t>Flood damage analysis: First floor elevation uncertainty resulting from LiDAR-derived digital surface models</t>
  </si>
  <si>
    <t>Hydraulic engineering in the social-ecological delta: Understanding the interplay between social, ecological, and technological systems in the Dutch delta by means of “delta trajectories.”</t>
  </si>
  <si>
    <t>Use of novel high-resolution 3D marine seismic technology to evaluate Quaternary fluvial valley development and geologic controls on shallow gas distribution, inner shelf, Gulf of Mexico</t>
  </si>
  <si>
    <t>Tropical cyclones and climate change</t>
  </si>
  <si>
    <t>Quantification of Multiple Climate Change and Human Activity Impact Factors on Flood Regimes in the Pearl River Delta of China</t>
  </si>
  <si>
    <t>Numerical modelling of storm and surge events on offshore sandbanks</t>
  </si>
  <si>
    <t>Identification of woodland vernal pools with seasonal change PALSAR data for habitat conservation</t>
  </si>
  <si>
    <t>Grey swan tropical cyclones</t>
  </si>
  <si>
    <t>Quaternary mollusc assemblages from the lower basin of Salado River, Buenos Aires Province: Their use as paleoenvironmental indicators</t>
  </si>
  <si>
    <t>Climate changes in mangrove forests and salt marshes</t>
  </si>
  <si>
    <t>Rainfall-runoff modeling for predictive infiltration and recharge areas for water management in semi-arid basin: a case study from Saadine watershed, Tunisia</t>
  </si>
  <si>
    <t>Riverscape mapping with helicopter-based Structure-from-Motion photogrammetry</t>
  </si>
  <si>
    <t>A method to assess localized impact of better floodplain topography on flood risk prediction</t>
  </si>
  <si>
    <t>Tectonic decapitation of a pliocene mega-delta on isla del Carmen in the gulf of California (Mexico): And a river ran through it</t>
  </si>
  <si>
    <t>Seasonal changes in the inundation area and water volume of the Tonle Sap River and its floodplain</t>
  </si>
  <si>
    <t>Geomorphic knowledge for mangrove restoration: A pan-tropical categorization</t>
  </si>
  <si>
    <t>Storm surges and coastal flooding: Status and challenges</t>
  </si>
  <si>
    <t>Can an early-warning system help minimize the impacts of coastal storms? A case study of the 2012 Halloween storm, northern Italy</t>
  </si>
  <si>
    <t>Analysis of probable flows based on the rainfall-runoff model for flood scenarios: A case study of the losse river catchment (Germany)</t>
  </si>
  <si>
    <t>Assessing the relevance of wetlands for storm surge protection: a coupled hydrodynamic and geospatial framework</t>
  </si>
  <si>
    <t>Flood risk analysis in lower part of Markham river based on multi-criteria decision approach (MCDA)</t>
  </si>
  <si>
    <t>Stage monitoring in turbid reservoirs with an inclined terrestrial near-infrared lidar</t>
  </si>
  <si>
    <t>Iceberg jam floods in Icelandic proglacial rivers: Testing the self-organized criticality hypothesis; [Crues de b arrage glaciel dans les cours d'EAU proglaciaires islandais : Test de l'hypothèse de criticalité auto-organisée]</t>
  </si>
  <si>
    <t>Late Quaternary seismic stratigraphy in response to postglacial sea-level rise at the mid-eastern Yellow Sea</t>
  </si>
  <si>
    <t>Combined modelling of coastal barrier breaching and induced flood propagation using XBeach</t>
  </si>
  <si>
    <t>Multiple constraints based robust matching of poor-texture close-range images for monitoring a simulated landslide</t>
  </si>
  <si>
    <t>Statistical analysis of morphometric and hydrologic parameters in arid regions, case study of Wadi Hadramaut</t>
  </si>
  <si>
    <t>Glacial lake outburst flood risk assessment using combined approaches of remote sensing, GIS and dam break modelling</t>
  </si>
  <si>
    <t>Observed changes in the Earth’s dynamic oblateness from GRACE data and geophysical models</t>
  </si>
  <si>
    <t>An estimation of regional geologic structures from the geomorphology to characterize the Wadi systems, southeast Sinai, Egypt</t>
  </si>
  <si>
    <t>Evaluating infrastructure resilience to extreme weather – The case of the Dutch electricity transmission network</t>
  </si>
  <si>
    <t>Combining L- and X-Band SAR interferometry to assess ground displacements in heterogeneous coastal environments: The Po River Delta and Venice Lagoon, Italy</t>
  </si>
  <si>
    <t>Application of a synthetic cyclone method for assessment of tropical cyclone storm tides in Samoa</t>
  </si>
  <si>
    <t>Geomorphological indicators to assess the vulnerability to flooding by sea level rise due to climate change in the coast of Tabasco and Campeche, Mexico; [Indicadores geomorfológicos para evaluar la vulnerabilidad por inundación ante el ascenso del nivel del mar debido al cambio climático en la costa de Tabasco y Campeche, México]</t>
  </si>
  <si>
    <t>InSAR-based mapping of tidal inundation extent and amplitude in Louisiana coastal wetlands</t>
  </si>
  <si>
    <t>A low cost technique for development of ultra-high resolution topography: Application to a dry maar's bottom</t>
  </si>
  <si>
    <t>Investigations on the shale oil and gas potential of westphalian mudstone successions in the campine basin, NE Belgium (Well KB174): Palaeoenvironmental and palaeogeographical controls</t>
  </si>
  <si>
    <t>Simulation of sea level rise and its impacts on the western coastal area of Saudi Arabia</t>
  </si>
  <si>
    <t>Strong ocean-atmosphere interactions during a short-term hot Event over the western Pacific warm pool in response to El Niño</t>
  </si>
  <si>
    <t>The Port Alfred floods of 17-23 October 2012: A case of disaster (mis)management?</t>
  </si>
  <si>
    <t>Citizens of sinking islands: Early victims of climate change</t>
  </si>
  <si>
    <t>Improving the coastal record of tsunamis in the ESI-07 scale: Tsunami Environmental Effects Scale (TEE-16 scale)</t>
  </si>
  <si>
    <t>Perspectives on open access high resolution digital elevation models to produce global flood hazard layers</t>
  </si>
  <si>
    <t>The overlooked role of biotic factors in controlling the ecological performance of artificial marine habitats</t>
  </si>
  <si>
    <t>Characterization of black sand mining activities and their environmental impacts in the philippines using remote sensing</t>
  </si>
  <si>
    <t>Climate justice, loss and damage and compensation for small island developing states</t>
  </si>
  <si>
    <t>Environmental change and migration in coastal regions: Examples from Ghana and Indonesia</t>
  </si>
  <si>
    <t>The changing geomorphology of the Atchafalaya River, Louisiana: A historical perspective</t>
  </si>
  <si>
    <t>Leaf growth rates (Thalassia testudinum, Banks ex Koning) as an indicator of seagrass responses to freshwater releases</t>
  </si>
  <si>
    <t>Environmental risks in production and transportation of hydrocarbons in the caspian–black sea region</t>
  </si>
  <si>
    <t>Hurricane irene sensitivity to stratified coastal ocean cooling</t>
  </si>
  <si>
    <t>Modeling investigation of asymmetric tidal mixing and residual circulation in a partially stratified estuary</t>
  </si>
  <si>
    <t>Socio-economic impacts under different sea-level rise scenarios: Analysis at local level along the coastal area of Rome (Italy)</t>
  </si>
  <si>
    <t>Impact of seasonal variation on the recreational water quality of Calabar River Estuary, Nigeria</t>
  </si>
  <si>
    <t>Storm Surges in the Strait of Georgia Simulated with a Regional Model</t>
  </si>
  <si>
    <t>Modelling tidal influence on sea breezes with models of different complexity</t>
  </si>
  <si>
    <t>A coupled analytical model for salt intrusion and tides in convergent estuaries</t>
  </si>
  <si>
    <t>Modification of a digital elevation model (DEM) in a flat topographic area with respect to manmade features</t>
  </si>
  <si>
    <t>Circulation and meltwater distribution in the Bellingshausen Sea: From shelf break to coast</t>
  </si>
  <si>
    <t>Evaluation of coastal vulnerability to flooding: Comparison of two different methodologies adopted by the Emilia-Romagna region (Italy)</t>
  </si>
  <si>
    <t>Geographic characteristics of the black-caspian seas region</t>
  </si>
  <si>
    <t>Growth of coastal population: Likely exposure to sea level rise and associated storm surge flooding in the sultanate of Oman</t>
  </si>
  <si>
    <t>Incorporating circulation statistics in bias correction of GCM ensembles: hydrological application for the Rhine basin</t>
  </si>
  <si>
    <t>The simulation of a storm surge and wave due to Typhoon Sarah using an integrally coupled tide-surge-wave model of the Yellow and East China Seas</t>
  </si>
  <si>
    <t>Cliff instability and erosion management in England and Wales</t>
  </si>
  <si>
    <t>Assessing geomorphic sensitivity in relation to river capacity for adjustment</t>
  </si>
  <si>
    <t>Assessing changes in extreme sea levels along the coast of China</t>
  </si>
  <si>
    <t>Coastal climate change and aging communities in Atlantic Canada: A methodological overview of community asset and social vulnerability mapping</t>
  </si>
  <si>
    <t>R.randomwalk v1, a multi-functional conceptual tool for mass movement routing</t>
  </si>
  <si>
    <t>Landform control on settlement distribution pattern in Progo Delta, Indonesia</t>
  </si>
  <si>
    <t>A century of UK coastal flooding</t>
  </si>
  <si>
    <t>Spatial and temporal variations in soft-cliff erosion along the Holderness coast, East Riding of Yorkshire, UK</t>
  </si>
  <si>
    <t>Climate Change and the Evolution and Fate of the Tangier Islands of Chesapeake Bay, USA</t>
  </si>
  <si>
    <t>Considering coastal palaeogeographical changes in a numerical tsunami model - A progressive base to compare simulation results with field traces from three coastal settings in western Greece</t>
  </si>
  <si>
    <t>Climate change adaptation; innovative tools and strategies in Delta city Rotterdam</t>
  </si>
  <si>
    <t>Analysis of ground subsidence at a coal-mining area in Huainan using time-series InSAR</t>
  </si>
  <si>
    <t>Adaptation analysis for environmental change in coastal communities</t>
  </si>
  <si>
    <t>Extreme water level analysis at three stations on the coast of the Northwestern Pacific Ocean</t>
  </si>
  <si>
    <t>Using vulnerability indicators to develop resilience networks: a similarity approach</t>
  </si>
  <si>
    <t>Incorporating the effect of DEM resolution and accuracy for improved flood inundation mapping</t>
  </si>
  <si>
    <t>Determinants of residential vulnerability to flood hazards in Metro Vancouver, Canada</t>
  </si>
  <si>
    <t>Evaluation of the Relationship Between Coral Damage and Tsunami Dynamics; Case Study: 2009 Samoa Tsunami</t>
  </si>
  <si>
    <t>Towards practitioner-initiated interactive knowledge development for sustainable development: A cross-case analysis of three coastal projects</t>
  </si>
  <si>
    <t>Using groundwater data sondes to produce high-quality in situ tide and wave hydrographs along Wallops Island, Virginia</t>
  </si>
  <si>
    <t>An improved method to represent DEM uncertainty in glacial lake outburst flood propagation using stochastic simulations</t>
  </si>
  <si>
    <t>Typhoon damage assessment model and analysis in Taiwan</t>
  </si>
  <si>
    <t>The 2000 Yigong landslide (Tibetan Plateau), rockslide-dammed lake and outburst flood: Review, remote sensing analysis, and process modelling</t>
  </si>
  <si>
    <t>The rising tide: Migration as a response to loss and damage from sea level rise in vulnerable communities</t>
  </si>
  <si>
    <t>Salinization of coastal freshwater wetlands; effects of constant versus fluctuating salinity on sediment biogeochemistry</t>
  </si>
  <si>
    <t>Coastal and environmental remote sensing from unmanned aerial vehicles: An overview</t>
  </si>
  <si>
    <t>Terrain-driven unstructured mesh development through semi-automatic vertical feature extraction</t>
  </si>
  <si>
    <t>Flood-prone areas assessment using linear binary classifiers based on flood maps obtained from 1D and 2D hydraulic models</t>
  </si>
  <si>
    <t>Morphodynamics, sedimentary and anthropogenic influences in the San Vicente de la Barquera estuary (North coast of Spain)</t>
  </si>
  <si>
    <t>Luxury tourism investment and flood risk: Case study on unsustainable development in Denarau island resort in Fiji</t>
  </si>
  <si>
    <t>Predicting the number, orientation and spacing of dike breaches for tidal marsh restoration</t>
  </si>
  <si>
    <t>Remote sensing and GIS techniques for reconstructing Arabian palaeohydrology and identifying archaeological sites</t>
  </si>
  <si>
    <t>Swiftness of biomorphodynamics in Lilliput- to Giant-sized rivers and deltas</t>
  </si>
  <si>
    <t>Assessment and comparison of extreme sea levels and waves during the 2013/14 storm season in two UK coastal regions</t>
  </si>
  <si>
    <t>Hydrological response to climate change: The Pearl River, China under different RCP scenarios</t>
  </si>
  <si>
    <t>Changes in ice dynamics, elevation and mass discharge of Dinsmoor-Bombardier-Edgeworth glacier system, Antarctic Peninsula</t>
  </si>
  <si>
    <t>U.S. Coastal Flood Insurance, Risk Perception, and Sea-Level Rise: A Perspective</t>
  </si>
  <si>
    <t>Promoting knowledge translation through information and knowledge sharing: The case of the molapo farming communities</t>
  </si>
  <si>
    <t>Groundwater freshening following coastal progradation and land reclamation of the Po Plain, Italy; [Rafraîchissement des eaux souterraines à la suite d’une progradation côtière et d’une réhabilitation des terrains de la plaine du Pô, Italie]; [Addolcimento delle acque sotterranee a seguito di pro-gradazione e bonifica costiera nella Pianura Padana (Italia)]; [Dulcificação (freshening) de águas subterrâneas seguindo o avanço costeiro e recuperação de terras da Planície do Pó, Itália]; [Conversión del agua subterránea en agua dulce después de una progradación costera y recuperación de tierras en la llanura del Po, Italia]</t>
  </si>
  <si>
    <t>Propagation of tidal waves up in Yangtze Estuary during the dry season</t>
  </si>
  <si>
    <t>Detailed quantification of delta subsidence, compaction and interaction with man-made structures: The case of the NCA airport, France</t>
  </si>
  <si>
    <t>Hydrological analysis and flood mitigation at Wadi Hadramawt, Yemen</t>
  </si>
  <si>
    <t>Freshwater discharges drive high levels of methylmercury in Arctic marine biota</t>
  </si>
  <si>
    <t>An Analysis of the Effects of Land Use and Land Cover on Flood Losses along the Gulf of Mexico Coast from 1999 to 2009</t>
  </si>
  <si>
    <t>Guidance for Developing Coastal Vulnerability Metrics</t>
  </si>
  <si>
    <t>Spatial–temporal distribution of storm surge damage in the coastal areas of China</t>
  </si>
  <si>
    <t>Island morphology, reef resources, and development paths in the Maldives</t>
  </si>
  <si>
    <t>Flash Flood Hazard Mapping Using Satellite Images and GIS Tools: A case study of Najran City, Kingdom of Saudi Arabia (KSA)</t>
  </si>
  <si>
    <t>Improving low-relief coastal LiDAR DEMs with Hydro-conditioning of Fine-scale and artificial drainages</t>
  </si>
  <si>
    <t>Effects of storm clustering on beach/dune evolution</t>
  </si>
  <si>
    <t>Constructing Water Shortages on a Huge River: The Case of Shanghai</t>
  </si>
  <si>
    <t>Coastal vulnerability across the Pacific dominated by El Niño/Southern Oscillation</t>
  </si>
  <si>
    <t>A new index for evaluation of risk of complex disaster due to typhoons</t>
  </si>
  <si>
    <t>Far-Field Tsunami Impact in the North Atlantic Basin from Large Scale Flank Collapses of the Cumbre Vieja Volcano, La Palma</t>
  </si>
  <si>
    <t>River response to European settlement in the subtropical Brisbane River, Australia</t>
  </si>
  <si>
    <t>Application of data assimilation for improved operational water level forecasting on the northwest European shelf and North Sea</t>
  </si>
  <si>
    <t>Climate-induced community relocations: Using integrated social-ecological assessments to foster adaptation and resilience</t>
  </si>
  <si>
    <t>Forest Transitions in Mosaic Landscapes: Smallholder's Flexibility in Land-Resource Use Decisions and Livelihood Strategies From World War II to the Present in the Amazon Estuary</t>
  </si>
  <si>
    <t>Scenario-based numerical modelling and the palaeo-historic record of tsunamis in Wallis and Futuna, Southwest Pacific</t>
  </si>
  <si>
    <t>A Tool for Coastal Setbacks Demarcation over Rough, Impermeable Shores: The Test Case of Kavala Coastline (Northern Greece)</t>
  </si>
  <si>
    <t>Adaptation benefits and costs of raising coastal buildings under storm-tide inundation in South East Queensland, Australia</t>
  </si>
  <si>
    <t>Turbulence and mixing in a freshwater-influenced tidal bay: Observations and numerical modeling</t>
  </si>
  <si>
    <t>Evaluation of the U.S. Geological Survey standard elevation products in a two-dimensional hydraulic modeling application for a low relief coastal floodplain</t>
  </si>
  <si>
    <t>Changing properties of precipitation extremes in the urban areas, Yangtze River Delta, China, during 1957–2013</t>
  </si>
  <si>
    <t>Elevation trends in wide beach-ridge systems retrieved from landsat images and the SRTM digital surface model</t>
  </si>
  <si>
    <t>Landscape-scale geomorphic change detection: Quantifying spatially variable uncertainty and circumventing legacy data issues</t>
  </si>
  <si>
    <t>Implications of climate change on the groundwater flow regime and geochemistry of the Nile Delta, Egypt</t>
  </si>
  <si>
    <t>Vertical ground movements in the polish and lithuanian baltic coastal area as measured by satellite interferometry</t>
  </si>
  <si>
    <t>Perceptions on equity and responsibility in coastal zone policies</t>
  </si>
  <si>
    <t>Change detection in floodable areas of the Danube delta using radar images</t>
  </si>
  <si>
    <t>Establishing relative sea level trends where a coast lacks a long term tide gauge</t>
  </si>
  <si>
    <t>Plugs or flood-makers? The unstable landslide dams of eastern Oregon</t>
  </si>
  <si>
    <t>Vulnerability assessment of coastal bridges on Oahu impacted by storm surge and waves</t>
  </si>
  <si>
    <t>Vegetation pattern in shell ridge island in China’s Yellow River Delta</t>
  </si>
  <si>
    <t>Groundwater salinisation on atoll islands after storm-surge flooding: Modelling the influence of central topographic depressions</t>
  </si>
  <si>
    <t>Formation of microbial mats and salt in radioactive paddy soils in Fukushima, Japan</t>
  </si>
  <si>
    <t>A review of applications of satellite SAR, optical, altimetry and DEM data for surface water modelling, mapping and parameter estimation</t>
  </si>
  <si>
    <t>Risky change? Vietnam’s urban flood risk governance between climate dynamics and transformation</t>
  </si>
  <si>
    <t>Lithofacies palaeogeography of the Carboniferous and Permian in the Qinshui Basin, Shanxi Province, China</t>
  </si>
  <si>
    <t>A case study of evidence for showing 'no net loss' of bird biodiversity in a development project</t>
  </si>
  <si>
    <t>A sea surface height control dam at the Strait of Gibraltar</t>
  </si>
  <si>
    <t>Storm surge mapping of typhoon Haiyan and its impact in Tanauan, Leyte, Philippines</t>
  </si>
  <si>
    <t>Coasting out of Africa: The potential of mangrove forests and marine habitats to facilitate human coastal expansion via the Southern Dispersal Route</t>
  </si>
  <si>
    <t>An integrated approach for catchment delineation and conduit-network modeling in karst aquifers: application to a site in the Swiss tabular Jura; [Approche intégrée pour la délimitation des bassins d’alimentation et la modélisation du réseau de conduits des systèmes karstiques: application au jura tabulaire Suisse]; [Integraler Ansatz für Einzugsgebietsbegrenzungen und Modellierung von Karst-Grundwasserleiter Netzwerken an einem Beispiel aus dem schweizerischen Tafeljura]; [Uma aproximação integrada para a delimitação de capitação e modelagem de rede de canais em aquíferos cársticos: aplicações para um local no Jura tabular Suíço]; [Un enfoque integrado para la delimitación de la cuenca y la modelización de una red de conductos en los acuíferos kársticos: aplicación a un sitio en el Jura suizo]</t>
  </si>
  <si>
    <t>Episodic, rapid sea-level rises on the central Mediterranean shelves after the Last Glacial Maximum: A review</t>
  </si>
  <si>
    <t>A Faster and Economical Approach to Floodplain Mapping Using Soil Information</t>
  </si>
  <si>
    <t>Specific features of the accumulation and distribution of heavy metals in soils of the floodplain and deltaic landscapes of the don river</t>
  </si>
  <si>
    <t>Ice Height and Backscattering Coefficient Variability over Greenland Ice Sheets Using SARAL Radar Altimeter</t>
  </si>
  <si>
    <t>Microseismic sources during Hurricane Sandy</t>
  </si>
  <si>
    <t>Floods and cold front passages: Impacts on coastal marshes in a river diversion setting (Wax Lake Delta Area, Louisiana)</t>
  </si>
  <si>
    <t>An Actor-Oriented and Context-Specific Framework for Evaluating Climate Change Adaptation</t>
  </si>
  <si>
    <t>Quantifying the environmental controls on erosion of a hard rock cliff</t>
  </si>
  <si>
    <t>Tracing glacier changes in Austria from the Little Ice Age to the present using a lidar-based high-resolution glacier inventory in Austria</t>
  </si>
  <si>
    <t>The legacy of migration in response to climate stress: learning from the Gilbertese resettlement in the Solomon Islands</t>
  </si>
  <si>
    <t>Supporting Local and Traditional Knowledge with Science for Adaptation to Climate Change: Lessons Learned from Participatory Three-Dimensional Modeling in BoeBoe, Solomon Islands</t>
  </si>
  <si>
    <t>Effect of long-term changes of marine factors on river mouths</t>
  </si>
  <si>
    <t>Estimating the long-term historic evolution of exposure to flooding of coastal populations</t>
  </si>
  <si>
    <t>Vulnerability assessments of coastal river deltas - categorization and review</t>
  </si>
  <si>
    <t>Mental models of sea-level change: A mixed methods analysis on the Severn Estuary, UK</t>
  </si>
  <si>
    <t>Simulation of the melt season using a resolved sea ice model with snow cover and melt ponds</t>
  </si>
  <si>
    <t>Effects of salinity variations on pore water flow in salt marshes</t>
  </si>
  <si>
    <t>The spatial distribution of dissolved and particulate heavy metals and their response to land-based inputs and tides in a semi-enclosed industrial embayment: Jiaozhou Bay, China</t>
  </si>
  <si>
    <t>Evaluation of NDWI and MNDWI for assessment of waterlogging by integrating digital elevation model and groundwater level</t>
  </si>
  <si>
    <t>Interactive effects of climate change with nutrients, mercury, and freshwater acidification on key taxa in the North Atlantic Landscape Conservation Cooperative region</t>
  </si>
  <si>
    <t>The geomorphological and hydrogeological evidences for a Holocene deluge in Arabia</t>
  </si>
  <si>
    <t>Spatial risk assessment of hydrological extremities: Inland excess water hazard, Szabolcs-Szatmár-Bereg County, Hungary</t>
  </si>
  <si>
    <t>Airborne and ground geophysical mapping of coastal clays in Eastern Friesland, Germany</t>
  </si>
  <si>
    <t>Flood inundation extent mapping based on block compressed tracing</t>
  </si>
  <si>
    <t>Results of the clean-up operation to reduce pollution on flooded agricultural fields after the red mud spill in Hungary</t>
  </si>
  <si>
    <t>Modeling sea-level rise vulnerability of coastal environments using ranked management concerns</t>
  </si>
  <si>
    <t>Combined infragravity wave and sea-swell runup over fringing reefs by super typhoon Haiyan</t>
  </si>
  <si>
    <t>Representing hydrodynamically important blocking features in coastal or riverine lidar topography</t>
  </si>
  <si>
    <t>Vulnerability of artisanal fishing communities to flood risks in coastal southwest Nigeria</t>
  </si>
  <si>
    <t>Rainfall-runoff modeling of ungauged Wadis in arid environments (case study Wadi Rabigh—Saudi Arabia)</t>
  </si>
  <si>
    <t>Rapid Damage Assessment of Rice Crop after Large-Scale Flood in the Cambodian Floodplain Using Temporal Spatial Data</t>
  </si>
  <si>
    <t>A validation of an operational wave and surge prediction system for the Dutch coast</t>
  </si>
  <si>
    <t>Role of intertidal wetlands for tidal and storm tide attenuation along a confined estuary: A model study</t>
  </si>
  <si>
    <t>Assessment of crack initiation and propagation in rock from explosion-induced stress waves and gas expansion by cross-hole seismometry and FEM-DEM method</t>
  </si>
  <si>
    <t>A dual effect of urban expansion on flood risk in the Pearl River Delta (China) revealed by land-use scenarios and direct runoff simulation</t>
  </si>
  <si>
    <t>Inundation and salinity impacts to above- and belowground productivity in Spartina patens and Spartina alterniflora in the Mississippi River deltaic plain: Implications for using river diversions as restoration tools</t>
  </si>
  <si>
    <t>Physiological Profiles as Indicators of Response to Hurricane Disturbance for Three Coastal Wetland Species</t>
  </si>
  <si>
    <t>Spatial tidal asymmetry of Cochin estuary, West Coast, India</t>
  </si>
  <si>
    <t>Salt marshes to adapt the flood defences along the Dutch Wadden Sea coast</t>
  </si>
  <si>
    <t>A review of trend models applied to sea level data with reference to the "acceleration-deceleration debate</t>
  </si>
  <si>
    <t>Analysis of flood modeling through innovative geomatic methods</t>
  </si>
  <si>
    <t>Uncertainty in the future change of extreme precipitation over the Rhine basin: the role of internal climate variability</t>
  </si>
  <si>
    <t>On the Investigation of the Sea-Level Variability in Coastal Zones Using SWOT Satellite Mission: Example of the Eastern English Channel (Western France)</t>
  </si>
  <si>
    <t>Global Lessons for Adapting Coastal Communities to Protect against Storm Surge Inundation</t>
  </si>
  <si>
    <t>Strategic flood management: ten ‘golden rules’ to guide a sound approach</t>
  </si>
  <si>
    <t>A geographic approach for combining social media and authoritative data towards identifying useful information for disaster management</t>
  </si>
  <si>
    <t>Remote sensing of floods and flood-prone areas: An overview</t>
  </si>
  <si>
    <t>Flooding hazard in the Tagus estuarine area: The challenge of scale in vulnerability assessments</t>
  </si>
  <si>
    <t>Development opportunities of flood protection in the coastal zone - Risk or safety?; [Entwicklungsmöglichkeiten des Hochwasserschutzes im Küstenraum-Risiko oder Sicherheit?]</t>
  </si>
  <si>
    <t>Maximum-recorded overland run-ups of major nearfield paleotsunamis during the past 3000 years along the Cascadia margin, USA, and Canada</t>
  </si>
  <si>
    <t>A review of the biophysical impacts of climate change in three hotspot regions in Africa and Asia</t>
  </si>
  <si>
    <t>Building climate change resilience through bottom-up adaptation to flood risk in Warri, Nigeria</t>
  </si>
  <si>
    <t>Shoreline change assessment using remote sensing and GIS techniques: a case study of the Medjerda delta coast, Tunisia</t>
  </si>
  <si>
    <t>Mapping climate change-caused health risk for integrated city resilience modeling</t>
  </si>
  <si>
    <t>A Method for DEM Construction Considering the Features in Intertidal Zones</t>
  </si>
  <si>
    <t>Geomechanics of subsurface water withdrawal and injection</t>
  </si>
  <si>
    <t>A numerical study of coupled estuary-shelf circulation around the Pearl River Estuary during summer: Responses to variable winds, tides and river discharge</t>
  </si>
  <si>
    <t>Understanding the Behaviour of Gravity Currents in Tideless Estuaries and Considering the Impact of Sea Level Rise within the Nile Estuary</t>
  </si>
  <si>
    <t>Comparing four operational SAR-based water and flood detection approaches</t>
  </si>
  <si>
    <t>Implementation of a hydrologic model and GIS for estimating Wadi runoff in Dernah area, Al Jabal Al Akhadar, NE Libya</t>
  </si>
  <si>
    <t>Sensitivity of tidal motion in well-mixed estuaries to cross-sectional shape, deepening, and sea level rise: An analytical study</t>
  </si>
  <si>
    <t>Flood mapping using LIDAR DEM. Limitations of the 1-D modeling highlighted by the 2-D approach</t>
  </si>
  <si>
    <t>A fast simplified model for predicting river flood inundation probabilities in poorly gauged areas</t>
  </si>
  <si>
    <t>Using Shoreline Video Assessment for coastal planning and restoration in the context of climate change in Kien Giang, Vietnam</t>
  </si>
  <si>
    <t>Devastation of aquifers from tsunami-like storm surge by Supertyphoon Haiyan</t>
  </si>
  <si>
    <t>Lahar simulation at active volcanoes of the Southern Andes: implications for hazard assessment</t>
  </si>
  <si>
    <t>Handling uncertainty in bivariate quantile estimation - An application to flood hazard analysis in the Mekong Delta</t>
  </si>
  <si>
    <t>Floodplain wetland mapping in the White Volta River basin of Ghana</t>
  </si>
  <si>
    <t>Rainfall variability over the East African coast</t>
  </si>
  <si>
    <t>China's coastal wetlands: Conservation history, implementation efforts, existing issues and strategies for future improvement</t>
  </si>
  <si>
    <t>Discussion on evaluating the vulnerability of storm surge hazard bearing bodies in the coastal areas of Wenzhou</t>
  </si>
  <si>
    <t>Adaptation strategies to maintain dunes as flexible coastal flood defense in The Netherlands</t>
  </si>
  <si>
    <t>The Contributions to Storm Tides in Pacific Northwest Estuaries: Tillamook Bay, Oregon, and the December 2007 Storm</t>
  </si>
  <si>
    <t>Effect of tidal regimes on the recreational water quality of calabar river estuary</t>
  </si>
  <si>
    <t>Turnover and release of P-, N-, Si-nutrients in the Mexicali Valley (Mexico): Interactions between the lower Colorado River and adjacent ground- and surface water systems</t>
  </si>
  <si>
    <t>Glacial lake outburst flood at Kedarnath, Indian Himalaya: a study using digital elevation models and satellite images</t>
  </si>
  <si>
    <t>Coastal vulnerability assessment studies over India: a review</t>
  </si>
  <si>
    <t>Variability of intertidal foraminiferal assemblages in a salt marsh, Oregon, USA</t>
  </si>
  <si>
    <t>A comparison of statistical methods for benchmarking the threshold of daily precipitation extremes in the Shanghai metropolitan area during 1981–2010</t>
  </si>
  <si>
    <t>A three-dimensional surface velocity field for the Mississippi Delta: Implications for coastal restoration and flood potential</t>
  </si>
  <si>
    <t>The use of a micro-scale index to identify potential death risk areas due to coastal flood surges: lessons from Storm Xynthia on the French Atlantic coast</t>
  </si>
  <si>
    <t>Adaptive flood risk management planning based on a comprehensive flood risk conceptualisation</t>
  </si>
  <si>
    <t>An integrated approach to flood risk management and spatial quality for a Netherlands’ river polder area</t>
  </si>
  <si>
    <t>The Effects of Flooding Duration and Salinity on Three Common Upper Estuary Plants</t>
  </si>
  <si>
    <t>A Machine Learning Framework for Detecting Landslides on Earthen Levees Using Spaceborne SAR Imagery</t>
  </si>
  <si>
    <t>Paleohydrology of Eberswalde crater, Mars</t>
  </si>
  <si>
    <t>Flood regime affects soil stoichiometry and the distribution of the invasive plants in subtropical estuarine wetlands in China</t>
  </si>
  <si>
    <t>Are large macroalgal blooms necessarily bad? Nutrient impacts on seagrass in upwelling-influenced estuaries</t>
  </si>
  <si>
    <t>Modeling assessment of a saltwater intrusion and a transport time scale response to sea-level rise in a tidal estuary</t>
  </si>
  <si>
    <t>A Random Forest Model Based on Lidar and Field Measurements for Parameterizing Surface Roughness in Coastal Modeling</t>
  </si>
  <si>
    <t>The uppermost Albian–lower Cenomanian Bielba Formation of the type-area (Cantabria, northern Spain): facies, biostratigraphy, and benthic Foraminifera</t>
  </si>
  <si>
    <t>The socio-economic significance of the Turkish coastal environment for sustainable development</t>
  </si>
  <si>
    <t>The Role of Vegetation in the Okavango Delta Silica Sink</t>
  </si>
  <si>
    <t>Changes in Nitrogen Cycling Processes Along a Salinity Gradient in Tidal Wetlands of the Hudson River, New York, USA</t>
  </si>
  <si>
    <t>Decomposition and carbon and nitrogen dynamics of phragmites australis litter as affected by flooding periods in coastal wetlands</t>
  </si>
  <si>
    <t>Lessons learnt from adaptation planning in four deltas and coastal cities</t>
  </si>
  <si>
    <t>Occurrence of seawater intrusion overshoot</t>
  </si>
  <si>
    <t>Numerical modelling of mine dewatering and flooding in the Evander Gold Basin, South Africa</t>
  </si>
  <si>
    <t>A lake detection algorithm (LDA) using Landsat 8 data: A comparative approach in glacial environment</t>
  </si>
  <si>
    <t>The replacement of hydraulic structures in light of tipping points</t>
  </si>
  <si>
    <t>Lithostratigraphy of the late miocene to early pleistocene, hominid-bearing galili formation, southern afar depression, Ethiopia</t>
  </si>
  <si>
    <t>Climatic and anthropogenic factors changing spawning pattern and production zone of hilsa fishery in the bay of bengal</t>
  </si>
  <si>
    <t>Diurnal patterns in phytoplankton photosynthesis, fremantle harbour</t>
  </si>
  <si>
    <t>Inundation behavior of the 2011 Tohoku earthquake tsunami in the Taro District, Miyako City, northeast Japan, as inferred from directional traces</t>
  </si>
  <si>
    <t>Updating digital elevation models via change detection and fusion of human and remote sensor data in urban environments</t>
  </si>
  <si>
    <t>Climate canaries</t>
  </si>
  <si>
    <t>Numerical analysis of stratification and destratification processes in a tidally energetic inlet with an ebb tidal delta</t>
  </si>
  <si>
    <t>Use of hydrodynamic models for the management of the Danube Delta wetlands: The case study of Sontea-Fortuna ecosystem</t>
  </si>
  <si>
    <t>A new habitat methodology for river environmental flow requirements</t>
  </si>
  <si>
    <t>The local-scale impact of soil salinization on the socioeconomic context: An exploratory analysis in Italy</t>
  </si>
  <si>
    <t>Changes in the southeast Vatnajo7die;kull ice cap, Iceland, between ∼1890 and 2010c</t>
  </si>
  <si>
    <t>Observing Muostakh disappear: Permafrost thaw subsidence and erosion of a ground-ice-rich Island in response to arctic summer warming and sea ice reduction</t>
  </si>
  <si>
    <t>Erosion risk mapping of Capakcur stream watershed using geographical information system and remote sensing</t>
  </si>
  <si>
    <t>Land resources assessment of El-Galaba basin, South Egypt for the potentiality of agriculture expansion using remote sensing and GIS techniques</t>
  </si>
  <si>
    <t>The summit erosion surfaces of the inner Betic Cordillera: Their value as tools for reconstructing the chronology of topographic growth in southern Spain</t>
  </si>
  <si>
    <t>The raft of the Saint-Jean River, Gaspé (Québec, Canada): A dynamic feature trapping most of the wood transported from the catchment</t>
  </si>
  <si>
    <t>The synergy between flood risk protection and spatial quality in coastal cities</t>
  </si>
  <si>
    <t>The implementation of a key comprehensive everglades restoration project</t>
  </si>
  <si>
    <t>Capacity assessment of the Qattara Depression: Egypt as a sink for the global sea level rise</t>
  </si>
  <si>
    <t>Tidal Wetland Community Response to Varying Levels of Flooding by Saline Water</t>
  </si>
  <si>
    <t>Response of two salt marsh plants to short- and long-term contamination of sediment with cadmium</t>
  </si>
  <si>
    <t>Tsunami hazard assessment of Chabahar bay related to megathrust seismogenic potential of the Makran subduction zone</t>
  </si>
  <si>
    <t>Adapting to changes by renaturing a coastal wetland, the Rhone delta (Southern France). A response to the failure of concerted water management?; [Adaptation aux changements par renaturation dans une zone humide littorale, le delta du Rhône (France du sud). Une réponse à l'épuisement d'une gestion concertée de l'Eau?]</t>
  </si>
  <si>
    <t>Dynamics of landscape patterns in an inland river delta of Central Asia based on a cellular automata-Markov model</t>
  </si>
  <si>
    <t>Barrier island bistability induced by biophysical interactions</t>
  </si>
  <si>
    <t>Glacier-specific elevation changes in parts of western Alaska</t>
  </si>
  <si>
    <t>Design challenges of multifunctional flood defences: A comparative approach to assess spatial and structural integration</t>
  </si>
  <si>
    <t>Effect of dikes on the distribution and characteristics of Phragmites australis in temperate intertidal wetlands located in the South Sea of Korea</t>
  </si>
  <si>
    <t>Implementation arrangements for climate adaptation in the netherlands: Characteristics and underlying mechanisms of adaptive governance</t>
  </si>
  <si>
    <t>A critical approach to some new ideas about the Dutch flood risk system</t>
  </si>
  <si>
    <t>Environmental effects of the December 28, 1908, Southern Calabria–Messina (Southern Italy) earthquake</t>
  </si>
  <si>
    <t>Evaluation of the Impact of Different Soil Salinization Processes on Organic and Mineral Soils</t>
  </si>
  <si>
    <t>Climate change impacts on wave and surge processes in a Pacific Northwest (USA) estuary</t>
  </si>
  <si>
    <t>Empirical evaluation of a decision support model for adopting software product line engineering</t>
  </si>
  <si>
    <t>Estimating annual soil carbon loss in agricultural peatland soils using a nitrogen budget approach</t>
  </si>
  <si>
    <t>Performance Benchmarking Tsunami Models for NTHMP’s Inundation Mapping Activities</t>
  </si>
  <si>
    <t>Automated geoprocessing workflow for watershed delineation and classification for flash flood assessment</t>
  </si>
  <si>
    <t>Landscapes on the edge: Examining the role of climatic interactions in shaping coastal watersheds using a coastal-terrestrial landscape evolution model</t>
  </si>
  <si>
    <t>Integrating ecosystem services and climate change responses in coastal wetlands development plans for Bangladesh</t>
  </si>
  <si>
    <t>Estimating cliff-recession rate from LiDAR data, East Sussex coastline, South East England</t>
  </si>
  <si>
    <t>Testing different cross-section spacing in 1D hydraulic modelling: a case study on Johor River, Malaysia; [Test de différents espacements entre sections en travers en modelisation hydraulique 1D : étude de cas sur la rivière Johor, en Malaisie]</t>
  </si>
  <si>
    <t>Planning resilient urban waterfronts using adaptive pathways</t>
  </si>
  <si>
    <t>Impact of sea-level rise on saltwater intrusion in the Pearl River Estuary</t>
  </si>
  <si>
    <t>Rapid debris volume estimation by LiDAR data derived dems: Applications to the 25 October 2011 debris flood event at Vernazza (Cinque Terre, Italy)</t>
  </si>
  <si>
    <t>Investigating a damaging buried sinkhole cluster in an urban area (Zaragoza city, NE Spain) integrating multiple techniques: Geomorphological surveys, DInSAR, DEMs, GPR, ERT, and trenching</t>
  </si>
  <si>
    <t>Flood warnings in coastal areas: How do experience and information influence responses to alert services?</t>
  </si>
  <si>
    <t>Natural disasters and land-use/land-cover change in the southwest coastal areas of Bangladesh</t>
  </si>
  <si>
    <t>Urban flood modelling combining top-view LiDAR data with ground-view SfM observations</t>
  </si>
  <si>
    <t>Crop adaptation processes to extreme floods in Bangladesh: A case study</t>
  </si>
  <si>
    <t>Hydrological risk map for the danube delta-a case study of floods within the fluvial delta</t>
  </si>
  <si>
    <t>Decadal monitoring of the Niger Inner Delta flood dynamics using MODIS optical data</t>
  </si>
  <si>
    <t>Evaluating salinity damage to crops through satellite data analysis: application to typhoon affected areas of southern Japan</t>
  </si>
  <si>
    <t>Estimation of flood damage functions for river basin planning: a case study in Bangladesh</t>
  </si>
  <si>
    <t>Coupled 1D-2D hydrodynamic inundation model for sewer overflow: Influence of modeling parameters</t>
  </si>
  <si>
    <t>The Impact of Climate Change on Mangrove Forests</t>
  </si>
  <si>
    <t>Temporalities in Adaptation to Sea-Level Rise</t>
  </si>
  <si>
    <t>Response of the snowy river estuary to two environmental flows</t>
  </si>
  <si>
    <t>Baseline review and ecosystem services assessment of the Tana River Basin, Kenya</t>
  </si>
  <si>
    <t>Hydromorphology of the Danube</t>
  </si>
  <si>
    <t>Using airborne EM and borehole NMR data to map the transmissivity of a shallow semi-confined aquifer, western NSW.</t>
  </si>
  <si>
    <t>Climate extremes and challenges to infrastructure development in coastal cities in Bangladesh</t>
  </si>
  <si>
    <t>Climate adaptation and disaster mitigation</t>
  </si>
  <si>
    <t>Climate change and dead zones</t>
  </si>
  <si>
    <t>Vulnerability assessment of the coastal mangrove ecosystems in Guangxi, China, to sea-level rise</t>
  </si>
  <si>
    <t>An assessment of adaptation planning for flood variability in the Okavango Delta, Botswana</t>
  </si>
  <si>
    <t>Biodiversity on the brink: The role of "assisted migration" in managing endangered species threatened with rising seas</t>
  </si>
  <si>
    <t>Hydro-morphological risk phenomena induced by the climatic changes within romanian black sea coastal zone</t>
  </si>
  <si>
    <t>Assessing the impact of different sources of topographic data on 1-D hydraulic modelling of floods</t>
  </si>
  <si>
    <t>Decision support system integrated with geographic information system to target restoration actions in watersheds of arid environment: A case study of Hathmati watershed, Sabarkantha District, Gujarat</t>
  </si>
  <si>
    <t>Flood hazard assessment using hydro-dynamic model and GIS/RS tools: A case study of Babuzai-Kabal tehsil Swat Basin, Pakistan</t>
  </si>
  <si>
    <t>Flood risk modeling for optimal rice planning for delta region of Mahanadi river basin in India</t>
  </si>
  <si>
    <t>Wave attenuation experiments over living shorelines over time: a wave tank study to assess recreational boating pressures</t>
  </si>
  <si>
    <t>Can mangroves help combat sea level rise through sediment accretion and accumulation?</t>
  </si>
  <si>
    <t>Model coupling for environmental flows, with applications in hydrology and coastal hydrodynamics 1</t>
  </si>
  <si>
    <t>Drawing a line in the sand: Managing coastal risks in the City of Cape Town</t>
  </si>
  <si>
    <t>Global secular changes in different tidal high water, low water and range levels</t>
  </si>
  <si>
    <t>Practical precautions, reasonable responses: How South Australia’s planning regime adapts to the coastal impacts of climate change</t>
  </si>
  <si>
    <t>Measurement of historical cliff-top changes and estimation of future trends using GIS data between Bridlington and Hornsea - Holderness Coast (UK)</t>
  </si>
  <si>
    <t>Ice-sheet dynamics of warta glaciation (saale) in the marginal zone of knyszewicze area, northeastern Poland</t>
  </si>
  <si>
    <t>City profile: Ningbo</t>
  </si>
  <si>
    <t>Collaborative decision-analytic framework to maximize resilience of tidal marshes to climate change</t>
  </si>
  <si>
    <t>Vertical datum transformations across the Australian littoral zone</t>
  </si>
  <si>
    <t>The influence of wind and waves on the existence of stable intertidal morphology in meso-tidal estuaries</t>
  </si>
  <si>
    <t>Ecological recovery in an Arctic delta following widespread saline incursion</t>
  </si>
  <si>
    <t>Evaluation of airborne lidar elevation surfaces for propagation of coastal inundation: The importance of hydrologic connectivity</t>
  </si>
  <si>
    <t>The Deltaplan revisited: Changing perspectives in the Netherlands' flood risk reduction philosophy</t>
  </si>
  <si>
    <t>Monitoring spatio-temporal distribution of rice planting area in the Yangtze River Delta region using MODIS images</t>
  </si>
  <si>
    <t>Biogeomorphically driven salt pan formation in Sarcocornia-dominated salt-marshes</t>
  </si>
  <si>
    <t>Modeling real estate market responses to climate change in the coastal zone</t>
  </si>
  <si>
    <t>Study of the ground subsidences in the Sibari Plain (southern Italy) detected by InSAR data analysis</t>
  </si>
  <si>
    <t>Thermal impact from a thermoelectric power plant on a tropical coastal lagoon</t>
  </si>
  <si>
    <t>Sensitivity of a floodplain hydrodynamic model to satellite-based DEM scale and accuracy: Case study-the Atchafalaya Basin</t>
  </si>
  <si>
    <t>Seasonal variation of colored dissolved organic matter in barataria bay, Louisiana, using combined landsat and field data</t>
  </si>
  <si>
    <t>Lost neighborhoods of the California Coast</t>
  </si>
  <si>
    <t>From absolute protection to controlled disaster: New perspectives on flood management in times of climate change</t>
  </si>
  <si>
    <t>Land uplift at Kvarken Archipelago / high coast UNESCO World Heritage area</t>
  </si>
  <si>
    <t>Post-disaster assessment of impact of cyclone Lehar in South Andaman Island</t>
  </si>
  <si>
    <t>Approaches to natural hazard risk assessment and management in Ukraine</t>
  </si>
  <si>
    <t>Gaining insight into regional coastal changes on La Réunion island through a Bayesian data mining approach</t>
  </si>
  <si>
    <t>Impacts of urbanization on flooding of a coastal urban catchment: a case study of Mumbai City, India</t>
  </si>
  <si>
    <t>Operational flood control of a low-lying delta system using large time step Model Predictive Control</t>
  </si>
  <si>
    <t>Topo-bathymetric LiDAR for monitoring river morphodynamics and instream habitats-A case study at the Pielach River</t>
  </si>
  <si>
    <t>Determination of the vulnerability and the non-edifying areas for the beaches of Tabuba and Cumbuco, municipality of Caucaia, Ceará, NE of Brazil; [Determinação da vulnerabilidade e da zona não edificante para as praias de Tabuba e Cumbuco município de Caucaia, Ceará, ne do Brasil]</t>
  </si>
  <si>
    <t>Responding to rising sea levels in the Mekong Delta</t>
  </si>
  <si>
    <t>A spatially based area-time inundation index model developed to assess habitat opportunity in tidal-fluvial wetlands and restoration sites</t>
  </si>
  <si>
    <t>Terrestrial laser scanning of anthropogenic beach berm erosion and overtopping</t>
  </si>
  <si>
    <t>Tools for assessing sea level rise vulnerability</t>
  </si>
  <si>
    <t>Conserving freshwater biodiversity: The value, status and management of high quality ditch systems</t>
  </si>
  <si>
    <t>Estuarine frontogenesis</t>
  </si>
  <si>
    <t>Water-related disaster risk reduction: Time for preventive action! Position paper of the High Level Experts and Leaders Panel (HELP) on water and disasters</t>
  </si>
  <si>
    <t>Model predictive control for incorporating transport ofwater and transport overwater in the dry season</t>
  </si>
  <si>
    <t>Coastal works extensions on the Romanian touristic littoral, its ecological impacts on the nearshore bathing areas</t>
  </si>
  <si>
    <t>Unique vulnerability of the New York-New Jersey metropolitan area to hurricane destruction</t>
  </si>
  <si>
    <t>Burrowing and mud-mound building life habits of fiddler crab Uca lactea in the Bay of Bengal Coast, India and their geological and geotechnical importance</t>
  </si>
  <si>
    <t>Land subsidence over oilfields in the Yellow River Delta</t>
  </si>
  <si>
    <t>Accuracy assessment of LiDAR-derived digital elevation models based on approximation theory</t>
  </si>
  <si>
    <t>Rapid response to a typhoon-induced flood with an SAR-derived map of inundated areas: Case study and validation</t>
  </si>
  <si>
    <t>Improving storm surge risk communication: Stakeholder perspectives</t>
  </si>
  <si>
    <t>Current status of the Dalmatian pelican and the great white pelican populations of the black Sea/Mediterranean flyway</t>
  </si>
  <si>
    <t>Investigation of the hydro-meteorological hazards along the bulgarian coast of the Black Sea by reconstructions of historical storms</t>
  </si>
  <si>
    <t>Impact of the depth-to-width ratio of periodically stratified tidal channels on the estuarine circulation</t>
  </si>
  <si>
    <t>Multitemporal monitoring of the morphodynamics of a mid-mountain stream using UAS photogrammetry</t>
  </si>
  <si>
    <t>Development of a four-dimensional variational assimilation system for coastal data assimilation around Japan</t>
  </si>
  <si>
    <t>Comparative evaluation and refinement of algoritlim for water depth estimation using medium resolution remote sensing data</t>
  </si>
  <si>
    <t>Wave attenuation over coastal salt marshes under storm surge conditions</t>
  </si>
  <si>
    <t>Potential for timing high-energy marine inundation events in the recent geological past through age-dating of reef boulders in Fiji</t>
  </si>
  <si>
    <t>Comparing the impacts of regulation and climate on ice-jam flooding of the Peace-Athabasca Delta</t>
  </si>
  <si>
    <t>Glacier topography and elevation changes derived from Pléiades sub-meter stereo images</t>
  </si>
  <si>
    <t>The tidal asymmetries and residual flows in Ems Estuary</t>
  </si>
  <si>
    <t>Allogenic controls on autogenic variability in fluvio-deltaic systems: Inferences from analysis of synthetic stratigraphy</t>
  </si>
  <si>
    <t>Visualising Sea-Level Rise at a Coastal Heritage Site: Participatory Process and Creative Communication</t>
  </si>
  <si>
    <t>Dam-break modeling in alpine valleys</t>
  </si>
  <si>
    <t>Atmospheric storm surge modeling methodology along the French (Atlantic and English Channel) coast</t>
  </si>
  <si>
    <t>Late Miocene normal faulting beneath the northern Nile Delta: NNW propagation of the Gulf of Suez Rift</t>
  </si>
  <si>
    <t>Late Miocene-Recent evolution of the Finike Basin and its linkages with the Beydağlari complex and the Anaximander Mountains, eastern Mediterranean</t>
  </si>
  <si>
    <t>Optimum vegetation height and density for inorganic sedimentation in deltaic marshes</t>
  </si>
  <si>
    <t>Tsunami mapping in the Gulf of Guayaquil, Ecuador, due to local seismicity</t>
  </si>
  <si>
    <t>Local values for fairer adaptation to sea-level rise: A typology of residents and their lived values in Lakes Entrance, Australia</t>
  </si>
  <si>
    <t>Modelling the far field hydro-environmental impacts of tidal farms - A focus on tidal regime, inter-tidal zones and flushing</t>
  </si>
  <si>
    <t>Identifying hazards associated with lava deltas</t>
  </si>
  <si>
    <t>Evacuation as a climate adaptation strategy for environmental justice communities</t>
  </si>
  <si>
    <t>Storms in a lagoon: Flooding history During the last 1200 years derived from geological and historical archives of Schokland (Noordoostpolder, the Netherlands)</t>
  </si>
  <si>
    <t>An assessment of the impacts of a tidal renewable energy scheme on the eutrophication potential of the Severn Estuary, UK</t>
  </si>
  <si>
    <t>Integration of coastal inundation modeling from storm tides to individual waves</t>
  </si>
  <si>
    <t>Flood frequency analysis with consideration of hydrological alterations: Changing properties, causes and implications</t>
  </si>
  <si>
    <t>Verification of an ensemble prediction system for storm surge forecast in the Adriatic Sea</t>
  </si>
  <si>
    <t>Examination of relation with tsunami behavior reconstructed from on-site sequence photographs, topography, and sedimentary deposits from the 2011 Tohoku-oki tsunami on the Kamikita Plain, Japan</t>
  </si>
  <si>
    <t>Hydro-morphodynamic modelling in Mediterranean storms - Errors and uncertainties under sharp gradients</t>
  </si>
  <si>
    <t>Measuring the impact of mitigation activities on flood loss reduction at the parcel level: the case of the clear creek watershed on the upper Texas coast</t>
  </si>
  <si>
    <t>Organic matter appraisal of the Lower Eocene (Ypresian) Bou Dabbous Formation in Tunisia</t>
  </si>
  <si>
    <t>Greenhouse gas emissions following an invasive plant eradication program</t>
  </si>
  <si>
    <t>Lowstand turbidites and delta systems of the itararé group in the Vidal Ramos region (SC), southern Brazil</t>
  </si>
  <si>
    <t>Impact of the Hoa Binh dam (Vietnam) on water and sediment budgets in the Red River basin and delta</t>
  </si>
  <si>
    <t>Combination of community-based vulnerability and adaptation to storm surges in coastal regions of Bangladesh</t>
  </si>
  <si>
    <t>Prevalence and Risk Factors for Depressive Reaction among Resident Survivors after the Tsunami following the Great East Japan Earthquake, March 11, 2011</t>
  </si>
  <si>
    <t>Disaggregating Hydroperiod: Components of the Seasonal Flood Pulse as Drivers of Plant Species Distribution in Floodplains of a Tropical Wetland</t>
  </si>
  <si>
    <t>Assimilation of satellite data to optimize large-scale hydrological model parameters: A case study for the SWOT mission</t>
  </si>
  <si>
    <t>Numerical experiments of storm winds, surges, and waves on the southern coast of Korea during Typhoon Sanba: The role of revising wind force</t>
  </si>
  <si>
    <t>River embankment characterization: The joint use of geophysical and geotechnical techniques</t>
  </si>
  <si>
    <t>Modelling sea level rise (SLR) impacts on salt marsh detrital outwelling C and N exports from an estuarine coastal lagoon to the ocean (Ria de Aveiro, Portugal)</t>
  </si>
  <si>
    <t>Storm-surge hindcast at Viana do castelo: An oceanic and estuarine domain approach</t>
  </si>
  <si>
    <t>Granite geomorphology and its geological controls, Serra da Estrela, Portugal</t>
  </si>
  <si>
    <t>An adjoint-based FEM optimization of coseismic displacements following the 2011 Tohoku earthquake: New insights for the limits of the upper plate rebound</t>
  </si>
  <si>
    <t>The use of FLO2D numerical code in lahar hazard evaluation at Popocatépetl volcano: A 2001 lahar scenario</t>
  </si>
  <si>
    <t>Processes affecting recent and future morphological evolution of the Xylokastro beach zone (Gulf of Corinth, Greece)</t>
  </si>
  <si>
    <t>The impact of storm Xynthia in 2010 on coastal flood prevention policy in France</t>
  </si>
  <si>
    <t>Evaluating influence of active tectonics on spatial distribution pattern of floods along eastern Tamil Nadu, India</t>
  </si>
  <si>
    <t>An Analysis of the Narrative-Building Features of Interactive Sea Level Rise Viewers</t>
  </si>
  <si>
    <t>Reconstructing flash flood magnitudes using 'Structure-from-Motion': A rapid assessment tool</t>
  </si>
  <si>
    <t>A Review of Mine Water Rebound Predictions from the VSS–NET Model; [Überblick über die Bestimmung des Wasserwiederanstiegs mit dem VSS–NET-Modell]; [Una revisión de las predicciones desde el modelo VSS–NET]</t>
  </si>
  <si>
    <t>Saving The Gulf Coast : How a decade of disasters has prompted Louisiana to better prepare for its future</t>
  </si>
  <si>
    <t>Market-based instruments for flood risk management: A review of theory, practice and perspectives for climate adaptation policy</t>
  </si>
  <si>
    <t>Trend Change(s) in Coastal Management Plans: The integration of short and medium term perspectives in the spatial planning process</t>
  </si>
  <si>
    <t>Modelling of Gangotri glacier thickness and volume using an artificial neural network</t>
  </si>
  <si>
    <t>Beach erosion driven by natural and human activity at Isla del Carmen Barrier Island, Mexico</t>
  </si>
  <si>
    <t>Sustainable tourism, climate change and sea level rise adaptation policies in Barbados</t>
  </si>
  <si>
    <t>Is ecosystem service research used by decision-makers? A case study of the Murray-Darling Basin, Australia</t>
  </si>
  <si>
    <t>Holocene floodplain palaeoecology of the Humberhead Levels; implications for regional wetland development</t>
  </si>
  <si>
    <t>Are natural beaches facing extinction?</t>
  </si>
  <si>
    <t>River surface water topography mapping at sub-millimeter resolution and precision with close range photogrammetry: Laboratory scale application</t>
  </si>
  <si>
    <t>Residual circulation and freshwater transport in the Dutch Wadden Sea: A numerical modelling study</t>
  </si>
  <si>
    <t>Sources of 21st century regional sea-level rise along the coast of northwest Europe</t>
  </si>
  <si>
    <t>Wave-emplaced boulders: implications for development of “prime real estate” seafront, North Coast Jamaica</t>
  </si>
  <si>
    <t>Satellite-derived volume loss rates and glacier speeds for the Juneau Icefield, Alaska</t>
  </si>
  <si>
    <t>Abundance and speciation of iron across a subtropical tidal marsh of the Min River Estuary in the East China Sea</t>
  </si>
  <si>
    <t>Stratigraphy and infill history of the glacially eroded matane River Valley, eastern Quebec, Canada</t>
  </si>
  <si>
    <t>Tsunami hazard assessment along the coast of Lingayen Gulf, Pangasinan,Philippines</t>
  </si>
  <si>
    <t>Relationships between sand spit evolution, environmental forcing and inland inundation</t>
  </si>
  <si>
    <t>Where local matters: Impacts of a major north sea storm surge</t>
  </si>
  <si>
    <t>Constraining the recent mass balance of pine island and thwaites glaciers, west antarctica, with airborne observations of snow accumulation</t>
  </si>
  <si>
    <t>Determining slack tide with a GPS receiver on an anchored buoy</t>
  </si>
  <si>
    <t>Influence of climate change on the Ria de Aveiro littoral: Adaptation strategies for flooding events and shoreline retreat</t>
  </si>
  <si>
    <t>A contribution to climate change assessment of storm surges along the coast of Mozambique</t>
  </si>
  <si>
    <t>Modeling tidal distortion in the Ogeechee Estuary</t>
  </si>
  <si>
    <t>Modeling demand for catastrophic flood risk insurance in coastal zones in Vietnam using choice experiments</t>
  </si>
  <si>
    <t>Regional variation in the dynamics of Estonia's coastal landscapes</t>
  </si>
  <si>
    <t>Alongshore variations in beach-dune system response to major storm events on the Danube Delta coast</t>
  </si>
  <si>
    <t>Regional sea level variability, total relative sea level rise and its impacts on islands and coastal zones of Indian Ocean over the last sixty years</t>
  </si>
  <si>
    <t>An operational web-based indicator system for integrated coastal zone management</t>
  </si>
  <si>
    <t>Autonomous household responses and urban governance capacity building for climate change adaptation: Georgetown, Guyana</t>
  </si>
  <si>
    <t>Tectonic and climatic controls on the Quaternary landscape evolution of the Piedmont Zone of the Ganga Plain, India</t>
  </si>
  <si>
    <t>Development of models for maximum and time variation of storm surges at the Tanshui estuary</t>
  </si>
  <si>
    <t>Integrated tsunami vulnerability and risk assessment: Application to the coastal area of El Salvador</t>
  </si>
  <si>
    <t>Coastal vulnerability of a pinned, soft-cliff coastline - Part I: Assessing the natural sensitivity to wave climate</t>
  </si>
  <si>
    <t>Coastal changes along the coast of Tadri river, Karnataka west coast of India and its implication</t>
  </si>
  <si>
    <t>Stream restoration and cribwall performance: A case study of cribwall monitoring in Southern Ontario</t>
  </si>
  <si>
    <t>Sandy beaches characterization and management of coastal erosion on western Sardinia island (Mediterranean Sea).</t>
  </si>
  <si>
    <t>Soil seed banks and their germination responses to cadmium and salinity stresses in coastal wetlands affected by reclamation and urbanization based on indoor and outdoor experiments</t>
  </si>
  <si>
    <t>Vulnerability to flood risks in Japanese urban areas: Crisis management and emergency response for efficient evacuation management</t>
  </si>
  <si>
    <t>Abiotic and biotic factors influencing the mobility of arsenic in groundwater of a through-flow island in the Okavango Delta, Botswana</t>
  </si>
  <si>
    <t>Using a risk cost-benefit analysis for a sea dike to adapt to the sea level in the Vietnamese Mekong River Delta</t>
  </si>
  <si>
    <t>High-resolution topography and anthropogenic feature extraction: Testing geomorphometric parameters in floodplains</t>
  </si>
  <si>
    <t>Removal of systematic seasonal atmospheric signal from interferometric synthetic aperture radar ground deformation time series</t>
  </si>
  <si>
    <t>Organic matter compositions and loadings in soils and sediments along the Fly River, Papua New Guinea</t>
  </si>
  <si>
    <t>Transport time scales as physical descriptors to characterize heavily modified water bodies near ports in coastal zones</t>
  </si>
  <si>
    <t>Modeling accumulated volume of landslides using remote sensing and DTM data</t>
  </si>
  <si>
    <t>An ecological model of the habitat mosaic in estuarine nursery areas: Part II-Projecting effects of sea level rise on fish production</t>
  </si>
  <si>
    <t>Influence of mean sea level rise on tidal dynamics of the Ria de Aveiro lagoon, Portugal</t>
  </si>
  <si>
    <t>A high resolution hindcast of the meteorological sea level component for Southern Europe: the GOS dataset</t>
  </si>
  <si>
    <t>Attribution of floods in the Okavango basin, Southern Africa</t>
  </si>
  <si>
    <t>Sulfur, iron and carbon cycling following hydrological restoration of acidic freshwater wetlands</t>
  </si>
  <si>
    <t>Calculation and visualization of flood inundation based on a topographic triangle network</t>
  </si>
  <si>
    <t>Simulation of braided river elevation model time series with multiple-point statistics</t>
  </si>
  <si>
    <t>Estimation of synthetic flood design hydrographs using a distributed rainfall-runoff model coupled with a copula-based single storm rainfall generator</t>
  </si>
  <si>
    <t>Shoreline Change and Coastal Vulnerability Characterization with Landsat Imagery: A Case Study in the Outer Hebrides, Scotland</t>
  </si>
  <si>
    <t>How to Preserve Coastal Wetlands, Threatened by Climate Change-Driven Rises in Sea Level</t>
  </si>
  <si>
    <t>Numerical experiments for the effects of two model initialization schemes on rainfall forecast in the 2008 flooding season</t>
  </si>
  <si>
    <t>Memory of past random wave conditions in submarine groundwater discharge</t>
  </si>
  <si>
    <t>Glacially conditioned specific stream powers in low-relief river catchments of the southern Laurentian Great Lakes</t>
  </si>
  <si>
    <t>A 2D parallel diffusive wave model for floodplain inundation with variable time step (P-DWave)</t>
  </si>
  <si>
    <t>Probabilistic delineation of flood-prone areas based on a digital elevation model and the extent of historical flooding: The case of ouagadougou; [Delineación probabilística de áreas inundables basada en modelos digitales de elevaciones e inundaciones históricas: El caso de Ouagadougou]</t>
  </si>
  <si>
    <t>Evaluation of storm surge risk: A case study from Rarotonga, Cook Islands</t>
  </si>
  <si>
    <t>A methodological intercomparison of topographic survey techniques for characterizing wadeable streams and rivers</t>
  </si>
  <si>
    <t>Land use dynamics, climate change, and food security in Vietnam: A global-to-local modeling approach</t>
  </si>
  <si>
    <t>Modeling the topography of shallow braided rivers using Structure-from-Motion photogrammetry</t>
  </si>
  <si>
    <t>Managed realignment in practice in the UK: Results from two independent surveys</t>
  </si>
  <si>
    <t>Evaluating digital terrain indices for soil wetness mapping-a Swedish case study</t>
  </si>
  <si>
    <t>Geomorphic response of Lillooet River, British Columbia, to meander cutoffs and base level lowering</t>
  </si>
  <si>
    <t>OBIA flood delimitation assisted by threshold determination with principal component analysis</t>
  </si>
  <si>
    <t>Kedarnath flash floods: A hydrological and hydraulic simulation study</t>
  </si>
  <si>
    <t>Simulating extreme total water levels using a time-dependent, extreme value approach</t>
  </si>
  <si>
    <t>Let’s bring in the floods: de-poldering in the Netherlands as a strategy for long-term delta survival?</t>
  </si>
  <si>
    <t>RISC-KIT: Resilience-Increasing Strategies for Coasts - ToolKIT</t>
  </si>
  <si>
    <t>New method for assessing the susceptibility of glacial lakes to outburst floods in the Cordillera Blanca, Peru</t>
  </si>
  <si>
    <t>Recording of selected effects and hazards caused by current and expected storm events in the Baltic Sea coastal zone</t>
  </si>
  <si>
    <t>Lithofacies distribution and depositional environment in the Lower Cretaceous McMurray Formation, BlackGold Lease, northern Alberta: implications for geometry and distribution of oil sand reservoirs</t>
  </si>
  <si>
    <t>Community structure and activity of a highly dynamic and nutrient-limited hypersaline microbial mat in Um Alhool Sabkha, Qatar</t>
  </si>
  <si>
    <t>The 1531 Lisbon earthquake: A Tsunami in the Tagus estuary?</t>
  </si>
  <si>
    <t>Application of passive microwave and optical signatures to monitor submerging of vegetation due to floods</t>
  </si>
  <si>
    <t>Environmental flow assessments in estuaries related to preference of phytoplankton</t>
  </si>
  <si>
    <t>Architecture, development and geological control of the Xisha carbonate platforms, northwestern South China Sea</t>
  </si>
  <si>
    <t>3D gravity inversion and Euler deconvolution to delineate the hydro-tectonic regime in El-Arish area, northern Sinai Peninsula</t>
  </si>
  <si>
    <t>The role of airborne dust in the growth of tree islands in the Okavango Delta, Botswana</t>
  </si>
  <si>
    <t>Coastal management and mis-management: Comparing successes and failures at two lagoon outlets in KwaZulu-Natal, South Africa</t>
  </si>
  <si>
    <t>Near real-time flood volume estimation from MODIS time-series imagery in the indus river basin</t>
  </si>
  <si>
    <t>Present and future challenges of coastal erosion in Latin America</t>
  </si>
  <si>
    <t>Tidal modelling in the Gulf of Khambhat based on a numerical and analytical approach</t>
  </si>
  <si>
    <t>Effect of spatial adaptation measures on flood risk: Study of coastal floods in Belgium</t>
  </si>
  <si>
    <t>A proposal of tsunami risk assessment method for Iquique city, Chile</t>
  </si>
  <si>
    <t>Tracing silicon cycling in the Okavango Delta, a sub-tropical flood-pulse wetland using silicon isotopes</t>
  </si>
  <si>
    <t>Incorporating Microfinance Institutions (MFIs) to Enhance Food Security for Poor Women Vulnerable to Extreme Climate Hazards in Rural Coastal Areas in Bangladesh</t>
  </si>
  <si>
    <t>Emplacement and erosive effects of lava in south Kasei Valles, Mars</t>
  </si>
  <si>
    <t>Volumetric changes of a soft cliff coast 2008-2012 based on DTM from airborne laser scanning (Wolin Island, southern Baltic Sea)</t>
  </si>
  <si>
    <t>Facies analysis and depositional architecture of shelf-type deltas in the Crati Basin (Calabrian Arc, south Italy)</t>
  </si>
  <si>
    <t>An accessibility graph-based model to optimize tsunami evacuation sites and routes in Martinique, France</t>
  </si>
  <si>
    <t>Temporal and spatial variation of water level in urbanizing plain river network region</t>
  </si>
  <si>
    <t>Toward self reliant communities: A cultural comparison of disaster response in Thailand, Guyana and the United States</t>
  </si>
  <si>
    <t>Soft engineering vs. a dynamic approach in coastal dune management: A case study on the North Sea barrier Island of Ameland, the Netherlands</t>
  </si>
  <si>
    <t>Delineation of coastal marsh types along the central Texas coast</t>
  </si>
  <si>
    <t>A simplified approach for simulating changes in beach habitat due to the combined effects of long-term sea level rise, storm erosion, and nourishment</t>
  </si>
  <si>
    <t>A local coastal adaptation pathway</t>
  </si>
  <si>
    <t>Morphometric analysis to determine floods in the Upper Krishna basin using Cartosat DEM</t>
  </si>
  <si>
    <t>Analysis of surface changes in the wałbrzych hard coal mining grounds (sw Poland) between 1886 and 2009</t>
  </si>
  <si>
    <t>A White Nile megalake during the last interglacial period</t>
  </si>
  <si>
    <t>Movement of radiocaesium fallout released by the 2011 Fukushima nuclear accident</t>
  </si>
  <si>
    <t>Influence of infrastructure development on the vegetation community structure of coastal dunes: Jeffreys Bay, South Africa</t>
  </si>
  <si>
    <t>Weekly flood monitoring with multitemporal moderate resolution imaging spectroradiometer data using water fraction model</t>
  </si>
  <si>
    <t>An Integrated Approach to Assess Wave Exposure in Coastal Areas for Vulnerability Analysis</t>
  </si>
  <si>
    <t>Multi-response model of flooding in tondano estuary</t>
  </si>
  <si>
    <t>Detection of Hazardous Cavities Below a Road Using Combined Geophysical Methods</t>
  </si>
  <si>
    <t>Weather and climate socio-economic impacts in Central America for the management and protection of world heritage sites and the Diquis Delta culture in Costa Rica (a case study)</t>
  </si>
  <si>
    <t>The role of politics and proximity in sea level rise policy salience: A study of Virginia legislators' perceptions</t>
  </si>
  <si>
    <t>Flood damage assessment through multitemporal COSMO-SkyMed data and hydrodynamic models: The Albania 2010 case study</t>
  </si>
  <si>
    <t>Migrating to tackle climate variability and change? Insights from coastal fishing communities in Bangladesh</t>
  </si>
  <si>
    <t>Subkilometer numerical weather prediction in an urban coastal area: A case study over the vancouver metropolitan area</t>
  </si>
  <si>
    <t>Computing flood risk in areas protected by flood defences</t>
  </si>
  <si>
    <t>Sensitivity of the calculation of local mean sea levels to the use of different periods and methods of time series analysis in inundation studies in Valdelagrana (Cadiz); [Sensibilidad del cálculo de los niveles medios del mar al método y periodo de las series temporales de los mareógrafos en los procesos de inundación: Valdelagrana (Cádiz)]</t>
  </si>
  <si>
    <t>Predicting the spatial distribution of mangroves in a South African estuary in response to sea level rise, substrate elevation change and a sea storm event</t>
  </si>
  <si>
    <t>Inter-city travel behaviour adaptation to extreme weather events</t>
  </si>
  <si>
    <t>Australian sea levels-Trends, regional variability and influencing factors</t>
  </si>
  <si>
    <t>Time stories: Making sense of futures in anticipation of sea-level rise</t>
  </si>
  <si>
    <t>A typology of household-level adaptation to coastal flooding and its spatio-temporal patterns</t>
  </si>
  <si>
    <t>Real-time oceanographic data: From safety to science</t>
  </si>
  <si>
    <t>Seawater intrusion vulnerability indicators for freshwater lenses in strip islands</t>
  </si>
  <si>
    <t>Sediment imbalances and flooding risk in European deltas and estuaries</t>
  </si>
  <si>
    <t>High resolution records of flood deposition in the mud area off the Changjiang River mouth during the past century</t>
  </si>
  <si>
    <t>Geotechnical risks and social vulnerability in coastal areas: Inequalities and climate change</t>
  </si>
  <si>
    <t>Potential land loss on two Islands in Singapore with a future rising sea</t>
  </si>
  <si>
    <t>Analysis of vortex dynamics of lateral circulation in a straight tidal estuary</t>
  </si>
  <si>
    <t>Built to last? Local climate change adaptation and governance in the Caribbean - The case of an informal urban settlement in Trinidad and Tobago</t>
  </si>
  <si>
    <t>Developing hazard lines in response to coastal flooding and sea level change</t>
  </si>
  <si>
    <t>The social construction of vulnerability to risk of flooding in Vietnam; [La construction sociale de la vulnérabilitéface au risque d'inondation au Viêtnam]</t>
  </si>
  <si>
    <t>Central Cascadia subduction zone creep</t>
  </si>
  <si>
    <t>Application of the Coastal Hazard Wheel methodology for coastal multi-hazard assessment and management in the state of Djibouti</t>
  </si>
  <si>
    <t>Improving the allocation of flood-risk interventions from a spatial quality perspective</t>
  </si>
  <si>
    <t>Study of ground subsidence in northwest Harris county using GPS, LiDAR, and InSAR techniques</t>
  </si>
  <si>
    <t>Impacts of urbanization on river system structure: A case study on Qinhuai River Basin, Yangtze River Delta</t>
  </si>
  <si>
    <t>Sources and transport of organic carbon from the Dongjiang River to the Humen outlet of the Pearl River, southern China</t>
  </si>
  <si>
    <t>Societal phosphorus metabolism in future coastal environments: Insights from recent trends in Louisiana, USA</t>
  </si>
  <si>
    <t>Modeling of ice phenomena in the mouth of the Vistula River</t>
  </si>
  <si>
    <t>Indigenous Community Health and Climate Change: Integrating Biophysical and Social Science Indicators</t>
  </si>
  <si>
    <t>Downscaling coarse grid hydrodynamic model simulations over large domains</t>
  </si>
  <si>
    <t>Assessment and Mapping of Potential Storm Surge Impacts on Global Population and Economy</t>
  </si>
  <si>
    <t>Delineating Sea Level Rise Inundation Using a Graph Traversal Algorithm</t>
  </si>
  <si>
    <t>Carbon isotope fractionation during CH4 transport in paddy fields</t>
  </si>
  <si>
    <t>Variable adaptations: Micro-politics of environmental displacement in the Okavango Delta, Botswana</t>
  </si>
  <si>
    <t>Do floods have permanent effects?: Evidence from the Netherlands</t>
  </si>
  <si>
    <t>Integrated seismic and cone penetration test observations at a distressed earthen levee: Marrero, Louisiana, U.S.A.</t>
  </si>
  <si>
    <t>Bangladesh's dynamic coastal regions and sea-level rise</t>
  </si>
  <si>
    <t>Potential impacts and management implications of climate change on tampa bay estuary critical coastal habitats</t>
  </si>
  <si>
    <t>Flood hazard characterization in the guadalete estuary: Combined effect of the tide and the river flow; [Caracterización de la inundabilidad en el estuario del río guadalete: Efecto combinado de mareas y crecidas fluviales]</t>
  </si>
  <si>
    <t>Application of a fast stochastic storm surge model on estimating the high water level frequency in the Lower Rhine Delta</t>
  </si>
  <si>
    <t>Sea-level trend in the South China Sea observed from 20 years of along-track satellite altimetric data</t>
  </si>
  <si>
    <t>DEM and SAR image based flood feature extraction techniques to map the deep and shallow flood inundated regions of known as well as remote disaster regions</t>
  </si>
  <si>
    <t>Analysis of rainwater sewerage systems overloads on rakowiec estate in wrocław caused by climate changes; [Analiza przeciążeń kanalizacji deszczowej na osiedlu rakowiec we wrocławiu wywołanych zmianami klimatu]</t>
  </si>
  <si>
    <t>The effects of sediment properties on deltaic processes and morphologies: A numerical modeling study</t>
  </si>
  <si>
    <t>Internal migration in the Upper Mekong Delta, Viet Nam: What is the role of climate-related stressors?</t>
  </si>
  <si>
    <t>Short-term geomorphic analysis in a disturbed fluvial environment by fusion of LiDAR, colour bathymetry and dGPS surveys</t>
  </si>
  <si>
    <t>Mining and its impact on the earth surface in the Ruhr district (Germany)</t>
  </si>
  <si>
    <t>Buoyant flexure and basal crevassing in dynamic mass loss at Helheim Glacier</t>
  </si>
  <si>
    <t>Soil phosphorus dynamics and saltwater intrusion in a florida estuary</t>
  </si>
  <si>
    <t>Estimating cliff retreat in southern California considering sea level rise using a sand balance approach</t>
  </si>
  <si>
    <t>Hazard assessment of glacial lake outburst floods from Kyagar glacier, Karakoram mountains, China</t>
  </si>
  <si>
    <t>Ecosystem-scale rates of primary production within wetland habitats of the northern San Francisco Estuary</t>
  </si>
  <si>
    <t>Water level prediction by artificial neural network in a flashy transboundary river of Bangladesh</t>
  </si>
  <si>
    <t>Vertical distribution of heavy metals in soil profile in a seasonally waterlogging agriculture field in Eastern Ganges Basin</t>
  </si>
  <si>
    <t>Farmers' perceived risks of climate change and influencing factors: A study in the Mekong Delta, Vietnam</t>
  </si>
  <si>
    <t>Multidecadal shoreline changes in Denmark</t>
  </si>
  <si>
    <t>Rapid setup of hydrological and hydraulic models using OpenStreetMap and the SRTM derived digital elevation model</t>
  </si>
  <si>
    <t>Time-averaged discharge rate of subaerial lava at Kīlauea Volcano, Hawai'i, measured from TanDEM-X interferometry: Implications for magma supply and storage during 2011-2013</t>
  </si>
  <si>
    <t>Evaluation of coastline changes under human intervention using multi-temporal high-resolution images: A case study of the Zhoushan Islands, China</t>
  </si>
  <si>
    <t>Egypt's economic vulnerability to climate change</t>
  </si>
  <si>
    <t>Reconstruction of 2D river beds by appropriate interpolation of 1D cross-sectional information for flood simulation</t>
  </si>
  <si>
    <t>Restoring environmental flows through adaptive reservoir management: Planning, science, and implementation through the Sustainable Rivers Project; [Rétablir les débits environnementaux grâce à une gestion adaptative de réservoir: Planification, contexte scientifique, et mise en œuvre à travers le projet « Rivières durables »]</t>
  </si>
  <si>
    <t>Flash flood hazard mapping based on quantitative hydrology, geomorphology and GIS techniques (case study of Wadi Al Lith, Saudi Arabia)</t>
  </si>
  <si>
    <t>The ichnofacies and ichnoassemblages in terrestrial deposits of China</t>
  </si>
  <si>
    <t>Oyster reefs can outpace sea-level rise</t>
  </si>
  <si>
    <t>Challenge and response in the Mississippi River Basin</t>
  </si>
  <si>
    <t>The trough-system algorithm and its application to spatial modeling of Greenland subglacial topography</t>
  </si>
  <si>
    <t>A comparison of ensemble kalman filters for storm surge assimilation</t>
  </si>
  <si>
    <t>Major coastal flooding in southeastern Australia 1860-2012, associated deaths and weather systems</t>
  </si>
  <si>
    <t>21st-century increase in glacier mass loss in the Wrangell Mountains, Alaska, USA, from airborne laser altimetry and satellite stereo imagery</t>
  </si>
  <si>
    <t>Source and progression of a submarine landslide and tsunami: The 1964 Great Alaska earthquake at Valdez</t>
  </si>
  <si>
    <t>Impact of the construction of a large dam on riparian vegetation cover at different elevation zones as observed from remotely sensed data</t>
  </si>
  <si>
    <t>The seawall bargaining game</t>
  </si>
  <si>
    <t>Probabilistic surface reconstruction of coastal sea level rise during the twentieth century</t>
  </si>
  <si>
    <t>Flood analysis of the Limpopo River basin through past evolution reconstruction and a geomorphological approach</t>
  </si>
  <si>
    <t>Facies associations of the northern Dandiero Basin (Danakil depression, Eritrea, including the Pleistocene Buya homo site)</t>
  </si>
  <si>
    <t>DEM-based modification of pixel-swapping algorithm for enhancing floodplain inundation mapping</t>
  </si>
  <si>
    <t>Analysis of the physical processes controlling the storm surge during Xynthia (February 2010)</t>
  </si>
  <si>
    <t>A multiple knowledge approach for adaptation to environmental change: Lessons learned from coastal Louisiana's tribal communities</t>
  </si>
  <si>
    <t>The Ha Tien Plain - wetland monitoring using remote-sensing techniques</t>
  </si>
  <si>
    <t>Costs and benefits of adapting spatial planning to climate change: Lessons learned from a large-scale urban development project in the Netherlands</t>
  </si>
  <si>
    <t>Hydrodynamic modeling of hurricane dennis impact on estuarine salinity variation in apalachicola Bay</t>
  </si>
  <si>
    <t>Flooding dynamics on the lower Amazon floodplain: 1. Hydraulic controls on water elevation, inundation extent, and river-floodplain discharge</t>
  </si>
  <si>
    <t>Social capital and citizen perceptions of coastal management for tackling climate change impacts in Greece</t>
  </si>
  <si>
    <t>Integrating coastal vulnerability and community-based subsistence resource mapping in Northwest Alaska</t>
  </si>
  <si>
    <t>Upland glaciation in tropical pangaea: Geologic evidence and implications for late paleozoic climate modeling</t>
  </si>
  <si>
    <t>Sediment diversions on the lower mississippi river: Insight from simple analytical models</t>
  </si>
  <si>
    <t>Modeling of inundation characteristics of a microtidal saltmarsh, Grand Bay National Estuarine Research Reserve, Mississippi</t>
  </si>
  <si>
    <t>Effects of land-use change on wetland ecosystem services: A case study in the Doñana marshes (SW Spain)</t>
  </si>
  <si>
    <t>The impact of the change in vegetation structure on the ecological functions of salt marshes: The example of the Yangtze estuary</t>
  </si>
  <si>
    <t>Coastal vulnerability to sea-level rise: A spatial-temporal assessment framework</t>
  </si>
  <si>
    <t>Study of natural and man-induced ground deformation in mackenzie delta region</t>
  </si>
  <si>
    <t>Boundary demarcation of the damaged cultivated land caused by coal mining subsidence</t>
  </si>
  <si>
    <t>Perennial frost blisters of the outer Mackenzie Delta, western Arctic coast, Canada</t>
  </si>
  <si>
    <t>Safety evaluation of an ancient masonry seawall structure with modified DDA method</t>
  </si>
  <si>
    <t>Mapping and portraying inundation uncertainty of bathtub-type models</t>
  </si>
  <si>
    <t>GPS/terrestrial 3D laser scanner combined monitoring technology for coal mining subsidence: A case study of a coal mining area in Hebei, China</t>
  </si>
  <si>
    <t>A GIS-supported fuzzy-set approach for flood risk assessment</t>
  </si>
  <si>
    <t>Ecosystem respiration does not differ before and after tidal inundation in brackish marshes of the min river estuary, southeast China</t>
  </si>
  <si>
    <t>Bottom-up climate risk assessment of infrastructure investment in the Niger River Basin</t>
  </si>
  <si>
    <t>Seasonal dynamic of a shallow freshwater lens due to irrigation in the coastal plain of Ravenna, Italy; [Dynamique saisonnière d'une lentille d'eau douce sous l'effet de l'irrigationdans la plaine côtière de Ravenne, Italie]</t>
  </si>
  <si>
    <t>Evaluation of the MODIS-Aqua Sea-Surface Temperature product in the inner and mid-shelves of southwest Buenos Aires Province, Argentina</t>
  </si>
  <si>
    <t>Process design and management for integrated flood risk management: Exploring the multi-layer safety approach for Dordrecht, The Netherlands</t>
  </si>
  <si>
    <t>Climate-proof planning for flood-prone areas: Assessing the adaptive capacity of planning institutions in the Netherlands</t>
  </si>
  <si>
    <t>Managing shoreline retreat: A US perspective</t>
  </si>
  <si>
    <t>Decadal sea-level variability along the coast of Japan in response to ocean circulation changes</t>
  </si>
  <si>
    <t>Ground subsidence phenomena in the Delta municipality region (Northern Greece): Geotechnical modeling and validation with Persistent Scatterer Interferometry</t>
  </si>
  <si>
    <t>Interaction between land-use change, flooding and human health in Metro Vancouver, Canada</t>
  </si>
  <si>
    <t>Linking channel hydrology with riparian wetland accretion in tidal rivers</t>
  </si>
  <si>
    <t>Projecting twenty-first century regional sea-level changes</t>
  </si>
  <si>
    <t>New Orleans after Katrina: Building America's water city</t>
  </si>
  <si>
    <t>Sea-level scenarios for evaluating coastal impacts</t>
  </si>
  <si>
    <t>A hybrid stochastic-Ann approach for flow partitioning in the Okavango delta of Botswana</t>
  </si>
  <si>
    <t>Morphodynamic processes of the Elbe River estuary, Germany: The Coriolis effect, tidal asymmetry and human dredging</t>
  </si>
  <si>
    <t>Evaluating the influence of selected acid pre-treatment methods on C/N and δ13C of temperate inter-tidal sediments for relative sea level reconstruction</t>
  </si>
  <si>
    <t>A numerical approach for approximating the historical morphology of wave-dominated coasts-A case study of the Pomeranian Bight, southern Baltic Sea</t>
  </si>
  <si>
    <t>Regional differences of relative sea level changes in the Northwest Atlantic: Historical trends and future projections</t>
  </si>
  <si>
    <t>Overcoming the equivalent mutant problem: A systematic literature review and a comparative experiment of second order mutation</t>
  </si>
  <si>
    <t>Potential and limitation of UAV for monitoring subsidence in municipal landfills</t>
  </si>
  <si>
    <t>Climate adaptation: Evaluating flood resilience strategies for coastal megacities</t>
  </si>
  <si>
    <t>Sea level rise in the Severn Estuary and Bristol Channel and impacts of a Severn Barrage</t>
  </si>
  <si>
    <t>Migration from atolls as climate change adaptation: Current practices, barriers and options in Solomon Islands</t>
  </si>
  <si>
    <t>Understanding space-time patterns of long-term tidal fluctuation over the Pearl River Delta, South China</t>
  </si>
  <si>
    <t>Taming hurricanes with arrays of offshore wind turbines</t>
  </si>
  <si>
    <t>New type of tsunami barrier</t>
  </si>
  <si>
    <t>Analysis of operating environments: A diagnostic model for linking science, society and policy for sustainability</t>
  </si>
  <si>
    <t>Assessing inundation damage and timing of adaptation: Sea level rise and the complexities of land use in coastal communities</t>
  </si>
  <si>
    <t>Recent and future trends of beach zone evolution in relation to its physical characteristics: The case of the almiros bay (Island of Crete, south Aegean sea)</t>
  </si>
  <si>
    <t>Improving cross-sectoral climate change adaptation for coastal settlements: Insights from South East Queensland, Australia</t>
  </si>
  <si>
    <t>Implications of sea-level rise and extreme events around Europe: A review of coastal energy infrastructure</t>
  </si>
  <si>
    <t>Numerical assessment of the impacts of potential future sea-level rise on hydrodynamics of the Yangtze River Estuary, China</t>
  </si>
  <si>
    <t>Vulnerability risk assessment and adaptation to climate change induced sea level rise along the Mediterranean coast of Egypt</t>
  </si>
  <si>
    <t>Meteocean influence on inland and coastal floods in the east of Spain</t>
  </si>
  <si>
    <t>Seamless mapping of river channels at high resolution using mobile liDAR and UAV-photography</t>
  </si>
  <si>
    <t>Exploring the Knowledge Dynamics Associated with Coastal Adaptation Planning</t>
  </si>
  <si>
    <t>Geomorphology and evolution of coastal landforms between Mimisal and Rajamadam, Palk Strait, east coast of India</t>
  </si>
  <si>
    <t>Using Gene Expression Programming to Determine the Impact of Minerals on Erosion Resistance of Selected Cohesive Egyptian Soils</t>
  </si>
  <si>
    <t>A streamlined approach for sediment source fingerprinting in a Southern Piedmont watershed, USA</t>
  </si>
  <si>
    <t>Mapping wave set-up near a complex geometric urban coastline</t>
  </si>
  <si>
    <t>Research article: Coastal flood-risk management practice in tai o, a town in Hong Kong</t>
  </si>
  <si>
    <t>Effects of climate change on South African estuaries and associated fish species</t>
  </si>
  <si>
    <t>Addressing ‘deep’ uncertainty over long-term climate in major infrastructure projects: four innovations of the Thames Estuary 2100 Project</t>
  </si>
  <si>
    <t>Simulated tsunami inundation for a range of cascadia megathrust earthquake scenarios at bandon, oregon, USA</t>
  </si>
  <si>
    <t>Continental shelf landscapes of the southeastern United States since the last interglacial</t>
  </si>
  <si>
    <t>Along-coast shifts of plankton blooms driven by riverine inputs of nutrients and fresh water onto the coastal shelf: A model simulation</t>
  </si>
  <si>
    <t>Gradual demise of a thin southern Laurentide ice sheet recorded by Mississippi drainage</t>
  </si>
  <si>
    <t>Simulations of currents and pollution transport in the coastal waters of Big Sochi</t>
  </si>
  <si>
    <t>Spatial prediction of flood susceptible areas using rule based decision tree (DT) and a novel ensemble bivariate and multivariate statistical models in GIS</t>
  </si>
  <si>
    <t>Challenges to the integration of wetlands into IWRM: The case of the Inner Niger Delta (Mali) and the Lobau Floodplain (Austria)</t>
  </si>
  <si>
    <t>Rapid rise in effective sea-level in southwest Bangladesh: Its causes and contemporary rates</t>
  </si>
  <si>
    <t>Application of transport timescales to coastal environmental assessment: A case study</t>
  </si>
  <si>
    <t>Geomorphological development of the Memphite floodplain over the past 6,000 years</t>
  </si>
  <si>
    <t>Storage-based approaches to build floodplain inundation modelling capability in river system models for water resources planning and accounting</t>
  </si>
  <si>
    <t>Unlocking ecosystem based adaptation opportunities in coastal Bangladesh</t>
  </si>
  <si>
    <t>When bathymetry determines who might live and who might die</t>
  </si>
  <si>
    <t>Application of a 2D hydrodynamic model for assessing flood risk from extreme storm events</t>
  </si>
  <si>
    <t>Application of a distributed physically-based hydrological model on the upper river basin of someşul mare (Northern Romania)</t>
  </si>
  <si>
    <t>Integration of multicriteria evaluation and cellular automata methods for landslide simulation modelling</t>
  </si>
  <si>
    <t>On the prediction of settlement from high-resolution shear-wave reflection seismic data: The Trondheim harbour case study, mid Norway</t>
  </si>
  <si>
    <t>Tsunami evacuation modelling as a tool for risk reduction: Application to the coastal area of El Salvador</t>
  </si>
  <si>
    <t>How lava flows: New insights from applications of lidar technologies to lava flow studies</t>
  </si>
  <si>
    <t>Sand creep as a factor in land subsidence during groundwater level recovery in the southern Yangtze River delta, China</t>
  </si>
  <si>
    <t>Historical evolution of a micro-tidal lagoon simulated by a 2-D schematic model</t>
  </si>
  <si>
    <t>Rates of shoreline change along the coast of Bangladesh</t>
  </si>
  <si>
    <t>Community-based flood vulnerability and adaptation assessment: A case study from bangladesh</t>
  </si>
  <si>
    <t>Coastal habitats shield people and property from sea-level rise and storms</t>
  </si>
  <si>
    <t>Getting the balance right: A renewed need for the public interest test in addressing coastal climate change and sea level rise</t>
  </si>
  <si>
    <t>The economic value of delaying adaptation to sea-level rise: An application to coastal properties in Connecticut</t>
  </si>
  <si>
    <t>Impacts of Hurricane Ike on the beaches of the Bolivar Peninsula, TX, USA</t>
  </si>
  <si>
    <t>Towards understanding the dynamic behaviour of floodplains as human-water systems</t>
  </si>
  <si>
    <t>Analysis of lengths, water areas and volumes of the Three Gorges Reservoir at different water levels using Landsat images and SRTM DEM data</t>
  </si>
  <si>
    <t>Numerical modeling of tidal currents, sediment transport and morphological evolution in Hangzhou Bay, China</t>
  </si>
  <si>
    <t>Rapid coastal subsidence in the central ganges-brahmaputra delta (Bangladesh) since the 17th century deduced from submerged saltproducing kilns</t>
  </si>
  <si>
    <t>First evidence of an underwater Final Pleistocene terrestrial extinct faunal bone assemblage from Central Chile (South America): Taxonomic and taphonomic analyses</t>
  </si>
  <si>
    <t>Costs of adapting coastal defences to sea-level rise - New estimates and their implications</t>
  </si>
  <si>
    <t>The middle nile valley: Elements in an approach to the structuring of the landscape from the Greco-Roman era to the nineteenth century</t>
  </si>
  <si>
    <t>A rapid assessment of the effects of extreme weather on two Great Barrier Reef industries</t>
  </si>
  <si>
    <t>Adaptive capacity and regional water governance in north-western Germany</t>
  </si>
  <si>
    <t>Late holocene tsunami deposits at Salt Creek, Washington, USA</t>
  </si>
  <si>
    <t>Peoples' perception on the effects of flood in the Riverine areas of Ogbia local government area of Bayelsa state, Nigeria</t>
  </si>
  <si>
    <t>Vulnerability of population and transportation infrastructure at the east bank of Delaware Bay due to coastal flooding in sea-level rise conditions</t>
  </si>
  <si>
    <t>Slope failure hazard in Canada's Atlantic Provinces: A review</t>
  </si>
  <si>
    <t>Factors causing dynamic variations in the saltwater-freshwater transition zone in a beach aquifer, Mangsang, South Korea; [Facteurs causant des variations dynamiques dans la zone de transition eau douce-eau de mer dans un aquifère de plage, Mangsang, Corée du Sud]</t>
  </si>
  <si>
    <t>Tsunami Risk Management in Pacific Island Countries and Territories (PICTs): Some Issues, Challenges and Ways Forward</t>
  </si>
  <si>
    <t>Independent variations of CH 4 emissions and isotopic composition over the past 160,000 years</t>
  </si>
  <si>
    <t>Hydrogeologic-structure and groundwater-movement imaging in tideland using electrical sounding resistivity: A case study on the Ariake Sea coast, southwest Japan; [Image de la structure hydrogéologique et du mouvement de l'eau souterraine en zone tidale en utilisant la résistivité électrique: Une étude de cas sur la côte de la Mer d'Ariake, Sud-Ouest du Japon]</t>
  </si>
  <si>
    <t>Planning practice in support of economically and environmentally sustainable roads in floodplains: The case of the Mekong delta floodplains</t>
  </si>
  <si>
    <t>Evaluation and Comparison of Multi Resolution DEM Derived Through Cartosat-1 Stereo Pair - A Case Study of Damanganga Basin</t>
  </si>
  <si>
    <t>Sea Wall Politics: Uneven and Combined Protection of the Nile Delta Coastline in the Face of Sea Level Rise</t>
  </si>
  <si>
    <t>Transition of the coastal and estuarine storm tide model to an operational storm surge forecast model: A case study of the florida coast</t>
  </si>
  <si>
    <t>Simulating the effects of global climate change on Atlantic croaker population dynamics in the mid-Atlantic Region</t>
  </si>
  <si>
    <t>Assessment of seawater intrusion to the agricultural sustainability at the coastal area of Carey Island, Selangor, Malaysia</t>
  </si>
  <si>
    <t>Sea level: Earth's dominant elevation-implications for duration and magnitudes of sea level variations</t>
  </si>
  <si>
    <t>Advancing tsunami risk assessment by improving spatio-temporal population exposure and evacuation modeling</t>
  </si>
  <si>
    <t>Barnacle larval transport in the Mandovi-Zuari estuarine system, central west coast of India</t>
  </si>
  <si>
    <t>Spatial coexistence and temporal logout between mainland and marine hazards in upper normandy (Nw France)</t>
  </si>
  <si>
    <t>Lacustrine turbidites in the Eocene Shahejie Formation, Dongying Sag, Bohai Bay Basin, North China Craton</t>
  </si>
  <si>
    <t>Re-thinking coastal adaptation strategy: From SLR to land risks-Can the water policy fill the coastal strategy vacuum? The case of Morocco</t>
  </si>
  <si>
    <t>Multi-scale factors controlling the pattern of floodplain width at a network scale: The case of the RhÔne basin, France</t>
  </si>
  <si>
    <t>Iron, cadmium, and chromium in seagrass (Thalassia testudinum) from a coastal nature reserve in karstic Yucatán</t>
  </si>
  <si>
    <t>Atmospheric meridional moisture flux over the Southern Ocean: A story of the Amundsen Sea</t>
  </si>
  <si>
    <t>Are beach erosion rates and sea-level rise related in Hawaii?</t>
  </si>
  <si>
    <t>Numerical simulation of catastrophic flood: The case study of hypothetical failure of the Bielkowo hydro-power plant reservoir</t>
  </si>
  <si>
    <t>Hindcast and validation of Hurricane Ike (2008) waves, forerunner, and storm surge</t>
  </si>
  <si>
    <t>Potential impacts of long-term subsidence on the wetlands and evacuation routes in coastal Louisiana</t>
  </si>
  <si>
    <t>Ecomorphodynamic feedbacks and barrier island response to disturbance: Insights from the Virginia Barrier Islands, Mid-Atlantic Bight, USA</t>
  </si>
  <si>
    <t>Enzymatic activity of soils from islands located near the right bank of the delta of the Selenga River (Baikal region)</t>
  </si>
  <si>
    <t>From hydrodynamic to hydrological modelling: Investigating long-term hydrological regimes of key wetlands in the Macquarie Marshes, a semi-arid lowland floodplain in Australia</t>
  </si>
  <si>
    <t>Salt marsh primary production and its responses to relative sea level and nutrientsin estuaries at plum island, Massachusetts, and North Inlet, South Carolina, USA</t>
  </si>
  <si>
    <t>Advanced interpretation of land subsidence by validating multi-interferometric SAR data: The case study of the Anthemountas basin (Northern Greece)</t>
  </si>
  <si>
    <t>Increasing pressure, declining water and climate change in north-eastern Morocco</t>
  </si>
  <si>
    <t>Upper Devonian shoal-water delta integrated with cyclic back-reef facies off the Mowanbini Archipelago (Canning Basin), Western Australia</t>
  </si>
  <si>
    <t>Assessing coastal squeeze of tidal wetlands</t>
  </si>
  <si>
    <t>Scaling-up, scaling-down, and scaling-out: Local planning strategies for sea-level rise in New South Wales, Australia</t>
  </si>
  <si>
    <t>Spatial and temporal variability of dissolved organic matter quantity and composition in an oligotrophic subtropical coastal wetland</t>
  </si>
  <si>
    <t>A spatial temporal decision framework for adaptation to sea level rise</t>
  </si>
  <si>
    <t>Foraging habitat for shorebirds in southeastern Missouri and its predicted future availability</t>
  </si>
  <si>
    <t>Occupational transitions in three coastal villages in Central Java, Indonesia, in the context of sea level rise: A case study</t>
  </si>
  <si>
    <t>Effect of super cyclone "GONU" on sea level variation along Iranian coastlines</t>
  </si>
  <si>
    <t>Sandy berm and beach-ridge formation in relation to extreme sea-levels: A Danish example in a micro-tidal environment</t>
  </si>
  <si>
    <t>New tsunami runup relationships based on long wave experiments</t>
  </si>
  <si>
    <t>Ecological niche modeling of coastal dune plants and future potential distribution in response to climate change and sea level rise</t>
  </si>
  <si>
    <t>Uncertainty in floodplain delineation: Expression of flood hazard and risk in a Gulf Coast watershed</t>
  </si>
  <si>
    <t>A Probabilistic Tsunami Hazard Study of the Auckland Region, Part I: Propagation Modelling and Tsunami Hazard Assessment at the Shoreline</t>
  </si>
  <si>
    <t>Memory oscillator for modeling socio-economic oscillatory responses to extreme events</t>
  </si>
  <si>
    <t>The role of coastal plant communities for climate change mitigation and adaptation</t>
  </si>
  <si>
    <t>Nineteenth century north american and pacific tidal data: Lost or just forgotten</t>
  </si>
  <si>
    <t>Measuring household resilience to floods: A case study in the Vietnamese Mekong River Delta</t>
  </si>
  <si>
    <t>Adaptation options to protect against sea level rise, coastal floods, and storm surge at the Ogunquit, Maine wastewater treatment plant</t>
  </si>
  <si>
    <t>Storm surge vulnerability along Chennai-Cuddalore coast due to a severe cyclone THANE</t>
  </si>
  <si>
    <t>Explaining the spectral red-edge features of inundated marsh vegetation</t>
  </si>
  <si>
    <t>Evaluating scale and roughness effects in urban flood modelling using terrestrial LIDAR data</t>
  </si>
  <si>
    <t>Managerial response to sea level rise in the tidal estuaries of the Indian Sundarbans: A geomorphological approach</t>
  </si>
  <si>
    <t>Sedimentary facies of the subaqueous Changjiang River delta since the late Pleistocene</t>
  </si>
  <si>
    <t>Coastal wetland mapping combining multi-date SAR and LiDAR</t>
  </si>
  <si>
    <t>Gulf of Mexico hurricane wave simulations using SWAN: Bulk formula-based drag coefficient sensitivity for Hurricane Ike</t>
  </si>
  <si>
    <t>Varying scale and capability of envisat ASAR-WSM, TerraSAR-X scansar and TerraSAR-X Stripmap data to assess urban flood situations: A case study of the mekong delta in Can Tho province</t>
  </si>
  <si>
    <t>Intercomparison of the Charnock and COARE bulk wind stress formulations for coastal ocean modelling</t>
  </si>
  <si>
    <t>Land subsidence at aquaculture facilities in the Yellow River delta, China</t>
  </si>
  <si>
    <t>Modeling the impacts of the large-scale atmospheric environment on inland flooding during the landfall of Hurricane Floyd (1999)</t>
  </si>
  <si>
    <t>Assessment of environmental flow requirement effects at an estuary</t>
  </si>
  <si>
    <t>Trace metal biogeochemistry in mangrove ecosystems: A comparative assessment of acidified (by acid sulfate soils) and non-acidified sites</t>
  </si>
  <si>
    <t>Satellite-derived volume loss rates and glacier speeds for the Cordillera Darwin Icefield, Chile</t>
  </si>
  <si>
    <t>SRTM vegetation removal and hydrodynamic modeling accuracy</t>
  </si>
  <si>
    <t>The impact of climate change on tribal communities in the US: Displacement, relocation, and human rights</t>
  </si>
  <si>
    <t>U.S. IOOS coastal and ocean modeling testbed: Evaluation of tide, wave, and hurricane surge response sensitivities to mesh resolution and friction in the Gulf of Mexico</t>
  </si>
  <si>
    <t>Structural Changes of Biological Compartments in Danube Delta Systems Due to Persistent Organic Pollutants and Toxic Metals</t>
  </si>
  <si>
    <t>Hydrodynamic and climatic drivers of ice breakup in the lower Mackenzie River</t>
  </si>
  <si>
    <t>Protection and management of the Annunziata river mouth area (Italy)</t>
  </si>
  <si>
    <t>Mapping erosion risk under different scenarios of climate change for Aveiro coast, Portugal</t>
  </si>
  <si>
    <t>Fluvial terraces of the northwest Iberian lower Miño River</t>
  </si>
  <si>
    <t>Managing U.S. Coastal hazards</t>
  </si>
  <si>
    <t>Grazing management can counteract the impacts of climate change-induced sea level rise on salt marsh-dependent waterbirds</t>
  </si>
  <si>
    <t>Mapping large-scale river flow hydraulics in the Amazon Basin</t>
  </si>
  <si>
    <t>Winter wave climate, storms and regional cycles: The SW Spanish Atlantic coast</t>
  </si>
  <si>
    <t>Changes in North Sea storm surge conditions for four transient future climate realizations</t>
  </si>
  <si>
    <t>The Gathering Storm: Managing adaptation to environmental change in coastal communities and small islands</t>
  </si>
  <si>
    <t>Geomorphic effects, flood power, and channel competence of a catastrophic flood in confined and unconfined reaches of the upper Lockyer valley, southeast Queensland, Australia</t>
  </si>
  <si>
    <t>High resolution climate projection of storm surge at the Venetian coast</t>
  </si>
  <si>
    <t>Double exposures and decision making: Adaptation policy and planning in Ireland's coastal cities during a boom-bust cycle</t>
  </si>
  <si>
    <t>Development of an inverse method for coastal risk management</t>
  </si>
  <si>
    <t>Impact of current-wave interaction on storm surge simulation: A case study for Hurricane Bob</t>
  </si>
  <si>
    <t>Geometric and frequency EMI sounding of estuarine earthen flood defence embankments in Ireland using 1D inversion models</t>
  </si>
  <si>
    <t>Building with Nature: In search of resilient storm surge protection strategies</t>
  </si>
  <si>
    <t>Germination responses of the invasive triadica sebifera and two co-occurring native woody species to elevated salinity across a Gulf Coast transition ecosystem</t>
  </si>
  <si>
    <t>Coastal Impacts of the March 11th Tohoku, Japan Tsunami in the Galapagos Islands</t>
  </si>
  <si>
    <t>Scheduling satellite-based SAR acquisition for sequential assimilation of water level observations into flood modelling</t>
  </si>
  <si>
    <t>Improved water-level forecasting for the Northwest European Shelf and North Sea through direct modelling of tide, surge and non-linear interaction Topical Collection on the 16th biennial workshop of the Joint Numerical Sea Modelling Group (JONSMOD) in Brest, France 21-23 May 2012</t>
  </si>
  <si>
    <t>Tide-surge interactions and their effects on total sea levels in Irish coastal waters</t>
  </si>
  <si>
    <t>Changing climate, changing frames: Dutch water policy frame developments in the context of a rise and fall of attention to climate change</t>
  </si>
  <si>
    <t>The plio-pleistocene fluvio-lacustrine upper valdarno basin (central Italy): Stratigraphy and Basin fill evolution</t>
  </si>
  <si>
    <t>A hydrologic and geomorphic model of estuary breaching and closure</t>
  </si>
  <si>
    <t>Assessing flash flood hazard in an arid mountainous region</t>
  </si>
  <si>
    <t>The social values at risk from sea-level rise</t>
  </si>
  <si>
    <t>Characterization of schoenoplectus pungens in a great lakes Coastal Wetland and a Pacific Northwestern Estuary</t>
  </si>
  <si>
    <t>Suitability of recycled glass cullet as artificial dune fill along coastal environments</t>
  </si>
  <si>
    <t>Changing of the guard: Adaptation options that maintain ecologically resilient sandy beach ecosystems</t>
  </si>
  <si>
    <t>A threatened world city: The benefits of protecting London from the sea</t>
  </si>
  <si>
    <t>The effect of increasing salinity and forest mortality on soil nitrogen and phosphorus mineralization in tidal freshwater forested wetlands</t>
  </si>
  <si>
    <t>Assessing hydrological effects of human interventions on coastal systems: Numerical applications to the Venice Lagoon</t>
  </si>
  <si>
    <t>Coasts: The high-risk areas of the world</t>
  </si>
  <si>
    <t>Carbon dioxide dynamics driven by groundwater discharge in a coastal floodplain creek</t>
  </si>
  <si>
    <t>Wave transformation and runup on dikes and gentle slopes</t>
  </si>
  <si>
    <t>A global standard for monitoring coastal wetland vulnerability to accelerated sea-level rise</t>
  </si>
  <si>
    <t>Geoarchaeology of the ancient and medieval Danube Delta: Modeling environmental and historical changes. A review</t>
  </si>
  <si>
    <t>Use of radar data to unveil the paleolakes and the ancestral course of Wadi El-Arish, Sinai Peninsula, Egypt</t>
  </si>
  <si>
    <t>Observations and Impacts from the 2010 Chilean and 2011 Japanese Tsunamis in California (USA)</t>
  </si>
  <si>
    <t>Review of the long-term coastal evolution of North Oman - Subsidence versus uplift; [Review der langfristigen Küstenentwicklung Nordomans - Senkung und Hebung]</t>
  </si>
  <si>
    <t>A parcel-scale coastal flood forecasting prototype for a Southern California urbanized embayment</t>
  </si>
  <si>
    <t>Recent decadal growth of the Atchafalaya River Delta complex: Effects of variable riverine sediment input and vegetation succession</t>
  </si>
  <si>
    <t>Restoration potential of the aquatic ecosystems of the Colorado River Delta, Mexico: Introduction to special issue on "Wetlands of the Colorado River Delta</t>
  </si>
  <si>
    <t>The uncertainty of local flow parameters during inundation flow over complex topographies with elevation errors</t>
  </si>
  <si>
    <t>Contribution of Icelandic ice caps to sea level rise: Trends and variability since the Little Ice Age</t>
  </si>
  <si>
    <t>Chronology of major terrace forming events in the Andaman islands during the last 40 kyr</t>
  </si>
  <si>
    <t>Study on tsunami inundation simulation in the northwestern coast of Sabah, Malaysia</t>
  </si>
  <si>
    <t>Time and space distribution of coseismic slip of the 2011 Tohoku earthquake as inferred from Tsunami waveform data</t>
  </si>
  <si>
    <t>Post-breakup evolution and palaeotopography of the North Namibian Margin during the Meso-Cenozoic</t>
  </si>
  <si>
    <t>Modeling of freshwater wetland management strategies for building the public awareness at local level in Bangladesh</t>
  </si>
  <si>
    <t>A linguistic decision tree approach to predicting storm surge</t>
  </si>
  <si>
    <t>Types of sediments and sections in the upper quaternary cover and geological stability of the Curonian Spit (Baltic Sea)</t>
  </si>
  <si>
    <t>Land loss due to recent hurricanes in Coastal Louisiana, U.S.A.</t>
  </si>
  <si>
    <t>Bias-corrected goce geoid for the generation of high-resolution digital terrain model</t>
  </si>
  <si>
    <t>Reconstruction of hydrometeorological time series and its uncertainties for the Kaidu River Basin using multiple data sources</t>
  </si>
  <si>
    <t>The seismic cycle at subduction thrusts: 1. Insights from laboratory models</t>
  </si>
  <si>
    <t>Climate change impact on small coastal river basins: From problem identification to adaptation in Klaipėda City</t>
  </si>
  <si>
    <t>Salt intrusion in coastal and lowland areas of semarang city</t>
  </si>
  <si>
    <t>A new longitudinal approach to assess hydrologic connectivity: Embanked floodplain inundation along the lower Mississippi River</t>
  </si>
  <si>
    <t>The impact of rapid coastline changes and sea level rise on the tides in the Bohai Sea, China</t>
  </si>
  <si>
    <t>Morphological evolution of mouth bars on the Yangtze estuarine waterways in the last 100 years</t>
  </si>
  <si>
    <t>Understanding a coastal flood event: The 10th March 2008 storm surge event in the Solent, UK</t>
  </si>
  <si>
    <t>On the processes that influence the transport and fate of Mississippi waters under flooding outflow conditions</t>
  </si>
  <si>
    <t>New data systems and products at the permanent service for mean sea level</t>
  </si>
  <si>
    <t>The end of the Pacific? Effects of sea level rise on Pacific Island livelihoods</t>
  </si>
  <si>
    <t>Influence of ice sheet and glacial erosion on passive margins of Greenland</t>
  </si>
  <si>
    <t>Sedimentary features of tsunami backwash deposits as assessed by micro-beam synchrotron X-ray fluorescence (μ-SXRF) at the Siam photon laboratory</t>
  </si>
  <si>
    <t>Performance of coastal sea-defense infrastructure at El Jadida (Morocco) against tsunami threat: Lessons learned from the Japanese 11 March 2011 tsunami</t>
  </si>
  <si>
    <t>A wetting and drying scheme for ROMS</t>
  </si>
  <si>
    <t>Stay or leave? Potential climate change adaptation strategies among Aboriginal people in coastal communities in northern Australia</t>
  </si>
  <si>
    <t>Is land subsidence increasing the exposure to sea level rise in Alexandria, Egypt?</t>
  </si>
  <si>
    <t>Response of delta vegetation to water level changes in a regulated mountain Lake, Washington State, USA</t>
  </si>
  <si>
    <t>River-wetland interaction and carbon cycling in a semi-arid riverine system: The Okavango Delta, Botswana</t>
  </si>
  <si>
    <t>The smartline approach to coastal vulnerability and social risk assessment applied to a segment of the east coast of Rio de Janeiro State, Brazil</t>
  </si>
  <si>
    <t>The response of coastal stratocumulus clouds to agricultural irrigation in California</t>
  </si>
  <si>
    <t>TerraSAR-X interferometry reveals small-scale deformation associated with the summit eruption of Kīlauea Volcano, Hawai'i</t>
  </si>
  <si>
    <t>Fluctuations in sedimentary provenance of the upper Cambrian mount simon sandstone, Illinois basin, United States</t>
  </si>
  <si>
    <t>Climate and current anthropogenic impacts on fisheries</t>
  </si>
  <si>
    <t>Impacts on groundwater recharge areas of megacity pumping: Analysis of potential contamination of Kolkata, India, water supply</t>
  </si>
  <si>
    <t>CZM in California: Successes and Challenges Ahead</t>
  </si>
  <si>
    <t>Modelling the effects of tidal range and initial bathymetry on the morphological evolution of tidal embayments</t>
  </si>
  <si>
    <t>Wave-cloud lines over northwest australia</t>
  </si>
  <si>
    <t>Improving remote sensing flood assessment using volunteered geographical data</t>
  </si>
  <si>
    <t>Sea-Level Changes and its Impact on Coastal Archaeological Monuments: Seven Pagodas of Mahabalipuram, a Case Study</t>
  </si>
  <si>
    <t>Assessment of static flood modeling techniques: Application to contrasting marshes flooded during Xynthia (western France)</t>
  </si>
  <si>
    <t>Airborne lidar data and gis technique outputs over romanian danube plain with a special attention on geomorphology</t>
  </si>
  <si>
    <t>An examination of historical inorganic sedimentation and organic matter accumulation in several marsh types within the mobile bay and mobile-tensaw river delta region</t>
  </si>
  <si>
    <t>Potential flood volume of Himalayan glacial lakes</t>
  </si>
  <si>
    <t>Urban micro-scale flood risk estimation with parsimonious hydraulic modelling and census data</t>
  </si>
  <si>
    <t>Implementation/optimization of moving least squares response surfaces for approximation of hurricane/storm surge and wave responses</t>
  </si>
  <si>
    <t>Generalized normal homogeneous spheres</t>
  </si>
  <si>
    <t>A study on the transition mechanism of a stratus cloud into a warm sea fog using a single column model PAFOG coupled with WRF</t>
  </si>
  <si>
    <t>Relative sea-level rise around East Antarctica during Oligocene glaciation</t>
  </si>
  <si>
    <t>Flow-R, a model for susceptibility mapping of debris flows and other gravitational hazards at a regional scale</t>
  </si>
  <si>
    <t>The gravitationally consistent sea-level fingerprint of future terrestrial ice loss</t>
  </si>
  <si>
    <t>Shoreline morphological changes and the human factor. Case study of Accra Ghana</t>
  </si>
  <si>
    <t>Marine ecosystem responses to Cenozoic global change</t>
  </si>
  <si>
    <t>Use of one-dimensional modelling in estuary management: Entrance depth -- model calibration</t>
  </si>
  <si>
    <t>Limits to autonomous adaptation in response to coastal erosion in Kosrae, Micronesia</t>
  </si>
  <si>
    <t>Cryospheric hazards</t>
  </si>
  <si>
    <t>The okavango delta and its place in the geomorphological evolution of Southern Africa</t>
  </si>
  <si>
    <t>Salinity-induced loss and damage to farming households in coastal Bangladesh</t>
  </si>
  <si>
    <t>Geomorphology of a recurring tidal sandbar in the estuary of the colorado river, Mexico: Implications for restoration</t>
  </si>
  <si>
    <t>Climate change and coastal zone of Bangladesh: Vulnerability, resilience and adaptability</t>
  </si>
  <si>
    <t>Intra-tidal variation of stratification in a semi-arid estuary under the impact of flow regulation</t>
  </si>
  <si>
    <t>Tidal, riverine, and wind influences on the circulation of a macrotidal estuary</t>
  </si>
  <si>
    <t>Assessing public transportation vulnerability to sea level rise: A case study application</t>
  </si>
  <si>
    <t>Response to disturbance in a highly managed alluvial river: Does it conform to Le Chatelier's general law?</t>
  </si>
  <si>
    <t>A pedostratigraphic approach to nonmarine sequence stratigraphy: A three-dimensional paleosol-landscape model from the cretaceous (cenomanian) dunvegan formation, Alberta and British Columbia, Canada</t>
  </si>
  <si>
    <t>Geospatial Analysis for Coastal Risk Assessment to Cyclones</t>
  </si>
  <si>
    <t>Flood mapping and flood dynamics of the mekong delta: ENVISAT-ASAR-WSM based time series analyses</t>
  </si>
  <si>
    <t>Impact of digital terrain model uncertainty on flood inundation mapping; [Wpływ niepewności numerycznego modelu terenu na wyznaczanie stref zasięgu zalewu powodziowego]</t>
  </si>
  <si>
    <t>Planning tool to support planning the future of coastal louisiana</t>
  </si>
  <si>
    <t>Improvement of surface flow network prediction for the modeling of erosion processes in agricultural landscapes</t>
  </si>
  <si>
    <t>An Adaptation Due to Climate Change in Southwest Coast of Taiwan</t>
  </si>
  <si>
    <t>Numerical study on mixing and stratification in the Ebb-Dominant Johor Estuary</t>
  </si>
  <si>
    <t>Simulation of flash-muddy flash flooding and inundation of Western Tamdao mountain region, Vinh Phuc province, Viet Nam using hydro-geomorphology</t>
  </si>
  <si>
    <t>Planned retreat as a management response to coastal risk: A case study from the Fleurieu Peninsula, South Australia</t>
  </si>
  <si>
    <t>Man made deltas</t>
  </si>
  <si>
    <t>Simulation of evacuation behaviour during a disaster for classes building of Azarbaijan Shahid Madani University by using DEM</t>
  </si>
  <si>
    <t>Rapid thinning of lake-calving Yakutat Glacier and the collapse of the Yakutat Icefield, southeast Alaska, USA</t>
  </si>
  <si>
    <t>Morphological origin of run-offs through distributed hydrological observations on two Mediterranean catchments in the cevennes region (Gard, France); [Sur l'origine morphologique des écoulements par l'analyse d'observations hydrologiques distribuées. Application à deux bassins versants cévenols (Gard, France)]</t>
  </si>
  <si>
    <t>A review of assessment and adaptation strategy to climate change impacts on the coastal areas in South China</t>
  </si>
  <si>
    <t>Engaging birds in vegetation restoration after elwha dam removal</t>
  </si>
  <si>
    <t>The contribution to future flood risk in the Severn Estuary from extreme sea level rise due to ice sheet mass loss</t>
  </si>
  <si>
    <t>Sustainable landuse management on the coastal zone of the Nile Delta, Egypt</t>
  </si>
  <si>
    <t>Risks of sea level rise to disadvantaged communities in the United States</t>
  </si>
  <si>
    <t>Topographic accuracy assessment of bare earth lidar-derived unstructured meshes</t>
  </si>
  <si>
    <t>Detecting flooded areas with machine learning techniques: Case study of the Selška Sora river flash flood in September 2007</t>
  </si>
  <si>
    <t>Sedimentary evolution of Lake Van (Eastern Turkey) reconstructed from high-resolution seismic investigations</t>
  </si>
  <si>
    <t>Assessing the performance of a northern gulf of mexico tidal model using satellite imagery</t>
  </si>
  <si>
    <t>Delta dynamics: Effects of a major earthquake, tides, and river flows on Ciénega de Santa Clara and the Colorado River Delta, Mexico</t>
  </si>
  <si>
    <t>Sea-cliff erosion with rising sea-level along shores exposing glacial material in atlantic Canada: The effect of bedrock slope and an example from Isle Madame, Nova Scotia</t>
  </si>
  <si>
    <t>Sea-level rise vulnerability mapping for adaptation decisions using LiDAR DEMs</t>
  </si>
  <si>
    <t>Does more mean less? The value of information for conservation planning under sea level rise</t>
  </si>
  <si>
    <t>Generic framework for meso-scale assessment of climate change hazards in coastal environments</t>
  </si>
  <si>
    <t>Two verified forecasts of catastrophic floods in Ladoga lake and the Neva delta in 1924</t>
  </si>
  <si>
    <t>Cloud shading and fog drip influence the metabolism of a coastal pine ecosystem</t>
  </si>
  <si>
    <t>Semi-automated GIS techniques for detecting floodplain earthworks</t>
  </si>
  <si>
    <t>Topographic metrics for improved mapping of forested wetlands</t>
  </si>
  <si>
    <t>Floods and livelihoods: The impact of changing water resources on wetland agro-ecological production systems in the Tana River Delta, Kenya</t>
  </si>
  <si>
    <t>6th International Conference on Sustainable Development and Planning, SDP 2013</t>
  </si>
  <si>
    <t>Identifying the MJO, equatorial waves, and their impacts using 32 years of HIRS upper-tropospheric water vapor</t>
  </si>
  <si>
    <t>Implementing a trans-boundary flood risk management plan: A method for determining willingness to cooperate and case study for the Scheldt estuary</t>
  </si>
  <si>
    <t>Chemical characteristics of soils and vegetation cover of grasslands in the warta estuary valley; [Charakterystyka chemiczna gleb i szaty roślinnej użytków zielonych w dolinie ujścia Warty]</t>
  </si>
  <si>
    <t>Louisiana's 2012 coastal master plan: Overview of a science-based and publicly informed decision-making process</t>
  </si>
  <si>
    <t>Modelling tides and sea-level rise: To flood or not to flood</t>
  </si>
  <si>
    <t>Modelling flash floods in arid urbanized areas: Makkah (Saudi Arabia)</t>
  </si>
  <si>
    <t>The impact of climate change on sea level rise at Peninsular Malaysia and Sabah-Sarawak</t>
  </si>
  <si>
    <t>Flash flood inundation map preparation for wadis in arid regions</t>
  </si>
  <si>
    <t>Consideration of vertical uncertainty in elevation-based sea-level rise assessments: Mobile bay, Alabama case study</t>
  </si>
  <si>
    <t>Introduction to special section on the U.S. IOOS coastal and ocean modeling testbed</t>
  </si>
  <si>
    <t>Responding to climate variability: The opening of an artificial mouth on the Senegal River</t>
  </si>
  <si>
    <t>Estimation and mapping of carbon stocks in riparian forests by using a machine learning approach with multiple geodata</t>
  </si>
  <si>
    <t>Simplified hydraulic modelling in model predictive control of flood mitigation measures along rivers</t>
  </si>
  <si>
    <t>Tihany Formation in the surroundings of Lake Balaton: Type locality, depositional setting and stratigraphy; [A Tihanyi Formáció a Balaton környékén: Típusszelvény, képződési körülmények, rétegtani jellemzés]</t>
  </si>
  <si>
    <t>Appraising sustainable flood risk management in the Pearl River Delta's coastal megacities: A case study of Hong Kong, China</t>
  </si>
  <si>
    <t>Time-lapse gravity inversion with an active time constraint</t>
  </si>
  <si>
    <t>Evaluation of wasatch fault segmentation and slip rates using lake bonneville shorelines</t>
  </si>
  <si>
    <t>A case of rapid rock riverbed incision in a coseismic uplift reach and its implications</t>
  </si>
  <si>
    <t>Assessing vulnerability due to sea-level rise in Maui, Hawai'i using LiDAR remote sensing and GIS</t>
  </si>
  <si>
    <t>Toward a methodology to investigate the downstream flood hazards on the American River due to changes in probable maximum flood due to effects of artificial reservoir size and land-use/ land-cover patterns</t>
  </si>
  <si>
    <t>Exchange of nitrogen through an urban tidal freshwater wetland in Philadelphia, Pennsylvania</t>
  </si>
  <si>
    <t>Ensemble prediction of coastal flood risk arising from overtopping by linking meteorological, ocean, coastal and surf zone models</t>
  </si>
  <si>
    <t>Invasive grasses, climate change, and exposure to storm-wave overtopping in coastal dune ecosystems</t>
  </si>
  <si>
    <t>Taming Indeterminacy: The Co-production of Biodiversity Restoration, Flood Protection and Biophysical Modelling of Rivers and Coastal Environments</t>
  </si>
  <si>
    <t>Validation of a full hydrodynamic model for large-scale hydrologic modelling in the Amazon</t>
  </si>
  <si>
    <t>Coastal household adaptation cost requirements to sea level rise impacts</t>
  </si>
  <si>
    <t>Modeling the influence of changing storm patterns on the ability of a salt marsh to keep pace with sea level rise</t>
  </si>
  <si>
    <t>A preliminary assessment of the distribution and consequences of natural and some anthropogenic hazards in Brazil</t>
  </si>
  <si>
    <t>Likely changes in habitat quality for fish and wildlife in coastal louisiana during the next fifty years</t>
  </si>
  <si>
    <t>Natural hazards susceptibility mapping in Kuala Lumpur, Malaysia: An assessment using remote sensing and geographic information system (GIS)</t>
  </si>
  <si>
    <t>From accident to management: The Cienega de Santa Clara ecosystem</t>
  </si>
  <si>
    <t>Data-based mechanistic modelling of tidally affected river reaches for flood warning purposes: An example on the River Dee, UK</t>
  </si>
  <si>
    <t>Hydraulic routing of extreme floods in a large ungauged river and the estimation of associated uncertainties: A case study of the Damodar River, India</t>
  </si>
  <si>
    <t>An Optimization Model for Integrated Coastal Management: Development and a Case Study Using Italy's Comacchio Municipality</t>
  </si>
  <si>
    <t>Developing a Sustainable Flood Risk Appraisal (SFRA) Framework for the Pearl River Delta</t>
  </si>
  <si>
    <t>Coastal Flood Inundation Monitoring with Satellite C-band and L-band Synthetic Aperture Radar Data</t>
  </si>
  <si>
    <t>Hydrological modelling of tidal re-inundation of an estuarine wetland in south-eastern Australia</t>
  </si>
  <si>
    <t>3rd International Conference on Physical Coastal Processes, Management and Engineering, CP 2013</t>
  </si>
  <si>
    <t>Estimation of tsunami-inundated areas in Asahi City, Chiba Prefecture, after the 2011 Tohoku-oki earthquake</t>
  </si>
  <si>
    <t>Catastrophes and adaptation along the Mississippi coast; [Catastrophes et adaptation sur le littoral du Mississippi]</t>
  </si>
  <si>
    <t>Multi-factor impact analysis of agricultural production in Bangladesh with climate change</t>
  </si>
  <si>
    <t>Are master plans effective in limiting development in China's disaster-prone areas?</t>
  </si>
  <si>
    <t>Effects of LIDAR DEM resolution in hydrodynamic modelling: Model sensitivity for cross-sections</t>
  </si>
  <si>
    <t>Climate-change impact assessment for inlet-interrupted coastlines</t>
  </si>
  <si>
    <t>A fully automated and integrated multi-scale forecasting scheme for emergency preparedness</t>
  </si>
  <si>
    <t>Causation and avoidance of catastrophic flooding along the Indus River, Pakistan</t>
  </si>
  <si>
    <t>Remote sensing of rice crop areas</t>
  </si>
  <si>
    <t>An assessment of current and future vulnerability to coastal inundation due to sea-level extremes in Victoria, southeast Australia</t>
  </si>
  <si>
    <t>Predict typhoon-induced storm surge deviation in a principal component back-propagation neural network model</t>
  </si>
  <si>
    <t>Application of the inundation area-lake level rating curves constructed from the SRTM DEM to retrieving lake levels from satellite measured inundation areas</t>
  </si>
  <si>
    <t>Rural livelihoods and household adaptation to desiccation in the Okavango Delta, Botswana</t>
  </si>
  <si>
    <t>Accelerated contributions of Canada's Baffin and Bylot Island glaciers to sea level rise over the past half century</t>
  </si>
  <si>
    <t>Quantifying the performance of automated GIS-based geomorphological approaches for riparian zone delineation using digital elevation models</t>
  </si>
  <si>
    <t>The first complete inventory of the local glaciers and ice caps on Greenland</t>
  </si>
  <si>
    <t>Vertical crustal motion of active plate convergence in Taiwan derived from tide gauge, altimetry, and GPS data</t>
  </si>
  <si>
    <t>Investigation of tsunami propagation characteristics in river and on land induced by the great east Japan earthquake 2011</t>
  </si>
  <si>
    <t>A lidar-derived evaluation of watershed-scale large woody debris sources and recruitment mechanisms: Coastal Maine, USA</t>
  </si>
  <si>
    <t>Regional attributes of hurricane surge response functions for hazard assessment</t>
  </si>
  <si>
    <t>A study of the climate change impacts on fluvial flood propagation in the Vietnamese Mekong Delta</t>
  </si>
  <si>
    <t>Hydro-geomorphological processes in the transitional romanian Black Sea Coast, their consequences on the masterplan for Coastal protection implementation</t>
  </si>
  <si>
    <t>Towards a legal framework for coastal adaptation: Assessing the first steps in europe and australia</t>
  </si>
  <si>
    <t>Overwash hazard assessment</t>
  </si>
  <si>
    <t>Tidal freshwater forest accretion does not keep pace with sea level rise</t>
  </si>
  <si>
    <t>Coastal flooding in Florida's big bend region with application to sea level rise based on synthetic storms analysis</t>
  </si>
  <si>
    <t>The 2006 July 17 Java (Indonesia) tsunami from satellite imagery and numerical modelling: A single or complex source?</t>
  </si>
  <si>
    <t>Sinking islands, shrinking maritime entitlements: Is a new rule of international law needed to protect and promote offshore minerals exploration and mining?</t>
  </si>
  <si>
    <t>Doubly dispossessed by accumulation: Egyptian fishing communities between enclosed lakes and a rising sea; [Doublement dépossédés par l'accumulation: Les communautés des pêcheurs égyptiens entre les lacs fermés et une mer montante]</t>
  </si>
  <si>
    <t>Ice loss from the Southern Patagonian Ice Field, South America, between 2000 and 2012</t>
  </si>
  <si>
    <t>Storm Tide Recurrence Intervals - A Statistical Approach Using Beach Ridge Plains in Northern Australia</t>
  </si>
  <si>
    <t>The impacts of international aid on the energy security of small island developing states (SIDS): A case study of Tuvalu</t>
  </si>
  <si>
    <t>Nutrients in estuaries - An overview and the potential impacts of climate change</t>
  </si>
  <si>
    <t>Indigenous knowledge and land use policy: Implications for livelihoods of flood recession farming communities in the Okavango Delta, Botswana</t>
  </si>
  <si>
    <t>Research-Based Decision Support in Hazard Mitigation: Louisiana Northshore Flood and Hurricane Protection</t>
  </si>
  <si>
    <t>The subsurface geology and source rocks characteristics of some alam el bueib reservoirs in tut oil field, north western desert, egypt</t>
  </si>
  <si>
    <t>On the influence of Greenland outlet glacier bed topography on results from dynamic ice-sheet models</t>
  </si>
  <si>
    <t>Creating and evaluating digital elevation model-based stream-power map as a stream assessment tool</t>
  </si>
  <si>
    <t>Holding Back the Sea: An Overview of Shore Zone Planning and Management</t>
  </si>
  <si>
    <t>Postglacial rebound and relative sea level changes in the Baltic Sea since the Litorina transgression</t>
  </si>
  <si>
    <t>Estimation of the uncertainty in water level forecasts at ungauged river locations using quantile regression</t>
  </si>
  <si>
    <t>Upper Hudson River Estuary (Usa) Floodplain Change Over The 20Th Century</t>
  </si>
  <si>
    <t>Future changes in extreme precipitation in the rhine basin based on global and regional climate model simulations</t>
  </si>
  <si>
    <t>Use of local tidal records to identify relative sea level change: Accuracy and error for decision makers</t>
  </si>
  <si>
    <t>A meta-modelling strategy to identify the critical offshore conditions for coastal flooding</t>
  </si>
  <si>
    <t>Flood risk appraisal and management in mega-cities: A case study of practice in the Pearl River Delta, China</t>
  </si>
  <si>
    <t>Projection of storm surge climate extreme over sunda shelf based on IPCC SRES A2 scenario</t>
  </si>
  <si>
    <t>Social cultural influences on current and future coastal governance</t>
  </si>
  <si>
    <t>Preliminary assessment of coastal erosion and local community adaptation in sayung coastal area, central java -indonesia</t>
  </si>
  <si>
    <t>Developing a fine-resolution digital elevation model to support hydrological modeling and ecological studies in the northern Everglades</t>
  </si>
  <si>
    <t>Room for the river: Delivering integrated river basin management in the netherlands</t>
  </si>
  <si>
    <t>Safe dike heights at minimal costs: The nonhomogeneous case</t>
  </si>
  <si>
    <t>A plant invader declines through its modification to habitats: A case study of a 16-year chronosequence of Spartina alterniflora invasion in a salt marsh</t>
  </si>
  <si>
    <t>Time needed to evacuate the Netherlands in the event of large-scale flooding: Strategies and consequences</t>
  </si>
  <si>
    <t>A flood vulnerability index for coastal cities and its use in assessing climate change impacts</t>
  </si>
  <si>
    <t>Generation of digital terrain model for a flood area</t>
  </si>
  <si>
    <t>Snow accumulation variability derived from radar and firn core data along a 600 km transect in Adelie Land, East Antarctic plateau</t>
  </si>
  <si>
    <t>Submerged notches, coastal changes and tectonics in the Rijeka area, NW Croatia</t>
  </si>
  <si>
    <t>Storm-induced circulation in the Pearl River Estuary of China during super Typhoon Koryn</t>
  </si>
  <si>
    <t>Morphodynamic evolution of the Xiaoqing River mouth: A Huanghe River-derived mixed energy estuary</t>
  </si>
  <si>
    <t>A storm surge database for the US Gulf Coast</t>
  </si>
  <si>
    <t>The reduction of storm surge by vegetation canopies: Three-dimensional simulations</t>
  </si>
  <si>
    <t>Statistical bias correction of global climate projections - Consequences for large scale modeling of flood flows</t>
  </si>
  <si>
    <t>The impact of land degradation on soil productivity in irrigated agriculture: A case study from El Sharkia governorate, Egypt</t>
  </si>
  <si>
    <t>Distributed ice thickness and volume of all glaciers around the globe</t>
  </si>
  <si>
    <t>Sensitivity of EVI-based harmonic regression to temporal resolution in the lower Okavango Delta</t>
  </si>
  <si>
    <t>Coastal land loss and the mitigation-adaptation dilemma: Between scylla and charybdis</t>
  </si>
  <si>
    <t>InSAR reveals coastal subsidence in the Pearl River Delta, China</t>
  </si>
  <si>
    <t>Characterization of Risks in Coastal Zones: A Review</t>
  </si>
  <si>
    <t>Glacier retreat and landform production on an overdeepened glacier foreland: The debris-charged glacial landsystem at Kvíárjökull, Iceland</t>
  </si>
  <si>
    <t>Ecological effects of climate change on Salt Marsh wildlife: A case study from a highly urbanized estuary</t>
  </si>
  <si>
    <t>Assessing the probability of land submergence for lowland rice cultivation in Africa using satellite imagery and geospatial data</t>
  </si>
  <si>
    <t>Decadal trends in beach morphology on the east coast of South Africa and likely causative factors</t>
  </si>
  <si>
    <t>Evaluating Jakarta's flood defence governance: The impact of political and institutional reforms</t>
  </si>
  <si>
    <t>Climate change impact on flood hazard, vulnerability and risk of the Long Xuyen Quadrangle in the Mekong Delta</t>
  </si>
  <si>
    <t>Climate change, coastal hazards and the Public Trust Doctrine</t>
  </si>
  <si>
    <t>Quadtree flood simulations with sub-grid digital elevation models</t>
  </si>
  <si>
    <t>Spatial and Temporal Distributions of Soil Organic Carbon and Total Nitrogen in Two Marsh Wetlands with Different Flooding Frequencies of the Yellow River Delta, China</t>
  </si>
  <si>
    <t>Implementing coastal inundation data with an integrated wind wave model and hydrological watershed simulations</t>
  </si>
  <si>
    <t>Impacts of a half century of sea-level rise and development on an endangered mammal</t>
  </si>
  <si>
    <t>Flood risk assessment using GIS (case study: Golestan province, Iran)</t>
  </si>
  <si>
    <t>Adaptive Management and Scale in a Flood-Pulsed Ecosystem-the Case of the Okavango Delta Management Plan, Botswana</t>
  </si>
  <si>
    <t>Wicked challenges at land's end: Managing coastal vulnerability under climate change</t>
  </si>
  <si>
    <t>A subgrid channel model for simulating river hydraulics and floodplain inundation over large and data sparse areas</t>
  </si>
  <si>
    <t>Uncertainty Multi-source Information Fusion for Intelligent Flood Risk Analysis Based on Random Set Theory</t>
  </si>
  <si>
    <t>Is the fishing village of Phan Thiet victim of climate change?</t>
  </si>
  <si>
    <t>Invasive alien plants increase CH4 emissions from a subtropical tidal estuarine wetland</t>
  </si>
  <si>
    <t>Assessment of salinity intrusion in the James and Chickahominy Rivers as a result of simulated sea-level rise in Chesapeake Bay, East Coast, USA</t>
  </si>
  <si>
    <t>Modeling regional sea level rise using local tide gauge data</t>
  </si>
  <si>
    <t>The correlation between physiography and soils west of the Nile Valley: A case study from Egypt, Biba - Bani Mazar area</t>
  </si>
  <si>
    <t>Assessments of serious anthropogenic land subsidence in Yunlin County of central Taiwan from 1996 to 1999 by Persistent Scatterers InSAR</t>
  </si>
  <si>
    <t>Salinity limits of vegetation in Cienega de Santa Clara, an oligotrophic marsh in the delta of the Colorado River, Mexico: Implications for an increase in salinity</t>
  </si>
  <si>
    <t>Evaluating technological resilience of small drinking water systems under the projected changes of climate</t>
  </si>
  <si>
    <t>ENSURF: Multi-model sea level forecast-implementation and validation results for the IBIROOS and Western Mediterranean regions</t>
  </si>
  <si>
    <t>The morphological response of large tidal inlet/basin systems to relative sea level rise</t>
  </si>
  <si>
    <t>As the world warms: Rising seas, coastal archaeology, and the erosion of maritime history</t>
  </si>
  <si>
    <t>Long term and short term coastal line changes of the Eastern Gulf of Finland. Problems of coastal erosion</t>
  </si>
  <si>
    <t>A review of potential tsunami impacts to the suez canal</t>
  </si>
  <si>
    <t>GPU acceleration of tsunami propagation model</t>
  </si>
  <si>
    <t>Adaptation of water management to regional climate change in a coastal region - Hydrological change vs. community perception and strategies</t>
  </si>
  <si>
    <t>Effect of wave frequency and directional spread on shoreline runup</t>
  </si>
  <si>
    <t>Shoreline strategies</t>
  </si>
  <si>
    <t>Sedimentation processes and sedimentary characteristics of tidal bores along the north bank of the Qiantang Estuary</t>
  </si>
  <si>
    <t>Dam-break flood simulation under various likely scenarios and mapping using GIS: Case of a proposed dam on River Yamuna, India</t>
  </si>
  <si>
    <t>Recent subsidence of the Venice Lagoon from continuous GPS and interferometric synthetic aperture radar</t>
  </si>
  <si>
    <t>Ecological consequences of the type of rock used in the construction of artificial boulder-fields</t>
  </si>
  <si>
    <t>Multi-sensoral and automated derivation of inundated areas using TerraSAR-X and ENVISAT ASAR data</t>
  </si>
  <si>
    <t>Evaluation of a coastal flood inundation model using hard and soft data</t>
  </si>
  <si>
    <t>River cross-section extraction from the ASTER global DEM for flood modeling</t>
  </si>
  <si>
    <t>Evaluating dam re-operation for freshwater conservation in the sustainable rivers project</t>
  </si>
  <si>
    <t>Using enhanced dasymetric mapping techniques to improve the spatial accuracy of sea level rise vulnerability assessments</t>
  </si>
  <si>
    <t>Water surface variations monitoring and flood hazard analysis in Dongting Lake area using long-term Terra/MODIS data time series</t>
  </si>
  <si>
    <t>Use of terrestrial laser scanning data to drive decimetric resolution urban inundation models</t>
  </si>
  <si>
    <t>The vulnerability of the elderly to hurricane hazards in Sarasota, Florida</t>
  </si>
  <si>
    <t>Simplified method for scenario-based risk assessment adaptation planning in the coastal zone</t>
  </si>
  <si>
    <t>A comparison of historical land-use change patterns and recommendations for flood plain developments in three delta regions in Southeast Asia</t>
  </si>
  <si>
    <t>A case for gender equity in governance of the Okavango Delta fisheries in Botswana</t>
  </si>
  <si>
    <t>Rising sea and threatened mangroves: A case study on stakeholders, engagement in climate change communication and non-formal education</t>
  </si>
  <si>
    <t>Destructive events and the impact of climate change on Stone Age coastal archaeology in North West Europe: Past, present and future</t>
  </si>
  <si>
    <t>A modeling study on the response of Chesapeake Bay to hurricane events of Floyd and Isabel</t>
  </si>
  <si>
    <t>Coastal marsh die-off and reduced attenuation of coastal floods: A model analysis</t>
  </si>
  <si>
    <t>Critical storm thresholds for significant morphological changes and damage along the Emilia-Romagna coastline, Italy</t>
  </si>
  <si>
    <t>Uncertainty and sensitivity analysis of coastal flood damage estimates in the west of the Netherlands</t>
  </si>
  <si>
    <t>River inflow, estuarine salinity, and Carolina wolfberry fruit abundance: Linking abiotic drivers to Whooping Crane food</t>
  </si>
  <si>
    <t>Wave-cut or water-table platforms of rocky coasts and rivers?</t>
  </si>
  <si>
    <t>Effect of digital elevation model on Mohr-Coulomb geophysical flow model output</t>
  </si>
  <si>
    <t>Analysis of the climate change in lithuanian coastal areas of the baltic sea</t>
  </si>
  <si>
    <t>Development of an operational coastal flooding early warning system</t>
  </si>
  <si>
    <t>Three-dimensional analysis of the Plio-Pleistocene seismic sequences in the Venice Lagoon (Italy)</t>
  </si>
  <si>
    <t>Land subsidence along the Ionian coast of SE Sicily (Italy), detection and analysis via Small Baseline Subset (SBAS) multitemporal differential SAR interferometry</t>
  </si>
  <si>
    <t>Return period estimates of extreme sea level along the east coast of India from numerical simulations</t>
  </si>
  <si>
    <t>Storm surge frequency reduction in Venice under climate change</t>
  </si>
  <si>
    <t>Assessment of coastal vulnerability to climate change hazards at the regional scale: The case study of the North Adriatic Sea</t>
  </si>
  <si>
    <t>Data assimilation within the advanced circulation (ADCIRC) modeling framework for hurricane storm surge forecasting</t>
  </si>
  <si>
    <t>The Palaeocene/Eocene boundary section at Zumaia (Basque-Cantabric Basin) revisited: New insights from high-resolution magnetic susceptibility and carbon isotope chemostratigraphy on organic matter (δ 13C org)</t>
  </si>
  <si>
    <t>Storm surges in the Western Baltic Sea: The present and a possible future</t>
  </si>
  <si>
    <t>Adjustment of a spaceborne DEM for use in floodplain hydrodynamic modeling</t>
  </si>
  <si>
    <t>Multi-label classification models for sustainable flood retention basins</t>
  </si>
  <si>
    <t>The Role of Advection, Straining, and Mixing on the Tidal Variability of Estuarine Stratification</t>
  </si>
  <si>
    <t>The memory response of populations and markets to extreme events</t>
  </si>
  <si>
    <t>Calibration of two-dimensional floodplain modeling in the central Atchafalaya Basin Floodway System using SAR interferometry</t>
  </si>
  <si>
    <t>DEM simulation of collapse behaviours of unsaturated granular materials under general stress states</t>
  </si>
  <si>
    <t>Flood hazard and damage assessment in the Ebro Delta (NW Mediterranean) to relative sea level rise</t>
  </si>
  <si>
    <t>Participatory integrated assessment of flood protection measures for climate adaptation in Dhaka</t>
  </si>
  <si>
    <t>Aerial photographs reveal late-20th-century dynamic ice loss in Northwestern Greenland</t>
  </si>
  <si>
    <t>Assessment of meteorological climate models as inputs for coastal studies</t>
  </si>
  <si>
    <t>Transitional wetland faunal community characterization and response to precipitation-driven salinity fluctuations</t>
  </si>
  <si>
    <t>On the shoals of giants: Natural catastrophes and the overall destruction of the Caribbean's archaeological record</t>
  </si>
  <si>
    <t>Resolving land subsidence within the Venice Lagoon by persistent scatterer SAR interferometry</t>
  </si>
  <si>
    <t>Validation of a digital terrain model suitable for regional hydrological modelling in northern Algeria; [Validation d'un modèle numérique de terrain adapté à la modélisation hydrologique régionale sur l'Algérie du Nord]</t>
  </si>
  <si>
    <t>Morphological response and coastal dynamics associated with major storm events along the Gulf of Lions Coastline, France</t>
  </si>
  <si>
    <t>Storm-induced damages along the Catalan coast (NW Mediterranean) during the period 1958-2008</t>
  </si>
  <si>
    <t>Modeling of glacier bed topography from glacier outlines, central branch lines, and a DEM</t>
  </si>
  <si>
    <t>A holistic model for coastal flooding using system diagrams and the Source-Pathway-Receptor (SPR) concept</t>
  </si>
  <si>
    <t>Reduction of tsunami inundation by coastal forests in Yogyakarta, Indonesia: A numerical study</t>
  </si>
  <si>
    <t>Method to determine the locations of tsunami vertical evacuation shelters</t>
  </si>
  <si>
    <t>Coastal Cities and Regions in a Changing Climate: Economic Impacts, Risks and Vulnerabilities</t>
  </si>
  <si>
    <t>Sea-level rises at Heinrich stadials of early Marine Isotope Stage 3: Evidence of terrigenous n-alkane input in the southern South China Sea</t>
  </si>
  <si>
    <t>The Lower Niger River dredging and indigenous wetland livelihoods in Nigeria: The Anam communities in Ugbolu, Delta State, as a case study</t>
  </si>
  <si>
    <t>Macroinvertebrate richness on flood defence walls of the tidal River Thames</t>
  </si>
  <si>
    <t>The dynamics of a frictionally-dominated amazonian estuary</t>
  </si>
  <si>
    <t>Methodological framework of the PESETA project on the impacts of climate change in Europe</t>
  </si>
  <si>
    <t>Assessing the hydrodynamic boundary conditions for risk analyses in coastal areas: A multivariate statistical approach based on Copula functions</t>
  </si>
  <si>
    <t>Effect of sea level extremes on the western Basque coast during the 21st century</t>
  </si>
  <si>
    <t>Geomorphometric floodplain classification in a hill region of Hungary</t>
  </si>
  <si>
    <t>Extracting sea level residual in tidally dominated estuarine environments</t>
  </si>
  <si>
    <t>Monitoring impact of on salt marsh biodiversity</t>
  </si>
  <si>
    <t>Least cost path extraction of topographic features for storm impact scale mapping</t>
  </si>
  <si>
    <t>Risk attitudes to low-probability climate change risks: WTP for flood insurance</t>
  </si>
  <si>
    <t>A synergetic use of satellite imagery from SAR and optical sensors to improve coastal flood mapping in the Gulf of Mexico</t>
  </si>
  <si>
    <t>The 6 August 2010 Mount Meager rock slide-debris flow, Coast Mountains, British Columbia: Characteristics, dynamics, and implications for hazard and risk assessment</t>
  </si>
  <si>
    <t>Understanding riverine habitat inundation patterns: Remote sensing tools and techniques</t>
  </si>
  <si>
    <t>An air pollution episode and its formation mechanism during the tropical cyclone Nuri's landfall in a coastal city of south China</t>
  </si>
  <si>
    <t>Genesis of the post-caldera eastern Upper Basin Member rhyolites, Yellowstone, WY: From volcanic stratigraphy, geochemistry, and radiogenic isotope modeling</t>
  </si>
  <si>
    <t>High-accuracy mapping of inundations induced by ice jams: A case study from Iceland</t>
  </si>
  <si>
    <t>Dynamic monitoring of land subsidence in mining area from multi-source remote-sensing data - a case study at Yanzhou, China</t>
  </si>
  <si>
    <t>Laterally variable development of a basin-wide transgressive unit of the North Dalmatian Foreland Basin (Eocene, Dinarides, Croatia)</t>
  </si>
  <si>
    <t>The floods of september 2010 - Acquisition of data from non-metric images with photogrammetric DTM and LiDAR; [Poplave septembra 2010 - Obdelava nemerskih fotografij s fotogrametričnim DMR in Lidarskimi Podatki]</t>
  </si>
  <si>
    <t>Response of rice cultivation to fluctuating sea level during the Mid-Holocene</t>
  </si>
  <si>
    <t>Coastal flood risks and seasonal tourism: Analysing the effects of tourism dynamics on casualty calculations</t>
  </si>
  <si>
    <t>A comparative study of elevation data from different sources for mapping the coastal inlets and their catchment boundaries</t>
  </si>
  <si>
    <t>Exploration of alpine orographic precipitation patterns with radar image processing and clustering techniques</t>
  </si>
  <si>
    <t>Floodplain retention capacity assessment for Lužnice River</t>
  </si>
  <si>
    <t>Groundwater salinisation in the Wadden Sea area of the Netherlands: Quantifying the effects of climate change, sea-level rise and anthropogenic interferences</t>
  </si>
  <si>
    <t>Assessing future risk: Quantifying the effects of sea level rise on storm surge risk for the southern shores of Long Island, New York</t>
  </si>
  <si>
    <t>Mapping of seawater inundation along Nagapattinam based on field observations</t>
  </si>
  <si>
    <t>Climate extremes, location vulnerability and private costs of property protection in Southwestern Cameroon</t>
  </si>
  <si>
    <t>Ecological strategies successfully predict the effects of river floodplain rehabilitation on breeding birds</t>
  </si>
  <si>
    <t>A case study on heavy rainfall in the Central-Southern Moldavia region, Romania</t>
  </si>
  <si>
    <t>Past and future plant diversity of a coastal wetland driven by soil subsidence and climate change</t>
  </si>
  <si>
    <t>Systematic approach for ungaged basins' discharge determination in Western Peloponnese, Greece</t>
  </si>
  <si>
    <t>Multimodality of a particle size distribution of cohesive suspended particulate matters in a coastal zone</t>
  </si>
  <si>
    <t>Multitemporal analysis of a gravel-dominated coastline in the central Canadian arctic archipelago</t>
  </si>
  <si>
    <t>Circulation dynamics and salt balance in a lagoonal estuary</t>
  </si>
  <si>
    <t>Past to future extreme events in Liverpool Bay: Model projections from 1960-2100</t>
  </si>
  <si>
    <t>Scales and structure of frontal adjustment and freshwater export in a region of freshwater influence</t>
  </si>
  <si>
    <t>Coastal flood management in rural planning unit through land-use planning: Kaikhali, West Bengal, India</t>
  </si>
  <si>
    <t>Application of digital elevation model and aerial photographs for modelling flood prone areas in small lowland rivers; [Zastosowanie numerycznego modelu terenu oraz zdjęć lotniczych przy wyznaczania stref zagrożenia powodziowego w małych zlewniach rzek nizinnych]</t>
  </si>
  <si>
    <t>Using airborne scanning laser altimetry (LiDAR) to estimate surface connectivity of floodplain water bodies</t>
  </si>
  <si>
    <t>Planning for climate change and sea level rise- Queensland's new coastal plan</t>
  </si>
  <si>
    <t>Evaluation of δD and δ 18O as natural markers of invertebrate source environment and dispersal in the middle Mississippi River-floodplain ecosystem</t>
  </si>
  <si>
    <t>Indirect impacts of coastal climate change and sea-level rise: The UK example</t>
  </si>
  <si>
    <t>A dike-groyne algorithm in a terrain-following coordinate ocean model (FVCOM): Development, validation and application</t>
  </si>
  <si>
    <t>Evidence for earthquake triggering of large landslides in coastal Oregon, USA</t>
  </si>
  <si>
    <t>Growth responses of baldcypress to wastewater nutrient additions and changing hydrologic regime</t>
  </si>
  <si>
    <t>How the second delta committee set the agenda for climate adaptation policy: A dutch case study on framing strategies for policy change</t>
  </si>
  <si>
    <t>Bitumen biomarkers in the Mid-Proterozoic Ilímaussaq intrusion, Southwest Greenland - A challenge to the mantle gas theory</t>
  </si>
  <si>
    <t>Modeling riparian zones utilizing DEMS and flood height data</t>
  </si>
  <si>
    <t>Extreme wave deposits on the Pacific coast of Mexico: Tsunamis or storms? - A multi-proxy approach</t>
  </si>
  <si>
    <t>The earthquakes and related tsunamis of October 6, 1944 and March 7, 1867; NE Aegean Sea</t>
  </si>
  <si>
    <t>Geospatial analysis of barrier island beach availability to tourists</t>
  </si>
  <si>
    <t>Origin and age of the Mantung High Plain, a karst surface in the western Murray Basin of South Australia</t>
  </si>
  <si>
    <t>Exposing compounding uncertainties in sea level rise assessments</t>
  </si>
  <si>
    <t>Impacts of breaching on a bar-built estuary, example of the Senegal River new mouth monitored with satellite imagery from 2003 to 2010</t>
  </si>
  <si>
    <t>Mesozoic deltaic system along the western margin of the Indian plate: Lithofacies and depositional setting of Datta Formation, North Pakistan</t>
  </si>
  <si>
    <t>Coastal hazard vulnerability assessment of sensitive historical sites on Rainsford Island, Boston Harbor, Massachusetts</t>
  </si>
  <si>
    <t>Shorebird patches as fingerprints of fractal coastline fluctuations due to climate change</t>
  </si>
  <si>
    <t>Circular conditional autoregressive modeling of vector fields</t>
  </si>
  <si>
    <t>Scenarios of future built environment for coastal risk assessment of climate change using a GIS-based multicriteria analysis</t>
  </si>
  <si>
    <t>Present-day trends of vertical ground motion along the coast lines</t>
  </si>
  <si>
    <t>Morphodynamic development and sediment budget of the Dutch Wadden Sea over the last century</t>
  </si>
  <si>
    <t>Insights and opportunities offered by a rapid ecosystem service assessment in promoting a conservation agenda in an urban biodiversity hotspot</t>
  </si>
  <si>
    <t>Turning the tide: Experimental creation of tidal channel networks and ebb deltas</t>
  </si>
  <si>
    <t>Physical processes and landforms on beaches in short fetch environments in estuaries, small lakes and reservoirs: A review</t>
  </si>
  <si>
    <t>Physical development in an ecologically sensitive area: The planning of the Dead Sea Region</t>
  </si>
  <si>
    <t>Floodplain hydrology of the mekong delta, Vietnam</t>
  </si>
  <si>
    <t>Flood mapping of danube river at romania using single and multi-date ERS2-SAR images</t>
  </si>
  <si>
    <t>Mapping the irrigated rice cropping patterns of the Mekong delta, Vietnam, through hyper-temporal spot NDVI image analysis</t>
  </si>
  <si>
    <t>Automatic extraction of lunar impact craters from Chang'E-1 satellite photographs</t>
  </si>
  <si>
    <t>Multi-modal change detection, application to the detection of flooded areas: Outcome of the 2009-2010 data fusion contest</t>
  </si>
  <si>
    <t>Misperceptions of climate-change risk as barriers to climate-change adaptation: A case study from the Rewa Delta, Fiji</t>
  </si>
  <si>
    <t>Riemannian submersions, δ-invariants, and optimal inequality</t>
  </si>
  <si>
    <t>California coastal management with a changing climate</t>
  </si>
  <si>
    <t>Using a boundary organization approach to develop a sea level rise and storm surge impact analysis framework for coastal communities in Maine</t>
  </si>
  <si>
    <t>Rapid barotropic sea level rise from ice sheet melting</t>
  </si>
  <si>
    <t>Development of a sub-pixel analysis method applied to dynamic monitoring of floods</t>
  </si>
  <si>
    <t>Flood Risk in Asia's Urban Mega-deltas: Drivers, Impacts and Response</t>
  </si>
  <si>
    <t>Simulating the fate of Florida Snowy Plovers with sea-level rise: Exploring research and management priorities with a global uncertainty and sensitivity analysis perspective</t>
  </si>
  <si>
    <t>Estimating coastal recession due to sea level rise: Beyond the Bruun rule</t>
  </si>
  <si>
    <t>Flood risk perception in lands "protected" by 100-year levees</t>
  </si>
  <si>
    <t>Development of Empirical Equations for the Peak Flood of the Chenab River Using GIS</t>
  </si>
  <si>
    <t>Mechanical modeling of aquifer sands under long-term groundwater withdrawal</t>
  </si>
  <si>
    <t>Assessing subsidence rates and paleo water-depths for Tahiti reefs using U-Th chronology of altered corals</t>
  </si>
  <si>
    <t>Rule-based landform classification by combining multi-spectral/temporal satellite data and the SRTM DEM</t>
  </si>
  <si>
    <t>A new analytical framework for assessing the effect of sea-level rise and dredging on tidal damping in estuaries</t>
  </si>
  <si>
    <t>Limitations and potential of satellite imagery to monitor environmental response to coastal flooding</t>
  </si>
  <si>
    <t>Integrated modeling of flood flows and tidal hydrodynamics over a coastal floodplain</t>
  </si>
  <si>
    <t>Improved fish and crustacean passage in tidal creeks following floodgate remediation</t>
  </si>
  <si>
    <t>Terrestrial Laser Scanner techniques in the assessment of tsunami impact on the Maddalena peninsula (south-eastern Sicily, Italy)</t>
  </si>
  <si>
    <t>Coastal sea level rise in southern Europe and the nonclimate contribution of vertical land motion</t>
  </si>
  <si>
    <t>Generation and impacts of floating litter on urban canals and rivers: Rio de Janeiro megacity case study</t>
  </si>
  <si>
    <t>Dissolved organic matter biogeochemistry along a transect of the okavango delta, botswana</t>
  </si>
  <si>
    <t>Surface heat flow and CO 2 emissions within the Ohaaki hydrothermal field, Taupo Volcanic Zone, New Zealand</t>
  </si>
  <si>
    <t>An assessment of human vulnerability to hazards in the US coastal Northeast and mid-Atlantic</t>
  </si>
  <si>
    <t>Climate change impacts on international seaports: Knowledge, perceptions, and planning efforts among port administrators</t>
  </si>
  <si>
    <t>Historical and future coastal changes in Northwest Alaska</t>
  </si>
  <si>
    <t>Observational scale and modeled potential residential loss from a storm surge</t>
  </si>
  <si>
    <t>Tsunami vulnerability assessment in urban areas using numerical model and GIS</t>
  </si>
  <si>
    <t>Change-points in climate extremes in the Zhujiang River Basin, South China, 1961-2007</t>
  </si>
  <si>
    <t>Shoreline changes on an urban atoll in the central Pacific Ocean: Majuro atoll, Marshall Islands</t>
  </si>
  <si>
    <t>Nature and extent of population displacement due to climate change triggered disasters in south-western coastal region of Bangladesh</t>
  </si>
  <si>
    <t>The lessons of katrina, learned and unlearned</t>
  </si>
  <si>
    <t>Lava flow hazard and risk at Mt. Cameroon volcano</t>
  </si>
  <si>
    <t>Circulation and salt intrusion in the piaçaguera channel, Santos (SP)</t>
  </si>
  <si>
    <t>Application of Hydrodynamics Model for a Case Study of the Kolbudy II Reservoir Embankment Hypothetical Failure</t>
  </si>
  <si>
    <t>Numerical analysis of caving mechanism using a hybrid FEM/DEM approach: Experience gained and lessons learned</t>
  </si>
  <si>
    <t>Synthetic impact response functions for flood vulnerability analysis and adaptation measures in coastal zones under changing climatic conditions: A case study in Gippsland coastal region, Australia</t>
  </si>
  <si>
    <t>Hazard assessment at Mount Etna using a hybrid lava flow inundation model and satellite-based land classification</t>
  </si>
  <si>
    <t>Evaluation of a LIDAR land-based mobile mapping system for monitoring sandy coasts</t>
  </si>
  <si>
    <t>Role of winter waves in sand transport at the mouth of Garolim Bay, west coast of Korea</t>
  </si>
  <si>
    <t>Coastal livelihood and physical infrastructure in Bangladesh after cyclone Aila</t>
  </si>
  <si>
    <t>Impacts of climate change and risks in Viet Nam</t>
  </si>
  <si>
    <t>Suggestion of Complex Monitoring of Undermined Territory</t>
  </si>
  <si>
    <t>Accelerated overbank accumulation after nineteenth century river regulation works: A case study on the Maros River, Hungary</t>
  </si>
  <si>
    <t>An evaluation of subsidence rates and sea-level variability in the northern Gulf of Mexico</t>
  </si>
  <si>
    <t>Shoreline change along sheltered coastlines: Insights from the neuse river estuary, NC, USA</t>
  </si>
  <si>
    <t>A new technique for tidal habitat restoration: Evaluation of its hydrological potentials</t>
  </si>
  <si>
    <t>Measuring the impact of sea-level rise on coastal real estate: A hedonic property model approach</t>
  </si>
  <si>
    <t>Hurricane impacts on coastal wetlands: A half-century record of storm-generated features from Southern Louisiana</t>
  </si>
  <si>
    <t>High-order finite volume WENO schemes for the shallow water equations with dry states</t>
  </si>
  <si>
    <t>Development of efficient and cost-effective distributed hydrological modeling tool MWEasyDHM based on open-source MapWindow GIS</t>
  </si>
  <si>
    <t>A comparison of the causes, effects and aftermaths of the coastal flooding of England in 1953 and France in 2010</t>
  </si>
  <si>
    <t>Modeling Urban Flooding by Filtering LiDAR Data</t>
  </si>
  <si>
    <t>Atmospheric boundary layer characteristics over the Pearl River Delta, China, during the summer of 2006: Measurement and model results</t>
  </si>
  <si>
    <t>Reconstructing coastal flood occurrence combining sea level and media sources: A case study of the Solent, UK since 1935</t>
  </si>
  <si>
    <t>Modeling the transient response of saline intrusion to rising sea-levels</t>
  </si>
  <si>
    <t>Are dutch water safety institutions prepared for climate change?</t>
  </si>
  <si>
    <t>Floodplain management strategies for flood attenuation in the river Po</t>
  </si>
  <si>
    <t>Rural livelihoods and household adaptation to extreme flooding in the Okavango Delta, Botswana</t>
  </si>
  <si>
    <t>Spatio-temporal modeling of striped-bass egg, larval movement, and fate in the San Francisco Bay-Delta</t>
  </si>
  <si>
    <t>Lunar-solar rhythmpatterns: Towards the material cultures of tides</t>
  </si>
  <si>
    <t>The importance of digital elevation model resolution on granular flow simulations: A test case for Colima volcano using TITAN2D computational routine</t>
  </si>
  <si>
    <t>Assessing the hydrodynamic boundary conditions for risk analyses in coastal areas: A stochastic storm surge model</t>
  </si>
  <si>
    <t>Scale effects of the continental coastline of China</t>
  </si>
  <si>
    <t>Estimating flooded area and mean water level using active and passive microwaves: The example of ParanÃ¡ River Delta floodplain</t>
  </si>
  <si>
    <t>A method for building community resilience to climate change in emerging coastal cities</t>
  </si>
  <si>
    <t>Monitoring and management of the coasts of Lake Peipsi, Eastern Europe</t>
  </si>
  <si>
    <t>GIS procedure for the identification of existing infrastructure in the flooding areas</t>
  </si>
  <si>
    <t>Effects of climate change on coastal disasters: New methodologies and recent results</t>
  </si>
  <si>
    <t>Empirical-statistical models based on remote sensing for estimating the volume of landslides induced by the Wenchuan earthquake</t>
  </si>
  <si>
    <t>A study of plankton dynamics under osmotic stress in the Senegal River Estuary, West Africa, using a 3D mechanistic model</t>
  </si>
  <si>
    <t>Investigation and study of morphological changing of rivers with using HEC-Geo-RAS and mike 11 software</t>
  </si>
  <si>
    <t>Numerical study of the barotropic responses to a rapidly moving typhoon in the East China Sea</t>
  </si>
  <si>
    <t>Signs of a new regiomlism? The New York metro area revisits a traditional concept. Cony buckwalter berkooz reports</t>
  </si>
  <si>
    <t>Operationalising integrated coastal zone management and adapting to sea level rise through coastal law: Where does India stand?</t>
  </si>
  <si>
    <t>Modelling landscape evolution in the Waipaoa catchment, New Zealand - A phenomenalogical approach</t>
  </si>
  <si>
    <t>Modern vertical deformation rates and mountain building in Taiwan from precise leveling and continuous GPS observations, 2000-2008</t>
  </si>
  <si>
    <t>Storm extreme levels and coastal flood hazards: A parametric approach on the French coast of Languedoc (district of Leucate)</t>
  </si>
  <si>
    <t>Influence of wave action and lithology on sea cliff mass movements in Central Algarve Coast, Portugal</t>
  </si>
  <si>
    <t>GIS and remote sensing as tools for conducting geo-hazards risk assessment along Gulf of Aqaba coastal zone, Egypt</t>
  </si>
  <si>
    <t>The Tyndall coastal simulator</t>
  </si>
  <si>
    <t>Influence of compound bedforms on hydraulic roughness in a tidal environment</t>
  </si>
  <si>
    <t>Large scale hydrologic and hydrodynamic modeling using limited data and a GIS based approach</t>
  </si>
  <si>
    <t>Application of an unstructured mesh model to storm surge propagation in the Mersey estuary region of the Irish Sea</t>
  </si>
  <si>
    <t>Has the herbicide Diuron caused mangrove dieback? A re-examination of the evidence</t>
  </si>
  <si>
    <t>The protective role of coastal marshes: A systematic review and meta-analysis</t>
  </si>
  <si>
    <t>A DEM-based evaluation of potential flood risk to enhance decision support system for safe evacuation</t>
  </si>
  <si>
    <t>Coastal climate risk: Market signals or protection by planning</t>
  </si>
  <si>
    <t>FloodProBE: Technologies for improved safety of the built environment in relation to flood events</t>
  </si>
  <si>
    <t>Exploring the dynamics of migration to mega-delta cities in Asia and Africa: Contemporary drivers and future scenarios</t>
  </si>
  <si>
    <t>The use of karst geomorphology for planning, hazard avoidance and development in Great Britain</t>
  </si>
  <si>
    <t>Impacts of coastal inundation due to climate change in a CLUSTER of urban coastal communities in Ghana, West Africa</t>
  </si>
  <si>
    <t>Quantifying the uncertainty in future coastal flood risk estimates for the U.K</t>
  </si>
  <si>
    <t>Variations of glacial lakes and glaciers in the Boshula mountain range, southeast Tibet, from the 1970s to 2009</t>
  </si>
  <si>
    <t>Changing morphology of Ghana's Accra coast</t>
  </si>
  <si>
    <t>228Ra, 226Ra, 224Ra and 223Ra in potential sources and sinks of land-derived material in the German Bight of the North Sea: Implications for the use of radium as a tracer</t>
  </si>
  <si>
    <t>Towards interactive flood management in Dhaka, Bangladesh</t>
  </si>
  <si>
    <t>Impacting factors and cumulative impacts by midcentury on wetlands in the louisiana coastal area</t>
  </si>
  <si>
    <t>Predicting the response of hard and soft rock coasts to changes in sea level and wave height</t>
  </si>
  <si>
    <t>Sea level rise modelling: In a caribbean small island developing state</t>
  </si>
  <si>
    <t>Runoff modeling of the wadi systems for estimating flash flood and groundwater recharge potential in Southern Sinai, Egypt</t>
  </si>
  <si>
    <t>Tracing a confined groundwater flow system under the pressure of excessive groundwater use in the lower central plain, Thailand</t>
  </si>
  <si>
    <t>Long term peatland subsidence: Experimental study and modeling scenarios in the Venice coastland</t>
  </si>
  <si>
    <t>Glacial lake inventory of Bhutan using ALOS data: Methods and preliminary results</t>
  </si>
  <si>
    <t>Platforms and viability of mobile GIS in real-time hydrological models: A review and proposed model</t>
  </si>
  <si>
    <t>Is the recessional pattern of himalayan glaciers suggestive of anthropogenically induced global warming?</t>
  </si>
  <si>
    <t>About the influence of elevation model quality and small-scale damage functions on flood damage estimation</t>
  </si>
  <si>
    <t>Implications of climate change on water security in the Mediterranean region</t>
  </si>
  <si>
    <t>Extreme sea surge responses to climate variability in coastal British Columbia, Canada</t>
  </si>
  <si>
    <t>Emulating Atlantic overturning strength for low emission scenarios: Consequences for sea-level rise along the North American east coast</t>
  </si>
  <si>
    <t>Fluvial landforms in relation to the geological setting in the "Murge Basse" karst of apulia (Bari metropolitan Area, Southern Italy)</t>
  </si>
  <si>
    <t>Late quaternary tectonics of the pearl river delta, SE China: Evidence from xilingang</t>
  </si>
  <si>
    <t>Climate change-related impacts in the San Diego region by 2050</t>
  </si>
  <si>
    <t>Life cycle assessment of intensive striped catfish farming in the Mekong Delta for screening hotspots as input to environmental policy and research agenda</t>
  </si>
  <si>
    <t>Impact of coastal inundation on ecology and agricultural land use case study in central Java, Indonesia</t>
  </si>
  <si>
    <t>CoastRanger MS: A tool for improving public engagement</t>
  </si>
  <si>
    <t>Spatial and environmental variability of pools on a natural and a recovering salt marsh in the Bay of Fundy</t>
  </si>
  <si>
    <t>Climate migration and urban planning system: A study of Bangladesh</t>
  </si>
  <si>
    <t>Modelling the flood vulnerability of deltaic Kuching City, Malaysia</t>
  </si>
  <si>
    <t>GIS modelling of intertidal wetland exposure characteristics</t>
  </si>
  <si>
    <t>Tsunami hazard assessment in the coastal area of Rabat and Salé, Morocco</t>
  </si>
  <si>
    <t>Modelling mud deposition patterns due to flash floods in urban areas; [Modellierung von schlammdepositionen in siedlungsgebieten durch wild abfließenden starkregen]</t>
  </si>
  <si>
    <t>That sinking feeling: A legal assessment of the coastal planning system in new South Wales</t>
  </si>
  <si>
    <t>Tsunami-tide interaction in 1964 Prince William Sound tsunami</t>
  </si>
  <si>
    <t>Cold shores in warming times - Current state and future challenges in high arctic coastal geomorphological studies</t>
  </si>
  <si>
    <t>Potential influence of water level changes on energy flows in a lake food web</t>
  </si>
  <si>
    <t>The mutual influence of biotic and abiotic components on the long-term ecomorphodynamic evolution of salt-marsh ecosystems</t>
  </si>
  <si>
    <t>Climate Change and Asia's Coastal Urban Cities: Can they Meet the Challenge?</t>
  </si>
  <si>
    <t>Hydroclimatic influences on seasonal and spatial cholera transmission cycles: Implications for public health intervention in the Bengal Delta</t>
  </si>
  <si>
    <t>Study of storm surge due to Typhoon Linda (1997) in the Gulf of Thailand using a three dimensional ocean model</t>
  </si>
  <si>
    <t>The open source RFortran library for accessing R from Fortran, with applications in environmental modelling</t>
  </si>
  <si>
    <t>The PREVIEW global risk data platform: A geoportal to serve and share global data on risk to natural hazards</t>
  </si>
  <si>
    <t>Effect of ammonium-based, non-sulfate fertilizers on CH4 emissions from a paddy field with a typical Chinese water management regime</t>
  </si>
  <si>
    <t>Urban land-use projections supporting adaptation strategies to climate changes in the coastal zone</t>
  </si>
  <si>
    <t>Proposed hydrogeomorphic classification for wetlands of the mid-atlantic region, USA</t>
  </si>
  <si>
    <t>A contemporary review of deficiencies associated with calculated tidal datums and property ownership law</t>
  </si>
  <si>
    <t>Aiding multi-level decision-making processes for climate change mitigation and adaptation</t>
  </si>
  <si>
    <t>Coastal atmospheric circulation around an idealized cape during wind-driven upwelling studied from a coupled ocean-atmosphere model</t>
  </si>
  <si>
    <t>Studies provide new insights into Japan's March 2011 tsunami</t>
  </si>
  <si>
    <t>If the tide is rising, who pays for the ark?</t>
  </si>
  <si>
    <t>Flood insurance coverage in the coastal zone</t>
  </si>
  <si>
    <t>Effects of DEM resolution on HAZUS flood mapping for the Monongahela river,California, Pennsylvania</t>
  </si>
  <si>
    <t>Wind regimes along the Beaufort Sea coast favorable for strong wind events at Tuktoyaktuk</t>
  </si>
  <si>
    <t>Looking for evidence of climate change impacts in the eastern Irish Sea</t>
  </si>
  <si>
    <t>Drivers of residual estuarine circulation in tidally energetic estuaries: Straight and irrotational channels with parabolic cross section</t>
  </si>
  <si>
    <t>Transgressive dunefield landforms and vegetation associations, Doña Juana, Veracruz, Mexico</t>
  </si>
  <si>
    <t>Statistical prediction of the storm surge associated with cool-weather storms at the Battery, New York</t>
  </si>
  <si>
    <t>Sea level rise and South Florida coastal forests</t>
  </si>
  <si>
    <t>Simulation of the Hurricane Dennis storm surge and considerations for vertical resolution</t>
  </si>
  <si>
    <t>Geographically comprehensive assessment of salt-meadow vegetation-elevation relations using LiDAR</t>
  </si>
  <si>
    <t>Sea level change in the Gulf of Thailand from GPS-corrected tide gauge data and multi-satellite altimetry</t>
  </si>
  <si>
    <t>Coastal construction trends in response to coastal erosion: An opportunity for adaptation</t>
  </si>
  <si>
    <t>Evidence of a previously unrecorded local tsunami, 13 April 2010, Cook Islands: Implications for Pacific Island countries</t>
  </si>
  <si>
    <t>The 1979 nice airport tsunami: Mapping of the flood in Antibes</t>
  </si>
  <si>
    <t>Origin of the Hurricane Ike forerunner surge</t>
  </si>
  <si>
    <t>Between the devil and the deep blue sea: Florida's unenviable position with respect to sea level rise</t>
  </si>
  <si>
    <t>Multi-decadal mass loss of glaciers in the Everest area (Nepal Himalaya) derived from stereo imagery</t>
  </si>
  <si>
    <t>Detection of ground deformation over Sharm El-Sheikh-Ras Nasrani coastal zone, South Sinai (Egypt), by using time series SAR interferometry</t>
  </si>
  <si>
    <t>Effects of model schematisation, geometry and parameter values on urban flood modelling</t>
  </si>
  <si>
    <t>Environmental hazard from saltwater intrusion in the Laizhou Gulf, Shandong Province of China</t>
  </si>
  <si>
    <t>Surprising Answers to Rising Sea Levels, Storms, Floods, Desertification, Earthquakes and Ever More Environmental Crises in California's Sacramento-San Joaquin Delta</t>
  </si>
  <si>
    <t>Planning for the impacts of sea level rise</t>
  </si>
  <si>
    <t>The 2009 Mw 7.8 earthquake on the Puysegur subduction zone produced minimal geological effects around Dusky Sound, New Zealand</t>
  </si>
  <si>
    <t>Local site conditions influencing earthquake intensities and secondary collateral impacts in the sea of Marmara region - application of standardized remote sensing and GIS-methods in detecting potentially vulnerable areas to earthquakes, tsunamis and other hazards</t>
  </si>
  <si>
    <t>Designing a long-term flood risk management plan for the Scheldt estuary using a risk-based approach</t>
  </si>
  <si>
    <t>Structured decision making as a proactive approach to dealing with sea level rise in Florida</t>
  </si>
  <si>
    <t>Climate change, flooding in South Asia and implications</t>
  </si>
  <si>
    <t>Ground subsidence in Semarang-Indonesia investigated by ALOS-PALSAR satellite SAR interferometry</t>
  </si>
  <si>
    <t>Migration and Displacement Triggered by Floods in the Mekong Delta</t>
  </si>
  <si>
    <t>An algorithm for operational flood mapping from Synthetic Aperture Radar (SAR) data using fuzzy logic</t>
  </si>
  <si>
    <t>Land deformation monitoring using coherent target-neighbourhood networking method combined with polarimetric information: A case study of Shanghai, China</t>
  </si>
  <si>
    <t>Coupling ensemble weather predictions based on TIGGE database with Grid-Xinanjiang model for flood forecast</t>
  </si>
  <si>
    <t>Assessing the effectiveness of non-structural flood management measures in the Thames Estuary under conditions of socio-economic and environmental change</t>
  </si>
  <si>
    <t>Investigating the oxidation of pyrite at the Ibbenbüren anthracite coal mine; [Untersuchungen zur Oxidation von Pyrit auf dem Anthrazit-Bergwerk Ibbenbüren]</t>
  </si>
  <si>
    <t>Barrier Island population along the U.S. Atlantic and Gulf Coasts</t>
  </si>
  <si>
    <t>Assessment of sea level rise impacts on human population and real property in the Florida Keys</t>
  </si>
  <si>
    <t>Anthropogenic landform modeling using GIS techniques case study: Vrancea region</t>
  </si>
  <si>
    <t>3D numerical modeling of landslide-generated tsunamis around a conical island</t>
  </si>
  <si>
    <t>ERT imaging of a shallow basin: Eastern Lago Fagnano, Tierra del Fuego, Argentina</t>
  </si>
  <si>
    <t>Evolution of the Thames estuary during MIS 9: Insights from the Shoeburyness area, Essex</t>
  </si>
  <si>
    <t>Environmental geochemical mapping of Huelva municipality soils (SW Spain) as a tool to determine background and baseline values</t>
  </si>
  <si>
    <t>A sedimentary Model of the Brussels sands, Eocene, Belgium</t>
  </si>
  <si>
    <t>Atlantic storminess and historical sand drift in Western Europe: Implications for future management of coastal dunes</t>
  </si>
  <si>
    <t>Climate change imprinting on stable isotopic compositions of high-elevation meteoric water cloaks past surface elevations of major orogens</t>
  </si>
  <si>
    <t>Mediterranean water resources in a global change scenario</t>
  </si>
  <si>
    <t>Merapi (Java, Indonesia): Anatomy of a killer volcano</t>
  </si>
  <si>
    <t>Current knowledge in tidal bores and their environmental, ecological and cultural impacts</t>
  </si>
  <si>
    <t>Flooding and Relocation: The Zambezi River Valley in Mozambique</t>
  </si>
  <si>
    <t>The feeder system of the Deccan Traps (India): Insights from dike geochemistry</t>
  </si>
  <si>
    <t>Fan-delta uplift and mountain subsidence during the Haiti 2010 earthquake</t>
  </si>
  <si>
    <t>Modern integrated river flood management for climate change in the Netherlands: The IJssel delta project</t>
  </si>
  <si>
    <t>Household response to cyclone and induced surge in coastal Bangladesh: Coping strategies and explanatory variables</t>
  </si>
  <si>
    <t>Improved estimates of mean sea level changes in the German Bight over the last 166 years</t>
  </si>
  <si>
    <t>Extreme precipitation over the west coast of North America: Is there a trend?</t>
  </si>
  <si>
    <t>Morphotectonic Features and Fault Propagation Folding of Bhuban Hills, NE India Using Satellite Image and DEM</t>
  </si>
  <si>
    <t>Response of a proglacial delta to rapid high-amplitude lake-level change: An integration of outcrop data and high-resolution shear wave seismics</t>
  </si>
  <si>
    <t>Policy solutions in the U.S.</t>
  </si>
  <si>
    <t>Estimating storm surge inundation damage triggered by global warming along Japan's pacific coast</t>
  </si>
  <si>
    <t>The effects of groundwater table and flood irrigation strategies on soil water and salt dynamics and reed water use in the Yellow River Delta, China</t>
  </si>
  <si>
    <t>How ecological engineering can serve in coastal protection</t>
  </si>
  <si>
    <t>Inventory of uncertainties associated with the process of tsunami damage assessment on buildings (SCHEMA FP6 EC co-funded project)</t>
  </si>
  <si>
    <t>Comparison of dissolved inorganic and organic carbon yields and fluxes in the watersheds of tropical volcanic islands, examples from Guadeloupe (French West Indies)</t>
  </si>
  <si>
    <t>Empirical building fragilities from observed damage in the 2009 South Pacific tsunami</t>
  </si>
  <si>
    <t>Temporal distribution of weather catastrophes in the USA</t>
  </si>
  <si>
    <t>Islands at bay: Rising seas, eroding islands, and waterbird habitat loss in Chesapeake Bay (USA)</t>
  </si>
  <si>
    <t>Adaptation to flood risks in Ho Chi Minh City, Vietnam</t>
  </si>
  <si>
    <t>Turbulence investigation in a tidal coastal region</t>
  </si>
  <si>
    <t>A Bayesian network to predict coastal vulnerability to sea level rise</t>
  </si>
  <si>
    <t>Sediment dynamics observed in the Jhoushuei River and adjacent coastal zone in Taiwan strait</t>
  </si>
  <si>
    <t>Risk perception and hazard mitigation in the Yangtze River Delta region, China</t>
  </si>
  <si>
    <t>Universal and local controls of avulsions in southeast Texas Rivers</t>
  </si>
  <si>
    <t>Tectonic geomorphology, tsunamis and environmental hazards: Reference to Andaman-Nicobar Islands</t>
  </si>
  <si>
    <t>Historical regimes and social indicators of resilience in an urban system: The case of Charleston, South Carolina</t>
  </si>
  <si>
    <t>Relative sea level change in Olbia Gulf (Sardinia, Italy), a historically important Mediterranean harbour</t>
  </si>
  <si>
    <t>Analysis of non-linear inundation from sea-level rise using LIDAR data: A case study for South Florida</t>
  </si>
  <si>
    <t>Interaction of tides and storm surges at the Elbe River mouth</t>
  </si>
  <si>
    <t>Numerical study on the spatially varying drag coefficient in simulation of storm surges employing the adjoint method</t>
  </si>
  <si>
    <t>Istrian and Dalmatian fishtanks as sea-level markers</t>
  </si>
  <si>
    <t>Extremity analysis of storm surge for fixing safe design water level</t>
  </si>
  <si>
    <t>Development of an adaptation toolbox to protect southeast Florida water supplies from climate change</t>
  </si>
  <si>
    <t>Estimating 10000-year return values from short time series</t>
  </si>
  <si>
    <t>Geology of the Hawke's Bay area</t>
  </si>
  <si>
    <t>Unsustainable use of groundwater resources in agricultural and urban areas: A Persistent Scatterer study of land subsidence at the basin scale</t>
  </si>
  <si>
    <t>Reflections on the decadal-scale response of coastal cliffs to sea-level rise</t>
  </si>
  <si>
    <t>Tsunami vulnerability assessment of Cuddalore using numerical model and GIS</t>
  </si>
  <si>
    <t>The late cenozoic evolution of the Aksu basin (Isparta Angle; SW Turkey). New insights</t>
  </si>
  <si>
    <t>And spatial models for predicting flood areas in the city of Sao Sebastiao do Cai, RS, Brazil; [Modelos para a espacialização e previsão de áreas inundáveis na zona urbana de São Sebastião do Caí, RS, Brasil]</t>
  </si>
  <si>
    <t>Laser scanning applications in fluvial studies</t>
  </si>
  <si>
    <t>Climate change and freshwater ecosystems in Oceania: An assessment of vulnerability and adaptation opportunities</t>
  </si>
  <si>
    <t>Mediterranean coastal lagoons in an ecosystem and aquatic resources management context</t>
  </si>
  <si>
    <t>Impact upon the Indian socio-economic fronts by climate change</t>
  </si>
  <si>
    <t>Analysis of floods using satellite images - case study of the 2007 torrential flood in the Selška valley; [Analiza poplav z uporabo satelitskih posnetkov - primer hudourniške poplave v Selški dolini leta 2007]</t>
  </si>
  <si>
    <t>Sea level trend reversal: Land uplift outpaced by sea level rise on Scotland's coast</t>
  </si>
  <si>
    <t>Morphodynamic changes of the "saco do Laranjal" beaches on the northwestern coast of the patos lagoon estuary, RS; [Variações morfodinâmicas das praias do "saco do Laranjal", costa noroeste do estuário da Laguna dos Patos, RS]</t>
  </si>
  <si>
    <t>Characterizing the error distribution of lidar elevation data for North Carolina</t>
  </si>
  <si>
    <t>Cretaceous sandbody characters at shauow-water lake delta front and the sedimentary dynamic process analysis in songliao Basin, China</t>
  </si>
  <si>
    <t>Floating houses - an innovative idea for coastlines and river districts in times of global climate change</t>
  </si>
  <si>
    <t>Age structure and recharge conditions of a coastal aquifer (northern Germany) investigated with 39Ar, 14C, 3H, He isotopes and Ne</t>
  </si>
  <si>
    <t>The 2011 off the Pacific coast of Tohoku Earthquake and its aftershocks observed by GEONET</t>
  </si>
  <si>
    <t>Statistical properties of hurricane surge along a coast</t>
  </si>
  <si>
    <t>Suspended sediment transport in a highly stratified estuary under transient river discharge; [Transporte de sedimentos em suspensão em um estuário altamente estratificado sob condições de descarga fluvial transiente]</t>
  </si>
  <si>
    <t>A distributed model for real-time flood forecasting in the Godavari Basin using space inputs</t>
  </si>
  <si>
    <t>Maritime and coastal spatial planning: The case of Greece and the Mediterranean</t>
  </si>
  <si>
    <t>Modification of tsunami wave by submarine canyon: Case study of multiple canyons at south east coast of India</t>
  </si>
  <si>
    <t>Threat of land subsidence in and around Kolkata City and East Kolkata Wetlands, West Bengal, India</t>
  </si>
  <si>
    <t>A habitat overlap analysis derived from maxent for tamarisk and the south-western willow flycatcher</t>
  </si>
  <si>
    <t>Imaging permafrost velocity structure using high resolution 3D seismic tomography</t>
  </si>
  <si>
    <t>Small island developing states</t>
  </si>
  <si>
    <t>Investigating the spatial distribution of water levels in the Mackenzie Delta using airborne LiDAR</t>
  </si>
  <si>
    <t>Investigating sea-level change and its impact on Hong Kong's coastal environment</t>
  </si>
  <si>
    <t>Modeling and understanding turbulent mixing in a macrotidal salt wedge estuary</t>
  </si>
  <si>
    <t>Monitoring and assessing reclamation settlement in coastal areas with advanced InSAR techniques: Macao city (China) case study</t>
  </si>
  <si>
    <t>Resolved spectroscopy of M dwarf/L dwarf binaries. IV. Discovery of an M9 + L6 binary separated by over 100 AU</t>
  </si>
  <si>
    <t>Evaluation of food risk parameters in the Day River Flood Diversion Area, Red River Delta, Vietnam</t>
  </si>
  <si>
    <t>Managing nigeria's environment: The unresolved issues</t>
  </si>
  <si>
    <t>Climate change in Oceania - A synthesis of biodiversity impacts and adaptations</t>
  </si>
  <si>
    <t>Distribution of inundation by the great tsunami of the 2011 mw 9.0 earthquake off the pacific coast of Tohoku (Japan), as revealed by ALOS imagery data</t>
  </si>
  <si>
    <t>A new approach to calculate extreme storm surges: Analysing the interaction of storm surge components</t>
  </si>
  <si>
    <t>Application of a geophysical monitoring system on the tidal and salt exposed embankments in the Humber estuary, UK</t>
  </si>
  <si>
    <t>Open rivers: Barrier removal planning and the restoration of free-flowing rivers</t>
  </si>
  <si>
    <t>Climate change and urbanization in the Yangtze River Delta</t>
  </si>
  <si>
    <t>Distribution and reactivity of oxyanions (Sb, As, V, Mo) in the surface freshwater reaches of the Gironde Estuary (France)</t>
  </si>
  <si>
    <t>Alternating late mown Altgrasstreifen promote the invertebrate fauna in alluvial meadows; [Alternierend spät gemähte Altgrasstreifen fördern die Wirbellosenfauna in Auenwiesen: Ergebnisse aus dem NSG "Kühkopf-Knoblochsaue"]</t>
  </si>
  <si>
    <t>Mathematical modeling of storm surge in three dimensional primitive equations</t>
  </si>
  <si>
    <t>Field evidence for flank instability, basal spreading and volcano-tectonic interactions at Mt Cameroon, West Africa</t>
  </si>
  <si>
    <t>Fourier polynomial approximation of estuaries water salinity in the Sundarbans region of Bangladesh</t>
  </si>
  <si>
    <t>Development of a seamless topographic/bathymetric digital terrain model for Tampa Bay, Florida</t>
  </si>
  <si>
    <t>International year of planet Earth 8. natural hazards in Canada</t>
  </si>
  <si>
    <t>Tidal hydrodynamics and erosional power in the Fly River delta, Papua New Guinea</t>
  </si>
  <si>
    <t>Geomatics-based soil mapping and degradation risk assessment of nile delta soils</t>
  </si>
  <si>
    <t>Reverse engineered flood hazard mapping in Afghanistan: A parsimonious flood map model for developing countries</t>
  </si>
  <si>
    <t>Physical processes in the gulf of kachchh: A review</t>
  </si>
  <si>
    <t>Micro-scale flood risk analysis based on detailed 2D hydraulic modelling and high resolution geographic data</t>
  </si>
  <si>
    <t>Design and installation of a prototype geohazard monitoring system near Machu Picchu, Peru</t>
  </si>
  <si>
    <t>Response of the distributary channel of the Huanghe River estuary to water and sediment discharge regulation in 2007</t>
  </si>
  <si>
    <t>Barrier Islands: Coupling anthropogenic stability with ecological sustainability</t>
  </si>
  <si>
    <t>Volume change of Jakobshavn Isbrae, West Greenland: 1985-1997-2007</t>
  </si>
  <si>
    <t>The effects of flow regulation and climatic variability on obstructed drainage and reverse flow contribution in a Northern river-lake-Delta complex, Mackenzie basin headwaters</t>
  </si>
  <si>
    <t>On the dynamics and morphology of extensive tidal mudflats: Integrating remote sensing data with an inundation model of Cook Inlet, Alaska</t>
  </si>
  <si>
    <t>Understanding multiple thresholds of coupled social-ecological systems exposed to natural hazards as external shocks</t>
  </si>
  <si>
    <t>Crustal rheology of the Santorini-Amorgos zone: Implications for the nucleation depth and rupture extent of the 9 July 1956 Amorgos earthquake, southern Aegean</t>
  </si>
  <si>
    <t>Channel dredging trials at Lakes Entrance, Australia: A GIS-based approach for monitoring and assessing bathymetric change</t>
  </si>
  <si>
    <t>Urban flood risk analysis for determining optimal flood protection levels based on digital terrain model and flood spreading model</t>
  </si>
  <si>
    <t>Producing time series of river water height by means of satellite radar altimetry-a comparative study; [Produire des séries temporelles de hauteur d'eau des cours d'eau grâce à l'altimétrie radar satellitaire-une étude comparative]</t>
  </si>
  <si>
    <t>More flood disasters in New Zealand</t>
  </si>
  <si>
    <t>Assessment of the flooding in the black sea coastalarea of Western Georgia</t>
  </si>
  <si>
    <t>Interpreting century-scale changes in southern north sea storm surge climate derived from coupled model simulations</t>
  </si>
  <si>
    <t>Understanding and managing the Westerschelde - Synchronizing the physical system and the management system of a complex estuary</t>
  </si>
  <si>
    <t>Effects of climate change on groundwater resources at Shelter Island, New York State, USA</t>
  </si>
  <si>
    <t>Delta allometry: Growth laws for river deltas</t>
  </si>
  <si>
    <t>Climate change, environmental degradation and migration</t>
  </si>
  <si>
    <t>Strategic issues - England and Wales</t>
  </si>
  <si>
    <t>Trend analysis of wave storminess: Wave direction and its impact on harbour agitation</t>
  </si>
  <si>
    <t>Increased risk of flooding on the coast of Alicante (Region of Valencia, Spain)</t>
  </si>
  <si>
    <t>Spatio-temporal variability in elevation changes of two high-Arcticvalley glaciers</t>
  </si>
  <si>
    <t>Great earthquakes on Canada's west coast: A review</t>
  </si>
  <si>
    <t>Two-dimensional numerical assessment of the hydrodynamics of the Nile swamps in southern Sudan; [Etude numérique bidimensionnelle de l'hydrodynamique des marais du Nil dans le sud du Soudan]</t>
  </si>
  <si>
    <t>How does climate change affect mesoscale catchments in Switzerland? - A framework for a comprehensive assessment</t>
  </si>
  <si>
    <t>Vulnerability of poor urban coastal communities to flooding in Lagos, Nigeria</t>
  </si>
  <si>
    <t>Assessing environmental flow requirements and trade-offs for the lower Zambezi river and delta, Mozambique</t>
  </si>
  <si>
    <t>Unconventional hydrocarbons - From Niche to mainstream. AAPG annual convention New Orleans, April 12 - 15, 2010</t>
  </si>
  <si>
    <t>Hydrological modelling and flood hazard mapping of Nullah Lai</t>
  </si>
  <si>
    <t>Predicting coastal cliff erosion using a Bayesian probabilistic model</t>
  </si>
  <si>
    <t>Storm surge simulation along the U.S. East and Gulf Coasts using a multi-scale numerical model approach</t>
  </si>
  <si>
    <t>Attenuation of in situ UV radiation in Mackenzie Delta lakes with varying dissolved organic matter compositions</t>
  </si>
  <si>
    <t>River-to-lake connectivities, water renewal, and aquatic habitat diversity in the Mackenzie River Delta</t>
  </si>
  <si>
    <t>Quantifying hyporheic exchange in a tidal river using temperature time series</t>
  </si>
  <si>
    <t>Probabilistic seismic and tsunami hazard analysis for design criteria development of a coastal area in the city of Banda Aceh</t>
  </si>
  <si>
    <t>Modelling of paleo-saltwater intrusion in the northern part of the Nubian Aquifer System, Northeast Africa; [Modèelisation d'une paléeo-intrusion d'eau saléee dans la partie Nord du Systèeme Aquifèere Nubien, Nord-Est de l'Afrique]</t>
  </si>
  <si>
    <t>Ocean loading effects on stress at near shore plate boundary fault systems</t>
  </si>
  <si>
    <t>Effects of DEM sources on hydrologic applications</t>
  </si>
  <si>
    <t>Laser scanning project provides foundation for predicting natural hazards in the Alps; [Großflächiges laserscanning im alpenraum als grundlage für die vorhersage von alpinen Naturgefahren]</t>
  </si>
  <si>
    <t>Safer Island Concept developed after the 2004 Indian Ocean Tsunami: A case study of maldives</t>
  </si>
  <si>
    <t>Coastal setbacks for the Mediterranean: A challenge for ICZM</t>
  </si>
  <si>
    <t>Estimation of the value of manning’s coefficient using terrestrial laser scanner techniques for the assessment of flooding by extreme waves</t>
  </si>
  <si>
    <t>Influence of sea level rise on iron diagenesis in an east Florida subterranean estuary</t>
  </si>
  <si>
    <t>Geomorphology of the central and frontal rongbuck glacier area (Mt. Everest, Tibet)</t>
  </si>
  <si>
    <t>Biofilm development on acrylic coupons during the initial 24 hour period of submersion in a tropical coastal environment</t>
  </si>
  <si>
    <t>A LiDAR application to assess long-term bed-level changes in a cobble-bed river: The case of the Orco River (North-Western Italy)</t>
  </si>
  <si>
    <t>The introduction of coastal infrastructure as a driver of change in marine environments</t>
  </si>
  <si>
    <t>A combination of remote sensing data and topographic attributes for the spatial and temporal monitoring of soil wetness</t>
  </si>
  <si>
    <t>Manning's equation and two-dimensional flow analogs</t>
  </si>
  <si>
    <t>Measuring hydrodynamics and sediment transport processes in the Dee Estuary</t>
  </si>
  <si>
    <t>Extreme rates of channel incision and shape evolution in response to a continuous, rapid base-level fall, the Dead Sea, Israel</t>
  </si>
  <si>
    <t>Computation of expected total water levels along the East Coast of India</t>
  </si>
  <si>
    <t>Miocene Kareem Sequence, Gulf of Suez, Egypt</t>
  </si>
  <si>
    <t>Living in hazardous waterscapes: Gendered vulnerabilities and experiences of floods and disasters</t>
  </si>
  <si>
    <t>Delineation of biogeomorphic land units across a tropical natural and humanized terrain in Los Tuxtlas, Veracruz, México</t>
  </si>
  <si>
    <t>Fluorescence characterization of daily and intertidal changes in estuarine water DOM related to the presence of Sarcocornia perennis (L.) A.J. Scott</t>
  </si>
  <si>
    <t>Geomorphic evolution of the piedmont zone of the Ganga plain, India: A study based on remote sensing, GIS and field investigation</t>
  </si>
  <si>
    <t>Morphodynamics of intermittent coastal lagoons in Southern Spain: Zahara de los Atunes</t>
  </si>
  <si>
    <t>Institutional challenges to robustness of delta and floodplain agricultural systems</t>
  </si>
  <si>
    <t>Analysis and simulation of human activity impact on streamflow in the huaihe river basin with a large-scale hydrologic model</t>
  </si>
  <si>
    <t>Removal of nutrients and heavy metals from wastewater with mangrove Sonneratia apetala Buch-Ham</t>
  </si>
  <si>
    <t>Permafrost and terrain conditions at northern drilling-mud sumps: Impacts of vegetation and climate change and the management implications</t>
  </si>
  <si>
    <t>New data on Quaternary morpholithogenesis in the Chuya basin (Gorny Altai)</t>
  </si>
  <si>
    <t>Flood risk mapping using LiDAR for annapolis Royal, Nova Scotia, Canada</t>
  </si>
  <si>
    <t>Statistical characterization of bed roughness due to bed forms: A field study in the Elbe River at Aken, Germany</t>
  </si>
  <si>
    <t>Flooding and flow path selection on alluvial fans and deltas</t>
  </si>
  <si>
    <t>Dual-scale validation of a medium-resolution coastal DEM with terrestrial LiDAR DSM and GPS</t>
  </si>
  <si>
    <t>Extreme storms in 2006-2007 on Shikotan Island and their impact on the coastal relief and deposits</t>
  </si>
  <si>
    <t>Hurricane Katrina and Mental Health: A Research Note on Mississippi Gulf Coast Residents</t>
  </si>
  <si>
    <t>Riffle-pool maintenance and flow convergence routing observed on a large gravel-bed river</t>
  </si>
  <si>
    <t>Mercury methylation rates of biofilm and plankton microorganisms from a hydroelectric reservoir in French Guiana</t>
  </si>
  <si>
    <t>Ozone reservoir layers in a coastal environment-A case study in southern Taiwan</t>
  </si>
  <si>
    <t>Saltmarsh soil evolution after land reclamation in Atlantic estuaries (Bay of Biscay, North coast of Spain)</t>
  </si>
  <si>
    <t>The stratigraphical architecture of the Quaternary deposits as support for hydrogeological modelling of the central zone of hanoi (vietnam)</t>
  </si>
  <si>
    <t>Sea level extremes in the U.S.-Affiliated Pacific Islands-a coastal hazard scenario to aid in decision analyses</t>
  </si>
  <si>
    <t>Shoreline armoring, risk management, and coastal resilience under rising seas</t>
  </si>
  <si>
    <t>Emerging unmanned aerial remote sensing system for intertidal zone modeling: A low-cost method of collecting remote sensing data for modeling short-term effects of sea level rise, part II: Close-range airborne remote sensing</t>
  </si>
  <si>
    <t>Coastal impact underestimated from rapid sea level rise</t>
  </si>
  <si>
    <t>Assimilation of spatially distributed water levels into a shallow-water flood model. Part II: Use of a remote sensing image of Mosel River</t>
  </si>
  <si>
    <t>Development and evaluation of an ensemble forecasting system for coastal storm surges</t>
  </si>
  <si>
    <t>Effects of climate change on GEO-disasters in coastal zones</t>
  </si>
  <si>
    <t>Influence of geomorphology and bathymetry on the effects of the 2004 tsunami at Colachel, South India</t>
  </si>
  <si>
    <t>Stochastic methods for safety assessment of the flood defense system in the Scheldt Estuary of the Netherlands</t>
  </si>
  <si>
    <t>Strategic management in decision support system for coastal flood management</t>
  </si>
  <si>
    <t>Morphological evidences and computer science techniques in order to evaluate tsunami inundation limit; [Evidenze morfologiche ed applicazioni informatiche al fine della valutazione del limite di inondazione da tsunami]</t>
  </si>
  <si>
    <t>The role of ambiguity in the evaluation of the net benefits of the MOSE system in the Venice lagoon</t>
  </si>
  <si>
    <t>A 'coastal-hazard GIS' for Sri Lanka</t>
  </si>
  <si>
    <t>Exchange across the shelf break at high southern latitudes</t>
  </si>
  <si>
    <t>Bottom boundary layer characteristics in the Hooghly estuary under combined wave-current action</t>
  </si>
  <si>
    <t>Point and standard error estimation for quantiles of mixed flood distributions</t>
  </si>
  <si>
    <t>Changes in groundwater induced by water diversion in the Lower Tarim River, Xinjiang Uygur, NW China: Evidence from environmental isotopes and water chemistry</t>
  </si>
  <si>
    <t>Tsunami disaster reduction education using town watching and moving Tsunami evacuation animation trial in Banda Aceh</t>
  </si>
  <si>
    <t>The New York bight jet: Climatology and dynamical evolution</t>
  </si>
  <si>
    <t>Topographic data reveal a buried fluvial landscape in the simpson desert, australia</t>
  </si>
  <si>
    <t>A geospatial visualisation and chronological study of a late Pleistocene fluvial wetland surface in the semi-arid Flinders Ranges, South Australia</t>
  </si>
  <si>
    <t>Do changes in the frequency, magnitude and timing of extreme climatic events threaten the population viability of coastal birds?</t>
  </si>
  <si>
    <t>Adaptation in situ or retreat? A multivariate approach to explore the factors that guide the peoples' preference against the impacts of sea level rise in coastal Bangladesh</t>
  </si>
  <si>
    <t>Analytical models for the groundwater tidal prism and associated benthic water flux; [Modèles analytiques pour le prisme de marée d'eaux souterraine et le flux associé d'eau benthique]</t>
  </si>
  <si>
    <t>Structural geology of Amazonian-aged layered sedimentary deposits in southwest Candor Chasma, Mars</t>
  </si>
  <si>
    <t>Geohazards and large, geographically distributed systems</t>
  </si>
  <si>
    <t>Residual currents induced by asymmetric tidal mixing in weakly stratified narrow estuaries</t>
  </si>
  <si>
    <t>Simulating low-probability peak discharges for the Rhine basin using resampled climate modeling data</t>
  </si>
  <si>
    <t>New perspectives on the synoptic and mesoscale structure of Hurricane Catarina</t>
  </si>
  <si>
    <t>Sea-level rise and its impact on coastal zones</t>
  </si>
  <si>
    <t>Emerging unmanned aerial remote sensing system for intertidal zone modeling: A low-cost method of collecting remote sensing data for modeling short-term effects of sea level rise, part I: Raising awareness</t>
  </si>
  <si>
    <t>Contribution of Alaskan glaciers to sea-level rise derived from satellite imagery</t>
  </si>
  <si>
    <t>Modelling the influence of small-scale effects upon the larger scale: An oceanographic challenge</t>
  </si>
  <si>
    <t>Monitoring of surface deformation in Northern Taiwan using DInSAR and PSInSAR techniques</t>
  </si>
  <si>
    <t>Hydraulic model research on bridge piers based on the example of selected bridges in opole; [Hydrauliczne badania modelowe filarówmostowych na przykładzie]</t>
  </si>
  <si>
    <t>Salinity intrusion characteristics analysis using EFDC model in the downstream of Geum River</t>
  </si>
  <si>
    <t>Towards a global glacier inventory from satellite data: Recent efforts and challenges to complete the global glacier inventory with modern geoinformatic techniques; [Vers un inventaire global des glaciers à partir de données satellitaires. Efforts récents et défis en vue de compléter l’inventaire global des glaciers avec les techniques modernes de géo informatique]; [Auf dem Weg zu einem globalen Gletscherinventar aus Satellitendaten. Aktuelle Bemühungen und Herausforderungen zur Vervollständigung des globalen Gletscherinventars mit den modernen Methoden der Geoinformatik]</t>
  </si>
  <si>
    <t>Vulnerability assessment at village level due to tides, surges and wave setup</t>
  </si>
  <si>
    <t>Tidal effects on diel variations of picoplankton and viruses in the Changjiang estuary</t>
  </si>
  <si>
    <t>Integrating river cross section measurements with digital terrain models for improved flow modelling applications</t>
  </si>
  <si>
    <t>Analysis of runoff in ungauged mountain watersheds in Sichuan, China using kinematic-wave-based GIUH model</t>
  </si>
  <si>
    <t>A method to assess fluvial fan channel networks, with a preliminary application to fans in coastal British Columbia</t>
  </si>
  <si>
    <t>A High-Resolution coupled riverine flow, tide, wind, wind wave, and storm surge model for southern louisiana and mississippi. Part II: Synoptic description and analysis of hurricanes katrina and rita</t>
  </si>
  <si>
    <t>Storm-induced coastal hazard assessment at regional scale: Application to Catalonia (NW Mediterranean)</t>
  </si>
  <si>
    <t>Microgravimetric and ground penetrating radar geophysical methods to map the shallow karstic cavities network in a coastal area (Marina Di Capilungo, Lecce, Italy)</t>
  </si>
  <si>
    <t>Kiribati: An environmental 'perfect storm'</t>
  </si>
  <si>
    <t>Large-eddy simulation of the tidal-cycle variations of an estuarine boundary layer</t>
  </si>
  <si>
    <t>Impact of a 1755-like tsunami in Huelva, Spain</t>
  </si>
  <si>
    <t>Turbulent mixing in a strongly forced salt wedge estuary</t>
  </si>
  <si>
    <t>Impact of different tidal renewable energy projects on the hydrodynamic processes in the Severn Estuary, UK</t>
  </si>
  <si>
    <t>The role of glacio-isostasy in the formation of post-glacial river terraces in relation to the MIS 2 ice limit: Evidence from northern England</t>
  </si>
  <si>
    <t>Urban flood mitigation: Sustainable options</t>
  </si>
  <si>
    <t>Numerical simulation on the process of saltwater intrusion and its impact on the suspended sediment concentration in the Changjiang (Yangtze) estuary</t>
  </si>
  <si>
    <t>Chapter 3 Fluvial and Associated Carbonate Deposits</t>
  </si>
  <si>
    <t>Future sea level rise implications on development of Lazarus Island, Singapore Southern Islands</t>
  </si>
  <si>
    <t>Tidal and atmospheric influences on near-surface turbulence in an estuary</t>
  </si>
  <si>
    <t>Wave setup over a Pacific Island fringing reef</t>
  </si>
  <si>
    <t>Assessment of an ASTER-generated DEM for 2D hydrodynamic flood modeling</t>
  </si>
  <si>
    <t>State of knowledge and management of Iberoamerican coastal aquifers with different geo-hydrological settings</t>
  </si>
  <si>
    <t>Middle EAST geologic time scale 2010: MIocene kareem sequence, gulf of suez, Egypt</t>
  </si>
  <si>
    <t>Quantification of mining subsidence in the Ruhr District (Germany); [Quantification de la subsidence d'origine minière dans la région de la Ruhr (Allemagne)]</t>
  </si>
  <si>
    <t>Importance of coastal change variables in determining vulnerability to sea- and lake-level change</t>
  </si>
  <si>
    <t>Examining tidal inundation and salt marsh vegetation distribution patterns using spatial analysis (Botany Bay, Australia)</t>
  </si>
  <si>
    <t>Friendly reflections monitoring water level with GNSS</t>
  </si>
  <si>
    <t>The High Resolution Imaging Science Experiment (HiRISE) during MRO's Primary Science Phase (PSP)</t>
  </si>
  <si>
    <t>Circulation and suspended particulate matter transport in a tidally dominated estuary: Caravelas Estuary, Bahia, Brazil</t>
  </si>
  <si>
    <t>Fluvial modulation of hydrodynamics and salt transport in a highly stratified estuary</t>
  </si>
  <si>
    <t>Changes of the susceptibility to lava flow invasion induced by morphological modifications of an active volcano: The case of Mount Etna, Italy</t>
  </si>
  <si>
    <t>Policy options for, and constraints on, effective adaptation for rivers and wetlands in northeast queensland</t>
  </si>
  <si>
    <t>A computational framework for flood risk assessment in the Netherlands</t>
  </si>
  <si>
    <t>Cycle of vertical and horizontal mixing in a shallow tidal creek</t>
  </si>
  <si>
    <t>A method for generating floodplain maps using ikonos images and dems</t>
  </si>
  <si>
    <t>Using ecological land units for conservation planning in a southwestern ohio watershed</t>
  </si>
  <si>
    <t>Flood refuge measures in the vicinity of urban rivers</t>
  </si>
  <si>
    <t>Tsunami damage reduction performance of a mangrove forest in Banda Aceh, Indonesia inferred from field data and a numerical model</t>
  </si>
  <si>
    <t>Svalbard glacier elevation changes and contribution to sea level rise</t>
  </si>
  <si>
    <t>Palynological evidence of human activity on the Gulf of Gdańsk coast during the late Holocene</t>
  </si>
  <si>
    <t>Effect of tidal flat on seawater temperature variation in the southwest coast of Korea</t>
  </si>
  <si>
    <t>Variability of water levels and impacts of streamflow changes and human activity within the Pearl River Delta, China; [Variabilité des hauteurs d'eau et impacts des changements de débit et des activités humaines dans le Delta de la Riviére des Perles, Chine]</t>
  </si>
  <si>
    <t>ProcED: A MATLAB package for processing ADCP estuarine data</t>
  </si>
  <si>
    <t>A simplified conception model for salt marsh sedimentation rate calculation: Response to changing suspended sediment concentration-A case study of Wanggang salt marsh, Jiangsu Province, China</t>
  </si>
  <si>
    <t>Steep slopes in the Sudetes and their morphotectonic interpretation</t>
  </si>
  <si>
    <t>Post-tsunami Assessment in the Coastal Region Between Kanyakumari and Ovari, Tamil Nadu-A Case Study</t>
  </si>
  <si>
    <t>Electrical imaging resistivity study at the coastal area of Sungai Besar, Selangor, Malaysia</t>
  </si>
  <si>
    <t>Reconstruction of paleocoastlines for the northwestern South China Sea since the last glacial maximum</t>
  </si>
  <si>
    <t>Lidar intensity for improved detection of inundation below the forest canopy</t>
  </si>
  <si>
    <t>Evaluation of surface and radar-estimated precipitation data sources over the lower Mississippi river alluvial plain</t>
  </si>
  <si>
    <t>Integrating disparate lidar datasets for a regional storm tide inundation analysis of hurricane katrina</t>
  </si>
  <si>
    <t>Strategic issues - England and wales</t>
  </si>
  <si>
    <t>Probabilistic tsunami hazard assessment at Seaside, Oregon, for near-and far-field seismic sources</t>
  </si>
  <si>
    <t>Tidal asymmetry in the mandovi and zuari estuaries, the west coast of India</t>
  </si>
  <si>
    <t>Extraction of lidar-based dune-crest elevations for use in examining the vulnerability of beaches to inundation during hurricanes</t>
  </si>
  <si>
    <t>Stimulating science</t>
  </si>
  <si>
    <t>Hydroclimatic controls on the occurrence of break-up and ice-jam flooding in the Mackenzie Delta, NWT, Canada</t>
  </si>
  <si>
    <t>Feasibility of tsunami early warning systems for small volcanic islands</t>
  </si>
  <si>
    <t>Adapting to climate change: Strategies from King County, Washington</t>
  </si>
  <si>
    <t>Impact of vertical structure on water mass circulation in a tropical lagoon (Ebrié, Ivory Coast)</t>
  </si>
  <si>
    <t>Creating and coupling a high-resolution DTM with a 1-D hydraulic model in a GIS for scenario-based assessment of avulsion hazard in a gravel-bed river</t>
  </si>
  <si>
    <t>Prediction of shoreline recession using geospatial technology: A case study of chennai coast, Tamil Nadu, India</t>
  </si>
  <si>
    <t>Chapter B. Groundwater availability in California's Central Valley</t>
  </si>
  <si>
    <t>Will groundwater ease freshwater stress under climate change?</t>
  </si>
  <si>
    <t>COAST-MAP-IO -A Hydrography-based contribution to tsunami preparedness in the Indian Ocean</t>
  </si>
  <si>
    <t>Using airborne geophysics to define the 3D distribution and landscape evolution of Quaternary valley-fill deposits around the Jamestown area, South Australia</t>
  </si>
  <si>
    <t>Vertical movements in the ionian margin of the sila massif (Calabria, Italy)</t>
  </si>
  <si>
    <t>Effect of water table level on metal mobility at different depths in wetland soils of the Scheldt estuary (Belgium)</t>
  </si>
  <si>
    <t>Combined effects of wind, tide, and horizontal density gradients on stratification in Estuaries and coastal seas</t>
  </si>
  <si>
    <t>Geomorphic coastal vulnerability to storms in microtidal fetch-limited environments: Application to NW Mediterranean &amp; N Adriatic Seas</t>
  </si>
  <si>
    <t>Processes impacting on stratification in a region of freshwater influence: Application to Liverpool Bay</t>
  </si>
  <si>
    <t>Benefits of grid computing for flood modeling in service-oriented spatial data infrastructures</t>
  </si>
  <si>
    <t>Synthesis and concluding remarks</t>
  </si>
  <si>
    <t>Combination of sequential chemical extraction and modelling of dam-break wave propagation to aid assessment of risk related to the possible collapse of a roasted sulphide tailings dam</t>
  </si>
  <si>
    <t>Remote sensing of volumetric storage changes in lakes</t>
  </si>
  <si>
    <t>Nature conservation implications of a Severn tidal barrage - A preliminary assessment of geomorphological change</t>
  </si>
  <si>
    <t>Climate change mitigation through reforestation in Godavari mangroves in India</t>
  </si>
  <si>
    <t>The role of remote sensing in predicting and determining coastal storm impacts</t>
  </si>
  <si>
    <t>Two-dimensional, high-resolution modeling of urban dam-break flooding: A case study of Baldwin Hills, California</t>
  </si>
  <si>
    <t>Influence of glacial isostatic adjustment upon current sea level variations in the Mediterranean</t>
  </si>
  <si>
    <t>Reinventing the dutch delta: Complexity and conflicts</t>
  </si>
  <si>
    <t>Geomorphological change and its impact on habitats in the camel estuary, cornwall, UK</t>
  </si>
  <si>
    <t>Preliminary analysis of InSAR data from south-west part of upper silesian coal basin</t>
  </si>
  <si>
    <t>Geomorphology of a dryland fluvial system: The Lower Balonne River, southern Queensland</t>
  </si>
  <si>
    <t>In situ measurements of saltwater flux through tidal passes of Lake Pontchartrain estuary by Hurricanes Gustav and Ike in September 2008</t>
  </si>
  <si>
    <t>Rural solutions for threats to urban areas: The contest over calamity polders</t>
  </si>
  <si>
    <t>Numerical investigations of the turbulent kinetic energy dissipation rate in the Rhine region of freshwater influence</t>
  </si>
  <si>
    <t>NLO corrections of HTCΠ0 and Π+Π- pair production at ilc in tc2 model</t>
  </si>
  <si>
    <t>Modeling influence of stratification on lateral circulation in a stratified estuary</t>
  </si>
  <si>
    <t>Structure and composition of a strongly stratified, tidally pulsed river plume</t>
  </si>
  <si>
    <t>Applications and analyses of satellite-borne L-band synthetic aperture radar data in coastal environments</t>
  </si>
  <si>
    <t>Inundation scenarios for flood damage evaluation in polder areas</t>
  </si>
  <si>
    <t>Targeted coastal circulation phenomena in diagnostic analyses and forecasts</t>
  </si>
  <si>
    <t>Three-dimensional architecture of submarine slide surfaces and associated soft-sediment deformation in the Lutetian Sobrarbe deltaic complex (Ainsa, Spanish Pyrenees)</t>
  </si>
  <si>
    <t>East coast cool-weather storms in the New York metropolitan region</t>
  </si>
  <si>
    <t>A strategic framework for monitoring coastal change in Australia's wet-dry tropics - Concepts and progress</t>
  </si>
  <si>
    <t>The Great Adriatic flood of 21 June 1978 revisited: An overview of the reports</t>
  </si>
  <si>
    <t>Coseismic vertical deformation of the MS8.0 Wenchuan earthquake from repeated levelings and its constraint on listric fault geometry</t>
  </si>
  <si>
    <t>Optimizing photogrammetric DEMs for glacier volume change assessment using laser-scanning derived ground-control points</t>
  </si>
  <si>
    <t>Analysis of lidar elevation data for improved identification and delineation of lands vulnerable to sea-level rise</t>
  </si>
  <si>
    <t>Flood susceptible mapping and risk area delineation using logistic regression, GIS and remote sensing</t>
  </si>
  <si>
    <t>The emerging role of lidar remote sensing in coastal research and resource management</t>
  </si>
  <si>
    <t>Gas ventilation of the saguenay Fjord by an energetic tidal front</t>
  </si>
  <si>
    <t>A probabilistic approach for determining submarine landslide tsunami hazard along the upper east coast of the United States</t>
  </si>
  <si>
    <t>Postglacial sedimentary regime around northern Sylt, south-eastern North Sea, based on shallow seismic profiles</t>
  </si>
  <si>
    <t>Influence of variable salinity conditions in a tidal creek on riparian groundwater flow and salinity dynamics</t>
  </si>
  <si>
    <t>Realizing the adaptive capacity of farming communities in coastal Sri Lanka</t>
  </si>
  <si>
    <t>The use of varius wind barriers in controlling wind erosion in northwestern parts of Egypt</t>
  </si>
  <si>
    <t>Quantification of top soil moisture patterns Evaluation of field methods, process-based modelling, remote sensing and an integrated approach</t>
  </si>
  <si>
    <t>Do high-resolution fan delta records provide a useful tool for hazard assessment in mountain regions?</t>
  </si>
  <si>
    <t>The diurnal cycle of surface divergence over the global oceans</t>
  </si>
  <si>
    <t>Ensemble forecasting of storm surges</t>
  </si>
  <si>
    <t>Multi-criteria location planning for public facilities in tsunami-prone coastal areas</t>
  </si>
  <si>
    <t>Eye of a human hurricane: Pea Island, Oregon Inlet, and Bodie Island, northern Outer Banks, North Carolina</t>
  </si>
  <si>
    <t>Impact of sulfate reduction on the scale of arsenic contamination in groundwater of the Mekong, Bengal and Red River deltas</t>
  </si>
  <si>
    <t>Topographie control on lava flow paths at Mount Etna, Italy: Implications for hazard assessment</t>
  </si>
  <si>
    <t>Frequency and duration of coinciding high surf and tides alone the north shore of Oahu, Hawaii, 1981-2007</t>
  </si>
  <si>
    <t>Effects of static vs. tidal hydraulic conditions on biogeochemical processes in mesocosms: Degradation of aromatic hydrocarbons (AHs)</t>
  </si>
  <si>
    <t>Distributed whole city water level measurements from the Carlisle 2005 urban flood event and comparison with hydraulic model simulations</t>
  </si>
  <si>
    <t>A review of the Delta Po evolution (Italy) related to climatic changes and human impacts</t>
  </si>
  <si>
    <t>Neural networks applied to estimating subglacial topography and glacier volume</t>
  </si>
  <si>
    <t>Site condition, structure, and growth of baldcypress along tidal/non-tidal salinity gradients</t>
  </si>
  <si>
    <t>Delayed impacts of the El Niño episodes in the central Pacific on the summertime climate anomalies of eastern China in 2003 and 2007</t>
  </si>
  <si>
    <t>Probability forecasts for water levels at the coast of the Netherlands</t>
  </si>
  <si>
    <t>Bad beach management: European perspectives</t>
  </si>
  <si>
    <t>A modeling approach to assess the hydrological response of small mediterranean catchments to the variability of soil characteristics in a context of extreme events</t>
  </si>
  <si>
    <t>An assessment of the systematic uncertainty in present and future tests of the lense-thirring effect with satellite laser ranging</t>
  </si>
  <si>
    <t>Origin and polycyclic behaviour of tundra thaw slumps, Mackenzie Delta region, Northwest Territories, Canada</t>
  </si>
  <si>
    <t>Estimating the depth of fresh and brackish groundwater in a predominantly saline region using geophysical and hydrological methods, zeeland, the netherlands</t>
  </si>
  <si>
    <t>Land-use mitigation strategies for storm surge risk in South East Queensland</t>
  </si>
  <si>
    <t>Natural disaster preparation and response: Issues for state housing authorities</t>
  </si>
  <si>
    <t>Discrimination of fluvial, eolian and neotectonic features in a low hilly landscape: A DEM-based morphotectonic analysis in the Central Pannonian Basin, Hungary</t>
  </si>
  <si>
    <t>Airborne and spaceborne DEM-and laser altimetry-derived surface elevation and volume changes of the Bering Glacier system, Alaska, USA, and Yukon, Canada, 1972-2006</t>
  </si>
  <si>
    <t>Beach recovery after 2004 Indian Ocean tsunami from Phang-nga, Thailand</t>
  </si>
  <si>
    <t>Storm surge forecasting for the Arabian Sea</t>
  </si>
  <si>
    <t>Development of comprehensive geodetic vertical datums for the United States pacific territories of American Samoa, Guam, and the Northern Marianas</t>
  </si>
  <si>
    <t>Probing our changing coast</t>
  </si>
  <si>
    <t>A comparison of digital elevation models generated from different data sources</t>
  </si>
  <si>
    <t>Evaluation of tsunami flooding using geomorphologic evidence</t>
  </si>
  <si>
    <t>Planning for climate change in coastal Victoria</t>
  </si>
  <si>
    <t>Mass balance of the Prince of Wales Icefield, Ellesmere Island, Nunavut, Canada</t>
  </si>
  <si>
    <t>A new challenge to international law: The disappearance of the entire Territory of a state</t>
  </si>
  <si>
    <t>The consequences of a future eustatic sea-level rise on the deltaic coasts of Inner Thermaikos Gulf (Aegean Sea) and Kyparissiakos Gulf (Ionian Sea), Greece</t>
  </si>
  <si>
    <t>Why relatively fewer people died? The case of Bangladesh's cyclone sidr</t>
  </si>
  <si>
    <t>Potential impacts of sea-level rise on the Mid- and Upper-Atlantic Region of the United States</t>
  </si>
  <si>
    <t>Analysis of labile aluminium form in grain size fractions of tsunami deposits in Thailand</t>
  </si>
  <si>
    <t>Tidal analysis in the venturi-shaped area between Zhenhai and Shenjiamen in the East China Sea</t>
  </si>
  <si>
    <t>The Changing Coastlines of South America</t>
  </si>
  <si>
    <t>Exergy as a useful variable for quickly assessing the theoretical maximum power of salinity gradient energy systems</t>
  </si>
  <si>
    <t>Interaction of waves, currents and tides, and wave-energy impact on the beach area of Sylt Island</t>
  </si>
  <si>
    <t>The role of meteorological forcing on the St. Johns River (Northeastern Florida)</t>
  </si>
  <si>
    <t>Morphological responses of an estuarine intertidal mudflat to constructions since 1978 to 2005: The Seine estuary (France)</t>
  </si>
  <si>
    <t>Microatoll edge to enso annulus growth suggests sea level change</t>
  </si>
  <si>
    <t>The legacy of wetland drainage on the remaining peat in the Sacramento San Joaquin Delta, California, USA</t>
  </si>
  <si>
    <t>Inundation extent and flood frequency mapping using LANDSAT imagery and digital elevation models</t>
  </si>
  <si>
    <t>Vertically stacked Gilbert-type deltas of Ventimiglia (NW Italy): The Pliocene record of an overfilled Messinian incised valley</t>
  </si>
  <si>
    <t>Vulnerability of Turkish coasts to accelerated sea-level rise</t>
  </si>
  <si>
    <t>Gust factors and turbulence intensities for the tropical cyclone environment</t>
  </si>
  <si>
    <t>Towards operational near real-time flood detection using a split-based automatic thresholding procedure on high resolution TerraSAR-X data</t>
  </si>
  <si>
    <t>Relationships between frequency of ground exposure and forest cover in a mangrove Island ecosystem</t>
  </si>
  <si>
    <t>Coping with multiple disasters and diminishing livelihood resources caste, class, and gender perspectives: The case from Orissa, India</t>
  </si>
  <si>
    <t>Hydraulic bureaucracy in a modern hydraulic society - strategic group formation in the Mekong delta, Vietnam</t>
  </si>
  <si>
    <t>Fertility status and management implications of wetland soils for sustainable crop production in Akwa Ibom State, Nigeria</t>
  </si>
  <si>
    <t>The 2004 December 26 Indian Ocean tsunami impact on Sri Lanka: Cascade modelling from ocean to city scales</t>
  </si>
  <si>
    <t>Long-term precipitation and late-stage valley network formation: Landform simulations of Parana Basin, Mars</t>
  </si>
  <si>
    <t>A hydrodynamic model coupled with GIS for flood characteristics analysis in the Biebrza riparian wetland</t>
  </si>
  <si>
    <t>Identification of quaternary fluvial terraces using borehole data and digital elevation models</t>
  </si>
  <si>
    <t>Optimisation of LiDAR derived terrain models for river flow modelling</t>
  </si>
  <si>
    <t>Tectonic controls on the geomorphic evolution of alluvial fans in the Piedmont Zone of Ganga Plain, Uttarakhand, India</t>
  </si>
  <si>
    <t>Wind-driven wave heights in the German Bight</t>
  </si>
  <si>
    <t>Landscape elements and river chemistry as affected by river regulation - A 3-D perspective</t>
  </si>
  <si>
    <t>A history of poor economic and environmental renourishment decisions in Broward County, Florida</t>
  </si>
  <si>
    <t>Geophysical surveys to investigate the relation between the Quaternary Nile channels and the Messinian Nile canyon at East Nile Delta, Egypt</t>
  </si>
  <si>
    <t>Quantifying the evolution of a beach protected by low crested structures using video monitoring</t>
  </si>
  <si>
    <t>Lateral circulation in well-mixed and stratified estuarine flows with curvature</t>
  </si>
  <si>
    <t>Integrated flood hazard mapping in the framework of the E.U. directive on the assessment and management of flood risks</t>
  </si>
  <si>
    <t>Another Fast and Simple DEM Depression-Filling Algorithm Based on Priority Queue Structure</t>
  </si>
  <si>
    <t>Nextmap Europe is on the shelf</t>
  </si>
  <si>
    <t>Present evolution and future predictions for the deltaic coastal zone between the Sulina and Sf. Gheorghe Danube river mouths (Romania)</t>
  </si>
  <si>
    <t>Geomorphology and dynamics of the Mfolozi River floodplain, KwaZulu-Natal, South Africa</t>
  </si>
  <si>
    <t>Geology of the Whangarei area</t>
  </si>
  <si>
    <t>A multiscale geoarchaeological approach from the Laurentine shore (Castelporziano, Lazio, Italy); [Géoarchéologie du littoral laurentin (Castelporziano, Lazio, Italie): Approche multiscalaire]</t>
  </si>
  <si>
    <t>Perception of flood risk in Danube Delta, Romania</t>
  </si>
  <si>
    <t>Simulations of storm surges in the Bay of Bengal</t>
  </si>
  <si>
    <t>Early and Middle Pleistocene landscapes of eastern England</t>
  </si>
  <si>
    <t>Connecting large-scale coastal behaviour with coastal management of the Rhône delta</t>
  </si>
  <si>
    <t>Physical and biological responses of forests to tropical cyclones affecting the united states atlantic ocean and gulf of mexico coasts</t>
  </si>
  <si>
    <t>Geomorphological contributions to palaeolimnology on the African continent</t>
  </si>
  <si>
    <t>Neural network model to predict a storm surge</t>
  </si>
  <si>
    <t>Spatio-temporal variability of the amplitude-phase structure of storm waves in the coastal zone of the sea</t>
  </si>
  <si>
    <t>Environmental constraints of foraminiferal assemblages distribution across a brackish tidal marsh (Caminha, NW Portugal)</t>
  </si>
  <si>
    <t>An efficient algorithm to plot flooded intertidal areas</t>
  </si>
  <si>
    <t>Effects of spatial grid resolution on river flow and surface inundation simulation by physically based distributed modelling approach</t>
  </si>
  <si>
    <t>A climate change vulnerability assessment methodology for coastal tourism</t>
  </si>
  <si>
    <t>Forecasting lava flow hazards during the 2006 Etna eruption: Using the MAGFLOW cellular automata model</t>
  </si>
  <si>
    <t>North Topsail Beach, North Carolina: A model for maximizing coastal hazard vulnerabilit</t>
  </si>
  <si>
    <t>Multi-model approach and evaluation of the uncertainty of model results. Rationale and applications to predict the behaviour of contaminants in the abiotic components of the fresh water environment</t>
  </si>
  <si>
    <t>Willingness of homeowners to mitigate climate risk through insurance</t>
  </si>
  <si>
    <t>The implications of climate change on Coastal visitor numbers: A regional analysis</t>
  </si>
  <si>
    <t>Sea level extremes in southern Europe</t>
  </si>
  <si>
    <t>Calibration and sequential updating of a coupled hydrologic-hydraulic model using remote sensing-derived water stages</t>
  </si>
  <si>
    <t>Lahar flow simulations using LAHARZ program: Application for the Popocatépetl volcano, Mexico</t>
  </si>
  <si>
    <t>Geo-hazards with characteristics and prevention measures along the coastal regions of China</t>
  </si>
  <si>
    <t>Areal rainfall estimation using spatial interpolation techniques</t>
  </si>
  <si>
    <t>Objective rapid delineation of areas at risk from block-and-ash pyroclastic flows and surges</t>
  </si>
  <si>
    <t>The COASTMAP inundation module : A framework for modeling coastal flooding</t>
  </si>
  <si>
    <t>Restoring and protecting coastal Louisiana</t>
  </si>
  <si>
    <t>The role of remote sensing in hydrological modelling of the Okavango Delta, Botswana</t>
  </si>
  <si>
    <t>Principles for an intergovernmental agreement for coastal planning and climate change in Australia</t>
  </si>
  <si>
    <t>Modeling tidal circulation and stratification in Skagit River estuary using an unstructured grid ocean model</t>
  </si>
  <si>
    <t>Sustainable coastal zone management: A concept for forecasting long-term and large-scale coastal evolution</t>
  </si>
  <si>
    <t>Geomorphological changes associated with underground coal mining in the Fushun area, northeast China revealed by multitemporal satellite remote sensing data</t>
  </si>
  <si>
    <t>Coastal storm damage reduction program in Salerno Province after the winter 2008 storms</t>
  </si>
  <si>
    <t>Simulation of storm surge and overland flows using geographical information system applications</t>
  </si>
  <si>
    <t>Patterns of subsidence in the lower Yangtze Delta of China: The case of the Suzhou-Wuxi-Changzhou Region</t>
  </si>
  <si>
    <t>Modeling interaction of fluid and salt in an aquifer/lagoon system</t>
  </si>
  <si>
    <t>A model to predict the coastal sea level variations and surge</t>
  </si>
  <si>
    <t>Extreme value analysis of annual maximum water levels in the Pearl River Delta, China</t>
  </si>
  <si>
    <t>Global monitoring of wetlands - the value of ENVISAT ASAR Global mode</t>
  </si>
  <si>
    <t>Multi-disciplinary approach for sediment dynamics study of active floodplains; [Approche multidisciplinaire de la dynamique sédimentaire des plaines d'inondation actives]</t>
  </si>
  <si>
    <t>Development and restoration of the urban rivers: Examples from old downtown Tokyo, Japan</t>
  </si>
  <si>
    <t>Improved estimation of flood parameters by combining space based SAR data with very high resolution digital elevation data</t>
  </si>
  <si>
    <t>A numerical model study of barotropic subtidal water exchange between estuary and subestuaries (tributaries) in the Chesapeake Bay during northeaster events</t>
  </si>
  <si>
    <t>Decadal-scale analysis of ground movements in old landslides in western Belgium</t>
  </si>
  <si>
    <t>Foraminiferal ecological zonation along a Brazilian mangrove transect: Diversity, morphotypes and the influence of subaerial exposure time</t>
  </si>
  <si>
    <t>Two dimensional modelling of the flood zones in the Vistula River Valley in Warsaw</t>
  </si>
  <si>
    <t>Training the rivers and exploring the coasts. Knowledge evolution in the Netherlands in two engineering fields between 1800 and 1940</t>
  </si>
  <si>
    <t>Coastal flooding: Impacts of coupled wave-surge-tide models</t>
  </si>
  <si>
    <t>The sea-defence function of micro-tidal temperate coastal wetlands</t>
  </si>
  <si>
    <t>Coastal erosion in response to wave dynamics operative in Sagar Island, Sundarban delta, India</t>
  </si>
  <si>
    <t>Coastal lagoons and climate change: Ecological and social ramifications in U.S. Atlantic and Gulf coast ecosystems</t>
  </si>
  <si>
    <t>Impacts of climate changes on water resources in africa with emphasis on groundwater</t>
  </si>
  <si>
    <t>Flood-dominated fluvio-deltaic system: A new depositional model for the devonian cabeças formation, parnaíba basin, piauí, Brazil</t>
  </si>
  <si>
    <t>Coastal protection strategies for the Red River Delta</t>
  </si>
  <si>
    <t>Flood risk analyses - How detailed do we need to be?</t>
  </si>
  <si>
    <t>Meteorological tsunamis in Southern Britain: An historical review</t>
  </si>
  <si>
    <t>Regional hydrologic mapping of flows in stream networks</t>
  </si>
  <si>
    <t>Using Earth Observation to update a Natura 2000 habitat map for a wetland in Greece</t>
  </si>
  <si>
    <t>Arsenic mobilization from iron oxyhydroxides is regulated by organic matter carbon to nitrogen (C:N) ratio</t>
  </si>
  <si>
    <t>Climate-proofing the flood protection of the Netherlands</t>
  </si>
  <si>
    <t>Mapping of aggregated floodplain plant communities using image fusion of CASI and LiDAR data</t>
  </si>
  <si>
    <r>
      <t xml:space="preserve">Peer-reviewed article; </t>
    </r>
    <r>
      <rPr>
        <b/>
        <sz val="11"/>
        <color theme="1"/>
        <rFont val="Aptos Narrow"/>
        <family val="2"/>
        <scheme val="minor"/>
      </rPr>
      <t>Included (fits the scope well)</t>
    </r>
    <r>
      <rPr>
        <sz val="11"/>
        <color theme="1"/>
        <rFont val="Aptos Narrow"/>
        <family val="2"/>
        <scheme val="minor"/>
      </rPr>
      <t xml:space="preserve">; </t>
    </r>
    <r>
      <rPr>
        <b/>
        <sz val="11"/>
        <color theme="1"/>
        <rFont val="Aptos Narrow"/>
        <family val="2"/>
        <scheme val="minor"/>
      </rPr>
      <t>Included</t>
    </r>
    <r>
      <rPr>
        <sz val="11"/>
        <color theme="1"/>
        <rFont val="Aptos Narrow"/>
        <family val="2"/>
        <scheme val="minor"/>
      </rPr>
      <t xml:space="preserve"> </t>
    </r>
  </si>
  <si>
    <r>
      <t xml:space="preserve">Peer-reviewed article; </t>
    </r>
    <r>
      <rPr>
        <b/>
        <sz val="11"/>
        <color theme="1"/>
        <rFont val="Aptos Narrow"/>
        <family val="2"/>
        <scheme val="minor"/>
      </rPr>
      <t>Included (fits the scope well)</t>
    </r>
    <r>
      <rPr>
        <sz val="11"/>
        <color theme="1"/>
        <rFont val="Aptos Narrow"/>
        <family val="2"/>
        <scheme val="minor"/>
      </rPr>
      <t xml:space="preserve">; </t>
    </r>
    <r>
      <rPr>
        <b/>
        <sz val="11"/>
        <color theme="1"/>
        <rFont val="Aptos Narrow"/>
        <family val="2"/>
        <scheme val="minor"/>
      </rPr>
      <t>Not accessible</t>
    </r>
    <r>
      <rPr>
        <sz val="11"/>
        <color theme="1"/>
        <rFont val="Aptos Narrow"/>
        <family val="2"/>
        <scheme val="minor"/>
      </rPr>
      <t xml:space="preserve"> </t>
    </r>
  </si>
  <si>
    <r>
      <t xml:space="preserve">Peer-reviewed article; </t>
    </r>
    <r>
      <rPr>
        <b/>
        <sz val="11"/>
        <color theme="1"/>
        <rFont val="Aptos Narrow"/>
        <family val="2"/>
        <scheme val="minor"/>
      </rPr>
      <t>Included (fits the scope less well)</t>
    </r>
    <r>
      <rPr>
        <sz val="11"/>
        <color theme="1"/>
        <rFont val="Aptos Narrow"/>
        <family val="2"/>
        <scheme val="minor"/>
      </rPr>
      <t xml:space="preserve">; </t>
    </r>
    <r>
      <rPr>
        <b/>
        <sz val="11"/>
        <color theme="1"/>
        <rFont val="Aptos Narrow"/>
        <family val="2"/>
        <scheme val="minor"/>
      </rPr>
      <t>Included</t>
    </r>
    <r>
      <rPr>
        <sz val="11"/>
        <color theme="1"/>
        <rFont val="Aptos Narrow"/>
        <family val="2"/>
        <scheme val="minor"/>
      </rPr>
      <t xml:space="preserve"> </t>
    </r>
  </si>
  <si>
    <r>
      <t xml:space="preserve">Peer-reviewed article; </t>
    </r>
    <r>
      <rPr>
        <b/>
        <sz val="11"/>
        <color theme="1"/>
        <rFont val="Aptos Narrow"/>
        <family val="2"/>
        <scheme val="minor"/>
      </rPr>
      <t>Included (fits the scope less well)</t>
    </r>
    <r>
      <rPr>
        <sz val="11"/>
        <color theme="1"/>
        <rFont val="Aptos Narrow"/>
        <family val="2"/>
        <scheme val="minor"/>
      </rPr>
      <t xml:space="preserve">; </t>
    </r>
    <r>
      <rPr>
        <b/>
        <sz val="11"/>
        <color theme="1"/>
        <rFont val="Aptos Narrow"/>
        <family val="2"/>
        <scheme val="minor"/>
      </rPr>
      <t>Not accessible</t>
    </r>
    <r>
      <rPr>
        <sz val="11"/>
        <color theme="1"/>
        <rFont val="Aptos Narrow"/>
        <family val="2"/>
        <scheme val="minor"/>
      </rPr>
      <t xml:space="preserve"> </t>
    </r>
  </si>
  <si>
    <r>
      <t xml:space="preserve">Peer-reviewed article; </t>
    </r>
    <r>
      <rPr>
        <b/>
        <sz val="11"/>
        <color theme="1"/>
        <rFont val="Aptos Narrow"/>
        <family val="2"/>
        <scheme val="minor"/>
      </rPr>
      <t>Included (fits the scope less well)</t>
    </r>
    <r>
      <rPr>
        <sz val="11"/>
        <color theme="1"/>
        <rFont val="Aptos Narrow"/>
        <family val="2"/>
        <scheme val="minor"/>
      </rPr>
      <t xml:space="preserve">; </t>
    </r>
    <r>
      <rPr>
        <b/>
        <sz val="11"/>
        <color theme="1"/>
        <rFont val="Aptos Narrow"/>
        <family val="2"/>
        <scheme val="minor"/>
      </rPr>
      <t>Excluded</t>
    </r>
  </si>
  <si>
    <r>
      <t xml:space="preserve">Peer-reviewed article; </t>
    </r>
    <r>
      <rPr>
        <b/>
        <sz val="11"/>
        <color theme="1"/>
        <rFont val="Aptos Narrow"/>
        <family val="2"/>
        <scheme val="minor"/>
      </rPr>
      <t>Included (fits the scope well)</t>
    </r>
    <r>
      <rPr>
        <sz val="11"/>
        <color theme="1"/>
        <rFont val="Aptos Narrow"/>
        <family val="2"/>
        <scheme val="minor"/>
      </rPr>
      <t xml:space="preserve">; </t>
    </r>
    <r>
      <rPr>
        <b/>
        <sz val="11"/>
        <color theme="1"/>
        <rFont val="Aptos Narrow"/>
        <family val="2"/>
        <scheme val="minor"/>
      </rPr>
      <t xml:space="preserve">Excluded </t>
    </r>
  </si>
  <si>
    <r>
      <t xml:space="preserve">Peer-reviewed article; </t>
    </r>
    <r>
      <rPr>
        <b/>
        <sz val="11"/>
        <color theme="1"/>
        <rFont val="Aptos Narrow"/>
        <family val="2"/>
        <scheme val="minor"/>
      </rPr>
      <t>Excluded (does not fit the scope)</t>
    </r>
    <r>
      <rPr>
        <sz val="11"/>
        <color theme="1"/>
        <rFont val="Aptos Narrow"/>
        <family val="2"/>
        <scheme val="minor"/>
      </rPr>
      <t xml:space="preserve">; </t>
    </r>
    <r>
      <rPr>
        <b/>
        <sz val="11"/>
        <color theme="1"/>
        <rFont val="Aptos Narrow"/>
        <family val="2"/>
        <scheme val="minor"/>
      </rPr>
      <t>Excluded</t>
    </r>
  </si>
  <si>
    <t>Provision of a new methodology for mapping coastal flood hazard at European scale</t>
  </si>
  <si>
    <t>https://doi.org/10.3390/environments8050046</t>
  </si>
  <si>
    <t>Environments</t>
  </si>
  <si>
    <t>Accounting for DEM Error in Sea Level Rise Assessment within Riverine Regions; Case Study from the Shatt Al-Arab River Region</t>
  </si>
  <si>
    <t>Shatt Al-Arab River Region</t>
  </si>
  <si>
    <t>ca. 0-122 km</t>
  </si>
  <si>
    <t>Investigation of error propagation in SRTM to understand impact of DEM error on inundation model</t>
  </si>
  <si>
    <t>error propagation investigated</t>
  </si>
  <si>
    <t>UTM38 and UTM39</t>
  </si>
  <si>
    <t>http://dx.doi.org/10.2112/SI63-016.1</t>
  </si>
  <si>
    <t>Consideration of Vertical Uncertainty in Elevation-Based Sea Level Rise Assessments: Mobile Bay, Alabama Case Study</t>
  </si>
  <si>
    <t>Mobile Bay, Alabama</t>
  </si>
  <si>
    <t>0-50 km</t>
  </si>
  <si>
    <t>Multisource LiDAR</t>
  </si>
  <si>
    <t>2001 Baldwin County, 2002 Mobile County, 2005 post-Katrina, 2005 CHARTS, 2007 EAARL, 2010 Baldwin County, 2011 Baldwin County</t>
  </si>
  <si>
    <t>airborne LiDAR</t>
  </si>
  <si>
    <t>NAVD 88</t>
  </si>
  <si>
    <t>RMSE (combined with tidal datum transformation error): 0.1500 (0.1525); 0.1390 (0.1417); 0.0600 (0.0660); 0.2000 (0.2019); 0.1500 (0.1525); 0.1290 (0.1319); 0.1500 (0.1525)</t>
  </si>
  <si>
    <t>https://doi.org/10.3389/feart.2018.00230</t>
  </si>
  <si>
    <t>Best Practices for Elevation-Based Assessments of Sea-Level Rise and Coastal Flooding Exposure</t>
  </si>
  <si>
    <t>global, United States, Republic of the Marshall Islands</t>
  </si>
  <si>
    <t>Documentation of best practices for accounting vertical uncertainty in elevation-based SLR and coastal flooding assessments</t>
  </si>
  <si>
    <t>SRTM; ASTER GDEM; ALOS; TanDEM-X; NASADEM; MERIT DEM; NED; 3DEP; AUS-DEM</t>
  </si>
  <si>
    <t>DSM; DSM; DSM; DSM; DSM; vegetation-corrected DSM; DSM; LiDAR; LiDAR</t>
  </si>
  <si>
    <t>global; global; global; global; global; global; United States; United States; Republic of the Marshall Islands</t>
  </si>
  <si>
    <r>
      <rPr>
        <b/>
        <sz val="11"/>
        <rFont val="Aptos Narrow"/>
        <family val="2"/>
        <scheme val="minor"/>
      </rPr>
      <t xml:space="preserve">ground truth points and each DEM were brought into the same vertical reference frame, via Vdatum software </t>
    </r>
    <r>
      <rPr>
        <sz val="11"/>
        <rFont val="Aptos Narrow"/>
        <family val="2"/>
        <scheme val="minor"/>
      </rPr>
      <t>(source: Geoid, Ellipsoid, Tidal, Ellipsoid)</t>
    </r>
  </si>
  <si>
    <t>4.15 m RMSE (SRTM); 8.52 m RMSE (ASTER GDEM); 1.55 m RMSE (NED); 0.87 m (NED lidar source)</t>
  </si>
  <si>
    <t xml:space="preserve">30; 30; 30; 12; 30; 90; 30(?); 1 </t>
  </si>
  <si>
    <t>Free; Free; Free; Free (upon request); Free; Free; Free; not documented</t>
  </si>
  <si>
    <t>not known which vertical reference system was used finally</t>
  </si>
  <si>
    <t>https://doi.org/10.5281/zenodo.8011577</t>
  </si>
  <si>
    <t>Geomorphometry</t>
  </si>
  <si>
    <t>Assessing Global Elevation Models for Mapping the Low Elevation Coastal Zone</t>
  </si>
  <si>
    <t>DEM evaluation to delineate LECZ</t>
  </si>
  <si>
    <t>FABDEM; Copernicus DEM; AW3D30; NASADEM; ASTER GDEM; CoastalDEM v1.1 90m; Copernicus DEM 90m; TanDEM-X 90m; MERIT 90m; GLL-DTM v2; GEDI 1 km</t>
  </si>
  <si>
    <t>nearly DTM, DSM; DSM; DSM; DSM; nearly DTM; DSM; DSM; DSM/DTM; DTM; DTM</t>
  </si>
  <si>
    <t>Geoid, MSL</t>
  </si>
  <si>
    <r>
      <t xml:space="preserve">EGM2008; EGM2008; EGM96; EGM96; EGM96; EGM96; EGM2008; EGM96; EGM96; MDT </t>
    </r>
    <r>
      <rPr>
        <b/>
        <sz val="11"/>
        <rFont val="Aptos Narrow"/>
        <family val="2"/>
        <scheme val="minor"/>
      </rPr>
      <t>(outdated)</t>
    </r>
  </si>
  <si>
    <t xml:space="preserve">1.231 m RMSE;  1.570 m RMSE; 2.809 m RMSE;  3.090 m RMSE; 7.199 m RMSE;  2.092 m RMSE; 2.110 m RMSE; 2.324 m RMSE; 2.338 m RMSE; 1.528 m RMSE;  2.608 m RMSE </t>
  </si>
  <si>
    <t>30; 30; 30; 30; 30; 90; 90; 90; 90; 1000; 1000</t>
  </si>
  <si>
    <t>https://issuu.com/objectif-developpement/docs/pr_283_va_web</t>
  </si>
  <si>
    <t>AFD Research Paper</t>
  </si>
  <si>
    <t>A scoping sudy on coastal vulnerability to relative sea-level rise in the Gulf of Guinea</t>
  </si>
  <si>
    <t xml:space="preserve">Exposure of area, population and LULC assets to SLR </t>
  </si>
  <si>
    <t>ACE2, AW3D30, FABDEM, CoastalDEM v1.1, CoastalDEM v2.1, DEM Ensemble from FABDEM and CoastalDEM v2.1</t>
  </si>
  <si>
    <t>DSM; DSM; nearly DTM; nearly DTM; nearly  DTM; nearly DTM</t>
  </si>
  <si>
    <t>60° to 60° S; 80° N to 80° S; 90° N to 90° S; 60° N to 56° S; 60° N to 56° S; 3° N to 10° N, 5° W to 10 ° E</t>
  </si>
  <si>
    <t xml:space="preserve"> 03/1994 to 08/2002 (Topex Ku band), 04/1994 to 03/1995 (ERS-1),  08/2002 to 07/2005 (Envisat RA-2 Ku band), 08/2002 to 03/2004 (Jason-1 Ku band);  24/01/2006 to 12/05/2011; 12/12/2010 to 16/01/2015 (source TanDEM); 11/02/2000 to 22/02/2000 (i.e. SRTM)</t>
  </si>
  <si>
    <t>Correction of SRTM (and GLOBE for regions south of 56° S) by multi-mission satellite radar altimetry, canopy heights replaced by altimetry heights; Resampling AW3D (5m resolution, based on optical stereo panchromaticimagery) by applying average and medium methods; Correction of Copernicus DEM GLO-30 by removing buildings and forest height bias through machine learning techniques; Correction of SRTM by training with  LiDAR data from the United States and Australia and using additional population and vegetation datasets in a neural network; Correction of NASADEM by training with ICESat 2 satellite LiDAR data and using additional population and vegetation datasets in a neural network; Calculation of average elevation from FABDEM and CoastalDEM v2.1</t>
  </si>
  <si>
    <t>1.13 m RMSE (compared to DEM Ensemble); 1.66 m RMSE (compared to DEM Ensemble)</t>
  </si>
  <si>
    <t>30 m; 90 m</t>
  </si>
  <si>
    <t>Free; only 90 m Free; Not available</t>
  </si>
  <si>
    <t>https://doi.org/10.1038/s41467-021-23810-9</t>
  </si>
  <si>
    <t>Nature Communications</t>
  </si>
  <si>
    <t>Global LiDAR land elevation data reveal greatest sea-level rise vulnerability in the tropics</t>
  </si>
  <si>
    <t xml:space="preserve">Exposure of area and population to SLR </t>
  </si>
  <si>
    <t xml:space="preserve">90° N to 90° S, input elevation &lt;10 m; 60° N to 56° S; 60° N to 56° S; 60° N to 56° S; 90° N to 90° S </t>
  </si>
  <si>
    <t>14/10/2018 to 13/05/2020; 11/02/2000 to 22/02/2000; 11/02/2000 to 22/02/2000 (source SRTM); 11/02/2000 to 22/02/2000 (source SRTM); 12/12/2010 to 16/01/2015</t>
  </si>
  <si>
    <t>0.50-0.54 m (RMSE; for max. elevations of 2 to 10 m) (Vernimmen et al., 2020)</t>
  </si>
  <si>
    <t xml:space="preserve">0.05° × 0.05° (5 km × 5 km) </t>
  </si>
  <si>
    <t>https://doi.org/10.1038/s41467-019-12808-z</t>
  </si>
  <si>
    <t>New elevation data triple estimates of global vulnerability to sea-level rise and coastal flooding</t>
  </si>
  <si>
    <t xml:space="preserve">Exposure of area and population to annual flooding and SLR </t>
  </si>
  <si>
    <t>CoastalDEM v1.1; SRTM; MERIT; AW3D30</t>
  </si>
  <si>
    <t>nearly DTM; DSM; DSM/DTM; DSM</t>
  </si>
  <si>
    <t>11/02/2000 to 22/02/2000 (i.e. SRTM); 11/02/2000 to 22/02/2000; 11/02/2000 to 22/02/2000 (i.e. SRTM); 24/01/2006 to 12/05/2011</t>
  </si>
  <si>
    <t>Correction of SRTM by training with NOAA coastal lidar from the US and using additional population and vegetation datasets in a neural network; Synthetic Aperture Radar interferometry (dual antennas); SRTM with removal of tree heights; based on optical stereo panchromatic imagery) by applying average and medium methods</t>
  </si>
  <si>
    <t>MHHW based on MSS_CNES_CLS_15</t>
  </si>
  <si>
    <t>3.90-3.94 m (LE90; for the US and Australia); 2.39-2.46 m (RMSE; for the US and Australia) (Kulp and Strauss, 2018)</t>
  </si>
  <si>
    <t>only 90 m Free</t>
  </si>
  <si>
    <t>https://doi.org/10.1038/s41467-019-11602-1</t>
  </si>
  <si>
    <t>Mekong delta much lower than previously assumed</t>
  </si>
  <si>
    <t>0-215 km</t>
  </si>
  <si>
    <t>Provision of high-accuracy local DEM, DEM evaluation, SLR impact assessment</t>
  </si>
  <si>
    <t>TopoDEM v1; SRTM; MERIT</t>
  </si>
  <si>
    <t>DTM; DSM; DSM/DTM</t>
  </si>
  <si>
    <t>Mekong Delta; 60° N to 56° S; 60° N to 56° S</t>
  </si>
  <si>
    <t>not documented but likely during re-measurement of Vietnam national levelling network 2001-2003, or 2009-2010 when Vietnam Department of Surveying and Mapping carried out GNSS observations on the levelling points (Dinh Toan Vu et al., 2020); 11/02/2000 to 22/02/2000; 11/02/2000 to 22/02/2000 (i.e. SRTM)</t>
  </si>
  <si>
    <t>not documented but likely derived from geodetic survey and photogrammetric data;  Synthetic Aperture Radar interferometry (dual antennas); SRTM with removal of tree heights</t>
  </si>
  <si>
    <t>MSL; Geoid</t>
  </si>
  <si>
    <r>
      <t xml:space="preserve">Hon Dau datum </t>
    </r>
    <r>
      <rPr>
        <b/>
        <sz val="11"/>
        <rFont val="Aptos Narrow"/>
        <family val="2"/>
        <scheme val="minor"/>
      </rPr>
      <t>(time of datum establishment not documented); EGM96; EGM96</t>
    </r>
  </si>
  <si>
    <t>0.16 m RMSE</t>
  </si>
  <si>
    <t>500; 500; 500</t>
  </si>
  <si>
    <t>this study resamples all datasets to 500 m</t>
  </si>
  <si>
    <t>https://doi.org/10.5194/hess-27-2257-2023</t>
  </si>
  <si>
    <t>Hydrology and Earth System Sciences</t>
  </si>
  <si>
    <t>Ayeyarwady Delta</t>
  </si>
  <si>
    <t>0-290 km</t>
  </si>
  <si>
    <t>AD-DEM; SRTM; ACE2; ASTER; AW3D30; TanDEM-X 12m; TanDEM-X 30m; Copernicus DEM; FABDEM; CoastalDEM v2.1; GLL-DTM v1; locally adjusted FABDEM</t>
  </si>
  <si>
    <t>DTM; DSM; DSM; DSM; DSM; DSM; DSM; DSM; nearly DTM; nearly DTM; DTM</t>
  </si>
  <si>
    <t>Ayeyarwady Delta, input elevation ≤ 10 m; 60° N to 56° S; 60° to 60° S; 83° N to 83° S; 80° N to 80° S; 90° N to 90° S; 90° N to 90° S; 90° N to 90° S; 90° N to 90° S;   60° N to 56° S; 90° N to 90° S</t>
  </si>
  <si>
    <t>26/01/2002 to 10/04/2004 (first order geodetic framework was conducted in 08/2000); 11/02/2000 to 22/02/2000; 03/1994 to 08/2002 (Topex Ku band), 04/1994 to 03/1995 (ERS-1),  08/2002 to 07/2005 (Envisat RA-2 Ku band), 08/2002 to 03/2004 (Jason-1 Ku band); 01/2000 to 30/11/2013; 24/01/2006 to 12/05/2011; 12/12/2010 to 16/01/2015; 12/12/2010 to 16/01/2015; 12/12/2010 to 16/01/2015 (source DEM); 12/12/2010 to 16/01/2015 (source DEM); 11/02/2000 to 22/02/2000 (source DEM); 14/10/2018 to 13/05/2020</t>
  </si>
  <si>
    <t>Aerial photography, levelling, GPS observations and aerial triangulation; Synthetic Aperture Radar interferometry (dual antennas); Correction of SRTM (and GLOBE for regions south of 56° S) by multi-mission satellite radar altimetry, canopy heights replaced by altimetry heights; Correlation of optical stereo near infrared imagery; Resampling AW3D (5m resolution, based on optical stereo panchromaticimagery) by applying average and medium methods; Bi-static Synthetic Aperture Radar interferometry (twin satellites); Bi-static Synthetic Aperture Radar interferometry (twin satellites); Correction of WorldDEM (based on TanDEM-X 12m) by filling voids with ASTER, SRTM90, SRTM30, GMTED2010, SRTM30plus, TerraSAR-X Radargrammetric DEM, AW3D30 and Norway DEM, Correction of Copernicus DEM GLO-30 by removing buildings and forest height bias through machine learning techniques; Correction of NASADEM by training with ICESat 2 satellite LiDAR data and using additional population and vegetation datasets in a neural network; Inverse distance interpolation of ICESat 2 satellite LiDAR data</t>
  </si>
  <si>
    <t>MDT (CNES-CLS18); MDT (CNES-CLS14; only for GLL-DTM v1)</t>
  </si>
  <si>
    <r>
      <t xml:space="preserve">for elevations </t>
    </r>
    <r>
      <rPr>
        <sz val="11"/>
        <rFont val="Aptos Narrow"/>
        <family val="2"/>
      </rPr>
      <t>≤</t>
    </r>
    <r>
      <rPr>
        <sz val="11"/>
        <rFont val="Calibri"/>
        <family val="2"/>
      </rPr>
      <t xml:space="preserve">10 m: </t>
    </r>
    <r>
      <rPr>
        <sz val="11"/>
        <rFont val="Aptos Narrow"/>
        <family val="2"/>
        <scheme val="minor"/>
      </rPr>
      <t>0.85 m RMSE; 3.87 m RMSE; 2.58 m RMSE; 6.08 m RMSE; 3.39 m RMSE; 3.26 m RMSE; 3.01 m RMSE; 2.39 m RMSE; 1.84 m RMSE; 1.79 m RMSE; 1.79 m RMSE</t>
    </r>
  </si>
  <si>
    <t>Everest 1830, Adjustment 1937; WGS84</t>
  </si>
  <si>
    <t>750; 30</t>
  </si>
  <si>
    <t>Free; Free (upon request)</t>
  </si>
  <si>
    <t>for accuracy assessment, this study resamples all datasets to 750 m</t>
  </si>
  <si>
    <t>https://doi.org/10.3178/hrl.14.136</t>
  </si>
  <si>
    <t>Hydrological Research Letters</t>
  </si>
  <si>
    <t>Use of high-resolution elevation data to assess the vulnerability of the Bangkok metropolitan area to sea level rise</t>
  </si>
  <si>
    <t>Bangkok</t>
  </si>
  <si>
    <t>LiDAR</t>
  </si>
  <si>
    <t>Interpolation of LiDAR survey data</t>
  </si>
  <si>
    <t>not documented which MSL</t>
  </si>
  <si>
    <t>0.25 m</t>
  </si>
  <si>
    <t>ITRF2008</t>
  </si>
  <si>
    <t>Not available</t>
  </si>
  <si>
    <t>https://doi.org/10.3390/w4030568</t>
  </si>
  <si>
    <t>Water</t>
  </si>
  <si>
    <t>Sensitivity of Coastal Flood Risk Assessments to Digital Elevation Models</t>
  </si>
  <si>
    <t>Lagos City</t>
  </si>
  <si>
    <t>DEM evaluation, Storm surge + SLR impact assessment</t>
  </si>
  <si>
    <t>LiDAR; ASTER; SRTM</t>
  </si>
  <si>
    <t>Lagos City; global</t>
  </si>
  <si>
    <t>05/2009; 01/03/2000 to 30/11/2013; 11/02/2000 to 22/02/2000</t>
  </si>
  <si>
    <t>Natural neighbour interpolation of plane LiDAR survey data; Correlation of optical stereo near-infrared imagery; Synthetic Aperture Radar interferometry (dual antennas)</t>
  </si>
  <si>
    <t>0.10 m RMSE; 11.3 m RMSE; 5.3 m RMSE</t>
  </si>
  <si>
    <t>5; 30; 90</t>
  </si>
  <si>
    <t>Not available; Free</t>
  </si>
  <si>
    <t>https://doi.org/10.1038/s41467-021-24008-9</t>
  </si>
  <si>
    <t>A global analysis of extreme coastal water levels with implications for potential coastal overtopping</t>
  </si>
  <si>
    <t>Provision of global-scale potential coastal overtopping estimates</t>
  </si>
  <si>
    <t>(CoastalDEM v1.1; MERIT DEM; SRTM; ASTER; TanDEM-X 90;) AW3D30</t>
  </si>
  <si>
    <t>(nearly DTM; DSM/DTM; DSM; DSM; DSM;) DSM</t>
  </si>
  <si>
    <t xml:space="preserve">(11/02/2000 to 22/02/2000 (i.e. SRTM); 11/02/2000 to 22/02/2000; 11/02/2000 to 22/02/2000; 01/2000 to 30/11/2013; 12/12/2010 to 16/01/2015;) 24/01/2006 to 12/05/2011 </t>
  </si>
  <si>
    <t>(Correction of SRTM by training with NOAA coastal lidar from the US and using additional population and vegetation datasets in a neural network; SRTM with removal of tree heights; Synthetic Aperture Radar interferometry (dual antennas); Correlation of optical stereo near infrared imagery; Bi-static Synthetic Aperture Radar interferometry (twin satellites);) Resampling AW3D (5m resolution, based on optical stereo panchromaticimagery) by applying average and medium methods</t>
  </si>
  <si>
    <r>
      <t xml:space="preserve">EGM96: </t>
    </r>
    <r>
      <rPr>
        <b/>
        <sz val="11"/>
        <rFont val="Aptos Narrow"/>
        <family val="2"/>
        <scheme val="minor"/>
      </rPr>
      <t>datum aligned with extreme coastal water levels (where sea-level anomaly is referenced to WGS84) but not explicitly documented which datum is used in the end</t>
    </r>
  </si>
  <si>
    <t>1.5-2.0 m (Average error for AW3D30 in the Netherlands and France)</t>
  </si>
  <si>
    <t>ITRF97</t>
  </si>
  <si>
    <t>https://doi.org/10.1007/s41064-024-00284-0</t>
  </si>
  <si>
    <t>PFG - Journal of Photogrammetry, Remote Sensing and Geoinformation Science</t>
  </si>
  <si>
    <t>Evaluating Sea Level Rise Impacts on the Southeastern Türkiye Coastline: a Coastal Vulnerability Perspective</t>
  </si>
  <si>
    <t>Mersin and Iskenderun Bays, Southeast Turkey</t>
  </si>
  <si>
    <t>Coastal vulnerability assessment (CVI) of the coast in SE-Turkey to natural forces and human-induced factors (including SLR)</t>
  </si>
  <si>
    <t>use of coastal slope than elevation itself; rather assessment of exposure than vulnerability</t>
  </si>
  <si>
    <t>https://doi.org/10.1007/s12665-021-10136-4</t>
  </si>
  <si>
    <t>Environmental Earth Sciences</t>
  </si>
  <si>
    <t>A preliminary assessment of coastal vulnerability for Ngazidja Island, Comoros Archipelago, Western Indian Ocean</t>
  </si>
  <si>
    <t>Ngazidja Island</t>
  </si>
  <si>
    <t>Coastal vulnerability assessment (CVI) for Ngazidja Island (including rSLR)</t>
  </si>
  <si>
    <t>rSLR information is based on satellite altimetry which actually does not indicate relative SLR</t>
  </si>
  <si>
    <t>https://doi.org/10.1007/s12665-015-4835-3</t>
  </si>
  <si>
    <t>Vulnerability assessment of the Saudi Arabian Red Sea coast to climate change</t>
  </si>
  <si>
    <t>Red Sea Coast of Saudi Arabia</t>
  </si>
  <si>
    <t>Impact assessment of SLR and global warming upon Red Sea coast using CVI</t>
  </si>
  <si>
    <t>elevation not considered in CVI but when discussing SLR impact</t>
  </si>
  <si>
    <t>https://doi.org/10.5194/nhess-19-353-2019</t>
  </si>
  <si>
    <t>Polder 48 (Kuakata), Bangladesh</t>
  </si>
  <si>
    <t>Investigation of the inundation pattern due to storm surges in a polder, identification of critical locations of dike breaches (including SLR in scenarios)</t>
  </si>
  <si>
    <t>IWM and FINNMAP DEM</t>
  </si>
  <si>
    <t>2012 (IWM), 1988 (FINNMAP)</t>
  </si>
  <si>
    <t>Interpolation of topographic survey data from IWM and FINNMAP while correcting FINNMAP data with average subsidence rate</t>
  </si>
  <si>
    <r>
      <t xml:space="preserve">Tidal; </t>
    </r>
    <r>
      <rPr>
        <b/>
        <sz val="11"/>
        <rFont val="Aptos Narrow"/>
        <family val="2"/>
        <scheme val="minor"/>
      </rPr>
      <t>not documented for bathymetry data</t>
    </r>
  </si>
  <si>
    <r>
      <t xml:space="preserve">PWD (Public Works Datum) (= MSL in Calcutta); </t>
    </r>
    <r>
      <rPr>
        <b/>
        <sz val="11"/>
        <rFont val="Aptos Narrow"/>
        <family val="2"/>
        <scheme val="minor"/>
      </rPr>
      <t>not documented for bathymetry data</t>
    </r>
  </si>
  <si>
    <t>https://doi.org/10.3390/w15223936</t>
  </si>
  <si>
    <t>Small Island City Flood Risk Assessment: The Case of Kingston, Jamaica</t>
  </si>
  <si>
    <t>Kingston, Jamaica</t>
  </si>
  <si>
    <t>Assessment of Kingston metropolitan pluvial and coastal flood risk (and also SLR)</t>
  </si>
  <si>
    <t>Ministry of Natural Resources and Environment (Vietnam)</t>
  </si>
  <si>
    <t>http://www.imh.ac.vn/files/doc/2017/CCS%20final.compressed.pdf</t>
  </si>
  <si>
    <t>Climate change and sea level rise scenarios for Viet Nam</t>
  </si>
  <si>
    <t>Vietnam</t>
  </si>
  <si>
    <t>Assessment of climate change and sea level rise in Vietnam</t>
  </si>
  <si>
    <t>DEMs based on topographic map data</t>
  </si>
  <si>
    <t>1:10,000 5 m x 5 m grid 19 coastal provinces from Quang Ninh to Binh Thuan 2012; 2 m x 2 m grid13 Mekong Delta provinces 2008; 1:2,000 1 m x 1 m grid LiDAR 2016; 1:2,000 Ho Chi Minh City 2010; 1:25,000 Red River and Central Coast provinces</t>
  </si>
  <si>
    <r>
      <rPr>
        <b/>
        <sz val="11"/>
        <rFont val="Aptos Narrow"/>
        <family val="2"/>
        <scheme val="minor"/>
      </rPr>
      <t>not documented</t>
    </r>
    <r>
      <rPr>
        <sz val="11"/>
        <rFont val="Aptos Narrow"/>
        <family val="2"/>
        <scheme val="minor"/>
      </rPr>
      <t xml:space="preserve"> (probably Tidal)</t>
    </r>
  </si>
  <si>
    <r>
      <rPr>
        <b/>
        <sz val="11"/>
        <rFont val="Aptos Narrow"/>
        <family val="2"/>
        <scheme val="minor"/>
      </rPr>
      <t>not documented</t>
    </r>
    <r>
      <rPr>
        <sz val="11"/>
        <rFont val="Aptos Narrow"/>
        <family val="2"/>
        <scheme val="minor"/>
      </rPr>
      <t xml:space="preserve"> (Hon Dau?)</t>
    </r>
  </si>
  <si>
    <t>2.5-5 m (1:10,000); 0.2-0.4 m (1:2,000 LiDAR)</t>
  </si>
  <si>
    <t xml:space="preserve">5; 2; 1; ; </t>
  </si>
  <si>
    <t>https://doi.org/10.3389/fmars.2022.1024111</t>
  </si>
  <si>
    <t>Frontiers in Marine Science</t>
  </si>
  <si>
    <t>Global-scale analysis of socioeconomic impacts of coastal flooding over the 21st century</t>
  </si>
  <si>
    <t>Determination of future expected annual people affected by projected extreme coastal flooding (including levels of coastal defences) and expected annual damage</t>
  </si>
  <si>
    <r>
      <t xml:space="preserve">EGM96; </t>
    </r>
    <r>
      <rPr>
        <b/>
        <sz val="11"/>
        <rFont val="Aptos Narrow"/>
        <family val="2"/>
        <scheme val="minor"/>
      </rPr>
      <t>MDT  (CNES-CLS13) outdated</t>
    </r>
  </si>
  <si>
    <t xml:space="preserve">Work builds on Kirezci et al. (2020): Instead of DEM, extreme sea level data is referenced to EGM96 using  outdated MDT.  As geoid offset was not considered here, the datums of extreme sea-level data and DEM do not match. </t>
  </si>
  <si>
    <t>https://doi.org/10.1038/ncomms11969</t>
  </si>
  <si>
    <t>A global reanalysis of storm surges and extreme sea levels</t>
  </si>
  <si>
    <t>Provision of global reanalysis of storm surges and extreme sea levels (GTSR dataset)</t>
  </si>
  <si>
    <t>https://doi.org/10.1073/pnas.1222469111</t>
  </si>
  <si>
    <t>PNAS</t>
  </si>
  <si>
    <t>Coastal flood damage and adaptation costs under 21st century sea-level rise</t>
  </si>
  <si>
    <t>Assessment of coastal flood damage and adaptation costs under 21st century sea-level rise</t>
  </si>
  <si>
    <t>GLOBE; SRTM</t>
  </si>
  <si>
    <t>DSM/DTM?; DSM</t>
  </si>
  <si>
    <t>90° N to 90° S; 60° N to 56° S</t>
  </si>
  <si>
    <t>1950s to 1998; 11/02/2000 to 22/02/2000</t>
  </si>
  <si>
    <t>Combination of 6 gridded DEMs and 5 cartographic sources; Synthetic Aperture Radar interferometry (dual antennas)</t>
  </si>
  <si>
    <r>
      <t>Tidal? (</t>
    </r>
    <r>
      <rPr>
        <b/>
        <sz val="11"/>
        <rFont val="Aptos Narrow"/>
        <family val="2"/>
        <scheme val="minor"/>
      </rPr>
      <t>due to different datums of source data, the DEM contains offsets</t>
    </r>
    <r>
      <rPr>
        <sz val="11"/>
        <rFont val="Aptos Narrow"/>
        <family val="2"/>
        <scheme val="minor"/>
      </rPr>
      <t>); Geoid</t>
    </r>
  </si>
  <si>
    <t>MSL?; EGM96</t>
  </si>
  <si>
    <r>
      <t xml:space="preserve">not documented </t>
    </r>
    <r>
      <rPr>
        <sz val="11"/>
        <rFont val="Aptos Narrow"/>
        <family val="2"/>
        <scheme val="minor"/>
      </rPr>
      <t>(WGS84; WGS84)</t>
    </r>
  </si>
  <si>
    <t>1000; 30</t>
  </si>
  <si>
    <t>https://doi.org/10.1038/s41558-018-0176-z</t>
  </si>
  <si>
    <t>The ability of societies to adapt to twenty-first-century sea-level rise</t>
  </si>
  <si>
    <t>Exploration of societies' abilities to adapt to 21st century SLR</t>
  </si>
  <si>
    <t>https://doi.org/10.1016/j.qsa.2024.100175</t>
  </si>
  <si>
    <t>Quaternary Science Advances</t>
  </si>
  <si>
    <t>Volta Delta</t>
  </si>
  <si>
    <t>Updating IPCC AR6 SLR projections by integrating local VLM data and RSLR impact assessment (including quantification of the contribution of land subsidence)</t>
  </si>
  <si>
    <t>DEM Ensemble from FABDEM and CoastalDEM v2.1</t>
  </si>
  <si>
    <t>3° N to 10° N; 5° W to 10 ° E</t>
  </si>
  <si>
    <t>12/12/2010 to 16/01/2015 (source TanDEM); 11/02/2000 to 22/02/2000 (i.e. SRTM)</t>
  </si>
  <si>
    <t>Correction of Copernicus DEM GLO-30 by removing buildings and forest height bias through machine learning techniques; Correction of NASADEM by training with ICESat 2 satellite LiDAR data and using additional population and vegetation datasets in a neural network; Calculation of average elevation from FABDEM and CoastalDEM v2.1</t>
  </si>
  <si>
    <t>1.13 m RMSE (compared to DEM Ensemble); 1.66 m RMSE (compared to DEM Ensemble); See Hauser et al., 2023</t>
  </si>
  <si>
    <t>https://doi.org/10.1038/s41586-024-07038-3</t>
  </si>
  <si>
    <t>Nature</t>
  </si>
  <si>
    <t>32 coastal cities at US coast</t>
  </si>
  <si>
    <t>Quantification of potential inundation in 32 major US coastal cities by RSLR</t>
  </si>
  <si>
    <t>LiDAR DEMs</t>
  </si>
  <si>
    <t>individual cities</t>
  </si>
  <si>
    <t>Interpolation of airborne LiDAR</t>
  </si>
  <si>
    <t>3 m; 5 m</t>
  </si>
  <si>
    <t>linear consideration of VLM</t>
  </si>
  <si>
    <t>https://doi.org/10.1371/journal.pone.0227436</t>
  </si>
  <si>
    <t>PLOS ONE</t>
  </si>
  <si>
    <t>Provision of a framework to examine future climate migration patterns and application to US</t>
  </si>
  <si>
    <t>USA</t>
  </si>
  <si>
    <t>MHHW (NAVD88, converted to MHHW via VDATUM)</t>
  </si>
  <si>
    <t>all information detailing DEM and datum characteristics given by referencing to Marcy et al. (2011)</t>
  </si>
  <si>
    <t>https://doi.org/10.1038/nclimate2961</t>
  </si>
  <si>
    <t>Millions projected to be at risk from sea-level rise in the continental United States</t>
  </si>
  <si>
    <t>National Elevation Dataset (NED) 10m; NED 3m</t>
  </si>
  <si>
    <t>DTM; DTM</t>
  </si>
  <si>
    <t>MHHW (conversion via VDATUM)</t>
  </si>
  <si>
    <t>10 m; 3.3 m</t>
  </si>
  <si>
    <t>https://doi.org/10.1038/s41467-020-18531-4</t>
  </si>
  <si>
    <t>Coastal flooding will disproportionately impact people on river deltas</t>
  </si>
  <si>
    <t>Deltas globally</t>
  </si>
  <si>
    <t>0-a few hundreds km</t>
  </si>
  <si>
    <t>Assessment of population exposure to coastal flooding</t>
  </si>
  <si>
    <t>GMTED2010</t>
  </si>
  <si>
    <t>SRTM supplemented by further DEMs and datasets</t>
  </si>
  <si>
    <t>30 arcsec</t>
  </si>
  <si>
    <t>https://doi.org/10.1088/1748-9326/abdc5b</t>
  </si>
  <si>
    <t>Environmental Research Letters</t>
  </si>
  <si>
    <t>Migration towards Bangladesh coastlines projected to increase with sea-level rise through 2100</t>
  </si>
  <si>
    <t>Bangladesh part of GBM Delta</t>
  </si>
  <si>
    <t>ca. 0-430 km</t>
  </si>
  <si>
    <t>Modelling of household migration decision-making under sea-level change</t>
  </si>
  <si>
    <t>how can SLR-induced migration be studied whithout providing any information about the underlying SLR impact assessment and elevation data used?</t>
  </si>
  <si>
    <t>https://doi.org/10.3390/su13073624</t>
  </si>
  <si>
    <t>Sustainability</t>
  </si>
  <si>
    <t>Vulnerability Assessment for Sea Level Rise Impacts on Coastal Systems of Gamasa Ras El Bar Area, Nile Delta, Egypt</t>
  </si>
  <si>
    <t>Gamasa Ras El Bar Area, Nile Delta, Egypt</t>
  </si>
  <si>
    <t xml:space="preserve">Vulnerability assessment to SLR impacts </t>
  </si>
  <si>
    <t>local DEM</t>
  </si>
  <si>
    <t>use of 59 surveyed hydrographic profiles perpendicular to shoreline</t>
  </si>
  <si>
    <t>1 cm (but without providing any reference or details)</t>
  </si>
  <si>
    <t>50 m</t>
  </si>
  <si>
    <t>Integration of linear subsidence as projection (but data is from 1992); rather exposure than vulnerability assessment</t>
  </si>
  <si>
    <t>https://doi.org/10.1029/2021GL093368</t>
  </si>
  <si>
    <t>Projections of Global Delta Land Loss From Sea-Level Rise in the 21st Century</t>
  </si>
  <si>
    <t>Global (6402 deltas)</t>
  </si>
  <si>
    <t>ca. 0-several hundreds km</t>
  </si>
  <si>
    <t>Modelling delta response to RSLR for 6402 deltas (86 % of global delta land) using global data of RSLR and river sediment supply</t>
  </si>
  <si>
    <t>SRTM15+</t>
  </si>
  <si>
    <r>
      <rPr>
        <b/>
        <sz val="11"/>
        <rFont val="Aptos Narrow"/>
        <family val="2"/>
        <scheme val="minor"/>
      </rPr>
      <t>not documented</t>
    </r>
    <r>
      <rPr>
        <sz val="11"/>
        <rFont val="Aptos Narrow"/>
        <family val="2"/>
        <scheme val="minor"/>
      </rPr>
      <t xml:space="preserve"> (likely EGM96)</t>
    </r>
  </si>
  <si>
    <t>500 m</t>
  </si>
  <si>
    <t>Technical details are included in the reference provided to Tozer et al. (2019)</t>
  </si>
  <si>
    <t>https://doi.org/10.1038/s41598-023-40329-9</t>
  </si>
  <si>
    <t>Assessing demographic and economic vulnerabilities to sea level rise in Bangladesh via a nighttime light-based cellular automata model</t>
  </si>
  <si>
    <t>Investigation of demographic repercussions and potential disruptions to economic clusters due toe SLR impact</t>
  </si>
  <si>
    <t>Extraction of 2.5 million KML points in Google Earth Pro and IDW interpolation to DEM</t>
  </si>
  <si>
    <t>30 m; 30 arcsec</t>
  </si>
  <si>
    <t>https://doi.org/10.3390/su7066553</t>
  </si>
  <si>
    <t>Risks of Coastal Storm Surge and the Effect of Sea Level Rise in the Red River Delta, Vietnam</t>
  </si>
  <si>
    <t>Red River Delta, Vietnam</t>
  </si>
  <si>
    <t>ca. 0-170 km</t>
  </si>
  <si>
    <t>Assessment of SLR and storm surge impact</t>
  </si>
  <si>
    <t>HydroSHEDS</t>
  </si>
  <si>
    <t>11/02/2000 to 22/02/2000 (for SRTM)</t>
  </si>
  <si>
    <t>combination of void-filled SRTM and HYDRO1k outside SRTM coverage</t>
  </si>
  <si>
    <t>30 m</t>
  </si>
  <si>
    <t>consideration of land subsidence by using MSL trend data of nearby Hon Dau PSMSL station but no consideration of rSLR since datum establishment of the DEM; datasets on elevation and population were downloaded in 2010</t>
  </si>
  <si>
    <t>https://doi.org/10.1007/s10584-013-0925-y</t>
  </si>
  <si>
    <t>Spatial variations of sea-level rise and impacts: An application of DIVA</t>
  </si>
  <si>
    <t>Impact assessment of 9 new patterned-scaled SLR scenarios</t>
  </si>
  <si>
    <r>
      <rPr>
        <b/>
        <sz val="11"/>
        <rFont val="Aptos Narrow"/>
        <family val="2"/>
        <scheme val="minor"/>
      </rPr>
      <t>not documented</t>
    </r>
    <r>
      <rPr>
        <sz val="11"/>
        <rFont val="Aptos Narrow"/>
        <family val="2"/>
        <scheme val="minor"/>
      </rPr>
      <t xml:space="preserve"> (Tidal? (</t>
    </r>
    <r>
      <rPr>
        <b/>
        <sz val="11"/>
        <rFont val="Aptos Narrow"/>
        <family val="2"/>
        <scheme val="minor"/>
      </rPr>
      <t>due to different datums of source data, the DEM contains offsets</t>
    </r>
    <r>
      <rPr>
        <sz val="11"/>
        <rFont val="Aptos Narrow"/>
        <family val="2"/>
        <scheme val="minor"/>
      </rPr>
      <t>; Geoid)</t>
    </r>
  </si>
  <si>
    <t>1000 m</t>
  </si>
  <si>
    <t>https://doi:10.1088/1748-9326/11/3/034010</t>
  </si>
  <si>
    <t>Over the hills and further away from coast: global geospatial patterns of human and environment over the 20th-21st centuries</t>
  </si>
  <si>
    <t>Assessment of global geospatial patterns of population distribution and related factors with respect to altitude above SL and proximity to the coast</t>
  </si>
  <si>
    <t>this study resamples all datasets to 2.5 arcmin</t>
  </si>
  <si>
    <t>https://doi.org/10.1002/2017EF000738</t>
  </si>
  <si>
    <t>Quantifying Land and People Exposed to Sea-Level Rise with No Mitigation and 1.5° and 2.0°C Rise in Global Temperatures to Year 2300</t>
  </si>
  <si>
    <t>Projection of land and population exposure in 1 in 100 yr coastal floodplain under SLR and population change</t>
  </si>
  <si>
    <t>1 m (by providing reference to Jarvis et al., 2008)</t>
  </si>
  <si>
    <t>90 m; 30 arcsec</t>
  </si>
  <si>
    <t>https://doi:10.1088/1748-9326/11/8/084003</t>
  </si>
  <si>
    <t>Spatially explicit global population scenarios consistent with the Shared Socioeconomic Pathways</t>
  </si>
  <si>
    <t>Provision of new global, spatially explicit population scenarios consistent with SSPs</t>
  </si>
  <si>
    <t>https://doi.org/10.1038/s41467-021-27260-1</t>
  </si>
  <si>
    <t>Assessing population exposure to coastal flooding due to sea level rise</t>
  </si>
  <si>
    <t>Application of spatio-temporal flood-modelling approach to assess annual probability of population exposure in the US</t>
  </si>
  <si>
    <t>airborne LiDAR DEMs, supplemented by USGS Northern Gulf of Mexico Topobathymetric DEM and USGS NED</t>
  </si>
  <si>
    <t>https://doi.org/10.5194/nhess-20-1025-2020</t>
  </si>
  <si>
    <t>Global-scale benefit-cost analysis of coastal flood adaptation to different flood risk drivers (SLR, subsidence, socio-economic change) using structural measures</t>
  </si>
  <si>
    <t>Provision of a framework to evaluate future benefits and costs of structural protection measures</t>
  </si>
  <si>
    <r>
      <t xml:space="preserve">EGM96: </t>
    </r>
    <r>
      <rPr>
        <b/>
        <sz val="11"/>
        <rFont val="Aptos Narrow"/>
        <family val="2"/>
        <scheme val="minor"/>
      </rPr>
      <t>spatially varying offset applied to align DEM with water-level data but not explicitly documented which datum is used in the end</t>
    </r>
  </si>
  <si>
    <t>No documentation, how datum conversion was conducted</t>
  </si>
  <si>
    <t>https://doi.org/10.3390/w13060774</t>
  </si>
  <si>
    <t>Unravelling the Importance of Uncertainties in Global-Scale Coastal Flood Risk Assessments under Sea Level Rise</t>
  </si>
  <si>
    <t>Application of DIVA modelling framework to explore impact of scenario, data and model uncertainties in global-scale coastal flood risk assessments under SLR</t>
  </si>
  <si>
    <t>90m</t>
  </si>
  <si>
    <t>https://doi.org/10.1371/journal.pone.0048191</t>
  </si>
  <si>
    <t>Uncertainties in Measuring Populations Potentially Impacted by Sea Level Rise and Coastal Flooding</t>
  </si>
  <si>
    <t xml:space="preserve">Quantification of population in LECZ and evaluation of uncertainties related to population datasets (LandScan vs. GRUMP) </t>
  </si>
  <si>
    <r>
      <rPr>
        <b/>
        <sz val="11"/>
        <rFont val="Aptos Narrow"/>
        <family val="2"/>
        <scheme val="minor"/>
      </rPr>
      <t>not documented</t>
    </r>
    <r>
      <rPr>
        <sz val="11"/>
        <rFont val="Aptos Narrow"/>
        <family val="2"/>
        <scheme val="minor"/>
      </rPr>
      <t xml:space="preserve"> (likely EGM96; </t>
    </r>
    <r>
      <rPr>
        <b/>
        <sz val="11"/>
        <rFont val="Aptos Narrow"/>
        <family val="2"/>
        <scheme val="minor"/>
      </rPr>
      <t>which MSL???</t>
    </r>
    <r>
      <rPr>
        <sz val="11"/>
        <rFont val="Aptos Narrow"/>
        <family val="2"/>
        <scheme val="minor"/>
      </rPr>
      <t>)</t>
    </r>
  </si>
  <si>
    <t>https://doi.org/10.3390/su12041513</t>
  </si>
  <si>
    <t>National-Scale Built-Environment Exposure to 100-Year Extreme Sea Levels and Sea-Level Rise</t>
  </si>
  <si>
    <t>New Zealand</t>
  </si>
  <si>
    <t>ca. 0-225 km</t>
  </si>
  <si>
    <t>First national-scale assessment of New Zealand's built-environment exposure to future coastal flooding (extreme sea levels due to MSL, storm tide, wave setup &amp; SLR)</t>
  </si>
  <si>
    <t>DEM composite of LiDAR DEMs supplemented with MERIT DEM</t>
  </si>
  <si>
    <t>DTM; DSM/DTM</t>
  </si>
  <si>
    <t>regional; 60° N to 56° S</t>
  </si>
  <si>
    <t xml:space="preserve"> ; 11/02/2000 to 22/02/2000</t>
  </si>
  <si>
    <t>Airborne LiDAR; SRTM with removal of tree heights</t>
  </si>
  <si>
    <r>
      <rPr>
        <sz val="11"/>
        <rFont val="Aptos Narrow"/>
        <family val="2"/>
        <scheme val="minor"/>
      </rPr>
      <t>0.05-0.25 m STDV; &gt;2 m</t>
    </r>
    <r>
      <rPr>
        <b/>
        <sz val="11"/>
        <rFont val="Aptos Narrow"/>
        <family val="2"/>
        <scheme val="minor"/>
      </rPr>
      <t xml:space="preserve"> (no reference provided)</t>
    </r>
  </si>
  <si>
    <t>10 m</t>
  </si>
  <si>
    <t>https://doi.org/10.1088/1748-9326/ac2e6b</t>
  </si>
  <si>
    <t>Unprecedented threats to cities from multi-century sea level rise</t>
  </si>
  <si>
    <t>SLR impact assessment for cities on a multi-century to multi-millennial timescale</t>
  </si>
  <si>
    <t>for details on processing, the authors referred to Kulp and Strauss (2019)</t>
  </si>
  <si>
    <t>https://doi.org/10.1007/s11852-018-0619-8</t>
  </si>
  <si>
    <t>Santa Catarina Island, Brazil</t>
  </si>
  <si>
    <t>Application of coastal sensitivity index (i.e. CVI) to assess coastal sensitivity and population exposure to SLR</t>
  </si>
  <si>
    <t>UTM 22S SIRGAS 2000</t>
  </si>
  <si>
    <t>use of elevation data to calculate slope to shoreline</t>
  </si>
  <si>
    <t>https://doi.org/10.1007/s10584-021-03130-z</t>
  </si>
  <si>
    <t>Global costs of protecting against sea-level rise at 1.5 to 4.0 °C</t>
  </si>
  <si>
    <t>Quantification of economic costs of flooding and protection due to SLR using DIVA framework based on 6 SLR scenarios</t>
  </si>
  <si>
    <t>https://doi.org/10.1016/j.ijdrr.2021.102612</t>
  </si>
  <si>
    <t>Cumulative building exposure to extreme sea level flooding in coastal urban areas</t>
  </si>
  <si>
    <t>20 major coastal urban areas in New Zealand</t>
  </si>
  <si>
    <t>Impact assessment of extreme sea levels by quantifying average annual building replacement value exposure</t>
  </si>
  <si>
    <t>regional</t>
  </si>
  <si>
    <t>Airborne LiDAR</t>
  </si>
  <si>
    <t>cm-scale (no reference provided)</t>
  </si>
  <si>
    <t>2 m</t>
  </si>
  <si>
    <t>DEM and datum information included in Paulik et al. (2020)</t>
  </si>
  <si>
    <t>https://doi.org/10.1088/1748-9326/abb266</t>
  </si>
  <si>
    <t>Sea level rise and coastal flooding threaten affordable housing</t>
  </si>
  <si>
    <t>Provision of first nationwide assessment of present and future risks to affordable housing from SLR and coastal flooding</t>
  </si>
  <si>
    <t>5 m ; 3 m (Louisiana and Norfolk); 1 m (Virginia)</t>
  </si>
  <si>
    <t>MHHW water levels were measured in National Tidal Datum Epoch 1983-2001</t>
  </si>
  <si>
    <t>https://doi.org/10.1007/s10584-021-03288-6</t>
  </si>
  <si>
    <t>Popular extreme sea level metrics can better communicate impacts</t>
  </si>
  <si>
    <t>414 global cities</t>
  </si>
  <si>
    <t>Contextualisation of hazards by using a simple flood exposure model, local SLR projections, and population exposure estimatesfor 414 global cities</t>
  </si>
  <si>
    <t>https://doi.org/10.1007/s44218-024-00041-1</t>
  </si>
  <si>
    <t>Anthropocene Coasts</t>
  </si>
  <si>
    <t>Sea-Level rise induced change in exposure of low-lying coastal land: implications for coastal conservation strategies</t>
  </si>
  <si>
    <t>French Coastlines protected by the French Conservatoire du littoral (Cdl)</t>
  </si>
  <si>
    <t>Exposure assessment of coastal land heritage to SLR</t>
  </si>
  <si>
    <t>National airborne LiDAR DEM</t>
  </si>
  <si>
    <t>France</t>
  </si>
  <si>
    <t>MHHW (Tellez-Arenas et al. 2018) calculated on top of MSL of 2000 to 2014</t>
  </si>
  <si>
    <t>0.2 m (no reference provided)</t>
  </si>
  <si>
    <t>RGF93 (Lambert 93)</t>
  </si>
  <si>
    <t>Incomplete documentation, how datum conversion of DEM (NGF-IGN1969 (MSL tide gauge Marseille in 1969) to MHHW was conducted (also not given in the reference Tellez-Arenaz et al. (2018) that was cited)</t>
  </si>
  <si>
    <t>https://doi.org/10.1038/s41558-022-01280-1</t>
  </si>
  <si>
    <t>African heritage sites threatened as sea-level rise accelerates</t>
  </si>
  <si>
    <t>heritage sites along African coast</t>
  </si>
  <si>
    <t>Assessment of exposure to coastal flooding and erosion under moderate (RCP 4.5) and high (RCP 8.5) GHG emission scenarios</t>
  </si>
  <si>
    <t>https://doi.org/10.3390/w12020360</t>
  </si>
  <si>
    <t>Coastal Vulnerability Assessment Due to Sea Level Rise: The Case Study of the Atlantic Coast of Mainland Portugal</t>
  </si>
  <si>
    <t>Atlantic Coast of Mainland Portugal</t>
  </si>
  <si>
    <t>ca. 0-60 km</t>
  </si>
  <si>
    <t>SLR exposure assessment</t>
  </si>
  <si>
    <t>Local DEM</t>
  </si>
  <si>
    <t>cartographic data obtained from aerial photogrammetry</t>
  </si>
  <si>
    <t>0.56 m (Antunes et al., 2019)</t>
  </si>
  <si>
    <t>PT-TM06/ETRS89</t>
  </si>
  <si>
    <t>20 (elevation points were 2 m spatial resolution)</t>
  </si>
  <si>
    <t>authors state assessment of vulnerability to SLR while it is exposure</t>
  </si>
  <si>
    <t>https://doi.org/10.1016/j.ocecoaman.2020.105512</t>
  </si>
  <si>
    <t>Ocean and Coastal Management</t>
  </si>
  <si>
    <t>How are European countries planning for sea level rise?</t>
  </si>
  <si>
    <t>32 European countries</t>
  </si>
  <si>
    <t>Assessment of SLR planning considerations by using online surveys</t>
  </si>
  <si>
    <t>not documented (likely EGM96)</t>
  </si>
  <si>
    <t>use of DEM only to characterise LECZ of European countries</t>
  </si>
  <si>
    <t>https://doi.org/10.1093/rfs/hhad041</t>
  </si>
  <si>
    <t>The Review of Financial Studies</t>
  </si>
  <si>
    <t>Sea-Level Rise Exposure and Municipal Bond Yields</t>
  </si>
  <si>
    <t>Quantification of economic SLR impact</t>
  </si>
  <si>
    <t>https://doi.org/10.3390/su12093697</t>
  </si>
  <si>
    <t>A Multi-Risk Methodology for the Assessment of Climate Change Impacts in Coastal Zones</t>
  </si>
  <si>
    <t>North Adriatic coast</t>
  </si>
  <si>
    <t>Multi-Hazard assessment (SLR, storm surge, coastal erosion)</t>
  </si>
  <si>
    <t>Regional DEMs</t>
  </si>
  <si>
    <t>DTM (?)</t>
  </si>
  <si>
    <t>Veneto Region, Friuli Venezia Guilia Region</t>
  </si>
  <si>
    <t>Veneto Region: 2005, 2007; Friuli Venezia Guilia Region: 2006</t>
  </si>
  <si>
    <t>interpolation from data of technical regional maps</t>
  </si>
  <si>
    <t>originally 5 and 10 m but converted to 25 m</t>
  </si>
  <si>
    <t>https://doi.org/10.1029/2020EF001614</t>
  </si>
  <si>
    <t>Shanghai</t>
  </si>
  <si>
    <t>ca. 0-96 km</t>
  </si>
  <si>
    <t>Quantification of effect of projected RSLR on dike failures and flood hazards in Shanghai</t>
  </si>
  <si>
    <t>photogrammetry, interpolation of 0.5 m interval contour lines</t>
  </si>
  <si>
    <r>
      <t>0.1 to 0.2 m (</t>
    </r>
    <r>
      <rPr>
        <b/>
        <sz val="11"/>
        <rFont val="Aptos Narrow"/>
        <family val="2"/>
        <scheme val="minor"/>
      </rPr>
      <t>no reference given</t>
    </r>
    <r>
      <rPr>
        <sz val="11"/>
        <rFont val="Aptos Narrow"/>
        <family val="2"/>
        <scheme val="minor"/>
      </rPr>
      <t>)</t>
    </r>
  </si>
  <si>
    <t>50 m; 5 m</t>
  </si>
  <si>
    <t>https://doi.org/10.3390/geosciences9050239</t>
  </si>
  <si>
    <t>Geosciences</t>
  </si>
  <si>
    <t>Coastal Flood Assessment due to Sea Level Rise and Extreme Storm Events: A Case Study of the Atlantic Coast of Portugal's Mainland</t>
  </si>
  <si>
    <t>Hazard assessment for different SLR scenarios for different extreme event return periods for 2025, 2050, and 2100</t>
  </si>
  <si>
    <t>Atlantic Coast of Mainland Portugal (513,400 ha)</t>
  </si>
  <si>
    <t>0.56 m</t>
  </si>
  <si>
    <t>https://doi.org/10.1126/science.adl4366</t>
  </si>
  <si>
    <t>A national-scale assessment of land subsidence in China's major cities</t>
  </si>
  <si>
    <t>China's major cities</t>
  </si>
  <si>
    <t>Assessment of land subsidence and RSLR in China's major cities</t>
  </si>
  <si>
    <t>DEM ensemble (i.e. median elevation from SRTM, Copernicus DEM, FABDEM, NASADEM, DiluviumDEM, MERIT-DEM, CoastalDEM v2.1, TanDEM-X and AW3D30</t>
  </si>
  <si>
    <t>DSM, DSM, nearly DTM, DSM, DSM, DSM/DTM, nearly DTM, DSM, DSM</t>
  </si>
  <si>
    <r>
      <t xml:space="preserve">CNES-MDT22 </t>
    </r>
    <r>
      <rPr>
        <b/>
        <sz val="11"/>
        <rFont val="Aptos Narrow"/>
        <family val="2"/>
        <scheme val="minor"/>
      </rPr>
      <t>(all DEMs converted to EGM96 first but no documentation whether geoid offset to MDT was considered)</t>
    </r>
  </si>
  <si>
    <r>
      <rPr>
        <b/>
        <sz val="11"/>
        <rFont val="Aptos Narrow"/>
        <family val="2"/>
        <scheme val="minor"/>
      </rPr>
      <t>not documented</t>
    </r>
    <r>
      <rPr>
        <sz val="11"/>
        <rFont val="Aptos Narrow"/>
        <family val="2"/>
        <scheme val="minor"/>
      </rPr>
      <t xml:space="preserve"> (WGS-UTM?)</t>
    </r>
  </si>
  <si>
    <t>not documented which resolution was finally used (30 or 90?)</t>
  </si>
  <si>
    <t>all DEMs converted to EGM96 first but no documentation whether geoid offset to MDT was considered</t>
  </si>
  <si>
    <t>https://doi.org/10.1016/j.scitotenv.2024.171204</t>
  </si>
  <si>
    <t>A novel flood risk management approach based on future climate and land use change scenarios</t>
  </si>
  <si>
    <t>Nhat Le-Kein Giang basin (in Quang Binh province)</t>
  </si>
  <si>
    <t>Provision of new approach to predict effects of climate change and LULC change on land which is exposed to flooding (by combining machine learning and hydraulic modeling)</t>
  </si>
  <si>
    <t>DTM?</t>
  </si>
  <si>
    <t>Nhat Le-Kien Giang watershed</t>
  </si>
  <si>
    <t>sourced from topographic maps (1:50,000) from the Ministry of Natural Resources and Environment</t>
  </si>
  <si>
    <t>10 (resampled? to 30 m)</t>
  </si>
  <si>
    <t>https://doi.org/10.1088/1748-9326/ab8ca6</t>
  </si>
  <si>
    <t>The effect of surge on riverine flood hazard and impact in deltas globally</t>
  </si>
  <si>
    <t>Global-scale assessment of joint influence of riverine and coastal drivers of flooding in deltas (including extreme water levels)</t>
  </si>
  <si>
    <t>https://doi.org/10.1016/j.scitotenv.2020.139899</t>
  </si>
  <si>
    <t>Guangzhou Metropolitan Area</t>
  </si>
  <si>
    <t>Application of scenario-based flood risk assessment (SLR, storm surge, land subsidence)</t>
  </si>
  <si>
    <t>30 (refined to 10 by including contour data)</t>
  </si>
  <si>
    <t>According to the authors, elevation data was enhanced to improve accuracy of flood prediction by creating 2 m contours and interpolating data to 10 m DEM (via TIN interpolation)</t>
  </si>
  <si>
    <t>https://doi.org/10.3390/w12082173</t>
  </si>
  <si>
    <t>Relative Sea-Level Rise and Potential Submersion Risk for 2100 on 16 Coastal Plains of the Mediterranean Sea</t>
  </si>
  <si>
    <t>16 coastal plains of the Mediterranean Sea (Fertilia, Valledoria, Orosei, Bastia, Marina di campo, Tronto, Sangro, Pescara, Lesina, Brindisi, Larnaka (Cyprus), Granelli, Kerkennah, Stagnone e saline di Marsala, Mallorca, Ibiza)</t>
  </si>
  <si>
    <t>LiDAR DEMs; Copernicus DEM; SRTM</t>
  </si>
  <si>
    <t>DTM; DTM; DSM</t>
  </si>
  <si>
    <t>local; 90° N to 90° S; 60° N to 56° S</t>
  </si>
  <si>
    <t>2008-2019; 12/12/2010 to 16/01/2015 (source TanDEM); 11/02/2000 to 22/02/2000</t>
  </si>
  <si>
    <t>UAV/airborne?; Correction WorldDEM (based on TanDEM-X 12 m) by filling voids with ASTER, SRTM90, SRTM30; GMTED2010, SRTM30plus, TerraSAR-X Radargrammetric DEM, AW3D30, and Norway DEM; Synthetic Aperture Radar interferometry (dual antennas)</t>
  </si>
  <si>
    <r>
      <rPr>
        <b/>
        <sz val="11"/>
        <rFont val="Aptos Narrow"/>
        <family val="2"/>
        <scheme val="minor"/>
      </rPr>
      <t>not documented</t>
    </r>
    <r>
      <rPr>
        <sz val="11"/>
        <rFont val="Aptos Narrow"/>
        <family val="2"/>
        <scheme val="minor"/>
      </rPr>
      <t xml:space="preserve"> (?; EGM2008?; EGM96?)</t>
    </r>
  </si>
  <si>
    <t>0.2 m; ?; ?</t>
  </si>
  <si>
    <t>UTM WGS854</t>
  </si>
  <si>
    <t>1, 2, 5; 25; 30</t>
  </si>
  <si>
    <t>Not documented; Free; Free</t>
  </si>
  <si>
    <t>https://doi.org/10.1007/978-3-030-76624-5_22</t>
  </si>
  <si>
    <t>Sustainability in Natural Resources Management and Land Planning</t>
  </si>
  <si>
    <t>Elevation Based Sea-Level Rise Impact Assessment for Sustainable Coastal Natural Resources Management and Coastal Adaptation Planning</t>
  </si>
  <si>
    <t>Pichavaram coastal mangrove region (Tamil Nadu, India)</t>
  </si>
  <si>
    <t>DEM-based SLR impact assessment to highlight relevance of DEM accuracy</t>
  </si>
  <si>
    <t>ASTER GDEM; SRTM; DGPS</t>
  </si>
  <si>
    <t>DSM; DSM; local terrain points</t>
  </si>
  <si>
    <t>83° N to 83° S; 60° N to 56° S; local</t>
  </si>
  <si>
    <t>01/03/2000 to 30/11/2013; 11/02/2000 to 22/02/2000; ?</t>
  </si>
  <si>
    <t>Correlation of optical stereo near-infrared imagery; Synthetic Aperture Radar interferometry (dual antennas); DGPS measurement</t>
  </si>
  <si>
    <r>
      <t xml:space="preserve">not entirely documented </t>
    </r>
    <r>
      <rPr>
        <sz val="11"/>
        <rFont val="Aptos Narrow"/>
        <family val="2"/>
        <scheme val="minor"/>
      </rPr>
      <t>(Geoid?; Tidal)</t>
    </r>
  </si>
  <si>
    <r>
      <rPr>
        <b/>
        <sz val="11"/>
        <rFont val="Aptos Narrow"/>
        <family val="2"/>
        <scheme val="minor"/>
      </rPr>
      <t>not entirely documented</t>
    </r>
    <r>
      <rPr>
        <sz val="11"/>
        <rFont val="Aptos Narrow"/>
        <family val="2"/>
        <scheme val="minor"/>
      </rPr>
      <t xml:space="preserve"> (EGM96?; EGM96?; MSL)</t>
    </r>
  </si>
  <si>
    <t>20 m; 10 m; &lt;1 m</t>
  </si>
  <si>
    <t>90; 90; 100</t>
  </si>
  <si>
    <t>Free; Free; not available (but not documented)</t>
  </si>
  <si>
    <t>https://doi.org/10.1016/j.ejar.2021.04.002</t>
  </si>
  <si>
    <t>Egyptian Journal of Aquatic Research</t>
  </si>
  <si>
    <t>Assessing coastal susceptibility to sea-level rise in Alexandria, Egypt</t>
  </si>
  <si>
    <t>Alexandria (Egypt)</t>
  </si>
  <si>
    <t>ca. 0-47 km</t>
  </si>
  <si>
    <t>SRTM; GMRT</t>
  </si>
  <si>
    <t>DSM; DSM/DTM</t>
  </si>
  <si>
    <t xml:space="preserve">Synthetic Aperture Radar interferometry (dual antennas); Integration of Ship-based multibeam swath bathymetry data, gridded seafloor depth data from international science community, US NED, ASTER, GEBCO, IBCAO and IBCSO </t>
  </si>
  <si>
    <r>
      <rPr>
        <b/>
        <sz val="11"/>
        <rFont val="Aptos Narrow"/>
        <family val="2"/>
        <scheme val="minor"/>
      </rPr>
      <t xml:space="preserve">diffusely documented </t>
    </r>
    <r>
      <rPr>
        <sz val="11"/>
        <rFont val="Aptos Narrow"/>
        <family val="2"/>
        <scheme val="minor"/>
      </rPr>
      <t xml:space="preserve">(Geoid or Ellipsoid?); </t>
    </r>
    <r>
      <rPr>
        <b/>
        <sz val="11"/>
        <rFont val="Aptos Narrow"/>
        <family val="2"/>
        <scheme val="minor"/>
      </rPr>
      <t>not documented</t>
    </r>
    <r>
      <rPr>
        <sz val="11"/>
        <rFont val="Aptos Narrow"/>
        <family val="2"/>
        <scheme val="minor"/>
      </rPr>
      <t xml:space="preserve"> (Geoid?)</t>
    </r>
  </si>
  <si>
    <r>
      <rPr>
        <b/>
        <sz val="11"/>
        <rFont val="Aptos Narrow"/>
        <family val="2"/>
        <scheme val="minor"/>
      </rPr>
      <t>diffusely documented</t>
    </r>
    <r>
      <rPr>
        <sz val="11"/>
        <rFont val="Aptos Narrow"/>
        <family val="2"/>
        <scheme val="minor"/>
      </rPr>
      <t xml:space="preserve"> (EGM96 or WGS84?); </t>
    </r>
    <r>
      <rPr>
        <b/>
        <sz val="11"/>
        <rFont val="Aptos Narrow"/>
        <family val="2"/>
        <scheme val="minor"/>
      </rPr>
      <t>not documented</t>
    </r>
    <r>
      <rPr>
        <sz val="11"/>
        <rFont val="Aptos Narrow"/>
        <family val="2"/>
        <scheme val="minor"/>
      </rPr>
      <t xml:space="preserve"> (EGM96?)</t>
    </r>
  </si>
  <si>
    <t>30; 10 to 30 on land</t>
  </si>
  <si>
    <t>https://doi.org/10.1016/j.jenvman.2022.117187</t>
  </si>
  <si>
    <t>Effects of climate change and sea-level rise on coastal habitat: Vulnerability assessment, adaptation strategies and policy recommendations</t>
  </si>
  <si>
    <t>Coastline of India (7° N to 24° N; 70° E to 94° E)</t>
  </si>
  <si>
    <t>Impact assessment of climate change and SLR on coastal habitat (using CVI)</t>
  </si>
  <si>
    <t>Local maps from National Hydrographic Office (Bathymetry and coastal slope)</t>
  </si>
  <si>
    <t>Local to regional?</t>
  </si>
  <si>
    <t>on request</t>
  </si>
  <si>
    <t>https://doi.org/10.1007/s12040-019-1184-8</t>
  </si>
  <si>
    <t>Journal of Earth System Science</t>
  </si>
  <si>
    <t>Projected changes of inundation of cyclonic storms in the Ganges-Brahmaputra-Meghna delta of Bangladesh due to SLR by 2100</t>
  </si>
  <si>
    <t>Ganges-Brahmaputra-Meghna Delta (Bay of Bengal)</t>
  </si>
  <si>
    <t>Assessment of potential changes in future inundation of storm surges due to SLR</t>
  </si>
  <si>
    <t>Integration of local DEM (FAP 19), Coastal polders boundary and elevation (CEIP-1 project of BWDB), GEBCO, and River bathymetry (BWDB, ESPA Delta Project of IWFM)</t>
  </si>
  <si>
    <t>Coastal areas</t>
  </si>
  <si>
    <t>300; variable; 30 arcsec; variable; variable</t>
  </si>
  <si>
    <t>bathymetry data is documented to be MSL but no further documentation whether all datasets refer to the same MSL and have been converted</t>
  </si>
  <si>
    <t>https://doi.org/10.1016/j.ijdrr.2019.101374</t>
  </si>
  <si>
    <t>Coastal vulnerability assessment of Meghna estuary of Bangladesh using integrated geospatial techniques</t>
  </si>
  <si>
    <t>Meghna Estuary (21°48' N to 22°52' N, 90°12' E to 91°40' E)</t>
  </si>
  <si>
    <t>Application of CVI to identify priority intervention areas</t>
  </si>
  <si>
    <t>ASTER GDEM</t>
  </si>
  <si>
    <t>01/03/2000 to 30/11/2013</t>
  </si>
  <si>
    <t>Correlation of optical stereo near-infrared imagery</t>
  </si>
  <si>
    <t>https://doi.org/10.1016/j.rsma.2024.103401</t>
  </si>
  <si>
    <t>Regional Studies in Marine Science</t>
  </si>
  <si>
    <t>Understanding the impact of climate-induced sea level rise on groundwater inundation in a low-lying coastal area: A numerical simulation in Southeast India</t>
  </si>
  <si>
    <t>Coastal part of Cuddalore District (S India; 11°45'33'' N to 11°20'58'' N, 79° 26'21'' E to 79° 48'48'' E)</t>
  </si>
  <si>
    <t>Assessment of potential impact of SLR-induced groundwater inundation</t>
  </si>
  <si>
    <r>
      <rPr>
        <b/>
        <sz val="11"/>
        <rFont val="Aptos Narrow"/>
        <family val="2"/>
        <scheme val="minor"/>
      </rPr>
      <t>not documented</t>
    </r>
    <r>
      <rPr>
        <sz val="11"/>
        <rFont val="Aptos Narrow"/>
        <family val="2"/>
        <scheme val="minor"/>
      </rPr>
      <t xml:space="preserve"> (30 or 90?)</t>
    </r>
  </si>
  <si>
    <t>https://doi.org/10.1016/j.csr.2020.104289</t>
  </si>
  <si>
    <t>Continental Shelf Research</t>
  </si>
  <si>
    <t>Sea level rise including tidal modulation along the coasts of Bengal delta</t>
  </si>
  <si>
    <t>ca. 0-287 km</t>
  </si>
  <si>
    <t>Assessment of SLR on tide (by using hydrodynamic modelling and SLR scenarios)</t>
  </si>
  <si>
    <t>SRTM (as appear in GEBCO 2014)</t>
  </si>
  <si>
    <t>250 m (as appear in GEBCO 2014 and according to model grid resolution)</t>
  </si>
  <si>
    <t>https://doi.org/10.1016/j.apgeog.2018.12.011</t>
  </si>
  <si>
    <t>Applied Geography</t>
  </si>
  <si>
    <t>Mapping of climate vulnerability of the coastal region of Bangladesh using principal component analysis</t>
  </si>
  <si>
    <t>Vulnerability assessment of coastal Bangladesh (by considering IPCC framework of vulnerability studies and using multivariate statistics)</t>
  </si>
  <si>
    <t>Local DEM (Institute of Water Modelling (IWM) 2014)</t>
  </si>
  <si>
    <r>
      <t xml:space="preserve">not documented </t>
    </r>
    <r>
      <rPr>
        <sz val="11"/>
        <rFont val="Aptos Narrow"/>
        <family val="2"/>
        <scheme val="minor"/>
      </rPr>
      <t>(coastal region?)</t>
    </r>
  </si>
  <si>
    <r>
      <t>not documented</t>
    </r>
    <r>
      <rPr>
        <sz val="11"/>
        <rFont val="Aptos Narrow"/>
        <family val="2"/>
        <scheme val="minor"/>
      </rPr>
      <t xml:space="preserve"> (2014?)</t>
    </r>
  </si>
  <si>
    <r>
      <t>not documented</t>
    </r>
    <r>
      <rPr>
        <sz val="11"/>
        <rFont val="Aptos Narrow"/>
        <family val="2"/>
        <scheme val="minor"/>
      </rPr>
      <t xml:space="preserve"> (topographic surveys?)</t>
    </r>
  </si>
  <si>
    <t>not available</t>
  </si>
  <si>
    <t>https://doi.org/10.1016/j.ecss.2015.05.035</t>
  </si>
  <si>
    <t>Estuarine, Coastal and Shelf Science</t>
  </si>
  <si>
    <t>Climate change impacts on rural poverty in low-elevation coastal zones</t>
  </si>
  <si>
    <t>Identification of LECZ populations and developing regions most vulnerable to SLR and other coastal hazards</t>
  </si>
  <si>
    <t>https://sealevel.climatecentral.org/uploads/ssrf/Report-Bangladesh.pdf</t>
  </si>
  <si>
    <t>Bangladesh and the Surging Sea: A vulnerability assessment with projections for sea level rise and coastal flood risk</t>
  </si>
  <si>
    <t>ca. 0-560 km</t>
  </si>
  <si>
    <t>Assessment of SLR and coastal flood exposure</t>
  </si>
  <si>
    <t>MHHW and MAM (MSS_CNES_CLS_11)</t>
  </si>
  <si>
    <t>https://doi.org/10.1016/j.ijdrr.2021.102084</t>
  </si>
  <si>
    <t>Coupling sea-level rise with tsunamis: Projected adverse impact of future tsunamis on Banda Aceh city, Indonesia</t>
  </si>
  <si>
    <t>Banda Aceh city</t>
  </si>
  <si>
    <t>Assessment of SLR and tsunami impact</t>
  </si>
  <si>
    <t>Local DEM (Banda Aceh Development and Planning Agency)</t>
  </si>
  <si>
    <r>
      <rPr>
        <b/>
        <sz val="11"/>
        <rFont val="Aptos Narrow"/>
        <family val="2"/>
        <scheme val="minor"/>
      </rPr>
      <t>not documented</t>
    </r>
    <r>
      <rPr>
        <sz val="11"/>
        <rFont val="Aptos Narrow"/>
        <family val="2"/>
        <scheme val="minor"/>
      </rPr>
      <t xml:space="preserve"> (Banda Aceh?)</t>
    </r>
  </si>
  <si>
    <t>measurements</t>
  </si>
  <si>
    <t>General Economics Division, Bangladesh Planning Commission</t>
  </si>
  <si>
    <t>https://plandiv.gov.bd/sites/default/files/files/plandiv.portal.gov.bd/files/2b2db593_2ebd_482e_a0e3_56a7bfe300c8/BDP%202100%20Volume%201%20Strategy.pdf</t>
  </si>
  <si>
    <t>Bangladesh Delta Plan 2100 - Volume I: Strategy</t>
  </si>
  <si>
    <t>Providing a long-term vision of delta development and integration of mid- to long-term aspirations to achieve upper middle income status and poverty elimination with sustainable management practices in context of disasters and climate change</t>
  </si>
  <si>
    <r>
      <t xml:space="preserve">not documented </t>
    </r>
    <r>
      <rPr>
        <sz val="11"/>
        <rFont val="Aptos Narrow"/>
        <family val="2"/>
        <scheme val="minor"/>
      </rPr>
      <t>(local DEM?)</t>
    </r>
  </si>
  <si>
    <t>Bangladesh Transverse Mercator, Gulshan 303</t>
  </si>
  <si>
    <t>Refers to CEGIS (2014) but that reference and data is not accessible</t>
  </si>
  <si>
    <t>https://www.questjournals.org/jrees/papers/vol2-issue8/A280108.pdf</t>
  </si>
  <si>
    <t>Jounral of Research in Environmental and Earth Science</t>
  </si>
  <si>
    <t>Vulnerability Of Coastal Communities In The Niger Delta Region To Sea Level Rise</t>
  </si>
  <si>
    <t>Niger Delta</t>
  </si>
  <si>
    <t>ca. 0-228 km</t>
  </si>
  <si>
    <t>SLR exposure assessment (by applying CVI)</t>
  </si>
  <si>
    <t>authors state vulnerability assessment while it is exposure</t>
  </si>
  <si>
    <t xml:space="preserve">https://doi.org/10.9734/ijecc/2020/v10i130174 </t>
  </si>
  <si>
    <t>International Journal of Environment and Climate Change</t>
  </si>
  <si>
    <t>Estimating Economic Impacts of Sea Level Rise in Florianopólis (Brazil) for the Year 2100</t>
  </si>
  <si>
    <t>Florianopólis (Brazil)</t>
  </si>
  <si>
    <t>Economic impact assessment of SLR for 2100</t>
  </si>
  <si>
    <t>local (Florianópolis)</t>
  </si>
  <si>
    <t>2010 to 2012</t>
  </si>
  <si>
    <t>aerophotogrammetric survey mapping</t>
  </si>
  <si>
    <t>SIRGAS2000</t>
  </si>
  <si>
    <t>https://doi.org/10.1007/s41208-023-00618-6</t>
  </si>
  <si>
    <t>Thalassas: An International Journal of Marine Sciences</t>
  </si>
  <si>
    <t>Mean Sea Level Trends Based on Tide Gauge Records and Their Possible Morhpological Effects on the Coastline of Southern Rio de Janeiro (SE Brazil)</t>
  </si>
  <si>
    <t>Marambaia barrier island and urban beaches of Macumba and Recreio-barra da Tijuca (Rio de Janeiro)</t>
  </si>
  <si>
    <t>ca. 0-2.6 km</t>
  </si>
  <si>
    <t>Analysis of MSL measurements, calculations of future MSL trends for 2100 and comparison with IPCC projesctions</t>
  </si>
  <si>
    <t>local (Rio de Janeiro)</t>
  </si>
  <si>
    <t>Topo to Raster grid interpolation of extracted topographic data from topographic maps (1:25,000)</t>
  </si>
  <si>
    <t>https://doi.org/10.1007/s10113-011-0249-2</t>
  </si>
  <si>
    <t>Sea-level rise impacts on Africa and the effects of mitigation and adaptation: an application of DIVA</t>
  </si>
  <si>
    <t>40 African coastal territories</t>
  </si>
  <si>
    <t>SLR impact assessmentat continental and national scales (including mitigation and adaptation measures, 4 global mean SLR  scenarios for 1995-2100)</t>
  </si>
  <si>
    <r>
      <rPr>
        <b/>
        <sz val="11"/>
        <rFont val="Aptos Narrow"/>
        <family val="2"/>
        <scheme val="minor"/>
      </rPr>
      <t>not documented</t>
    </r>
    <r>
      <rPr>
        <sz val="11"/>
        <rFont val="Aptos Narrow"/>
        <family val="2"/>
        <scheme val="minor"/>
      </rPr>
      <t xml:space="preserve"> (GLOBE? SRTM?)</t>
    </r>
  </si>
  <si>
    <r>
      <rPr>
        <b/>
        <sz val="11"/>
        <rFont val="Aptos Narrow"/>
        <family val="2"/>
        <scheme val="minor"/>
      </rPr>
      <t>not documented</t>
    </r>
    <r>
      <rPr>
        <sz val="11"/>
        <rFont val="Aptos Narrow"/>
        <family val="2"/>
        <scheme val="minor"/>
      </rPr>
      <t xml:space="preserve"> (Tidal? (</t>
    </r>
    <r>
      <rPr>
        <b/>
        <sz val="11"/>
        <rFont val="Aptos Narrow"/>
        <family val="2"/>
        <scheme val="minor"/>
      </rPr>
      <t>due to different datums of source data, the DEM contains offsets</t>
    </r>
    <r>
      <rPr>
        <sz val="11"/>
        <rFont val="Aptos Narrow"/>
        <family val="2"/>
        <scheme val="minor"/>
      </rPr>
      <t>); Geoid?)</t>
    </r>
  </si>
  <si>
    <t>elevation not explicitly documented but considered by taking parameters from DINAS-COAST database (Vafeidis et al., 2008); outdated</t>
  </si>
  <si>
    <t>ICHARM</t>
  </si>
  <si>
    <t>https://www.adb.org/sites/default/files/project-documents/46496/46496-001-tacr-en_0.pdf</t>
  </si>
  <si>
    <t>Republic of the Union of Myanmar: Transformation of Urban Management – Flood Management Component</t>
  </si>
  <si>
    <t>Myanmar</t>
  </si>
  <si>
    <t>Flood and storm surge risk assessment</t>
  </si>
  <si>
    <t>AW3D</t>
  </si>
  <si>
    <t>based on optical stereo panchromatic imagery) by applying average and medium methods</t>
  </si>
  <si>
    <r>
      <rPr>
        <sz val="11"/>
        <rFont val="Aptos Narrow"/>
        <family val="2"/>
        <scheme val="minor"/>
      </rPr>
      <t xml:space="preserve">1 m </t>
    </r>
    <r>
      <rPr>
        <b/>
        <sz val="11"/>
        <rFont val="Aptos Narrow"/>
        <family val="2"/>
        <scheme val="minor"/>
      </rPr>
      <t>(no reference given)</t>
    </r>
  </si>
  <si>
    <t>restricted</t>
  </si>
  <si>
    <t>https://doi.org/10.1038/s41467-022-30727-4</t>
  </si>
  <si>
    <t>Flood exposure and poverty in 188 countries</t>
  </si>
  <si>
    <t>188 countries</t>
  </si>
  <si>
    <t>Assessment of population to high flood risks in interaction with poverty</t>
  </si>
  <si>
    <t>https://doi.org/10.3389/fbuil.2021.752599</t>
  </si>
  <si>
    <t>Frontiers in Built Environment</t>
  </si>
  <si>
    <t>Impact Assessment of Storm Surge and Climate Change-Enhanced Sea Level Rise on Atoll Nations: A Case Study of the Tarawa Atoll, Kiribati</t>
  </si>
  <si>
    <t>Tarawa Atoll (Kiribati)</t>
  </si>
  <si>
    <t>ca. 0-1.6 km</t>
  </si>
  <si>
    <t>Assessment of climate-induced storm surge and SLR compounding effects</t>
  </si>
  <si>
    <t>https://doi.org/10.1038/s41893-023-01230-5</t>
  </si>
  <si>
    <t>Nature Sustainability</t>
  </si>
  <si>
    <t>Small Island Developing States under threat by rising seas even in a 1.5 °C warming world</t>
  </si>
  <si>
    <t>coastlines of Small Island Developing States worldwide</t>
  </si>
  <si>
    <t>Assessment of future flood risk from SLR and episodic sea-level extremes</t>
  </si>
  <si>
    <t>DeltaDTM v1</t>
  </si>
  <si>
    <t>Correction of Copernicus DEM by integrating spaceborne LiDAR from ICESat-2 and GEDI missions, removal of non-terrain cells and void filling using interpolation</t>
  </si>
  <si>
    <t>https://doi.org/10.1038/s41598-021-98428-4</t>
  </si>
  <si>
    <t>Coastal subsidence increases vulnerability to sea level rise over twenty first century in Cartagena, Carribean Colombia</t>
  </si>
  <si>
    <t>Cartagena, Carribean Colombia</t>
  </si>
  <si>
    <t>ca. 0-11 km</t>
  </si>
  <si>
    <t>Impact assessment of RSLR and influence of VLM</t>
  </si>
  <si>
    <t>authors call exposure "vulnerability"</t>
  </si>
  <si>
    <t>https://doi.org/10.1080/10807039.2019.1602752</t>
  </si>
  <si>
    <t>Human and Ecological Risk Assessment: An International Journal</t>
  </si>
  <si>
    <t>Mapping and analysis of the physical vulnerability of coastal Tamil Nadu</t>
  </si>
  <si>
    <t>Coastal districts of Tamil Nadu (E coast of India)</t>
  </si>
  <si>
    <t>Assessment of coastal vulnerability (by using CVI)</t>
  </si>
  <si>
    <t>authors call exposure "physical vulnerability"</t>
  </si>
  <si>
    <t>https://doi.org/10.20944/preprints202403.1468.v1</t>
  </si>
  <si>
    <t>Preprints</t>
  </si>
  <si>
    <t>The Potential Impact of Rising Sea Levels and Subsidence on Coastal Flooding along the Northern Coast of Saint-Louis, Senegal</t>
  </si>
  <si>
    <t>Saint Louis Delta</t>
  </si>
  <si>
    <t>Impact assessment of subsidence and SLR on coastal flooding (by producing vulnerability map)</t>
  </si>
  <si>
    <t>ACE 2</t>
  </si>
  <si>
    <t>60° N to 60° S</t>
  </si>
  <si>
    <t>03/1994 to 08/2002 (Topex Ku band); 04/1994 to 03/1995 (ERS-1); 08/2002 to 07/2005 (Envisat RA-2 Ku band); 08/2002 to 03/2004 (Jason-1 Ku band)</t>
  </si>
  <si>
    <t>Correction of SRTM (and GLOBE for regions south of 56° S) by multi-mission satellite radar altimetry; canopy heights replaced by altimetry heights</t>
  </si>
  <si>
    <t>no documentation about datum conversion from EGM96 to WGS84; authors document to provide vulnerability map while it is exposure</t>
  </si>
  <si>
    <t>https://doi.org/10.1007/s11852-023-00952-0</t>
  </si>
  <si>
    <t>Impact assessment of land subsidence on RSLR</t>
  </si>
  <si>
    <t>no documentation about datum conversion from EGM96 to WGS84; authors use a single regional average land subsidence to include into SLR rates instead of the whole VLM pattern</t>
  </si>
  <si>
    <t>https://doi.org/10.5194/nhess-2024-107</t>
  </si>
  <si>
    <t>Assessment of coastal inundation triggered by multiple drivers in Ca Mau Peninsula, Vietnam</t>
  </si>
  <si>
    <t>Ca Mau Peninsula (including Mekong Delta)</t>
  </si>
  <si>
    <t>Evaluation of flood dynamics to represent anthropogenic and climate change compound scenarios by using a 1D hydrodynamic model</t>
  </si>
  <si>
    <t>Local DEM (Ministry of Natural Resources and Environment (MONRE))</t>
  </si>
  <si>
    <r>
      <rPr>
        <b/>
        <sz val="11"/>
        <rFont val="Aptos Narrow"/>
        <family val="2"/>
        <scheme val="minor"/>
      </rPr>
      <t>not documented</t>
    </r>
    <r>
      <rPr>
        <sz val="11"/>
        <rFont val="Aptos Narrow"/>
        <family val="2"/>
        <scheme val="minor"/>
      </rPr>
      <t xml:space="preserve"> (airborne LiDAR?)</t>
    </r>
  </si>
  <si>
    <r>
      <t xml:space="preserve">Hon Dau datum </t>
    </r>
    <r>
      <rPr>
        <b/>
        <sz val="11"/>
        <rFont val="Aptos Narrow"/>
        <family val="2"/>
        <scheme val="minor"/>
      </rPr>
      <t>(time of datum establishment not documented)</t>
    </r>
  </si>
  <si>
    <t>no documentation about time of datum establishment as well as whether SLR since then was considered</t>
  </si>
  <si>
    <t>https://doi.org/10.1007/s43621-024-00323-1</t>
  </si>
  <si>
    <t>Discover Sustainability</t>
  </si>
  <si>
    <t>Unravelling the economic impact of climate change in Vietnam's Mekong River Delta and Southeast region</t>
  </si>
  <si>
    <t>Mekong Delta and SE region</t>
  </si>
  <si>
    <t>Assessment and comparison of the influence of climate change elements on economic trajectories (by using quantitative analysis)</t>
  </si>
  <si>
    <t>no usage of any elevation data documented</t>
  </si>
  <si>
    <t>https://doi.org/10.3390/su14042097</t>
  </si>
  <si>
    <t>Coastal Vulnerability Assessment: A Case Study of the Nigerian Coastline</t>
  </si>
  <si>
    <t>Shoreline of the Niger Delta (4° 10' N to 6° 20' N, 2° 45' E to 8° 32' E)</t>
  </si>
  <si>
    <t>Coastal vulnerability assessment (by applying CVI)</t>
  </si>
  <si>
    <t>datum offset between global elevation and local bathymetry data seems not to be considered; authors state assessment of vulnerability while it is exposure</t>
  </si>
  <si>
    <t>https://doi.org/10.1016/j.scitotenv.2023.168799</t>
  </si>
  <si>
    <t>Future sea level rise exacerbates compound floods induced by rainstorm and storm tide during super typhoon events: A case study from Zhuhai, China</t>
  </si>
  <si>
    <t>Northern Hengqin Island (Zhuhai City, Pearl River Estuary, China)</t>
  </si>
  <si>
    <t>Provision of modelling framework integrating atmospheric, storm tide and urban flood models to characterise processes related to compound flooding (including SLR projections under various socioeconomic and respective concentration pathway emission scenarios)</t>
  </si>
  <si>
    <t>Local DEM (Natural Resources Bureau and Water Authority of Zhuahi)</t>
  </si>
  <si>
    <t>Northern Hengqin Island</t>
  </si>
  <si>
    <t xml:space="preserve">bathymetry data (i.e. GEBCO) and storm tide data were converted to MSL but no documentation about the datum conversion and the vertical datum of the elevation data </t>
  </si>
  <si>
    <t>https://doi.org/10.3390/rs16050865</t>
  </si>
  <si>
    <t>Sea Level Rise, Land Subsidence, and Flood Disaster Vulnerability Assessment: A Case Study in Medan City, Indonesia</t>
  </si>
  <si>
    <t>Medan City, Indonesia (3° 39' S to 3° 53' S, 98° 38' to 98° 58' E)</t>
  </si>
  <si>
    <t>Multi-criteria analysis, AHP-based weighting and spatial modelling of flood vulnerability in GIS</t>
  </si>
  <si>
    <t>Local elevation data</t>
  </si>
  <si>
    <t>Medan City</t>
  </si>
  <si>
    <t>09/2016, 09/2022, 10/2023</t>
  </si>
  <si>
    <t>field survey to measure coastal slope by water-level device, and benchmark point height</t>
  </si>
  <si>
    <t>authors state flood disaster vulnerability assessment while it is exposure assessment and "flood disaster vulnerability" is an incorrect term</t>
  </si>
  <si>
    <t>https://doi.org/10.1038/s41893-022-00947-z</t>
  </si>
  <si>
    <t>Sea-level rise from land subsidence in majore coastal cities</t>
  </si>
  <si>
    <t>48 largest coastal cities in the world</t>
  </si>
  <si>
    <t>Provision of land subsidence rates and RSLR impact assessment</t>
  </si>
  <si>
    <t>outdated DEM; authors state vulnerability to land subsidence while it is exposure</t>
  </si>
  <si>
    <t>https://doi.org/10.1016/j.ocecoaman.2019.105077</t>
  </si>
  <si>
    <t>An indicator-based approach to assess social vulnerability of coastal areas to sea-level rise and flooding: A case study of Bandar Abbas city, Iran</t>
  </si>
  <si>
    <t>Bandar Abbas City (Southern coast of Iran, 27° 9' N to 27° 15' N, 56° 12' E to 56° 24' E)</t>
  </si>
  <si>
    <t>Assessment of social vulnerability to SLR and flooding (by applying SoVI and AHP)</t>
  </si>
  <si>
    <t>ALOS PALSAR</t>
  </si>
  <si>
    <t>24/01/2006 to 12/05/2022</t>
  </si>
  <si>
    <t>Correction of SRTM, NED1, NED2, and NED3 by integration of ALOS PALSAR imagery</t>
  </si>
  <si>
    <t>https://doi.org/10.1088/2515-7620/acfdfa</t>
  </si>
  <si>
    <t>Environmental Research Communications</t>
  </si>
  <si>
    <r>
      <t>Assessing potential coastal flood exposure along the Port-Bou</t>
    </r>
    <r>
      <rPr>
        <sz val="11"/>
        <rFont val="Aptos Narrow"/>
        <family val="2"/>
      </rPr>
      <t>ë</t>
    </r>
    <r>
      <rPr>
        <sz val="11"/>
        <rFont val="Calibri"/>
        <family val="2"/>
      </rPr>
      <t>t Bay in C</t>
    </r>
    <r>
      <rPr>
        <sz val="11"/>
        <rFont val="Aptos Narrow"/>
        <family val="2"/>
      </rPr>
      <t>ô</t>
    </r>
    <r>
      <rPr>
        <sz val="11"/>
        <rFont val="Calibri"/>
        <family val="2"/>
      </rPr>
      <t>te d'Ivoire using the enhanced bathtub model</t>
    </r>
  </si>
  <si>
    <r>
      <t>Port-Bou</t>
    </r>
    <r>
      <rPr>
        <sz val="11"/>
        <rFont val="Aptos Narrow"/>
        <family val="2"/>
      </rPr>
      <t>ë</t>
    </r>
    <r>
      <rPr>
        <sz val="11"/>
        <rFont val="Calibri"/>
        <family val="2"/>
      </rPr>
      <t>t Bay area (SE of C</t>
    </r>
    <r>
      <rPr>
        <sz val="11"/>
        <rFont val="Aptos Narrow"/>
        <family val="2"/>
      </rPr>
      <t>ô</t>
    </r>
    <r>
      <rPr>
        <sz val="11"/>
        <rFont val="Calibri"/>
        <family val="2"/>
      </rPr>
      <t>te d'Ivoire; 5.248° N to 5.280° N, 4.022° W to 4.952° W)</t>
    </r>
  </si>
  <si>
    <t>ca. 0-2.5 km</t>
  </si>
  <si>
    <t>Mapping of present and future flood extent (by enhanced bathtub model) and exposure assessment of population, buildings and land uses</t>
  </si>
  <si>
    <t>Local DEM (JICA, 2015)</t>
  </si>
  <si>
    <t>Port-Bouët Bay area</t>
  </si>
  <si>
    <t>931 measurement points at 11-12 m2 resolution, supplemented by coarser dataset</t>
  </si>
  <si>
    <r>
      <t xml:space="preserve">MSL Abidjan </t>
    </r>
    <r>
      <rPr>
        <b/>
        <sz val="11"/>
        <rFont val="Aptos Narrow"/>
        <family val="2"/>
        <scheme val="minor"/>
      </rPr>
      <t>(no information about datum establishment)</t>
    </r>
  </si>
  <si>
    <t>no information about vertical datum establishment</t>
  </si>
  <si>
    <t>https://doi.org/10.3390/w13111518</t>
  </si>
  <si>
    <t>Flood Inundation Analysis in Penang Island (Malaysia) Based on InSAR Maps of Land Subsidence and Local Sea Level Scenarios</t>
  </si>
  <si>
    <t>Penang Island, Malaysia</t>
  </si>
  <si>
    <t>RSLR impact assessment by modelling local land subsidence</t>
  </si>
  <si>
    <r>
      <t xml:space="preserve">CoastalDEM </t>
    </r>
    <r>
      <rPr>
        <b/>
        <sz val="11"/>
        <rFont val="Aptos Narrow"/>
        <family val="2"/>
        <scheme val="minor"/>
      </rPr>
      <t>(most likely v1.1 but no unequivocal documentation)</t>
    </r>
  </si>
  <si>
    <t>unequivoal documentation on DEM version is missing; no reference on DEM dataset cited</t>
  </si>
  <si>
    <t>https://doi.org/10.1007/s10113-022-01925-z</t>
  </si>
  <si>
    <t>Southern part of the Mekong Delta, Vietnam (8° 33' N to 8°50' N, 104° 43' E to 105° 18' E)</t>
  </si>
  <si>
    <t>ca. 0-30.5 km</t>
  </si>
  <si>
    <t>Investigation of potential changes in mangrove distribution in response to future SLR scenarios in coastal area in south of Mekong Delta (using the Sea Level Affects Marshes Model (SLAMM))</t>
  </si>
  <si>
    <t>Local DEM (MONRE, 2008)</t>
  </si>
  <si>
    <t xml:space="preserve">Interpolation of survey points and elevation points and contour lines of topographicyl maps (acquired from photogrammetric data and geodetic survey) </t>
  </si>
  <si>
    <r>
      <t xml:space="preserve">MSL Hon Dau </t>
    </r>
    <r>
      <rPr>
        <b/>
        <sz val="11"/>
        <rFont val="Aptos Narrow"/>
        <family val="2"/>
        <scheme val="minor"/>
      </rPr>
      <t>(time of datum establishment not documented)</t>
    </r>
  </si>
  <si>
    <t>&lt; 1 m (Trần et al., 2016; Minderhoud et al., 2019)</t>
  </si>
  <si>
    <t>5 (resampled to 15)</t>
  </si>
  <si>
    <t>time of datum establishment not documented</t>
  </si>
  <si>
    <t>Al-Nasrawi, A.K.M., Kadhim, A.A., Shortridge, A.M., Jones, B.G.</t>
  </si>
  <si>
    <t>Gesch, D.B.</t>
  </si>
  <si>
    <t>Hauser, L., Boni, R., Minderhoud, P.S.J., Teatini, P., Woillez, M.-N., Almar, R., Avornyo, S.Y., Appeaning Addo, K.</t>
  </si>
  <si>
    <t>Hooijer, A., Vernimmen, R.</t>
  </si>
  <si>
    <t>Kulp, S.A., Strauss, B.H.</t>
  </si>
  <si>
    <t>Minderhoud, P.S.J., Coumou, L., Erkens, G., Middelkoop, H., Stouthamer, E.</t>
  </si>
  <si>
    <t>Seeger, K., Minderhoud, P.S.J., Peffeköver, A., Vogel, A., Brückner, H., Kraas, F., Nay Win Oo, Brill, D.</t>
  </si>
  <si>
    <t>Tebakari, T.</t>
  </si>
  <si>
    <t>Van de Sande, B., Lansen, J., Hoyng, C.</t>
  </si>
  <si>
    <t>Almar, R., Ranasinghe, R., Bergsma, E.W.J., Diaz, H., Melet, A., Papa, F., Vousdoukas, M., Athanasiou, P., Dada, O., Almeida, L.P., Kestenare, E.</t>
  </si>
  <si>
    <t>Aykut, F., Tezcan, D.</t>
  </si>
  <si>
    <t>Mahamoud, A., Gzam, M., Ahmed Mohamed, N., Soulé, H.H., Montacer, M.</t>
  </si>
  <si>
    <t>Islam, M.F., Bhattacharya, B., Popescu, I.</t>
  </si>
  <si>
    <t>Rivosecchi, A., Singh, M.</t>
  </si>
  <si>
    <t>Kirezci, E., Young, I.R., Ranasinghe, R., Lincke, D., Hinkel, J.</t>
  </si>
  <si>
    <t>Muis, S., Verlaan, M., Winsemius, H.C., Aerts, J.C.J.H., Ward, P.J.</t>
  </si>
  <si>
    <t>Hinkel, J., Lincke, D., Vafeidis, A.T., Perrette, M., Nicholls, R.J., Tol, R.S.J., Marzeion, B., Fettweis, X., Ionescu, C., Levermann, A.</t>
  </si>
  <si>
    <t>Hinkel, J., Aerts, J.C.J.H., Brown, S., Jiménez, J.A., Lincke, D., Nicholls, R.J., Scussolini, P., Sanchez-Arcilla, A., Vafeidis, A., Addo, K.A.</t>
  </si>
  <si>
    <t>Avornyo, S.Y., Minderhoud, P.S.J., Teatini, P., Seeger, K., Hauser, L.T., Woillez, M.-N., Jayson-Quashigah, P.-N., Mahu, E., Kwame-Biney, M., Appeaning Addo, K.</t>
  </si>
  <si>
    <t>Ohenhen, L.O., Shirzaei, M., Ojha, C., Sherpa, S.F., Nicholls, R.J.</t>
  </si>
  <si>
    <t>Robinson, C., Dilkina, B., Moreno-Cruz, J.</t>
  </si>
  <si>
    <t>Hauer, M.E., Evans, J.M., Mishra, D.R.</t>
  </si>
  <si>
    <t>Edmonds, D.A., Caldwell, R.L., Brondizio, E.S., Siani, S.M.O.</t>
  </si>
  <si>
    <t>Bell, A.R., Wrathall, D.J., Mueller, V., Chen, J., Oppenheimer, M., Hauer, M., Adams, H., Kulp, S., Clark, P.U., Fussell, E., Magliocca, N., Xiao, T., Gilmore, E.A., Abel, K., Call, M., Slangen, A.B.A.</t>
  </si>
  <si>
    <t>Elshinnawy, I.A., Almaliki, A.H.</t>
  </si>
  <si>
    <t>Nienhuis, J.H., van de Wal, R.S.W.</t>
  </si>
  <si>
    <t>Mitra, B., Rahman, S.M., Uddin, M.S., Mahmud, K., Islam, M.K., Arifuzzaman, M., Hafizur Rahman, M.M., Rahman, M.M.</t>
  </si>
  <si>
    <t>Neumann, J.E., Emanuel, K.A., Ravela, S., Ludwig, L.C., Verly, C.</t>
  </si>
  <si>
    <t>Brown, S., Nicholls, R.J., Lowe, J.A., Hinkel, J.</t>
  </si>
  <si>
    <t>Kummu, M., de Moel, H., Salvucci, G., Viviroli, D., Ward, P.J., Varis, O.</t>
  </si>
  <si>
    <t>Brown, S., Nicholls, R.J., Goodwin, P., Haigh, I.D., Lincke, D., Vafeidis, A.T., Hinkel, J.</t>
  </si>
  <si>
    <t>Jones, B., O’Neill, B.C.</t>
  </si>
  <si>
    <t>Hauer, M.E., Hardy, D., Kulp, S.A., Mueller, V., Wrathall, D.J., Clark, P.U.</t>
  </si>
  <si>
    <t>Tiggeloven, T., de Moel, H., Winsemius, H.C., Eilander, D., Erkens, G., Gebremedhin, E., Diaz Loaiza, A., Kuzma, S., Luo, T., Iceland, C., Bouwman, A., van Huijstee, J., Ligtvoet, W., Ward, P.J.</t>
  </si>
  <si>
    <t>Rohmer, J., Lincke, D., Hinkel, J., Le Cozannet, G., Lambert, E., Vafeidis, A.T.</t>
  </si>
  <si>
    <t>Mondal, P., Tatem, A.J.</t>
  </si>
  <si>
    <t>Paulik, R., Stephens, S.A., Bell, R.G., Wadhwa, S., Popovich, B.</t>
  </si>
  <si>
    <t>Strauss, B.H., Kulp, S.A., Rasmussen, D.J., Levermann, A.</t>
  </si>
  <si>
    <t>Mussi, C.S., Bonetti, J., Sperb, R.M.</t>
  </si>
  <si>
    <t>Brown, S., Jenkins, K., Goodwin, P., Lincke, D., Vafeidis, A.T., Tol, R.S.J., Jenkins, R., Warren, R., Nicholls, R.J., Jevrejeva, S., Arcilla, A.S., Haigh, I.D.</t>
  </si>
  <si>
    <t>Paulik, R., Stephens, S., Wild, A., Wadhwa, S., Bell, R.G.</t>
  </si>
  <si>
    <t>Buchanan, M.K., Kulp, S., Cushing, L., Morello-Frosch, R., Nedwick, T., Strauss, B.</t>
  </si>
  <si>
    <t>Rasmussen, D.J., Kulp, S., Kopp, R.E., Oppenheimer, M., Strauss, B.H.</t>
  </si>
  <si>
    <t>Thiéblemont, R., le Cozannet, G., Rohmer, J., Privat, A., Guidez, R., Negulescu, C., Philippenko, X., Luijendijk, A., Calkoen, F., Nicholls, R.J.</t>
  </si>
  <si>
    <t>Vousdoukas, M.I., Clarke, J., Ranasinghe, R., Reimann, L., Khalaf, N., Duong, T.M., Ouweneel, B., Sabour, S., Iles, C.E., Trisos, C.H., Feyen, L., Mentaschi, L., Simpson, N.P.</t>
  </si>
  <si>
    <t>Rocha, C., Antunes, C., Catita, C.</t>
  </si>
  <si>
    <t>McEvoy, S., Haasnoot, M., Biesbroek, R.</t>
  </si>
  <si>
    <t>Goldsmith-Pinkham, P., Gustafson, M.T., Lewis, R.C., Schwert, M.</t>
  </si>
  <si>
    <t>Gallina, V., Torresan, S., Zabeo, A., Critto, A., Glade, T., Marcomini, A.</t>
  </si>
  <si>
    <t>Yin, J., Jonkman, S., Lin, N., Yu, D., Aerts, J., Wilby, R., Pan, M., Wood, E., Bricker, J., Ke, Q., Zeng, Z., Zhao, Q., Ge, J., Wang, J.</t>
  </si>
  <si>
    <t>Antunes, C., Rocha, C., Catita, C.</t>
  </si>
  <si>
    <t>Ao, Z., Hu, Xiaomei, Tao, S., Hu, Xie, Wang, G., Li, M., Wang, F., Hu, L., Liang, X., Xiao, J., Yusup, A., Qi, W., Ran, Q., Fang, Jiayi, Chang, J., Zeng, Z., Fu, Y., Xue, B., Wang, P., Zhao, K., Li, L., Li, W., Li, Y., Jiang, M., Yang, Y., Shen, H., Zhao, X., Shi, Y., Wu, B., Yan, Z., Wang, M., Su, Y., Hu, T., Ma, Q., Bai, H., Wang, L., Yang, Z., Feng, Y., Zhang, D., Huang, E., Pan, J., Ye, H., Yang, C., Qin, Y., He, C., Guo, Y., Cheng, K., Ren, Y., Yang, H., Zheng, C., Zhu, J., Wang, S., Ji, C., Zhu, B., Liu, H., Tang, Z., Wang, Z., Zhao, S., Tang, Y., Xing, H., Guo, Q., Liu, Y., Fang, Jingyun</t>
  </si>
  <si>
    <t>Nguyen, H.D., Nguyen, Q.-H., Dang, D.K., Van, C.P., Truong, Q.H., Pham, S.D., Bui, Q.-T., Petrisor, A.-I.</t>
  </si>
  <si>
    <t>Eilander, D., Couasnon, A., Ikeuchi, H., Muis, S., Yamazaki, D., Winsemius, H.C., Ward, P.J.</t>
  </si>
  <si>
    <t>Lin, W., Sun, Y., Nijhuis, S., Wang, Z.</t>
  </si>
  <si>
    <t>Antonioli, F., De Falco, G., Lo Presti, V., Moretti, L., Scardino, G., Anzidei, M., Bonaldo, D., Carniel, S., Leoni, G., Furlani, S., Marsico, A., Petitta, M., Randazzo, G., Scicchitano, G., Mastronuzzi, G.</t>
  </si>
  <si>
    <t>Saleem Khan, A., Ramachandran, A., Selvam, V., Palanivelu, K., Punitha, S., Thirumurugan, P., Jayakumar, S., Malini, P.</t>
  </si>
  <si>
    <t>Abou-Mahmoud, M.M.E.</t>
  </si>
  <si>
    <t>Roy, P., Pal, S.C., Chakrabortty, R., Chowdhuri, I., Saha, A., Shit, M.</t>
  </si>
  <si>
    <t>Rahman, S., Islam, A.K.M.S., Saha, P., Tazkia, A.R., Krien, Y., Durand, F., Testut, L., Islam, G.M.T., Bala, S.K.</t>
  </si>
  <si>
    <t>Mahmood, R., Ahmed, N., Zhang, L., Li, G.</t>
  </si>
  <si>
    <t>Visvalingam, G., Krishnaraj, S., Andiyappan, R.K., Kamalapathy, R., Datchanamourthy, S.V., Lagudu, S.</t>
  </si>
  <si>
    <t>Khan, M.J.U., Durand, F., Testut, L., Krien, Y., Islam, A.K.M.S.</t>
  </si>
  <si>
    <t>Uddin, Md.N., Saiful Islam, A.K.M., Bala, S.K., Islam, G.M.T., Adhikary, S., Saha, D., Haque, S., Fahad, Md.G.R., Akter, R.</t>
  </si>
  <si>
    <t>Barbier, E.B.</t>
  </si>
  <si>
    <t>Strauss, B., Kulp, S.</t>
  </si>
  <si>
    <t>Tursina, Syamsidik, Kato, S., Afifuddin, M.</t>
  </si>
  <si>
    <t>Oyegun, C.U., Lawal, O., Ogoro, M.</t>
  </si>
  <si>
    <t>Montanari, F., Polette, M., Queiroz, S.M.P. de, Kolicheski, M.B.</t>
  </si>
  <si>
    <t>Carvalho, B.C., Araujo, T.A.A., Guerra, J.V., dos Reis, A.T.</t>
  </si>
  <si>
    <t>Hinkel, J., Brown, S., Exner, L., Nicholls, R.J., Vafeidis, A.T., Kebede, A.S.</t>
  </si>
  <si>
    <t>Rentschler, J., Salhab, M., Jafino, B.A.</t>
  </si>
  <si>
    <t>Sabūnas, A., Miyashita, T., Fukui, N., Shimura, T., Mori, N.</t>
  </si>
  <si>
    <t>Vousdoukas, M.I., Athanasiou, P., Giardino, A., Mentaschi, L., Stocchino, A., Kopp, R.E., Menéndez, P., Beck, M.W., Ranasinghe, R., Feyen, L.</t>
  </si>
  <si>
    <t>Restrepo-Ángel, J.D., Mora-Páez, H., Díaz, F., Govorcin, M., Wdowinski, S., Giraldo-Londoño, L., Tosic, M., Fernández, I., Paniagua-Arroyave, J.F., Duque-Trujillo, J.F.</t>
  </si>
  <si>
    <t>Priya Rajan, S.M., Nellayaputhenpeedika, M., Tiwari, S.P., Vengadasalam, R.</t>
  </si>
  <si>
    <t>Cissé, C.O.T., Brempong, E.K., Almar, R., Angnuureng, B.D., Sy, B.A.</t>
  </si>
  <si>
    <t>Brempong, E.K., Almar, R., Angnuureng, D.B., Mattah, P.A.D., Avornyo, S.Y., Jayson-Quashigah, P.N., Addo, K.A., Minderhoud, P., Teatini, P.</t>
  </si>
  <si>
    <t>Nghia Nguyen, H., Quan Le, Q., Viet Nguyen, D., Hong Cao, T., Quang To, T., Do Dac, H., Wood, M., Haigh, I.D.</t>
  </si>
  <si>
    <t>Hai, D.H., Nam, V.Q., Samadhiya, A., Kumar, A., Gupta, S., Jagtap, S.</t>
  </si>
  <si>
    <t>Oloyede, M.O., Williams, A.B., Ode, G.O., Benson, N.U.</t>
  </si>
  <si>
    <t>Zeng, Z., Lai, C., Wang, Z., Chen, Y., Chen, X.</t>
  </si>
  <si>
    <t>Lumban-Gaol, J., Sumantyo, J.T.S., Tambunan, E., Situmorang, D., Antara, I.M.O.G., Sinurat, M.E., Suhita, N.P.A.R., Osawa, T., Arhatin, R.E.</t>
  </si>
  <si>
    <t>Tay, C., Lindsey, E.O., Chin, S.T., McCaughey, J.W., Bekaert, D., Nguyen, M., Hua, H., Manipon, G., Karim, M., Horton, B.P., Li, T., Hill, E.M.</t>
  </si>
  <si>
    <t>Hadipour, V., Vafaie, F., Kerle, N.</t>
  </si>
  <si>
    <t>Kouakou, M., Tiémélé, J.A., Djagoua, É., Gnandi, K.</t>
  </si>
  <si>
    <t>Gao, G., San, L.H., Zhu, Y.</t>
  </si>
  <si>
    <t>Dang, A.T.N., Reid, M., Kumar, L.</t>
  </si>
  <si>
    <t>ESL data (tidal elevations) has other vertical reference/baseline (1980 to 2015) than DEM (EGM2008) which is not discussed by  Vousdoukas et al. (2022)</t>
  </si>
  <si>
    <t>Discrepancy of results due to different spatial resolution as GLOBE yields larger areas exposed than SRTM</t>
  </si>
  <si>
    <t>Combination with GEBCO and EMODnet bathymetry data; but no information on datum alignment; wrong documentation about actuality of SRTM data</t>
  </si>
  <si>
    <t>very confusing datum description: Data description entails EGM96 reference for SRTM but maps indicate WGS84 datum (in addition to WGS84 horizontal datum) while results document elevation above MSL</t>
  </si>
  <si>
    <t>no information about alignment of elevation and bathymetry data (the latter was obtained from Google Earth Pro)</t>
  </si>
  <si>
    <t>SRTM as appear in GEBCO 2014; note the time difference between SRTM acquisition and GEBCO dataset; GEBCO data was updated with local bathymetry from nautical charts; no documentation about whether datum offset in bathymetry data was considered</t>
  </si>
  <si>
    <t>SRTM is freely available, not the SRTM converted to MHHW and MAM; not assessible whether SLR since datum establishment was considered; report title states vulnerability assessment while it covers exposure</t>
  </si>
  <si>
    <t>Impact assessment was also conducted for LLWL and HHWL, respectively, and these tidal levels were combined with SLR rates. But no reference provided for values</t>
  </si>
  <si>
    <t>no details or references given for DEM accuracy assessment; authors state assessment of vulnerability while it is exposure</t>
  </si>
  <si>
    <t>Vertical datums of topography and bathymetry data do not match. EMODnet uses either Lowest Astronomical Tide (LAT; i.e. collected bathymetric data is supposed to be LAT) or MSL. The latter is obtained by using GTSM from Muis et al. However, in this study, DeltaDTM v1 is used and it uses EGM2008.</t>
  </si>
  <si>
    <t>This additionally evaluated literature was not obtained by the PRISMA-guided literature research conducted on the Scopus search engine. The evaluation of this additional literature was not included into the statistics of this study but presents an extended consideration and assessment of literature from the same topical fields.</t>
  </si>
  <si>
    <t>Source title</t>
  </si>
  <si>
    <t>Cited by</t>
  </si>
  <si>
    <t>DOI</t>
  </si>
  <si>
    <t>Link</t>
  </si>
  <si>
    <t>Abstract</t>
  </si>
  <si>
    <t>Document Type</t>
  </si>
  <si>
    <t>Source</t>
  </si>
  <si>
    <t>EID"</t>
  </si>
  <si>
    <t>10.1016/j.eiar.2024.107766</t>
  </si>
  <si>
    <t>https://www.scopus.com/inward/record.uri?eid=2-s2.0-85211158379&amp;doi=10.1016%2fj.eiar.2024.107766&amp;partnerID=40&amp;md5=d605cafae61f92980e74f186d8e2dc94</t>
  </si>
  <si>
    <t>Understanding the spatial patterns of human activities and the consequences of stressors on marine and coastal environments is critical for mitigating marine ecological risks and maintaining healthy ecosystems. However, there is limited understanding of the spatial variations, locations, and drivers of the most significant changes in the cumulative impacts, causing significant challenges for the conservation and restoration of marine habitats. Here, we estimated the spatial intensity of 14 stressors (land-based, sea-based, and climate change-related) and their potential impacts on 9 marine and coastal ecosystems during three five-year periods (2006–2010, 2011–2015, and 2016–2020) at an ∼1 km resolution as well as the spatiotemporal changes in the cumulative impacts on China's marine waters. In addition, we generated maps of the cumulative exposure occurring in each pixel, that is, the sum of their intensities without considering ecosystem vulnerability. We found that nearly all eastern provinces of China experienced significantly increasing cumulative impacts on marine waters, as did all marine and coastal ecosystems from 2006 to 2020, with salt marshes, mangroves, and coasts at the greatest risk. However, notably, in recent years, the cumulative impacts in most coastal waters, except for the southern coast of Shandong, have decreased significantly. Furthermore, the increasing areas of the cumulative effects gradually shifted from coastal regions to areas beyond the shelf, indicating that the threats related to climate change have gradually emerged as the primary drivers of most significant change. The ranking of the stressor impacts on coastal and marine ecosystems for the entire study region suggested that the five stressors with the greatest impact were sea surface temperature (29.42 %), coastal ports (21.81 %), sea level rise (17.97 %), commercial shipping (14.95 %), and ocean acidification (7.73 %). © 2024</t>
  </si>
  <si>
    <t>Scopus</t>
  </si>
  <si>
    <t>2-s2.0-85211158379"</t>
  </si>
  <si>
    <t>10.1007/s11852-025-01103-3</t>
  </si>
  <si>
    <t>https://www.scopus.com/inward/record.uri?eid=2-s2.0-85218198190&amp;doi=10.1007%2fs11852-025-01103-3&amp;partnerID=40&amp;md5=6a9f0e2fb467937e141aeddec52ff598</t>
  </si>
  <si>
    <t>The coast of Ghana faces a number of challenges, including coastal erosion and flooding. These problems degrade the coast, jeopardize ecosystems, threaten human lives and well-being, limit economic possibilities, and make people more predisposed to natural disasters (World Bank, 2020). The development of a multi-sector investment action plan is a prerequisite for sustainably developing and strengthening the resilience of the Ghanaian coastal zone. This plan seeks to determine an integrated and sustainable system for coastal governance, and to simulate solutions that enhance environmental, and socio-economic benefits. The plan will lead to benefits such as preservation of biodiversity and ecosystems, increased economic opportunity and productivity, and improved and protected livelihoods. Accounting for the vulnerability of the Ghanaian coast to coastal erosion and flooding, a risk level assessment is carried out for the identification and prioritization of areas at significant risk of erosion and flooding where management strategies should be implemented. The assessment consists of the examination of the Ghanaian coastline and the calculation of a Coastal Index from hazard intensities and exposure of the population, land use, economic activities, ecosystems, transport networks, utilities, and services. Disaster risk management and adaptation measures are identified to address management aims for the various coastal archetypes that comprise Ghana’s coastline. The management aims consist of maintaining freshwater sources, ensuring good agricultural and aquaculture practices, promoting local tourism, maintaining biodiversity, and protecting the population, infrastructure, and key assets. This paper summarizes the benefits at the macro-scale of investing in coastal risk reduction measures and presents the co-benefits associated with prioritizing the implementation of ecosystem-based management solutions, such as ecosystem conservation or restoration, dune, and beach management. An action plan is then developed for the implementation of steps and long-term options for a set of preferred pathways. The action plan consists of priority investment measures defined at the conceptual level, with associated costs and timeframes over 10 years. © The Author(s), under exclusive licence to Springer Nature B.V. 2025.</t>
  </si>
  <si>
    <t>2-s2.0-85218198190"</t>
  </si>
  <si>
    <t>Geoscience Letters</t>
  </si>
  <si>
    <t>10.1186/s40562-025-00377-7</t>
  </si>
  <si>
    <t>https://www.scopus.com/inward/record.uri?eid=2-s2.0-85218500897&amp;doi=10.1186%2fs40562-025-00377-7&amp;partnerID=40&amp;md5=fee2536e34ba9467fb46460e7d12eed5</t>
  </si>
  <si>
    <t>Flooding and other natural disasters threaten human life and property worldwide. They can cause significant damage to infrastructure and disrupt economies. Tamil Nadu coast is severely prone to flooding due to land use and climate changes. This research applies geospatial tools and machine learning to improve flood susceptibility mapping across the Tamil Nadu coast in India, using projections of Land Use and Land Cover (LULC) changes under current and future climate change scenarios. To identify flooded areas, the study utilised Google Earth Engine (GEE), Sentinel-1 data, and 12 geospatial datasets from multiple sources. A random forest algorithm was used for LULC change and flood susceptibility mapping. The LULC data are classified for the years 2000, 2010, and 2020, and from the classified data, the LULC for years 2030, 2040, and 2050 are projected for the study. Four future climate scenarios (SSP 126, 245, 370, and 585) were used for the average annual precipitation from the Coupled Model Intercomparison Project 6 (CMIP6). The results showed that the random forest model performed better in classifying LULC and identifying flood-prone areas. From the results, it has been depicted that the risk of flooding will increase across all scenarios over the period of 2000–2100, with some decadal fluctuations. A significant outcome indicates that the percentage of the area transitioning to moderate and very high flood risk consistently rises across all future projections. This study presents a viable method for flood susceptibility mapping based on different climate change scenarios and yields estimates of flood risk, which can provide valuable insights for managing flood risks. © The Author(s) 2025.</t>
  </si>
  <si>
    <t>2-s2.0-85218500897"</t>
  </si>
  <si>
    <t>10.3390/rs17040654</t>
  </si>
  <si>
    <t>https://www.scopus.com/inward/record.uri?eid=2-s2.0-85219184562&amp;doi=10.3390%2frs17040654&amp;partnerID=40&amp;md5=c24840db67b71f6c207859db7c60db30</t>
  </si>
  <si>
    <t>Under the combined influence of climate change, accelerated urbanization, and inadequate urban flood defense standards, urban pluvial flooding has become an increasingly severe issue. This not only poses significant challenges to social stability and economic development but also makes accurate flood risk assessment crucial for improving urban flood control and drainage capabilities. This study uses Jinan, a typical foothill plain city in Shandong Province, as a case study to compare the performance of differential evolution (DE), genetic algorithm (GA), and particle swarm optimization (PSO) in calibrating the SWMM. By constructing a hydrological–hydrodynamic coupled model using the SWMM and LISFLOOD-FP, this study evaluates the drainage capacity of the pipe network and surface inundation characteristics under both historical and design rainfall scenarios. An agent-based model (ABM) is developed to analyze the dynamic risks and vulnerabilities of population and building agents under different rainfall scenarios, capturing macroscopic emergent patterns from individual behavior rules and analyzing them in both time and space dimensions. Additionally, using multi-source remote sensing data, dynamic population vulnerability, and flood hazard processes, a quantitative dynamic flood risk analysis is conducted based on cloud models. The results demonstrated the following: (1) PSO performed best in calibrating the SWMM in the study area, with Nash–Sutcliffe efficiency (NSE) values ranging from 0.93 to 0.69. (2) Drainage system capacity was low, with over 90% of the network exceeding capacity in scenarios with return periods of 1 to 100 years. (3) The vulnerability of people and buildings increased with higher flood intensity and duration. Most affected individuals were located on roads. In Event 6, 11.41% of buildings were at risk after 1440 min</t>
  </si>
  <si>
    <t>Bulletin of Engineering Geology and the Environment</t>
  </si>
  <si>
    <t>10.1007/s10064-025-04118-0</t>
  </si>
  <si>
    <t>https://www.scopus.com/inward/record.uri?eid=2-s2.0-85217822013&amp;doi=10.1007%2fs10064-025-04118-0&amp;partnerID=40&amp;md5=b4a7986a0a773c579c30b829cfd8b5b8</t>
  </si>
  <si>
    <t>This study presents a coupled hydromechanical element-free Galerkin (EFG) model to simulate land subsidence induced by groundwater withdrawal. The EFG algorithm was validated with unsaturated hydraulic and hydromechanical benchmark problems, showing satisfactory agreement with the finite element method (FEM) and theoretical results. We qualitatively investigate the effects of groundwater pumping on land subsidence and hydraulic head variation in both isotropic and anisotropic aquifers, taking into account unsaturated effects. Our results indicate a nonlinear correlation between groundwater extraction and both decrease in hydraulic head and increase in land subsidence. In anisotropic aquifers, initial discrepancies are observed between the EFG and FEM models, although final land subsidence and hydraulic head values are closely aligned. Comparative results between the two methods show that, for the anisotropic aquifer, land subsidence and hydraulic head variation trends from the EFG method exhibit better agreement with those of the isotropic aquifer. A parametric study reveals that the elastic modulus and Poisson’s ratio significantly affect land subsidence levels. While hydraulic conductivity influences the rate of hydraulic head decline and onset of subsidence, it has a minor effect on steady-state values. These findings emphasize the importance of accurate in-situ measurements of elastic modulus and Poisson’s ratio for the precision and reliability of feasibility studies in groundwater extraction projects. © The Author(s) 2025.</t>
  </si>
  <si>
    <t>2-s2.0-85217822013"</t>
  </si>
  <si>
    <t>10.1007/s10236-025-01671-w</t>
  </si>
  <si>
    <t>https://www.scopus.com/inward/record.uri?eid=2-s2.0-86000790860&amp;doi=10.1007%2fs10236-025-01671-w&amp;partnerID=40&amp;md5=77a6d69ad2ff50105b8a699d536a4e49</t>
  </si>
  <si>
    <t>Bangladesh coast located in the lower part of the Ganges-Brahmaputra-Meghna delta (GBMD) regularly faces different flooding events from tidal flooding, pluvial flooding, and storm surge flooding. Cyclone-induced storm surge flooding is the most devastating flood event among all the flooding events in the GBMD in terms of human death toll and economic loss. Moreover, different climate change scenario studies suggest that the Bangladesh coast will face adverse impact from mean sea level (MSL) rise. In present study, an online wave-current coupled numerical model (Deflt3d and SWAN) is applied to the GBMD to assess cyclone-induced flooding under different mean sea level rises including 0.5 m, 1 m and 1.5 m. The model setup is calibrated and validated for Cyclone Sidr. Results show that a 1.5 m increase in MSL will cause flooding of up to 33% (11,848 sq. km) of the total coastal area of Bangladesh. Current cyclones (e.g., Cyclone Sidr) will cause more flooding in the coast in the future because of MSL rise alone. Sensitivity tests of different cyclonic parameters such the radius of maximum wind speed, maximum wind speed and landfall location in terms of cyclone-induced storm surge event are conducted by applying the model for different idealized scenarios. An increase in the cyclone maximum wind speed is more likely to increase flooded area rather than increase storm surge height at river stations in the GBMD because the protective embankments are overtopped releasing the waters into the floodplain. © The Author(s) 2025.</t>
  </si>
  <si>
    <t>2-s2.0-86000790860"</t>
  </si>
  <si>
    <t>Landscape and Urban Planning</t>
  </si>
  <si>
    <t>10.1016/j.landurbplan.2024.105260</t>
  </si>
  <si>
    <t>https://www.scopus.com/inward/record.uri?eid=2-s2.0-85210529478&amp;doi=10.1016%2fj.landurbplan.2024.105260&amp;partnerID=40&amp;md5=8ff93ec4d7e4c594c06fac16415e5339</t>
  </si>
  <si>
    <t>The biodiversity of the Guangdong-Hong Kong-Macao Greater Bay Area (GBA) is increasingly under threat due to anthropogenic stressors and climate change challenges, despite 15.72% of the landscape being planned as protected areas (PAs). The uncertain risks of high-density urban sprawl and sea level rise pose challenges for future biodiversity conservation in the GBA. To effectively gauge the impact of PAs for biodiversity conservation, it's imperative to delve into not only the pattern but the process of biodiversity. Adopting a dynamic view for biodiversity assessment, our study established a synergistic approach within a systematic conservation planning framework, focusing on comprehensively assessing the future conservation effectiveness of PAs. Four modeling techniques were integrated in the process to estimate conservation priorities under various future scenarios: SLAMM and Dyna-CLUE projected future land-use changes, MaxEnt predicted shifts in habitat suitability for key species, and Zonation identified conservation priorities thereby. The results indicated a potential shift in conservation priorities over time from inland to coastal areas across different cities in the GBA, highlighting the substantial mismatches between current PAs and high-priority areas in Guangdong and the urgency for prompt conservation actions. Moreover, our findings revealed that proposed PA system has not sufficiently prioritized wetland conservation, nor has it effectively conserved amphibian, plant and bird species. Our study provided a dynamic and comprehensive evaluation of biodiversity in the GBA and offered insightful conservation recommendations, thus demonstrating a viable approach for assessing and enhancing future conservation initiatives in similar contexts. © 2024 Elsevier B.V.</t>
  </si>
  <si>
    <t>2-s2.0-85210529478"</t>
  </si>
  <si>
    <t>Applied Numerical Mathematics</t>
  </si>
  <si>
    <t>10.1016/j.apnum.2025.02.014</t>
  </si>
  <si>
    <t>https://www.scopus.com/inward/record.uri?eid=2-s2.0-85218472942&amp;doi=10.1016%2fj.apnum.2025.02.014&amp;partnerID=40&amp;md5=146ed2fca6968cce3725db80f8a88a5a</t>
  </si>
  <si>
    <t>This paper explores the reconstruction of wet-dry fronts (WDF) for solving both one-dimensional (1D) and two-dimensional (2D) Ripa systems, with a particular emphasis on the influence of temperature. Our aim is to develop a well-balanced numerical scheme that not only preserves the steady state but also ensures the positivity of both water height and temperature. By employing conservative variables for reconstruction instead of equilibrium variables, we have achieved a significant doubling of the CFL number for fully flooded cells. We have refined the original 1D WDF reconstruction method and further enhanced the corresponding 2D scheme. The conservation principle and linearity observed in the wet region of partially flooded cells indicate a constant cell-wise velocity and temperature. Additionally, we introduce a novel draining time approach to adjust the numerical flux in an upwind manner, ensuring both stability and efficiency, even for partially flooded cells. Numerical examples are presented to demonstrate the well-balanced property, high-order accuracy, and positivity-preserving characteristics of our proposed method. These examples also showcase the method's ability to capture small perturbations in the lake-at-rest steady state, highlighting its potential for practical applications. © 2025 IMACS</t>
  </si>
  <si>
    <t>2-s2.0-85218472942"</t>
  </si>
  <si>
    <t>Journal of the American Water Resources Association</t>
  </si>
  <si>
    <t>10.1111/1752-1688.70003</t>
  </si>
  <si>
    <t>https://www.scopus.com/inward/record.uri?eid=2-s2.0-85219106823&amp;doi=10.1111%2f1752-1688.70003&amp;partnerID=40&amp;md5=e7dc81d40d0a798455aede0e1e7939c6</t>
  </si>
  <si>
    <t>Due to the intensive human activities, lots of hydraulic facilities were constructed and have a significant impact on hydrological processes and spatial migration of urban floods. For coastal plain regions, the suffering from rainstorms and storm surges, which was always neglected in previous studies, makes the impact more complex. Thus, the potential impact was observed based on a hydrodynamic model with real-time operations of hydraulic systems. To improve the confidence of the simulation, a joint copula model between maximum rainfall and contemporaneous maximum tide water level was built, which makes up for the lack of consideration in previous coastal flood simulations. Results of quantitative simulation showed that the projects of the Large Encirclement Project in Suzhou urban (LEP) prevented the flood in urban areas efficiently but transferred the flood to the suburb. The Diversion-Drainage System along the Yangtze River (DDS) had a larger impact on the hydrological processes in the northern regions. This will be of great benefit to the flood management in the Taihu Basin. © 2025 American Water Resources Association.</t>
  </si>
  <si>
    <t>2-s2.0-85219106823"</t>
  </si>
  <si>
    <t>10.5194/nhess-25-747-2025</t>
  </si>
  <si>
    <t>https://www.scopus.com/inward/record.uri?eid=2-s2.0-85219060220&amp;doi=10.5194%2fnhess-25-747-2025&amp;partnerID=40&amp;md5=c27538cfbd535c606efcc06d8193e62f</t>
  </si>
  <si>
    <t>Compound flooding, where the combination or successive occurrence of two or more flood drivers leads to a greater impact, can exacerbate the adverse consequences of flooding, particularly in coastal-estuarine regions. This paper reviews the practices and trends in coastal-estuarine compound flood research and synthesizes regional to global findings. A systematic review is employed to construct a literature database of 279 studies relevant to compound flooding in a coastal-estuarine context. This review explores the types of compound flood events and their mechanistic processes, and it synthesizes terminology throughout the literature. Considered in the review are six flood drivers (fluvial, pluvial, coastal, groundwater, damming/dam failure, and tsunami) and five precursor events and environmental conditions (soil moisture, snow, temp/heat, fire, and drought). Furthermore, this review summarizes research methodology and study application trends, as well as considers the influences of climate change and urban environments. Finally, this review highlights knowledge gaps in compound flood research and discusses the implications on future practices. Our five recommendations for compound flood research are (1) adopt consistent terminology and approaches, (2) expand the geographic coverage of research, (3) pursue more inter-comparison projects, (4) develop modelling frameworks that better couple dynamic Earth systems, and (5) design urban and coastal infrastructure with compounding in mind.  © Author(s) 2025.</t>
  </si>
  <si>
    <t>Review</t>
  </si>
  <si>
    <t>2-s2.0-85219060220"</t>
  </si>
  <si>
    <t>Journal of Geophysical Research: Earth Surface</t>
  </si>
  <si>
    <t>10.1029/2024JF007948</t>
  </si>
  <si>
    <t>https://www.scopus.com/inward/record.uri?eid=2-s2.0-85219532215&amp;doi=10.1029%2f2024JF007948&amp;partnerID=40&amp;md5=42b4bde57e69b3397b498e50f76238d2</t>
  </si>
  <si>
    <t>Salt marshes provide critical habitats, protect coastal infrastructure, and are increasingly exposed to sea level rise, with many having a history of agricultural use and ditching over the centuries. Pool area coverage can be considered an indicator of marsh health but is rarely quantified. In this study, we digitized marsh pools using aerial imagery to quantify changes in pool area and density on 12 salt marshes in Maine from 2009 to 2021 as a case study of marsh response to environmental changes. We categorized pools into three types: mega-pools, individual pools, and perimeter pools, based on morphology and examined whether pools remained singular, split, or combined. We found a 15.7% increase in pool area from 2009 to 2021 on all marshes, primarily driven by mega-pool expansion, whereas individual and perimeter pools remained relatively constant. The rate of pool expansion across all marshes was 49,000 m2 a−1 with mean mega-pool size 6,400 ± 400 m2. There was an increase in pool count per km2 on all marshes except for the York River marsh, which still experienced area expansion. Pools primarily increase in cover through merging or being engulfed by mega-pools. Area cover change was not substantial when pools remained singular, split into many pools, or were only present in 2009 or 2021. Mega-pools were larger on lower marsh elevations and expanded at a greater rate when overlapping ditches, suggesting influence by sea level rise and historic agriculture. Marsh restoration projects that promote the drainage and re-vegetation of mega-pools may reverse this trend. © 2025 The Author(s).</t>
  </si>
  <si>
    <t>2-s2.0-85219532215"</t>
  </si>
  <si>
    <t>10.1111/gcb.70058</t>
  </si>
  <si>
    <t>https://www.scopus.com/inward/record.uri?eid=2-s2.0-85216783782&amp;doi=10.1111%2fgcb.70058&amp;partnerID=40&amp;md5=860674966f742dfd02542d4457403147</t>
  </si>
  <si>
    <t>Coastal salt marshes and their valuable ecosystem services are vulnerable to degradation due to rising sea levels, to which they can adapt through biogeomorphic feedbacks. However, the invasion of plant species, particularly eco-engineering species that alter these interactions, may degrade the structural integrity and functionality of salt marshes, potentially reducing their resilience to sea-level rise. Such impacts presently remain poorly understood. Focusing on coastal marshes of China, we utilized a coupled biogeomorphic model to explore the effects of Spartina alterniflora invasion versus native Suaeda salsa on coastal geomorphology, considering different sea-level rise and tidal scenarios. Our results revealed that Spartina alterniflora invasion contributed to the formation of a “levee-basin” geomorphological structure at both the landscape scale (from seaward to landward zones) and the local scale (from channel fringes to marsh interiors). This pattern led to a prominent marsh depression, particularly in “basin” areas under microtidal conditions, indicating increased vulnerability to rising sea levels in invaded systems. Additionally, the proliferation of Spartina alterniflora could completely displace Suaeda salsa. Our findings emphasize the importance of controlling plant invasion to safeguard ecosystem resilience to environmental change. © 2025 John Wiley &amp; Sons Ltd.</t>
  </si>
  <si>
    <t>2-s2.0-85216783782"</t>
  </si>
  <si>
    <t>10.1016/j.ocemod.2025.102512</t>
  </si>
  <si>
    <t>https://www.scopus.com/inward/record.uri?eid=2-s2.0-85217694081&amp;doi=10.1016%2fj.ocemod.2025.102512&amp;partnerID=40&amp;md5=436992b99b27d7793e45bbc037f5cc5b</t>
  </si>
  <si>
    <t>In this paper, for the first time, all five Great Lakes are simulated using a 3D baroclinic model using a single, seamless unstructured mesh without nesting, including adjacent flood plains and watershed inflows to better connect the hydrodynamic model to the hydrologic model. The hydraulic controls at Sault St Marie and Niagara Falls are simulated using an internal flow boundary approach with the observed flow. The model is shown to exhibit good skills for total water level (TWL) and temperature, with RMSE of 9.5 cm for TWL and ∼1.6 °C for surface temperature and temperature profiles from a 60–day simulation. Sensitivity results reveal the importance of hydrologic forcing even for this short-term simulation. Results from a 210-day simulation indicate that the model is capable of capturing major lake-wide circulation patterns discussed in previous studies and providing further details in those patterns. The new model can potentially serve as a base to unify Great Lakes modeling while simultaneously providing flexibility for site specific studies in any areas of interest. © 2025 Elsevier Ltd</t>
  </si>
  <si>
    <t>2-s2.0-85217694081"</t>
  </si>
  <si>
    <t>10.1016/j.scitotenv.2025.178711</t>
  </si>
  <si>
    <t>https://www.scopus.com/inward/record.uri?eid=2-s2.0-85216809740&amp;doi=10.1016%2fj.scitotenv.2025.178711&amp;partnerID=40&amp;md5=e6be791450f9afc4965512551ecb5dbb</t>
  </si>
  <si>
    <t>Sea level rise and anthropogenic activities intensify saltwater intrusion, threatening coastal and river delta agriculture. Numerous previous studies relied on hydrologic models to understand how and to what extent sea-level rises and the alterations of river flow regimes affect saltwater intrusion. Some previous studies examined how changes in crop mix and land management can alleviate the impact of saltwater intrusion. However, little is known about the optimal level of land-fallowing needed to achieve a sustainable level of saltwater intrusion. In addition, how and to what extent a land-fallowing policy can affect the stochastic nature of saltwater intrusion remains poorly understood. Herein, we develop a probabilistic hydro-economic model by integrating a hydro-statistical model with the Inventory Theory to evaluate economic trade-offs between reducing saltwater intrusion and agricultural productivity losses resulting from a land-fallowing policy in the Mekong Delta, a major rice-producing region in Asia, by 2050. The results show that the non-exceedance probability of saltwater intrusion level is approximately 0.78 at the optimal point. Under a sea-level rise of 22 cm scenario, the optimal annual land-fallowing areas are estimated to be 124,000 ha to maintain saltwater intrusion levels that are less than or equal to the historical average level. This level of land-fallowing would lead to an annual crop profit loss of approximately $130.01 million. The model shows that saltwater intrusion control infrastructure can substantially reduce the areas affected by saltwater intrusion but still requires to fallow 45,000 ha annually to bring the saltwater intrusion to the historical average level. The estimated annual crop profit loss associated with this scenario is $47.18 million, plus an estimated total infrastructure cost of $8.2 billion. The results also show that the potential economic benefits of improved saltwater intrusion forecasts are substantial, ranging from $47.18–$51.37 million annually, implying that increased saltwater intrusion forecast accuracy can have a substantial economic value. The findings highlight the need for all countries in the Mekong River Basin to develop more sustainable and cooperative development plans and quickly establish a data-sharing mechanism to reduce adaptation costs. The finding also informs policy discussions on investments in enhanced regional and global monitoring and forecasting systems. © 2025</t>
  </si>
  <si>
    <t>2-s2.0-85216809740"</t>
  </si>
  <si>
    <t>10.1016/j.scitotenv.2025.178586</t>
  </si>
  <si>
    <t>https://www.scopus.com/inward/record.uri?eid=2-s2.0-85216378066&amp;doi=10.1016%2fj.scitotenv.2025.178586&amp;partnerID=40&amp;md5=132ef2ba2cca8784aedc7d8c8be49ce4</t>
  </si>
  <si>
    <t>Global climate is experiencing exceptional warming, leading to a rise in extreme events worldwide. Coastal regions are particularly vulnerable to climate change (CC), due to dense populations, interconnected economies, and fragile ecosystems. These areas face escalating risks as CC intensifies the severity and frequency of extreme weather phenomena, like heavy precipitation, sea-level rise (SLR), storm surges. Integrated approaches are crucial to assess the combined impacts of atmospheric and marine hazards at the land-sea interface. Machine Learning (ML) offer innovative solutions to analyse multi-risk events, leveraging large and heterogeneous datasets and modelling complex, non-linear interactions. This study introduces a two-tier ML approach to estimate risks associated with extreme weather events for the Veneto coastal municipalities under current and future scenarios. The model, tested and validated with present-day data, showed satisfactory performance (error margin ∼20 %). The model was applied to mid-term (until 2045) and long-term (until 2100) periods under different CC scenarios, represented by various Representative Concentration Pathways (RCP). Mid-term analysis reveals an increasing risk trend, driven by SLR under RCP8.5, underscoring the significance of considering non-linear interactions between multiple marine and atmospheric hazards. Long-term analysis highlights how future risks depend mainly on precipitation and SLR across the analysed CC scenarios (RCP2.6/4.5/8.5). Results indicate a gradual increase in the expected annual risk trend, with RCP8.5 scenario showing the most severe outcomes. By 2100, the risks under RCP8.5 are projected to be ten times higher than those observed during the historical period, highlighting the importance of developing effective strategies to address these challenges. © 2025</t>
  </si>
  <si>
    <t>2-s2.0-85216378066"</t>
  </si>
  <si>
    <t>10.1007/s11852-025-01101-5</t>
  </si>
  <si>
    <t>https://www.scopus.com/inward/record.uri?eid=2-s2.0-85217433232&amp;doi=10.1007%2fs11852-025-01101-5&amp;partnerID=40&amp;md5=d1a587b6ae712c9dd48e59d10ea8c50e</t>
  </si>
  <si>
    <t>Sandy shores serve multiple ecosystem services, including recreation. To what extent these services can coexist is unclear, especially given increasing stressors such as rising sea levels and urbanization. We investigated the effect of recreational pressure on the establishment of two dune building grass species representative for European beaches (Ammophila arenaria and Elytrigia juncea). We conducted a field introduction experiment with seeds and rhizomes (diaspores) of both species along an anthropogenic pressure gradient on the upper beach of the Dutch barrier Island of Terschelling. Across two beach sites 300 plots were set out following a randomised block design with 4 factorial treatments (species*diaspore). Local plant material was collected. Plots were left unmarked to enable undisturbed recreation. Establishment success was monitored by counting the number of emerged shoots per plot at regular intervals across the growing season of 2022. To control for environmental drivers, we included the environmental variables: soil moisture, bed level change, and distance to the sea. We found that establishment success increased significantly with longshore distance from the beach entrance, irrespective of species or diaspore type. This effect was especially strong within the first 100 m, where plants did emerge from seeds or rhizomes but progressively died over the summer. Establishment success was further constrained by changes to the beach bed level and distance to the sea. Our results indicate that recreational pressure can constrain dune development on the upper beach. This implies trade-offs between beach functions, that should be considered when designing sandy coastal areas. © The Author(s) 2025.</t>
  </si>
  <si>
    <t>2-s2.0-85217433232"</t>
  </si>
  <si>
    <t>10.5194/essd-17-545-2025</t>
  </si>
  <si>
    <t>https://www.scopus.com/inward/record.uri?eid=2-s2.0-85218143096&amp;doi=10.5194%2fessd-17-545-2025&amp;partnerID=40&amp;md5=9c2ef2964c6baf8d6608775c7660ad12</t>
  </si>
  <si>
    <t>Deltas and coastal plains worldwide developed under the influence of relative sea level rise (RSLR) during the Holocene. In the Netherlands, Holocene RSLR results from both regional sea level rise and regional subsidence patterns, mainly caused by glacial isostatic adjustment (GIA: Scandinavian forebulge collapse) and longer-term North Sea Basin tectono-sedimentary subsidence. Past coastal and inland water levels are preserved in geological indicators marking the gradual drowning of an area, for example, basal peats. Such geological water level indicators have been used in the Netherlands for varying types of research. However, uniform overviews of these data exist only for smaller local subsets, rather than for the entire Netherlands. In this paper, we present a dataset of 712 Holocene water level indicators from the Dutch coastal plain that are relevant for studying RSLR and regional subsidence, compiled in HOLSEA workbook format (https://doi.org/10.5281/zenodo.11098446, De Wit and Cohen, 2024). This format was expanded to allow for the registration of basal-peat-type geological indicators, the documentation of Dutch-setting-specific parameters and their accompanying uncertainties, the assessment of the indicative meaning, and the appropriate correction of the raw vertical positions of the indicators. Overall, our new, internally consistent, expanded documentation provided for the water level indicators encourages users to choose the information relevant to their research and report RSLR uncertainties transparently. With respect to the indicators, 59 % were collected in 1950-2000, mainly in academic studies and survey mapping campaigns</t>
  </si>
  <si>
    <t>10.1038/s41598-024-84655-y</t>
  </si>
  <si>
    <t>https://www.scopus.com/inward/record.uri?eid=2-s2.0-85215357399&amp;doi=10.1038%2fs41598-024-84655-y&amp;partnerID=40&amp;md5=a3d3e0ab430f59b328cc334b7a6aff91</t>
  </si>
  <si>
    <t>Flash flood susceptibility mapping is essential for identifying areas prone to flooding events and aiding decision-makers in formulating effective prevention measures. This study aims to evaluate the flash flood susceptibility in the Yarlung Tsangpo River Basin (YTRB) using multiple machine learning (ML) models facilitated by the H2O automated ML platform. The best-performing model was used to generate a flash flood susceptibility map, and its interpretability was analyzed using the Shapley Additive Explanations (SHAP) tree interpretation method. The results revealed that the top four models, including both single and ensemble models, demonstrated high accuracy in the tests. The flash flood susceptibility map generated by the best-performing eXtreme Randomized Trees (XRT) model showed that 8.92%, 12.95%, 15.42%, 31.34%, and 31.37% of the study area exhibited very high, high, moderate, low, and very low flash flood susceptibility, respectively, with approximately 74.9% of the historical flash floods occurring in areas classified as moderate to very high susceptibility. The SHAP plot identified topographic factors as the primary drivers of flash floods, with the importance analysis ranking the most influential factors in such descending order as DEM, topographic wetness index, topographic position index, normalized difference vegetation index, and average multi-year precipitation. This study demonstrates the benefits of interpretable machine learning, which can provide guidance for flash flood mitigation. © The Author(s) 2024.</t>
  </si>
  <si>
    <t>2-s2.0-85215357399"</t>
  </si>
  <si>
    <t>10.1016/j.envsoft.2025.106354</t>
  </si>
  <si>
    <t>https://www.scopus.com/inward/record.uri?eid=2-s2.0-85217422759&amp;doi=10.1016%2fj.envsoft.2025.106354&amp;partnerID=40&amp;md5=63c2ea71a35113c10961522b5a471301</t>
  </si>
  <si>
    <t>The preparation of an accurate bathymetry is crucial for flood modeling and is usually done using a LiDAR-derived Digital Elevation Model (DEM). However, a recurrent flaw of LiDAR DEM is the presence of water along rivers, that prevents a careful reproduction of the river bed and channel conveyance. This paper provides a simple and effective algorithm to tackle this problem when ground surveyed cross sections are available to complement DEM data. In contrast to most interpolation approaches, the algorithm is physically-based, using a 2D Shallow Water Equations solver in the identification of the wetted river bed perimeter. The method was applied to a 37 km long stretch of the Mella River (Northern Italy) providing satisfactory results. Further examples show the potential of the method in cases of increasing complexity of riverbed bathymetry. The procedure is explained step by step in the supplementary material, using two widely used freeware software. © 2025 The Authors</t>
  </si>
  <si>
    <t>2-s2.0-85217422759"</t>
  </si>
  <si>
    <t>10.3390/rs17050882</t>
  </si>
  <si>
    <t>https://www.scopus.com/inward/record.uri?eid=2-s2.0-86000767985&amp;doi=10.3390%2frs17050882&amp;partnerID=40&amp;md5=085b4bd58f14d97af3e973d12a6e8547</t>
  </si>
  <si>
    <t>In the current global change scenario, valuable tools for improving soils and increasing both agricultural productivity and food security, together with effective actions to mitigate the impacts of ongoing climate change trends, are priority issues. Soil Organic Carbon (SOC) acts on these two topics, as C is a core element of soil organic matter, an essential driver of soil fertility, and becomes problematic when disposed of in the atmosphere in its gaseous form. Laboratory methods to measure SOC are expensive and time-consuming. This Systematic Literature Review (SLR) aims to identify techniques and alternative ways to estimate SOC using Remote-Sensing (RS) spectral data and computer tools to process this database. This SLR was conducted using Systematic Review and Meta-Analysis (PRISMA) methodology, highlighting the use of Deep Learning (DL), traditional neural networks, and other machine-learning models, and the input data were used to estimate SOC. The SLR concludes that Sentinel satellites, particularly Sentinel-2, were frequently used. Despite limited datasets, DL models demonstrated robust performance as assessed by R2 and RMSE. Key input data, such as vegetation indices (e.g., NDVI, SAVI, EVI) and digital elevation models, were consistently correlated with SOC predictions. These findings underscore the potential of combining RS and advanced artificial-intelligence techniques for efficient and scalable SOC monitoring. © 2025 by the authors.</t>
  </si>
  <si>
    <t>2-s2.0-86000767985"</t>
  </si>
  <si>
    <t>10.1016/j.jhydrol.2024.132521</t>
  </si>
  <si>
    <t>https://www.scopus.com/inward/record.uri?eid=2-s2.0-85212859240&amp;doi=10.1016%2fj.jhydrol.2024.132521&amp;partnerID=40&amp;md5=6d1314dc7912c79c0e772b3cf442763b</t>
  </si>
  <si>
    <t>Modeling fractured porous media is essential for the analysis of aquifers and underground reservoirs. The flow and deformation processes that occur both in the porous matrix and in the fracture network are key when studying phenomena such as land subsidence, induced seismicity or underground hydrogen storage. In this work we derive a first-order multirate mass transfer (MRMT) approach for the efficient numerical simulation of coupled flow and deformation in highly heterogeneous porous and fractured media. The model is predictive in the sense that the first-order exchange rates are parameterized in terms of the matrix geometry and permeability distribution. The performance of the numerical MRMT approach is demonstrated for the consolidation and drainage of a synthetic highly-heterogeneous fractured porous medium. The MRMT results are compared with high-fidelity direct numerical simulations that explicitly model flow and deformation in the detailed fracture–matrix system. This allows to account for rock fracturing in a realistic way when modeling processes such as induced seismicity or fluid storage in underground formations. © 2024 Elsevier B.V.</t>
  </si>
  <si>
    <t>2-s2.0-85212859240"</t>
  </si>
  <si>
    <t>Geoheritage</t>
  </si>
  <si>
    <t>10.1007/s12371-025-01080-x</t>
  </si>
  <si>
    <t>https://www.scopus.com/inward/record.uri?eid=2-s2.0-85218457499&amp;doi=10.1007%2fs12371-025-01080-x&amp;partnerID=40&amp;md5=d2fce96d8ca48be4552aa2e1a37edc66</t>
  </si>
  <si>
    <t>Geomorphodiversity comprehends the diversity of terrain forms which may have scientific, educational, aesthetic, geotouristic and cultural value. Geographic Information Systems (GIS) have an important role in obtaining geomorphodiversity indexes. In UNESCO Global Geopark (UGG) territories, the geomorphodiversity index is a relevant tool to identify and analyze areas with greater diversity of terrain forms, as well as for the preservation and environmental monitoring of geoheritage. The aim of this study was to develop a quantitative index to assess the geomorphodiversity of the Caçapava UNESCO Global Geopark (CUGG) territory. The geomorphodiversity index was obtained from the map algebra derived from the Digital Terrain Model (DTM): (a) slope</t>
  </si>
  <si>
    <t>10.1016/j.scitotenv.2025.179050</t>
  </si>
  <si>
    <t>https://www.scopus.com/inward/record.uri?eid=2-s2.0-86000173131&amp;doi=10.1016%2fj.scitotenv.2025.179050&amp;partnerID=40&amp;md5=de0ccf601e0947b6127b7eb4cfb0e2b0</t>
  </si>
  <si>
    <t>In the first days of 2014, exceptionally energetic swells associated to the Hercules storm (also known as “Christina”) produced one of the most devastating coastal events in Portugal, establishing new records in long-term wave observations for the area. Between January 6th and 7th, extreme coastal flooding affected &gt;30 municipalities along the Portuguese coastlines, with buoys measuring maximum individual wave heights and periods of 14.91 m and 28.10 s, respectively. The storm caused &gt;16 million euros in direct costs, due to overtopping and coastal flooding, and hundreds of millions in indirect ones, including affected businesses and populations. Here, two physical climate storylines are built to assess the impacts of a “Hercules” storm, at five key-locations along the Portuguese coastline, happening by the end of the 21st century, under the influence of SLR, changes in wave climate, different shorelines and overall coastal morphology, yet, keeping the same statistical representativeness as observed in 2014. The storyline approach allows the establishment of a clear connection with the 2014 event and conceive the impacts of future extreme phenomena like Hercules, in the context of a changing climate, fostering decision-making by working backwards from specific vulnerabilities or decision points, integrating climate change data with other factors to address compound risks. Results reveal that the impacts of a future Hercules-like storm are projected to become more severe, considering the contribution of SLR and projected increases in the associated wave energy. Extreme coastal flooding is expected to impact 2.21–2.92 km2 along 14 km of analyzed coastline, 1.9 to 2.4× more than in 2014, resulting in 3.2 to 6.5× the number of physically impacted buildings, in densely urbanized stretches. As continuous coastal erosion towards the end of the 21st century is expected to reduce the natural protection of the coastline, leaving populations more exposed, the currently employed coastal protection mechanisms will require robust adaptation measures, strategically defined to withstand extreme events with long return periods. © 2025 The Authors</t>
  </si>
  <si>
    <t>2-s2.0-86000173131"</t>
  </si>
  <si>
    <t>10.1016/j.ijdrr.2024.105173</t>
  </si>
  <si>
    <t>https://www.scopus.com/inward/record.uri?eid=2-s2.0-85215104200&amp;doi=10.1016%2fj.ijdrr.2024.105173&amp;partnerID=40&amp;md5=254a5be16b0926273cbee25e39614d32</t>
  </si>
  <si>
    <t>Evacuation path optimization during major flooding events is crucial for minimizing casualties. Notably, recent studies have underscored the importance of considering multiple factors, such as inundation timing, road congestion, and evacuation destination capacities, during path optimization for effective flood evacuation planning. Drawing insights from these studies, the present study developed a novel methodology to optimize evacuation paths for individual evacuees by integrating agent-based tsunami evacuation simulations with Q-learning, a well-known reinforcement learning technique. The effectiveness of the proposed methodology was tested in a tsunami-prone coastal area. Furthermore, to comprehensively assess the performance of the methodology under varying conditions, several scenarios with diverse reward settings and evacuation start times (5, 10, and 15 min after the earthquake) were simulated. The results demonstrated that the proposed methodology significantly reduced the number of casualties by dispersing evacuees across wide areas, alleviating road congestion, and guiding evacuees toward evacuation destinations with adequate capacity. Notably, when rewards for reaching evacuation destinations were set significantly higher than typical inundation times, and differences in inundation onset times between nodes were integrated into reward calculations, the proposed methodology achieved mortality rate reductions of approximately 60 % compared to the traditional shortest-path methodology. © 2024</t>
  </si>
  <si>
    <t>2-s2.0-85215104200"</t>
  </si>
  <si>
    <t>Multidisciplinary Reviews</t>
  </si>
  <si>
    <t>10.31893/multirev.2025210</t>
  </si>
  <si>
    <t>https://www.scopus.com/inward/record.uri?eid=2-s2.0-85218113031&amp;doi=10.31893%2fmultirev.2025210&amp;partnerID=40&amp;md5=55fe9e3955e1a43a7d4915759e8563fc</t>
  </si>
  <si>
    <t>Mangrove ecotourism on the coast of Jakarta Bay has a strategic role as a flood barrier and conservation area. The coverage of mangrove ecotourism has drastically decreased due to human activities that have turned mangrove forests into residential, industrial areas, and fish ponds. To preserve its role, the sustainability of mangrove ecotourism must be maintained. Although studies on the sustainability of mangrove ecotourism are abundant, empirical research examining the influence of ecocultural communication, dialogue, and collective action is rare. This research, therefore, serves as one of the first attempts to investigate the influence of these three variables. This research aims to examine the effect of ecocultural communication, dialogue, and collective action on the sustainability of mangrove ecotourism around Jakarta Bay coastal area. This research employed a quantitative approach. The primary data collection method used was a questionnaire distributed to 166 respondents who were selected based on purposive sampling. The data were analysed based on PLS-SEM using Smart-PLS 3. The research found that there was a significant influence between ecocultural communication, represented by indicators of communication channels, socialisation, and local wisdom on dialogue. Simultaneously, there was a significant influence between ecocultural communication, dialogue, and collective action with the sustainability of mangrove ecotourism. This study reflects that the communication aspect has a major influence on sustainability. This research also has practical implications for the stakeholders of mangrove ecotourism to implement ecocultural communication, dialogue, and collective action to maintain its sustainability. Further research is needed to strengthen the model obtained using the mixed method approach. © 2025, Malque Publishing. All rights reserved.</t>
  </si>
  <si>
    <t>2-s2.0-85218113031"</t>
  </si>
  <si>
    <t>Journal of Environmental Quality</t>
  </si>
  <si>
    <t>10.1002/jeq2.20674</t>
  </si>
  <si>
    <t>https://www.scopus.com/inward/record.uri?eid=2-s2.0-85214843064&amp;doi=10.1002%2fjeq2.20674&amp;partnerID=40&amp;md5=d2275468a9a4cac816a182982d0ff5bb</t>
  </si>
  <si>
    <t>Population growth in coastal areas increases nitrogen inputs to receiving waterways and degrades water quality. Wetland habitats, including floodplain forests and marshes, can be effective nitrogen sinks</t>
  </si>
  <si>
    <t>10.1016/j.jhydrol.2025.132989</t>
  </si>
  <si>
    <t>https://www.scopus.com/inward/record.uri?eid=2-s2.0-85219129886&amp;doi=10.1016%2fj.jhydrol.2025.132989&amp;partnerID=40&amp;md5=536513a8cbf8c941f20547ac8c3433bf</t>
  </si>
  <si>
    <t>Convection-permitting regional climate models (CPRCMs) have been shown to improve the representation of extreme precipitation compared to coarser resolution regional climate models (RCMs). Their benefits for hydrological extremes, such as floods, remains uncertain. This study evaluates the performance of a 3-km resolution convection-permitting model (HCLIM3) against a coarser 12-km resolution climate model (HCLIM12) from the HARMONIE-Climate (HCLIM) model, focusing on precipitation, temperature, and floods in two basins over Western Norway: Røykenes basin (dominated by rainfall-generate flood) and Bulken basin (dominated by snowmelt-generate flood). In the study, we use both a physically-based, distributed Weather Research and Forecasting Model Hydrological system (WRF-Hydro) and a conceptual, lumped Hydrologiska Byråns Vattenbalansavdelning (HBV) model to assess flood simulations. The results show: (1) HCLIM3 better captures spatial variability of annual maximum 1-day and 1-hour precipitation compared to HCLIM12, but both HCLIM models exhibit cold biases which are more pronounced at lower elevation areas, particularly in HCLIM12. (2) HCLIM3-driven simulations do not show benefit in flood simulations across the two basins, except for severe flood peaks, compared to HCLIM12, the choice of hydrological model has a large impact on the results. The HBV model underestimates flood peaks and frequency, while WRF-Hydro more accurately simulates them in the Røykenes but overestimates them in the Bulken likely due to the biases of forcing data, particularly when driven by HCLIM3. The study concludes that CPRCMs improve the simulation of extreme precipitation and temperature but not show clear added value for flood simulations, especially in Bulken. This highlights the critical need for bias correction to ensure accurate flood predictions, even when driven by CPRCMs. © 2025 Elsevier B.V.</t>
  </si>
  <si>
    <t>2-s2.0-85219129886"</t>
  </si>
  <si>
    <t>10.1016/j.cities.2025.105758</t>
  </si>
  <si>
    <t>https://www.scopus.com/inward/record.uri?eid=2-s2.0-85216327285&amp;doi=10.1016%2fj.cities.2025.105758&amp;partnerID=40&amp;md5=f7d202bfd74e2bf0d41cfe3a4bc9c938</t>
  </si>
  <si>
    <t>Aim and approach: This study aims to analyze and develop effective strategies for climate resilience in the WASH (Water, Sanitation and Hygiene) sector with a focus on floods for the urban poor, taking the city of Patna as a case study. Climate change is one of the most pressing challenges we face today, and its effects are evident in events like global warming, variations in precipitation patterns and more. Consequently, climate change directly or indirectly exacerbates various disasters, such as floods, having equal risk for everyone but the marginalized community that already struggles with scarcity of resources and services are more exposed to the disaster. They are very less equipped to address the disasters and hence are more vulnerable. WASH services play an instrumental role in mitigating the effects of any disaster through ensuring continuous water supply at the time of scarcity and providing safe sanitation solutions during flood situations. However, floods also pose a threat to WASH because they can damage water pipelines or inundate toilets, both of which would result in the failure of WASH services. So, it is essential to create strategies that can withstand such hazards in order for WASH services to continue delivering essential functions to the vulnerable population. Key contributions: The city of Patna was chosen as the study area, as it is located near river Ganga and many areas are frequently inundated due to increase in river water level and flash floods. According to the City Development Plan of Patna prepared by the Urban Development Authority of Bihar in 2006, 63.5 % of Patna's population lives in 110 informal settlements. Many of these settlements are located near the river bank and are frequently swamped. Seven slums were chosen for the study after being identified as the most vulnerable among all due to flooding and poor WASH facilities. Several filters including DEM, Slope, level of inundation, Availability of WASH services along with expert surveys were considered to shortlist them. The seven shortlisted slums were Bass Ghat, Naygaon Bari Path, Alamganj Machhua Toli, Gardanibagh Ambedkar Colony, Phelwan Ghat, Paswan Toli and Buddha Colony. The study focuses on the WASH sector of Patna as a city, and then on the WASH assessment for Patna's urban poor, using a range of analyses such as physical vulnerability, socio-economic vulnerability, assets, disruption in WASH, and resilience. Preliminary results and conclusions: Following the identification of the slums, a reconnaissance study was carried out to ascertain their overall situation. Several indicators were identified to assess their physical and socioeconomic vulnerability. Focused Group Discussions and household interviews were carried out and the results, along with the computed weightages, were used to assess the performance of each slum in sectors like housing condition, access to WASH etc. Along with physical and socioeconomic vulnerability, the slums were assessed for the degree of disruption in WASH services they experienced during past floods, as well as the level of resilience they presently possess. The results obtained from the analysis provided insight into the sectors in which a particular slum lacked, and the physical, expert, and household surveys assisted in examining the causes behind each slum's poor performance in a specific sector. After identifying the problem areas and associated causes, appropriate solutions could be introduced to further strengthen WASH resilience of Slums to climate-induced risks such as floods. © 2025 Elsevier Ltd</t>
  </si>
  <si>
    <t>2-s2.0-85216327285"</t>
  </si>
  <si>
    <t>10.3390/rs17040657</t>
  </si>
  <si>
    <t>https://www.scopus.com/inward/record.uri?eid=2-s2.0-85219168252&amp;doi=10.3390%2frs17040657&amp;partnerID=40&amp;md5=375820035224d8378728380fd809f978</t>
  </si>
  <si>
    <t>Among the frequent natural disasters, there is a growing concern that storm surges may cause enhanced damage to coastal regions due to the increase in climate extremes. It is widely believed that storm surge risk assessment is of great significance for effective disaster prevention</t>
  </si>
  <si>
    <t>10.1007/s10064-025-04111-7</t>
  </si>
  <si>
    <t>https://www.scopus.com/inward/record.uri?eid=2-s2.0-85217811109&amp;doi=10.1007%2fs10064-025-04111-7&amp;partnerID=40&amp;md5=e3f7efd31b3c9f28ca6a522a53614bc8</t>
  </si>
  <si>
    <t>With the continuous renewal of deep-drilling ground weapons, it is urgent to study the stability of caverns under the coupled loading of in-situ stress and stress waves produced by explosions. In this study, two model tests are conducted to explore the dynamic response and explosion resistance behaviors of caverns under high in-situ stress conditions. A large-scale three-dimensional model test bench is used to apply initial static pressure and a detonating cord is selected to apply the explosion plane wave through the plane charge. Then, the anti-explosion ability improvement is studied through numerical simulation. The results show that the lining and bolt support effectively reduce the deformation and vibration of the chamber. The peak displacement and acceleration of the vault decrease by 5% ~ 20% and 14% ~ 35%, respectively, after applying support. Due to the enhanced bearing capacity, the vault stress after applying support is approximately 1.3 times greater than that without support. The vault subsidence values after applying lengthening and densifying bolt supports are 62.7% and 70.8% smaller than the values of the lining-supported cavern, respectively</t>
  </si>
  <si>
    <t>10.1016/j.ocemod.2025.102513</t>
  </si>
  <si>
    <t>https://www.scopus.com/inward/record.uri?eid=2-s2.0-85218633564&amp;doi=10.1016%2fj.ocemod.2025.102513&amp;partnerID=40&amp;md5=77dce9753ae3c0be830684b4b422b533</t>
  </si>
  <si>
    <t>Hydrodynamic modeling in cold climate regions necessitates more sophisticated approaches that accurately simulate ice–wave interactions. Traditional models often overlook the complex coupling mechanisms between ice and ocean waves, especially the two-way processes where ice attenuates wave energy and waves break ice floes. This oversight can also intensify modeling challenges in coastal areas, including large lakes, where ice–wave interactions influence storm surges, high waves, and coastal erosion. To address this gap, this paper introduces an enhanced modeling approach that integrates both ice-induced wave attenuation and wave-induced ice breakage. To implement these processes, the Finite-Volume Community Ocean Model (FVCOM) is coupled with an unstructured-grid wave model (SWAN) and the unstructured-grid version of the Los Alamos Sea Ice Model (UG-CICE) to form the FVCOM–SWAVE–UG-CICE framework. Using this fully coupled model, simulations were conducted for the Great Lakes. Results of the modeled ice concentration, ice thickness, and significant wave heights were reported and validated against observational data from the U.S. National Ice Center (NIC) and in-situ under-ice measurements. To further study the coupling effects, results of the proposed model were also compared with those from no coupling and one-way coupling (focusing only on ice-induced wave attenuation) models. Comparative analyses demonstrated significant improvements in the predicted ice concentration with the proposed fully coupled model. These findings reveal the importance of incorporating ice–wave interactions in accurately predicting ice cover dynamics in freshwater systems. © 2025</t>
  </si>
  <si>
    <t>2-s2.0-85218633564"</t>
  </si>
  <si>
    <t>10.1038/s41598-024-84906-y</t>
  </si>
  <si>
    <t>https://www.scopus.com/inward/record.uri?eid=2-s2.0-85216599942&amp;doi=10.1038%2fs41598-024-84906-y&amp;partnerID=40&amp;md5=1e4889086b959b84b2e7b29849eaf310</t>
  </si>
  <si>
    <t>Land ecological security (LES) is crucial for human well-being and sustainable development, especially in areas like the Lower Yellow River Flood Plain (LYRFP), which faces flood threats, economic challenges, and ecological fragility. This study introduces a “Quality-Structure-Function” framework for evaluating LYRFP’s LES, incorporating ecological baselines and the impacts of land use changes on human well-being for a comprehensive assessment. Using the Optimal Parameter Geographic Detector (OPGD) model, we analyzed agricultural, industrial, and socio-economic factors as potential LES drivers. The findings indicate a gradual improvement in LES over the past two decades, with spatial variations—higher in upstream and estuarine areas and lower in the middle. Significant enhancements post-2010 were observed in Shandong Province, unlike the modest gains in Henan. Spatial heterogeneity in LES was evident across floodplain segments, with Jitai Beach witnessing the most decline, Dongying Beach the most improvement, and Zhengkai Beach the largest internal disparities. Economic growth and reduced agricultural activities positively impacted LES, while population growth-related human activities contributed to its decline. This study suggested land use safety improvements in LYRFP by considering spatiotemporal and influencing factors for regional ecological protection and development. © The Author(s) 2025.</t>
  </si>
  <si>
    <t>2-s2.0-85216599942"</t>
  </si>
  <si>
    <t>10.1016/j.jhydrol.2024.132649</t>
  </si>
  <si>
    <t>https://www.scopus.com/inward/record.uri?eid=2-s2.0-85214488193&amp;doi=10.1016%2fj.jhydrol.2024.132649&amp;partnerID=40&amp;md5=cd199614ae41167e2de84a5b5a36c7ed</t>
  </si>
  <si>
    <t>Low-complexity terrain-based models are increasingly utilized for their rapid simulation time and low data requirements. The Height Above Nearest Drainage terrain index coupled with Synthetic Rating Curves (HAND-SRC) emerges as a prominent model for mapping floods from a digital elevation model (DEM). However, the DEM requirements for its implementation remain unclear in many geographic settings. In this study, we evaluate the terrain conditions necessary for HAND-SRC flood mapping in rural low-relief terrain. This was investigated in the Ostouane River, Northern Lebanon, where an intensive field investigation was conducted to collect a high-resolution DEM (25 cm), bathymetric cross-sections, and a crowdsourced dataset reconstituting the January 2019 flood event. Specifically, we scrutinize both the terrain's geometric representation and its resolution. An adapted hydro-conditioning process was introduced to assess flood mapping performance. This process integrated surveyed and theoretical bathymetry, enforced drainage into both bathymetry and floodplain and removed levees in an unorthodox approach. The generated terrain was then tested after resampling it into coarser DEM resolutions. The hydro-conditioned terrain with integrated surveyed bathymetry demonstrated reliable flood mapping accuracy against crowdsourced data (CSI = 0.64 and RMSE = 0.54 m) and HEC RAS extents (CSI = 0.66). Introducing a theoretical trapezoidal bathymetry based on hydraulic geometry power laws produced improved metrics due to enhanced drainage continuity between the channel and floodplains. Analysis of the resampled terrains highlights a random loss of terrain convergence and geometric accuracy, disrupting the model's implementation and accuracy at coarser resolutions (&gt; 1 m). Overall, the comprehensive hydro-conditioning approach allows the model to depict the full inundation extent and retain the topographic accuracy in the HAND index raster. A sufficient grid resolution that maintains terrain convergence and drainage continuity is essential to overcome the challenges of low-relief topography. While the model admits limitations in cell-by-cell flood depth estimations, we suggest that it can be highly beneficial for rapid and accurate flood mapping. © 2025 The Author(s)</t>
  </si>
  <si>
    <t>2-s2.0-85214488193"</t>
  </si>
  <si>
    <t>10.13189/eer.2025.130109</t>
  </si>
  <si>
    <t>https://www.scopus.com/inward/record.uri?eid=2-s2.0-86000349846&amp;doi=10.13189%2feer.2025.130109&amp;partnerID=40&amp;md5=8ca47e1a63ade0bbe03725bc503a3ce9</t>
  </si>
  <si>
    <t>The Nile Delta is an important productive region full of natural and socio-economic potential for development, promising cities, and gateways. However, the coastal zone of the Nile Delta is one of the regions impacted by sea level rise (SLR). This rise may have an impact on regional land use and development strategies. The research focuses on the impact of the predicted SLR on the regional land use in the Nile Delta to help urban and regional planning experts prepare sustainable strategies for regional land use. The research aims to examine the significance of the relationship between research variables within the study area namely, predicted SLR, regional land use, and adaptation strategies where the adopted adaptation strategy impacts the relationship between SLR and regional land use. Mixed methods are used in the research. The researchers started by studying best practices from the Netherlands and USA and conducted a comparative qualitative analysis between Egypt and the studied countries. Then Phi and Cramer’s V and Multinomial Logistic Regression analysis were used to measure the significance of the relationship between the research variables on the level of the Nile delta coastal cities. The analysis results show a significant relationship between SLR and the change in regional land use whether an adaptation strategy (protect/ accommodate) is implemented or not. Each land use type whether it is existing and/or proposed is also influenced by the level of vulnerability to SLR. To verify the research finding concluded from qualitative and quantitative analysis, the researchers conducted an online questionnaire targeting a specific group of experts in urban and regional planning/ development and/or environmental studies. Experts’ responses confirmed some results and remained neutral on others, where they recommended further in-depth studies for making a better decision rather than generalization. © 2025 by authors, all rights reserved.</t>
  </si>
  <si>
    <t>2-s2.0-86000349846"</t>
  </si>
  <si>
    <t>10.1038/s43247-025-02108-4</t>
  </si>
  <si>
    <t>https://www.scopus.com/inward/record.uri?eid=2-s2.0-85219689415&amp;doi=10.1038%2fs43247-025-02108-4&amp;partnerID=40&amp;md5=0867d298bee45d410ba7e8bd1d2ce919</t>
  </si>
  <si>
    <t>Coastal subsidence exacerbates relative sea level rise, making low-lying areas vulnerable to flooding. In Hawai’i, the contribution of vertical land motion has not been fully studied. This is critical for urban O’ahu, where infrastructure is on low-lying coastal areas with varying sedimentary consolidation. Here we processed Interferometric Synthetic Aperture Radar data from 2006–2024 for the Hawaiian Islands, referencing them with Global Navigation Satellite System measurements to calculate subsidence rates. We also created a two-meter resolution digital elevation model for coastal O’ahu using 2007–2013 Federal Light Detection and Ranging data, which included hydro-enforcement and gap filling with reprocessed data. Using this elevation data and vertical land motion measurements, we numerically modeled flood exposure. Results suggest that while island-wide subsidence on O’ahu is about 0.6 ± 0.6 mm/yr, the south shore has localized rates exceeding 25.0 ± 1.0 mm/yr. This subsidence, which is much faster than Hawaii’s long-term sea level rise rate (1.54 mm/yr since 1905), could expand flood exposure by up to 53% by 2050 in the Mapunapuna industrial region. Accounting for subsidence compresses the timeline for flood preparedness by up to 50 years, emphasizing the need to integrate these insights into planning and policy for sustainable development and flood mitigation. © The Author(s) 2025.</t>
  </si>
  <si>
    <t>2-s2.0-85219689415"</t>
  </si>
  <si>
    <t>Geomorphology</t>
  </si>
  <si>
    <t>10.1016/j.geomorph.2025.109626</t>
  </si>
  <si>
    <t>https://www.scopus.com/inward/record.uri?eid=2-s2.0-85216456760&amp;doi=10.1016%2fj.geomorph.2025.109626&amp;partnerID=40&amp;md5=11c33809979147ef99fafd08d57c7c0f</t>
  </si>
  <si>
    <t>Soft-rock cliff coasts are eroded by various mechanisms. Marine erosion occurs during storm surges and is linked to increased water levels and wave heights while terrestrial erosion by mass movements is affected by precipitation. This study aims at improving the system understanding of soft-rock cliffs by quantifying observed erosion and the boundary conditions necessary for marine erosion and relating terrestrial erosion to certain prerequisites and weather conditions at a glacial till cliff at the German Baltic Sea coast. The changes at the cliff are quantified using digital elevation models obtained from about monthly drone surveys over a period of four years. Marine and terrestrial erosion both occur mostly in winter and set the mutual preconditions. For terrestrial erosion, precipitation is the main enabling factor, a clear quantification is however difficult. For marine erosion, a threshold based on water level and significant wave height is quantified. With a certain increase in water level, a single event is more likely to surpass that threshold than with the same increase in wave height. Moreover, the effects of the exceptionally severe storm Babet in October 2023 are quantified: It eroded more than all other storms during the study period combined and about as much as would be eroded within seven normal years. The findings exemplify a high vulnerability of soft-rock cliffs to sea-level rise and future storm events. © 2025 The Authors</t>
  </si>
  <si>
    <t>2-s2.0-85216456760"</t>
  </si>
  <si>
    <t>10.1038/s41598-025-89258-9</t>
  </si>
  <si>
    <t>https://www.scopus.com/inward/record.uri?eid=2-s2.0-85218235199&amp;doi=10.1038%2fs41598-025-89258-9&amp;partnerID=40&amp;md5=658fb3f9631e9058663daec2e7fd16fb</t>
  </si>
  <si>
    <t>This study presents a comprehensive investigation of the complex dynamics of sea-level rise (SLR) and its multiple impacts on coastal regions in southern Africa. We meticulously analyse trends and patterns in SLR and subsidence rates using a wealth of data from 1993 to 2022, including observations from a network of 10 reliable tide gauges and XTRACK data processed using the Coastal Altimetry Approach to minimise the shortcomings of conventional coastal altimetry data. Our results show that sea level rise in coastal areas of South Africa, such as Cape Town (6.3 mm/yr), is almost double the global average (3.3 mm/yr). This alarming rate of SLR, coupled with a subsidence rate of more than 2.2 mm/yr, poses a significant and immediate threat to coastal communities, infrastructure and ecosystems. Our research also highlights the impact of seismic activity on coastal dynamics, further exacerbating the challenges posed by SLR. By incorporating the influence of earthquakes on subsidence, we provide a more nuanced understanding of the complex interplay of natural and anthropogenic factors contributing to SLR in the region. In addition, our research sheds light on the wider implications of SLR for some of Africa’s most iconic and culturally significant heritage sites, highlighting the urgent need for proactive coastal management and adaptation strategies. © The Author(s) 2025.</t>
  </si>
  <si>
    <t>2-s2.0-85218235199"</t>
  </si>
  <si>
    <t>10.1016/j.ocemod.2024.102468</t>
  </si>
  <si>
    <t>https://www.scopus.com/inward/record.uri?eid=2-s2.0-85210699872&amp;doi=10.1016%2fj.ocemod.2024.102468&amp;partnerID=40&amp;md5=bc14d2fa39557bc0a41034b3488293e4</t>
  </si>
  <si>
    <t>Global warming is altering the atmosphere and ocean dynamics worldwide, including patterns in the generation and propagation of ocean waves, which are important drivers of coastal evolution, flood risk, and renewable energy. In French Guiana (northern South America), where most of the population is concentrated in coastal areas, understanding future wave climate change is critical for regional development, planning and adaptation purposes. The most energetic waves typically occur in boreal winter, in the form of long-distance swell originating from the mid-latitude North Atlantic Ocean. However, existing high-resolution wave climate projections that cover the French Guiana region focus on the hurricane season only (summer-fall). In this study, we used a state-of-the-art basin-scale spectral wave model and wind fields from a high-resolution atmospheric global climate model to simulate present and future winter (November to April) wave climate offshore of French Guiana. The model performance was evaluated against wave data from ERA5 reanalysis, satellite altimetry and coastal buoys between 1984 and 2013. For the future greenhouse gas emission scenario (Representative Concentration Pathway) RCP-8.5, we found a statistically significant overall projected decrease (∼5 %) in wintertime average significant wave height and mean wave period, with a ∼1° clockwise rotation of mean wave direction. The results suggest that these decreasing trends are primarily driven by changes in large-scale patterns across the Atlantic that counteract an expected increase in local wind speed. We discuss the implications of such projections for mud-bank dynamics along coastal French Guiana, although further local studies are required to address future coastal evolution and hazards. Finally, we identify a need for more in situ wave data near French Guiana to improve quantitative assessments of model performance and allow a correction of possible model biases. © 2024 The Author(s)</t>
  </si>
  <si>
    <t>2-s2.0-85210699872"</t>
  </si>
  <si>
    <t>Nature-Based Solutions</t>
  </si>
  <si>
    <t>10.1016/j.nbsj.2025.100223</t>
  </si>
  <si>
    <t>https://www.scopus.com/inward/record.uri?eid=2-s2.0-86000440853&amp;doi=10.1016%2fj.nbsj.2025.100223&amp;partnerID=40&amp;md5=3497f0b9fc62075c173245cc8ac80173</t>
  </si>
  <si>
    <t>Coastal regions are faced with rising sea levels as well as other coastal hazards caused by climate change. As coastal areas begin adapting shorelines to present and future impacts, planners and land managers are increasingly encouraged to pursue nature-based coastal adaptation (NBCA) approaches as opposed to traditional gray infrastructure solutions. Recent policies also emphasize the importance of centering social equity and environmental justice in climate change adaptation initiatives, calling for increased community engagement and the prioritization of project work in disadvantaged communities. Though NBCA and equity-led approaches are growing more mainstream, to date, no empirical work has investigated how practitioners are currently framing and operationalizing concepts of equity in the burgeoning field of practice. Using an analytic of multiple framings of equity, this study describes how practitioners are currently addressing social equity in NBCA projects in the San Francisco Bay Area, a densely populated and highly urbanized estuary in Northern California. We conducted semi-structured interviews with 30 individuals involved in NBCA projects and planning work across the region, including representatives from government agencies, community-based organizations, and consulting groups. We found that practitioners are overwhelmingly focused on strategies to address distributive and procedural inequities. A minority of practitioners applied contextual, management, and Indigenous sovereignty frames of equity, which depend on larger structural shifts in governance, funding models, shoreline property regimes, and land repatriation and require more NBCA-specific approaches. This study demonstrates the importance of sustaining and increasing attention to multiple dimensions of equity in NBCA planning, particularly those that are currently underrepresented in practitioners’ scopes. We argue for developing specific equity interventions that address the unique challenges of integrating nature into urban coastal adaptation and offer recommendations for practitioners seeking to better operationalize multiple frames of equity in NBCA. © 2025</t>
  </si>
  <si>
    <t>2-s2.0-86000440853"</t>
  </si>
  <si>
    <t>10.3390/data10020015</t>
  </si>
  <si>
    <t>https://www.scopus.com/inward/record.uri?eid=2-s2.0-85219396741&amp;doi=10.3390%2fdata10020015&amp;partnerID=40&amp;md5=890e005aaa676d31b21b8af3ae47826d</t>
  </si>
  <si>
    <t>A global database of coastal flooding impacts resulting from extreme sea levels is developed for the present day and for the years 2050 and 2100. The database consists of three sub-datasets: the extreme sea levels, the coastal areas flooded by these extreme sea levels, and the resulting socioeconomic implications. The extreme sea levels consider the processes of storm surge, tide levels, breaking wave setup and relative sea level rise. The socioeconomic implications are expressed in terms of Expected Annual Population Affected (EAPA) and Expected Annual Damage (EAD), and presented at the global, regional and national scales. The EAPA and EAD are determined both for existing coastal defence levels and assuming two plausible adaptation scenarios, along with socioeconomic development narratives. All the sub-datasets can be visualized with a Digital Twin platform based on a GIS-based mapping host. This publicly available database provides a first-pass assessment, enabling users to extract and identify global and national coastal hotspots under different projections of sea level rise and socioeconomic developments. Dataset: https://doi.org/10.26188/25874179.v1 Dataset License: CC BY 4.0 © 2025 by the authors.</t>
  </si>
  <si>
    <t>Data paper</t>
  </si>
  <si>
    <t>2-s2.0-85219396741"</t>
  </si>
  <si>
    <t>10.52939/ijg.v21i2.3929</t>
  </si>
  <si>
    <t>https://www.scopus.com/inward/record.uri?eid=2-s2.0-86000310061&amp;doi=10.52939%2fijg.v21i2.3929&amp;partnerID=40&amp;md5=f7344033844d419b5074b636a7db55d7</t>
  </si>
  <si>
    <t>Research on flood hazard and risk mapping has been widely conducted and is crucial for flood disaster management and mitigation. These studies often involve flood modeling using HEC-RAS, which has been applied to major rivers in the Special Region of Yogyakarta Province. This modeling analyses the area and depth of inundation using parameters such as flood hydrographs, Manning’s coefficient, and Digital Elevation Model (DEM) data. This study aims to compare the discharge simulated by the GAMA I Synthetic Unit Hydrograph (HSS GAMA I) model with observed discharges using loggers and to evaluate flood modeling with HEC-RAS in Sewon District, Bantul Regency. The results of flood modeling predictions using two different discharge inputs are not too different in terms of discharge and inundation area. Peak discharge values using HSS Gama I are determined as 29.70 m³/s, 52.11 m³/s, and 64.20 m³/s for 2, 5, and 10-year return periods respectively, while values obtained using loggers are 26.16 m³/s, 41.53 m³/s, and 49.56 m³/s. It can be concluded that discharge data from the HSS GAMA I method can still be considered relevant to be used as an alternative method if discharge data is not obtained from direct measurements. Geometry data obtained from the results of aerial photography that is regressed with terrestrial data is also important in this study because it can adjust the basic data and the latest data into one good geometry data. At least the data produced can represent the geometry of the modeled river as closely as possible to the conditions in the field and the results of this study can be a new reference for further research to be able to apply the model and adjust it to the character of each region, so that flood modeling using HEC-RAS becomes more innovative and adaptable to the modeled area. © Geoinformatics International.</t>
  </si>
  <si>
    <t>2-s2.0-86000310061"</t>
  </si>
  <si>
    <t>10.1016/j.jenvman.2025.124578</t>
  </si>
  <si>
    <t>https://www.scopus.com/inward/record.uri?eid=2-s2.0-85217929596&amp;doi=10.1016%2fj.jenvman.2025.124578&amp;partnerID=40&amp;md5=4d515f4216981f3e0109ca21bf2d7b63</t>
  </si>
  <si>
    <t>Marine litter (ML), predominantly plastic, threatens oceanic biodiversity and ecosystem functioning globally. However, limited knowledge exists about its impact on India's coastal areas, particularly the Lakshadweep Islands, the nation's sole coral atolls. Within this frame of reference, the present study comprehensively investigated the distribution, abundance, typology, and ecological risks associated with ML across 28 beaches and three lagoon reef stations on Kavaratti Island. A total of 32,710 litter items, divided into 11 categories, were found with an average litter density of 0.82 ± 0.80 items/m2. Plastic litter emerged as the most prevalent category across the study area, constituting 63.7% of the total, and public littering was identified as the primary source (43%). Assessments of environmental quality and ecological risk, employing indices like the Clean Coast Index (CCI), Plastic Abundance Index (PAI), Hazardous Litter Index (HLI), Pollution Load Index (PLI), and Environmental Status Index (ESI), identified the Lakshadweep coastline as being at risk due to litter pollution and hazardous litter abundance. The mean concentration of trapped litter on the coral reef was estimated at 1.73 ± 0.46 items/m2, with a PLI value of 53.4, indicating an alarming ecological risk and highly perilous condition for the lagoon reef ecosystem. Approximately 5.94% ± 0.18% of coral colonies, particularly of the Porites genus, were found in contact with ML, with a significant proportion displaying signs of disease and tissue loss (59.37%), and partial bleaching or pale (14.86%). The results highlight the growing threat of litter to beach and coral communities, emphasizing the urgent need for effective regional litter management, strengthened policies for banning and phasing out single-use plastics in Lakshadweep, and efficient transportation of non-biodegradable waste to authorized recyclers on the mainland. © 2025 Elsevier Ltd</t>
  </si>
  <si>
    <t>2-s2.0-85217929596"</t>
  </si>
  <si>
    <t>10.1016/j.ijdrr.2025.105286</t>
  </si>
  <si>
    <t>https://www.scopus.com/inward/record.uri?eid=2-s2.0-85217114592&amp;doi=10.1016%2fj.ijdrr.2025.105286&amp;partnerID=40&amp;md5=66c237e6d27e485aba844e9dd4698b6e</t>
  </si>
  <si>
    <t>This study presents a global comprehensive vulnerability and risk assessment of social-ecological systems to flooding and erosion in 136 major coastal cities. The risk index was estimated using an indicator-based risk assessment approach, combining hazard, exposure, and vulnerability. The results show that cities exhibiting greater risk are mostly in Asia, while cities with lower risk are mainly in Africa, Europe, and North America. Approximately 54 million people and US$ 3055 billion worth of assets are vulnerable to coastal hazards in 136 cities. Asian cities demonstrate a higher level of population exposure, while North American cities have higher asset exposure. Furthermore, the results also suggest that cities with coastal ecosystems and integrated nature-based solutions (NbS) in flood and erosion management plans tend to have lower risk levels than average. The paper emphasizes the importance of integrating NbS for flood and erosion risk management for adapting to climate change. © 2025 The Authors</t>
  </si>
  <si>
    <t>2-s2.0-85217114592"</t>
  </si>
  <si>
    <t>10.1016/j.jenvman.2025.124245</t>
  </si>
  <si>
    <t>https://www.scopus.com/inward/record.uri?eid=2-s2.0-85215403770&amp;doi=10.1016%2fj.jenvman.2025.124245&amp;partnerID=40&amp;md5=15bba918dae8fbf64af4aed0391f96dd</t>
  </si>
  <si>
    <t>This study employed in-situ online monitoring to assess the impact of Spartina alterniflora harvesting on greenhouse gas emissions. Their fluxes and δ13C values were measured in unvegetated tidal flat, low and medium vegetation coverage areas of the salt marsh wetlands along the south shore of Hangzhou Bay about a month after harvest. The objective was to clarify fluxes changes and interactions with environmental factors. The results indicated that methane (CH4) emissions were highest in the unvegetated tidal flat area, reaching 230.27 nmol m−2·s−1, whereas carbon dioxide (CO2) emissions peaked at 2.16 μmol m−2·s−1 in the low vegetation coverage area. Increased vegetation coverage was associated with decreased CH4 emissions, however, CO2 emissions showed inconsistent trends across different levels of vegetation. During the daytime, average CH4 emissions from the unvegetated tidal flat, low and medium vegetation coverage areas were 214.00, 100.26, and 77.54 nmol m−2·s−1, respectively. In contrast, nighttime emissions from these areas were 207.18, 81.00, and 69.90 nmol m−2·s−1, respectively. The average CO2 emissions during the daytime were 2.18, 1.56, and 0.23 μmol m−2·s−1 for the same three areas, while nighttime emissions were 1.94, 2.52, and 2.88 μmol m−2·s−1, respectively. CH4 emissions were elevated during the daytime under vegetative cover, whereas CO2 emissions peaked at night. Tidal influences led to increased CH4 fluxes before and after high tide, while CO2 emissions reached their nadir during high tide. Soil exposure coupled with increased organic matter from harvested Spartina alterniflora significantly elevated CH4 emissions. However, CO2 emissions did not exhibit a significant increase compared to other regions. © 2025 Elsevier Ltd</t>
  </si>
  <si>
    <t>2-s2.0-85215403770"</t>
  </si>
  <si>
    <t>10.1016/j.jhydrol.2025.132687</t>
  </si>
  <si>
    <t>https://www.scopus.com/inward/record.uri?eid=2-s2.0-85215442825&amp;doi=10.1016%2fj.jhydrol.2025.132687&amp;partnerID=40&amp;md5=f63d054acaf2736f631c24e0fc870a37</t>
  </si>
  <si>
    <t>Urban flood modeling depends heavily on the quality of Digital Elevation Models (DEMs). However, accurate, high-resolution DEMs are often expensive and not widely available, particularly in data-limited regions. Consequently, researchers frequently rely on Global Digital Elevation Models (GDEMs), which suffer from vertical biases and limited spatial resolution. This limitation is especially critical in urban settings, where detailed terrain features are essential for accurate flood prediction. In this study, we introduce a novel methodology that leverages Convolutional Neural Network (CNN) architecture (U-Net) and utilizes GDEMs and other publicly available datasets (e.g., Landsat-8, Sentinel-1, and Sentinel-2) to produce an enhanced DEM with a 5-meter spatial resolution. Using USGS high-resolution DEMs as a reference, our results demonstrate that our method is able to generate DEMs with significantly lower vertical biases (82.1% lower RMSE and 87.8% lower MAE) compared to GDEMs. Additionally, the model produces a more detailed representation of urban features that are essential for flood pattern analysis. By applying this improved DEM within a flood simulation model, we show that the Probability of Detection increases by 12% increase and the False Alarm Ratio decreases by 13% compared to GDEMs. These findings underscore the potential of using deep learning and multi-source data to improve DEM quality for more accurate urban flood modeling and management in data-limited regions. © 2025 Elsevier B.V.</t>
  </si>
  <si>
    <t>2-s2.0-85215442825"</t>
  </si>
  <si>
    <t>10.1007/s10661-025-13773-5</t>
  </si>
  <si>
    <t>https://www.scopus.com/inward/record.uri?eid=2-s2.0-85219601299&amp;doi=10.1007%2fs10661-025-13773-5&amp;partnerID=40&amp;md5=f1e25312f2723c9aaa5a31faadb35379</t>
  </si>
  <si>
    <t>The fast degradation in bathymetry, floodwater retention capacity, and changes in salinity regimes of Vembanad—the largest wetland system in South India—and its impacts on the ecosystem services are assessed using high-resolution data sets on bathymetry and hydrography. Strengthening the outer banks of Kuttanad polders to promote paddy cultivation led to a sharp decline in its sediment (suspended) filtration potential, promoting heavy siltation and depth shrinkage of Vembanad Lake. With an area of 315 sq.km and an average depth of 8.5 m (south sector)/7.87 m (central sector), the lake had a retention capacity of 2617.5 MCM floodwaters in 1930 which was reduced to 384.7 MCM by 2020 (85.3% loss in retention capacity) due to area (162.5 sq.km) and depth (average 1.8 m in the south sector and 2.87 m in the central sector) shrinkages. This resulted in the prolonged inundation of low-lying areas and increased incidences of flash floods. Both sectors of the lake maintain limnetic and well-mixed conditions during the monsoon whereas during non-monsoon season, the central sector turns to polyhaline/mesohaline and oligohaline conditions with stratified, partially mixed, and well-mixed salinity stratifications unlike the south sector which perennially remain limnetic and well mixed. The observed shift in salinity regimes appears to promote hypertrophic conditions, biodiversity loss, and a sharp reduction in the black clam abundance of the south sector, which before the commissioning of Thannermukkom Barrage (TMB) was a major clam ground. © The Author(s), under exclusive licence to Springer Nature Switzerland AG 2025.</t>
  </si>
  <si>
    <t>2-s2.0-85219601299"</t>
  </si>
  <si>
    <t>Catena</t>
  </si>
  <si>
    <t>10.1016/j.catena.2025.108722</t>
  </si>
  <si>
    <t>https://www.scopus.com/inward/record.uri?eid=2-s2.0-85216688520&amp;doi=10.1016%2fj.catena.2025.108722&amp;partnerID=40&amp;md5=6f6b6fb8adec3ded47b3d1f4526469ca</t>
  </si>
  <si>
    <t>High net primary production and low soil organic carbon (SOC) decomposition rates ensure that mangroves are important carbon sink likely to be disturbed by rising sea level. The differences in environmental factors along land-sea gradients in mangrove forests influence SOC characteristics. Six typical intertidal zones of mangrove distribution in the subtropical and tropical regions of China were selected for this study. Each intertidal zone was divided into three sections, ranging from land to sea: the landward zone (LW), the middle zone (MZ), and the seaward zone (SW). This classification aimed to investigate the distribution of key driving factors influencing mangrove wetland SOC and its various fractions SOC and its different fractions. The average SOC content ranged between 15.85 and 37.08 g kg−1, and was 31 % and 57 % lower in MZ and SW than LW, respectively. Compared with LW, easily oxidizable-carbon (EOC) content in MZ and SW was 16 % and 58 % lower, and dissolved organic-carbon (DOC) content was 46 % and 67 % lower, respectively. Location affected the characteristics of the distribution of SOC fractions (p &lt; 0.05). Vegetation biomass and total N and P contents were key driving factors affecting SOC content. Mangrove forest age was another important factor affecting SOC. LW environment had the largest total N and P content, leading to larger SOC, EOC and microbial biomass carbon content compared to MZ and SW. We highlight the environmental gradient divergence in the SOC in the intertidal zone found when systematically assessing the SOC pool function of the coastal zone, which warrants research into the SOC cycle in coastal wetlands. Rising sea levels may cover more current tidal mangrove areas and, if there is no space to move inland, current mangrove formations in more tidal areas could disappear. As a result, the C-stored in these mangrove communities could be eroded, sparced and lost. © 2025 Elsevier B.V.</t>
  </si>
  <si>
    <t>2-s2.0-85216688520"</t>
  </si>
  <si>
    <t>10.1016/j.ocemod.2025.102510</t>
  </si>
  <si>
    <t>https://www.scopus.com/inward/record.uri?eid=2-s2.0-85217537651&amp;doi=10.1016%2fj.ocemod.2025.102510&amp;partnerID=40&amp;md5=a049f7fbfbf9c5dcc197f562695d06dc</t>
  </si>
  <si>
    <t>Predicting coastal wave overtopping is a significant challenge, exacerbated by climate change, increasing the frequency of severe flooding and rising sea levels. Digital twin technologies, which utilise artificial intelligence to mimic coastal processes and dynamics, may offer new opportunities to predict coastal wave overtopping and flooding reliably and computationally efficiently. This study investigates the effectiveness of training various artificial intelligence models using wave buoy, meteorological, and recorded coastal wave overtopping observations to predict the occurrence and frequency of overtopping at 10-minute intervals. These models have the potential for future large-scale global applications in estimating wave overtopping and flood forecasting, particularly in response to climate warming. The model types selected include machine-learning random forests, extreme gradient boosting, support vector machines, and deep-learning neural networks. These models were trained and tested using recorded observational overtopping events, to estimate wave overtopping and flood forecasting in Dawlish and Penzance (Southwest England). The random forests performed exceptionally well by accurately and precisely estimating coastal wave overtopping and non-overtopping 97 % of the time within both locations, outperforming the other models. Moreover, the random forest model outperforms existing process-based and EurOtop-based models. This research has profound implications for increasing preparedness and resilience to future coastal wave overtopping and flooding events by using these random forest models to predict overtopping and flood forecasting on wider global and climate scales. These trained random forests are significantly less computationally demanding than existing process-based models and can incorporate the important effect of wind on overtopping, which was neglected in existing empirical approaches. © 2025</t>
  </si>
  <si>
    <t>2-s2.0-85217537651"</t>
  </si>
  <si>
    <t>10.5194/gmd-18-843-2025</t>
  </si>
  <si>
    <t>https://www.scopus.com/inward/record.uri?eid=2-s2.0-85218952929&amp;doi=10.5194%2fgmd-18-843-2025&amp;partnerID=40&amp;md5=85770fe71270b231e3f3c2332ec13555</t>
  </si>
  <si>
    <t>Accurate flood risk assessments and early warning systems are needed to protect and prepare people in coastal areas from storms. In order to provide this information efficiently and on time, computational costs in flood models need to be kept as low as possible. One way to achieve this goal is to apply subgrid corrections to relatively coarse computational grids. Previously, these have been used in full-physics circulation models. In this paper, for the first time, we developed subgrid corrections for the linear inertial equations (LIEs) that account for bed level and friction variations. They were implemented in the Super-Fast INundation of CoastS (SFINCS) model version 2.1.1 Dollerup release. Pre-processed lookup tables that correlate water levels with hydrodynamic quantities make more precise simulations with lower computational costs possible. These subgrid corrections have undergone validation through several conceptual and real-world application scenarios, including rainfall-induced flooding during a hurricane and tidal propagation in an estuary. We demonstrate that the subgrid corrections for linear inertial equations significantly improve model accuracy while utilizing the same resolution without subgrid corrections. In terms of computational efficiency, subgrid corrections increase computational costs by 38 %-128 %. However, this yields a 35-50-time speedup since coarser model resolutions with subgrid corrections can provide the same accuracy as finer resolutions without subgrid corrections. Limitations are also discussed</t>
  </si>
  <si>
    <t>10.1016/j.envsoft.2025.106418</t>
  </si>
  <si>
    <t>https://www.scopus.com/inward/record.uri?eid=2-s2.0-86000545964&amp;doi=10.1016%2fj.envsoft.2025.106418&amp;partnerID=40&amp;md5=aab5b61d4d3dbc4d91a12f9ec9195c89</t>
  </si>
  <si>
    <t>The number and devastating impacts of natural disasters have grown significantly worldwide, and floods are one of the most dangerous and frequent natural disasters. Recent studies emphasize the importance of public awareness in disaster preparedness and response activities. FloodGame is designed as a web-based interactive serious game geared towards educating K-12 and college students and raising public awareness on flood prevention and mitigation strategies so that they are more informed about the implications of future floods. A web-based interactive gaming environment with rich 3D visuals and models is developed that allows users to experiment with different flood mitigation strategies for a real-world location of their choice. This immersive, repeatable, and engaging experience will allow students and the public to comprehend the consequences of individual mitigation measures, build a conceptual understanding of the benefits of mitigation actions, and examine how floods may occur in their communities. © 2025 Elsevier Ltd</t>
  </si>
  <si>
    <t>2-s2.0-86000545964"</t>
  </si>
  <si>
    <t>GEM - International Journal on Geomathematics</t>
  </si>
  <si>
    <t>10.1007/s13137-025-00262-7</t>
  </si>
  <si>
    <t>https://www.scopus.com/inward/record.uri?eid=2-s2.0-85218245503&amp;doi=10.1007%2fs13137-025-00262-7&amp;partnerID=40&amp;md5=0aa1aa089cbf4e3ba9a9cf382b93e6d5</t>
  </si>
  <si>
    <t>In this work, we present a high-order finite volume framework for the numerical simulation of shallow water flows. The method is designed to accurately capture complex dynamics inherent in shallow water systems, and it is particularly suited for real applications such as tsunami simulations. The arbitrarily high-order framework ensures accurate representation of flow behaviors, crucial for simulating phenomena characterized by rapid changes and fine-scale features. Thanks to an ad-hoc reformulation in terms of production-destruction terms, the time integration ensures positivity preservation without any time-step restrictions, a vital attribute for physical consistency, especially in scenarios where negative water depth reconstructions could lead to unrealistic results. In order to introduce the preservation of general steady equilibria dictated by the underlying balance law, the high-order reconstruction and numerical flux are blended in a convex fashion with a well-balanced approximation, which is able to provide exact preservation of both static and moving equilibria for pseudo-monodimensional states as well as for general 2D water at rest solutions. Through numerical experiments, we demonstrate the effectiveness and robustness of the proposed approach in capturing the intricate dynamics of shallow water flows, while preserving key physical properties essential for flood simulations. © The Author(s), under exclusive licence to Springer-Verlag GmbH Germany, part of Springer Nature 2025.</t>
  </si>
  <si>
    <t>2-s2.0-85218245503"</t>
  </si>
  <si>
    <t>10.3390/atmos16020205</t>
  </si>
  <si>
    <t>https://www.scopus.com/inward/record.uri?eid=2-s2.0-85218624312&amp;doi=10.3390%2fatmos16020205&amp;partnerID=40&amp;md5=4c4527c495cecac3e1c176e4051dfd03</t>
  </si>
  <si>
    <t>The Taihang Mountains serve as a critical geographical barrier in northern China, delineating two major 2.5-micrometer particulate matter (PM2.5) pollution hotspots in the Beijing–Tianjin–Hebei region and the Fenwei Plain. This study examines the underlying mechanisms and interregional dynamic transport pathways of a severe PM2.5 pollution event that occurred in the urban agglomerations of the Central Taihang Mountains (CTHM) from 8–13 December 2021. The WRF-HYSPLIT simulation was employed to analyze a broader range of potential pollution sources and transport pathways. Additionally, a new river network analysis module was developed and integrated with the Atmospheric Pollutant Transport Quantification Model (APTQM). This module is capable of identifying localized, small-scale (interplot) pollution transport processes, thereby enabling more accurate identification of potential source areas and transport routes. The findings indicate that the persistence of low temperatures, high humidity, and stagnant atmospheric conditions facilitated both the local accumulation and cross-regional transport of PM2.5. The eastern urban agglomerations, such as Shijiazhuang and Xingtai, were predominantly influenced by northwesterly air masses originating from Inner Mongolia and Shanxi, with pollution levels intensified due to topographic blocking and subsidence effects east of the Taihang Mountains. In contrast, western urban centers, including Taiyuan and Yangquan, experienced pollution primarily from short-range transport within the Fen River Basin, central Inner Mongolia, and Shaanxi, compounded by basin-induced stagnation. Three principal transport pathways were identified: (1) a northwestern pathway from Inner Mongolia to Hebei, (2) a southwestern pathway following the Fen River Basin, and (3) a southward inflow from Henan. The trajectory analysis revealed that approximately 68% of PM2.5 in eastern receptor cities was transported through topographic channels within the Taihang Transverse Valleys, whereas 43% of pollution in the western regions originated from intra-basin emissions and basin-capture circulation. Furthermore, APTQM-PM2.5 identified major pollution source regions, including Ordos and Chifeng in Inner Mongolia, as well as Taiyuan and the Fen River Basin. This study underscores the synergistic effects of basin topography, regional circulation, and anthropogenic emissions in shaping pollution distribution patterns. The findings provide a scientific basis for formulating targeted, regionally coordinated air pollution mitigation strategies in complex terrain areas. © 2025 by the authors.</t>
  </si>
  <si>
    <t>2-s2.0-85218624312"</t>
  </si>
  <si>
    <t>10.1016/j.geomorph.2025.109692</t>
  </si>
  <si>
    <t>https://www.scopus.com/inward/record.uri?eid=2-s2.0-86000533102&amp;doi=10.1016%2fj.geomorph.2025.109692&amp;partnerID=40&amp;md5=7b49df57a6bc5b98d2f4b51cb14b1b30</t>
  </si>
  <si>
    <t>A geomorphological-stratigraphical study, integrated with a modelling approach, has been employed to constrain the age of relative sea-level indicators (RSLi) along the quasi-stable Mt. Bulgheria coast in the southern Apennines, located on the eastern margin of the Tyrrhenian Sea. Focusing on the geological evidence of late Quaternary sea-level fluctuations within the 0 to 12 m above sea level (a.s.l.) elevation range, we describe RSLi along ca. 8 km of coastline and constrain their elevation, including those of previously undated RSLi in the same area. The reassessment of field data was needed to address the phenomenon of the reoccupation of older RSLi by younger ones. The approach employs the synchronous correlation method, integrating highstand peak elevations from global sea-level curves and a calibrated uplift rate value, derived from the correlation of RSLi-2 (currently at 8 ± 1 m a.s.l.) with Marine Isotope Stage (MIS) 9c, as suggested by recent findings. Overall, four RSLi are identified in the investigated coastal zone: RSLi-1 (11 ± 1 m a.s.l.), correlated with MIS 11</t>
  </si>
  <si>
    <t>10.52939/ijg.v21i2.3937</t>
  </si>
  <si>
    <t>https://www.scopus.com/inward/record.uri?eid=2-s2.0-86000350864&amp;doi=10.52939%2fijg.v21i2.3937&amp;partnerID=40&amp;md5=bd4255e740ca60af2fb77a30fd1e7bda</t>
  </si>
  <si>
    <t>Tidal flooding represents a natural phenomenon that presents a significant risk to coastal regions in Indonesia. It occurs when sea tides inundate an area with a topography that is below sea level, such as Bandar Lampung City's coastal areas. In order to mitigate the adverse effects of tidal floods in these regions, it is essential to develop a comprehensive model of the tidal flood hazard, coupled with effective mitigation strategies. In order to evaluate the potential for tidal flooding, inundation modelling was conducted using the minimum height of tidal flooding (10 cm), the value of the low tide level (43 cm), and the highest tide during full moon conditions (160 cm) with the Digital Elevation Model (DEM). The ArcGIS software was employed to create a model of inundation through the use of the raster calculator tool, resulting in the generation of a map that delineates the extent of tidal flood hazard levels and the areas that would be affected. The modeling analysis indicates that the tidal flood hazard affects an area of 172.95 hectares. The land uses most susceptible to impact are shrubs and settlements. Panjang Sub-district experienced the most extensive inundation area due to its residential, industrial, trade, and port activities in the 160 cm inundation scenario. In order to mitigate the risk of tidal flooding, various measures can be implemented, such as raising house floors, constructing multi-storey houses, implementing residential conservation, and developing mitigation plans through spatial planning and control strategies. The level of tidal flood hazard, existing adaptation and mitigation measures, and characteristics of tidal flooding can be used as a reference in the formulation of coastal management strategies to mitigate the impact of tidal flooding in coastal regions. © Geoinformatics International.</t>
  </si>
  <si>
    <t>2-s2.0-86000350864"</t>
  </si>
  <si>
    <t>10.1007/s12145-025-01812-1</t>
  </si>
  <si>
    <t>https://www.scopus.com/inward/record.uri?eid=2-s2.0-85218891440&amp;doi=10.1007%2fs12145-025-01812-1&amp;partnerID=40&amp;md5=ada32701ba8cf8dc407594e19b66a866</t>
  </si>
  <si>
    <t>Global digital elevation model (DEM) datasets, such as the Shuttle Radar Topography Mission (SRTM), are widely used for flood inundation modeling in developing nations. However, errors in these datasets can significantly impact the accuracy of analyses and applications. Attempts to improve DEM accuracy have used supplementary data like flood observations, vegetation data, and drainage networks, but these approaches are limited in data-scarce regions where such information is unavailable. To address this issue, this study proposes bias correction of DEM elevation values using ground truth data from field measurements and outlines a systematic framework to improve flood inundation mapping. Various ground truth sampling strategies are tested, and the minimum number of points required is identified. The framework is applied to the Brazos River, Texas, USA, using the HEC-RAS 2D model for a major flood event. Results demonstrate significant improvements in DEM accuracy following bias correction. The mean DEM error was reduced from 4.5 m to 0.0 m, with a notable decrease in error variance. The RMSE decreased by 55–70% across sampling strategies. Performance indices for inundation extent, F-index and C-index, improved by 47% and 60%, respectively, while the maximum depth simulation showed a 350% enhancement in Nash-Sutcliffe Efficiency (NSE), increasing from 0.13 to 0.59 when the corrected DEM was used. The results demonstrate that the proposed farmwork aids in significantly improving the vertical accuracy of global DEMs, enabling more precise hydrological simulations and flood risk assessments. © The Author(s), under exclusive licence to Springer-Verlag GmbH Germany, part of Springer Nature 2025.</t>
  </si>
  <si>
    <t>2-s2.0-85218891440"</t>
  </si>
  <si>
    <t>Atmospheric Research</t>
  </si>
  <si>
    <t>10.1016/j.atmosres.2025.107927</t>
  </si>
  <si>
    <t>https://www.scopus.com/inward/record.uri?eid=2-s2.0-85215372748&amp;doi=10.1016%2fj.atmosres.2025.107927&amp;partnerID=40&amp;md5=236b1ce888fe247511ac2c44c55f40da</t>
  </si>
  <si>
    <t>Rainfall in southern China (SC) reaches its annual peak in early summer (May–June), which is often accompanied by the occurrence of rainstorm and flooding disasters. Reliable subseasonal precipitation forecasts play important roles in disaster prevention and mitigation. In this study, the four leading predictable patterns (accounts for 63.24 % of the total variance) of weekly precipitation anomalies (WPA) over Southern China (SC) during early summer and the corresponding signal sources in European Centre for Medium-Range Weather Forecasts (ECMWF) are analyzed. The first and second predictable patterns present uniform and meridional dipole pattern over SC, respectively, while the third and fourth predictable patterns feature with the tripole patterns. Further analysis indicates that the low-level anomalous anticyclone centered over the tropical western Pacific and the lower-level subtropical western North Pacific anomalous anticyclone are the key predictability sources for the first and second predictable patterns, respectively. Although ECMWF shows limited forecast skills in predicting the four leading predictable patterns after 2-week lead time, it can capture the associated large-scale circulation features to a large extent even up to 4-week lead time. Against this backdrop, we develop a dynamical-statistical model (DSM) using random forest to reconstruct these predictable patterns of WPA based on the associated large-scale features in ECMWF. The DSM can extend the forecast skills of WPA up to 4-week lead time over the majority area of SC and increase regional average TCC by ∼0.1 compared to the ensemble mean forecast from ECMWF for 3–4-week lead times. Further analysis indicates that the enhanced TCCs of DSM compared with ECMWF can be largely attributed to the enhancement in predicting the second predictable pattern. The proposed DSM is very promising in subseasonal precipitation forecasts and can also be applied to the routine forecast of other atmospheric and ocean phenomena in the future. © 2025 Elsevier B.V.</t>
  </si>
  <si>
    <t>2-s2.0-85215372748"</t>
  </si>
  <si>
    <t>10.1007/s10236-025-01670-x</t>
  </si>
  <si>
    <t>https://www.scopus.com/inward/record.uri?eid=2-s2.0-85219620446&amp;doi=10.1007%2fs10236-025-01670-x&amp;partnerID=40&amp;md5=1a8a8e76897ec102ad2f3b4585114f74</t>
  </si>
  <si>
    <t>The development and tuning of oceanographic models for coastal regions can be a time-consuming process. However, there are many situations in which an easily producible, user-friendly and still reliable tool is desirable for unresolved coastal regions, or planning modifications of coastal infrastructure, wind farms, assist in search and rescue operations, etc. This paper develops a prototype of an on-demand, relocatable modelling tool enabling to create the coastal setup easily by simply attaching higher resolution domain(s) to the base setup of open seas. The prototype runs on internal system at Danish Meteorological Institute (DMI), that is designed for further public use in a later stage in EU Digital Twin Ocean. To accomplish this, we apply the oceanographic circulation model HIROMB BOOS Model (HBM) which implements a two-way nesting technique to ensure a seamless transition from open seas to coastal waters. This tool is based on publicly available resources: bathymetry, oceanographic software, weather forcing, boundary forcing, etc., so that, it can be accessible by public community. The base bathymetry of the model at resolution of 2 arc seconds is derived from EMODnet bathymetry with coastal correction by using OpenStreetMap coastline. Lower resolution bathymetries in discrete resolutions are derived from the base bathymetry and processed beforehand, ensuring that users can apply them directly. To ensure close connections (strait, fjord, large river, channel, etc.) between water bodies, a vector layer of waterways is used for each low-resolution bathymetry. In the same way, narrow land forms (dam, narrow-long island or peninsula, road, etc.) are ensured by vector layer of dams. The on-demand tool is specifically designed for the North Sea-Baltic Sea region and is based on a tuned setup for open seas with properly-resolved Danish straits. As the on-demand tool will not use data assimilation, salinity inflow in the Baltic Sea is enhanced by slight smoothing of the bathymetry from Danish straits to Baltic proper. When comparing the results of base setup with existing reanalysis products in the North Sea - Baltic Sea, sea level of the HBM base setup shows favourable results. On-demand high resolution downscaling simulations have been tested for some major storm surge cases, showing benefits of using high resolution in storm surge modelling. The stability and quality of the resulting two-way nested coastal setups can be enhanced by implementing a cascade of two-way nestings. In summary, the paper demonstrates that creation of on-demand coastal oceanographic applications by attaching highly resolved coastal domains to existing base setups for open seas is achievable task. © The Author(s) 2025.</t>
  </si>
  <si>
    <t>2-s2.0-85219620446"</t>
  </si>
  <si>
    <t>Quarterly Journal of Engineering Geology and Hydrogeology</t>
  </si>
  <si>
    <t>10.1144/qjegh2024-119</t>
  </si>
  <si>
    <t>https://www.scopus.com/inward/record.uri?eid=2-s2.0-86000761719&amp;doi=10.1144%2fqjegh2024-119&amp;partnerID=40&amp;md5=69a5360148b6b1b22efddcd06c0f0e27</t>
  </si>
  <si>
    <t>Coastal resilience and vulnerability, to marine erosion and flooding, are strongly influenced by geology, geomorphology and the presence or absence of engineering structures. Many studies, using a range of methodologies, have been conducted around the coastline of Europe to assess both resilience and vulnerability. A new EMODnet Geology data product provides a pan-European map visualization, at a range of scales, indicating lower, intermediate and higher levels of coastline vulnerability to erosion and flooding. The shorelines of the Mediterranean and Baltic Seas appear to be less resilient than those of the Atlantic Ocean, Greater North Sea and Black Sea. Estuarine, deltaic and other lowland shorelines with coastal barriers show lower resilience, except where they are managed through nourishments. The map, and associated metadata, provides a tool for users who are interested not only in the pan-European distribution of coastal resilience and vulnerability, but also in the wide range of methodological approaches used in their assessment. © 2025 The Author(s). Published by The Geological Society of London.</t>
  </si>
  <si>
    <t>2-s2.0-86000761719"</t>
  </si>
  <si>
    <t>10.1016/j.nbsj.2025.100218</t>
  </si>
  <si>
    <t>https://www.scopus.com/inward/record.uri?eid=2-s2.0-85216461819&amp;doi=10.1016%2fj.nbsj.2025.100218&amp;partnerID=40&amp;md5=b2ac8b5ab69d8ad608d41aa1c2c68330</t>
  </si>
  <si>
    <t>Managed dyke realignment is a method of creating more coastal wetland environments, by breaching constructed dykes (levees) to allow seawater driven by tides to flood the land surface and enable re-establishment of salt marshes over time. However, coastal land regions that are protected by dykes experience major hydrodynamic changes after breaching. To investigate these dynamics, a dyke in Atlantic Canada was purposefully breached and the adjacent land surface allowed to flood with the tides. Field measurements pre- and post-breach provide a rare opportunity to model the hydrodynamics of early dyke realignment in a hypertidal estuary in the Bay of Fundy. These include measurements of water levels and current velocities at spring tide collected across of field site. A numerical model with an unstructured flexible mesh (Delft3D-FM) was applied to examine the impacts of tidal flooding from a river channel, through the dyke breach and across the previously agricultural landscape that was historically a salt marsh. The model was used to simulate the hydrodynamics inside and around the breach before and after seawater flooding during spring tides, to evaluate the initial impacts of this nature-based method of managed dyke realignment. The results indicate that the breach was not wide enough to influence water levels within the Missaguash River. The depth-averaged current speeds can exceed 1 m s−1 within the breach and are typically &lt;0.3 m s−1 across the flooded area with an average depth of 0.66 m over the simulation period with six tidal cycles. The model results also highlight the importance of high-resolution computational grids and variable bottom roughness for simulating the hydrodynamics of small-scale salt marsh restoration projects. Overall, the results may provide insight to researchers and practitioners in applying nature-based solutions to improve coastal resilience. © 2025 The Authors</t>
  </si>
  <si>
    <t>2-s2.0-85216461819"</t>
  </si>
  <si>
    <t>10.1016/j.ejrh.2025.102306</t>
  </si>
  <si>
    <t>https://www.scopus.com/inward/record.uri?eid=2-s2.0-86000156969&amp;doi=10.1016%2fj.ejrh.2025.102306&amp;partnerID=40&amp;md5=93344bfae3fd3f7ae8646743660229d8</t>
  </si>
  <si>
    <t>Study region: The studied region is the Saigon River basin, located along the eastern border of the Mekong Delta in southern Vietnam. Study focus: In this rapidly growing economic region facing with land subsidence, aquifers are a key resource for agricultural and urban uses. This study focuses on the vulnerability of shallower aquifers (0–150 m deep) in elevated zones (+15 m asl), strategically considered as “refuge zones” compared with the inundated lowlands. Clayey aquitard layers were analyzed for their capacity to protect, or not, the aquifer from infiltration of polluted waters. 260 Time Domain Electromagnetic (TDEM) soundings were used to detect clayey layers and create resistivity maps. New hydrological insights for the region: TDEM results revealed an unknown geometry of the aquifer-aquitard down to 150 m depth. On the right bank of the river, there were no superficial clayey layers to protect the aquifer from infiltrating pollutants. In comparison, on the left bank, the flood plain is clay-rich, thus favoring runoff rather than infiltration of polluted waters. Observations of the deeper clayey layers highlighted discontinuities, which follow ancient meanders and floodplain shapes that originated from quaternary transgression sequences. These results provide clues for understanding past regional sedimentation processes, and links with current aquifer vulnerability. Such information is critical for the strategic planning of elevated areas of coastal megacities such as Ho Chi Minh City. © 2025 The Authors</t>
  </si>
  <si>
    <t>2-s2.0-86000156969"</t>
  </si>
  <si>
    <t>10.1016/j.jag.2025.104476</t>
  </si>
  <si>
    <t>https://www.scopus.com/inward/record.uri?eid=2-s2.0-86000497172&amp;doi=10.1016%2fj.jag.2025.104476&amp;partnerID=40&amp;md5=cbf2001a72942d7eb7f1eef5298d21cb</t>
  </si>
  <si>
    <t>This study employs an integrated approach, combining remote sensing and numerical modelling techniques, to characterize flood-prone regions resulting from the combined effects of extreme river water elevations and long-term sea-level rise in the Senegal River Estuary. Four different case scenarios of hydrodynamic conditions have been investigated to provide a quantitative assessment of flooding. Simultaneously, a Land Type classification using machine learning techniques has been conducted. Subsequently, the resulting land type map has been integrated with flood mapping simulations obtaining the different land types impacted by flood dynamics. The analysis shows that the buildings classification is the most impacted followed by vegetation and roads. This study highlights the flood-affected areas at a district level, offering relevant understanding for the development of effective adaptation strategies, disaster planning, adjusting policies with scientific knowledge, and supporting adaptive governance in the Senegal River Estuary. © 2025 The Authors</t>
  </si>
  <si>
    <t>2-s2.0-86000497172"</t>
  </si>
  <si>
    <t>10.1093/gji/ggaf008</t>
  </si>
  <si>
    <t>https://www.scopus.com/inward/record.uri?eid=2-s2.0-85216862795&amp;doi=10.1093%2fgji%2fggaf008&amp;partnerID=40&amp;md5=aba6e847e6df6b4e005f53a2500981fe</t>
  </si>
  <si>
    <t>Understanding geomechanical response to pore pressure changes in subsurface structures is crucial for safe drilling and carbon storage operations. One of the most recognized analytical geomechanical models to understand overburden geomechanical responses to reservoir pore pressure changes is Geertsma's analytical solution, which used the ‘nucleus of strain’ concept to quantify displacements and changes in stress field in the surroundings as a result of reservoir depletion. However, the Geertsma solution is limited to isotropic conditions, no contrast between reservoir and surroundings, and homogeneous pore pressure changes, which do not fully capture heterogeneity and anisotropy of real-world subsurface with horizontally layered structures. Shale, as one of the most common caprock, exhibits vertically transverse isotropic (VTI) properties. Our work aims to enhance the ability of analytical modelling to accommodate more realistic scenarios for considering topographic changes in the subsurface. It is based on a semi-analytical solution that extends the Geertsma solution to accommodate static VTI properties with five independent elastic stiffnesses in the surroundings of the reservoir. This extension significantly enhances the ability of the model to represent the vertical stiffness variations characteristic of realistic subsurface conditions. We have applied the extended Geertsma solution through linear superposition to adapt our model for practical use in scenarios with inhomogeneous pore pressure distributions and 3-D variations in rock stiffness. We validated deformation results from our linear superposition approach by comparing them with those from a finite element numerical method under multiple scenarios. This helped evaluate the performance of the approach and identify its key limitations. After validation, we applied our approach to the Valhall field, which is known for its significant subsidence and considering complex topography. The practical application highlighted the approach's capability to accurately model realistic subsidence changes, demonstrating its utility for complex geomechanical assessments and the potential to be linked with geophysical monitoring. © The Author(s) 2025. Published by Oxford University Press on behalf of The Royal Astronomical Society.</t>
  </si>
  <si>
    <t>2-s2.0-85216862795"</t>
  </si>
  <si>
    <t>10.1016/j.jhydrol.2024.132505</t>
  </si>
  <si>
    <t>https://www.scopus.com/inward/record.uri?eid=2-s2.0-85212563770&amp;doi=10.1016%2fj.jhydrol.2024.132505&amp;partnerID=40&amp;md5=961cbf4e0bf68ad5e9bdb90b8aceea96</t>
  </si>
  <si>
    <t>In coastal areas, over-exploitation of groundwater decreases groundwater level, which may cause seawater intrusion (SI) and land subsidence (LS). Numerous projects and researches have been performed to evaluate the impact of SI and LS and propose management solutions to mitigate them. However, conventional studies often conduct separated assessments for each effect, resulting in solutions that address individual issues. The Pingtung Plain, Taiwan, which suffers severe SI and LS, was chosen as the study area. This study aims to develop a coupled model capable of simulating SI and LS simultaneously and propose management solutions to mitigate both issues. Leveraging the principles of poroelastic and density-dependent flow, our study employs the finite element software of COMSOL Multiphysics to formulate a 2D comprehensive hydraulic-mechanical-chemical (HMC) model. Three geological models ranging from homogeneous to heterogeneous were developed based on a regional geological profile. The results show that the HMC model demonstrates the efficacy and feasibility of simulating SI and LS. Three geological models with different complexities underscore the significant difference between SI and LS behaviors. Additionally, the study highlights the efficacy of the relocation pumping wells and managed aquifer recharge approaches in alleviating the impacts on SI and LS, moving toward sustainable groundwater development. Unmanaged groundwater extraction can unintentionally lead to increased severity of SI and LS, even with minor pumping volumes. The integrated HMC model is a valuable method for assessing and enhancing the efficacy of concurrent management strategies targeting both SI and LS. This study forms the fundamental underpinning for subsequent in-depth investigations and the formulation of optimal solutions for groundwater management in our forthcoming research. © 2024 Elsevier B.V.</t>
  </si>
  <si>
    <t>2-s2.0-85212563770"</t>
  </si>
  <si>
    <t>Earth Surface Processes and Landforms</t>
  </si>
  <si>
    <t>10.1002/esp.70033</t>
  </si>
  <si>
    <t>https://www.scopus.com/inward/record.uri?eid=2-s2.0-86000095524&amp;doi=10.1002%2fesp.70033&amp;partnerID=40&amp;md5=cbc3ee6edb75a2f96a65db8aa671874c</t>
  </si>
  <si>
    <t>Rome's urban landscape presents a clear urban–rural gradient, with diminishing human influence from the historic city center to the surrounding outskirts and peri-urban areas. Millennial urban growth resulted in drastic changes of natural landscapes, making it an invaluable case study for examining human impact on natural geomorphological processes. Despite the importance of understanding these interactions for managing geomorphological risks, the role of human activity along the urban–rural gradient remains poorly understood. This study explores human-induced geomorphic changes in Rome's Malagrotta quarrying and dumping area established in the 1980s, focusing on erosion, transport and sedimentation processes that challenge sustainable land use. Using the slope–area relationship, applied on digital elevation models across different time periods (1894, 2002 and 2023), we identify local process domains to better understand how human activity influenced landscape dynamics over time. Results reveal that extensive quarrying and excavation activities between 1894 and 2002 removed nearly 3 × 107 m3 of material, while the period from 2002 to 2023 saw the removal of 7 × 106 m3. Dumping and ancient quarry and valley filling added approximately 2.6 × 107 m3 of material, compared with 1.4 × 107 m3 in the later period. Regions with convergent morphological deviations are generally linked to excavation and quarrying activities while divergent patterns align with filled depressions. High slopes from quarry escarpments are prone to erosion and landslides. While stream power and topographic wetness index shifts suggested increased flood risks and altered hydrological patterns. These findings underscore the need for geomorphologically informed urban planning to mitigate erosion, landslides and flood hazards in urbanizing landscapes globally. © 2025 The Author(s). Earth Surface Processes and Landforms published by John Wiley &amp; Sons Ltd.</t>
  </si>
  <si>
    <t>2-s2.0-86000095524"</t>
  </si>
  <si>
    <t>10.1016/j.jsames.2025.105433</t>
  </si>
  <si>
    <t>https://www.scopus.com/inward/record.uri?eid=2-s2.0-85217899002&amp;doi=10.1016%2fj.jsames.2025.105433&amp;partnerID=40&amp;md5=9effaba5a4f58dc5ff7acd987022feb1</t>
  </si>
  <si>
    <t>Land subsidence is a significant environmental issue in coastal regions, leading to infrastructure damage and increased vulnerability to flooding. This study focuses on monitoring land subsidence in the coastal region of Maceió using Sentinel-1A Synthetic Aperture Radar (SAR) data in conjunction with Persistent Scatterer Interferometry (PSI) and machine learning (ML) techniques. Sentinel-1A data, including both ascending and descending track datasets, were utilized to capture ground displacement over time. The analysis incorporated a range of environmental variables, including slope, elevation, aspect, curvature, land use/land cover (LULC), geology, Hillshade, and flow direction, which were used as training sets for the ML models. The Persistent Scatterer in SAR (PSI) technique was employed to extract precise displacement data from the SAR imagery, revealing land subsidence trends over the study period. ML models were applied to analyse the correlation between the subsidence patterns and environmental factors, enhancing the accuracy and reliability of the results. The ML techniques utilized included regression models and classification algorithms to predict and interpret subsidence rates and spatial distribution. The results show that land subsidence in Maceió ranged from 52 mm/year to −60 mm/year, with significant spatial variability. The findings highlight areas of rapid subsidence that may be linked to geological and anthropogenic factors, such as urbanization and groundwater extraction. Incorporating machine learning methods into this analysis improved the spatial resolution of the subsidence estimates, offering a more comprehensive understanding of the underlying causes and trends. This study demonstrates the potential of integrating remote sensing, InSAR, and ML techniques for monitoring and understanding land subsidence in coastal regions. The results can inform mitigation strategies and urban planning in areas susceptible to subsidence and related hazards. © 2025 Elsevier Ltd</t>
  </si>
  <si>
    <t>2-s2.0-85217899002"</t>
  </si>
  <si>
    <t>Urban Ecosystems</t>
  </si>
  <si>
    <t>10.1007/s11252-024-01660-9</t>
  </si>
  <si>
    <t>https://www.scopus.com/inward/record.uri?eid=2-s2.0-85213707540&amp;doi=10.1007%2fs11252-024-01660-9&amp;partnerID=40&amp;md5=e1b88fe87522f9eaf8a50193345aa50a</t>
  </si>
  <si>
    <t>Urban areas can be seriously disrupted by flooding after heavy rain events. Therefore, several strategies based on grey infrastructure have been implemented over the years to mitigate the impact of significant rainfalls and make urban areas more resilient against flash floods. Green Infrastructure (GI) is an environmentally appropriate alternative which can reduce the amount of stormwater delivered to a drainage system within an urban area while mitigating the contamination carried with it. To date, however, relatively little attention has been paid to public acceptance and to the challenge GI may face in the presence of shallow aquifers. This paper presents a framework for assessing the social and technical feasibility of GI in a coastal urban area with a shallow aquifer. The method consists of the assessment of potential scenarios upon the assessment of government acceptance coupled with a stormwater management model. The urban laboratory for this study is the city of Hoboken (NJ) which is located near the estuary of the Hudson River. It was selected due to the availability of data, its vulnerability to flooding, and the presence of a shallow aquifer. Results from interviews indicate positive feedback for the implementation of GI, but specific GI techniques could not be identified. So, based on generally accepted GI measures, right-of-way, resiliency parks, and green roofs were considered and implemented into a stormwater management model. The model was used to simulate the performance of various GI options to minimize stormwater runoff. Simulation results show that all the alternatives considered are effective in reducing runoff volumes for rainfall events of less than a 1-year recurrence interval. However, they do not mitigate the negative impact of heavier rain events due to limited storage as a consequence of the size of the site and the shallow aquifer within the coastal urban area. © The Author(s), under exclusive licence to Springer Science+Business Media, LLC, part of Springer Nature 2024.</t>
  </si>
  <si>
    <t>2-s2.0-85213707540"</t>
  </si>
  <si>
    <t>Journal of Hazardous Materials</t>
  </si>
  <si>
    <t>10.1016/j.jhazmat.2024.137068</t>
  </si>
  <si>
    <t>https://www.scopus.com/inward/record.uri?eid=2-s2.0-85213973054&amp;doi=10.1016%2fj.jhazmat.2024.137068&amp;partnerID=40&amp;md5=ab98d2d7f87f9966223e8b89f1a089dc</t>
  </si>
  <si>
    <t>Under global change scenarios, rising seawater temperature could affect the toxicity of chemical pollutants on marine organisms. Tropical species inhabiting coastal areas are especially vulnerable to diurnal temperature variation (DTV), yet the impacts of DTV on pollutant toxicity remains obscured. This study evaluated how a 4℃ DTV affects the toxicity of phenanthrene (PHE) on the physiological traits of Trochus pyramis, a key herbivorous gastropod in coral reef ecosystems, under both control (28°C) and elevated temperature (31°C) conditions. T. pyramis were exposed to PHE (1 and 10 μg/L) across different temperature scenarios for 14 days. Subsequently, PHE bioaccumulation, heat tolerance, antioxidant responses, and energy budgets of T. pyramis were assessed. The results showed that PHE had minimal effect on T. pyramis under DTV at 28°C, likely due to enhanced antioxidant responses and adaptive energy supply strategies induced by DTV. Conversely, DTV exacerbated the deleterious effect of PHE at 31°C, particularly under exposure to high-concentration PHE (10 μg/L), leading to reduced heat tolerance, suppressed antioxidant responses, and disturbed energy metabolism. These results underscore the necessity of incorporating DTV into PHE risk assessments for coral reef ecosystems in the context of global warming. © 2025 Elsevier B.V.</t>
  </si>
  <si>
    <t>2-s2.0-85213973054"</t>
  </si>
  <si>
    <t>10.1016/j.atmosres.2025.107922</t>
  </si>
  <si>
    <t>https://www.scopus.com/inward/record.uri?eid=2-s2.0-85215865326&amp;doi=10.1016%2fj.atmosres.2025.107922&amp;partnerID=40&amp;md5=04a1c9efc7105351ae1e4eac170dc347</t>
  </si>
  <si>
    <t>The Mediterranean Sea is a well-documented region of cyclogenesis where hundreds of cyclones of variable lifetime, intensity and structure form every year. Although they are smaller, weaker and shorter in duration compared to tropical or most of the extratropical cyclones, they are often associated with high impact weather phenomena, due to significant amount of precipitation, strong winds and storm surges, thus affecting the coastal areas in the Mediterranean basin. Recently, there has been a growing interest in Mediterranean cyclones which closely resemble actual tropical cyclones with spiraling rainbands around a calm, a mostly cloud-free “eye”, strong rotation winds around the center, and a warm core (WC). These cyclones are generally referred to as Tropical-Like Cyclones (TLCs) or MEDIterranean hurriCANES (medicanes). This study aims to analyse, through an observational, satellite-based approach, 23 medicanes occurred from 2000 to 2021 in order to carry out a comprehensive passive microwave (PMW)-based characterization of these cyclones. A novel methodology for detecting the “closed eye” feature has been designed and implemented. Moreover, a well-established methodology based on the 54–55 GHz temperature sounding channels is applied to all 23 cyclones to detect the WC and characterize its depth, intensity and symmetry. Finally, the high frequency channels (&gt; 89 GHz) are exploited to retrieve cloud top height and ice water path, and to detect deep moist convection, offering insights on the role of diabatic heating in the WC development. This study applies, for the first time, both known and newly-developed PMW-based techniques and tools over an extensive medicanes' satellite-based data record in order to unveil the thermodynamic and microphysical processes which fuel the WC and to identify the cyclones which undergo a tropical-transition, (i.e., with a WC mainly driven by diabatic processes). In addition, this study evidences how PMW radiometry can contribute to address open questions on the processes that drive medicanes development and evolution, and offer useful insights into the potential classification of these complex systems. © 2025 The Author(s)</t>
  </si>
  <si>
    <t>2-s2.0-85215865326"</t>
  </si>
  <si>
    <t>Journal of Geophysical Research: Atmospheres</t>
  </si>
  <si>
    <t>10.1029/2024JD042739</t>
  </si>
  <si>
    <t>https://www.scopus.com/inward/record.uri?eid=2-s2.0-85218938866&amp;doi=10.1029%2f2024JD042739&amp;partnerID=40&amp;md5=498597788fb4307dabc0240af30d4eaf</t>
  </si>
  <si>
    <t>Hurricane Hilary brought extensive, record-breaking precipitation to the Southwest United States in August 2023. Although tropical cyclones (TCs) are uncommon in this region, they can cause substantial damage, primarily through flooding. However, heat extremes associated with these TCs are understudied and could have significant impacts in populated coastal areas. This study examines the conditions that promoted the occurrence of 42 north-reaching, northeastern Pacific TCs and quantifies how local temperatures responded to these storms. Using composite analysis, we find that there is significant warming along the coastal region of Southern California preceding a TC, particularly for storms that remain offshore. Three main mechanisms contribute to this warming pattern—adiabatic compression associated with downslope winds, warm air advection by the TC itself, and suppression of coastal upwelling. These compound heatwave-TC events are an overlooked impact of TCs that will likely become more important as the climate warms. © 2025. American Geophysical Union. All Rights Reserved.</t>
  </si>
  <si>
    <t>2-s2.0-85218938866"</t>
  </si>
  <si>
    <t>10.1016/j.geomorph.2025.109678</t>
  </si>
  <si>
    <t>https://www.scopus.com/inward/record.uri?eid=2-s2.0-85217974619&amp;doi=10.1016%2fj.geomorph.2025.109678&amp;partnerID=40&amp;md5=29051ce2b1ea9e878acf80b13c7734a3</t>
  </si>
  <si>
    <t>The North coastal South China Sea (SCS) contains densely populated deltaic and non-deltaic plains. While recent dating has advanced knowledge on land-sea interactions in deltaic areas, chronological data for non-deltaic plains remain lacking, hindering a full understanding of coastal evolution. This study establishes the first chronological framework since late-Pleistocene for Longjiang plain, a non-deltaic coastal plain shaped by wind, ocean and fluvial forces. Using quartz Optically Stimulated Luminescence (OSL) and radiocarbon (14C) dating on two cores, combined with Bayesian age-depth modeling, we identified depositional hiatuses between &gt;123 ± 8 ka and 7.6−0.6+0.7 ka and between &gt;72 ± 4 ka and ~5.1−0.9+1.2 ka, respectively. These hiatuses were attributed to intensive erosion during last glacial sea-level fall/low stands. Below the hiatuses are strongly weathered sediments. Post-hiatus aeolian deposition during 7.6−0.6+0.7 ka–6.5−0.5+0.7 ka is linked to post-glacial sea-level rise. By contrast, aeolian deposition after 2.14−0.48+0.69 ka successive to tidal deposition is likely triggered by local regression caused by increased sediment supply, favored by human activity since ~2.5 ka. Erosion during last glacial sea-level fall/low stands and aeolian deposition during the latest interglacial (Holocene) sea-level high stands, support the view that aeolian dunes preserved in modern coastal areas are mainly formed at sea-level high stands, rather than low stands. They also indicate that coastal erosion-accumulation cycles, controlled by eustatic sea-level fluctuation are not limited to deltas but may prevail in non-delta coasts. Quartz OSL sensitivity variations are observed in both cores and linked to provenance change, rework/redeposition by wind or Long-term chemical weathering. © 2025 Elsevier B.V.</t>
  </si>
  <si>
    <t>2-s2.0-85217974619"</t>
  </si>
  <si>
    <t>10.1016/j.margeo.2025.107520</t>
  </si>
  <si>
    <t>https://www.scopus.com/inward/record.uri?eid=2-s2.0-85219494993&amp;doi=10.1016%2fj.margeo.2025.107520&amp;partnerID=40&amp;md5=96f6c0fe7474fb4593906e80cca75b55</t>
  </si>
  <si>
    <t>The Han River Delta, the sixth largest delta in China, has received decreasing amounts of fluvial sediments over the last decades. Here, we use satellite images for 1981–2020 and a conceptual geometric model to investigate recent and future evolution of the delta coastline. Satellite images were able to capture the transition from a more natural coastline with sandy beaches to an artificial structure since 2015. This transition has been accompanied by rapid seaward migration of a portion of the artificial coastline due to land reclamation. Furthermore, most of the coastline has remained stable (showing no significant advance or retreat), except for coastlines that are dominated by mangrove forest. The coastline has not always remained stable. Before the 1980s, the coastline was continuously advancing. Modeling results reveal that a significant reduction of fluvial sediment, mainly caused by upstream dam emplacement, had a key role in the shifting status of the delta coastline evolution. Additionally, model results suggest that if fluvial sediment supply had remained consistent with pre-dam levels, the more abundant fluvial sediment supply could counteract the effects of a maximum sea-level rise scenario for decades. However, a sustained decrease of the fluvial sediment supply, at rates similar to the less abundant sediment supply at present, is expected to dominate the evolution of the delta coastline under a conservative sea level rise scenario. In the case of a medium or maximum sea level rise scenario, the future evolution of the delta coastline will be dominated by the rate at which sea level rises, rather than a further decrease of riverine sediment. The large-scale land reclamation has a negligible impact on the advance or retreat rate of the delta coastline. These findings offer valuable insights for the management of delta coastlines. © 2024</t>
  </si>
  <si>
    <t>2-s2.0-85219494993"</t>
  </si>
  <si>
    <t>10.1016/j.jenvman.2025.124597</t>
  </si>
  <si>
    <t>https://www.scopus.com/inward/record.uri?eid=2-s2.0-85218418006&amp;doi=10.1016%2fj.jenvman.2025.124597&amp;partnerID=40&amp;md5=38714639779e6c63ac272a95bf4c6aa9</t>
  </si>
  <si>
    <t>Environmental pressures have significantly impacted agricultural land use in deltas worldwide, leading to transformative changes in livelihoods. The Vietnamese Mekong Delta (VMD) is a vital region for national food security and global agricultural markets but is threatened by climate change, hydropower dams, sand mining, and excessive groundwater extraction. These pressures challenge the VMD's agricultural productivity and sustainability in the Anthropocene era. Despite efforts to foster resilience, there remains a critical gap in understanding how these agricultural transformations respond to environmental challenges. This review explores the multifaceted relationship between livelihood transformations and environmental pressures in the VMD, offering a comprehensive analysis of agricultural shifts over the past 50 years to identify viable adaptation pathways. Our review highlights that climate change-induced sea level rise and hydropower dam development both cause an increase in salinity intrusion, damage many agricultural lands and lead to substantial land use change and livelihood transformation, particularly in the floodplains and coastal areas. Additionally, sand mining has significantly influenced livelihood transitions in urban areas by causing riverbank erosion and leading to agricultural land losses. Furthermore, extensive groundwater extraction instigating land subsidence triggers land allocation, particularly in coastal zones. We emphasize the importance of adaptive management at both delta-wide and farm-level scales, integrating stakeholder engagement with institutional improvements. This approach aims to address environmental impacts while pursuing a pathway incorporating nature-based solutions and smart technologies to enhance the sustainability of agricultural systems in the VMD under current and future environmental pressures. Our review provides a foundation for developing adaptive strategies that promote sustainable development and resilience in deltaic environments and share knowledge for similar deltas worldwide. © 2025 Elsevier Ltd</t>
  </si>
  <si>
    <t>2-s2.0-85218418006"</t>
  </si>
  <si>
    <t>10.1016/j.jhydrol.2025.132693</t>
  </si>
  <si>
    <t>https://www.scopus.com/inward/record.uri?eid=2-s2.0-85214876820&amp;doi=10.1016%2fj.jhydrol.2025.132693&amp;partnerID=40&amp;md5=08a5207089037738f0576e754a39a058</t>
  </si>
  <si>
    <t>To evaluate the coastal flood risk, it is essential to study the spatial properties of rainfall extremes and the effects of storm tides. This paper investigates the spatial analysis of extreme rainfall across different coastal cities and examines the dependence analysis between rainfall extremes and storm tides. A bivariate threshold excess model and an enumeration method were employed to conduct the spatial analysis and dependence study. Focusing on the Modaomen estuary in Zhuhai City within the Guangdong-Hong Kong-Macao Greater Bay Area (GBA), which plays a crucial role in the economic development of China, this research analyzes observed data from one tide station and eleven rainfall stations. The main findings are as follows: (1) the number of joint events from multiple rainfall stations consistently exceeds the expected outcomes under null hypothesis</t>
  </si>
  <si>
    <t>10.1007/s13280-024-02088-3</t>
  </si>
  <si>
    <t>https://www.scopus.com/inward/record.uri?eid=2-s2.0-85208809675&amp;doi=10.1007%2fs13280-024-02088-3&amp;partnerID=40&amp;md5=0c8917896564f8ed3a31f173dfa52137</t>
  </si>
  <si>
    <t>The 2004 tsunami and coastal subsidence resulted in 97% mangrove loss in the Nicobar Islands (India), leading to major social-ecological change. We assessed how the Nicobar mangrove social-ecological system (SES) responded to the 2004 event using the adaptive cycle (AC) framework. We describe the changes across AC phases (collapse-Ω, reorganisation-α, growth-r, and conservation-K) concerning various capital types (natural, built, human, social), connectedness and resilience. The subsidence and tsunami triggered a rapid collapse (Ω) in the mangrove SES, particularly depleting natural and built capitals. Despite declines in social and human capital, some knowledge and skills were retained within Nicobari communities. We suggest that locally managed interventions involving mangrove restoration are critical to escape the poverty trap caused by resource insufficiency hindering growth. The AC model helps visualise and describe temporal changes, preparing for recovery challenges. This approach is relevant to SESs beyond Nicobar, offering insights for sites confronting similar social-ecological dynamics and challenges. © The Author(s) under exclusive licence to Royal Swedish Academy of Sciences 2024.</t>
  </si>
  <si>
    <t>2-s2.0-85208809675"</t>
  </si>
  <si>
    <t>10.1007/s41324-025-00615-2</t>
  </si>
  <si>
    <t>https://www.scopus.com/inward/record.uri?eid=2-s2.0-86000320075&amp;doi=10.1007%2fs41324-025-00615-2&amp;partnerID=40&amp;md5=62dc4f79fd4f244100a2636ab3138217</t>
  </si>
  <si>
    <t>Assessing flood-triggering factors and implementing risk reduction approaches are crucial policy issues, especially in low-lying coastal areas that experience significant losses due to flood disasters. In low-lying Digha, West Bengal coastal region has suffered from saltwater intrusion due to flow accumulation of Topographic Wetness Index (TWI). Nonetheless, a scarcity of research exists regarding experts’ viewpoints on identifying factors that lead to floods. Consequently, utilizing an Analytic Hierarchy Process (AHP) questionnaire survey involving 25 participants, this study aims to investigate experts’ perspectives on the impact of distinct climatic and non-climatic elements in initiating flash floods. A total of five triggering factors have been assessed by the expert opinion and mapped them through GIS (Geographical Information System). The obtained values are 1.12 RI for five criteria, CI of 0.085, and CR of 0.0765. The final weights were obtained where 9% weights in the distance to the coastline, 33.9% in slope, 27.8% in LULC, 21.8% in TWI, and 7.5% in the distance to river. Hence, achieving this objective may be possible by involving professionals to gather crucial data on predicting and managing disaster risks and understanding the demographics of communities residing in areas prone to disasters. © The Author(s), under exclusive licence to Korea Spatial Information Society 2025.</t>
  </si>
  <si>
    <t>2-s2.0-86000320075"</t>
  </si>
  <si>
    <t>Multidisciplinary Science Journal</t>
  </si>
  <si>
    <t>10.31893/multiscience.2025168</t>
  </si>
  <si>
    <t>https://www.scopus.com/inward/record.uri?eid=2-s2.0-85209763048&amp;doi=10.31893%2fmultiscience.2025168&amp;partnerID=40&amp;md5=cfbae4438b299195a8fb5560c0cf5b0d</t>
  </si>
  <si>
    <t>Tidal floods have transformed into a serious threat in the coastal area of Sayung, Demak, Indonesia. The disasters, which afflict recurrently and in the long term, will have an adverse effect on the territorial resilience of the impacted areas. Disasters constitute disruptive phenomena in the national resilience system in a broad scope. Territorial resilience is a micro form of national resilience, and hence, the study of territorial resilience is emphasized at local government levels, e.g., provincial and regency, and on all systems which become subsystems within a region. This research is aimed at analyzing tidal flood implications for territorial resilience using a qualitative method with a case-study approach. Results demonstrated that tidal floods had an implication for gatras (aspects) of national resilience. Several aspects with significant effects in the static aspect were geographic, demographic, and natural resources, while in the dynamic aspect, tidal floods impacted economic and socio cultural aspects. © 2025 Malque Publishing. All rights reserved.</t>
  </si>
  <si>
    <t>2-s2.0-85209763048"</t>
  </si>
  <si>
    <t>10.3390/rs17050820</t>
  </si>
  <si>
    <t>https://www.scopus.com/inward/record.uri?eid=2-s2.0-86000750504&amp;doi=10.3390%2frs17050820&amp;partnerID=40&amp;md5=a4f4d5503d69b75efd04782b3feba87f</t>
  </si>
  <si>
    <t>The historical City of Venice, with its lagoon, has been severely exposed to repeated marine flooding since historical times due to the combined effects of sea level rise (SLR) and land subsidence (LS) by natural and anthropogenic causes. Although the sea level change in this area has been studied for several years, no detailed flooding scenarios have yet been realized to predict the effects of the expected SLR in the coming decades on the coasts and islands of the lagoon due to global warming. From the analysis of geodetic data and climatic projections for the Shared Socioeconomic Pathways (SSP1-2.6</t>
  </si>
  <si>
    <t>10.1016/j.ijdrr.2025.105217</t>
  </si>
  <si>
    <t>https://www.scopus.com/inward/record.uri?eid=2-s2.0-85215370940&amp;doi=10.1016%2fj.ijdrr.2025.105217&amp;partnerID=40&amp;md5=a0ba5c2f1530cabeb33cb67bf73617e3</t>
  </si>
  <si>
    <t>This study aims to quantify probabilistic tsunami inundation risk in the Guangdong-Hong Kong-Macao Greater Bay Area (GBA), where potential tsunamis caused by huge earthquakes in Manila Trench pose a significant threat to the coast. A probabilistic tsunami risk assessment method is proposed to reasonably integrate the exceedance probability of tsunami inundation depth, economic value and vulnerability. To accurately compute the exceedance probability of tsunami inundation depth, the inundations of 2,020,700 tsunami scenarios are simulated considering the variation of epicenter, magnitude and heterogeneous slip of fault. The generation and propagation of tsunamis in deep water are efficiently simulated using the superposition of pre-calculated unit sources, while the nonlinear nearshore propagation and inundation are simulated using the FUNWAVE-TVD model with higher grid resolution. To estimate the economic value of such a large coastal area without detailed economic data, nighttime light (NTL) data from the Luojia 1-01 satellite is adopted and linked to the economic value based on the correlation between the radiance value of NTL and the gross domestic product (GDP) of local cities. The land use types are classified based on Sentinel-2 satellite images, and further to estimate the vulnerability using empirical vulnerability curves. Based on the proposed assessment method, the tsunami inundation risk along the coast of GBA is identified for the first time, which provides an important dataset for coastal disaster mitigation. © 2025 Elsevier Ltd</t>
  </si>
  <si>
    <t>2-s2.0-85215370940"</t>
  </si>
  <si>
    <t>Journal of Geovisualization and Spatial Analysis</t>
  </si>
  <si>
    <t>10.1007/s41651-024-00210-3</t>
  </si>
  <si>
    <t>https://www.scopus.com/inward/record.uri?eid=2-s2.0-85214437989&amp;doi=10.1007%2fs41651-024-00210-3&amp;partnerID=40&amp;md5=94f9b90fb7b192eac49b4ae3a419a7ad</t>
  </si>
  <si>
    <t>The Coastal Resilience Agent-Based Model (CRes-ABM) is introduced, which was created to evaluate the resilience of coastal areas to the effects of climate change, with a particular emphasis on sea-level rise and extreme weather events. The aim is to provide information for developing policies and making decisions about boosting coastal resilience. CRes-ABM simulates stakeholder interactions and adaptation responses within coastal communities by integrating agent-based modeling techniques, geospatial data, and climate change scenarios. On the basis of the CResI index and the effect of adaptation strategies (CResI_adapt), CRes-ABM produces vulnerability-resilience maps. A variety of parameters are used to monitor agent decisions throughout each simulation. We compare the outcomes using historical data (1976–2005) and two custom climate change scenarios (2041–2100). A thorough framework for comprehending and addressing issues related to coastal resilience is provided by CRes-ABM, which makes it easier to make evidence-based decisions about successful adaptation measures. The structure of CRes-ABM allows it to be applied to various coastal regions worldwide, enabling the evaluation of resilience across different geographic, climatic, and socio-economic contexts. © The Author(s), under exclusive licence to Springer Nature Switzerland AG 2025.</t>
  </si>
  <si>
    <t>2-s2.0-85214437989"</t>
  </si>
  <si>
    <t>10.1007/s10584-024-03849-5</t>
  </si>
  <si>
    <t>https://www.scopus.com/inward/record.uri?eid=2-s2.0-85217279643&amp;doi=10.1007%2fs10584-024-03849-5&amp;partnerID=40&amp;md5=bd0cb5f1381fc71523522b840fe847b0</t>
  </si>
  <si>
    <t>Discussions on the climate change–human mobility nexus have received intense academic and policy attention. Although there is evidence that some people decide to stay put amidst climate hazards, research on climate change and immobility remains limited, particularly in relation to Africa. To address this scholarly gap, this study conducted 36 qualitative in-depth interviews to examine voluntary immobility amidst climate-induced recurrent coastal flooding in three Ghanaian coastal communities. Findings revealed three reasons for immobility: place attachment, livelihood opportunities, and low mobility prospects. We argue that understanding voluntary immobility in the context of climate change requires a better appreciation of interconnected factors that cause people to stay put. This study adds to scholarship on voluntary immobility in Africa by highlighting participants’ strong ties to their environment, reliance on their environment for survival, and limited mobility options. Based on the findings, as well as the fact that the reviewed policy frameworks at the national level (Ghana) pay scant attention to climate hazards, particularly coastal flooding and immobile populations, the Ghanaian government should develop bottom-up policies that incorporate local understandings of voluntary immobility in order to protect social connections, livelihoods, and culture. © The Author(s), under exclusive licence to Springer Nature B.V. 2025.</t>
  </si>
  <si>
    <t>2-s2.0-85217279643"</t>
  </si>
  <si>
    <t>10.1016/j.scitotenv.2025.178701</t>
  </si>
  <si>
    <t>https://www.scopus.com/inward/record.uri?eid=2-s2.0-85216690108&amp;doi=10.1016%2fj.scitotenv.2025.178701&amp;partnerID=40&amp;md5=36e67ec9bcdd7c04c1a115e3f36acc44</t>
  </si>
  <si>
    <t>Saltwater intrusion (SWI) into coastal agricultural lands represents a growing threat to agricultural productivity, ecosystem stability, and local economies. This phenomenon, affecting coastal surface and ground waters, is driven by intensified natural processes and anthropogenic factors under a changing climate. Here, we provide a comprehensive review of the drivers and trends of SWI and their impacts on the transition of coastal agricultural systems. We emphasize the importance of developing salt-tolerant crop varieties and implementing controlled environment agriculture to maintain agricultural productivity in affected coastal regions. Additionally, we discuss the role of marsh migration (i.e., allowing marshes to migrate into agricultural lands) in enhancing biodiversity and ecological resilience, and protecting remaining farmlands from SWI. This review highlights the urgent need for multidisciplinary research, strategic policy frameworks, and community engagement to ensure the sustainability of future coastal agriculture in the face of increasing SWI challenges. © 2025</t>
  </si>
  <si>
    <t>2-s2.0-85216690108"</t>
  </si>
  <si>
    <t>10.1007/s11852-024-01087-6</t>
  </si>
  <si>
    <t>https://www.scopus.com/inward/record.uri?eid=2-s2.0-85217441400&amp;doi=10.1007%2fs11852-024-01087-6&amp;partnerID=40&amp;md5=82d042bb6508e78688ecabe73ac20ab1</t>
  </si>
  <si>
    <t>This study examines the morphodynamic evolution of the shoreline and coral reef coverage along the Arabian Sea coast of Oman over the past five decades (1972–2022). The Peninsula of Bar Al Hikman, the largest low-lying coastal area in Oman (550 km2</t>
  </si>
  <si>
    <t>10.1016/j.jsames.2025.105465</t>
  </si>
  <si>
    <t>https://www.scopus.com/inward/record.uri?eid=2-s2.0-86000450044&amp;doi=10.1016%2fj.jsames.2025.105465&amp;partnerID=40&amp;md5=5b1e76edf4f9cf135b6480e0d164e645</t>
  </si>
  <si>
    <t>Based on analysis of topography through DEM images, geomorphology, river drainage patterns, and surface geology, the foreland basins of northwestern South America are divided into three areas that coincide with segments of boundaries between the South American, Nazca and Caribbean plates. From 2° 30′ to approximately 4°30′ N, is the southern Llanos or Uplifted foreland that is characterized by uplift and a transpressive environment. Major alluvial fans and terraces representing the wedge top depozone are present on the proximal part, and Mio-Pliocene sediments are exposed on the distal part of the foreland. This foreland is the highest (486 m at the mountain front) and has the steeper slope (0.33°) of the northern Andes. Watersheds in this area exhibit low maturity and elevated heat flow is observed. Associated to this foreland is the Cauca or Nazca Segment that has a steeply dipping slab that originates a chain of recent volcanoes to the west. The second zone (Main Llanos foreland) is developed north of the Caldas tear zone and extends to the Rio Uribante-Apure. It coincides with a flat slab configuration (Bucaramanga Segment) and is characterized mostly by pure compression. On the foreland this generates deformation of recent terraces and current uplift in the wedge top area that is eroded in several areas. Active sedimentation in an extensive alluvial plain is taking place in the distal foreland. Here the streams are transversal to the Eastern Cordillera, feeding the longitudinal NE-SW trending Meta River. The slope has an average inclination of 0.14°, and an average elevation of 286 m at the mountain front. Watersheds display a high to intermediate maturity, but are less mature to the north, coinciding the Cocuy area of current uplift. The northernmost zone, or Barinas Foreland, east of the Venezuelan Andes, aligns with the Caribbean Segment. Major subsidence occurred in the Middle-Upper Miocene mainly in the southern basin, migrating north in the Pliocene-Pleistocene. This resulted in a mature foreland to the south with a low regional slope lacking alluvial fans and wedge top facies. In contrast, the northern area has well-developed alluvial fans, a higher regional slope, and displays current deformation at the mountain front. The northern South American Andes illustrates how plate configuration and the associated subduction of oceanic slabs are linked to distinct foreland morphologies. Nevertheless, other factors, such as tectonic inheritance and climatic conditions, play significant roles in determining the final configuration of a specific foreland. © 2025 Elsevier Ltd</t>
  </si>
  <si>
    <t>2-s2.0-86000450044"</t>
  </si>
  <si>
    <t>10.1029/2023EF004149</t>
  </si>
  <si>
    <t>https://www.scopus.com/inward/record.uri?eid=2-s2.0-86000043684&amp;doi=10.1029%2f2023EF004149&amp;partnerID=40&amp;md5=d77e12cc758a91252e5a96d2f8cfe07c</t>
  </si>
  <si>
    <t>Wetland restoration is an increasingly popular nature-based method for flood risk mitigation in coastal communities. In this study, we present a novel method using hydrodynamic modeling and harmonic analysis to quantify wetlands' ability to reduce future nuisance flooding. The method leverages a hydrodynamic model calibrated to present day data and was run for a range of future sea-level rise (SLR) and wetland restoration scenarios to quantify changes to tidal harmonic amplitudes and phases. The harmonic constituents are used to generate water surface elevations over a time period of interest (e.g., one year) and compared to critical exceedance thresholds such as levee elevations. Then, changes to nuisance flooding are calculated by counting the number of hours critical thresholds are exceeded under different SLR and wetland restoration scenarios. We applied the method to Coos Bay, Oregon, USA as a test case. We found restoration reduces the number of hours nuisance flooding occurs in downtown Coos Bay from 15 hr (present day conditions) to 0 hr (fully restored condition) under median SLR (82 cm by 2100). Restoration had spatially variable impacts on reducing peak flood elevations with minimal impacts near the estuary mouth and greatest impact 32 km inland. The effectiveness of restoration was heavily dependent on future SLR. Restoration was maximally effective in 2050 under all SLR scenarios, less effective in 2100 under median SLR, and not effective under high SLR. Modeling results suggest increased tidal prism and accommodation space are driving restoration-associated reductions in tidal amplitudes. © 2025 Battelle Memorial Institute and The Author(s). Earth's Future published by Wiley Periodicals LLC on behalf of American Geophysical Union. This article has been contributed to by U.S. Government employees and their work is in the public domain in the USA.</t>
  </si>
  <si>
    <t>2-s2.0-86000043684"</t>
  </si>
  <si>
    <t>10.1016/j.catena.2025.108787</t>
  </si>
  <si>
    <t>https://www.scopus.com/inward/record.uri?eid=2-s2.0-85216655947&amp;doi=10.1016%2fj.catena.2025.108787&amp;partnerID=40&amp;md5=580e0efa71f7b735cbd79a25a80ff977</t>
  </si>
  <si>
    <t>The dynamics of suspended sediment concentration (SSC) in the Indian Sundarban, in the context of rising sea levels, highlights the importance of analyzing its impact on the functioning of this vital mangrove ecosystem. The present study is, therefore, aimed to identify the spatio-temporal variability of SSC in the Indian Sundarban and relate these variations to various hydro-morphodynamic parameters. The study involved seasonal tide monitoring at multiple stations, in-situ SSC measurements (both surface and depth-wise) to assess station-wise SSC variation and calibrate remote sensing data, as well as the collection of real-time and historical Landsat images. Additionally, indices such as NSMI and NDTI were employed in the analysis. The results (both in-situ and remote-sensing based measurements) depicted significant differences in SSC between the pre-monsoon, monsoon, and post-monsoon seasons, followed by variations between spring and neap tides, as well as between the sea-front and interior areas of the estuary. For instance, the average SSC in the pre-monsoon spring was 0.17 ± 0.08 g/l, rising to 0.28 ± 0.11 g/l in the monsoon spring, before dropping sharply to 0.09 ± 0.05 g/l in the post-monsoon. This concentration decreased significantly during the neap tide across all seasons. The spatial variability revealed a gradual decrease in SSC from the sea-front estuarine confluence zones towards the interior of the estuarine system. For instance, during the pre-monsoon spring, the average SSC at the Thakuran mouth was around 0.24 ± 0.10 g/l, gradually dropping to around 0.18 ± 0.08 g/l and 0.15 ± 0.08 g/l at distances of 20 km and 35 km inland, respectively. The spatial variations are also influenced by bathymetry, and erosion-accretion patterns of the regime. The study also revealed a long-term decreasing trend in SSC, with the change being more pronounced in the pre-monsoon and post-monsoon seasons than in the monsoon. Overall, this study yields crucial insights into environmental shifts and landform evolution in this distinctive coastal ecosystem. © 2025 Elsevier B.V.</t>
  </si>
  <si>
    <t>2-s2.0-85216655947"</t>
  </si>
  <si>
    <t>10.5194/os-21-381-2025</t>
  </si>
  <si>
    <t>https://www.scopus.com/inward/record.uri?eid=2-s2.0-85219032082&amp;doi=10.5194%2fos-21-381-2025&amp;partnerID=40&amp;md5=a6dea58e18211ed9be2852ded22fbcf3</t>
  </si>
  <si>
    <t>We conduct a comprehensive investigation of the generation of storm surges along the coast in response to complex coastline geometry using a standalone advanced circulation (ADCIRC) model. The study deals with sensitivity experiments using various idealized concave and/or convex model domains with the same intensity in terms of parallel cyclone tracks. It demonstrates that a sharp curvature, along with the landfall location of each track within the domain, has more influence on the surge evolution. Peak surges (PSs) are generated in the domain with tracks possessing strong onshore winds, while intense alongshore winds are responsible for PSs spreading along the coast. The time evolution of both positive and negative surges along the coast is also demonstrated. The propagation of energy density per unit length associated with surge waves is computed for concave coasts to explain the funneling effect. Using parallel tracks, the development of PSs is also seen, with actual intricate coastal stretch having concave and convex coastlines along the eastern coast of India, which is consistent with the findings of idealized experiments. Further simulations are carried out along real coastlines, with the different approach angles of the track exhibiting that maximum PSs are not always aligned with the east of the track. Depending on the track angle, PSs may also develop on the western side. Experiments on real coastlines also indicate that peak surge in the concave coastline is more influenced by the cyclone's radius of maximum winds. Surge generation with different radii of maximum winds is seen to the western side of the track, though the cyclone does not experience landfall in this region. Simulation with a recent cyclone, Michaung, reveals that the occurrence of storm tides is also seen to the west of the landfall location as the track moves parallel to the coast, which agrees with the observations. This study shows the importance of the local coastline configuration, particularly for the concave coasts, in relation to the intensification of storm surges. © 2025 Pawan Tiwari et al.</t>
  </si>
  <si>
    <t>2-s2.0-85219032082"</t>
  </si>
  <si>
    <t>10.1029/2024EF004883</t>
  </si>
  <si>
    <t>https://www.scopus.com/inward/record.uri?eid=2-s2.0-85218919857&amp;doi=10.1029%2f2024EF004883&amp;partnerID=40&amp;md5=f61b745066f098092c1ec6a7282f80ce</t>
  </si>
  <si>
    <t>The low-lying, arid coastal regions of the Southern Mediterranean Basin, extending over 4,600 km, face daunting sea level rise and hydroclimatic changes due to shifting weather patterns. The impact of these factors on coastal urban buildings and infrastructure must be better understood. Alexandria, a historic and densely populated port city in Egypt representative of several coastal towns in the Southern Mediterranean, has experienced over 280 building collapses along its shorelines over the past two decades, and the root causes are still under investigation. We examine the decadal changes in coastal and hydroclimatic drivers along the city's coastline using photogrammetric satellite images from 1974 to 2021. We explore the interconnectivity between shoreline retreat, ground subsidence, and building collapses. Our results suggest that collapses are correlated with severe coastal erosion driven by sediment imbalances resulting from decades of inefficient landscape management and urban expansion along the city's waterfront. This severe erosion, combined with sea level rise, increases seawater intrusion, raising groundwater levels in coastal aquifers. Degrading ground stability and accelerating corrosion in building foundations ultimately culminating in collapses. We identified a coastal area of high vulnerability with over 7,000 buildings at risk, surpassing any other vulnerable zone in the Mediterranean Basin. We propose cost-effective and nature-based techniques for coastal landscape adaptation to alleviate these dangers in Alexandria and other Southern Mediterranean cities facing similar climatic challenges. © 2025. The Author(s).</t>
  </si>
  <si>
    <t>2-s2.0-85218919857"</t>
  </si>
  <si>
    <t>10.3390/rs17040592</t>
  </si>
  <si>
    <t>https://www.scopus.com/inward/record.uri?eid=2-s2.0-85219194338&amp;doi=10.3390%2frs17040592&amp;partnerID=40&amp;md5=fb432279a4e561c870d13a351140955e</t>
  </si>
  <si>
    <t>This paper proposes a flood risk visualization method that is (1) readily transferable (2) hyperlocal, (3) computationally inexpensive, and (4) geometrically accurate. This proposal is for risk communication, to provide high-resolution, three-dimensional flood visualization at the sub-meter level. The method couples a laser scanning point cloud with algorithms that produce textured floodwaters, achieved through compounding multiple sine functions in a graphics shader. This hyper-local approach to visualization is enhanced by the ability to portray changes in (i) watercolor, (ii) texture, and (iii) motion (including dynamic heights) for various flood prediction scenarios. Through decoupling physics-based predictions from the visualization, a dynamic, flood risk viewer was produced with modest processing resources involving only a single, quad-core processor with a frequency around 4.30 GHz and with no graphics card. The system offers several major advantages. (1) The approach enables its use on a browser or with inexpensive, virtual reality hardware and, thus, promotes local dissemination for flood risk communication, planning, and mitigation. (2) The approach can be used for any scenario where water interfaces with the built environment, including inside of pipes. (3) When tested for a coastal inundation scenario from a hurricane, 92% of the neighborhood participants found it to be more effective in communicating flood risk than traditional 2D mapping flood warnings provided by governmental authorities. © 2025 by the authors.</t>
  </si>
  <si>
    <t>2-s2.0-85219194338"</t>
  </si>
  <si>
    <t>10.1029/2024EF005106</t>
  </si>
  <si>
    <t>https://www.scopus.com/inward/record.uri?eid=2-s2.0-85218968663&amp;doi=10.1029%2f2024EF005106&amp;partnerID=40&amp;md5=c2cd287f795c25020d63afb40114a12f</t>
  </si>
  <si>
    <t>Estuarine areas are currently at risk of compound flooding, the frequency and intensity of which is expected to increase with climate change. Even though efforts are made to adapt against single flood drivers using hard protection, potential subsequent changes in flood risk due to compound flooding are often overlooked in flood risk assessments. This is because risk assessments mostly focus on individual flood drivers and do not account for changes in risk from adaptation measures. We address this question and use hydrodynamic modeling to simulate compound flooding for two adaptation scenarios. We consider adaptation in terms of storm surge barriers, in two locations along the Trave estuary, namely Schlutup and Trave, at Lübeck, Germany. We assess the effectiveness of both storm surge barriers in reducing flooding by simulating individual-driver, as well as low- and high-magnitude compound flood scenarios. We find that while during low-magnitude compound flooding both barriers reduce the overall flood extent by 25%–86%, high-magnitude compound flooding leads to an increase of up to 100%, depending on the location of the barrier. Our results suggest that the river contribution is amplified by 52%–100% by the Schlutup Barrier. The Trave Barrier, however, only amplifies flood extents in the high-magnitude compound flood scenarios. Our findings highlight the need to consider compound flooding in adaptation planning to avoid defense failure and unexpected increases in risk. However, as this study considers only two (low probability) extreme events, a more comprehensive approach is necessary to fully understand the overall impact on risk. © 2025. The Author(s).</t>
  </si>
  <si>
    <t>2-s2.0-85218968663"</t>
  </si>
  <si>
    <t>10.1029/2024JC021646</t>
  </si>
  <si>
    <t>https://www.scopus.com/inward/record.uri?eid=2-s2.0-85218917718&amp;doi=10.1029%2f2024JC021646&amp;partnerID=40&amp;md5=eada7c2289072fcb88f267c3bebfea53</t>
  </si>
  <si>
    <t>Analysis of multidecadal tide records, satellite altimetry, and high-resolution oceanic reanalysis around the Hawaiian Ridge identifies correlations between offshore and onshore mean sea level (MSL), the M2 tide, and ocean stratification</t>
  </si>
  <si>
    <t>10.1038/s41598-024-83273-y</t>
  </si>
  <si>
    <t>https://www.scopus.com/inward/record.uri?eid=2-s2.0-86000097885&amp;doi=10.1038%2fs41598-024-83273-y&amp;partnerID=40&amp;md5=2726b842a3dbfe603d4c8d5b808a9084</t>
  </si>
  <si>
    <t>The effective use of available information in extreme value analysis is critical because extreme values are scarce. Thus, applying the r-largest order statistics (rLOS) instead of the block maxima is encouraged in general. The Gumbel distribution for rLOS (rGD) has been employed for modeling the r-largest data. However, the rGD is not flexible enough to capture the variability of the r-largest data because only two parameters are used. This study extends the rGD to the generalized Gumbel distribution for rLOS (rGGD) to address this problem, which incorporates three parameters including a shape parameter. We derive some probability functions of the rGGD. The maximum likelihood estimation, delta method, entropy difference test for r selection, and cross-validated likelihood are considered for inference. The usefulness and practical effectiveness of the rGGD are illustrated by Monte Carlo simulation and an application to the peak streamflow data at Oykel Bridge in the UK. This new r-largest model should be helpful for the design of engineering structures to prevent severe damage by extreme events. © The Author(s) 2025.</t>
  </si>
  <si>
    <t>2-s2.0-86000097885"</t>
  </si>
  <si>
    <t>10.5194/essd-17-1041-2025</t>
  </si>
  <si>
    <t>https://www.scopus.com/inward/record.uri?eid=2-s2.0-86000740499&amp;doi=10.5194%2fessd-17-1041-2025&amp;partnerID=40&amp;md5=9f5400217d68e0af5c1d9b70a7b33faa</t>
  </si>
  <si>
    <t xml:space="preserve">Detailed information on coastal storm impacts is crucial to evaluate the degree of physical and economic damage caused by floods, implement effective recovery actions for risk prevention and preparedness, and design appropriate coastal zone management plans. This article presents a new database containing information on extreme storm events that generated impacts and flooding along European coastlines between 2010 and 2020. The storm events, associated with specific locations, are used to define test cases that are subsequently employed to retrieve information from different extreme coastal storms that hit the same area. The database collects items organized in worksheets and constitutes an inventory of resources with different types of information that is employed to characterize a storm event (i.e. hydrodynamics and weather information) and its consequences (impacts, flood extent, etc.). The guidelines and polygons (in GeoJSON format) that define the domain of the sites are also provided along with the database. The database contains 11 coastal storm events, 26 sites, 28 test cases, and 232 resources, and it has been designed to allow the addition of new events and resources. Descriptive statistical analyses were performed to define the types and topics addressed by the resources and the distribution of the resource types per country. Lastly, an example of the application of the database to European-scale flood modelling is provided. The European Coastal Flood Awareness System (ECFAS) database is available at 10.5281/zenodo.6538416 (Souto-Ceccon et al., 2021). © Copyright: </t>
  </si>
  <si>
    <t>2-s2.0-86000740499"</t>
  </si>
  <si>
    <t>Land</t>
  </si>
  <si>
    <t>10.3390/land14020410</t>
  </si>
  <si>
    <t>https://www.scopus.com/inward/record.uri?eid=2-s2.0-85219172607&amp;doi=10.3390%2fland14020410&amp;partnerID=40&amp;md5=e9d433aa7ca5e94bbe4321e793f1720a</t>
  </si>
  <si>
    <t>As the contradiction between vegetation growth and soil moisture (SM) demand in arid zones gradually expands, accurately obtaining SM data is crucial for ecological construction. Remote sensing products limit small-scale studies due to the low resolution, and the emergence of downscaling solves this problem. This study proposes an improved semi-physical SM downscaling method. The effects of environmental factors on SM in different geographical zones (Windy Sand Hills, Flood Plains, Loess Yuan, Hilly Loess, Earth-rock Hills and Rocky Mountain) were analyzed using Random Forests. Vegetation and topographic factors were incorporated into the traditional downscaling algorithm based on the Mualem–van Genuchten model by setting weights, yielding 250 m resolution SM data for the Loess Plateau. This study found the following: (1) The Normalized Difference Vegetation Index (NDVI) was the most important environmental factor in all divisions except the Flood Plain, and the Digital Elevation Model (DEM) was second only to the NDVI in the overall importance evaluation, both of which positively influenced SM. (2) SM variability increased and then decreased when SM was below 0.4 cm3/cm3, but showed a quadratic growth trend when exceeding this threshold. The Rocky Mountain division exhibited the highest variability under the same SM. (3) Validation showed that the improved algorithm, based on geographic divisions to analyze factors importance and interpolation of coarse-scale SM and variability, had the highest accuracy, with an average R of 0.753 and an average ubRMSE of 0.042 cm3/cm3. The improved algorithm produced higher resolution, more accurate SM data, and offered insights for downscaling studies in arid regions, meeting the region’s high-resolution SM needs. © 2025 by the authors.</t>
  </si>
  <si>
    <t>2-s2.0-85219172607"</t>
  </si>
  <si>
    <t>Hydrology</t>
  </si>
  <si>
    <t>10.3390/hydrology12020033</t>
  </si>
  <si>
    <t>https://www.scopus.com/inward/record.uri?eid=2-s2.0-85218855547&amp;doi=10.3390%2fhydrology12020033&amp;partnerID=40&amp;md5=631e05726938fc46d92171909dc91f55</t>
  </si>
  <si>
    <t>This paper presents a novel methodology to generate Digital Elevation Models (DEMs) in flat areas, incorporating river channels from relatively coarse initial data. The technique primarily utilizes filtered dense point clouds derived from SfM-MVS (Structure from Motion-Multi-View Stereo) photogrammetry of available crewed aerial imagery datasets. The methodology operates under the assumption that the aerial survey was carried out during low-flow or drought conditions so that the dry (or almost dry) riverbed is detected, although in an imprecise way. Direct interpolation of the detected elevation points yields unacceptable river channel bottom profiles (often exhibiting unrealistic artifacts) and even distorts the floodplain. In our Fluvial Domain Method, channel bottoms are represented like “highways”, perhaps overlooking their (unknown) detailed morphology but gaining in general topographic consistency. For instance, we observed an 11.7% discrepancy in the river channel long profile (with respect to the measured cross-sections) and a 0.38 m RMSE in the floodplain (with respect to the GNSS-RTK measurements). Unlike conventional methods that utilize active sensors (satellite and airborne LiDAR) or classic topographic surveys—each with precision, cost, or labor limitations—the proposed approach offers a more accessible, cost-effective, and flexible solution that is particularly well suited to cases with scarce base information and financial resources. However, the method’s performance is inherently limited by the quality of input data and the simplification of complex channel morphologies</t>
  </si>
  <si>
    <t>Ecological Processes</t>
  </si>
  <si>
    <t>10.1186/s13717-025-00577-1</t>
  </si>
  <si>
    <t>https://www.scopus.com/inward/record.uri?eid=2-s2.0-85218460088&amp;doi=10.1186%2fs13717-025-00577-1&amp;partnerID=40&amp;md5=48ec198f3e80703d997c41915e1627ea</t>
  </si>
  <si>
    <t>Background: The effects of war on biodiversity, habitats, ecosystem services, and water, seafood, and fishing resources are complex and long-lasting, yet their ongoing environmental analyses are limited. The Russia–Ukraine War (2022–present) comprises a unique ecological situation to examine biodiversity effects on the distinctive cold-temperate northern Black Sea ecosystem, which has an intriguing biogeographic history and high endemism resulting from geographic isolation and differentiation. Results: We summarize negative and positive effects from the War on the aquatic (marine, estuarine, and freshwater) biota and their habitats, focusing on investigations by the Institute of Marine Biology, National Academy of Sciences of Ukraine. Negative effects include toxins and habitat damage from oil spills, shelling, mining, explosions, flooding, and fires</t>
  </si>
  <si>
    <t>10.1016/j.scitotenv.2025.179020</t>
  </si>
  <si>
    <t>https://www.scopus.com/inward/record.uri?eid=2-s2.0-85219036607&amp;doi=10.1016%2fj.scitotenv.2025.179020&amp;partnerID=40&amp;md5=56eaf46a3e25fd42f91239e6a449ad22</t>
  </si>
  <si>
    <t>With rapid urbanization in coastal cities, the sharp increase in coastal reclamation due to human activity has caused serious land subsidence problems and threatened the safety of urban traffic in reclamation areas, especially in fast developing cities, such as Shenzhen. However, the spatio-temporal distribution of reclamation evolution and land subsidence to assist in metro operations on a regional scale remain under-explored. To fill-in this research gap, an attempt was made to monitor the coastal reclamation dynamics of Shenzhen from 1979 to 2020.The spatial-temporal changes in the reclamation were discussed based on the Landsat 5, 7 and 8 datasets along with urban growth for a 40-year period. Accordingly, the fill height distribution was employed using available global DEM datasets to perform land fill height effect of metro system in the reclamation area. After understanding the spatial-temporal patterns of land reclamation changes, we focused on monitoring the land subsidence in reclamation area using time-series Sentinel-1 Interferometric SAR (InSAR) datasets by SVD and Stacking techniques. 48 scenes were acquired during ascending and descending passes respectively between 8/3/2015 to 8/8/2023 for the study area. The field measurements of metro deformation in reclamation area acquired from investigation data reflects the risk level of metro operational risk of urban traffic. In-depth analysis of reclamation characteristics revealed a direct relationship between urban expansion, land subsidence and metro deformation. A high correlation coefficient of 0.89 was observed between land subsidence variation and the metro deformation measured along metro line 2 and line 11 in reclamation area. Understanding the impact of land subsidence on metro operation is key to refining sustainable urban development in reclamation areas. © 2025</t>
  </si>
  <si>
    <t>2-s2.0-85219036607"</t>
  </si>
  <si>
    <t>10.1016/j.jhydrol.2024.132603</t>
  </si>
  <si>
    <t>https://www.scopus.com/inward/record.uri?eid=2-s2.0-85213281074&amp;doi=10.1016%2fj.jhydrol.2024.132603&amp;partnerID=40&amp;md5=f495f45186fb31decbff69d73773015f</t>
  </si>
  <si>
    <t>Urban drainage modelling is essential for effective city planning and flood management. The increasing complexity of urban environments and the growing availability of high-resolution data have led to the need to develop more sophisticated and freely accessible urban drainage models. This paper presents the parallel implementation of Iber-SWMM, a freely distributed integrated 2D/1D urban drainage model for modelling surface and sewer flows and their interactions. Iber-SWMM constitutes an advance in the field by incorporating a fully distributed hydrological approach, advanced roof modelling tools, and GIS interoperability, offering a comprehensive solution for urban hydrodynamics. Originally designed for research in small urban drainage models due to CPU limitations, Iber-SWMM has now been enhanced with High Performance Computing (HPC) techniques. This allows for the simulation of high-resolution urban models with fine meshes comprising millions of elements, essential for accurate representation of complex urban geometries. We validated the model through laboratory-scale tests and two city-scale scenarios, providing detailed input data and demonstrating the applicability of the model in real-world situations. Our results show that the GPU-accelerated version achieves simulation speeds up to 200 times faster than the sequential version for large models. For instance, in a city-scale scenario with approximately 6 million cells, 3000 nodes, and 3000 links, simulation time was reduced from 72 h to just 20 min. To ensure result consistency and assess convergence, we conducted simulations using low, medium, and high-resolution computational meshes for each case study. Our findings indicate that both parallel and sequential versions produce consistent results, with convergence typically achieved at medium to high resolutions. Notably, we observed that for very large models, the computation of the drainage network in SWMM can become a bottleneck, suggesting an area for future optimization. By enabling the simulation of high-resolution urban models with millions of elements up to 200 times faster than sequential versions, this study bridges the gap between academic research and practical urban planning, empowering stakeholders to conduct more detailed, city-wide simulations, and ultimately contributing to faster urban flood risk management. © 2024 The Authors</t>
  </si>
  <si>
    <t>2-s2.0-85213281074"</t>
  </si>
  <si>
    <t>Mathematics and Computers in Simulation</t>
  </si>
  <si>
    <t>10.1016/j.matcom.2025.02.005</t>
  </si>
  <si>
    <t>https://www.scopus.com/inward/record.uri?eid=2-s2.0-85217917611&amp;doi=10.1016%2fj.matcom.2025.02.005&amp;partnerID=40&amp;md5=6fd3aa1224ab78ca256f32a480b228be</t>
  </si>
  <si>
    <t>Wetlands are essential for global biogeochemical cycles and ecosystem services, with the dynamics of soil organic carbon (SOC) serving as the critical regulatory mechanism for these processes. However, accurately modeling carbon dynamics in wetlands presents challenges due to their complexity. Traditional approaches often fail to capture spatial variations, long-range transport, and periodical flooding dynamics, leading to uncertainties in carbon flux predictions. To tackle these challenges, we introduce a novel extension of the fractional RothC model, integrating temporal fractional-order derivatives into spatial dimensions. This enhancement allows for the creation of a more adaptive tool for analyzing SOC dynamics. Our differential model incorporates Richardson–Richard's equation for moisture fluxes, a diffusion–advection–reaction equation for fractional-order dynamics of SOC compounds, and a temperature transport equation. We examine the influence of diffusive movement and sediment moisture content on model solutions, as well as the impact of including advection terms. Finally, we validated the model on a restored wetland scenario at the Ebro Delta site, aiming to evaluate the effectiveness of flooding strategies in enhancing carbon sequestration and ecosystem resilience. © 2025 The Authors</t>
  </si>
  <si>
    <t>2-s2.0-85217917611"</t>
  </si>
  <si>
    <t>10.1038/s41598-025-89298-1</t>
  </si>
  <si>
    <t>https://www.scopus.com/inward/record.uri?eid=2-s2.0-85218913641&amp;doi=10.1038%2fs41598-025-89298-1&amp;partnerID=40&amp;md5=b318540709d24450290d31dee353b4cf</t>
  </si>
  <si>
    <t>Climate change has a profound impact on the mental health and well-being of people all over the world. However, studies on the impacts of climate-driven rising sea levels on mental health remain few. This study aims to examine the risk of depression among people who live in coastal areas susceptible to the natural hazards associated with climate change. We used the Indonesia Basic Health Survey 2018, which included 642,419 adults in Indonesia. Multivariable logistic regression analysis was conducted to examine the relationship between living in a coastal hazard area and depression. We included socio-demographics, health status, and health access information in the analysis to identify the most vulnerable groups. Our findings show that people who live in coastline hazard areas have 1.13 times higher odds to have depression than people who live outside those areas. Individuals living in the coastal hazards areas who were less likely to have autonomous mobility or resources, including young adults, females, those with low socio-economic conditions, and those with pre-existing health conditions, had a higher risk of depression than other groups. Culturally acceptable and effective mental health interventions should thus target these vulnerable populations and settings to effectively reduce climate-related health risks. © The Author(s) 2025.</t>
  </si>
  <si>
    <t>2-s2.0-85218913641"</t>
  </si>
  <si>
    <t>10.1016/j.jhydrol.2024.132587</t>
  </si>
  <si>
    <t>https://www.scopus.com/inward/record.uri?eid=2-s2.0-85213897497&amp;doi=10.1016%2fj.jhydrol.2024.132587&amp;partnerID=40&amp;md5=71ab29da8882f8049e5d5a64f75d5b44</t>
  </si>
  <si>
    <t>Comparing flooded area detection between the hydraulic modelling and Sentinel-1 radar imagery processed by Automatic Detection of Water Bodies (Sentinel-1 ADWB) confirmed that SAR (Synthetic Aperture Radar) imagery shows good potential for improving flood studies. The study was performed in a study area of the Krka River floodplain (Slovenia). The focus was to analyse the overlapping areas between the Sentinel-1 ADWB and numerical hydraulic modelling and to recognise the factors that play a role in the differences between those areas. At the same time, the study also demonstrated the applicability of Sentinel-1 ADWB. The overlapping between the two data sources was up to 66%. The most significant differences between the data were in areas simulated by the hydraulic modelling but not detected by satellite imagery processed by Sentinel-1 ADWB. These were mainly areas with dense vegetation, such as forests, where the satellite (as expected) had difficulty detecting floods, and detection borders, where detection was difficult due to lower water depths and/or detection limitations due to spatial resolution or region growing process. Areas less well modelled by the hydraulic model than satellite imagery were also identified, indicating regions where Sentinel-1 ADWB can improve flood studies as additional data for hydraulic simulation. The study shows that users need to understand the drawbacks and advantages of modes for obtaining the data – radar satellite imagery (problems under dense vegetation, spatial resolution, etc.) and hydraulic model (lack of quality input data, the precipitation directly above the studied area, water inflow from the hinterland, etc.). Based on the knowledge of the areas where Sentinel-1 ADWB data can be useful, the data's potential for calibration and verification processes of hydraulic studies is suggested. © 2024 The Author(s)</t>
  </si>
  <si>
    <t>2-s2.0-85213897497"</t>
  </si>
  <si>
    <t>10.31893/multiscience.2025310</t>
  </si>
  <si>
    <t>https://www.scopus.com/inward/record.uri?eid=2-s2.0-86000138527&amp;doi=10.31893%2fmultiscience.2025310&amp;partnerID=40&amp;md5=430f57d2f28d49b15a6a440a43ea7de2</t>
  </si>
  <si>
    <t>This study explores the attitudes of farmers in the Mekong Delta, Vietnam, toward environmental protection, focusing on sustainable agricultural practices. The region, known for its agricultural productivity, faces significant environmental challenges, including climate change, saltwater intrusion, and land subsidence, which threaten the livelihoods of millions. A cross-sectional survey was conducted using a 30-item questionnaire across seven subscales: Adjust Planting Schedule, Adjust Planting Techniques, Diversify Crops and Varieties, Manage Water Usage, Manage Land Usage, Manage Energy Usage, and Manage Waste. The sample consisted of 250 farmers, with 52% female and 48% male participants, most of whom were between the ages of 51–60 and had 11–20 years of farming experience. The results indicate that farmers occasionally implement practices aimed at environmental protection, with a total mean score of occasionally implemented across all subscales, suggesting moderate adoption of sustainable methods. Notably, techniques such as adjusting planting schedules and improving agricultural product preservation were more frequently implemented, while energy and water management practices scored lower. Statistical analyses, including Cronbach's Alpha for reliability, demonstrated good internal consistency across the subscales. The findings highlight the potential for improving environmental sustainability in the Mekong Delta through increased education and policy support. While farmers show willingness to adopt environmentally friendly techniques, the frequency of implementation remains moderate. This underscores the importance of further efforts to promote environmental protection practices, particularly as the region faces escalating environmental risks. The study concludes that fostering stronger attitudes toward environmental conservation among farmers is essential for ensuring the long-term sustainability of agriculture in the Mekong Delta. © 2025 Malque Publishing. All rights reserved.</t>
  </si>
  <si>
    <t>2-s2.0-86000138527"</t>
  </si>
  <si>
    <t>10.1016/j.scitotenv.2024.177865</t>
  </si>
  <si>
    <t>https://www.scopus.com/inward/record.uri?eid=2-s2.0-85211184825&amp;doi=10.1016%2fj.scitotenv.2024.177865&amp;partnerID=40&amp;md5=5a4a064d0042c6399937d1172a008603</t>
  </si>
  <si>
    <t>Reclamation is crucial for improving the fertility and productivity of saline-alkali soils, but the evolution of soil bacterial communities during the course of reclamation, which is an important feedback of soil micro-ecosystem, has received little attention. This study was conducted to investigate the variation of bacterial community diversity and composition in reclaimed saline-alkali soils based on space-for-time substitution, elucidate the underlying ecological mechanisms of bacterial community assembly processes, and identify the key driving factors of bacterial community evolution. The soil bacterial communities in undeveloped saline-alkali land and farmlands with different reclamation history (1–4, 5–6, and 10–25 years) in the Yellow River Delta, China, was analyzed by 16S rRNA gene amplicon sequencing. Soil bacterial diversity was found to increase significantly with reclamation history, and the entire bacterial community composition varied remarkably in the saline-alkali soils at different stages of reclamation. Halophilic and halotolerant bacteria dominated in the soils of undeveloped saline-alkali land (33.7 %), but their abundance diminished largely in the reclaimed soils. Analysis of bacterial community assembly processes suggested that heterogeneous selection dominated the change of bacterial communities in the saline-alkali soils that had been reclaimed for 1–4 years (52.8 %), 5–6 years (93.1 %), and 10–25 years (94.4 %). Salinity, soil organic carbon, pH, and moisture content were found to be the key environmental factors driving the evolution of bacterial communities in the reclaimed saline-alkali soils. While salinity directly shaped the bacterial community diversity, the other key drivers primarily governed the composition of bacterial communities in the saline-alkali soils during reclamation. These findings shed light on the probable ecological mechanisms of assembly processes and the environmental factors driving the soil bacterial communities during reclamation of saline-alkali lands, which could help better understand the evolution of soil bacterial communities under declining saline stress and optimize strategies to improve the agroecosystem health of saline-alkali lands. © 2024 Elsevier B.V.</t>
  </si>
  <si>
    <t>2-s2.0-85211184825"</t>
  </si>
  <si>
    <t>10.3390/rs17020329</t>
  </si>
  <si>
    <t>https://www.scopus.com/inward/record.uri?eid=2-s2.0-85215768625&amp;doi=10.3390%2frs17020329&amp;partnerID=40&amp;md5=2558a3606e92a5b39c5329b2d857fff1</t>
  </si>
  <si>
    <t>The INterpolated FLOod Surface (INFLOS) tool was developed to meet the operational needs of the Copernicus Emergency Management Service (CEMS) Rapid Mapping (RM) component, which delivers critical crisis information within hours during and after disasters. With increasing demand for accurate and real-time flood depth estimates, INFLOS provides a rapid, adaptable solution for estimating floodwater depth across diverse flood scenarios, using remotely sensed data and high-resolution Digital Terrain Models (DTMs). INFLOS calculates flood depth by interpolating water surface elevation from sample points along flooded area boundaries, derived from satellite imagery. This tool is capable of delivering flood depth estimates in a rapid mapping context, leveraging a multistep interpolation and filtering process for improved accuracy. Tested across fourteen regions in Europe and South America, INFLOS has been successfully integrated into CEMS RM operations. The tool’s computational optimisations further enhance efficiency, improving computation times by up to 15-fold, compared to similar techniques. Indeed, it is able to process areas of up to 6000 ha in a median time of 5.2 min, and up to 30 min at most. In conclusion, INFLOS is currently operational and consistently generates flood depth products quickly, supporting real-time emergency management and reinforcing the CEMS RM portfolio. © 2025 by the authors.</t>
  </si>
  <si>
    <t>2-s2.0-85215768625"</t>
  </si>
  <si>
    <t>International Journal of Urban Sciences</t>
  </si>
  <si>
    <t>10.1080/12265934.2025.2470169</t>
  </si>
  <si>
    <t>https://www.scopus.com/inward/record.uri?eid=2-s2.0-86000265997&amp;doi=10.1080%2f12265934.2025.2470169&amp;partnerID=40&amp;md5=d0a1181fe5cf373c699a766fbe01b453</t>
  </si>
  <si>
    <t>Extreme weather such as storm rainfall events increases the potential risk of urban flooding in most of the densely populated cities in China. Using LiDAR point cloud modelling technology combined with Rhinoceros and MATLAB software, a parameterized model of rainfall, surface runoff and catchment processes that considers canopy interception, soil infiltration, and evaporation processes is constructed based on the terrain DEM and plant DSM. Using Zhengzhou Green Expo Park as an example, different rainfall strengths (0.65, 1.39, 2.59, 4.25 mm/h) are used to verify the usability of this model. Green space achieves absorption saturation (approximately 246.70–252.20 m3/hm2) at the 11th and 10th hour of heavy and storm-intensity rains, respectively, mainly due to soil infiltration, whereas the canopy interception volume only accounts for 17% (56.80 m3/hm2) of the absorption. The water catchment volume begins to rapidly increase at approximately 1–2 hours (9th–10th hours) before saturated absorption under heavy and storm precipitation, and the maximum catchment area accounts for 95% of the total park area at approximately the 20th and 19th hours, respectively. The water catchment volume increases to 637.62 m3/hm2 in 24 hours under storm-intensity rain and the drainage water amount rapidly increases after the 20th hour, which necessitates flood prevention measures. This research provides a technical framework for flood risk forecasting and ecological service value enhancement in an urban green space by combining software, spatial modelling, data computation and parametric visualization. © 2025 The Institute of Urban Sciences.</t>
  </si>
  <si>
    <t>2-s2.0-86000265997"</t>
  </si>
  <si>
    <t>10.1007/s12524-024-02026-6</t>
  </si>
  <si>
    <t>https://www.scopus.com/inward/record.uri?eid=2-s2.0-86000426048&amp;doi=10.1007%2fs12524-024-02026-6&amp;partnerID=40&amp;md5=42e5274efaff4d27254d8cca196fd8b9</t>
  </si>
  <si>
    <t>The Deltas of the east coast of India are highly susceptible to vertical deformations due to various factors like hydrological changes, reduced sediment inflow from rivers, groundwater exploitation, hydrocarbon extraction, sea-level variations, and neotectonics. This study focuses on the LOS (Line of Sight) deformation in the Krishna Delta, India, during the years 2006–2011 and 2016–2018, observed using L- Band [Advanced Land Observation Satellite (ALOS)-1] and C-Band (Sentinel-1 A) satellite data, respectively. The displacement rates were determined through time series Interferometric Synthetic Aperture Radar (InSAR) analysis using the Small Baseline Subset (SBAS) approach. A total of 49 interferograms from ALOS-1 and 241 from Sentinel-1 A, corresponding to 19 ALOS and 70 Sentinel-1 A images, were selected based on geometrical and temporal baselines. Along the coastal region of the Krishna Delta, 25 transects were analyzed for two different periods to understand the LOS deformation rate. Among these evaluated transects, 11 showed uplift, 11 exhibited subsidence, and 2 remained stable. Transect No 12 which falls within a no-data zone due to coastal inundation yielded null results. The observed subsidence (5–6 mm/yr) was predominantly in regions associated with aquaculture activities. We hypothesize that the groundwater imbalance resulting from aquaculture activities is a prevailing factor in the observed ground deformation in this region. Various factors such as accretion, mangrove cover, and spit morphology were also explored to understand uplift in the study area. The InSAR technique demonstrated its capability for estimating land deformation, establishing it as one of the best methods in coastal delta studies. © Indian Society of Remote Sensing 2024.</t>
  </si>
  <si>
    <t>2-s2.0-86000426048"</t>
  </si>
  <si>
    <t>10.1016/j.scitotenv.2024.178165</t>
  </si>
  <si>
    <t>https://www.scopus.com/inward/record.uri?eid=2-s2.0-85212564532&amp;doi=10.1016%2fj.scitotenv.2024.178165&amp;partnerID=40&amp;md5=3a3674bb1757fb1d394687d4f72200e2</t>
  </si>
  <si>
    <t>In coastal urban areas highly susceptible to flooding, whether from sea level rise (SLR) or storms, it is crucial to assess the vulnerability and risks posed by extreme and frequent floods. Reliable estimates of extreme natural events' return periods rely on historical data or probabilistic models, requiring extensive and robust data. From climate-scenario-based or semi-empirical models, SLR projections are represented by a central estimate or the full domain cumulative density function (CDF), entailing uncertainties. Each scenario or projection having its own CDF results in relative probability solutions rather than absolute probability. This article presents an innovative approach for determining absolute flood probability for the medium-to-long-term (2090) and long-term (2120), encompassing extreme and frequent floods over the next 100 years, by combining the individual CDF of SLR, tide, and storm surge. This approach allowed the production of a new vulnerability mapping, with high spatial resolution, by adding an image processing algorithm to eliminate all flood areas isolated from tidal surface flow at the maximum total hydrostatic water level (THWL). Geographic Information Systems (GIS) can replicate this methodology. Still, as a test zone, it is specifically applied as a demonstration to the Tagus Estuary, Portugal. In 2090, the highest flood level estimation on the Tagus Estuary margins is 4.06 m, corresponding to a total vulnerable area of 92 km2. However, by 2120, it is expected that maximum flood height will reach 4.87 m, expanding the area to 102 km2. After applying the image processing algorithm to clean isolated flood areas, a decrease of 20 % in the medium-to-long-term and 17 % in the long-term of the vulnerable area was obtained, relative to hazard assessment. The present study intends to obtain the absolute coastal vulnerability for further coastal risk assessment, based on a non-scenario-dependent flooding probability. © 2024 The Authors</t>
  </si>
  <si>
    <t>2-s2.0-85212564532"</t>
  </si>
  <si>
    <t>10.1016/j.ijdrr.2024.105123</t>
  </si>
  <si>
    <t>https://www.scopus.com/inward/record.uri?eid=2-s2.0-85214032651&amp;doi=10.1016%2fj.ijdrr.2024.105123&amp;partnerID=40&amp;md5=3cab1198f97b4d6f2cace782ff054971</t>
  </si>
  <si>
    <t>Environmental justice research historically focuses on assessing and understanding direct impacts of environmental risk on socio-economically varied areas. Limited work has addressed indirect impacts such as how flooding of transportation networks may disproportionately influence different socio-economic groups. Our objective addresses this by investigating how flood-related road closures influence Virginians differently across the state. Firstly, we retrieve flood-related road closure information from the Virginia Department of Transportation along with race and poverty data from the US Census Bureau and aggregate socio-economic data from the Center for Disease Control and Prevention. Analytically, we then explore best-fit linear models between these variables, including spatial comparisons of coastal vs. inland and urban vs. rural areas, to assess how flooding may disproportionately be impacting people of different socio-economic status. Overall, we find more flood-related road closures in areas with less poverty and more white people. Inland areas experience more closures in whiter, less wealthy areas, while coastal areas see more racial diversity subjected to flood-related road closures. We further find that rural areas experience more closures than urban areas, with a bias in coastal rural areas towards census tracts with fewer white people. Our findings show noticeable differences when considering the relationship between flood-related road closures and various socio-economic factors and geographic categorizations in Virginia, though note that our findings are contingent on reported road closure data and therefore are susceptible to biases in reporting. These findings have implications for transportation infrastructure maintenance and prioritization of transportation network improvements from social and environmental justice standpoints. © 2025 The Authors</t>
  </si>
  <si>
    <t>2-s2.0-85214032651"</t>
  </si>
  <si>
    <t>Journal of Geotechnical and Geoenvironmental Engineering</t>
  </si>
  <si>
    <t>10.1061/JGGEFK.GTENG-12573</t>
  </si>
  <si>
    <t>https://www.scopus.com/inward/record.uri?eid=2-s2.0-85212084514&amp;doi=10.1061%2fJGGEFK.GTENG-12573&amp;partnerID=40&amp;md5=93419daf40c268953a36a3ef295f36b8</t>
  </si>
  <si>
    <t>Excessive decline in pore pressure in fine-grained soils can lead to substantial land subsidence, a phenomenon increasingly observed worldwide amid the water crisis linked to climate change. The presence of soft and sensitive Champlain clays in the Saint Lawrence River Valley in Southeastern Canada makes this region prone to soil deformation. This article investigates vertical ground movements at a designated test site through the integration of numerical modeling and the persistent scatterer InSAR (PSI) technique. A model was developed using the finite-element method (FEM) and Biot's theory of poroelasticity. This model predicts soil settlement and heave by analyzing pore pressure data from the bedrock and fractured clay layers as well as temperature measurements from a study site in Sainte-Marthe, Quebec. The model is tailored to capture deformations in distinct layers, distinguishing between a more actively hydraulically influenced superficial top layer and a deeper, intact clay layer. Subsequently, vertical displacements were computed at the location of the study site and on a broader scale using the PSI technique, employing SARPROZ software with linear and nonlinear approaches. Results showcased a satisfactory correlation between FEM simulations and PSI estimates, revealing a seasonal trend of displacement with a maximum range of 15 mm. Over a 30 month span, the FEM model and nonlinear PSI approach estimated subsidence reaching up to 55 mm. Notably, the nonlinear PSI method demonstrated superior efficacy in identifying nonlinear soil displacements, displaying a displacement velocity of -9 mm=year compared with the -8 mm=year estimated by the FEM approach. © 2024 American Society of Civil Engineers.</t>
  </si>
  <si>
    <t>2-s2.0-85212084514"</t>
  </si>
  <si>
    <t>10.1016/j.rsase.2025.101491</t>
  </si>
  <si>
    <t>https://www.scopus.com/inward/record.uri?eid=2-s2.0-85217941507&amp;doi=10.1016%2fj.rsase.2025.101491&amp;partnerID=40&amp;md5=9deb4c6167e3c33bc8780c1ea9b9ede8</t>
  </si>
  <si>
    <t>Ground subsidence along the riverbanks near the Yangtze River Delta has been accelerating due to human activities and other factors, seriously impacting various aspects of social development. Mapping susceptibility patterns and analyzing subsidence factors are crucial for effective management. This study focused on the Yangtze River riparian perimeter in Jiangsu Province, our study area. We assessed the importance of different factors using the random forest regression (RFR) model and the temporal convolution network (TCN). Additionally, we used GeoDetector to analyze the spatial relationship between sedimentation and potential drivers. Finally, we utilized the RFR and Maxent model to map susceptibility to sedimentation patterns in different risk zones. The study results show that the method effectively depicts the susceptibility to subsidence in each risk zone (44.18% and 32.56% for high and average risk zones, respectively). Anthropogenic factors mainly drive the subsidence-prone areas around the Yangtze River in Jiangsu. Groundwater extraction and soft soil thickness are the primary drivers of subsidence patterns in high-risk areas. In contrast, the main drivers of subsidence in other risk areas vary. These differences reflect the delayed effects of natural and anthropogenic factors on subsidence and the significant differences in how anthropogenic drivers affect the marginal effects of subsidence. Through susceptibility modeling and driver evaluation, this study reveals that establishing risk zones has improved our understanding of the impact of regional variations in environmental variables on subsidence. This understanding will facilitate the development of subsidence management strategies tailored to different regions. © 2025 The Authors</t>
  </si>
  <si>
    <t>2-s2.0-85217941507"</t>
  </si>
  <si>
    <t>Weather, Climate, and Society</t>
  </si>
  <si>
    <t>10.1175/WCAS-D-23-0136.1</t>
  </si>
  <si>
    <t>https://www.scopus.com/inward/record.uri?eid=2-s2.0-85217053180&amp;doi=10.1175%2fWCAS-D-23-0136.1&amp;partnerID=40&amp;md5=894f62b1e4922ffe06a7712ed8a9c876</t>
  </si>
  <si>
    <t>California’s Sacramento–San Joaquin delta is situated at the confluence of the Sacramento and San Joaquin Rivers, where more than 60 agricultural islands are protected by levees. The region has experienced hundreds of floods since the levees were first built in the mid-1800s</t>
  </si>
  <si>
    <t>Icarus</t>
  </si>
  <si>
    <t>10.1016/j.icarus.2024.116349</t>
  </si>
  <si>
    <t>https://www.scopus.com/inward/record.uri?eid=2-s2.0-85208485178&amp;doi=10.1016%2fj.icarus.2024.116349&amp;partnerID=40&amp;md5=9fbf91adda5e80a54fb2e751632f9ce0</t>
  </si>
  <si>
    <t>In our study we examined water-related processes and events in the Jezero crater on Mars using flow discharge and sediment transport models of: 1) the western inlet valley carving, 2) the northern inlet valley carving, 3) crater flooding by only northern inlet and 4) by both northern and western inlets, 5) erosion of the western rim by the western inlet, 6) erosion of the eastern rim due to the outlet, 7) water outflow from the crater, 8) outlet valley carving, 9) western delta deposition, 10) northern delta deposition. Detailed geomorphological analyses, delta and valley mapping and measurements served as a base for our investigations. As our knowledge is limited mostly to remote sensing data and only few in situ data from the Perseverance rover, a range of scenarios for each event was modeled by varying, where necessary, the values of input parameters – grain size, channel depth, channel width, channel slope, median grain size, 90th percentile grain size. We calculated the minimum timescales and the minimum volume of available water for each event. The obtained results were interpreted, taking into account the limitations of the model. We found that: 1) the northern inlet participated in the first crater flooding and the eastern rim breaching and it alone could have flooded the crater</t>
  </si>
  <si>
    <t>10.1016/j.rsase.2025.101477</t>
  </si>
  <si>
    <t>https://www.scopus.com/inward/record.uri?eid=2-s2.0-85216891629&amp;doi=10.1016%2fj.rsase.2025.101477&amp;partnerID=40&amp;md5=5aea18c6fd0d003f71d4ccdcf03af44e</t>
  </si>
  <si>
    <t>Accurate snow depth prediction is essential for hydrological risk assessment, flood prediction, water resource management, and weather forecasting. While previous studies have successfully applied deep learning techniques to generate snow depth maps, many have been constrained by geographical coverage or low data resolution. This work addresses these limitations by integrating high-resolution LiDAR maps, satellite imagery, digital elevation models, and three novel time-dependent variables. Additionally, the well-known U-Net architecture has been customized to perform pixel-wise regression and accurately predict snow depth over large geographic areas. The proposed method, called MAPunet, effectively models snow depth in the mountainous region of Davos, achieving an average error of 0.62 m at a 5 m resolution. The experimental results demonstrate the potential of combining high-resolution data with advanced deep learning techniques for enhanced snow depth mapping. © 2025</t>
  </si>
  <si>
    <t>2-s2.0-85216891629"</t>
  </si>
  <si>
    <t>10.1029/2024WR038087</t>
  </si>
  <si>
    <t>https://www.scopus.com/inward/record.uri?eid=2-s2.0-85215294727&amp;doi=10.1029%2f2024WR038087&amp;partnerID=40&amp;md5=c2074d2350d42dc6b8e690dd5bf67291</t>
  </si>
  <si>
    <t>Coastal aquifers experience water table fluctuations that push and pull water and air through organic-rich soils. This exchange affects the supply of oxygen, dissolved organic carbon (DOC), and nitrogen (N) to shallow aquifers and influences groundwater quality. To investigate the fate of N species, we used a meter-long column containing a sequence of natural organic topsoil and aquifer sediments. A fluctuating head was imposed at the column bottom with local, nitrate-rich groundwater (16.5 mg/L NO3-N). We monitored in-situ redox potential and collected pore water samples for analysis of inorganic N species and DOC over 16 days. Reactive processes were more complex than anticipated. The organic-rich topsoil remained anaerobic, while mineral sediments beneath alternated between aerobic, when the water table dropped and sucked air across preferential flow paths, and anaerobic conditions, when the water table was high. A fluid flow and reactive transport model shows that when the water table rises into organic-rich soils, it limits the flow of oxygen, while the soils release DOC, which stimulates the removal of nitrate from groundwater by denitrification. At the end of the experiment, we introduced seawater to the column to mimic a storm surge. Seawater mobilized N and DOC from shallow soil horizons, which could reach the aquifer if the surge is long enough. These processes are relevant for groundwater quality in developed coastal areas with anthropogenic N sources, as climate change and rising seas will drive changes in water table and flood dynamics. © 2025. The Author(s).</t>
  </si>
  <si>
    <t>2-s2.0-85215294727"</t>
  </si>
  <si>
    <t>10.3390/rs17020263</t>
  </si>
  <si>
    <t>https://www.scopus.com/inward/record.uri?eid=2-s2.0-85215773776&amp;doi=10.3390%2frs17020263&amp;partnerID=40&amp;md5=5f63e85fccfa26e9611e217b041a428d</t>
  </si>
  <si>
    <t>Tidal marshes play a globally critical role in carbon and hydrologic cycles by sequestering carbon dioxide from the atmosphere and exporting dissolved organic carbon to connected estuaries. These ecosystems provide critical habitat to a variety of fauna and also reduce coastal flood impacts. Accurate characterization of tidal marsh inundation dynamics is crucial for understanding these processes and ecosystem services. In this study, we developed remote sensing-based inundation classifications over a range of tidal stages for marshes of the Mid-Atlantic and Gulf of Mexico regions of the United States. Inundation products were derived from C-band and L-band synthetic aperture radar (SAR) imagery using backscatter thresholding and temporal change detection approaches. Inundation products were validated with in situ water level observations and radiometric modeling. The Michigan Microwave Canopy Scattering (MIMICS) radiometric model was used to simulate radar backscatter response for tidal marshes across a range of vegetation parameterizations and simulated hydrologic states. Our findings demonstrate that inundation classifications based on L-band SAR—developed using backscatter thresholding applied to single-date imagery—were comparable in accuracy to the best performing C-band SAR inundation classifications that required change detection approaches applied to time-series imagery (90.0% vs. 88.8% accuracy, respectively). L-band SAR backscatter threshold inundation products were also compared to polarimetric decompositions from quad-polarimetric Phased Array L-band Synthetic Aperture Radar 2 (PALSAR-2) and L-band Uninhabited Aerial Vehicle Synthetic Aperture Radar (UAVSAR) imagery. Polarimetric decomposition analysis showed a relative shift from volume and single-bounce scattering to double-bounce scattering in response to increasing tidal stage and associated increases in classified inundated area. MIMICS modeling similarly showed a relative shift to double-bounce scattering and a decrease in total backscatter in response to inundation. These findings have relevance to the upcoming NASA-ISRO Synthetic Aperture Radar (NISAR) mission, as threshold-based classifications of wetland inundation dynamics will be employed to verify that NISAR datasets satisfy associated mission science requirements to map wetland inundation with classification accuracies better than 80% at 1 hectare spatial scales. © 2025 by the authors.</t>
  </si>
  <si>
    <t>2-s2.0-85215773776"</t>
  </si>
  <si>
    <t>10.1007/s00024-025-03681-7</t>
  </si>
  <si>
    <t>https://www.scopus.com/inward/record.uri?eid=2-s2.0-85218225371&amp;doi=10.1007%2fs00024-025-03681-7&amp;partnerID=40&amp;md5=8a92d72331afe1ca86c1e15085f0a075</t>
  </si>
  <si>
    <t>The Mediterranean coast of Morocco is potentially exposed to tsunamis, such as the one triggered by the Algerian Djijelli earthquake in 1856, also known as the most destructive event in the region. This type of coastal hazard could have disastrous effects on several cities along the Mediterranean coast, such as Martil, which is located near the main sources of tsunamis in the Alboran Sea and receives large numbers of national and international tourists each year. This work intends to simulate the potential tsunami of Averroes faults, corresponding to a magnitude Mw = 7.0 earthquake and to estimate the property and life losses. We used the Nonlinear Shallow Water with Nested Grids (NSWING) code integrated into Mirone software to simulate the tsunami phenomenon, combining a series of bathymetric and topographic grid layers with an initial water elevation generated using Mansinha formulations and assuming instantaneous seabed motion. For this investigation, we considered a scenario associated with a potential seismic source for the Averroes fault located in the Alboran Sea. The simulation results obtained reveal that the maximum water height at the regional scale of the Alboran Sea exceeds 1 m. On the other hand, on a local scale in the study area of the Martil city, the flow depth varies between 0.5 and 7 m, with a flooded surface area of 70 km2. In addition, the arrival time of the first tsunami waves exceeds 40 min. Material losses could reach 3.72 M$, while the loss of life could be as high as 31,000 victims. The results should be useful to policymakers in developing tsunami protection and raising coastal community awareness of tsunami risks in Morocco. © The Author(s), under exclusive licence to Springer Nature Switzerland AG 2025.</t>
  </si>
  <si>
    <t>2-s2.0-85218225371"</t>
  </si>
  <si>
    <t>10.1109/JSTARS.2025.3527748</t>
  </si>
  <si>
    <t>https://www.scopus.com/inward/record.uri?eid=2-s2.0-85214816495&amp;doi=10.1109%2fJSTARS.2025.3527748&amp;partnerID=40&amp;md5=359743b24093f2b6eea243a7169ede82</t>
  </si>
  <si>
    <t>The combined effects of global warming and human activities have intensified land subsidence (LS), limiting the sustainable development of economy in delta regions. Despite the potential of interferometric synthetic aperture radar (InSAR) for monitoring LS, its application across vast delta regions may be hindered by complex data processing, high computational demands, and the need for standardized results. To overcome these challenges, we adopted the multitemporal InSAR technique, integrating a frame data parallel processing strategy and an overall adjustment correction method, to obtain the temporal deformation sequences of the entire Yangtze River Delta (YRD) region in China from January 2019 to December 2021. We calculated the annual average deformation rate and identified deformation areas, with 73.5% concentrated along the Yangtze River, along the coastline, and within the northern Anhui mining area. A significant correlation was observed between LS and anthropogenic activities, such as economic development and land reclamation activities. Further analysis reveals that the increase in GDP growth rate may contribute to LS. Approximately, 38% of the reclaimed area in the YRD is at risk of LS. Land reclamation activities present a dichotomy, with Hangzhou Bay as the dividing line. This study provides a new perspective and scientific basis for understanding and analyzing LS in deltaic environments, contributing to sustainable development and advancing wide-area InSAR deformation monitoring.  © 2008-2012 IEEE.</t>
  </si>
  <si>
    <t>2-s2.0-85214816495"</t>
  </si>
  <si>
    <t>10.1016/j.geomorph.2024.109536</t>
  </si>
  <si>
    <t>https://www.scopus.com/inward/record.uri?eid=2-s2.0-85210533582&amp;doi=10.1016%2fj.geomorph.2024.109536&amp;partnerID=40&amp;md5=d84c119ae6d1a2f58300398d9d3f9cac</t>
  </si>
  <si>
    <t>In early 2021, the dune at Duck Harbor Beach (Wellfleet, MA, USA) was overtopped by high water levels, forming a washover fan that continues to grow through persistent overwash events. Overwash events occur near-monthly on most spring tides, regardless of weather, and have occurred for nearly four years. This is unique because the vast majority of washover fans occur because of storms and generally build in elevation requiring increasing water levels for overwash to occur. The overwash has salt-killed ~48.5 ha of trees and shrubs, and the system has begun to transition from freshwater to saltwater. We document the development of this tidal washover fan, including a detailed examination of changes in elevation and grain size during the early January 2022 events. Understanding how this system has developed will inform our understanding of the fate of other low-lying coastal areas, which are growing increasingly vulnerable to the effects of sea-level rise and ecosystem change. © 2024 The Authors</t>
  </si>
  <si>
    <t>2-s2.0-85210533582"</t>
  </si>
  <si>
    <t>Marine and Petroleum Geology</t>
  </si>
  <si>
    <t>10.1016/j.marpetgeo.2024.107185</t>
  </si>
  <si>
    <t>https://www.scopus.com/inward/record.uri?eid=2-s2.0-85210005857&amp;doi=10.1016%2fj.marpetgeo.2024.107185&amp;partnerID=40&amp;md5=e5fc57d3fa2dd94f3727e7a87a16d26e</t>
  </si>
  <si>
    <t>The Egina Field, situated in the deep-water region of the eastern Niger Delta, is characterized by a NE-SW trending anticline that contains several Middle to Upper Miocene stacked reservoirs. Notably, one of the reservoirs in the field includes three sandy intervals, which have been identified as deep marine turbidite systems. The lowest level (Interval 1) comprises a lobe complex, while the uppermost Intervals 2 and 3 consist of erosive channel complexes. These three reservoir intervals exhibit both static and partial dynamic communication. The Egina Field is affected by a coherent network of extensional and oblique-slip faults, with current activity confined to the eastern sector of the structure. Large displacement faults (throw &gt;30m) offset individual reservoir intervals, creating lateral disconnection and acting as barriers to fluid flow across faults. Minor NNE-SSW oriented faults can locally baffle the flow of fluids, as evidenced by well tests and 4D seismic data. Nonetheless, well interference tests suggest good communication within the reservoir. Vertical communication between the stacked sand bodies is facilitated through erosional contacts between reservoir intervals, while lateral communication occurs around segmented faults, via relay ramps and fault tips, in a NE-SW direction. Across the field, ten oil-water contacts have been identified, with a general trend of deepening towards the south. This pattern has been interpreted as a tilted contact caused by an active hydrodynamic regime, where aquifer overpressures gradually decrease from north to south (31 m of difference), aligning with the regional trend. This paper describes how the geological (structural and sedimentological) heterogeneities are paramount in deep-water turbiditic reservoirs, for both static and dynamic conditions. The work presented here shows how the geological analysis can impact reservoir management, driving strategic decisions on field development, as such as the identification of infill wells opportunities or the optimizing the placement of injectors wells, to effectively support producers. © 2024 Elsevier Ltd</t>
  </si>
  <si>
    <t>2-s2.0-85210005857"</t>
  </si>
  <si>
    <t>10.1016/j.ejrh.2024.102154</t>
  </si>
  <si>
    <t>https://www.scopus.com/inward/record.uri?eid=2-s2.0-85213535480&amp;doi=10.1016%2fj.ejrh.2024.102154&amp;partnerID=40&amp;md5=eead52ecdd5105ae168ed66d871ddbac</t>
  </si>
  <si>
    <t>Study region: The Nansha District of Guangzhou, China, is a typical example of a plain river network polder area. Study focus: Polder areas, located in coastal lowlands, are frequently subjected to tidal influences and heavy rainfall, resulting in significant flood risks. The diverse land surface types and complex runoff generation and confluence mechanisms pose challenges to flood forecasting in these areas, particularly in the absence of high-resolution topographic data. This study proposed a runoff and confluence model incorporating various land surfaces, including paddy fields, drylands, forests, urban areas, and water surfaces. The MIKE 11 model was used to simulate river flood evolution. The model was applied in flood forecasting and risk assessment. A BP neural network (BPNN) was employed for error correction to reduce model uncertainty in forecasting. Five different rainfall scenarios with varying return periods (RP) were used to assess the region's drainage capacity and associated risks. New hydrological insights: The results showed that the model can simulate the river water level process well. The average Nash-Sutcliffe efficiency coefficients (NSE) reached 0.86 and 0.91 in the calibration and validation periods, respectively. Following the application of the BPNN correction, the NSEs of all floods were greater than 0.9. The drainage capacity assessment revealed that the current drainage facilities in the study area are at risk of urban flooding when confronted with a design storm with an RP= 50. The model can be used for flood forecasting and risk assessment in polder areas without the need for high-resolution data. © 2024 The Authors</t>
  </si>
  <si>
    <t>2-s2.0-85213535480"</t>
  </si>
  <si>
    <t>10.1007/s11069-024-06916-3</t>
  </si>
  <si>
    <t>https://www.scopus.com/inward/record.uri?eid=2-s2.0-85204136604&amp;doi=10.1007%2fs11069-024-06916-3&amp;partnerID=40&amp;md5=4d6068343266eb21e63c6a4ab72dc870</t>
  </si>
  <si>
    <t>Tsunamis are devastating natural hazards that can reach runups of 30 m in coastal areas. One of the most important mitigation measures to save human lives is evacuation, which requires identification of both the inundation area and safe zones. Currently, a ground elevation of 30 m is used to determine safe zones in Chile. However, it has also been used for urban planning, for which the actual tsunami hazard may be overestimated. This research aims to propose a criterion based on probabilistic analysis to determine the tsunami inundation limit, considering both the runup and inundation distance from the shoreline. To this end, a synthetic database of runup and inundation distance from the shoreline was analyzed. First, stochastic earthquake sources were used to simulate tsunami events up to an inundation level in 10 coastal cities. Second, maximum runup and inundation distance were calculated for each tsunami scenario along transect lines perpendicular to the coastline. Finally, three exceedance probabilities of runup – 0.5%, 1%, and 2% in 50 years – were calculated to estimate the runup and inundation distances for each city. The results showed that geomorphology has an important role in runup and inundation distance. In addition, this research introduced new criteria for inundation limit identification, which are more flexible and accurate than the current 30-m ground elevation criterion used for tsunami risk assessment and urban planning. The application of this proposed method would allow local authorities to improve the locations of both critical infrastructure and safe zones. © The Author(s), under exclusive licence to Springer Nature B.V. 2024.</t>
  </si>
  <si>
    <t>2-s2.0-85204136604"</t>
  </si>
  <si>
    <t>Environmental Management</t>
  </si>
  <si>
    <t>10.1007/s00267-025-02117-1</t>
  </si>
  <si>
    <t>https://www.scopus.com/inward/record.uri?eid=2-s2.0-85217232558&amp;doi=10.1007%2fs00267-025-02117-1&amp;partnerID=40&amp;md5=a3a3fad06b67a6425552183cd6e16832</t>
  </si>
  <si>
    <t>The paradigm of Adaptive Planning and Management provides several methodological approaches for designing robust adaptive plans to cope with uncertain future changes, namely the Adaptation Pathways’ method (APs). These approaches, particularly those containing APs, have captured increasing interest in the field of coastal climate adaptation as useful for guiding its planning and management. While these approaches have been tested in several research cases, there are still few real cases of application into coastal spatial planning instruments. Furthermore, the lack of implementation of coastal adaptation actions in urbanized coasts worldwide, so-called adaptation gaps, points to the need of investigating to what extent these Adaptive Planning approaches containing APs are being applied in coastal plans. A deeper analysis of cases of application of these approaches in coastal plans is required to understand how adaptive plans are being crafted. This article focusses on the two major cases of application of APs-based Adaptive Planning and Management approaches into planning and management instruments – the Thames Estuary 2100 Plan and the Delta Programme – to identify what elements were essential to design an adaptive plan and operationalize an Adaptive Planning and Management approach, including ingredients that the plan had to meet to be robust and adaptive. Our results suggest that at least five elements are required to craft and deliver a robust adaptive plan and accomplish a real Adaptive Planning and Management. © The Author(s) 2025.</t>
  </si>
  <si>
    <t>2-s2.0-85217232558"</t>
  </si>
  <si>
    <t>10.1111/1752-1688.13244</t>
  </si>
  <si>
    <t>https://www.scopus.com/inward/record.uri?eid=2-s2.0-85209141841&amp;doi=10.1111%2f1752-1688.13244&amp;partnerID=40&amp;md5=af5f376c6208589ac620ea401e881285</t>
  </si>
  <si>
    <t>This study investigates whether improvements could be achieved for the United States National Water Model (NWM) by using a data-driven reservoir operation simulation algorithm, that is, the generic data-driven reservoir operation model (GDROM), to replace the existing reservoir representation in NWM for reservoir routing in streamflow simulation. The evaluations of NWM versus NWM + GDROM are conducted using 41-year NWM retrospective simulation products during 1979 to 2020. The results show that NWM + GDROM exhibits significant improvement to NWM in both the entire Contiguous U.S. (CONUS) and various regions. It is found that the accuracy of reservoir inflow and storage values affects the NWM + GDROM improvement. When driven by observed storage (which is usually more accurate than modeled storage) or more accurately simulated inflow, NWM + GDROM produces more significant improvements in reservoir outflow simulations in all the study CONUS regions. Especially, since high flows are more accurately simulated by NWM than low flows, NWM + GDROM has larger improvement for the simulation of high flows than low flows. © 2024 American Water Resources Association.</t>
  </si>
  <si>
    <t>2-s2.0-85209141841"</t>
  </si>
  <si>
    <t xml:space="preserve">Engineering Applications of Computational Fluid Mechanics </t>
  </si>
  <si>
    <t>10.1080/19942060.2024.2447389</t>
  </si>
  <si>
    <t>https://www.scopus.com/inward/record.uri?eid=2-s2.0-85214128963&amp;doi=10.1080%2f19942060.2024.2447389&amp;partnerID=40&amp;md5=152d1a95e4b3caf0f0b6e516364139c9</t>
  </si>
  <si>
    <t>Background: The existing pipeline siltation analysis lacks the analysis of the influence of pipeline siltation intensity on the water level depth of the manhole. Objective: To address these issues, in this study, the high-resolution numerical simulation model of ‘silted pipeline-manhole' was established. Methods: First, a spatial and temporal hydraulic response model of the ‘silted pipeline-manhole' system is constructed. The vibrational differential equation of the ‘silted pipeline-manhole' system is then adopted to quantify the physical boundary constraints on the fluid–solid coupling relationship. The local and global feature search capabilities were enhanced by an embedded self-attention network, which in turn established an intelligent early warning model for manhole water levels in silted pipelines. Results: The results of the test analysis showed that, owing to the blocking effect of siltation, the water level of the manhole at the first end of the silted pipe was high, leading to a decrease in the water level of the manhole at the tail end. The pipe with a transverse siltation intensity of 10% showed an 8.07% reduction in the maximum overflow flow rate, whereas the pipe with a longitudinal siltation intensity of 5.2% exhibited a 15.09% reduction, suggesting that longitudinal siltation intensity has a more significant impact on pipeline failure. Conclusion: The research results provide technical support for the diagnosis of pipeline siltation and flood risk assessment considering the change of water level in the manhole and the inlet and outlet flow velocity of the pipe section. © 2025 The Author(s). Published by Informa UK Limited, trading as Taylor &amp; Francis Group.</t>
  </si>
  <si>
    <t>2-s2.0-85214128963"</t>
  </si>
  <si>
    <t>10.1016/j.uclim.2024.102272</t>
  </si>
  <si>
    <t>https://www.scopus.com/inward/record.uri?eid=2-s2.0-85213029652&amp;doi=10.1016%2fj.uclim.2024.102272&amp;partnerID=40&amp;md5=65660cf456ec8bfd21fbe9c7168057e6</t>
  </si>
  <si>
    <t>Floods - an important risk that threatens many people worldwide – affect both the environment and human-made structures, and can cause loss of agricultural activities and life, economic challenges such as the destruction of infrastructure. Therefore, spatial maps of flooding probability can be useful to identify regions with high risk, these can be used to mitigate its negative consequences. Here, we developed a methodology to map flood risk in a catchment in southern Iran by combining a hazard map produced by a bidirectional long short-term memory (bLSTM) deep learning (DL) model, and a flood vulnerability map produced by a complex proportional assessment (COPRAS) model as a multi-criteria decision making (MCDM) model. Different environmental variables as lithology, vegetation cover, land use were mapped spatially, and a GrootCV was employed to identifying the most important variables controlling flood risk. Among various variables explored as controls flood risk, the variables extracted from a digital elevation model (DEM) (e.g., topographic wetness index (TWI), river density, topographic position index (TPI), stream power index (SPI), slope, elevation and distance to river) were recognized as the most effective features controlling the flood risk. Finally, a bLSTM model was employed to map the flood hazard. Its performance was assessed by the cumulative gain and Kolmogorov Smirnov (KS) tests. To map flood vulnerability, seven socio-economic variables were mapped as key controls, and then, analytical hierarchy process (AHP) and COPRAS models were employed to determine the weights of variables to map flood vulnerability. Finally, a flood risk model was generated by integration of the bLSTM and COPRAS. The results revealed that 23.2 %, 27.7 %, 18.7 %, 15.8 % and 14.6 % of the total study area are classified as very low to very high risk classes, respectively. Overall, our methodology based on DL and MCDM can employ to map flood risk and another disasters (e.g., landslide, land subsidence, soil erosion, etc.) in different climatic regions worldwide. © 2024</t>
  </si>
  <si>
    <t>2-s2.0-85213029652"</t>
  </si>
  <si>
    <t>Geological Journal</t>
  </si>
  <si>
    <t>10.1002/gj.5172</t>
  </si>
  <si>
    <t>https://www.scopus.com/inward/record.uri?eid=2-s2.0-85219589900&amp;doi=10.1002%2fgj.5172&amp;partnerID=40&amp;md5=34232e4215cc03c336523f50487adeea</t>
  </si>
  <si>
    <t>This study presents a comprehensive approach to flood risk assessment and mapping in the Uttarakhand region, India, by integrating geographic information system (GIS) and multi-criteria decision-making (MCDM). The methodology involves using digital elevation models (DEMs) to categorise elevation into five classes, slope analysis to evaluate the role of terrain steepness and drainage density assessment to identify areas less susceptible to flooding. Average annual rainfall data, classified from meteorological stations, land use/land cover patterns and distances from rivers and roads, were analysed within a GIS framework to assess flood susceptibility. The analytic hierarchy process (AHP) was employed to assign weights to these criteria and generate a flood risk index (FRI) map. Key findings indicate that extensive moderate-to-high-risk zones are present, particularly in the lower regions of Uttarakhand. The weighted overlay analysis using GIS and AHP effectively identified areas at greater risk of flooding. The results offer valuable insights for flood risk management, land-use planning and disaster preparedness, highlighting the need for targeted interventions to enhance flood resilience in the region. © 2025 John Wiley &amp; Sons Ltd.</t>
  </si>
  <si>
    <t>2-s2.0-85219589900"</t>
  </si>
  <si>
    <t>10.1029/2024WR038424</t>
  </si>
  <si>
    <t>https://www.scopus.com/inward/record.uri?eid=2-s2.0-85214237568&amp;doi=10.1029%2f2024WR038424&amp;partnerID=40&amp;md5=c195bf74bdd41c4d0d51f4f3d5903ca1</t>
  </si>
  <si>
    <t>Emergency response to flood plain inundations requires real-time forecasts of flow depth, velocity, and arrival time. Detailed and rapid flood inundation forecasts can be obtained from numerical solution of 2D unsteady flow equations based on high-resolution topographic data and geomorphologically informed unstructured meshes. However, flow resistance parameters representing the effects of land surface topography unresolved by digital terrain model data remain uncertain. In the present study, flow resistance parameters representing the effects of roughness, vegetation, and buildings are determined hydraulically in real-time using flow depth observations. A detailed numerical reproduction of a real flood has been largely corroborated by observations and subsequently used as a surrogate of the ground truth target. In synthetic numerical experiments, flow depth observations are obtained from a network of in-situ flow depth sensors assigned to hydraulically relevant locations in the flood plain. Starting from a generic resistance parameter set, the capability of a tandem 2D surface flow model and Bayesian optimization technique to achieve convergence to the target resistance parameter set is tested. Convergence to the target resistance parameter set was obtained with 50 or fewer tandem flow + optimization iterations for each forecasting cycle in which the difference between simulated and observed flow depths is minimized. The flood arrival time errors across a 52 (Formula presented.) flood plain inundation area were reduced by 3.13 hr with respect to results obtained without optimization from a fixed range of flow resistance parameters. Performance metrics like critical success index and probability of detection reach values above 90% across the flood plain. © 2025. The Author(s).</t>
  </si>
  <si>
    <t>2-s2.0-85214237568"</t>
  </si>
  <si>
    <t>10.1007/s10064-024-04063-4</t>
  </si>
  <si>
    <t>https://www.scopus.com/inward/record.uri?eid=2-s2.0-85213976527&amp;doi=10.1007%2fs10064-024-04063-4&amp;partnerID=40&amp;md5=54c6ae21dd4065c7684aa5184e29331c</t>
  </si>
  <si>
    <t>Landslide-induced waves pose significant risks to human life, property, and infrastructure, especially in relatively narrow channels where wave propagation differs from that in reservoirs or coastal areas. This study introduces a drift-flux model, treating the two-phase mixture as a whole to simulate flow-like landslide-induced waves efficiently. The model combines the renormalization group k‑ε turbulence model and volume of fluid method to accurately describe wave formation and propagation. After verification through mesh size convergence tests and a benchmark experiment, the model is applied to the Baige landslide-induced waves in a narrow river channel on October 10, 2018. The results indicate that wave evolution occurs in four stages: run-up, inundation, run-down, and propagation along the valley. The run-up heights and wave decays vary between upstream and downstream locations at the same distance from the landslide center, depending on the extension direction of the river channel. The numerical predicted maximum run-up height of the Baige landslide-induced waves on the opposite hill slope is 112 m, consistent with the actual situation. However, the maximum run-up heights predicted by empirical equations are lower than both the actual and numerical simulated values due to the lack of consideration of multiple wave reflections in a narrow river channel. Utilizing the previous empirical equations to evaluate landslide-induced waves in a narrow river channel may result in underestimating their hazard. This study contributes to the risk assessment of landslide-induced waves in narrow water bodies, and its findings are essential for safety management and siting decisions regarding infrastructure and facilities. © The Author(s) 2024.</t>
  </si>
  <si>
    <t>2-s2.0-85213976527"</t>
  </si>
  <si>
    <t>10.1016/j.rsase.2024.101438</t>
  </si>
  <si>
    <t>https://www.scopus.com/inward/record.uri?eid=2-s2.0-85213017502&amp;doi=10.1016%2fj.rsase.2024.101438&amp;partnerID=40&amp;md5=abbe33db0c82b050260e70686368085f</t>
  </si>
  <si>
    <t>This study presents a systematic exposure assessment by reconstructing the impact of the 2004 Indian Ocean Tsunami using a wide range of inundation scenarios and multiresolution exposure layers. To develop inundation and exposure models, we employed the error-reduced global digital elevation models (DEMs) and geospatially consistent multiresolution datasets: land cover roughness (LCR) models, built-up areas, and gridded population layers. We implemented three sequential validation assessments to evaluate the performance of inundation models, incorporating satellite observations, post-tsunami measurements, and the confidence level associated with inherent DEM error characteristics. The results demonstrated that the error-reduced variants of Copernicus DEM (i.e., FABDEM and DiluviumDEM) satisfied all reliability criteria. Incorporating these elevation models with LCR models improved the accuracy of inundation depth estimates</t>
  </si>
  <si>
    <t>Hydrological Processes</t>
  </si>
  <si>
    <t>10.1002/hyp.70058</t>
  </si>
  <si>
    <t>https://www.scopus.com/inward/record.uri?eid=2-s2.0-85216223312&amp;doi=10.1002%2fhyp.70058&amp;partnerID=40&amp;md5=94e8bc344898847ecdb840fe4c6fc473</t>
  </si>
  <si>
    <t>Coastal groundwater is a vital resource for coastal communities around the globe, and submarine groundwater discharge (SGD) delivers nutrients to coastal marine ecosystems. Climatic changes and anthropogenic actions alter coastal hydrology, causing seawater intrusion (SWI) globally. However, the selection of SWI and SGD study sites may be highly biased, limiting our process knowledge. Here, we analyse hydroenvironmental characteristics of coastal basins studied in 1298 publications on SGD and SWI to understand these potential biases. We find that studies are biased towards basins with gross domestic product per capita below (SWI) and above (SGD) the median of all global coastal basins. Urban coastal basins are strongly overrepresented compared to rural coastal basins, limiting our progress in understanding undisturbed natural processes. Despite the connection between anthropogenic activity and coastal groundwater issues, and the consequential overrepresentation of urban basins in coastal groundwater studies, perceptual (or conceptual) models of coastal groundwater rarely include anthropogenic influences aside from pumping (e.g., subsidence, land use change). Taking a holistic view on coastal groundwater flows, we have developed an editable perceptual model illustrating the current understanding, including both natural and anthropogenic drivers. As SGD and SWI in new areas of the globe are studied, we advocate for researchers to utilise and further edit this perceptual model to openly communicate our process understanding and study assumptions. © 2025 The Author(s). Hydrological Processes published by John Wiley &amp; Sons Ltd.</t>
  </si>
  <si>
    <t>2-s2.0-85216223312"</t>
  </si>
  <si>
    <t>10.1016/j.jhydrol.2024.132343</t>
  </si>
  <si>
    <t>https://www.scopus.com/inward/record.uri?eid=2-s2.0-85210399107&amp;doi=10.1016%2fj.jhydrol.2024.132343&amp;partnerID=40&amp;md5=6eacdeb630e70460531d19a90d941c61</t>
  </si>
  <si>
    <t>Topography highly influences hydraulic model predictions. High-resolution Digital Elevation Models (DEM) are currently used in 2D flood modeling studies to create relatively more accurate flood inundation maps. However, the availability of high-resolution datasets, such as Light Detection And Ranging (LiDAR), remains limited due to cost constraints. Thus, low-resolution global datasets are utilized in data-scarce regions. Merging high and low-resolution terrain datasets will be an alternative approach to improve flood models, and comprehensive analysis of such merged DEMs is lacking. Thus, a new DEM (V-DEM) is developed in this study by incorporating available LiDAR, SRTM, local DEM, and river cross-sectional data. 2D unsteady hydrodynamic model predictions are analyzed using the V-DEM, existing low-resolution global datasets, SRTM and MERIT Hydro, and their modified versions. V-DEM was found to create flood flow predictions with a better Nash–Sutcliffe efficiency, significantly outperforming low-resolution global datasets. In addition, MERIT Hydro showed more than 50% improvement in the Nash–Sutcliffe efficiency over SRTM in flow discharge predictions. There is a 110% improvement in the Nash–Sutcliffe efficiency for hydrologically corrected SRTMs over the original SRTM. When SRTM is merged with LiDAR and hydrologically corrected, the predictions also showed an improvement of 146% over the original SRTM. Moreover, this study highlights that the vertical accuracy of terrain datasets has a more significant effect on the flood model predictions than the horizontal resolution, especially in the high and low-gradient regions of the study area. Overall, this study would benefit flood modelers in developing accurate DEMs, especially in the unavailability of high-resolution data for the entire study area. © 2024 The Author(s)</t>
  </si>
  <si>
    <t>2-s2.0-85210399107"</t>
  </si>
  <si>
    <t>Field Actions Science Report</t>
  </si>
  <si>
    <t>https://www.scopus.com/inward/record.uri?eid=2-s2.0-85218721439&amp;partnerID=40&amp;md5=12989c3e1b955f3113e3e9679d8917f5</t>
  </si>
  <si>
    <t>Although climate change is affecting the entire planet, local effects differ in both nature and severity according to geography. Some geographic differences are readily apparent – such as the inherent vulnerability of coastal areas to sea level rise – whereas others are emerging. Geographic vulnerabilities are modified by the built environment and by disparities in the ability to adapt to climate change, further complicating the risk across the globe. The complex interactions of climate threats, local geographic and social vulnerabilities, and adaptation can best be explored at the regional level through examples relevant to other regions facing similar issues. This article will describe general principles of geography and climate change risk and explore how these play out using four examples: Harmful algal blooms in Alaska, loss of glaciers in Peru, sea level rise causing increased drinking water salinity in Bangladesh, and HIV and food insecurity in Kenya related to extreme weather. The magnitude of the threat to humans from climate change will be significant, and geographic vulnerability is in many ways immutable, but much can still be done by humans to either increase or reduce risk. Lessons from one region can inform strategies in areas across the globe that share similar geographic vulnerabilities. © 2025, Institut Veolia Environnement. All rights reserved.</t>
  </si>
  <si>
    <t>2-s2.0-85218721439"</t>
  </si>
  <si>
    <t>10.1016/j.jenvman.2024.123924</t>
  </si>
  <si>
    <t>https://www.scopus.com/inward/record.uri?eid=2-s2.0-85214025699&amp;doi=10.1016%2fj.jenvman.2024.123924&amp;partnerID=40&amp;md5=730afcd111afc10d43145c700426ab6a</t>
  </si>
  <si>
    <t>Coastal areas face significant challenges due to natural and anthropogenic changes, such as sea level rise, extreme events and coastal erosion. The coastal management requires the consideration of socioeconomic and environmental factors to address these variables. The selection of an appropriate Decision Support Tool (DST) based on decision matrix method plays a crucial role in implementing coastal management strategies to tackle climate change-related issues. This has posed considerable challenges for decision-makers, aligning with the Sustainable Development Goals (SDG). This review provides an overview of the practical experience in the application of DSTs for coastal erosion and flood risk, emphasizing the use of Multi-Criteria Decision Analysis (MCDA). DST choice depends on the coastal archetype, including its geographical features and sociocultural context. The purpose is to clarify how the integration of DSTs maximizes flexibility and supports the implementation of future Decision Support System (DSS) tailored to the needs of coastal cities with development pathways (DP). This review assesses different MCDA methods, highlighting their applicability, utility, and integration in coastal management, while evaluating each method's strengths, weaknesses, and specific applications, with a focus on sustainability and resilience. The review highlights the necessity of expert knowledge in accurately defining criteria and weighting factors to ensure that the chosen MCDA method reflects the complexities of the coastal environment. Depending on the scenario, methods like PROMETHEE and ELECTRE are recommended for their flexibility and robustness in handling complex decision-making processes, especially in data-rich and well-structured environments. In contrast, TOPSIS and AHP are suitable for scenarios with limited information or requiring minimal interaction with decision-makers. For more challenging contexts, where computational resources and expertise are constrained, methods like MAUT, VIKOR, and TODAIM emerge as viable alternatives due to their adaptability and reduced reliance on extensive datasets. © 2025 Elsevier Ltd</t>
  </si>
  <si>
    <t>2-s2.0-85214025699"</t>
  </si>
  <si>
    <t>Depositional Record</t>
  </si>
  <si>
    <t>10.1002/dep2.303</t>
  </si>
  <si>
    <t>https://www.scopus.com/inward/record.uri?eid=2-s2.0-85199477201&amp;doi=10.1002%2fdep2.303&amp;partnerID=40&amp;md5=2df201a16724df8f90a035be87cde8f9</t>
  </si>
  <si>
    <t>The Río Alías Strait developed in the Early Pliocene as a narrow marine corridor at the connection of the microtidal Mediterranean Sea and the north-eastern margin of the Almería-Níjar Basin in the eastern Betic Cordillera (South-East Spain). The orientation and topography of the strait were controlled by the transpressive Carboneras and Polopos/South Cabrera fault systems. Ten sedimentary facies occur in the up to 150 m thick mixed biogenic carbonate-terrigenous succession distinguished on the basis of their lithology, components, grain size, stratal geometries and sedimentary structures, which were observed in seven sections at well-exposed outcrops of four sectors. The sedimentary record of the Río Alías Strait reflects the morphological constraints, which conditioned its sedimentary dynamics and facies distribution. Even in this microtidal setting, tidal current amplification through narrow constrictions produced thick accumulations of large cross-stratified bodies up to 15 m thick formed by the opposite migration of three-dimensional simple and compound dunes. The Río Alías Strait reconstruction shows: (1) a very narrow constriction in the central sector from which “constriction-related deltas” (CRDs) formed in the flood downstream (westward) and ebb (upstream) directions and (2) a relatively deep depression (&gt;65 m water depth) separating the eastern and central-east sectors, where tidal current energy was attenuated and dunes were not generated. The closure of the strait resulted from the tectonic uplift of the antecedent upland of Sierra Cabrera at the northern side, which promoted the southward progradation of deltaic systems over the strait. The Río Alías Strait represents the only clear record of a microtidal strait in the Betic Cordillera since the Miocene. The case study presented here improves existing models on the sedimentary dynamics of ancient tidal-dominated straits by expanding the knowledge on their spatial environment variability. © 2024 The Author(s). The Depositional Record published by John Wiley &amp; Sons Ltd on behalf of International Association of Sedimentologists.</t>
  </si>
  <si>
    <t>2-s2.0-85199477201"</t>
  </si>
  <si>
    <t>Physical Geography</t>
  </si>
  <si>
    <t>10.1080/02723646.2025.2467912</t>
  </si>
  <si>
    <t>https://www.scopus.com/inward/record.uri?eid=2-s2.0-85218674478&amp;doi=10.1080%2f02723646.2025.2467912&amp;partnerID=40&amp;md5=376617f311e1f02d53f8ca54aaa77a13</t>
  </si>
  <si>
    <t>This study evaluates the flood extent, depth, velocity, and flood hazard analyses across 100, 500, and 1000 return periods using 0.1 m, 0.5 m, and 1 m DEM data derived from Unmanned Aerial Vehicles (UAV). The Ulus settlement (Türkiye) was selected as the case study area. The primary input data include DEMs produced from the DJI Mavic 2 Pro drone and flood flows derived from the SWAT rainfall-runoff model for the Ulus River and its tributaries. Flood hazard analyses were conducted using the 2D LISFLOOD-FP hydrodynamic model using a constant Manning n value (n = 0.035) to evaluate spatial resolution variability. The findings indicate that as the resolution improves from 1 m to 0.1 m, the model runtime increases significantly (711 times on average), as do average calculation errors. Meanwhile, the spatial distribution of flood extent and hazard classes for people decreases by approximately 0.7% to 9%. However, the differences between resolutions from 0.1 m to 1 m in terms of depth, velocity, and inundation extent are not substantial. Therefore, using a 0.1 m UAV DEM resolution is not cost-effective, especially for large areas, due to the increased model instability caused by surface roughness and the longer processing time required. © 2025 Informa UK Limited, trading as Taylor &amp; Francis Group.</t>
  </si>
  <si>
    <t>2-s2.0-85218674478"</t>
  </si>
  <si>
    <t>Applied Water Science</t>
  </si>
  <si>
    <t>10.1007/s13201-024-02344-7</t>
  </si>
  <si>
    <t>https://www.scopus.com/inward/record.uri?eid=2-s2.0-85213540872&amp;doi=10.1007%2fs13201-024-02344-7&amp;partnerID=40&amp;md5=a0ad328b6dcf759ee6409f41cc8280cd</t>
  </si>
  <si>
    <t>Floods, which cause loss of life and property and destruction of the environment, have devastating effects on socio-economic welfare. Slit-check dams are essential structures for managing the transport of silt and woody debris, especially in events of significant floods. The current study presents the hydraulic characteristics of slit-check dams with different geometries for experimental and numerical tests. First, the Butterfly model was produced with a 3D printer and examined experimentally. Then, the Butterfly model was validated extensively using OpenFOAM (v7) software for the numerical analysis. Finally, the other models were examined numerically using the k-ε turbulence model. The changes in water surface profile, velocity profiles, energy dissipation rates, and streamlines were comprehensively examined and discussed. The results showed that slit-check dams caused hydraulic jumps and dissipated flow energy. The Arced and Rectangular models, in particular, demonstrated a significant performance for energy dissipation, which is essential for flood management. Water surface profiles are directly affected by discharge. Moreover, the cross-sectional length of the model in question significantly affects the water surface profile. Accordingly, an increase was observed in the velocity profiles along the slit-check dam. While the maximum velocity for all unit discharge was observed in the V-shaped model, the minimum velocities were observed for the Arced and Rectangular models. Thus, the energy absorption performance of Arced and Rectangular models is higher. © The Author(s) 2024.</t>
  </si>
  <si>
    <t>2-s2.0-85213540872"</t>
  </si>
  <si>
    <t>10.2166/wcc.2025.604</t>
  </si>
  <si>
    <t>https://www.scopus.com/inward/record.uri?eid=2-s2.0-85217666451&amp;doi=10.2166%2fwcc.2025.604&amp;partnerID=40&amp;md5=ef5b248b736145738c89fb568ce3f9d0</t>
  </si>
  <si>
    <t>Rapid urbanization necessitates reliable assessments of its impact on flooding. The two major challenges in data-sparse basins are the equifinality of the hydrological parameters and their dynamic updating with respect to changing land use and land cover. Existing calibration approaches typically address only one of these challenges. The existing approaches that allow for dynamic updating of parameters with changing land use and account for parametric uncertainty are referred to as Dyn_CN and uStat_CN, respectively. We propose a novel ‘urbanization-informed uncertainty-based calibration approach’, referred to as uDyn_CN, that combines the advantages of both these approaches. The existing and proposed calibration approaches were applied to India’s data-limited, frequently flooded, urbanizing Adyar river basin comprising Chennai city. The performance assessment of the methodologies was done in an externally coupled hydrologicalhydraulic modelling framework. In that light, the proposed hydrological calibration approach is more accurate than the existing approaches in both the hydrological and hydraulic simulations. For instance, the RMSE values for the simulated maximum water depths for uDyn_CN, uStat_CN, and Dyn_CN approaches are 0.22, 0.36, and 0.6 m, respectively. The study also demonstrates its subsequent application to analyze the impact of urbanization on flood hazard in the Adyar basin by 2050. © 2025 The Authors.</t>
  </si>
  <si>
    <t>2-s2.0-85217666451"</t>
  </si>
  <si>
    <t>10.1371/journal.pone.0316255</t>
  </si>
  <si>
    <t>https://www.scopus.com/inward/record.uri?eid=2-s2.0-85216481383&amp;doi=10.1371%2fjournal.pone.0316255&amp;partnerID=40&amp;md5=cd4141bace30b032e22d30b37edb3490</t>
  </si>
  <si>
    <t>Influenced by urban expansion, population growth, and various socio-economic activities, land use in the Yangtze River Delta (YRD) area has undergone prominent changes. Modifications in land use have resulted in adjustments to ecological structures, leading to subsequent fluctuations in carbon storage. This study focuses on YRD region and analyzes the characteristics of land use changes in the area using land use data from 2000 to 2020, with a 10-year interval. Utilizing InVEST Model’s Carbon Storage module in combination with PLUS model (patch-generating land use simulation), we simulated and projected future land use patterns and carbon storage across YRD region under five scenarios including natural development (ND), urban development (UD), ecological protection (EP), cropland protection (CP), and balanced development (BD). Upon comparing carbon storage levels predicted for 2030 under the five scenarios with those in 2020, carbon stocks decrease in the initial four scenarios and then increase in the fifth scenario. In the initial four declining scenarios, CP scenario had the least reduction in carbon storage, followed by EP scenario. The implementation of policies aimed at safeguarding cropland and preserving ecological integrity can efficaciously curtail the expansion of developed land into woodland and cropland, enhance the structure of land use, and mitigate the loss of carbon storage. © 2025 Zhou et al. This is an open access article distributed under the terms of the Creative Commons Attribution License, which permits unrestricted use, distribution, and reproduction in any medium, provided the original author and source are credited.</t>
  </si>
  <si>
    <t>2-s2.0-85216481383"</t>
  </si>
  <si>
    <t>10.1007/s11069-025-07121-6</t>
  </si>
  <si>
    <t>https://www.scopus.com/inward/record.uri?eid=2-s2.0-85217238197&amp;doi=10.1007%2fs11069-025-07121-6&amp;partnerID=40&amp;md5=ceffe2bdf397c5d29ef653d0b1cb6068</t>
  </si>
  <si>
    <t>The Brahmani river is the important and the second largest river network of the Odisha state, India and it is in the state of vulnerable condition during heavy flood in the river. Frequent embankment failures are common features in its delta region, since the homogenous flood embankments along the river are extremely vulnerable to floods. The most common feature in its delta is inundation of vast areas on both sides of the river. Bureau of Indian Standards (2000), in its Indian Standard Guidelines for Planning and Design of River Embankments (Levees), IS 12094:2000 has recommended the adoption of flood of 25 years frequency in the case of predominantly agricultural areas and flood of 100 years frequency for works pertaining to protection of town, important industrial and other vital installations, for design of flood embankments. Also, it recommends that in certain special cases, where damage potential justifies, the maximum observed flood may also be considered. Keeping this in view, flood scenarios of return periods 10, 30, 50, and 100 years, were simulated to provide an insight into future flood risks. Also, investigation is done in this study to examine the effects of three critical flood events which occurred in July 2001, July 2005, and September 2011 on embankments of the major tributaries of Brahmani river, with the use of the 1D HEC-RAS model. Different flow characteristics such as Water Surface Elevation, Flow area, Flow discharge, and Flow velocity, were assessed for both the left and right embankments at various cross sections. From the experiment it is revealed that floods have a greater impact on the right embankment of the upper reach of the Kharasuan and Brahmani rivers than on the middle and lower reaches. At most of the locations, the WSE exceeded the height of both left and right embankments. Since the danger level at Jenapur, the Delta head of Brahmani river is at RL 23 m, and even the water levels during floods of return period less than 10 years are exceeding it, the result is the severe flooding of Delta area. Hence, it is recommended that the flood embankments on both sides of the rivers Kharasuan and Brahmani be raised to have a safeguard against incessant flooding. © The Author(s), under exclusive licence to Springer Nature B.V. 2025.</t>
  </si>
  <si>
    <t>2-s2.0-85217238197"</t>
  </si>
  <si>
    <t>10.1016/j.ejrh.2024.102149</t>
  </si>
  <si>
    <t>https://www.scopus.com/inward/record.uri?eid=2-s2.0-85213272441&amp;doi=10.1016%2fj.ejrh.2024.102149&amp;partnerID=40&amp;md5=4fa8fb9abc7392490eb9a7f64c798eb3</t>
  </si>
  <si>
    <t>Study region: The province of Almería, southeastern Iberian Peninsula. Study focus: The main objective of this study was to analyse the evolution of the spatial distribution and the frequency of floods in the four main basins of the Province of Almería since 1850. A database of the main historical floods reported in written historical documents in the Almanzora, Andarax, Antas and Aguas river basins was compiled, and information on the damage caused by the floods was retrieved from 15 historical archives, allowing an understanding of how floods have behaved over the past 170 years and how they are likely to behave in the near future. New hydrological insights for the region: The river basins of the province of Almería are drained by ephemeral flows mostly related to episodes of heavy rainfall or to long-lasting rainfall attributed to low pressure systems that can persist for several days. The region's climatic, topographical, and lithological characteristics make this region prone to floods that lead to economic damage in the floodplains. In total, more than 106 flood events were recorded between 1850 and 2020 throughout the study area. Since 1850, the frequency of floods has increased and they have been heterogeneously spatially distributed. Three flood-rich periods have occurred, from 1870 to 1900 (43 floods), from 1966 to 1982 (18 floods), and from 2000 to 2020 (19 floods), each with different characteristics in terms of the distribution of flood events. Specifically, the period 1870–1900 shows a higher frequency of ordinary, extraordinary, and catastrophic floods compared to the other flood-rich periods, with a very high trend of events observed across all the studied basins. Three factors explain the changes in the frequency and the spatial distribution of the flood events: a) an increase in the frequency of ordinary flood events</t>
  </si>
  <si>
    <t>10.1016/j.pdisas.2024.100402</t>
  </si>
  <si>
    <t>https://www.scopus.com/inward/record.uri?eid=2-s2.0-85213837118&amp;doi=10.1016%2fj.pdisas.2024.100402&amp;partnerID=40&amp;md5=fcdf9644611269b2ef89fc24f29cad57</t>
  </si>
  <si>
    <t>This study assesses flood inundation, impacts, and susceptibility zones in northeastern Bangladesh during the 2022 flood. The region is highly vulnerable to recurrent flooding Due to its geographic position and climate change impacts. The Sentinel-1 SAR data on the Google Earth Engine (GEE) platform was used to generate flooded areas using a simple change detection technique with thresholding. This analysis was further supported by incorporating cropland, population, national highway, and DEM datasets for a comprehensive damage assessment. Findings show that 55.76 % (10,993.09 km2) of the area was inundated, impacting 10.69 million people and causing severe displacement and health hazards. Sylhet, Kishoreganj, and Brahmanbaria districts were the most affected, with 2.73 million impacted in Sylhet alone. Additionally, 67.87 % of agricultural land was flooded, particularly in Sunamganj, and 43.38 % of national highways (535.08 km2) were damaged. A flood susceptibility zonation map identified high-susceptibility areas like central Sunamganj and parts of Kishoreganj to assist authorities in resource allocation and mitigation. The flood extent model achieved strong predictive accuracy (AUC: 0.97 % RF, 0.96 % LR, and 0.94 % DT), providing crucial insights for regional flood management and guiding communities with limited modeling capacities. © 2024 The Authors</t>
  </si>
  <si>
    <t>2-s2.0-85213837118"</t>
  </si>
  <si>
    <t>10.1029/2024WR038032</t>
  </si>
  <si>
    <t>https://www.scopus.com/inward/record.uri?eid=2-s2.0-85215509964&amp;doi=10.1029%2f2024WR038032&amp;partnerID=40&amp;md5=3022b5f5fcb95cbb54822383eef6b843</t>
  </si>
  <si>
    <t>Flooding is one of the most impactful weather-related natural hazards. Numerical models that solve the two dimensional (2D) shallow water equations (SWE) represent the first-principles approach to simulate all types of spatial flooding, such as pluvial, fluvial, and coastal flooding, and their compound dynamics. High spatial resolution (e.g., (Formula presented.) ((Formula presented.)) m) is needed in 2D SWE simulations to capture flood dynamics accurately, resulting in formidable computational challenges. Thus, relatively coarser spatial resolutions are used for large-scale simulations of flooding, which introduce uncertainties in the results. It is unclear how the uncertainty associated with the model resolution compares to the uncertainties in precipitation data sets and assumptions regarding boundary conditions when channelized flows interact with other water bodies. In this study, we compare these three sources of uncertainties in 2D SWE simulations for the 2017 Houston flooding event. Our results show that precipitation uncertainty and mesh resolution have more significant impacts on the simulated streamflow and inundation dynamics than the choice of the downstream boundary condition at the watershed outlet. We point out the viability to confine the uncertainty of coarsening mesh resolution by using the variable resolution mesh (VRM) which refines critical topographic features with far fewer grid cells. Specifically, in simulations with VRM, the simulated inundation depths over the refined region are comparable to that use the finest uniform mesh. This study contributes to understanding the challenges and pathways for applying 2D SWE models to improve the realism of flood simulations over large scales. © 2025 Battelle Memorial Institute and The Author(s).</t>
  </si>
  <si>
    <t>2-s2.0-85215509964"</t>
  </si>
  <si>
    <t>10.1002/esp.6048</t>
  </si>
  <si>
    <t>https://www.scopus.com/inward/record.uri?eid=2-s2.0-85211124942&amp;doi=10.1002%2fesp.6048&amp;partnerID=40&amp;md5=aa5299c7e2c183f15f71623dca684851</t>
  </si>
  <si>
    <t>The presence and dynamics of large wood (LW) in river systems, particularly for streams flowing through forested areas, play a significant role in shaping river morphology and influencing flood events. This paper focuses on the numerical reproduction of observed LW trajectories during a flood event in the Versilia River in 1996 in Italy. The study reach, located near Pietrasanta in Tuscany, includes a tight river bend named S. Bartolomeo. During the event, more than two thousand cubic meters of transported wood were observed at this location. In addition, due to the collapse of the outer levee, six million cubic meters of water exited the river corridor, causing the flooding of Pietrasanta. The 2D Lagrangian model Iber-Wood was used for the numerical simulation of this event. In particular, two versions of the model were used: the original one (IB-NSC) and the enhanced version (IB-SC) which simulates the effects of secondary currents on LW dynamics. The results validated the applicability of the enhanced version to simulate real-world conditions and showed that the IB-SC model improves the agreement between observed and simulated LW trajectories by more than 20% compared to the IB-NSC model. Examining the influence of the breach on the LW trajectories, it appears that the presence of LW during the overtopping flow intensified and accelerated the erosion process, resulting in a rapid breach formation. This study therefore highlights the importance of including secondary current effects on LW transport for the development of flood risk assessments and river management strategies, particularly in channelized rivers with tight bends or meanders. © 2024 The Author(s). Earth Surface Processes and Landforms published by John Wiley &amp; Sons Ltd.</t>
  </si>
  <si>
    <t>2-s2.0-85211124942"</t>
  </si>
  <si>
    <t>10.12912/27197050/199510</t>
  </si>
  <si>
    <t>https://www.scopus.com/inward/record.uri?eid=2-s2.0-85217445630&amp;doi=10.12912%2f27197050%2f199510&amp;partnerID=40&amp;md5=3babe4a651ec0861e210f1b381c7ec53</t>
  </si>
  <si>
    <t>Sediment deposition is a serious issue in river channels, especially at river confluences. Massive sediment deposition triggered by flow stagnation causes changes in riverbed cross-section and morphology. The capacity of the river cross-section decreases along with the increase in sediment deposition in the area. This paper aims to simulate sediment transport at the confluence of the Palu and Sombe-Lewara Rivers, one of the rivers with sedimentation issues in Central Sulawesi, Indonesia. The simulation is performed with the HEC-RAS2D model to predict sediment transport rates and bed morphology changes due to flooding. Supporting data for this model are discharge data transformed from rainfall data with a return period of 50 years, DEM data generated from field measurement data, and sediment grain gradation data obtained from sieve analysis of field sediment samples. The formation of mesh/ grid as the basis for numerical modeling is performed on the RAS Mapper module based on DEM data of the study area. The DEM resolution is a reference in determining the mesh/grid distance which will ultimately affect the accuracy of predictions of water level, sediment transport and bed morphology changes. Calibration has also been done by assessing observed and simulated water levels and obtaining the optimal Manning roughness coefficient of 0.037. The results of the study indicate that the flow velocity is distributed in the transverse direction at the river confluence. The velocity increases on the left and right sides of the stagnation line, respectively reaching 3.5 m/s and 5.7 m/s at discharge in the Sombe Lewara River of 40 m3/sec and 650 m3/sec in the Palu River. Furthermore, the velocity gradually decreases towards the river bank along with the decreasing influence of secondary currents. The sediment transport rate at the river confluence is 0.21 m3/s and 1.45 m3/s respectively, comparable to the sediment supply from the upstream catchment. The sedimentation pattern follows the velocity distribution where the riverbed is graded on the left side of the flow stagnation line reaching 1.2 m. © 2025, Polskie Towarzystwo Inzynierii Ekologicznej (PTIE). All rights reserved.</t>
  </si>
  <si>
    <t>2-s2.0-85217445630"</t>
  </si>
  <si>
    <t>10.1007/s11069-024-06892-8</t>
  </si>
  <si>
    <t>https://www.scopus.com/inward/record.uri?eid=2-s2.0-85203685948&amp;doi=10.1007%2fs11069-024-06892-8&amp;partnerID=40&amp;md5=692c164e6c0d3aa18db7cfb742f22fe4</t>
  </si>
  <si>
    <t>Flood risk was assessed at the county scale in the United States, focusing on properties and associated populations. The assessment of risk was conducted using the Intergovernmental Panel on Climate Change (IPCC) framework, which incorporates hazard, exposure, and vulnerability as integral components. Additionally, the response was added as a core component to the flood risk framework. A Self-Organizing Map (SOM) was implemented to carry out unsupervised clustering, which captured the interactions within vulnerability and overall risk components. The results indicate that counties in the eastern and southern regions of the United States, along with those in the coastal areas, face a heightened risk. This is primarily due to a larger population and a more significant concentration of properties with high hazard scores. However, our analysis also showed that the counties in these regions have very robust responses, including structural, non-structural, and emergency measures, subduing the risk associated with flooding. We also compared our maps with the National Risk Index (NRI), revealing a reasonable correlation between the Social Vulnerability Index (SoVI) and our vulnerability assessment. A notable distinction between the SoVI and our proposed vulnerability framework was our inclusion of unique vulnerability indicators referring to social, ecological, economic, and health factors specific to flooding, suggesting that vulnerability can vary depending on the type of natural hazard. A county-scale approach like this will make policymakers aware of the existing flood risks, which can help make tailored, effective, and locally relevant policies. © The Author(s), under exclusive licence to Springer Nature B.V. 2024.</t>
  </si>
  <si>
    <t>2-s2.0-85203685948"</t>
  </si>
  <si>
    <t>10.1016/j.jsames.2024.105331</t>
  </si>
  <si>
    <t>https://www.scopus.com/inward/record.uri?eid=2-s2.0-85213040618&amp;doi=10.1016%2fj.jsames.2024.105331&amp;partnerID=40&amp;md5=67e9cb095066e574a3d63a5ebbd180d2</t>
  </si>
  <si>
    <t>Coastal cities are increasingly vulnerable to climate-induced hazards, including sea-level rise, storm surges, coastal erosion, and extreme weather events. Buenos Aires, located along the Río de la Plata estuary, faces significant risks due to its dense population, vital infrastructure, and dynamic coastal environment. This study proposes a multi-hazard risk analysis framework, leveraging machine learning algorithms to model and predict risks in Buenos Aires’ coastal zones. Our approach integrates various datasets, including historical weather patterns, topographical and bathymetric data, urban development indices, and socio-economic factors, to assess hazard impacts' spatial and temporal distribution. The framework employs machine learning, specifically Random Forest (RF), to classify hazard-prone zones based on historical patterns and projected climate scenarios. The models are trained on datasets spanning the past three decades, capturing shifts in storm intensity, precipitation, and land use. Furthermore, Principal Component Analysis (PCA) is used to reduce data dimensionality and highlight key predictors of risk. By mapping hazard probabilities across different zones, our framework offers a nuanced view of hazard susceptibility, enabling local authorities to prioritize resources and adapt policies accordingly. This framework also introduces a novel adaptive learning component, where model parameters are periodically updated based on new environmental and urbanization data, ensuring that risk assessments remain relevant amidst changing climate conditions. Through this predictive model, stakeholders can anticipate hazard-prone areas, improving resilience planning and response mechanisms. This study thus provides a scalable, data-driven approach for addressing multi-hazard risk in Buenos Aires and offers insights into adaptive risk management strategies for coastal cities facing similar challenges globally. © 2024 Elsevier Ltd</t>
  </si>
  <si>
    <t>2-s2.0-85213040618"</t>
  </si>
  <si>
    <t>10.2166/wcc.2024.566</t>
  </si>
  <si>
    <t>https://www.scopus.com/inward/record.uri?eid=2-s2.0-85217656668&amp;doi=10.2166%2fwcc.2024.566&amp;partnerID=40&amp;md5=8209722acc6f79bf215ab4c89833eeb0</t>
  </si>
  <si>
    <t>Understanding glaciers and glacial lake behaviors is crucial for assessing natural disasters</t>
  </si>
  <si>
    <t>10.12912/27197050/201999</t>
  </si>
  <si>
    <t>https://www.scopus.com/inward/record.uri?eid=2-s2.0-86000563313&amp;doi=10.12912%2f27197050%2f201999&amp;partnerID=40&amp;md5=766bc54cd98a51a07c63319f48ae4b1c</t>
  </si>
  <si>
    <t>This study addresses the need for accurate hydrological data in arid and semi-arid regions by estimating runoff volume in the Jerash Basin, Jordan, using advanced geographic information systems (GIS) and the soil conservation service curve number (SCS-CN) method. The primary goal is to enhance flood risk assessment and support sustainable water resource management in the Jerash Basin by providing accurate hydrological data. The research integrates high-resolution digital elevation models (DEMs) and spatial data to analyze soil and land use characteristics, applying the SCS-CN method within a GIS environment to estimate runoff volume, drainage density, and concentration time. Findings reveal a general CN of 87.83, indicating high runoff potential, a drainage density of 12.60 km/km², and a concentration-time of approximately 222.48 minutes, suggesting a high susceptibility to flooding due to the short transit distance of runoff. The low relief ratio of 0.035 further highlights the basin’s limited dissection and drainage capacity. These results demonstrate that accurate runoff estimation using high-quality digital data sources can significantly improve flood risk assessment and water resource planning in arid and semi-arid regions. A limitation of the study is its reliance on static data, which may not fully capture dynamic hydrological processes, and the findings are specific to the Jerash Basin, requiring adaptation for application in other regions. The practical value of this research lies in its scalable framework for flood risk assessment and water resource management in arid and semi-arid regions, informing decision-making processes related to infrastructure development, flood mitigation, and sustainable water resource planning. The originality of this study lies in its innovative application of GIS and SCS-CN methods in the Jerash Basin, a region with limited hydrological records, offering new insights into flood risk and water resource management. By applying these well-established tools in a data-scarce context, this research provides significant value for sustainable water resource planning and flood mitigation in arid and semi-arid regions. © 2025, Polskie Towarzystwo Inzynierii Ekologicznej (PTIE). All rights reserved.</t>
  </si>
  <si>
    <t>2-s2.0-86000563313"</t>
  </si>
  <si>
    <t>10.1080/19942060.2024.2443123</t>
  </si>
  <si>
    <t>https://www.scopus.com/inward/record.uri?eid=2-s2.0-85212497250&amp;doi=10.1080%2f19942060.2024.2443123&amp;partnerID=40&amp;md5=bf718193ff9c3cfbf576cf250ff5d414</t>
  </si>
  <si>
    <t>In highly turbid estuaries and coastal seas where freshwater rivers meet the salty ocean, both salinity-induced stratification (SaIS) and sediment-induced stratification (SeIS) are crucial in shaping total estuarine stratification. This study investigates the nonlinearity emerging from the interaction between SaIS and SeIS using a one-dimensional water column model over an erodible bed, driven by a longitudinal salinity gradient and oscillating tidal currents. The results reveal that total stratification deviates significantly from a simple addition of SaIS under clearwater conditions and SeIS under freshwater conditions, indicating a highly nonlinear interaction. The complex spatial and temporal patterns of the nonlinearity arise from the differing source-sink dynamics of salt and sediment. SaIS reduces SeIS during flood but intensifies it during ebb, whereas SeIS consistently strengthens SaIS. This nonlinearity, which exhibits notable flood-ebb asymmetry, is relatively insensitive to changes in tidal forcing compared to salinity gradient forcing, due to the conflicting effects of tidal currents on salinity straining, sediment diffusion, and turbulent mixing. These findings highlight the necessity of incorporating sediment's modulation of classical strain-induced periodic stratification due to salinity gradients in numerical models to improve predictions of buoyancy and stability in highly turbid estuarine and coastal systems. © 2024 The Author(s). Published by Informa UK Limited, trading as Taylor &amp; Francis Group.</t>
  </si>
  <si>
    <t>2-s2.0-85212497250"</t>
  </si>
  <si>
    <t>10.1109/JSTARS.2025.3530255</t>
  </si>
  <si>
    <t>https://www.scopus.com/inward/record.uri?eid=2-s2.0-85216113960&amp;doi=10.1109%2fJSTARS.2025.3530255&amp;partnerID=40&amp;md5=dabe9107f1b32b360e3f18474e951a62</t>
  </si>
  <si>
    <t>Flooding is among the most common yet costly worldwide annual disasters. Previous studies have proven that synthetic aperture radar (SAR) is an effective tool for flooding observation due to its high-resolution and timely observations, and deep learning-based models can accurately extract water bodies from SAR imagery. However, many previous flood analyses do not account for influences of tides and permanent water bodies, and the comprehensive characteristics of coastal storm flooding are still not fully understood. This study therefore presents a novel approach for isolating storm-induced flood waters in coastal regions from SAR imagery through the identification and removal of permanent water bodies and tidal inundation. This methodology is applied to the Delaware Bay region, with ancillary geospatial data used to determine resulting landcover impacts. Results indicate that flooding primarily impacts agricultural and marsh regions, as well as urban areas like airports and road systems adjacent to rivers or large inland bays. The sensitivity impacts of tides on flood estimates reveals that estimates significantly increase if included in analysis, highlighting the importance of their removal prior to flood identification. Finally, exploration into intense coastal storm events in the Delaware Bay region reveal the importance of storm characteristics like high water levels, wind, and precipitation in generating extreme flooding conditions. The case study presented here has important implications for other coastal regions and provides an innovative and comprehensive approach to coastal storm flood identification and characterization which can benefit coastal managers, emergency responders, coastal communities, and researchers interested in coastal flood hazards. © 2008-2012 IEEE.</t>
  </si>
  <si>
    <t>2-s2.0-85216113960"</t>
  </si>
  <si>
    <t>10.3390/rs17010155</t>
  </si>
  <si>
    <t>https://www.scopus.com/inward/record.uri?eid=2-s2.0-85214527614&amp;doi=10.3390%2frs17010155&amp;partnerID=40&amp;md5=8861bfba1ba00a3f16a44bb0dc8519da</t>
  </si>
  <si>
    <t>The intertidal ecosystem serves as a critical transitional zone between terrestrial and marine environments, supporting diverse biodiversity and essential ecological functions. However, these systems are increasingly threatened by climate change, rising sea levels, and anthropogenic impacts. Accurately mapping intertidal ecosystems and differentiating mangroves, salt marshes, and tidal flats remains a challenge due to inconsistencies in classification frameworks. Here, we present a high-precision mapping approach for intertidal ecosystems using multi-source satellite data, including Sentinel-1, Sentinel-2, and Landsat 8/9, integrated with the Google Earth Engine (GEE) platform, to enable the detailed mapping of intertidal zones across China–ASEAN. Our findings indicate a total intertidal area of 73,461 km2 in China–ASEAN, with an average width of 1.16 km. Analyses of patch area, abundance, and perimeter relationships reveal a power-law distribution with a scaling exponent of 1.52, suggesting self-organizing characteristics shaped by both natural and human pressures. Our findings offer foundational data to guide conservation and management strategies in the region’s intertidal zones and present a novel perspective to propel research on global coastal ecosystems. © 2025 by the authors.</t>
  </si>
  <si>
    <t>2-s2.0-85214527614"</t>
  </si>
  <si>
    <t>10.1029/2024EF005078</t>
  </si>
  <si>
    <t>https://www.scopus.com/inward/record.uri?eid=2-s2.0-85215974202&amp;doi=10.1029%2f2024EF005078&amp;partnerID=40&amp;md5=7c38e04c0999d55260e878a6274d4b54</t>
  </si>
  <si>
    <t>Recent efforts to assess coastal compound surge and rainfall-driven flooding hazard from tropical (TCs) and extratropical cyclones (ETCs) in a warming climate have intensified. However, challenges persist in gaining actionable insights into the changing magnitude and spatial variability of these hazards. We employ a physics-based hydrodynamic framework to numerically simulate compound flooding from TCs and ETCs in both current and future climates, focusing on the western side of Buzzards Bay in Massachusetts. Our approach leverages hydrodynamic models driven by extensive sets of synthetic TCs downscaled from CMIP6 climate models. We also perform a far less extensive analysis of ETCs using a previously produced event set, dynamically downscaled using the WRF model driven by a single CMIP5 model. This methodology quantifies how climate change may reshape the compound flooding hazard landscape in the study area. Our findings reveal a significant increase in TC-induced compound flooding hazard due to evolving climatology and sea level rise (SLR). Although compound flooding induced by ETCs increases mostly in coastal areas due to SLR, inland areas exhibit almost no change, and some even show a decline in rainfall-driven flooding from high-frequency ETC events toward the end of the century compared to the current climate. Our methodology is transferable to vulnerable coastal regions, serving as a tool for adaptive measures in populated areas. It equips decision-makers and stakeholders with the means to mitigate the destructive impacts of compound flooding arising from both current and future TCs, and shows how the same methodology might be applied to ETCs. © 2025. The Author(s).</t>
  </si>
  <si>
    <t>2-s2.0-85215974202"</t>
  </si>
  <si>
    <t>Annals of GIS</t>
  </si>
  <si>
    <t>10.1080/19475683.2025.2451236</t>
  </si>
  <si>
    <t>https://www.scopus.com/inward/record.uri?eid=2-s2.0-85214684810&amp;doi=10.1080%2f19475683.2025.2451236&amp;partnerID=40&amp;md5=20c8c814388a43e092a523681bbe1b8f</t>
  </si>
  <si>
    <t>Flooding caused by extreme climate change is becoming increasingly severe, especially in high-density coastal areas worldwide. Although many studies have conducted risk assessments of urban floods, most have not formed a comprehensive evacuation plan considering population distribution and flood disaster risk. To further enhance urban flood planning and emergency management for coastal areas, this study uses Victoria Harbor in Hong Kong, a typical flood-prone region, as a research area. The study first conducts a flood exposure risk assessment and classifies different regions according to flood risk levels. Then, by combining evacuation ability with the changing flood disaster and road evacuation flows, a novel bi-level optimization model is proposed to allocate zones for the citizens day and night. With the upper level using a genetic algorithm to minimize the total system evacuation time and the lower level applying a user equilibrium model for evacuee allocation, this model forms an evacuation that considers the distribution of population hotspots and the impact of flood risks on the road network. The findings of the study show that functional urban areas with high pedestrian flow, tourist spots, commercial centres, and schools are exposed to higher flood risk. Besides, the evacuation simulation of the bi-level optimization model proposed in this study matches the zoning results of actual urban activities and can effectively achieve the goal of evacuating 480,000 people within 12–18 minutes. This study innovatively proposes an effective evacuation plan that can reference the government’s emergency evacuation planning work. © 2025 The Author(s). Published by Informa UK Limited, trading as Taylor &amp; Francis Group, on behalf of Nanjing Normal University.</t>
  </si>
  <si>
    <t>2-s2.0-85214684810"</t>
  </si>
  <si>
    <t>Palynology</t>
  </si>
  <si>
    <t>10.1080/01916122.2024.2441667</t>
  </si>
  <si>
    <t>https://www.scopus.com/inward/record.uri?eid=2-s2.0-85216210734&amp;doi=10.1080%2f01916122.2024.2441667&amp;partnerID=40&amp;md5=12fe882d5c736baeda5b3fb3587828a5</t>
  </si>
  <si>
    <t>The Arlington Archosaur Site between Dallas and Fort Worth, Texas, USA, is known as a rich fossiliferous section. The age of these rocks is generally considered to be Middle Cenomanian, but conflicting evidence suggests they may be as young as the Late Cenomanian–Early Turonian. To address the issue, a palynological study was designed and conducted based on close sampling of the four lithofacies associations, labelled A to D, in ascending order. The study was quantitative and focused on palynological associations to determine the palaeoenvironment, palaeoclimate, biostratigraphy and age of the exposure. The rich palynological assemblages comprise spores from seedless plants, gymnosperms, angiosperms, fungi, freshwater algae, acritarchs and dinoflagellate cysts. Bryophyte spores were abundant mainly in Facies A and B, with Zlivisporis cenomanianus taking over the habitat of bryophytes in Facies D. Lycophytes abundant in the alluvial and coastal plains are considered to have been transported. Conifer pollen represent the predominant group of gymnosperms, mainly transported into the section. Freshwater algal remains include Schizophacus laevigatus/Ovoidites parvus, Schizosporis reticulatus, Botryococcus sp. and Pediastrum sp. The overall terrestrial vegetation represented in the palynological assemblages indicates tropical to subtropical palaeoclimatic conditions. In addition, the assemblage richness and abundance peaks of dinoflagellate cysts are interpreted as increased marine influence and possible flooding surfaces. The results support the alternation of marine incursions within deltaic and floodplain sequences related to short-term climate oscillations that affected the vegetation on the upland and lowland drainage areas. Key palynological markers point to an early Late Cenomanian age whereas the Cyclonephelium compactum–membraniphorum (Ccm morphological plexus) presence signals the incursion of boreal waters during the Plenus Cold Event of the Ocean Anoxic Event 2 reaching the southern coast of Appalachia. © 2025 AASP–The Palynological Society.</t>
  </si>
  <si>
    <t>2-s2.0-85216210734"</t>
  </si>
  <si>
    <t>Journal of Hydrometeorology</t>
  </si>
  <si>
    <t>10.1175/JHM-D-22-0193.1</t>
  </si>
  <si>
    <t>https://www.scopus.com/inward/record.uri?eid=2-s2.0-85214906020&amp;doi=10.1175%2fJHM-D-22-0193.1&amp;partnerID=40&amp;md5=d083b8bddf578ad1fabecdbfed57510a</t>
  </si>
  <si>
    <t>Floods induced by tropical cyclones (TCs) and their frequency analysis have received much attention at the regional scale, but little is known about the role of TCs in the mixed flood frequency analysis at the global scale, which is the key for hazard management. Here, we investigated the influence of TCs on the upper tail of flood frequency estimates using discharge observations at 3883 stations influenced by TCs alongside global discharge simulations from the second phase of the Inter-Sectoral Impact Model Intercomparison Project (ISIMIP2a). Our results show that TC-induced floods in inland areas are not always found along the TC path but can be located about 1000 km ahead, which is linked to TC-induced predecessor rain events. Extreme floods associated with TCs are generally larger in coastal areas compared to those in inland areas, whereas TC-induced floods in some inland areas tend to be more extreme relative to their local flood magnitude. The flood peaks generated by TCs and other mechanisms compose a mixed population flood series. However, the largest flood peaks in coastal areas are usually affected by TCs. These large TC-induced flood peaks play an important role in making the upper tail of the flood frequency curve heavier. In regions affected by TCs, the flood magnitude with an n-yr return period is greater when estimated from TC-induced floods only. Therefore, regions (especially inland regions) should thoroughly consider the extremity of TC-induced flooding when improving hydraulic infrastructures to ensure a more conservative design, thereby enhancing the safety of these hydraulic projects. © 2025 American Meteorological Society.</t>
  </si>
  <si>
    <t>2-s2.0-85214906020"</t>
  </si>
  <si>
    <t>Indian Geotechnical Journal</t>
  </si>
  <si>
    <t>10.1007/s40098-025-01185-8</t>
  </si>
  <si>
    <t>https://www.scopus.com/inward/record.uri?eid=2-s2.0-85217253155&amp;doi=10.1007%2fs40098-025-01185-8&amp;partnerID=40&amp;md5=bf580f09f8b412eb2baf4eb803de1b04</t>
  </si>
  <si>
    <t>Asymmetric foundation pits in coastal areas have unbalanced soil pressure, high groundwater levels, and periodic changes in the tide level. Understanding the deformation behaviors of these foundation pits is crucial for ensuring construction safety. The asymmetric foundation pit in the seawall rehabilitation project in Haining City, Zhejiang Province, was used as a case study. A typical cross-section of the pit was selected to test the hydraulic and mechanical soil properties in different layers and monitor the lateral deformation at different depths. Plaxis2D was utilized to establish a finite element model to investigate the foundation pit’s deformation behavior during excavation. The results showed that the simulated and measured lateral deformations were in good agreement, indicating the reliability of the numerical model. The seawall caused an asymmetric load on both sides of the pit, resulting in torsional deformation of the entire excavation area. Changes in tide levels had the largest impact on the pit’s deformation, especially regarding bottom heave. The lateral deformation of the enclosure piles, surface settlement, and bottom heave increased with the seawall height or tide level. The bottom heave was 15.57% higher than the critical value for a 5.4 m seawall height and exceeded the critical values by 15.57%, 54.74%, and 65.69% at the mean tide level, design flood level, and high tide level. The findings can provide guidance for the design and construction of asymmetric foundation pits in coastal areas. © The Author(s), under exclusive licence to Indian Geotechnical Society 2025.</t>
  </si>
  <si>
    <t>2-s2.0-85217253155"</t>
  </si>
  <si>
    <t>10.1016/j.envsoft.2024.106292</t>
  </si>
  <si>
    <t>https://www.scopus.com/inward/record.uri?eid=2-s2.0-85211616568&amp;doi=10.1016%2fj.envsoft.2024.106292&amp;partnerID=40&amp;md5=b8f56181928617cb9657294028c85b51</t>
  </si>
  <si>
    <t>Recently, there are attempts to expand the current usage of satellite Earth surface observation images to forward-looking applications to support decision-making and fast response against future natural hazards. Specifically, deep learning techniques were employed to synthesize Earth surface images at the pixel level. Those studies found that precipitation and soil moisture play non-trivial roles in Earth surface condition prediction tasks. However, unlike many well-defined and well-studied topics, such as change detection, for which many benchmark datasets are openly available, there are limited public datasets for the abovementioned topic for fast prototyping and comparison. To close this gap, we introduced a comprehensive dataset containing SAR images, precipitation, soil moisture, land cover, Height Above Nearest Drainage (HAND), DEM, and slope data collected during the 2019 Central US Flooding events. Deep-learning-based SAR image synthesis and flood mapping with the synthesized images were presented as sample use cases of the dataset. © 2024 Elsevier Ltd</t>
  </si>
  <si>
    <t>2-s2.0-85211616568"</t>
  </si>
  <si>
    <t>10.1002/gj.5153</t>
  </si>
  <si>
    <t>https://www.scopus.com/inward/record.uri?eid=2-s2.0-85218678051&amp;doi=10.1002%2fgj.5153&amp;partnerID=40&amp;md5=0a47fb4be0839621b81035e67441f624</t>
  </si>
  <si>
    <t>Coastal areas are increasingly susceptible to frequent cyclones driven by climate change. This leads to severe flooding, habitat loss, economic damage and community displacement, necessitating urgent adaptation measures. In this context, the present study aims to assess the impact of tropical cyclone Yaas on the coastal districts of Odisha and West Bengal combining SAR and optical satellite data. The Sentinel-1 data was used for flood inundation analysis, allowing for the identification and mapping of areas affected by the cyclonic flooding. In addition, Sentinel-2 data was employed for land use and land cover (LULC) analysis, enabling the evaluation of the cyclone's impact on various land cover classes. A fuzzy Analytic Hierarchy Process (AHP) was applied to analyse the changes in forest canopy cover. By integrating these diverse datasets and analyses, the study provides a holistic understanding of the cyclone's impact on the coastal region's environment and land cover. The findings reveal that the Yaas cyclonic flood affected an area of 2528.70 sq. km, accounting for 6.8% of the total region. In the coastal areas of West Bengal, more than 24% of cropland was affected particularly in the districts of Purba Medinipur, North 24 Parganas, Hoogly, Howrah and South 24 Parganas. In Odisha state, the most affected cropland areas were Bhadrak (945.11 sq. km) and Kendrapara (557.90 sq. km), while the districts of Bhadrak, Balasore, Jajpur, Khordha and Cuttack experienced the greatest impact on built-up areas. The findings of this comprehensive study contribute to a deeper understanding of the magnitude and extent of tropical cyclone Yaas's impacts. This study can be useful for the development of effective mitigation and adaptation strategies that is, restoration of mangrove forests, introduction of salt-tolerant crops and upgrading of existing embankments and levees to enhance the resilience of the coastal communities. © 2025 John Wiley &amp; Sons Ltd.</t>
  </si>
  <si>
    <t>2-s2.0-85218678051"</t>
  </si>
  <si>
    <t>Climate Policy</t>
  </si>
  <si>
    <t>10.1080/14693062.2024.2447495</t>
  </si>
  <si>
    <t>https://www.scopus.com/inward/record.uri?eid=2-s2.0-85214412983&amp;doi=10.1080%2f14693062.2024.2447495&amp;partnerID=40&amp;md5=3a253e9fda04093f81a2854e59ec8395</t>
  </si>
  <si>
    <t>Low-lying deltas worldwide are extremely vulnerable to sea-level rise. As the risks of climate-induced flooding become increasingly clear, the thirst for infrastructure-driven adaptation increases. This highlights a patent need to understand the impacts of engineering adaptation solutions, especially those targeting built structures such as dykes and sluices, on farmers from a bottom-up, farmer-centred perspective. The study addresses this call by examining cases where dyke policies, while successful in some dimensions, have undermined small-scale farmer livelihoods in Ca Mau–Vietnam’s southernmost rural province. It identifies areas in need of attention and adds empirical data related to this group of farmers. This emphasis, therefore, contributes inputs towards mitigating unexpected impacts of dyke building or other concrete-intensive adaptation solutions which can be found in many disaster-prone countries. A mixed methodology combining qualitative and quantitative data sources, including Wilcoxon signed-rank tests and case examples, was applied. The findings show a distorted livelihood capitals pentagon of the surveyed small-scale farmers after the construction of dykes and sluices in the province, exacerbating small-scale farmers’ climate vulnerabilities. Dyke policies were found to facilitate and exacerbate the impacts of climate change and liberal capitalist expansion in rural areas. The paper, thus, marks a contribution to understanding as to how the wider environment, i.e. adaptation policies and power relations, structure and influence farmers’ livelihoods by broadening or hampering their access to livelihood capitals and their adaptation options. Our results suggest that environmental sustainability and cross-farmer class equity should be mainstreamed in policy implementation and post-implementation plans. Key policy insights: National pro-infrastructure adaptation policies that neglect the complexity and integrated nature of local ecology and farmer livelihoods likely result in maladaptation</t>
  </si>
  <si>
    <t>Geojournal of Tourism and Geosites</t>
  </si>
  <si>
    <t>10.30892/gtg.58107-1392</t>
  </si>
  <si>
    <t>https://www.scopus.com/inward/record.uri?eid=2-s2.0-85218504137&amp;doi=10.30892%2fgtg.58107-1392&amp;partnerID=40&amp;md5=3e3f926215a5a88b30429c873aa7f06d</t>
  </si>
  <si>
    <t>Coastal tourism at Perawan Beach in Malang Regency, East Java, presents both opportunities and sustainability challenge. The main challenge is that sustainable ecotourism often struggles with economic viability. Intense competition from more accessible destinations, which may disregard ecosystems, presents a major challenge. This research aims to (1) describe current activities at Perawan Beach, (2) identify tourism and other human activity threats to coastal ecosystems, and (3) explore coastal opportunities through a coastal ecosystem service approach for societal benefit. This study using the Coastal Ecosystem Service (CES) approach, involved interviews and observations to assess stakeholder perceptions, tourism threats, and opportunities. Following CES indicators, this study is based on grounded theory. The data collection technique was based on semi-structured interviews involving 10 stakeholders. Findings indicate that CES can enhance beach tourism sustainability by involving communities, protecting natural resources, and promoting fair economic growth. CES supports long-term environmental management and local well-being by integrating provision, regulation, support, and cultural services. The key focus is managing events and regulating the climate in coastal tourism areas. In order to educate visitors on coastal vegetation and sustainable fisheries. CES opportunities span diverse coastal ecosystems, including beaches, estuaries, forests, wetlands, and floodplains. The main initiatives were building Ocean Farms and following virtual reality promotions, promising steps for sustainable beach tourism. Ocean Farms offers hospitality services for tourism, such as floating hotels, and provides education on sustainable fisheries management. The development of Ocean Farms also represents support from academics, researchers, stakeholder collaborations, and the local government, all of whom are committed to the sustainability of this tourism initiative. The main challenges in developing Perawan Beach as a sustainable tourism destination include infrastructure problems, ineffective promotion, and geographic conditions that limit certain water tourism activities. However, there are great opportunities through a coastal ecosystem services (CES) approach, which emphasises the importance of environmental maintenance and education on coastal vegetation management. This beach has potential for further development in sustainable marine tourism while preserving its ecological services. Its natural wealth, including the Gondang Wetan Estuary and Pedotan Lagoon, supports water-based tourism activities. Based on CES indicators, the area is strong in providing food resources, biological assets, regulatory functions, and opportunities for coastal conservation and education. © 2025 Editura Universitatii din Oradea. All rights reserved.</t>
  </si>
  <si>
    <t>2-s2.0-85218504137"</t>
  </si>
  <si>
    <t>10.1016/j.margeo.2024.107472</t>
  </si>
  <si>
    <t>https://www.scopus.com/inward/record.uri?eid=2-s2.0-85213890296&amp;doi=10.1016%2fj.margeo.2024.107472&amp;partnerID=40&amp;md5=cb6442baf8bb2ea35cb8dded9c5227d2</t>
  </si>
  <si>
    <t>Considering the rapid population growth in coastal areas and the anthropogenic activities, it is important to have a forecast tool for monitoring and managing the coastal changes. In this manuscript the coastline dynamics are analyzed using remote sensing indices and deep learning approach. The studied area is approximately 212 km north of the Persian Gulf. This area is of great economic and political importance and includes several rivers, ports, estuaries, etc. The Landsat satellite images were collected from the USGS dataset over a period of 38 years. In the next step, two methods were used to detect the coastline. The first method was to use indices such as NDWI, and the second method was to combine the bands. To calculate the changes of the coastline and make predictions, several methods were employed including EPR, LRR, LMS, and SCE. The performance of these traditional methods were compared with the CNN method</t>
  </si>
  <si>
    <t>Acta Geochimica</t>
  </si>
  <si>
    <t>10.1007/s11631-025-00764-z</t>
  </si>
  <si>
    <t>https://www.scopus.com/inward/record.uri?eid=2-s2.0-85219510888&amp;doi=10.1007%2fs11631-025-00764-z&amp;partnerID=40&amp;md5=eadf08af3b642fe461ed82da2daa44a9</t>
  </si>
  <si>
    <t>Pollution of transboundary rivers can result from anthropogenic activities in their watersheds. In this study, sediment traps were deployed to determine the fluxes, concentrations, and health risks associated with arsenic, cadmium, mercury, lead, and iron in the estuaries of three transboundary rivers (Comoé, Bia, and Tanoé) in West Africa. Thus, the analysis of metal-associated sedimentation particle samples collected in rainy, flood, and dry seasons was required. Sediment traps were used to calculate the metal fluxes associated with sedimentation particles towards the Atlantic Ocean. Finally, the carcinogenic and non-carcinogenic risks of ingestion and dermal contact associated with sedimentation particles were assessed. The results showed that the total concentrations of trace metals in particulate matter were higher than in the UCC (Upper Crust Continental), with the exception of lead. The highest fluxes of lead, mercury, iron and arsenic associated with sedimented particles were observed during flood periods in the estuary of the Comoé, Bia and Tanoé rivers. Cadmium fluxes associated with sedimentation particles were highest in the rainy season in the Bia and Comoé estuaries and in the flood season in the Tanoé estuary. Pearson’s correlation analysis and the enrichment factor showed that the trace metals were derived from anthropogenic activities such as mining and farming. In addition, contamination indices showed that sediment particles in the estuaries of the three rivers were severely contaminated with mercury. However, the results of potential human health risks associated with trace metals show that there is no probability of exposure of the community to harmful and carcinogenic effects through ingestion and dermal absorption of sediment particles. It is essential to integrate the information from this study into policy- and decision-making processes for better management of transboundary river water resources in coastal countries, particularly the Côte d’Ivoire. © The Author(s), under exclusive licence to Science Press and Institute of Geochemistry, CAS and Springer-Verlag GmbH Germany, part of Springer Nature 2025.</t>
  </si>
  <si>
    <t>2-s2.0-85219510888"</t>
  </si>
  <si>
    <t>International Journal of Computers, Communications and Control</t>
  </si>
  <si>
    <t>10.15837/ijccc.2025.2.7027</t>
  </si>
  <si>
    <t>https://www.scopus.com/inward/record.uri?eid=2-s2.0-85219687893&amp;doi=10.15837%2fijccc.2025.2.7027&amp;partnerID=40&amp;md5=8eb35b1f4b80e4431e17d242c847bc43</t>
  </si>
  <si>
    <t>Wetlands, areas that are permanently or seasonally flooded or saturated with water, are among the most productive and biodiverse ecosystems on the planet. Their conservation, revitalization and health status monitoring require the hydrological modelling. We introduce the novel hydrological modelling tool in the NaturaSat software and show the useful workflows supporting environmental control and informed decisions. The tool is based on numerical solution of the Laplace equation with Dirichlet boundary conditions on a triangular grid using the complementary volume method. We present results for a case study of the Foráš Nature Reserve in Slovakia, in the alluvium of Danube River, demonstrating the practical application of developed methods. By comparing the solution with the Digital Terrain Model we study the waterlogging status of the most important wetland habitats in the area, and complement the results by analysis of Sentinel-1 radar satellite data and Sentinel-2 optical satellite data. Copyright © 2025 by the authors. Licensee Agora University, Oradea, Romania.</t>
  </si>
  <si>
    <t>2-s2.0-85219687893"</t>
  </si>
  <si>
    <t>10.1002/hyp.70060</t>
  </si>
  <si>
    <t>https://www.scopus.com/inward/record.uri?eid=2-s2.0-85215296556&amp;doi=10.1002%2fhyp.70060&amp;partnerID=40&amp;md5=8732da95b63ef360a0a42660131df994</t>
  </si>
  <si>
    <t>Soil water budgets in floodplains are distinct from uplands because there are more potential sources of water yet remain poorly understood and poorly represented in the empirical literature. Stable isotopes of hydrogen (2H) and oxygen (18O) in water are useful as tracers of water movement and have improved conceptual understanding of soil hydrological processes. We sampled two adjacent microsites at a ridge-swale sequence in a forested floodplain Louisiana, USA to determine temporal and spatial soil water isotopic variability in soils of similar climate and ecosystem but contrasting textures and hydrological processes. Repeated soil borings indicated that soil water isotopic variability was greater than any source water sampled (range of δ18O (‰): −11.9 to −0.9, range of δ2H (‰): −44 to 0</t>
  </si>
  <si>
    <t>Advances in Atmospheric Sciences</t>
  </si>
  <si>
    <t>10.1007/s00376-024-3306-8</t>
  </si>
  <si>
    <t>https://www.scopus.com/inward/record.uri?eid=2-s2.0-85211376107&amp;doi=10.1007%2fs00376-024-3306-8&amp;partnerID=40&amp;md5=ac0a043f90d829073b03f7d584d1dd37</t>
  </si>
  <si>
    <t>Timely and accurate forecasting of storm surges can effectively prevent typhoon storm surges from causing large economic losses and casualties in coastal areas. At present, numerical model forecasting consumes too many resources and takes too long to compute, while neural network forecasting lacks regional data to train regional forecasting models. In this study, we used the DUAL wind model to build typhoon wind fields, and constructed a typhoon database of 75 processes in the northern South China Sea using the coupled Advanced Circulation–Simulating Waves Nearshore (ADCIRC-SWAN) model. Then, a neural network with a Res-U-Net structure was trained using the typhoon database to forecast the typhoon processes in the validation dataset, and an excellent storm surge forecasting effect was achieved in the Pearl River Estuary region. The storm surge forecasting effect of stronger typhoons was improved by adding a branch structure and transfer learning. © Institute of Atmospheric Physics/Chinese Academy of Sciences, and Science Press 2025.</t>
  </si>
  <si>
    <t>2-s2.0-85211376107"</t>
  </si>
  <si>
    <t>Proceedings of the Institution of Civil Engineers: Geotechnical Engineering</t>
  </si>
  <si>
    <t>10.1680/jgeen.24.00363</t>
  </si>
  <si>
    <t>https://www.scopus.com/inward/record.uri?eid=2-s2.0-85216900455&amp;doi=10.1680%2fjgeen.24.00363&amp;partnerID=40&amp;md5=147939cab9972be18d58625ca0faf282</t>
  </si>
  <si>
    <t>Ground temperature varies along the vertical direction at shallow depths, whose influences on the thermo-mechanical response of energy piles during heating and cooling processes remain unclear so far. This paper aims to fill this gap by performing finite element numerical analysis based on Comsol Multiphysics software, taking energy piles in the Yellow River flooded area as an example. A three-dimensional numerical model is established and is then validated by comparing with published experimental results. Parametric analyses are conducted with a focus on the heat exchange efficiency, temperature distribution, displacement and axial stress of energy piles caused by heating in summer and cooling in winter. It is found that the ignorance of ground temperature variation could lead to: (i) overestimation of the heat exchange efficiency in both winter and summer</t>
  </si>
  <si>
    <t>Acta Geophysica</t>
  </si>
  <si>
    <t>10.1007/s11600-024-01425-0</t>
  </si>
  <si>
    <t>https://www.scopus.com/inward/record.uri?eid=2-s2.0-85205283912&amp;doi=10.1007%2fs11600-024-01425-0&amp;partnerID=40&amp;md5=e3f6b33e1dff0b9ff8d0bcf7f93f93dc</t>
  </si>
  <si>
    <t>During the construction of deep and large foundation pits in floodplain areas, it is inevitable to cause stratum disturbance and endanger the safety of the surrounding environment. This paper focuses on the influence of deep foundation pit excavation on surrounding environment based on a soft soil deep foundation pit project in Nanjing floodplain area. A series of laboratory tests were conducted to obtain the parameters of the small strain hardening (HSS) model for the typical soil layers. Then PLAXIS 3D software is used to simulate the excavation process of the foundation pit. On the basis of field measurement and numerical model, the deformation characteristics of deep foundation pit and surrounding environment are analyzed. The HSS model and the appropriate model parameters can effectively simulate the deformation behavior during the excavation of the foundation pit. Aiming at the problem of excessive deformation of foundation pit and surrounding pipelines, the reinforcement effect of reinforced soil in active and passive areas under different reinforcement parameters is analyzed. The optimal reinforcement width and depth should be determined after reasonable analysis to obtain the best economic benefits. © The Author(s) under exclusive licence to Institute of Geophysics, Polish Academy of Sciences 2024.</t>
  </si>
  <si>
    <t>2-s2.0-85205283912"</t>
  </si>
  <si>
    <t>PLOS Climate</t>
  </si>
  <si>
    <t>10.1371/journal.pclm.0000444</t>
  </si>
  <si>
    <t>https://www.scopus.com/inward/record.uri?eid=2-s2.0-85214814310&amp;doi=10.1371%2fjournal.pclm.0000444&amp;partnerID=40&amp;md5=10c0985dccb3bdb97a45c4c481336add</t>
  </si>
  <si>
    <t>Increased frequency and intensity of storms, sea level rise, and warming temperatures are affecting forests along the eastern coast of the United States. However, we lack a clear understanding of how the structure of coastal forests is being altered by climate change drivers. Here, we used data from the Forest Inventory and Analyses program of the US Forest Service to examine structure and biomass change in forests along the mid-Atlantic, Southeastern, and Gulf coasts of the US. We selected plots that have been resampled at low (5 m) and mid (30–50 m) elevations in coastal areas of states from Texas to New Jersey, allowing us to determine change in live trees, standing dead wood, and downed dead wood biomass (and carbon) stocks across a decade at the county level. Forest area increased by 1.9% and 0.3% in low and mid elevation counties, respectively. Live tree biomass density increased by 13% and 16% in low mid elevation counties, respectively. Standing dead biomass decreased by 9.2% and 2.8% in low and mid elevation counties, respectively. Downed dead wood increased by 22% in low elevation counties and decreased 50% in mid elevation counties. Annualized growth and harvest were both higher (16% and 58% respectively) in mid elevation than low elevation counties, while annualized mortality was 25% higher in low elevation counties. Annualized growth in low elevation counties was negatively correlated to sea level rise rates, and positively correlated to number of storms, illustrating tradeoffs associated with different climate change drivers. Overall, our results illustrate the vulnerability of US coastal low and mid elevation forests to climate change and sea level rise, with indications that the complexity and rate of change in associated ecosystem functions (growth, mortality, and carbon storage) within the greater social environment (agricultural abandonment) may increase. Copyright: This is an open access article, free of all copyright, and may be freely reproduced, distributed, transmitted, modified, built upon, or otherwise used by anyone for any lawful purpose. The work is made available under the Creative Commons CC0 public domain dedication.</t>
  </si>
  <si>
    <t>2-s2.0-85214814310"</t>
  </si>
  <si>
    <t>Lithosphere</t>
  </si>
  <si>
    <t>10.2113/2025/lithosphere_2024_215</t>
  </si>
  <si>
    <t>https://www.scopus.com/inward/record.uri?eid=2-s2.0-85216932343&amp;doi=10.2113%2f2025%2flithosphere_2024_215&amp;partnerID=40&amp;md5=915936200d4d7a5ddac26425e52aaa73</t>
  </si>
  <si>
    <t>In this study, we analyzed the effects of snow cover changes caused by snow fences (SFs) installed in 2017 in the Alaskan tundra to examine ground subsidence. Digital surface model data obtained through LiDAR-based remote sensing in 2019 and 2022, combined with a field survey in 2021, revealed approximately 0.2 m of ground subsidence around the SF. To investigate the relationship between SF-induced snow cover changes and ground subsidence, geophysical methods, electrical resistivity tomography (ERT) and ground-penetrating radar (GPR), were applied in 2023 to analyze subsurface characteristics. The increased snow cover due to the SF-enhanced insulation, delaying the penetration of winter cold into the subsurface. This delay caused subsurface temperatures to decrease more slowly, melting the upper permafrost and increasing the thickness of the active layer. ERT and GPR surveys well delineated the boundary between the active layer and permafrost, confirming that the increased snow cover thickened the active layer. This thickening led to the melting of pore ice, causing water runoff and ground compaction, which resulted in subsidence. The runoff also formed channels flowing eastward over the SF. This study highlights how changes in snow cover can influence active layer properties, leading to localized environmental changes and ground subsidence. © 2025. Kwansoo Kim et al. Exclusive Licensee GeoScienceWorld. Distributed under a Creative Commons Attribution License (CC BY 4.0).</t>
  </si>
  <si>
    <t>2-s2.0-85216932343"</t>
  </si>
  <si>
    <t>International Journal of Environmental Technology and Management</t>
  </si>
  <si>
    <t>10.1504/IJETM.2025.144499</t>
  </si>
  <si>
    <t>https://www.scopus.com/inward/record.uri?eid=2-s2.0-85219113700&amp;doi=10.1504%2fIJETM.2025.144499&amp;partnerID=40&amp;md5=20d648afecfea63eca82d3bf6693c627</t>
  </si>
  <si>
    <t>The preparation of flood zoning maps is crucial in global urban development studies, serving as fundamental information for investment and project implementation assessments by relevant organisations. This study focused on hydraulic modelling and flood zoning in Sulaymaniyah urban basin using hydrologic model HEC-RAS and GIS. Given the escalating urban flood frequency, effective solutions are imperative. The 2D hydraulic model HEC-RAS was employed for a more accurate simulation of flow patterns, especially in flood-prone areas. Hydrological data, digital elevation model, and urban structure data were utilised for modelling, with the aim to identify vulnerable areas and propose damage reduction solutions. The study generated water surface profile maps, width, depth, and flow velocity for return periods of 2, 5, 10, 25, 50, and 100 years. With a 25-year return period, flood vulnerability was classified based on depth and flow velocity, revealing substantial risks in urban areas. H5 and H6 hazard zones covered 43.5% and 24.5% of these areas, posing threats to individuals, vehicles, and structures. The H4 hazard zone, comprising 8.8% of the flood-prone area, presented risks to people and vehicles. Also, the correctness of choosing Manning’s roughness coefficient was evaluated. This research provides valuable insights for urban flood management and hazard mitigation. Copyright © 2025 Inderscience Enterprises Ltd.</t>
  </si>
  <si>
    <t>2-s2.0-85219113700"</t>
  </si>
  <si>
    <t>Journal of Supercomputing</t>
  </si>
  <si>
    <t>10.1007/s11227-024-06686-6</t>
  </si>
  <si>
    <t>https://www.scopus.com/inward/record.uri?eid=2-s2.0-85212278705&amp;doi=10.1007%2fs11227-024-06686-6&amp;partnerID=40&amp;md5=0ac58c31b8b0395717a5fbb4594171d8</t>
  </si>
  <si>
    <t>Implementing deep learning-based surrogate reservoir models (SRMs) on an operational field scale and replacing them with numerical industrial simulators has yet hindered challenges in acquiring high-quality and fast-supply data for both the initial training and ongoing usage phases of SRM. These data challenges make conventional SRMs inefficient for field-scale reservoirs due to their dependence on time-consuming finite difference (FD) data. This research introduces a new generation of well-based intelligent models that tackle the challenges posed by conventional methods by integrating dynamic data from StreamLines (SL) as a reliable and fast-supply data source. SL data is utilized for the first time in developing a well-based SRM, which accelerates the data supply process and enhances the model's efficiency during simulation. The swift accessibility of SL data enables the use of a direct training strategy in the LSTM network, effectively mitigating typical training error accumulation. By introducing a new Streamline-based data sampling technique, data continuity and quality were vastly enhanced, resulting in higher accuracy of models with lower data requirements during the training phase and faster convergence. Additionally, leveraging SL data, the introduced database allows the intelligent models to operate independently from FD data during the ongoing usage phase. This independence eliminates the time load of finite difference data provision in conventional SRMs, greatly enhancing its functionality. This breakthrough in developing well-based SRMs offers improved data acquisition, simulation efficiency, and facilitates real-time decision-making in dynamic reservoir simulation applications. Promising results are achieved in predicting well oil/water production rates, with an average absolute relative deviation of less than 4% for two heterogeneous benchmark reservoir models. Furthermore, the simulation run time and overall process duration are significantly reduced compared to high-fidelity FD simulators and conventional proxy models. © The Author(s), under exclusive licence to Springer Science+Business Media, LLC, part of Springer Nature 2024.</t>
  </si>
  <si>
    <t>2-s2.0-85212278705"</t>
  </si>
  <si>
    <t>10.1016/j.jhydrol.2024.132303</t>
  </si>
  <si>
    <t>https://www.scopus.com/inward/record.uri?eid=2-s2.0-85209718536&amp;doi=10.1016%2fj.jhydrol.2024.132303&amp;partnerID=40&amp;md5=7697de26ebf5be54053566fd1ca46234</t>
  </si>
  <si>
    <t>Dam breaching induced by overtopping is a multifaceted hydraulic and geotechnical phenomenon frequently observed in landslide dams. This study introduces a simplified physically-based numerical model aimed to simulate overtopping-induced dam breaching. The model employs a broad-crested weir formula considering the upstream slope to calculate the outflow discharge. In consideration of breach slope collapses, a breach evolution mode is described based on the log-spiral slip surface. The mode adheres to the principle that soil erosion occurs solely beneath the water surface. The proposed simplified model was applied to simulate the overtopping breaching of Tangjiashan and Baige landslide dams in China. The obtained results exhibit good agreement with available field measurements and numerical solutions. Furthermore, a series of parameter analyses were conducted to investigate the influence of several highly empirical parameters on the dam breaching process. The findings reveal that the peak discharge is predominantly influenced by the limiting soil erosion rate defined in the hyperbolic soil erosion equation, whereas the peak arrival time is mainly affected by the critical flow velocity. In cases where soil grading information is unavailable for estimating the Manning roughness coefficient, a value of 0.035 can be adopted. The critical flow velocity and the limiting soil erosion rate are critical parameters that require careful determination. © 2024 Elsevier B.V.</t>
  </si>
  <si>
    <t>2-s2.0-85209718536"</t>
  </si>
  <si>
    <t>International Journal of Hydrology Science and Technology</t>
  </si>
  <si>
    <t>10.1504/IJHST.2025.144239</t>
  </si>
  <si>
    <t>https://www.scopus.com/inward/record.uri?eid=2-s2.0-85217078452&amp;doi=10.1504%2fIJHST.2025.144239&amp;partnerID=40&amp;md5=aa56e5b277d6ec799c194b61840effab</t>
  </si>
  <si>
    <t>This paper presents a hydraulic simulation conducted to assess the stability of the ‘Netaji Subhas Bridge’ on the Gomti River in Tripura. The simulation takes into account different scour profiles and numerous flood events. The calculation of local scour at various piers takes into account four different flow profiles: PF1 (1,495 m3/s), PF2 (1,147 m3/s), PF3 (711 m3/s) and PF4 (475 m3/s). The analysis of the HEC-RAS model reveals that the scour depth (Ys) and the Froude’s number (Fr) exhibit a decrease for all flow profiles when a parallel bridge is constructed upstream of the existing bridge. However, if the new bridge is constructed on the downstream side, then Ys and Fr are increased for PF2, PF3 and PF4, but in the case of PF1, only the Ys decreased. Therefore, the safer and more serviceable option is to construct the parallel bridge on the upstream side of the existing bridge. Copyright © 2025 Inderscience Enterprises Ltd.</t>
  </si>
  <si>
    <t>2-s2.0-85217078452"</t>
  </si>
  <si>
    <t>LHB: Hydroscience Journal</t>
  </si>
  <si>
    <t>10.1080/27678490.2024.2439093</t>
  </si>
  <si>
    <t>https://www.scopus.com/inward/record.uri?eid=2-s2.0-85219144682&amp;doi=10.1080%2f27678490.2024.2439093&amp;partnerID=40&amp;md5=03b1057f5f3738e211a15ec52f13c25e</t>
  </si>
  <si>
    <t>The Union of the Comoros, an archipelago located in the Western Indian Ocean, is subject to tropical depressions and sometimes to cyclones. In April 2019, cyclone Kenneth passed to the north of Grande Comore. It was particularly intense and caused casualties and significant infrastructural damage, requiring that such extreme and rare events are taken into account in future coastal management and engineering projects. For a more accurate definition of extreme offshore conditions in the area in view of designing a boat landing stage in Ourovéni (Grande Comore Island), a regional cyclonic modelling tool is developed using the open TELEMAC-MASCARET solver suite. Based on the Holland surge-wind model, it enables the determination of extreme wind, surge/water level and wave conditions during cyclonic events. The model is calibrated using satellite altimetry data and used to reproduce a sample of historical cyclones that have affected the Comoros archipelago since the 1980s. Based on this sample, the 100-year return values for offshore significant wave height and total water level are extrapolated and found in agreement with available studies. This tool ultimately allows a more realistic representation of forcing parameters for downscale modelling in an area where few cyclonic data are available. © 2025 The Author(s). Published by Informa UK Limited, trading as Taylor &amp; Francis Group.</t>
  </si>
  <si>
    <t>2-s2.0-85219144682"</t>
  </si>
  <si>
    <t>10.1002/rra.4369</t>
  </si>
  <si>
    <t>https://www.scopus.com/inward/record.uri?eid=2-s2.0-85201397219&amp;doi=10.1002%2frra.4369&amp;partnerID=40&amp;md5=2803fd87d6d03e2c369b6d15b2799d4d</t>
  </si>
  <si>
    <t>This study employs object-based image analysis to investigate land cover dynamics and channel changes in the managed corridor of the Orljava River following anthropogenic vegetation removal and a flood event. By classifying RGB and near-infrared (NIR) images from the decade 2011–2021, five land cover classes within the river corridor were mapped: water, bare soil, sparse vegetation, dense vegetation, and shadows. A digital surface model generated from the images was used to differentiate between bare river channel units (river sediments) and bare soil in the floodplain, as well as to identify high vegetation, while agricultural land was classified manually. The study identified two main phases of river corridor changes, driven by a significant flood event in 2014. In the period 2011–2014, which includes the flood event, a substantial increase in the areas covered by water and river sediments was observed. The most notable decrease was in the bare soil class (90%), which primarily covered riverbanks and adjacent areas in 2011 after vegetation removal. In addition, the formation of large in-channel bars due to sediment accumulation and significant channel migration was recorded. In the second phase (2014–2021), lower discharges facilitated gradual channel recovery, characterized by channel narrowing and an increase in dense and high vegetation. This study demonstrates the high reliability of object-based classification in mapping river corridor units using optical photogrammetric data. Furthermore, it highlights the deficiencies in inadequate river management practices that led to considerable bank erosion and a loss of agricultural land. © 2024 The Author(s). River Research and Applications published by John Wiley &amp; Sons Ltd.</t>
  </si>
  <si>
    <t>2-s2.0-85201397219"</t>
  </si>
  <si>
    <t>10.1007/s11069-025-07144-z</t>
  </si>
  <si>
    <t>https://www.scopus.com/inward/record.uri?eid=2-s2.0-85217799893&amp;doi=10.1007%2fs11069-025-07144-z&amp;partnerID=40&amp;md5=18163c4109d963abaa44bbf50eed3574</t>
  </si>
  <si>
    <t>Floods are the most common and threatening natural risk for many countries in the world. Flood risk mapping is therefore of great importance for managing socio-economic and environmental impacts. Several researchers have proposed low-complexity and cost-effective flood mapping solutions that are useful for data scarce environments or at large-scale. Among these approaches, a line of recent research focuses on hydrogeomorphic methods that, due to digital elevation models (DEMs), exploit the causality between past flood events and the hydraulic geometry of floodplains. This study aims to compare the use of freely-available DEMs to support an advanced hydrogeomorphic method, Geomorphic Flood Index (GFI), to map flood-prone areas of the Basento River basin (Italy). The five selected DEMs are obtained from different sources, are characterized by different resolutions, spatial coverage, acquisition process, processing and validation, etc., and include: (i) HydroSHEDS v.1.1 (resolution 3 arc-seconds), hydrologically conditioned, derived primarily from STRM (NASA) and characterized by global coverage</t>
  </si>
  <si>
    <t>Environmental Science and Technology Letters</t>
  </si>
  <si>
    <t>10.1021/acs.estlett.5c00122</t>
  </si>
  <si>
    <t>https://www.scopus.com/inward/record.uri?eid=2-s2.0-86000159928&amp;doi=10.1021%2facs.estlett.5c00122&amp;partnerID=40&amp;md5=785edbdd1db7108e16b76805044c1c70</t>
  </si>
  <si>
    <t>In this study, we investigate the pollution status in impacted seawaters and sediments of coastal areas in the region of Thessaly, central Greece, following the Storm Daniel extreme flood event in September 2023, a phenomenon classified as the deadliest Mediterranean tropical-like cyclone in recorded history and one of the costliest cyclones beyond the North Atlantic. For this, an ultra high-performance liquid-chromatography-based wide-scope target screening of more than 2300 LC-amenable emerging contaminants (ECs) was carried out utilizing the technique of TIMS-QTOF-MS. Our results highlight the fact that the extreme floodwater runoff resulted in an extensive transportation of terrestrial derived material from the impacted areas and a major transport of plant protection products, pharmaceuticals, including even illicit drugs, surfactants, industrial chemicals, and per- and polyfluorinated alkyl compounds (PFAS) at sea, as a result of the overflowing of local wastewater treatment plants and the destruction of agricultural, industrial, and port facilities. Overall, the phenomenon resulted in a major alteration of the classification of the determined ECs in seawaters and most importantly in sediments of the study area, with potential implications for their environmental quality status. © 2025 The Authors. Published by American Chemical Society.</t>
  </si>
  <si>
    <t>2-s2.0-86000159928"</t>
  </si>
  <si>
    <t>10.1007/s11069-025-07149-8</t>
  </si>
  <si>
    <t>https://www.scopus.com/inward/record.uri?eid=2-s2.0-85217674141&amp;doi=10.1007%2fs11069-025-07149-8&amp;partnerID=40&amp;md5=b08b3f89d2d3bff32fd53138fb028354</t>
  </si>
  <si>
    <t>Traditional flood models often address either coastal or inland flooding separately, making comprehensive flood prediction challenging. This study presents an integrated framework that combines coastal and inland hydrodynamics, including tides, storm-surges, waves, and river flooding, to improve flood prediction in deltaic regions. The framework links the HEC-RAS 2D model with the tightly coupled ADCIRC + SWAN model to simulate flood inundation extents. The Brahmani-Baitarani River delta in Odisha (India) and the Bay of Bengal serve as the study areas for simulating tides, surges, waves, and inland flooding. The ADCIRC + SWAN model was calibrated and validated for cyclones Fani (2019) and Yaas (2021), using wind and pressure data from Climate Forecast System Version 2 (CFSv2) and European Centre for Medium-Range Weather Forecasts (ECMWF) Reanalysis 5 (ERA5). Model performance in predicting water surface elevations was excellent, with Nash–Sutcliffe Efficiency (NSE) values of 0.97–0.99 and errors within 8–18 cm. Flood extent for cyclone Yaas, simulated with HEC-RAS 2D, was validated against Sentinel-1 SAR imagery which showed good agreement. The integrated ADCIRC-SWAN-HEC-RAS 2D framework provides a robust tool for predicting flood dynamics in deltaic regions, enabling better disaster management for areas prone to cyclonic storm tides and inland pluvial flooding. © The Author(s), under exclusive licence to Springer Nature B.V. 2025.</t>
  </si>
  <si>
    <t>2-s2.0-85217674141"</t>
  </si>
  <si>
    <t>Journal of Maps</t>
  </si>
  <si>
    <t>10.1080/17445647.2024.2446249</t>
  </si>
  <si>
    <t>https://www.scopus.com/inward/record.uri?eid=2-s2.0-85214433827&amp;doi=10.1080%2f17445647.2024.2446249&amp;partnerID=40&amp;md5=48dafde9d9578432511e158df8e6b128</t>
  </si>
  <si>
    <t>The Geomorphologycal map of the continental shelf of the northeaster sector of the Sardinian coast has allowed the recognition of several seafloor features. These have been related to the geology and climate history of the area from the Last Glacial Maximum (LGM) to the early Holocene. During the LGM sea level was about 130 below the present and cuspate deltas fed by rivers crossing the continental shelf formed. The post LGM sea level rise caused submersion of the exposed continental shelf and changed the dominant sedimentary processes. The rise was not continuous but punctuated by stillstands during which suites of beach ridges developed. The mapped ridges (BRS1, BRS2 and BRS3) are correlated to specific post-LGM sea level stillstands. These fit pretty well with the cold phases that punctuated the post LGM warming phase</t>
  </si>
  <si>
    <t>Geo-Spatial Information Science</t>
  </si>
  <si>
    <t>10.1080/10095020.2024.2443484</t>
  </si>
  <si>
    <t>https://www.scopus.com/inward/record.uri?eid=2-s2.0-85215109825&amp;doi=10.1080%2f10095020.2024.2443484&amp;partnerID=40&amp;md5=164f0ebe79d86ee07c3b2ef8fa0de3e9</t>
  </si>
  <si>
    <t>Coastal regions are increasingly vulnerable to ground deformation hazards, which can cause structural damage and amplify flood risks. Accurately monitoring the evolution of such deformation is crucial for hazard assessment. However, the precision of multi-temporal interferometric synthetic aperture radar (MT-InSAR), a powerful geodetic technique for mapping ground deformation, is often compromised by the atmospheric phase screen (APS) effect. This is more serious in coastal zones, where it can bias the detection of deformation turning points and mislead the interpretation. In this paper, we introduce a novel approach that designs a non-stationarity test for independent component analysis (ICA) to effectively separate the APS and deformation phase components in MT-InSAR applications. Through simulated experiments, the proposed method demonstrated a 50% improvement in deformation accuracy and can effectively track deformation progression. We validated the new method with a case study in Nantong, a coastal region along the northern Yangtze River estuary in China, using Sentinel-1 data from 2015 to 2023. The proposed method retrieved the ground deformation over Nantong with a root-mean-square-error (RMSE) of less than 5.6 mm when compared to ground leveling measurements, which surpasses the traditional MT-InSAR methods. The study results identified diverse ground deformation patterns in Nantong, with deformation rates ranging from −56.3 to 45.9 mm/year, attributed to groundwater extraction, urbanization activities, and land reclamation efforts. The study also highlights the significant coastal accretion and land reclamation processes in the study area, demonstrating the potential capability of the MT-InSAR technique in detecting coastal erosion detection and informing land reservation. © 2025 Wuhan University. Published by Informa UK Limited, trading as Taylor &amp; Francis Group.</t>
  </si>
  <si>
    <t>2-s2.0-85215109825"</t>
  </si>
  <si>
    <t>10.1016/j.jhydrol.2024.132360</t>
  </si>
  <si>
    <t>https://www.scopus.com/inward/record.uri?eid=2-s2.0-85210307499&amp;doi=10.1016%2fj.jhydrol.2024.132360&amp;partnerID=40&amp;md5=5c3cbf0f215fa894ec8952f27470109b</t>
  </si>
  <si>
    <t>Cascading dam-break floods are among the most catastrophic natural disasters, causing significant casualties worldwide. Currently, research on cascading dam-break scenarios primarily focuses on the gradual dam-breaching and flood evolution processes. However, the research on the impact of cascading dam-break flood on downstream dam surface is rarely reported. Therefore, this study addresses this gap by establishing a shallow water hydrodynamic model based on the finite volume method. We conduct a numerical investigation into the effects of various parameters, including dam spacing, channel bed slope, initial water depths in upstream, middle and downstream reservoirs, and different cascading dam-break processes (two-stage and three-stage), on the impact on the downstream dam surface. The following conclusion can be drawn: factors such as dam spacing, bed slope and water depth have a significant impact on the impact pressure and force of downstream dam surface. All other conditions remain unchanged, the larger the dam spacing, the higher the peak and average values of downstream impact pressure, and the later the arrival time of dam-break floods on the downstream dam. The greater the bed slope, the higher the impact pressure, and the earlier the arrival time of the dam-break floods. The deeper the upstream or middle water depth, the greater the peak value and occurrence time of the impact pressure. The smaller the downstream water depth, the lower the impact pressure. The impact time of the three-stage dam-break floods is slightly later than that of the two-stage dam-break floods, but its peak and average impact pressure are higher. This study offers valuable scientific guidance and technical support for disaster prevention and mitigation strategies concerning cascading dam-break floods. © 2024 Elsevier B.V.</t>
  </si>
  <si>
    <t>2-s2.0-85210307499"</t>
  </si>
  <si>
    <t>10.1016/j.jag.2024.104337</t>
  </si>
  <si>
    <t>https://www.scopus.com/inward/record.uri?eid=2-s2.0-85212651967&amp;doi=10.1016%2fj.jag.2024.104337&amp;partnerID=40&amp;md5=fd7ef71741c6f287a01311fdad52f653</t>
  </si>
  <si>
    <t>Sea level changes will significantly drive hydrodynamic, morphological, and ecological development of estuaries. However, the interplay of geomorphology and vegetation at estuary scales remains unclear. To better understand this process, we take the Western Scheldt estuary in the Netherlands as an example to reveal the link between changes in emersion duration and vegetation dynamics in the period 1993–2016. We found that tidal flats in the Western Scheldt become steeper—higher intertidal areas increased in elevation and emersion duration, whereas the low-lying edges of tidal flats experienced a decrease in elevation and emersion duration. We found that longer emersion duration was associated with increased plant diversity and cover. Furthermore, we detected the unique spatiotemporal response patterns of four abundant plant species to geomorphological variations. Our study suggests that on a large estuary scale, geomorphological changes are coupled to the richness and cover of plant communities, and that potential changes in relative sea level can induce structural modifications of the plant communities. It also emphasizes the importance of assessing the potential effects of localized relative sea level changes while considering all aspects of natural processes and direct and indirect human influences. Our study provides a framework to assess the bio-geomorphic processes in a spatially explicit way. © 2024</t>
  </si>
  <si>
    <t>2-s2.0-85212651967"</t>
  </si>
  <si>
    <t>Comptes Rendus de L'Academie Bulgare des Sciences</t>
  </si>
  <si>
    <t>10.7546/CRABS.2025.02.06</t>
  </si>
  <si>
    <t>https://www.scopus.com/inward/record.uri?eid=2-s2.0-85219420934&amp;doi=10.7546%2fCRABS.2025.02.06&amp;partnerID=40&amp;md5=4e698d8e789ebba17a7b3bef50dc80d6</t>
  </si>
  <si>
    <t>Wetlands in the Vietnam Mekong Delta (VMD) have experienced significant reduction and fragmentation since the economic reforms of 1986. This study analyzes land use/land cover (LULC) changes impacting wetland cover between 1990 and 2022 using Landsat imagery within the VMD floodplain, with a particular focus on Dong Thap Province. Landscape metrics were employed to quantify wetland loss and fragmentation. Results indicate that by 2022, approximately 80% of wetlands had been converted to other LULC types, predominantly for rice cultivation. Analysis of landscape metrics, including the number of patches, patch area, core area, and edge characteristics, reveals increased fragmentation, with smaller and more isolated patches replacing larger, contiguous wetlands over the past three decades. Key drivers of this fragmentation include population growth, land reclamation, agricultural expansion, and shifts in farming systems. Given the escalating impacts of climate change, these findings provide essential insights for land use planning and the development of wetland conservation strategies in the Dong Thap Province, the VMD. © 2025 Academic Publishing House. All rights reserved.</t>
  </si>
  <si>
    <t>2-s2.0-85219420934"</t>
  </si>
  <si>
    <t>10.1016/j.rsase.2024.101410</t>
  </si>
  <si>
    <t>https://www.scopus.com/inward/record.uri?eid=2-s2.0-85211129347&amp;doi=10.1016%2fj.rsase.2024.101410&amp;partnerID=40&amp;md5=162522ccee93c214967b3974358e7652</t>
  </si>
  <si>
    <t>Rice cultivation plays a crucial role in food security and economic development, particularly in regions like India, due to its vast population and position as the top rice producer globally. This work introduces a novel framework, the Rice Mapping Method (RMM), which leverages Multitemporal Sentinel-1 Synthetic Aperture Radar (SAR) imagery for automated rice mapping. Contrary to the traditional approaches, RMM combines the Dynamic Threshold Method (DTM) for robust rice field identification and a slope-based index for classifying single and double cropping practices. By analyzing VH backscatter patterns and employing specific thresholds, DTM separates rice pixels from the other background pixels. The DTM, which relies on VH backscatter values during the growing season, has been tested across various rice cultivation landscapes, demonstrating high accuracy up to 0.95. DTM is also tested on different rice-growing areas such as the hilly Kodagu district, with an F1 Score of 0.96, and in the flooded delta region of Kuttanad, achieving an F1 Score of 0.93. The Slope-based Index I(r,c) is introduced to differentiate the single and double cropping pixels by calculating the index for the second season of cropping and gives F1 Score of 0.81. The DTM's effectiveness in rice field identification is evaluated by comparing it to the classification of the Bi-directional Gated Recurrent Unit (Bi-GRU) network. Similarly, the Slope-based Index is compared with other established automated rice mapping methods to assess its accuracy in distinguishing cropping patterns. RMM was successfully applied in mapping rice-growing areas in the Udupi district for 2021, estimating Kharif and Rabi season areas, the estimated rice area is compared to official statistics by the Directorate of Economics and Statistics, Karnataka State. The proposed RMM approach offers a robust solution for mapping rice fields, particularly in regions with complex cropping landscapes, and enhances agricultural monitoring and decision-making processes contributing to sustainable rice production and food security initiatives. © 2024 Elsevier B.V.</t>
  </si>
  <si>
    <t>2-s2.0-85211129347"</t>
  </si>
  <si>
    <t>10.3390/land14010087</t>
  </si>
  <si>
    <t>https://www.scopus.com/inward/record.uri?eid=2-s2.0-85215822720&amp;doi=10.3390%2fland14010087&amp;partnerID=40&amp;md5=24beb81f42bfe4ff251bf0ac86abfa99</t>
  </si>
  <si>
    <t>This paper explores the feasibility of floating urban development in Italy, given its extensive coastline and inland hydrographic network. The key drivers for floating urban development, as an adaptive approach in low-lying waterfront areas, include the increasing threats posed by rising sea levels and flooding and the shortage of land for urban expansion. However, as not all waterfront areas are suitable for floating urban development, a geographical analysis based on a thorough evaluation of multiple factors, including urban–economic parameters and climate-related variables, led to the identification of a specific area of the Lazio coast, the river Tiber Delta. A comprehensive urban mapping process provided a multifaceted geo-referenced information layer, including several climatic, urban, anthropic, and environmental parameters. Within the GIS environment, it is possible to extract and perform statistical analyses crucial for assessing the impact of flood and sea-level rise hazards, particularly regarding buildings and land cover. This process provides a robust framework for understanding the spatial dimensions of flood and sea-level rise impacts and supporting informed design-making. A research-by-design phase follows the simulation research and mapping process. Several design scenarios are developed aimed at regenerating this vulnerable area. These scenarios seek to transform its susceptibility to flooding into a resilient, adaptive, urban identity, offering climate-resilient housing solutions for a population currently residing in unauthorized, substandard housing within high flood-risk zones. This paper proposes a comprehensive analytical methodology for supporting the design process of floating urban development, given the highly determinant role of site-specificity in such a challenging and new urban development approach. © 2025 by the authors.</t>
  </si>
  <si>
    <t>2-s2.0-85215822720"</t>
  </si>
  <si>
    <t>U.S. Geological Survey Techniques and Methods</t>
  </si>
  <si>
    <t>10.3133/tm14A3</t>
  </si>
  <si>
    <t>https://www.scopus.com/inward/record.uri?eid=2-s2.0-86000045065&amp;doi=10.3133%2ftm14A3&amp;partnerID=40&amp;md5=a1ff2bc388dd430ead24f24f0b97e048</t>
  </si>
  <si>
    <t>The software package, Grfin Tools, can estimate potential runout from landslides or inundation from geophysical mass flows such as debris flows, lahars from volcanoes, and rock avalanches within a digital elevation model (DEM). Grfin is an acronym of growth + flow + inundation. The tools within this package apply simple, well-tested, empirical models of runout that are computationally efficient and require minimal parameters. These tools can be used individually (for example, to estimate debris-flow inundation) or in combination to represent a more complete series of linked processes, from landslide source areas, to unchannelized transport, to channelized flows. Grfin Tools can rapidly assess potential runout and inundation over large areas and the results are readily visualized in a geographic information system. Tools for assessing areas affected by runout and flow inundation include a height-to-length (H/L) ratio, angle-of-reach approach for estimating open-slope, unchannelized landslide runout, and volume-area scaling relations for assessing flow inundation in channels. Potential landslide areas that constitute the sources of runout or inundation can be delineated with topographic features, such as slope and (or) curvature, derived by the software package, or by employing potential sources derived from other landslide susceptibility models. Grfin Tools also has the capability to assess inundation from flows that grow volumetrically downstream. This is a vital feature, as larger flows commonly result in longer runout and larger inundation. The software uses empirically derived growth factors applied over upslope contributing source areas or upstream channel lengths to integrate the effects of various growth processes, such as channel entrainment, streambank failures, adjacent landslides, and hillslope erosion. Inundation follows a drainage network defined with a separate tool that uses topographic curvature to identify channel initiation locations. This document includes information on using Grfin Tools, the basis and methods underlying the tools and models, detailed descriptions of the software input and output files, and tips for handling special conditions such as roads and large water bodies. Multiple detailed examples illustrating different applications are also presented. Grfin Tools relies on the freely available TauDEM software package (Tarboton, 2005). The Grfin Tools software release is available from Cronkite-Ratcliff and others (2025). © 2025, US Geological Survey. All rights reserved.</t>
  </si>
  <si>
    <t>2-s2.0-86000045065"</t>
  </si>
  <si>
    <t>Engineering Geology</t>
  </si>
  <si>
    <t>10.1016/j.enggeo.2024.107841</t>
  </si>
  <si>
    <t>https://www.scopus.com/inward/record.uri?eid=2-s2.0-85211075239&amp;doi=10.1016%2fj.enggeo.2024.107841&amp;partnerID=40&amp;md5=e98707a6f385d55be6e890ca916ddee3</t>
  </si>
  <si>
    <t>A very large percentage of the Italian municipalities is exposed to landslides, floods, and/or coastal erosion, according to the 2021 edition of the Report on hydrogeological instability in Italy. Even the south-eastern area of the country, the Apulia Region, is affected by different geo-hydrological hazards, with a concentration of landslides in the north-western portion, named the Daunia Apennine sector. Such a significant exposure to landslide hazard imposes the need of defining reliable quantitative methodologies to assess landslide susceptibility at both the slope scale and urban scale, so that appropriate land planning policies, as well as effective prevention and mitigation measures, can be implemented according to a more rational approach. The main purpose of this study is to propose a physically-based methodology, at the urban area scale, aimed at assessing landslide susceptibility, for both shallow and deep instability processes affecting almost all the urban areas in the Daunia Apennines. The proposed methodology has been applied to the municipality of Carlantino (FG) as a test case study, using the available geological and geomorphological maps as well as the soil physical and mechanical data. A three-dimensional geotechnical model, 2.5 km2 wide, including the Carlantino urban area and the slopes surrounding the town, was created. Later on, a three-dimensional limit equilibrium analysis, taking into account the equilibrium conditions both in the slip and the transverse directions, was performed to obtain a mechanically-based map of safety factors at the urban area scale. The results of this study, obtained for three different scenarios related to the assumed depth of the groundwater table, allowed the identification of the areas more susceptible to landsliding, i.e. characterised by lower safety factor values. The proposed 3D approach represents a significant advancement with respect to the traditional 2D stability calculation methods in terms of accuracy of the representative geometrical and geological model, which is assumed to fit more effectively the complexity of the actual slope conditions. Moreover, the methodology can have significant practical applications, since the corresponding results provide a prompt overview of the slope stability conditions of an overall urban area and can be directly used for urban planning as well as risk management activities. Based on a comparison against geomorphological evidence and remote sensing data, this approach has proven to be a valuable tool to support landslide susceptibility assessments, to be promptly used for land planning policies, and is supposed to be exportable to other geological environments. © 2024</t>
  </si>
  <si>
    <t>2-s2.0-85211075239"</t>
  </si>
  <si>
    <t>10.1109/JSTARS.2025.3541107</t>
  </si>
  <si>
    <t>https://www.scopus.com/inward/record.uri?eid=2-s2.0-85217924411&amp;doi=10.1109%2fJSTARS.2025.3541107&amp;partnerID=40&amp;md5=3a2f3fe7bd47c2204261ed504de0d272</t>
  </si>
  <si>
    <t>The vital ecosystem services of coastal areas support biodiversity while storing carbon, protecting coasts, and conserving habitat for coastal species. Accurate mapping and monitoring of coastal ecosystems are essential for conservation and sustainable management, as these ecosystems face growing threats from human activities, sea-level rise, and climate change. A supervised Swin Transformer-based deep learning method using different hyperspectral datasets serves as the proposed algorithm for coastal cover mapping. The data requires pre-processing procedures that combine feature learning with normalization and dimensionality reduction to improve both spectral and spatial feature extraction. The Swin Transformer model extracts hierarchical features through its shifted window attention mechanisms, which combine local and global information. Through spectral-spatial fusion, the model utilizes the specific characteristics of each data source to enhance feature representation, enabling better discrimination of coastal area, ship detection, and large-scale coastal mapping. The integration of high-resolution spatial data with broader spectral information through multi-source data methods supports robust classification and object detection. The algorithm achieves 92.4% overall classification accuracy through cross-validation and hyperparameter optimization while minimizing overfitting. It specifically enhances coastal area identification (&gt;91%) and ship object detection (&gt;90%). The analysis demonstrates that combining deep learning methods with diverse remote sensing data sources enables effective and precise mapping of coastal ecosystems. © 2025 Institute of Electrical and Electronics Engineers Inc.. All rights reserved.</t>
  </si>
  <si>
    <t>2-s2.0-85217924411"</t>
  </si>
  <si>
    <t>10.1016/j.jenvman.2024.123967</t>
  </si>
  <si>
    <t>https://www.scopus.com/inward/record.uri?eid=2-s2.0-85214325151&amp;doi=10.1016%2fj.jenvman.2024.123967&amp;partnerID=40&amp;md5=4304913615b6cd5bf7bcb9e6b037017f</t>
  </si>
  <si>
    <t>Mangrove forests play an important role in climate change mitigation and adaptation, globally recognized as natural climate solution. The protection and restoration of mangrove ecosystems are especially important to Small Island Developing States, like Seychelles, due to their vulnerability to the impacts of climate change, such as sea level rise and tropical cyclones. Therefore, it is crucial for countries like Seychelles to develop baseline information on the status of their mangrove forests to guide conservation and management actions. In this study, we conducted a field campaign to collect local data on plant (i.e., aboveground and belowground) and soil carbon from representative mangrove forests in the inner and outer islands of Seychelles. We used this data to develop, for the first time, a blue carbon assessment for Seychelles' mangrove ecosystems. Seychelles holds 2195 ha of mangrove forests, with ∼80% of them found on the outer island of Aldabra Atoll. Seychelles mangrove ecosystems store 688,091 ± 18,353 tonnes of organic carbon (or 2.5 million tonnes CO2e) and an average of 477.0 ± 16.2 tonnes of carbon per hectare, with 70% of their total carbon stocks stored in their soils. Aldabra Atoll holds the highest total carbon stocks, accounting for 67% of Seychelles' mangrove stocks, despite having a relatively shallow soil organic layer (∼40 cm) due to the dominance of limestone and ‘coral champignon’ below 40 cm depth. Seychelles currently protects ∼85% of its mangrove extent including the Aldabra Atoll, a UNESCO World Heritage and Ramsar site, and Port Launay, a Ramsar site. Overall, field data from this study demonstrates the important climate mitigation potential of Seychelles' mangrove forests and the important role they play in supporting Seychelles in achieving its Nationally Determined Contributions (NDCs) commitments. © 2025 The Authors</t>
  </si>
  <si>
    <t>2-s2.0-85214325151"</t>
  </si>
  <si>
    <t>Human and Ecological Risk Assessment</t>
  </si>
  <si>
    <t>10.1080/10807039.2025.2464918</t>
  </si>
  <si>
    <t>https://www.scopus.com/inward/record.uri?eid=2-s2.0-85219664176&amp;doi=10.1080%2f10807039.2025.2464918&amp;partnerID=40&amp;md5=cb1d08f56c714acd199adfba4e49a0d0</t>
  </si>
  <si>
    <t>Coastal populations are significantly affected by coastal vulnerability. Sea level rise and other climate change effects, such as erosion, flooding, and storm surges, threaten many countries, including Indonesia, and can impact the natural environment and coastal populations. Using the Gornitz equation, the study aimed to quantify the vulnerability levels of three coastal areas in Yogyakarta: Trisik (2.6-km long coastline), Parangtritis (6.61 km), and Baron (0.235 km). This study offers a more comprehensive approach by incorporating land use and population density, which reflect socioeconomic factors, alongside basic elements such as geomorphology, elevation, coastal slope, shoreline changes, tidal range, and significant wave height. The findings indicate that Trisik and Parangtritis have similar coastal vulnerability indices of 30.62, categorizing them as highly vulnerable, while Baron shows a lower value of 18.37, classified as moderately vulnerable. This study found that the key parameters influencing coastal vulnerability were geomorphology, shoreline changes, tidal range, land use, and population density. The findings provide valuable information to raise awareness among policy and decision makers for developing mitigation and adaptation strategies, particularly in addressing the impacts of climate change on coastal communities. © 2025 Taylor &amp; Francis Group, LLC.</t>
  </si>
  <si>
    <t>2-s2.0-85219664176"</t>
  </si>
  <si>
    <t>Earth-Science Reviews</t>
  </si>
  <si>
    <t>10.1016/j.earscirev.2025.105042</t>
  </si>
  <si>
    <t>https://www.scopus.com/inward/record.uri?eid=2-s2.0-85214786258&amp;doi=10.1016%2fj.earscirev.2025.105042&amp;partnerID=40&amp;md5=ac71716f3502e2a8dfa5efe62fc52746</t>
  </si>
  <si>
    <t>Large earthquakes can trigger cascading flood hazards that can influence societal risk and loss</t>
  </si>
  <si>
    <t>10.1007/s11069-024-06945-y</t>
  </si>
  <si>
    <t>https://www.scopus.com/inward/record.uri?eid=2-s2.0-85206804967&amp;doi=10.1007%2fs11069-024-06945-y&amp;partnerID=40&amp;md5=6d23e585ae68859cc17e134f678c4263</t>
  </si>
  <si>
    <t>Climate change triggering extreme weather events and the fact that settlements are at risk have made flood disaster analysis a more critical issue. The economic, social, and environmental risk areas of Karakoyun, Sırrın, and Cavsak streams located in Şanlıurfa city center were determined using flood risk analysis. Thus, it aims to determine low, medium, high, and very high probability flood areas in the area, to collect the necessary data for establishing early warning systems and precaution packages, and to create an infrastructure for similar studies. While performing the risk analysis, we used Q5, Q10, Q25, Q50, Q100, Q500, and Q1000 flood recurrence flows of the mentioned streams. Many criteria were considered, including stream routes, natural water retention capacities, land topography, and general hydrological and geological features. In the light of the data provided, digital elevation models of the streams were created in the ArcGIS 10.3 program, all information was transferred to the hydraulic modeling HEC-RAS 5.07 software, and risky areas were determined by performing a 1D flood analysis. At Q2 flow rate, Karakoyun has 7.09, Cavsak 2.67, Sırrın 6.603 m3 s− 1, and at Q1000 flow rate, Karakoyun has 167.550, Cavsak 90.77, Sırrın 151.298 m3 s− 1 hydrograph peak values. As a result of the analysis, it was appointed that there was a flood risk in many parts of the stream sections. The flooding phenomenon has happened to be one of the most devastating floods for economic and environmental damages that occurred in Şanlıurfa City in 2023. People lost their lives, and many were injured during flooding</t>
  </si>
  <si>
    <t>10.1002/qj.4931</t>
  </si>
  <si>
    <t>https://www.scopus.com/inward/record.uri?eid=2-s2.0-85214421833&amp;doi=10.1002%2fqj.4931&amp;partnerID=40&amp;md5=9ca5083b08fd7031ca127217b74497fa</t>
  </si>
  <si>
    <t>Precipitation in the Hengduan Mountain region is frequently initiated over the crests of the steep mountains which are oriented quasi-north–south. The microphysical and dynamic processes that contribute to orographic precipitation over Cang Mountain, a steeply sloping terrain representative of the Hengduan Mountains, are investigated by utilizing an idealized cloud-resolving model. A typical isolated precipitation case occurs at night when westerly airflow in the middle and lower troposphere is statically stable but conditionally unstable. The precipitation is initiated over the mountain peak and subsequently propagates eastward, which is effectively captured by the simulation with a 4.2-km mountain half-width mimicking Cang Mountain. The higher efficiency of snow and graupel accretion, in comparison to rainwater, significantly impacts the precipitation over the peak, where the altitude is above the freezing level. As a result of the relatively weak terminal fall velocity, the ice-phase hydrometeors are advected eastward by the ambient wind, which is responsible for the eastward propagation of cold-cloud precipitation. Sensitivity experiments with varying mountain width reveal the underlying physical mechanisms for the influence of topographic steepness on precipitation development and atmospheric flow regimes. With an increase of the mountain width, the leeward precipitation shifts further away from the mountain peak and exhibits an evident decrease in intensity. When the mountain half-width is expanded to 15.0 km, a marked mountain-wave pattern emerges, favoring subsidence on the leeward side of the barrier. Stronger descending air motions over the lee slope lead to the acceleration of horizontal wind and reduce moisture condensation. Consequently, warming and dry localized atmospheric conditions inhibit hydrometeor growth, resulting in a dramatic reduction of precipitation over the widened mountain. The insights provided by this study deepen our understanding of how steep terrain modulates atmospheric processes to influence local precipitation patterns over topographic areas. © 2025 Royal Meteorological Society.</t>
  </si>
  <si>
    <t>2-s2.0-85214421833"</t>
  </si>
  <si>
    <t>Euro-Mediterranean Journal for Environmental Integration</t>
  </si>
  <si>
    <t>10.1007/s41207-025-00767-5</t>
  </si>
  <si>
    <t>https://www.scopus.com/inward/record.uri?eid=2-s2.0-86000725689&amp;doi=10.1007%2fs41207-025-00767-5&amp;partnerID=40&amp;md5=eaae58ca513264791f3ec2db92cfaa3c</t>
  </si>
  <si>
    <t>This study explores a novel methodology for predicting soil erosion in the Medjerda River watershed, Tunisia, leveraging Google Earth Engine’s (GEE) capabilities. By integrating satellite imagery, Digital Elevation Models (DEMs), and advanced geospatial analyses, we demonstrate the effectiveness of GEE as a platform for studying hydraulic erosion dynamics. CHIRPS, Open Land Map, ISDA datasets, and satellite imagery were utilized within GEE to calculate the Revised Universal Soil Loss Equation (RUSLE) for the period between 2000 and 2020 and years marked by historical floods (2000, 2003, 2005, 2009, 2012, 2015). The analysis revealed seasonal variations in RUSLE factors and enabled the generation of soil erosion maps. The RUSLE model implemented within GEE facilitated the rapid production of erosion prediction maps. Predicted erosion rates were highest in 2003 and 2009 (A = 170,26 t/ha/yr and A = 156,41 t/ha/yr, respectively), while the other years presented lower risks. Approximately 98% of the basin displayed low erosion rates (0–5 t/ha/yr), attributed to high vegetation cover, crop cultivation, and gentle slopes. Conversely, 2% of the area experienced moderate to severe erosion (&gt; 5 t/ha/yr) in regions with gullies, barren lands, and minimal vegetation. Areas with the greatest chance of erosion are found upstream of the Oued Medjerda River and in the Tabarka and Siliana basins at higher elevations. This high risk is due to several factors: steep inclines, the type of soil (clayey marl) in the surrounding mountains, and a high R factor (indicating erosive rainfall) even in areas with some vegetation. In contrast, the flat plains around Bousalem have a much lower erosion risk (around 0.03 tons per hectare each year). Interestingly, the risk of erosion is even greater at higher altitudes. This trend is consistent yearly, suggesting that some areas are always more susceptible to erosion. This phenomenon is likely because of a combination of factors, such as the shape of the land (topography), the soil composition (texture), and the type of land cover, all of which contribute to how vulnerable the watershed is to losing soil. © Springer Nature Switzerland AG 2025.</t>
  </si>
  <si>
    <t>2-s2.0-86000725689"</t>
  </si>
  <si>
    <t>10.1016/j.ijdrr.2025.105207</t>
  </si>
  <si>
    <t>https://www.scopus.com/inward/record.uri?eid=2-s2.0-85214917806&amp;doi=10.1016%2fj.ijdrr.2025.105207&amp;partnerID=40&amp;md5=40e5afadbfab7dfecb3b2ccb98481cb6</t>
  </si>
  <si>
    <t>The heavy Zhengzhou ""7·20″ rainstorm, partially caused by Typhoon In-fa in 2021, poured an unprecedented rainfall of 201.9 mm/h, leading to severe flooding and damage. Although many studies in various Chinese cities have preliminarily assessed the potential flood losses under ""7·20″ rainstorm, much research has focused on the contribution of climate change, limited attention has been paid to the potential impacts of urbanization development, which is crucial for designing flood adaptation strategies. Using high-resolution ocean-land coupled numerical model, we focus on Shanghai, a fast-developing delta city, to evaluate the potential impact of ""7·20″ rainstorm associated with local coastal storm hazards for flood adaptation planning under future urbanization scenarios. Our findings reveal that rapid urbanization in Shanghai can significantly amplify flood risks caused by events equivalent to ""7·20″ rainstorm. By 2050, the projected increases in exposed assets and losses can be up to 8 and 5 times, respectively, if such events occur. The adaptation measure of heightening seawalls and dikes provides robust protection against compound fluvial-coastal flooding events, but is costly and less effective against pluvial flooding. In contrast, low-impact development measures of increasing green area may not offer the highest asset exposure reduction but have low initial costs and provide significant ecological benefits. Lowering green space offers the greatest reduction in exposed assets and losses from pluvial flooding, but it's also costly and may alter the urban landscape. A combination of these measures, where applicable, is recommended to optimize flood resilience and promote sustainable development in rapidly urbanizing delta cities. © 2025 Elsevier Ltd</t>
  </si>
  <si>
    <t>2-s2.0-85214917806"</t>
  </si>
  <si>
    <t>10.12912/27197050/200141</t>
  </si>
  <si>
    <t>https://www.scopus.com/inward/record.uri?eid=2-s2.0-85217494359&amp;doi=10.12912%2f27197050%2f200141&amp;partnerID=40&amp;md5=589cc9d18909ce17626cc74c770888df</t>
  </si>
  <si>
    <t>Urban flood hazard prediction should effectively balance accuracy and interpretability. This paper compares the performances of the Frequency Ratio method, a simple statistical technique, and XGBoost, a state-of-the-art machine learning algorithm for flood Hazard mapping in Beni Mellal (Morocco). The dataset was derived from preprocessed and standardized Sentinel-2 and Landsat 8 images, a Digital Elevation Model, and geological and soil maps. A flood inventory map was produced, it was then divided into training and testing subsets in the ratio of 70:30 for model calibration and validation, respectively. The FR method highlights key geographical variables such as slope, proximity to rivers, and vegetation indices to deliver rapid, interpretable flood risk assessments. In contrast, XGBoost captures complex, nonlinear relationships by integrating natural and anthropogenic factors for precise risk mapping. The results indicate that while FR is efficient for preliminary assessments in data-scarce environments, XGBoost significantly outperforms it in accuracy, reliability, and detailed hazard differentiation. XGBoost achieved an area under the curve (AUC) of 90.71% in testing datasets compared to 86.1% for FR. Flood distribution analysis showed that FR identified 21.3% of the study area as low-risk and 11.3% as very high-risk, suitable for broad evaluations. XGBoost, however, mapped 73.0% as very low-risk and 12.0% as very high-risk, making it valuable for resource-efficient interventions. This study highlights the complementary strengths of both approaches and advocates for integrating FR’s rapid insights with XGBoost’s precision. Together, they provide a robust framework for comprehensive flood hazard management in semi-arid regions, balancing strategic planning with localized interventions. © 2025, Polskie Towarzystwo Inzynierii Ekologicznej (PTIE). All rights reserved.</t>
  </si>
  <si>
    <t>2-s2.0-85217494359"</t>
  </si>
  <si>
    <t>Cryosphere</t>
  </si>
  <si>
    <t>10.5194/tc-19-347-2025</t>
  </si>
  <si>
    <t>https://www.scopus.com/inward/record.uri?eid=2-s2.0-85217033089&amp;doi=10.5194%2ftc-19-347-2025&amp;partnerID=40&amp;md5=80f03a41223d38e019f769e618fd5e64</t>
  </si>
  <si>
    <t>The prospect of alarming levels of future sea level rise in response to the melting of the Antarctic and Greenland ice sheets affirms an urgency to better understand the dynamics of these retreating ice sheets. The history and dynamics of the ephemeral ice sheets of the Northern Hemisphere, such as the Fennoscandian Ice Sheet, reconstructed from glacial geomorphology, can thus serve as a useful analogue. The recent release of a 1 m lidar-derived national elevation model reveals an unprecedented record of the glacial geomorphology in Sweden. This study aims to offer new insights and precision regarding ice retreat in the Torneträsk region of northwestern Sweden and the influence of ice-dammed lakes and faulting on the dynamics of the ice sheet margin during deglaciation. Using an inversion model, mapped glacial landforms are ordered in swarms representing spatially and temporally coherent ice sheet flow systems. Ice-dammed lake traces such as raised shorelines, perched deltas, spillways, and outlet channels are particularly useful for pinpointing precise locations of ice margins. A strong topographic control on retreat patterns is evident, from ice sheet disintegration into separate lobes in the mountains to orderly retreat in low-relief areas. Eight ice-dammed lake stages are outlined for the Torneträsk Basin, the lowest of which yields lake extents more extensive than previously identified. The three youngest stages released a total of 26 km3 of meltwater as glacial lake outburst floods (GLOFs) through Tornedalen, changing the valley morphology and depositing thick deltaic sequences in Ancylus Lake at its highest postglacial shoreline at around 10 ka cal BP. The Pärvie Fault, the longest-known glacially induced fault in Sweden, offsets the six oldest lake stages in the Torneträsk Basin. Cross-cutting relationships between glacial landforms and fault scarp segments are indicative of the Pärvie Fault rupturing multiple times during the last deglaciation. Precise dating of the two bracketing raised shorelines or the ages of the corresponding GLOF sediments would pinpoint the age of this rupture of the Pärvie Fault. Collectively, this study provides data for better understanding the history and dynamics of the Fennoscandian Ice Sheet during final retreat, such as interactions with ice-dammed lakes and reactivation of faults through glacially induced stress. © 2025 Karlijn Ploeg.</t>
  </si>
  <si>
    <t>2-s2.0-85217033089"</t>
  </si>
  <si>
    <t>Fractals</t>
  </si>
  <si>
    <t>10.1142/S0218348X25500021</t>
  </si>
  <si>
    <t>https://www.scopus.com/inward/record.uri?eid=2-s2.0-85212544894&amp;doi=10.1142%2fS0218348X25500021&amp;partnerID=40&amp;md5=80489feeb747f7efa7466e1ff3146c5f</t>
  </si>
  <si>
    <t>The extremely low porosity and permeability in tight reservoirs make diffusion effects significant and non-negligible. Accurately estimating diffusion coefficients is critical for predicting CO2-enhanced oil recovery and CO2 storage (CCUS-EOR) in such reservoirs. However, predicting effective vapor-liquid phase diffusion in porous media and incorporating it into large-scale compositional simulations remains a major challenge. This study combines fractal theory with Fick and Maxwell-Stefan diffusion frameworks, proposing a simplified fractal diffusion model that incorporates fractal parameters and porosity to better characterize CO2 and in situ oil diffusion in heterogeneous tight reservoirs. Numerical models were developed using MATLAB to simulate both immiscible and miscible CO2 flooding within multiphase, multicomponent flow equations while considering diffusion effects. The results reveal that diffusion significantly increases the area influenced by CO2 and improves the uniformity of CO2 concentration along the flow path. Confined phase behavior in micro- and nanopores enhances diffusion, increasing CO2 mole fractions in displacement zones. In immiscible flooding, CO2 extraction of lighter oil components results in higher residual oil density compared to models that neglect diffusion. This fractal-based model for heterogeneous effective diffusion, combined with insights into the role of diffusion in CO2 flooding in tight reservoirs, offers important implications for developing more effective CCUS-EOR strategies.  © 2025 World Scientific Publishing Company.</t>
  </si>
  <si>
    <t>2-s2.0-85212544894"</t>
  </si>
  <si>
    <t>10.3390/ijgi14010030</t>
  </si>
  <si>
    <t>https://www.scopus.com/inward/record.uri?eid=2-s2.0-85215671988&amp;doi=10.3390%2fijgi14010030&amp;partnerID=40&amp;md5=17d09bfa0ee3f0a95e01e53594a538bf</t>
  </si>
  <si>
    <t>Riverine coastal megacities, particularly in semi-arid South Asian regions, face escalating environmental challenges due to rapid urbanization and climate change. While previous studies have examined urban growth patterns or environmental impacts independently, there remains a critical gap in understanding the integrated impacts of land use/land cover (LULC) changes on both ecosystem vulnerability and sustainable development achievements. This study addresses this gap through an innovative integration of multitemporal Landsat imagery (5, 7, and 8), SRTM-DEM, historical land use maps, and population data using the MOLUSCE plugin with cellular automata–artificial neural networks (CA-ANN) modelling to monitor LULC changes over three decades (1990–2020) and project future changes for 2025, 2030, and 2035, supporting the Sustainable Development Goals (SDGs) in Karachi, southern Pakistan, one of the world’s most populous megacities. The framework integrates LULC analysis with SDG metrics, achieving an overall accuracy greater than 97%, with user and producer accuracies above 77% and a Kappa coefficient approaching 1, demonstrating a high level of agreement. Results revealed significant urban expansion from 13.4% to 23.7% of the total area between 1990 and 2020, with concurrent reductions in vegetation cover, water bodies, and wetlands. Erosion along the riverbank has caused the Malir River’s area to decrease from 17.19 to 5.07 km2 by 2020, highlighting a key factor contributing to urban flooding during the monsoon season. Flood risk projections indicate that urbanized areas will be most affected, with 66.65% potentially inundated by 2035. This study’s innovative contribution lies in quantifying SDG achievements, showing varied progress: 26% for SDG 9 (Industry, Innovation, and Infrastructure), 18% for SDG 11 (Sustainable Cities and Communities), 13% for SDG 13 (Climate Action), and 16% for SDG 8 (Decent Work and Economic Growth). However, declining vegetation cover and water bodies pose challenges for SDG 15 (Life on Land) and SDG 6 (Clean Water and Sanitation), with 16% and 11%, respectively. This integrated approach provides valuable insights for urban planners, offering a novel framework for adaptive urban planning strategies and advancing sustainable practices in similar stressed megacity regions. © 2025 by the authors.</t>
  </si>
  <si>
    <t>2-s2.0-85215671988"</t>
  </si>
  <si>
    <t>Geodesy and Geodynamics</t>
  </si>
  <si>
    <t>10.1016/j.geog.2024.12.006</t>
  </si>
  <si>
    <t>https://www.scopus.com/inward/record.uri?eid=2-s2.0-85219021087&amp;doi=10.1016%2fj.geog.2024.12.006&amp;partnerID=40&amp;md5=ba2d750e6434e1e762f85997103f2b15</t>
  </si>
  <si>
    <t>The weather in Australia is significantly influenced by water vapor evaporated from warm ocean surfaces, which is closely associated with various extreme weather events in the region, such as floods, droughts, and bushfires. This study utilizes Precipitable Water Vapor (PWV) data from 15 Global Navigation Satellite System (GNSS) stations spanning 2010 to 2019 to investigate the spatiotemporal distribution of atmospheric water vapor across Australia, aiming to improve the accuracy of forecasting hazardous weather events. The results indicate distinct regional features in the spatial distribution of PWV. PWV gradually decreases from coastal areas toward inland regions and increases from south to north. Temporally, the overall trend of PWV remains consistent. From an annual trend perspective, most areas exhibit a decline in PWV content, with the exception of the southwestern coastal region, which shows an increasing trend. Furthermore, the study explores the correlations between PWV content and elevation, latitude, and longitude. Among these, latitude demonstrates the strongest correlation with PWV, with a correlation coefficient as high as 0.88, highlighting the significant impact of latitude on water vapor distribution. © 2025 Editorial office of Geodesy and Geodynamics</t>
  </si>
  <si>
    <t>2-s2.0-85219021087"</t>
  </si>
  <si>
    <t>Data in Brief</t>
  </si>
  <si>
    <t>10.1016/j.dib.2024.111210</t>
  </si>
  <si>
    <t>https://www.scopus.com/inward/record.uri?eid=2-s2.0-85212395617&amp;doi=10.1016%2fj.dib.2024.111210&amp;partnerID=40&amp;md5=207cc38e69d707d97906bfefb0e16715</t>
  </si>
  <si>
    <t>An open-source geodatabase and its associate WebGIS platform (CONNECTOSED) were developed to collect and utilize data for the Sediment Flow Connectivity Index (SfCI) for the Apulia region of southern Italy. Maps depicting sediment mobility and connectivity across the hydrographic basins of the Apulia region were generated and stored in the geodatabase. This geodatabase is organized into folders containing data in TIFF, shapefile, Jpeg and Pdf formats, including input variables (digital elevation model, land cover map, rainfall map, and soil units dataset for each hydrographic basin), classification graphs (ranking of variable values), dimensionless index maps (slope, ruggedness, rainfall, land cover, and soil stability) and key products (maps of sediment mobility, SfCI, and applied SfCI). The geodatabase maintains the mapping methodology underlying the SfCI algorithm by integrating various Earth datasets from multiple sources through ArcMap™, QGIS® and Matlab® software. This approach aligns surface characteristics with driving forces to describe the spatial variability of sediment pathways and identify hotspot areas. The availability of both input and processed data enables the computation and continuous updating of this applied geomorphological indicator, which is useful for assessing susceptibility to rapid Earth surface changes related to multi-hazard exposure. The geodatabase and the CONNECTOSED platform are valuable tools for researchers and stakeholders involved in land monitoring. The geodatabase and the CONNECTOSED platform are essential tools for researchers, policymakers, and stakeholders involved in land monitoring and environmental management. These tools provide open access to extensive datasets and detailed descriptions of surface dynamics, establishing connections between the causes and effects of extreme phenomena, such as floods, landslides, fires, soil pollution. This integration allows users to combine various forms of environmental data, a capability that is vital for enhancing scientific knowledge, supporting the development of insights, and fostering more informed, evidence-based decision-making in land use planning, conservation efforts, and sustainability initiatives. © 2024 The Author(s)</t>
  </si>
  <si>
    <t>2-s2.0-85212395617"</t>
  </si>
  <si>
    <t>10.1002/gj.5084</t>
  </si>
  <si>
    <t>https://www.scopus.com/inward/record.uri?eid=2-s2.0-85209718294&amp;doi=10.1002%2fgj.5084&amp;partnerID=40&amp;md5=518ce083252d70a712de08aef34d38d3</t>
  </si>
  <si>
    <t>The Anambra Basin of Nigeria, part of the larger West and Central African Rift System (WCARS) across Africa, contains primarily Cretaceous to Palaeocene shallow to marginal marine and freshwater sedimentary deposits. The organic-rich deposits of the Cretaceous Nkporo and Mamu formations within the Anambra Basin and the Palaeocene Imo Formation of the Niger Delta Basin constitute important conventional source rocks. Despite its economic significance, research on organic matter characterisation, palynofacies, sea-level fluctuations, palaeoclimate, hydrogeography, basin restriction, palaeobathymetry and the factors controlling organic matter preservation remains largely undocumented. The here presented new inorganic and organic geochemical and organic petrography data of the Cretaceous to Palaeocene deposits serve to refine the regional interpretation at a basinal scale and within the supra-regional context of the WCARS. Geochemical palaeotemperature proxies suggest a warm and humid tropical palaeoclimate during the Late Cretaceous within the study area. Furthermore, the measured TOC values indicate poor to very good organic content. Palynofacies analysis revealed high abundances of opaque and translucent phytoclasts and low amounts of palynomorphs with negligible amorphous organic matter (AOM) in the studied mudrocks. Two palynofacies groups suggest shallow-marine conditions in a proximal shelf setting and a heterolithic oxic basin. The palynofacies of the upper Imo Formation reveal higher percentages of dinoflagellate cysts during the early highstand phase, with equidimensional, opaque phytoclasts representing the maximum flooding phase, accompanied by warmer conditions. Additionally, abundant terrestrial phytoclasts, Deltoidospora spp., Classopollis spp. and geochemical indicators collectively indicate warm tropical climatic conditions consistent with geochemical interpretations. The palaeobathymetry reconstructions suggest a shallow seaway during the Upper Cretaceous in the Anambra Basin. © 2024 The Author(s). Geological Journal published by John Wiley &amp; Sons Ltd.</t>
  </si>
  <si>
    <t>2-s2.0-85209718294"</t>
  </si>
  <si>
    <t>Journal of the Royal Society of New Zealand</t>
  </si>
  <si>
    <t>10.1080/03036758.2023.2258802</t>
  </si>
  <si>
    <t>https://www.scopus.com/inward/record.uri?eid=2-s2.0-85173942975&amp;doi=10.1080%2f03036758.2023.2258802&amp;partnerID=40&amp;md5=ecf3bffd3f0120e4868870deab456c0a</t>
  </si>
  <si>
    <t>As in many places, heritage narratives in Ōtautahi Christchurch remain focused on colonial times. To expand these narratives, we examined three subfossil mataī (Prumnopitys taxifolia) excavated along a 700 m arc during residential subdivision earthworks. Characterisation used δ 15N, radiocarbon, and ring width measurements. Conventional (uncalibrated) radiocarbon ages were 1222 BP (calibrated median 856 CE), 932 BP (1148 CE) and 545 BP (1425 CE). Mean δ 15N values of +1.0 ± 1.1‰ (±SD) were similar to nearby alluvial forest remnants, with no discernible change through the 550-year sampling interval. Ring widths in three trees from the 545 BP site were 0.58 ± 0.12 mm, half that of present day mataī from humid West Coast forests at a similar latitude. The 545 BP site included a burnt stump, and stumps with longhorn beetle (Cerambycidae) larval galleries that occur only in already dead trees. We conclude that the forest was slow growing and mesotrophic but dynamic due to periodic flooding, ending with fire around 1430 CE and inundation of the dead standing forest years or decades later. We are now using traditional and social media and artists to disseminate the narrative of a former mataī forest ‘beneath our feet’ through schools, community groups, and in public facilities. © 2023 The Royal Society of New Zealand.</t>
  </si>
  <si>
    <t>2-s2.0-85173942975"</t>
  </si>
  <si>
    <t>10.1016/j.earscirev.2024.104993</t>
  </si>
  <si>
    <t>https://www.scopus.com/inward/record.uri?eid=2-s2.0-85210018533&amp;doi=10.1016%2fj.earscirev.2024.104993&amp;partnerID=40&amp;md5=2731646ca93311cde0bbed12c91ddcdf</t>
  </si>
  <si>
    <t>Viscous compression, the delayed slow compression of soils after loading, has emerged as a challenging process contributing to land subsidence in soft soil areas. Despite previous research on clay soils, there is still limited understanding of the processes and mechanisms of viscous compression of organic soils. As peat is more susceptible to viscous compression than clay, and the subsurface of subsiding deltas can contain substantial bodies of peat, understanding of processes, mechanisms and drivers is needed to predict the potential for and amount of viscous compression to occur and assess the effect of mitigation measures to delta subsidence. This study integrates findings from prior research on viscous compression behaviour of clay for a comprehensive comparison of the structural, geomechanical, chemical, and biological characteristics of clay and peat, to evaluate to what extent compression mechanisms in clay operate in a similar way in peat. The study focuses on mechanisms of viscous clay compression, which are: expulsion of micropore water, changes in the adsorbed water layer, and particle interactions. Our review establishes that these mechanisms also manifest in peat, albeit with varying contributions to the reorientation of peat fibres. Notably, the distinct pore structure and larger average pore diameters of peat result in water expulsion behaviour that is different from clay. Additionally, the negative electrical charge on clay mineral surfaces is stronger than that of peat fibre surfaces, influencing attraction or repulsion forces among particles and the adsorbed water. This study introduces decomposition of organic matter as an additional long-term control of subsidence. Decomposition weakens the peat structure and facilitates particle reorientation, which enhances the susceptibility to compression. On the other hand, when organic material is already decomposed, it shows lower compressibility compared to fibrous organic material. © 2024 The Authors</t>
  </si>
  <si>
    <t>2-s2.0-85210018533"</t>
  </si>
  <si>
    <t>Simulation</t>
  </si>
  <si>
    <t>10.1177/00375497231156455</t>
  </si>
  <si>
    <t>https://www.scopus.com/inward/record.uri?eid=2-s2.0-85205865632&amp;doi=10.1177%2f00375497231156455&amp;partnerID=40&amp;md5=fa75ed45c51321b3f138fc775fcc3842</t>
  </si>
  <si>
    <t>In this paper, it was considered a numerical simulation of the water surface movement during the partial collapse of the destruction of a dam with complex terrain. The numerical simulations took into account debris after a partial collapse of the dam, which imitates debris and moves downstream with the water flow. Carrying out these calculations brings the results closer to the real scenario. The mathematical model was based on the Navier–Stokes equations and uses the turbulent large eddy method (LES) model describing the flow of an incompressible viscous fluid. To describe the movement of a two-phase fluid, the volume of fluid (VOF) methods for the phase were used, and the Discrete Phase Model (DPM) and Macroscopic Particle Model (MPM) were used to describe the movement of particles. For the numerical solution of this system of equations, the Pressure Implicit Split Operator (PISO) numerical algorithm was chosen. The results show that the model is accurate and capable of handling very complex interactions such as particle transport or hydrodynamic actions on structures if the appropriate scales are reproduced. Also in this work, a three-dimensional (3D) model of the flow of a dam break on uneven terrain was considered and combined problems were performed that are closer to real conditions. For combined problems, flood zones and flood times were determined, knowledge of which will help evacuate people from dangerous areas. The accuracy of the 3D model and the selected numerical algorithm were verified using two natural measurements. © The Author(s) 2024.</t>
  </si>
  <si>
    <t>2-s2.0-85205865632"</t>
  </si>
  <si>
    <t>10.1016/j.envsci.2024.103963</t>
  </si>
  <si>
    <t>https://www.scopus.com/inward/record.uri?eid=2-s2.0-85210541740&amp;doi=10.1016%2fj.envsci.2024.103963&amp;partnerID=40&amp;md5=b802ea0f1a751981598206e1b9308547</t>
  </si>
  <si>
    <t>Coastal communities in the Global South face significant challenges due to urbanization, population growth, and climate change-induced sea level rise. This paper contributes to the study of community adaptation in these contexts by emphasizing the critical role of community leaders in developing, maintaining, and activating community adaptive capacity. Drawing on quantitative data from a household survey and qualitative interviews with community leaders in Semarang, Indonesia, this study identifies and empirically analyzes previously overlooked linkages between community leadership and adaptive capacity. Our key findings demonstrate that effective leadership significantly impacts community adaptive capacity by building social capital, organizing collective action, accessing knowledge, managing communal funds, and representing community interests. Community leaders' influence stems from their network position as brokers and their ability to mobilize external resources and knowledge. Furthermore, we develop an empirically based framework of factors determining community leadership effectiveness, emphasizing the importance of social networks. Factors such as social capital, formal authority, influence, and legitimacy determine the scope of leaders’ actions and resources and are closely connected to the structure and dynamics of social networks. Our research contributes to the literature on community adaptive capacity by underlining the critical role of community leaders and social networks in enhancing community adaptation to natural hazards, with broader implications for coastal communities across the Global South. © 2024 The Authors</t>
  </si>
  <si>
    <t>2-s2.0-85210541740"</t>
  </si>
  <si>
    <t>Journal of Environmental and Earth Sciences</t>
  </si>
  <si>
    <t>10.30564/jees.v7i1.7355</t>
  </si>
  <si>
    <t>https://www.scopus.com/inward/record.uri?eid=2-s2.0-85210402928&amp;doi=10.30564%2fjees.v7i1.7355&amp;partnerID=40&amp;md5=025a0091c4e77b9bb8bae24a22901342</t>
  </si>
  <si>
    <t>In recent years, the water level in the Mekong Delta (MD) has undergone changes, attributed to the impacts of anthropogenic activities and climate change. Declining water levels have had implications for various aspects of life and aquatic ecosystems in the lower basin water bodies. Analyzing long-term trends in rainfall and water levels is crucial for enhancing our understanding. This study aims to examine the evolving patterns of water level and rainfall in the region. Data on water levels and rainfall from observation stations were gathered from the National Center for Hydrometeorological Forecasting, Vietnam, spanning from 2000 to 2014. The assessment of homogeneity and identification of trend changes were conducted using the Standard Normal Homogeneity Test (SNHT) and the Mann-Kendall test. The results indicate that changes in water levels at the Tan Chau and Chau Doc stations have been observed since 2010 due to the operation of flow-regulating structures in the upper Mekong River. Following the commencement of upstream dam operations, the water level at the headwater stations of the Mekong River has been higher than the long-term average during the dry season and lower than the average during the flood season. The study findings highlight the influence of altered rainfall patterns under the impact of climate variability (ICC) on water level trends in the study area. While rainfall plays a significant role in increasing water levels during the flood season, the operation of hydropower dams (UHDs) stands out as the primary factor driving water level reductions in the study area. Copyright © 2024 by the author(s).</t>
  </si>
  <si>
    <t>2-s2.0-85210402928"</t>
  </si>
  <si>
    <t>Hydrological Sciences Journal</t>
  </si>
  <si>
    <t>10.1080/02626667.2024.2421954</t>
  </si>
  <si>
    <t>https://www.scopus.com/inward/record.uri?eid=2-s2.0-85209576181&amp;doi=10.1080%2f02626667.2024.2421954&amp;partnerID=40&amp;md5=527bc2747ca11d4e7978f42955b23f96</t>
  </si>
  <si>
    <t>Feiyun River (Rui’an section) is a tidal reach, and the design water levels within different return periods are difficult to determine. Peaks-over-threshold (POT) analysis methods were used to study the water level maximums of the river section. The study results indicate that skew surges have a measurable impact on extreme water levels and are characterized by a sharp increase in wind speeds at the estuary, followed by a sudden decrease, leading to a significant storm surge event. When the return periods are 50, 100 and 200 years, the corresponding water levels of Feiyun River (Rui’an section) are 5.59, 6.04 and 6.49 m, respectively. The proportion of skew surges in extreme water levels increases with the return period length, and it exceeds 50% when the return period is 200 years. The calculation results based on skew surges are often more reasonable in long return periods. © 2024 IAHS.</t>
  </si>
  <si>
    <t>2-s2.0-85209576181"</t>
  </si>
  <si>
    <t>10.1007/s11069-024-06777-w</t>
  </si>
  <si>
    <t>https://www.scopus.com/inward/record.uri?eid=2-s2.0-85200415554&amp;doi=10.1007%2fs11069-024-06777-w&amp;partnerID=40&amp;md5=204875b3258caf74587831a66491a1d8</t>
  </si>
  <si>
    <t>Mauritius, an island nation in the Indian Ocean, has been experiencing, during the summer seasons, an increasing frequency and intensity of torrential rainfall events which have the potential to cause severe flooding. The flood problem is further intensified by the topography of the island and the location of most of the infrastructure within the flat plain surrounding the higher elevation regions. Despite the implementation of several flood mitigation measures by the government authorities, the situation remains a challenging one. In response, this study aimed at analysing the perception of communities towards the national flood measures and their efficiency and to identify those characteristics of the community which enable them to come up with adaptation measures. A field survey was conducted, taking a more holistic approach through a systematic screening, survey, focus groups discussions and data analysis. This research also focused on the adaptation to climate change from the point of view of different generations. The findings suggest that the engagement of the communities is a key element in adapting to flood events, and therefore, the governing bodies should consider this factor to enhance the coping capacity of communities, as climate-related disasters have now grown beyond the capacity of national authorities. This research provides insights for devising flood mitigation and management strategies that are inclusive of community perceptions and adaptation to climate change. © The Author(s), under exclusive licence to Springer Nature B.V. 2024.</t>
  </si>
  <si>
    <t>2-s2.0-85200415554"</t>
  </si>
  <si>
    <t>Journal of Applied Ecology</t>
  </si>
  <si>
    <t>10.1111/1365-2664.14827</t>
  </si>
  <si>
    <t>https://www.scopus.com/inward/record.uri?eid=2-s2.0-85208926452&amp;doi=10.1111%2f1365-2664.14827&amp;partnerID=40&amp;md5=032e2dd70d527daa03a80b56f4efb893</t>
  </si>
  <si>
    <t>Knowledge of the habitat requirements for migratory species throughout their full annual cycle is necessary for comprehensive species protection plans. By describing seasonal shifts of space-use patterns in a key nonbreeding area, the Senegal Delta (Mauritania, Senegal), this study addresses a significant knowledge gap in the annual cycle of the rapidly declining continental Black-tailed Godwit Limosa limosa limosa. We fitted continuous-time stochastic-process movement models with GPS location data to describe the core areas used by 22 GPS-tagged godwits over the 2022–2023 nonbreeding period. We mapped key habitat types, such as floodplain wetlands and rice fields, via supervised classification of satellite imagery. Godwits in the Senegal Delta show a distinct shift in habitat use over the nonbreeding period. The core areas of godwits in the early stages of the nonbreeding period (the wet season) were primarily in natural wetlands and fields with newly planted rice. As the rice crop matured and became too dense, godwits moved towards more recently sown rice fields. Later, as floodwaters receded and rice fields dried out, godwits abandoned rice fields and shifted towards natural wetlands with fewer invasive plants, particularly within the marshes and shallow floodplains of nature-protected areas in the lower Delta. Synthesis and applications: Our findings illustrate the shifting importance of natural and agricultural wetlands for godwits at different stages of the nonbreeding season. Protected areas in the Senegal Delta, particularly the Djoudj National Bird Sanctuary (Senegal) and Diawling National Park (Mauritania), are crucial habitats during the dry season as godwits prepare for their northward migration, whilst rice fields take a key role during the wet season. Conservation efforts should prioritize eradicating invasive plants from the Djoudj and Diawling, as well as promote agroecological management in specific rice production complexes indicated in this study. © 2024 The Author(s). Journal of Applied Ecology published by John Wiley &amp; Sons Ltd on behalf of British Ecological Society.</t>
  </si>
  <si>
    <t>2-s2.0-85208926452"</t>
  </si>
  <si>
    <t>10.1109/JSTARS.2024.3454976</t>
  </si>
  <si>
    <t>https://www.scopus.com/inward/record.uri?eid=2-s2.0-85203524788&amp;doi=10.1109%2fJSTARS.2024.3454976&amp;partnerID=40&amp;md5=578a8097ab22c1ac04992d6841c40e00</t>
  </si>
  <si>
    <t>Mangroves are crucial ecosystems with significant ecological and economic roles, providing habitat for diverse species, storm protection, and carbon sequestration. While many mangroves worldwide have faced substantial losses, China has seen notable recovery. Understanding the expansion patterns of mangroves necessitates high-resolution, large-scale monitoring of their coverage over time. In this study, we divided coastal zones based on geomorphic and sedimentary environments and generated annual mangrove coverage from 2016 to 2022 using multi-source high-resolution data and a U-Net model. By analyzing morphological changes of mangrove patches in different coastal zones of the Guangxi Beibu Gulf, we summarized expansion patterns and calculated expansion and degradation rates from area changes. Our findings reveal a 1,413 ha increase in mangrove area from 2016 to 2022. Estuarine mangroves experienced an initial increase followed by a decrease, while gulf mangroves showed an initial decrease followed by an increase. Three distinct expansion patterns were identified: (1) regular mangroves expanding parallel to coastlines</t>
  </si>
  <si>
    <t>10.1016/j.envsoft.2024.106213</t>
  </si>
  <si>
    <t>https://www.scopus.com/inward/record.uri?eid=2-s2.0-85204092625&amp;doi=10.1016%2fj.envsoft.2024.106213&amp;partnerID=40&amp;md5=12477fb1d40fa410e035fe56b5d9856b</t>
  </si>
  <si>
    <t>The rise in urban flooding events poses a threat to public safety, property, and economic stability. To prevent urban flooding and manage stormwater effectively, relying solely on engineering solutions is insufficient. Therefore, it is critical to implement non-engineering measures such as urban flood warnings and forecasting. This article reviews the characteristics of different urban flood models based on different hydrological and hydrodynamic principles and deep learning (DL). It highlights the limitations of coupled hydrological-hydrodynamic models in terms of timeliness. Additionally, it discusses research on the use of Numerical Simulation in hydrological early warning and forecasting. Compared to traditional hydrodynamic models that rely on physical mechanisms, models driven by DL methods can effectively and adaptively extract input-output relationships of complex systems. Subsequently, a summary of the current flood models is presented, followed by a discussion of future development trends and challenges. © 2024 Elsevier Ltd</t>
  </si>
  <si>
    <t>2-s2.0-85204092625"</t>
  </si>
  <si>
    <t>10.1016/j.jenvman.2024.123570</t>
  </si>
  <si>
    <t>https://www.scopus.com/inward/record.uri?eid=2-s2.0-85211067811&amp;doi=10.1016%2fj.jenvman.2024.123570&amp;partnerID=40&amp;md5=d633c2e032fd07e4c87e90fc44e84627</t>
  </si>
  <si>
    <t>The destructive and life-threatening nature of flood events calls for fast and accurate methods to predict dynamic flood behaviour. Data-driven surrogate models have been developed to quickly predict flood inundation, though their accuracy relies on the available flood information for model training and validation. Flood observations are rarely available at high spatial and temporal scales, and thus computationally expensive high-resolution hydrodynamic (high-fidelity) models are often used to generate training data through simulation of selected flood events. Given finite resources, only a limited number of events can be simulated using a high-fidelity model. However, there is no established approach for selecting representative and informative flood events to ensure that the surrogate model is robustly trained. In this study, a novel systematic approach for selecting flood events for the training of surrogate flood inundation models is introduced. The approach generates a large set of candidate events using a computationally efficient low-resolution hydrodynamic (low-fidelity) model and then selects training events based on the simulated spatial-temporal inundation depths of the candidate events. The approach is used to train surrogate models to predict flood inundation in three distinct case studies with different boundary conditions and topographies. The results show robust performance of the surrogate models developed with RMSE&lt;0.23 m when applied to new unseen events, which is similar to the accuracy achieved when using all available candidate events for training. This means the proposed training event selection approach reduces the computational costs of generating training data by up to 97% as fewer high-fidelity model simulations are needed, highlighting the computational advantage of the approach. Although this study focuses on surrogate models for the prediction of flood inundation dynamics, the new approach could easily be used for the development of surrogate models in other fields. © 2024 The Authors</t>
  </si>
  <si>
    <t>2-s2.0-85211067811"</t>
  </si>
  <si>
    <t>Ecological Engineering</t>
  </si>
  <si>
    <t>10.1016/j.ecoleng.2024.107429</t>
  </si>
  <si>
    <t>https://www.scopus.com/inward/record.uri?eid=2-s2.0-85207755099&amp;doi=10.1016%2fj.ecoleng.2024.107429&amp;partnerID=40&amp;md5=2689af1a2bd79b19749f754fad826f04</t>
  </si>
  <si>
    <t>Wetlands play an important role in cycling water resources, organic matter, water purification, and ecosystem conservation. Understanding flow regimes is essential for effective wetland management because it significantly influences wetland succession and circulation. This study aims to develop a methodology for quantifying flow regimes of the Jangdan Wetland (Imjin River) and the Binae Wetland (Namhan River). The study utilized water level duration curve (LDC) based on historical water level data from 2008 to 2023 for the Binae Wetland and from 2003 to 2023 for the Jangdan Wetland to analyze hydrological flow regimes. Flow regime diagrams describing the inundation characteristics over time, were then constructed using the LDC and the digital elevation models (DEM) of the wetlands. To understand the relationship between vegetation communities and hydrologic regime in the wetland, this study classified nine vegetation zones based on the tolerance of associated plant species to inundation (in weeks or months) reported for plant species in previous studies. The study revealed that the Jangdan Wetland were dry primarily on most days but experienced complete inundation during flooding events. In contrast, the Binae Wetlands were found to be frequently inundated, with approximately 40 % of the area experiencing regular flooding, while 20 % of the higher elevation areas were only inundated once every few years. © 2024</t>
  </si>
  <si>
    <t>2-s2.0-85207755099"</t>
  </si>
  <si>
    <t>10.1016/j.envsoft.2024.106226</t>
  </si>
  <si>
    <t>https://www.scopus.com/inward/record.uri?eid=2-s2.0-85204907236&amp;doi=10.1016%2fj.envsoft.2024.106226&amp;partnerID=40&amp;md5=3f69f45c1fd81728cdde9126ccd0090d</t>
  </si>
  <si>
    <t>The global increase in urban flooding presents a substantial challenge that affects communities across the globe. This study introduces a post-flood inundation modeling framework tailored to pluvial floods on a metropolitan scale. We employ a dual drainage modeling approach for enhanced accuracy. The framework comprises two primary components: a Storm Water Management Model (SWMM) for simulating water movement within the storm drain system, and an advanced DEM-based flood inundation module that leverages SWMM results to predict flood inundation areas. Compared to the conventional flood spreading models commonly used in dual drainage modeling, this module incorporates high-resolution DEM cells into the surface flow routing processes, allowing to capture intricate surface terrain complexities. Additionally, the proposed module considers direct rainfall impacts on pluvial flood inundation mapping, resulting in enhanced accuracy. To evaluate the proposed model's accuracy, a two-step validation approach has been implemented. This includes comparing the proposed model results with both the high water marks measured in the aftermath of Hurricane Harvey and the flood depth map generated by a hydrodynamic model. The findings affirm the effectiveness of our proposed framework for post-flood inundation mapping within metropolitan settings. This method provides a dependable approach to urban flood modeling and represents an advancement in addressing the challenges associated with urban flooding. © 2024</t>
  </si>
  <si>
    <t>2-s2.0-85204907236"</t>
  </si>
  <si>
    <t>10.1016/j.cities.2024.105513</t>
  </si>
  <si>
    <t>https://www.scopus.com/inward/record.uri?eid=2-s2.0-85208189018&amp;doi=10.1016%2fj.cities.2024.105513&amp;partnerID=40&amp;md5=01f2f650dc2f2b57fe45ff34937b632f</t>
  </si>
  <si>
    <t>With increasing frequency and severity, coastal cities are facing the effects of extreme weather events, such as sea-level rise, storm surges, hurricanes, and various types of flooding. Recent urban resilience scholarship suggests that responding to the cascading complexities of climate change requires an understanding of cities as social-ecological-technological systems, or SETS. Advances in data visualization, sensors, and analytics are making it possible for urban planners to gain more comprehensive views of cities. Yet, addressing climate complexity requires more than deploying the latest technologies</t>
  </si>
  <si>
    <t>10.1016/j.envsoft.2024.106225</t>
  </si>
  <si>
    <t>https://www.scopus.com/inward/record.uri?eid=2-s2.0-85205296767&amp;doi=10.1016%2fj.envsoft.2024.106225&amp;partnerID=40&amp;md5=91280c3fda6c7169f2c67e4a130bca97</t>
  </si>
  <si>
    <t>In this study, we developed a comprehensive hydrological modeling system to address the diverse needs of hydrologists and researchers. The system comprised nine modules, each serving a specific purpose. These modules include a multiplicative random cascade model, frequency analysis, inflow simulation, Hydrologic Engineering Center – 5, Hydrologic Engineering Center – River Analysis System, and farmland drainage simulations. The system follows a structured sequence within a large framework, beginning with user inputs for the initial condition information and period specifications for frequency analysis. It then calculates the time-disaggregated precipitation data utilizing the Dask distributed server for efficient computation. Subsequent module computations were conducted on dedicated mask workers. The Integrated Database serves as a comprehensive repository for simulation studies, encompassing historical precipitation data, shared socioeconomic pathways, climate change scenario data, and reservoir and farmland survey data. This system has been used in several studies and has provided cohesive and reliable results for flood simulations. © The Authors</t>
  </si>
  <si>
    <t>2-s2.0-85205296767"</t>
  </si>
  <si>
    <t>10.1007/s41748-024-00399-9</t>
  </si>
  <si>
    <t>https://www.scopus.com/inward/record.uri?eid=2-s2.0-85191970086&amp;doi=10.1007%2fs41748-024-00399-9&amp;partnerID=40&amp;md5=0fcfc738adc0d484c4517b227e2fd99f</t>
  </si>
  <si>
    <t>Bangladesh is extremely vulnerable to sea-level rise and other climate-induced extreme events, such as flooding, storm surge, and salinity intrusion. The south-western coastal region of Bangladesh is particularly vulnerable to salinity intrusion caused by cyclone induced storm surges and coastal floods. Salinity intrusion endanger land productivity by increasing both soil and surface water salinity. Detailed risk assessment using spatial mapping approach can contribute to mitigating the effects of salinity intrusion on natural capital and the environment. In this study, we established and evaluated a spatial multi-criteria approach for mapping the risk levels of areas to salinity intrusion impacts using field data and geospatial techniques at the local scale. We evaluated the viability of the proposed approach using Khulna District, a major coastal city and saline prone area in the south-western Bangladesh. We considered three risk components (i.e. vulnerability, exposure and hazard) with 16 relevant criteria for the study. For each criterion, an Analytical Hierarchy Process (AHP) was used to build and weight spatial raster map layers. Individual maps for each risk component were generated using a weighted sum technique, and lastly, a risk map was created by combining those. Our generated maps correctly identified relevant spatial dimensions as well as risk levels (i.e. very-high to very-low). The outcomes of our study suggest that the southern (east and west) parts of the study area are mostly susceptible to salinity intrusion due to higher storm surge impacts, lower elevation, and land use patterns than other parts. We validate our findings using a qualitative and quantitative approach. We believe that this novel approach would be useful to create risk maps that policymakers and relevant stakeholders could potentially use to evaluate risks posed by flood induced salinity intrusion in coastal regions of Bangladesh and elsewhere with similar geo-climatic context. © The Author(s) 2024.</t>
  </si>
  <si>
    <t>2-s2.0-85191970086"</t>
  </si>
  <si>
    <t>10.1016/j.envsci.2024.103943</t>
  </si>
  <si>
    <t>https://www.scopus.com/inward/record.uri?eid=2-s2.0-85208570408&amp;doi=10.1016%2fj.envsci.2024.103943&amp;partnerID=40&amp;md5=173157b9b23c1b93b1582feb6139d610</t>
  </si>
  <si>
    <t>The scientific field of coastal geoscience and engineering addresses crucial issues such as coastal evolution, the impacts of sea level rise, and effective coastal management. These concerns have become increasingly relevant in the current global scenario marked by socio-demographic development along coastal areas facing the effects of climate change. Furthermore, communication by scientists/engineers in this field can contribute to informed participatory decision-making. The objectives of this study were to gain insights into the science engagement of coastal geoscientists and engineers by examining international science communication practices, target audiences, motivations, and barriers. An online questionnaire directed at geoscientists/engineers was used to collect socio-demographic data and experts’ perspectives and practices on this communication. The analysis of 133 valid responses, primarily from Europe, North America, and Oceania, revealed that nearly all participants (95 %) actively engage in public communication. For most analysed aspects, differences in opinion according to gender, age, and professional category were not significant. A preference was observed for direct interaction with audiences (e.g., lectures) over indirect ways of communicating (e.g., media), with a focus on coastal risk (75 %) and climate change impacts (69 %). The public sector (e.g., municipalities) and school students were the preferred audiences. These findings align with the prevalent altruistic motives pointed out by respondents: to engage with society (76 %) and to help citizens make informed decisions (68 %). While the present research provides valuable insights, further studies are necessary to delve deeper into the analysis and further enhance our understanding of this important interconnection between coastal experts and society. © 2024 Elsevier Ltd</t>
  </si>
  <si>
    <t>2-s2.0-85208570408"</t>
  </si>
  <si>
    <t>10.1016/j.marpetgeo.2024.107090</t>
  </si>
  <si>
    <t>https://www.scopus.com/inward/record.uri?eid=2-s2.0-85203664470&amp;doi=10.1016%2fj.marpetgeo.2024.107090&amp;partnerID=40&amp;md5=17e2ae90cf741bdbff0a85b9556bc19b</t>
  </si>
  <si>
    <t>The Paleogene lacustrine delta–turbidite facies sandstones of the Third Member of the Shahejie Formation (Es3) in the Linnan Depression have abundant tight oil resources. Movable fluids can independently characterize reservoir fluid mobility and recovery efficiency, which are essential for accurate reservoir assessment and efficient development and evaluation of oil reservoirs. Systematic research on the distribution patterns and controlling factors of movable fluids in the tight sandstone reservoirs of the Linnan Depression is lacking. To address this gap, this study employs multi-gradient centrifugation combined with Nuclear Magnetic Resonance (NMR) to characterize fluid mobility and determine the lower limit of the movable fluid pore radius (LLMPR) in various lithofacies of lacustrine delta-turbidite facies sandstones. In conjunction with core descriptions, thin section observations, X-ray diffraction (XRD) analysis, gas permeability tests, and High-pressure mercury injection (HPMI) data, this research explicates the macroscopic impacts of depositional and diagenetic processes and the microscopic effects of pore structure on fluid movability. The study identifies four lithofacies (delta front facies massive siltstone (DFMS)、delta front facies laminated siltstone (DFLS)、slump turbidite facies siltstone (STS), and slump turbidite facies calcareous siltstone (STCS)) with corresponding pore structures and space types (I-micropores, II-micropores, mesopores, macropores). DFLS and DFMS feature well-developed primary intergranular and intragranular dissolution pores, high HPMI mercury intrusion saturation, and large average pore radius, primarily contributing to fluid mobility through mesopores and macropores with movable fluid saturation of 56.1% and 52.9%, respectively. In contrast, STS and STCS mainly comprise mesopores and micropores with lower movable fluid saturation of 33.5% and 27.5%, influenced by clay filling and carbonate cementation, resulting in poor connectivity. Macroscopically, better-sorted delta-front sand bodies develop connected pores within rigid quartz and feldspar particle frameworks, increasing the proportion of mesopores and macropores. Microscopically, reservoir properties, RQI, maximum invasion saturation, displacement pressure, and average pore radius significantly influence fluid movability. As centrifugal force increases, fluid output from pores slows, and the LLMPR decreases exponentially. At an optimal centrifugal force of 2.75 MPa, the LLMPR in the Linnan Depression is calculated to be 0.033 μm. Based on these insights, a fluid mobility model for lacustrine delta front-turbidite facies tight sandstones is established, identifying DFMS and DFLS as the optimal lithofacies for movable fluids. This study provides theoretical references for understanding and effectively developing deep tight sandstone reservoirs. © 2024 Elsevier Ltd</t>
  </si>
  <si>
    <t>2-s2.0-85203664470"</t>
  </si>
  <si>
    <t>Nature Reviews Earth and Environment</t>
  </si>
  <si>
    <t>10.1038/s43017-024-00610-5</t>
  </si>
  <si>
    <t>https://www.scopus.com/inward/record.uri?eid=2-s2.0-85208933929&amp;doi=10.1038%2fs43017-024-00610-5&amp;partnerID=40&amp;md5=4fce869c7b2a3b422b6657e2341339d3</t>
  </si>
  <si>
    <t>River deltas are susceptible to rapid and irreversible regime shifts in channel morphodynamics, estuarine turbidity and coastal wetland state. In this Review, we discuss the tipping mechanisms and self-reinforcing feedbacks underlying these regime shifts. The propensity for tipping in deltas can be increased by climate and land-use changes, based on projections from published data from 47 deltas worldwide. For example, sand mining, sediment retention behind barriers and increased floods under climate change have led to scour hole formation in the Rhine–Meuse Delta, river bank retreat in the Mekong Delta, and turbidity flushing in San Francisco Bay. Conversely, flood-prone areas with increased sediment influx caused by deforestation might be susceptible to avulsion. Resilience indicators based on observational data quantify the robustness of deltas to such regime shifts and could provide warnings when action should be taken to avoid degradation or yield insight into ways to promote back-tipping. However, resilience indicators alone are insufficient to identify the exact tipping point. Dynamical systems theory could provide a helpful framework to analyse tipping dynamics, but to apply this approach to real-world data, improvements in mathematical models of tipping points will be needed alongside an increase in continuous measurements of river deltas. © Springer Nature Limited 2024.</t>
  </si>
  <si>
    <t>2-s2.0-85208933929"</t>
  </si>
  <si>
    <t>10.1016/j.ejrh.2024.102049</t>
  </si>
  <si>
    <t>https://www.scopus.com/inward/record.uri?eid=2-s2.0-85208032216&amp;doi=10.1016%2fj.ejrh.2024.102049&amp;partnerID=40&amp;md5=4e715002e8eac2a57a02cb10e80836c2</t>
  </si>
  <si>
    <t>Study region: A typical estuarine delta of Gan−Xiu River within Poyang Lake watershed, situated in the north of Jiangxi Province, China Study focus: Although groundwater is considered as a crucial water resource for social development and public health, it presents significant challenges in preventing the deterioration of groundwater quality in the seasonal floodplain regions. Hence, this study focuses on the spatiotemporal variations of ionic concentrations of shallow groundwater in an estuarine delta of Gan-Xiu River in Poyang Lake watershed, which is greatly complicated by complex hydrological regimes and intensive anthropogenic activities such as cropland fertilizer. The potential factors controlling the ionic concentrations were identified using self-organizing map clustering and Piper diagram approaches. Moreover, the overall water quality of shallow groundwater was assessed according to the ionic compositions. New hydrological insights for the region: (1) Shallow groundwater chemistry was influenced by weathering silicate and carbonate from ionic and Gibbs plots, which is highly associated with the distribution of the carbonate rock fissure-karst aquifer in the study region. (2) The contribution of groundwater to river water varied from 53.2 % to 71.5 % via isotopic analysis, suggesting that groundwater dominate the component of river water. (3) Most samples from cluster types are suitable for drinking and irrigation use except for sites from Cluster 6, which were characterized by the higher concentrations of Cl−, NO3− and SO42−. © 2024 The Authors</t>
  </si>
  <si>
    <t>2-s2.0-85208032216"</t>
  </si>
  <si>
    <t>Visnyk of V. N. Karazin Kharkiv National University, series 'Geology. Geography. Ecology'</t>
  </si>
  <si>
    <t>10.26565/2410-7360-2024-61-22</t>
  </si>
  <si>
    <t>https://www.scopus.com/inward/record.uri?eid=2-s2.0-85217710384&amp;doi=10.26565%2f2410-7360-2024-61-22&amp;partnerID=40&amp;md5=79b7572792f71d071f4a4557c122d83a</t>
  </si>
  <si>
    <t>Introduction. This article explores the potential for saline water from the Dniester Estuary to travel upstream into the mouth of the Dniester River, a critical area where the “Dniester” station supplies potable water to Odesa City and where the intake point of the Lower Dniester Irrigation System is located. The study is urgent due to the risk that saline water poses to the quality of drinking and irrigation water at these intake points. The primary objective of this research was to utilize hydrodynamic modeling to determine the specific hydro-meteorological conditions under which saline, transformed sea water from the estuary could penetrate the mouth of the Dniester River. Material and methods. To address this task, a simplified version (without considering the thermal factor) of the numerical 3-D non-stationary hydrodynamic model MECCA (Model for Estuarine and Coastal Circulation Assessment), supplemented with a block for the transport of a conservative tracer, was used. The input data for the model included observations of wind condition variability and corresponding sea level fluctuations at the marine boundary of the Dniester Estuary, as well as observations of water level fluctuations in the mouth section of the Dniester River. Results and Discussion. The findings of the study identified two key conditions necessary for such an event: (1) a significant reduction in the average daily river discharge to below 100 m³/sec, and (2) the occurrence of a strong surge wind from the south or southeast at speeds exceeding 15 m/sec, sustained for several consecutive days. Under these conditions, transformed sea water from the estuary can travel upstream through the right arm of the river, the Glybokyi Turunchuk. From there, it reaches the point where the Dniester River divides into two arms. The saline water is then drawn into the left arm, the Dniester, and eventually returns to the estuary. This process represents a significant threat to the region’s freshwater resources, especially during periods of low river discharge and adverse wind conditions. The penetration of brackish estuarine waters into the Dniester River’s mouth branches, namely the Dniester and Hlybokyi Turunchuk branches, occurs over some time of 12 to 24 hours. It has been concluded that due to the presence of two mouth branches through which the Dniester River flows into the Dniester Estuary, considering their location in the northeastern part of the estuary and the characteristics of water level rises in the estuary during wind surges, the penetration of estuarine waters with increased salinity (up to 7 ‰) into the main channel of the Dniester River (above the point where the river splits into two mouth branches) is unlikely, even when river discharge falls below 100 m³/s. Conclusion. The case study presented in the article can serve as a valuable reference for experts tasked with designing hydro-engineering solutions. One proposed solution is the construction of a second estuarine canal (branch) to prevent the intrusion of transformed sea water into the river mouth, thereby safeguarding the quality of drinking and irrigation water in the region. © Tuchkovenkо Yurii, Loboda Nataliia, Ovcharuk Valeriya, 2024.</t>
  </si>
  <si>
    <t>2-s2.0-85217710384"</t>
  </si>
  <si>
    <t>10.1038/s43247-024-01707-x</t>
  </si>
  <si>
    <t>https://www.scopus.com/inward/record.uri?eid=2-s2.0-85205477311&amp;doi=10.1038%2fs43247-024-01707-x&amp;partnerID=40&amp;md5=499fbd10bde6a06a5c410e0eb69edaa7</t>
  </si>
  <si>
    <t>Tropical cyclone-induced storm surge is a major coastal risk, which will be further amplified by rising sea levels under global warming. Here, we present a computational efficient, globally applicable modeling approach in which ocean surge and coastal inundation dynamics are modeled in a single step by the open-source solver GeoClaw. We compare our approach to two state-of-the-art, globally applicable approaches: (i) using a static inundation model to translate coastal water level time series from a full-scale physical ocean dynamics into inundated areas, and (ii) a fully static approach directly mapping wind fields to inundation areas. For a global set of 71 storms, we compare the modeled flooded areas to satellite-based floodplain observations. We find that, overall, the models have only moderate skill in reproducing the observed floodplains. GeoClaw performs better than the two other modeling approaches that lack a process-based representation of inundation dynamics. The computational efficiency of the presented approach opens up new perspectives for global assessments of coastal risks from tropical cyclones. © The Author(s) 2024.</t>
  </si>
  <si>
    <t>2-s2.0-85205477311"</t>
  </si>
  <si>
    <t>10.1007/s11852-024-01075-w</t>
  </si>
  <si>
    <t>https://www.scopus.com/inward/record.uri?eid=2-s2.0-85206883395&amp;doi=10.1007%2fs11852-024-01075-w&amp;partnerID=40&amp;md5=18e26a3e28dcb5962ee868e6bb997310</t>
  </si>
  <si>
    <t>Global life-threatening weather conditions and sea level rise (SLR) increasingly impact coastal landforms and increase shoreline change. The island ecosystem is affected by many natural hazards, including flooding, saltwater intrusion, vegetation degradation, shoreline change and population growth. Simultaneously, urbanization and ecological diversification are also trigger the environmental degradation in island ecosystem. Remote sensing (RS) and GIS-based research are carried out at Djerba Island using decadal spatiotemporal Landsat datasets to identify and manage such problems. Landsat imageries are widely applied for landforms monitoring along with the ocean dynamics, therefore decadal landforms and environmental issues of Djerba Island are examined through 30 m medium resolution satellite imageries. The selected study years are 1984 to 2021 applying Landsat datasets. Between 37 years of analysis, build-up areas have increased by 105.18 km2, while sediment areas have decreased by 3.2 km2 due to the SLR in Borj El Kastil, Aghir, Plage, and Trou Deniaud locations. Vegetation increased around 17.59 km2 while bare lands decreased 47.28 km2 due to the palm, olive, and tree plantations over the Island. The entire area of Djerba Island observed 513.20 km2 (1984), 513.79 km2 (1991), 515.22 km2 (2001), 516.26 km2 (2011) and 513.42 km2 (2021) respectively. The Djerba Island needs more attention, awareness, and protection to reduce the environmental degradation. This study information is supportive and aimed at future policymaking, policy implementation, disaster-related management, coastal management, and coastal erosion reduction. © The Author(s), under exclusive licence to Springer Nature B.V. 2024.</t>
  </si>
  <si>
    <t>2-s2.0-85206883395"</t>
  </si>
  <si>
    <t>10.1002/hyp.70001</t>
  </si>
  <si>
    <t>https://www.scopus.com/inward/record.uri?eid=2-s2.0-85212096336&amp;doi=10.1002%2fhyp.70001&amp;partnerID=40&amp;md5=826ad356d125e0a2e4c60da29b10bd0e</t>
  </si>
  <si>
    <t>Aquatic vegetation is an important component of natural river ecosystem, usually growing in riverine, marsh, and coastal areas, interacting with water flow to form complex flow structure, which has an important impact on bank slope stability and flood discharge capacity of river channels. Four sets of indoor flume vegetation-flow experiments were conducted using a typical beach trough structure in the lower section of the Yangtze River. The compound channel was divided into the main channel, side slope and side beach zones, and simulated vegetation such as reeds, sedges and dwarf grass were used. The emphasis was on the hydrodynamic properties under semi-covered emergent rigid vegetation and semi-covered non-submerged rigid vegetation. In this study, the Shiono and Knight equation (SKM model) was used to elucidate the distribution characteristics of ‘the depth-averaged velocity Ud’ and ‘equivalent diameter D’ of vegetation in water gradient, and the Taylor method was used to demonstrate that the proposed ‘equivalent diameter D’ of vegetation has a certain level of accuracy within a reasonable threshold range. In addition, a new secondary flow model was proposed using a genetic algorithm that considers many hydraulic and vegetation parameters. Further, a new secondary flow model was proposed using a genetic algorithm that considers many hydraulic and vegetation parameters. Finally, ‘the depth-averaged velocity Ud’ of the compound channel was accurately predicted by combining the experimental data with the new SKM model. In this study, we investigated the water-blocking ability of gradient vegetation in river water. A method in which the secondary flow law and formula are difficult to determine was solved, which could provide technical support for the design of complex vegetated rivers and the evaluation of the flood discharge capacity of rivers. © 2024 John Wiley &amp; Sons Ltd.</t>
  </si>
  <si>
    <t>2-s2.0-85212096336"</t>
  </si>
  <si>
    <t>Ecological Modelling</t>
  </si>
  <si>
    <t>10.1016/j.ecolmodel.2024.110896</t>
  </si>
  <si>
    <t>https://www.scopus.com/inward/record.uri?eid=2-s2.0-85205147959&amp;doi=10.1016%2fj.ecolmodel.2024.110896&amp;partnerID=40&amp;md5=01be162bf561912f1a69c8114027d752</t>
  </si>
  <si>
    <t>The highly biodiverse, productive and vulnerable areas, such as coastal wetlands, are increasingly threatened by human-induced disturbances, resulting in habitat loss. This habitat loss is a critical driver of biodiversity decline and significantly impacts species distribution and behavior, increasing the risk of extinctions. To address these concerns, we developed a Species Distribution Model (SDM) using a decade-long dataset of waterbird functional group occurrences in the Ebro Delta, with a particular focus on the Ardeidae family, which represents the most prominent species in the wetland. This model aims to predict potential habitat loss under various climate change scenarios, specifically those outlined in the Intergovernmental Panel on Climate Change (IPCC) Representative Concentration Pathways (RCP) 4.5 and 8.5, across three distinct time periods. Our SDM revealed that habitat suitability for waterbirds was notably influenced by temperature variations, increased cumulative precipitation, and lower terrain elevation. Predictions indicate an increase in available habitat for these waterbird species over the study periods considering the specified climate scenarios. However, the incorporation of sea-level rise and flooded areas into the models unveiled a dramatic decline in available areas for waterbirds in the long-term, reaching up to 50 % (RCP 4.5) and 70 % (RCP 8.5) reduction. Our study highlights the urgent need for conservation efforts to mitigate the substantial reduction in available habitat for waterbirds. This need is especially crucial due to the Ebro Delta's importance as a vital coastal wetland for many thousands of waterbirds throughout their entire life cycle. Immediate and targeted conservation actions are imperative to safeguard the essential habitats for these species. © 2024 The Author(s)</t>
  </si>
  <si>
    <t>2-s2.0-85205147959"</t>
  </si>
  <si>
    <t>10.1016/j.nbsj.2024.100179</t>
  </si>
  <si>
    <t>https://www.scopus.com/inward/record.uri?eid=2-s2.0-85210298238&amp;doi=10.1016%2fj.nbsj.2024.100179&amp;partnerID=40&amp;md5=795a1fe0135b434b1d83af428bc2ce74</t>
  </si>
  <si>
    <t>Coastal nature-based solutions, such as living shorelines, are promoted as shoreline stabilization alternatives to hard infrastructure in the United States. In the state of Florida, where sea level rise and increasing storms impact coastal areas, living shorelines are a state research priority to support coastal risk reduction and resilience goals. However, while the ecological benefits of living shorelines are well-documented, few studies have examined the social and institutional factors that hinder or support the design and implementation of living shorelines in Florida. Our study applies an integrated framework combining results from expert interviews with a policy analysis to evaluate decision-making contexts and considerations related to living shorelines in Florida. We present barriers and enablers of living shorelines as perceived by practitioners and marine contractors. Key barriers to adoption of living shorelines include rule or permitting-related mismatches, community-level use and access concerns, and environmental design uncertainties. Enablers include community-level education and incentives, increased demonstration projects, and criteria or policy standardization for living shorelines. We then connect these barriers and enablers to policy priority patterns drawn from coastal management plans in select Florida counties. These policy priority patterns involve defining nature-based and hard solutions, addressing public and private access concerns, and resolving restoration and conservation goals when considering living shorelines as an appropriate coastline stabilization and protection measure. By connecting on-the-ground practical experiences with insights from coastal management policies, our study provides a socio-institutional methodology and contextual baseline for the planning and implementation of living shorelines in Florida and similar coastal areas. © 2024 The Authors</t>
  </si>
  <si>
    <t>2-s2.0-85210298238"</t>
  </si>
  <si>
    <t>10.1038/s41598-024-66956-4</t>
  </si>
  <si>
    <t>https://www.scopus.com/inward/record.uri?eid=2-s2.0-85198059236&amp;doi=10.1038%2fs41598-024-66956-4&amp;partnerID=40&amp;md5=c798a4e0f0557e068ff1b28a83102ac2</t>
  </si>
  <si>
    <t>Populations consuming saline drinking water are at greater risk of high blood pressure and potentially other adverse health outcomes. We modelled data and used available datasets to identify countries of higher vulnerability to future saltwater intrusion associated with climate change in 2050 under Representative Concentration Pathways (RCP)4.5 and RCP8.5. We developed three vulnerability criteria to capture geographies with: (1) any coastal areas with projected inland saltwater intrusion of ≥ 1 km inland, (2) &gt; 50% of the population in coastal secondary administrative areas with reliance on groundwater for drinking water, and 3) high national average sodium urinary excretion (i.e., &gt; 3 g/day). We identified 41 nations across all continents (except Antarctica) with ≥ 1 km of inland saltwater intrusion by 2050. Seven low- and middle-income countries of higher vulnerability were all concentrated in South/Southeast Asia. Based on these initial findings, future research should study geological nuances at the local level in higher-risk areas and co-produce with local communities contextually appropriate solutions to secure equitable access to clean drinking water. © The Author(s) 2024.</t>
  </si>
  <si>
    <t>2-s2.0-85198059236"</t>
  </si>
  <si>
    <t>Hydrogeology Journal</t>
  </si>
  <si>
    <t>10.1007/s10040-024-02828-5</t>
  </si>
  <si>
    <t>https://www.scopus.com/inward/record.uri?eid=2-s2.0-85210485398&amp;doi=10.1007%2fs10040-024-02828-5&amp;partnerID=40&amp;md5=09cd3b579d8bbd3897ce09564ee06e41</t>
  </si>
  <si>
    <t>The functionality of certain ecosystems depends on, or partially depends on, the presence of water under the ground or on its emergence to the surface. These ecosystems, referred to as groundwater-dependent ecosystems (GDEs), underpin national economies by sustaining essential goods such as fish, timber, and various nontimber products, as well as providing critical services such as water storage, purification, and flood control. Within GDEs, biotopes and biocenoses actively contribute to sustaining and improving human well-being by facilitating these vital conditions and processes. In water-scarce environments, groundwater assumes a central role at the nexus of integrated human, animal, and environmental health, known as the One Health concept. Considering the groundwater requirements of GDEs, it is then indispensable to practice sustainable water management, enabling sustainable development and shared prosperity. This paper seeks to enhance the comprehension of GDEs, enabling practical applications within the arid and semiarid regions of the Western and Central Sahel. Based on an exhaustive literature review and subsequently incorporating insights from interviews with researchers in the Sahel region, it proposes a typology for Sahelian GDEs. This typology, rooted in geomorphological, hydrological, and socioeconomic contexts, comprises four primary categories: inland surface-water ecosystems, coastal and marine ecosystems, oasis and spring ecosystems, and terrestrial vegetation ecosystems. It serves as a framework for identifying an initial set of 251 GDEs in the Sahel, addressing the challenge of limited available data in this geographic area. By integrating the socioeconomic dimension of GDEs, this work underscores the pivotal role of robust conservation policies within a developmental strategy. © The World Bank 2024.</t>
  </si>
  <si>
    <t>2-s2.0-85210485398"</t>
  </si>
  <si>
    <t>10.1016/j.ejrh.2024.101966</t>
  </si>
  <si>
    <t>https://www.scopus.com/inward/record.uri?eid=2-s2.0-85204558032&amp;doi=10.1016%2fj.ejrh.2024.101966&amp;partnerID=40&amp;md5=b5b77f6f1f041c96688f356b0a7b6dd9</t>
  </si>
  <si>
    <t>Study region: Poyang Lake, the largest freshwater floodplain lake in China. Study focus: Marshlands in a floodplain, as the typical natural wetland offering vital habitats for various organisms, are sensitive to environmental changes. The spatiotemporal changes of marshlands were investigated and their driving forces from both natural factors and human activities were discussed. The remote sensing image data from 1973 to 2022 was adopted to explore the long-term changes of marshlands exposed in dry season. New hydrological insights for the region: Over the past fifty years, the total area of marshlands in Poyang Lake is around 2540–2718 km2 and has undergone substantial changes. It follows the bell-shaped curve pattern with continuous rise since 1970s and reach the maximum at the end of 20 century and then fluctuating decline. Different evolutionary patterns were identified in different lake regions owing to the combination of human activities and natural processes. The expanding marshlands mainly concentrate in the central lake, while the significant losses of marshlands are observed in the northern lake（By sand mining and dyke constructions）. In the southern lake, sediment input from inflow rivers deposited naturally in the river mouth elevated the lake bed and lead to delta expansion（A 3.1 km expansion has been observed）. The complex geomorphological processes and fishery activities also create the dish-shaped internal sub-lakes in marshlands. © 2024</t>
  </si>
  <si>
    <t>2-s2.0-85204558032"</t>
  </si>
  <si>
    <t>10.1016/j.ocemod.2024.102447</t>
  </si>
  <si>
    <t>https://www.scopus.com/inward/record.uri?eid=2-s2.0-85206254883&amp;doi=10.1016%2fj.ocemod.2024.102447&amp;partnerID=40&amp;md5=c50b9798710859eca835f81d8f8b550a</t>
  </si>
  <si>
    <t>Hydrodynamic modeling for coastal flooding risk assessment is a highly relevant topic. Many operational tools available for this purpose use numerical techniques and implementation paradigms that reach their limits when confronted with modern requirements in terms of resolution and performances. In this work, we present a novel operational tool for coastal hazards predictions, currently employed by the BRGM agency (the French Geological Survey) to carry out its flooding hazard exposure studies and coastal risk prevention plans on International and French territories. The model, called UHAINA (wave in the Basque language), is based on an arbitrary high-order discontinuous Galerkin discretization of the nonlinear shallow water equations with SSP Runge–Kutta time stepping on unstructured triangular grids. It is built upon the finite element library AeroSol, which provides a modern C++ software architecture and high scalability, making it suitable for HPC applications. The paper provides a detailed development of the mathematical and numerical framework of the model, focusing on two key-ingredients: (i) a pragmatic P0 treatment of the solution in partially dry cells which guarantees efficiently well-balancedness, positivity and mass conservation at any polynomial order</t>
  </si>
  <si>
    <t>10.1038/s41598-024-65081-6</t>
  </si>
  <si>
    <t>https://www.scopus.com/inward/record.uri?eid=2-s2.0-85197705218&amp;doi=10.1038%2fs41598-024-65081-6&amp;partnerID=40&amp;md5=562b120520ac18fe98a9b4cac0bb3bdc</t>
  </si>
  <si>
    <t>Accelerated warming since the 1950s has caused dramatic change to ice shelves and outlet glaciers on the Antarctic Peninsula. Long observational records of ice loss in Antarctica are rare but essential to accurately inform mass balance estimates of glaciers. Here, we use aerial images from 1968 to reveal glacier configurations in the Larsen B region. We use structure-from-motion photogrammetry to construct high-resolution (3.2 m at best) elevation models covering up to 91% of Jorum, Crane, Mapple, Melville and Flask Glaciers. The historical elevation models provide glacier geometries decades before the Larsen B Ice Shelf collapse in 2002, allowing the determination of pre-collapse and post-collapse elevation differences. Results confirm that these five tributary glaciers of the former Larsen B Ice Shelf were relatively stable between 1968 and 2001. However, the net surface elevation differences over grounded ice between 1968 and 2021 equate to 35.3 ± 1.2 Gt of ice loss related to dynamic changes after the ice shelf removal. Archived imagery is an underutilised resource in Antarctica and was crucial here to observe glacier geometry in high-resolution decades before significant changes to ice dynamics. © The Author(s) 2024.</t>
  </si>
  <si>
    <t>2-s2.0-85197705218"</t>
  </si>
  <si>
    <t>ACM Transactions on Graphics</t>
  </si>
  <si>
    <t>10.1145/3687771</t>
  </si>
  <si>
    <t>https://www.scopus.com/inward/record.uri?eid=2-s2.0-85209919176&amp;doi=10.1145%2f3687771&amp;partnerID=40&amp;md5=89efc45f3a739e78ca4035a642c50b54</t>
  </si>
  <si>
    <t>Generating personalized 3D avatars is crucial for AR/VR. However, recent text-to-3D methods that generate avatars for celebrities or fictional characters, struggle with everyday people. Methods for faithful reconstruction typically require full-body images in controlled settings. What if users could just upload their personal ""OOTD""(Outfit Of The Day) photo collection and get a faithful avatar in return? The challenge is that such casual photo collections contain diverse poses, challenging viewpoints, cropped views, and occlusion (albeit with a consistent outfit, accessories and hairstyle). We address this novel ""Album2Human""task by developing PuzzleAvatar, a novel model that generates a faithful 3D avatar (in a canonical pose) from a personal OOTD album, bypassing the challenging estimation of body and camera pose. To this end, we fine-tune a foundational vision-language model (VLM) on such photos, encoding the appearance, identity, garments, hairstyles, and accessories of a person into separate learned tokens, instilling these cues into the VLM. In effect, we exploit the learned tokens as ""puzzle pieces""from which we assemble a faithful, personalized 3D avatar. Importantly, we can customize avatars by simply inter-changing tokens. As a benchmark for this new task, we create a new dataset, called PuzzleIOI, with 41 subjects in a total of nearly 1k OOTD configurations, in challenging partial photos with paired ground-truth 3D bodies. Evaluation shows that PuzzleAvatar not only has high reconstruction accuracy, outperforming TeCH and MVDreamBooth, but also a unique scalability to album photos, and demonstrating strong robustness. Our code and data are publicly available for research purpose at puzzleavatar.is.tue.mpg.de.  © 2024 Copyright held by the owner/author(s).</t>
  </si>
  <si>
    <t>2-s2.0-85209919176"</t>
  </si>
  <si>
    <t>10.1016/j.jhydrol.2024.132239</t>
  </si>
  <si>
    <t>https://www.scopus.com/inward/record.uri?eid=2-s2.0-85208134495&amp;doi=10.1016%2fj.jhydrol.2024.132239&amp;partnerID=40&amp;md5=5108bdfcbaefb8ddcd1fdedca7d3d345</t>
  </si>
  <si>
    <t>One-dimensional (1D) drainage models coupled with two-dimensional (2D) surface models have been recognised as most suitable for simulating pluvial floods in urban areas. However, discrepancies between the 1D drainage network and the 2D Digital Terrain Model (DTM) surface elevation datasets are often observed. These incompatibilities are commonly adjusted manually, impacting the transparency and reproducibility of flood modelling results. No automated and reproducible methods are currently available to ensure compatibility and consistency between a 1D drainage network and the 2D DTM elevation dataset. We present two methods for automatically correcting these discrepancies: Method 1, which corrects the discrepancies by editing the 1D drainage network, and Method 2, which corrects the discrepancies by editing the elevation of the 2D surface. Both methods ensure 1D–2D data compatibility. The two methods were evaluated through hydraulic and hydrological simulations using a synthetic case study, demonstrating strong performance for both approaches. Additionally, we propose a procedure to guide practitioners and modellers in discerning between 1D data and 2D data errors and choosing which method to use. This procedure is demonstrated for a real case study. The two presented methodologies can improve the process of creating 1D-2D urban drainage models and their reproducibility. © 2024 The Authors</t>
  </si>
  <si>
    <t>2-s2.0-85208134495"</t>
  </si>
  <si>
    <t>10.1002/rra.4353</t>
  </si>
  <si>
    <t>https://www.scopus.com/inward/record.uri?eid=2-s2.0-85199259170&amp;doi=10.1002%2frra.4353&amp;partnerID=40&amp;md5=16fb90a605fd7f21d826940e7733c45b</t>
  </si>
  <si>
    <t>Fluvial hazards of river mobility and flooding are often problematic for road infrastructure and need to be considered in the planning process. The extent of river and road infrastructure networks and their tendency to be close to each other creates a need to be able to identify the most dangerous areas quickly and cost-effectively. In this study, we propose a novel methodology using random forest (RF) machine learning methods to provide easily interpretable fine-scale fluvial hazard predictions for large river systems. The tools developed provide predictions for three models: presence of flooding (PFM), presence of mobility (PMM) and type of erosion model (TEM, lateral migration, or incision) at reference points every 100 m along the fluvial network of three watersheds within the province of Quebec, Canada. The RF models use variables focused on river conditions and hydrogeomorphological processes such as confinement, sinuosity, and upstream slope. Training/validation data included field observations, results from hydraulic and erosion models, government infrastructure databases, and hydro- geomorphological assessments using 1-m DEM and satellite/historical imagery. A total of 1807 reference points were classified for flooding, 1542 for mobility, and 847 for the type of erosion out of the 11,452 reference points for the 1145 km of rivers included in the study. These were divided into training (75%) and validation (25%) datasets, with the training dataset used to train supervised RF models. The validation dataset indicated the models were capable of accurately predicting the potential for fluvial hazards to occur, with precision results for the three models ranging from 83% to 94% of points accurately predicted. The results of this study suggest that RF models are a cost-effective tool to quickly evaluate the potential for fluvial hazards to occur at the watershed scale. © 2024 The Author(s). River Research and Applications published by John Wiley &amp; Sons Ltd.</t>
  </si>
  <si>
    <t>2-s2.0-85199259170"</t>
  </si>
  <si>
    <t>10.1007/s11442-024-2301-4</t>
  </si>
  <si>
    <t>https://www.scopus.com/inward/record.uri?eid=2-s2.0-85211376238&amp;doi=10.1007%2fs11442-024-2301-4&amp;partnerID=40&amp;md5=e903e54befed96df05534a64a7177f6a</t>
  </si>
  <si>
    <t>Mapping floods is crucial for effective disaster management. This study focuses on flood assessment in northern Morocco, specifically Tangier, Tetouan, and Larache. Due to the lack of a comprehensive flood inventory map, we used unsupervised learning techniques, such as K-means clustering and fuzzy logic algorithms, to predict flood-prone areas. We identified nine conditioning factors influencing flood risk: elevation, slope, aspect, plan curvature, profile curvature, land use, soil type, normalized difference vegetation index (NDVI), and topographic position index (TPI). Using Landsat-8 imagery and a Digital Elevation Model (DEM) within a Geographic Information System (GIS), we analyzed topographic and geo-environmental variables. K-means clustering achieved silhouette scores of 0.66 in Tangier and 0.70 in Tetouan, while the fuzzy logic method in Larache produced a Davies-Bouldin Index (DBI) score of 0.35. The maps classified flood risk levels into low, moderate, and high categories. This research demonstrates the integration of machine learning and remote sensing for predicting flood-prone areas without existing flood inventory maps. Our findings highlight the main factors contributing to flash floods and assess their impact, enhancing the understanding of flood dynamics and improving flood management strategies in vulnerable regions. © Science Press 2024.</t>
  </si>
  <si>
    <t>2-s2.0-85211376238"</t>
  </si>
  <si>
    <t>Geography and Natural Resources</t>
  </si>
  <si>
    <t>10.1134/S1875372824700586</t>
  </si>
  <si>
    <t>https://www.scopus.com/inward/record.uri?eid=2-s2.0-85217558577&amp;doi=10.1134%2fS1875372824700586&amp;partnerID=40&amp;md5=664c84a130f5c778956605266e2bcc17</t>
  </si>
  <si>
    <t>Abstract: This article discusses the theoretical and practical issues of hydroclimatic mapping. Hydroclimatic mapping is an important part of solving of environmental and water management problems, environmental management issues, and the adaptation of the population to climate change. Hydrological and climatic maps included in atlases of the Baikal region (Irkutsk Region: Ecological Conditions of Development (2004), Ecological Atlas of the Lake Baikal Basin (2015), and Baikal Region: Society and Nature (2021)) are presented. The authors consider the methodological approaches of hydroclimatic mapping. The limitations in using the traditional method of isolines are shown. The advantages of the basin method, landscape–hydroclimatic and structural–hydrographic approaches using zoning tools and along channel diagrams are substantiated. The article presents the methodology of flood-risk zoning, water protection, and recreational zoning of the Baikal coast and cartographic modeling of processes in the delta of the Selenga River. © Pleiades Publishing, Ltd. 2024.</t>
  </si>
  <si>
    <t>2-s2.0-85217558577"</t>
  </si>
  <si>
    <t>Computers and Geotechnics</t>
  </si>
  <si>
    <t>10.1016/j.compgeo.2024.106726</t>
  </si>
  <si>
    <t>https://www.scopus.com/inward/record.uri?eid=2-s2.0-85203406237&amp;doi=10.1016%2fj.compgeo.2024.106726&amp;partnerID=40&amp;md5=e7533c2b01245abc6798abe6fd111504</t>
  </si>
  <si>
    <t>Most of the land subsidence numerical models introduced in the literature are based on limiting assumptions, such as one-dimensional land movement, uncoupled formulations, and linear elasticity</t>
  </si>
  <si>
    <t>Landslides</t>
  </si>
  <si>
    <t>10.1007/s10346-024-02325-6</t>
  </si>
  <si>
    <t>https://www.scopus.com/inward/record.uri?eid=2-s2.0-85201568105&amp;doi=10.1007%2fs10346-024-02325-6&amp;partnerID=40&amp;md5=b8a6cfe887eddf827ef769890209da87</t>
  </si>
  <si>
    <t>Numerous open-pit mines are scattered within the southern mountainous areas of China. Due to the complex mountainous terrain and abundant rainfall, surface disturbances caused by open-pit mining activities pose a serious risk of landslides. To identify potential landslide hazards in mountainous open-pit mining areas in advance, this study proposes a quantitative method that utilizes ascending and descending orbit Interferometric Synthetic Aperture Radar (InSAR) technology to accurately identify landslide hazards. We select the Xiaolongtan coal mining area in Yunnan, China, as a case study. Small Baseline Subset InSAR (SBAS-InSAR) technology was employed to obtain the Line of Sight (LOS) deformation of ascending and descending orbits from November 2019 to November 2021. Following this, two-dimensional deformations were calculated based on the obtained LOS deformations. Multiple remote sensing data sources, including Advanced Spaceborne Thermal Emission and Reflection Radiometer Global Digital Elevation Model (ASTER GDEM) and Landsat 8 Operational Land Imager (OLI), were utilized to extract potential landslide points based on vertical deformation. A combined subjective and objective weighting method was then used to assess the landslide hazard in the study area, and an information quantity model was constructed for landslide hazards in the mining area. Finally, based on high-resolution remote sensing images from the study period, potential landslide hazards were identified in the study area. The results reveal that the vertical deformation rate in the mining area ranges from − 231.73 to 81.42 mm/year, indicating significant subsidence and uplift tendencies. A total of 2353 potential landslide points were identified, primarily located near the slopes of two open-pit mines and in areas with low vegetation coverage. The Xiaolongtan and Buzhaoba open-pit mines, along with the surrounding regions in the study area, were identified to exhibit relatively high landslide hazards. Among the three coal mine waste dumps, the Beipingba waste dump presents a higher landslide hazard. This study provides a scientific basis and practical reference for identifying landslide hazards in mountainous open-pit mining areas. © Springer-Verlag GmbH Germany, part of Springer Nature 2024.</t>
  </si>
  <si>
    <t>2-s2.0-85201568105"</t>
  </si>
  <si>
    <t>Journal of Advances in Modeling Earth Systems</t>
  </si>
  <si>
    <t>10.1029/2024MS004502</t>
  </si>
  <si>
    <t>https://www.scopus.com/inward/record.uri?eid=2-s2.0-85211249246&amp;doi=10.1029%2f2024MS004502&amp;partnerID=40&amp;md5=b8846d1d59328905b166c231caf22746</t>
  </si>
  <si>
    <t>This study showcases a global, heterogeneously coupled total water level system wherein salinity and temperature outputs from a coarser-resolution ((Formula presented.) 12 km) ocean general circulation model are used to calculate density-driven terms within a global, higher-resolution ((Formula presented.) 2.5 km) depth-averaged total water level model. We demonstrate that the inclusion of baroclinic forcing in the barotropic model requires modification of the internal wave drag term to prevent excess degradation of tidal results compared to the barotropic model. By scaling the internal tide dissipation by an easy to calculate dissipation ratio, the resulting heterogeneously coupled model has complex root mean square errors (RMSE) of 2.27 cm in the deep ocean and 12.16 cm in shallow waters for the (Formula presented.) tidal constituent. While this represents a 10%–20% deterioration as compared to the barotropic model, the improvements in total water level prediction more than offset this degradation. Global median RMSE compared to observations of total water levels, 30-day sea levels, and non-tidal residuals improve by 1.86 (18.5%), 2.55 (42.5%), and 0.36 (5.3%) cm respectively. The drastic improvement in model performance highlights the importance of including density-driven effects within global hydrodynamic models and will help to improve the results of both hindcasts and forecasts in modeling extreme and nuisance flooding. With only an 11% increase in model run time compared to the fully barotropic total water level model, this approach paves the way for high resolution coastal water level and flood models to be used alongside climate models, improving operational forecasting of total water levels. © 2024 The Author(s). Journal of Advances in Modeling Earth Systems published by Wiley Periodicals LLC on behalf of American Geophysical Union.</t>
  </si>
  <si>
    <t>2-s2.0-85211249246"</t>
  </si>
  <si>
    <t>10.1007/s11356-024-35679-4</t>
  </si>
  <si>
    <t>https://www.scopus.com/inward/record.uri?eid=2-s2.0-85211472955&amp;doi=10.1007%2fs11356-024-35679-4&amp;partnerID=40&amp;md5=683e70c9df8482f25f7cc1eed45098f1</t>
  </si>
  <si>
    <t>Our understanding of identifying and monitoring surge-type glacier distribution patterns, fluctuations, periodicities, and occurrence mechanism under the changing climate is challenging and scarce due to small numbers, limitations on the spatiotemporal coverage of remote sensing observations, and insufficient field-based glaciological data from the High Mountain Asia. The surging glaciers have caused major hazards, and their movement can destroy peripheral and downstream areas like roads, connecting bridges, villages, and hydropower stations and trigger a glacial lake outburst flood or form a dammed (moraine or ice) lake in High Mountain Asia (HMA) in the recent past. Many glaciers have experienced a mass loss and retreat due to ongoing climate change in HMA in recent decades, whereas studies conducted in the Karakorum, Pamir, Tien Shan, and Kunlun Shan regions have reported the surging of the glaciers. Whereas, in the central Himalayan region, very limited studies have been able to identify and explain in detail the surging glaciers and their surge mechanism. In this study, we identified an unnamed glacier surge in the central Himalaya, triggered between 12 September and 14 October 2019 (on a monthly scale) using multi-source high-resolution remote sensing data (CARTOSAT-1 [2011 and 2012], LISS-IV-2A [2011, 2017, and 2020], Landsat-5 [TM], 7 [ETM +], 8 [OLI/TIRS], and Sentinel [2A and 2B]) in conjunction with shuttle radar topography mission [SRTM], Advanced Spaceborne Thermal Emission and Reflection Radiometer [ASTER], and High Mountain Asia digital elevation model (DEM) database. We used a series of algorithms package named MicMac ASTER (MMASTER) tool for generating DEMs from data of two telescopes for the estimation of the surface elevation change, and to calculate the surface velocity, we employed the “Co-registration of Optically Sensed Images and Correlation” (COSI-Corr), a Fourier-based, highly advanced matching program. Based on the observations of the glacier terminus fluctuation, surface velocity, and surface elevation change from 1993 to 2022, this study revealed that the unnamed glacier underwent a surge for the first time in the past three decades. The glacier’s surface velocity increased from 7 ± 3 m year−1 during quiescence (2001–2002) to 163 ± 1 m year−1 during the surge (2019–2020) and then decreased to 17 ± 2 m year−1 between 2021 and 2022. Between 12 September and 14 October 2019, there was a sudden and significant increase in surface velocity of 863 m within a month (i.e., 27 m/day compared to the month prior), indicating the initiation of the surge. Overall, the present study results suggest that the glacier’s velocity varied considerably during the observed period, with periods of gradual increase, sudden increase, and subsequent decrease. Further, the changes in glacier surface suggest a total mean elevation change of 0.26 ± 0.2 m year−1 between 2000 and 2020. In this study, we present novel observations of a glacier surge in the central Himalaya, compare its characteristics to surge-type glaciers reported elsewhere, and discuss the possible mechanisms controlling its behavior. © The Author(s), under exclusive licence to Springer-Verlag GmbH Germany, part of Springer Nature 2024.</t>
  </si>
  <si>
    <t>2-s2.0-85211472955"</t>
  </si>
  <si>
    <t>10.1016/j.pce.2024.103715</t>
  </si>
  <si>
    <t>https://www.scopus.com/inward/record.uri?eid=2-s2.0-85202298382&amp;doi=10.1016%2fj.pce.2024.103715&amp;partnerID=40&amp;md5=e895a67b33af74499b41bcd54babce87</t>
  </si>
  <si>
    <t>Estimating stormwater harvesting (SWH) is a significant characteristic of enhancing regional water obtainability and thereby preserving water resources. The foremost aim of this study was to approximate suitable SWH locations in Mumbai using several physical and geomorphic parameters by employing the Geographical Information System (GIS) based Analytical Hierarchy Process (AHP) method. Several observed and remotely sensed datasets were used to compute SWH after assigning the share of influence at GIS platform. Numerous physical attributes along with geomorphic features are taken into consideration and further reclassified and allocated ranks to produce the SWH map in Mumbai. The study indicates most suitable portion for SWH is associated with northwestern side of Mumbai along with barren land and vegetation cover of around 226 sq. km area. However, highly dense urban areas (182.5 sq. km) in central Mumbai experienced with low suitable SWH zone. Additionally, LULC-wise investigation exhibited that barren and wetlands are the most suitable part for SWH, averaging 62.7 sq.km, however, nearly coastal areas including central Mumbai, and some open urban spaces are also potentially suitable for SWH. Moreover, flood probability-wise SWH site demonstrates maximum suitability near the upper parts of coastal Mumbai (223.3 sq.km), while 82.9 sq.km area witnessed flood possibility. High-resolution Google Earth images were used to overlap the outcome of SWH in Mumbai. Moreover, the SWH sites were further cross-correlated with regional flood susceptibility, which exposed extreme north and northeastern parts of Mumbai and is eventually essential to yield SWH sites to diminish flood hazards and substantial water availability. © 2024 Elsevier Ltd</t>
  </si>
  <si>
    <t>2-s2.0-85202298382"</t>
  </si>
  <si>
    <t>10.1007/s11069-024-06781-0</t>
  </si>
  <si>
    <t>https://www.scopus.com/inward/record.uri?eid=2-s2.0-85198397111&amp;doi=10.1007%2fs11069-024-06781-0&amp;partnerID=40&amp;md5=38c83796dba5f276df9540bfd07a37ab</t>
  </si>
  <si>
    <t>Coastal regions are often exposed to marine floods, usually generated by storm surge events. Each year, they are responsible for major losses in terms of lives and economic infrastructures. Numerical models are crucial to understand, assess, and forecast these consequences, especially in the absence of direct observations of these hazardous events. The present study evaluates the impact of the two storms of January 7, 2014, and February 28, 2017, on the coast of El Jadida (Morocco), using Iber software on a high-resolution topo-bathymetric digital elevation model with wind, wave and tide as forcing parameters. It also predicts the effect of the same storms under future sea level rise projections for 2050 and 2100 under the RCP2.6 and RCP 8.5 scenarios. The simulations reveal a total flood area (TFA) of 1.1 and 1.3 km2 for the storms of 2014 and 2017, respectively. The maximum run-up was equal to 6.4 m, as a result of the 2017 storm. The impact of storms similar to the 2017 event will be more dangerous for the coast of El Jadida under future sea level rise. For the RCP 2.6 (optimistic scenario), the TFA will reach 1.7 km2 associated with a run-up of 7.6 m in 2100. For the same period, the TFA and run-up under the RCP 8.5 scenario (pessimistic) are equal to 2 km2 and 7.7 m, respectively. The obtained flood hazard maps show that several economic infrastructures, such as commercial parks, hotels and coffee shops are located in areas at risk of coastal inundation. These results underscore the urgent need for targeted adaptation strategies to mitigate future flooding risks along the coast of El Jadida. © The Author(s), under exclusive licence to Springer Nature B.V. 2024.</t>
  </si>
  <si>
    <t>2-s2.0-85198397111"</t>
  </si>
  <si>
    <t>Urban Science</t>
  </si>
  <si>
    <t>10.3390/urbansci8040234</t>
  </si>
  <si>
    <t>https://www.scopus.com/inward/record.uri?eid=2-s2.0-85213351592&amp;doi=10.3390%2furbansci8040234&amp;partnerID=40&amp;md5=bed5e18a941612d1bd2e1cbcfc7cff6c</t>
  </si>
  <si>
    <t>The North Java coastal area, known as the Pantura region, is experiencing significant land subsidence, with certain areas sinking up to 10 cm per year. Pekalongan is among the most affected, with subsidence rates between 10 and 19 cm annually, mainly due to groundwater extraction, sediment compaction, and coastal erosion. Other coastal cities, like Semarang and Demak, show rates averaging 4 to 10 cm per year. This rapid subsidence is due to favorable geological conditions and ongoing urban development. This study investigates land subsidence in Pekalongan using the PS-InSAR method and dynamic visualization of time-series land cover data. PS-InSAR was applied to 45 scenes from ALOS-2 PALSAR-2 to monitor subsidence from 2014 to 2022. The results were validated with in situ subsidence benchmarks. Urban development dynamics were analyzed through land cover and land use change (LULC) and population density over the same period, using the GLC_FCS30D dataset in the GEE to detect non-natural LULC. The PS-InSAR results indicated that over 60.9% of investigation points experienced subsidence, up to 100 cm between 2014 and 2022. Ground validation showed an 83% agreement with PS-InSAR results. A statistical analysis of LULC from 2014 to 2022 did not show significant built-up area development, but the extension of salt marshes and water bodies indicated subsidence expansion. The population density reached 6873 people per square km by 2022, causing extensive groundwater use for domestic and industrial purposes, further aggravating the subsidence. © 2024 by the authors.</t>
  </si>
  <si>
    <t>2-s2.0-85213351592"</t>
  </si>
  <si>
    <t>10.1038/s43247-024-01537-x</t>
  </si>
  <si>
    <t>https://www.scopus.com/inward/record.uri?eid=2-s2.0-85198059152&amp;doi=10.1038%2fs43247-024-01537-x&amp;partnerID=40&amp;md5=df21b482de8e80bc9b6c14e3825628e5</t>
  </si>
  <si>
    <t>Accelerated sea-level rise is an existential threat to coastal wetlands, but the timing and extent of wetland drowning are debated. Recent data syntheses have clarified future relative sea-level rise exposure and sensitivity thresholds for drowning. Here, we integrate these advances to estimate when and where rising sea levels could cross thresholds for initiating wetland drowning across the conterminous United States. Our results show that there is much spatial variation in relative sea-level rise rates, which impacts the potential timing and extent of wetlands crossing thresholds. High rates of relative sea-level rise along wetland-rich parts of the Gulf of Mexico and Atlantic coasts highlight areas where wetlands are already drowning or could begin to drown within decades, including large wetland landscapes within the Mississippi River delta, Greater Everglades, Chesapeake Bay, Texas, Georgia, and the Carolinas. Collectively, our results underscore the need to prepare for transformative coastal change. © This is a U.S. Government work and not under copyright protection in the US</t>
  </si>
  <si>
    <t>10.1016/j.ejrh.2024.101998</t>
  </si>
  <si>
    <t>https://www.scopus.com/inward/record.uri?eid=2-s2.0-85206606878&amp;doi=10.1016%2fj.ejrh.2024.101998&amp;partnerID=40&amp;md5=d37bddb5e7f803027802df40e58ef0e2</t>
  </si>
  <si>
    <t>Study region: The study area is the western part of the Macau Peninsula in China, with an area of 4.06 km2. Study focus: This study developed a coupled hydrological-hydraulic model that simulates the two-dimensional (2D) surface flow and one-dimensional (1D) drain pipe flow of compound inundation. The model was applied to Macau, China, as a study area, and the typhoon Mangkhut in 2018 was used as a case study to validate the model's performance. Simulating compound inundation scenarios of extreme rainfall and astronomical tide and exploring the influence of astronomical tide on coastal urban inundation. New hydrological insights for the region: Urban flood disasters are profoundly influenced by tidal levels, albeit the height of tides alone does not solely exacerbate the phenomenon. Rather, the phase of astronomical tides during rainfall also plays a crucial role in determining the severity of urban flooding. This research has revealed that when rainfall synchronizes with the recession phase of the spring tide, urban flooding conditions become acute, 17.66 % increase in total surface water volume for the scenario with the highest tidal level impact compared to the scenario with the lowest tidal level impact. This paper presents the response of coastal cities to the flooding process under different combined rainstorm-astronomical tide scenarios, to provide scientific guidance for disaster preparedness planning in coastal areas, and to improve the resilience of disasters. © 2024 The Authors</t>
  </si>
  <si>
    <t>2-s2.0-85206606878"</t>
  </si>
  <si>
    <t>10.3390/earth5040033</t>
  </si>
  <si>
    <t>https://www.scopus.com/inward/record.uri?eid=2-s2.0-85213435929&amp;doi=10.3390%2fearth5040033&amp;partnerID=40&amp;md5=57bc65242cf3548e3ec4838dff6ea68e</t>
  </si>
  <si>
    <t>Arctic coastlines are the most vulnerable regions of the Earth, and local communities in those areas are being affected by rising sea levels and temperature. Therefore, Earth Observation combined with up-to-date geoinformation tools offers a dependable, cost-effective, and time-efficient approach to understanding the socioeconomic impact of climate changes in Arctic coastal areas. A promising approach is the Coastal Vulnerability Index (CVI), which takes into account different factors such as geomorphology, sea factors, and shoreline retreat or advance, to estimate the grade of vulnerability of a coastal area. Notwithstanding its potential, its application in the Arctic is still challenging. This study targets to estimate CVI to value the vulnerability of the coastal areas of Norway located in the Arctic. For the application of CVI and specifically for geomorphological and sea factors, data were acquired from international and national institutes. After the collection of all the necessary parameters for CVI was completed, all datasets were imported into a GIS software program (ArcGIS Pro) where the vulnerability classes of CVI were estimated. The results show that most of the coast of Northern Norway is characterized by a low to high degree of vulnerability, while in the island of Tromsø the vulnerability is mainly high and very high. © 2024 by the authors.</t>
  </si>
  <si>
    <t>2-s2.0-85213435929"</t>
  </si>
  <si>
    <t>Environmental Sciences Europe</t>
  </si>
  <si>
    <t>10.1186/s12302-024-00969-8</t>
  </si>
  <si>
    <t>https://www.scopus.com/inward/record.uri?eid=2-s2.0-85202964090&amp;doi=10.1186%2fs12302-024-00969-8&amp;partnerID=40&amp;md5=8348800d55915b8e9f699b5d7cc8436b</t>
  </si>
  <si>
    <t>Background: Transport, accumulation, and degradation of microplastics (MiPs) in the aquatic environment represent a significant concern to the researchers and policy-makers, due to the detrimental impact on biota and human health through food ingestion. Although consistent investigations and research data are available worldwide, comparing the results is still challenging due to the need for more regulations regarding the sampling methods, analysis, and results reporting. The European regulatory efforts include studies on the MiPs transport in the western basin of the Danube River developed with active nets-based multipoint sampling methods from suspended sediments and proposed for standardization. In this context, the present study aimed to address for the first time the transport of MiPs in the Romanian sector of the Danube, starting after entering the country (Moldova Veche) and before the formation of the Danube Delta (Isaccea). Results: The multipoint nets sampling procedure facilitated the collection of suspended sediments in the water columns as deep as 0.0–0.6 and 3.0–3.6 m depths and near riverbed sediments (autumn 2022 sampling) during an extensive spatio-temporal study from spring 2022 until spring 2023. The estimate of the maximum annual transport of 46–51 and 93–100 t·y−1 for MiPs and total (micro–meso–macroplastics) MPs at Moldova Veche was based on 135 collected and processed samples using 2021 water flow data. Polyethylene (58–69%) and polypropylene (21–33%) were the main polymer components in the separated fragments, foils, microfibers, and different colors spheroids of MiPs (&lt; 5 mm), and the foils and fibers of meso–macroplastics (5–100 mm). Advanced investigations highlighted various microstructural degradations of the plastic fragments at the micro- and nanoscale and attached minerals (clays) and heavy metals. Conclusion: This paper presents the first comprehensive data set for microplastic annual transport in the ""Low Danube"", filling the need for a complete transport assessment in one of the most significant European rivers. 4–5 times lower values were measured before the entrance to the Danube Delta than those from Moldova Veche. The investigations should continue, including flooding events, and the sampling points should be expanded to deeper water column layers during all the campaigns for further validation. Graphical Abstract: (Figure presented.) © The Author(s) 2024.</t>
  </si>
  <si>
    <t>2-s2.0-85202964090"</t>
  </si>
  <si>
    <t>Ocean Science Journal</t>
  </si>
  <si>
    <t>10.1007/s12601-024-00188-5</t>
  </si>
  <si>
    <t>https://www.scopus.com/inward/record.uri?eid=2-s2.0-85210076493&amp;doi=10.1007%2fs12601-024-00188-5&amp;partnerID=40&amp;md5=1f103e2692d33c22957b6e9d593ecfa9</t>
  </si>
  <si>
    <t>Recent research has shown the effectiveness of a vegetation patch in reducing the fluid force of an extreme surge. However, research on the loading behavior of debris such as shipping containers, in the presence of this coastal defense system, is limited to the best of this author’s knowledge. This study examines the behavior of impact loading on a column structure due to a modeled shipping container in the presence of rigid staggered vegetation (RSV) and Tilting staggered vegetation (TSV) based on indices such as Reduced Fluid Force Index (RFI) Reduced Momentum Index (RMI) and Transmission coefficient (CT). The non-linearities and the free surface of the fluid are dealt with in Smoothed Particle Hydrodynamics (SPH), and the dynamics of vegetation tilt are dealt with using Differential Variational Inequality (DVI). Our results demonstrate that integrating coastal vegetation can reduce debris impact forces significantly, with reductions of up to 96% for rigid vegetation and 89% for tilting vegetation. Finally, a relationship between trunk tilting and its corresponding underestimation of peak debris impact load on a column structure for a half-emerged vegetation patch is derived. This study provides a significant understanding on the effect of coastal vegetation in mitigating the impact of peak debris. © The Author(s), under exclusive licence to Korea Institute of Ocean Science &amp; Technology (KIOST) and the Korean Society of Oceanography (KSO) and Springer Nature B.V. 2024.</t>
  </si>
  <si>
    <t>2-s2.0-85210076493"</t>
  </si>
  <si>
    <t>10.3390/geosciences14120318</t>
  </si>
  <si>
    <t>https://www.scopus.com/inward/record.uri?eid=2-s2.0-85213203407&amp;doi=10.3390%2fgeosciences14120318&amp;partnerID=40&amp;md5=87371d6eee8bd88882ac26d31f4da539</t>
  </si>
  <si>
    <t>Barrier change is a complex process of evolution of coastal topography, which is related to the interaction of driving forces such as waves, tides and sea level rise (SLR) with beaches. The Waisanding Barrier (WSDB) in Taiwan has suffered from continuous beach erosion in recent decades. Some short-term studies have been carried out to understand the characteristics of the barrier change to provide a reference for future barrier protection. In this paper, the digital elevation model (DEM) measured by LiDAR (Light Detection and Ranging), over nearly two decades was used to analyze the morphological changes, the land area and volume. The changes in the morphology, including the whole shoreline, duneline height, width of forebeach and backbarrier, are investigated. The WSDB’s land area and land volume were analyzed to show a continuous decrease by a rate of −0.418 × 106 m2/year and −3.96 × 105 m3/year, respectively. The corresponding average land volume (LV) decrease in elevation can be estimated to be −0.0286 m/year. The changes in these features are discussed and relate to land subsidence, sea level rise and large waves induced by typhoons passing near WSDB. © 2024 by the authors.</t>
  </si>
  <si>
    <t>2-s2.0-85213203407"</t>
  </si>
  <si>
    <t>10.1038/s41598-024-81026-5</t>
  </si>
  <si>
    <t>https://www.scopus.com/inward/record.uri?eid=2-s2.0-85211374069&amp;doi=10.1038%2fs41598-024-81026-5&amp;partnerID=40&amp;md5=edc4563af2239bc87372d5315691849b</t>
  </si>
  <si>
    <t>Seagrasses are vital in coastal areas, offering crucial ecosystem services and playing a relevant role in coastal protection. The decrease in the density of Mediterranean seagrasses over recent decades, due to warming and anthropogenic stressors, may imply a serious environmental threat. Here we quantify the role of coastal impact reduction induced by seagrass presence under present and future climate. We focus in the Balearic Islands, a representative and well monitored region in the Mediterranean. Our results quantify how important the presence of seagrasses is for coastal protection. The complete loss of seagrasses would lead to an extreme water level (eTWL) increase comparable to the projected sea level rise (SLR) at the end of the century under the high end scenario of greenhouse gases emissions. Under that scenario, the eTWL could increase up to ~ 1.4 m, with 54% of that increase attributed to seagrass loss. These findings underscore the importance of seagrass conservation for coastal protection. © The Author(s) 2024.</t>
  </si>
  <si>
    <t>2-s2.0-85211374069"</t>
  </si>
  <si>
    <t>Tropical Cyclone Research and Review</t>
  </si>
  <si>
    <t>10.1016/j.tcrr.2024.11.001</t>
  </si>
  <si>
    <t>https://www.scopus.com/inward/record.uri?eid=2-s2.0-85211245163&amp;doi=10.1016%2fj.tcrr.2024.11.001&amp;partnerID=40&amp;md5=a0d9db443b4780be378749bc7ff67ea7</t>
  </si>
  <si>
    <t>This study introduces the ‘Zero-Point Boundary’ method to map the 2013 Typhoon Haiyan storm surge in coastal eastern Leyte. Utilising the ‘Rivera Dispersive Wave Model’ or RDM, we interpolated simulated storm surge and wave height data, subtracting them from a 5-m resolution digital terrain model raster provided by the National Mapping and Resource Information Authority (NAMRIA) to determine inundation limits and depths relative to the average Filipino male height (i.e., 165 cm). Validation against the 2013 joint survey conducted by the Japan Society of Civil Engineers (JSCE) and the Philippine Institute of Civil Engineers (PICE) showed an 81 % accuracy rate when identifying water limit locations in Tacloban City, suggesting potential for future forecasting. However, the absence of compound flooding consideration in the simulations may have influenced this rate. Overall, this study underscores the importance of accurate modelling and communication in hazard mapping for enhancing preparedness and mitigation efforts, emphasising a balanced approach to risk perception. © 2024 The Authors</t>
  </si>
  <si>
    <t>2-s2.0-85211245163"</t>
  </si>
  <si>
    <t>10.5194/nhess-24-4409-2024</t>
  </si>
  <si>
    <t>https://www.scopus.com/inward/record.uri?eid=2-s2.0-85211596021&amp;doi=10.5194%2fnhess-24-4409-2024&amp;partnerID=40&amp;md5=bb9a8d7e27ea02994a05cc8a41b37ff0</t>
  </si>
  <si>
    <t>Coastal flooding and sea level rise (SLR) will affect farmers in coastal areas, as increasing salinity levels will reduce crop yields, leading to a loss of net annual income for farming communities. In response, farmers can take various actions. To assess such responses under SLR, we applied an agent-based model (ABM) to simulate the adaptation and migration decisions of farmers in coastal Mozambique. The ABM is coupled with a salinization module to simulate the relationship between soil salinity and SLR. The decision rules in the model (DYNAMO-M) are based on the economic theory of subjective expected utility. This theory posits that households can maximize their welfare by deciding whether to (a) stay and face losses from salinization and flooding, (b) stay and adapt (e.g. switching to salt-Tolerant crops and enhancing physical resilience such as elevating houses), or (c) migrate to safer inland areas. The results show that coastal farmers in Mozambique face total losses of up to USD 12.5 million yr-1 from salt intrusion and up to USD 1200 million yr-1 from flooding of buildings (RCP8.5 in the year 2080). Sorghum farmers may experience little damage from salt intrusion, while rice farmers may experience losses of up to USD 4000 yr-1. We show that medium-sized farmers (1-5 ha) are most at risk. This is because their farm size means that adaptation costs are substantial, while their incomes are too low to cover these costs. The number of households adapting varies between different districts (15 %-21 %), with salt adaptation being the most common, as costs are lowest. Despite adaptation measures, about 13 %-20 % of the total 350 000 farmers in coastal flood zones will migrate to safer areas under different settings of adaptive behaviour and different climatic and socio-economic scenarios.  © 2024 Kushagra Pandey et al.</t>
  </si>
  <si>
    <t>2-s2.0-85211596021"</t>
  </si>
  <si>
    <t>10.1038/s43247-024-01835-4</t>
  </si>
  <si>
    <t>https://www.scopus.com/inward/record.uri?eid=2-s2.0-85208639118&amp;doi=10.1038%2fs43247-024-01835-4&amp;partnerID=40&amp;md5=b0e7e515c5ac2189cfea28ea91fc48c7</t>
  </si>
  <si>
    <t>Sea level rise due to anthropogenic warming threatens coastal environments and human societies, but its regional reversibility under successful climate mitigation efforts remains unclear. Here, we investigate sea level fluctuations in the Subpolar North Atlantic using idealized atmospheric carbon dioxide ramp-up and -down experiments. During the ramp-up period, the Subpolar North Atlantic experiences a faster sea level rise than the global mean, followed by a more rapid sea level decline over several dacades with decreasing carbon dioxide. These rapid sea level fluctuations are mainly driven by the response of the Atlantic Meridional Overturning Circulation to carbon dioxide forcing. The enhanced meridional salinity transport triggered by the rapid recovery of the Atlantic Meridional Overturning Circulation plays a crucial role in the regional sea level decline. Our study highlights the potential for pronounced sea level changes in the Subpolar North Atlantic and surrounding coastal areas under climate mitigation scenarios. © The Author(s) 2024.</t>
  </si>
  <si>
    <t>2-s2.0-85208639118"</t>
  </si>
  <si>
    <t>10.1016/j.scitotenv.2024.176847</t>
  </si>
  <si>
    <t>https://www.scopus.com/inward/record.uri?eid=2-s2.0-85206254027&amp;doi=10.1016%2fj.scitotenv.2024.176847&amp;partnerID=40&amp;md5=bb79c125ae86024bbdf782be2b39fc6d</t>
  </si>
  <si>
    <t>The degradation of high-density polyethylene (HDPE) in marine environments was investigated under various weathering conditions. HDPE debris were collected from coastal areas near Korinthos, Greece which had been exposed to marine conditions for durations ranging from a few months to several decades</t>
  </si>
  <si>
    <t>10.1111/1752-1688.13230</t>
  </si>
  <si>
    <t>https://www.scopus.com/inward/record.uri?eid=2-s2.0-85204218268&amp;doi=10.1111%2f1752-1688.13230&amp;partnerID=40&amp;md5=79f4556a64970016a4d1dec2a8657b1c</t>
  </si>
  <si>
    <t>Coastal regions are becoming increasingly vulnerable to flooding. Due to growing risk, there is a need for a variety of accessible flood inundation services and information to improve resilience and adaptation outcomes. To better understand these needs the National Oceanic and Atmospheric Administration's Office for Coastal Management and the Center for Operational Oceanographic Products and Services collaborated to host five virtual workshops during the COVID-19 pandemic to understand inundation needs and deficits of five professional sectors: coastal planning, transportation and navigation, realty and insurance, health and human services, and natural resource and floodplain managers. This paper outlines the information collected from these workshops, shares recommendations for future research to improve equitable coastal resilience and highlights the value of remote engagement for knowledge coproduction. From the project results, we share cross-cutting topics that emerged and propose a need for greater equity, inclusive engagement, interagency coordination and future research directions through scientist-stakeholder coproduction workshops for improved coastal resilience. © 2024 The Author(s). Journal of the American Water Resources Association published by Wiley Periodicals LLC on behalf of American Water Resources Association.</t>
  </si>
  <si>
    <t>2-s2.0-85204218268"</t>
  </si>
  <si>
    <t>10.1016/j.jhydrol.2024.132080</t>
  </si>
  <si>
    <t>https://www.scopus.com/inward/record.uri?eid=2-s2.0-85206649692&amp;doi=10.1016%2fj.jhydrol.2024.132080&amp;partnerID=40&amp;md5=1692292f9d1cdbec5347af48cae228f6</t>
  </si>
  <si>
    <t>In cold regions, climate change, including warming and changes in snowmelt dynamics, have profound impacts on streamflow patterns, often leading to flooding events. Understanding the projected changes in hydrometeorological factors contributing to streamflow, such as snowmelt runoff and rain-on-snowmelt, is crucial for effective adaptation and mitigation strategies. It is also essential to consider uncertainty in streamflow projections and incorporate this uncertainty into flood predictions. This study presents a blueprint for calculating probabilistic future streamflow and flow duration curves in a mountainous cold region. The methodology integrated forcings from an atmospheric model (WRF) with a hydrological model (MESH) at fine spatial (4 km) and temporal (3-hourly) resolutions. To account for uncertainty, an ensemble of 15 CanRCM4 regional climate simulations with varying boundary conditions for the RCP 8.5 scenario was utilized. A novel method was developed to perturb the CanRCM4 simulations’ precipitation using a WRF Pseudo Global Warming run to incorporate uncertainty. This comprehensive approach revealed significant uncertainty in streamflow driven by internal variability. WRF-driven simulations without uncertainty showed a decrease in future streamflow extremes, while the perturbed simulations demonstrated the potential for substantially higher values under climate change. Moreover, the study derived probabilistic flow duration curves from the streamflow projections, aiding in estimating flood frequency for floodplain mapping when driving local hydraulic models. The methodology developed in this work can be extended to other river basins in Canada and elsewhere where gridded downscaled climate model outputs are available. © 2024 The Author(s)</t>
  </si>
  <si>
    <t>2-s2.0-85206649692"</t>
  </si>
  <si>
    <t>10.1016/j.jhydrol.2024.132258</t>
  </si>
  <si>
    <t>https://www.scopus.com/inward/record.uri?eid=2-s2.0-85208127870&amp;doi=10.1016%2fj.jhydrol.2024.132258&amp;partnerID=40&amp;md5=b74950aa67b3e584bfe87872d94e5648</t>
  </si>
  <si>
    <t>Numerous studies have demonstrated the effectiveness of CYGNSS (Cyclone Global Navigation Satellite System) data to detect inland water bodies. However, most of them focus on the detection of surface water extent, rather than the water levels and depths. Most of the existing studies on inland water level altimetry using CYGNSS data are based on the CYGNSS raw IF (raw Intermediate Frequency) data, and use either the time-delay or the phase methods. Although high accuracy can be obtained, raw IF data are currently not a CYGNSS standard data product, and thus it cannot be applied to emergency detection of sudden flood events, or long time-series monitoring of a single large inland water body. Based on these research gaps, this study presents an effective method to estimate the water levels and depths (on a 3 km grid) by combining CYGNSS L1 standard data with DTM (Digital Terrain Model) information. We compared the CYGNSS retrieved water levels with other water level reference data for eight case studies with different characteristics (3 floods, 3 lakes, and 2 reservoirs). The spaceborne LiDAR ICESat-2 and GEDI are used for the flood case studies, and water levels from DAHITI and Hydroweb databases are used for long-term changes of the lakes and reservoirs. All comparative validations yield encouraging results. For flood cases, comparison with ICESat-2 and GEDI showed strong correlation (mean R values for the three case studies were 0.98). The mean bias of CYGNSS retrieved water levels was - 0.26 m, and the mean RMSE was 1.34 m. For lakes and reservoirs, the comparison to DAHITI and Hydroweb showed a mean correlation value of 0.62 (R), while the mean bias and RMSE were - 0.63 m, and 2.61 m, respectively. Finally, the sources of uncertainty are discussed, including the effect of topography discretization, and the effect of uncertainty in the determination of surface water boundaries. This study demonstrates the feasibility of combining CYGNSS L1 standard data with DTM data to measure inland water levels, highlighting its suitability to monitor both flash floods and long-term changes of lake and reservoir water levels. This rapidly updatable water level information will contribute to further comparisons and hydrological researches. © 2024</t>
  </si>
  <si>
    <t>2-s2.0-85208127870"</t>
  </si>
  <si>
    <t>10.3390/geosciences14120335</t>
  </si>
  <si>
    <t>https://www.scopus.com/inward/record.uri?eid=2-s2.0-85213229364&amp;doi=10.3390%2fgeosciences14120335&amp;partnerID=40&amp;md5=9678008623633aeadeadfe10668c9d5b</t>
  </si>
  <si>
    <t>Ice jamming is the primary mechanism that can generate overland flooding and recharge the isolated basins of the Peace–Athabasca Delta (PAD), a valuable ecosystem of international importance and the ancient homeland of the Indigenous Peoples of the region. Focusing on the regulated Peace River and the Peace Sector of the delta, which has been experiencing a drying trend in between rare ice-jam floods over the last ~50 years, this study describes recent notable breakup events, associated observational data, and numerical applications to determine river discharge during the breakup events. Synthesis and interpretation of this material provide a new physical understanding that can inform the ongoing development of a protocol for strategic flow releases toward enhancing basin recharge in years when major ice jams are likely to form near the PAD. Additionally, several recommendations are made for future monitoring activities and improvements in proposed antecedent criteria for early identification of “promising” breakup events. © 2024 by the author.</t>
  </si>
  <si>
    <t>2-s2.0-85213229364"</t>
  </si>
  <si>
    <t>Resources</t>
  </si>
  <si>
    <t>10.3390/resources13120167</t>
  </si>
  <si>
    <t>https://www.scopus.com/inward/record.uri?eid=2-s2.0-85213551474&amp;doi=10.3390%2fresources13120167&amp;partnerID=40&amp;md5=ed4ce2cffc0797d26ce02e35c05af0a2</t>
  </si>
  <si>
    <t>This article presents the results of long-term monitoring of land subsidence in the Bielszowice area (Upper Silesian Coal Basin) using archival maps from the late 19th and 20th centuries, as well as contemporary LIDAR models from 2012 and 2022. The research work conducted included an analysis of subsidence caused by mining activities based on four terrain models: a historical terrain model obtained by digitizing Messtischblätter topographic maps, showing the land surface in 1883, a terrain model obtained by vectorizing Polish topographic maps from 1993, and LIDAR digital terrain models from 2012 and 2022. The study shows that over a period of 139 years, the study area subsided by an average of 9.5 m, which translated into an anthropogenic land subsidence rate of 68 mm/year and a subsidence volume of 100.5 million m3. The greatest subsidence occurred in the northern part of the study area, where basins with depths exceeding 30 m (the maximum subsidence amounted to 36 m) emerged. During the 139 years studied, land subsidence affected the entire area that was built up until 2022. Overall, 38.9% of built-up areas subsided by less than 10 m, 54.0% was subject to subsidence ranging between 10 and 20 m, and subsidence of more than 20 m affected 7.1% of the areas. Such large-scale subsidence in an urbanized area resulted in mining damage to houses and other infrastructure (e.g., railroads, roads)</t>
  </si>
  <si>
    <t>10.1016/j.ejrh.2024.102032</t>
  </si>
  <si>
    <t>https://www.scopus.com/inward/record.uri?eid=2-s2.0-85207270695&amp;doi=10.1016%2fj.ejrh.2024.102032&amp;partnerID=40&amp;md5=c56c2ee483f4d8bc3b1efe1a444c87dd</t>
  </si>
  <si>
    <t>Study region: Rönne River, Säve River, and Höje River, Sweden. Study focus: River-induced flooding in coastal areas results from a multitude of drivers interacting in complex ways. The primary drivers are sea level (SL) and river flow (Q) that often exhibit coherent behavior to be considered in flood risk management. To describe and quantify the compound effects of SL and Q on flooding, a methodology was developed involving hydraulic simulations with long time series of data yielding statistical properties of output quantities such as river water level and flooded areas. Dominance analysis was conducted to quantify the relative influence of SL and Q on river water level along reaches. Also, simplified, empirically based equations were derived to predict the river water level at any location based on SL and Q. New hydrological insights for the region: The long-term simulations revealed that the relative influence of SL and Q on the river water level changes significantly from the coast to upstream. For example, at the Rönne River, influence of SL decreases from 90 % to 20 % between 1 km and 11 km from the coast. Meanwhile, influence of Q increases from 10 % to 80 % over the same distance. The simplified equations derived to predict the water level can be used by stakeholders to forecast flood events or in risk assessment where many alternatives need to be considered. © 2024 The Authors</t>
  </si>
  <si>
    <t>2-s2.0-85207270695"</t>
  </si>
  <si>
    <t>Physics Letters, Section A: General, Atomic and Solid State Physics</t>
  </si>
  <si>
    <t>10.1016/j.physleta.2024.129967</t>
  </si>
  <si>
    <t>https://www.scopus.com/inward/record.uri?eid=2-s2.0-85207791985&amp;doi=10.1016%2fj.physleta.2024.129967&amp;partnerID=40&amp;md5=37c9131067c8cb62251a505daf481817</t>
  </si>
  <si>
    <t>Flood spreading in metro stations is a dangerous hazard that frequently causes casualties and property losses. However, pedestrian evacuation under flood spreading scenarios has not been fully investigated. To fill this gap,we propose an extend Floor-Field model incorporating flood spreading and exit selection behaviour of individuals. In the model, the dynamic flood spreading process on metro platforms is expressed by using a simulation software named Mike21. The optimal exit selected by pedestrians in each step is decided on three factors, that is pedestrian density around the exit, pedestrian distance to the exit, and water depth at the exit. Meanwhile, the movement speed of pedestrain also changes with the water depth at each time step. Based on this, the transition probability to neighbor cell including static field, dynamic field, height field, and water flow field is calculated. This results in a flood evacuation model considering the pedestrian's behaviour when choosing an exit. The effects of flooding, pedestrian density, different exit selection behaviours, water flow field, and inlet flow on evacuation were thoroughly analysed. The analysis demonstrates that the likelihood of flooding significantly impacts the evacuation of pedestrians from the subway station</t>
  </si>
  <si>
    <t>Blue-Green Systems</t>
  </si>
  <si>
    <t>10.2166/bgs.2024.013</t>
  </si>
  <si>
    <t>https://www.scopus.com/inward/record.uri?eid=2-s2.0-85200637975&amp;doi=10.2166%2fbgs.2024.013&amp;partnerID=40&amp;md5=739cafc362fa4543f8551c42b2a244bd</t>
  </si>
  <si>
    <t>The coastal shores of Trinidad and Tobago are at high risk (69.5 and 42.7%, respectively) of inundation from storm surges, sea level rise, and coastal erosion. The impacts of these coastal processes are predicted to worsen with climate change. Naturebased solutions utilizing the planting and rehabilitation of mangroves and seagrass beds are proposed. Sustainable green-engineered coastal protection strategies are pertinent for the low-lying coastal regions, as they house 70% of the country's population and roughly 80% of its socio-economic activity. Such measures offer ecological, environmental, social, and economic benefits, not provided by grey engineering, or concrete structures. Nature-based solutions are limited by anthropogenic factors, biotic/abiotic factors, data gaps, legal constraints, and social trends. These have resulted in declines in mangrove and seagrass bed coverage. A more sustainable coastal protection strategy using mangroves and seagrasses can be achieved by addressing these limitations and systematically utilizing various coastal ecological species. Building capacity, community building and outreach, and revising legal approaches and policing measures are necessary to maximize the benefits mangroves and seagrass beds offer as coastal protection measures.  © 2024 The Authors.</t>
  </si>
  <si>
    <t>2-s2.0-85200637975"</t>
  </si>
  <si>
    <t>10.1016/j.jhydrol.2024.132163</t>
  </si>
  <si>
    <t>https://www.scopus.com/inward/record.uri?eid=2-s2.0-85206822520&amp;doi=10.1016%2fj.jhydrol.2024.132163&amp;partnerID=40&amp;md5=728b9ad13111b7c53da0a5880871bbe4</t>
  </si>
  <si>
    <t>Flood control operations in river-type reservoirs are significantly affected by both the dynamic reservoir capacity and flood propagation within the reservoir area. However, the traditional reservoir flood control optimal operation (RFCOO) model is usually based on the static capacity method, which may bring large errors in scheduling calculations for river-type reservoirs. To address this issue, an improved model, the reservoir dynamic capacity flood control optimal operation (RDCFCOO) model, that includes the influence of the dynamic reservoir capacity and flood propagation, was developed to improve the accuracy of flood regulation calculations in river-type reservoirs. This improved model includes a 1D unsteady flow simulation and a rederived objective function based on the maximum peak clipping criterion, and expresses the state transformation equations using the de Saint-Venant equations. Furthermore, a multi-core parallel DP (PDP) algorithm that incorporates reduction of state dimensionality (RSD) was developed to effectively derive optimal operation schemes. The improved model and algorithm developed herein were validated through an application to the Xiangjiaba Reservoir, China. The results show that: (1) By adding the item (qiw) to the objective function and substituting the de Saint-Venant equations for the water balance equation, the RDCFCOO model developed in this paper can account for the impact of dynamic capacity and flood propagation. As a result, it exhibits a more accurate and detailed flood control process that was closer to the actual conditions of river-type reservoirs compared to the RFCOO model</t>
  </si>
  <si>
    <t>10.1016/j.enggeo.2024.107801</t>
  </si>
  <si>
    <t>https://www.scopus.com/inward/record.uri?eid=2-s2.0-85209399187&amp;doi=10.1016%2fj.enggeo.2024.107801&amp;partnerID=40&amp;md5=1a4470b4d067e8ccf707d8799a7fa44d</t>
  </si>
  <si>
    <t>Numerical simulation is important for the risk assessment of subaerial landslide-induced tsunami (SLIT) hazards</t>
  </si>
  <si>
    <t>10.1016/j.scitotenv.2024.177369</t>
  </si>
  <si>
    <t>https://www.scopus.com/inward/record.uri?eid=2-s2.0-85208141267&amp;doi=10.1016%2fj.scitotenv.2024.177369&amp;partnerID=40&amp;md5=173a9ab1c13892e1a06661636f7f2d47</t>
  </si>
  <si>
    <t>Iron-bound organic carbon (Fe-OC) is a main pathway for the long-term maintenance of soil organic carbon (SOC), but research on its mechanism is still relatively weak. We investigated the coupling relationships among iron (Fe), carbon (C) and Fe-reducing bacteria (FeRB) in the soil of a reclaimed paddy field in comparison with natural Phragmites australis wetland in the Minjiang River estuary in southeastern China. The results showed that conversion of P. australis wetland to paddy cultivation changed the soil redox process. After reclamation, soil Fe(II), Fe(III), HCl-Fet, free iron oxide (Fed) and amorphous iron (Feo) contents and Fe(III)/Fe(II) decreased significantly (p &lt; 0.05), while the content of complexed iron (Fep) increased. Nonmetric multidimensional scaling analysis (NMDS) demonstrated variability in FeRB across soil types (r = 0.900, p = 0.001). The lower Fe-OC concentration in soil after wetland reclamation may be the result of Fe reduction by dissimilatory FeRB (e.g., Bacillus, Anaeromyxobacter). On average, both Fe-OC and SOC contents decreased significantly (p &lt; 0.05), while the contribution of Fe-OC to total SOC (fFe-OC) increased significantly (p &lt; 0.05), after conversion to paddy cultivation. Structural equation modeling (SEM) showed that SOC, dissolved organic C, and Fe-OC were affected by FeRB and the speciation of Fe. In addition, Fe (III) concentration affected SOC concentration (r = 0.60, p &lt; 0.05) and DOC concentration (r = 0.58, p &lt; 0.05), and Fed affected DOC concentration (r = 0.69, p &lt; 0.05). We conclude that after rice field reclamation in estuarine wetlands, Fe-reducing bacteria can mediate iron-bonded organic C decoupling, affecting SOC stabilization. © 2024 Elsevier B.V.</t>
  </si>
  <si>
    <t>2-s2.0-85208141267"</t>
  </si>
  <si>
    <t>10.1073/pnas.2409411121</t>
  </si>
  <si>
    <t>https://www.scopus.com/inward/record.uri?eid=2-s2.0-85211416280&amp;doi=10.1073%2fpnas.2409411121&amp;partnerID=40&amp;md5=eee8b11eae45d564289fddf5d709bcbd</t>
  </si>
  <si>
    <t>Arctic shorelines are vulnerable to climate change impacts as sea level rises, permafrost thaws, storms intensify, and sea ice thins. Seventy-five years of aerial and satellite observations have established coastal erosion as an increasing Arctic hazard. However, other hazards at play-for instance, the cumulative impact that sea-level rise and permafrost thaw subsidence will have on permafrost shorelines-have received less attention, preventing assessments of these processes' impacts compared to and combined with coastal erosion. Alaska's Arctic Coastal Plain (ACP) is ideal for such assessments because of the high-density observations of topography, coastal retreat rates, and permafrost characteristics, and importance to Indigenous communities and oilfield infrastructure. Here, we produce 21st-century projections of Arctic shoreline position that include erosion, permafrost subsidence, and sea-level rise. Focusing on the ACP, we merge 5 m topography, satellite-derived coastal lake depth estimates, and empirical assessments of land subsidence due to permafrost thaw with projections of coastal erosion and sea-level rise for medium and high emissions scenarios from the Intergovernmental Panel on Climate Change's AR6 Report. We find that by 2100, erosion and inundation will together transform the ACP, leading to 6-8x more land loss than coastal erosion alone and disturbing 8-11x more organic carbon. Without mitigating measures, by 2100, coastal change could damage 40 to 65% of infrastructure in present-day ACP coastal villages and 10 to 20% of oilfield infrastructure. Our findings highlight the risks that compounding climate hazards pose to coastal communities and underscore the need for adaptive planning for Arctic coastlines in the 21st century. Copyright © 2024 the Author(s). Published by PNAS.</t>
  </si>
  <si>
    <t>2-s2.0-85211416280"</t>
  </si>
  <si>
    <t>10.3390/geosciences14120326</t>
  </si>
  <si>
    <t>https://www.scopus.com/inward/record.uri?eid=2-s2.0-85213246098&amp;doi=10.3390%2fgeosciences14120326&amp;partnerID=40&amp;md5=7335690d65a9789ccfa044446c2c6657</t>
  </si>
  <si>
    <t>Shoreline configurations are a complex outcome of the dynamic interplay between natural forces and human actions. This interaction shapes unique coastal morphologies and affects sediment transport and erosion patterns along the coastline. Meanwhile, ephemeral river systems play a vital role in shaping coastlines and maintaining ecosystem sustainability, especially in island settings. In this context, the present study seeks to develop a holistic approach that views coast and watershed systems as a continuum, aiming to investigate their relationships in an island environment, while accounting for human interventions in the river regime. For this task, the empirical USLE method was employed to quantify sediment production and transport from the catchment area to the coast, while hydraulic simulations using HEC-RAS were conducted to assess sediment retention within flood-affected areas. Moreover, coastal vulnerability to erosion was evaluated by applying the InVEST CVI model in order to identify areas at risk from environmental threats. The coastal zone of Petra–Molyvos, Lesvos, Greece, was selected as the study area due to ongoing erosion issues, with particular emphasis on its interaction with the Petra stream as a result of significant human intervention at its mouth. According to the study’s findings, the examined coastal zone is highly vulnerable to combined erosion from wind and waves, while the river’s mouth receives only a small amount of sediment from water fluxes. Evidently, this leads to an increase in beach retreat phenomena, while highlighting the necessity for integrated coastal–watershed management. © 2024 by the authors.</t>
  </si>
  <si>
    <t>2-s2.0-85213246098"</t>
  </si>
  <si>
    <t>10.3390/urbansci8040255</t>
  </si>
  <si>
    <t>https://www.scopus.com/inward/record.uri?eid=2-s2.0-85213281782&amp;doi=10.3390%2furbansci8040255&amp;partnerID=40&amp;md5=1e4c204260041662049ab8418d792512</t>
  </si>
  <si>
    <t>This research seeks to develop and test a rapid mapping approach using unmanned aerial vehicles (UAVs) and terrestrial laser scanning to provide precise, high-resolution spatial data for urban areas right after disasters. This mapping aims to support efforts to protect the population and infrastructure while analyzing the situation in affected areas. It focuses on flood-prone regions lacking modern hydrological data and where regular monitoring is absent. This study was conducted in resort villages and adjacent catchments in Bulgaria’s southern Black Sea coast with leading maritime tourism features, after a flash flood on 5 September 2023 caused human casualties and severe material damage. The resulting field data with a spatial resolution of 3 to 5 cm/px were used to trace the effects of the flood on topographic surface changes and structural disturbances. Flood simulation using UAV data and a digital elevation model was performed. The appropriateness of contemporary land use forms and infrastructure location in catchments is discussed. The role of spatial data in the analysis of genetic factors in risk assessment is commented on. The results confirm the applicability of rapid mapping in informing the activities of responders in a period of increased vulnerability following a flood. The results were used by Bulgaria’s Ministry of Environment and Water to analyze the situation shortly after the disaster. © 2024 by the authors.</t>
  </si>
  <si>
    <t>2-s2.0-85213281782"</t>
  </si>
  <si>
    <t>10.1016/j.dib.2024.110948</t>
  </si>
  <si>
    <t>https://www.scopus.com/inward/record.uri?eid=2-s2.0-85204349625&amp;doi=10.1016%2fj.dib.2024.110948&amp;partnerID=40&amp;md5=b7773235c7377407324f86c9faea71d2</t>
  </si>
  <si>
    <t>The study of beach morphology holds significant importance in coastal management, offering insights into coastal and environmental processes. It involves analyzing physical characteristics and beach features such as profile shape, slope, sediment composition, and grain size, as well as changes in elevation due to both erosion and accretion over time. Furthermore, studying changes in beach morphology is essential in predicting and monitoring coastal inundation events, especially in the context of rising sea levels and subsidence in some areas. However, having access to high-frequency oblique imagery and beach elevation datasets to document and confirm coastal forcing events and understand their impact on beach morphology is a notable challenge. This paper describes a one-year dataset comprising bi-monthly topographic surveys and imagery collected daily at 30 min increments at the beach adjacent to Horace Caldwell Pier in Port Aransas, Texas. The data collection started in February 2023 and ended in January 2024. The dataset includes 18 topographic surveys, 6879 beach images, and ocean/wave videos that can be combined with colocated National Oceanic and Atmospheric Administration metocean measurements. The one-year temporal span of the dataset allows for the observation and analysis of seasonal variations, contributing to a deeper understanding of coastal dynamics in the study area. Furthermore, a study that combines survey measurements with camera imagery is rare and provides valuable information on conditions before, after, and between surveys and periods of inundation. The imagery enables monitoring of inundation events, while the topographic surveys facilitate the analysis of their impact on beach morphology, including beach erosion and accretion. Various products, including beach profiles, contours, slope maps, triangular irregular networks, and digital elevation models, were derived from the topographic dataset, allowing in depth analysis of beach morphology. Additionally, the dataset contains a time series of four wet/dry shoreline delineations per day and their corresponding elevation extracted by combining the imagery with the digital elevation models. Thus, this paper provides a high-frequency morphological dataset and a machine learning-ready dataset suitable for predicting coastal inundation. © 2024 The Author(s)</t>
  </si>
  <si>
    <t>2-s2.0-85204349625"</t>
  </si>
  <si>
    <t>10.1016/j.jhydrol.2024.132271</t>
  </si>
  <si>
    <t>https://www.scopus.com/inward/record.uri?eid=2-s2.0-85208453795&amp;doi=10.1016%2fj.jhydrol.2024.132271&amp;partnerID=40&amp;md5=dacb28d380296470d28c8201c61b8127</t>
  </si>
  <si>
    <t>Generational mechanisms and spatio-temporal evolution patterns of coastal urban flood risk involve complex interactions between climate change, sea level rise and human-induced factors, necessitating integrated adaptive flood management strategies to mitigate evolving vulnerabilities. This systematic review offers a thorough assessment of the challenges and strategic opportunities for sustainable adaptation in managing flood risk in coastal urban areas. It integrates emerging innovative technologies and financial solutions to identify promising approaches to implement mitigation strategies and improve coastal urban flood resilience. Enhancing governance and policy frameworks is crucial for the successful implementation of coastal urban flood risk management (CUFRM) plans. An innovative participatory planning framework is developed to promote flood management practices which are socially inclusive and equitable. Funding for green infrastructure and nature-based solutions and the strategic use of public-private partnerships are effective methods for advancing sustainable flood risk management (FRM). The advancements in emerging technologies, such as artificial intelligence (AI), machine learning (ML), deep learning (DL), social media and digital twin technologies, provide dynamic and collaborative platforms for simulating flood scenarios and have potential to significantly improve CUFRM practices. In the end, a cross-country comparison of current practices in Australia, China, the Netherlands, the UK and the USA reveals a diverse range of approaches and valuable insights derived from regional experiences. The review provides a comprehensive analysis for researchers, policymakers and practitioners aiming to improve flood resilience in coastal metropolitan regions by learning from effective UFRM approaches that enhance governance structures, infrastructure resilience and funding mechanisms. © 2024 The Author(s)</t>
  </si>
  <si>
    <t>2-s2.0-85208453795"</t>
  </si>
  <si>
    <t>10.1007/s11069-024-06752-5</t>
  </si>
  <si>
    <t>https://www.scopus.com/inward/record.uri?eid=2-s2.0-85198079862&amp;doi=10.1007%2fs11069-024-06752-5&amp;partnerID=40&amp;md5=db978030eb51e7a6041739be03b67153</t>
  </si>
  <si>
    <t>The coastal Patuakhali district in Bangladesh is highly susceptible to catastrophic flooding due to its geophysical location. Saving the coastal settlements from these frequent and extreme flooding events is challenging. Thus, there is an urgent need for a detailed flood vulnerability, risk, and capacity assessment study in this area. This study attempted to provide a comprehensive assessment and mapping of coastal flood risk, identifying the most flood-vulnerable regions of the Patuakhali district to achieve efficient flood mitigation strategies. To generate a complete coastal flood risk scenario, this study simultaneously applied people’s perception-based risk assessment using the MCDA, AHP, GIS, and RS-based advanced methodologies. Based on the combined judgments of both people’s perceptions and experiences, GIS- and RS-based mapping, this study predicted a high flood risk for the studied area. Firstly, from people’s perception and expert opinions-based approach, this study estimated a high flood risk (0.886) for the coastal Patuakhali district. Secondly, individual hazard scores of 0.765 and vulnerability scores of 0.644 were obtained during this assessment, which seems reasonable. However, their combined results produced a significant flood risk due to the lower community capacity (0.556) to withstand flood damage. Finally, a flood risk map was developed with the weighted overlay tool, considering ten flood-causing factors throughout the mapping process. Findings showed the majority of Patuakhali district’s central, north-central, most southern, and south-eastern char and island area as being in a very high flood risk zone due to its high population density, development of in-built infrastructure, lower elevation, flat topography, and lack of vegetation cover. This information is supposed to support the relevant authorities and decision-makers. © The Author(s), under exclusive licence to Springer Nature B.V. 2024.</t>
  </si>
  <si>
    <t>2-s2.0-85198079862"</t>
  </si>
  <si>
    <t>10.1007/s11027-024-10188-4</t>
  </si>
  <si>
    <t>https://www.scopus.com/inward/record.uri?eid=2-s2.0-85211348657&amp;doi=10.1007%2fs11027-024-10188-4&amp;partnerID=40&amp;md5=da9f81b3a1d5a1bb530ab62e95d17764</t>
  </si>
  <si>
    <t>The coastal region of India stands out as one of the most climate-vulnerable areas globally. This vulnerability arises from the frequent occurrence of high-intensity cyclones, floods, and a rapid increase in salinity intrusion. The region’s primary livelihood largely relies on agriculture and related sectors, with a predominant presence of smallholder farming communities. Climate change and its associated consequences have emerged as a grave concern for the agricultural sector in coastal India. Despite efforts by farmers to adopt various strategies as a means of adapting to climate change, there exists a notable gap in scientific literatures in comprehensively identifying and exploring these strategies. Therefore, this study has intended to identify and explore the rationale and utility of these adaptation strategies from existing literatures by systematically reviewing them. The study integrates multiple research designs and adheres to the PRISMA (Preferred Reporting Items for Systematic Reviews and Meta-Analyses) framework. Initial data retrieval was conducted through two prominent databases, namely Scopus and Web of Science. Following PRISMA protocol, a total of 27 articles were finally considered for the analysis of the study. The study was categorised into five major themes i.e., (1) Sustainable agricultural practices, (2) Soil and water management practices, (3) Improved livestock management practices, (4) Improved fisheries management practices, (5) Technological interventions. This study highlights that adaptation strategies belonged to both the category of farmers-led and advocated and majority of them were spontaneously implemented by the farmers. Indigenous knowledge played a crucial role in shaping these adaptive responses. Adaptation strategies were found to be interconnected, much like the interrelationships between the impacts of climate stressors, especially for smallholder farmers in coastal India who rely on diverse livelihood sectors. This underscores the need for stakeholders to design strategies that consider these cross-sectoral linkages. Consequently, this study provides invaluable insights into the evolution and prospective trajectory of climate adaptation strategies within the agricultural landscape of coastal India. © The Author(s), under exclusive licence to Springer Nature B.V. 2024.</t>
  </si>
  <si>
    <t>2-s2.0-85211348657"</t>
  </si>
  <si>
    <t>10.1016/j.landurbplan.2024.105193</t>
  </si>
  <si>
    <t>https://www.scopus.com/inward/record.uri?eid=2-s2.0-85201785127&amp;doi=10.1016%2fj.landurbplan.2024.105193&amp;partnerID=40&amp;md5=f62b55d1bda2613e6f262a684fadbfde</t>
  </si>
  <si>
    <t>After the Great East Japan Earthquake in 2011, the Japanese government reconstructed coastal protection facilities to mitigate extreme disasters and coastal erosion. However, the substantial compression of coastal zones poses a challenge in coping with sea level rise, while maintaining a sustainable coastal ecosystem. To clarify the impact of environmental factors and sea level rise on coastal ecosystems in highly developed regions, this study integrated field surveys, geo-detector analysis, and coastal inundation models into the research framework. It explored the relationship between environmental factors and vegetation patterns and predicted the inundation areas and vegetation survivorship of 12 transects in the study area from 2030 to 2150. The results indicated that the distance from the tide embankment (DTE) and elevation (DEM) were the main driving factors, and the combination of the potential of hydrogen (pH) and DTE had a major impact on vegetation coverage. Notably, the distribution of vegetation was positively correlated with the width of the coastal zone, and when the width was less than 60 m, vegetation could not survive. With sea level rise, almost no vegetation will survive until 2150. Appropriate coastal width and height are conducive to maintaining the sustainability of coastal ecosystems. © 2024 Elsevier B.V.</t>
  </si>
  <si>
    <t>2-s2.0-85201785127"</t>
  </si>
  <si>
    <t>10.1007/s12040-024-02432-x</t>
  </si>
  <si>
    <t>https://www.scopus.com/inward/record.uri?eid=2-s2.0-85208413252&amp;doi=10.1007%2fs12040-024-02432-x&amp;partnerID=40&amp;md5=806c6902ee83cfe8435c54a19f87ef07</t>
  </si>
  <si>
    <t>Coastal green infrastructure provides numerous ecosystem services, including flood protection, erosion control, carbon sequestration, and habitat for marine life. Mapping and monitoring these critical coastal habitats are essential for sustainable management and conservation efforts. This study employed the Google Earth Engine (GEE) cloud platform with high-resolution multispectral satellite imagery (Sentinel-2 data with 10 m spatial resolution), Airborne Laser Terrain Mapper (ALTM) elevation data with 5 m resolution, and advanced machine learning (ML) algorithms used to map the distribution and extent of coastal green infrastructure along the Pondicherry coastline in southern India. A random forest (RF) classifier was trained on a diverse set of reference data (70% for training and 30% for validation) collected through extensive field surveys and visual interpretation of very high-resolution aerial imagery. The model integrated spectral information from multiple satellite sensors along with derived biophysical indices to accurately delineate different coastal vegetation types. The resulting maps revealed detailed spatial patterns of mangroves, sand dunes, and coastal plantations with an overall accuracy exceeding 90% verified with the field data. Analyses quantified their spatial coverage and fragmentation along the study area. This high-resolution, accurate baseline data can inform coastal management strategies, including targeted conservation efforts, ecological restoration projects, climate change adaptation planning, and sustainable development practices that preserve vital green infrastructure. The workflow demonstrated the robust capabilities of ML methods coupled with multi-source remote sensing data for effectively mapping complex and dynamic coastal ecosystems at a regional scale. The techniques can be adapted for other coastal regions to understand green infrastructure dynamics better and support evidence-based policies promoting ecological and community resilience. © Indian Academy of Sciences 2024.</t>
  </si>
  <si>
    <t>2-s2.0-85208413252"</t>
  </si>
  <si>
    <t>Computational Urban Science</t>
  </si>
  <si>
    <t>10.1007/s43762-024-00135-z</t>
  </si>
  <si>
    <t>https://www.scopus.com/inward/record.uri?eid=2-s2.0-85203439565&amp;doi=10.1007%2fs43762-024-00135-z&amp;partnerID=40&amp;md5=3eb71f376a8ac3b519e6041801f56c7b</t>
  </si>
  <si>
    <t>The middle and lower reaches of the Yangtze River are frequently affected by the Western Pacific Subtropical High (WPSH) in summer. This leads to phenomena including air subsidence, high temperatures, low rainfall, and weak winds, all of which affect the urban heat island (UHI) effect. Currently, there are few studies on the influence of WPSH on the UHI effect. In this study, we analysed the temporal and spatial distributions of the influence of WPSH on the UHI effect by establishing two scenarios: with and without WPSH. We calculated the UHI intensity and the urban heat island proportion index (UHPI) to analyse the temporal and spatial distributions of the UHI effect. The geographical detector method was then used to analyse the factors influencing UHI. The results indicate the strong heat island effect during the day in provincial capitals and some developed cities. The area of high UHI intensity was larger under the influence of WPSH than in the years without WPSH. WPSH affected UHPI at both day and night, although the effect was more pronounced at night. The factors affecting daytime UHI intensity are mainly POP and NTL, O3 plays a large role in the years with WPSH control. The main factors affecting the UHI intensity at night are AOD, POP and NTL were mainly factors in the years without WPSH control, POP and WPSH were mainly factors in the years with WPSH control. The interactions of the factors are mainly POP and multi-factors during the daytime, and DEM and multi-factors during the nighttime. It was found that the UHI intensity was enhanced under the control of the WPSH, and the influencing factors of the diurnal UHI differed with and without the WPSH control, which ultimately provides realistic suggestions for mitigating the intensity of the UHI in areas affected by the WPSH. © The Author(s) 2024.</t>
  </si>
  <si>
    <t>2-s2.0-85203439565"</t>
  </si>
  <si>
    <t>10.1016/j.jhydrol.2024.132283</t>
  </si>
  <si>
    <t>https://www.scopus.com/inward/record.uri?eid=2-s2.0-85208599013&amp;doi=10.1016%2fj.jhydrol.2024.132283&amp;partnerID=40&amp;md5=ce65e1e354856ac6303b4d6229fae43c</t>
  </si>
  <si>
    <t>Flood forecasting in data-scarce regions poses significant challenges due to irregular rainfall patterns and limited hydrological monitoring networks, particularly in semi-arid regions in Africa, South America, and Asia. However, despite significant efforts and advancements, there remains a substantial gap in the accurate prediction of flood events necessary for effective risk management and mitigation, evidenced by the recurrence of devastating floods in middle to low-income countries in recent years. Here, we address this problem by testing advanced modeling techniques in a local African case, using a combination of statistical methods for extreme event prediction, hydrodynamic modeling, and remote sensing data, to recommend the most adapted and accurate approach under a variety of settings. Our case study is an emerging urban area in Northern Morocco, situated in a triangular plain interposed between adverse geomorphological and precipitation settings, and unregulated expansion flow, creating an exceptionally overwhelming context for disastrous floods. In the absence of previous studies, we integrate frequency distribution analysis to predict extreme rainfall events and flood flow modeling to simulate floodplain inundation. Data sources included high-resolution remote sensing, local hydrological measurements, fine topographical data, and interviews with stakeholders. We found the Pearson Type 3 distribution to be the most suitable for modeling extreme precipitation in coastal areas, whereas the Generalized Extreme Value (GEV) distribution better fits inland areas. For flood flow assessment, the Gradex method proved to be the most accurate, while other empirical methods outlined critical limitations. Findings reveal that advanced hydrodynamic models significantly enhance flood hazard assessments, even in regions with limited data, showing outstanding correlations with previous flood records and stakeholder feedback. The outcomes carry critical implications for highlighting the importance of selecting appropriate models based on geographical and climatic conditions to inform more resilient urban planning and disaster management practices. We anticipate that these insights will support local decision-makers and urban planners in developing strategies that enhance community resilience and reduce the adverse impacts of flooding. Our work contributes to the broader field of flood risk management, providing a foundation for future developments and practical applications in similar regions worldwide. © 2024 Elsevier B.V.</t>
  </si>
  <si>
    <t>2-s2.0-85208599013"</t>
  </si>
  <si>
    <t>10.1007/s11069-024-06798-5</t>
  </si>
  <si>
    <t>https://www.scopus.com/inward/record.uri?eid=2-s2.0-85199523891&amp;doi=10.1007%2fs11069-024-06798-5&amp;partnerID=40&amp;md5=3e841395e346f1a5eb03e5be176fb876</t>
  </si>
  <si>
    <t>Cities are among the systems with the highest vulnerability to climate change impacts. These impacts greatly affect the population and physical infrastructure of the cities. Vulnerability assessment plays a significant role in identifying vulnerable areas to climate change in the city and developing adaptation solutions for these areas. This study aimed to determine and map the vulnerability level of Karşıyaka, İzmir on watershed scale to climate change hazards, high temperature, flood and sea level rise by using indicator based approach. In this context an indicator set was developed for each vulnerability component, exposure, sensitivity and adaptive capacity, taking into account socio-economic, physical and ecological characteristics of the watershed, and then vulnerability was determined by calculations at the neighborhood scale. The results showed that urban areas in the inland had high exposure and sensitivity to. heat related hazards while coastal areas had high exposure and sensitivity to water related climate hazards. Almost two thirds of the residents lived under the risk of urban floods and extreme heat. The findings also indicated that sensitivity is lower on the inner parts of the study region where population density is low. Furthermore, coastal areas had the highest vulnerability even though they had high adaptive capacity. The findings are expected to be a useful tool for decision makers in increasing climate resilience and adaptive capacity. © The Author(s) 2024.</t>
  </si>
  <si>
    <t>2-s2.0-85199523891"</t>
  </si>
  <si>
    <t>10.1007/s12601-024-00184-9</t>
  </si>
  <si>
    <t>https://www.scopus.com/inward/record.uri?eid=2-s2.0-85209809441&amp;doi=10.1007%2fs12601-024-00184-9&amp;partnerID=40&amp;md5=c4b63f2d36be35a97b905a221cdd2a36</t>
  </si>
  <si>
    <t>Lipophilic marine toxins (LPMTs) are toxic secondary metabolites produced by microalgae. With rising sea surface temperatures driven by climate change, the spread of harmful microalgae is increasing. This study established and validated a simultaneous analysis method for 16 LPMTs, including compounds from the okadaic acid (OA), yessotoxin (YTX), azaspiracid (AZA), pectenotoxin (PTX), and cyclic imine (CI) groups. The method was validated in mussel, clam, and flatfish matrices and applied to seafood collected from three coastal areas in Korea (the East, West, and South Seas), to assess LPMT contamination. The limit of detection for the method was calculated to be 0.01–3.54 μg kg−1 for all 16 toxins. Accuracy and precision were confirmed through repeated intraday and interday analyses, with all results satisfying CODEX guidelines (accuracy: 60–115%, precision: ≤ 22%), indicating that the method can be successfully applied to fish and shellfish matrices. From the 25 collected samples, compounds from the OA group were found in seven (28%) at a positive mean of 82.0 μg OA eq. kg−1, YTX-group compounds were found in two (8%) at a positive mean of 224.4 μg YTX eq. kg−1, and CI-group compounds were found in two (8%) at a positive mean of 14.3 μg kg−1. No PTX- or AZA-group toxins were detected in any samples. LPMTs were detected in all three sea areas. The established method for the simultaneous analyses of 16 LPMTs in both bivalves and fish saves analytical time and allows proactive monitoring of regulated as well as unregulated LPMTs. © The Author(s), under exclusive licence to Korea Institute of Ocean Science &amp; Technology (KIOST) and the Korean Society of Oceanography (KSO) and Springer Nature B.V. 2024.</t>
  </si>
  <si>
    <t>2-s2.0-85209809441"</t>
  </si>
  <si>
    <t>10.3390/geosciences14120353</t>
  </si>
  <si>
    <t>https://www.scopus.com/inward/record.uri?eid=2-s2.0-85213245277&amp;doi=10.3390%2fgeosciences14120353&amp;partnerID=40&amp;md5=b4dbc2f1cdc1403f0d66cda44ae56194</t>
  </si>
  <si>
    <t>Snow avalanche is one of the major natural hazards in the mountain region, yet it has received less attention compared to other mountain hazards, such as landslides, floods, and droughts. After a comprehensive overview of snow avalanche hazards in Tibet area, the spatial distribution and main driving factors of snow avalanche hazards in the high mountain region in Tibet were presented in the study first. Snow avalanche-prone areas in Tibet were then mapped based on the snow cover distribution and DEM data and were validated against in situ observations. Results show that there are the highest frequencies of avalanche occurrences in the southeastern Nyainqentanglha Mountains and the southern slope of the Himalayas. In the interior of plateau, avalanche development is constrained due to less precipitation and much flatter terrain. The perennially snow avalanche-prone areas in Tibet account for 1.6% of the total area of the plateau, while it reaches 2.9% and 4.9% of the total area of Tibet in winter and spring, respectively. Snow avalanche hazards and fatalities appear to be increasing trends under global climate warming due to more human activities at higher altitudes. In addition to the continuous implementation of engineering prevention and control measures in pivotal regions in southeastern Tibet, such as in the Sichuan–Tibet highway and railway sections, enhancing monitoring, early warning, and forecasting services are crucial to prevent and mitigate avalanche hazards in the Tibetan high mountain regions, which has significant implications for other global high mountain areas. © 2024 by the authors.</t>
  </si>
  <si>
    <t>2-s2.0-85213245277"</t>
  </si>
  <si>
    <t>10.1007/s10661-024-13453-w</t>
  </si>
  <si>
    <t>https://www.scopus.com/inward/record.uri?eid=2-s2.0-85210472850&amp;doi=10.1007%2fs10661-024-13453-w&amp;partnerID=40&amp;md5=3b0954af2cf610f1d74c9986c18695db</t>
  </si>
  <si>
    <t>During the recent decades, subsidence has increasingly occurred in many countries around the world, with the case being even worse for developing countries like Iran. In Iran, the main factor contributing to the occurrence of land subsidence is excessive groundwater extraction of groundwater for agricultural activities. One of the best techniques for subsidence detection is differential interferometry. In terms of agricultural development, Nourabad is an important plain in Fars province, Iran, where land subsidence due to overconsumption of groundwater has been experienced during the recent past. Cropping pattern plays a significant role in the subsidence and acknowledging the critical state of water resources in Iran alongside the fact that the farming method, in terms of its water demand can greatly contribute to reduced level of local aquifer reserve and hence the occurrence of land subsidence, the present research seeks to investigate the effect of farming method (i.e., dry farming, irrigated farming, and summer crops farming) on the subsidence in Nourabad Watershed. Satellite images acquired by Sentinel-2 and Sentinel-1 were used. Data analysis was performed through radar data interferometry, support vector machine (SVM), and a hybrid of the two via spatial regression. Results of SVM showed that The maximum land subsidence recorded was approximately 10 cm per year was experienced on rice-farmed lands. Fields cultivated with rice exhibited a subsidence rate 50% higher than those with wheat"") would emphasize the relationship between agricultural practices and environmental effects. Investigation of cropping pattern was showed The correlation between groundwater extraction and land subsidence was significant at p &lt; 0.05"". © The Author(s), under exclusive licence to Springer Nature Switzerland AG 2024.</t>
  </si>
  <si>
    <t>2-s2.0-85210472850"</t>
  </si>
  <si>
    <t>10.1038/s41598-024-80748-w</t>
  </si>
  <si>
    <t>https://www.scopus.com/inward/record.uri?eid=2-s2.0-85210513229&amp;doi=10.1038%2fs41598-024-80748-w&amp;partnerID=40&amp;md5=a50bde370d7f688ce1efa5b891c9cfd0</t>
  </si>
  <si>
    <t>The Gulf of Guinea (GoG) is highly vulnerable to sea level rise, with projections indicating a significant increase in permanently inundated land by 2100, ranging from 1,458.1 to 4,331.7 km2. This study evaluates the severity of potential coastal inundation in the GoG by comparing sea level rise projections from eight reliable CMIP6 models with historical sea surface height (SSH) data from 1993 to 2015 and current onshore topography. Eight model simulations were selected based on their accuracy in reproducing sea level variability in the Tropical Atlantic and the GoG, and their consistency in reflecting the one-month connection lag between equatorial-driven waves and Kelvin Coastal Trapped Waves (CTWs) along the GoG, critical for predicting regional ocean dynamics. Our findings indicate that this connection lag will remain consistent over time. Under high-emission scenarios, up to 95% of coastal areas could be inundated, potentially displacing 2 million people posing a socio-economic shock, given the region’s low GDP and heavy reliance on fisheries. The loss of cultural heritage and livelihoods further compounds the challenges. These findings emphasize the urgent need for targeted adaptation strategies and robust early warning systems, in line with the UN’s Sustainable Development Goals (SDGs), particularly SDG 13 (Climate Action) and SDG 14 (Life Below Water). This study offers a precise and regionally relevant assessment of future risks, providing a foundation for informed policy interventions to mitigate the impacts of climate change and protect vulnerable communities in the GoG. © The Author(s) 2024.</t>
  </si>
  <si>
    <t>2-s2.0-85210513229"</t>
  </si>
  <si>
    <t>10.3390/rs16234399</t>
  </si>
  <si>
    <t>https://www.scopus.com/inward/record.uri?eid=2-s2.0-85212391005&amp;doi=10.3390%2frs16234399&amp;partnerID=40&amp;md5=fe5d6ae8cf5230bf23e65ecba90104c1</t>
  </si>
  <si>
    <t>Small- and medium-sized reservoirs significantly alter natural flood processes, making it essential to understand their impact on runoff for effective water resource management. However, the lack of measured data for most small reservoirs poses challenges for accurately simulating their behavior. This study proposes a novel method that utilizes readily available satellite observation data, integrating hydraulic, hydrological, and mathematical formulas to derive outflow coefficients. Based on the Grid-XinAnJiang (GXAJ) model, the enhanced GXAJ-R model accounts for the storage and release effects of ungauged reservoirs and is applied to the Tunxi watershed. Results show that the original GXAJ model achieved a stable performance with an average NSE of 0.88 during calibration, while the NSE values of the GXAJ and GXAJ-R models during validation ranged from 0.78 to 0.97 and 0.85 to 0.99, respectively, with an average improvement of 0.03 in the GXAJ-R model. This enhanced model significantly improves peak flow simulation accuracy, reduces relative flood peak error by approximately 10%, and replicates the flood flow process with higher fidelity. Additionally, the area–volume model derived from classified small-scale data demonstrates high accuracy and reliability, with correlation coefficients above 0.8, making it applicable to other ungauged reservoirs. The OTSU-NDWI method, which improves the NDWI, effectively enhances the accuracy of water body extraction from remote sensing, achieving overall accuracy and kappa coefficient values exceeding 0.8 and 0.6, respectively. This study highlights the potential of integrating satellite data with hydrological models to enhance the understanding of reservoir behavior in data-scarce regions. It also suggests the possibility of broader applications in similarly ungauged basins, providing valuable tools for flood management and risk assessment. © 2024 by the authors.</t>
  </si>
  <si>
    <t>2-s2.0-85212391005"</t>
  </si>
  <si>
    <t>Quaternary Geochronology</t>
  </si>
  <si>
    <t>10.1016/j.quageo.2024.101615</t>
  </si>
  <si>
    <t>https://www.scopus.com/inward/record.uri?eid=2-s2.0-85203192132&amp;doi=10.1016%2fj.quageo.2024.101615&amp;partnerID=40&amp;md5=1f39f5c39356015bc8a8c8985c29194c</t>
  </si>
  <si>
    <t>Sediment dynamics in five sites within the Mobile River Basin, Alabama, impacted by (i) dam-and-lock use, (ii) urbanization, (iii) industrial/mining practices, (iv) flooding, and (v) storm surge events were evaluated to understand better anthropogenic impacts on regional sediment budgets. Three widely used sediment dating models based on excess 210Pb (ex210Pb) (i.e., Constant Rate of Supply, CRS, Constant Initial Concentration, CIC, and Advective Dispersion Equation, ADE) and two recently developed ones (i.e., Porosity Variation, PV and Porosity Variation Without Diffusion, PVWD) were tested to determine their applicability to these anthropogenically altered lacustrine and coastal areas. To verify results from ex210Pb models, we used conventional time markers, including regional hydrograph records and historical aerial images. We found that the traditionally used time-marker 137Cs is no longer useful due to its current low inventories in the sediments. Drainage-to-lake area ratios were used to determine relative runoff and atmospheric radionuclide contributions. Statistical analysis of physical properties such as porosity, bulk and dry density, water content, and sediment geochemical compositions were utilized to support sediment transport and site development hypotheses. When constructing the sediment history at each site using these proxies, we found that the CIC and ADE models produced unreliable ages because of violation of requirements for exponentially decreasing porosity and ex210Pb activity with depth. We found that two new models, PV and PVWD, that account for heterogeneous porosity, produced more reliable sediment depositional ages. These two models produced ages with lower uncertainties than the CRS model, outperforming the other conventional models tested. We conclude that the PV and PVWD models are more applicable for environments experiencing erosional and abrupt depositional events, which in our study resulted from dam construction and storm-surge events. Model sensitivity analysis showed that decreasing average particle density produces younger sediment ages by the PV and PVWD models. Higher ex210Pb activity analytical uncertainty resulted in lower sedimentation rates and higher estimated ages by all five models. © 2024</t>
  </si>
  <si>
    <t>2-s2.0-85203192132"</t>
  </si>
  <si>
    <t>10.1016/j.scitotenv.2024.177271</t>
  </si>
  <si>
    <t>https://www.scopus.com/inward/record.uri?eid=2-s2.0-85208462999&amp;doi=10.1016%2fj.scitotenv.2024.177271&amp;partnerID=40&amp;md5=5c358c03c74186407068324d8e70b5df</t>
  </si>
  <si>
    <t>The terrestrial ecosystem plays a vital role in regulating regional and global carbon budgets. Ecosystem models are extensively employed to estimate carbon fluxes across different spatial scales. However, there remains a need to reduce the uncertainties associated with model parameterization and input data. To address these limitations, we assessed a distributed-calibration and independent-verification (DCIV) approach that uses (1) remotely sensed net primary production (NPP) and evapotranspiration (ET) data from the Moderate Resolution Imaging Spectroradiometer (MODIS), (2) multi-site eddy covariance net ecosystem exchange (NEE) data</t>
  </si>
  <si>
    <t>10.1029/2024JC021425</t>
  </si>
  <si>
    <t>https://www.scopus.com/inward/record.uri?eid=2-s2.0-85211155845&amp;doi=10.1029%2f2024JC021425&amp;partnerID=40&amp;md5=ebdce24d26809c3ffa7e613c61ef9ac0</t>
  </si>
  <si>
    <t>Using a recently developed 1/12th degree regional ocean model, we establish a link between U.S. East Coast sea level variability and offshore upper ocean heat content change. This link manifests as a cross-shore mass redistribution driven by an offshore thermosteric sea level response to subsurface warming or cooling. Approximately 50% of simulated monthly to interannual coastal sea level variance south of Cape Hatteras can be statistically accounted for by this mechanism, realized as a function of regional ocean hypsometry, gyre scale warming, and the depth dependence of density change. This response to offshore warming explains the nonstationarity of U.S. East Coast sea level covariance, a specifically observed and modeled behavior after (Formula presented.) 2010. Since approximately 2010, elevated rates of sea level rise south of Cape Hatteras can be partly explained as the result of shoreward mass redistribution due to offshore subsurface warming within the North Atlantic subtropical gyre. These results reveal a mechanism that connects local coastal sea level to a broader region and identifies the influence of regional heat content changes on coastal sea level. This analysis presents a framework for identifying new regions that may be susceptible to enhanced sea level rise due to ocean warming and helps bridge the gap between quantifying large scale change and anticipating local coastal impacts that can make flooding and storm surge more acutely damaging. Published 2024. This article is a U.S. Government work and is in the public domain in the USA. Journal of Geophysical Research: Oceans published by Wiley Periodicals LLC on behalf of American Geophysical Union.</t>
  </si>
  <si>
    <t>2-s2.0-85211155845"</t>
  </si>
  <si>
    <t>Journal of Urban Management</t>
  </si>
  <si>
    <t>10.1016/j.jum.2024.07.001</t>
  </si>
  <si>
    <t>https://www.scopus.com/inward/record.uri?eid=2-s2.0-85198565934&amp;doi=10.1016%2fj.jum.2024.07.001&amp;partnerID=40&amp;md5=13c6c5bf06a5b566465fa26136519f33</t>
  </si>
  <si>
    <t>Policymakers increasingly integrate urban pluvial flood risk management into multiple strategies, acknowledging that local contexts and the actors involved are crucial. However, the literature on the decision-making processes of community-based pluvial flood risk management sheds little light on how local formal and informal actors relate to each other. This paper contributes to filling this research gap by exploring the interdependency between local authorities and community residents from a multilevel governance perspective. Two cases, based in Pearl River Delta Cities, are analysed to explore actors' interactions locally in the Chinese Sponge City Program, a national programme for urban pluvial flood risk management. The comparative study of the two cases leads to four conclusions. First, the Sponge City Program at the local level can be viewed as multilevel governance. Second, triggered by the goal set by the national government and the local contexts, local authorities see the benefit of locally integrating the Sponge City Program into an integrated and area-specific plan, emphasizing the importance of institutional assertiveness. Third, tensions and synergies exist in the interaction process between local authorities and residents that will have to be recognized and embraced and, where necessary, converted from constraining to enabling factors. Fourth, institutional barriers still dominate locally in the Sponge City Program because of a lack of support for cross-boundary cooperation and public participation. To span these boundaries, policymakers should be more open to changing the perspective from ‘planning for people’ to ‘planning with people’. © 2024 The Authors</t>
  </si>
  <si>
    <t>2-s2.0-85198565934"</t>
  </si>
  <si>
    <t>Geosciences Journal</t>
  </si>
  <si>
    <t>10.1007/s12303-024-0042-0</t>
  </si>
  <si>
    <t>https://www.scopus.com/inward/record.uri?eid=2-s2.0-85205881782&amp;doi=10.1007%2fs12303-024-0042-0&amp;partnerID=40&amp;md5=45f26580491cc086f3c02dc0b4cb43ef</t>
  </si>
  <si>
    <t>Soil erosion inventory of a river basin is vital for effective soil conservation and sustainable development considering the ongoing Global change. In the current study, gross soil erosion rates (A) are estimated for a mountainous river in a tropical climate, the Karamana River Basin (KRB), southern India by utilizing the Revised Universal Soil Loss Equation (RUSLE). The RUSLE model computes ‘A’, as a product function of five variables</t>
  </si>
  <si>
    <t>10.1016/j.pdisas.2024.100388</t>
  </si>
  <si>
    <t>https://www.scopus.com/inward/record.uri?eid=2-s2.0-85211030250&amp;doi=10.1016%2fj.pdisas.2024.100388&amp;partnerID=40&amp;md5=a7cb3536059d850b9bb504608379c33d</t>
  </si>
  <si>
    <t>This paper attempts to measure the role of the mangrove ecosystem in minimizing coastal exposure using the InVEST (V3.9.0) Coastal Vulnerability Assessment (CVA) model in Tamil Nadu, India. The result depicts that the exposure value of the Tamil Nadu coastal stretch varies from 1.71 to 4.78 on a five-point scale. More than half of the coastal segments in Tamil Nadu have high to very high exposure, whereas nearly 10 % of the coastal segments are recorded under very low exposure. The model demonstrated that having the existing mangrove patches in the Pichavaram and Muthpet regions significantly reduces the exposure value from 3.47 to 2.80 and 4.78 to 2.10, respectively. Further, the present study modelled the impact of future Sea Level Rise (SLR) on the mangrove ecosystems using a static inundation modelling approach under different Representative Concentration Pathways (RCPs). Results depict a significant loss of mangrove habitats from 9.55 % to 58.33 % and 20.88 % to 48.02 % for both the Pichavaram and Muthupet mangrove regions, respectively, by the end of this century (2100). Since the coastal hazards are expected to intensify, our results can benefit policymakers by highlighting the prioritized areas and location-specific interventions for fostering Ecosystem-based Disaster Risk Reduction (Eco-DRR) strategies. © 2024 The Authors</t>
  </si>
  <si>
    <t>2-s2.0-85211030250"</t>
  </si>
  <si>
    <t>10.1016/j.jenvman.2024.123069</t>
  </si>
  <si>
    <t>https://www.scopus.com/inward/record.uri?eid=2-s2.0-85207597016&amp;doi=10.1016%2fj.jenvman.2024.123069&amp;partnerID=40&amp;md5=4e48641ccd84e485c46a27049787543b</t>
  </si>
  <si>
    <t>Weakening wetland ecosystem services (ES) significantly hinders the achievement of the Sustainable Development Goals (SDGs). It is essential to combine multiple methods for evaluating wetland ecosystem services value (ESV) and to clearly depict the spatial distribution of ESVs. Based on the local conditions of the Pearl River Delta (PRD), this study proposed a monetary evaluation system for wetland ESV, developed a method for spatially allocating individual ESVs, and identified the dominant wetland functions across different cities and types of wetlands. The results yielded the following findings: (1) The wetland ESV system effectively identifies differences in ESV across cities and wetland types. The PRD's ESV increased by 23.29% between 2000 and 2020. (2) The new spatial allocation method analyzed individual ESVs to provide spatial references for improving wetland ESV. Fishery products and flood control and water storage are the two largest wetland functions in the PRD. All ESVs increased except for temperature regulation and water purification. (3) The identification and classification of dominant wetland functions provide insights into site-specific management of urban wetlands informed by ESV. These results provide a reference for assessing wetland ESV in other delta regions facing high population density and wetland degradation pressures. Understanding the role of wetland ESs in supporting the SDGs and how they interconnect and contribute to their achievement will be a key future research topic. © 2024 Elsevier Ltd</t>
  </si>
  <si>
    <t>2-s2.0-85207597016"</t>
  </si>
  <si>
    <t>10.1016/j.geomorph.2024.109462</t>
  </si>
  <si>
    <t>https://www.scopus.com/inward/record.uri?eid=2-s2.0-85208065096&amp;doi=10.1016%2fj.geomorph.2024.109462&amp;partnerID=40&amp;md5=ba37d852ffaf32312e750af443af2a49</t>
  </si>
  <si>
    <t>Storm surge barriers and closure dams influence estuarine morphology. Minimizing consequential ecological impacts requires a thorough understanding of the morphological adaptation mechanisms and associated time scales. Both are unraveled using three decades of morphological measurements on the adaptation of the Eastern Scheldt estuary (The Netherlands) to a storm surge barrier and closure dams. Both the storm surge barrier (through a decrease in cross-sectional area) and closure dams (inducing a reduction in surface area of the estuary) contributed to a reduction in tidal prism. As a smaller tidal prism implies a smaller equilibrium volume of the channels, the channels demand sediment to adjust. Consequently, by providing sediment to the channels, the intertidal flats erode. Erosion rates decreased while the sediment demand of the channels attenuated. This attenuation in sediment demand resulted mainly from tidal prism gains, caused by intertidal flat erosion and sea level rise. Erosion rates of the intertidal flats decreased further while they flattened to adapt to the reduced tidal velocities. Furthermore, storms caused erosion events, after which the long-term adaptation pace of intertidal flats suddenly reduced. Despite decreasing erosion, sea level rise enhances the drowning of intertidal flats in sediment-scarce estuarine systems, thereby pressuring these estuarine ecosystems and raising the need for mitigation measures. © 2024 The Authors</t>
  </si>
  <si>
    <t>2-s2.0-85208065096"</t>
  </si>
  <si>
    <t>Transactions in GIS</t>
  </si>
  <si>
    <t>10.1111/tgis.13268</t>
  </si>
  <si>
    <t>https://www.scopus.com/inward/record.uri?eid=2-s2.0-85207861653&amp;doi=10.1111%2ftgis.13268&amp;partnerID=40&amp;md5=642ebf99c10645b6f69dfe067353381d</t>
  </si>
  <si>
    <t>Coastal zones are susceptible to increasing pressures from urban development and natural hazards, such as storm events, climate change, and rising sea levels. The GIS-based enhanced bathtub model (eBTM) enables the identification of areas at risk of flooding as a baseline for disaster management and coastal adaptation. This study aims to establish the methodological robustness of the eBTM for coastal flood modeling, by analyzing eight sites flooded during a recent storm event in Table Bay, Cape Town by comparing eBTM outputs with observed flood extent data collected after the storm. The validation showed that for 74% of the 332 validation points the spatial modeling error was &lt; 6 m and for 56% below 3 m. The root mean square error for the model was 4.88 m, indicating an acceptable level of accuracy of the eBTM outputs for coastal risk assessments where more sophisticated models are unavailable. © 2024 The Author(s). Transactions in GIS published by John Wiley &amp; Sons Ltd.</t>
  </si>
  <si>
    <t>2-s2.0-85207861653"</t>
  </si>
  <si>
    <t>10.1038/s41598-024-78238-0</t>
  </si>
  <si>
    <t>https://www.scopus.com/inward/record.uri?eid=2-s2.0-85209478927&amp;doi=10.1038%2fs41598-024-78238-0&amp;partnerID=40&amp;md5=52c9e8508d9f960c07851c179c8ebfa7</t>
  </si>
  <si>
    <t>The escalating threat of climate change has placed global coastal communities at risk, with rising sea levels and intensified storm events presenting unprecedented challenges. Coastal vulnerability assessments, conducted every 3–5 years, are crucial. This empirical study assesses the Coastal Vulnerability Index (CVI) for the distinct coastal contexts of Dawlish, Happisburgh (England), and Aberystwyth (Wales). The CVI method consists of the Physical Coastal Vulnerability Index (PCVI) and the Economic Coastal Vulnerability Index (ECVI), which provide a multidimensional assessment of vulnerability for coastal zones. This integrated index allows for a nuanced evaluation of vulnerability, distinguishing between sites based on various factors. Additionally, this study conducted a correlation analysis to understand the associations between the parameters. The findings demonstrate that physical features like beach and dune widths significantly impact a location’s natural defences, and economic factors such as property values and population density are equally crucial in determining societal risks and potential financial repercussions. The Combined Coastal Vulnerability Index (CCVI) results confirm the effectiveness of incorporating a diverse range of variables. Despite its substantial economic value, it reveals that Dawlish requires targeted protective measures, whereas Happisburgh needs an increased focus on its most vulnerable sectors. Aberystwyth emerges as the area with the highest overall vulnerability, underscoring the need for comprehensive coastal management practices. The study’s conclusions emphasize the essential role of adaptive, integrated management strategies in enhancing coastal resilience against the complex threats posed by climate dynamics. Moving forward, the indices established herein advocate for their use in strategic planning and policymaking to strengthen coastal regions in the face of sea-level rise and climatic variability. This investigation lays the groundwork for future research, aimed at refining and expanding these methodologies, aspiring to develop a detailed national coastal vulnerability atlas, a critical tool for informed decision-making and safeguarding at-risk communities. © The Author(s) 2024.</t>
  </si>
  <si>
    <t>2-s2.0-85209478927"</t>
  </si>
  <si>
    <t>10.1016/j.jhydrol.2024.132190</t>
  </si>
  <si>
    <t>https://www.scopus.com/inward/record.uri?eid=2-s2.0-85206993283&amp;doi=10.1016%2fj.jhydrol.2024.132190&amp;partnerID=40&amp;md5=4a13dfdc48fd997792accab89a653c36</t>
  </si>
  <si>
    <t>Recently, the high incidence of extreme rainfall and flood events worldwide has severely harmed regional economies and societies. Therefore, flood simulations and forecasts, which can provide key technical support for regional flood control and disaster reduction, are urgently needed. The Liuxihe model, as a fully distributed, physically based hydrological model, was improved in this study to simulate extreme rainfall flood events in the Beijiang River Basin. This basin is a famous rainstorm centre in Guangxi Province, China. In this work, the Liuxihe model is improved in two aspects: first, its structure and runoff generation and confluence algorithm are improved, and second, the parameter calibration method is optimised. These two adjustments improve the flood simulation performance of the model and reduce the uncertainty of the simulation results. The results revealed that the flood simulated by the improved Liuxihe model was strongly consistent with the measured values, and the index values of the Nash coefficient, correlation coefficient, process relative error, and flood peak flow error performed very well in the scheme evaluation</t>
  </si>
  <si>
    <t>10.1002/esp.6017</t>
  </si>
  <si>
    <t>https://www.scopus.com/inward/record.uri?eid=2-s2.0-85208946353&amp;doi=10.1002%2fesp.6017&amp;partnerID=40&amp;md5=9a566ea0a04671174f8a911f40ceeeb0</t>
  </si>
  <si>
    <t>An unprecedented precipitation event in the hyper-arid Atacama Desert of Northern Chile occurred in March 2015. Geomorphic alterations to the river channel and the coastal zone, coupled with the exceptional magnitude of the rainfall, caused catastrophic damage and loss of life. On the coast of the El Salado watershed, legacy mine tailings infilled the watershed-ocean connection, while the river channel was altered both by tailings and urbanization. The consequences of this event resulted from the coupling of anthropogenic geomorphic changes with an unusual climate event. Lack of field data, complex geomorphology and sediment loads influenced by human activity make analysing floods in these regions especially challenging. The objective of this work is to improve our understanding of the factors that control flood hazards by using numerical simulations to reconstruct the 2015 flood in El Salado. We carry out unsteady two-dimensional simulations fully coupled with the sediment concentration to identify the influence of tailing deposits, considering high-resolution data of the pre- and post-2015 flood topography. The results highlight the importance of specific event-based studies, using models that can help designing better strategies for climate change adaptation and risk mitigation, while providing information for risk reduction and channel restoration. © 2024 John Wiley &amp; Sons Ltd.</t>
  </si>
  <si>
    <t>2-s2.0-85208946353"</t>
  </si>
  <si>
    <t>10.1038/s43247-024-01848-z</t>
  </si>
  <si>
    <t>https://www.scopus.com/inward/record.uri?eid=2-s2.0-85208715334&amp;doi=10.1038%2fs43247-024-01848-z&amp;partnerID=40&amp;md5=c07e628cf415dc6f3f26015e36e1dc5e</t>
  </si>
  <si>
    <t>Communities respond to flooding events based upon risk perceptions and available adaptive behaviors (e.g., emigrating, purchasing insurance, constructing levees). Across the United States, sea level rise, intensifying storm-surges, and extreme rainfall may alter human-flood dynamics. Here, we use calibrated Socio-Environmental models of contiguous US coastal census tracts and two shared socio-economic pathways (SSP245 and SSP585). We project that by 2100, total flood insurance claims will increase by +25% to +130% under low (SSP245) and high (SSP585) emissions scenarios, respectively. The increase in flood insurance claims will impact mainly socially vulnerable communities. Further, we project that active NFIP policies will increase from +30% under low emission scenario to +60% under high emission scenario. Our finding also suggests the growing debt of the National Flood Insurance Program under higher emissions. Raising the water elevation threshold for coastal flooding by +1 meter via levees may reduce future surge-related losses by 95% and 40% under low and high emission scenarios and stabilize housing markets. Our future projections of flood insurance claims, policy coverage, and the impact of water elevation serve as credible hypotheses for the evolution of human flood dynamics under climate change. They can inform national flood policy and future research. © The Author(s) 2024.</t>
  </si>
  <si>
    <t>2-s2.0-85208715334"</t>
  </si>
  <si>
    <t>10.1016/j.scitotenv.2024.176257</t>
  </si>
  <si>
    <t>https://www.scopus.com/inward/record.uri?eid=2-s2.0-85204518908&amp;doi=10.1016%2fj.scitotenv.2024.176257&amp;partnerID=40&amp;md5=03fb0366152ae008eaf9b0bf71a16404</t>
  </si>
  <si>
    <t>Beach erosion is an adverse impact of climate change and human development activities. Effective beach management necessitates integrating natural and anthropogenic factors to address future erosion trends, while most current prediction models focus only on natural factors, which may provide an incomplete and potentially inaccurate representation of erosion dynamics. This study enhances prediction methods by integrating both natural and anthropogenic factors, thereby enhancing the accuracy and reliability of erosion projections. By extracting historical shorelines through CoastSat model from 1986 to 2020, we develop multivariable scenarios with Attention-LSTM model to predict the regional impacts of natural and anthropogenic factors on erosion to sandy beaches along the typical shoreline of Shenzhen in China. Results reveal that Shenzhen's beaches experienced erosion up to 12 m over the past 35 years. Here we project a decrease in the mean erosion rate of the beaches, identifying population growth (21.0 %) as the main controlling factor before the mid-century in a range of scenarios. We find that Attention-LSTM multi-model ensemble approach can provide overall improved accuracy and reliability over a wide range of beach erosion compared to scenario prediction model of Attention-LSTM and statistical model of Digital Shoreline Analysis System (DSAS), yielding an average uncertainty of 10.99 compared to 13.29. These insights reveal policies to safeguard beaches because of the rising demand for beaches due to human factors, coupled with decreased impervious surfaces through ecological conservation, lead to mitigation for beach erosion. Accurate forecasts empower policymakers to implement effective coastal management strategies, safeguard resources, and mitigate erosion's adverse effects. Our study offers finely-tuned predictions of coastal erosion, providing crucial insights for future coastal conservation efforts and climate change adaptation along the shoreline, and serving as a foundation for further research aimed at understanding the evolving environmental impacts of beach erosion in Shenzhen. © 2024 Elsevier B.V.</t>
  </si>
  <si>
    <t>2-s2.0-85204518908"</t>
  </si>
  <si>
    <t>Journal of Earth Science</t>
  </si>
  <si>
    <t>10.1007/s12583-023-1867-6</t>
  </si>
  <si>
    <t>https://www.scopus.com/inward/record.uri?eid=2-s2.0-85212673602&amp;doi=10.1007%2fs12583-023-1867-6&amp;partnerID=40&amp;md5=56133850a0a003241b35a21c53616ccd</t>
  </si>
  <si>
    <t>Using historical topographic maps and aerospace remote sensing data since the 1930s, this study investigates the spatial and temporal evolution of Dongting Lake beach. The evolution characteristics of the beaches in different regions and the related formation mechanism were also analyzed. The results show that Dongting Lake beach expanded from 1 622.17 km2 in 1938 to 1 962.28 km2 in 2018. With the addition of 980.96 km2 of reclaimed high bay beach, the beach area increased by 1 321.07 km2. However, the change process fluctuated somewhat rather than continuously increased. Substantial expansion of the beach area occurred during 1938–1948 and 1958–1998, while slow contraction of the beach area occurred during 1948–1958 and 1998–2018. Dongting Lake beach was dominated by terrigenous debris, the sedimentary types included lacustrine deposits, river alluvial deposits, floodplain and main channel deposits, and river-lake interaction deposits. The rapid expansion occurred in the estuary delta of the east branch of the Ouchi River, which advanced 38.55 km from the estuary toward the lake over the past 90 years. The causes of the changes in the beach included beach reclamation, sediment changes, and lake sand mining. Seventy embankments (covering 2 057.77 km2) have been enclosed in the Dongting Lake area since 1930s, of which the high bay beach covered an area of 980.96 km2. The amount of sediment deposited in Dongting Lake has reached 230 857 × 104 m3 since 1950s, which is equivalent to an average deposition height of 0.85 m on the lake’s bottom. The mining of lake sand caused the beach to shrink, and the proportion of the beach area decreased from 77.18% in 1998 to 72.60% in 2018. The results of this study provide objective data for protecting the lakeshore’s ecosystem and biodiversity and supporting the ecological restoration and environmental protection of the Yangtze River Basin. © China University of Geosciences (Wuhan) and Springer-Verlag GmbH Germany, Part of Springer Nature 2024.</t>
  </si>
  <si>
    <t>2-s2.0-85212673602"</t>
  </si>
  <si>
    <t>10.1038/s43247-024-01868-9</t>
  </si>
  <si>
    <t>https://www.scopus.com/inward/record.uri?eid=2-s2.0-85209122923&amp;doi=10.1038%2fs43247-024-01868-9&amp;partnerID=40&amp;md5=009e5d52b087c4b79116c60aac5a4ca4</t>
  </si>
  <si>
    <t>Tropical cyclones have a big impact on flood risk, and understanding how their activity interacts with population exposure under climate change is critical. Here we investigate spatiotemporal changes in flood risk using numerical models together with historical observations and future projections of tropical cyclone tracks. We find that tropical cyclone-related flood risk shifts from the Mekong Delta to the eastern lower Mekong Basin, driven by the interaction between tropical cyclones and population exposure. Historically, extreme precipitation from tropical cyclones increased flood risk in about 14% and decreased in 7% of the basin. Future tropical cyclones may increase flood risk in about 7% and reduce in nearly 18% of the basin. Moreover, population exposure growth has historically increased flood risk in 3% of the basin and is projected to result in a 1% increase. These findings highlight the complex interactions of tropical cyclone hazards and socioeconomic factors influencing flood risk. © The Author(s) 2024.</t>
  </si>
  <si>
    <t>2-s2.0-85209122923"</t>
  </si>
  <si>
    <t>10.3390/rs16234447</t>
  </si>
  <si>
    <t>https://www.scopus.com/inward/record.uri?eid=2-s2.0-85211945457&amp;doi=10.3390%2frs16234447&amp;partnerID=40&amp;md5=6a1fe88e68b0991b57d49920d5de0a7a</t>
  </si>
  <si>
    <t>The glaciers in the High Mountain Asia (HMA) region are highly vulnerable to global warming, posing significant threats to downstream populations and infrastructure through glacier lake outburst floods (GLOFs). The monitoring and early warnings of these events are challenging due to sparse observations in these remote regions. To explore reproducing the evolution of GLOFs with sparse observations in situ, this study focuses on the outburst event and corresponding GLOFs in August 2018 caused by the Kyagar Glacier lake, a typical glacier lake of the HMA in the Karakoram, which is known for its frequent outburst events, using a combination of multi-satellite remote sensing data (Sentinel-1 and Sentinel-2) and the HEC-RAS hydrodynamic model. The water depth of the glacier lake and downstream was extracted from satellite data adapted by the Floodwater Depth Elevation Tool (FwDET) as a baseline to compare them with simulations. The elevation-water volume curve was obtained by extrapolation and was applied to calculate the water surface elevation (WSE). The inundation of the downstream of the lake outburst was obtained through flood modeling by incorporating a load elevation-water volume curve and the Digital Elevation Model (DEM) into the hydrodynamic model HEC-RAS. The results showed that the Kyagar glacial lake outburst was rapid and destructive, accompanied by strong currents at the end of each downstream storage ladder. A series of meteorological evaluation indicators showed that HEC-RAS reproduced the medium and low streamflow rates well. This study demonstrated the value of integrating remote sensing and hydrodynamic modeling into GLOF assessments in data-scarce regions, providing insights for disaster risk management and mitigation. © 2024 by the authors.</t>
  </si>
  <si>
    <t>2-s2.0-85211945457"</t>
  </si>
  <si>
    <t>Earth, Planets and Space</t>
  </si>
  <si>
    <t>10.1186/s40623-024-02019-2</t>
  </si>
  <si>
    <t>https://www.scopus.com/inward/record.uri?eid=2-s2.0-85193417616&amp;doi=10.1186%2fs40623-024-02019-2&amp;partnerID=40&amp;md5=e698fb662276788a50b6b0e62097d997</t>
  </si>
  <si>
    <t>Previous studies showed that there is a discrepancy between total subsidence (measured on the ground surface) and shallow compression (measured within several hundred meters beneath the ground surface) in Taiwan. This difference is referred to as deep displacement in this study. The variations of deep displacement are opposite to those of ground surface displacement and groundwater level within the depth of several hundred meters. The mechanism is unknown and requires further investigation. This study adopts two kinds of geodetic observation data and separates land subsidence into shallow compression and deep displacement to investigate the mechanism of deep displacement. A tectonically active coastal area in Taiwan is selected as the study area. The assessment results show that the associated variations are likely due to cyclic hydraulic loading and unloading. The variations of deep displacement are opposite to those of ground surface displacement. This study proposes that these variations are due to hydraulic expansion and contraction. The mechanism is demonstrated using a hydromechanical model. The results of a cross-correlation analysis show that hydraulic expansion and contraction occur at certain depths. The study results provide important information on the mechanism of deep displacement that can be used in tectonophysical and land subsidence investigations. Graphical Abstract: (Figure presented.). © The Author(s) 2024.</t>
  </si>
  <si>
    <t>2-s2.0-85193417616"</t>
  </si>
  <si>
    <t>10.1016/j.jenvman.2024.122657</t>
  </si>
  <si>
    <t>https://www.scopus.com/inward/record.uri?eid=2-s2.0-85205442854&amp;doi=10.1016%2fj.jenvman.2024.122657&amp;partnerID=40&amp;md5=55ec9b35bc79cc609bbc4c9a125d4183</t>
  </si>
  <si>
    <t>Coastal wetland restoration projects can receive payments for ecosystem services but often occur in regions with limited data, and additional data collection can be financially prohibitive. Value of Information analysis can quantify the difference between the expected value of an action before and after new information has been collected, aiming to understand how much data is required to make decisions that balance the costs of implementation versus the benefits of the project. The Australian carbon market provides a method that uses reintroduction of tidal flows to restore coastal wetland ecosystems for their carbon sequestration functions. The method requires a hydrological assessment of prospective sites, which is employed to estimate carbon sequestration potential. This research investigates how different amounts of data collection and different levels of complexity in the hydrological assessment influence the carbon abatement emissions estimated using the method. The results indicate that tidal restoration for blue carbon credits on grazing land may not be financially viable. We found that tidal data collected onsite were important for decision-making while complex hydrological models have low value compared to more simplistic approaches. While investing in data collection provides more value than increasing the complexity of modelling approaches, the value of information was still low. Additionally, restoration of coastal wetlands is unlikely to be financially attractive at current carbon prices, and the land would have to be unsuitable for cattle to become profitable for restoration. This work provides a framework for evaluating the financial benefit of collecting on-site data and using robust methods for estimating inundation, that can be used to guide decision-making to achieve optimal income. © 2024 The Authors</t>
  </si>
  <si>
    <t>2-s2.0-85205442854"</t>
  </si>
  <si>
    <t>10.1016/j.scitotenv.2024.174393</t>
  </si>
  <si>
    <t>https://www.scopus.com/inward/record.uri?eid=2-s2.0-85197115341&amp;doi=10.1016%2fj.scitotenv.2024.174393&amp;partnerID=40&amp;md5=ee872d903aa87b604a4712750b312cfe</t>
  </si>
  <si>
    <t>Coastal areas, situated at the critical juncture of sea-land interaction, are confronted with significant challenges from coastal erosion and flooding. It is imperative to evaluate these risks and offer scientific guidance to foster regional sustainable development. This article developed a coastal risk assessment model based on grid scale, integrating both coastal exposure and socio-ecological environment. Fourteen indicators were selected, aiming to offer a systematic approach for estimating and comparing disaster risks in coastal areas. This risk assessment model was applied to Shanghai, New York, Sydney, San Francisco, Randstad, and Tokyo metropolitan areas. The results indicate: (1) Accounting for the protective role of habitat types like mangroves and the distance attenuation effect offered a more precise representation of hazard situation</t>
  </si>
  <si>
    <t>10.3390/rs16224320</t>
  </si>
  <si>
    <t>https://www.scopus.com/inward/record.uri?eid=2-s2.0-85210568438&amp;doi=10.3390%2frs16224320&amp;partnerID=40&amp;md5=bddad86be6c2d0fe5b24586ad243269c</t>
  </si>
  <si>
    <t>Reclamation is an effective strategy for alleviating land scarcity in coastal areas, thereby providing additional arable land and opportunities for marine ranching. Monitoring the safety of artificial reclamation embankments is crucial for protecting these reclaimed areas. This study employed synthetic aperture radar interferometry (InSAR) using 224 Sentinel-1A data, spanning from 9 January 2016 to 8 April 2024, to investigate the deformation characteristics of the coastal reclamation embankment in Funing Bay, China. We optimized the phase-unwrapping network by employing ambiguity-detection and redundant-observation methods to facilitate the multitemporal InSAR phase-unwrapping process. The deformation results indicated that the maximum observed land subsidence rate exceeded 50 mm per year. The Funing Bay embankment exhibited a higher level of internal deformation than areas closer to the sea. Time-series analysis revealed a gradual deceleration in the deformation rate. Furthermore, a geotechnical model was utilized to predict future deformation trends. Understanding the spatial dynamics of deformation characteristics in the Funing Bay reclamation embankment will be beneficial for ensuring the safe operation of future coastal reclamation projects. © 2024 by the authors.</t>
  </si>
  <si>
    <t>2-s2.0-85210568438"</t>
  </si>
  <si>
    <t>10.1007/s11600-024-01341-3</t>
  </si>
  <si>
    <t>https://www.scopus.com/inward/record.uri?eid=2-s2.0-85189981648&amp;doi=10.1007%2fs11600-024-01341-3&amp;partnerID=40&amp;md5=3e5a40844433917245503fe5ebb49b9d</t>
  </si>
  <si>
    <t>Coastal morphology is persistently changing in structure and environment because of natural and anthropogenic effects. Consequently, determining the spatiotemporal variability of coastal areas has become a significant source of concern. The study focuses on automatic delineation of the shoreline using edge detection algorithms</t>
  </si>
  <si>
    <t>10.1029/2024GL109993</t>
  </si>
  <si>
    <t>https://www.scopus.com/inward/record.uri?eid=2-s2.0-85209930907&amp;doi=10.1029%2f2024GL109993&amp;partnerID=40&amp;md5=cf75b4e2c20a66f6b628f0bb8e8ac04f</t>
  </si>
  <si>
    <t>Karst subterranean estuaries within globally ubiquitous carbonate aquifers are coastal groundwater ecosystems that provide an essential water resource for human populations. To understand the drivers of salinization within a coastal aquifer in the Yucatan Peninsula (Mexico), we employed hydroacoustics in flooded caves to observe how oceanic and atmospheric events facilitate mixing between the meteoric lens (fresh-brackish groundwater) and the saline groundwater on tidal and episodic timescales. Precipitation during Tropical Storm Carlotta increased the flow and salinity of the meteoric lens without evidence for vertical mixing across the halocline. We postulate that vertical migration of haloclines in the conduit relative to those within the rock matrix during precipitation creates lateral density gradients that drive mixing, and ultimately creates a brackish layer within the meteoric lens. These results provide a mechanistic explanation for vertical and lateral exchange in a coastal carbonate aquifer, which has implications for groundwater response to future climatic change. Published 2024. This article is a U.S. Government work and is in the public domain in the USA. Geophysical Research Letters published by Wiley Periodicals LLC on behalf of American Geophysical Union.</t>
  </si>
  <si>
    <t>2-s2.0-85209930907"</t>
  </si>
  <si>
    <t>10.1016/j.scitotenv.2024.176167</t>
  </si>
  <si>
    <t>https://www.scopus.com/inward/record.uri?eid=2-s2.0-85203661367&amp;doi=10.1016%2fj.scitotenv.2024.176167&amp;partnerID=40&amp;md5=85aa7c97deceeba892428b17515dd59b</t>
  </si>
  <si>
    <t>Flooding of paddy fields enhances methane (CH4) emissions and arsenic (As) mobilisation, which are crucial issues for agricultural greenhouse gas emissions and food safety. Birnessite (δ-MnO2) is a common natural oxidant and scavenger for heavy metals. In this study, birnessite was applied to As-contaminated paddy soil. The capacity for simultaneously alleviating CH4 emissions and As mobility was explored. Soil microcosm incubation results indicated that birnessite addition simultaneously reduced CH4 emissions by 47 %–54 % and As release by 38 %–85 %. The addition of birnessite decreased the dissolved organic carbon (DOC) contents and altered its chemical properties. Fourier transform ion cyclotron resonance mass spectrometry (FT-ICR-MS) results showed that birnessite reduced the labile fractions of proteins, carbohydrates, lignins, tannins, and unsaturated hydrocarbons, however, increased the abundance of condensed aromatic structures, suggesting the polymerisation of dissolved organic matter (DOM) by birnessite. The degradation of labile fractions and the polymerisation of DOM resulted in an inventory of recalcitrant DOM, which is difficult for microbes to metabolise, thus inhibiting methanogenesis. In contrast, birnessite addition increased CH4 oxidation, as the particulate methane monooxygenase (pmoA) gene abundance increased by 30 %. The enhanced polymerisation of DOM by birnessite also increased As complexation with organics, leading to the transfer of As to the organic bound phase. In addition, the decrease in ferrous ion [Fe(II)] concentrations with birnessite indicated that the reductive dissolution of Fe oxides was suppressed, which limited the release of arsenite [As(III)] under reducing conditions. Furthermore, birnessite decreased As methylation and shaped the soil microbial community structure by enriching the metal-reducing bacterium Bacillus. Overall, our results provide a promising method to suppress greenhouse gas emissions and the risk of As contamination in paddy soils, although further studies are needed to verify its efficacy and effectiveness under field conditions. © 2024</t>
  </si>
  <si>
    <t>2-s2.0-85203661367"</t>
  </si>
  <si>
    <t>10.1016/j.ijdrr.2024.104723</t>
  </si>
  <si>
    <t>https://www.scopus.com/inward/record.uri?eid=2-s2.0-85206824862&amp;doi=10.1016%2fj.ijdrr.2024.104723&amp;partnerID=40&amp;md5=e46f1e678e81e9740f305f01592dfc91</t>
  </si>
  <si>
    <t>Despite the rising global flood risk, the impacts of flooding remain systematically underestimated, leading to significant consequences for particularly vulnerable river deltas. Most studies focus either on single hazards or social vulnerability while overlooking the interconnected dynamics of deltaic social-ecological systems. In response to the first priority of the Sendai Framework, which calls for an understanding of disaster risk in all its dimensions, we apply the Global Delta Risk Index in the Ayeyarwady Delta of Myanmar. We combine 55 indicators of social- and ecosystem vulnerability with 100-year, 500-year, and 1,000-year scenarios of pluvial, fluvial, and coastal flood hazards and exposure at the sub-delta scale. Using townships as units of analysis allows for bridging the gap between global and local case studies, providing insights that are meaningful for risk-informed development of the delta as a whole system. We also examine the distinctive characteristics that define the delta systems that are particularly prone to flooding. Our results reveal patterns and drivers of flood risk and vulnerability that affect at least 65 % of the delta's population and 60 % of its ecosystem, with self-reinforcing dynamics, but also those that contribute to the mutual resilience of both systems. We argue that the principles of integrated flood management should be applied to leverage scarce resources to simultaneously reduce risk, secure livelihoods and preserve ecosystem services. © 2024 The Authors</t>
  </si>
  <si>
    <t>2-s2.0-85206824862"</t>
  </si>
  <si>
    <t>10.1038/s43247-024-01206-z</t>
  </si>
  <si>
    <t>https://www.scopus.com/inward/record.uri?eid=2-s2.0-85182436838&amp;doi=10.1038%2fs43247-024-01206-z&amp;partnerID=40&amp;md5=aea1ab99c2a81ff929f34462c1838ee3</t>
  </si>
  <si>
    <t>Extreme sea levels impact coastal society, property, and the environment. Various mitigation measures are engineered to reduce these impacts, which require extreme event probabilities typically estimated site-by-site. The site-by-site estimates usually have high uncertainty, are conditionally independent, and do not provide estimates for ungauged locations. In contrast, the max-stable process explicitly incorporates the spatial dependence structure and produces more realistic event probabilities and spatial surfaces. We leverage the max-stable process to compute extreme event probabilities at gridded locations (gauged and ungauged) and derive their spatial surfaces along the contiguous United States coastlines by pooling annual maximum (AM) surges from selected long-record tide gauges. We also generate synthetic AM surges at the grid locations using the predicted distribution parameters and reordering them in the rank space to integrate the spatiotemporal variability. The results will support coastal planners, engineers, and stakeholders to make the most precise and confident decisions for coastal flood risk reduction. © 2024, The Author(s).</t>
  </si>
  <si>
    <t>2-s2.0-85182436838"</t>
  </si>
  <si>
    <t>Journal of Oceanology and Limnology</t>
  </si>
  <si>
    <t>10.1007/s00343-024-3234-6</t>
  </si>
  <si>
    <t>https://www.scopus.com/inward/record.uri?eid=2-s2.0-85199279599&amp;doi=10.1007%2fs00343-024-3234-6&amp;partnerID=40&amp;md5=c4a92b4aa22fb93a2f3c05dee9fc5c94</t>
  </si>
  <si>
    <t>Human perturbations such as dam regulation have led to significant changes in nutrient flux, structure, and spatiotemporal distribution through rivers and have greatly influenced coastal and estuarine ecological environments. Based on the data from 2001–2019, the impacts of the water-sediment regulation scheme (WSRS) in the Huanghe (Yellow) River on nutrient concentrations, forms, fluxes, and potential ecological effects on the Huanghe River estuary and Bohai Sea were analyzed. Nutrient concentrations and forms were significantly influenced by the different regulatory modes and were associated with hydrological and biogeochemical processes. The concentrations and forms of nutrients were strongly influenced by the riparian floodplains and scouring process of the downstream riverbed at the water draining stage, while they were influenced mainly by the mixing process in the Xiaolangdi Reservoir at the sediment desilting stage. Compared with those in non-WSRS years, the seasonal distributions of water discharge and nutrient fluxes in WSRS years significantly changed, with peaks occurring at least one month earlier than those in non-WSRS years. Nitrate (NO3-N), phosphate (PO4-P), and silicate (SiO3-Si) fluxes during the WSRS, which were strongly controlled by water discharge at Lijin (the nearest hydrological station to the river mouth), accounted for more than 20% of the annual fluxes</t>
  </si>
  <si>
    <t>10.1029/2024GL109675</t>
  </si>
  <si>
    <t>https://www.scopus.com/inward/record.uri?eid=2-s2.0-85205760506&amp;doi=10.1029%2f2024GL109675&amp;partnerID=40&amp;md5=0a4b1393dda1960482f61af5d10b8a04</t>
  </si>
  <si>
    <t>Mangrove forests are critical coastal ecosystems that provide great socio-ecological services, which are also highly vulnerable to climate change, particularly to sea level rise (SLR). Here we assess changes in mangrove forests in four distinct river/tide/wave-dominant large deltas along the Indo-Pacific coast based on 1,336 remote sensing images by machine learning techniques. We find that mangroves are migrating seaward at a rate of 18% ± 12% m/yr, which can offset landward mangroves loss, 67% of which caused by land use conversion. The fact that mangroves are expanding seaward with accretion rates exceeding SLR suggests that climate change has not yet triggered substantial loss in deltaic mangrove forests. Assuming that present environmental conditions do not change and that sediment and organic deposition in the deltaic topsets match SLR rates, we project that 90% of deltaic mangrove forests may start to retreat after 132–194 years. Early inundation of mangroves will occur in wave-dominated delta. © 2024. The Author(s).</t>
  </si>
  <si>
    <t>2-s2.0-85205760506"</t>
  </si>
  <si>
    <t>Cambridge Prisms: Coastal Futures</t>
  </si>
  <si>
    <t>10.1017/cft.2024.12</t>
  </si>
  <si>
    <t>https://www.scopus.com/inward/record.uri?eid=2-s2.0-85215389016&amp;doi=10.1017%2fcft.2024.12&amp;partnerID=40&amp;md5=5cc86d7410bf4383de0b6424ab54610a</t>
  </si>
  <si>
    <t>Tidal flooding occurs when coastal water levels exceed impact-based flood thresholds due to tides alone, under average weather conditions. Transitions to tidal flood regimes are already underway for nuisance flood severities in harbours and bays and expected for higher severities in coming decades. In the first such regional assessment, we show that the same transition to tidally forced floods can also be expected to occur in Australian estuaries with less than 0.1 m further sea-level rise. Flood thresholds that historically used to only be exceeded under the combined effects of riverine (freshwater) and coastal (salt water) influences will then occur due to high tides alone. Once this tidal flooding emerges, it is projected to become chronic within two decades. Locations most at-risk of the emergence of tidal flooding and subsequent establishment of chronic flood regimes are those just inside estuary entrances. These locations are exemplified by low freeboard, the vertical distance between a flood threshold and a typical high tide level. We use a freeboard-based analysis to estimate the sea-level rise required for impacts associated with official flood thresholds to occur due to tides alone. The resultant tide-only flood frequency estimates provide a lower bound for future flood rates.  © Bureau of Meteorology, 2024.</t>
  </si>
  <si>
    <t>2-s2.0-85215389016"</t>
  </si>
  <si>
    <t>10.1038/s41598-024-55170-x</t>
  </si>
  <si>
    <t>https://www.scopus.com/inward/record.uri?eid=2-s2.0-85186180519&amp;doi=10.1038%2fs41598-024-55170-x&amp;partnerID=40&amp;md5=64c308443d1d5956001c2c8300440249</t>
  </si>
  <si>
    <t>Coastal zones with dense populations, low elevations and/or inadequate adaptive capacity are on the frontline of unprecedented impacts from climate change. The Gulf of Guinea (GoG), stretching from Liberia to Gabon, is in particular vulnerable to coastal flooding caused by local and/or climate-induced sea level rise. In this region, interannual to decadal coastal sea level changes remain poorly understood, mainly due to a lack of tide gauge stations. Here we use nearly three decades (1993–2021) of satellite altimetry data to study the link between the Equatorial Atlantic and coastal GoG sea level variability. The rate of mean sea level rise increased from 3.47 to 3.89 ± 0.10 mm/yr from the Equatorial oceanic domain to the GoG coastal area, with an acceleration of 0.094 ± 0.050 mm/yr2. This corresponds to a mean sea level rise of about 8.9 cm over the entire altimetry period, 1993–2021. We focus on the (extreme) warm/cold events that occur in both the GoG during Atlantic Niños, and along the Angola-Namibia coast during Benguela Niños. Both events are driven by remote forcing via equatorial Kelvin waves and local forcing by local winds, freshwater fluxes and currents intensifications. Analysis of altimetry-based sea level, sea surface temperature anomalies, 20 °C isotherm based PIRATA moorings, and the Argo-based steric and thermometric sea level allows us to follow the coastal trapped waves (CTWs) along the GoG, and its link with major events observed along the strong Equatorial Atlantic warmings in 2010, 2012, 2019 and 2021. Both 2019 and 2021 warming have been identified as the warmest event ever reported in this region during the last 40 years. A lag of 1 month is observed between equatorial and West African coastal trapped wave propagation. This observation may help to better anticipate and manage the effects of extreme events on local ecosystems, fisheries, and socio-economic activities along the affected coastlines. In order to enable informed decision-making and guarantee the resilience of coastal communities in the face of climate change, it emphasises the significance of ongoing study in this field. © The Author(s) 2024.</t>
  </si>
  <si>
    <t>2-s2.0-85186180519"</t>
  </si>
  <si>
    <t>10.1038/s41598-024-53899-z</t>
  </si>
  <si>
    <t>https://www.scopus.com/inward/record.uri?eid=2-s2.0-85187178744&amp;doi=10.1038%2fs41598-024-53899-z&amp;partnerID=40&amp;md5=08adfefe00f2cd4931faece6d0405be7</t>
  </si>
  <si>
    <t>Coastal risks in the Mediterranean are a result of the complex interplay between hydrometeorological and marine hazards. The region encompasses areas with varying degrees of vulnerability to these hazards, as well as spatial variations in exposure values, making it essential to adopt a comprehensive and nuanced approach to risk assessment and management. It is worth noting that hydrometeorological hazards, such as flash floods, can often have a greater impact than strictly coastal hazards, highlighting the need to consider the full range of potential risks. Therefore, coastal managers must adopt a multi-hazard approach to make sound risk management decisions. This study addresses this need using an index-based framework that assesses the integrated risk in time and space (hereafter referred to as cumulative compound risk) in coastal zones by aggregating the main hydrometeorological and marine hazards, the vulnerability of the territory to both types of hazards, and values at exposure. The framework is designed for use at large spatial scales (applied to a 1100 km coastline in this study), with the basic spatial unit being relevant for management (here set as the municipality in this study). Its application enables the assessment of spatial variations in integrated risk as well as individual hydrometeorological and marine contributions. The combined use of the indices and cluster analysis helps identify similarities and differences in the risk profile of spatial units, and thus, define homogeneous areas from a risk management perspective. In this study, the framework was applied to the Spanish Mediterranean coastline, an area representative of the climatic, geomorphological, and socioeconomic conditions of the Mediterranean coast. © The Author(s) 2024.</t>
  </si>
  <si>
    <t>2-s2.0-85187178744"</t>
  </si>
  <si>
    <t>10.52939/ijg.v20i11.3705</t>
  </si>
  <si>
    <t>https://www.scopus.com/inward/record.uri?eid=2-s2.0-85211351062&amp;doi=10.52939%2fijg.v20i11.3705&amp;partnerID=40&amp;md5=5689fdd5589079229489ec17135da3a1</t>
  </si>
  <si>
    <t>Ensuring the vertical and horizontal accuracy of UAV-DEM is crucial for precision of results in any geohazard modeling like flood modeling. Various factors affecting UAV-DEMs accuracy, particularly the number and spatial distribution of Ground Control Points (GCPs) used in the surveyed area. This study aimed to identify the most effective GCP configuration for the UAV-DEM by assessing its impact on the vertical and horizontal accuracy of UAV-DEMs, considering GCP configurations involving different numbers (4, 8, 12, 16, and 20) and distributions (Outer, Center, and Stratified). The investigation employed a Factorial Experimental Design with three replications. The results revealed that UAV-DEMs with 8, 12, 16, and 20 GCPs exhibited higher vertical accuracy compared to those with 4 GCPs. While 4, 8, 12 and 16 number of GCPs will have the same effect on the horizontal accuracy. Additionally, both outer and stratified distributions surpassed center distribution for both vertical and horizontal accuracy. Furthermore, the study produced 20-cm Vertical Accuracy Class with 10-cm Horizontal Accuracy class based on ASPRS Positional Accuracy Standards for Digital Geospatial Data of 2023. Consequently, the study recommends an optimal GCP configuration involving 8 GCPs with either Outer or Stratified Distribution for every 100-hectare (1 km2) study area. © Geoinformatics International.</t>
  </si>
  <si>
    <t>2-s2.0-85211351062"</t>
  </si>
  <si>
    <t>10.1007/s00024-024-03596-9</t>
  </si>
  <si>
    <t>https://www.scopus.com/inward/record.uri?eid=2-s2.0-85209708134&amp;doi=10.1007%2fs00024-024-03596-9&amp;partnerID=40&amp;md5=e9397a6504c5490a6ed851117d15280b</t>
  </si>
  <si>
    <t>This study examines the impact of storm surges, infragravity waves, wider area seiches and natural harbour oscillations (harbour seiches) on port operations in the Baltic Sea, with a particular emphasis on the Port of Klaipėda, all during the severe storm that occurred from November 22–24, 2023. The study examines the interplay between meteorological factors, such as changes in air pressure and wind speed and direction, and the coastal geography of the area. Wind speeds during the storm reached a maximum of 29.7 m/s, and air pressure dropped for f ~ 50 hPa, with a corresponding sea level rise of approximately 40 cm due to the combined effects of storm surges and long waves. The research findings indicate that it was precisely long waves, which were generated offshore and amplified by the port's distinctive resonance characteristics and coastal topography, that were the primary cause of operational disruptions, creating hazardous conditions that necessitated the closure of the port. The port's elongated and narrow inlet played a pivotal role in the amplification of these waves, rendering it particularly vulnerable to resonance-induced oscillations. The research yielded several key findings, including identifying long waves (long ocean waves, wider area seiches, harbour seiches, and infragravity waves) with periods ranging from 12 to 13 h to 2–4 min, which posed significant risks to vessels moored at the port. Furthermore, the occurrence of simultaneous sea level fluctuations between Klaipėda and Karlshamn indicated the presence of seiches with period of 12,4 h across the Baltic Sea, thereby further complicating port operations. These results underscore the critical need for improved forecasting and mitigation strategies to enhance the safety and efficiency of port activities during severe weather events. © The Author(s), under exclusive licence to Springer Nature Switzerland AG 2024.</t>
  </si>
  <si>
    <t>2-s2.0-85209708134"</t>
  </si>
  <si>
    <t>10.1029/2024GL110456</t>
  </si>
  <si>
    <t>https://www.scopus.com/inward/record.uri?eid=2-s2.0-85205970426&amp;doi=10.1029%2f2024GL110456&amp;partnerID=40&amp;md5=002352b9c76392eb6a3244ad8128f06a</t>
  </si>
  <si>
    <t>We use digital elevation models (DEMs) and ICESat-2 data to study the filling and outflow from a large subglacial lake under Manson Icefield in the Canadian Arctic. When full, the lake is ∼17 × 3 km with an area of 52 km2. Early in 2021 the ice surface over the center of the lake sank by &gt;140 m implying a subglacial outburst flood of ∼4 km3. Rapid outflow occurred over ∼30 days at an average rate of ∼1,500 m3s−1 resulting in the formation of a single ∼15 km subglacial outflow path detectable from post-outflow surface depression. The shape of the surface depression, 600–800 m wide by 2–4 m deep, reflects the shape of the subglacial channel prior to closure. Downstream ice movement appears unaffected by the outflow. After outflow ends the surface depression persisted over weeks, apparently dependent on the difference between water and overburden pressures. © 2024. The Author(s).</t>
  </si>
  <si>
    <t>2-s2.0-85205970426"</t>
  </si>
  <si>
    <t>10.1016/j.uclim.2024.102186</t>
  </si>
  <si>
    <t>https://www.scopus.com/inward/record.uri?eid=2-s2.0-85207700447&amp;doi=10.1016%2fj.uclim.2024.102186&amp;partnerID=40&amp;md5=efbb4ae4fb0154735a4ad6008880141a</t>
  </si>
  <si>
    <t>Estuary-ocean interaction regions typically confront compound floods caused by multiple drivers. However, current researches on formation mechanism and compound effect of such disaster remain inadequately profound. Therefore, this study proposed a framework to evaluate the encountering rules and hazards of compound flood based on Copula theory and hydrodynamic model. Taking Pearl River Delta (PRD) in China as a case study, the compound flood hazards under different joint scenarios with various drivers were analyzed. The results indicated that concurrent fluvial floods and storm surge will result in higher flood hazards than single driver. The simulated water levels in most areas of the PRD demonstrated a pattern that water levels of Survival Kendall Return period are greater than that of Kendall Return period, and water levels of AND Return period are the lowest. Flood hazards induced by two drivers with moderate magnitude may be more serious than one extreme event in estuary-ocean interaction region. Neglecting the combination compound effects of storm surge and fluvial flood may underestimate the flood hazards in coastal areas. Our findings yield valuable insights to compound flood hazards and provide scientific guidance for prevention and adaption of compound flood disasters in estuary-ocean interaction region. © 2024 Elsevier B.V.</t>
  </si>
  <si>
    <t>2-s2.0-85207700447"</t>
  </si>
  <si>
    <t>10.1029/2024GL110299</t>
  </si>
  <si>
    <t>https://www.scopus.com/inward/record.uri?eid=2-s2.0-85208186373&amp;doi=10.1029%2f2024GL110299&amp;partnerID=40&amp;md5=f142cb67453494069d27e9bd4296601b</t>
  </si>
  <si>
    <t>Volcanoes in extensional environments may show gradual subsidence over decades during quiescent periods, due to various processes such as magma withdrawal, cooling, contraction, plate spreading and viscoelastic response. If significant rheological anomalies reside in volcano roots, due to the presence of magma and hot rock, they can influence the style of deformation. We use Finite Element Method (FEM) models to explore how strain localization due to extension can lead to volcano deflation. We apply rheological models comprising an elastic layer overlying a viscoelastic domain and include local up-doming regions of low viscosity material beneath volcanic centers. The models reveal a localized subsidence above the rheological anomaly, influenced by the tectonic extension, and by the up-doming volume and its viscosity. The models suggest that plate divergence may account for 4–5 mm/yr of observed subsidence at Krafla and Askja volcanic systems (KVS and AVS, respectively) in North Iceland. © 2024. The Author(s).</t>
  </si>
  <si>
    <t>2-s2.0-85208186373"</t>
  </si>
  <si>
    <t>10.1038/s41598-024-52248-4</t>
  </si>
  <si>
    <t>https://www.scopus.com/inward/record.uri?eid=2-s2.0-85183037675&amp;doi=10.1038%2fs41598-024-52248-4&amp;partnerID=40&amp;md5=eb9f83435fad0456b5de5c395dd07c4b</t>
  </si>
  <si>
    <t>Coastal wetlands such as mangrove forests are breeding grounds for nuisance-causing insects. Rotational Impoundment Management (RIM) for mosquito control involves annual summer inundation of impounded mangrove forests with estuarine water during the summer half year. However, in addition to controlling mosquitos, RIM may change biogeochemical pathways. This study set out to investigate how RIM quantitatively affects physicochemical soil characteristics and potential nitrifying and denitrifying activities (PNA and PDA), which are key in the global nitrogen cycle. Before and after the implementation of RIM, soil samples were collected annually in habitats differing in size and abundance of black mangroves (Avicennia germinans) in an impoundment with RIM and in an adjacent impoundment with a more open connection to the lagoon. Compared to the non-managed impoundment, soil moisture content, total nitrogen and PDA increased, while salinity decreased after the start of annual summer flooding, but only in the dwarf habitat. In the sparse and dense habitats, total nitrogen and PDA increased independently of summer flooding, whereas soil moisture content and salinity were not affected by RIM. Labile organic nitrogen increased only in the RIM impoundment, irrespective of the habitat type. PNA was generally not affected with time, except in the dwarf habitat in the absence of intentional summer flooding where it increased. Changes in the non-managed impoundment adjacent to the RIM impoundment demonstrate the importance of groundwater exchange in linked ecosystems. The consequences of interventions in the management of mangrove impoundments and adjacent forests for the nitrogen budget are discussed. © 2024, The Author(s).</t>
  </si>
  <si>
    <t>2-s2.0-85183037675"</t>
  </si>
  <si>
    <t>10.1002/hyp.15336</t>
  </si>
  <si>
    <t>https://www.scopus.com/inward/record.uri?eid=2-s2.0-85210102121&amp;doi=10.1002%2fhyp.15336&amp;partnerID=40&amp;md5=660fd13d01c42d116637162d9fa801b2</t>
  </si>
  <si>
    <t>The complex orography of the Tibetan plateau (TP) and the scarcity and uneven spatial distribution of meteorological stations present significant challenges in accurately estimating meteorological variables for hydrological simulations. This study aims to enhance the accuracy of daily precipitation and temperature interpolation for hydrological simulations in the Lhasa River Basin (LRB), particularly during flood events. We evaluate and compare the performance of deterministic Inverse Distance Weighting—IDW and geostatistical (Ordinary Kriging—OK and Kriging with External Drift—KED) interpolation methods for estimating precipitation and temperature patterns. Subsequently, we investigate the influence of different interpolation methods on hydrological simulations by using the interpolated meteorological data as input for the Water Balance Simulation Model (WaSiM) to simulate daily discharge in the LRB. Our results revealed that geostatistical methods, specifically OK and KED, are more effective in capturing the spatial variability and anisotropy inherent in precipitation patterns influenced by the Indian summer monsoons. In addition, the KED method effectively captured the daily variation of the temperature lapse rate, indicating the inadequacy of using a constant lapse rate for hydrological modelling in high-elevation regions like the TP. The geostatistical technique outperformed the Deterministic method, with KED realising the best temperature and precipitation interpolation performance based on cross-validation results. However, although KED provides superior results based on cross-validation performance, applying its precipitation interpolation as input into WaSiM led to the poorest discharge simulation. The combination of OK for precipitation and KED for temperature produced the most accurate discharge simulations in the LRB, highlighting the importance of not solely relying on cross-validation results but also considering the practical implications of interpolation methods on hydrological model outputs. Our study offers a robust framework for improving flood simulations and water resource management in a data-scarce, high-elevation region like the TP. © 2024 John Wiley &amp; Sons Ltd.</t>
  </si>
  <si>
    <t>2-s2.0-85210102121"</t>
  </si>
  <si>
    <t>10.1038/s41598-024-57672-0</t>
  </si>
  <si>
    <t>https://www.scopus.com/inward/record.uri?eid=2-s2.0-85188453337&amp;doi=10.1038%2fs41598-024-57672-0&amp;partnerID=40&amp;md5=d28b5f083fef5b34a1de6c6eaa346838</t>
  </si>
  <si>
    <t>People living in coastal areas are frequently affected by natural disasters, such as floods and storms. This study aimed to assess the quality of life (QoL) of people living in disadvantaged coastal communes (subdivision of Vietnam) and identify their associated factors by using the World Health Organization’s quality of life instrument (WHOQOL-BREF). To achieve this, a cross-sectional descriptive study was conducted on 595 individuals aged 18 years and above living in the coastal communes in Thua Thien Hue province, Vietnam, from October 2022 to February 2023. The results showed that the mean overall QoL (mean ± SD) was 61.1 ± 10.8. Among the four domains of QoL, the physical health (57.2 ± 12.3) domain had a lower score than the psychological health (61.9 ± 13.0), social relations (63.4 ± 13.4), and environment (61.9 ± 13.3) domains. The QoL score of the domains for participants affected by flooding was significantly lower than that of those not affected, except for social relations. Multivariable logistic regression showed that subjects with not good QoL had the educational background with no formal education (Odds ratio (OR) = 2.63, 95% CI 1.19–5.83), fairly poor/poor households (OR = 2.75, 95% CI 1.48–5.12), suffered Musculoskeletal diseases (OR = 1.61, 95% CI 1.02–2.56), unsatisfaction with health status (OR = 5.27, 95% CI 2.44–11.37), family conflicts (OR = 4.51, 95%CI 2.10–9.69), and low levels of social support (OR = 2.62</t>
  </si>
  <si>
    <t>10.1016/j.jhydrol.2024.132004</t>
  </si>
  <si>
    <t>https://www.scopus.com/inward/record.uri?eid=2-s2.0-85203875000&amp;doi=10.1016%2fj.jhydrol.2024.132004&amp;partnerID=40&amp;md5=77293516e6b580c9e34cb4d3203fb89f</t>
  </si>
  <si>
    <t>This study represents the first attempt to define vulnerability indicators for offshore fresh groundwater, extending prior analyses of the key threats to onshore coastal aquifers. The method applies an existing steady-state sharp-interface coastal aquifer model with semi-confined offshore extension to characterise the sensitivities of the tip and toe locations (top and bottom of the freshwater–seawater interface, respectively) and the freshwater and seawater volumes to environmental changes that threaten offshore freshwater resources. Sensitivity analysis applied to seven case studies quantifies their vulnerability to seawater intrusion from sea level rise, recharge change and a regional change in the onshore groundwater heads. The analysis demonstrates that the tip-to-toe distance in offshore aquifers is constant for different fresh groundwater discharge rates (under certain conditions). Otherwise, the interface is usually longer (flatter slope) in offshore aquifers than in onshore aquifers, except where the offshore limit of the aquifer is reached. The offshore extension of the aquifer leads to more seaward toe positions, increases the interface length and reduces the onshore seawater volume. As the freshwater discharge increases, the offshore freshwater volume becomes more vulnerable to impacts from changes in the freshwater discharge until the tip reaches the offshore limit or the toe crosses the coastline. For high values of freshwater discharge, the volume of freshwater stored offshore is more vulnerable to losses from changes in the freshwater discharge rate than is the onshore freshwater storage. For lower values of freshwater discharge, however, offshore freshwater storage is generally less vulnerable than onshore freshwater storage. Contrasts in the behaviour of onshore and offshore freshwater require that both need to be considered in coastal aquifer vulnerability assessments. © 2024 The Authors</t>
  </si>
  <si>
    <t>2-s2.0-85203875000"</t>
  </si>
  <si>
    <t>Annals of Geophysics</t>
  </si>
  <si>
    <t>10.4401/ag-9159</t>
  </si>
  <si>
    <t>https://www.scopus.com/inward/record.uri?eid=2-s2.0-85209104656&amp;doi=10.4401%2fag-9159&amp;partnerID=40&amp;md5=612406e246b4013a43efaa577700d096</t>
  </si>
  <si>
    <t>At Stromboli, coastline populations are exposed to near-field tsunami generated by flank collapses. Landslides on the Sciara del Fuoco can generate waves arriving in the village in less than a few minutes. Due to the hazard posed on Stromboli by tsunami, we have focused our research on answering three key questions in terms of mitigation: (1) How can a tsunami be detected and characterized in real-time? (2) What will be the likely event scenario and on-island impact of the resulting tsunami? (3) When and where will the tsunami arrive, and what is the evacuation capacity? To this end, we have convolved a method to assess escape times from tsunami-exposed coastal areas, with wave travel times and inundation assessments output from numerical simulations. Here we review the local situation in terms of hazard, risk and mitigation measures, and assess progress to date in preparing for tsunami on Stromboli to explore a blueprint for management actions at any near-field tsunami-exposed community. © 2024, Editrice Compositori s.r.l.. All rights reserved.</t>
  </si>
  <si>
    <t>2-s2.0-85209104656"</t>
  </si>
  <si>
    <t>10.5194/nhess-24-4145-2024</t>
  </si>
  <si>
    <t>https://www.scopus.com/inward/record.uri?eid=2-s2.0-85210918060&amp;doi=10.5194%2fnhess-24-4145-2024&amp;partnerID=40&amp;md5=749942d707af80b67514a8da1bebb147</t>
  </si>
  <si>
    <t>Sea level rise is associated with increased coastal erosion and inundation. However, the effects of sea level change on the shoreline can be enhanced or counteracted by vertical land motion and morphological processes. Therefore, knowledge about the individual contributions of sea level change, vertical land motion and morphodynamics on shoreline changes is necessary to make informed choices for climate change adaptation, such as applying coastal defence measures. Here, we assess the potential of remote-sensing techniques to detect a geometrical relationship between sea level rise and shoreline retreat for a case study at the Terschelling barrier island at the northern Dutch coast. First, we find that sea level observations from satellite radar altimetry retracked with ALES can represent sea level variations between 2002 and 2022 at the shoreline when the region to extract altimetry time series is chosen carefully. Second, results for cross-shore time series of satellite-derived shorelines extracted from optical remote-sensing images can change considerably, depending on choices made for tidal correction and parameter settings during the computation of time series. While absolute shoreline positions can differ on average by more than 200 m, the average trend differences are below 1 myr-1. Third, by intersecting the 1992 land elevation with time-variable sea level, we find that inundation through sea level rise caused on average -0.3 myr-1 of shoreline retreat between 1992 and 2022. The actual shoreline movement in this period was on average between -2.8 and -3.2 myr-1, leading to the interpretation that the larger part of shoreline changes at Terschelling is driven by morphodynamics. We conclude that the combination of sea level from radar altimetry, satellite-derived shorelines and land elevation provides valuable information about the influence of sea level rise, vertical land motion and morphodynamics on shoreline movements.  Copyright © 2024 Benedikt Aschenneller et al.</t>
  </si>
  <si>
    <t>2-s2.0-85210918060"</t>
  </si>
  <si>
    <t>10.1038/s41598-024-54326-z</t>
  </si>
  <si>
    <t>https://www.scopus.com/inward/record.uri?eid=2-s2.0-85185148785&amp;doi=10.1038%2fs41598-024-54326-z&amp;partnerID=40&amp;md5=cbce894d2d58f8f35ff03838f40fc5dc</t>
  </si>
  <si>
    <t>The optimal operation of the multi-purpose reservoir system is a difficult, and, sometimes, non-linear problem in multi-objective optimization. By simulating biological behavior, meta-heuristic algorithms scan the decision space and can offer a set of points as a group of solutions to a problem. Because it is essential to simultaneously optimize several competing objectives and consider relevant constraints as the main problem in many optimization problems, researchers have improved their ability to solve multi-objective problems by developing complementary multi-objective algorithms. Because the AHA algorithm is new, its multi-objective version, MOAHA (multi-objective artificial hummingbird algorithm), was used in this study and compared with two novel multi-objective algorithms, MOMSA and MOMGA. Schaffer and MMF1 were used as two standard multi-objective benchmark functions to gauge the effectiveness of the proposed method. Then, for 180 months, the best way to operate the reservoir system of the Karun River basin, which includes Karun 4, Karun 3, Karun 1, Masjed-e-Soleyman, and Gotvand Olia dams to generate hydropower energy, supply downstream demands (drinking, agriculture, industry, environmental), and control flooding was examined from September 2000 to August 2015. Four performance appraisal criteria (GD, S, Δ, and MS) and four evaluation indices (reliability, resiliency, vulnerability, and sustainability) were used in Karun's multi-objective multi-reservoir problem to evaluate the performance of the multi-objective algorithm. All three algorithms demonstrated strong capability in criterion problems by using multi-objective algorithms’ criteria and performance indicators. The large-scale (1800 dimensions) of the multi-objective operation of the Karun Basin reservoir system was another problem. With a minimum of 1441.71 objectives and an average annual hydropower energy manufacturing of 17,166.47 GW, the MOAHA algorithm demonstrated considerable ability compared to the other two. The final results demonstrated the MOAHA algorithm’s excellent performance, particularly in difficult and significant problems such as multi-reservoir systems' optimal operation under various objectives. © The Author(s) 2024.</t>
  </si>
  <si>
    <t>2-s2.0-85185148785"</t>
  </si>
  <si>
    <t>10.1002/esp.5996</t>
  </si>
  <si>
    <t>https://www.scopus.com/inward/record.uri?eid=2-s2.0-85204059833&amp;doi=10.1002%2fesp.5996&amp;partnerID=40&amp;md5=5dd5f4a64df82166863d94f7135439a6</t>
  </si>
  <si>
    <t>The Mediterranean coastlines are densely populated zones which host key socio-economic and commercial activities. For this reason, coastal areas are vulnerable sites in case of natural disasters as tsunamis that can strike coasts causing widespread damage to the population and facilities. For these reasons, several studies were performed over the last decade to study the impact of tsunami waves on the coasts. This research assessed the inundation risk due to a tsunami wave which can hit the southeastern coast of Lampedusa Island. The coastal low-lying geomorphological setting of the southeastern part of the island led to significant socio-economic growth, but Lampedusa falls within the Mediterranean Sea, a high-tsunamigenic area, therefore, the need to investigate tsunami propagation and coastal flooding of this sensitive site emerged. For this scope, a calculation chain model was implemented incorporating three steps: the DELFT-3D software for earthquake effects modelling, MIKE 21 Flow Model FM for nearshore propagation and HEC-RAS for onshore tsunami inundation modelling. The simulations illustrate the impact of three tsunami scenarios with different magnitudes (Mw 8.5, 7.5, 6.5) generated by hypothetical earthquakes in the Hellenic Arc. In the Mw 8.5 magnitude scenario, significant flooding occurs in the harbour region, with maximum water depths reaching approximately 3.5 m. The maximum water velocity in this scenario reaches about 15 m/s in the eastern portion, adjacent to cliffs impacted by the tsunami wave. In contrast, the Mw 7.5 magnitude scenario demonstrates reduced flooded areas, with the cliffs containing the waves and preventing further flooding. Water depths and velocities in the Mw 7.5 scenario remain minimal. Changes in both propagation and flooding are not significant between scenarios Mw 7.5 and Mw 6.5. This methodology can be employed for more accurate tsunami wave simulations not only in the Mediterranean region but also in various case studies. © 2024 The Author(s). Earth Surface Processes and Landforms published by John Wiley &amp; Sons Ltd.</t>
  </si>
  <si>
    <t>2-s2.0-85204059833"</t>
  </si>
  <si>
    <t>10.3390/cli12110180</t>
  </si>
  <si>
    <t>https://www.scopus.com/inward/record.uri?eid=2-s2.0-85210562558&amp;doi=10.3390%2fcli12110180&amp;partnerID=40&amp;md5=741bea7bb6776cbf1ec5d2b02024d84c</t>
  </si>
  <si>
    <t>Climate change is a major global challenge affecting migration patterns, particularly in coastal communities vulnerable to sea-level rise, flooding, and extreme weather. Pakistan, with its extensive coastline and diverse environmental conditions, faces significant climate-induced migration issues, especially in Karachi, Thatta, Gwadar, Badin, and Muzaffargarh. This study aims to investigate the impact of climate change on migration patterns in these five selected regions of Pakistan. By analyzing climate variables and socio-economic factors, the research seeks to provide a localized understanding of how climate change drives population movements. A cross-sectional survey design was employed to gather data from 350 participants across these regions. Stratified random sampling ensured representation from each area, and data were collected using a structured questionnaire administered online. Statistical analyses included multiple linear regression, logistic regression, and structural equation modeling (SEM). This study found a strong positive relationship between climate change variables (sea level rise, temperature increases, and flooding) and migration patterns. Both direct impacts of climate change and indirect socio-economic factors influenced the likelihood of migration. The SEM analysis revealed that climate awareness partially mediates the relationship between climate change and migration. In conclusion, climate change significantly drives migration in Pakistan’s coastal communities, with both direct environmental impacts and socio-economic conditions playing crucial roles. Enhanced climate awareness and comprehensive adaptation strategies are essential. Policies should focus on climate resilience through infrastructure improvements, early warning systems, and socio-economic support programs. Strengthening education and economic opportunities is vital to build community resilience and effectively manage climate-induced migration. © 2024 by the authors.</t>
  </si>
  <si>
    <t>2-s2.0-85210562558"</t>
  </si>
  <si>
    <t>10.1038/s41598-023-48136-y</t>
  </si>
  <si>
    <t>https://www.scopus.com/inward/record.uri?eid=2-s2.0-85182692533&amp;doi=10.1038%2fs41598-023-48136-y&amp;partnerID=40&amp;md5=23d5adbdb47d0a180410082573cc48f3</t>
  </si>
  <si>
    <t>Economic costs of climate change are conventionally assessed at the aggregated global and national levels, while adaptation is local. When present, regionalised assessments are confined to direct damages, hindered by both data and models’ limitations. This article goes beyond the aggregated analysis to explore direct and indirect economic consequences of sea level rise (SLR) at regional and sectoral levels in Europe. Using a dynamic computable general equilibrium model and novel datasets, we estimate the distribution of losses and gains across regions and sectors. A comparison of a high-end scenario against a no-climate-impact baseline suggests a GDP loss of 1.26% (€871.8 billion) for the whole EU&amp;UK. Conversely our refined assessments show that some coastal regions lose 9.56–20.84% of GDP, revealing striking regional disparities. Inland regions grow due to the displaced demand from coastal areas, but the GDP gains are small (0–1.13%). While recovery benefits the construction sector, public services and industry face significant downturns. We show that prioritising recovery of critical sectors locally reduces massive regional GDP losses, at negligible costs to the overall European economy. Our analysis traces regional economic restructuring triggered by SLR, underscoring the necessity of region-specific adaptation policies that embrace uneven geographic impacts and unique sectoral profiles to inform resilient strategy design. © 2024, The Author(s).</t>
  </si>
  <si>
    <t>2-s2.0-85182692533"</t>
  </si>
  <si>
    <t>10.5194/nhess-24-3627-2024</t>
  </si>
  <si>
    <t>https://www.scopus.com/inward/record.uri?eid=2-s2.0-85207624167&amp;doi=10.5194%2fnhess-24-3627-2024&amp;partnerID=40&amp;md5=54a4e0e7587a5601bd565752d728c731</t>
  </si>
  <si>
    <t>Floods are consistently identified as the most serious global natural hazard, causing devastating loss of life and economic damage that runs into multiple billions of US dollars each year. At the coastline, many flood disasters are in fact compound flood events, with two or more flood drivers occurring concurrently or in quick succession. In coastal regions the combined effect of fluvial (river) and coastal (storm tides – storm surges and high astronomical tides) floods has a greater impact than if each occurred separately. Deltas in south-east Asia are particularly exposed to coastal compound floods as they are low-lying, densely populated regions subject to the intense rainfall storm surges frequently associated with tropical cyclone (TC) activity. For our study we used a sophisticated 1D river model, combined with 2D storm tide levels, to analyse past–present and future compound flood hazard and exposure for the Mekong River delta, one of the most flood-vulnerable deltas in the world. We found that with compound flooding, a greater area of the delta will be inundated, and some parts will flood to greater flood depth. Central areas around An Giang and the Dong Thap provinces are particularly impacted in our plausible scenario, where a TC makes landfall near the mouth of one Mekong River distributary. In the future delta, the impact of compound flooding is potentially more significant, as the same compound flood scenario inundates a greater area relative to the present case and to greater depth in many locations, and floods last longer. Compound flooding therefore has clear implications for flood managers of the future delta, who will need to ensure that existing and future flood defences are to the right standard and in the right locations to offer effective protection against this future risk. © Author(s) 2024.</t>
  </si>
  <si>
    <t>2-s2.0-85207624167"</t>
  </si>
  <si>
    <t>10.1016/j.scitotenv.2024.175526</t>
  </si>
  <si>
    <t>https://www.scopus.com/inward/record.uri?eid=2-s2.0-85201769133&amp;doi=10.1016%2fj.scitotenv.2024.175526&amp;partnerID=40&amp;md5=cbea589d9d66964e5d11c007de043155</t>
  </si>
  <si>
    <t>Storm surge disasters have caused devastating losses to coastal areas, making disaster prevention and mitigation capacity (DPMC) critical in promoting high-quality and sustainable economic development. In this paper, the systematic construction of a comprehensive index of storm surge disaster losses (SSDLs) and DPMC in China is described respectively. Then, panel fixed effect and threshold models are established to explore the relationship between SSDLs and economic growth, in particular, the moderating effect of DPMC. Our results reveal that, from 2006 to 2019, SSDLs exhibit an inverted N-shaped trend, with losses gradually decreasing from south to north. DPMC has been increasing but has visible spatial differences. Notably, SSDLs have a significant negative impact on economic development in China's coastal areas, however, DPMC can play an effective role in mitigating and regulating these negative shocks. With the continuous improvement of China's disaster prevention and mitigation system, SSDLs can be largely offset. Heterogeneity analysis shows that DPMC is most effective in the sample with a high SSDL, low DPMC, and in the southern marine economic circle in China. Further, the robustness tests are ensured by replacing measurement method, replacing GDP per capita with night-time lighting data, and replacing econometric models. Importantly, our study highlights the crucial non-linear role of DPMC in reducing the losses caused by storm surge disasters and promoting sustainable economic development. These findings provide valuable insights for policymakers to improve capacity building and subjectivity, regional cooperation and ensure the economic resilience of coastal areas in the face of storm surge disasters. © 2024 Elsevier B.V.</t>
  </si>
  <si>
    <t>2-s2.0-85201769133"</t>
  </si>
  <si>
    <t>10.1016/j.geomorph.2024.109388</t>
  </si>
  <si>
    <t>https://www.scopus.com/inward/record.uri?eid=2-s2.0-85201750919&amp;doi=10.1016%2fj.geomorph.2024.109388&amp;partnerID=40&amp;md5=f16f1628deff803d69ec974b3c17680f</t>
  </si>
  <si>
    <t>Alluvial plains are highly vulnerable to floods and ground disasters. Recent rapid urbanization and climate change have heightened disaster risks in urban areas. Geomorphological maps, crucial for estimating disaster risks, delineate landform boundaries based on patterns of concave breaks of slope and micro-landforms. However, enhancing the accuracy of such maps requires data extraction methods capable of capturing these features with greater precision. Traditional topographic measurements derived from adjacent elevation points in airborne light detection and ranging (LiDAR) digital terrain models (DTMs) fail to accurately represent slope variations on low ground surfaces due to the inclusion of numerous noise-like artificial terrain features. Consequently, analyzing natural terrain becomes challenging. To address this issue, our study devised a method to automatically identify and eliminate noise-like artificial terrain from LiDAR DTMs. We achieved this by removing major artificial terrain features from land-use vector data, creating an edge-preserving smooth DTM, and selectively removing and interpolating only those areas where were large differences between the smooth DTM and the LiDAR DTM. This method minimizes the interpolation of artificial terrain and quotes the LiDAR DTM for other areas, thereby minimizing the data quality loss. It is possible to identify and demarcate topographic boundaries in plains with a longitudinal gradient of approximately 1% or less at a high resolution, which can be used to investigate the relationship between flood and ground characteristics and landform volume in the plains. This method can be easily processed using only QGIS and free open data. This approach enhances the precision of disaster risk estimation and facilitates more effective urban planning in vulnerable areas. © 2024</t>
  </si>
  <si>
    <t>2-s2.0-85201750919"</t>
  </si>
  <si>
    <t>10.3390/hydrology11110188</t>
  </si>
  <si>
    <t>https://www.scopus.com/inward/record.uri?eid=2-s2.0-85210582671&amp;doi=10.3390%2fhydrology11110188&amp;partnerID=40&amp;md5=50228bcd32b20be841237a9e8e0ced0f</t>
  </si>
  <si>
    <t>The increasing installation of shrimp farms in vulnerable coastal areas around the world generates an environmental impact and makes it urgent to develop methodologies and studies for assessing and scaling the potential risks and sustainability of these activities. One of the main hazards of these activities is that the prolonged inundation of excavated ponds for shrimp farming allows the percolation of saltwater in the surroundings, resulting in increasing groundwater salinity. Saltwater intrusion in coastal aquifers, accompanied by salinization of soils, causes a decrease in available freshwater resources, a decline in crop productivity and the deterioration of the natural ecosystem. The coastal aquifer of Rio Grande do Norte State (Brazil) where, for years, several shrimp farm factories have been operating, reported some issues related to aquifer and soil salinization. The present study aims to assess the origin of and delineate groundwater salinization in a sector of this coastal aquifer using a low-budget procedure. The integration of hydrogeological and hydrogeochemical characterization by drilling shallow piezometers, measuring the hydrostatic level and analyzing the major ion concentrations of the groundwater has made it possible to establish that the origin of groundwater pollution in the studied area is caused by saltwater percolation from shrimp farms. The joint use of both characterization techniques has been shown to have an efficient cost–benefit ratio and less-intrusive methodology, which can be applied in other areas with similar environmental concerns. © 2024 by the authors.</t>
  </si>
  <si>
    <t>2-s2.0-85210582671"</t>
  </si>
  <si>
    <t>10.1016/j.ijdrr.2024.104946</t>
  </si>
  <si>
    <t>https://www.scopus.com/inward/record.uri?eid=2-s2.0-85208458059&amp;doi=10.1016%2fj.ijdrr.2024.104946&amp;partnerID=40&amp;md5=6c3e8042367ce0687408d14e2a35ccc4</t>
  </si>
  <si>
    <t>The flood risk in coastal areas has been exacerbated by global climate change. Research on flood risk assessment is emerging from the perspective of supply and demand for flood regulation ecosystem services (FRES). However, there are still limitations in the evaluation of lowland regulation, implementation of intelligent algorithms, comparison of multi-grain FRES supply and demand, and overall optimization of security pattern. Therefore, we propose a comprehensive FRES supply assessment method that incorporates soil and vegetation, lowland, and water regulations. Additionally, we introduce the random forest model to enhance the FRES demand assessment approach. Two grain sizes of the sub-catchment area and grid unit are used to compare FRES supply and demand. Using Xiamen as a case study, this research unveils the following findings: (1) Significant disparities exist between the assessment outcomes of FRES based on multiple types of regulatory services and those solely considering soil and vegetation regulation. The areas with high FRES supply extend beyond upper mountain forests to include local lower plains exhibiting strong capabilities for lowland or water system regulation. (2) Consistent yet distinct results are observed when comparing two grain sizes. Imbalances in supply and demand occur in estuaries, bays, and densely built-up regions. Sub-catchment units exhibit wider distribution and concentration, while grid units display more dispersed patterns. (3) In terms of in-situ regulation, 26.77 km2 ecological protection area, 9.85 km2 ecological restoration area, and 119.59 km2 construction land flood control intervention area are demarcated. From a directional regulation perspective, 22 FRES corridors connecting source and sink areas along with 24 pinch points are identified. Optimizing security patterns through coordinated management of FRES supply and demand can enhance the resilience of coastal estuaries. © 2024 Elsevier Ltd</t>
  </si>
  <si>
    <t>2-s2.0-85208458059"</t>
  </si>
  <si>
    <t>10.1016/j.ijdrr.2024.104807</t>
  </si>
  <si>
    <t>https://www.scopus.com/inward/record.uri?eid=2-s2.0-85203655373&amp;doi=10.1016%2fj.ijdrr.2024.104807&amp;partnerID=40&amp;md5=79b61553b3216fb5acb9892470a97440</t>
  </si>
  <si>
    <t>As a consequence of the process of urbanization, there is an increasing reliance on and exploitation of underground spaces. Moreover, these areas are susceptible to urban waterlogging, which can be difficult to drain, potentially leading to significant risks. At present, there are few simulations in hydrodynamic models that consider underground spaces. The risk of inundation of underground spaces remains an uncertain phenomenon. This study conceptualized underground spaces as storage areas, with the aim of simulating the spatial distribution of flood risk for different return periods. We studied the flooding processes and characteristics of three underground space types. The results indicate that the flood evolution simulated by the simplified modeling method that incorporates underground space is more aligned with the actual situation. To further analyze the risk distribution of urban waterlogging, we choose the XGBoost model and SHapley Additive exPlanations (SHAP) method to assess the influence of specific indicators on the occurrence of urban waterlogging in mountainous regions. Our analysis revealed that key factors include density of road (DR), flow velocity (V), density of pipes (DP), elevation (DEM), and inundation height (H), with contribution rates of 23.13 %, 17.06 %, 14.67 %, 10.12 %, and 9.04 %, respectively. This analysis clarified the risk of underground inundation within the study area, which can serve as a reference point for the formulation of flood control and drainage strategies. © 2024</t>
  </si>
  <si>
    <t>2-s2.0-85203655373"</t>
  </si>
  <si>
    <t>10.1029/2024EF004766</t>
  </si>
  <si>
    <t>https://www.scopus.com/inward/record.uri?eid=2-s2.0-85209931053&amp;doi=10.1029%2f2024EF004766&amp;partnerID=40&amp;md5=858e4d79c70be3b762177dfe40bfcafa</t>
  </si>
  <si>
    <t>The economies and livelihoods of many coastal megacities are at serious risk from flooding, despite investments in flood defenses. For instance, in Ho Chi Minh City, the construction of a large-scale ring-dike has mitigated negative effects from storm surges, yet damage is still frequently caused by high-intensity rainfalls leading to nuisance flooding, which is responsible for the highest proportion of flood losses in the city today. Because sustainable flood risk management requires detailed spatial information, we analyze the local risk and its components based on a chain of novel models previously calibrated and validated for Ho Chi Minh City. Furthermore, we assess the effectiveness of two decentralized adaptation options, namely private precautionary measures and rainwater retention, for mitigating pluvial flooding. Our integrated risk assessment reveals that the approaches are complementary, which is a major advantage for their implementation. Implementation of both approaches has the potential to reduce the expected annual damage and the number of annually affected households by 16% and 56%, respectively. This is also reflected in a significant reduction of annual losses per household, which we propose as an additional, people-centered indicator of flood risk. Moreover, these measures are well-suited to strengthen citizen participation in risk reduction beyond top-down protection schemes. Complementing the ring-dike with decentralized adaptation options can therefore be seen as an effective and generic strategy to alleviate the impacts of nuisance flooding in coastal megacities, such as Ho Chi Minh City, and should be incentivized by decision-makers. Aside from hydrological and metocean site conditions, both the methodology and findings of this study are transferrable to any coastal megacity facing similar challenges. © 2024. The Author(s).</t>
  </si>
  <si>
    <t>2-s2.0-85209931053"</t>
  </si>
  <si>
    <t>10.1038/s41598-023-49685-y</t>
  </si>
  <si>
    <t>https://www.scopus.com/inward/record.uri?eid=2-s2.0-85187739092&amp;doi=10.1038%2fs41598-023-49685-y&amp;partnerID=40&amp;md5=db1aed5ddf6765434b8c2bf307830433</t>
  </si>
  <si>
    <t>The Caribbean region is prone to the strong winds and low air pressures of tropical cyclones and their corresponding storm surge that driving coastal flooding. To protect coastal communities from the impacts of tropical cyclones, it is important to understand how this impact of tropical cyclones might change towards the future. This study applies the storyline approach to show what tropical cyclones Maria (2017) and Dorian (2019) could look like in a 2 °C and 3.4 °C warmer future climate. These two possible future climates are simulated with a high-resolution regional climate model using the pseudo global warming approach. Using the climate response from these simulations we apply a Delta-quantile mapping technique to derive future changes in wind speed and mean sea level pressure. We apply this Delta technique to tropical cyclones Maria and Dorian’s observed wind and pressure fields to force a hydrodynamic model for simulating storm surge levels under historical and future climate conditions. Results show that the maximum storm surge heights of Maria and Dorian could increase by up to 0.31 m and 0.56 m, respectively. These results clearly show that future changes in storm surge heights are not negligible compared to end-of-the-century sea level rise projections, something that is sometimes overlooked in large-scale assessments of future coastal flood risk. © The Author(s) 2024.</t>
  </si>
  <si>
    <t>2-s2.0-85187739092"</t>
  </si>
  <si>
    <t>npj Climate and Atmospheric Science</t>
  </si>
  <si>
    <t>10.1038/s41612-024-00675-5</t>
  </si>
  <si>
    <t>https://www.scopus.com/inward/record.uri?eid=2-s2.0-85195834773&amp;doi=10.1038%2fs41612-024-00675-5&amp;partnerID=40&amp;md5=f5a6cfe4d00f94e76fb8026e66f91f15</t>
  </si>
  <si>
    <t>Coastal El Niño events—marine heatwaves instances in the far eastern Tropical Pacific during otherwise basin-scale neutral or cold conditions—can have severe societal impacts for countries along the west coast of South America, as exemplified by the 2017 and 2023 Peru-Ecuador floods. Due to the brevity of the observational record, it is not well understood whether these events are driven by local or large-scale processes. Here, to overcome this limitation we use a data-driven modeling approach to address their return period and forcing mechanisms. It is shown that extreme coastal El Niño events are a local manifestation in the eastern tropical Pacific of the constructive interactions of the Pacific Meridional Modes (PMM). Specifically, the North PMM yields a dipole-like anomaly SST pattern along the equator that favors its development, while the positive phase of the South PMM reinforces it. A smaller group of more moderate coastal events are remotely driven by zonal wind anomalies in the western tropical Pacific without the PMMs’ influence. The role of PMMs in the development of extreme coastal El Niño suggests that they may be more predictable than previously thought. © The Author(s) 2024.</t>
  </si>
  <si>
    <t>2-s2.0-85195834773"</t>
  </si>
  <si>
    <t>10.1016/j.scitotenv.2024.174703</t>
  </si>
  <si>
    <t>https://www.scopus.com/inward/record.uri?eid=2-s2.0-85198540174&amp;doi=10.1016%2fj.scitotenv.2024.174703&amp;partnerID=40&amp;md5=52e81e6bd00c1d581b380d774e1d1898</t>
  </si>
  <si>
    <t>River deltas, such as the Ganges-Brahmaputra-Meghna (GBM) delta, are highly vulnerable to flooding, exacerbated by intense human activities and rapid urban growth. This study explores the evolution of urban flood risks in the GBM delta under the combined impacts of climate change and urban expansion. Unlike traditional assessments that focus on a single flood source, we consider multiple sources—coastal, fluvial, and pluvial. Our findings indicate that future urban expansion will significantly increase flood exposure, with a substantial rise in flood risk from all sources by the end of this century. Climate change is the main driver of increased coastal flood risks, while urban growth primarily amplifies fluvial, and pluvial flood risks. This highlights the urgent need for adaptive urban planning strategies to mitigate future flooding and support sustainable urban development. The extreme high emissions future scenario (SSP5–8.5) shows the largest urban growth and consequent flood risk, emphasizing the necessity for preemptive measures to mitigate future urban flooding. Our study provides crucial insights into flood risk dynamics in delta environments, aiding policymakers and planners in developing resilience strategies against escalating flood threats. © 2024 Elsevier B.V.</t>
  </si>
  <si>
    <t>2-s2.0-85198540174"</t>
  </si>
  <si>
    <t>10.1038/s41598-024-57474-4</t>
  </si>
  <si>
    <t>https://www.scopus.com/inward/record.uri?eid=2-s2.0-85188250613&amp;doi=10.1038%2fs41598-024-57474-4&amp;partnerID=40&amp;md5=1e201f21e47cc92be06230292fa49362</t>
  </si>
  <si>
    <t>The use of nature-based solutions (NBS) for coastal climate adaptation has broad and growing interest, but NBS are rarely assessed with the same rigor as traditional engineering solutions or with respect to future climate change scenarios. These gaps pose challenges for the use of NBS for climate adaptation. Here, we value the flood protection benefits of stakeholder-identified marsh restoration under current and future climate change within San Francisco Bay, a densely urbanized estuary, and specifically on the shores of San Mateo County, the county most vulnerable to future flooding in California. Marsh restoration provides a present value of $21 million which increases to over $100 million with 0.5 m of sea level rise (SLR), and to about $500 million with 1 m of SLR. There are hotspots within the county where marsh restoration delivers very high benefits for adaptation, which reach $9 million/hectare with likely future sea level and storm conditions. Today’s investments in nature and community resilience can result in increasing payoffs as climate change progresses and risk increases. © The Author(s) 2024.</t>
  </si>
  <si>
    <t>2-s2.0-85188250613"</t>
  </si>
  <si>
    <t>10.1029/2024WR037427</t>
  </si>
  <si>
    <t>https://www.scopus.com/inward/record.uri?eid=2-s2.0-85210319045&amp;doi=10.1029%2f2024WR037427&amp;partnerID=40&amp;md5=88f4f106179762d0c6cdeb7a096bf4e6</t>
  </si>
  <si>
    <t>The interactions between the atmosphere, ocean, and beach in the swash zone are dynamic, influencing water flux and solute exchange across the land-sea interface. This study employs groundwater simulations to examine the combined effects of waves and evaporation on subsurface flow and salinity dynamics in a shallow beach environment. Our simulations reveal that wave motion generates a saline plume beneath the swash zone, where evaporation induces hypersalinity near the sand surface. This leads to the formation of a hypersaline plume beneath the swash zone during periods of wave recession, which extends vertically downward to a maximum depth of 30 cm, driven by the resulting vertical density gradients. This hypersaline plume moves approximately 2 m landward to the top of the swash zone and down the beachface due to wave-induced seawater infiltration and is subsequently diluted by the surrounding saline groundwater. Furthermore, swash motion increases near-surface moisture, leading to an elevated evaporation rate, with dynamic fluctuations in both moisture and evaporation rate due to high-frequency surface inundation caused by individual waves. Notably, the highest evaporation rates on the swash zone surface do not always correspond to the greatest elevations of salt concentration within the swash zone. This is because optimal moisture is also required—neither too low to impede evaporation nor too high to dilute accumulated salt near the surface. These insights are crucial for enhancing our understanding of coastal groundwater flow, biogeochemical conditions, and the subsequent nutrient cycling and contaminant transport in coastal zones. © 2024. The Author(s).</t>
  </si>
  <si>
    <t>2-s2.0-85210319045"</t>
  </si>
  <si>
    <t>Groundwater for Sustainable Development</t>
  </si>
  <si>
    <t>10.1016/j.gsd.2024.101383</t>
  </si>
  <si>
    <t>https://www.scopus.com/inward/record.uri?eid=2-s2.0-85210020946&amp;doi=10.1016%2fj.gsd.2024.101383&amp;partnerID=40&amp;md5=8c9f207163753fbc5cadc06b71f11390</t>
  </si>
  <si>
    <t>The Vietnam's Mekong Delta (VMD) is known to be sinking below the sea due to climate change induced seawater level rise on one hand and land subsidence on the other hand. This phenomenon has deleterious ramifications for sustainable socio-economic advancement, manifesting in infrastructure degradation, recurrent inundation, intrusion of saline water, and reduction of habitable and cultivable areas within the region. Notably, in locales such as the Southern Hau River Region (SHRR), land subsidence rates as high as −10 cm/year have been documented, primarily associated with excessive groundwater extraction. Previous investigations have corroborated this relationship through the congruence between groundwater drawdown cones and areas of subsidence detected via InSAR (Interferometric Synthetic Aperture Radar) or through coupled Terzaghi consolidation theory-groundwater flow numerical modeling. This study extends the understanding of subsidence drivers in the SHRR beyond the groundwater level declining, encompassing tectonic activity, geological - lithological features, and landuse. Utilizing geostatistical analyses based on individual InSAR monitoring points, the study evaluates the respective contributions of these factors to land subsidence in the SHRR. Findings indicate that auto-compaction of young sediments, structural loading, and sediment compaction due to induced groundwater level decline are the principal factors precipitating land subsidence in the SHRR. © 2024 Elsevier B.V.</t>
  </si>
  <si>
    <t>2-s2.0-85210020946"</t>
  </si>
  <si>
    <t>10.1029/2024EF004715</t>
  </si>
  <si>
    <t>https://www.scopus.com/inward/record.uri?eid=2-s2.0-85207803026&amp;doi=10.1029%2f2024EF004715&amp;partnerID=40&amp;md5=1cb713b03eed90c1f6b0da167aedd22c</t>
  </si>
  <si>
    <t>Salt marshes are intertidal coastal ecosystems shaped by complex feedbacks between hydrodynamic, morphological, and biological processes. These crucial yet endangered environments provide a diverse range of ecosystem services but are globally subjected to high anthropogenic pressures, while being severely exposed to climate change impacts. The importance of salt marshes as “blue carbon” sinks, deriving from their primary production coupled with rapid surface accretion, has been increasingly recognized within the framework of climate mitigation strategies. However, large uncertainties remain in salt marsh carbon stock and sequestration estimation. In order to provide further knowledge in salt marsh carbon assessment and investigate marsh carbon pool response to management actions, we analyzed organic matter content in salt marsh soils of the Venice Lagoon (Italy) from 60 sediment cores to the depth of 1 m and estimated organic carbon stock and accumulation rates in different areas. Organic carbon stocks and accumulation rates were highly variable in different marshes, being affected by organic and inorganic inputs and preservation conditions. Our estimates suggest that the studied marshes store 17,108 ± 5,757 tons of carbon per square kilometer in top 1-m of soil and can accumulate 85 ± 25 tons of carbon per square kilometer per year. However, flood regulation may reduce the annual marsh CO2 sequestration potential by more than 30%. Our results contribute valuable information for regional carbon assessments, reinforcing the need for integrated coastal management policies to preserve the ecosystem services of coastal environments, and underscore the importance of considering local variability and methodological variations. © 2024. The Author(s).</t>
  </si>
  <si>
    <t>2-s2.0-85207803026"</t>
  </si>
  <si>
    <t>10.1016/j.scitotenv.2024.175897</t>
  </si>
  <si>
    <t>https://www.scopus.com/inward/record.uri?eid=2-s2.0-85202938779&amp;doi=10.1016%2fj.scitotenv.2024.175897&amp;partnerID=40&amp;md5=4e0d15137e48024c51eaabf61db8dc7c</t>
  </si>
  <si>
    <t>Due to the lack of relatively long-term, high-resolution terrestrial records in tropical southern China, there is limited published research on terrestrial vegetation changes and their responses to regional and/or global climate forcings since the last glacial period. In this study, a 170-cm-long peat core (covering the interval from ~44.1 to 9.3 cal kyr BP) recovered from the Xialu peatland in Leizhou Peninsula, South China, was analyzed for organic carbon isotope (δ13Corg), along with total organic carbon, total nitrogen, and bulk dry density, to investigate past vegetation and hydroclimatic changes. Our results showed that C4 plants dominated the study region during Marine Isotope Stage (MIS) 2 (29–14 cal kyr BP), indicating generally cooler and drier conditions during MIS 2 relative to late MIS 3 (~ 44.1–29 cal kyr BP) and early MIS 1 (14–9.3 cal kyr BP). In particular, the driest conditions occurred during the Last Glacial Maximum (~ 25–19 cal kyr BP) when sea level was at its lowest. In addition, several millennial-scale climatic events associated with the expansion of C4 plants were clearly identified. Our record is sensitive to a variety of glacial-interglacial forcings, including regional processes and global forcing, among which the inundation history of Beibu Gulf due to sea-level change during the late Quaternary, which has been neglected in previous studies, may have played an important role in modulating paleo-hydroclimatic changes in tropical southern China. © 2024 Elsevier B.V.</t>
  </si>
  <si>
    <t>2-s2.0-85202938779"</t>
  </si>
  <si>
    <t>10.1016/j.jhydrol.2024.132050</t>
  </si>
  <si>
    <t>https://www.scopus.com/inward/record.uri?eid=2-s2.0-85205148863&amp;doi=10.1016%2fj.jhydrol.2024.132050&amp;partnerID=40&amp;md5=754c72b3464135176fc85a393b63241f</t>
  </si>
  <si>
    <t>Coastal fresh groundwater is threatened by salinization due to both sea-level rise and storm-surge overwash. Most studies of subsurface saltwater intrusion focus on sea-level rise, but storms that are becoming more frequent and intense with climate change could have more imminent and permanent effects on aquifer salinity. Few studies directly compare saltwater intrusion due to sea-level rise with saltwater intrusion due to storm-surge overwash, and no studies address this issue on barrier islands. In this study, a hydrological model simulating coupled, variable-density, surface and subsurface flow and salt transport was developed and calibrated to water level and specific conductance data at Assateague Island, MD. The calibrated model was used to calculate the mass of salt and the total volume of aquifer salinized in 2080 due to both sea-level rise and more frequent storm surges. The results suggest that the total mass of salt that intrudes into the aquifer due to changes in the 2-year storm surge height is approximately equal to that of sea-level rise (∼300 kg), and the surges salinize nearly the entire aquifer, exceeding the volume salinized by sea-level rise (∼80 %). The influence of aquifer properties and unsaturated zone thickness was investigated by reducing aquifer hydraulic conductivity, resulting in greater salinization from storm-surge overwash (100 % of aquifer volume) than from sea-level rise (∼20 %). Higher storm surges are expected to overtop the dunes on Assateague by 2080 causing a 75 % decline in areas above the 2-year storm event while sea-level rise will only inundate ∼ 40 % of the land area on Assateague. This analysis suggests that groundwater is likely more vulnerable to storm-surge overwash than to sea-level rise induced salinization, even in systems where sea-level rise is expected to be most severe. © 2024 Elsevier B.V.</t>
  </si>
  <si>
    <t>2-s2.0-85205148863"</t>
  </si>
  <si>
    <t>10.1016/j.margeo.2024.107408</t>
  </si>
  <si>
    <t>https://www.scopus.com/inward/record.uri?eid=2-s2.0-85205733267&amp;doi=10.1016%2fj.margeo.2024.107408&amp;partnerID=40&amp;md5=0ce24fd6c002e17a032096570e81bd3f</t>
  </si>
  <si>
    <t>In Hawaiʻi, tsunamis are often described in orally transmitted legends (moʻolelo). This study examines sedimentary evidence of a possible local submarine landslide-generated tsunami, described in a legend from the south east coast of Maui which originated between the 15th Century CE and the first arrival of Europeans in 1778 CE. Physical evidence for a tsunami, found at the Nu'u Refuge, Maui, is primarily comprised of an extensive coral clast deposit (found 8.5 m above msl and 251 m inland from the shoreline) together with waterworn cobbles which form fracture-embedded wedge clasts in a local basalt escarpment (at up to 8 m above msl). U/Th dating of the coral clasts gives a maximum tsunami deposit age of 1671 CE for the event that may have inspired the local moʻolelo. This depositional sequence is used to characterize the nature of the assumed tsunami in terms of inundation distance, maximum wave runup and minimum flow velocities. A numerical model developed using GeoClaw matches well with the physical evidence. The data and modeling presented here suggest that locally-generated tsunamis from submarine landslides warrant further research attention as sources of destructive high energy marine inundation events. © 2024 Elsevier B.V.</t>
  </si>
  <si>
    <t>2-s2.0-85205733267"</t>
  </si>
  <si>
    <t>10.1016/j.scitotenv.2024.175859</t>
  </si>
  <si>
    <t>https://www.scopus.com/inward/record.uri?eid=2-s2.0-85202963432&amp;doi=10.1016%2fj.scitotenv.2024.175859&amp;partnerID=40&amp;md5=35654764a98a18ba553c479987c9d545</t>
  </si>
  <si>
    <t>Urban flood risks have intensified due to climate change and dense infrastructural development, necessitating innovative assessment approaches. This study aimed to integrate advanced hydrodynamic models with machine learning (ML) techniques to improve urban flood prediction and hazard analysis. Integrating 1D and 2D hydrodynamic models calibrated with precise parameters demonstrated exceptional predictive accuracy for flood dynamics. The high-resolution Lidar images and sophisticated modeling were used to simulate flood scenarios for the River Thames in West London. The socioeconomic data were incorporated to map vulnerable zones accurately. The findings revealed that 2D hydrodynamic models, while computationally intensive, offered superior accuracy in predicting flood dynamics. In contrast, 1D models could have been more accurate in predicting inundation depth and extent in adjacent urban areas. Advanced ML models, such as the Extra Trees-Principal Component Analysis (ET-PCA) model, further instilled confidence in the reliability of the research findings, demonstrating near-perfect predictive reliability with an R2 of 0.999. This model provided near-perfect predictions and enabled precise flood risk zoning. The integration of socioeconomic data further highlighted the vulnerability of certain urban areas. It emphasized the importance of targeted flood mitigation strategies. Beyond the specific case study, this research demonstrated the potential of combining hydrodynamic simulations with ML to enhance urban flood resilience globally. This framework helps urban planners and policymakers devise effective flood mitigation strategies and improve infrastructure resilience against future flood events. © 2024 Elsevier B.V.</t>
  </si>
  <si>
    <t>2-s2.0-85202963432"</t>
  </si>
  <si>
    <t>10.1016/j.jenvman.2024.122535</t>
  </si>
  <si>
    <t>https://www.scopus.com/inward/record.uri?eid=2-s2.0-85204767488&amp;doi=10.1016%2fj.jenvman.2024.122535&amp;partnerID=40&amp;md5=0b1cce5d18bd432b97d9bac93083f3a0</t>
  </si>
  <si>
    <t>Groundwater in coastal regions is threatened by saltwater intrusion (SWI). Beach nourishment is used in this study to manage SWI in the Biscayne aquifer, Florida, USA, using a 3D SEAWAT model nourishment considering the future sea level rise and freshwater over-pumping. The present study focused on the development and comparative evaluation of seven machine learning (ML) models, i.e., additive regression (AR), support vector machine (SVM), reduced error pruning tree (REPTree), Bagging, random subspace (RSS), random forest (RF), artificial neural network (ANN) to predict the SWI using beach nourishment. The performance of ML models was assessed using statistical indicators such as coefficient of determination (R2), Nash–Sutcliffe efficiency (NSE), means absolute error (MAE), root mean square error (RMSE), and root relative squared error (RRSE) along with the graphical inspection (i.e., Radar and Taylor diagram). The findings indicate that applying SVM, Bagging, RSS, and RF models has great potential in predicting the SWI values with limited data in the study area. The RF model emerged as the best fit and closely matched observed values</t>
  </si>
  <si>
    <t>10.1038/s41598-024-63467-0</t>
  </si>
  <si>
    <t>https://www.scopus.com/inward/record.uri?eid=2-s2.0-85195861228&amp;doi=10.1038%2fs41598-024-63467-0&amp;partnerID=40&amp;md5=8e2288e39d6d8de41dbfff0a8f93314a</t>
  </si>
  <si>
    <t>The opening of the Cacela Inlet (southern Portugal) in 2010 led to unforeseen effects observed after 2017, including an extreme acceleration of the retreat of the inland lagoon margin from about 0.2 to 2 m/year. This was a consequence of the development of a large flood delta in an area of limited accommodation space, forcing the main tidal channel to move inland. The coastal retreat currently affects a flat sandy area that separates the old and inactive Cacela cliff from the lagoon. Between 2025 and 2030, the currently inactive Cacela cliff is likely to become active again, posing a potential risk of damage to a medieval fortress and the existing settlement of Cacela Velha, an unforeseen cascading effect of the opening of the inlet. In order to prevent instability and damage to this legally protected area of national and public interest, several coastal management measures will be required. © The Author(s) 2024.</t>
  </si>
  <si>
    <t>2-s2.0-85195861228"</t>
  </si>
  <si>
    <t>Scientific Data</t>
  </si>
  <si>
    <t>10.1038/s41597-024-03091-9</t>
  </si>
  <si>
    <t>https://www.scopus.com/inward/record.uri?eid=2-s2.0-85187162809&amp;doi=10.1038%2fs41597-024-03091-9&amp;partnerID=40&amp;md5=4bd6b791e1524ba4169cfe637dc0cbba</t>
  </si>
  <si>
    <t>Coastal elevation data are essential for a wide variety of applications, such as coastal management, flood modelling, and adaptation planning. Low-lying coastal areas (found below 10 m +Mean Sea Level (MSL)) are at risk of future extreme water levels, subsidence and changing extreme weather patterns. However, current freely available elevation datasets are not sufficiently accurate to model these risks. We present DeltaDTM, a global coastal Digital Terrain Model (DTM) available in the public domain, with a horizontal spatial resolution of 1 arcsecond (∼30 m) and a vertical mean absolute error (MAE) of 0.45 m overall. DeltaDTM corrects CopernicusDEM with spaceborne lidar from the ICESat-2 and GEDI missions. Specifically, we correct the elevation bias in CopernicusDEM, apply filters to remove non-terrain cells, and fill the gaps using interpolation. Notably, our classification approach produces more accurate results than regression methods recently used by others to correct DEMs, that achieve an overall MAE of 0.72 m at best. We conclude that DeltaDTM will be a valuable resource for coastal flood impact modelling and other applications. © The Author(s) 2024.</t>
  </si>
  <si>
    <t>2-s2.0-85187162809"</t>
  </si>
  <si>
    <t>10.1038/s43247-024-01219-8</t>
  </si>
  <si>
    <t>https://www.scopus.com/inward/record.uri?eid=2-s2.0-85188330929&amp;doi=10.1038%2fs43247-024-01219-8&amp;partnerID=40&amp;md5=e38ea810d9f65dfdaae1f119db14959b</t>
  </si>
  <si>
    <t>Coastal saltmarshes keep pace with sea-level rise through in-situ production of organic material and incorporation of allochthonous inorganic sediment. Here we report rates of vertical accretion of 16 new sediment cores collected proximal to platform edges within saltmarshes located behind four barrier islands along the southeast United States coast. All but two of these exceed the contemporaneous rate of relative sea-level rise, often by a factor of 1.5 or more. Comparison with 80 additional measurements compiled across the Georgia Bight reveals that marshes situated closer to inlets and large bays generally accrete faster than those adjacent to small creeks or within platform interiors. These results demonstrate a spatial dichotomy in the resilience of backbarrier saltmarshes: marsh interiors are near a tipping point, but allochthonous mineral sediment fluxes allow enhanced local resilience along well-exposed and platform-edge marshes. Together, this suggests that backbarrier marshes are trending towards rapid, doughnut-like fragmentation. © The Author(s) 2024.</t>
  </si>
  <si>
    <t>2-s2.0-85188330929"</t>
  </si>
  <si>
    <t>10.3390/rs16214085</t>
  </si>
  <si>
    <t>https://www.scopus.com/inward/record.uri?eid=2-s2.0-85208577805&amp;doi=10.3390%2frs16214085&amp;partnerID=40&amp;md5=9e6f3aacbacbd842b26f642753da92a4</t>
  </si>
  <si>
    <t>Monitoring three-dimensional (3D) deformation in underground mining areas is crucial for the prevention and control of mining-induced disasters. Differential interferometric synthetic aperture radar (D-InSAR) is limited to detecting one-dimensional (1D) deformation along the line of sight (LOS). This paper proposes a new method for extracting 3D mining-induced deformation based on the differentiability of D-InSAR LOS deformation fields. The method approximates the D-InSAR LOS deformation field in underground mining areas as a differentiable function and constructs a 3D deformation extraction model utilizing directional derivatives of this function. The least squares method is used for estimating and evaluating the 3D deformation. Simulation and real data experiments have been used to verify the feasibility of the method in extracting mining-induced 3D deformation. The simulation results show relative root mean square errors (RRMSES) of 1.24%, 6.05%, 0.97%, and 11.47% for vertical and horizontal displacements along the east–west and south–north directions, respectively. The real data experiments using Sentinel-1 images show that the root mean square errors (RMSES) of the up–down, south–north, and east–west directions are 14.06 mm, 7.37 mm, and 11.56 mm, respectively. Experimental results show that the method can provide a certain basis for 3D surface deformation monitoring of mining subsidence. © 2024 by the authors.</t>
  </si>
  <si>
    <t>2-s2.0-85208577805"</t>
  </si>
  <si>
    <t>10.1038/s41597-024-03515-6</t>
  </si>
  <si>
    <t>https://www.scopus.com/inward/record.uri?eid=2-s2.0-85196762753&amp;doi=10.1038%2fs41597-024-03515-6&amp;partnerID=40&amp;md5=f430d98181b63201e24e4ca3bda949c1</t>
  </si>
  <si>
    <t>In studies of the relief evolution of smaller landforms, up to several dozen meters in width/diameter, digital elevation models (DEMs) freely accessible in different repositories may be insufficient in terms of resolution. Existing geophysical or photogrammetric equipment is not always available due to costs, conditions and regulations, especially for students or young researchers. An alternative may be the handy-held ground-based Structure from Motion technique. It allows us to obtain free high-resolution DEMs (~0.05 m) using open-source software. The method was tested on kettle holes of the glacial flood origin on Skeiðarársandur (S Iceland). The material was collected in 2022 at two outwash levels of different ages and vegetation cover. The dataset is available in the Zenodo repository</t>
  </si>
  <si>
    <t>10.1038/s41612-023-00549-2</t>
  </si>
  <si>
    <t>https://www.scopus.com/inward/record.uri?eid=2-s2.0-85181233671&amp;doi=10.1038%2fs41612-023-00549-2&amp;partnerID=40&amp;md5=e5db4716d7eb16f9e5a7a55fb66f3de7</t>
  </si>
  <si>
    <t>Post Hurricane Abnormal Water Level (PHAWL) poses a persistent inundation threat to coastal communities, yet unresolved knowledge gaps exist regarding its spatiotemporal impacts and causal mechanisms. Using a high-resolution coastal model with a set of observations, we find that the PHAWLs are up to 50 cm higher than the normal water levels for several weeks and cause delayed inundations around residential areas of the U.S. Southeast Coast (USSC). Numerical experiments reveal that while atmospheric forcing modulates the coastal PHAWLs, ocean dynamics primarily driven by the Gulf Stream control the mean component and duration of the shelf-scale PHAWLs. Because of the large spatial impact of the post-hurricane oceanic forcing, the coastal hazards are not limited to a direct hit from a hurricane but can be detected throughout the USSC where the oceanic processes reach. © 2024, This is a U.S. Government work and not under copyright protection in the US</t>
  </si>
  <si>
    <t>Earth Surface Dynamics</t>
  </si>
  <si>
    <t>10.5194/esurf-12-1165-2024</t>
  </si>
  <si>
    <t>https://www.scopus.com/inward/record.uri?eid=2-s2.0-85206145830&amp;doi=10.5194%2fesurf-12-1165-2024&amp;partnerID=40&amp;md5=73a80f875d1820e54c4a54ec71bb8ef6</t>
  </si>
  <si>
    <t>We developed a new rule-based, cellular-automaton algorithm for predicting the hazard extent, sediment transport, and topographic change associated with the runout of a landslide. This algorithm, which we call MassWastingRunout (MWR), is coded in Python and implemented as a component for the package Landlab. MWR combines the functionality of simple runout algorithms used in landscape evolution and watershed sediment yield models with the predictive detail typical of runout models used for landslide inundation hazard mapping. An initial digital elevation model (DEM), a regolith depth map, and the location polygon of the landslide source area are the only inputs required to run MWR to model the entire runout process. Runout relies on the principle of mass conservation and a set of topographic rules and empirical formulas that govern erosion and deposition. For the purpose of facilitating rapid calibration to a site, MWR includes a calibration utility that uses an adaptive Bayesian Markov chain Monte Carlo algorithm to automatically calibrate the model to match observed runout extent, deposition, and erosion. Additionally, the calibration utility produces empirical probability density functions of each calibration parameter that can be used to inform probabilistic implementation of MWR. Here we use a series of synthetic terrains to demonstrate basic model response to topographic convergence and slope, test calibrated model performance relative to several observed landslides, and briefly demonstrate how MWR can be used to develop a probabilistic runout hazard map. A calibrated runout model may allow for region-specific and more insightful predictions of landslide impact on landscape morphology and watershed-scale sediment dynamics and should be further investigated in future modeling studies. © Author(s) 2024.</t>
  </si>
  <si>
    <t>2-s2.0-85206145830"</t>
  </si>
  <si>
    <t>10.1038/s41598-024-60201-8</t>
  </si>
  <si>
    <t>https://www.scopus.com/inward/record.uri?eid=2-s2.0-85192206943&amp;doi=10.1038%2fs41598-024-60201-8&amp;partnerID=40&amp;md5=d2848d77459528c0a89cdb5a6888821c</t>
  </si>
  <si>
    <t>Tropical Small Island Developing States (SIDS), such as those in the Caribbean, are among the most vulnerable to the impacts of climate change, most notably sea-level rise. The current sea-level rise in the Caribbean is 3.40 ± 0.3 mm/year (1993–2019), which is similar to the 3.25 ± 0.4 mm/year global mean sea-level (GMSL) rise (1993–2018). Throughout the year, Caribbean seasonal sea-level variability is found to respond to sea surface temperature variability. Over the past few decades, the trend in Caribbean Sea-level rise is also found to be variable. Satellite altimetry and steric sea-level records of the Caribbean region reveal a shift in the late 2003-early 2004, which separates two distinct periods of sea-level rise. Thermal expansion dominates the sea-level trend from 1993–2003. Following this period, there is an increased trend in sea-level rise, with a dominance of mass changes from 2004–2019, as confirmed by GRACE data. During this period, the sea-level trend is 6.15 ± 0.5 mm/year, which is 67% faster than the most recent estimates of global mean sea-level rise provided by the Intergovernmental Panel on Climate Change (3.69 ± 0.5 mm/year for the period 2006–2018). Despite its reduced importance, increasing temperatures contribute greatly to sea-level rise in the Caribbean region through thermal expansion of ocean water, hence there is a need to limit the current trend of global warming. © The Author(s) 2024.</t>
  </si>
  <si>
    <t>2-s2.0-85192206943"</t>
  </si>
  <si>
    <t>10.1016/j.enggeo.2024.107705</t>
  </si>
  <si>
    <t>https://www.scopus.com/inward/record.uri?eid=2-s2.0-85203620618&amp;doi=10.1016%2fj.enggeo.2024.107705&amp;partnerID=40&amp;md5=83e8245a3c23a9f92bc62f8197dac532</t>
  </si>
  <si>
    <t>Construction of large underground infrastructure facilities routinely leads to leakage of groundwater and reduction of pore water pressures, causing time-dependent deformation of overburden soft soil. Coupled hydro-geomechanical numerical models can provide estimates of subsidence, caused by the complex time-dependent processes of creep and consolidation, thereby increasing our understanding of when and where deformations will arise and at what magnitude. However, such hydro-mechanical models are computationally expensive and generally not feasible at larger scales, where decisions are made on design and mitigation. Therefore, a computationally efficient Machine Learning-based metamodel is implemented, which emulates 2D finite element scenario-based simulations of ground deformations with the advanced Creep-SCLAY-1S-model. The metamodel employs decision tree-based ensemble learners random forest (RF) and extreme gradient boosting (XGB), with spatially explicit hydrostratigraphic data as features. In a case study in Central Gothenburg, Sweden, the metamodel shows high predictive skill (Pearson's r of 0.9–0.98) on 25 % of unseen data and good agreement with the numerical model on unseen cross-sections. Through interpretable Machine Learning, Shapley analysis provides insights into the workings of the metamodel, which alignes with process understanding. The approach provides a novel tool for efficient, scenario-based decision support on large scales based on an advanced soil model emulated by a physically plausible metamodel. © 2024 The Authors</t>
  </si>
  <si>
    <t>2-s2.0-85203620618"</t>
  </si>
  <si>
    <t>10.3390/land13111871</t>
  </si>
  <si>
    <t>https://www.scopus.com/inward/record.uri?eid=2-s2.0-85210600582&amp;doi=10.3390%2fland13111871&amp;partnerID=40&amp;md5=99a0f8fecf153d682c95513d77bfa2da</t>
  </si>
  <si>
    <t>Climate warming exacerbates the deterioration of soil and degradation of vegetation caused by coastal flooding, impairing ecosystem climate-regulating functions. This will elevate the risk of carbon storage (CS) loss, further intensifying climate change. To delve deeper into this aspect, we aimed to integrate future land use/land cover changes and global mean sea-level rise to assess the impact of coastal floods on terrestrial CS under the effects of climate change. We compared the 10-year (RP10) and 100-year (RP100) return-period floods in 2020 with projected scenarios for 2050 under SSP1-26, SSP2-45, SSP3-70, and SSP5-85. The study findings indicate that CS loss caused by coastal flooding in China’s coastal zones was 198.71 Tg (RP10) and 263.46 Tg (RP100) in 2020. In 2050, under the SSP1-26, SSP2-45, and SSP3-70 scenarios, the CS loss is projected to increase sequentially, underscoring the importance of implementing globally coordinated strategies for mitigating climate change to effectively manage coastal flooding. The value of CS loss is expected to increase in 2050, with an anticipated rise of 97–525% (RP10) and 91–498% (RP100). This highlights the essential need to include coastal flood-induced CS changes in carbon emission management and coastal climate risk assessments. © 2024 by the authors.</t>
  </si>
  <si>
    <t>2-s2.0-85210600582"</t>
  </si>
  <si>
    <t>10.1038/s41612-024-00655-9</t>
  </si>
  <si>
    <t>https://www.scopus.com/inward/record.uri?eid=2-s2.0-85192081779&amp;doi=10.1038%2fs41612-024-00655-9&amp;partnerID=40&amp;md5=8838f213bc5fa203051315fc488f0efa</t>
  </si>
  <si>
    <t>The post-landfall decay of tropical cyclones (TC) is often closely linked to the magnitude of damage to the environment, properties, and the loss of human lives. Despite growing interest in how climate change affects TC decay, data uncertainties still prevent a consensus on changes in TC decay rates and related precipitation. Here, after strict data-quality control, we show that the rate of decay of TCs after making landfall in China has significantly slowed down by 45% from 1967 to 2018. We find that, except the warmer sea surface temperature, the eastward shift of TC landfall locations also contributes to the slowdown of TC decay over China. That is TCs making landfall in eastern mainland China (EC) decay slower than that in southern mainland China (SC), and the eastward shift of TCs landfall locations causes more TCs landfalling in EC with slower decay rate. TCs making landfall in EC last longer at sea, carry more moisture upon landfall, and have more favorable dynamic and thermodynamic conditions sustaining them after landfall. Observational evidence shows that the decay of TC-induced precipitation amount and intensity within 48 h of landfall is positively related to the decay rate of landfalling TCs. The significant increase in TC-induced precipitation over the long term, due to the slower decay of landfalling TCs, increases flood risks in China’s coastal areas. Our results highlight evidence of a slowdown in TC decay rates at the regional scale. These findings provide scientific support for the need for better flood management and adaptation strategies in coastal areas under the threat of greater TC-induced precipitation. © The Author(s) 2024.</t>
  </si>
  <si>
    <t>2-s2.0-85192081779"</t>
  </si>
  <si>
    <t>10.1007/s10661-024-13191-z</t>
  </si>
  <si>
    <t>https://www.scopus.com/inward/record.uri?eid=2-s2.0-85205526849&amp;doi=10.1007%2fs10661-024-13191-z&amp;partnerID=40&amp;md5=207b8b449db333e4a82a54ee4bb1bb2e</t>
  </si>
  <si>
    <t>This research article investigates the intricate interplay between climate change, global sea level rise (SLR), and the impacts of sea level rise on the coastal regions of India. Through an interdisciplinary approach, this paper provides an overview of the global consequences of SLR on coastal communities, exploring economic, social, and environmental impacts on agriculture, communities, and coastal areas. The study examines the displacement of communities and its impact on food security, infrastructure, tourism, and ecological loss based on a comprehensive literature review. This paper emphasizes the sustainable preservation of coastal ecosystems and the development of climate-resilient infrastructure. This research aims to offer a detailed understanding of the evolving landscape of coastal livelihoods, providing valuable insights for adaptive strategies, policy formulation, and sustainable development. Ultimately, this article contributes to the scientific discourse by shedding light on the complex dynamics between climate change, SLR, and coastal communities, guiding efforts toward a resilient and sustainable future. The insights are drawn from secondary data resources, including books, scholarly journals, and reports from organizations such as the IPCC and NOAA. Based on a thorough review of the relevant literature, it critically examines the existing and potential consequences of sea level rise induced by climate change. © The Author(s) 2024.</t>
  </si>
  <si>
    <t>2-s2.0-85205526849"</t>
  </si>
  <si>
    <t>10.5194/nhess-24-3841-2024</t>
  </si>
  <si>
    <t>https://www.scopus.com/inward/record.uri?eid=2-s2.0-85209766960&amp;doi=10.5194%2fnhess-24-3841-2024&amp;partnerID=40&amp;md5=7f233b2377f784513c033b24bce534a4</t>
  </si>
  <si>
    <t>In October 2023, the Baltic Sea coasts of Germany and Denmark experienced a severe storm surge, predominantly impacting the German state of Schleswig-Holstein and parts of southern Denmark. The surge led to extensive flooding in cities like Flensburg and Schleswig, causing the breaching of at least six (regional) dikes and causing over EUR 200 million in damages in Schleswig-Holstein. By chance, the peak water levels of this storm surge aligned well with those of recent hydrodynamic flood modelling studies of the region. This rare coincidence offers crucial insights for our understanding of flooding impacts, flood management, and modelling. By comparing those studies to the real-world example using extensive media reports, we aim to extract key insights and identify gaps to be tackled in order to improve flood risk modelling in the Baltic Sea region and beyond.  © Author(s) 2024.</t>
  </si>
  <si>
    <t>2-s2.0-85209766960"</t>
  </si>
  <si>
    <t>10.1038/s41598-023-48612-5</t>
  </si>
  <si>
    <t>https://www.scopus.com/inward/record.uri?eid=2-s2.0-85181732939&amp;doi=10.1038%2fs41598-023-48612-5&amp;partnerID=40&amp;md5=1cf2b3e600f613b3ee21e44fa439bb74</t>
  </si>
  <si>
    <t>Global coastal areas are at risk due to geomorphological issues, climate change-induced sea-level rise, and increasing human population, settlements, and socioeconomic activities. Here, the study examines the vulnerability of the West African (WA) coast using six satellite-derived geophysical variables and two key socioeconomic parameters as indicators of coastal vulnerability index (CVI). These geophysical and socioeconomic variables are integrated to develop a CVI for the WA coast. Then, the regional hotspots of vulnerability with the main indicators that could influence how the WA coast behaves and can be managed are identified. The results indicate that 64, 17 and 19% of WA coastal areas had high to very high CVI, moderate CVI, and low to very low CVI, respectively. The study reveals that while geophysical variables contribute to coastal vulnerability in WA, socioeconomic factors, particularly high population growth and unsustainable human development at the coast, play a considerably larger role. Some sections of the WA coast are more vulnerable and exposed than others, particularly those in the region's northwestern and Gulf of Guinea regions. Climate change and human presence may amplify the vulnerability in these vulnerable areas in the future. Hence, future coastal economic development plans should be based on a deep understanding of local natural conditions, resource status, and geophysical parameters to prevent negative coastal ecosystem transformation. It is also essential to establish a coastal management plan that would facilitate the development of desired actions and stimulate sustainable management of West African coastal areas. © 2023, The Author(s).</t>
  </si>
  <si>
    <t>2-s2.0-85181732939"</t>
  </si>
  <si>
    <t>Journal of Advanced Research in Applied Sciences and Engineering Technology</t>
  </si>
  <si>
    <t>10.37934/araset.42.2.89103</t>
  </si>
  <si>
    <t>https://www.scopus.com/inward/record.uri?eid=2-s2.0-85190794096&amp;doi=10.37934%2faraset.42.2.89103&amp;partnerID=40&amp;md5=97d4bf19090b4d12d3db4953b1853a04</t>
  </si>
  <si>
    <t>The increasing long-term sea level rise is particularly interesting and needs a significant investment in coastal protection procedures. The coastal sea level has been verified with tide gauges and well maintained with reliable data accuracy since a few centuries ago. Satellite altimeter has been used for sea level study and increasingly for operational purposes. However, the precision of altimetry data in coastal areas is frequently eliminated by the geographically correlated orbit errors, which induce a regional inhomogeneous mission bias. This study presents an effort to verify sea level anomaly based on altimetry data with tide gauge stations as an early procedure to provide good sea level anomaly data for mean sea surface, gravity anomaly, and geoid determination over Malaysian seas. The altimetry data is validated by comparing the sea level anomaly with ground truth data (tidal data) near the coastal area. Nine selected areas were chosen to represent the ground truth data. The findings found that the altimetry data over the South China Sea (Pulau Tioman, Geting, Cendering, Bintulu, and Kota Kinabalu) provided a good pattern, high correlation, and a minimum root mean square error (RMSE) value after the verification with tidal sea level anomaly data. However, it clearly shows that Tawau station over the Celebes Sea provides a poor pattern, correlation, and a high RMSE value with tidal sea level anomaly data. In conclusion, further enhancements are expected from the refined processing and filtering of altimetry data for the sea level study in the coastal zone. © 2024, Semarak Ilmu Publishing. All rights reserved.</t>
  </si>
  <si>
    <t>2-s2.0-85190794096"</t>
  </si>
  <si>
    <t>10.1016/j.jhydrol.2024.131992</t>
  </si>
  <si>
    <t>https://www.scopus.com/inward/record.uri?eid=2-s2.0-85204458699&amp;doi=10.1016%2fj.jhydrol.2024.131992&amp;partnerID=40&amp;md5=2ae4ff5f4c0da2755aadbaff3926c9b0</t>
  </si>
  <si>
    <t>Due to the complex runoff and concentration situation, flood forecasting for small and medium-sized catchments is very difficult. To improve the accuracy of flood forecasting, this study constructs a distributed model for flood forecasting based on the Xainanjiang (XAJ) model and the North China (NC) model respectively, and takes the deep learning model including LSTM and transformer to compare. Taking the Podi Basin and Shibazi Basin as study cases. LSTM, Transformer, and LSTPencoder models were used to correct the error of distributed models, and the differential evolution (DE) algorithm was used to optimize the model parameters. Taking the observed rainfall and distributed model results as input, the residuals of the simulation flow are fitted to improve the accuracy of the distributed model. The research results show that the NC model performs better than the XAJ, LSTM, and transformer models. Compared with the XAJ model, the average Nash-Sutcliffe coefficient of the NC model for the two catchments increased by 25.7 % and 5.87 % respectively. The performance of the NC+LSTPencoder model is better than other models. Compared with the NC model, the average Nash-Sutcliffe coefficient of the NC+LSTPencoder model for two catchments increased by 89.7 % and 1.12 % respectively, and the Root Mean Square Errors (RMSE) of the two catchments reduced by 79.1 % and 63.4 % respectively. The model proposed in this paper has strong correction ability, which has important significance for improving the accuracy of flood forecasts. © 2024</t>
  </si>
  <si>
    <t>2-s2.0-85204458699"</t>
  </si>
  <si>
    <t>10.1016/j.jhydrol.2024.131991</t>
  </si>
  <si>
    <t>https://www.scopus.com/inward/record.uri?eid=2-s2.0-85204349573&amp;doi=10.1016%2fj.jhydrol.2024.131991&amp;partnerID=40&amp;md5=4a90445052dfe562d6658109588cfb3f</t>
  </si>
  <si>
    <t>Enhancing urban resilience represented a viable strategy to mitigate flooding induced by intense human activities and climate change. However, existing studies often concentrated on system attributes or isolated resilience characteristics, failing to offer a holistic evaluation of urban flood resilience performance. Thus, it was imperative to develop a comprehensive flood resilience framework that incorporated the resilience evolution process including resistance, economic and function recovery. Consequently, this study endeavored to devise a synthesized framework for evaluating urban flood resilience, subsequently employing a Convolutional Neural Network (CNN) model for simulation. The findings indicated that: (1) Guangzhou's maximum resistance capacity diminished from 0.52 to 0.50 as rainfall return periods altered, while Dongguan exhibited the lowest resistance, decreasing from 0.42 to 0.40. Regarding functional recovery capacity, Guangzhou ranked highest (0.35) and Foshan lowest (0.19)</t>
  </si>
  <si>
    <t>10.1029/2023JC020673</t>
  </si>
  <si>
    <t>https://www.scopus.com/inward/record.uri?eid=2-s2.0-85208113290&amp;doi=10.1029%2f2023JC020673&amp;partnerID=40&amp;md5=8a8714c9ac9dee182e97d3559b82936a</t>
  </si>
  <si>
    <t>In coastal areas, multiple hydrodynamic processes co-occur, including the astronomical tide, river discharge, and storm surge. Their propagation and interaction within coastal tidal river result in strong nonlinear behavior in inland areas. This study employed a hydrodynamic model and continuous wavelet transform analysis to investigate the complex tide-river-surge interactions and their impacts on compound flooding in the West River of the Pearl River Delta during an extreme typhoon event. Validated model outputs provided insights into the spatial and temporal variations of river discharge, water levels, and currents. Wavelet analysis revealed river discharge modulates tidal properties, causing nonstationary tides and asymmetries, with high flows suppressing tidal ranges but facilitating energy transfers to overtides. During Typhoon Hato, storm surges dominated high-frequency water level fluctuations that rapidly propagated upstream. Crucially, strong high-frequency tide-river-surge coupling induced significant water level amplifications, with interaction intensities increasing landward. In upstream areas where riverine and coastal drivers converged, flood risks exceeded typical estimates due to this vigorous multi-driver compounding. Findings highlighted how existing flood mitigation approaches over simplistically superposing individual sources may severely underestimate flood levels by neglecting such nonlinear interactions. A comprehensive accounting of the cumulative, multiplicative effects of tides, discharge, storm surge, and sea level rise is imperative. This quantitative unraveling of key physical drivers offers transferable insights applicable to compound flood risk evaluations and policy guidance for enhancing resilience in other estuary and delta regions. Future work should focus on holistically modeling multivariate extremes and their interactions. © 2024. The Author(s).</t>
  </si>
  <si>
    <t>2-s2.0-85208113290"</t>
  </si>
  <si>
    <t>10.1007/s10668-023-03836-3</t>
  </si>
  <si>
    <t>https://www.scopus.com/inward/record.uri?eid=2-s2.0-85170527768&amp;doi=10.1007%2fs10668-023-03836-3&amp;partnerID=40&amp;md5=fe7584c0821e38b966e820b478c453f7</t>
  </si>
  <si>
    <t>Climate change, urbanization, and land subsidence are increasing risks of dangerous and costly flooding in Africa’s coastal regions. As the intensity and the number of flooding occurrences increase, real-time solutions for flood risks and hazards mapping are required to assess flooding and its potential impacts on the environment and humans. Flood risk mapping has become an important tool for assessing flood risks in coastal areas to guide planning and mitigation efforts by local officials. However, this tool has not been leveraged to support flood risk analysis. Using GIS weighted sum method, this study mapped and assessed flood risk zones in Limbe, Cameroon, by utilizing a Shuttle Radar Topography Mission-Digital Elevation Model (SRTM-DEM). Flood risk zones were delineated based on several environmental factors, including precipitation, elevation, slope, soil texture, land use/land cover, and flow accumulation. The findings classified about 50% of land in Limbe as having either high or very high vulnerability to flooding. The highest risk areas were concentrated in the upstream and downstream areas of Ejengele and Limbe Rivers. Only about 9% of Limbe was classified as very low risk, suggesting that most of the land area is susceptible to flooding. The study reveals that more than 90% of the Limbe’s urban areas are in flood-prone areas, which requires special attention from stakeholders to take necessary steps toward the preparation and mitigation of extreme flood events. The resulting flood risk maps provide vital information for urban and risk management planning professionals. © The Author(s), under exclusive licence to Springer Nature B.V. 2023.</t>
  </si>
  <si>
    <t>2-s2.0-85170527768"</t>
  </si>
  <si>
    <t>10.1016/j.ijdrr.2024.104861</t>
  </si>
  <si>
    <t>https://www.scopus.com/inward/record.uri?eid=2-s2.0-85205386354&amp;doi=10.1016%2fj.ijdrr.2024.104861&amp;partnerID=40&amp;md5=8c4022a564520ca7c7bfa9525fd33ba6</t>
  </si>
  <si>
    <t>Climate change exerts impacts on biodiversity and coastal ecosystems. Given the socio-economic and environmental significance of coastal zones, preventative and mitigative measures are imperative to address the damages resulting from erosive processes and coastal flooding. The state of Rio de Janeiro, with its 1160 km of coastline, holds ecological, socio-economic, and logistical importance in Brazil, necessitating the safeguarding of these assets. We employed the InVEST modeling program to assess coastal vulnerability, incorporating data on populations, logistical infrastructure (ports and aerodromes), and priority areas for fauna protection. Our findings revealed that the state of Rio de Janeiro faces coastal risks ranging from intermediate to high at 66 %, and a substantial portion of legally protected areas does not encompass habitats near the coast. We illustrated the pivotal role of habitats in coastal protection, emphasizing that their removal would significantly augment coastal vulnerability. The amalgamation of these factors allowed us to propose adaptation strategies based on nature-based solutions to address environmental and socio-economic challenges. © 2024 Elsevier Ltd</t>
  </si>
  <si>
    <t>2-s2.0-85205386354"</t>
  </si>
  <si>
    <t>10.3390/cli12110178</t>
  </si>
  <si>
    <t>https://www.scopus.com/inward/record.uri?eid=2-s2.0-85210576824&amp;doi=10.3390%2fcli12110178&amp;partnerID=40&amp;md5=2cbf05dee15f49b379a3dade89d9bf0c</t>
  </si>
  <si>
    <t>Coastal flooding poses a significant threat to coastal communities, adversely affecting both safety and economic stability. This threat is exacerbated by factors such as sea level rise, rapid urbanization, and inadequate coastal infrastructure, as noted in recent climate change reports. Early warning systems (EWSs) have proven to be effective tools in coastal planning and management, offering a high cost-to-benefit ratio. Recent advancements have integrated operational numerical models with machine learning techniques to develop near-real-time EWSs, leveraging data obtained from reputable databases that provide reliable hourly sea-state and sea level data. Despite these advancements, a stepwise methodology for selecting representative events, akin to wave input reduction methods used in morphological modeling, remains undeveloped. Moreover, existing methodologies often overlook the significance of compound extreme events and their potential increased occurrence under climate change projections. This research addresses these gaps by introducing a novel input schematization method that combines efficient hydrodynamic modeling with clustering algorithms. The proposed methodοlogy, implemented in the coastal area of Pyrgos, Greece, aims to select an optimal number of representative sea-state and water level combinations to develop accurate EWSs for coastal flooding risk prediction. A key innovation of this methodology is the incorporation of weights in the clustering algorithm to ensure adequate representation of extreme compound events, also taking into account projections for future climate scenarios. This approach aims to enhance the accuracy and reliability of coastal flooding EWSs, ultimately improving the resilience of coastal communities against imminent flooding threats. © 2024 by the authors.</t>
  </si>
  <si>
    <t>2-s2.0-85210576824"</t>
  </si>
  <si>
    <t>10.1038/s43247-024-01468-7</t>
  </si>
  <si>
    <t>https://www.scopus.com/inward/record.uri?eid=2-s2.0-85195475964&amp;doi=10.1038%2fs43247-024-01468-7&amp;partnerID=40&amp;md5=3a7b8729fd95245b1d6d870d02928d79</t>
  </si>
  <si>
    <t>Coastal communities in various regions of the world are exposed to risk from tsunami inundation, requiring reliable modeling tools for implementing effective disaster preparedness and management strategies. This study advocates for comprehensive multi-variable models and emphasizes the limitations of traditional univariate fragility functions by leveraging a large, detailed dataset of ex-post damage surveys for the 2011 Great East Japan tsunami, hydrodynamic modeling of the event, and advanced machine learning techniques. It investigates the complex interplay of factors influencing building vulnerability to tsunami, with a specific focus on the hydrodynamic effects associated to tsunami propagation on land. Novel synthetic variables representing shielding and debris impact mechanisms prove to be suitable proxies for water velocity, offering a practical solution for rapid damage assessments, especially in post-event scenarios or large-scale analyses. Machine learning then emerges as a promising approach to tackle the complexities of vulnerability assessment, while providing valuable and interpretable insights. © The Author(s) 2024.</t>
  </si>
  <si>
    <t>2-s2.0-85195475964"</t>
  </si>
  <si>
    <t>Advances in Water Resources</t>
  </si>
  <si>
    <t>10.1016/j.advwatres.2024.104817</t>
  </si>
  <si>
    <t>https://www.scopus.com/inward/record.uri?eid=2-s2.0-85203858988&amp;doi=10.1016%2fj.advwatres.2024.104817&amp;partnerID=40&amp;md5=d789bf100e0d48dd2667feb93df850b7</t>
  </si>
  <si>
    <t>Coreflooding experiments are one of the primary methods for reservoir rock characterization and have been developing in recent years, providing increasing detail. An advanced analysis of coreflooding experiments consists of constructing three dimensional permeability (k) maps of the core sample with sub-core resolution. Such detailed characterizations provide important information on the core heterogeneity and enable the construction of accurate numerical flow models that can reproduce experimental results. This work presents a method for estimating k, combining data from multiple coreflooding experiments, and studies the estimation accuracy considering a large number of test cases consisting of synthetic data obtained by numerical experiments. Cases include varying parameters, such as: fluid injection flow rates and types, relative permeability curves, capillary pressure functions and core heterogeneity. The new method is shown to significantly improve the estimation accuracy in comparison to methods that incorporate data only from a single experiment. Furthermore, a method for improving k estimations in regions where water is trapped is presented and its implementation is shown to increase the overall accuracy of k estimation. An additional method is considered, that requires only single-phase flow solutions, thus increasing the computational efficiency. However, it is shown to be applicable only for a small subset of cases. © 2024 Elsevier Ltd</t>
  </si>
  <si>
    <t>2-s2.0-85203858988"</t>
  </si>
  <si>
    <t>10.1016/j.jsames.2024.105107</t>
  </si>
  <si>
    <t>https://www.scopus.com/inward/record.uri?eid=2-s2.0-85202076826&amp;doi=10.1016%2fj.jsames.2024.105107&amp;partnerID=40&amp;md5=99c8203ecf18c47a0ec6e9f873862e57</t>
  </si>
  <si>
    <t>Vila Belmiro is a significant development in the coastal urban scenario and is nestled along the rugged cliffs of the southern coast of Brazil. Cyclones caused tremendous damage to the shore, destroying infrastructure, eroding the coast, flooding, and displacing people. Determining such low-lying regions' coastal vulnerability index is crucial for developing efficient mitigation strategies and enhancing readiness for calamities. In light of this viewpoint, the current study attempted to determine the Coastal Vulnerability Index (CVI) using the analytical hierarchical process (AHP). The study combined the Physical Vulnerability Index (PVI) and the Social Vulnerability Index (SVI) to create the Coastal Vulnerability Index. This study generated the LULC layer for Vila Belmiro using machine learning techniques and Random Forest based model. A component of the process was evaluating the parameters pairwise based on their importance and relevance to the study's objective. The CVI assessment classified 19.28 Sq.km of the coastline, including Solemar, São Vicente, Santo, and Ponta Da Praia, as very high risk. High-risk areas, such as São Vicente, Vila Caicara, and Guaruja, span 25.26 Sq.km. Medium risk was observed across 16.85 Sq.km, covering Praia Grande, Nova Mirim, and Balneario Praia. Low-risk regions, including Japui and Jarfim Guaiuba, extend over 13.54 Sq.km. Lastly, 10.78 Sq.km of the coastline, including Canto Do Forte, were classified as very low risk. These measurements highlight the varying levels of vulnerability along the coastline. The study concluded that coastal vulnerability zones were effectively identified and assessed, enhancing understanding and management of coastal risks. Planning and mitigating future cyclones can benefit from the identified vulnerable zones. The current study included machine learning, remote sensing, Geographic Information System (GIS), and advanced facilities that were spatially integrated with AHP approaches. © 2024 Elsevier Ltd</t>
  </si>
  <si>
    <t>2-s2.0-85202076826"</t>
  </si>
  <si>
    <t>10.1016/j.ijdrr.2024.104909</t>
  </si>
  <si>
    <t>https://www.scopus.com/inward/record.uri?eid=2-s2.0-85207723083&amp;doi=10.1016%2fj.ijdrr.2024.104909&amp;partnerID=40&amp;md5=15be0de92b9e1c1c19ab19f7571f649d</t>
  </si>
  <si>
    <t>Storm tides, which combine sea level rise (SLR), astronomical tides, and storm surges generated by tropical cyclones, pose significant threats to coastal zones, leading to flooding and substantial damage to property and infrastructure.There is a clear upward trend in the frequency of storms reaching tropical cyclone strength. A notable example is Cyclone Belal, which struck Mauritius on January 2024, during high tide, causing extensive infrastructure damage. This underscores the importance of conducting risk assessments to identify vulnerable areas and develop risk reduction strategies. However, quantitative risk assessments of storm tides are often challenging due to the lack of long-term projections. To address this, we developed a GIS-based flood model for Mauritius to simulate inundation areas and quantify the assets exposed to flooding. Under current conditions, the estimated damage exposure from extreme coastal flood events with return periods of 50–500 years is significant, with 6.2 % and 27.1 % of the area inundated, respectively. By 2100, damage exposure associated with these events is projected to increase by a factor of 1.1, with minimal variation between sea-level rise scenarios (0.3m). However, by 2200 and 2300, damage exposure is expected to rise by factors of 3.1 and 6.6, respectively. In the worst-case scenario for 2500, Mauritius could experience maximum inundation of 66.3 km2, with buildings covering 5.02 km2 submerged. Additionally, this study presents a detemporalized inundation scenario to assess impacts from any coastal flood event. This approach enables the identification of critical thresholds (1.5 m and 4.5 m) and, beyond which significant increases in damage exposure are likely, and allows for evaluating adaptation strategies against user-defined levels of change, rather than relying solely on predefined scenarios. These findings highlight the urgent need for strategic sectoral interventions to address the widespread consequences of coastal inundation, especially in light of critical thresholds for remedial action. © 2024 Elsevier Ltd</t>
  </si>
  <si>
    <t>2-s2.0-85207723083"</t>
  </si>
  <si>
    <t>10.5194/nhess-24-3789-2024</t>
  </si>
  <si>
    <t>https://www.scopus.com/inward/record.uri?eid=2-s2.0-85209397904&amp;doi=10.5194%2fnhess-24-3789-2024&amp;partnerID=40&amp;md5=b8ca38d4d919708ca84696d985380841</t>
  </si>
  <si>
    <t xml:space="preserve">The volcanic island of Stromboli (southern Tyrrhenian Sea, Italy) is renowned for its persistent, periodic, low-intensity explosive activity, whose spectacular manifestations attract tens of thousands of tourists every year. However, sporadic more intense major explosive and effusive eruptions and paroxysms pose serious threats to the island. In addition to direct hazards, granular slides of volcanic debris and pyroclastic avalanches, which can rapidly reach the sea and potentially generate tsunamis, are often associated with such unpredictable eruptive activity. Due to the very fast propagation of the tsunami around the island and the consequent short tsunami warning time (ranging from less than a minute to only a few minutes), mitigation efforts and evacuation from the Strombolian coast must be carefully planned. In this paper, we describe a new GIS-Assisted procedure that allows us to combine the outputs of an ensemble of 156 pre-computed landslide-generated tsunami hazard scenarios (with variable landslide volume, position, and density), statistical exposure data (i.e.The number of inhabitants and tourists), and digital geographic information to obtain a quantitative (scenario-based) risk analysis. By means of the analysis of the road network and coastal morphology, we develop a model with routes and times to reach a safe area from every pixel in the inundated area and an appraisal of the time needed to escape versus the wave arrival time. This allows us to evaluate and quantify the effectiveness of potential risk mitigation by means of evacuation. The creation of an impact score linking the predicted inundation extent and the tsunami warning signals is intended, in the long term, to be used to predict the intensity of future tsunamis and to adapt evacuation plans accordingly. The model, here applied to Stromboli, is general and can be applied to other volcanic islands. Evacuating an island hosting several thousand tourists every summer with very little warning time underlines the absolute necessity for such mitigation efforts, aimed at informing hazard planners and managers and all other stakeholders.  © Copyright: </t>
  </si>
  <si>
    <t>2-s2.0-85209397904"</t>
  </si>
  <si>
    <t>10.1002/hyp.15316</t>
  </si>
  <si>
    <t>https://www.scopus.com/inward/record.uri?eid=2-s2.0-85207695043&amp;doi=10.1002%2fhyp.15316&amp;partnerID=40&amp;md5=3c4781bdce5e5c3caf8aef82fb72bcd3</t>
  </si>
  <si>
    <t>Stream temperature is widely considered the master variable in stream ecosystems. One of the key drivers of diel and seasonal stream temperature variability is the solar radiation received at the stream surface, which can be influenced by shading associated with both larger scale topographic features and riparian vegetation. In this study, a stream shade model was developed that uses LiDAR point cloud data to model shading by riparian vegetation, including canopy overhang, and conventional elevation data to model stream shading by topography. The model was applied to a dominantly north–south oriented river flowing in a floodplain within a mountain valley. When compared with shade interpreted from PlanetScope visual imagery, the model predicted stream shade at the point scale with 92% agreement. Sources of error were attributed to pixel and azimuth band size, which can be refined within the model arguments, although at the cost of increased processing time. The shade model was re-run after virtually rotating the reach by 90° and 270° clockwise to evaluate the effect of valley orientation. Peak reach-wide sunlight exposure occurred approximately 2 h later in the day when the stream reach was rotated 90°, and produced greater shading from mid-morning to mid-afternoon. Further work should test the model on smaller streams using ground-based oblique or drone-based photography to provide ground-truthing, particularly to assess the accuracy of predicted shade below over-hanging vegetation. © 2024 The Author(s). Hydrological Processes published by John Wiley &amp; Sons Ltd.</t>
  </si>
  <si>
    <t>2-s2.0-85207695043"</t>
  </si>
  <si>
    <t>Meteorological Applications</t>
  </si>
  <si>
    <t>10.1002/met.70020</t>
  </si>
  <si>
    <t>https://www.scopus.com/inward/record.uri?eid=2-s2.0-85210482271&amp;doi=10.1002%2fmet.70020&amp;partnerID=40&amp;md5=54e7f18da665eb6ec4d55a79c63d06e5</t>
  </si>
  <si>
    <t>Persistent cold air pools (CAPs) trap pollutants in valleys for extended periods, leading to reduced visibility and increased air pollution within these valleys. The structure of the persistent cold air pool that occurred in the Lanzhou Valley in December 2016 was simulated using different Planetary Boundary Layer (PBL) scenarios of the Weather Research and Forecasting (WRF) model, and the simulation of the persistent cold air pool was further optimized in these PBL scenarios. The simulation results indicated that weather-scale dry subsidence and nighttime ground radiation cooling were significant factors contributing to the accumulation of persistent CAPs and pollutants in the Lanzhou Valley. In contrast, convective lifting from the ground led to the dissipation of persistent CAPs and a reduction in pollution within the valley. During persistent CAPs, the PM2.5 concentration and valley heat deficit (Q) were 66.7% and 62% higher, respectively, than during non-CAP. In the original MYNN scheme, the average PBL height, double turbulent kinetic energy (QKE), and turbulence length scale during persistent CAPs decreased by 30.79%, 50.5%, and 34.4%, respectively, compared to non-CAP. Compared with the original MYNN scheme, the optimized MYNN scheme shows a significant improvement in the turbulence simulation during the sustained CAPs, resulting in a more stable atmosphere. The PBL height during the sustained CAPs is reduced by 28 m, the diurnal turbulence length scale is reduced by 31.62%, the stability parameter is reduced by 39%, the diurnal mean QKE is reduced by 27.45%, and the QKE impact height is reduced by 100–400 m. © 2024 The Author(s). Meteorological Applications published by John Wiley &amp; Sons Ltd on behalf of Royal Meteorological Society.</t>
  </si>
  <si>
    <t>2-s2.0-85210482271"</t>
  </si>
  <si>
    <t>10.1016/j.heliyon.2024.e39824</t>
  </si>
  <si>
    <t>https://www.scopus.com/inward/record.uri?eid=2-s2.0-85207318816&amp;doi=10.1016%2fj.heliyon.2024.e39824&amp;partnerID=40&amp;md5=7c1f138fbd1746d4a439a7cd89af7b6f</t>
  </si>
  <si>
    <t>Coastal flooding and erosion, caused by climate change-induced sea level rise, pose significant threats to low-lying coastal areas worldwide. The African continent, including Ghana, has experienced severe impacts from these hazards, affecting the socio-economic development of coastal communities. This research focuses on the Keta municipality in Ghana. The Keta municipality is highly vulnerable to coastal flooding and erosion due to its low elevation and the construction of the Akosombo hydroelectric dam. This research aims to predict the impact of coastal flooding on infrastructure in the Keta municipality using different flood scenarios. It also fills the existing knowledge gap in understanding how future flood risk can impact on critical infrastructure and consequently on other vital socio-economic sectors in the coastal community of Keta. The study utilizes a Geographic Information System (GIS)-based approach, combining various datasets, including topographic data, administrative shapefiles, field survey points, and infrastructure data. Two flood scenarios were considered to assess areas at risk: a 2.5-m sea level flood scenario representing potential climate change events and a worst-case 5-m sea level flood scenario. The findings reveal that 3.3 km2 (9 %) of coastal land area, 3.9 km of roads, and 69 structures are at risk under a 2.5m sea level rise scenario, increasing to 7.1 km2 (19.4 %), 13.6 km of roads, and 667 structures under a 5m scenario. The study highlights the urgency of addressing these risks to protect coastal communities' socio-economic development and livelihoods. Recommendations include implementing appropriate coastal management strategies, improving infrastructure resilience, and promoting sustainable land-use practices. By understanding and addressing the future impact of coastal flooding, decision-makers can mitigate climate change's adverse effects on coastal areas and ensure the region's long-term sustainability. © 2024</t>
  </si>
  <si>
    <t>2-s2.0-85207318816"</t>
  </si>
  <si>
    <t>10.1038/s41598-024-53277-9</t>
  </si>
  <si>
    <t>https://www.scopus.com/inward/record.uri?eid=2-s2.0-85184792523&amp;doi=10.1038%2fs41598-024-53277-9&amp;partnerID=40&amp;md5=47416d278a11a6751a58dffb4d6cfef4</t>
  </si>
  <si>
    <t>Governments globally are adapting to sea level rise through a range of interventions to improve everyday lives of communities at risk. One prominent response is planned relocation, where people and communities are enabled to move from localities exposed to coastal erosion and inundation as a result of sea level rise. Managed retreat has significant social consequences including under-reported impacts on health, well-being and social identity. Here we adopt well-established measures of well-being and document the outcomes of planned relocation on well-being in the Volta Delta region of Ghana. Data from a bespoke survey for individuals (n = 505) in relocated and non-relocated communities demonstrate that planned relocation negatively impacts well-being and anxiety of those relocated when compared to a community that is equally exposed but has not moved. Individuals in the relocated community reported significantly lower levels of overall wellbeing, significantly higher levels of anxiety, and lower perceptions of safety, compared to non-relocated community members. These outcomes are explained as being related to the disruption of community connection, identities, and feelings of efficacy. Relocated community members reported significantly lower levels of attachment to the local area and home, significantly lower levels of community-based self-efficacy, and significantly lower levels of overall community-based identity. The results demonstrate that planned relocation to address sea level rise has multiple social consequences with outcomes for well-being that are not straightforwardly related to risk reduction. © The Author(s) 2024.</t>
  </si>
  <si>
    <t>2-s2.0-85184792523"</t>
  </si>
  <si>
    <t>10.1029/2024GL110359</t>
  </si>
  <si>
    <t>https://www.scopus.com/inward/record.uri?eid=2-s2.0-85210072009&amp;doi=10.1029%2f2024GL110359&amp;partnerID=40&amp;md5=49ad40f7b1e6a1e37054ffdd55f920d7</t>
  </si>
  <si>
    <t>Saltwater intrusion is a critical concern for coastal communities due to its impacts on fresh ecosystems and civil infrastructure. Declining recharge and rising sea level are the two dominant drivers of saltwater intrusion along the land-ocean continuum, but there are currently no global estimates of future saltwater intrusion that synthesize these two spatially variable processes. Here, for the first time, we provide a novel assessment of global saltwater intrusion risk by integrating future recharge and sea level rise while considering the unique geology and topography of coastal regions. We show that nearly 77% of global coastal areas below 60° north will undergo saltwater intrusion by 2100, with different dominant drivers. Climate-driven changes in subsurface water replenishment (recharge) is responsible for the high-magnitude cases of saltwater intrusion, whereas sea level rise and coastline migration are responsible for the global pervasiveness of saltwater intrusion and have a greater effect on low-lying areas. © 2024 Jet Propulsion Laboratory, California Institute of Technology and The Author(s). Government sponsorship acknowledged.</t>
  </si>
  <si>
    <t>2-s2.0-85210072009"</t>
  </si>
  <si>
    <t>10.1016/j.jenvman.2024.122620</t>
  </si>
  <si>
    <t>https://www.scopus.com/inward/record.uri?eid=2-s2.0-85204785169&amp;doi=10.1016%2fj.jenvman.2024.122620&amp;partnerID=40&amp;md5=26dca71f5799a975170e684125613a68</t>
  </si>
  <si>
    <t>There has been an increase in recognition of the benefits of employing nature-based coastal protection strategies to adapt to the impacts of climate change (e.g., increased storminess, sea-level rise). To enable broader use of nature-based methods, coastal managers and policymakers need to consider the placement and social acceptance of any methods considered. Most published spatial planning models for nature-based coastal protection currently do not utilise social data during site selection. We conducted a public survey of 452 respondents from Singapore, a highly urbanised coastal city-state, to assess Singaporean's perceptions of climate change impacts on coastal areas and their support of nature-based coastal protection. We also assessed the respondents willingness to accept trade-offs for the prioritisation of nature-based coastal protection and subsequently spatially mapped them. The results showed a high awareness of the potential impacts of climate change on coastal areas. Nature-based coastal protection was highly supported as the associated benefits, such as protection of wildlife and their habitats and climate change reduction, were aligned with public values of coastal areas. However, nature-based coastal protection may not be prioritised over human-made structures due to the perception that they are less effective, and respondents may not be willing to undergo 1) replacement of their favourite coastal area, 2) increased taxes, and 3) relocation, for their prioritisation. Through spatially mapping the relevant trade-offs, we found that only 11.1% of coastal areas had moderate or high likelihood of social barriers to nature-based coastal protection, highlighting their potential in Singapore. These findings underscore the importance of incorporating social factors in government land use planning decisions. © 2024 The Authors</t>
  </si>
  <si>
    <t>2-s2.0-85204785169"</t>
  </si>
  <si>
    <t>10.1016/j.ijdrr.2024.104831</t>
  </si>
  <si>
    <t>https://www.scopus.com/inward/record.uri?eid=2-s2.0-85205290828&amp;doi=10.1016%2fj.ijdrr.2024.104831&amp;partnerID=40&amp;md5=ec168e0f2fd1e6b26c3b7d90596ca3c7</t>
  </si>
  <si>
    <t>Bangladesh is a low-lying deltaic nation with high vulnerability to climate-related hazards. Hatiya Island is located in Southern Bangladesh, and residents rely significantly on fishing and agriculture for their livelihoods. However, the island's primary production systems face a threat from intense and frequent sudden onset environmental hazards such as river erosion, cyclones, and flooding, as well as slow onset environmental hazards like saline intrusion, tidal inundation, and rising temperatures. Little is known about the effect sudden onset and slow onset hazards have on the migration patterns of Hatiya's residents. The aim of this study is to investigate the relationship between climatic events and the migration decisions of residents on Hatiya Island. To explore this link, we collected empirical data from 337 respondents on Hatiya Island using a choice experiment survey. The five attributes were used to construct migration scenarios, including climate events at Hatiya Island, the distance of migration, the migration type, the social network at the potential destination, and the difference in income between Hatiya Island and the potential destination. The findings from the mixed logit model indicated that climate events at Hatiya, migration distance, and income gap affected residents' migration decisions. Extreme slow onset change and extreme sudden onset change were less likely to induce migration compared to the moderate level of slow and sudden onset change. However, residents were more likely to migrate as the income difference between Hatiya and the prospective destination increased. Residents were willing to migrate at a 9.4 % increase in income for extreme sudden onset change, while residents required a 14.19 % increase in income to migrate in response to extreme slow onset change. As such, policies are needed to support migrants in receiving areas through improved social protection systems, to support migrant-sending households' transformative adaptation in origin areas, and to bolster community-driven adaptation initiatives in Hatiya. The findings from this study can contribute to the existing literature on the relationship between environmental hazards and mobility and inform policymakers on how to design policies that support vulnerable populations. © 2024 The Authors</t>
  </si>
  <si>
    <t>2-s2.0-85205290828"</t>
  </si>
  <si>
    <t>Progress in Earth and Planetary Science</t>
  </si>
  <si>
    <t>10.1186/s40645-024-00626-x</t>
  </si>
  <si>
    <t>https://www.scopus.com/inward/record.uri?eid=2-s2.0-85190395257&amp;doi=10.1186%2fs40645-024-00626-x&amp;partnerID=40&amp;md5=93df56822fd6ba4fc398e44836d475d9</t>
  </si>
  <si>
    <t>Mangrove forests have unquestionably high environmental and ecological value. Mangrove trees are believed to have habitat zonation that is controlled mainly by the relative sea level. However, earlier discussions of mangrove habitats have remained limited in terms of their quality and quantity because of a lack of high-resolution spatial information of microtopography and trees. To clarify mangrove habitability over a wide forest area, we compounded mobile laser scanning (MLS) and aerial laser scanning (ALS) LiDAR dataset of the Miyara River mangrove on Ishigaki Island, Okinawa, Japan. The MLS provided sub-canopy data, while the unmanned aerial vehicle ALS data mainly provided a point cloud of the canopy. We corrected point clouds and combined these data. The results indicated that ALS is unable to reconstruct the microtopography of the dense mangrove area well. Moreover, tree species were not identifiable from the ALS data. However, by applying MLS to the mangrove forest, we obtained high-resolution microtopography and tree information inside the forest, although the measurement area was limited to comparison with ALS. By combining ALS and MLS point clouds, 3D point clouds of the forest were well reconstructed. From these point clouds, a high-resolution digital elevation model was created. Subsequently, we segmented trees individually from composite MLS point clouds and identified each tree species. Consequently, the spatial distribution of thousands of mangrove trees was reconstructed at the Miyara River mouth. The spatial distribution of mangrove tree species together with earlier aerial photographs suggests that mangrove species have been segregated in accordance with changes in their elevation and environment over 40 years. Our findings suggest that the distribution of the species changed sensitively along with dynamic variation of the microtopography. (Figure presented.). © The Author(s) 2024.</t>
  </si>
  <si>
    <t>2-s2.0-85190395257"</t>
  </si>
  <si>
    <t>Anthropocene Review</t>
  </si>
  <si>
    <t>10.1177/20530196231218480</t>
  </si>
  <si>
    <t>https://www.scopus.com/inward/record.uri?eid=2-s2.0-85180432881&amp;doi=10.1177%2f20530196231218480&amp;partnerID=40&amp;md5=56532da76973cd999f58a2d1f464df04</t>
  </si>
  <si>
    <t>Analysis of multi-temporal satellite images from 1980 to 2019, complemented by geomorphic mapping and field study, indicate that “loose sand” extraction of Sakarya River deposits from the Adapazarı Plain of NW Turkey significantly intensified during the last decade, and mining operations have caused complete and irreversible alteration of floodplain habitat in a total area amounting to ~970 hectares. Our reconstructions estimate the total amount of mined material over a 40-year period since 1980 as ~50 million m3, amounting to ~80 million tonnes of fluvial sand. These sand mine operations, like most around the world, are highly disruptive and destructive but remain unregulated, and neither extractions or environmental impacts are reported or monitored. Our independent study is first to directly assess sand extraction in altering the natural geomorphic setting of the Sakarya River and describe economic, environmental, and social impacts of mining operations. The high demand for loose sand used in cement and concrete infrastructure correlates with changes in Turkey’s political economy, which increasingly focused on construction during the last quarter of the 20th century. Extractive sand mining in this region has caused substantial land loss, soil erosion and water table alterations, which have made agricultural land unsuitable for cultivation, and even destroyed most of the farmland supporting the villages, eliminating the traditional farming practiced for millennia. Continuous mining operations cause constant noise, heavy vehicle traffic and pollution. Furthermore, sand removal from the Sakarya river environment has significantly diminished sediment transport offshore to its delta in the Black Sea</t>
  </si>
  <si>
    <t>Seismological Research Letters</t>
  </si>
  <si>
    <t>10.1785/0220230405</t>
  </si>
  <si>
    <t>https://www.scopus.com/inward/record.uri?eid=2-s2.0-85209100105&amp;doi=10.1785%2f0220230405&amp;partnerID=40&amp;md5=f7e69641c25f8016d8027d4a1dceab0b</t>
  </si>
  <si>
    <t>Shallow velocity structure surveys are very important for urban seismic hazard monitoring and risk assessment. Ambient-noise tomography provides an ideal way to obtain urban fine structure. In this study, we obtained a high-resolution 3D V S model of the metropolitan areas of the Pearl River Delta (PRD) using the ambient-noise double-beamforming method with a dense nodal array. The new model reveals shallow structures that correlate well with surface geological features, with low-velocity anomalies in fault depressions and high-velocity anomalies in fault uplifts. Our findings reveal detailed fault geometries and basin characteristics of the PRD. The Guangzhou–Conghua fault emerges as a prominent velocity boundary, playing a significant role in controlling the development and subsidence of the Longgui basin. The Xinhui–Shiqiao fault and Shougouling fault are identified as major faults that control the formation and evolution of depressions in the PRD. The basin structures in the PRD are classified as semigraben basins controlled by synsedimentary faults. The long axes of the sub-basins align with the strike of the major faults, and the deposit centers are located in close proximity to these faults. Furthermore, our investigation reveals low-velocity anomalies along the faults, suggesting the existence of pre-existing faults facilitating heat transfer and fluid/melt migration from the deep crust. Our results provide new constraints on the geometric structure of the sedimentary basins and fault systems in the PRD area, thereby contributing to urban seismic hazard assessment and offering valuable insights into potential geothermal resources. © Seismological Society of America.</t>
  </si>
  <si>
    <t>2-s2.0-85209100105"</t>
  </si>
  <si>
    <t xml:space="preserve">Journal of Southern Hemisphere Earth Systems Science   </t>
  </si>
  <si>
    <t>10.1071/ES23024</t>
  </si>
  <si>
    <t>https://www.scopus.com/inward/record.uri?eid=2-s2.0-85206847936&amp;doi=10.1071%2fES23024&amp;partnerID=40&amp;md5=2ddae767558c59440696bdd95da2927c</t>
  </si>
  <si>
    <t>The rise of pathways-based approaches to coastal adaptation in Australia has changed user requirements for coastal flood hazard information to support decision-making. This study identifies and addresses three aspects not considered in the existing Australia-specific scientific guidance for planning adaptation to sea-level rise. First, changes in the frequency of present-day extreme sea levels are compared between locations. Second, extreme sea levels are related to impact-based thresholds associated with past flood events. Third, the potential for chronic flooding emerging is assessed. This complements global studies that provide some Australian results on these topics. We survey these to identify the methods most suitable for our application and apply the chosen methods to the reference dataset for monitoring Australian coastal sea-level change. This yields a water-level frequency dataset covering daily to centennial water levels for 37 Australian tide gauges. We analyse the dataset to provide a national picture of how sea-level rise is expected to influence the future frequencies of coastal floods in Australia. For example, 85% of Australian locations expect present-day centennial extremes to occur 30 days per year with less than 1-m sea-level rise. The locations with the largest increases in the future frequency of these extremes have the smallest present-day sea-level extreme magnitudes relative to mean sea level, and lower flood thresholds relative to these extremes. We demonstrate three further potential applications of our dataset and methods using local case studies: impact-based forecasting, climate risk services and identifying the required sea-level rise for adaptation triggers and thresholds to be reached. © 2024 The Author(s) (or their employer(s)).</t>
  </si>
  <si>
    <t>2-s2.0-85206847936"</t>
  </si>
  <si>
    <t>10.1016/j.ijdrr.2024.104905</t>
  </si>
  <si>
    <t>https://www.scopus.com/inward/record.uri?eid=2-s2.0-85207352127&amp;doi=10.1016%2fj.ijdrr.2024.104905&amp;partnerID=40&amp;md5=fa0bf2fcdf66837fbfdb730e067f8cf7</t>
  </si>
  <si>
    <t>In the context of global climate change and rapid urbanization, enhancing flood resilience is essential for mitigating urban flood risk. However, few studies have conducted long-term, cross-scale dynamic evaluations of flood resilience and analyzed its influencing factors and mechanisms. Taking the Beibu Gulf urban agglomeration as the study area, a long-term, cross-scale dynamic evaluation index system based on the “Robustness-Resistance-Recovery” (3Rs) framework was developed to assess the spatiotemporal evolution of flood resilience from 2000 to 2020. Furthermore, the optimal parameters-based geographical detector model is employed to identify the key influencing factors and mechanisms. The results reveal that pre-flood robustness is lower in coastal areas and higher in inland areas. In the during-flood stage, cities with greater comprehensive power exhibit stronger resistance. Post-flood recovery is higher in city centers and marginal mountainous areas, while coastal and inland low-lying areas show lower recovery. The flood resilience of urban agglomerations has improved in recent years, largely due to the enhancement of urban flood control infrastructure and healthcare capacity. However, disparities between cities persist. From 2000 to 2020, economic factors have been the primary drivers of improved flood resilience, while ecological factors have gained increasing importance over the past decade. These findings provide valuable insights for flood prevention, mitigation, and resilience management in urban agglomerations. The developed dynamic evaluation index system offers a reference framework for evaluating flood resilience in other regions. © 2024 Elsevier Ltd</t>
  </si>
  <si>
    <t>2-s2.0-85207352127"</t>
  </si>
  <si>
    <t>10.1007/s11069-024-06723-w</t>
  </si>
  <si>
    <t>https://www.scopus.com/inward/record.uri?eid=2-s2.0-85195637253&amp;doi=10.1007%2fs11069-024-06723-w&amp;partnerID=40&amp;md5=9dc03002acb0958f7224fee28d714738</t>
  </si>
  <si>
    <t>Floods stand out as one of the most significant disasters impacting human life, causing widespread economic and social damage across the globe. Numerous research studies have concentrated on comprehending the contributing factors of flooding. Despite the prevalence of morphometry-based basin flood susceptibility analyses in existing literature, a comprehensive examination that encompasses anthropogenic features in alluvial fans is notably lacking. This study aims to evaluate the flood susceptibility of alluvial fans and their catchments in urbanised areas, integrating individual and collective basin/fan (B/F) morphometry and land use characteristics with flood inventory data. The study area selected for this investigation is the basin and fan systems situated on the northern slope of the Uludağ Massif (2543 m), the highest point in the Marmara Region, northwestern Türkiye. Twelve basin morphometric parameters were applied to 5 m resolution Digital Elevation Model data, while six fan morphometric and anthropogenic parameters were applied to alluvial fans. In addition, the results were assessed using the Normalised Morphometric Flood Index method to mitigate subjectivity in result ranking. According to the integrated basin/fan flood susceptibility results obtained through bivariate analysis, B/F6 exhibits a very high susceptibility, while B/F1, B/F3, B/F2, B/F5, B/F4, and B11/F8 demonstrate high susceptibility. B7, 8, 9, 10/F7 display a moderate potential for generating floods. These findings align significantly with historical flood events in the basin/fan area. © The Author(s) 2024.</t>
  </si>
  <si>
    <t>2-s2.0-85195637253"</t>
  </si>
  <si>
    <t>10.1016/j.ijdrr.2024.104894</t>
  </si>
  <si>
    <t>https://www.scopus.com/inward/record.uri?eid=2-s2.0-85206187540&amp;doi=10.1016%2fj.ijdrr.2024.104894&amp;partnerID=40&amp;md5=b8daa64cf6b883b333c11009e72168fc</t>
  </si>
  <si>
    <t>The Indian Ocean Tsunami (IOT) of 2004, which tragically claimed 168,000 lives and displaced about half a million people in the Aceh region of Indonesia, established Aceh's reputation as one of the most geologically volatile areas in Southeast Asia. Unfortunately, the 2004 IOT also altered some geomorphological changes, particularly land subsidence in the coastal areas of South, Southwest, and West Aceh, making these regions more susceptible to coastal floods and inundation over the last 20 years. The 2004 tsunamigenic earthquakes had been compounded by hydroclimatic hazards (and required to reduce risk beyond geological disasters) that continued to cause loss and damage, compromise communities' well-being, and reproduce vulnerabilities. This article examines the progress and challenges for integrating disaster risk reduction (DRR) and climate change adaptation (CCA) in Aceh, with a focus on the capital city, Banda Aceh using in-depth stakeholder interviews and document reviews. Anticipating gaps in meeting Sendai Framework 2030 target, as also observed elsewhere in Indonesia and Southeast Asia, the findings suggest various key challenges for the integration, including (1) fragmented DRR and CCA policies leading shaped the gap in coordination and collaboration among actors</t>
  </si>
  <si>
    <t>10.1016/j.jenvman.2024.122647</t>
  </si>
  <si>
    <t>https://www.scopus.com/inward/record.uri?eid=2-s2.0-85205296873&amp;doi=10.1016%2fj.jenvman.2024.122647&amp;partnerID=40&amp;md5=97115a4af869de6419ad1bacfe374a5c</t>
  </si>
  <si>
    <t>Under future climate change, accurate risk assessment of urban flooding disasters is paramount for effective adaptation and mitigation strategies. However, conventional indicator-based assessment methods often fall short of accurately capturing the complexity of flooding dynamics. Current research predominantly focuses on predicting future hazard shifts while overlooking changes in other critical indicators. In this study, we establish a comprehensive index system for risk assessment, and quantified future changes in most indicators, utilizing the InfoWorks ICM model for hazard simulation and the CLUMondo model for land use predictions. Based on risk assessment results and regional characteristics, we further analyze the key factors driving future risk and discuss corresponding measures. The results indicate an exacerbation of future urban flood risk, with an 18% increase in high risk areas, primarily concentrated in the center of the study area. The dominant indicators are inundation depth and land use over the whole study area. However microtopography significantly affects risk in low-lying areas. Overall, under higher emission scenarios, the influence of GDP and population rises. These findings offer methodological insights for future urban flood risk assessment research and provide policymakers with valuable guidance to develop targeted adaptation measures in response to climate change. © 2024 Elsevier Ltd</t>
  </si>
  <si>
    <t>2-s2.0-85205296873"</t>
  </si>
  <si>
    <t>10.1017/cft.2024.11</t>
  </si>
  <si>
    <t>https://www.scopus.com/inward/record.uri?eid=2-s2.0-85215414210&amp;doi=10.1017%2fcft.2024.11&amp;partnerID=40&amp;md5=dcad7b7a2d3215762158e8aae6a034bf</t>
  </si>
  <si>
    <t>The capacity of river mouths to reduce storm surge water levels upstream, referred to as along-estuary attenuation, has been assessed by several studies. The coastal protection function of semi-enclosed water bodies such as lagoons and channels with narrow inlets remains less explored and generalization is hampered by differences in morphology and hydrodynamic forcing. Here we use a hydrodynamic model to investigate surge attenuation along a microtidal channel with a narrow inlet at the Baltic Sea coast of Germany called The Schlei. We quantify the importance of wind and the contribution of the barrier spit system, which is constricting the inlet, to the reduction of water levels at the landward end of the channel. In addition, we explore the role of dikes in the region for the reduction of peak water levels and coastal flooding. We find effective along-channel attenuation inside The Schlei in its current state, which is mostly a result of the channel's narrows. However, reduction rates decrease under simplified sea-level rise scenarios. Furthermore, along-channel attenuation is highly variable and can change to substantial amplification depending on hydrometeorological forcing. The barrier spit contributes to along-channel attenuation whereas the effect of existing dikes (or their removal) for along-channel attenuation is negligible.  © The Author(s), 2024.</t>
  </si>
  <si>
    <t>2-s2.0-85215414210"</t>
  </si>
  <si>
    <t>10.3390/rs16224283</t>
  </si>
  <si>
    <t>https://www.scopus.com/inward/record.uri?eid=2-s2.0-85210226621&amp;doi=10.3390%2frs16224283&amp;partnerID=40&amp;md5=f453e3cf03196d21dddda4f1be5d8afe</t>
  </si>
  <si>
    <t>Constructing high-precision subsidence basins is of paramount importance for mining subsidence monitoring. Traditional unmanned aerial vehicle (UAV) photogrammetry techniques typically construct subsidence basins by directly differencing digital elevation models (DEMs) from different monitoring periods. However, this method often neglects the influence of horizontal displacement on the accuracy of the subsidence basin. Taking a mining area in Ordos, Inner Mongolia, as an example, this study employed the normalized cross-correlation (NCC) matching algorithm to extract horizontal displacement information between two epochs of a digital orthophoto map (DOM) and subsequently corrected the horizontal position of the second-epoch DEM. This ensured that the planar positions of ground feature points remained consistent in the DEM before and after subsidence. Based on this, the vertical displacement in the subsidence area (the subsidence basin) was obtained via DEM differencing, and the parameters of the post-correction subsidence basin were inverted using the probability integral method (PIM). The experimental results indicate that (1) the horizontal displacement was influenced by the gully topography, causing the displacement within the working face to be segmented on both sides of the gully</t>
  </si>
  <si>
    <t>10.1002/dep2.274</t>
  </si>
  <si>
    <t>https://www.scopus.com/inward/record.uri?eid=2-s2.0-85188331206&amp;doi=10.1002%2fdep2.274&amp;partnerID=40&amp;md5=bef694b6c0537749b6a6f170b34c643d</t>
  </si>
  <si>
    <t>This paper explores the response to Holocene ash inundation in different sub-environments of two fluvio-lacustrine systems, Las Piedritas and Totoral, focussing on the processes of volcaniclastic remobilisation. Sediment cores and outcrops were used to recognise three deposit types, noting how some differ from lahars, through sedimentological and stratigraphic analysis: (1) thick, laterally discontinuous, pumice-dominated deposits occur overlying alluvial plain and lower terrace surfaces across both watersheds</t>
  </si>
  <si>
    <t>10.1002/esp.5989</t>
  </si>
  <si>
    <t>https://www.scopus.com/inward/record.uri?eid=2-s2.0-85203721825&amp;doi=10.1002%2fesp.5989&amp;partnerID=40&amp;md5=16e8bc8cac14f9489d301a4a1c2ebe7a</t>
  </si>
  <si>
    <t>The morphology of the coastal landscape in transitional environments results from the gradual and complex dynamics of natural processes at different scalarity, capable of elaborating and remodeling the relief. Their arrangements and interactions are reflected in the configuration and evolution of the landscape and waterscape governed by allogenic factors (climate, tectonics and, more recently, anthropogenic) generating autogenic responses in environmental systems. In this sense, several studies have demonstrated the importance of sea level oscillations, sedimentary balance and river-coastline displacements associated with climate fluctuations during the Quaternary. However, there is still a relative lack of recent research that focuses on the last glacial maximum (LGM) and the Holocene for the eastern Brazilian coast. In this way, the intense morphodynamics between estuarine and deltaic systems could become interpretative keys in the general understanding of these environments worldwide because they are located in a particular context within the connectivity of these geomorphological systems. To investigate these processes between the Jequitinhonha, Pardo and Una Rivers, detailed mapping and geomorphic topographic profiles were carried out using pre-selected digital elevation models, and fieldworks were carried out on land and water to validate the mappings and to collect samples. Then, they were subjected to geochronological analysis using Optically Stimulated Luminescence and grain size distribution to recognize the depositional age and characterize the surficial cover. It was possible to identify five depositional landscape units: fluvial terraces, fluvial-marine terraces and three staggered levels of marine terraces. Based on these results, a paleogeographic reconstruction of the evolutionary phases of this eastern sector of Brazil's coast was carried out, chronologically covering the Pleistocene/Holocene transition up to the present. The aim is to understand littoral dynamics as a response to both fluvial adjustments and oscillations of the regional relative sea level. © 2024 John Wiley &amp; Sons Ltd.</t>
  </si>
  <si>
    <t>2-s2.0-85203721825"</t>
  </si>
  <si>
    <t>10.5194/gmd-17-7751-2024</t>
  </si>
  <si>
    <t>https://www.scopus.com/inward/record.uri?eid=2-s2.0-85208814334&amp;doi=10.5194%2fgmd-17-7751-2024&amp;partnerID=40&amp;md5=b4691380a147689172effec7b327e273</t>
  </si>
  <si>
    <t>A real-time forecast model of surface hydrodynamics in Lake Ontario (Coastlines-LO) was developed to automatically predict storm surges and surface waves. The system uses a dynamically coupled Delft3D-SWAN model with a structured grid to generate 48 h predictions for the lake that are updated every 6 h. The lake surface is forced with meteorological data from the High Resolution Deterministic Prediction System (HRDPS). The forecast model has been running since May 2021, capturing a wide variety of storm conditions. Good agreement between observations and modelled results is achieved, with root mean squared errors (RMSEs) for water levels and waves under 0.02 and 0.26 m, respectively. During storm events, the magnitude and timing of storm surges are accurately predicted at nine monitoring stations (RMSE &lt;0.05 m), with model accuracy either improving or remaining consistent with decreasing forecast length. Forecast significant wave heights agree with observed data (1 %-12 % relative error for peak wave heights) at four wave buoys in the lake. Coastlines-LO forecasts for storm surge prediction for two consecutive storm events were compared to those from the Great Lakes Coastal Forecasting System (GLCFS) to further evaluate model performance. Both systems achieved comparable results with average RMSEs of 0.02 m. Coastlines-LO is an open-source wrapper code driven by open data and has relatively low computational requirements compared to GLCFS, making this approach suitable for forecasting marine conditions in other coastal regions.  Copyright © 2024 Laura L. Swatridge et al.</t>
  </si>
  <si>
    <t>2-s2.0-85208814334"</t>
  </si>
  <si>
    <t>10.1016/j.jhydrol.2024.131918</t>
  </si>
  <si>
    <t>https://www.scopus.com/inward/record.uri?eid=2-s2.0-85203413258&amp;doi=10.1016%2fj.jhydrol.2024.131918&amp;partnerID=40&amp;md5=e36bfe50fcf210107ee28d17dd41fbfd</t>
  </si>
  <si>
    <t>To address the challenge of escalating urban flood risk and the deficiency in effective flood emergency management, this study introduces a novel Coupled Human and Natural Systems (CHANS) modelling framework that employs hierarchical reinforcement learning to optimise mobile pump scheduling and placement for urban flood risk mitigation. The CHANS framework integrates hydrodynamic and agent-based models within a multi-GPU computing environment for high-resolution, real-time flood inundation modelling and risk assessment to enrich Reinforcement Learning (RL) training. In the application to Ninh Kieu District in Can Tho City, Vietnam, the new RL-enabled modelling framework is used to evaluate optimal mobile pumping strategies for concurrent pluvial flooding and post-flooding events against the traditional deployment approaches. Results demonstrate that RL-based strategies can significantly enhance flood risk reduction, outperforming traditional methods by achieving 2× and 4× improvements in the concurrent and post-flooding periods/events, respectively. Incorporating human factors and adapting to local conditions, the RL agent provides valuable insights into mobile pump scheduling and deployment strategies. Sensitivity analysis confirms the robustness of the CHANS modelling framework and underscores the role of RL in optimising mobile pump scheduling and placement where traditional rule-based strategies are challenging. © 2024 The Author(s)</t>
  </si>
  <si>
    <t>2-s2.0-85203413258"</t>
  </si>
  <si>
    <t>10.1016/j.advwatres.2024.104801</t>
  </si>
  <si>
    <t>https://www.scopus.com/inward/record.uri?eid=2-s2.0-85202997060&amp;doi=10.1016%2fj.advwatres.2024.104801&amp;partnerID=40&amp;md5=1a1bf168f9df5bd83059d8d9293483ed</t>
  </si>
  <si>
    <t>Dam-break waves are a major concern for communities and infrastructures in flood-prone areas. The impact of dam-break waves against rigid obstacles after propagation on a mobile bed is lacking both in experimental datasets and in numerical investigations aimed at assessing the capabilities and limitations of available morphodynamic models. To fill these gaps, a novel data set from experiments of dam-break waves propagating over an erodible bottom and impacting over a vertical wall is presented and compared with numerical simulations performed by the Saint Venant–Exner model. First, the effects of bottom mobility are discussed by comparison with the corresponding fixed bed condition. Then, supplementary conditions are investigated for different initial water levels and reservoir lengths. The comparison with the results of the numerical simulation shows that the relatively simple model employed is able to reproduce the general features of the process and the peak impact force with reasonable accuracy. © 2024 Elsevier Ltd</t>
  </si>
  <si>
    <t>2-s2.0-85202997060"</t>
  </si>
  <si>
    <t>10.1007/s10584-024-03821-3</t>
  </si>
  <si>
    <t>https://www.scopus.com/inward/record.uri?eid=2-s2.0-85208736494&amp;doi=10.1007%2fs10584-024-03821-3&amp;partnerID=40&amp;md5=4b209292a87e1c8075564ce1149824bf</t>
  </si>
  <si>
    <t>Coastal flooding often exceeds homeowners’ capacity to cope with repetitive damages and profoundly disrupts their livelihoods. Permanent relocation has been proposed as a solution for some coastal areas experiencing recurrent flooding and anticipating acceleration of impacts. However, it is unclear if homeowners living in such areas would support this strategy, where they would choose to go, and why. This study evaluates the willingness to relocate and the reasoning behind it among rural and urban homeowners residing in coastal high-risk areas. The rural versus urban comparison explores how attitudes toward relocation differ between these settings with distinct sociodemographic, economic, and cultural profiles. A mail survey administered on the Eastern Shore, Maryland, and in the Hampton Roads metropolitan area, Virginia, measured how willingness to relocate differs across the socioeconomic spectrum, prior flood exposure, concerns with flood impacts, and preferences for relocation destination. The survey responses were analyzed using descriptive and inferential statistics. The results show that more than one-third of respondents would consider relocating. The willingness to relocate was marginally influenced by socioeconomic factors and flood experiences and instead was significantly correlated with the risk of disastrous flooding, inadequate insurance compensation, and worsening crime. However, data show a clear shift in relocation support and the distance of the preferred destination from minor to significant flooding. Rural respondents are slightly less likely to relocate than urban ones. Descriptive statistics indicate nuanced differences in flood experiences, reasons to relocate, and preferences for a new destination between rural and urban populations. © The Author(s) 2024.</t>
  </si>
  <si>
    <t>2-s2.0-85208736494"</t>
  </si>
  <si>
    <t>10.3390/atmos15111321</t>
  </si>
  <si>
    <t>https://www.scopus.com/inward/record.uri?eid=2-s2.0-85210173602&amp;doi=10.3390%2fatmos15111321&amp;partnerID=40&amp;md5=ff80446a6429fd15808fa9395ff85394</t>
  </si>
  <si>
    <t>One of the manifests of air-sea interactions is the change in sea level due to meteorological forcing through wind stress and atmospheric pressure. When meteorological conditions conducive to water level increase coincide with high tides during spring tides, the sea level may rise higher than expected and pose a flood risk to coastal low-lying areas. In Hong Kong, specifically when the northeast monsoon coincides with the higher spring tides in late autumn and winter, and sometimes even compounded by the storm surge brought by late-season tropical cyclones (TCs), the result may be coastal flooding or sea inundation. Aiming at forecasting such sea level anomalies on the scale of hours and days with local tide gauges using a flexible and computationally efficient method, this study adapts a data-driven method based on empirical orthogonal functions (EOF) regression of non-uniformly lagged regional wind field from ECMWF Reanalysis v5 (ERA5) to capture the effects from synoptic weather evolution patterns, excluding the effect of TCs. Local atmospheric pressure and winds are also included in the predictors of the regression model. Verification results show good performance in general. Hindcast using ECMWF forecasts as input reveals that the reduction of mean absolute error (MAE) by adding the anomaly forecast to the existing predicted astronomical tide was as high as 30% in February on average over the whole range of water levels, as well as that compared against the Delft3D forecast in a strong northeast monsoon case. The EOF method generally outperformed the persistence method in forecasting water level anomaly for a lead time of more than 6 h. The performance was even better particularly for high water levels, making it suitable to serve as a forecast reference tool for providing high water level alerts to relevant emergency response agencies to tackle the risk of coastal inundation in non-TC situations and an estimate of the anomaly contribution from the northeast monsoon under its combined effect with TC. The model is capable of improving water level forecasts up to a week ahead, despite the general decreasing model performance with increasing lead time due to less accurate input from model forecasts at a longer range. Some cases show that the model successfully predicted both positive and negative anomalies with a magnitude similar to observations up to 5 to 7 days in advance. © 2024 by the authors.</t>
  </si>
  <si>
    <t>2-s2.0-85210173602"</t>
  </si>
  <si>
    <t>Swiss Journal of Geosciences</t>
  </si>
  <si>
    <t>10.1186/s00015-024-00452-9</t>
  </si>
  <si>
    <t>https://www.scopus.com/inward/record.uri?eid=2-s2.0-85193470834&amp;doi=10.1186%2fs00015-024-00452-9&amp;partnerID=40&amp;md5=3ba8564e2f95ba637e6c4b9fc4f9b7f6</t>
  </si>
  <si>
    <t>The ‘Grosses Moos’ in the Three Lakes Region (Berner Seeland) was formed by the Wallis glacier resulting in a peat bog-dominated landscape. During the last two centuries this area was drained by a complex channel system to enable highly fertile agricultural activity. As such, the region is the vegetable belt of Switzerland. However, as the peat has degraded due to overexploitation, the situation for agriculture production has become critical. Consequently, measures are needed to prevent soil degradation and water accumulation. The extent of surface changes for the last ~ 100 years is, however, not precisely known and is assumed to have varied spatially. To understand the historical evolution of this area, we used a unique map from 1920 to compare the surface height with the newest digital terrain models (DTM) in order to estimate surface subsidence, and thus soil degradation, for the last 100 years. More than 44,000 single measurement points drawn on the historical map were digitized to derive the DTM that served as a basis for further analysis. The in-depth investigation of the observation methods and the accuracy assessment allows us to conclude that differences in the DTMs of up to 2.4 m (i.e., averaged rate of 2.4 cm yr−1) can be attributed to large-scale soil subsidence and that degradation was heterogeneously distributed over the investigated area. The data provide the basis for further soil restoration efforts in the area. © The Author(s) 2024.</t>
  </si>
  <si>
    <t>2-s2.0-85193470834"</t>
  </si>
  <si>
    <t>10.1016/j.jhydrol.2024.132119</t>
  </si>
  <si>
    <t>https://www.scopus.com/inward/record.uri?eid=2-s2.0-85205458221&amp;doi=10.1016%2fj.jhydrol.2024.132119&amp;partnerID=40&amp;md5=c6730a78b0d1ddee397d06072666d9dd</t>
  </si>
  <si>
    <t>The hydrological models used for flood forecasting purposes are usually first calibrated in simulation mode and then applied for flood forecasting in combination with some data assimilation procedure allowing to update and correct the model in real-time. Such a two-step procedure may not be the best choice to train model parameters for forecasting purposes. An alternative approach is to calibrate the hydrological model separately for each target lead time in the presence of the updating procedure. However, it is unclear whether this approach can provide the most efficient and the most robust forecasts. We compared in this paper three approaches to calibrate the parameters of a flood forecasting model: calibration in simulation mode (i.e. without data assimilation), lead-time-dependent calibration (i.e. with data assimilation), and a procedure combining both approaches. An hourly flood forecasting model (a parsimonious hydrological model combined with a state updating assimilation procedure) was used to produce forecasts for three lead times on 687 catchments and 40,411 flood events in metropolitan France. The performance of the model calibrated with the three approaches was evaluated according to catchment response times and flood rise times. An analysis of parameter robustness was also carried out. The results showed that lead-time-dependent calibration improves performance for catchments characterised by slow temporal dynamics. However, for catchments with fast temporal dynamics, it leads to degraded performance at short lead times and reduces parameter robustness. We found that the combined calibration approach is the best compromise between parameter robustness and performance at all lead times and for all catchment and flood types. © 2024 The Authors</t>
  </si>
  <si>
    <t>2-s2.0-85205458221"</t>
  </si>
  <si>
    <t>10.3390/rs16173187</t>
  </si>
  <si>
    <t>https://www.scopus.com/inward/record.uri?eid=2-s2.0-85203655081&amp;doi=10.3390%2frs16173187&amp;partnerID=40&amp;md5=39f68cda5135f674e7a35b0efec8f808</t>
  </si>
  <si>
    <t>Accurate river ice mapping is crucial for predicting and managing floods caused by ice jams and for the safe operation of hydropower and water resource facilities. Although satellite multispectral images are widely used for river ice mapping, atmospheric contamination limits their effectiveness. This study developed river ice mapping models for the Han River in South Korea using atmospherically uncorrected Landsat-8 Operational Land Imager (OLI) multispectral reflectance data, addressing atmospheric influences with a Random Forest (RF) classification approach. The RF-based river ice mapping models were developed by implementing various combinations of input variables, incorporating the Landsat-8 multispectral top-of-atmosphere (TOA) reflectance, normalized difference indices for snow, water, and bare ice, and atmospheric factors such as aerosol optical depth, water vapor content, and ozone concentration from the Moderate Resolution Imaging Spectroradiometer observations, as well as surface elevation from the GLO-30 digital elevation model. The RF model developed using all variables achieved excellent performance in the classification of snow-covered ice, snow-free ice, and water, with an overall accuracy and kappa coefficient exceeding 98.4% and 0.98 for test samples, and higher than 83.7% and 0.75 when compared against reference river ice maps generated by manually interpreting the Landsat-8 images under various atmospheric conditions. The RF-based river ice mapping model for the atmospherically corrected Landsat-8 multispectral surface reflectance was also developed, but it showed very low performance under atmospheric conditions heavily contaminated by aerosol and water vapor. Aerosol optical depth and water vapor content were identified as the most important variables. This study demonstrates that multispectral reflectance data, despite atmospheric contamination, can be effectively used for river ice monitoring by applying machine learning with atmospheric auxiliary data to mitigate atmospheric effects. © 2024 by the authors.</t>
  </si>
  <si>
    <t>2-s2.0-85203655081"</t>
  </si>
  <si>
    <t>10.3390/rs16203902</t>
  </si>
  <si>
    <t>https://www.scopus.com/inward/record.uri?eid=2-s2.0-85207456645&amp;doi=10.3390%2frs16203902&amp;partnerID=40&amp;md5=68996ff980307240481894d546b5485b</t>
  </si>
  <si>
    <t>Flood susceptibility prediction is complex due to the multifaceted interactions among hydrological, meteorological, and urbanisation factors, further exacerbated by climate change. This study addresses these complexities by investigating flood susceptibility in rapidly urbanising regions prone to extreme weather events, focusing on Gdańsk, Poland. Three popular ML techniques, Support Vector Machine (SVM), Random Forest (RF), and Artificial Neural Networks (ANN), were evaluated for handling complex, nonlinear data using a dataset of 265 urban flood episodes. An ensemble filter feature selection (EFFS) approach was introduced to overcome the single-method feature selection limitations, optimising the selection of factors contributing to flood susceptibility. Additionally, the study incorporates explainable artificial intelligence (XAI), namely, the Shapley Additive exPlanations (SHAP) model, to enhance the transparency and interpretability of the modelling results. The models’ performance was evaluated using various statistical measures on a testing dataset. The ANN model demonstrated a superior performance, outperforming the RF and the SVM. SHAP analysis identified rainwater collectors, land surface temperature (LST), digital elevation model (DEM), soil, river buffers, and normalized difference vegetation index (NDVI) as contributors to flood susceptibility, making them more understandable and actionable for stakeholders. The findings highlight the need for tailored flood management strategies, offering a novel approach to urban flood forecasting that emphasises predictive power and model explainability. © 2024 by the authors.</t>
  </si>
  <si>
    <t>2-s2.0-85207456645"</t>
  </si>
  <si>
    <t>10.1002/rra.4300</t>
  </si>
  <si>
    <t>https://www.scopus.com/inward/record.uri?eid=2-s2.0-85192200199&amp;doi=10.1002%2frra.4300&amp;partnerID=40&amp;md5=d42b01f34bc61acd7426e94bcf789b45</t>
  </si>
  <si>
    <t>Catchment-scale sediment storage is conceptualized as increasing in magnitude downstream, although reach-scale controls may override this trend. We use empirical data from a literature review and two numerical models to quantitatively estimate sediment storage across the Colorado River Basin, USA. We use assumed alluvial thickness with floodplains delineated in the GFPLAIN model from 30 m digital elevation models. We use the SWAT+ model based on model-estimated (i) groundwater storage and (ii) sediment storage. Existing studies indicate that sediment stored in floodplains and on low terraces is ~0.3–6 m thick. A first-order approximation of volumetric storage capacity for natural floodplains is ~105 m3 per km. Sediment storage volumes of floodplains are ~108–1011 m3 over river lengths of 101–103 m. For the modeling estimates, we evaluated sediment storage by stream order and by elevation band within the Upper and Lower Colorado River Basins. Comparisons among the outputs cause us to place more confidence in the GFPLAIN and SWAT+ aquifer volume estimates. Each method includes substantial uncertainty and constitutes a first-order approximation. Results suggest using 21 and 130 billion cubic meters as approximate lower and upper bounds for total sediment storage in the Upper Basin and 314 and 482 billion cubic meters as approximate lower and upper bounds for the Lower Basin. The largest proportion of sediment is stored in the montane and steppe zones in the Upper Basin and in the Sonoran zone in the Lower Basin. © 2024 The Authors. River Research and Applications published by John Wiley &amp; Sons Ltd.</t>
  </si>
  <si>
    <t>2-s2.0-85192200199"</t>
  </si>
  <si>
    <t>Lithos</t>
  </si>
  <si>
    <t>10.1016/j.lithos.2024.107729</t>
  </si>
  <si>
    <t>https://www.scopus.com/inward/record.uri?eid=2-s2.0-85199943134&amp;doi=10.1016%2fj.lithos.2024.107729&amp;partnerID=40&amp;md5=e1bfe8d3be6629d0292dc0f26bed0337</t>
  </si>
  <si>
    <t>The North Atlantic Igneous Province (NAIP) forms one of the best studied Large Igneous Provinces (LIP) on the planet, however, significant uncertainties regarding the age and nature of the early onset of volcanism across the province remain. In order to better understand the onset and timing of volcanism within the NAIP, we present a new study of the mixed volcano-sedimentary deposits exposed at the base of the Isle of Mull lava pile, Inner Hebrides, Scotland. The study area comprises organic rich estuarine sediments, intimately mixed and interdigitated with bi-modal composition volcaniclastic and pyroclastic interlayers, including a prominent stratigraphically constrained c. 30 cm thick water-lain rhyolitic ignimbrite. Pristine magmatic zircons liberated from the ignimbrite reveal a high precision U[sbnd]Pb age of 62.035 ± 0.041 Ma (2σ) giving a robust age for early volcanism in this part of the province. Field observations reveal evidence for mafic phreatomagmatic eruptive deposits both above and below the rhyolite documenting the bimodal explosive nature of the initial magmatism in this area and, importantly, that mafic magmatism initiated before the dated unit. The bi-modal explosive eruptions periodically inundated an otherwise quiet and low energy Danian aged estuarine environment prior to its inundation with lava as magmatism took hold in the region. © 2024 The Author(s)</t>
  </si>
  <si>
    <t>2-s2.0-85199943134"</t>
  </si>
  <si>
    <t>10.1016/j.ijdrr.2024.104780</t>
  </si>
  <si>
    <t>https://www.scopus.com/inward/record.uri?eid=2-s2.0-85202067614&amp;doi=10.1016%2fj.ijdrr.2024.104780&amp;partnerID=40&amp;md5=36697e90fc22fd4f50cd56294f4d3409</t>
  </si>
  <si>
    <t>Enhanced understanding of extreme events is essential for comprehensive risk assessment promoting informed decision-making and early warning to ensure the resilience against challenges imposed by changing climate. This study proposes a novel multi-module integration framework for the comprehensive evaluation of future flood risk in the Greater Pamba River basin, Kerala, India. The integrative modelling framework is developed by assembling a Cellular Automata-Markov Chain (CAMC) based and Use/Land Cover (LULC) projections, Reliability Ensemble Averaging (REA) of Global Climate Model (GCM) rainfall projections, Bayesian approach-based population projection, and spatial analysis of projected infrastructure and Digital Elevation Models (DEMs). By seamlessly interweaving the associated datasets, we illustrate the intricacies of flood vulnerability, exposure, and frequency across multiple return periods (2, 5, 10, and 100, 200 and 500 year) leading to the creation of diagnostic and prognostic high-resolution flood risk maps. The resultant flood analytics and analyses shown that around 36 % of the villages/municipalities and between 70 and 80 % of the critical facilities like schools, hospitals, and flood relief camps are falling under high-risk zones, for the 100-year return period flood. This finding is in line with Kerala's devastating flood episode in 2018, which exhibited characteristics of a nearly 100-year return period flood. In light of a changing climate, population growth, and shifting landscapes, these approaches provide a roadmap for more informed decision-making and adaptive flood risk management measures. © 2024 Elsevier Ltd</t>
  </si>
  <si>
    <t>2-s2.0-85202067614"</t>
  </si>
  <si>
    <t>10.1007/s10668-023-03610-5</t>
  </si>
  <si>
    <t>https://www.scopus.com/inward/record.uri?eid=2-s2.0-85165895794&amp;doi=10.1007%2fs10668-023-03610-5&amp;partnerID=40&amp;md5=ae855d2393a48d9060b4d7b0f3b2f900</t>
  </si>
  <si>
    <t>In recent decades, watersheds in the middle Himalayan belt have witnessed land degradation, flood, and landslide disasters. Growing population pressure, intensified use of watershed resources, and development activities—often alleged injudicious, have brought resource productivity and availability to the edge of unsustainability. The threat to precarious ecological balance, sustainable livelihood, and disaster risk is underpinning issues of densely populated Himalayan watersheds. Hence, understanding the essential physical characteristics of watersheds vis-à-vis human dimensions is essential for assessing and prioritizing the watersheds intended for ecological restoration, landslide and erosion control, and disaster risk reduction in upstream and downstream zones. Following these issues, this study using a geographical approach examines watershed variables representing susceptibility, hydrological and geomorphic response, land use, and human pressure to assess sub-watershed conditions and prioritize sub-watersheds. The study used high-resolution satellite imageries, digital elevation model, topographic and geological maps, rainfall and socioeconomic data from government sources to obtain the watershed variables. These variables were analyzed in the GIS platform. The leading variables and their relative importance were identified for assessing the watershed conditions by analyzing the correlation matrix, and AHP supported the expert judgment. These variables are mean basin slope, lineament density, drainage density, landslides, population density, and non-forest-forest ratio. The sub-watersheds condition of the Syangja District was assessed. The calculated overall vulnerability of sub-watersheds is positively related to susceptibility, poor land management, and human pressure index. The present study provided a methodological basis for assessing and prioritizing the watershed condition. © The Author(s), under exclusive licence to Springer Nature B.V. 2023.</t>
  </si>
  <si>
    <t>2-s2.0-85165895794"</t>
  </si>
  <si>
    <t>Environmental Reviews</t>
  </si>
  <si>
    <t>10.1139/er-2023-0019</t>
  </si>
  <si>
    <t>https://www.scopus.com/inward/record.uri?eid=2-s2.0-85203463649&amp;doi=10.1139%2fer-2023-0019&amp;partnerID=40&amp;md5=d8ac6600e32ff704b97a5c900dc65617</t>
  </si>
  <si>
    <t>Freshwater connectivity and the associated flow regime are critical components of the health of freshwater ecosystems. When freshwater ecosystems are fragmented, the movements and flows of species, nutrients, sediments, and water are altered, changing the natural dynamics of freshwater ecosystems. The consequences of these changes include declines and loss of freshwater species populations and freshwater ecosystems, and alterations in the delivery of certain ecosystem services, such as fisheries, buffering of flood events, healthy deltas, recreational and cultural values, and others. Measures exist that can maintain and restore connectivity or mitigate against its loss in the face of constructed barriers or other habitat alterations. These measures include system-scale planning for energy and water resources that includes options for limiting loss of freshwater connectivity</t>
  </si>
  <si>
    <t>10.1016/j.ijdrr.2024.104801</t>
  </si>
  <si>
    <t>https://www.scopus.com/inward/record.uri?eid=2-s2.0-85202763335&amp;doi=10.1016%2fj.ijdrr.2024.104801&amp;partnerID=40&amp;md5=35fba90977ec11dc62ce60685dc3f601</t>
  </si>
  <si>
    <t>With the rapid advancement of technology, cities are increasingly integrating smart designs to enhance their urban resilience, particularly against natural disasters such as floods. This study employs an integrated approach to simulate the social, economic, and environmental conditions under various climate change scenarios to strengthen urban flood resilience in smart cities. The CMIP5 BCC-CSM 1-1 model, using the RCP4.5 scenario, is utilized to project future climate changes. Shanghai, a highly developed smart city in the Yangtze River Delta, was selected as the case study. Five scenarios are examined through a system dynamics model spanning from 2015 to 2030, encompassing current continuation, economic priority, social priority, natural priority, and coordinated development scenarios. The model is built upon a conceptual framework known as PSR-SENCE (Pressure-State-Response model and Social-Economic-Natural Complex Ecosystem theory). The findings reveal a consistent improvement in resilience within the response dimension facilitated by modern technology. Notably, the coordinated development scenario emerges as the most effective in bolstering urban flood resilience, surpassing scenarios prioritizing economic, social, or natural development individually. Smart cities like Shanghai must prioritize technological innovation alongside enhancing organizational governance to address these challenges effectively. © 2024 Elsevier Ltd</t>
  </si>
  <si>
    <t>2-s2.0-85202763335"</t>
  </si>
  <si>
    <t>10.1016/j.jsames.2024.104989</t>
  </si>
  <si>
    <t>https://www.scopus.com/inward/record.uri?eid=2-s2.0-85196649341&amp;doi=10.1016%2fj.jsames.2024.104989&amp;partnerID=40&amp;md5=954322f565260d316ca09dd8c3008e97</t>
  </si>
  <si>
    <t>Human activities including urbanization, construction of coastal infrastructure, and sand extraction, have altered the natural coastal dynamics. Joao Pessoa's coastline is also influenced by sea level rise and climatic variations, contributing to its geomorphic changes. Numerous natural hazards like cyclonic, erosional activities, and other moments happened in the region like Joao Pessoa from Brazil between 2000 and 2011. A comprehensive examination of several spatial data sources, such as the topographical map of the Geological Survey of Brazil, the Landsat 8–9 OLI/TIRS (30 m) image, the SRTM dataset, and the ASTER DEM dataset was carried out. Volumetric changes in coastal landforms between 2000 and 2011 were assessed using change detection techniques such as cross-shore profile analysis, topographical change detection, and geomorphic change detection using DEM of Difference (DoD). According to their evolutionary processes, the coastal landform features are mostly covered by the Younger Deltaic Plain (307.76 Sq.km) and Younger Coastal Plain (259 Sq.km). The topographical change research indicates that the beach landforms have fallen in elevation by −23 to 123 m from SRTM and −15 to 187 m from ASTER DEM. 8 profiles in all were polled for the assessment of topographical change. The volumetric change in sediment load calculated by the DoD model between 2000 and 2011 exhibits both an area loss of −60 to −1 m along the north portion of the study area and a gain of 1–92 m accretion towards the south region. In the Joao Pessoa coastal region, the overall volumetric study indicates that landform erosion is 388.22 m3km, while landform accretion is 853.78 m3km. Coastal managers will find the study valuable as it contributes to a database on coast vulnerability and provides insights into the decadal shift in coastal environments. © 2024 Elsevier Ltd</t>
  </si>
  <si>
    <t>2-s2.0-85196649341"</t>
  </si>
  <si>
    <t>10.1007/s11356-023-28317-y</t>
  </si>
  <si>
    <t>https://www.scopus.com/inward/record.uri?eid=2-s2.0-85163707798&amp;doi=10.1007%2fs11356-023-28317-y&amp;partnerID=40&amp;md5=96339fdae9ecbef3b464135ebad7e471</t>
  </si>
  <si>
    <t>The vulnerability of coastal regions to climate change is a growing global concern, particularly in Bangladesh, which is vulnerable to flooding and storm surges due to its low-lying coastal areas. In this study, we used the fuzzy analytical hierarchy process (FAHP) method to assess the physical and social vulnerability of the entire coastal areas of Bangladesh, using 10 critical factors to evaluate the coastal vulnerability model (CVM). Our analysis indicates that a significant portion of the coastal regions of Bangladesh is vulnerable to the impacts of climate change. We found that one-third of the study area, encompassing around 13,000 km2, was classified as having high or very high coastal vulnerability. Districts in the central delta region, such as Barguna, Bhola, Noakhali, Patuakhali, and Pirojpur, were found to have high to very high physical vulnerability. Meanwhile, the southern parts of the study area were identified as highly socially vulnerable. Our findings also showed that the coastal areas of Patuakhali, Bhola, Barguna, Satkhira, and Bagerhat were particularly vulnerable to the impacts of climate change. The coastal vulnerability map we developed using the FAHP method showed satisfactory modeling, with an AUC of 0.875. By addressing the physical and social vulnerability factors identified in our study, policymakers can take proactive steps to ensure the safety and wellbeing of coastal residents in the face of climate change. © The Author(s), under exclusive licence to Springer-Verlag GmbH Germany, part of Springer Nature 2023.</t>
  </si>
  <si>
    <t>2-s2.0-85163707798"</t>
  </si>
  <si>
    <t>10.3390/data9100118</t>
  </si>
  <si>
    <t>https://www.scopus.com/inward/record.uri?eid=2-s2.0-85207581698&amp;doi=10.3390%2fdata9100118&amp;partnerID=40&amp;md5=327bd270313f4250a09f252f51f4b3d3</t>
  </si>
  <si>
    <t>Here, we describe a dataset of two-dimensional (2D) XBeach model files that were developed for the Coastal Storm Modeling System (CoSMoS) in northern California as an update to an earlier CoSMoS implementation that relied on one-dimensional (1D) modeling methods. We provide details on the data and their application, such that they might be useful to end-users for other coastal studies. Modeling methods and outputs are presented for Humboldt Bay, California, in which we compare output from a nested 1D modeling approach to 2D model results, demonstrating that the 2D method, while more computationally expensive, results in a more cohesive and directly mappable flood hazard result. Dataset: https://doi.org/10.5066/P9048D1S. Dataset License: CC0 © 2024 by the authors.</t>
  </si>
  <si>
    <t>2-s2.0-85207581698"</t>
  </si>
  <si>
    <t>Water Resources and Economics</t>
  </si>
  <si>
    <t>10.1016/j.wre.2024.100254</t>
  </si>
  <si>
    <t>https://www.scopus.com/inward/record.uri?eid=2-s2.0-85207119032&amp;doi=10.1016%2fj.wre.2024.100254&amp;partnerID=40&amp;md5=090ccdb6864849b1948a180f6044df7b</t>
  </si>
  <si>
    <t>The Lower Mekong delta of Vietnam, particularly Can Tho city, is highly susceptible to flooding which urgently calls for significant efforts to mitigate urban flood risks. A possible measure to reduce flood risk is the application of controlled embankment breaches (CEB) in a rural province upstream. Utilising a Protection Motivation Theory approach, this paper uses a contingent valuation to assess the welfare effects of a reduction of flood risks in the city resulting from CEB in the upstream region of the delta. The findings revealed that households residing in the downstream areas of Vietnamese Mekong Delta were willing to financially support the implementation of the CEB upstream in An Giang city, as a measure to alleviate urban flood threats in Can Tho city. These results suggest that interregional cooperation, involving the concept of payments for watershed services between regional jurisdictions, may help to effectively mitigate flood risk in a low-lying population centre in a major river delta. As such, these findings can inform policies for urban flood risk mitigation regarding the development of a more comprehensive flood risk reduction strategy in similar geographical contexts. © 2024 Elsevier B.V.</t>
  </si>
  <si>
    <t>2-s2.0-85207119032"</t>
  </si>
  <si>
    <t>Journal of Physical Oceanography</t>
  </si>
  <si>
    <t>10.1175/JPO-D-23-0019.1</t>
  </si>
  <si>
    <t>https://www.scopus.com/inward/record.uri?eid=2-s2.0-85207155139&amp;doi=10.1175%2fJPO-D-23-0019.1&amp;partnerID=40&amp;md5=650880ff1ee0697f1490c2021e2514a9</t>
  </si>
  <si>
    <t>Being situated in the estuary of the flood-dominated Hooghly River system, the macrotidal Indian Sundarban Delta (ISD) has become one of the most complex, dynamic, and rapidly changing landforms on Earth’s surface. To study the horizontal areal shifting of shoreline and its impact on mangrove cover in the region, the U.S. Geological Survey (USGS) satellite data of 1980, 1990, 2000, 2010, and 2021 were used. Remote sensing and geographic information system (GIS) techniques were employed in the investigation. Simultaneous prograding and retrograding shoreline shifting was distinguished almost in all the parts, although sediment-starved eastern and macrotidally more active southern lobes experienced dominantly retreating shift, and the sediment-engorged western lobe was demonstrated to be more dynamic. Net areal change over north–south tracks followed the trend of decreasing accretion to increasing erosion while going from west to east, whereas that over west–east tracks followed the trend of exponentially increasing erosion while going from north to south. Overall accretion of ~91 km2 in the ISD accounted for the augmentation of sparse vegetation of ~13 km2, whereas ~243 km2 erosion called for the depletion of sparse and moderate vegetation of ~18 and ~174 km2,respectively, over the 41-yr period. Various oceanographic and riparian forces and actions, episodic natural events, etc., vis-a-vis several anthropogenic interventions-all together contributed to such changes. The findings may help the coastal environmentalists, professionals, planners, decision-makers, and implementers in formulating and taking up of suitable strategic measures for integrated and effective coastal zone management in this estuarine wetland forest. © 2024 American Meteorological Society.</t>
  </si>
  <si>
    <t>2-s2.0-85207155139"</t>
  </si>
  <si>
    <t>10.1016/j.heliyon.2024.e36862</t>
  </si>
  <si>
    <t>https://www.scopus.com/inward/record.uri?eid=2-s2.0-85201758447&amp;doi=10.1016%2fj.heliyon.2024.e36862&amp;partnerID=40&amp;md5=70a4ef812f3d066865aeb1959958494d</t>
  </si>
  <si>
    <t>Massive amounts of data from social media possess the potential to rapidly identify the primary issues of concern in emergency disaster management. In summer 2023, Super Typhoon Doksuri which was an exceptionally special typhoon disaster that caused severe damage to China's coastal areas and disastrous impacts in inland regions, particularly triggered the most severe rainstorm in Beijing area in over a century. To enhance typhoon hazard reduction in both coastal and interior locations, it is crucial to examine public response to these events. This study uses microblog text data from July 27 to August 3 of 2023 to map the public response to Typhoon Doksuri. The Support Vector Machine (SVM) algorithm was used to classify the microblog text in combination with the typhoon path to analyze the spatial and temporal variations of the emotions of the affected individuals. The relationship between changes in public opinion, the distribution of topics, and the major disasters triggered by the residual circulation of Typhoon Doksuri in the Beijing-Tianjin-Hebei region is discussed. The Mentougou mega-storm in Beijing area that occurred in July 2023 is a typical case. The findings demonstrate that during the typhoon event, the focus of public attention changed with the movement of the typhoon path, and various public opinion topics exhibited temporal synchronization. Public sentiment indicates that the overall supportive sentiment is higher than is fearful sentiment. Based on this, it is crucial to strengthen the Beijing-Tianjin-Hebei cooperative emergency response, and response measures were proposed related to urban flood control and drainage construction, public awareness, backward areas, secondary disasters, resident relocation, and social media technology. © 2024 The Authors</t>
  </si>
  <si>
    <t>2-s2.0-85201758447"</t>
  </si>
  <si>
    <t>10.1029/2023WR036739</t>
  </si>
  <si>
    <t>https://www.scopus.com/inward/record.uri?eid=2-s2.0-85206218533&amp;doi=10.1029%2f2023WR036739&amp;partnerID=40&amp;md5=b2cb002c9718b34aa2d5bd5ca736ff26</t>
  </si>
  <si>
    <t>Flash flooding has become more prominent under climate change, threatening people's life and property. Post-event investigations of recent events emphasize the role of floating debris, such as vehicles, in exacerbating damage. Few modeling methods and tools have been developed to simulate the full-process dynamics of floating debris driven by large-scale flood waves in real world. In this work, a fully coupled model is developed for simulating the full-process interactive movements of vehicles driven by flash flood hydrodynamics, from entrainment, transport to deposition. The proposed coupled modeling system consists of a finite volume shock-capturing hydrodynamic model solving the 2D shallow water equations and a 3D discrete element method (DEM) model. The proposed two-way coupling approach estimates the hydrostatic and hydrodynamic forces acting on solid objects using the water depth and velocity predicted by the hydrodynamic model</t>
  </si>
  <si>
    <t>10.1007/s13753-024-00590-6</t>
  </si>
  <si>
    <t>https://www.scopus.com/inward/record.uri?eid=2-s2.0-85207566841&amp;doi=10.1007%2fs13753-024-00590-6&amp;partnerID=40&amp;md5=868b7f134761a416db141c0a564b1573</t>
  </si>
  <si>
    <t>Floods are widespread and dangerous natural hazards worldwide. It is essential to grasp the causes of floods to mitigate their severe effects on people and society. The key drivers of flood susceptibility in rapidly urbanizing areas can vary depending on the specific context and require further investigation. This research developed an index system comprising 10 indicators associated with factors and environments that lead to disasters, and used machine learning methods to assess flood susceptibility. The core urban area of the Yangtze River Delta served as a case study. Four scenarios depicting separate and combined effects of climate change and human activity were evaluated using data from various periods, to measure the spatial variability in flood susceptibility. The findings demonstrate that the extreme gradient boosting model outperformed the decision tree, support vector machine, and stacked models in evaluating flood susceptibility. Both climate change and human activity were found to act as catalysts for flooding in the region. Areas with increasing susceptibility were mainly distributed to the northwest and southeast of Taihu Lake. Areas with increased flood susceptibility caused by climate change were significantly larger than those caused by human activity, indicating that climate change was the dominant factor influencing flood susceptibility in the region. By comparing the relationship between the indicators and flood susceptibility, the rising intensity and frequency of extreme precipitation as well as an increase in impervious surface areas were identified as important reasons of heightened flood susceptibility in the Yangtze River Delta region. This study emphasized the significance of formulating adaptive strategies to enhance flood control capabilities to cope with the changing environment. © The Author(s) 2024.</t>
  </si>
  <si>
    <t>2-s2.0-85207566841"</t>
  </si>
  <si>
    <t>10.1007/s11069-024-06588-z</t>
  </si>
  <si>
    <t>https://www.scopus.com/inward/record.uri?eid=2-s2.0-85190286636&amp;doi=10.1007%2fs11069-024-06588-z&amp;partnerID=40&amp;md5=87a5e5cd6f30199b0bdeb9ee55b32637</t>
  </si>
  <si>
    <t>This study investigates the possible effects of climate change on temperature and precipitation variables in the Eastern Black Sea Basin, Türkiye’s wettest and flood-prone region. The outputs of three GCMs under historical, RCP4.5, and RCP8.5 scenarios were downscaled to regional scale using the multivariate adaptive regression splines method. The future monthly temperature and precipitation for 12 stations in the basin were projected for three periods: the 2030s (2021–2050), 2060s (2051–2080), and 2090s (2081–2100). In addition to relative changes, high and low groups and intra-period trends were analyzed for the first time using innovative methods. For the pessimistic scenario, an increase of 3.5 °C in the interior and 3.0 °C in the coastal areas of the basin is projected. For the optimistic scenario, these values are expected to be 2.5 and 2.0 °C, respectively. A decrease in precipitation is projected for the interior region, and a significant increase is expected for the eastern and coastal areas of the basin, especially in spring. This result indicates that floods will occur frequently coastal areas of the basin in the coming periods. Also, although the monotonic trends of temperatures during periods are higher than precipitation in interior regions, these regions may have more uncertainty as their trends are in different directions of low and high groups of different scenarios and GCMs and contribute to all trends, especially precipitation. © The Author(s) 2024.</t>
  </si>
  <si>
    <t>2-s2.0-85190286636"</t>
  </si>
  <si>
    <t>10.1007/s11852-024-01065-y</t>
  </si>
  <si>
    <t>https://www.scopus.com/inward/record.uri?eid=2-s2.0-85199404541&amp;doi=10.1007%2fs11852-024-01065-y&amp;partnerID=40&amp;md5=2d00f816281c382a888d5c157639ccfa</t>
  </si>
  <si>
    <t>This paper presents the development of a Hybrid Model (HM) integrated with a Bayesian Network (BN) for comprehensive coastal vulnerability and risk assessment, with a focus on Konyaaltı Beach, Antalya, Turkey. The HM incorporates critical environmental parameters such as wind, waves, currents, and sediment transport to simulate conditions at vulnerable coastal areas and perform risk assessments for storm effects, flooding, and erosion. The model includes submodules for predicting coastal storms, quantifying sediment transport rates, assessing tsunami inundation severity, and categorizing storms based on beach typologies. The Adaptive Neuro-Fuzzy Inference System (ANFIS) is utilized for significant wave height predictions, enhancing the model's accuracy. The integration of hydrodynamic modeling, Bayesian networks, and ANFIS offers a robust framework for assessing coastal vulnerability and informing sustainable management practices. The study's results highlight the necessity for integrated risk management strategies, including adaptive infrastructure design, zoning and land use regulations, ecosystem-based management, and continuous monitoring and model refinement to enhance coastal resilience against dynamic environmental forces. This research provides valuable insights for mitigating the impacts of hazards on urban developments, contributing to the advancement of sustainable coastal management. © The Author(s) 2024.</t>
  </si>
  <si>
    <t>2-s2.0-85199404541"</t>
  </si>
  <si>
    <t>10.1016/j.pdisas.2024.100353</t>
  </si>
  <si>
    <t>https://www.scopus.com/inward/record.uri?eid=2-s2.0-85199768703&amp;doi=10.1016%2fj.pdisas.2024.100353&amp;partnerID=40&amp;md5=1ce80f75c7b84a8d0adb3f069983e8c7</t>
  </si>
  <si>
    <t>Bangladesh, a low-lying deltaic plain formed by the convoluted network of streams within the Ganges-Brahmaputra-Meghna basin, is one of the worst climate change-induced natural hazards sufferers. Among all the riverine and coastal hazards, floods alone have wreaked havoc on the national economy. This study focused on determining the level of potential hazard of different crop stages of Transplanted Aman (T. Aman) rice based on the coincidence of the crop cycle stages with the duration and depth of flood of the Brahmaputra-Jamuna River system. A 2D hydrodynamic model has been developed using TUFLOW for the Brahmaputra-Jamuna River system under this study. The model simulated results for 2008 and 2019, representing bank-full flow conditions (2008) and a recent flood event (2019). It is seen that the vegetative stage for both the flooding scenarios is most affected for all selected monitoring locations, and the effect of flood events of the other two stages (reproductive and ripening stage) varied spatially. The analysis presented in the study can be used to determine the economic damage incurred to the lower-income community, primarily associated with agriculture. Adaptive actions and mitigation measures can be prioritized to depreciate the loss and damage due to these catastrophic flooding events. © 2024 The Authors</t>
  </si>
  <si>
    <t>2-s2.0-85199768703"</t>
  </si>
  <si>
    <t>10.1029/2023WR036948</t>
  </si>
  <si>
    <t>https://www.scopus.com/inward/record.uri?eid=2-s2.0-85201388504&amp;doi=10.1029%2f2023WR036948&amp;partnerID=40&amp;md5=ed2403d69648cdac3ac9c66c7bfb59a8</t>
  </si>
  <si>
    <t>The melt of seasonal snowpack in mountain regions provides downstream river basins with a critical supply of freshwater. Snowdrift-permitting models have been proposed as a way to accurately simulate snowpack heterogeneity that stems from differences in energy inputs, over winter redistribution, sublimation, melt, and variations in precipitation. However, these spatial scales can be computationally intractable for large extents. In this work, the multiscale Canadian Hydrological Model (CHM) was applied to simulate snowpacks at snowdrift-permitting scales (≈50 m) across the Canadian Cordillera and adjacent regions (1.37 million km2) forced by downscaled atmospheric data. The use of a multiscale land surface representation resulted in a reduction of computational elements of 98% while preserving land-surface heterogeneity. CHM includes complex terrain windflow and radiative transfer calculations, lapses temperature, humidity, and precipitation with elevation, redistributes snow by avalanching, wind transport and forest canopy interception and calculates the energetics of canopy and surface snowpacks. Model outputs were compared to a set of multiscale observations including snow-covered area (SCA) from Sentinel and Landsat imagery, snow depth from uncrewed aerial system lidar, and point surface observations of depth and density. Including snow redistribution and sublimation processes improved the summer SCA r2 from 0.7 to 0.9. At larger scales, inclusion of snow redistribution processes delayed full snowpack ablation by an average of 33 days, demonstrating process emergence with scale. These simulations show how multiscale modeling can improve snowpack predictions to support prediction of water supply, droughts, and floods. © 2024. The Author(s).</t>
  </si>
  <si>
    <t>2-s2.0-85201388504"</t>
  </si>
  <si>
    <t>Applied Computing and Geosciences</t>
  </si>
  <si>
    <t>10.1016/j.acags.2024.100191</t>
  </si>
  <si>
    <t>https://www.scopus.com/inward/record.uri?eid=2-s2.0-85202194733&amp;doi=10.1016%2fj.acags.2024.100191&amp;partnerID=40&amp;md5=e3eb8b89d9a2e4d6ba29deb8c44c6287</t>
  </si>
  <si>
    <t>Due to the nature of black-box machine learning (ML) models used in the spatial modelling field of environmental and natural hazards, the interpretation of predictive model outputs is necessary. For this purpose, we applied four interpretation techniques consisting of interaction plot, permutation feature importance (PFI) measure, shapley additive explanation (SHAP) decision plot, and accumulated local effects (ALE) plot to explain and interpret the output of an ML model applied to map land subsidence (LS) in the Nazdasht plain, Hormozgan province, southern Iran. We applied a stepwise regression (SR) algorithm and five ML models (Cforest (as a conditional random forest), generalized linear model (GLM), multivariate linear regression (MLR), partial least squares (PLS) and extreme gradient boosting (XGBoost)) to select important features and to map the LS hazard, respectively. Thereafter, several interpretation techniques were used to explain the spatial ML hazard model output. Our findings revealed that a GLM model was the most accurate approach to map LS in our study area, and that 24.3% of the total study area had a very high susceptibility to the LS hazard. According to the interpretation techniques, land use, elevation, groundwater level and vegetation were the most important variables controlling the LS hazard and also the most important variables contributing to the model's output. Overall, human activities, especially the diversion of the route of one of the main tributaries feeding the plain and the recharging of groundwater five decades ago, intensified the current LS occurrence. Therefore, management activities such as water spreading projects upstream of the plain can be useful to mitigate LS occurrence in the plain. © 2024 The Authors</t>
  </si>
  <si>
    <t>2-s2.0-85202194733"</t>
  </si>
  <si>
    <t>10.1029/2023EF004027</t>
  </si>
  <si>
    <t>https://www.scopus.com/inward/record.uri?eid=2-s2.0-85201366733&amp;doi=10.1029%2f2023EF004027&amp;partnerID=40&amp;md5=12beab023740ae057caf9253585eacd3</t>
  </si>
  <si>
    <t>In low-lying coastal regions, the joint occurrence of high river flow and high water levels can cause coastal flooding with substantial economic and social implications. Recent studies over Canada's coasts have shown that neglecting the interdependency between flood drivers can underestimate the risk of flooding by up to 50%. However, to date, such interdependency has not been investigated for the coasts of the St. Lawrence River, Estuary and Gulf system (StL), where Sea Level Rise (SLR), along with intensified river peaks, are already threatening these communities. In this study, a copula-based bivariate frequency analysis was applied to quantify the likelihood of occurrence of flooding events under dependent and independent assumptions, for 26 sites along the StL. Furthermore, to quantify the impact of anthropogenic climate change, the joint return period in historical period was compared with that of projected SLR associated with RCP 8.5 for the year 2100. Results show that (a) the independence assumption can underestimate the likelihood of occurrence of flooding event in the Fluvial Section of the StL by up to 30 times and (b) the SLR can increase the likelihood of occurrence of flooding event by up to 50 times in the Estuary and the Gulf and by up to 5 times in the Fluvial Section of the StL. This study highlights the need for explicit consideration of the dependence between flood drivers and of SLR in the delineation of flood maps along the coast of the St. Lawrence. © 2024. The Author(s).</t>
  </si>
  <si>
    <t>2-s2.0-85201366733"</t>
  </si>
  <si>
    <t>10.1016/j.wace.2024.100713</t>
  </si>
  <si>
    <t>https://www.scopus.com/inward/record.uri?eid=2-s2.0-85201748776&amp;doi=10.1016%2fj.wace.2024.100713&amp;partnerID=40&amp;md5=a688e378672e6896be5cde62bec72e52</t>
  </si>
  <si>
    <t>Rapid urbanisation along the coasts of the world in recent decades has increased their vulnerability to storm surges, especially in response to mean sea level rise. The unique geographical and social conditions of Copenhagen, a major European coastal city, have prompted urban expansion along Køge Bay to the south of the city. However, this new urbanisation area is confronted with the common obstacle of developing a coastal defence strategy, i.e., the lack of long-term observational data required to determine a reliable storm surge protection level. This study aims to address this issue by developing a framework that integrates historical records of extreme storm surge events into coastal defence strategies, using Copenhagen as a case study. We propose a four-step work framework, including (1) Data collection and analysis: We collected and analysed data from neighbouring cities and used modelling and reanalysis data sets. By combining these sources, we aim to reconstruct historical time series for the study site dating back to 1836. This extended information set enhances our understanding of past storm surge events. (2) Statistical modelling and forecasting: Using Bayesian statistical methods, we fitted the historical storm surge data to appropriate probability distributions. This enabled us to generate probabilistic forecasts of storm surge magnitudes, providing insight into the likelihood of future events and their potential impacts on the coastal area. (3) Sensitivity analyses: We performed sensitivity experiments using Markov chain Monte Carlo (MCMC) methods to identify the most influential parameters, such as thresholds, that affect storm surge levels. This analysis improved our understanding of the key drivers of storm surge events and their uncertainties, further informing coastal defence strategies. (4) Expert judgement and risk management: Expert judgements are implemented to establish the necessary security level to manage flood risks in the city. This helps to ensure that high-impact, low-probability events are adequately considered in risk management efforts. Following this framework, we can develop a comprehensive understanding of storm surge risks in the urbanised region south of Copenhagen and use historical data to inform coastal defence strategies. This study emphasises the importance of incorporating long-term observational data and expert insights to improve the resilience of coastal cities facing the challenges of urbanisation and climate change. © 2024 The Author(s)</t>
  </si>
  <si>
    <t>2-s2.0-85201748776"</t>
  </si>
  <si>
    <t>10.1007/s10661-024-12961-z</t>
  </si>
  <si>
    <t>https://www.scopus.com/inward/record.uri?eid=2-s2.0-85201421716&amp;doi=10.1007%2fs10661-024-12961-z&amp;partnerID=40&amp;md5=3eed13306a8a4870cd394dff43a66794</t>
  </si>
  <si>
    <t>Salt marshes act as natural barriers that reduce wave energy during storm events and help protect coastal communities located in low-lying areas. This ecosystem can be an important asset for climate adaptation due to its particular capability of vertically accrete to adjust to long-term changes in water levels. Therefore, understanding marsh protection benefits thresholds in the face of sea-level rise (SLR) is important for planning future climate adaptation. In this context, the main goal of this manuscript is to examine how the storm protection benefits provided by salt marshes might evolve under SLR projections with different probability levels and emission pathways. In this study, a modeling framework that employs marsh migration predictions from the Sea Level Affecting Marshes Model (SLAMM) as parameterization into a hydrodynamic and wave model (ADCIRC + SWAN) was utilized to explicitly represent wave attenuation by vegetation under storm surge conditions. SLAMM predictions indicate that the SLR scenario, a combination of probability level and emission pathways, plays a substantial role in determining future marsh migration or marsh area loss. For example, results based on the 50% probability, stabilized emissions scenario show an increase of 45% in the marsh area on Maryland’s Lower Eastern Shore by 2100, whereas Dorchester County alone could experience a 75% reduction in total salt marsh areas by 2100 under the 1% probability, growing emissions scenario. ADCIRC + SWAN results using SLAMM land cover and elevation outputs indicate that distinct temporal thresholds emerge where marsh extent sharply decreases and wave heights increase, especially after 2050, and exacerbates further after 2080. These findings can be utilized for guiding environmental policies and to aid informed decisions and actions in response to SLR-driven environmental changes. © The Author(s) 2024.</t>
  </si>
  <si>
    <t>2-s2.0-85201421716"</t>
  </si>
  <si>
    <t>10.3390/hydrology11090145</t>
  </si>
  <si>
    <t>https://www.scopus.com/inward/record.uri?eid=2-s2.0-85205256552&amp;doi=10.3390%2fhydrology11090145&amp;partnerID=40&amp;md5=b9675801a9b6c269d82174890c25947e</t>
  </si>
  <si>
    <t>This study addresses the limitations of and the common challenges faced by one-dimensional river-routing methods in hydrological models, including the National Water Model (NWM), in accurately representing coastal regions. We developed a two-way coupling between the NWM and the Semi-implicit Cross-scale Hydroscience Integrated System Model (SCHISM). The approach demonstrated improvements in modeling coastal river dynamics, particularly during extreme events like Hurricane Matthew. The coupled model successfully captured tidal influences, storm surge effects, and complex river–river interactions that the standalone NWM missed. The approach revealed more accurate representations of peak discharge timing and magnitude as well as water storage and release in coastal floodplains. However, we also identified challenges in reconciling variable representations between hydrological and hydraulic models. This work not only enhances the understanding of coastal–riverine interactions but also provides valuable insights for the development of next-generation hydrological models. The improved modeling capabilities have implications for flood forecasting, coastal management, and climate change adaptation in vulnerable coastal areas. © 2024 by the authors.</t>
  </si>
  <si>
    <t>2-s2.0-85205256552"</t>
  </si>
  <si>
    <t>10.1007/s11069-024-06603-3</t>
  </si>
  <si>
    <t>https://www.scopus.com/inward/record.uri?eid=2-s2.0-85190438553&amp;doi=10.1007%2fs11069-024-06603-3&amp;partnerID=40&amp;md5=90aaf3a7dd8a449a1666454329d29b74</t>
  </si>
  <si>
    <t>A standalone Advanced Circulation (ADCIRC) model for the east coast of India with a high-resolution grid of 100 m near the coast is used to evaluate coastal inundation resulting from the storm tides generated by recent cyclones. A directional surface roughness parametrization that alters wind speed and Manning’s n friction coefficient to compute bottom friction based on land use/land cover (LULC) at a particular location is incorporated in the model. ERA5 reanalysis winds highlight that the cyclonic winds over the land are less intensive than nearby coastal oceans, particularly during landfall time, by approximately 29%–50%. Experiments are also designed to quantify the impact of surface and bottom friction on wind speed and the inward propagation of storm tides. A comparison of cyclonic wind speed after incorporating LULC data in the model is made with an automatic surface observation system (ASOS). It suggests a 15%–29% reduction, consistent with ASOS. The inundated area computed for the cyclones advocates a significant reduction (15%–50%) due to LULC. Sensitivity experiments with LULC are performed to examine the impact of mangroves in the Krishna estuary located in between two concave-shaped coastal geometries. Replacing wetlands with Mangroves results in a simultaneous decline in wind speed (12.5%) and inundated area (13.4%). It also highlights that bottom friction contributes (9.4%) in the inundated area against surface friction (4%). This study infers that further investigation and planning are mandatory to ensure coastal mangrove restoration initiatives and effective coastal management practices. © The Author(s), under exclusive licence to Springer Nature B.V. 2024.</t>
  </si>
  <si>
    <t>2-s2.0-85190438553"</t>
  </si>
  <si>
    <t>10.1073/pnas.2310077121</t>
  </si>
  <si>
    <t>https://www.scopus.com/inward/record.uri?eid=2-s2.0-85200101776&amp;doi=10.1073%2fpnas.2310077121&amp;partnerID=40&amp;md5=e8521079fee208e57c64af3c5c241330</t>
  </si>
  <si>
    <t>Climate change is an existential threat to the environmental and socioeconomic sustainability of the coastal zone and impacts will be complex and widespread. Evidence from California and across the United States shows that climate change is impacting coastal communities and challenging managers with a plethora of stressors already present. Widespread action could be taken that would sustain California’s coastal ecosystems and communities. In this perspective, we highlight the main threat to coastal sustainability: the compound effects of episodic events amplified with ongoing climate change, which will present unprecedented challenges to the state. We present two key challenges for California’s sustainability in the coastal zone: 1) accelerating sea-level rise combined with storm impacts, and 2) continued warming of the oceans and marine heatwaves. Cascading effects from these types of compounding events will occur within the context of an already stressed system that has experienced extensive alterations due to intensive development, resource extraction and harvesting, spatial containment, and other human use pressures. There are critical components that could be used to address these immediate concerns, including comanagement strategies that include diverse groups and organizations, strategic planning integrated across large areas, rapid implementation of solutions, and a cohesive and policy relevant research agenda for the California coast. Much of this has been started in the state, but the scale could be increased, and timelines accelerated. The ideas and information presented here are intended to help expand discussions to sharpen the focus on how to encourage sustainability of California’s iconic coastal region. © 2024 the Author(s).</t>
  </si>
  <si>
    <t>2-s2.0-85200101776"</t>
  </si>
  <si>
    <t>10.1016/j.envsci.2024.103806</t>
  </si>
  <si>
    <t>https://www.scopus.com/inward/record.uri?eid=2-s2.0-85196493162&amp;doi=10.1016%2fj.envsci.2024.103806&amp;partnerID=40&amp;md5=514c2ff357431b59d94657d831b1e8b2</t>
  </si>
  <si>
    <t>Coastal communities and their environments are facing unprecedented changes, with climate change driving rising global mean sea level, exacerbating extreme sea level events, and increasing hazards. Whilst adaptations to change have been central to coastal life for millennia, climate change brings a speed and intensity of change not previously experienced. Researchers are noting that adaptations are needed that are large scale and systemic with significant changes to lives and livelihoods – Transformational Adaptations – yet there is little evidence of this in practice, and there remains an operationalisation gap between ambitions and actions. This paper uses a qualitative case study method to assess how existing policy may enable and inhibit local stakeholder involvement in transformational adaptation in English coastal flood and erosion risk management. Through twenty interviews with coastal management stakeholders, the capacity for local coastal management stakeholders to initiate transformational adaptation and the perceived involvement of residents are analysed. The results indicate that transformational adaptation remains a distant aspiration in the English coastal management system, with local stakeholders possessing limited capacity to initiate it. The perceived role for residents in adaptation processes is often focused on their being recipients of adaptation interventions, and there are a range of barriers to their further involvement. The paper concludes that despite the theoretical interest in transformational adaptation, there is limited evidence its implementation in English coastal flood and erosion risk management, and there are multiple priority areas for policy development to support capacity for engaged transformational adaptation practices in coastal management contexts. © 2024 The Authors</t>
  </si>
  <si>
    <t>2-s2.0-85196493162"</t>
  </si>
  <si>
    <t>10.1029/2023WR037016</t>
  </si>
  <si>
    <t>https://www.scopus.com/inward/record.uri?eid=2-s2.0-85201294857&amp;doi=10.1029%2f2023WR037016&amp;partnerID=40&amp;md5=43f093d60fef3cf724ed5dab0a250e70</t>
  </si>
  <si>
    <t>Soil temperature regulates biogeochemical processes and is a key environmental factor affecting salt marsh ecosystems. Previous studies on soil temperature and heat transport in intertidal marshes predominantly focused on short-term changes, leaving seasonal variations unclear. This study conducted a yearlong field and modeling investigation to examine temporal and spatial temperature variations in a creek-marsh section under estuarine and meteorological influences. The results showed that inundating tidal water propagated the seasonal water temperature signal to marsh soils, especially at low elevations, thereby modulating air temperature-induced soil temperature variations and distributions. The response of soil temperature to air and tidal water temperatures exhibited a damped and delayed pattern. In contrast, tide-induced porewater circulations near the creek facilitated the temperature responses. A regression model incorporating a Gamma distribution function was developed to quantify the delayed and cumulative thermal effects of tidal water and air on shallow soil temperatures. The model coefficients varied along the creek-marsh section, capturing the seasonal regulation of periodic tidal inundation on soil temperature in the low-elevation marsh and near the creek. Sensitivity analyses indicated that relative sea level rise lowered yearly-averaged temperatures for the marsh platform by enhancing latent heat export. Surface water warming increased the marsh temperatures at lower elevations. This study demonstrates that the creek-marsh topography, warming, and relative sea level rise jointly affect soil temperature dynamics, advancing our understanding of temperature-dependent biogeochemical processes in marsh ecosystems. © 2024. The Author(s).</t>
  </si>
  <si>
    <t>2-s2.0-85201294857"</t>
  </si>
  <si>
    <t>10.1016/j.scitotenv.2024.173861</t>
  </si>
  <si>
    <t>https://www.scopus.com/inward/record.uri?eid=2-s2.0-85196207056&amp;doi=10.1016%2fj.scitotenv.2024.173861&amp;partnerID=40&amp;md5=1efe4ffc9eb93f709fb6f669721b32e3</t>
  </si>
  <si>
    <t>Coastal wetlands are key players in mitigating global climate change by sequestering soil organic matter. Soil organic matter consists of less stable particulate organic matter (POM) and more stable mineral-associated organic matter (MAOM). The distribution and drivers of MAOM and POM in coastal wetlands have received little attention, despite the processes and mechanisms differ from that in the upland soils. We explored the distribution of POM and MAOM, their contributions to SOM, and the controlling factors along a salinity gradient in an estuarine wetland. In the estuarine wetland, POM C and N were influenced by soil depth and vegetation type, whereas MAOM C and N were influenced only by vegetation type. In the estuarine wetland, SOM was predominantly in the form of MAOM (&gt; 70 %) and increased with salinity (70 %–76 %), leading to long-term C sequestration. Both POM and MAOM increased with SOM, and the increase rate of POM was higher than that of MAOM. Aboveground plant biomass decreased with increasing salinity, resulted in a decrease in POM C (46 %–81 %) and N (52 %–82 %) pools. As the mineral amount and activity, and microbial biomass decreased, the MAOM C (2.5 %–64 %) and N pool (8.6 %–59 %) decreased with salinity. When evaluating POM, the most influential factors were microbial biomass carbon (MBC) and dissolved organic carbon (DOC). Key parameters, including MBC, DOC, soil salinity, soil water content, aboveground plant biomass, mineral content and activity, and bulk density, were identified as influencing factors for both MAOM abundance. Soil water content not only directly controlled MAOM, but together with salinity also indirectly regulated POM and MAOM by controlling microbial biomass and aboveground plant biomass. Our findings have important implications for improving the accumulation and increased stability of soil organic matter in coastal wetlands, considering the global sea level rise and increased frequency of inundation. © 2024 Elsevier B.V.</t>
  </si>
  <si>
    <t>2-s2.0-85196207056"</t>
  </si>
  <si>
    <t>10.1016/j.jhydrol.2024.131836</t>
  </si>
  <si>
    <t>https://www.scopus.com/inward/record.uri?eid=2-s2.0-85201008809&amp;doi=10.1016%2fj.jhydrol.2024.131836&amp;partnerID=40&amp;md5=7a3e62c7fd71d5f194ee8ce36de48da5</t>
  </si>
  <si>
    <t>Estuaries are important sources of methane (CH4) emissions under human activities and global warming. However, diffusive and ebullitive CH4 emissions in response to nutrients enrichments and tidal fluctuations remain largely constrained. Here, we investigated seasonal and monthly CH4 emissions in a nutrient-rich subtropical estuary and evaluated relative contribution of diffusion and ebullition CH4. Dissolved CH4 concentrations were in a range of 0.18–11.2 µmol L−1, corresponding to diffusive fluxes of 3.08–375 μg m−2 h−1 along the estuary. Diffusive CH4 fluxes were observed to decrease significantly from the upper to lower estuary and were higher in the cold than warm seasons. Turbidity, suspended particulate, NH4+, NO3−, DOC/NO3− and NO2− were the crucial factors affecting CH4 fluxes, collectedly explaining 43 % of CH4 emissions variability. Ebullitive and diffusive fluxes were significantly higher under ebbing than flooding tides, with an ebullition contribution of 82–98 %. Ecosystem-level temperature sensitivity and apparent activation energy of CH4 emissions were higher for ebullitive than diffusive pathways and were also higher under the ebbing than flooding tides, indicating that ebullitive pathway is high temperature and low water depth dependent. It is conservatively projected that CH4 emissions would increase by 17 ± 9 % and 40 ± 22 % under the 2 and 4 °C warming scenarios, respectively. These results suggest that enhanced CH4 emissions under human activities and climate warming can be refined in further CH4 projections and highlight the importance of estuaries in global carbon cycles and climate change. © 2024 Elsevier B.V.</t>
  </si>
  <si>
    <t>2-s2.0-85201008809"</t>
  </si>
  <si>
    <t>10.1038/s41561-024-01498-y</t>
  </si>
  <si>
    <t>https://www.scopus.com/inward/record.uri?eid=2-s2.0-85199571318&amp;doi=10.1038%2fs41561-024-01498-y&amp;partnerID=40&amp;md5=b19f4390e7577bbf1c1c23ab501d2aa5</t>
  </si>
  <si>
    <t>Moist heatwaves in the tropics and subtropics pose substantial risks to society, yet the dynamics governing their intensity are not fully understood. The onset of deep convection arising from hot, moist near-surface air has been thought to limit the magnitude of moist heatwaves. Here we use reanalysis data, output from the Coupled Model Intercomparison Project Phase 6 and model entrainment perturbation experiments to show that entrainment of unsaturated air in the lower-free troposphere (roughly 1–3 km above the surface) limits deep convection, thereby allowing much higher near-surface moist heat. Regions with large-scale subsidence and a dry lower-free troposphere, such as coastal areas adjacent to hot and arid land, are thus particularly susceptible to moist heatwaves. Even in convective regions such as the northern Indian Plain, Southeast Asia and interior South America, the lower-free tropospheric dryness strongly affects the maximum surface wet-bulb temperature. As the climate warms, the dryness (relative to saturation) of the lower-free tropospheric air increases and this allows for a larger increase of extreme moist heat, further elevating the likelihood of moist heatwaves. © The Author(s), under exclusive licence to Springer Nature Limited 2024.</t>
  </si>
  <si>
    <t>2-s2.0-85199571318"</t>
  </si>
  <si>
    <t>10.3390/land13081155</t>
  </si>
  <si>
    <t>https://www.scopus.com/inward/record.uri?eid=2-s2.0-85202616366&amp;doi=10.3390%2fland13081155&amp;partnerID=40&amp;md5=a6edcef8e45bd7b33f987180be7c8849</t>
  </si>
  <si>
    <t>The evaluation of land ecological security (LES) evaluates how human activity and land use affect land ecosystems. Its ultimate objective is to provide guidance and assistance for decision making in order to preserve and restore the efficacy and health of terrestrial ecosystems. The assessment model presented in this article is comprehensive and integrates the advantages of both subjective and objective weighting techniques. This study extends the “Pressure–State–Response” (PSR) model to “Driver–Pressure–State-Impact–Response” (DPSIR) and combines it with TOPSISI to determine the weights of each contributing component. Furthermore, the geographical and temporal distribution patterns of regional land ecological security levels were investigated using GIS geostatistical approaches. According to this study, (1) the Yangtze River Delta region’s LES index, with a mean value in the fairly safe range, is generally safe. The year 2019 marks an inflection point for the index, with the highest level of ecological safety on land. The primary element is the modification of environmental policies that are enacted by the government. (2) The LES status is divided into two stages during the course of this study. The Yangtze River Delta region’s LES quickly develops throughout the first stage (2012–2019), which sees a shift in the safety rating from IV to II. The second stage (2019–2023) sees a progressive improvement in the LES index and a shift in the safety category from Class II to Class I. (3) Important variables influencing the geographical distribution of LES in the Yangtze River Delta region include barrier elements, including soil and water erosion areas, flood disaster areas, grain planting areas, urban green covering areas, and effective irrigation areas of farmland. © 2024 by the authors.</t>
  </si>
  <si>
    <t>2-s2.0-85202616366"</t>
  </si>
  <si>
    <t>10.1029/2023WR035840</t>
  </si>
  <si>
    <t>https://www.scopus.com/inward/record.uri?eid=2-s2.0-85205311841&amp;doi=10.1029%2f2023WR035840&amp;partnerID=40&amp;md5=b582a79e09d240f01eba64a7e821ab2a</t>
  </si>
  <si>
    <t>Saltwater intrusion (SWI) is a well-studied phenomenon that threatens the freshwater supplies of coastal communities around the world. The development and advancement of numerical models has led to improved assessment of the risk of salinization. However, these studies often fail to include the impact of surface waters as potential sources of aquifer salinity and how they may impact SWI. Based on field-collected data, we developed a regional, variable-density groundwater model using SEAWAT for east Dover, Delaware. In this location, major users of groundwater from the surficial aquifer are the City of Dover and irrigation for agriculture. Our model includes salinized marshland and tidal streams, along with irrigation and municipal pumping wells. Model scenarios were run for 100 years and included changes in pumping rates and sea-level rise (SLR). We examined how these drivers of SWI affect the extent and location of salinization in the surficial aquifer by evaluating differences in chloride concentration near surface waters and the subsurface freshwater-saltwater interface. We found the presence of the marsh inverts the typical freshwater-saltwater wedge interface and that the edge of the interface did not migrate farther inland. Additionally, we found that tidal streams are the dominant pathways of SWI at our site with salinization from streams being exacerbated by SLR. Our results also show that spatial distribution of pumping affects both the magnitude and extent of salinization, with an increase in concentrated pumping leading to more intensive salinization than a more widely distributed increase of the same total pumping volume. © 2024 The Author(s). This article has been contributed to by U.S. Government employees and their work is in the public domain in the USA.</t>
  </si>
  <si>
    <t>2-s2.0-85205311841"</t>
  </si>
  <si>
    <t>Vietnam Journal of Earth Sciences</t>
  </si>
  <si>
    <t>10.15625/2615-9783/21067</t>
  </si>
  <si>
    <t>https://www.scopus.com/inward/record.uri?eid=2-s2.0-85205118309&amp;doi=10.15625%2f2615-9783%2f21067&amp;partnerID=40&amp;md5=9af1c47926de9a6f3ca719f5c1f8a2d2</t>
  </si>
  <si>
    <t>This study evaluates the efficacy of five machine learning algorithms Support Vector Regression (SVR), Decision Tree (DT), Random Forest (RF), Light Gradient Boosting Machine Regressor (LGBM), and Linear Regression (LR) in predicting water levels in the Vietnamese Mekong Delta's tidal river system, a complex nonlinear hydrological phenomenon. Using daily maximum, minimum, and mean water level data from the Cao Lanh gauging station on the Tien River (2000-2020), models were developed to forecast water levels one, three, five, and seven days in advance. Performance was assessed using Nash-Sutcliffe Efficiency, coefficient of determination, Root Mean Square Error, and Mean Absolute Error. Results indicate that all models performed well, with SVR consistently outperforming others, followed by RF, DT, and LGBM. The study demonstrates the viability of machine learning in water level prediction using solely historical water level data, potentially enhancing flood warning systems, water resource management, and agricultural planning. These findings contribute to the growing knowledge of machine learning applications in hydrology and can inform sustainable water resource management strategies in delta regions. © 2024, Publishing House of Natural Science and Technology VAST. All rights reserved.</t>
  </si>
  <si>
    <t>2-s2.0-85205118309"</t>
  </si>
  <si>
    <t>10.1007/s11069-024-06585-2</t>
  </si>
  <si>
    <t>https://www.scopus.com/inward/record.uri?eid=2-s2.0-85190092914&amp;doi=10.1007%2fs11069-024-06585-2&amp;partnerID=40&amp;md5=8bfed53d73f86a60a73994deb691c5c4</t>
  </si>
  <si>
    <t>The Río de la Plata Estuary (RdP) is frequently affected by large storm surges that have historically caused social and economic losses. According to recent research, the number and strength of surge events have been increasing over time as a result of climate change. Although process-based models have been widely used for the storm surge prediction, their high computational demand may be a significant disadvantage in some applications, such as rapid or neartime forecasting. Artificial neural network (ANN) becomes an alternative tool to forecast the water level, taking into account meteorological and astronomical forcing as numerical models also do. In this work, an ANN model performance was evaluated to hindcast and forecast water levels in the RdP. Several combinations of lead times and inputs were assessed in order to find the best configuration. The resulting model provides 4-day forecasts for Buenos Aires and Torre Oyarvide stations (located at the upper and intermediate estuary, respectively), using observed water levels, meteorological inputs and predicted astronomical tides. Results also support the ANN model’s ability to simulate even extreme events. For instance, for a 12 h-forecast, the RMSE is about 20 cm. Finally, we conclude that the model developed here can effectively complement the empirical and numerical forecasts executed by Naval Hydrographic Service, reducing computational costs and leveraging available datasets. © The Author(s), under exclusive licence to Springer Nature B.V. 2024.</t>
  </si>
  <si>
    <t>2-s2.0-85190092914"</t>
  </si>
  <si>
    <t>10.1029/2023EF004236</t>
  </si>
  <si>
    <t>https://www.scopus.com/inward/record.uri?eid=2-s2.0-85201581444&amp;doi=10.1029%2f2023EF004236&amp;partnerID=40&amp;md5=f8790e85ff78c24e1726624b1c06e76d</t>
  </si>
  <si>
    <t>In the context of climate change, coastal flood risk is intensifying globally, particularly in China, where intricate coastlines and frequent tropical cyclones make storm surges a major concern. Despite local government's efforts to initiate coastal monitoring networks and qualitative risk guidelines, there remains a gap in detailed and efficient quantitative assessments for combinations of multiple sea-level components. To address this, we develop the Tropical Cyclone Storm Surge-based Flood Risk Assessment under Combined Scenarios (TCSoS-FRACS). This framework integrates impacts of storm surges, high tides, and sea-level rise using a hybrid of statistical and dynamic models to balance reliability and efficiency. By combining hazard, exposure, and vulnerability, it incorporates economic and demographic factors for a deeper understanding of risk composition. Applying TCSoS-FRACS to Hainan Island reveals that the combined effects of storm surges, high tides, and sea-level rise significantly amplify local coastal flood risk, increasing economic losses to 4.27–5.90 times and affected populations to 4.96–6.23 times. Additionally, transitioning from Fossil-fueled Development (SSP5-8.5) to Sustainability (SSP1-1.9) can reduce the risk increase by approximately half. The equivalence in flood hazard between current high tides and future sea level under a sustainable scenario boosts confidence in climate change adaptation efforts. However, coastal cities with low hazard but high exposure need heightened vigilance in flood defense, as future risk could escalate sharply. Our study provides new insights into coastal flood risk on Hainan Island and other regions with similar profiles, offering a transferable and efficient tool for disaster risk management and aiding in regional sustainable development. © 2024. The Author(s).</t>
  </si>
  <si>
    <t>2-s2.0-85201581444"</t>
  </si>
  <si>
    <t>Wetlands</t>
  </si>
  <si>
    <t>10.1007/s13157-024-01843-2</t>
  </si>
  <si>
    <t>https://www.scopus.com/inward/record.uri?eid=2-s2.0-85201393970&amp;doi=10.1007%2fs13157-024-01843-2&amp;partnerID=40&amp;md5=5264ce76c2adbabd0fb9134c5b89f33c</t>
  </si>
  <si>
    <t>This study was prepared to investigate the ecogeomorphological aspects of the Kızılırmak mouth and its immediate environs, which have been seriously subjected to anthropogenic pressures in recent years. Situated in the center of Turkey's most significant wetland, the Kızılırmak delta, is the research area. In this study, remote sensing methods and field observations were used together, and the collected data were interpreted with an interdisciplinary approach by experts in geomorphology, ornithology, ichthyology, botany, physical geography, and environmental engineering. The Altınkaya and Derbent dams built on the Kızılırmak river negatively affected the sediment budget of the delta. Significant part of the dried floodplains was turned into agricultural field. Later, the stream was taken into an artificial canal. The former bed parts outside the canal turned into lakes and swamps. For this reason, between 1990 and 2021, the coastline was retreated by 500 m, 75.1 ha of wetland were converted into agricultural land and 18.1 ha of new lake area was created. The biological and hydrological features of the study region changed as a result of these changes</t>
  </si>
  <si>
    <t>10.3390/rs16193569</t>
  </si>
  <si>
    <t>https://www.scopus.com/inward/record.uri?eid=2-s2.0-85206490401&amp;doi=10.3390%2frs16193569&amp;partnerID=40&amp;md5=92a853d394c3fa406b574c49815756a7</t>
  </si>
  <si>
    <t>In response to economic and environmental challenges like sea-level rise, salinity intrusion, groundwater extraction, sand mining, and sinking delta phenomena, the demand for solutions to adapt to changing conditions in riverine environments has increased significantly. High-quality analyses of land use and land cover (LULC) dynamics play a critical role in addressing these challenges. This study introduces a novel high-spatial resolution satellite-based approach to identify sub-seasonal LULC dynamics in the Mekong River Delta (MRD), employing a three-year (2021–2023) Sentinel-1 and Sentinel-2 satellite data time series. The primary obstacle is discerning detailed vegetation dynamics, particularly the seasonality of rice crops, answered through quantile mapping, harmonic regression with Fourier transform, and phenological metrics as inputs to a random forest machine learning classifier. Due to the substantial data volume, Google’s cloud computing platform Earth Engine was utilized for the analysis. Furthermore, the study evaluated the relative significance of various input features. The overall accuracy of the classification is 82.6% with a kappa statistic of 0.81, determined using comprehensive reference data collected in Vietnam. While the purely pixel-based approach has limitations, it proves to be a viable method for high-spatial resolution satellite image time series classification of the MRD. © 2024 by the authors.</t>
  </si>
  <si>
    <t>2-s2.0-85206490401"</t>
  </si>
  <si>
    <t>10.3390/urbansci8030089</t>
  </si>
  <si>
    <t>https://www.scopus.com/inward/record.uri?eid=2-s2.0-85205041998&amp;doi=10.3390%2furbansci8030089&amp;partnerID=40&amp;md5=6b97e7922354075f781b679800597f97</t>
  </si>
  <si>
    <t>The practice of stormwater management has evolved from a singular focus on drainage to a multifaceted approach to support the integrated urban development of healthy, livable, ecological, and water sensitive cities from neighborhood to metropolitan scales. A review of the knowledge base and practice by the professional stormwater management community shows attributes that favor an integrative approach to achieve co-benefits across sectors. Research into stormwater management addresses its functional areas of drainage, flood control, flood plain management, water quality control, urban ecology, recreation, and city beautification. Legacy path dependance affects the potential to reform land use practices, while stormwater management practice is affected by climate change, sea level rise, urbanization, inequality, and poor governance. This review shows a status where technical methods are well advanced but integrative frameworks to address social, ecological and infrastructure needs are more challenging. The sensitivity of ecological issues is most evident in cities in coastal zones. Organizational initiatives are needed to counter the neglect of essential maintenance and sustain flood risk reduction in cities. Stormwater management is related to other integrative tools, including IWRM, One Water, One Health, and Integrated Flood Management, as well as the broader concept of urban planning. This research review demonstrates the opportunities and needs for the advancement of an integrated approach to stormwater management to support urban development. Stormwater capture and rainfall harvesting offer major opportunities to augment scarce water supplies. Nature-based solutions like low-impact development and the sponge city concept show promise to transform cities. Major cities face challenges to sustain conveyance corridors for major flows and to store and treat combined sewer runoff. The neighborhood focus of stormwater management elevates the importance of participation and inclusion to advance environmental justice and strengthen social capital. Integrating organizational initiatives from local to city scales and funding improvements to stormwater systems are major challenges that require leadership from higher governance levels, although governments face resistance to change toward integration, especially in countries with poor land use and public works management systems. Finding solutions to neighborhood issues and the connectivity of water systems at larger scales requires complex approaches to urban planning and represent an important agenda for urban and water governance going forward. © 2024 by the author.</t>
  </si>
  <si>
    <t>2-s2.0-85205041998"</t>
  </si>
  <si>
    <t>10.3390/rs16162994</t>
  </si>
  <si>
    <t>https://www.scopus.com/inward/record.uri?eid=2-s2.0-85202450861&amp;doi=10.3390%2frs16162994&amp;partnerID=40&amp;md5=ff8cab82f48397ebee9dd44bb035b06b</t>
  </si>
  <si>
    <t>This paper investigates the impact of flood-induced hydrodynamic forces and high discharge on the masonry arch “Hannibal Bridge” (called “Ponte di Annibale” in Italy) using the Hydraulic Engineering Center’s River Analysis Simulation (HEC-RAS) v6.5.0. hydraulic numerical method, incorporating Unmanned Aerial Vehicle (UAV) photogrammetry and aerial Light Detection and Ranging (LIDAR) data for visual analysis. The research highlights the highly transient behavior of fast flood flows, particularly when carrying debris, and their effect on bridge superstructures. Utilizing a Digital Elevation Model to extract cross-sectional and elevation data, the research examined 23 profiles over 800 m of the river. The results indicate that the maximum allowable water depth in front of the bridge is 4.73 m, with a Manning’s coefficient of 0.03 and a longitudinal slope of 9 m per kilometer. Therefore, a novel method to identify the risks through HEC-RAS modeling significantly improves the conservation of masonry bridges by providing precise topographical and hydrological data for accurate simulations. Moreover, the detailed information obtained from LIDAR and UAV photogrammetry about the bridge’s materials and structures can be incorporated into the conservation models. This comprehensive approach ensures that preservation efforts are not only addressing the immediate hydrodynamic threats but are also informed by a thorough understanding of the bridge’s structural and material conditions. Understanding rating curves is essential for water management and flood forecasting, with the study confirming a Manning roughness coefficient of 0.03 as suitable for smooth open-channel flows and emphasizing the importance of geomorphological conditions in hydraulic simulation. © 2024 by the authors.</t>
  </si>
  <si>
    <t>2-s2.0-85202450861"</t>
  </si>
  <si>
    <t>10.1016/j.jhydrol.2024.131865</t>
  </si>
  <si>
    <t>https://www.scopus.com/inward/record.uri?eid=2-s2.0-85202035037&amp;doi=10.1016%2fj.jhydrol.2024.131865&amp;partnerID=40&amp;md5=4acc38f7012daa798ad42619f2ac55ee</t>
  </si>
  <si>
    <t>Urban building affects both floodwater inundation and air flow in high-density cities, influencing the pedestrian risk within urban blocks. Previous studies have identified physical characteristics of buildings as important factors influencing either floodwater spread or the wind environment. However, the correlation between the building configuration and pedestrian risk under the combined effect of floodwater and wind is not yet fully understood. This study estimates the integrated effects of building configuration and an upstream building on the pedestrian risk around ideal buildings in a joint floodwater–wind environment. Computational fluid dynamics (CFD) simulations are performed to model the inundation depth, floodwater velocity, and wind speed at pedestrian level for single- and double-building models. The pedestrian risk in terms of the toppling instability is evaluated, and a series of laboratory flume experiments on the stability/instability of a dummy representing pedestrians in a quasi-natural state are conducted to validate the CFD simulation results. The findings show that the building configuration affects the pedestrian risk to some degree</t>
  </si>
  <si>
    <t>H2Open Journal</t>
  </si>
  <si>
    <t>10.2166/h2oj.2024.024</t>
  </si>
  <si>
    <t>https://www.scopus.com/inward/record.uri?eid=2-s2.0-85203593524&amp;doi=10.2166%2fh2oj.2024.024&amp;partnerID=40&amp;md5=518ffa5758608555ef081f186d29feb8</t>
  </si>
  <si>
    <t>The Earth is currently experiencing severe economic and social consequences as a result of frequent floods. This study is crucial for effective risk management and mitigation, protecting lives and property from potential flood damage in the Deme watershed. This study endeavors to assess the efficacy of a logistic regression model in generating a flood susceptibility map for the Deme watershed in Ethiopia. Fourteen factors contributing to flooding were considered, including digital elevation model, slope, aspect, profile curvature, plane curvature, Topographic Position Index (TPI), Topographic Roughness Index (TRI), flow direction, Topographic Wetness Index (TWI), distance to the river, rainfall, land use/land cover (LULC), Normalized Difference Vegetation Index (NDVI), and soil type. The receiver operating characteristic (ROC) curve method was employed to validate the model. The area under the curve (AUC) values for the model were determined to be 81% for the training dataset and 82% for the validation dataset, indicating its effectiveness in delineating flood-prone areas. The findings revealed that 18% of the watershed is very highly susceptible to flooding, 19% exhibits high susceptibility, 18% shows moderate susceptibility, while 20 and 24% have low and very low susceptibility, respectively. This research provides insights into comprehensive flood prevention and urban development strategies. © 2024 The Authors.</t>
  </si>
  <si>
    <t>2-s2.0-85203593524"</t>
  </si>
  <si>
    <t>10.1016/j.enggeo.2024.107646</t>
  </si>
  <si>
    <t>https://www.scopus.com/inward/record.uri?eid=2-s2.0-85199280121&amp;doi=10.1016%2fj.enggeo.2024.107646&amp;partnerID=40&amp;md5=34fd1deaab82d5fdfdcb5b1bc2050f23</t>
  </si>
  <si>
    <t>Land subsidence occurs in river delta areas. A comprehensive understanding of the factors contributing to land subsidence is crucial for effective geohazard mitigation and land planning. This study investigates the distribution characteristics and spatiotemporal evolution pattern of the land subsidence in the Pearl River Delta based on the InSAR-derived ground deformation data spanning 2016 to 2021</t>
  </si>
  <si>
    <t>10.2166/wcc.2024.393</t>
  </si>
  <si>
    <t>https://www.scopus.com/inward/record.uri?eid=2-s2.0-85203133276&amp;doi=10.2166%2fwcc.2024.393&amp;partnerID=40&amp;md5=20a731a471254ce0b786060935ce84ea</t>
  </si>
  <si>
    <t>This study compares simulations from 13 CMIP5 and CMIP6 homologous models and their multi-model ensemble (MME) based on the generalized three-cornered hat method (TCH) for temperature and precipitation over the Yarlung Tsangpo-Brahmaputra River Basin (YBRB). The results showed that: (1) the MME estimations outperform the most single model, demonstrating the effectiveness of TCH in reducing model uncertainty. (2) CMIP5 and CMIP6 are more applicable for spring and autumn maximum temperatures (Tasmax), minimum temperatures (Tasmin) and precipitation in YBRB. Moreover, they showed better performance for precipitation on floodplain, for Tasmax on Tibetan Plateau, and for Tasmin in whole YBRB. (3) Relatively, CMIP5 and CMIP6 can better simulate the spatial distribution of temperature rather than precipitation (the Temporal Correlation Coefficient of Tasmax and Tasmin: 0.72 – 0.89</t>
  </si>
  <si>
    <t>10.1007/s13753-024-00573-7</t>
  </si>
  <si>
    <t>https://www.scopus.com/inward/record.uri?eid=2-s2.0-85200388204&amp;doi=10.1007%2fs13753-024-00573-7&amp;partnerID=40&amp;md5=060ec3f02cc1a0e12f7e1cb0892d88ac</t>
  </si>
  <si>
    <t>Power grids play a critical role in modern society, serving as the lifeline of a well-functioning economy. This article presents a first large-scale study on the risk estimation of tropical cyclone (TC)-induced winds and coastal floods, which can widely impact power grids in Southeast and East Asia. Our comprehensive risk model incorporates detailed infrastructure data from OpenStreetMap (OSM) and government power grid maps, along with global hazard maps and vulnerability curves. The results reveal that the estimated expected annual damages from TCs and coastal floods to OSM-mapped assets account for approximately 0.07% (0.00–0.38%) and 0.02% (0.00–0.02%) of the total GDP of the study area, respectively. We analyzed the main sources of uncertainty in the risk model and emphasized the importance of understanding asset vulnerability. These results highlight the urgent need to strengthen power infrastructure to withstand the impacts of natural hazards, and the significance of reliable risk information for improving power grid design and planning. Focusing on developing more region-specific infrastructure data and vulnerability curves will improve the accuracy of risk estimation and provide valuable insights not only for the electricity sector but also for customers of other infrastructure systems that heavily rely on a stable supply of electricity. © The Author(s) 2024.</t>
  </si>
  <si>
    <t>2-s2.0-85200388204"</t>
  </si>
  <si>
    <t>10.3390/geosciences14100262</t>
  </si>
  <si>
    <t>https://www.scopus.com/inward/record.uri?eid=2-s2.0-85207671237&amp;doi=10.3390%2fgeosciences14100262&amp;partnerID=40&amp;md5=81c1868d72f0a9977a7d0f9b1e6b6ecf</t>
  </si>
  <si>
    <t>The Storegga slide tsunami (SST) at ca. 8100 ± 100–250 cal BP is known to be the largest tsunami that affected the North Sea during the entire Holocene. Geological traces of tsunami landfall were discovered along the coasts of Norway, Scotland, England, Denmark, the Faroes and Shetland Islands. So far, the German North Sea coast has been considered as being well protected due to the wide continental shelf and predominant shallow water depths, both assumed to dissipate tsunami wave energy significantly, thus hindering SST propagation dynamics. The objective of our research was to clarify if the SST reached the German Bight and if corresponding sediment markers can be found. Our research was based on the in-depth investigation of a 5 m long section of the research core Garding-2 from Eiderstedt Peninsula near Garding in North Frisia known from a previous study. For this, we newly recovered sediment core Garding-2A at exactly the same coring location as core Garding-2. Additionally, high-resolution Direct Push sensing data were collected to gain undisturbed stratigraphic information. Multi-proxy analyses of sediment material (grain size, geochemical, geochronological and microfaunal data) were carried out to reconstruct palaeoenvironmental and palaeogeographical conditions. We identified a high-energy event layer with sedimentological (e.g., erosional unconformity, rip-up clasts, fining-upward), microfaunal (e.g., strongly mixed foraminiferal assemblage) and other features typical of tsunami influence and identical in age with the SST, dated to ca. 8.15 ka cal BP. The event layer was deposited at or maximum ca. 1–1.5 m below the local contemporary relative sea level and several tens of kilometers inland from the coastline within the palaeo-Eider estuarine system beyond the reach of storm surges. Tsunami facies and geochronological data correspond well with SST signatures identified on the nearby island of Rømø. SST candidate deposits identified at Garding represent the southernmost indications of this event in the southeastern North Sea. They give evidence, for the first time, of high-energy tsunami landfall along the German North Sea coast and tsunami impact related to the Storegga slide. SST deposits seem to have been subsequently reworked and redeposited over centuries until the site was affected by the Holocene marine transgression around 7 ka cal BP (7.3–6.5 ka cal BP). Moreover, the transgression initiated energetically and ecologically stable shallow marine conditions within an Eider-related tidal channel, lasting several millennia. It is suggested that the SST was not essentially weakened across the shallow continental shelf of the North Sea, but rather caused tsunami run-up of several meters (Rømø Island) or largely intruded estuarine systems tens of kilometers inland (North Frisia, this study). We, therefore, assume that the southern North Sea coast was generally affected by the SST but sedimentary signals have not yet been identified or have been misinterpreted. Our findings suggest that the German North Sea coast is not protected from tsunami events, as assumed so far, but that tsunamis are also a phenomenon in this region. © 2024 by the authors.</t>
  </si>
  <si>
    <t>2-s2.0-85207671237"</t>
  </si>
  <si>
    <t>10.5194/nhess-24-3279-2024</t>
  </si>
  <si>
    <t>https://www.scopus.com/inward/record.uri?eid=2-s2.0-85205307075&amp;doi=10.5194%2fnhess-24-3279-2024&amp;partnerID=40&amp;md5=b1fb611d9fce8d5dd14d6881d2c3755d</t>
  </si>
  <si>
    <t>The coastal cities of Gwadar and Pasni, situated along the Arabian Sea in the northwestern region of the Indian Ocean, are subjected to thorough investigation for inundation and vulnerability analysis. The estimation of maximum tsunami wave potential in the Arabian Sea involves evaluating paleomorphodynamic records of tsunamites found along its coastlines, with a focus on the most severe case for modeling to determine the maximum wave potential. Subsequently, based on this assessment, three distinct wave scenarios (7, 10, and 15 m) are projected onto Pasni and Gwadar and their surrounding coastal areas. The results reveal the high vulnerability of both cities to wave heights ≥7 m and wavelengths ≥15 km, with the 15 m scenario posing a near-complete disaster for both cities and adjoining towns. Furthermore, simulation results demonstrate that the coastal orientation and morphology contribute to the devastating impact of reflection, integration, and amplification phenomena in the region, with their intensity escalating with larger approaching waveforms. The reflection-amplification phenomenon notably and variably impacts inundation extents and depths. The installed tsunami early warning system's effectiveness is also evaluated based on the modeling and simulated results and the recent practices of early warning alerts issued.  © 2024 Rashid Haider et al.</t>
  </si>
  <si>
    <t>2-s2.0-85205307075"</t>
  </si>
  <si>
    <t>10.1029/2023JC020498</t>
  </si>
  <si>
    <t>https://www.scopus.com/inward/record.uri?eid=2-s2.0-85203583846&amp;doi=10.1029%2f2023JC020498&amp;partnerID=40&amp;md5=090f010b8b6c9cc02631258b01c54705</t>
  </si>
  <si>
    <t>Convergent estuaries have been shortened by dam-like structures worldwide. Here, we evaluate 31 long-term water level stations and use a semi-analytical tide model to investigate how landward-funneling and a dam influence tidal and storm surge propagation in the greater Charleston Harbor region, South Carolina, where three rivers meet: the Ashley, Cooper, and Wando. Results show that the phase speed and amplification of the principal tidal harmonic (M2) is larger than other long waves such as storm surge (∼1–4 days) and setup-setdown (∼4–10 days). Further landward, all waves attenuate, but, as they approach the dam on the Cooper River, a frequency dependent response in amplitude and phase progression occurs. A semi-analytical tidal model shows that funneling and the presence of a dam amplify tidal waves through wave interference from partial and full reflection, respectively. The different phase progressions of the reflected waves interact with the incident wave to increase or decrease the summed overall wave amplitude. Using a friction-convergence parameter space, we demonstrate that dominant tides in 23 estuaries and the tidal, storm surge, and setup-setdown waves in the Cooper River can be delineated into three regimes that describe landward amplification or attenuation associated with funneling, a dam, or both. The regime of each tidal constituent is consistent but can change with the duration and height of each storm surge event</t>
  </si>
  <si>
    <t>10.1007/s11069-024-06624-y</t>
  </si>
  <si>
    <t>https://www.scopus.com/inward/record.uri?eid=2-s2.0-85191872386&amp;doi=10.1007%2fs11069-024-06624-y&amp;partnerID=40&amp;md5=34b4ca8ae8e0be4c6d42b1959e46a9e0</t>
  </si>
  <si>
    <t>In the Casablanca-Mohammedia corridor (Morocco), flooding episodes have happened frequently over the past 20 years, damaging coastal settlements through overtopping and overflowing processes. In this context, a realistic assessment of the flood risk on this coastline is required. For this, the marine water level variations were computed by combining the involved variables (astronomical tide, storm surge, wave run-up, and sea level rise) during energetic events. They were compared with the seafront altitude to delineate the maximum spatial extent of flooded areas for the current and future (2100) time horizons. These variables were obtained through numerical and empirical modeling using topobathymetry, tide gauge, wind, and reanalysis data for wave and atmospheric pressure. Statistical methods were used to determine trends and distributions, including linear regression and the GEV model. Our approach was validated by comparing the estimated results of the total water level with the observations made in situ during previous events. Results show that flooding occurs mainly at high tides. The run-up is the largest contributor to total water level during energetic events (45–60% in structure defense areas against ~ 35% in natural areas). Currently, the floodable area for all of Casablanca-Mohammedia's coastline (109 km2) is estimated to be ~ 23.5 km2, of which ~ 13.9 km2 is urban. This area would grow by 10.87% and 20.9% by 2100, respectively. The most vulnerable zones are Mohammedia, Ain Sbâa, and Merzeg quarters, as well as Tamaris beaches. The touristic quarters of Ain Diab and the promenades on either side of the Hassan II Mosque are also vulnerable and can be dangerous for pedestrians. This study is crowned by the proposal of numerous necessary protection and adaptation measures, considering the specificities of the sections characterizing this coastline. © The Author(s), under exclusive licence to Springer Nature B.V. 2024.</t>
  </si>
  <si>
    <t>2-s2.0-85191872386"</t>
  </si>
  <si>
    <t>Environmental Processes</t>
  </si>
  <si>
    <t>10.1007/s40710-024-00721-7</t>
  </si>
  <si>
    <t>https://www.scopus.com/inward/record.uri?eid=2-s2.0-85202643794&amp;doi=10.1007%2fs40710-024-00721-7&amp;partnerID=40&amp;md5=742486686e85daef0cd2d4f7b863e543</t>
  </si>
  <si>
    <t>This study aimed to map the 2022 flood with a 16.5-year return period near a bridge on the Red River, close to Grafton City, North Dakota, and evaluate the scour potential around the bridge. The Red River Basin (RRB) near Grand Forks, ND, and Emerson, ND, is a cold region river vulnerable to floods. Local scouring around bridge piers during floods can lead to hydraulic structure failure. An Autonomous Surface Vehicle (ASV) equipped with LiDAR DEM data from the ND DWR’s LiDAR dataset was used to collect comprehensive bathymetry and discharge data, including the 2022 flood. The HEC-RAS model was used to create flood maps, and the Colorado State University (CSU) methodology was employed to assess local scour around the bridge pier. The study area recorded maximum velocities of 1.71 m/s, 1.87 m/s, and 1.56 m/s for discharge values of 368 m3/s, 784 m3/s, and 1335 m3/s, respectively, with higher velocities recorded upstream of the bridge. The maximum water depth reached 13.14 m during the peak discharge of 1335 m3/s. Higher discharge resulted in increased Froude number and contraction scour depth, with the latter continuing to increase even when the Froude number decreased as water reached the bridge deck. The study highlights the effectiveness of integrating ASVs, bathymetry, and LiDAR data to comprehensively understand flood dynamics and bridge scour in cold region rivers, offering the way for the development of effective flood control measures and strategies to safeguard critical infrastructure. © The Author(s) 2024.</t>
  </si>
  <si>
    <t>2-s2.0-85202643794"</t>
  </si>
  <si>
    <t>10.3390/rs16163105</t>
  </si>
  <si>
    <t>https://www.scopus.com/inward/record.uri?eid=2-s2.0-85202437017&amp;doi=10.3390%2frs16163105&amp;partnerID=40&amp;md5=391e962ac54b50e826d307ed1d70e822</t>
  </si>
  <si>
    <t>Watershed hydrological modeling methods are currently the predominant approach for flood forecasting. Digital elevation model (DEM) data, a critical input variable, significantly influence the accuracy of flood simulations, primarily due to their resolution. However, there is a paucity of research exploring the relationship between DEM resolution and flood simulation accuracy. This study aims to investigate this relationship by examining three watersheds of varying scales in southern Jiangxi Province, China. Utilizing the Liuxihe model, a new-generation physically based distributed hydrological model (PBDHM), we collected and collated data, including DEM, land use, soil type, and hourly flow and rainfall data from monitoring stations, covering 22 flood events over the last decade, to conduct model calibration and flood simulation. DEM data were processed into seven resolutions, ranging from 30 m to 500 m, to analyze the impact of DEM resolution on flood simulation accuracy. The results are as follows. (1) The Nash–Sutcliffe efficiency coefficients for the entire set of flood events were above 0.75, demonstrating the Liuxihe model’s strong applicability in this region. (2) The DEM resolution of the Anhe and Dutou watersheds lost an average of 7.9% and 0.8% accuracy when increasing from 30 m to 200 m, with further losses of 37.9% and 10.7% from 200 m to 300 m. Similarly, the Mazhou watershed showed an average of 8.4% accuracy loss from 30 m to 400 m and 20.4% from 400 m to 500 m. These results suggest a threshold where accuracy sharply declines as DEM resolution increases, and this threshold rises with watershed scale. (3) Parameter optimization in the Liuxihe model significantly enhanced flood simulation accuracy, effectively compensating for the reduction in accuracy caused by increased DEM resolution. (4) The optimal parameters for flood simulation varied with different DEM resolutions, with significant changes observed in riverbed slope and river roughness, which are highly sensitive to DEM resolution. (5) Changes in DEM resolution did not significantly impact surface flow production. However, the extraction of the water system and the reduction in slope were major factors contributing to the decline in flood simulation accuracy. Overall, this study elucidates that there is a threshold range of DEM resolution that balances data acquisition efficiency and computational speed while satisfying the basic requirements for flood simulation accuracy. This finding provides crucial decision-making support for selecting appropriate DEM resolutions in hydrological forecasting. © 2024 by the authors.</t>
  </si>
  <si>
    <t>2-s2.0-85202437017"</t>
  </si>
  <si>
    <t>10.3390/cli12080122</t>
  </si>
  <si>
    <t>https://www.scopus.com/inward/record.uri?eid=2-s2.0-85202533308&amp;doi=10.3390%2fcli12080122&amp;partnerID=40&amp;md5=2afae7c13c1e760669db761d8975fa0d</t>
  </si>
  <si>
    <t>Developing countries, including Small Island Developing States (SIDSs) and Least Developed Countries (LDCs), are exceptionally vulnerable to climate change due to their distinct geographical and environmental characteristics. Escalating sea levels and heightened salinity levels imperil freshwater reserves, while warmer ocean temperatures and acidification disrupt water demand, tourism, health services, and fisheries. Concurrently, these countries bear the brunt of water shortages, flooding, and declining water quality. However, significant barriers such as limited financing capacities to fund water security initiatives, exacerbated by a growing debt crisis marked by escalating interest rates and inflation, hinder developmental progress and investments in climate adaptation and mitigation endeavors. Consequently, there arises a critical necessity to harness innovative financial mechanisms to transform these debts into opportunities that support effective climate action. This paper explores the potential of debt-for-climate swaps as a catalyst for advancing transformative wastewater projects, focusing on their strategic deployment to underpin critical initiatives. Through case studies and empirical evidence, the paper elucidates how debt-for-climate swaps can enhance sustainable wastewater management systems in developing countries and delineates best practices for leveraging these mechanisms and the roles and responsibilities of key stakeholders, including governments, policymakers, the private sector, communities, and climate financial institutions. Combining theoretical insights with tangible examples, this paper furnishes a comprehensive framework for harnessing debt-for-climate swaps to enhance water security and resilience in developing countries. It offers actionable strategies for policymakers, practitioners, and stakeholders to navigate the complex terrain of climate change and engender sustainable development. © 2024 by the authors.</t>
  </si>
  <si>
    <t>2-s2.0-85202533308"</t>
  </si>
  <si>
    <t>Information (Switzerland)</t>
  </si>
  <si>
    <t>10.3390/info15080448</t>
  </si>
  <si>
    <t>https://www.scopus.com/inward/record.uri?eid=2-s2.0-85202343676&amp;doi=10.3390%2finfo15080448&amp;partnerID=40&amp;md5=a5cc6c504a6c179b72b0a631c0397a8c</t>
  </si>
  <si>
    <t>Modeling streamflow is essential for understanding flow inundation. Traditionally, this involves hydrologic and numerical models. This research introduces a framework using agent-based modeling (ABM) combined with data-driven modeling (DDM) and Artificial Intelligence (AI). An agent-driven model simulates streamflow and its interactions with river courses and surroundings, considering hydrologic phenomena related to precipitation, water level, and discharge as well as channel and basin characteristics causing increased water levels in the Medio River. A five-year dataset of hourly precipitation, water level, and discharge measurements was used to simulate streamflow. The model’s accuracy was evaluated using statistical metrics like correlation coefficient (r), coefficient of determination (R2), root mean squared error (RMSE), and percentage error in peak discharge (Qpk). The ABM’s simulated peak discharge (Qpk) was compared with the measured peak discharge across four experimental scenarios. The best simulations occurred in scenario 3, using only rainfall and streamflow data. Data management and visualization facilitated input, output, and analysis. This study’s ABM combined with DDM and AI offers a novel approach for simulating streamflow and predicting floods. Future studies could extend this framework to other river basins and incorporate advanced sensor data to enhance the accuracy and responsiveness of flood forecasting. © 2024 by the authors.</t>
  </si>
  <si>
    <t>2-s2.0-85202343676"</t>
  </si>
  <si>
    <t>10.1029/2024JF007819</t>
  </si>
  <si>
    <t>https://www.scopus.com/inward/record.uri?eid=2-s2.0-85207258846&amp;doi=10.1029%2f2024JF007819&amp;partnerID=40&amp;md5=3b57f15196ceadfc5f94835e0e37540f</t>
  </si>
  <si>
    <t>Managing and living with geohazards is especially challenging in mountain landscapes and requires an understanding of catchment-scale sediment dynamics and internal system functioning. While sediment budgeting is a valuable framework, challenges remain including partitioning sediment yield by source and grain size and addressing scale issues. This study advances our understanding of bed material dynamics in glacierized mountain catchments by applying a range of complementary techniques to measure sediment transfers in the Fitzsimmons Creek watershed. First, we measured the historical bed material yield using field surveys and historical air photo analysis, revealing an average specific sediment yield of 210 Mg km−2 yr−1, that varied by a factor of 17 over the 76-year record. Hydro-meteorological and historical analyses suggest that gravel extraction had the largest impact over the past three decades, while an extreme landslide and flood event produced the highest recorded sediment yield. Second, we constructed a detailed sediment budget along the river system using high-resolution, multi-temporal lidar and geomorphic mapping data. Sediment source partitioning indicates that landslide, active channel, and floodplain sources each contributed about one-third of the total sediment supply. Net degradation occurred along the valley bottom upstream of the fan-delta, resulting in steadily increasing downstream sediment yield. This trend is punctuated by chronic landsliding near the outlet, driven by postglacial incision through glaciogenic sediments at a hanging valley step. Contemporary glacial and proglacial sources were not measured directly but surprisingly contributed minimally. These findings provide insight into the sediment dynamics of glacierized mountain catchments and their potential controls. © 2024 The Author(s).</t>
  </si>
  <si>
    <t>2-s2.0-85207258846"</t>
  </si>
  <si>
    <t>10.1007/s10668-023-03612-3</t>
  </si>
  <si>
    <t>https://www.scopus.com/inward/record.uri?eid=2-s2.0-85165197932&amp;doi=10.1007%2fs10668-023-03612-3&amp;partnerID=40&amp;md5=bf282c85cd94c26b1b3bed6c9197f67e</t>
  </si>
  <si>
    <t>Sea level rise (SLR) due to climate change poses a serious threat to human populations in coastal areas. As a result, assessing the impacts of SLR and evaluating potential adaptations is essential. This study assesses the impacts of SLR and ocean tides on coastal Japanese prefectures by estimating the extent of potentially inundated areas, affected populations, and economic damages. The latest climate scenarios, tidal data, and shared socioeconomic pathways (SSPs) are used to estimate the SLR and its inundation effects at a resolution of 1 km. Economic damages are estimated following the methods outlined in the “Manual for economic evaluation of flood control investment (draft).” It was found that all impacts (inundated areas, affected populations, and economic damages) under RCP2.6-SSP1 are significantly smaller than those under RCP8.5-SSP5, suggesting the importance of mitigation efforts. In addition, the study evaluates the cost and effectiveness of protection and relocation adaptations using data on the cost of constructing dikes and the cost of relocating houses and infrastructure. While relocations due to SLR have not yet been undertaken in Japan, the relocation costs could be estimated based on the conventional scheme of community relocation for natural disasters such as life-threatening floods and tsunamis caused by major earthquakes. It was found that the costs of relocation can exceed those of protection under the current framework of Japanese relocation policies. © The Author(s) 2023.</t>
  </si>
  <si>
    <t>2-s2.0-85165197932"</t>
  </si>
  <si>
    <t>Journal of Urban Economics</t>
  </si>
  <si>
    <t>10.1016/j.jue.2024.103685</t>
  </si>
  <si>
    <t>https://www.scopus.com/inward/record.uri?eid=2-s2.0-85200117298&amp;doi=10.1016%2fj.jue.2024.103685&amp;partnerID=40&amp;md5=bc2fdac13e848c2d926008bac171dd50</t>
  </si>
  <si>
    <t>Construction on low elevation coastal zones is risky for both residents and taxpayers who bail them out. To investigate this construction, we analyze spatially disaggregated data covering the entire US Atlantic and Gulf coasts. We find that the 1990 housing stock reflects historical avoidance of locations prone to sea level rise (SLR) and flooding, but net new construction from 1990–2010 was similar in SLR-prone locations and safer ones</t>
  </si>
  <si>
    <t>Journal of Palaeogeography</t>
  </si>
  <si>
    <t>10.1016/j.jop.2024.08.004</t>
  </si>
  <si>
    <t>https://www.scopus.com/inward/record.uri?eid=2-s2.0-85204435059&amp;doi=10.1016%2fj.jop.2024.08.004&amp;partnerID=40&amp;md5=1fa1aaea3973e290d7d3037887a6bc99</t>
  </si>
  <si>
    <t>Sequence stratigraphic concepts and methods provide novel tools for performing stratigraphic analysis, allowing us to improve our understanding of depositional models and basin evolution. Main controls and depositional elements (e.g., surfaces, systems tracts, parasequences, etc.) recognized in conventional sequence stratigraphy are designed for marine-related systems. In contrast, the sequence stratigraphy of lacustrine successions is much more complex and poorly understood, because it is not driven by sea-level changes, but by a complex interaction between tectonics and high-frequency climatic cycles. The comprehensive analysis of the water balance of lacustrine systems allows the recognition of three types of lake conditions: Underfilled, balanced-fill and overfilled lakes. Understanding the lake conditions in ancient successions is fundamental for unraveling lacustrine sequence stratigraphy, since these conditions effectively control water salinity, internal stacking pattern and the characteristics of systems tracts. Underfilled lakes are hydrologically closed lakes, and consequently, the lake-level can highly fluctuate, driven by high-frequency wet-dry climatic cycles. During wet periods, rivers supply water and sediments, resulting in fining-and thinning-upward elementary depositional sequences (EDS's) accumulated during the transgressive systems tract (TST). In contrast, dry periods are characterized by a relative lake-level fall with the subaerial exposure of lake margin areas during the regressive systems tract (RST). Lake water salinity can fluctuate from brackish to hypersaline. Balanced-fill lakes are partially closed lakes, and consequently, they have characteristics of both underfilled and overfilled lakes. During the TST, the lake is in underfilled condition, and consequently, the introduction of water and sediment will accumulate a fining-upward interval until reaching the spill point during the maximum flooding. The RST is accumulated under an overfilled lake condition, with coarsening-upward progradational littoral deltas and related subaqueous delta deposits. Lake water salinity fluctuates from brackish to freshwater. Overfilled lakes are hydrologically open lakes. Most deposits accumulate during the RST, forming coarsening-upward progradational littoral deposits, with associated subaqueous deltas. All overfilled lakes are freshwater lakes. Subsidence is crucial for allowing the long-term preservation of lacustrine deposits. Lakes can temporarily store water and sediments in areas that lack subsidence, but these deposits will not be preserved in the stratigraphic record. Consequently, two types of lakes are recognized: 1) subsiding lakes, which have permanent accommodation space and 2) hanging lakes, having temporary accommodation space. Although they cannot permanently store sediments, hanging lakes are fundamental for lacustrine sequence stratigraphy, since they can flood subsiding lakes with the near-instantaneous release of a substantial volume of water, creating favorable conditions for the accumulation of organic-rich shales. This rapid flooding from hanging lakes induced a forced transgression (FT), which is a large-scale rapid transgression (xenoconformity) not related to the normal sediment and water supply from local source areas. © 2024 The Author(s)</t>
  </si>
  <si>
    <t>2-s2.0-85204435059"</t>
  </si>
  <si>
    <t>Quaestiones Geographicae</t>
  </si>
  <si>
    <t>10.14746/quageo-2024-0033</t>
  </si>
  <si>
    <t>https://www.scopus.com/inward/record.uri?eid=2-s2.0-85203528477&amp;doi=10.14746%2fquageo-2024-0033&amp;partnerID=40&amp;md5=2291a59a971ccffe349291158251680f</t>
  </si>
  <si>
    <t>The study investigates glacial lakes in Svalbard, examining examples from the forelands of Gåsbreen, Crammerbreen, Knivseggbreen, Neppebreen and Ragnarbreen, each representing different classifications of glacial lakes, including ice-dammed, frontal moraine-dammed and medial moraine-dammed. These lakes serve as key indicators of ongoing climate change and the effects of deglaciation processes in polar landscapes. Quantitative analyses reveal notable differences among the selected glacial lakes. For instance, Goësvatnet experienced cyclical glacial lake outburst floods (GLOFs), with a recorded volume of 666,389 m3 during one event. Conversely, the lake on the Ragnarbreen foreland, while stable, has not encountered any GLOFs, indicating a distinct response to deglaciation compared with other examples. Hydrographic and surface analyses, conducted using digital elevation models (DEMs) and remote sensing data, provide insights into the morphological characteristics and dynamics of the glacial lakes and surrounding landscapes. Longitudinal profiles of glaciers show varied terrains, with Ragnarbreen exhibiting the least variability due to its source zone on the ice cap, while Crammerbreen presents diverse features, including tectonic faults resulting in icefalls with slopes &gt;35°. By including multiple glacial lakes across different locations and classifications, this study offers a comprehensive understanding of the diverse responses of glacial lakes to deglaciation processes in Svalbard, shedding light on the complex interactions between glaciers, lakes and changing environmental conditions in the Arctic region. © 2024 Iwo Wieczorek, published by Sciendo.</t>
  </si>
  <si>
    <t>2-s2.0-85203528477"</t>
  </si>
  <si>
    <t>10.1007/s13157-024-01850-3</t>
  </si>
  <si>
    <t>https://www.scopus.com/inward/record.uri?eid=2-s2.0-85203547416&amp;doi=10.1007%2fs13157-024-01850-3&amp;partnerID=40&amp;md5=a9812af469c1a197558bec6ca7a7c1e2</t>
  </si>
  <si>
    <t>The Prairie Pothole Region (PPR) has an extremely variable climate and has pronounced impacts on wetlands as they are highly responsive to the variability in air temperature and precipitation. In recent years, the PPR has been in a novel wet climate continuum since 1993, facilitating severe flooding in the Devils Lake Basin (DLB), North Dakota– costing the US ~$1B USD. Many studies using remotely sensed imagery reported a substantial increase in the number of surface water bodies and expansion of the existing water bodies during 1988–2013 period. In addition to surface water area, the water storage of the potholes also substantially increased. However, very few studies quantify the surface water storage and its dynamics to the recent increase in precipitation using remotely sensed data in the PPR. In this study, we utilize high resolution LiDAR DEM and monthly global surface water data (GSWD) to estimate filled storage of each pothole in the Starkweather Coulee Basin (SCB, 700 km2)– a headwater basin draining to a terminal lake (Devils Lake). Our findings suggest that the SCB storage gradually filling up during two wet periods: 1990–1998 and 2009–2013, resulting in massive streamflow and subsequent flooding. The SBC fractional storage also exhibits a strong positive and exponential relationship with peak streamflow and annual streamflow volume indicating strong influence of wetland storage and fill-spill hydrology on the streamflow generation. The exponential relationships also point toward a threshold SCB fractional storage for generating extreme streamflow generation. © The Author(s), under exclusive licence to Society of Wetland Scientists 2024.</t>
  </si>
  <si>
    <t>2-s2.0-85203547416"</t>
  </si>
  <si>
    <t>10.1007/s11069-024-06670-6</t>
  </si>
  <si>
    <t>https://www.scopus.com/inward/record.uri?eid=2-s2.0-85195517649&amp;doi=10.1007%2fs11069-024-06670-6&amp;partnerID=40&amp;md5=817c6910594b9e8047c0c4ff35f142e1</t>
  </si>
  <si>
    <t>Natural hazards, such as flood, landslide, and erosion, are the reality of human life. spatial prediction of these hazards and their effectiveness factors are extremely important. The main goal of this study was to prepare multi-hazard probability mapping (flood, landslide, and gully erosion) of the Gorganrood Watershed. In addition, different machine learning models such as Random Forest (RF), Support Vector Machine (SVM), Boosted Regression Tree (BRT), and Multivariate Adaptive Regression Spilines (MARS) were applied. First, a flood, landslide, and gully erosion inventory map was produced using GPS in the field surveys and Google Earth. Factors affecting the hazards were identified, and GIS maps were prepared. The MARS model (AUC = 99.1%) provided the highest predictive performance for flood, landslide, and gully erosion hazards. However, for flood and landslide, the RF model exposed excellent and good performance, respectively. According to the variable importance analysis, drainage density (89.4%), digital elevation model (30.5%), and rainfall (41.7%) were consistently highly ranked variables for flood, landslide, and gully erosion, respectively. Multi-hazard maps can be a valuable tool for the conservation of natural resources and the environment, as well as for sustainable land use planning in multi-hazard-prone areas. © The Author(s), under exclusive licence to Springer Nature B.V. 2024.</t>
  </si>
  <si>
    <t>2-s2.0-85195517649"</t>
  </si>
  <si>
    <t>10.1002/esp.5915</t>
  </si>
  <si>
    <t>https://www.scopus.com/inward/record.uri?eid=2-s2.0-85198960090&amp;doi=10.1002%2fesp.5915&amp;partnerID=40&amp;md5=c9795b17c6f283e0994517afa68f5b5b</t>
  </si>
  <si>
    <t>In carbonate coastlines, karst studies have traditionally focused on reconstructing Quaternary coastal uplift and sea level oscillations. However, their potential for investigating coastal subsidence remains unexplored in regions with limited sedimentary records and scientific monitoring. In line with this, our study delved into the utility of karst research for deciphering the Quaternary evolution of the Granada coast in southern Spain—a shoreline marked by a conspicuous scarcity of records and information regarding recent tectonic movements. The current labelling data and the absence of evidence for uplift led to the hypothesis that the Granada coast may be susceptible to subsidence, though this conjecture remained unconfirmed. While submerged marine terraces were clearly identified, they were previously interpreted as consequences of sea-level oscillations. Our multidisciplinary approach integrated karst vadose features, biostratigraphy, and the dating of 22 speleothems to address the potential uplifting or subsiding dynamics of the Granada coast. The findings indicated that the Granada coast experienced emersion between 3.5/2.4 Ma and 650 ka ago. Notably, this uplift predated similar occurrences in neighbouring coastal regions to the W and E, which occurred within the last 200–180 ka. These disparities in timing cannot be solely attributed to sea-level fluctuations, suggesting the involvement of the tectonic activity during the Quaternary. The tectonic likely led to the emergence of the Granada coast and its karstification, followed by subsidence. Furthermore, we identified the extensional faults that caused the coastal subsidence, previously documented in studies conducted in nearby regions. However, until now, their specific impact on the Granada coast had not been comprehensively stated. In summary, our research introduces a novel application of classical karst investigations in the understanding coastal subsidence and the extensional active tectonic. By comparing vadose cave ages with established chronologies in adjacent coastal areas, this approach sheds light on the complex tectonic evolution of coastal regions. © 2024 The Author(s). Earth Surface Processes and Landforms published by John Wiley &amp; Sons Ltd.</t>
  </si>
  <si>
    <t>2-s2.0-85198960090"</t>
  </si>
  <si>
    <t>10.1016/j.jhydrol.2024.131769</t>
  </si>
  <si>
    <t>https://www.scopus.com/inward/record.uri?eid=2-s2.0-85200566332&amp;doi=10.1016%2fj.jhydrol.2024.131769&amp;partnerID=40&amp;md5=7a452c3730cd3bcde3c3b1d408b993aa</t>
  </si>
  <si>
    <t>It has been increasingly understood that pluvial flooding poses a substantial risk to numerous communities across the globe. This is especially relevant for the Canadian province of Prince Edward Island (PEI), which is susceptible to a compound flood consisting of both inland and coastal flooding. Despite various studies, a comprehensive pluvial flood model still lacks that addresses the complex interplay of compound floods. Therefore, this research aims to bridge the gap in flood mitigation by developing a pluvial flood model for PEI's coastal communities. The Intensity-Duration-Frequency (IDF) curves under current and future climatic conditions were used to portray rainfall intensity over the study area corresponding to 10-year, 25-year, 50-year, and 100-year return periods. In addition, a hydraulic model (HEC-RAS 2D) was used to drive pluvial flood maps based on two configurations, including detailed flood maps for major municipalities and an island-wide level. The validated results showed consistency in model simulation when compared to observations. The high-resolution flood maps produced by this study can support the development of flood mitigation and adaptation strategies in PEI and other parts of the world. © 2024</t>
  </si>
  <si>
    <t>2-s2.0-85200566332"</t>
  </si>
  <si>
    <t>10.1007/s13753-024-00579-1</t>
  </si>
  <si>
    <t>https://www.scopus.com/inward/record.uri?eid=2-s2.0-85201818804&amp;doi=10.1007%2fs13753-024-00579-1&amp;partnerID=40&amp;md5=b650ad163d5cfd0a07af4bd8090f50a6</t>
  </si>
  <si>
    <t>Global warming and climate change significantly increase the frequency of coastal floods caused by sea level rise (SLR) as a permanent factor and hydrometeorological hazards as tentative factors. The combined risks will affect coastal communities. South Korea is gradually facing SLR risks, mainly in its southern coastal regions</t>
  </si>
  <si>
    <t>10.3390/rs16193688</t>
  </si>
  <si>
    <t>https://www.scopus.com/inward/record.uri?eid=2-s2.0-85206456633&amp;doi=10.3390%2frs16193688&amp;partnerID=40&amp;md5=cbd734cc76a75d112bbec21523449f37</t>
  </si>
  <si>
    <t>Coastal risk assessment is crucial for coastal management and decision making, especially in areas already experiencing the negative impacts of climate change. This study aims to investigate the coastal vulnerability due to climate change and human activities in an area west of the Limassol district’s coastline, in Cyprus, on which there have been limited studies. Furthermore, an analysis is conducted utilising the Coastal Vulnerability Index (CVI) by exploiting eight key parameters: land cover, coastal slope, shoreline erosion rates, tidal range, significant wave height, coastal elevation, sea-level rise, and coastal geomorphology. These parameters were assessed utilising remote sensing (RS) data and Geographical Information Systems (GISs) along a 36.1 km stretch of coastline. The results exhibited varying risk levels of coastal vulnerability, mainly highlighting a coastal area where the Kouris River estuary is highly vulnerable. The study underscores the need for targeted coastal management strategies to address the risks associated with coastal erosion. Additionally, the CVI developed in this study can be exploited as a tool for decision makers, empowering them to prioritise areas for intervention and bolster the resilience of coastal areas in the face of environmental changes. © 2024 by the authors.</t>
  </si>
  <si>
    <t>2-s2.0-85206456633"</t>
  </si>
  <si>
    <t>10.2166/wcc.2024.035</t>
  </si>
  <si>
    <t>https://www.scopus.com/inward/record.uri?eid=2-s2.0-85203181773&amp;doi=10.2166%2fwcc.2024.035&amp;partnerID=40&amp;md5=79250e406497074c9c92cc26f56fb93e</t>
  </si>
  <si>
    <t>The objective of this study was the development of a new machine learning model using a radial basis function neural network (RBFNN) to build flood susceptibility maps and damage assessment for the Phu Yen province of Vietnam. The built model will be optimized by five algorithms, namely Giant Trevally Optimization (GTO), Golden Jackal Optimization (GJO), Brown-Bear Optimization (BBO), Gray Wolf Optimizer (GWO), and Whale Optimization Algorithm (WOA) to find out the best model to establish the flood susceptibility map. These models were evaluated using the statistical indices such as root mean square error (RMSE), mean absolute error (MAE), receiver operating characteristic (ROC), area under the curve (AUC), and coefficient of determination (COD). The result showed that all five optimization algorithms were successfully improving the performance of the RBFNN model, among them the hybrid model RBFNN–BBO has the highest performance with AUC = 0.998 and R2 = 0.8 and the RBFNN–GTO model has the lowest performance with AUC = 0.755 and R2 = 0.65. The regions identified with a high-and very-high flood susceptibility area (1,075 km2) were concentrated on the plain and along three of the largest rivers in Phu Yen province. © 2024 The Authors.</t>
  </si>
  <si>
    <t>2-s2.0-85203181773"</t>
  </si>
  <si>
    <t>10.1007/s12583-022-1786-y</t>
  </si>
  <si>
    <t>https://www.scopus.com/inward/record.uri?eid=2-s2.0-85207237477&amp;doi=10.1007%2fs12583-022-1786-y&amp;partnerID=40&amp;md5=a11a127328d54f5a14a51c5d4c9c6aa0</t>
  </si>
  <si>
    <t>A sedimentological investigation was carried out to reconstruct the paleogeography of the Zagros Foreland Basin. Based on the study of more than 1 000 rock samples, nine carbonate microfacies and three terrigenous facies were identified. The study reveals that the Maastrichtian succession was deposited in a widespread homoclinal ramp in the High Zagros Basin. Three (Gandom Kar area), two (Ardal area), seven (Gardbishe area), five (Shirmard area), two (Kuh-e-Kamaneh area), three (Kuh-e-Balghar area), and six (Murak area) of depositional sequences (3rd order) were identified. The thickness of the lowstand systems tract (LST) due to activities of local faults and subsidence in the southeast is more than in the central and northwest of the High Zagros Basin during the Early and Early Middle Maastrichtian. During the Middle Maastrichtian, the shallow and deep marine deposits were formed during the transgressive systems tract (TST) and highstand systems tract (HST) in this basin and the rate of subsidence in the center of this basin (Gardbishe area) is higher than in other areas and the platform was drowned in this area. The falling relative sea-level due to activities of local faults led to that marine deposits were absent in all parts of the High Zagros Basin (except the south part) during the Late Maastrichtian. Paleogeographical studies on the Zagros Basin during the Late Campanian–Maastrichtian showed the following results: shallow marine environments were developed in the south-east of this basin, and the turbidite, delta, and fluvial environments in the northwest were developed more than in other areas. © China University of Geosciences (Wuhan) and Springer-Verlag GmbH Germany, Part of Springer Nature 2024.</t>
  </si>
  <si>
    <t>2-s2.0-85207237477"</t>
  </si>
  <si>
    <t>10.2166/wcc.2024.731</t>
  </si>
  <si>
    <t>https://www.scopus.com/inward/record.uri?eid=2-s2.0-85203309000&amp;doi=10.2166%2fwcc.2024.731&amp;partnerID=40&amp;md5=70372d5ecb2feb68f2a7305c823022f1</t>
  </si>
  <si>
    <t>As climate change continues to worsen, coastal areas are increasingly vulnerable to more frequent and severe storm surges. This poses a significant risk to economic entities, particularly in areas that have undergone rapid development. However, quantitative assessment of economic losses from storm surge disasters in China has been challenging due to limited exposure and vulnerability data. This study proposes a framework for comprehensive economic losses assessment of storm surge disasters using open data, focusing on Zhoushan City as an example. The study quantifies economic loss ratios caused by storm surges by identifying essential urban land use/cover (EULUC) and considering the water depth of different EULUC types for quantitative vulnerability assessment. The study then calculates direct economic losses using the loss ratio maps and gridded gross domestic product data and quantifies indirect economic losses (IEL) using an input–output model to account for inter-industry correlation. Results show that under the scenario of a super typhoon intensity (915 hPa), the total economic loss can reach 131 million CNY, with IEL accounting for 60% of the total. The construction and industrial sectors experience higher IEL due to excessive dependence on upstream and downstream industries, with IEL accounting for approximately 70%. © 2024, J. Water Clim. Change. All rigths reserved.</t>
  </si>
  <si>
    <t>2-s2.0-85203309000"</t>
  </si>
  <si>
    <t>10.1029/2024EF004886</t>
  </si>
  <si>
    <t>https://www.scopus.com/inward/record.uri?eid=2-s2.0-85199994516&amp;doi=10.1029%2f2024EF004886&amp;partnerID=40&amp;md5=bfb0aa658a37d6f34211ade7c169dfd3</t>
  </si>
  <si>
    <t>Future sea level rise and changes in extreme weather will increase the frequency of flooding and intensify the risks for the millions of people living in low-lying coastal areas. Concerns about coastal adaptation have been broadened due to societal awareness of the threat from rising seas, leading to a large set of potential adaptation users with diverse needs for adequate sea level projections in coastal areas beyond the current state of the art regional projections. In this paper, we provide an overview of the potential steps for improvement of regional sea level projections along the global coastline, with specific focus on the contribution from ocean dynamics to seasonal-decadal variability of coastal sea level, and its implications for changes in frequency and magnitude of extreme sea levels. We discuss the key gaps in our knowledge and predictive capability of these dynamics as they relate to sea level variability on seasonal to decadal timescales, and conclude by suggesting ways in which these knowledge gaps could be addressed. © 2024 National Oceanography Centre. Earth's Future published by Wiley Periodicals LLC on behalf of American Geophysical Union.</t>
  </si>
  <si>
    <t>2-s2.0-85199994516"</t>
  </si>
  <si>
    <t>10.1016/j.ocemod.2024.102406</t>
  </si>
  <si>
    <t>https://www.scopus.com/inward/record.uri?eid=2-s2.0-85199723671&amp;doi=10.1016%2fj.ocemod.2024.102406&amp;partnerID=40&amp;md5=24132d84fb5b3d1de500157c68bec2f8</t>
  </si>
  <si>
    <t>Knowledge about statistics for water level variations along the coast due to storm surge is important for the utilization of the coastal zone. An open and freely available storm surge hindcast archive covering the coast of Norway and adjacent sea areas spanning the time period 1979–2022 is presented. The storm surge model is forced by wind stress and mean sea level pressure taken from the non-hydrostatic NORA3 atmospheric hindcast. A dataset consisting of observations of water level from more than 90 water level gauges along the coasts of the North Sea and the Norwegian Sea is compiled and quality controlled, and used to assess the performance of the hindcast. The observational dataset is distributed in both time and space, and when considering all the available quality controlled data, the comparison with modeled water levels yield a mean absolute error (MAE) of 9.7 cm and a root mean square error (RMSE) of 12.4 cm. Values for MAE and RMSE scaled by the standard deviation of the observed storm surge for each station are 0.42 and 0.54 standard deviations, respectively. When considering the geographical differences in characteristics of storm surge for different countries/regions, the values of MAE and RMSE are in the range 5.7–13.9 cm and 7.6–17.8 cm respectively, and 0.33–0.46 and 0.42–0.59 standard deviations for the scaled values. The minimum and maximum values for water level in the hindcast are −2.60 m and 3.92 m. In addition, 100-year return level estimates are calculated from the hindcast, with minimum and maximum values of, respectively, −2.75 m and 3.98 m. All minimum and maximum values are found in the southern North Sea area. © 2024 The Authors</t>
  </si>
  <si>
    <t>2-s2.0-85199723671"</t>
  </si>
  <si>
    <t>10.1016/j.geomorph.2024.109302</t>
  </si>
  <si>
    <t>https://www.scopus.com/inward/record.uri?eid=2-s2.0-85196180422&amp;doi=10.1016%2fj.geomorph.2024.109302&amp;partnerID=40&amp;md5=4bf72644c1fa7397a5bfa1c78647b301</t>
  </si>
  <si>
    <t>Coastal barriers are a natural defence against the marine submersion of low-lying back-barrier areas. In March 2018, a breach opened up in the proximal section of the Sillon de Talbert spit barrier (North Brittany, France), causing great concern among local residents and elected representatives. A study to assess the risk of submersion of the low-lying areas of the Laneros Peninsula, located behind the barrier, was carried out in 2020. Hydrodynamic conditions (waves, currents, and water levels) were modeled using Telemac-2D coupled with the phase-averaged wave model TOMAWAC. Simulations were compiled for the storm of February 1, 2014, corresponding to the most morphogenic event to occur in the last two decades. Five topomorphological configurations were considered for the numerical simulations: configurations #1 and #2 correspond to the ante-breach and post-breach morphological settings, while configurations #3, #4, and #5 correspond to hypothetical scenarios, from the enlargement of the breach (from 300 to 500 m width), to complete crest lowering of the barrier after a complete removing of the crest due to catastrophic overwash events. The results show that the breach accelerates the draining of the back-barrier sandflat, thereby reducing the height of extreme water levels at the coastline. This is mainly due to different tidal impacts on either side of the barrier, with a higher water level and the tidal peak occurring 15 min later and the on the back-barrier than on the ocean-side zone. As a result, ebb currents begin to flow before the high tide level is reached, inducing a significant draining with a lowering of the extreme water level at the back-barrier zone. However, these simulations do not take into account the effects of climate change over the coming years, in particular the future rise in sea level and/or the acceleration of erosion processes already underway. © 2024 Elsevier B.V.</t>
  </si>
  <si>
    <t>2-s2.0-85196180422"</t>
  </si>
  <si>
    <t>Solid Earth Sciences</t>
  </si>
  <si>
    <t>10.1016/j.sesci.2024.100200</t>
  </si>
  <si>
    <t>https://www.scopus.com/inward/record.uri?eid=2-s2.0-85203067869&amp;doi=10.1016%2fj.sesci.2024.100200&amp;partnerID=40&amp;md5=b42a594e397b94e552ec636fe1c61d34</t>
  </si>
  <si>
    <t>Groundwater, a primary freshwater source for potable and agricultural uses, is increasingly threatened in southern coastal areas of Bangladesh because of rapid urbanization, industrialization, and climate change. Bagerhat, one of the coastal districts, faces not only frequent tropical cyclones, inundation of low-lying areas, and saline water intrusion but also rapid urbanization, population growth, and pollution from prawn culture and seafood processing industries. The study aims to assess the hydrogeochemistry and the suitability of groundwater based on its significance for potable and irrigation purposes in Bagerhat District. This research includes an integrated approach of hydrogeochemical, geospatial, and multivariate statistical methods to investigate the hydrogeochemical processes and groundwater quality using ninety groundwater samples from existing deep tube wells (around 350 m depth). The hydrogeochemical analysis determined the concentrations of major cations and anions were Na+&gt;Mg2+&gt; Ca2+&gt; K+ and Cl− &gt; HCO3- &gt; SO42− &gt; NO3-, correspondingly. Electrical Conductivity (EC) values ranged from 16,260 μS/cm in the southern Mongla Upazila to a minimum of 560 μS/cm in Chitalmari Upazila. The evaporation–crystallization processes were found to be the primary mechanism influencing groundwater chemistry in the study area. Multivariate statistics, including Pearson correlation matrix, principal component analysis (PCA), and cluster analysis, indicated that geogenic processes govern groundwater chemistry. The spatial distribution of the water quality index (WQI) map demonstrated that only 15% of groundwater samples are suitable for drinking in the central and eastern parts, while 85% are unsuitable in the study area. Furthermore, evaluation of irrigation water quality parameters, such as sodium percentage (Na%), sodium adsorption ratio (SAR), Kelly ratio (KR), permeability index (PI), magnesium hazard (MH), and salinity hazard, indicated that most wells are unsuitable for irrigation. The results provide insights into aquifer hydrogeochemistry, groundwater quality status, vulnerable areas of pollution, and sustainable, safe water options for groundwater management in the Bagerhat district. © 2024 Guangzhou Institute of Geochemistry, CAS</t>
  </si>
  <si>
    <t>2-s2.0-85203067869"</t>
  </si>
  <si>
    <t>10.1016/j.jsames.2024.105004</t>
  </si>
  <si>
    <t>https://www.scopus.com/inward/record.uri?eid=2-s2.0-85197554024&amp;doi=10.1016%2fj.jsames.2024.105004&amp;partnerID=40&amp;md5=fcec18957440c42fd43937952e47bb49</t>
  </si>
  <si>
    <t>The Late Paleozoic successions exposed along the western flank of the Precordillera at the latitude of Barreal in western Argentina are characterized by mid-Carboniferous glacial marine and glacially-influenced sediments (San Eduardo Group sensu Mésigos, 1953), followed by shallow marine, sand-rich deposits (Barreal Group).The El Paso Formation, exposed in the homonymous brachyanticline, is here subdivided into six facies associations (FAs), in ascending stratigraphic order: Boulder Conglomerate Complex FA, Sandstone Complex FA, Mudstones with Gastropods FA, Diamictite Complex FA, and Mudstones and Fine Sandstones FA. This analysis focuses on climatically sensitive facies related to the late Paleozoic Ice Age (LPIA), evidence of which is recorded in the adjacent Hoyada Verde Formation. The Boulder Conglomerate Complex FA includes boulders with striations on polished surfaces, indicative of glacially derived material. It grades up to sandstones with tangential cross-bedding and wave ripples, indicative of deposition as delta-scale sand-prone subaqueous clinoforms along a slope. The Diamictite Complex FA includes ice-rafted detritus (IRD) in two of its facies (dropstone mudstones and thin-bedded diamictites). The postglacial flooding, identified in various basins of western Argentina, is also present in the uppermost interval of the El Paso Formation (Mudstones and Fine Sandstones FA). It includes mudstones and rippled sandstones with abundant invertebrate fauna mainly brachiopods, bivalves, and gastropods, accompanied by conulariids, nautiloids, ostracods and corals, associated with palynomorphs. This study demonstrates through several lines of evidence that the upper interval of the El Paso and the Hoyada Verde Formations are time equivalent and represent key localities for the mid-Carboniferous (Serpukhovian-Early Bashkirian) event of the LPIA in the Calingasta Uspallata basin. Furthermore, unlike in the Hoyada Verde Formation, where the Carboniferous/pre-Carboniferous (“Pre-Tillítico”) unconformity contact is concealed, the El Paso basal coarse fill rests on basement. The lower interval of the El Paso Formation exhibits similar facies characteristics and fining-upwards stacking pattern to the lower interval of the Majaditas Formation exposed further south. © 2024 Elsevier Ltd</t>
  </si>
  <si>
    <t>2-s2.0-85197554024"</t>
  </si>
  <si>
    <t>10.1007/s11069-024-06612-2</t>
  </si>
  <si>
    <t>https://www.scopus.com/inward/record.uri?eid=2-s2.0-85191068120&amp;doi=10.1007%2fs11069-024-06612-2&amp;partnerID=40&amp;md5=34096430fb2c99a3a970fce5929d0895</t>
  </si>
  <si>
    <t>This paper aims to emphasize the importance of simulating river hydrodynamics for all the stages of river mouth deviations, since their potential influence on the flood hazard assessment. The case study of the Pescara River mouth deviation in the Abruzzo Region, Italy, has been considered. Only the realized steps of the project have been analyzed, for which the sea level at the mouth has turned out to not remarkably change for the considered layouts. Consequently, flooded areas and flow velocity do not significantly vary between the analyzed configurations. The adopted modeling chain has proved to be a suitable tool to support engineers, contractors, and controlling authorities in the different project phases. © The Author(s) 2024.</t>
  </si>
  <si>
    <t>2-s2.0-85191068120"</t>
  </si>
  <si>
    <t>10.1007/s10661-024-12901-x</t>
  </si>
  <si>
    <t>https://www.scopus.com/inward/record.uri?eid=2-s2.0-85199355468&amp;doi=10.1007%2fs10661-024-12901-x&amp;partnerID=40&amp;md5=3acec0b8b907252f7345316fe2751cb9</t>
  </si>
  <si>
    <t>Spanning across Bangladesh and India, the Sundarban Delta consists of over a thousand islands, the majority of which are protected. These islands are important for the rich biodiversity and unique species found here. However, these islands are also at the forefront of climate change due to the impact of rising sea levels and extreme weather events. Therefore, we analyzed the long-term transformations in the land use land cover (LULC) between 1999 and 2020. We used a variety of geostatistical methods, including optimized hot spots cold spots and join count statistics, to examine the spatial patterns of changes in LULC across the study area. The results of our analysis revealed substantial changes in the spatial patterns of mangroves and pond aquaculture. The changes revealed a distinct north–south demarcation in spatial patterns, in the form of clustering of mangroves in the uninhabited islands located in the south and pond aquaculture clustered in the northern inhabited islands. The loss of area under mangroves was concentrated in the southern edges of the islands, which were most exposed to erosion in the open ocean. Nevertheless, we observed an increase in the area under mangroves in some of the northern riverine islands (17 km2). In the case of pond aquaculture, it was mostly concentrated in inhabited islands in the north. Most of the expansions were concentrated in the Indian part of the delta (631 km2). It is noteworthy that because of effective conservation measures, there was very limited overlap between mangroves and pond aquaculture, denoting the conversion of agricultural land to pond aquaculture instead of mangroves. Thus, the results of our study revealed the importance of local level conservation policies and anthropogenic activities, such as deforestation and local level disturbance like over-extraction of water and pollution, on the changing patterns of LULC across this unique, fragile ecosystem. Future studies may incorporate a finer resolution time series of LULC changes over time and space to enable more detailed analysis. © The Author(s) 2024.</t>
  </si>
  <si>
    <t>2-s2.0-85199355468"</t>
  </si>
  <si>
    <t>10.1007/s11069-023-06150-3</t>
  </si>
  <si>
    <t>https://www.scopus.com/inward/record.uri?eid=2-s2.0-85169902331&amp;doi=10.1007%2fs11069-023-06150-3&amp;partnerID=40&amp;md5=991974a73b002b076285ad6453f76a3c</t>
  </si>
  <si>
    <t>The increase in natural disaster frequency, intensified by climate change, poses one of the greatest threats to coastal systems and low-lying areas worldwide. It is estimated that the Global Mean Sea Level (GMSL) could rise by approximately 2 m in the twenty-first century, alongside intensifying cyclonic events. Consequently, in Brazil, coastal natural disasters are likely to become more frequent and intense, especially in the southern region. Thus, this study aims to identify, map and discuss coastal natural disasters in municipalities exposed to the open ocean belonging to the coastal zone of Santa Catarina (SC), Brazil, between 1998 and 2020. A review and dating of coastal natural disasters were conducted using four official databases: The Civil Defense of Santa Catarina website, Integrated Disaster Information System (S2ID), Santa Catarina Atlas of Natural Disasters, and the Brazilian Atlas of Natural Disasters. The data were organized into spreadsheets and mapped using QGIS 3.16.0 software. The results and main conclusions indicate: (1) More coastal disasters occurred in the north, central-north, and central sectors of SC between 1998 and 2020</t>
  </si>
  <si>
    <t>10.1007/s10661-024-12942-2</t>
  </si>
  <si>
    <t>https://www.scopus.com/inward/record.uri?eid=2-s2.0-85201521764&amp;doi=10.1007%2fs10661-024-12942-2&amp;partnerID=40&amp;md5=2e2901699f4eb0a7cef5af7c16cc8ee8</t>
  </si>
  <si>
    <t>Nowadays, within the built environment, railway infrastructures play a key role to sustain national policies oriented toward promoting sustainable mobility. For this reason, national institutions and infrastructure managers need to increase their awareness in relation to the current and future climate risks on their representative systems. Among climate change impacts, preventing the effects of sea-level rise (SLR) on coastal railway infrastructures is a priority. The first step in the climate change adaptation policy cycle is the development of an ad hoc climate risk assessment. In this view, this research develops a vulnerability and a risk assessment metric to identify the hotspots within a national coastal railway due to the SLR impacts. The proposed methodology required different steps to quantify the SLR projections and the vulnerability characteristics of the assets, in terms of sensitivity and adaptive capacity. The investigated case study is the coastal railway infrastructure in Italy, thanks to an initial approach of co-design participative processes with the national Infrastructure Manager: Rete Ferroviaria Italiana (RFI). The results of this application, although not included in the paper due to confidential reasons imposed by the infrastructure manager — led to a clear identification of the areas and the coastal railway sections which are exposed to high levels of risks and of the places which require priority actions for urgent adaptation in a view of climate proof infrastructures. © The Author(s) 2024.</t>
  </si>
  <si>
    <t>2-s2.0-85201521764"</t>
  </si>
  <si>
    <t>Atmospheric Measurement Techniques</t>
  </si>
  <si>
    <t>10.5194/amt-17-5243-2024</t>
  </si>
  <si>
    <t>https://www.scopus.com/inward/record.uri?eid=2-s2.0-85203492187&amp;doi=10.5194%2famt-17-5243-2024&amp;partnerID=40&amp;md5=1b2b1e99fc3f00979c43882d4e052a5a</t>
  </si>
  <si>
    <t>Satellite-based observations of free-tropospheric water vapour isotopologue ratios (HDO/ H2O, expressed in form of the δ value δD) with good global and temporal coverage have become available recently. We investigate the potential of these observations for constraining the uncertainties of the atmospheric analyses fields of specific humidity (q), temperature (T), and δD and of variables that capture important properties of the atmospheric water cycle, namely the vertical velocity (ω), the latent heating rate (Q2), and the precipitation rate (Prcp). Our focus is on the impact of the δD observations relative to the impact achieved by the observation of q and T, which are much more easily observed by satellites and are routinely in use for atmospheric analyses. For our investigations we use an Observing System Simulation Experiment</t>
  </si>
  <si>
    <t>10.1007/s11227-024-06188-5</t>
  </si>
  <si>
    <t>https://www.scopus.com/inward/record.uri?eid=2-s2.0-85197432055&amp;doi=10.1007%2fs11227-024-06188-5&amp;partnerID=40&amp;md5=b6d6dbf628d46ea17b2b3b72502e71d5</t>
  </si>
  <si>
    <t>The request for quickly available forecasts of intense weather and marine events impacting coastal areas is gradually increasing. High-performance computing (HPC) and artificial intelligence techniques are crucial in this application. Risk mitigation and coastal management must design scientific workflow appropriately and maintain them continuously updated and operational. Climate change accelerating increase trend of the past decades impacted on sea-level rise, together with broader factors such as geostatic effects and subsidence, reducing the effectiveness of coastal defenses. Due to this, the support tools, such as Early Warning Systems, have become increasingly more valuable because they can process data promptly and provide valuable indications for mitigation proposals. We developed the Shoreline Alert Model (SAM), an operational Python tool that produces simulation scenarios, ‘what-if’ assumptions, and coastal flooding forecasts to fill this gap in our study area. SAM aims to provide decision-makers, scientists, and engineers with new tools to help forecast significant weather-marine events and support related management or emergency responses. SAM aims to fill the gap between the wind-driven wave models, which produce simulations and forecasts of waves of significant height, period, and direction in deep or mid-water, and the run-up local models, which exstimulate marine ingression in the event of intense weather phenomena. It employs a parallelization scheme that allows users to run it on heterogeneous parallel architectures. It produced results approximately 24 times faster than the baseline when using shared memory with distributed memory, processing roughly 20,000 coastal cross-shore profiles along the coastline of the Campania region (Italy). Increasing the performance of this model and, at the same time, honoring the need for relatively modest HPC resources will enable the local manager and policymakers to enforce fast and effective responses to intense weather phenomena. © The Author(s) 2024.</t>
  </si>
  <si>
    <t>2-s2.0-85197432055"</t>
  </si>
  <si>
    <t>10.1016/j.cities.2024.105162</t>
  </si>
  <si>
    <t>https://www.scopus.com/inward/record.uri?eid=2-s2.0-85196977767&amp;doi=10.1016%2fj.cities.2024.105162&amp;partnerID=40&amp;md5=40a08d79b948f83672ed7f5044ac4775</t>
  </si>
  <si>
    <t>This paper explores the hydrological history of the Hunter River and Estuary (Newcastle, Australia), to identify pathways for incorporating climate-sensitive adaptation approaches into urban development and planning. The research method utilises mapping as a methodological discovery tools to visually articulate the correlation of pre-colonial hydrological landscapes, the transformation of the estuary over two centuries, the areas identified as at risk, and the opportunities for developing a climate-resilient estuary. This research aims to contribute to the redefinition of the discourse on the role of estuary planning for changing climate, focusing on four critical aspects: identify the impacts of urbanisation and industrialisation on ecosystems and its correlation with climate hazard at the estuary</t>
  </si>
  <si>
    <t>10.2166/wcc.2024.735</t>
  </si>
  <si>
    <t>https://www.scopus.com/inward/record.uri?eid=2-s2.0-85203324343&amp;doi=10.2166%2fwcc.2024.735&amp;partnerID=40&amp;md5=17c031aa4b3bc6eba551e57994f16f3c</t>
  </si>
  <si>
    <t>Onsite wastewater treatment systems (OWTS) are a common wastewater treatment approach in coastal communities. Vertical separation distance (VSD) requirements between the drainfield and groundwater aim to ensure aerated soils for wastewater treatment. When the VSD declines, OWTS can fail. This study evaluated groundwater response to sea level rise (SLR) and the implications for OWTS. A groundwater monitoring network (13 wells) was used to evaluate groundwater depth in Dare County, North Carolina. Groundwater levels were measured with water level meters and pressure transducers. Trends in groundwater depth and SLR were analyzed to evaluate the influence of SLR on groundwater depth. From 1984–2022, mean groundwater levels have risen (∼7.6 mm/year) in response to SLR. Currently, sites at &lt;2.7 m land elevation are most likely to have groundwater depths &lt;1 m and inadequate VSD. Based on current precipitation and NOAA intermediate SLR projections, groundwater depth projections suggest that OWTS at lower elevations are more likely to experience groundwater inundation by 2040–2060. SLR has resulted in reduced VSD causing diminished wastewater treatment capacity in low-lying areas. OWTS VSD requirements are typically static due to regulatory constraints. Future management approaches should consider adapting to rising coastal groundwater levels because of increasing wastewater contamination risks. © 2024, J. Water Clim. Change. All rights reserved.</t>
  </si>
  <si>
    <t>2-s2.0-85203324343"</t>
  </si>
  <si>
    <t>10.1007/s10708-024-11185-5</t>
  </si>
  <si>
    <t>https://www.scopus.com/inward/record.uri?eid=2-s2.0-85200046876&amp;doi=10.1007%2fs10708-024-11185-5&amp;partnerID=40&amp;md5=b7064893202c1ab0274195dde40ed273</t>
  </si>
  <si>
    <t>Bangladesh is considered one of the hotspots of numerous devastating natural hazards around the globe due to its geographical location as well as its dynamic characteristics of coastal landforms. The coast of Bangladesh is a suitable test-bed for evaluating coastal vulnerability under complex land use systems and climatic conditions. Considering both the social and physical parameters is crucial to understanding the vulnerability of a coastal region. Therefore, this study has attempted to assess an integrated coastal vulnerability index for the most dynamic and non-uniform south-central and south-western coastal districts of Bangladesh. Initially, the study utilized ten physical parameters, including elevation, slope, storm surge height, sea level rise rate, rainfall, wind speed, mean tide level, cyclone track intensity, soil salinity, and soil permeability, to calculate the physical vulnerability index. Additionally, four social variables such as population density, literacy rate, household structure, and land use land cover are considered to assess the social vulnerability index. The final step involved combining these results to formulate an integrated coastal vulnerability index using the square root of the product mean equation. The study revealed that a large portion of Patuakhali (52.7%) followed by Bhola (28.7%), Barguna (27.7%), Shariatpur (13.6%), Pirojpur (9.3%), and Jhalakati (3%) districts are very highly vulnerable while western regions like Satkhira, Khulna, Bagerhat, Jashore as well as Narail has been identified as very low to low vulnerable. We suggest that this approach can efficiently assess coastal vulnerability and contribute to the development of a comprehensive strategy for coastal conservation, management, and policymaking. © The Author(s), under exclusive licence to Springer Nature B.V. 2024.</t>
  </si>
  <si>
    <t>2-s2.0-85200046876"</t>
  </si>
  <si>
    <t>10.1007/s12145-024-01413-4</t>
  </si>
  <si>
    <t>https://www.scopus.com/inward/record.uri?eid=2-s2.0-85199278081&amp;doi=10.1007%2fs12145-024-01413-4&amp;partnerID=40&amp;md5=acace84dfc98f3e04332840a046b56a0</t>
  </si>
  <si>
    <t>The escalating issue of land subsidence poses a critical threat to the economic prosperity of Indonesia’s North Coast in Central Java. This recurring phenomenon intensifies annual tidal floods, posing a severe threat to the infrastructure, buildings, coastal zones, land quality, and the livelihoods of local communities. Effective monitoring of land subsidence rates is essential to mitigate these impacts and implement pre-emptive measures. This study addresses this challenge by employing a two-pronged approach: measuring subsidence rates and assessing susceptibility. Over six years (2016–2021), the research utilizes SAR Sentinel-1 data coupled with machine learning algorithms to achieve these goals. The subsidence rates are generated by the time series InSAR SBAS method. Land subsidence susceptibility assessment uses algorithms such as Random Forest (RF), Gradient Boosted Trees (GTB), Classification and Regression Trees (CART), Support Vector Machine (SVM), Decision Trees with Bagging Method (MD), and K-Nearest Neighbours (KNN). An exhaustive assessment utilizing K-fold cross-validation, incorporating five folds with an 80% training and 20% validation split, effectively facilitates the identification of the model exhibiting the highest accuracy. The findings reveal significant spatial variations in land subsidence rates. Semarang, Pekalongan, and Jepara experienced the highest rates (ranging from − 13 cm/year to -5 cm/year) based on SAR Sentinel-1 data. Machine learning model evaluation yielded Overall Accuracy values of 0.761 (RF), 0.766 (GTB), 0.65 (CART), 0.456 (SVM), 0.359 (KNN), and 0.541 (MD). Based on this analysis, the RF and GTB algorithms are recommended for mapping land subsidence susceptibility. Additionally, the study identified influential factors, with distance from boreholes being the most significant influence. Other notable variables are distance to rivers, rainfall, wetness index, proximity to faults, and distance from residential areas. These valuable insights offer significant benefits to decision-makers and stakeholders, including local governments, urban planners, and disaster management agencies. These findings serve as a foundation for developing a comprehensive policy framework and strategic measures to address land subsidence in this critical region. © The Author(s), under exclusive licence to Springer-Verlag GmbH Germany, part of Springer Nature 2024.</t>
  </si>
  <si>
    <t>2-s2.0-85199278081"</t>
  </si>
  <si>
    <t>Aeolian Research</t>
  </si>
  <si>
    <t>10.1016/j.aeolia.2024.100929</t>
  </si>
  <si>
    <t>https://www.scopus.com/inward/record.uri?eid=2-s2.0-85192889775&amp;doi=10.1016%2fj.aeolia.2024.100929&amp;partnerID=40&amp;md5=c1d4d12fae9a37fa6890cfcd0de1c37c</t>
  </si>
  <si>
    <t>On many metropolitan and developed coasts foredunes are narrow, vegetated, highly stable and confined by hinterland development. Such foredunes are most likely to erode, rather than landward migration, in response to ongoing eustatic sea-level rise. Foredune notching may be undertaken on such coasts to facilitate sand transport through the foredune zone and accomplish degrees of foredune landward migration</t>
  </si>
  <si>
    <t>10.3390/rs16203895</t>
  </si>
  <si>
    <t>https://www.scopus.com/inward/record.uri?eid=2-s2.0-85207392401&amp;doi=10.3390%2frs16203895&amp;partnerID=40&amp;md5=6a1209383002d265900b4f83a02a053e</t>
  </si>
  <si>
    <t>The monitoring of coastal evolution (coastline and associated geomorphological features) caused by episodic and persistent processes associated with climatic and anthropic activities is required for coastal management decisions. The availability of open access, remotely sensed data with increasing spatial, temporal, and spectral resolutions, is promising in this context. The coastline of Northern Tunisia is currently showing geomorphic process, such as increasing erosion associated with lateral sedimentation. This study aims to investigate the potential of time-series optical data, namely Landsat (from 1985–2019) and Google Earth® satellite imagery (from 2007 to 2023), to analyze shoreline changes and morphosedimentary and geomorphological processes between Cape Serrat and Kef Abbed, Northern Tunisia. The Digital Shoreline Analysis System (DSAS) was used to quantify the multitemporal rates of shoreline using two metrics: the net shoreline movement (NSM) and the end-point rate (EPR). Erosion was observed around the tombolo and near river mouths, exacerbated by the presence of surrounding dams, where the NSM is up to −8.31 m/year. Despite a total NSM of −15 m, seasonal dynamics revealed a maximum erosion in winter (71% negative NSM) and accretion in spring (57% positive NSM). The effects of currents, winds, and dams on dune dynamics were studied using historical images of Google Earth®. In the period from 1994 to 2023, the area is marked by dune face retreat and removal in more than 40% of the site, showing the increasing erosion. At finer spatial resolution and according to the synergy of field observations and photointerpretation, four key geomorphic processes shaping the coastline were identified: wave/tide action, wind transport, pedogenesis, and deposition. Given the frequent changes in coastal areas, this method facilitates the maintenance and updating of coastline databases, which are essential for analyzing the impacts of the sea level rise in the southern Mediterranean region. Furthermore, the developed approach could be implemented with a range of forecast scenarios to simulate the impacts of a higher future sea-level enhanced climate change. © 2024 by the authors.</t>
  </si>
  <si>
    <t>2-s2.0-85207392401"</t>
  </si>
  <si>
    <t>10.1029/2023WR036450</t>
  </si>
  <si>
    <t>https://www.scopus.com/inward/record.uri?eid=2-s2.0-85201124542&amp;doi=10.1029%2f2023WR036450&amp;partnerID=40&amp;md5=4d22f19cbd434af8368ce2400cd969b6</t>
  </si>
  <si>
    <t>High-frequency monitoring of reservoir inundation and water storage changes is crucial for reservoir functionality assessment and hydrological model calibration. Although the integration of optical data with synthetic aperture radar (SAR) backscattering coefficients (backscatters) offers an effective approach, conventional methods struggle to consistently provide accurate retrievals over diverse regions and seasons. In this study, we introduce reservoir- and monthly-specific classification models to enhance the integration of Sentinel-1 SAR backscatters with optical-based water dynamics. Our method covers 721 reservoirs with a capacity greater than 0.1 km3 in China during 2017–2021. Furthermore, we leverage multisource satellite altimetry records (e.g., ICESat-2, CryoSat-2, and GEDI) and digital elevation models to derive hypsometry relationship (i.e., water level–water area relationship) for reservoirs, enabling the transformation of inundated areas into monthly water storage changes for 662 reservoirs, representing 93% of the total storage capacity of large reservoirs. Validation against in-situ measurements at 80 reservoirs reveals improved monthly inundated area monitoring compared to existing data sets. Additionally, our reservoir water storage change estimates exhibit an average R2 of 0.79 and a mean relative root mean square error (rRMSE) of 21%. Our findings highlight reservoir water increases from May/June to November and declines in winter–spring in most regions. However, the inter-annual patterns vary among regions, with increases in Northeast China, the Yellow River basin (YR), and Southwest China, contrasted by declines in Eastern and Northwest China. Inter- and intra-annual variability in reservoir water storage is mainly influenced by natural inflow in Northeast and Northwest China, while anthropogenic factors dominate in the YR, Eastern, and Southwest China. © 2024. The Author(s).</t>
  </si>
  <si>
    <t>2-s2.0-85201124542"</t>
  </si>
  <si>
    <t>10.1016/j.sciaf.2024.e02333</t>
  </si>
  <si>
    <t>https://www.scopus.com/inward/record.uri?eid=2-s2.0-85201479992&amp;doi=10.1016%2fj.sciaf.2024.e02333&amp;partnerID=40&amp;md5=704b6592560ac1c77ee3b463c14272c2</t>
  </si>
  <si>
    <t>Communities along the Volta estuary of Ghana remain vulnerable to perennial tidal wave attacks, coastal erosion, and flooding because of increasing sea level rise from climate change. Using both qualitative and quantitative methods, community knowledge, and perceptions on disasters and disaster risks were explored. We also investigated perceived factors contributing to increase disasters, how communities’ knowledge and perceptions informed their preparedness and response to the disasters. Focus group discussions, key informant interviews and households survey were conducted in nine selected communities from two adjoining districts located immediate east and west of the Volta estuary. Results indicated that communities were knowledgeable about the perennial climate change-related disasters occurring in their districts. A z-test conducted on the respondents’ knowledge of key environmental threats revealed significant variations between the two districts. With much experience, households were able to tell when a weather phenomenon could be disastrous. Households over the years have devised various strategies to predict, cope with and reduce the effects of disasters. Some strategies for predicting the occurrence of disasters included watching the size and position of the moon, watching for, and listening to the chirps of certain birds and observing the patterns presented by clouds in the sky. Other strategies for coping with disasters include reliance on social capital to support the vulnerable in society as well as migrating out of the study areas. Overall, 53.5 % of the households interviewed confirmed that between one (1) and four (4) members of their households had migrated to other places in Ghana and outside the country. The study concluded that communities in disaster-prone areas have good knowledge of their environment and should therefore be collaborated with to reduce the impact of disasters as stated in the Sendai Framework. © 2024</t>
  </si>
  <si>
    <t>2-s2.0-85201479992"</t>
  </si>
  <si>
    <t>10.1007/s10980-024-01951-8</t>
  </si>
  <si>
    <t>https://www.scopus.com/inward/record.uri?eid=2-s2.0-85200218179&amp;doi=10.1007%2fs10980-024-01951-8&amp;partnerID=40&amp;md5=b5a178f2e82d4590a3c444da0bea891c</t>
  </si>
  <si>
    <t>Context: Sustainable development in coastal zones faces escalating flood risk in the context of climate change and urbanization, and the rapid urban growth in flood zones has been one of the key drivers. Therefore, understanding the Urban Exposure to Flooding (UEF) and its future scenarios is important in coastal zones. Objectives: The objectives of this study were: (1) to assess the future dynamics of UEFs in China's coastal zones, and (2) to identify a sustainable way of urban planning in controlling the growth of UEFs. Methods: Future UEFs in coastal China were assessed during 2020–2050 by combining urban expansion model, scenario analysis, and flood exposure assessment. Alternative scenarios were considered of shared socioeconomic pathways (SSPs), representative concentration pathways (RCPs), strategies of urban planning. Results: The results show that the 1000-year flood UEFs along coastal China was expected to grow under SSP2-RCP4.5 from 9,879 km2 in 2020 to 13,424 (12,997–13,981) km2 in 2050, representing an increment of 35.88% (31.56%–41.52%). Alternatively, the strategy of sustainable development planning could reduce the newly added UEF by 16.98% (15.63%–18.67%) in a 1000-year flood scenario. Conclusions: The findings proved that the ways of urban growth matters in terms of affecting food exposure and risk and flood risk should be incorporated into urban planning for a sustainable landscape. The study could offer methodology and support for sustainable development strategies in reducing future urban flood risk. © The Author(s) 2024.</t>
  </si>
  <si>
    <t>2-s2.0-85200218179"</t>
  </si>
  <si>
    <t>10.3390/rs16193681</t>
  </si>
  <si>
    <t>https://www.scopus.com/inward/record.uri?eid=2-s2.0-85206473945&amp;doi=10.3390%2frs16193681&amp;partnerID=40&amp;md5=c2590c4d95ab7b4e57f2877be870d990</t>
  </si>
  <si>
    <t>In recent decades, the scientific community has increasingly focused on extreme events linked to climate change, which are leading to more intense and frequent natural disasters. The Mediterranean can be considered a hotspot where the effects of these changes are expected to be more intense compared to other regions of the planet. Italy is not exempt</t>
  </si>
  <si>
    <t>10.1007/s11069-024-06664-4</t>
  </si>
  <si>
    <t>https://www.scopus.com/inward/record.uri?eid=2-s2.0-85193383379&amp;doi=10.1007%2fs11069-024-06664-4&amp;partnerID=40&amp;md5=2b62d005f602f7e241678e8ce736ecc2</t>
  </si>
  <si>
    <t>Flood hazard assessment of cities gained significance globally due to rise in frequency of flood events and rapid urbanisation. Uncertainties in flood inundation models largely depend on the quality of input datasets, among which topography plays a vital role. This study demonstrates the effectiveness of global terrain models in simulating accurate flooding and generating hazard maps while considering the influence of land-use dynamics focussing on data-scarce regions. Open-source forest and building removed digital elevation model (FABDEM) and a terrain model TDX-12 DTM derived from TanDEM-X 12 DSM using a simple-morphological-filtering technique are considered for comparing their performance in simulating a flood event occurred in Surat city during the year 2006. Spatially varying short-term urban growth scenario for the year 2035 is developed by utilizing historical land-use maps of the study area and urban growth indicators. These are combined using multi-criteria-decision-making techniques and Cellular-Automata-Markov-Chain model. The FABDEM based hydrodynamic model performed better (Root-Mean-Squared-Error RMSE of 1.59 m) than TDX-12 DTM based model (RMSE: 1.88 m). Intercomparison of hazard maps of the FABDEM and TDX-12 DTM with ground-surveyed TopoDEM based-model showed an overall accuracy of 71.8% and 72.8%</t>
  </si>
  <si>
    <t>Geomatics and Environmental Engineering</t>
  </si>
  <si>
    <t>10.7494/geom.2024.18.4.73</t>
  </si>
  <si>
    <t>https://www.scopus.com/inward/record.uri?eid=2-s2.0-85208530931&amp;doi=10.7494%2fgeom.2024.18.4.73&amp;partnerID=40&amp;md5=e82e1577d7851f5bad5d72e08d8d72d9</t>
  </si>
  <si>
    <t>This study examines the issue of the accuracy of physical surface calculations for land plots with complex configurations and reliefs. The goal of the study was to develop a methodology for determining the surface area of land plots with complex configurations and reliefs. The presented model was based on the finite element method. The developed method allows one to evaluate a re-lief’s complexity by using a dimensionless mean physical surface complexity factor</t>
  </si>
  <si>
    <t>10.1002/esp.5944</t>
  </si>
  <si>
    <t>https://www.scopus.com/inward/record.uri?eid=2-s2.0-85199794488&amp;doi=10.1002%2fesp.5944&amp;partnerID=40&amp;md5=afdba19cdd2087ad1ebe277e9bc7e150</t>
  </si>
  <si>
    <t>Measurement of river bathymetry has been revolutionized by high-resolution remote sensing that combines UAV platforms with SfM-MVS photogrammetry. Mapping inundated and exposed areas simultaneously are possible using either two-media refraction correction or some form of the Beer–Lambert Law to estimate water depths. If, as in turbid glacially-fed braided streams, the bed is not visible then traditional survey techniques (e.g. differential GPS systems) are required. As an alternative, here we test whether the spatial distribution of water depths in a shallow braided stream can be modelled from basic planimetric data and used to estimate inundated zone bathymetry. We develop heuristic rules using</t>
  </si>
  <si>
    <t>10.1007/s10661-024-12883-w</t>
  </si>
  <si>
    <t>https://www.scopus.com/inward/record.uri?eid=2-s2.0-85198723961&amp;doi=10.1007%2fs10661-024-12883-w&amp;partnerID=40&amp;md5=fa1b13863b8f69343739c9104848c16d</t>
  </si>
  <si>
    <t>This research bears significant implications for river management, flood forecasting, and ecosystem preservation in the Lower Narmada Basin. A more precise estimation of Manning’s Roughness Coefficeint (n) will enhance the accuracy of hydraulic models and facilitate informed decision-making regarding flood risk management, water resource allocation, and environmental conservation efforts. Ultimately, this study aspires to contribute to the sustainable management of perennial river systems in India and beyond by offering a robust methodology for optimizing Manning’s n tailored to the complex hydrological dynamics of the Lower Narmada Basin. Through a synthesis of empirical evidence and computational modelling, it seeks to empower stakeholders with actionable insights toward preserving and enhancing these invaluable natural resources. Using the new HEC-RAS v 6.0, a one-dimensional hydrodynamic model was developed to predict overbank discharge at different points along the basin. The study analyzes water levels, stream discharges, and river stage, optimizing Manning’s n and required flood risk management. The model predicted a strong output agreement with R2, NSE, and RMSE for the 2020 event as 0.83, 0.81, and 0.36, respectively, with an optimum Manning’s n of 0.03. The lower Narmada Basin part near the coastal zone (validation point) appears inundated frequently. The paper aims to provide insights into optimizing Manning’s coefficient, which can ultimately lead to better water flow predictions and more efficient water management in the region. © The Author(s), under exclusive licence to Springer Nature Switzerland AG 2024.</t>
  </si>
  <si>
    <t>2-s2.0-85198723961"</t>
  </si>
  <si>
    <t>10.3390/rs16163072</t>
  </si>
  <si>
    <t>https://www.scopus.com/inward/record.uri?eid=2-s2.0-85202447881&amp;doi=10.3390%2frs16163072&amp;partnerID=40&amp;md5=9ebfb86001eba278915fce1f2e853d63</t>
  </si>
  <si>
    <t>The Maltese archipelago is renowned for its spectacular coasts, characterized by vertical cliffs and scree slopes. In the western sector of Malta and the eastern region of Gozo, a marly clay formation with ductile properties underlying a stiff limestone unit has led to relevant lateral spreading. Utilizing drone aerial photogrammetry, digital elevation models, and satellite imagery, we analyzed the ongoing geomorphological processes across five promontories, selected as case studies. Our analysis reveals a complex interaction between geological structures, Quaternary sea level fluctuations, and lateral spreading processes. Photogrammetric models show that once detached, blocks from the plateaus tend to topple and fall or experience subsidence and backtilting. At Rdum il-Qammieħ, fractures up to 250 m long and openings of up to 2 m were observed, while at Sopu, detached blocks exhibit subsidence of up to 50% and rotations nearing 60°. In all the studied promontories, rotational slides predominantly occur at the frontal sectors, while toppling mechanisms are more common along scarp-edged plateaus. The thickness ratio between the stiff and the ductile formation, ranging from 0.13 to 1.12, along with slope gradients between 10° and 41°, further influence the stability of these coastal features. We discuss the structural and sea level influences on Maltese coastal cliff development over the last 125 ky. We propose a conceptual model outlining the evolution of the Malta Graben promontories through a three-stage evolutionary model: proto-promontories, cliff demolition, and isolation. This model emphasizes the significant role of predisposing, preparatory, and triggering factors in the geomorphological evolution of the Maltese coastline. Our findings provide essential insights into the landscape changes in the Maltese archipelago and represent a useful tool for coastal management and hazard mitigation strategies. © 2024 by the authors.</t>
  </si>
  <si>
    <t>2-s2.0-85202447881"</t>
  </si>
  <si>
    <t>10.1016/j.gsf.2024.101820</t>
  </si>
  <si>
    <t>https://www.scopus.com/inward/record.uri?eid=2-s2.0-85188133795&amp;doi=10.1016%2fj.gsf.2024.101820&amp;partnerID=40&amp;md5=44b77b517f13cf13be015cf6c87a8e5e</t>
  </si>
  <si>
    <t>Coastal regions are highly susceptible to the effects of global warming, including rising atmospheric and sea surface temperatures, increased cyclone frequency, and sea level rise. Thus, it is imperative to examine coastal vulnerability to minimize the impact of multiple hazards and protect coastal resources, such as mangroves. Particularly in India studying the vulnerability of coastal zones of Andaman and Nicobar Islands which fall in seismic zone V is critical for conservation efforts. We conducted a vulnerability analysis of coastal zones impacted by the 2004 earthquake, causing varying degrees of ground upliftment and subsidence. We compared coastal vulnerability among sites that experienced uplift, no change, and subsidence (the southern portion). Our analysis utilized the Coastal and Mangrove Vulnerability Index (CVI and MVI) to measure and compare vulnerability in six zones distributed along uplift and subsidence gradient. High-resolution satellite imagery including WorldView-2, 3, and GeoEye-1 from year 2022 are utilized on this study. The CVI and MVI offers a good way to measure and compare vulnerabilities across sites and offer insights for better management. The CVI and MVI results indicate that approximately 34% of coastal grids and over 23% of mangrove grids across all zones are highly to extremely highly vulnerable. Subsided zones were found to be more vulnerable than uplifted zones. These findings suggest that large-scale natural disturbances such as tectonic displacement have the potential to impact coastal vegetation and mangrove cover can become even more vulnerable. In conclusion, our study emphasizes the importance of vulnerability analyses in coastal regions, especially in areas prone to seismic activity. Our findings have direct implications for conservation and restoration efforts and underscore the need for continued monitoring and mitigation efforts to safeguard coastal resources for long-term sustainability. © 2024 China University of Geosciences (Beijing) and Peking University</t>
  </si>
  <si>
    <t>2-s2.0-85188133795"</t>
  </si>
  <si>
    <t>10.1029/2024EF004479</t>
  </si>
  <si>
    <t>https://www.scopus.com/inward/record.uri?eid=2-s2.0-85201548967&amp;doi=10.1029%2f2024EF004479&amp;partnerID=40&amp;md5=c1e967fb4457fee8cd5d2d662424d2c1</t>
  </si>
  <si>
    <t>Sea-level rise (SLR) poses a severe threat to the coastal environment through seawater intrusion into freshwater aquifers. The rising groundwater table also exacerbates the risk of pluvial, fluvial, and groundwater flooding in coastal regions. However, current Earth system models (ESMs) commonly ignore the exchanges of water at the land-ocean interface. To address this gap, we developed a novel land-ocean hydrologic coupling scheme in a state-of-the-science ESM, the Energy Exascale Earth System Model version 2 (E3SMv2). The new scheme includes the lateral exchange between seawater and groundwater and the vertical infiltration of seawater driven by the SLR-induced inundation. Simulations were performed with the updated E3SMv2 for the global land-ocean interface to assess the impacts of SLR on coastal groundwater under a high CO2 emission scenario. By the middle of this century, seawater infiltration on the inundated areas will be the dominant component in the land-ocean coupling process, while the lateral subsurface flow exchange will be much smaller. The SLR-induced seawater infiltration will raise the groundwater levels, enhance evapotranspiration, and increase runoff with distinct spatial patterns globally in the future. Although the coupling process is induced by SLR, we found topography and warming temperature have more control on the coupling impacts, probably due to the relatively modest magnitude of SLR during the selected future period. Overall, our study suggests significant groundwater and seawater exchange at the land-ocean interface, which needs to be considered in ESMs. © 2024 Battelle Memorial Institute. Earth's Future published by Wiley Periodicals LLC on behalf of American Geophysical Union.</t>
  </si>
  <si>
    <t>2-s2.0-85201548967"</t>
  </si>
  <si>
    <t>10.5194/essd-16-3873-2024</t>
  </si>
  <si>
    <t>https://www.scopus.com/inward/record.uri?eid=2-s2.0-85202550914&amp;doi=10.5194%2fessd-16-3873-2024&amp;partnerID=40&amp;md5=f9fd4231b534e006b41678df02b33dbe</t>
  </si>
  <si>
    <t>Floodplains are a vital part of the global riverine system. Among all the global floodplain delineation strategies empowered by remote sensing, digital elevation model (DEM)-based delineation is considered to be computationally efficient with relatively low uncertainties, but the parsimonious model struggles with incorporating the basin-level spatial heterogeneity of the hydrological and geomorphic influences into the map. In this study, we propose a globally applicable thresholding scheme for DEM-based floodplain delineation to improve the representation of spatial heterogeneity. Specifically, we develop a stepwise approach to estimate the floodplain hydraulic geometry (FHG) scaling parameters for river basins worldwide at the scale of the level-3 HydroBASINS to best respect the scaling law while approximating the spatial extent of two publicly available global flood maps derived from hydrodynamic modeling. The estimated FHG exponent exhibits a significant positive relationship with the basins' hydroclimatic conditions, particularly in 33 of the world's major river basins, indicating the ability of the approach to capture fingerprints from heterogeneous hydrological and geomorphic influences. Based on the spatially varying FHG parameters, a ~90 m resolution global floodplain map named the Spatial Heterogeneity Improved Floodplain by Terrain analysis (SHIFT) is delineated, which takes the hydrologically corrected MERIT Hydro dataset as the DEM inputs and the height above nearest drainage (HAND) as the terrain attribute. Our results demonstrate that SHIFT validates better with reference maps than both hydrodynamic-modeling- and DEM-based approaches with universal parameters. The improved delineation mainly includes better differentiation between main streams and tributaries in major basins and a more comprehensive representation of stream networks in aggregated river basins. SHIFT estimates the global floodplain area to be 9.91×106 km2, representing 6.6 % of the world's total land area. SHIFT data layers are available at two spatial resolutions (90 m and 1 km), along with the updated parameters, at 10.5281/zenodo.11835133 (Zheng et al., 2024). We anticipate that SHIFT will be used to support applications requiring boundary delineations of the global geomorphic floodplains. Copyright:  © 2024 Kaihao Zheng et al.</t>
  </si>
  <si>
    <t>2-s2.0-85202550914"</t>
  </si>
  <si>
    <t>10.1007/s11356-024-34545-7</t>
  </si>
  <si>
    <t>https://www.scopus.com/inward/record.uri?eid=2-s2.0-85200387687&amp;doi=10.1007%2fs11356-024-34545-7&amp;partnerID=40&amp;md5=69414be6bbb6901c4fa2112ffa1fe4c2</t>
  </si>
  <si>
    <t>Conventional geodetic methods rely on point measurements, which have drawbacks for detecting and tracking geologic disasters at specific locations. In this study, the time series Interferometric Synthetic Aperture Radar (InSAR) approach was incorporated to estimate non-linear surface deformation caused by tectonic, shoreline reclamation, and other anthropogenic activities in economically important urban regions of Pakistan’s southern coast, which possesses around 270 km. The shoreline is extended from the low-populated area on the premises of the Hub River in the west to the highly populated Karachi City and Eastern Industrial Zone, where we collected the Sentinel-1A C-band data from 2017 to 2023 to address urban security and threats to human life and property. The main advantage of opting for the non-linear persistent scatterer interferometric SAR (PSInSAR) approach for this study is that it exposes minute movements without any prior consideration of conventional monitoring techniques, making it valid in continuously varying regions. An average vertical displacement range of − 170 to + 82 mm per year was found, which was used to investigate the potential correlation with the most effective causative parameters of deformation. The densely populated areas of the study area experience an annual subsidence of 170 mm, and the less populated western region experiences an uplift of 82 mm annually. Land deformation varies along the coast of the study area, where the eastern region is highly reclaimed and is affected by erosion. Groundwater table-depleting regions experienced high levels of land subsidence, and tectonic activities controlled vertical displacement in the region. Major variation was detected after an earthquake occurred along fault lines. This study was designed because a non-linear approach is required to address ground movement activities acutely, and it will make it possible to plan surface infrastructure and handle issues brought on by subsidence more effectively. © The Author(s), under exclusive licence to Springer-Verlag GmbH Germany, part of Springer Nature 2024.</t>
  </si>
  <si>
    <t>2-s2.0-85200387687"</t>
  </si>
  <si>
    <t>10.1007/s11069-024-06581-6</t>
  </si>
  <si>
    <t>https://www.scopus.com/inward/record.uri?eid=2-s2.0-85189177052&amp;doi=10.1007%2fs11069-024-06581-6&amp;partnerID=40&amp;md5=dddb6887385e3b8a821b98440116cdef</t>
  </si>
  <si>
    <t>Northern Bangladesh is more vulnerable to climatic variability, flash floods, upstream heavy rainfall, early floods during the pre-monsoon period, two or three times flooding in a certain year, and poverty as well. This paper explicitly focuses on the socio-environmental challenges associated with the 2017 flood disaster in northern Bangladesh. This study is based on mixed methods. Almost data of the study are collected from primary sources (household survey, FGD) and the remaining data are obtained from authorized sources. The devastating floods in 2017 inundated one-third of Bangladesh, destroyed nearly 700,000 homes and damaged 4,680,000 hectares of cropland. In addition, the socio-economic conditions of the 2017 flood victim HHs in northern Bangladesh are sub-standard compared to other regions of Bangladesh. Some sort of variables (geophysical environment and human interventions) make floods vulnerable. Therefore, social and economic security, rebuilding damaged infrastructures and institutions, public awareness, and regional and delta planning are crucial parts of the mitigation of the effects of disastrous floods in northern Bangladesh. © The Author(s), under exclusive licence to Springer Nature B.V. 2024.</t>
  </si>
  <si>
    <t>2-s2.0-85189177052"</t>
  </si>
  <si>
    <t>10.3390/geohazards5030038</t>
  </si>
  <si>
    <t>https://www.scopus.com/inward/record.uri?eid=2-s2.0-85205087584&amp;doi=10.3390%2fgeohazards5030038&amp;partnerID=40&amp;md5=8d2e0976acf7cfca9e2559a6e8d4e2a2</t>
  </si>
  <si>
    <t>Information about flood-prone areas in Accra, Ghana, acting as obstacles to the main infrastructure was required as input for a transportation study. We successfully identified these areas using the hydrologic screening software Arc-Malstrøm. Earlier studies have used a digital elevation model with a spatial resolution of 30 m, which unfortunately is not a true digital terrain model as it includes elevations from ground surfaces, structures, and vegetation. However, this study shows the benefits of using a hydro-conditioned 10 m resolution digital terrain model from AirbusTM in predicting flood-prone areas. The entire investigation area covers approximately 23% of the Greater Accra Metropolitan Area (GAMA), including the entire Odaw River basin. In this area, 5018 landscape sinks with water depths ≥ 0.1 m and volumes ≥ 5 m3 were identified. From this, 163 flood-induced roadblocks were found with maximum depths ≥ 0.3 m, rendering them impassable to normal vehicles. Beyond the adaptation of infrastructures in the hydro-conditioning process, more steps were necessary along the Odaw River’s southernmost course before its outlet into the Gulf of Guinea due to local trash accumulation reflected in the DTM. To address the unforeseen stochastic flood effects from trash piling up along the river channels, a simulation was conducted showing the upstream consequences caused by a trash barrier at the river’s outlet into the ocean. This leads to a discussion of the hazards posed by improper waste handling, coupled with increasing runoff predictions within the river’s drainage basin. Finally, we discuss local alternatives to the establishment of large central retention and detention basins to reduce flood-prone areas in GAMA during periods when stormwater-induced floods become more frequent, primarily due to uncontrolled urbanization increasing runoff volumes. © 2024 by the authors.</t>
  </si>
  <si>
    <t>2-s2.0-85205087584"</t>
  </si>
  <si>
    <t>Asia Pacific Viewpoint</t>
  </si>
  <si>
    <t>10.1111/apv.12402</t>
  </si>
  <si>
    <t>https://www.scopus.com/inward/record.uri?eid=2-s2.0-85183628763&amp;doi=10.1111%2fapv.12402&amp;partnerID=40&amp;md5=9daf368c3a9ed8220bfee8634f9e91d3</t>
  </si>
  <si>
    <t>The main objectives of this research are to identify (i) how women in Can Tho City experience the impacts of flooding on their health, income, household and personal finances</t>
  </si>
  <si>
    <t>10.1016/j.uclim.2024.101966</t>
  </si>
  <si>
    <t>https://www.scopus.com/inward/record.uri?eid=2-s2.0-85199445517&amp;doi=10.1016%2fj.uclim.2024.101966&amp;partnerID=40&amp;md5=cdf7348bf3f9a8d7e984a6302bb35ca2</t>
  </si>
  <si>
    <t>As climate change intensifies, the sustainable development of communities is severely affected. Based on climate risk predictions, this study explored the spatial-temporal variation of community climate resilience along an urban-rural gradients, which quantified the impact of climate change on community resilience. We used the Coupled Model Intercomparison Project Phase 6 (CMIP6) data with the Delta downscaling to predict extreme weather risks of three communities in Shanghai along an urban-rural gradient. We constructed a Pressure-State-Response-Prediction (PSRP) climate resilience assessment model integrating climate predictions, estimating and comparing community resilience in the current, near (2025–2034), mid (2035–2044), and long (2045–2054) term. Results indicated climate pressure droped from urban to rural, with temperature and precipitation growth rates at 0.042 and 0.659, 0.040 and 0.638, 0.037 and 0.621. Climate resilience index significantly decreased in mid term, with a decline of 0.02, 0.019, and 0.03 in three communities. Climate stress, green space quality, community hardening level, water coverage area, and facility construction were identified as main factors influencing the climate resilience index. Optimization measures for heat mitigation, flood reduction, green enhancement, and management were proposed. The study's findings on future climate resilience are preliminary, and further research is needed to address uncertainties in climate model downscaling. © 2024</t>
  </si>
  <si>
    <t>2-s2.0-85199445517"</t>
  </si>
  <si>
    <t>Gondwana Research</t>
  </si>
  <si>
    <t>10.1016/j.gr.2024.05.003</t>
  </si>
  <si>
    <t>https://www.scopus.com/inward/record.uri?eid=2-s2.0-85195073153&amp;doi=10.1016%2fj.gr.2024.05.003&amp;partnerID=40&amp;md5=ceb6a397bc3d07716aff918ab02f7157</t>
  </si>
  <si>
    <t>Three published alternative tectonic models of the Permian-Pleistocene development of the Kyrenia Range, N Cyprus are tested, supported by new field, geochemical and micropalaeontological evidence: 1. The Kyrenia Range represents the northern continental margin of the S Neotethys, close to its present relative position. The range initiated as a Permian-Cretaceous rift/passive margin, switching to a N-facing active margin during Late Cretaceous-Neogene</t>
  </si>
  <si>
    <t>10.1029/2024WR037165</t>
  </si>
  <si>
    <t>https://www.scopus.com/inward/record.uri?eid=2-s2.0-85197684837&amp;doi=10.1029%2f2024WR037165&amp;partnerID=40&amp;md5=52fbd5b50bb3c151d8263183861354e8</t>
  </si>
  <si>
    <t>Topography and the computational mesh grid are fundamental inputs to all two-dimensional (2D) hydrodynamic models, however their resolutions are often arbitrarily selected based on data availability. With the increasing use of drone technology, the end user can collect topographic data down to centimeter-scale resolution. With this advancement comes the responsibility of choosing a resolution. In this study, we investigated how the choice of mesh grid and digital elevation model (DEM) resolutions affect 2D hydrodynamic modeling results, specifically water depths, velocities, and inundation extent. We made pairwise comparisons between simulations from a 2D HEC-RAS model with varying mesh grid resolutions (1 and 2 m) and drone-based lidar DEM resolutions (0.1, 0.25, 0.5, 1, and 2 m) over a 1.5 km reach of Stroubles Creek in Blacksburg, Virginia. The model was rerun for up to ±4% change in floodplain roughness to determine how the DEM and mesh grid changes relate to an equivalent change in roughness. We found that the modeled differences from resolution change were equivalent to altering floodplain roughness by up to 12% for depths and 44% for velocities. The largest differences in velocity were concentrated at the channel-floodplain interface, whereas differences in depth occurred laterally throughout the floodplain and were not correlated with lidar ground point density. We also found that the inundation boundary is dependent on the DEM resolution. Our results suggest that modelers should carefully consider what resolution best represents the terrain while also resolving important riparian topographic features. © 2024. The Author(s).</t>
  </si>
  <si>
    <t>2-s2.0-85197684837"</t>
  </si>
  <si>
    <t>Doklady Earth Sciences</t>
  </si>
  <si>
    <t>10.1134/S1028334X24601676</t>
  </si>
  <si>
    <t>https://www.scopus.com/inward/record.uri?eid=2-s2.0-85191039277&amp;doi=10.1134%2fS1028334X24601676&amp;partnerID=40&amp;md5=5158a9bb33f888258980b0252515ef61</t>
  </si>
  <si>
    <t>The purpose of this work is to investigate extreme storm waves in the coastal zone from the village of Volna (the Kerch Strait area) to Adler on the northeastern shelf of the Black Sea over a climatic time span. The main method of research is numerical modeling using the MIKE 21 SW spectral wave model. As a result of calculations, hourly fields of spatial distributions of key wave parameters are obtained for the entire Black Sea water area from January 1979 to December 2023, i.e., for the past 45 years. The analysis is conducted with respect to the separation of the wave field into two components: pure wind waves and swell. Research has revealed that, over the past 45 years, the northeastern coast of the Black Sea was affected by 41 storms with significant wave heights exceeding 5 m. Two November storms in 2007 and 2023 are distinguished by their extreme characteristics. The significant heights of mixed waves during the storms reached 9 m, and the energies exceeded 500 kW/m. The average heights of mixed storm waves for the entire coast vary within 4–6 m, and the average energies are around 150 kW/m. The highest waves develop in the areas of Anapa, Utrish, and Idokopas. The average values of the heights and energies of pure wind waves have a common tendency to decrease from the northwestern coast to the southeastern, while for swell, on the contrary, they tend to increase. Several relatively homogeneous segments in terms of the developing wind waves and swell are identified in the coastal zone. In the structure of average storm waves between the village of Volna and Anapa, wind waves absolutely dominate. Between Cape Myskhako and Idokopas, the contribution of wind waves to the total wave power exceeds the swell by a factor of 2–2.5. Between Arkhipo-Osipovka and Tuapse, the power of pure wind waves slightly surpasses the power of swell. Further, south of Tuapse, the contribution of swell becomes predominant. Two regions are distinguished in terms of the ratio of the contribution of wind waves and swell along the coast: in the vicinity of Anapa, the overall wave climate is almost fully determined by wind waves, while in Adler, by swell. © Pleiades Publishing, Ltd. 2024.</t>
  </si>
  <si>
    <t>2-s2.0-85191039277"</t>
  </si>
  <si>
    <t>Bulletin of Geography, Physical Geography Series</t>
  </si>
  <si>
    <t>10.12775/bgeo-2024-0004</t>
  </si>
  <si>
    <t>https://www.scopus.com/inward/record.uri?eid=2-s2.0-85201171740&amp;doi=10.12775%2fbgeo-2024-0004&amp;partnerID=40&amp;md5=cf444cb72f3aaad9331d383118d1e314</t>
  </si>
  <si>
    <t>The Suwałki Glacial Megaflood Landsystem documented in NE Poland led to further morphological analysis of bedforms that originated from glacial lake-outburst floods (GLOFs) in the central and eastern parts of the Augustów Plain. This article focuses on (1) the recognition of large-scale subaqueous dunes in the vicinity of Serwy Lake, (2) the creation of a database consisting of relevant morphometric parameters (lengths, heights and gradients of stoss and lee slopes) and indexes (steepness and asymmetry ratios) and (3) comparison with other landforms that undoubtably indicate glacial floods (e.g., Missoula, Altai, British Columbia, Wigry Lake). The remote identification and measurement of the megadunes' morphometry based on LiDAR data and digital elevation model with resolution 1×1 m (using hillshade and geomorphons) yielded data characterising 254 bedforms. These represent two-dimensional large-scale subaqueous dunes, which have lengths varying between 23.6 and 241.8 m and average heights of 0.6-5.4 m. Moreover, their morphometric variation creates a continuum typical of subaqueous dunes and has similarities to prominent examples linked to GLOFs. The study is especially crucial due to the lack of a wide range of information about megadune development under unconfined settings during the Weichselian glaciation. © Author(s) 2024.</t>
  </si>
  <si>
    <t>2-s2.0-85201171740"</t>
  </si>
  <si>
    <t>10.3390/atmos15070774</t>
  </si>
  <si>
    <t>https://www.scopus.com/inward/record.uri?eid=2-s2.0-85199584568&amp;doi=10.3390%2fatmos15070774&amp;partnerID=40&amp;md5=1b7e1aaab60dba6cc771ea3be6f9a717</t>
  </si>
  <si>
    <t>This study presents a comprehensive analysis of natural hazard susceptibility in the Makedonska Kamenica municipality of North Macedonia, encompassing erosion assessment, landslides, flash floods, and forest fire vulnerability. Employing advanced GIS and remote sensing (RS) methodologies, hazard models were meticulously developed and integrated to discern areas facing concurrent vulnerabilities. Findings unveil substantial vulnerabilities prevalent across the area, notably along steep terrain gradients, river valleys, and deforested landscapes. Erosion assessment reveals elevated rates, with a mean erosion coefficient (Z) of 0.61 and an annual erosion production of 182,712.9 m3, equivalent to a specific erosion rate of 961.6 m3/km2/year. Landslide susceptibility analysis identifies 31.8% of the municipality exhibiting a very high probability of landslides, while flash flood susceptibility models depict 3.3% of the area prone to very high flash flood potential. Forest fire susceptibility mapping emphasizes slightly less than one-third of the municipality’s forested area is highly or very highly susceptible to fires. Integration of these hazard models elucidates multi-hazard zones, revealing that 11.0% of the municipality’s territory faces concurrent vulnerabilities from excessive erosion, landslides, flash floods, and forest fires. These zones are predominantly located in upstream areas, valleys of river tributaries, and the estuary region. The identification of multi-hazard zones underscores the critical need for targeted preventive measures and robust land management strategies to mitigate potential disasters and safeguard both human infrastructure and natural ecosystems. Recommendations include the implementation of enhanced monitoring systems, validation methodologies, and community engagement initiatives to bolster hazard preparedness and response capabilities effectively. © 2024 by the authors.</t>
  </si>
  <si>
    <t>2-s2.0-85199584568"</t>
  </si>
  <si>
    <t>10.5194/nhess-24-2559-2024</t>
  </si>
  <si>
    <t>https://www.scopus.com/inward/record.uri?eid=2-s2.0-85199791275&amp;doi=10.5194%2fnhess-24-2559-2024&amp;partnerID=40&amp;md5=fa7b9097b67abe97c8e44a02b0952db7</t>
  </si>
  <si>
    <t>In addition to storm tides, inland flooding due to intense rainfall has become an increasing threat at coastal lowlands. In particular, the coincidence of both types of events poses great challenges to regional water boards since their technical drainage capacities are limited. In this study, we analysed historical data and scenario-based simulations for gauge Knock near Emden at the German North Sea coast. The evaluation of observed inland flood events shows that mainly moderate storm tide series in combination with large-scale, intense precipitation led to an overload of inland drainage systems, whereas the highest individual storm tides or precipitation events alone could be handled well. Proactive risk management requires climate projections for the future. Therefore, a hydrological and a hydrodynamic ocean model were set up and driven by the same climate simulations to estimate future drainage system overloads. The evaluation of the simulations for the control period of two climate models confirms that the models can reproduce the generation mechanism of the compound events. The coincidence of storm tides and precipitation leads to the highest drainage system overloads, while system overload is also caused by intense rainfall events alone rather than by storm tides without intense precipitation. Scenario projections based on two climate models and two emission scenarios suggest that the intensity of compound events of rainfall and storm tides will increase consistently against the background of mean sea level rise for all investigated climate projections, while simulated system overload is higher for the RCP8.5 scenario compared to the RCP2.6 scenario. Comparable to the past, future compound events will cause more potential damage compared to single extreme events. The model results indicate an increasing frequency and intensity of inland drainage system overloads along the North Sea coast if timely adaptation measures are not taken.  © 2024 Helge Bormann et al.</t>
  </si>
  <si>
    <t>2-s2.0-85199791275"</t>
  </si>
  <si>
    <t>Earth and Space Science</t>
  </si>
  <si>
    <t>10.1029/2023EA003145</t>
  </si>
  <si>
    <t>https://www.scopus.com/inward/record.uri?eid=2-s2.0-85199021115&amp;doi=10.1029%2f2023EA003145&amp;partnerID=40&amp;md5=bbdfb3c0be802c617d569f6caa1be50d</t>
  </si>
  <si>
    <t>This study examines the accumulation, distribution, and mobility of Potentially Toxic Elements (PTEs) in the sediments of a low-lying coastal drainage network (Ravenna, Italy). The aim is to understand the geochemical processes occurring between drainage water and canal bed sediments and assess factors affecting and driving PTE distribution and enrichment in these environments. A geochemical database resulting from the analysis of 203 drainage sediment samples was analyzed using Principal Component Analysis and compared to undisturbed near-surface sediment samples from the same depth and depositional environment. The results reveal PTEs exceeding national regulation limits. Distance from the sea, electrical conductivity of drainage water, and fertilizer use were identified as the main driving factors. The primary mechanisms for PTE precipitation (As, Co, Mo) and subsequent enrichment in the sediments is attributed to the absorption on Fe- and Mn-oxyhydroxides (HFO and HMO), particularly in high salinity areas near the coast. While Cu, Zn, Pb, Cr, and V also have affinity for HFO and HMO, their adsorption efficiency decreases due to the competition with salt-derived cations during ongoing salinization processes. Anthropogenic sources, including agriculture, hunting activities, traffic dust, and railways, contribute to the local abundance of other elements (Cr, Ni, Cu, Zn, Pb, and Sn). This paper's significant progress lies in assessing the concurrent interactions of chemical and physical processes that drive PTE distribution and accumulation in reclaimed low-lying coastal plains. The findings are significant for assessing PTE accumulation risks and sediment toxicity in coastal areas affected by water salinization, drainage, and subsidence, providing valuable information to water management institutions globally. © 2024. The Author(s).</t>
  </si>
  <si>
    <t>2-s2.0-85199021115"</t>
  </si>
  <si>
    <t>10.3390/cli12070093</t>
  </si>
  <si>
    <t>https://www.scopus.com/inward/record.uri?eid=2-s2.0-85199493791&amp;doi=10.3390%2fcli12070093&amp;partnerID=40&amp;md5=03bfbdce755f288fcfd01f271e62042a</t>
  </si>
  <si>
    <t>This study employs advanced geospatial analytical techniques to evaluate the vulnerability of Nigeria’s coastal states and their constituent local government areas to flood hazards, which represent a critical and escalating risk within the coastal hazard paradigm intensified by climate change phenomena. The study’s objective is to utilize geospatial data to delineate and quantify the intensity and distribution of flood susceptibility, thus establishing a foundational framework for developing comprehensive disaster management strategies in response to the challenges posed by climate variability. The research uses satellite imagery and geographic information system (GIS)-based hydrological modeling to delineate regions susceptible to flooding, synthesizing topographical and hydrological data to stratify areas into discrete flood susceptibility categories. The findings indicate that the Delta coastal State of Nigeria contains extensive medium to high-risk flood zones spanning 8304.57 km2. While the Bayelsa coastal State of Nigeria presents critical areas at high to very high flood risk, encompassing 5506.61 km2 at high risk and 1826.88 km2 at very high risk, this highlights the urgent necessity for immediate and strategic mitigation measures. This research highlights the critical importance of geospatial technology in shaping disaster management and enhancing community resilience against increasing flood frequencies. As Nigeria’s coastal regions face escalating flood susceptibility, advanced geospatial methods are vital for assessing and mitigating these climate-induced threats, contributing to climate-resilient planning and aligning with Sustainable Development Goal 13: Climate Action. The study’s geospatial approach delivers precise flood risk evaluations and guides targeted mitigation efforts, marking significant progress in managing coastal hazards in a changing climate. © 2024 by the authors.</t>
  </si>
  <si>
    <t>2-s2.0-85199493791"</t>
  </si>
  <si>
    <t>10.1016/j.rsase.2024.101239</t>
  </si>
  <si>
    <t>https://www.scopus.com/inward/record.uri?eid=2-s2.0-85193803646&amp;doi=10.1016%2fj.rsase.2024.101239&amp;partnerID=40&amp;md5=68c6aebd0e78bd8b6980f2aaaae868c0</t>
  </si>
  <si>
    <t>Flood extent delineation techniques have benefited from the increasing availability of remote sensing imagery, classification techniques and the introduction of geomorphic descriptors derived from Digital Elevation Models (DEM). On the other hand, high-performing Machine Learning (ML) methods have allowed for the development of accurate flood maps by integrating several predictor variables into supervised or unsupervised algorithms. Among others, Random Forest (RF) is a powerful and widely applied ML classifier, providing accurate predictions also with complex datasets and for varying parameters set. In the present study, the effectiveness of this algorithm for mapping flooded areas was evaluated. Various geospatial data sources were integrated, including morphological indicators, such as the Geomorphic Flood Index (GFI), Sentinel-2 bands, multispectral indices, and Sentinel-1 polarizations. The reliability of the predictor variables under different training sample sizes was evaluated and the accuracy of the RF classifier was assessed. Moreover, by exploring the algorithm ability to identify the most important variables, the predictors contributing the most to the classification were identified and their stability for varying training parameters was investigated. To gauge the adaptability and consistency of these features, we applied our analyses to different study areas around the World. The results indicate that certain predictors displayed remarkable stability across different sample sizes and remained robust under various training parameters. However, some variability in the algorithm structure and the features related to the specific complexities of each considered study case was also observed. © 2024 The Authors</t>
  </si>
  <si>
    <t>2-s2.0-85193803646"</t>
  </si>
  <si>
    <t>10.1007/s10668-023-03408-5</t>
  </si>
  <si>
    <t>https://www.scopus.com/inward/record.uri?eid=2-s2.0-85161363557&amp;doi=10.1007%2fs10668-023-03408-5&amp;partnerID=40&amp;md5=457c02506391c2fdaa2721ae8d01275e</t>
  </si>
  <si>
    <t>The accelerated urban growth in Macaé had important consequences on socio-spatial organization, especially about housing spaces that became increasingly difficult to be accessed by the low-income population. The most devalued lands, such as mangroves and floodplains, were occupied by the low-income population. The proposal highlighted in this project focuses directly on the problem of rising sea levels and flooding in the urban space of Macaé, which is of social interest. A simulation of future scenarios with sea level rise above the current one, allowing the identification of areas flooded by marine transgression on a time scale of 100 years (for the year 2100). For this, the rate was chosen for the simulation: the greenhouse gas scenario RCP8.5, as given in IPCC's Fifth Assessment Report (AR5) of 2014. A radiative forcing that corresponds to more than 700 ppm CO2-eq, but less than 1500 ppm, the projected increase is 1 m to more than 3 m (medium confidence) and more than 3 m (medium confidence). This assessment is based on the average confidence in the contribution from thermal expansion and low confidence in the modeled contribution modeled contribution of the ice sheets. Therefore, the climate change-induced global mean sea level rise is caused by thermal expansion of ocean water and ocean mass gain, the latter being mainly due to a decrease in land ice mass. The estimated sea-level rise used for the projection of this study is 2.15, as proposed by Grinsted et al. in 2009. © The Author(s), under exclusive licence to Springer Nature B.V. 2023.</t>
  </si>
  <si>
    <t>2-s2.0-85161363557"</t>
  </si>
  <si>
    <t>10.1007/s11769-024-1442-9</t>
  </si>
  <si>
    <t>https://www.scopus.com/inward/record.uri?eid=2-s2.0-85198697798&amp;doi=10.1007%2fs11769-024-1442-9&amp;partnerID=40&amp;md5=1ad70f9eaabaa999484a737b90ae5996</t>
  </si>
  <si>
    <t>Mangroves play a pivotal role in tropical and subtropical coastal ecosystem, yet they are highly vulnerable to the effects of climate change, particularly the accelerated global sea level rise (SLR) and stronger tropical cyclones (TCs). However, there is a lack of research addressing future simultaneous combined impacts of the slow-onset of SLR and rapid-onset of TCs on China’s mangroves. In order to develop a comprehensive risk assessment method considering the superimposed effects of these two factors and analyze risk for mangroves in Dongzhaigang, Hainan Island, China, we used observational and climate model data to assess the risks to mangroves under low, intermediate, and very high greenhouse gas (GHG) emission scenarios (such as SSP1-2.6, SSP2-4.5, and SSP5-8.5) in 2030, 2050, and 2100, and compiled a risk assessment scheme for mangroves in Dongzhaigang, China. The results showed that the combined risks from SLR and TCs will continue to rise</t>
  </si>
  <si>
    <t>10.1016/j.catena.2024.108083</t>
  </si>
  <si>
    <t>https://www.scopus.com/inward/record.uri?eid=2-s2.0-85192467735&amp;doi=10.1016%2fj.catena.2024.108083&amp;partnerID=40&amp;md5=b9381a4dc88838f5e2ebe011d1bb4ea2</t>
  </si>
  <si>
    <t>River is a crucial channel for the transport of terrestrial organic carbon (OCterr) into the sea, and has significant implications for the global carbon cycle. However, with the intensification of human activities within the watershed (such as dams and changes in land use), the sediment and OCterr output from rivers have significantly decreased. To study the influence of human activities on the provenance and transport of particulate organic carbon (POC) exported from the Changjiang River Basin (CRB), we collected suspended particulate matter samples during the rainy season of 2021. The POC content exhibited an increasing trend from the headwater zone to the estuary. Results of three-end-member mixing model indicated that both soil-derived and autochthonous OC (OCauto) contributed approximately more than 40.0 %. Notably, OCauto experienced a significant increase from the Three Gorges Dam (TGD) to estuary in the mainstem, attributed to the sediment interception effect of the TGD. The POC contents in the headwater zone and Jinshajiang River in 2021 were lower compared to those in 2007, which can be attributed to a decrease in cultivated land area and increase sediment trapping by cascade dams. Affected by TGD, the POC content in the middle and lower reaches as well as the delta zone first decreased in 2003 and then increased from 2007 to 2021. Additionally, the degradation of lignin phenols and n-alkanes was influenced by the TGD, which prolonged the retention time of terrestrial plants. Compared to previous studies, the decrease in soil-derived OC and increase in OCauto in CRB, influenced by dams and land use, could have long-lasting effect on carbon burial in the ECS. © 2024 Elsevier B.V.</t>
  </si>
  <si>
    <t>2-s2.0-85192467735"</t>
  </si>
  <si>
    <t>10.1016/j.jhydrol.2024.131443</t>
  </si>
  <si>
    <t>https://www.scopus.com/inward/record.uri?eid=2-s2.0-85196256594&amp;doi=10.1016%2fj.jhydrol.2024.131443&amp;partnerID=40&amp;md5=3f438311735aff8dc5f8aa71c08b4095</t>
  </si>
  <si>
    <t>Onshore pond-based aquaculture occupies a large proportion of coastal fisheries and is vulnerable to marine flooding. One common adaptation strategy is constructing sluices along inlets to prevent flooding. The efficacies of sluices typically depend on gate operation, associated risks, and flooding processes. However, few studies were focused on inundation characteristics and mitigation measures for valuable aquaculture farms. To assess the effectiveness of sluices in flood mitigation, we simulated storm surge inundation processes in a coastal aquaculture farm in the Pearl River Delta, where storm surges frequently occurred. The newly constructed sluice can substantially reduce the extent and severity of flood inundation. The antecedent water levels in fish ponds significantly affected the inundation processes, and a water level of −0.5 ∼ 0 m below mean sea level was a recommended value for reducing inundation risk. Our modeling results regarding the effect of the sluice and antecedent water levels on mitigating flood inundation will provide a reference for flood control of onshore aquaculture farms. © 2024 Elsevier B.V.</t>
  </si>
  <si>
    <t>2-s2.0-85196256594"</t>
  </si>
  <si>
    <t>10.3390/land13060775</t>
  </si>
  <si>
    <t>https://www.scopus.com/inward/record.uri?eid=2-s2.0-85197308436&amp;doi=10.3390%2fland13060775&amp;partnerID=40&amp;md5=c656fe791c325beb8776ae75a59ec4a6</t>
  </si>
  <si>
    <t>New Hanover County, North Carolina, has been experiencing rapid population growth and is expected to continue this growth, leading to increased land use and development in the area. The county is also threatened by sea level rise (SLR) and its effects because of its coastal location and frequent occurrences of major storms and hurricanes. This study used a land change modeler to map the land cover change throughout the county over a period of 20 years, and predicted land cover distribution in the area in the years 2030 and 2050. Statistics revealed that the developed land in the area increased by 85 km2 between 2000 and 2010, and by 60 km2 between 2010 and 2020. Such land is predicted to increase by another 73 km2 by 2030, and 63 km2 by 2050. This increase in development is expected to occur mainly in the central area of the county and along the barrier islands. Modeling of SLR illustrated that the northwestern part of New Hanover County along the Cape Fear River, as well as the beach towns located on the barrier islands, are estimated be the most affected locations. Results indicate that sections of major highways throughout the county, including I-140 near downtown Wilmington and US-421 in Carolina Beach, may be inundated by SLR, which might delay residents during mandatory evacuations for emergency situations such as hurricanes. Some routes may be unusable, leading to traffic congestion on other routes, which may impede some residents from reaching safety before the emergency. Wrightsville Beach and Carolina Beach are estimated to have the highest levels of inundation, with 71.17% and 40.58% of their land being inundated under the most extreme SLR scenario of 3 m, respectively. The use of the present research approach may provide a practical, quick, and low-cost method in modeling rapidly growing urban areas along the eastern United States coastline and locating areas at potential risk of future SLR inundation. © 2024 by the authors.</t>
  </si>
  <si>
    <t>2-s2.0-85197308436"</t>
  </si>
  <si>
    <t xml:space="preserve">Journal of Applied Remote Sensing </t>
  </si>
  <si>
    <t>10.1117/1.JRS.18.034512</t>
  </si>
  <si>
    <t>https://www.scopus.com/inward/record.uri?eid=2-s2.0-85206219988&amp;doi=10.1117%2f1.JRS.18.034512&amp;partnerID=40&amp;md5=6430ab12b7ac354497d1c27a3821b253</t>
  </si>
  <si>
    <t>Multi-source remote sensing data fusion can provide more effective features for crop recognition, but too many feature parameters will cause data redundancy. This work takes the Honghe Hani area of Yunnan Province as the research area, relies on the Google Earth Engine cloud platform, and collaborates with Sentinel-1/2 and Shuttle Radar Topography Mission digital elevation model multi-source remote sensing data to propose a strategy for extracting paddy rice planting areas based on feature optimization and phenological information. First, four kinds of features, including spectrum, texture, polarization, and terrain, are constructed for multi-source remote sensing data, and three critical phenological periods are determined by combining normalized difference vegetation index and VH backscattering coefficient time series curves. Then, recursive feature elimination combined with random forest (RF) is used to optimize the characteristics and determine the optimal phenological period. Finally, paddy rice planting areas are extracted using an RF classifier. The results show that the optimal phenological period for paddy rice extraction is the flooding and transplanting period, the number of features decreases from 48 to 13, the overall accuracy is 98.41%, and the Kappa coefficient is 0.97. The optimized scheme not only reduces the data redundancy but also has higher extraction accuracy than the other 14 feature combination and comparison schemes. © 2024 Society of Photo-Optical Instrumentation Engineers (SPIE).</t>
  </si>
  <si>
    <t>2-s2.0-85206219988"</t>
  </si>
  <si>
    <t>10.5194/nhess-24-2003-2024</t>
  </si>
  <si>
    <t>https://www.scopus.com/inward/record.uri?eid=2-s2.0-85196269966&amp;doi=10.5194%2fnhess-24-2003-2024&amp;partnerID=40&amp;md5=0f8a97171d912f073a6a691848feef55</t>
  </si>
  <si>
    <t xml:space="preserve">Storm surges are a common natural hazard in China's southern coastal area which usually cause a great loss of human life and financial damages. With the economic development and population concentration of coastal cities, storm surges may result in more impacts and damage in the future. Therefore, it is of vital importance to conduct risk assessment to identify high-risk areas and evaluate economic losses. However, quantitative study of storm surge risk assessment in undeveloped areas of China is difficult, since there is a lack of building character and damage assessment data. Aiming at the problem of data missing in undeveloped areas of China, this paper proposes a methodology for conducting storm surge risk assessment quantitatively based on deep learning and geographic information system (GIS) techniques. Five defined storm surge inundation scenarios with different typhoon return periods are simulated by the coupled FVCOM-SWAN (Finite Volume Coastal Ocean Model-Simulating WAves Nearshore) model, the reliability of which is validated using official measurements. Building footprints of the study area are extracted through the TransUNet deep learning model and remote sensing images, while building heights are obtained through unoccupied aerial vehicle (UAV) measurements. Subsequently, economic losses are quantitatively calculated by combining the adjusted depth-damage functions and overlaying an analysis of the buildings exposed to storm surge inundation. Zoning maps of the study area are provided to illustrate the risk levels according to economic losses. The quantitative risk assessment and zoning maps can help the government to provide storm surge disaster prevention measures and to optimize land use planning and thus to reduce potential economic losses in the coastal area.  © Copyright: </t>
  </si>
  <si>
    <t>2-s2.0-85196269966"</t>
  </si>
  <si>
    <t>10.5194/nhess-24-2461-2024</t>
  </si>
  <si>
    <t>https://www.scopus.com/inward/record.uri?eid=2-s2.0-85199150873&amp;doi=10.5194%2fnhess-24-2461-2024&amp;partnerID=40&amp;md5=9261977309d92a9001cb68affda750f7</t>
  </si>
  <si>
    <t>Based on the projected increase in hurricane landfall frequency on the middle to lower US east coast, we examined the crucial role of the estuarine wind field in exacerbating coastal flooding. A regionally refined atmospheric and two high-resolution hydrology and ocean models are integrated to provide plausible and physically consistent ensembles of hurricane events and the associated flooding inside the Delaware Bay and River, a US mid-Atlantic estuary. Model results show that the hurricane propagation direction, estuarine geometry, remote surge from the open ocean, and direct nearshore upwind stress could magnify the flood magnitude. More specifically, inland-bound tracks that make landfall before reaching the mid-Atlantic coast produce a more significant surge within Delaware Bay than the shore-parallel tracks, where the estuarine wind direction plays the primary role in surge amplification. Ultimately, this study emphasized the need for integrated models to capture the nonlinear dynamics and interactions in flood hazard modeling. © Author(s) 2024.</t>
  </si>
  <si>
    <t>2-s2.0-85199150873"</t>
  </si>
  <si>
    <t>Marine Resource Economics</t>
  </si>
  <si>
    <t>10.1086/729868</t>
  </si>
  <si>
    <t>https://www.scopus.com/inward/record.uri?eid=2-s2.0-85197396884&amp;doi=10.1086%2f729868&amp;partnerID=40&amp;md5=40ec3f02f5b9c9b17df622980f7d292a</t>
  </si>
  <si>
    <t>Managed retreat is a climate adaptation strategy involving government buyouts of at-risk properties that is currently underutilized in coastal areas of the United States. These programs often require both voluntary homeowner applications and municipal government support for a successful buyout. We use a conceptual framework and a set of empirical models with data from a buyout program in a coastal state to develop descriptive evidence on potential barriers to successful managed-retreat policies in high-risk coastal areas. Key factors influencing buyout success can be associated with municipal budgets, including revenues, expenditures, debt, and government transfers. Importantly, revenue impacts related to property taxes appear to contribute to fewer buyouts, suggesting a potential principal-agent problem related to climate resilience in high-value coastal housing markets. Recognition of the combination of factors that may represent barriers to adoption may help the design and implementation of future programs and improve coastal climate adaptation strategies. © 2024 MRE Foundation, Inc.</t>
  </si>
  <si>
    <t>2-s2.0-85197396884"</t>
  </si>
  <si>
    <t>10.3390/geohazards5020026</t>
  </si>
  <si>
    <t>https://www.scopus.com/inward/record.uri?eid=2-s2.0-85197149355&amp;doi=10.3390%2fgeohazards5020026&amp;partnerID=40&amp;md5=f15706bcd3c46620f397cea2c95ed28b</t>
  </si>
  <si>
    <t>The catastrophic failure of two dams in Libya on 10 and 11 September 2023 resulted in the devastating flooding of the city of Derna, which is located downstream of the dams, causing more than 6000 fatalities and displacing thousands of residents. The failure was attributed to heavy rainfall from Storm Daniel, leading to the dams reaching full capacity and subsequently overflowing and failing. This paper presents an analysis of the dam break, including the modelling of flow discharge and the resulting flooding of Derna. For validation purposes, this study compares the modelled quantities with post-event satellite imagery from UNOSAT and Copernicus, local reports, and data collected from social media using AI detection. The findings provide valuable insights into the dynamics of the dam break and its initial parameters, as well as an assessment of the accuracy of the results. The analysis is performed using a rapid estimation technique developed by JRC to provide the international emergency community with a swift overview of the impact and damage assessment of potential or actual dam break events. The use of all available data shows a satisfactory comparison with the calculated quantities. The rapid modelling of dam break events and combined analysis of multiple data types are proven suitable for promptly assessing the expected dynamic of the event, as well as reconstructing the unknown initial conditions before the break. Incorporating sensitivity analyses provides an estimate of the uncertainties associated with the deduced values of the unknown parameters and their relative importance in the analysis. © 2024 by the authors.</t>
  </si>
  <si>
    <t>2-s2.0-85197149355"</t>
  </si>
  <si>
    <t>10.1016/j.margeo.2024.107326</t>
  </si>
  <si>
    <t>https://www.scopus.com/inward/record.uri?eid=2-s2.0-85195212730&amp;doi=10.1016%2fj.margeo.2024.107326&amp;partnerID=40&amp;md5=1a5cf9f81ac3e521dc611adcdbc694d9</t>
  </si>
  <si>
    <t>We investigated the Late Pleistocene-Holocene crustal vertical movements off the coast of Marzamemi village in SE Sicily, Italy. By using a Synchronous Correlation Approach (SCA), we analysed terraced landforms that characterize a submerged sector within one of Southern Italy's most seismically active regions. In this area, the emerging portion of the NE-SW oriented bulge of the African foreland structurally shapes the coastal and marine regions off Marzamemi village. Based on a newly created 17 km2 high-resolution bathymetric map generated from a Multibeam Echosounder (MBES) survey conducted in June 2021, we identified and examined four main paleo-shorelines identifying four submerged terraces. Terraced landforms play a crucial role in reconstructing Quaternary glacial and interglacial stages, offering insights into associated sea level fluctuations. Through the application of the SCA, our goal is to refine the chronology of these recently mapped and submerged marine terraces off the Marzamemi village, thereby contributing to the calculation of associated rates of crustal vertical movements. We demonstrate that these rates persist constantly throughout the Late Pleistocene-Holocene epoch, suggesting overall tectonic stability, with a slight and likely local fault-related subsidence. We explore a few chronology scenarios, raising questions about whether these submerged marine terraces are indeed recording the Late Pleistocene-Holocene limit or not. This research contributes to a better understanding of the geological dynamics in this region and sheds light on the potential factors influencing coastal landscape development over time. © 2024 Elsevier B.V.</t>
  </si>
  <si>
    <t>2-s2.0-85195212730"</t>
  </si>
  <si>
    <t>10.1016/j.ijdrr.2024.104526</t>
  </si>
  <si>
    <t>https://www.scopus.com/inward/record.uri?eid=2-s2.0-85192232806&amp;doi=10.1016%2fj.ijdrr.2024.104526&amp;partnerID=40&amp;md5=766a423754e0784d1f0d9f6157192cbd</t>
  </si>
  <si>
    <t>A significant and unprecedented increase of temperature has been recorded worldwide during the last decades, leading to the occurrence of numerous extreme events. Coastal areas, with their high population density, interconnected economic activities, fragile ecosystems, are particularly vulnerable to climate change impacts. These impacts can be intensified by the interactions of multiple hazards which operate at different spatio-temporal scales and affect exposure and vulnerability patterns. An integrated approach is here proposed to assess the relationship between risk factors and to evaluate the multiplicity of impacts that may affect the coastline. A new path to tackle these multi-risk events is offered by ML algorithms to effectively handle vast amounts of heterogenous data, and model complex non-linear relationships between multiple factors and feedback mechanisms. To assess impacts caused by extreme events (storm surges, extreme precipitation, wind events) in the Veneto coastal municipalities, a ML approach was developed to understand connections between atmospheric and marine hazards and impacts recorded by the Veneto region emergency archive during the 2009–2019 timeframe, identifying the most influencing factors triggering multiple risks. Additionally, the coastal municipalities were clustered considering the intrinsic relationships between impact occurrences, exposure and vulnerability features. Several algorithms were compared to estimate daily risk of impacts to occur providing hazards, exposure and vulnerability information. The MLP algorithm showed satisfactory performances (weighted-F1-score of 0.94) to estimate the relative importance of input features. The proposed algorithm was designed as support tool to increase the understanding of impacts’ occurrence in coastal areas, thus helping the adaptation planning process. © 2024 The Authors</t>
  </si>
  <si>
    <t>2-s2.0-85192232806"</t>
  </si>
  <si>
    <t>10.3390/land13060838</t>
  </si>
  <si>
    <t>https://www.scopus.com/inward/record.uri?eid=2-s2.0-85197298350&amp;doi=10.3390%2fland13060838&amp;partnerID=40&amp;md5=2d0cca40bb33999a12fd48de3bd1a3c6</t>
  </si>
  <si>
    <t>Water-related cultural heritage architecture (WRCHA) represents a globally significant and potentially hybrid heritage found across river basins worldwide. Its spatial and temporal evolution characteristics offer insight into the development trends of river basin environments, yet their value within water-related cultural and environmental systems remain incompletely assessed. This study undertakes qualitative and quantitative analyses of the historical spatial and temporal distributions, influencing factors, and environmental changes affecting the water-related culture, climate, population, and urban areas of 295 WRCHA sites in the Li River Basin of China, employing drought–flood indices, GIS analyses, random forest algorithms, and other methodologies. The results reveal that (1) the Lishui Basin contains a significant distribution pattern of agglomeration for WRCHA within the river basin, concentrated along the river, at low altitudes, with minimal terrain variation, and radiating around ancient governance centers, with varying increases observed across different periods and aggregation zones and with significant spatial and temporal heterogeneities</t>
  </si>
  <si>
    <t>10.1007/s43545-024-00909-6</t>
  </si>
  <si>
    <t>https://www.scopus.com/inward/record.uri?eid=2-s2.0-85207313604&amp;doi=10.1007%2fs43545-024-00909-6&amp;partnerID=40&amp;md5=e77bd374711a6ffd1b35369deda82232</t>
  </si>
  <si>
    <t>Flooding is a global phenomenon with devastating effects on human lives, livelihoods, and properties. Flood risk management is key to reducing floods’ environmental and socio-economic impacts. The mapping and prediction accuracy of flood models have been a challenge in developing countries due to a lack of high-resolution remote sensing data. With the advent of drone technology, the challenge would be mitigated and afford more accurate spatial analysis of flood occurrence and prediction. This study focused on optimizing flood risk assessment in the Greater Accra Metropolitan Area, utilizing high-resolution imagery obtained from drones and Digital Elevation Models (DEMs) from Google Earth to understand the hydrologic processes and use them with other variables to map high flood-risk zones. An example-based classification workflow was used to classify and extract features or objects in the study area. Features were classified into bare soil (8.15%), building (30.7%), parking, pavement, and sidewalk (23.52%), road (17.74%), vegetation (18.51%), and water (1.34%). The extracted data was then reclassified as impervious (72%) and pervious surfaces (26.7%), while the remaining area was considered a water body. The DEM was used for slope, elevation, topographic wetness index (TWI), drainage density, and drainage basin. All these datasets were combined with geology using weighted overlay analysis in ArcMap. The weights of prediction variables were obtained from the pairwise comparison of the analytic hierarchy process (AHP). The flood risk map showed 13% high-risk zones in areas such as Kokomlemle, Christianborg, parts of Adabraka, and Osu. About 33% of the study area had a moderate risk of flooding, while 54% had a low risk of flooding. This approach, utilizing high-resolution imagery and AHP, surpasses previous models dependent on low-resolution satellite images and DEMs, offering a more refined understanding of flood-prone areas. Field observations validated our findings, confirming the accuracy of the identified flood-prone regions during heavy rainfall. The significance of this study lies in providing detailed, reliable flood risk information crucial for sustainable planning and emergency response, especially in an area under constant rezoning pressure for residential purposes. © The Author(s), under exclusive licence to Springer Nature Switzerland AG 2024.</t>
  </si>
  <si>
    <t>2-s2.0-85207313604"</t>
  </si>
  <si>
    <t>10.5194/essd-16-3471-2024</t>
  </si>
  <si>
    <t>https://www.scopus.com/inward/record.uri?eid=2-s2.0-85200478529&amp;doi=10.5194%2fessd-16-3471-2024&amp;partnerID=40&amp;md5=625b95b0d0c775b5b45b071832d08b9e</t>
  </si>
  <si>
    <t>Coastal communities around the world are increasingly exposed to extreme events that have been exacerbated by rising sea levels. Sustainable adaptation strategies to cope with the associated threats require a comprehensive understanding of past and possible future changes. Yet, many coastlines lack accurate long-term sea-level observations. Here, we introduce a novel probabilistic near-global reconstruction of relative sea-level changes and their causes over the period from 1900 to 2021. The reconstruction is based on tide gauge records and incorporates prior knowledge about physical processes from ancillary observations and geophysical model outputs, allowing us, for the first time, to resolve individual processes and their uncertainties. We demonstrate good agreement between the reconstruction and satellite altimetry and tide gauges (if local vertical land motion is considered). Validation against steric height estimates based on independent temperature and salinity observations over their overlapping periods shows moderate to good agreement in terms of variability, though with larger reconstructed trends in three out of six regions. The linear long-term trend in the resulting global-mean sea-level (GMSL) record is 1.5 ± 0.19 mmyr-1 since 1900, a value consistent with central estimates from the 6th Assessment Report of the Intergovernmental Panel on Climate Change. Multidecadal trends in GMSL have varied</t>
  </si>
  <si>
    <t>Latin American Journal of Sedimentology and Basin Analysis</t>
  </si>
  <si>
    <t>https://www.scopus.com/inward/record.uri?eid=2-s2.0-85203074892&amp;partnerID=40&amp;md5=83004034d1cd18cafa424dab6c31f899</t>
  </si>
  <si>
    <t>Low-lying coasts are specially conditioned for the origin and development of coastal lagoons. The Pampean region (Buenos Aires, Argentina) contains the surplus of a sea level fluctuation that occurred during the last 6000 years. This report shows results from the study of three coastal lagoons at different stages of their evolution: Mar Chiquita coastal lagoon, Las Brusquitas estuarine lagoon, and the small coastal lagoon of Balneario Reta. The long-term evolution is considered in the case of Mar Chiquita and Las Brusquitas, while modern trends are also described for the Mar Chiquita silting problems and the urbanisation of the Reta village surrounding the lagoon. The study is based on radiocarbon datings, salinity analyses, and sedimentological records on outcrops and piston cores. At Mar Chiquita coastal lagoon, a shallow open bay has been restricting since the Middle Holocene, causing the development of marshes and tidal flats between cheniers and regressive spits. Its evolution is therefore conditioned to high-energy events that reworked bioclastic sands (cheniers and regressive spits) and the silting of fine sediments. The sequence cropping out at the outlet of the Las Brusquitas creek extended temporally between 6190 and 2380 14C years BP</t>
  </si>
  <si>
    <t>10.1007/s10584-024-03734-1</t>
  </si>
  <si>
    <t>https://www.scopus.com/inward/record.uri?eid=2-s2.0-85196806919&amp;doi=10.1007%2fs10584-024-03734-1&amp;partnerID=40&amp;md5=aa090b190332230b24944da86641554f</t>
  </si>
  <si>
    <t>We present a framework for developing storylines of UK sea level rise to aid risk communication and coastal adaptation planning. Our approach builds on the UK national climate projections (UKCP18) and maintains the same physically consistent methods that preserve component correlations and traceability between global mean sea level (GMSL) and local relative sea level (RSL). Five example storylines are presented that represent singular trajectories of future sea level rise drawn from the underlying large Monte Carlo simulations. The first three storylines span the total range of the Intergovernmental Panel on Climate Change (IPCC) Sixth Assessment Report (AR6) likely range GMSL projections across the SSP1-2.6 and SSP5-8.5 scenarios. The final two storylines are based upon recent high-end storylines of GMSL presented in AR6 and the recent literature. Our results suggest that even the most optimistic sea level rise outcomes for the UK will require adaptation of up to 1 m of sea level rise for large sections of coastline by 2300. For the storyline most consistent with current international greenhouse gas emissions pledges and a moderate sea level rise response, UK capital cities will experience between about 1 and 2 m of sea level rise by 2300, with continued rise beyond 2300. The storyline based on the upper end of the AR6 likely range sea level projections yields much larger values for UK capital cities that range between about 3 and 4 m at 2300. The two high-end scenarios, which are based on a recent study that showed accelerated sea level rise associated with ice sheet instability feedbacks, lead to sea level rise for UK capital cities at 2300 that range between about 8 m and 17 m. These magnitudes of rise would pose enormous challenges for UK coastal communities and are likely to be beyond the limits of adaptation at some locations. © Crown 2024.</t>
  </si>
  <si>
    <t>2-s2.0-85196806919"</t>
  </si>
  <si>
    <t>10.1016/j.heliyon.2024.e34832</t>
  </si>
  <si>
    <t>https://www.scopus.com/inward/record.uri?eid=2-s2.0-85199108886&amp;doi=10.1016%2fj.heliyon.2024.e34832&amp;partnerID=40&amp;md5=97dc43d50bc1bd92bddbce8d946b3dfd</t>
  </si>
  <si>
    <t>The problem of extreme phenomena with a more precise estimation of their return periods for early warnings, notably to preserve the safety of populations and properties, arises all over the world. This work develops another aspect in the estimation of Return Levels (RLs) and Return Periods (RPs) of extreme precipitation in particular and natural risk in general. In particular, it gives the Return Dates (RDs) with their Confidence Intervals (CIs). The RPs, the RLs and their CIs for extreme rainfall were also investigated. These estimates were made by approaching the peak over a threshold chosen by the Generalized Pareto Distribution (GPD). The CIs of RPs and RLs were determined by the Delta method. The daily rainfall data used were obtained from the data of the synoptic report for the period 2011 to 2021 for the Douala weather station (more details can be found on http://www.ogimet.com/guia.phtml.en). To validate the methods used, real cases of floods occurred in Douala city were considered: for example, a local press compiled flood dates and mentioned that a flood occurred on the April 16, 2013 in this city. Following the data of synoptic report, the corresponding amount of rainfall was around 150 mm. The results obtained have shown a RD on the August 12, 2014. The confidence intervals of return levels and return dates determined by the Delta method were [131.66, 168.456] and [June 23, 2014, January 02, 2015], respectively. These results are in agreement with the data of synoptic report since the rainfall amounts was 132.2 mm (belonging to the confidence interval of return levels), on the August 11, 2014 (belonging to the confidence interval of return dates). These predictions of RDs and RLs with their CIs, at reasonable time scales, can help for efficient management of floods and thus, improve early warnings for safety of populations and goods. © 2024</t>
  </si>
  <si>
    <t>2-s2.0-85199108886"</t>
  </si>
  <si>
    <t>10.1016/j.nhres.2023.09.008</t>
  </si>
  <si>
    <t>https://www.scopus.com/inward/record.uri?eid=2-s2.0-85194050491&amp;doi=10.1016%2fj.nhres.2023.09.008&amp;partnerID=40&amp;md5=095cb848280c5e0dc9add75ab6691ec4</t>
  </si>
  <si>
    <t>The coastal region is not a constant and depends on several physical elements. Analogous to the world trend, the coastal areas of Tamil Nadu are encountering sea level rise and associated shoreline changes. However, the rate of change is not uniform and varies considerably. The study revealed such differences in shoreline changes during the past 30 years and identified erosion and accretion patterns trends in Tamil Nadu's coastal watersheds, from Pulicat (Thiruvallur district) to Kodyar (Kanyakumari district). The study used remotely sensed Landsat TM (Thematic Mapper) and OLI (Operational Land Imager) datasets to analyse shoreline changes from 1988 to 2018. The Digital Shoreline Analysis System (DSAS) tool is used to derive trends of shoreline changes by End Point Rate (EPR) and Net Shoreline Movement (NSM). The mean EPR is- 0.26 ​m/yr and NSM is-8.03 ​m/yr, suggesting the overall shoreline of the Tamil Nadu coast is shifting landward. However, the annual rates of EPR and NSM vary considerably from watershed to watershed, and therefore, these indices were used to categorise the coastal watersheds based on erosions and accretions. The results identified a high erosion rate in the watersheds of Coleroon, Arasalar (Nagapattinam), Gundar (Ramanathapuram), Vembar, Lower Vaippar (Thoothukkudi), Nambiyar, Hanuma (Tirunelveli), and Putian, Kodyar (Kanyakumari). Field surveys were conducted to verify ground conditions at 139 random locations along the 1000 ​km shoreline stretch. About 75% of respondents said they experience a very high to high risk of coastal erosion. The rates estimated by the study and categorisation of the coastal watersheds could be most helpful in evaluating the cumulative impact of coastal hazards and preparing sustainable development plans. The outcomes may also help to create awareness in more susceptible areas. © 2023 National Institute of Natural Hazards, Ministry of Emergency Management of China</t>
  </si>
  <si>
    <t>2-s2.0-85194050491"</t>
  </si>
  <si>
    <t>10.1016/j.atmosres.2024.107421</t>
  </si>
  <si>
    <t>https://www.scopus.com/inward/record.uri?eid=2-s2.0-85191172570&amp;doi=10.1016%2fj.atmosres.2024.107421&amp;partnerID=40&amp;md5=e7a74bce1308abee6f7130de68cec008</t>
  </si>
  <si>
    <t>Liguria, located in the Northwest of Italy, is one of the Italian regions hit in the recent past by some of the most severe precipitation events among the ones observed in Italy. From a synoptic point of view, similar configurations characterize the extreme events that affected Liguria, i.e. the simultaneous presence of a deep pressure minimum west of the region and a strong high pressure over eastern Europe. Such conditions are favorable to the triggering of a quasi-stationary mesoscale V-shaped convective system over the Ligurian Sea. Furthermore, this kind of configuration is favorable to the formation and intrusion of wide plumes of aerosol, mainly mineral dust from the Sahara Desert and sea salt aerosols generated under high wind conditions in the Mediterranean basin. The present study aims at evaluating the impact that these aerosol plumes can have on meteorological fields during the triggering and evolution of the deep convective systems responsible for the Liguria flooding events. This study is carried out through numerical simulations performed with the WRF-Chem model, version 4.0. In particular, our main aim is to investigate the influence that the so-called direct (aerosol-radiation) and indirect (aerosol-cloud) interactions may have on mesoscale V-shape convective systems and on the associated rainfall events. In the simulations in which the direct aerosol effects are switched on, a consistent weakening signal is identified in the wind speed in all simulations</t>
  </si>
  <si>
    <t>10.1007/s11852-024-01050-5</t>
  </si>
  <si>
    <t>https://www.scopus.com/inward/record.uri?eid=2-s2.0-85193042801&amp;doi=10.1007%2fs11852-024-01050-5&amp;partnerID=40&amp;md5=1ca55dd48d98f163a067bf5499fdeeea</t>
  </si>
  <si>
    <t>The impact of waves, storm surge, and aeolian transport associated with Post-tropical Storm Fiona (offshore significant wave height ∽ 8 m, storm surge up to 2 m) on the sandy beaches and foredunes of the north shore of Prince Edward Island National Park (PEINP), Canada, are assessed. Management policies and practices, as they apply to sandy beach systems within PEINP, are reviewed in the context of the shoreline changes attributed to Fiona. The effectiveness of these policies and practices are evaluated to inform the potential performance of beach-foredune systems as natural protection measures that mitigate the impacts of large-magnitude storms and relative sea-level rise (RSLR) on shoreline change. The analyses utilise survey data, ground photography, and unoccupied aerial vehicle (UAV) imagery collected before (October 2021 to July 2022) and after (October 2022 and May 2023) Fiona. In general, the largest dunes were characterised by erosion of the stoss slope, with landward retreat of the dune toe by &lt; 6 m and minimal impact on crest height and position. Small foredunes (&lt; 5 m in height) generally showed significantly greater erosion in terms of dune profiles, with dune breaching occurring at some locations. Foredunes perched on bedrock and till, which were typically smallest in size, were subject to complete erosion, thereby exposing the hard underlying surface. Overall, the impact of Fiona on sandy beach systems in PEINP was relatively modest in many locations, reflecting the success of existing management policies and practices that protect and maintain the integrity of foredunes by minimizing human impacts and avoiding ‘coastal squeeze’. © The Author(s) 2024.</t>
  </si>
  <si>
    <t>2-s2.0-85193042801"</t>
  </si>
  <si>
    <t>10.1002/esp.5808</t>
  </si>
  <si>
    <t>https://www.scopus.com/inward/record.uri?eid=2-s2.0-85186606033&amp;doi=10.1002%2fesp.5808&amp;partnerID=40&amp;md5=6463916e056ed0b79cc033a38a8c10db</t>
  </si>
  <si>
    <t>Topo-bathymetric LiDAR (TBL) can provide a continuous digital elevation model (DEM) for terrestrial and submerged portions of rivers. This very high horizontal spatial resolution and high vertical accuracy data can be promising for flood plain mapping using hydrodynamic models. Despite the increasing number of papers regarding the use of TBL in fluvial environments, its usefulness for flood mapping remains to be demonstrated. This review of real-world experiments focusses on three research questions related to the relevance of TBL in hydrodynamic modelling for flood mapping at local and regional scales: (i) Is the accuracy of TBL sufficient? (ii) What environmental and technical conditions can optimise the quality of acquisition? (iii) Is it possible to predict which rivers would be good candidates for TBL acquisition? With a root mean square error (RMSE) of 0.16 m, results from real-world experiments confirm that TBL provides the required vertical accuracy for hydrodynamic modelling. Our review highlighted that environmental conditions, such as turbidity, overhanging vegetation or riverbed morphology, may prove to be limiting factors in the signal's capacity to reach the riverbed. A few avenues have been identified for considering whether TBL acquisition would be appropriate for a specific river. Thresholds should be determined using geometric or morphological criteria, such as rivers with steep slopes, steep riverbanks, and rivers too narrow or with complex morphologies, to avoid compromising the quality or the extent of the coverage. Based on this review, it appears that TBL acquisition conditions for hydrodynamic modelling for flood mapping should optimise the signal's ability to reach the riverbed. However, further research is needed to determine the percentage of coverage required for the use of TBL as a source of bathymetry in a hydrodynamic model, and whether specific river sections must be covered to ensure model performance for flood mapping. © 2024 The Authors. Earth Surface Processes and Landforms published by John Wiley &amp; Sons Ltd.</t>
  </si>
  <si>
    <t>2-s2.0-85186606033"</t>
  </si>
  <si>
    <t>10.1029/2023EA003418</t>
  </si>
  <si>
    <t>https://www.scopus.com/inward/record.uri?eid=2-s2.0-85196153558&amp;doi=10.1029%2f2023EA003418&amp;partnerID=40&amp;md5=7f0a79df03d4dac2578baee64f9684d9</t>
  </si>
  <si>
    <t>Global human-induced warming has intensified water circulation in the atmospheric environment and altered the streamflow generation regime. The VIC hydrological model approach for impact assessment of climate change and human activities mainly focuses on variations in streamflow, but ignores other critical flooding characteristics induced by extreme streamflow, especially bivariate flooding characteristics. In this work, the copula functions are employed to structure the flooding risk under the shared socioeconomic pathway (SSP) across the Yellow River basin (YRB). This is based on the multi-model ensemble (MME) and Delta downscaling outputs (Delta-MME) of the CMIP6 global climate models (GCMs), as well as the flooding characteristics simulated by VIC hydrological model. Compared to the reference period (1995–2014), Delta-MME reveals a significant warming and humidifying trend under three SSPs over the YRB. Despite uncertainties originating from climate variables and hydrological model, multiple findings underscore the substantial influence of climate change on the flooding generation regime in YRB. This includes: (a) an increase in the streamflow under all SSPs</t>
  </si>
  <si>
    <t>10.1016/j.heliyon.2024.e33120</t>
  </si>
  <si>
    <t>https://www.scopus.com/inward/record.uri?eid=2-s2.0-85196317579&amp;doi=10.1016%2fj.heliyon.2024.e33120&amp;partnerID=40&amp;md5=be3c96ebc0b9700d83d3a8d6c59dc2ca</t>
  </si>
  <si>
    <t>This research investigates the impact of sea level rise (SLR) on the Indus Delta, a vital ecosystem increasingly vulnerable to climate change repercussions. The objective of this study is to comprehensively assess the flooded areas under various shared socioeconomic pathway (SSP) scenarios based on the Intergovernmental Panel on Climate Change's (IPCC) 6th Assessment Report. The study employs a GIS-based bathtub model, utilizing historical (1995–2014) and IPCC-projected (2020–2150) tide gauge data from Karachi, Kandla, and Okha stations to identify potential inundated areas threatened by coastal flooding. Additionally, it analyzes LANDSAT-derived multispectral images to identify coastal erosion hotspots and changes in the landscape. A supervised random forest classifier is used to classify major landforms and understand alterations in land cover. Furthermore, neural network-based cellular automata simulations are applied to predict future land cover for 2050, 2100, and 2150 at risk of inundation. The results indicate that under different SSP scenarios, the estimated inundated land area varies from 307.36 km2 (5 % confidence on SSP1-1.9) to 7150.8 km2 (95 % confidence on SSP5-8.5). By 2150, the region will lose over 550 km2 of agricultural land and 535 km2 of mangroves (mean SLR projection). This work emphasizes identifying sensitive land cover for SLR-induced coastal flooding. It might fuel future policy and modeling endeavors to reduce SLR uncertainty and build effective coastal inundation mitigation methods. © 2024</t>
  </si>
  <si>
    <t>2-s2.0-85196317579"</t>
  </si>
  <si>
    <t>10.1029/2024GL108886</t>
  </si>
  <si>
    <t>https://www.scopus.com/inward/record.uri?eid=2-s2.0-85195664532&amp;doi=10.1029%2f2024GL108886&amp;partnerID=40&amp;md5=47584e7e3a3302d79fc3e5a3e8fd4211</t>
  </si>
  <si>
    <t>With climate change, there will be higher requirements for monitoring storm surges (SSs) in nearshore areas. However, this capability is limited by the sparseness of tide gauge (TG) stations. Establishing and maintaining a permanent, high-spatial coverage, in situ TG network is complex and expensive. Here, we propose a joint modeling method developed from the all-site modeling data-driven framework by importing temporary TGs into coastal regions with insufficient permanent TG stations. The assessments show that this method can significantly optimize the capability of extreme SS monitoring during typhoons and hurricanes. Moreover, the evaluation based on Coupled Model Intercomparison Project Phase 6 data indicates that it will monitor extreme SSs more effectively during 2025–2050 compared with only using existing permanent in situ TGs (reducing root mean square error and absolute mean bias by ∼50%). The joint modeling method provides an applicable and sustainable solution for optimizing the SS monitoring capability in coastal areas. © 2024. The Author(s).</t>
  </si>
  <si>
    <t>2-s2.0-85195664532"</t>
  </si>
  <si>
    <t>Canadian Journal of Earth Sciences</t>
  </si>
  <si>
    <t>10.1139/cjes-2023-0098</t>
  </si>
  <si>
    <t>https://www.scopus.com/inward/record.uri?eid=2-s2.0-85205352589&amp;doi=10.1139%2fcjes-2023-0098&amp;partnerID=40&amp;md5=9f8798d662161f54a073951ae1b77f02</t>
  </si>
  <si>
    <t>Indigenous oral traditions of the Lí’lwat Nation recount observations of Q ’welq ’welústen (Mount Meager), a Garibaldi Volcanic Belt volcano in southwestern British Columbia, Canada</t>
  </si>
  <si>
    <t>10.3390/rs16111853</t>
  </si>
  <si>
    <t>https://www.scopus.com/inward/record.uri?eid=2-s2.0-85195838295&amp;doi=10.3390%2frs16111853&amp;partnerID=40&amp;md5=c52e36afacd03aa2089355f24709890b</t>
  </si>
  <si>
    <t>The Inner Niger Delta (IND), one of the largest floodplain systems in Africa, sustains the livelihoods of more than three million people and is a driver of the rural economy of Mali as far as agriculture, fish production, and livestock are concerned. Because the IND ecosystem and economy are flood-dependent, it is important to monitor seasonal flooding variations. Many attempts to accomplish this task have relied on detailed datasets, such as daily discharge, daily rainfall, and evapotranspiration, which are not easily accessible for data-sparse areas. Additionally, because the area is large, this remains a challenging task. In this study, the interannual variability of seasonal inundation in the IND was investigated by leveraging the computing power of the Google Earth Engine and its large catalogue of open datasets. The main objective was to analyse the temporal and spatial distributions of the inundation extent during the last 13 years. A collection of Landsat 5, 7, 8, and 9 images were composited and different bands were used with various water and vegetation indices in a pixel-based supervised classification to detect the flood extent between 2010 and 2022. A significant improvement in classification accuracy was observed thanks to the different indices. The results suggest a general increasing trend in the maximum annual inundation extent. Throughout the study period, the maximum inundated area varied between 15,209 km2 in autumn 2011 and 21,536 km2 in autumn 2022. The upstream water intake led to a decrease of about 6–10% of the inundated area. Similar fluctuations in the inundated area, precipitation, and river discharge were observed. The proposed approach demonstrates a great potential for monitoring annual inundation, especially for large areas such as the IND, where in situ measurements are sparse. © 2024 by the authors.</t>
  </si>
  <si>
    <t>2-s2.0-85195838295"</t>
  </si>
  <si>
    <t>10.1016/j.ijdrr.2024.104519</t>
  </si>
  <si>
    <t>https://www.scopus.com/inward/record.uri?eid=2-s2.0-85192472789&amp;doi=10.1016%2fj.ijdrr.2024.104519&amp;partnerID=40&amp;md5=9f7485743e8afd65f6c049f98772da95</t>
  </si>
  <si>
    <t>With global climate change and continuous urbanization exacerbating floods, urban flood resilience (UFR) has become a key to cope with floods. However, few studies target frameworks of UFR assessment at the urban agglomeration scale over a longer time span. This study, taking the Yangtze River Delta urban agglomeration as a case study, developed an evaluation framework to detail the building of a final evaluation index system of UFR, to analyze UFR's driving factors and spatiotemporal features based on the SSA-PP-KL-TOPSIS (projection pursuit based on sparrow search algorithm-Kullback-Leibler-technique for order of preference by similarity to ideal solution) model. From the perspectives of comparing numerical values and spatial distribution results, the evaluation indicators and method proposed in this article perform better. The case results showed that UFR displayed an overall growth trend and significant spatial heterogeneities. The economic, social, and infrastructure resilience showed a similar growth trend, while the environmental resilience demonstrated a decreasing trend. Environmental resilience has become a weak link in improving resilience. Higher resilience levels were concentrated in the central metropolis, provincial capitals, and industrial cities. The findings could be of use to researchers and practitioners, and the framework presented would be of reference to other flood-stricken areas. © 2024 The Authors</t>
  </si>
  <si>
    <t>2-s2.0-85192472789"</t>
  </si>
  <si>
    <t>10.1007/s12524-024-01875-5</t>
  </si>
  <si>
    <t>https://www.scopus.com/inward/record.uri?eid=2-s2.0-85194110806&amp;doi=10.1007%2fs12524-024-01875-5&amp;partnerID=40&amp;md5=be9ea09a695fc2c33dfce47dd744b660</t>
  </si>
  <si>
    <t>Flooding risk assessment clearly shows the urgent need for an evaluation planning program to mitigate hazards for vital areas. The Nile Valley area is always attacked by flooding</t>
  </si>
  <si>
    <t>10.1016/j.quageo.2024.101530</t>
  </si>
  <si>
    <t>https://www.scopus.com/inward/record.uri?eid=2-s2.0-85191780586&amp;doi=10.1016%2fj.quageo.2024.101530&amp;partnerID=40&amp;md5=2d1f99b02536a8c92ffbf3dd10abaa50</t>
  </si>
  <si>
    <t>Reliable chronology is crucial for reconstructing delta processes. The past decades witnessed a boost of dating works on the most economically influential large deltas (i.e., subaerial area &gt;1000 km2), but chronology remains lacking on many small deltas (i.e., subaerial area &lt;1000 km2) that are also densely populated and economically active. Luohe River Delta (LRD) in the coastal South China Sea is such a small delta, whose evolution concerns hundreds of thousands of people, and literally no reliable dating results have been reported to support research of its processes. Herein, dating work combining radiocarbon (14C) on mollusk shells and quartz Optically Stimulated Luminescence (OSL) methods were performed on core LFZK06 from LRD, to test applicability of both methods by age comparison and to establish a chronological framework, using Bayesian age-depth models, of LRD for the first time. 14C ages are systematically c. 0.5–1 ka younger than OSL ages from the same depths. Such young bias of 14C ages in LRD contrasts with previously observed overestimated 14C results in the nearby Pearl River Delta (PRD), likely due to the distinction in bedrock types between Luohe River (granites and sandstones only) and Pearl River (limestone prevalence causing hardwater effect) drainages. Ages of core LFZK06 span from 57 ± 7 ka to 3.42 ± 0.05 cal ka BP and contain a hiatus between 57±7–11.9 ± 1.7 ka. Holocene deltaic sequence of the core shows three-stage sedimentary processes: (1) rapid deposition of prodelta/delta front sediments at 10.2‐0.4+0.5 ka–7.7‐0.3+0.4 ka related to rapid sea level rise, (2) hiatus during 7.7‐0.3+0.4 ka–5.7‐0.8+0.5 ka likely due to reduced sediments input or river channel migration, (3) rapid accumulation of delta plain sediments during 5.7‐0.8+0.5 ka–3.42‐0.85+0.42 ka reflecting depocenter shift toward core location. Moreover, changes of quartz OSL sensitivity were detected, indicative of sediment provenance transition. A change in sediment source from nearby granite weathering towards fluvial long-transported materials occurred at a depth of 24.7 m, with low quartz OSL sensitivity in the gravelly layer below (11.9 ± 1.7 ka) and one magnitude higher quartz OSL sensitivity in prodelta deposits above (10.2‐0.4+0.5 ka). © 2024 Elsevier B.V.</t>
  </si>
  <si>
    <t>2-s2.0-85191780586"</t>
  </si>
  <si>
    <t>City and Environment Interactions</t>
  </si>
  <si>
    <t>10.1016/j.cacint.2024.100153</t>
  </si>
  <si>
    <t>https://www.scopus.com/inward/record.uri?eid=2-s2.0-85195553824&amp;doi=10.1016%2fj.cacint.2024.100153&amp;partnerID=40&amp;md5=fbcb2038bfc9f8edeea4214d1339f06f</t>
  </si>
  <si>
    <t>Due to climate change, future weather conditions will become more extreme. During recent years, several severe damages have been caused by heavy rainfalls in combination with riverine events. Even though the effects of compound events are known to be influential for flood hazard, the method for investigating these types of events is a novel area of expertise. In this study, a methodology was developed to investigate a watercourse, acting as a part of a stormwater drainage system in an urban coastal area, in a hydrodynamic model to find areas prone to flooding. The method was applied for Ståstorpsån in Trelleborg, Sweden. The model was a unified model for seasonal variability and compound events with scenarios developed based on series of data representing normal values of the boundary conditions rainfall, river flow and sea level. The result was analysed graphically and statistically as a flood hazard. The data used was based on data collected during the past 10 years for rain and sea level and 16 years of simulated river flow. The constructed rain events from gauge data all had a return time of less than 10 years. Therefore, the chosen events are considered to represent normal levels. For Trelleborg, the results from the hydrodynamic model indicate that compound events will increase the flood hazard with anincreasing time horizon. The visual analysis converges with earlier flood events, and hotspots are generally seen around bridges and culverts. For the studied area, there is a large seasonal variation in the flood hazard and with climate change, all seasons will cause more severe flood hazards. The effects experienced during a summer event, which is the most severe event today, are to be expected for all seasons in 2100. The effect seen during summer eventsis a combination of all three drivers. However, rain intensity is likely to be more influential for normal events. When a certain threshold value for sea level is reached, sea level becomes the most influential driver, overtaking the other drivers in importance. © 2024 The Author(s)</t>
  </si>
  <si>
    <t>2-s2.0-85195553824"</t>
  </si>
  <si>
    <t>Publicacion Electronica de la Asociacion Paleontologica Argentina</t>
  </si>
  <si>
    <t>10.5710/PEAPA.08.04.2024.492</t>
  </si>
  <si>
    <t>https://www.scopus.com/inward/record.uri?eid=2-s2.0-85203249835&amp;doi=10.5710%2fPEAPA.08.04.2024.492&amp;partnerID=40&amp;md5=4238b9a0bf8dda46bafd06e68bea9bf5</t>
  </si>
  <si>
    <t>The effect of Holocene sea-level changes and their impact on coastal environments have been well-preserved in different places worldwide. Several studies along the Argentine coastal margin have contributed to understanding the extent and magnitude of the marine ingression occurred during the Mid–Holocene Highstand and its effect on ecosystems. In this research, we present a benthic foraminiferal fauna analysis of an outcrop located in Samborombón Bay, Argentina, with the aim to evaluate the maximum extent of the Holocene marine transgression in the middle zone of the bay. Along the sedimentary section, Cribroelphidium poeyanum, Cribroelphidium gunteri, Ammonia tepida, Elphidium galvestonense, and Ammonia parkinsoniana were the most representative species, while Quinqueloculina milletti and Haynesina germanica were represented in less proportion in some levels. This assemblage indicates that the study area represents a marine marginal environment with brackish conditions between 6,261–5,919 cal. years BP and 1,725–1,511 cal. years BP. However, the diversity and abundance of the foraminiferal fauna reveals the transition from a shallow estuarine environment (6,261–5,919 cal. years BP) to a brackish marsh environment with floodable depressions and greater freshwater influence (1,725–1,511 cal. years BP). These changes are related not only to regressive and transgressive events that occurred during the Holocene, but also to the climatic, oceanographic, hydrological, and geomorphological characteristics of the middle zone of the Samborombón Bay. ©2024 Ballesteros-Prada, Vilanova, Luengo, Fucks, &amp; Bernasconi.</t>
  </si>
  <si>
    <t>2-s2.0-85203249835"</t>
  </si>
  <si>
    <t>10.1029/2023GL106531</t>
  </si>
  <si>
    <t>https://www.scopus.com/inward/record.uri?eid=2-s2.0-85195309325&amp;doi=10.1029%2f2023GL106531&amp;partnerID=40&amp;md5=93520e5b2ab876f30fafd705caff5f4f</t>
  </si>
  <si>
    <t>The evolution of coastal wetlands is a complex process which is difficult to forecast, made more complicated by the addition of changing climatic conditions. Here, long term ecological and geomorphological data are coupled to geotechnical measurements at a coastal wetland in North Inlet estuary, South Carolina. The coupled methodology is presented and discussed in context of understanding coastal wetland system evolution in a changing climate. Specifically, the root shear strength of Spartina alterniflora across a range of elevations was investigated using a cone penetrometer test. Elevation, shear strength, and biomass are shown to be critically interconnected. Root strength was shown to decrease with increased inundation time and decreased elevation (i.e., mudflats). Conversely, the data set illustrates the importance of maintaining key elevation ranges in relation to sea-level to optimize wetland resilience. © 2024. The Author(s).</t>
  </si>
  <si>
    <t>2-s2.0-85195309325"</t>
  </si>
  <si>
    <t>10.3390/hydrology11060086</t>
  </si>
  <si>
    <t>https://www.scopus.com/inward/record.uri?eid=2-s2.0-85196876919&amp;doi=10.3390%2fhydrology11060086&amp;partnerID=40&amp;md5=84ecfe78fb186d1818afdd2250b38512</t>
  </si>
  <si>
    <t>The rise in the global mean sea level (MSL) is a significant consequence of climate change, attributed to both natural and anthropogenic forces. This phenomenon directly affects the dynamic equilibrium of Earth’s oceanic and estuarine ecosystems, particularly impacting the Amazon estuary. In this study, a numerical model was employed to investigate the long-term impacts of MSL fluctuations on key hydrodynamic parameters crucial to regional environmental dynamics. Our investigation was based on scenarios derived from Representative Concentration Pathways (RCPs) and Coupled Model Intercomparison Project Phase 5 (CMIP5) projections, incorporating MSL variations ranging from 30 to 150 cm above the current mean level. Following careful calibration and validation procedures, which utilized observational and in situ data, notably from field expeditions conducted in 2019, our simulations unveiled significant impacts on certain hydrodynamic parameters. Specifically, we observed a pronounced increase in diurnal tidal amplitude (p &lt; 0.05) within the upstream sections of the North and South channels. Additionally, discernible alterations in water renewal rates throughout the estuary were noted, persisting for approximately 2 days during the dry season (p &lt; 0.05). These findings provide valuable insights into the vulnerability of key parameters to hydrologic instability within the Amazonian coastal region. In conclusion, this study represents a pivotal scientific endeavor aimed at enhancing the preservation of aquatic ecosystems and advancing the environmental knowledge of the Lower Amazon River, with the goal of proactively informing measures to safeguard the current and future sustainability of these vital ecosystems. © 2024 by the authors.</t>
  </si>
  <si>
    <t>2-s2.0-85196876919"</t>
  </si>
  <si>
    <t>Science China Earth Sciences</t>
  </si>
  <si>
    <t>10.1007/s11430-023-1300-9</t>
  </si>
  <si>
    <t>https://www.scopus.com/inward/record.uri?eid=2-s2.0-85196377019&amp;doi=10.1007%2fs11430-023-1300-9&amp;partnerID=40&amp;md5=1ad5ade816e5a7ee25f61b6a7a1215c3</t>
  </si>
  <si>
    <t>The Guangdong-Hong Kong-Macao Greater Bay Area (GBA) is threatened by potential tsunami hazards from the Littoral Fault Zone (LFZ) and the Manila subduction zone (MSZ), and may suffer huge damage because of its dense population, concentrated infrastructure, and low-lying coasts. Previous tsunami studies for the GBA made simple assumptions on the mechanisms of LFZ earthquakes, and used coarse bathymetry data in tsunami simulation, which limited the prediction of detailed tsunami hazard characteristics. In this paper, we develop a parallel dispersive tsunami model PCOMCOT to efficiently simulate dispersive, nonlinear, and breaking tsunami waves. We also construct large-scale and high-resolution bathymetry models for the GBA by correcting and integrating various data sources. Dynamic rupture simulation is performed for the LFZ to obtain a more reliable earthquake source model. We propose several representative earthquake scenarios for the LFZ and MSZ, and use PCOMCOT to calculate the resulting tsunami waves, currents, and inundation in the GBA. Our results indicate that if an Mw7.5 oblique-slip earthquake occurs in the LFZ off the Pearl River Estuary (PRE), the subsequent tsunami will primarily impact Hong Kong, causing maximum positive and negative waves of around 1 m and −2 m, respectively, along with slightly destructive currents (⩾1.5 m/s). An Mw9.0 MSZ megathrust earthquake can lead to widespread inundation with &gt;1 m depth on the outlying islands of Macao and in the urban areas of Hong Kong around the Victoria Harbour. Besides, it will also cause catastrophic tsunami currents along the narrow waterways in Hong Kong and Macao, and the spatial distribution of strong currents (⩾3 m/s) shows a considerable discrepancy from the areas of serious inundation. Thus, more attention should be paid to the potential impacts of tsunami currents on the GBA. © Science China Press 2024.</t>
  </si>
  <si>
    <t>2-s2.0-85196377019"</t>
  </si>
  <si>
    <t>10.5194/hess-28-3347-2024</t>
  </si>
  <si>
    <t>https://www.scopus.com/inward/record.uri?eid=2-s2.0-85199808859&amp;doi=10.5194%2fhess-28-3347-2024&amp;partnerID=40&amp;md5=9495e08350961aa4a79fd29615e8c7a9</t>
  </si>
  <si>
    <t>Flow regimes in major global river systems are undergoing rapid alterations due to unprecedented stress from climate change and human activities. The Mekong River basin (MRB) was, until recently, among the last major global rivers relatively unaltered by humans, but this has been changing alarmingly in the last decade due to booming dam construction. Numerous studies have examined the MRB's flood pulse and its alterations in recent years. However, a mechanistic quantification at the basin scale attributing these changes to either climatic or human drivers is lacking. Here, we present the first results of the basin-wide changes in natural hydrological regimes in the MRB over the past 8 decades and the impacts of dams in recent decades by examining 83 years (1940-2022) of river regime characteristics simulated by a river-floodplain hydrodynamic model that includes 126 major dams in the MRB. Results indicate that, while the Mekong River's flow has shown substantial decadal trends and variabilities, the operation of dams in recent years has been causing a fundamental shift in the seasonal volume and timing of river flow and extreme hydrological conditions. Even though the dam-induced impacts have been small so far and most pronounced in areas directly downstream of major dams, dams are intensifying the natural variations in the Mekong's mainstream wet-season flow. Further, the additional 65 dams commissioned since 2010 have exacerbated drought conditions by substantially delaying the MRB's wet-season onset, especially in recent years (e.g., 2019 and 2020), when the natural wet-season durations are already shorter than in normal years. Further, dams have shifted by up to 20 % of the mainstream annual volume between the dry and wet seasons in recent years. While this has a minimal impact on the MRB's annual flow volume, the flood occurrence in many major areas of Tonlé Sap and the Mekong Delta has been largely altered. This study provides critical insights into the long-term hydrological variabilities and impacts of dams on the Mekong River's flow regimes, which can help improve water resource management in light of intensifying hydrological extremes.  © Copyright: 2024 Huy Dang.</t>
  </si>
  <si>
    <t>2-s2.0-85199808859"</t>
  </si>
  <si>
    <t>10.3390/hydrology11060080</t>
  </si>
  <si>
    <t>https://www.scopus.com/inward/record.uri?eid=2-s2.0-85196904824&amp;doi=10.3390%2fhydrology11060080&amp;partnerID=40&amp;md5=340f00e1b50de06a1e431faa6e72aa6a</t>
  </si>
  <si>
    <t>Cutting-edge technology for fluvial monitoring has revolutionised the field, enabling more comprehensive data collection, analysis, and interpretation. Traditional monitoring methods were limited in their spatial and temporal resolutions, but advancements in remote sensing, unmanned aerial systems (UASs), and other innovative technologies have significantly enhanced the fluvial monitoring capabilities. UASs equipped with advanced sensors enable detailed and precise fluvial monitoring by capturing high-resolution topographic data, generate accurate digital elevation models, and provide imagery of river channels, banks, and riparian zones. These data enable the identification of erosion and deposition patterns, the quantification of sediment transport, the evaluation of habitat quality, and the monitoring of river flows. The latter allows us to understand the dynamics of rivers during various hydrological events, including floods, droughts, and seasonal variations. This manuscript aims to provide an update on the main research themes and topics in the literature on the use of UASs for river monitoring. The latter is achieved through a bibliometric analysis of the publication trends and identifies the field’s key themes and collaborative networks. The bibliometric analysis shows trends in the number of publications, number of citations, top contributing countries, top publishing journals, top contributing institutions, and top authors. A total of 1085 publications on UAS monitoring in rivers are identified, published between 1999 and 2023, showing a steady annual growth rate of 24.44%. Bibliographic records are exported from the Web of Science (WoS) database using a comprehensive set of keywords. The bibliometric analysis of the raw data obtained from the WoS database is performed using the R software. The results highlight important trends and valuable insights related to the use of UASs in river monitoring, particularly in the last decade. The most frequently used author keywords outline the core themes of UASs monitoring research and highlight the interdisciplinary nature and collaborative efforts within the field. “River”, “topography”, “photogrammetry”, and “Structure-from-Motion” are the core themes of UASs monitoring research. These findings can guide future research and promote new interdisciplinary collaborations. © 2024 by the authors.</t>
  </si>
  <si>
    <t>2-s2.0-85196904824"</t>
  </si>
  <si>
    <t>10.31035/CG2024074</t>
  </si>
  <si>
    <t>https://www.scopus.com/inward/record.uri?eid=2-s2.0-85205996650&amp;doi=10.31035%2fCG2024074&amp;partnerID=40&amp;md5=01c2f68e96e11d6611b094857fa1ef75</t>
  </si>
  <si>
    <t>The future inundation by storm surge on coastal areas are currently ill-defined. With increasing global sea-level due to climate change, the coastal flooding by storm surge is more and more frequently, especially in coastal lowland with land subsidence. Therefore, the risk assessment of such inundation for these areas is of great significance for the sustainable socio-economic development. In this paper, the authors use Elevation-Area method and Regional Ocean Model System (ROMS) model to assess the risk of the inundation of Bohai Bay by storm surge. The simulation results of Elevation-Area method show that either a 50-year or 100-year storm surge can inundate coastal areas exceeding 8000 km2</t>
  </si>
  <si>
    <t>10.1029/2023EF004123</t>
  </si>
  <si>
    <t>https://www.scopus.com/inward/record.uri?eid=2-s2.0-85197765247&amp;doi=10.1029%2f2023EF004123&amp;partnerID=40&amp;md5=90ba0ffbe67af8843a1fdf12f2230cb8</t>
  </si>
  <si>
    <t>The concept of climate tipping points in socio-environmental systems is increasingly being used to describe nonlinear climate change impacts and encourage social transformations in response to climate change. However, the processes that lead to these tipping points and their impacts are highly complex and deeply uncertain. This is due to numerous interacting environmental and societal system components, constant system evolution, and uncertainty in the relationships between events and their consequences. In the face of this complexity and uncertainty, this research presents a conceptual framework that describes systemic processes that could lead to tipping points socio-environmental systems, with a focus on coastal communities facing sea level rise. Within this context, we propose an organizational framework for system description that consists of elements, state variables, links, internal processes, and exogenous influences. This framework is then used to describe three mechanisms by which socio-environmental tipping could occur: feedback processes, cascading linkages, and nonlinear relationships. We presented this conceptual framework to an expert panel of coastal practitioners and found that it has potential to characterize the effects of secondary climatic impacts that are rarely the focus of coastal risk analyses. Finally, we identify salient areas for further research that can build upon the proposed conceptual framework to inform practical efforts that support climate adaptation and resilience. © 2024. The Author(s).</t>
  </si>
  <si>
    <t>2-s2.0-85197765247"</t>
  </si>
  <si>
    <t>10.1016/j.envsci.2024.103762</t>
  </si>
  <si>
    <t>https://www.scopus.com/inward/record.uri?eid=2-s2.0-85191301011&amp;doi=10.1016%2fj.envsci.2024.103762&amp;partnerID=40&amp;md5=d01c796131f4db7e716bbcb5a50c4609</t>
  </si>
  <si>
    <t>Climate change, particularly sea level rise, poses significant challenges to global coastal regions, necessitating a profound understanding of their vulnerability for effective mitigation and adaptation strategies. This study focuses on enhancing scientific insight into West African coastal vulnerability, aiming to assist policymakers and coastal managers in developing sustainable coastal zone management strategies. The methodology employed combines Geographic Information System (GIS) and remote sensing techniques with the Coastal Vulnerability Index (CVI) formula. Parameters such as slope, topography, distance to shoreline, population density, accessibility, land cover, and soil and vegetation types are assessed for their contribution to physical and socio-economic changes induced by sea level rise. These parameters undergo weighting using the Analytic Hierarchy Process (AHP). The socio-economic vulnerability is quantified using the Community-Based Risk Screening Tool-Adaptation and Livelihoods (CRiSTAL). The assessment of the Benin coast reveals significant vulnerability, with very high vulnerability (36.69–70.4, indicated by red cells) and high vulnerability (30.84–36.69, indicated by orange cells) observed in all coastal municipalities (Grand-Popo, Ouidah, Abomey-Calavi, Cotonou, Sèmè-Kpodji), encompassing 40 % and 21 % of the study area, respectively. Moderate (25.69–30.84) and low (10.87–25.69) vulnerability areas are situated at higher elevations inland, covering 35 % and 4 % of the total study area, respectively. No areas of very low vulnerability have been identified. This research contributes significantly to coastal management decisions, adaptation strategies, and climate change policies in Benin by advancing scientific understanding of coastal vulnerability and facilitating the development of sustainable strategies. © 2024 Elsevier Ltd</t>
  </si>
  <si>
    <t>2-s2.0-85191301011"</t>
  </si>
  <si>
    <t>10.1016/j.nhres.2023.11.004</t>
  </si>
  <si>
    <t>https://www.scopus.com/inward/record.uri?eid=2-s2.0-85193607626&amp;doi=10.1016%2fj.nhres.2023.11.004&amp;partnerID=40&amp;md5=575efcbe7181093e1cf58859788b60a3</t>
  </si>
  <si>
    <t>This study is modeling flood susceptibility in Jhelum River Basin by employing Geo-Morphometric ranking approach. The study area is located in the Monsoon region and exposed to heavy rainfall events. Every year monsoon rainfall and melting of snow and glaciers together generate flash floods in the upper catchment and then riverine flood in the low-lying areas. Watershed modeling approach is used to delineate the Jhelum watershed and its sub-watershed. Advance Spaceborne Thermal Emission and Reflection Radiometer (ASTER) Global Digital Elevation Model (GDEM) is utilized as input data in ArcMap software environment. Then Geo-Morphometric ranking model is applied to rank the susceptibility of each sub-watershed to flood. The analysis showed that geo-morphometric characteristics vary from basin to basin. There are 44 sub-basins which cover area less than 1000 ​km2. The area of sub-basins ranges from 47.68 ​km2 to 7667.77 ​km2. Based on our results, area of sub-basin directly impacts flood susceptibility. Geo-morphometric parameters such as gradient, relief and geology of basin such as type of bed rock govern the drainage pattern. The results of the study can assist line agencies and concerned government departments to design location specific flood risk reduction strategy. © 2024 National Institute of Natural Hazards, Ministry of Emergency Management of China</t>
  </si>
  <si>
    <t>2-s2.0-85193607626"</t>
  </si>
  <si>
    <t>Geo-Marine Letters</t>
  </si>
  <si>
    <t>10.1007/s00367-024-00770-9</t>
  </si>
  <si>
    <t>https://www.scopus.com/inward/record.uri?eid=2-s2.0-85193001284&amp;doi=10.1007%2fs00367-024-00770-9&amp;partnerID=40&amp;md5=f5e87c0403d486c96e82640f6b64cf9f</t>
  </si>
  <si>
    <t>The Coastal Vulnerability Index (CVI) has been widely applied around the world. This study provides a review of the suitability of the variables and mathematical expression of the CVI and proposes a new Integrated Coastal Vulnerability Index (ICVI), comparing both indices for 4 study areas in the southern Caribbean. The ICVI assesses vulnerability to sea level rise by integrating the Environmental Vulnerability Index (EVI) and the Socioeconomic Vulnerability Index (SVI). Regarding the variables that constitute the indices, it is noted that the CVI includes vulnerability and hazard variables and therefore it should be considered a risk index rather than a vulnerability index. The EVI includes geomorphological vulnerability variables, like the CVI, but also ecological ones. Regarding the mathematical expression, the use of the arithmetic mean versus the formula proposed for the CVI is discussed based on the comparison of the results obtained for EVI and SVI in the 4 study areas. In addition, the use of absolute (between 0 and 1) or relative (based on percentiles) limits in these indices, and the use of weights or not, are also discussed. The conclusion is that the use of relative thresholds necessarily forces the identification of very low to very high vulnerability zones for any study, and the use of weights on the variables increases the subjectivity of the assessment, all of which impedes the comparability of the index at a global level. Therefore, the ICVI, with the formula based on the arithmetic mean, with absolute limits between 0 and 1 and without variable weightings, is preferable to the CVI for use at the global level. © The Author(s) 2024.</t>
  </si>
  <si>
    <t>2-s2.0-85193001284"</t>
  </si>
  <si>
    <t>Indian Journal of Environmental Protection</t>
  </si>
  <si>
    <t>https://www.scopus.com/inward/record.uri?eid=2-s2.0-85207773087&amp;partnerID=40&amp;md5=54c20efa9b4253c729f750b5644327a0</t>
  </si>
  <si>
    <t>Fishing is one of the fastest-growing and employment-generating sectors in India. Approximately 400000 fishermen directly and six lakhs indirectly engage and depend on this industry in West Bengal. Inland and marine fishing have an important role in the socio-bio-economic development not only in India but also in West Bengal. Fishing is the most risky and health-hazardous occupation that involves physical hazards (injury from spines, string, bite, fracture in body parts, sunburns, acidification, mechanical accidents, environmental calamities, rising sea level, erosion, etc.), chemical hazards (poisonous gas due to long storage, accumulation of pollutants, pollutants contamination) and biological hazards (work stress, allergy, parasitic and pathogenic infection, skin and lip cancer). According to International Labour Office (ILO), nearly 24000 fishermen or fishery industry people are killed every year globally due to occupational hazards. According to Global Climate Risk Index (2019) India obtained 7th position in world. Climate change has short-term as well as long-term impacts on physico-chemical parameters of waterbodies due to alteration in salinity, pH, dissolved oxygen, TDS, temperature, nitrogen compounds and the emergence of a new variety of pathogens, like species of bacteria. Such pathogens invade as opportunistic pathogens directly or are transmitted through zoonotic infection (for example Vibrio sp.). These long or short-term climatic changes may be predictable or unpredictable. Predictable climatic changes, include cyclones, rise in sea levels, acidification, etc., whereas unpredictable climatic changes are change in water currents, strome, etc. As a result, fisherfolk are most vulnerable to all types of impacts (short/long) of these climate changes (predictable/ unpredictable). These climatic impacts and environmental crises also reduce the resilience of fishermen and threaten human health, well-being and livelihoods. Fisherpersons are less aware of climatic change as well as environmental health and occupational crises or risks due to their illiteracy or poor knowledge. Climatic changes are increasing the natural disasters that ultimately destroy the fish diversity, fisherpersons' houses, health (susceptible to infections) and livelihood, inland freshwater resources, fishing crafts and gear, etc. In West Bengal, the fishery is the oldest as well as important livelihood for the people of coastal areas and such occupation is totally dependent upon the climatic conditions. So, the consequences of climate change can affect fisherpersons' health and occupational status, which mainly affects their socio-economic condition. The paper discusses climatic change and its impact on the occupational health of fishermen, especially in West Bengal. © 2024 - Kalpana Corporation.</t>
  </si>
  <si>
    <t>2-s2.0-85207773087"</t>
  </si>
  <si>
    <t>10.2166/wpt.2024.153</t>
  </si>
  <si>
    <t>https://www.scopus.com/inward/record.uri?eid=2-s2.0-85201644480&amp;doi=10.2166%2fwpt.2024.153&amp;partnerID=40&amp;md5=6f0856c93b1356613bcf87e762e1a805</t>
  </si>
  <si>
    <t>The assessment of the flow characteristics of river systems is a very intricate undertaking in the development of hydraulic models for the purposes of flood control and floodplain management. Therefore, it is essential to use simulation models in order to calibrate and verify the experimental results. In this study, the Hydrologic Engineering Centre’s – River Analysis System (HEC-RAS) is used to calibrate and validate the distribution of velocity and shear stress for different converging compound channels. Two separate flow regimes were assessed for validation based on experimental data obtained from converging compound channels with angles of θ = 5°, 9°, and 12.38°. The projected values for two relative depths (β = 0.15 and 0.20) exhibit a similar pattern of variation as the empirical observations and are marginally lower than the recorded values. This suggests that the HEC-RAS model accurately estimates the velocity and shear stress values. The disparity between the simulated and experimental outcomes shows a discrepancy of less than 10%. Hence, the implications of our results suggest that while dealing with nonprismatic rivers, it is advisable to take into account lower values. The used methodology and the outcomes focused on problem-solving might potentially inform the development of flood control infrastructure for nonprismatic watercourses. © 2024 The Authors.</t>
  </si>
  <si>
    <t>2-s2.0-85201644480"</t>
  </si>
  <si>
    <t>10.5194/nhess-24-1951-2024</t>
  </si>
  <si>
    <t>https://www.scopus.com/inward/record.uri?eid=2-s2.0-85196156797&amp;doi=10.5194%2fnhess-24-1951-2024&amp;partnerID=40&amp;md5=c9517b66dde33059fb803727af77dd13</t>
  </si>
  <si>
    <t>In the context of climate change, height and frequency variations in extreme sea levels (ESLs) are studied using deterministic and probabilistic approaches. However, this type of approach does not highlight the dynamic effects (waves, currents) generated by metocean events (storms, cyclones, long swells, and tsunamis) beyond their effects on sea levels. In particular, ESL estimates are calculated by considering the main determining physical factors but cannot include all the effects of these factors. Ultimately, this can lead to confusion between ESL and hazard. This article proposes a systemic assessment method to analyze coastal hazard changes at regional scales, integrating parameters influencing sea levels, as well as factors describing the geomorphological context (length and shape of the coast, width of the continental shelf), metocean events, and the marine environment (e.g., coral reef state and sea ice extent). French mainland and overseas territories were selected to apply the method. The present study highlights the need to consider not only the sea level variability, but also the current and future characteristics of metocean events. The long, concave coasts bordered by a wide continental shelf appear particularly sensitive to variations in the intensity or trajectory of metocean events. Coral reef degradation in the tropics and the decrease in seasonal sea ice extent in the polar regions can also significantly change the nearshore hydrodynamics and impacts on the shoreline. These results help us to predict the types of hazard (shoreline erosion, rapid submersion, and/or permanent flooding) that will increase the most in different coastal zones.  © 2024 Copernicus Publications. All rights reserved.</t>
  </si>
  <si>
    <t>2-s2.0-85196156797"</t>
  </si>
  <si>
    <t>Earthquake Spectra</t>
  </si>
  <si>
    <t>10.1177/87552930241237815</t>
  </si>
  <si>
    <t>https://www.scopus.com/inward/record.uri?eid=2-s2.0-85188734477&amp;doi=10.1177%2f87552930241237815&amp;partnerID=40&amp;md5=58eb08f81052b5dc7adb866b228b9197</t>
  </si>
  <si>
    <t>Development of coastal areas in Japan for various land uses since the 1960s has contributed to industrial upgrades and improved the efficiency of transportation networks. However, there are concerns about the vulnerability of developments on alluvial plains and reclaimed lands to geological events, like ground subsidence due to liquefaction during large earthquakes. Realistic assessment of earthquake and tsunami hazards and evaluation of possible countermeasures require accurate estimation of the amount of subsidence that can be expected from liquefaction at coastal and riverside sites supporting various structures. In this study, to evaluate the amount a river embankment structure might be expected to settle as a result of strong motion from an assumed Nankai Trough great earthquake, we conducted a numerical simulation using the soil–water coupled finite deformation analysis code GEOASIA. We then investigated the effect of the estimated embankment subsidence on tsunami inundation, which was simulated by using nonlinear shallow-water equations and a grid spacing as fine as 3.3 m. The influence of urban structures on the inundated area was taken into account by using a structure-embedded elevation model (SEM). The results showed that subsidence of river embankments and the collapse of parapet walls on top of them would increase both the depth and area of inundation caused by a tsunami triggered by a Nankai Trough scenario earthquake. Our findings underscore the importance of evaluating not only earthquake resistance but also vulnerability of coastal and riverside structures to strong motion in tsunami hazard analyses. Furthermore, the importance of tsunami inundation analysis using a SEM for predicting the behavior of tsunami flotsam in urban areas was demonstrated. © The Author(s) 2024.</t>
  </si>
  <si>
    <t>2-s2.0-85188734477"</t>
  </si>
  <si>
    <t>10.1134/S1875372824700215</t>
  </si>
  <si>
    <t>https://www.scopus.com/inward/record.uri?eid=2-s2.0-85204903393&amp;doi=10.1134%2fS1875372824700215&amp;partnerID=40&amp;md5=a3d0c0561d47272588419971efe2d083</t>
  </si>
  <si>
    <t>Abstract: A cartographic assessment of the dynamics of residential and agricultural natural resource use in the territory of the Selenga River delta based on topographic maps for different points in time for 1952‒2015 is presented. This period is characterized by the regulation of the level of Lake Baikal to maintain the operation of the Irkutsk hydroelectric power station and by a transformation of the system of natural resource use at the Selenga River delta and the lake shore. Based on vectorization of retrospective layers of topographic objects, a file geodatabase representing a cartographic reconstruction of natural resource use in 1952 was created in the ArcGIS software environment. This provides a retrospective snapshot of the natural state of coastal geosystems of the lake and makes it possible to establish physical and geographical features of past economic use of the territory. Based on the elevations and contours of the topographic basis at the scale of 1 : 50 000 based on a 1952 survey, a digital terrain model was compiled, as was a map of geomorphological structure of the study area. By combining the reconstruction with modern digital layers, the dynamics of waterlogging and flooding of the delta territory as a result of long-term level regulation of Lake Baikal were established, and a spatiotemporal assessment of the dynamics of individual objects of natural resource use was performed. By physical and geographical location within the estuary and by mode of traditional natural resource use, all settlements were divided into three groups: coastal, island, and estuarine. A register of settlements with a breakdown by area, number of households, and population size has been compiled. A cartographic assessment of the dynamics of the water surface area was used to identify waterlogged and flooded areas, stable areas, abandoned settlements, abandoned socioeconomic facilities, and abandoned arable land. Maps of the dynamics of the water surface and natural resource use were compiled. © Pleiades Publishing, Ltd. 2024. ISSN 1875-3728, Geography and Natural Resources, 2024, Vol. 45, No. 2, pp. 153–161. Pleiades Publishing, Ltd., 2024. Russian Text The Author(s), 2024, published in Geografiya i Prirodnye Resursy, 2024, Vol. 45, No. 2, pp. 69–78.</t>
  </si>
  <si>
    <t>2-s2.0-85204903393"</t>
  </si>
  <si>
    <t>10.1007/s11069-024-06543-y</t>
  </si>
  <si>
    <t>https://www.scopus.com/inward/record.uri?eid=2-s2.0-85189536204&amp;doi=10.1007%2fs11069-024-06543-y&amp;partnerID=40&amp;md5=dd88110e08902e13a4d71ca137798f8f</t>
  </si>
  <si>
    <t>The coastal zones are one of the most productive ecosystems in the world, rich in resources, supporting livelihoods and driving economies. The thickly populated coastal stretches of Kerala are grappling with multiple threats in the form of coastal hazards such as sea level rise, high waves, coastal erosion, and coastal flooding. To address these threats, a comprehensive multi-risk approach is adopted based on the Fifth and Sixth Assessment Reports of the Intergovernmental Panel on Climate Change (IPCC), in which risk is conceived as a function of hazard, vulnerability, and exposure. The study assesses and map the risks associated with coastal hazards on the central coast of Kerala by developing a composite disaster risk index that integrates physical, and socioeconomic variables specific to the study area. Under the hazard component, indicators such as sea level rise, precipitation intensity, shoreline change rate, proximity to cyclone tracks, storm surge height, and frequency of sea surges are considered. Vulnerability indicators encompass population density and land use/land cover, while exposure indicators include elevation, slope, mean significant wave height, and drainage density. The risk assessment indicates varying levels of risk across the study area, with 2% coming under very high risk zone, 6% under high risk zone, 21% under medium risk zone, 43% under low risk, and 28% under very low risk. These findings help coastal planners and managers with effective disaster management and adaptation strategies. © The Author(s), under exclusive licence to Springer Nature B.V. 2024.</t>
  </si>
  <si>
    <t>2-s2.0-85189536204"</t>
  </si>
  <si>
    <t>10.1029/2023EF003631</t>
  </si>
  <si>
    <t>https://www.scopus.com/inward/record.uri?eid=2-s2.0-85197570219&amp;doi=10.1029%2f2023EF003631&amp;partnerID=40&amp;md5=718d5252e9f5a6dfe5e3472a96850f87</t>
  </si>
  <si>
    <t>A changing climate and growing coastal populations exacerbate the outcomes of environmental hazards. Large-scale flooding and acute disasters have been extensively studied through historic and current data. Chronic coastal flooding is less well understood and poses a substantial threat to future coastal populations. This paper presents a novel technique to record chronic coastal flooding using inexpensive accelerometers. This technique was tested in Key West, FL, USA using storm drains to deploy HOBO pendant G data loggers. The accuracy and feasibility of the method was tested through four deployments performed by a team of local stakeholders and researchers between July 2019–November 2021 resulting in 22 sensors successfully recording data, with 15 of these sensors recording flooding. Sensors captured an average of 13.58 inundation events, an average of 12.07% of the deployment time. Measured flooding events coincided with local National Oceanic and Atmospheric Administration (NOAA) water level measurements of high tides. Multiple efforts to predict coastal flooding were compared. Sensors recorded flooding even when NOAA water levels did not exceed the elevation or flooding thresholds set by the National Weather Service (NWS), indicating that NOAA water levels alone were not sufficient in predicting flooding. Access to an effective and inexpensive sensor, such as the one tested here, for measuring flood events can increase opportunities to measure chronic flood hazards and assess local vulnerabilities with stakeholder participation. The ease of use and successful recording of loggers can give communities an increased capacity to make data-informed decisions surrounding sea level rise adaptation. © 2024. The Author(s).</t>
  </si>
  <si>
    <t>2-s2.0-85197570219"</t>
  </si>
  <si>
    <t>10.1016/j.heliyon.2024.e32992</t>
  </si>
  <si>
    <t>https://www.scopus.com/inward/record.uri?eid=2-s2.0-85196188028&amp;doi=10.1016%2fj.heliyon.2024.e32992&amp;partnerID=40&amp;md5=a5f37214cc2d84797a777eff8bf13017</t>
  </si>
  <si>
    <t>The current study integrates remote sensing, machine learning, and physicochemical parameters to detect hydrodynamic conditions and groundwater quality deterioration in non-rechargeable aquifer systems. Fifty-two water samples were collected from all water resources in Siwa Oasis and analyzed for physical (pH, T°C, EC, and TDS) chemical (SO4 2−, HCO3 −, NO3 −, Cl−, CO3 2−, SiO2, Mg2+, Na+, Ca2+, and K+), and trace metals (AL, Fe, Sr, Ba, B, and Mn). A digital elevation model supported by machine learning was used to predict the change in the land cover (surface lake area, soil salinity, and water logging) and its effect on water quality deterioration. The groundwater circulation and interaction between the deep aquifer (NSSA) and shallow aquifer (TCA) were detected from the pressure-depth profile of 27 production wells penetrating NSSA. The chemical facies evolution in the aquifer systems were (Ca–Mg–HCO3) in the first stage (freshwater of NSSA) and changed to (Na–Cl) type in the last stage (brackish water of TCA and springs). Support vector machine successfully predicted the rapid increase of the hypersaline lake area from 22.6 km2 to 60.6 km2 within 30 years, which deteriorated a large part of the cultivated land, reflecting the environmental risk of over-extraction of water for irrigation of agricultural land by flooding technique and lack of suitable drainage network. The waterlogging in the study was due to a reduction in the infiltration rate (low permeability) of the soil and quaternary aquifer. The cause of this issue could be a complete saturation of agricultural water with chrysotile, calcite, talc, dolomite, gibbsite, chlorite, Ca-montmorillonite, illite, hematite, kaolinite and K-mica (saturation index &gt;1), giving the chance of these minerals to precipitate in the pore spaces of the soil and decrease the infiltration rate. The NSSA is appropriate for irrigation, whereas TCA is inappropriate due to potential salinity and magnesium risks. The best way to manage water resources in Siwa Oasis could be to use underground drip irrigation and combine water with TCA and NSSA. © 2024 The Authors</t>
  </si>
  <si>
    <t>2-s2.0-85196188028"</t>
  </si>
  <si>
    <t>10.1016/j.ejrh.2024.101829</t>
  </si>
  <si>
    <t>https://www.scopus.com/inward/record.uri?eid=2-s2.0-85193992627&amp;doi=10.1016%2fj.ejrh.2024.101829&amp;partnerID=40&amp;md5=9bc5e752171860ce899b45aa9a7cdc3c</t>
  </si>
  <si>
    <t>Study region: Humber River Basin, Southern Ontario, Canada. Study focus: Anthropogenic influence on climate is expected to intensify heavy precipitation in Eastern Canada where rainfall is likely to increase, probably increasing the flood impacts. Downscaled CMIP5 climate model datasets, for four twenty-year periods, under RCP4.5 and RCP8.5 were used to examine the effect of projected strongest extreme precipitation (mean maximum daily events</t>
  </si>
  <si>
    <t>10.35762/AER.2024044</t>
  </si>
  <si>
    <t>https://www.scopus.com/inward/record.uri?eid=2-s2.0-85211065533&amp;doi=10.35762%2fAER.2024044&amp;partnerID=40&amp;md5=c05286184aa8dc938569f09097773940</t>
  </si>
  <si>
    <t>Flooding remains a major environmental problem in many parts of the world including Nigeria, causing untold losses. This study modelled the flood susceptibility of Calabar Metropolis using frequency ratio and geographical information system (GIS). Direct field observation and key informant approaches were used to obtain 127 previous and current flood locations in the study area from which a database of historical flood occurrence was developed. Using the geostatistical analyst tool within a geographical information environment the flood locations were split into two parts in the ratio of 70:30 percent for the training and testing processes, respectively. Eight flood conditioning factors (elevation, slope, aspect, curvature topographic position index, topographic wetness index, land cover and normalized difference vegetation index) were extracted from SRTM-30m DEM and Landsat 8 data accordingly and used in the geospatial analysis of flood occurrence within the GIS. The frequency ratio model was then developed using the training dataset. The final product was the flood susceptibility map of the study area. The results revealed that 9.3 percent of the study area was considered to have very high flood susceptibility, 19.97 percent was classified as high flood susceptibility while 31.79 percent was under moderate risk area. About 39 percent of the study area was classified at least under low flood susceptibility. The order of contribution of the conditioning factors to the model were topographic position index (TPI), elevation, normalized difference vegetation index (NDVI), land cover, curvature, aspect, slope, and topographic wetness index (TWI). The validation of the model using the receiver operating characteristics (ROC) curve returned an AUC value of 74.81 percent. Hence, the result was acceptable for the prediction of flood locations in the study area. The findings would assist urban planners, environmental managers, risk reduction and management agencies, land developers, policy makers, and indeed the general public. © 2024, Chulalongkorn University - Environmental Research Institute. All rights reserved.</t>
  </si>
  <si>
    <t>2-s2.0-85211065533"</t>
  </si>
  <si>
    <t>10.3390/cli12070098</t>
  </si>
  <si>
    <t>https://www.scopus.com/inward/record.uri?eid=2-s2.0-85199864419&amp;doi=10.3390%2fcli12070098&amp;partnerID=40&amp;md5=f3173cb18c4a4ad0257de514c158f47f</t>
  </si>
  <si>
    <t>We investigate Venezuela’s potential “futures” under Shared Socioeconomic Pathways (SSPs) through a systematic literature review, including systematic mapping and thematic analysis of 50 scientific articles. We categorised the SSP scenarios into two generational categories and classified the outcomes into positive, negative, and neutral futures. Under first-generation SSP scenarios, increasing poverty could be reversed, and the country’s economic growth could be stimulated by adopting unambitious climate measures. However, second-generation SSP scenarios paint a more challenging picture. They suggest that Venezuela could face heat waves, droughts, an increase in diseases, loss of biodiversity, and an increase in invasive species and pests during the remainder of the 21st century as a direct consequence of climate change. Venezuela’s geographic and topographic diversity could exacerbate these impacts of climate change. For instance, coastal areas could be at risk of sea-level rise and increased storm surges, while mountainous regions could experience more frequent and intense rainfall, leading to landslides and flash floods. The urgency of conducting additional research on the factors that could influence the severity of climate change’s impact, considering Venezuela’s geographic and topographic diversity, cannot be overstated. We also identified the critical need to explore alternative paths to move away from the current extractive development model. The potential actions in this regard could be instrumental in aligning the country with global adaptation and mitigation commitments. © 2024 by the authors.</t>
  </si>
  <si>
    <t>2-s2.0-85199864419"</t>
  </si>
  <si>
    <t>10.1108/IJCCSM-12-2023-0154</t>
  </si>
  <si>
    <t>https://www.scopus.com/inward/record.uri?eid=2-s2.0-85195050915&amp;doi=10.1108%2fIJCCSM-12-2023-0154&amp;partnerID=40&amp;md5=5483571757f9643a78a81b8fd5f711d1</t>
  </si>
  <si>
    <t>Purpose: Climate change is an undeniable reality that threatens people’s livelihoods. Flooding and saltwater intrusion, along with the rising sea levels, are affecting agricultural and aquaculture livelihoods in Myanmar’s coastal areas. Although climate change adaptation is gaining popularity as a resilience strategy to cope with the negative effects of climate change, both agriculture- and aquaculture-farmers are more often deterred from implementing climate change adaptation strategies due to practical availability and socioeconomic barriers to adaptation. This study aims to evaluate the barriers and factors that influence farm household’ choice of climate change adaptation measures. Design/methodology/approach: This study was conducted with 599 farm households (484 rice-farmers and 115 fish farmers) based in the coastal areas of Myanmar during 2021–2022 to explore the farmer’s choice of climate change adaptation measures and the determining factors. The multinomial logit regression (MLR) model was used to examine the factors influencing the farmers’ choice of climate change adaptation strategies. Findings: The study found out that farm households use a variety of adaptation methods at the farm level, with building embankment strategy (23.4%) in agriculture and net-fencing measure (33.9%) in fish farming being the most popular adaptation strategies. Farmers’ decisions to adopt climate change adaptation strategies are influenced by factors such as distance to market, education level of the household head, remittance income and the availability of early warning information, among others. The study also discovered that COVID-19 has had an impact on the employment opportunities of household members and the income from farming as well had a consequential effect on the adoption of climate change adaptation measures. Furthermore, lack of credit (42.4%), labor shortage (52.8%), pest and disease infestation (58.9%), high input costs (81%) and lower agricultural product prices (73%) were identified as major barriers to the adoption of climate change adaptation measures by both agriculture and aquaculture farm households. Originality/value: This study demonstrates that the COVID-19 pandemic and farm-level barriers are the major factors influencing farm households’ choice of climate change adaptation measures, and that removing practical farm-level barriers and encouraging the adoption of adaptation techniques as potential COVID-19 recovery actions are required. This study also highlighted that the adaptive capacity of agriculture and aquaculture farm households should be strengthened through formal and informal training programs, awareness raising, the exchange of early warning information and the development of proper credit scheme programs. © 2024, Aung Tun Oo, Ame Cho, Saw Yan Naing and Giovanni Marin.</t>
  </si>
  <si>
    <t>2-s2.0-85195050915"</t>
  </si>
  <si>
    <t>10.1177/87552930241247830</t>
  </si>
  <si>
    <t>https://www.scopus.com/inward/record.uri?eid=2-s2.0-85192967987&amp;doi=10.1177%2f87552930241247830&amp;partnerID=40&amp;md5=e41a747947384b12866511a9870db308</t>
  </si>
  <si>
    <t>The 2023 Kahramanmaraş earthquake sequence produced extensive liquefaction-induced ground deformations and ongoing flooding along the shoreline of the Mediterranean port city of İskenderun, Türkiye. This study compiles field observations and analyses from cross-disciplinary perspectives to investigate whether earthquake-induced liquefaction was a significant factor for increasing the flood hazard in İskenderun. Geotechnical reconnaissance observations following the earthquakes included seaward lateral spreading, settlement beneath buildings, and failures of coastal infrastructure. Three presented lateral spreading case histories indicate consistent ground deformation patterns with areas of reclaimed land. Persistent scatterer interferometry (PSI) measurements from synthetic aperture radar (SAR) imagery identify a noticeably greater rate of pre- and post-earthquake subsidence within the İskenderun coastal and urban areas relative to the surrounding regions. The PSI measurements also indicate subsidence rates accelerated following the earthquakes and were typically highest near the observed liquefaction manifestations. These evaluations suggest that while the liquefaction of coastal reclaimed fill caused significant ground deformations in the shoreline area, ongoing subsidence of İskenderun and other factors likely also exacerbated the flood hazard. Insights from this work suggest the importance of evaluating multi-hazard liquefaction and flood consequences for enhancing the resilience of coastal cities. © The Author(s) 2024.</t>
  </si>
  <si>
    <t>2-s2.0-85192967987"</t>
  </si>
  <si>
    <t>10.1007/s41064-024-00286-y</t>
  </si>
  <si>
    <t>https://www.scopus.com/inward/record.uri?eid=2-s2.0-85191775663&amp;doi=10.1007%2fs41064-024-00286-y&amp;partnerID=40&amp;md5=db0444e7109c34aad6b5fd59aa26e225</t>
  </si>
  <si>
    <t>The coastal regions of India have a high population density and are ecologically productive. However, they are also susceptible to both human activity and natural calamities, which can lead to erosion and accretion. As part of the sustainable management of coastal zones, these threats have taken precedence in evaluating shoreline dynamicity. This study demonstrated the effectiveness of integrating remote sensing and geographic information systems for comprehensive long-term coastal change analyses. The analysis reveals that the mean erosion rate along the Chennai coast ranges from −0.2 to −2.5 m/year. Accretion is also recorded along certain parts of the Chennai coast, with rates ranging from 1 to 4.6 m/year. The Vishakhapatnam shoreline has a consistent pattern of both erosion and accretion, with erosion rates ranging from −0.1 to −6.8 m/year and accretion from 0.2 to 5 m/year. However, most of the Puri coast exhibits an accretion pattern, with values ranging from approximately 0.1 to 3.22 m/year. The fluctuations in shorelines of these three metropolises are a matter of great concern, given that these coastal cities play a substantial part in India’s economic and cultural endeavors. The ongoing occurrence of climate change and global warming has led to an elevation in the worldwide sea level, along with a heightened intensity and frequency of extreme occurrences like tropical cyclones in the Bay of Bengal, where these three coasts are situated. The coastlines of these urban areas may experience alterations due to natural phenomena like rising sea levels and tropical cyclones, as well as a diverse array of human activity. This study may help to facilitate the formulation of suitable management strategies and regulations for the coastal areas of Vishakhapatnam, Puri, Chennai, and other Indian coastal places that have similar physical attributes. © Deutsche Gesellschaft für Photogrammetrie, Fernerkundung und Geoinformation (DGPF) e.V. 2024.</t>
  </si>
  <si>
    <t>2-s2.0-85191775663"</t>
  </si>
  <si>
    <t>International Journal of Computing and Digital Systems</t>
  </si>
  <si>
    <t>10.12785/ijcds/160120</t>
  </si>
  <si>
    <t>https://www.scopus.com/inward/record.uri?eid=2-s2.0-85197559276&amp;doi=10.12785%2fijcds%2f160120&amp;partnerID=40&amp;md5=82ee7f4ac0ca9b85a9314ed886545eff</t>
  </si>
  <si>
    <t>Coastal areas are vulnerable to disasters such as tsunamis, floods, large waves, and hurricanes. Most studies on disasters in coastal areas are based on surveys for specific areas, but studies investigating disasters on a country-wide level are few. Applying data analytics to disaster management is critical to reducing the impact of disasters. This study aims to classify provinces based on disaster events, disaster preparedness, and response capacity in coastal villages through cluster analysis, principal component analysis (PCA), and a combination of PCA and cluster analysis. This secondary study applies data mining techniques to official statistics in Indonesia. Data mining was performed with Python Scikit-learn and Tableau analytical software. The unit of analysis is all provinces of Indonesia as an archipelago country. The cluster analysis optimally produced two clusters with 6 (18%) and 27 (82%) provinces. The small cluster, named the high-intensity cluster, has a higher intensity of disaster events, preparedness, and response than the large cluster, named the low-intensity cluster. The low-intensity cluster has a higher percentage of coastal villages (25%) than the high-intensity cluster (10%). The results of the PCA are used to classify regions through geographic heat maps and scatter plots. Additionally, the combination of multiple principal component analysis and cluster analysis produced three clusters with 6 (18%), 10 (30%), and 17 (52%) provinces. However, the cluster model from cluster analysis alone provides a better separation between clusters than the combination of PCA and cluster analysis. Ultimately, cluster analysis and PCA can be used independently, and both methods are complementary to exploring regional classification. The results of this study recommend improvements in disaster preparedness and response for coastal villages, especially provinces with a high percentage of coastal villages. © 2024 University of Bahrain. All rights reserved.</t>
  </si>
  <si>
    <t>2-s2.0-85197559276"</t>
  </si>
  <si>
    <t>10.1002/esp.5840</t>
  </si>
  <si>
    <t>https://www.scopus.com/inward/record.uri?eid=2-s2.0-85190962556&amp;doi=10.1002%2fesp.5840&amp;partnerID=40&amp;md5=9b6b80dc8ee19899b407e37883edb926</t>
  </si>
  <si>
    <t>Channel incision is an evident trend for river evolution in many European rivers and notably the Western Carpathians, whose former braided and multichannel wandering river system is transforming into a single-thread channel, but it is often difficult to separate drivers and determine if incision is finished or is still ongoing. To overpass these research gaps, this paper presents an innovative approach to assess the multidecadal incision of the Belá River in the Western Carpathians since 1949 by LiDAR-based analyses of floodplain surfaces above the river channel dated from historical aerial images. Detailed analyses of ongoing incision were also calculated based on DEM of differences (DoD) using Structure-from-Motion (SfM) photogrammetry-derived topo-bathymetric models. The study applied the BACI (Before-After-Control-Impact) approach that compared pre-state (Before), post-state (After) and reach (Control) that is not affected by potential external effects with degraded (impacted) reach to be able to distinguish the driver effects. Floodplain channel surface analyses indicate the maximum incision up to 4 m and incision rate of 5.7 cm/year that occurred in the most degraded reach. Moreover, cross-section profiles point to accelerated incision of 24.5 cm/year in the last 10 years (2011–2021) by the propagation of incision upstream. Overall, the net changes from the UAV survey pointed to 22 759 m3 of gravel sediments, constituting outwash from the 1.6 km long channel system (2015–2022) by incision, whereas analyses of historical channel surfaces estimated erosion of 573 303 m3 from impacted reaches between 1949 and 2020. Incision evidence is only observed in the downstream part below the control section due to local drivers (channel regulation, comprising embankment and gravel mining that activated a backward erosion of the system with knickpoint migration upstream). This analysis shows the benefits of combining different sources of data to separate long-term and ongoing channel responses and the BACI-approach to better target cause–effect relationships in space and time. © 2024 John Wiley &amp; Sons Ltd.</t>
  </si>
  <si>
    <t>2-s2.0-85190962556"</t>
  </si>
  <si>
    <t>10.3390/rs16111923</t>
  </si>
  <si>
    <t>https://www.scopus.com/inward/record.uri?eid=2-s2.0-85195970179&amp;doi=10.3390%2frs16111923&amp;partnerID=40&amp;md5=c8bfd975b2b9ca3df6112f57b7934792</t>
  </si>
  <si>
    <t>Urban planning has, in recent years, been significantly assisted by remote sensing data. The data and techniques that are used are very diverse and are available to government agencies as well as to private companies that are involved in planning urban and peri-urban areas. Synthetic aperture radar data are particularly important since they provide information on the geometric and electrical characteristics of ground objects and, at the same time, are unaffected by sunlight (day–night) and cloud cover. SAR data are usually combined with optical data (fusion) in order to increase the reliability of the terrain information. Most of the existing relative classification methods have been reviewed. New techniques that have been developed use decorrelation and interferometry to record changes on the Earth’s surface. Texture-based features, such as Markov random fields and co-occurrence matrices, are employed, among others, for terrain classification. Furthermore, target geometrical features are used for the same purpose. Among the innovative works presented in this manuscript are those dealing with tomographic SAR imaging for creating digital elevation models in urban areas. Finally, tomographic techniques and digital elevation models can render three-dimensional representations for a much better understanding of the urban region. The above-mentioned sources of information are integrated into geographic information systems, making them more intelligent. In this work, most of the previous techniques and methods are reviewed, and selected papers are highlighted in order for the reader-researcher to have a complete picture of the use of SAR in urban planning. © 2024 by the author.</t>
  </si>
  <si>
    <t>2-s2.0-85195970179"</t>
  </si>
  <si>
    <t>10.3390/rs16142599</t>
  </si>
  <si>
    <t>https://www.scopus.com/inward/record.uri?eid=2-s2.0-85199755374&amp;doi=10.3390%2frs16142599&amp;partnerID=40&amp;md5=d22283c8633f35fe84742b3df9c4351c</t>
  </si>
  <si>
    <t>A new methodology to map Italian coastal areas at risk of flooding is presented. This approach relies on detailed projections of the future sea level from a high-resolution, three-dimensional model of the Mediterranean Sea circulation, on the best available digital terrain model of the Italian coasts, and on the most advanced satellite-derived data of ground motion, provided by the European Ground Motion Service of Copernicus. To obtain a reliable understanding of coastal evolution, future sea level projections and estimates of the future vertical ground motion based on the currently available data were combined and spread over the digital terrain model, using a GIS-based approach specifically developed for this work. The coastal plains of Piombino-Follonica and Marina di Campo (Tuscany Region), Alghero-Fertilia (Sardinia), and Rome and Latina-Sabaudia (Lazio Region) were selected as test cases for the new approach. These coastal stretches are important for the ecosystems and the economic activities they host and are relatively stable areas from a geological point of view. Flood maps were constructed for these areas, for the reference periods 2010–2040, 2040–2070, and 2040–2099. Where possible, the new maps were compared with previous results, highlighting differences that are mainly due to the more refined and resolved sea-level projection and to the detailed Copernicus ground motion data. Coastal flooding was simulated by using the “bathtub” approach without considering the morphodynamic processes induced by waves and currents during the inundation process. The inundation zone was represented by the water level raised on a coastal DTM, selecting all vulnerable areas that were below the predicted new water level. Consequent risk was related to the exposed asset. © 2024 by the authors.</t>
  </si>
  <si>
    <t>2-s2.0-85199755374"</t>
  </si>
  <si>
    <t>10.3390/cli12060082</t>
  </si>
  <si>
    <t>https://www.scopus.com/inward/record.uri?eid=2-s2.0-85196877633&amp;doi=10.3390%2fcli12060082&amp;partnerID=40&amp;md5=bde893ac3276e495dd7971ae894face5</t>
  </si>
  <si>
    <t>Farm households along the coastlines of Myanmar and Vietnam are becoming increasingly vulnerable to flooding, saltwater intrusion, and rising sea levels. There is little information available on the relative vulnerability of men- and women-headed households, and the governments of Myanmar and Vietnam have not identified or implemented any adaptive measures aimed specifically at vulnerable peoples. This study aims to fill these gaps and assess the relative climate change vulnerability of men- and women-headed farm households. This study considers 599 farm households from two regions of Myanmar and 300 households from Thua Thien Hue province of Vietnam for the period 2021–2022. We offer a livelihood vulnerability index (LVI) analysis of men- and women-headed farm households using 46 indicators arranged into seven major components. The aggregate LVI scores indicate that farm households in Myanmar are more vulnerable (scores of 0.459 for men and 0.476 for women) to climate-related natural disasters than farm households in Vietnam (scores of 0.288 for men and 0.292 for women), regardless of the gender of the head of household. Total vulnerability indexing scores indicate that women-headed households are more vulnerable than men-headed households in both countries. Poor adaptive capacity and highly sensitive LVI dimensional scores explain the greater vulnerability of women-headed farm households. The findings also highlight the importance of the adaptive capacity components reflected in the LVI analysis in reducing farm households’ vulnerability. © 2024 by the authors.</t>
  </si>
  <si>
    <t>2-s2.0-85196877633"</t>
  </si>
  <si>
    <t>10.17491/jgsi/2024/173913</t>
  </si>
  <si>
    <t>https://www.scopus.com/inward/record.uri?eid=2-s2.0-85198091623&amp;doi=10.17491%2fjgsi%2f2024%2f173913&amp;partnerID=40&amp;md5=f690e7334e413256ba2b6d5d3dd40eb8</t>
  </si>
  <si>
    <t>Tectonomorphic study was carried out to evaluate the intensity of tectonic activity in and around the Mandakini River basin (1330 sq. km area) near Kedarnath. The area has witnessed several vulnerable landslides and devastating floods in the recent past. Quantitative parameters such as Bifurcation Ratio (BR), Asymmetry Factor (AF), Valley floor width Index (Vf), Hypsometric Integral (HI), Stream-length gradient Index (SL index), Sinuosity Index (Sp) and two qualitative parameters such as drainage orientation survey and the hypsometric curve is used to evaluate the spatial tectonomorphic susceptibility of the different watersheds of the Mandakini River basin. High BR, medium to high AF and low Vf show a very high vulnerability mostly close to MCT. High Sp and medium HI values are linked with continuous tectonic disturbances followed by erosion. High SL index demarcates high tectonic instability along different portions of streams which is prone to tectonic perturbation. The Index of Relative Active Tectonic also suggests variability in tectonic activities varies from very high tectonic activity to high tectonic activity. Regional geology and lower-order stream orientation survey of the study area revealed that the initial NE-SW shortening direction of the Himalayan orogeny is rotated to the N-S direction in the later stage. The resulting deformation style is expressed by the NW–SE and NE–SW striking lineaments and WNW–ESE striking thrust dipping moderately toward the north. Processed GPS data shows the rotation of the maximum principal compression direction and resultant readjustment of strains are linked with the revolving of the Indian Plate in the anticlockwise direction which is responsible for the orientation of different discontinuities, developing maximum shear stress conditions, weak internal friction and negligible resistance by low-strength rock. The present tectonic setup of the Kedarnath region is highly susceptible to devastating floods and vulnerable landslides. © GEOL. SOC. INDIA.</t>
  </si>
  <si>
    <t>2-s2.0-85198091623"</t>
  </si>
  <si>
    <t>10.1038/s43017-024-00561-x</t>
  </si>
  <si>
    <t>https://www.scopus.com/inward/record.uri?eid=2-s2.0-85195206028&amp;doi=10.1038%2fs43017-024-00561-x&amp;partnerID=40&amp;md5=0e4be159a5f4fc2f0889802995d96969</t>
  </si>
  <si>
    <t>The five Asian mega-deltas (the Yangtze, the Pearl, the Chao Phraya, the Mekong and the Ganges–Brahmaputra–Meghna deltas) are home to approximately 80% of the global deltaic population and the region experiences 90% of global flood exposure. In this Review, we investigate the similarities and differences between the Asian mega-deltas to identify transferable lessons to improve climate resilience. The deltas are increasingly threatened by coastal flooding, saline intrusion and erosion caused by climate change and human activities such as groundwater extraction and dam construction. Owing to differences in the stages of their development, various resilience measures have been implemented. For example, the Ganges–Brahmaputra–Meghna and Mekong deltas use strategic delta plans to identify risk hotspots and guide decision-making. These deltas also increase resilience at a community level by supporting communities to diversify their livelihoods to respond to changing risks and land conditions. Meanwhile, the Yangtze and Pearl deltas have developed forecasting and sensing technologies to allow them to prepare for and respond to hazards effectively. The Asian mega-deltas should learn from one another to integrate effective resilience plans across regional, delta and community levels. Future cross-delta collaborations and knowledge transfer, for example through the formation of a Regional Delta Resilience Alliance, could help to achieve long-term sustainable delta management. © Springer Nature Limited 2024.</t>
  </si>
  <si>
    <t>2-s2.0-85195206028"</t>
  </si>
  <si>
    <t>10.5194/nhess-24-2403-2024</t>
  </si>
  <si>
    <t>https://www.scopus.com/inward/record.uri?eid=2-s2.0-85199089577&amp;doi=10.5194%2fnhess-24-2403-2024&amp;partnerID=40&amp;md5=140743cea00d8b10e6322c8faeb4e407</t>
  </si>
  <si>
    <t>Coastal regions face increasing threats from rising sea levels and extreme weather events, highlighting the urgent need for accurate assessments of coastal flood risk. This study presents a novel approach to estimating global extreme sea level (ESL) exceedance probabilities using a regional frequency analysis (RFA) approach. The research combines observed and modelled hindcast data to produce a high-resolution (∼1km) dataset of ESL exceedance probabilities, including wave setup, along the entire global coastline (excluding Antarctica). The methodology presented in this paper is an extension of the regional framework of Sweet et al. (2022), with innovations introduced to incorporate wave setup and apply the method globally. Water level records from tide gauges and a global reanalysis of tide and surge levels are integrated with a global ocean wave reanalysis. Subsequently, these data are regionalised, normalised, and aggregated and then fit with a generalised Pareto distribution. The regional distributions are downscaled to the local scale using the tidal range at every location along the global coastline obtained from a global tide model. The results show 8ĝ€¯cm of positive bias at the 1-in-10-year return level when compared to individual tide gauges. The RFA approach offers several advantages over traditional methods, particularly in regions with limited observational data. It overcomes the challenge of short and incomplete observational records by substituting long historical records with a collection of shorter but spatially distributed records. These spatially distributed data not only retain the volume of information but also address the issue of sparse tide gauge coverage in less populated areas and developing nations. The RFA process is illustrated using Cyclone Yasi (2011) as a case study, demonstrating how the approach can improve the characterisation of ESLs in regions prone to tropical cyclone activity. In conclusion, this study provides a valuable resource for quantifying the global coastal flood risk, offering an innovative global methodology that can contribute to preparing for-and mitigating against-coastal flooding.  © 2024 Thomas P. Collings et al.</t>
  </si>
  <si>
    <t>2-s2.0-85199089577"</t>
  </si>
  <si>
    <t>10.3390/ijgi13060180</t>
  </si>
  <si>
    <t>https://www.scopus.com/inward/record.uri?eid=2-s2.0-85197922160&amp;doi=10.3390%2fijgi13060180&amp;partnerID=40&amp;md5=8a05a790f5a41c8d23e8da8bb6f87320</t>
  </si>
  <si>
    <t>Flooding, exacerbated by climate change, poses a significant threat to certain areas, increasing in frequency and severity. In response, the construction of supplementary dams has emerged as a reliable solution for flood management. This study employs a geospatial approach to assess the feasibility of constructing a supplementary dam near Linville, Brisbane, Australia, with the aim of mitigating floods and preventing overtopping failure at Wivenhoe Dam. Using QGIS software and a 25 m resolution DEM from the Queensland Spatial Catalogue ‘QSpatial’ website, four potential dam sites were analysed, considering cross-sections, watershed characteristics, and water volume calculations. Systematic selection criteria were applied on several dam wall options to identify the cost-effective and optimal one based on the dam wall dimensions, volume-to-area, and volume-to-cost ratios. The selected option was further assessed against predefined criteria yielding the optimal choice. The study provides insights into the feasibility and effectiveness of supplementary dam construction for flood mitigation in the region, with recommendations for future research and implementation plans for the asset owners. © 2024 by the authors.</t>
  </si>
  <si>
    <t>2-s2.0-85197922160"</t>
  </si>
  <si>
    <t>10.1016/j.nhres.2023.11.001</t>
  </si>
  <si>
    <t>https://www.scopus.com/inward/record.uri?eid=2-s2.0-85196389370&amp;doi=10.1016%2fj.nhres.2023.11.001&amp;partnerID=40&amp;md5=a0bf48748659fdbe96334fb937a4e76f</t>
  </si>
  <si>
    <t>Somalia has experienced extreme flash floods in recent years across the arid regions causing tremendous loss of lives and properties. However, the flood magnitude, depth, and frequency of occurrence are not yet quantified. This is mainly due to scarce datasets in the area. In this study, integration of observed and Climate Hazards Infrared Precipitation (CHIRP) satellite rainfall products and remote sensing raster data were used to improve hydrological model simulation outputs. The Hydrologic Engineering Center namely HEC-HMS and HEC-RAS models were used to simulate the rainfall-runoff processes and flood inundation, respectively. The land use, soil, slope and Digital Elevation map (DEM) were used to set-up the models and generate outputs. The HEC-HMS model calibration results depict that the model is able to reproduce the observed streamflow The simulated flows generated by the model predicted good agreement with the observed flow with values of 0.79, 0.74, 0.78, and 0.78 evaluated through the Nash and Sutcliffe Efficiency (NSE), Runoff Volume Error (RVE), coefficient of determination (R2), and percentage error of peak flow (PEPF), respectively. The HEC-RAS model result indicates that the maximum flood depth and velocity were obtained at the floodplain area. The peak flood at 50, 100, and 200-year return period using General Extreme Value (GEV) distribution revealed 384m3s-1, 409m3s-1, and 434m3s-1, respectively. The 100-year peak flood discharge in a specific part of the river revealed a flood depth of 7.53m. The provision of Levees as mitigation measures revealed reduction of the flood extent by 35% and suggested as possible flood protection measures for the study area. © 2023 National Institute of Natural Hazards, Ministry of Emergency Management of China</t>
  </si>
  <si>
    <t>2-s2.0-85196389370"</t>
  </si>
  <si>
    <t>10.1007/s11069-023-06327-w</t>
  </si>
  <si>
    <t>https://www.scopus.com/inward/record.uri?eid=2-s2.0-85195600331&amp;doi=10.1007%2fs11069-023-06327-w&amp;partnerID=40&amp;md5=0e829b288c5787aca98f940d7250a6ab</t>
  </si>
  <si>
    <t>We discovered several imbricate beachrock deposits (IBD), one of which was observed to have formed during the tsunami caused by the 1994 7.8 Mw earthquake in East Java, Indonesia. Similar IBD were also found along the southern coastlines of central Java, Bali, Lombok, Sumba, Kisar, Leti and Nailaka Islands. Most IBD are composed of thin, rectangular (2.5 × 1.7 × 0.4 m) slabs of in situ calcareous beachrock dislodged from the intertidal platform during powerful wave impacts. The largest imbricated beachrock slabs are around 3 m3. Ages of coral boulders incorporated into the IBD generally match with historical records of known tsunamigenic earthquakes and candidate paleotsunami sand deposit ages. To test for the influence of storms on the IBD, we measured the positions of boulders over a 3-year period at one site by overlaying digital surface models created from small uncrewed aerial system surveys. During the 3 years there were multiple uncommonly high wave events including two tropical cyclones, which are rare in Indonesia. Of the approximately 1220 slabs in the IBD around 113 moved slightly or flipped within the deposit, but no beachrock slabs were added or removed. The combination of data from various sources (eyewitnesses, consistent boulder characteristics, lack of storms or their effects on boulders, and age analyses) favors the hypothesis that the IBD are emplaced by recurring large wave events. The most probable causes of these events are tsunamis generated by the Java Trench and other submarine faults and landslides. If this is the case, then the IBD may provide durable records of previous mega-thrust earthquakes and tsunamis that should be incorporated into tsunami risk assessments for the highly populated coastlines of the eastern Sunda and Banda Arcs. We include two tsunami models that estimate &gt; 6 million people inhabit likely inundation zones of a worst-case scenario tsunami generated by a Java Trench mega-thrust earthquake. © The Author(s), under exclusive licence to Springer Nature B.V. 2024.</t>
  </si>
  <si>
    <t>2-s2.0-85195600331"</t>
  </si>
  <si>
    <t>10.1029/2023WR036455</t>
  </si>
  <si>
    <t>https://www.scopus.com/inward/record.uri?eid=2-s2.0-85198702492&amp;doi=10.1029%2f2023WR036455&amp;partnerID=40&amp;md5=b18029c554fc2bf44f63d517ee5f50b6</t>
  </si>
  <si>
    <t>We recently developed a dynamically coupled hydrological-ocean modeling system that provides seamless coverage across the land-ocean continuum during hurricane-induced compound flooding. This study introduced a local inertial equation and a diagonal flow algorithm to the overland routing of the coupled system’s hydrology model (WRF-Hydro). Using Hurricane Florence (2018) as a test case, the performance of the coupled model was significantly improved, evidenced by its enhanced capability of capturing backwater and increased water level simulation accuracy and stability. With four model experiments, we present a framework to detangle, define, and quantify compound and nonlinear effects. The results revealed that the flood peaks in the lower Cape Fear River Basin and the coastal waters were contributed by inland flooding and storm surge, respectively. These two processes had comparable contributions to the flooding in the Cape Fear River Estuary. The compound effect was identified when the flood levels resulting from the combination of land and ocean processes surpassed those caused by an individual process alone. The compound effect during Hurricane Florence exhibited limited impact on flood peaks, primarily due to the time lag between the peaks of the storm surge and the inland flooding. In the period between the two peaks, the compound effect was salient and significantly impacted the magnitude and variation of the flood level. The nonlinear effect, defined as the difference between the compound flood level and the superposition of storm surge and inland flooding water levels, reduced flood levels in the river channels while increasing flood levels on the floodplain. © 2024. The Author(s).</t>
  </si>
  <si>
    <t>2-s2.0-85198702492"</t>
  </si>
  <si>
    <t>10.1016/j.jenvman.2024.121295</t>
  </si>
  <si>
    <t>https://www.scopus.com/inward/record.uri?eid=2-s2.0-85195678581&amp;doi=10.1016%2fj.jenvman.2024.121295&amp;partnerID=40&amp;md5=5ccea06ae0a6be63721500fa4192c6f2</t>
  </si>
  <si>
    <t>Flood modelling and forecasting can enhance our understanding of flood mechanisms and facilitate effective management of flood risk. Conventional flood hazard and risk assessments usually consider one driver at a time, whether it is ocean, fluvial or pluvial, without considering the compound nature of flood events. In this paper, we developed a novel approach for modelling and forecasting compound coastal-fluvial floods using a two-step framework. In step one, a hydrodynamic model is used to simulate floodwater propagation; while in step two, machine learning (ML) models are used to generate flood forecasts. The architecture of hydrodynamic-ML forecasting system incorporates a hydrodynamic model covering a specific domain, with individual ML models trained for each pixel. In total 7 ML models including: Support Vector Regression (SVR), Support Vector Machine (SVM), Radial Basis Function (RBF), Linear Regression (LR), Gaussian Process Regression (GPR), Decision Tree (DT), and Artificial Neural Network (ANN) were applied in this study. Forecasting compound floods is achieved using two sets of inputs: timeseries of river discharges in the upstream fluvial section and downstream ocean water levels in the coastal areas. The accuracy of the flood forecasting system is demonstrated for Cork City, Ireland; and modelling performance was evaluated using several statistical tools. Results show that the proposed models can provide reliable estimates of flood inundation and associated water depths. Overall, the RBF model exhibits the best performance. Despite the complexity of compound multi-driver floods, this study shows that the coupled hydrodynamic-ML approach can forecast coastal-fluvial flood with limited hydraulic and hydrological input data. This system overcomes the limitations of traditional hydrodynamic model-based systems where trade-offs between the always competing numerical model accuracy and computational time prohibit the model to be used for short-term flood forecasting. Once trained, the ML component of the coupled system can perform flood forecasting in near real-time, potentially integrating into a flood early warning system. Accurate flood forecasting has a wide range of positive societal impacts, including improved flood preparedness, increased confidence, better resource allocation, reduced flood damage, and potentially even flood prevention.</t>
  </si>
  <si>
    <t>10.1016/j.catena.2024.108073</t>
  </si>
  <si>
    <t>https://www.scopus.com/inward/record.uri?eid=2-s2.0-85192162730&amp;doi=10.1016%2fj.catena.2024.108073&amp;partnerID=40&amp;md5=4086e0c72113546fea996a545b54092a</t>
  </si>
  <si>
    <t>As sea levels rise, coastal tidal wetlands are increasingly threatened by flooding and salt stress, highlighting the importance of iron (Fe) (hydr-) oxides in soil for stabilizing organic carbon (OC). This study focuses on Phragmites australis, common in the Yangtze River Estuary, exploring the interplay between OC and Fe (hydr-) oxides in the rhizosphere of P. australis across various seasons and elevations. It also examines microbial community shifts in the Fe oxidation–reduction cycle. Results show that in the non-growing season (January), Fe (hydr-) oxides and total organic carbon (TOC) levels in the rhizosphere soil of high-tide P. australis are significantly higher than during the growing season (August), with a notable increase in Fe oxide-bound OC (Fe-OC). The content of Fe-OC in tidal wetland soil fluctuates with plant growth stages and elevation. Notably, during the growing season, the Fe-OC content in the rhizosphere of low-tide P. australis is markedly higher than in high-tide areas, reversing in the non-growing season. The presence of P. australis roots is found to significantly enhance the accumulation and coupling of Fe (hydr-) oxides and OC, especially in low-tide areas compared to bare flats. This coupling is affected by the organic matter contributed by roots, microbial metabolism, and redox conditions of the soil. The study also highlights how plant and microbial metabolism regulate the response of rhizosphere Fe-OC across different tidal flat elevations. In low-tide environments during the non-growing season, the prevalence of Fe-reducing bacteria results in decreased Fe-OC content, while in high-tide areas, increased organic matter input boosts complexed Fe-OC formation. Overall, this study emphasizes the significance of plant metabolism in understanding the impact of sea level rise on Fe-OC stores in tidal wetlands, a vital factor for comprehending C cycling mechanisms and assessing C sequestration potential under future climate change scenarios. © 2024 Elsevier B.V.</t>
  </si>
  <si>
    <t>2-s2.0-85192162730"</t>
  </si>
  <si>
    <t>10.1016/j.advwatres.2024.104713</t>
  </si>
  <si>
    <t>https://www.scopus.com/inward/record.uri?eid=2-s2.0-85192965797&amp;doi=10.1016%2fj.advwatres.2024.104713&amp;partnerID=40&amp;md5=4198da5dc7d990f82a8da379e7291ec5</t>
  </si>
  <si>
    <t>Although high-resolution digital surface model (DSM) data derived from lidar surveys can describe land surface macrostructures like trees and buildings, digital terrain model (DTM) data obtained by filtering out these macrostructures are commonly used in flood inundation models. In the present study, it is shown for the first time that DSM data can be used directly in flood inundation models by employing automatically-extracted ridges as breaklines for the generation of geomorphologically-informed meshes (GIMs). Even under the simplifying assumption of impermeable macrostructures, especially when GIM refinement is applied, the use of DSM data in preference to DTM data leads to significant improvement in flood predictions. By comparing simulations and observations for a real flood inundation, it is found that the direct use of 1-m DSM data in place of the related DTM data leads to a 42% improvement in predicted flood area, a 36% improvement in predicted flood areal position, and a 25% improvement in predicted times of travel. © 2024 The Author(s)</t>
  </si>
  <si>
    <t>2-s2.0-85192965797"</t>
  </si>
  <si>
    <t>Biogeochemistry</t>
  </si>
  <si>
    <t>10.1007/s10533-024-01159-7</t>
  </si>
  <si>
    <t>https://www.scopus.com/inward/record.uri?eid=2-s2.0-85198122503&amp;doi=10.1007%2fs10533-024-01159-7&amp;partnerID=40&amp;md5=8783809948a1686cba2d7593cf209289</t>
  </si>
  <si>
    <t>Beach wrack is an important supplier of nutrients and organic matter to sandy beach ecosystems and underlying subterranean estuaries (STEs), producing metabolic hotspots in these otherwise organic carbon- and nutrient-poor environments. To assess the impact of beach wrack type (e.g., marine, terrestrial, plant, animal) and environmental settings (e.g., tidal inundation, precipitation, and solar irradiation) on nutrient and dissolved organic matter (DOM) release, a series of leaching experiments was conducted. Quantities of leached nutrients and dissolved organic carbon (DOC) were determined, and DOM molecular composition was investigated using Fourier-transform ion cyclotron resonance mass spectrometry (FT-ICR-MS). Millimolar—to molar amounts of DOC and dissolved nitrogen were released from the beach cast per kg dry weight, with type of wrack and leaching medium (fresh- vs. saltwater) exerting the biggest influences. Exemplary for animal cast, jellyfish leached up to two 100-fold more, mostly organic, nitrogen compared to all other beach wrack types. FT-ICR-MS data of solid-phase extracted DOM indicated that beach wrack releases compounds with putative mono- and oligosaccharide-, amino acid- and vitamin-type molecular formulae, which likely serve as valuable substrate for heterotrophic microorganisms. DOM from the brown seaweed Fucus sp. was more aromatic than seawater DOM and even beach wrack of terrestrial origin, probably from structural components and secondary metabolites such as phlorotannins. We conclude that DOM and nutrient release from beach wrack strongly depends on wrack type and leaching medium, may obscure molecular provenance proxies (e.g., terrestrial indices), and adds a nutritional boost to infiltrating sea- and rainwater which likely impact microbial respiration rates in the STE. © The Author(s) 2024.</t>
  </si>
  <si>
    <t>2-s2.0-85198122503"</t>
  </si>
  <si>
    <t>10.3390/rs16122105</t>
  </si>
  <si>
    <t>https://www.scopus.com/inward/record.uri?eid=2-s2.0-85197256832&amp;doi=10.3390%2frs16122105&amp;partnerID=40&amp;md5=318f2ce3e0a08bbf738cf6f12adcb677</t>
  </si>
  <si>
    <t>As a consequence of global climate change, sea level rise (SLR) presents notable risks to both urban and natural areas located near coastlines. For developing effective strategies to mitigate and adapt to these risks, it is essential to evaluate the potential impacts of SLR in coastal areas. While substantial research has been conducted on mapping the broad-scale impacts of SLR based on scenarios of Global Mean Sea Level (GMSL), consideration of regional scenarios, systematic classification, and distinct stages of SLR have been largely overlooked. This gap is significant because SLR impacts vary by region and by the level of SLR, so adaptations, planning, and decision-making must be adapted to local conditions. This paper aims to precisely identify the landscape and urban morphology changes caused by the impact of SLR for each foot of elevation increase based on remote sensing technologies, focusing on St. Johns County, Florida, and Chatham County, Georgia. These two counties are both situated along the southeastern coastline of the United States but with completely different urban forms due to distinct historical and cultural developments. Regional forecasting SLR scenarios covering the period from 2020 to 2100 were utilized to assess the landscape transformation and urban changes, incorporating selected landscape and urban metrics to calculate quantitative data for facilitating comparative analyses. This study investigated gradual alterations in urban morphology and green infrastructure both individually and in combination with the effect on wetlands due to SLR. The mapping outcomes of this research were generated by employing comprehensive remote sensing data. The findings of this research indicated that, when the sea level rose to 3 feet, the wetlands would experience notable alterations, and the level of fragmentation in urban built areas would progressively increase, causing most of the metric data to exhibit a pronounced decline or increase. © 2024 by the authors.</t>
  </si>
  <si>
    <t>2-s2.0-85197256832"</t>
  </si>
  <si>
    <t>10.1007/s41064-024-00284-0</t>
  </si>
  <si>
    <t>https://www.scopus.com/inward/record.uri?eid=2-s2.0-85190811322&amp;doi=10.1007%2fs41064-024-00284-0&amp;partnerID=40&amp;md5=77c474ba494cb3ce8e4ac73112e39a75</t>
  </si>
  <si>
    <t>Coastal areas are inherently sensitive and dynamic, susceptible to natural forces like waves, winds, currents, and tides. Human activities further accelerate coastal changes, while climate change and global sea level rise add to the challenges. Recognizing and safeguarding these coasts, vital for both socioeconomic and environmental reasons, becomes imperative. The objective of this study is to categorize the coasts of the Mersin and İskenderun bays along the southeastern coast of Türkiye based on their vulnerability to natural forces and human-induced factors using the coastal vulnerability index (CVI) method. The study area encompasses approximately 520 km of coastline. The coastal vulnerability analysis reveals that the coastal zone comprises various levels of vulnerability along the total coastline: 24.7% (128 km) is categorized as very high vulnerability, 27.4% (142 km) as high vulnerability, 23.7% (123 km) as moderate vulnerability, and 24.3% (126 km) as low vulnerability. Key parameters influencing vulnerability include coastal slope, land use, and population density. High and very high vulnerability are particularly prominent in coastal plains characterized by gentle slopes, weak geological and geomorphological features, and significant socioeconomic value. © The Author(s) 2024.</t>
  </si>
  <si>
    <t>2-s2.0-85190811322"</t>
  </si>
  <si>
    <t>10.5194/essd-16-3433-2024</t>
  </si>
  <si>
    <t>https://www.scopus.com/inward/record.uri?eid=2-s2.0-85200394534&amp;doi=10.5194%2fessd-16-3433-2024&amp;partnerID=40&amp;md5=bca199b45654e4df7b4f49330996a5e2</t>
  </si>
  <si>
    <t>More than 10 % of the world's population lives in coastal areas that are less than 10 m above sea level (also known as the low-elevation coastal zone - LECZ). These areas are of major importance for local economy and transport and are home to some of the richest ecosystems. At the same time, they are quite susceptible to extreme storms and sea level rise. During the last few years, numerous open-access global datasets have been published, describing different aspects of the environment such as elevation, land use, waves, water levels, and exposure. However, for coastal studies, it is crucial that this information is available at specific coastal locations and, for regional studies or upscaling purposes, it is also important that data are provided in a spatially consistent manner. Here we create a Global Coastal Characteristics (GCC) database, with 80 indicators covering the geophysical, hydrometeorological, and socioeconomic environment at a high alongshore resolution of 1 km and provided at ∼ 730 000 points along the global ice-free coastline. To achieve this, we use the latest freely available global datasets and a newly created global high-resolution transect system. The geophysical indicators include coastal slopes and elevation maxima, land use, and presence of vegetation or sandy beaches. The hydrometeorological indicators involve water level, wave conditions, and meteorological conditions (rain and temperature). Additionally, socioeconomic indices related to population, GDP, and presence of critical infrastructure (roads, railways, ports, and airports) are presented. While derived from existing global datasets, these indicators can be valuable for coastal screening studies, especially for data-poor locations. The GCC dataset can be accessed at https://doi.org/10.5281/zenodo.8200199 (Athanasiou et al., 2024).  © 2024 Panagiotis Athanasiou et al.</t>
  </si>
  <si>
    <t>2-s2.0-85200394534"</t>
  </si>
  <si>
    <t>10.5194/gmd-17-5497-2024</t>
  </si>
  <si>
    <t>https://www.scopus.com/inward/record.uri?eid=2-s2.0-85199696336&amp;doi=10.5194%2fgmd-17-5497-2024&amp;partnerID=40&amp;md5=a607659b207a3f9d8f0d11afca5a3260</t>
  </si>
  <si>
    <t>Storm surge is a natural process that causes flood disasters in coastal zones and results in massive casualties and property losses. Therefore, storm surge inundation is of major concern in formulating appropriate strategies for disaster prevention and mitigation. However, traditional storm surge hydrodynamic models have large limits with respect to computational efficiency and stability in practical applications. In this study, a novel storm surge inundation model was developed based on a wetting and drying algorithm established from a simplified shallow-water momentum equation. The wetting and drying algorithm was applied to a rectangular grid that iterates through a cellular automata algorithm to improve computational efficiency. The model, referred to as the Hydrodynamical Cellular Automata Flood Model (HCA-FM), was evaluated by comparing the simulations to regional field observations and to a widely used hydrodynamic numerical model. The comparisons demonstrated that HCA-FM can reproduce the observed inundation distributions and predict results that are consistent with the numerical simulation in terms of the inundation extent and submerged depth with much improved computational efficiency (predicting inundation within a few minutes) and high stability. The results reflect significant advancement of HCA-FM toward efficient predictions of storm surge inundation and applications at large spatial scales.  © Copyright: 2024 Xuanxuan Gao et al.</t>
  </si>
  <si>
    <t>2-s2.0-85199696336"</t>
  </si>
  <si>
    <t>10.1016/j.jhydrol.2024.131577</t>
  </si>
  <si>
    <t>https://www.scopus.com/inward/record.uri?eid=2-s2.0-85196820150&amp;doi=10.1016%2fj.jhydrol.2024.131577&amp;partnerID=40&amp;md5=c9f2ddbe83a23351f70b1c1c602abb5d</t>
  </si>
  <si>
    <t>eticular river networks, characterized by a dense pattern of rivers and loop structures, are primarily found in lower river delta plains and are being modified due to rapid population growth and urbanization. This change impacts the distribution of water resources and could result in more frequent and severe floods. Therefore, accurately characterizing the structure of river networks is crucial. In this study, the structure and its changes of a typical plain reticular river network in the Lixia River hinterland area (LRHA), China, were evaluated in the 1960s, 1970s, 1980s, 2009, and 2016 using complex network theory tools at global and local scales. First, we constructed a complex network model by generalizing river sources, outlets, and confluences as nodes and channels as edges. By comparing with the equivalent random networks, it is found that the river networks of LRHA have large clustering coefficients and short characteristic path lengths. These characteristics classify it as a small-world network within complex networks, which is notably efficient for water and material transportation. Second, at the global scale, the global efficiency in complex network theory considers the interconnectivity between nodes and assesses the potential paths between them, effectively reflecting the connectivity status of the river network. At the local scale, the betweenness centrality of a complex network can reflect the control ability of water and material transportation at river nodes. After the 1970s, constructing several new mainstem rivers gradually shifted nodes with high betweenness centrality towards the north–south flowing rivers. In addition, we used Moran's I to quantify the spatial clustering of the network's indicators and found that degree and betweenness centrality exhibited higher spatial clustering, with mean Moran's I values of 0.398 and 0.300, respectively. Finally, we compared the structure of river networks in urban versus rural areas and the mainstem versus tributary streams. We found that urban river networks and mainstem rivers exhibit a higher degree of betweenness centrality, resulting in a greater capacity to regulate water and material cycles within the river network. According to the research findings, complex network theory has been proven to effectively evaluate the structure of reticular river networks at various scales. It enhances our comprehension of the river network's structure and assists managers in gaining a deeper understanding of how the river network structure influences the distribution of water resources. © 2024 Elsevier B.V.</t>
  </si>
  <si>
    <t>2-s2.0-85196820150"</t>
  </si>
  <si>
    <t>10.1016/j.atmosres.2024.107389</t>
  </si>
  <si>
    <t>https://www.scopus.com/inward/record.uri?eid=2-s2.0-85189694472&amp;doi=10.1016%2fj.atmosres.2024.107389&amp;partnerID=40&amp;md5=34db43b2f5664d80859fd2f4c5eebda6</t>
  </si>
  <si>
    <t>Compound precipitation and wind speed extremes have the potential to cause significant socio-economic losses. Therefore, this study aims to investigate the association of compound precipitation and wind speed extremes in observed period (1981–2020) and future periods (2021–2060 (F1) and 2061–2100 (F2)) over India. In this study, we have used IMD precipitation and ERA5 windspeed gridded (0.250 × 0.250) data for the observed period. For future analysis, we have used CMIP6-based EC-Earth3 GCM (SSP2–4.5 and SSP5–8.5) and CORDEX CMIP5 RCM (RCP-4.5 and RCP-8.5) climate models for precipitation and wind speed outputs. We have analyzed the characteristics of precipitation and wind speed extremes using three approaches: empirical method, tail dependence analysis, and event coincidence analysis. The empirical analysis revealed that the proportion of the area with &gt;240 Compound Precipitation and Wind speed Extremes (CPWE) on the same day is 2.8% in observed period. However, it increased to 22.22% in future period F2, particularly in the SSP5–8.5 scenario of the CMIP6 case, and this increase is observed in regions like Am, eastern parts of Aw and Cwa, Bwk, and Dsb. The tail dependence analysis revealed that the area with tail dependence &gt;0.5 constitutes approximately 0.72% in the observed period across the study area. However, under climate change scenarios, this percentage varies between 2.45% to 3.66% and notably, the increase is observed in regions such as Am, Bwk, and Dsb. The results of precursor coincidence rate (pcr) shows a high value of 3.52% in the entire study area for the observed period. The future analysis reveals an increase of areas in between 3.18% to 5.14% for different climate change scenarios. Consequently, the trigger coincidence rate (tcr) results also revealed the occurrence of high tcr in the range of 0.52% to 5.79% across the study area within the temporal window. However, the tcr range increases to 2.17% to 23.32% during the monsoon season during the observed period with respect to the days in the temporal window. The overall results showed that the high values of tail dependence, pcr and tcr are concentrated in the Am, coastal areas of Aw and Cwa, as well as in the Bwk and Dsb regions. This will lead to increase the extreme precipitation driven by extreme wind speed in those regions consequently, the risk of flash floods, landslides and natural hazards may rise in the future. Overall, this study provides valuable insights into the spatial distribution of compound precipitation and wind speed extremes across the study area. © 2024 Elsevier B.V.</t>
  </si>
  <si>
    <t>2-s2.0-85189694472"</t>
  </si>
  <si>
    <t>10.1175/JHM-D-23-0094.1</t>
  </si>
  <si>
    <t>https://www.scopus.com/inward/record.uri?eid=2-s2.0-85210887387&amp;doi=10.1175%2fJHM-D-23-0094.1&amp;partnerID=40&amp;md5=df61e1378ec4a10fa9bda64e8eed8bac</t>
  </si>
  <si>
    <t>The Lower Mississippi River basin (LMRB) has experienced significant changes in land cover and is one of the most vulnerable regions to hurricanes in the United States. Here, we study the impacts of land-cover change on the hydrologic response to Hurricane Ida in LMRB. By using an integrated surface–subsurface hydrologic model, Energy Exascale Earth System Model (E3SM) Land Model coupled with the three-dimensional ParFlow subsurface flow model (ELM-ParFlow), we simulate the effects of land-cover change on the flood volume and peak timing induced by rainfall from Hurricane Ida. The results show that land-cover changes from 1850 to 2015, which resulted in a smoother surface and less vegetation, exacerbated both flood peak time and volume induced by Hurricane Ida. The effects of land-cover changes can be decomposed into two mechanisms: a smoother surface routes more water faster to a watershed outlet and less vegetation allows more water to contribute to surface runoff. By comparing scenarios in which the two mechanisms were isolated, we found that changes in soil moisture due to vegetation cover change have more dominant effects on floods in the southern part and changes in Manning’s coefficient have the largest effect on floods in the northern part of the LMRB. The study provides important insights into the complex relationship between land-use, land-cover, and hydrologic processes in coastal regions. © 2024 American Meteorological Society.</t>
  </si>
  <si>
    <t>2-s2.0-85210887387"</t>
  </si>
  <si>
    <t>10.1016/j.geomorph.2024.109209</t>
  </si>
  <si>
    <t>https://www.scopus.com/inward/record.uri?eid=2-s2.0-85190539325&amp;doi=10.1016%2fj.geomorph.2024.109209&amp;partnerID=40&amp;md5=41af77782efe5b0a2425f35a6bdd713b</t>
  </si>
  <si>
    <t>Micro-scale surface changes of bedrock on shore platform have been widely monitored with micro-erosion meters (MEMs) and traversing micro-erosion meters (TMEMs) over different temporal scales. At short-term temporal scale of hours to days, rock surface behaviors are characterized by dynamic fluctuations without net surface lowering, while significant downwearing are commonly observed over several (≥2) years. Therefore, there is a temporal gap between the short-term (hours to weeks) and long-term (months to years) surface behaviors over which grain detachment is suggested to occur. In this laboratory study, a sandstone was placed in a simulated upper intertidal condition, in which the rock sample experienced 2-h immersion with subsequent 2-week exposure over a 14-day spring tidal cycle. By running this spring tidal cycle for 6 times (12 weeks) over the experiment, the microtopography of the rock surface was monitored before and after the 2-h immersion period and at a weekly scale over the exposure period of each tidal cycle to understand the influence of tidal immersion and weekly surface changes on rock weathering and erosion at longer monthly timescales. This is to provide insights into the association between rock surface dynamics (weathering) and grain removal (erosion) to identify the temporal threshold for rock decay to initiate. Immersed under sea water and deionized water respectively, the rock sample was then exposed in an environmental chamber through manipulation of temperature and air humidity in controlled measures, generating four different treatments in the experiment. This design also aims to test the primary weathering process in driving the fast downwearing of shore platform observed at the upper intertidal zone along the Otway coast. Results showed that significant microtopographic changes of −0.392 to +0.484 mm were observed on the sandstone surface at the weekly scale. These weekly surface changes were initiated with dynamic surface movements of lower magnitude operating at finer hourly timescales. Rock decay occurred with surface rising movement at the weekly-monthly scale. This could be caused by repeated short-term surface changes associated with weathering processes during the exposure period, generating loose/weakened grains which are subsequently removed by waves during the following tidal immersion period. As more occurrences of rock decay over longer monitoring period, the heterogeneous pattern of rock surface changes at hourly scale evolved to a more homogeneous pattern at monthly scale. Salt weathering under sustained drying periods for days to weeks is suggested to be the primary process driving the fast erosion in the upper intertidal zone but the role of thermal weathering with high temperatures cannot be ignored. All these weathering processes are controlled and facilitated by tidal inundation frequency and wave processes in the coastal zone. © 2024 The Author(s)</t>
  </si>
  <si>
    <t>2-s2.0-85190539325"</t>
  </si>
  <si>
    <t>10.5194/essd-16-3345-2024</t>
  </si>
  <si>
    <t>https://www.scopus.com/inward/record.uri?eid=2-s2.0-85199721995&amp;doi=10.5194%2fessd-16-3345-2024&amp;partnerID=40&amp;md5=5c2582433d8cf5a76bd592f4b2c0f911</t>
  </si>
  <si>
    <t>The French Flooding Prevention Action Program of Saint-Malo, France, requires the assessment of
coastal flooding risks and the development of a local flood warning system. The first prerequisite is knowledge
of the topography and bathymetry of the bay of Saint-Malo; the acquisition of new multibeam bathymetric data
was performed in 2018 and 2019 to increase the resolution of the existing topo-bathymetric datasets and to
produce two high-resolution (20 and 5 m) topo-bathymetric digital terrain models. Second, the hydrodynamics
associated with coastal flooding were investigated through a dense and extensive oceanographic field experiment
conducted during winter 2018–2019 using a network of 22 moorings with 37 sensors: the network included 2
directional buoys, 2 pressure tide gauges, 18 wave pressure gauges, 4 single-point current meters, 7 current profilers, and 4 acoustic wave current profilers from mid-depth (25 m) up to the upper beach and the dike system.
The oceanographic dataset thus provides an extended overview of the hydrodynamics and wave processes in
the bay of Saint-Malo from the coast up to over-flooding and over-topping areas. This dataset helps to identify
the physical drivers of the coastal flooding and provides a quantification of their respective contributions. In
particular, the wave processes at the foot of the protection structures can be observed: in this macro-tidal environment, during high spring tides, short and infragravity waves propagate up to the protection structures, while
the wave set-up remains negligible, and over-topping by sea packs can occur. The combination of high-resolution
topo-bathymetric and oceanographic datasets allows the construction, calibration and validation of a wave and
hydrodynamic coupled model that is used to investigate flooding processes more deeply and might be integrated
into a future local warning system by means of Saint-Malo inter-communality.</t>
  </si>
  <si>
    <t>Water Science and Technology</t>
  </si>
  <si>
    <t>10.2166/wst.2024.216</t>
  </si>
  <si>
    <t>https://www.scopus.com/inward/record.uri?eid=2-s2.0-85199014573&amp;doi=10.2166%2fwst.2024.216&amp;partnerID=40&amp;md5=57a42408987c95af3667f67a6e4c0ed8</t>
  </si>
  <si>
    <t>This study examines the flood disaster management network within the Guangdong–Hong Kong–Macao Greater Bay Area (GBA) from 2015 to 2021, identifying government department involvement and influence shifts. Key findings indicate a decrease in the centrality of the Public Security Office and Department of Transportation, suggesting a strategic shift toward more specialized, technology-driven disaster management. Conversely, the Science Bureau’s increased engagement, from 8.43% to 12.84%, highlights a policy shift toward scientific research and technological innovation in managing flood risks. The analysis reveals underutilized communication between the Central Committee, the Poverty Alleviation Office, and the Publicity Department, highlighting opportunities for improved integration in disaster management and public communication strategies. To address these issues, the study suggests strengthening inter-departmental collaboration to leverage technological advancements in disaster management. It also recommends integrating flood disaster management with poverty alleviation initiatives to support affected populations comprehensively. Increasing the involvement of the Publicity Department is crucial for improving timely and transparent communication of flood-related data to the public. The conclusions advocate for an adaptive, strategically planned network approach to flood disaster management in the GBA, aiming to bolster responsiveness and preparedness for future flood events. © 2024 The Authors.</t>
  </si>
  <si>
    <t>2-s2.0-85199014573"</t>
  </si>
  <si>
    <t>10.1016/j.nbsj.2024.100120</t>
  </si>
  <si>
    <t>https://www.scopus.com/inward/record.uri?eid=2-s2.0-85214662095&amp;doi=10.1016%2fj.nbsj.2024.100120&amp;partnerID=40&amp;md5=cf0f51f47c3806f82c2f4d105153f191</t>
  </si>
  <si>
    <t>Nature-based solutions have gained popularity as an approach to tackling hydro-meteorological hazards (HMHs) in both urban and rural settings. Despite this popularity, challenges persist regarding the evidence base for their effectiveness and data scarcity at the feature or site scale. Flood modelling is a common approach to quantifying the effectiveness of NbS</t>
  </si>
  <si>
    <t>10.1007/s11852-024-01055-0</t>
  </si>
  <si>
    <t>https://www.scopus.com/inward/record.uri?eid=2-s2.0-85195979532&amp;doi=10.1007%2fs11852-024-01055-0&amp;partnerID=40&amp;md5=a4584f24b03337fb7a7b3deb92037a85</t>
  </si>
  <si>
    <t>One of the crucial manifestations of climate change is Sea Level Rise (SLR). On the other hand, Tropical Cyclones (TCs) cause a huge devastation in the coastal regions. The extent of devastation caused by the TCs is further enhanced by rising sea level. A Coastal Vulnerability Index (CVI) is developed and projected till the year 2100 for different climate change scenarios, designated by Representative Concentration Pathways (RCPs), e.g., RCP2.6, RCP4.5 and RCP8.5. The head Bay region of the Bay of Bengal, comprising of the largest mangrove forest in the world (Sundarbans), is considered as study area. The region faced havoc due to land fall of cyclone Aila in May 2009. Considering Aila as the TC, current and future vulnerability maps (in terms of CVI) are developed considering SLR and other non-climatic factors. Results indicate that many parts in the study region are projected to be ‘Very High’ vulnerable that are not so currently. Future vulnerability maps that classify the coastal regions into very low, low, high and very high vulnerability classes are developed. Thus, the research outcomes are expected to be highly useful for future coastal management. The proposed procedure is general in nature, and can be used for vulnerability mapping of any coastal regions across the world. © The Author(s), under exclusive licence to Springer Nature B.V. 2024.</t>
  </si>
  <si>
    <t>2-s2.0-85195979532"</t>
  </si>
  <si>
    <t>10.1016/j.ijdrr.2024.104632</t>
  </si>
  <si>
    <t>https://www.scopus.com/inward/record.uri?eid=2-s2.0-85196816065&amp;doi=10.1016%2fj.ijdrr.2024.104632&amp;partnerID=40&amp;md5=defc95e0f76b953424d21d695f42000e</t>
  </si>
  <si>
    <t>The coastal and low-lying areas of the Indian Sundarban are highly vulnerable to multiple hazards. Cyclonic hazards and floods have become a regular phenomenon in this fragile region. The villages and their households of this region are very much vulnerable to embankment breaching. Embankments in this region have been built since 1770, but it was so much unsuccessful in coping with storm surges or flood hazards. The study focuses on assessing the vulnerability of households that are spatially affected by embankment breaching. The methodology is composed of four dimensions of vulnerability including social, economic, physical, and environmental, which cover thirty-four indicators. From dimension-wise vulnerability, the overall vulnerability of households has been estimated. Based on the proximity to the embankment breaching location and impact, 330 households from eleven villages were selected to conduct the household survey. The study also adopted the relative effect score method to delineate the influence of indicators on the vulnerability of each specific village. The result shows that households belonging to Patibunia, Lakshmipur Abad, and Ganeshnagar occupy a very high categorical position in overall household vulnerability. The higher degree of exposure due to embankment breaching, unequal infrastructure, unstable economic structure, and a low level of education is considered to be highly sensitive towards vulnerability. The method is flexible and can be replicated and modified in other spatial scales for rapid decision-making. © 2024 Elsevier Ltd</t>
  </si>
  <si>
    <t>2-s2.0-85196816065"</t>
  </si>
  <si>
    <t>10.5194/tc-18-3195-2024</t>
  </si>
  <si>
    <t>https://www.scopus.com/inward/record.uri?eid=2-s2.0-85198919121&amp;doi=10.5194%2ftc-18-3195-2024&amp;partnerID=40&amp;md5=853e4baeb32a2b7270620652eb8d0488</t>
  </si>
  <si>
    <t>Observations of glacier mass changes are key to understanding the response of glaciers to climate change and related impacts, such as regional runoff, ecosystem changes, and global sea level rise. Spaceborne optical and radar sensors make it possible to quantify glacier elevation changes, and thus multi-annual mass changes, on a regional and global scale. However, estimates from a growing number of studies show a wide range of results with differences often beyond uncertainty bounds. Here, we present the outcome of a community-based inter-comparison experiment using spaceborne optical stereo (ASTER) and synthetic aperture radar interferometry (TanDEM-X) data to estimate elevation changes for defined glaciers and target periods that pose different assessment challenges. Using provided or self-processed digital elevation models (DEMs) for five test sites, 12 research groups provided a total of 97 spaceborne elevation-change datasets using various processing approaches. Validation with airborne data showed that using an ensemble estimate is promising to reduce random errors from different instruments and processing methods but still requires a more comprehensive investigation and correction of systematic errors. We found that scene selection, DEM processing, and co-registration have the biggest impact on the results. Other processing steps, such as treating spatial data voids, differences in survey periods, or radar penetration, can still be important for individual cases. Future research should focus on testing different implementations of individual processing steps (e.g. co-registration) and addressing issues related to temporal corrections, radar penetration, glacier area changes, and density conversion. Finally, there is a clear need for our community to develop best practices, use open, reproducible software, and assess overall uncertainty to enhance inter-comparison and empower physical process insights across glacier elevation-change studies.  © 2024 Livia Piermattei et al.</t>
  </si>
  <si>
    <t>2-s2.0-85198919121"</t>
  </si>
  <si>
    <t>10.1029/2023JF007595</t>
  </si>
  <si>
    <t>https://www.scopus.com/inward/record.uri?eid=2-s2.0-85197549989&amp;doi=10.1029%2f2023JF007595&amp;partnerID=40&amp;md5=e97a88e1dee8611d8a5c1d9d8c23ad64</t>
  </si>
  <si>
    <t>Estuaries worldwide are susceptible and adapting to climate change (CC) impacts from both the river and coastal boundaries. Furthermore, engineering efforts are undertaken to improve flood safety, to claim land for human use or for port operations, which change estuary morphology. This paper aims to gain an understanding of the combined effects of CC and human interventions on the estuarine-wide morphological response by analyzing the sediment infilling of highly engineered estuaries. A schematized process-based morphodynamic model is used (Delft3D-FM, in 2DH), resembling a highly engineered estuary in the Rhine-Meuse Delta, The Netherlands. Three types of changes were implemented, both in isolation and in combination: (a) local interventions (changing channel depth or wetland area), (b) upstream human interventions (changing fluvial sediment supply) and (c) extreme CC scenarios (with projections for the future forcings and bathymetry). Results show that a CC scenario can elicit both positive and negative changes in the estuary's sediment budget. The direction and magnitude of the change depend on the local intervention and can align with the effect of the local intervention, intensifying its impact. The combined effects can even reverse the sign of the sediment budget. This stresses the need of analyzing CC impacts in combination with human interventions. Additionally, a relationship was identified which quantifies how a change in peak flow velocity due to both local interventions and sea-level rise affects the annual sediment budget. These findings can help determine how local interventions affect morphodynamics of engineered estuaries in present and future climates. © 2024 The Authors.</t>
  </si>
  <si>
    <t>2-s2.0-85197549989"</t>
  </si>
  <si>
    <t>10.1016/j.ijdrr.2024.104485</t>
  </si>
  <si>
    <t>https://www.scopus.com/inward/record.uri?eid=2-s2.0-85191347777&amp;doi=10.1016%2fj.ijdrr.2024.104485&amp;partnerID=40&amp;md5=6e01e94e5ad7ae7fedb7cb5e81736c1f</t>
  </si>
  <si>
    <t>Currently, most of the world's economically developed and densely populated cities are built along coasts, and populations and industries tend to concentrate in coastal areas. However, with climate change, extreme weather events frequently occur in coastal areas. High-density urban spaces have changed the natural hydrological cycle, and the dense spatial layout, low-load municipal system planning, and inefficient management system of coastal cities have led to an increasing threat of flooding in these high-density urban areas, affecting their safety and sustainable development. In this context, the scientific and reasonable risk assessment of future flooding in coastal high-density urban areas has become an urgent problem and a key focus of urban disaster prevention and control efforts. In this paper, a flood identification tool is developed, a technical route for flood risk identification is established, identification scenarios under several disaster conditions are set, and classification criteria for flood risk identification are determined. An empirical study of high-density urban areas in Macau is carried out, the Infoworks Icm hydrological simulation software (Manufacturer: HR Wallingford (Shanghai) Co.,Ltd) is used to establish a flood hazard risk identification model for the Macau Peninsula, and flood hazard risk zones for the high-density urban areas in Macau are identified and delineated based on the simulation results. © 2024 Elsevier Ltd</t>
  </si>
  <si>
    <t>2-s2.0-85191347777"</t>
  </si>
  <si>
    <t>10.1016/j.ocemod.2024.102391</t>
  </si>
  <si>
    <t>https://www.scopus.com/inward/record.uri?eid=2-s2.0-85195380753&amp;doi=10.1016%2fj.ocemod.2024.102391&amp;partnerID=40&amp;md5=5627b1dbfab61da2c5de790fbd107379</t>
  </si>
  <si>
    <t>The accurate prediction of wave height attenuation due to vegetation is crucial for designing effective and efficient natural and nature-based solutions for flood mitigation, shoreline protection, and coastal ecosystem preservation. Central to these predictions is the estimation of the vegetation drag coefficient (Cd). The present study undertakes a comprehensive evaluation of three distinct methodologies for estimating the drag coefficient: traditional manual calibration, calibration using a novel application of state-of-the-art metaheuristic optimization algorithms, and the integration of an empirical bulk drag coefficient formula (Tanino and Nepf, 2008) into the XBeach non-hydrostatic wave model. These methodologies were tested using a series of existing laboratory experiments involving nearshore vegetation on a sloping beach. A key innovation of the study is the first application of metaheuristic optimization algorithms for calibrating the drag coefficient, which enables efficient automated searches to identify optimal values aligning with measurements. We found that the optimization algorithms rapidly converge to precise drag coefficients, enhancing accuracy and overcoming limitations in manual calibration which can be laborious and inconsistent. While the integrated empirical formula also demonstrates reasonable performance, the optimization approach exemplifies the potential of computational techniques to transform traditional practices of model calibration. Comparing these strategies provides a framework to determine effective methodology based on constraints in determining the vegetation drag coefficient. © 2024 Elsevier Ltd</t>
  </si>
  <si>
    <t>2-s2.0-85195380753"</t>
  </si>
  <si>
    <t>10.1016/j.ejrh.2024.101775</t>
  </si>
  <si>
    <t>https://www.scopus.com/inward/record.uri?eid=2-s2.0-85189973184&amp;doi=10.1016%2fj.ejrh.2024.101775&amp;partnerID=40&amp;md5=79c945e76252b39b16f49dc8ddb79f93</t>
  </si>
  <si>
    <t>Study region: Nhat Le river basin, the floodplains of Central coast of Vietnam. Study focus: Flood disasters have a significant impact on population and economies worldwide. To accurately assess flood damage, it is crucial to estimate the water depth and predict the potential spread of damage. However, conventional methods of estimating flood depth can be time-consuming and costly due to the large amount of data required from hydraulic and rain-runoff models. To overcome these limitations, we propose a new approach that integrates a machine learning (ML) algorithm with a floodwater depth estimation tool (FwDET) based on SAR imagery and digital elevation models (DEMs). To evaluate our approach, we trained and tested six ML regression algorithms using 804 sets of inventory flood depth data from the historic flood on the Nhat Le River in Vietnam in October 2020 as the dependent variable. This approach significantly improves flood depth prediction accuracy, enabling a faster and more cost-effective estimation of flood damage. New hydrological insights for the region: Our research shows that by combining ML with FwDET, we were able to significantly enhance water depth prediction accuracy. We observed a 25.05% increase in the R2 coefficient and a 13.46% increase in the R coefficient. We recommend integrating satellite imagery, DEM, and ML for flood depth predictions, especially for floodplains with similar topographical conditions as the Nhat Le basin. This approach offers a practical, cost-effective, and near real-time solution for flood response. Implementing this approach can help improve flood damage assessment and mitigate the potential impacts of flood disasters on communities and economies. © 2024</t>
  </si>
  <si>
    <t>2-s2.0-85189973184"</t>
  </si>
  <si>
    <t>10.1016/j.scitotenv.2024.171749</t>
  </si>
  <si>
    <t>https://www.scopus.com/inward/record.uri?eid=2-s2.0-85188525660&amp;doi=10.1016%2fj.scitotenv.2024.171749&amp;partnerID=40&amp;md5=adfb7e5f0a16eeec94b9ce632b286983</t>
  </si>
  <si>
    <t>Historically, dissolved organic nitrogen (DON) has not been characterized in the nitrogen profiles of most estuaries despite its significant contribution to total nitrogen and projected increase in loading. The characterization of dissolved inorganic nitrogen (DIN) and DON processing from groundwater to surface water also remains unconstrained. This study attempts to fill in these knowledge gaps by quantifying the DON pool and potential sources in a semiarid, low inflow estuary (Baffin Bay, Texas) using stable isotope techniques. High NO3− and DON concentrations, and high δ15N-NH4+ (+55.0 ± 56.7 ‰), δ15N-NO3− (+23.9 ± 8.6 ‰) and δ15N-DON (+22.3 ± 6.5 ‰) were observed in groundwaters of a septic-influenced estuarine area, indicating coupled septic contamination and nitrification/denitrification. In contrast, groundwater of an undeveloped area provided evidence of inundation by bay water through high NH4+ concentrations and δ15N-NH4+ (+8.4 ± 3.0 ‰) resembling estuary porewater. NH4+ was the dominant nitrogen species in porewater of both areas and δ15N-NH4+ indicated production via organic nitrogen mineralization and dissimilatory nitrate reduction to ammonium. Surface water had similar nitrogen profiles (DON constituted ∼98 % of dissolved nitrogen pool) and potential source contributions, despite distinct nitrogen processing and profiles found in each water table. This was attributed to low nitrogen removal rates and prolonged mixing associated with long residence time. This study emphasizes the importance of DON in a low-inflow estuary and the isotopic approach to comprehensively examine both inorganic and organic N processing and sources serving as a guide to investigate N cycling in high DON estuaries globally. © 2024 Elsevier B.V.</t>
  </si>
  <si>
    <t>2-s2.0-85188525660"</t>
  </si>
  <si>
    <t>10.1016/j.ejrs.2024.04.004</t>
  </si>
  <si>
    <t>https://www.scopus.com/inward/record.uri?eid=2-s2.0-85191313348&amp;doi=10.1016%2fj.ejrs.2024.04.004&amp;partnerID=40&amp;md5=92e0382d3290f05baf112f579d82a8dc</t>
  </si>
  <si>
    <t>Changes in river bank location have wide consequences on floodplain communities and the sustainability of floodplain ecosystems. Although river dynamics are monitored globally and locally, understanding the impact of riverine dynamics on land use change remains a challenge. Bangladesh, part of the Bengal Delta, is mostly made up of alluvial deposits and is crisscrossed by so many rivers. Jamuna is one of the prominent rivers in this region. This study presents a consistent evaluation of the dynamics of the Jamuna river and ensuing changes in land use over 48 years (1972–2020) depending on satellite observations and geospatial analysis. Changes in the presence of water were used to estimate the advance/retreat of the banks and loss/gain of land along 257 perpendicular transects along the common pattern of the centerlines of the river. We found that the overall loss of agricultural land was about 535.01 km2, sevenfold of the gained agricultural land. Other land use losses were bare lands 136.73 km2, waterbodies 80.37 km2, settlement 67.28 km2 and vegetation 132.79 km2 against 48.47 km2, 3.52 km2, 23.76 km2 and 6.14 km2 land use gains respectively. Agricultural land loss impacts the livelihood of the floodplain dwellers and settlement loss causes internal migration. This pattern of land use change driven by the river dynamics has created newer environmental challenges and additionally, climate change may intricate the situation in the future. The findings of this study throw insight into the fact and may aid in sustainable river training measures and floodplain management. © 2024 National Authority of Remote Sensing &amp; Space Science</t>
  </si>
  <si>
    <t>2-s2.0-85191313348"</t>
  </si>
  <si>
    <t>Weather and Forecasting</t>
  </si>
  <si>
    <t>10.1175/WAF-D-23-0178.1</t>
  </si>
  <si>
    <t>https://www.scopus.com/inward/record.uri?eid=2-s2.0-85202292303&amp;doi=10.1175%2fWAF-D-23-0178.1&amp;partnerID=40&amp;md5=72c7f439be1cf7f2cd13281bf1cd2302</t>
  </si>
  <si>
    <t>In Alaska’s coastal environment, accurate information of sea ice conditions is desired by operational forecasters, emergency managers, and responders. Complicated interactions among atmosphere, waves, ocean circulation, and sea ice collectively impact the ice conditions, intensity of storm surges, and flooding, making accurate predictions challenging. A collaborative work to build the Alaska Coastal Ocean Forecast System established an integrated storm surge, wave, and sea ice model system for the coasts of Alaska, where the verified model components are linked using the Earth System Modeling Framework and the National Unified Operational Prediction Capability. We present the verification of the sea ice model component based on the Los Alamos Sea Ice Model, version 6. The regional, high-resolution (3 km) configuration of the model was forced by operational atmospheric and ocean model outputs. Extensive numerical experiments were conducted from December 2018 to August 2020 to verify the model’s capability to represent detailed nearshore and off-shore sea ice behavior, including landfast ice, ice thickness, and evolution of air–ice drag coefficient. Comparisons of the hindcast simulations with the observations of ice extent presented the model’s comparable performance with the Global Ocean Forecast System 3.1 (GOFS3.1). The model’s skill in reproducing landfast ice area significantly outperformed GOFS3.1. Comparison of the modeled sea ice freeboard with the Ice, Cloud, and Land Elevation Satellite-2 product showed a mean bias of 24.6 cm. Daily 5-day forecast simulations for October 2020–August 2021 presented the model’s promising performance for future implementation in the coupled model system. © 2024 American Meteorological Society.</t>
  </si>
  <si>
    <t>2-s2.0-85202292303"</t>
  </si>
  <si>
    <t>10.1002/esp.5805</t>
  </si>
  <si>
    <t>https://www.scopus.com/inward/record.uri?eid=2-s2.0-85187192821&amp;doi=10.1002%2fesp.5805&amp;partnerID=40&amp;md5=56e900cbf266b6a19c6bf8458d4c81f4</t>
  </si>
  <si>
    <t>During the last decade, meter-resolution topo-bathymetric digital elevation models (DEMs) have become increasingly utilized within fluvial geomorphology, but most meter-scale geomorphic analyses are done on just one to a few rivers. While such analyses have contributed greatly to our collective understanding of river discharge-topography interactions, which is applicable in both river restoration design and environmental flow regulation contexts, their generalizability across a range of river types remains largely unevaluated. This study assessed the dominance of a single hydro-morphodynamic mechanism, flow convergence routing, in 35 ephemeral rivers divided among five river types in California's South Coast region by answering five questions. Geomorphic covariance structure (GCS) analysis was performed on longitudinal standardized width and standardized, detrended bed elevation spatial series from meter-resolution DEMs. All river types had coherent, multi-scalar structures of longitudinal fluvial topography, implicating a process-morphology link. GCS metrics revealed that landform patterning was consistent with the requirements of the morphodynamic mechanism of flow convergence routing. Thus, that process was found to be a broadly relevant channel altering mechanism among sites, but its relationship with water stage differed between river types. Specifically, river types in unconfined valleys exhibited a strong bankfull width control over base flow bed undulations, with no obvious flood-stage control over bankfull landform patterning. River types in partially confined valleys also exhibited strong bankfull width control over base flow bed undulations, but their bankfull landform patterns appear to have coalesced with coherent width and bed elevation undulations during flood flows. Finally, metrics for confined river types showed that it takes higher magnitude, less frequent floods to set their coherent width and bed elevation undulations, but even these channels do exhibit flow convergence routing when given enough discharge for sufficient duration. © 2024 The Authors. Earth Surface Processes and Landforms published by John Wiley &amp; Sons Ltd.</t>
  </si>
  <si>
    <t>2-s2.0-85187192821"</t>
  </si>
  <si>
    <t>10.5194/os-20-369-2024</t>
  </si>
  <si>
    <t>https://www.scopus.com/inward/record.uri?eid=2-s2.0-85188185787&amp;doi=10.5194%2fos-20-369-2024&amp;partnerID=40&amp;md5=e6b2e153834e1c0517af1c8e99933ef2</t>
  </si>
  <si>
    <t xml:space="preserve">Future global mean sea level rise (SLR) will affect coastlines and estuaries in the North Sea and therefore also coastal protection structures, unique local ecosystems and important waterways. SLR will not only raise water levels but also influence tidal dynamics and morphodynamics, which is why the tidal flats of the Wadden Sea can grow to a certain extent with SLR. Investigations on the effects of climate-change-induced SLR and the related potential bathymetric changes inside of estuaries form an important basis for identifying vulnerabilities and developing appropriate adaptation strategies. To analyse the influence of potential SLR and tidal flat elevation scenarios on the tidal dynamics in the Elbe estuary, we used a highly resolved hydrodynamic numerical model of the German Bight. The analysis results show increasing tidal range in the Elbe estuary solely due to SLR. They also reveal strongly varying changes with different tidal flat growth scenarios: while tidal flat elevation up to the mouth of the estuary can cause tidal range to decrease relative to SLR alone, tidal flat elevation in the entire estuary can lead to an increase in tidal range relative to SLR alone. Further analyses show how the geometric parameters of the Elbe estuary are changing due to SLR and tidal flat elevation. We discuss how these changes in estuarine geometry can provide an explanation for the changes in tidal range.  © Copyright: </t>
  </si>
  <si>
    <t>2-s2.0-85188185787"</t>
  </si>
  <si>
    <t>10.1016/j.scitotenv.2024.170830</t>
  </si>
  <si>
    <t>https://www.scopus.com/inward/record.uri?eid=2-s2.0-85185262437&amp;doi=10.1016%2fj.scitotenv.2024.170830&amp;partnerID=40&amp;md5=dee7196fb3d5ec2fb801118a624af7ad</t>
  </si>
  <si>
    <t>It is imperative to assess coastal vulnerability to safeguard coastal areas against extreme events and sea-level rise. In the Niger Delta region, coastal vulnerability index assessment in the past focused on open-access parameters without comparing the open-access parameters, especially coastal elevation and shoreline change. This sensitivity to the shoreline method and open-access coastal elevation limits the information for the planning of coastal adaptation. The area under investigation is the Niger Delta, which is distinguished by its low-lying coastal plains and substantial ecological and economic significance. In light of the selected parameters, Sentinel-1 GRD images from 2015 to 2022 during high tidal conditions were used to delineate the shoreline position and change rate. Also, different open-access DEMs were used to derive the coastal elevation using the Geographic Information System (GIS) approach. The study employs 5 parameters, such as shorelines obtained from Sentinel-1 SAR images and several Digital Elevation Models (DEMs), geomorphology, mean sea level rise, significant wave height, and mean tide range, in conjunction with the initial Coastal Vulnerability Index (CVI) approach. The study reveals that the type of DEM used significantly influences the coastal elevation ranking and, subsequently, the CVI. Differences in shoreline change rate estimation methods (EPR and LRR) also impact the vulnerability rankings but to a lesser extent. The findings highlight that 40.1% to 58.9% of the Niger Delta coastline is highly or very highly vulnerable to sea-level rise, depending on the shoreline change rate or DEM used. The study underscores the potential of using CVI methods with open-access data in data-poor countries for identifying vulnerable coastal areas that may need protection or adaptation. Lastly, it points out the need for higher resolution DEMs. © 2024 The Authors</t>
  </si>
  <si>
    <t>2-s2.0-85185262437"</t>
  </si>
  <si>
    <t>10.1111/gcb.17342</t>
  </si>
  <si>
    <t>https://www.scopus.com/inward/record.uri?eid=2-s2.0-85194527402&amp;doi=10.1111%2fgcb.17342&amp;partnerID=40&amp;md5=49c4ce03200d7f5ebc5721ee575bfb6c</t>
  </si>
  <si>
    <t>Nitrogen (N) is a limiting nutrient for primary productivity in most terrestrial ecosystems, but whether N limitation is strengthening or weakening remains controversial because both N sources and sinks are increasing in magnitude globally. Temperate marshes are exposed to greater amounts of external N inputs than most terrestrial ecosystems and more than in preindustrial times owing to their position downstream of major sources of human-derived N runoff along river mouths and estuaries. Simultaneously, ecosystem N demand may also be increasing owing to other global changes such as rising atmospheric [CO2]. Here, we used interannual variability in external drivers and variables related to exogenous supply of N, along with detailed assessments of plant growth and porewater biogeochemistry, to assess the severity of N-limitation, and to determine its causes, in a 14-year N-addition × elevated CO2 experiment. We found substantial interannual variability in porewater [N], plant growth, and experimental N effects on plant growth, but the magnitude of N pools through time varied independently of the strength of N limitation. Sea level, and secondarily salinity, related closely to interannual variability in growth of the dominant plant functional groups which drove patterns in N limitation and in porewater [N]. Experimental exposure of plants to elevated CO2 and years with high flooding strengthened N limitation for the sedge. Abiotic variables controlled plant growth, which determined the strength of N limitation for each plant species and for ecosystem productivity as a whole. We conclude that in this ecosystem, which has an open N cycle and where N inputs are likely greater than in preindustrial times, plant N demand has increased more than supply. © 2024 John Wiley &amp; Sons Ltd.</t>
  </si>
  <si>
    <t>2-s2.0-85194527402"</t>
  </si>
  <si>
    <t>10.1016/j.scitotenv.2024.171443</t>
  </si>
  <si>
    <t>https://www.scopus.com/inward/record.uri?eid=2-s2.0-85186954158&amp;doi=10.1016%2fj.scitotenv.2024.171443&amp;partnerID=40&amp;md5=725cccf20f8db8ce218110aa71f250a9</t>
  </si>
  <si>
    <t>Saltmarshes play a crucial role in carbon sequestration and storage, although they are increasingly threatened by climate change-induced sea level rise (SLR). This study assessed the potential variation in Blue Carbon stocks across regional and local scales, and estimated their economic value and potential habitat loss due to SLR based on the IPCC AR6 scenarios for 2050 and 2100 in three estuarine saltmarshes in northern Portugal, the saltmarshes of the Minho, Lima and Cávado estuaries. The combined carbon stock of these saltmarshes was 38,798 ± 2880 t of organic carbon, valued at 3.96 ± 0.38 M€. Local and regional differences in carbon stocks were observed between common species, with the cordgrass Spartina patens and the reed Phragmites australis consistently showing higher values in the Lima saltmarsh in some of the parameters. Overall, the Lima saltmarsh had the highest total carbon per species cover, with S. patens showing the highest values among common species. Bolboschoenus maritimus had the highest values in the Minho saltmarsh, while the other species presented a similar carbon storage capacity. Potential habitat loss due to SLR was most evident in the Cávado saltmarsh over shorter timescales, with a significant risk of inundation even for median values of SLR, while the Lima saltmarsh was shown to be more resistant and resilient. If habitat loss directly equates to carbon loss within these saltmarshes, projected CO2 emissions may range from 22,000 to 43,449 t by 2050 and 33,000 to 130,000 t by 2100 (under the IPCC SSP5–8.5 scenario). The study shows the importance of Blue Carbon site-specific estimates, acknowledging the potential future repercussions from habitat loss due to SLR. It emphasizes the need to consider local and regional variability in Blue Carbon stocks assessments and highlights the critical importance of preserving and rehabilitating these ecosystems to ensure their continued efficacy as vital carbon sinks, thereby contributing to climate change mitigation efforts. © 2024 Elsevier B.V.</t>
  </si>
  <si>
    <t>2-s2.0-85186954158"</t>
  </si>
  <si>
    <t>Communications in Nonlinear Science and Numerical Simulation</t>
  </si>
  <si>
    <t>10.1016/j.cnsns.2024.107888</t>
  </si>
  <si>
    <t>https://www.scopus.com/inward/record.uri?eid=2-s2.0-85184148823&amp;doi=10.1016%2fj.cnsns.2024.107888&amp;partnerID=40&amp;md5=e59957b0d8fdaa56e0d70139c8ffcbc7</t>
  </si>
  <si>
    <t>Wetlands play an important role in maintaining many natural cycles and supporting a wide range of biodiversity. In the current world, the transport of solute in a wetland with vegetation is an essential issue in environmental, biological, geophysical, and concerned applications. Specially, floating vegetated wetland which is a buoyant platform enveloped by plants, playing a pivotal role in filtering and purifying water in aquatic ecosystems The main focus of the present research is to investigate the transport of sediment particles in a depth-dominated tidal floating vegetated wetland (FVW) flow. The characteristics of floating vegetation absorption and vegetation parameter in FVW are explained to explore the transport of sediment particles. This work's model relies on an advection-diffusion equation, the solution of which discloses the concentration of settling particles in the water phase. Utilizing the method of moments, a set of moment equations is derived from the governing equation. The equations of moment are then solved using a finite difference implicit scheme. Further, the four moments and Hermite polynomial illustration is adopted to derive the vertical mean concentration distribution profile. The effective dispersivity and the concentration distributions of the sediment particles are illustrated for three different situations of fluid flow: steady, purely oscillatory, and periodic flow with non-zero-mean for all time. The effects of the vegetation factor, settling velocity, absorption due to floating vegetation, and other important factors on sediment transport in FVW are discussed for three different cases separately. Result shows as settling velocity (ω) increases, the influence of vegetation absorption (β) on dispersion coefficient diminishes in the steady state, and its effect on mean concentration becomes less pronounced due to the downward movement of particles. This is because vegetation absorption is stronger near the upper surface, but higher ω values lead to particle downward, reducing β′s impact. The results are described in the context of some real-world situations, as the free surface of a tidal wetland is naturally covered with plants</t>
  </si>
  <si>
    <t>10.1016/j.rsase.2024.101156</t>
  </si>
  <si>
    <t>https://www.scopus.com/inward/record.uri?eid=2-s2.0-85187269527&amp;doi=10.1016%2fj.rsase.2024.101156&amp;partnerID=40&amp;md5=39434a02ac04ac5c2e6f71b0a88c621d</t>
  </si>
  <si>
    <t>Most ecological processes typically violate the stationarity assumption as its statistical properties do vary with time. Not only is climate a non-stationary driving phenomenon, but biological systems are intrinsically non-stationary as well. Since wetlands’ structure and functioning are determined by its hydrologic regime, they are not simply driven by temperature and rainfall, but also by seasonal and inter-annual phases of flood and drought. Thus, assessment of non-stationary processes might be particularly accurate in regards to dynamically complex or altered wetland ecosystems. Our aim was to address whether wetland vegetation growth dynamics are intrinsically non-stationary and driven by transient interactions with non-stationary hydro-climatic factors in the context of land use and land cover changes (LULLCs). In order to provide better insight into how and when temporal dynamics guiding ecological transitions occur, we decomposed information from six NDVI time-series depicting differing LULCCs scenarios in a mosaic of wetlands. Thus, to better comprehend the simultaneous underlying processes driving wetland dynamics in the non-insular Lower Delta of the Paraná River, Argentina, we applied the Wavelet Transform. Wavelet analysis is free from the assumption of stationarity and successfully addresses the relationships between two time-series, in the context of gradual changes forced by exogenous variables. In general, our main results show that non-stationary wetland vegetation dynamics can significantly and cyclically alter its periodicity across time in the context of LULCCs and because of its significant interactions with non-stationary hydro-climatic drivers. Our results also show that wavelet analysis can aid in understanding multi-scale non-stationary ecological time-series and reveal features that were either unseen or wrongly assumed otherwise, such as stationarity or constant linear relationships. Implementing the wavelet approach, we have demonstrated that it is possible to study irregular, non-stationary NDVI time-series in wetland ecosystems in order to detect weak and transient interactions between hydro-climatic drivers and wetland vegetation growth dynamics. Particularly through wavelet power spectrums, our results not only identified and quantified the main periodic component of given NDVI time-series, but also assessed its progression through time in the context of complex LULCCs. Principally, we observed the greater the LULCC, the weaker the relationship with most hydro-climatic variables. The aforementioned LULCCs seemingly related to both natural and anthropogenic processes occurring at a given moment in time. Thus, it reflected not only on transient interactions with significant hydro-climatic drivers, but also on changes in the dominant periodicity of wetland vegetation dynamics. Our findings suggests that water management infrastructure exerts significant and irreversible impacts on wetlands. Therefore, a comprehensive approach and strategic planning are necessary to minimize the negative impacts of such infrastructure and to ensure the long-term sustainability of wetland ecosystems. © 2024 Elsevier B.V.</t>
  </si>
  <si>
    <t>2-s2.0-85187269527"</t>
  </si>
  <si>
    <t>10.1175/JHM-D-23-0102.1</t>
  </si>
  <si>
    <t>https://www.scopus.com/inward/record.uri?eid=2-s2.0-85210582698&amp;doi=10.1175%2fJHM-D-23-0102.1&amp;partnerID=40&amp;md5=121c8b09721d0702f44b861854f7578e</t>
  </si>
  <si>
    <t>In coastal regions, compound flooding, driven by multiple flood hazard sources, can cause greater damage than when the flood drivers occur in isolation. This study focuses on compound flooding from extreme precipitation and storm surge in China’s Qiantang Estuary. We quantify the potential of compound flooding by measuring bivariate joint statistical dependence and joint return period (JRP). We find a significant positive dependence between the two flood drivers considered, as indicated by Kendall’s rank correlation coefficients. Compound events occur frequently, with an average of 2.65 events per year from 1979 to 2018, highlighting the significant concern of compound flooding for this estuary. Using a copula model, we demonstrate that considering the dependence between the two flood drivers shortens the JRP of compound flooding compared to the JRP assuming total independence. For a 1-in-10-yr precipitation event and 1-in-10-yr storm surge event, the JRP is 1 in 100 years when assuming total independence. However, it decreases to 1 in 32.44 years when considering their dependence. Ignoring the dependence between flood drivers can lead to an increase in the JRP of compound events, resulting in an underestimation of the overall flood risk. Our analysis reveals a strong link between the weather patterns creating compound events and extreme storm surge only events with tropical cyclone activity. Addition-ally, the extreme precipitation only events were found to be connected with the frontal system of the East Asian summer monsoon. This study highlights the importance of considering the dependence between multiple flood drivers associated with certain types of the same weather systems when assessing the flood risk in coastal regions. © 2024, American Meteorological Society. All rights reserved.</t>
  </si>
  <si>
    <t>2-s2.0-85210582698"</t>
  </si>
  <si>
    <t>10.1016/j.scitotenv.2024.172066</t>
  </si>
  <si>
    <t>https://www.scopus.com/inward/record.uri?eid=2-s2.0-85189533776&amp;doi=10.1016%2fj.scitotenv.2024.172066&amp;partnerID=40&amp;md5=6758777070fb81bf5f9a9843fb2f5e14</t>
  </si>
  <si>
    <t>The interactions and collective impacts of different types of hazards within a compound hazard system, along with the influence of geographical covariates on flooding are presently unclear. Understanding these relationships is crucial for comprehending the formation and dynamic processes of the hazard chain and improving the ability to identify flood warning signals in complex hazard scenarios. In this study, we presented a multivariate spatial extreme value hierarchical (MSEVH) framework to assess the spatial extreme water levels (EWL) at different return levels under the influence of a hazard chain and geographical covariates. The Pearl River Delta (PRD) was selected as a research example to assess the effectiveness of the MSEVH framework. Firstly, we identified a hazard chain (extreme streamflow from the Xijiang River (XR) - extreme streamflow from the Beijiang River (BR) - extreme sea level) and three geographical covariates influencing EWL in the PRD. Then, we compared four hazard scenarios in the MSEVH framework to evaluate the spatial EWL at different return levels under the influence of the hazard chain in the PRD. The final step involves assessing spatial EWL with the effect of the hazard chain and geographical covariates. The results indicate that when extreme streamflow from XR and BR occurs concurrently, the extreme streamflow from BR weakens the influence of extreme streamflow from XR on EWL in the PRD. However, it cannot fully offset the overall impact of extreme streamflow from XR on EWL. In addition, when extreme streamflow from XR, extreme streamflow from BR, and extreme sea level occur simultaneously, the extreme sea level enhances the influence of concurrent extreme streamflow from XR and BR on EWL in the PRD. The proposed MSEVH is not only applicable to the PRD but also shows promising potential for evaluating extreme hydrometeorological variables under the influence of other hazard chains. © 2024 Elsevier B.V.</t>
  </si>
  <si>
    <t>2-s2.0-85189533776"</t>
  </si>
  <si>
    <t>10.1016/j.ocemod.2024.102368</t>
  </si>
  <si>
    <t>https://www.scopus.com/inward/record.uri?eid=2-s2.0-85190151086&amp;doi=10.1016%2fj.ocemod.2024.102368&amp;partnerID=40&amp;md5=73ea50a2e3eada95d7fec4a65767e0f7</t>
  </si>
  <si>
    <t>In recent years, Portugal's coastal regions have experienced an increase in the frequency and intensity of severe weather events, including tropical cyclones and extratropical storms. This paper presents an analysis of Hurricane Leslie(2018)'s impact on Portugal, with a specific focus on the complex and often underestimated meteotsunami phenomena accompanying the storm system. Our analysis examines data collected from multiple sources, and employs advanced numerical simulations, integrated within the GeoClaw framework. These simulations encompass both storm surge and meteotsunami effects. One of the findings is the significant role played by meteotsunamis in amplifying coastal sea levels during extreme weather events. The observed sea-level fluctuations closely align with the combined surge-meteotsunami simulations, emphasizing the importance of considering these high-frequency phenomena in coastal hazard assessments. © 2024</t>
  </si>
  <si>
    <t>2-s2.0-85190151086"</t>
  </si>
  <si>
    <t>Journal for Nature Conservation</t>
  </si>
  <si>
    <t>10.1016/j.jnc.2024.126582</t>
  </si>
  <si>
    <t>https://www.scopus.com/inward/record.uri?eid=2-s2.0-85188690761&amp;doi=10.1016%2fj.jnc.2024.126582&amp;partnerID=40&amp;md5=4a6fd06cb04544a60647bfd32abd9bc7</t>
  </si>
  <si>
    <t>Matang Mangrove Forest Reserve (MMFR) in Peninsular Malaysia, with its ‘management plans’ traced back to 1904, is the longest-managed mangrove forest for timber (pole/charcoal) production through intermediate thinning and final felling (or clear-felling) operations. For 115 years, the mangroves in the productive zones have been harvested under a 30-year rotation cycle. The 10-year management plans released by the Forestry Department have been supporting silvicultural management. Despite the long management history, the mangrove biomass and quality were found to have decreased in recent years. Therefore, we analyzed all the available management plans between 1904 and 2019 to summarize both qualitative and quantitative data (i.e., silviculture policy/practice and trading) in search of the shifts in management practices. A comparison with relevant literature on the MMFR was also made to evaluate the potential issues of scientific concern in the ongoing management. We found that the higher yield (per ha) of charcoal and poles in the past 20 years resulted from exploiting the restrictive productive zones (=forest that is environmentally sensitive and marginally productive). With a policy inclined greatly toward the financial outcomes of timber-based products, the current silviculture practice may turn out to be unsustainable if any impacts like extreme weather, tree dieoff, sea-level rise, etc., affect mangroves in the future. We discuss the dilemma between greenwood harvesting and the protection of a diverse range of ecosystem service. This study sheds light on the strengths and weaknesses of historic and current mangrove timber harvesting regimes in MMFR and can contribute to supporting future sustainable mangrove management in Matang, and other forest formation. © 2024 Elsevier GmbH</t>
  </si>
  <si>
    <t>2-s2.0-85188690761"</t>
  </si>
  <si>
    <t>10.3390/hydrology11040046</t>
  </si>
  <si>
    <t>https://www.scopus.com/inward/record.uri?eid=2-s2.0-85191512312&amp;doi=10.3390%2fhydrology11040046&amp;partnerID=40&amp;md5=342449d0488c8296cfc68d66e4ecc642</t>
  </si>
  <si>
    <t>Tidal inlet structures are engineering projects with associated benefits related to flood control, water quality enhancement, and coastal protection. This study analyzes the performance of hydraulic gates on a stabilized inlet in estuarine systems by developing a simplified hydraulic model that considers inlet and outlet water levels. The proposed model was applied to the stabilized tidal inlet structure in Cartagena de Indias, Colombia. This model offers a practical tool for engineers and designers operating estuarine systems. The analysis focuses on the coastal lagoon of Ciénaga de la Virgen. The proposed model was successfully calibrated using two water sensors, with extreme input and outlet flow rates of approximately 260 m3/s and 110 m3/s, respectively. The average daily output volume in the system is 3,361,000 m3, while the average daily input volume is 3,200,000 m3. Consequently, the manipulation of the opening gates results in a decrease in the estuarine water level, potentially by as much as 25 cm, which local authorities can use to make decisions to reduce extreme water levels during flooding events. © 2024 by the authors.</t>
  </si>
  <si>
    <t>2-s2.0-85191512312"</t>
  </si>
  <si>
    <t>10.1016/j.jenvman.2024.120667</t>
  </si>
  <si>
    <t>https://www.scopus.com/inward/record.uri?eid=2-s2.0-85187722228&amp;doi=10.1016%2fj.jenvman.2024.120667&amp;partnerID=40&amp;md5=7b984ee064e5df14491268d7fc2c6a5f</t>
  </si>
  <si>
    <t>The Mediterranean basin is one of the most vulnerable regions worldwide due to its population density, the concentration of economic activities along the coasts and borderline climatic balance. It is identified as one of the most critical erosion hotspots in Europe, mainly due to the degradation of coastal areas, overexploitation and unsustainable practices affecting beach tourism, agriculture and fishing. The region is also affected by other phenomena such as storms and floods, which are exacerbated by climate change. To mitigate and adapt to these environmental and climatic changes, Nature based Solutions (NbSs) are considered a promising step-forward. However, despite their global recognition in both research and policy, few scientific papers and documents on the state of NbSs implementation for coastal risk management in the Mediterranean exist. This paper aims to provide an understanding of the status of NbS adoption for coastal risk management in the Mediterranean through a literature review. Out of 162 scientific papers and documents, only 23 were found to be relevant to the study. Through the definition and support of an innovative matrix-based approach, the analysis of the state of adoption of NbSs have been performed. Despite the limited information on the state of the adoption of NbSs for coastal risk management in the Mediterranean due to the low numbers of scientific research and documents available, some key considerations have been revealed. © 2024 The Authors</t>
  </si>
  <si>
    <t>2-s2.0-85187722228"</t>
  </si>
  <si>
    <t>10.5194/essd-16-1503-2024</t>
  </si>
  <si>
    <t>https://www.scopus.com/inward/record.uri?eid=2-s2.0-85188435453&amp;doi=10.5194%2fessd-16-1503-2024&amp;partnerID=40&amp;md5=791b83142d2f14526952bbed0e0d0863</t>
  </si>
  <si>
    <t>Here we present FOCA (Italian FlOod and Catchment Atlas), the first systematic collection of data on Italian river catchments for which historical discharge time series are available. Hydrometric information, including the annual maximum peak discharge and average daily annual maximum discharge, is complemented by several geomorphological, climatological, extreme rainfall, land-cover and soil-related catchment attributes. All hydrological information derives from the most recently released datasets of discharge and rainfall measurements. To enhance the reproducibility and transferability of the analysis, this paper provides a description of all the raw data and the algorithms used to build the basin attribute dataset. We also describe the approaches adopted to solve problems encountered during the digital elevation model elaboration in areas characterized by a complex morphology. Details about the data quality-control procedure developed to detect and correct errors are also reported. One of the main novelties of FOCA with respect to other national-scale datasets is the inclusion of a rich set of geomorphological attributes and extreme rainfall features for a large set of basins covering a wide range of elevations and areas. Using this first nationwide data collection (available at 10.5281/zenodo.10446258, Claps et al., 2023), a wide range of environmental applications, with a particular focus on flood studies, can be undertaken within the Italian territory. © 2024 Pierluigi Claps et al.</t>
  </si>
  <si>
    <t>2-s2.0-85188435453"</t>
  </si>
  <si>
    <t>10.1007/s11069-024-06506-3</t>
  </si>
  <si>
    <t>https://www.scopus.com/inward/record.uri?eid=2-s2.0-85186918224&amp;doi=10.1007%2fs11069-024-06506-3&amp;partnerID=40&amp;md5=1ef0c8b0b6bad17840cbc1b2b15b196c</t>
  </si>
  <si>
    <t>Denpasar, the capital city of Bali Province, is a coastal city pivotal for tourism, economy, and investment. However, these activities, compounded by climate change, alter coastal characteristics, potentially increasing coastal hazards. This study aims to determine the coastal region's characteristics and analyze the distribution of coastal multi-hazards in Denpasar using the Coastal Hazard Wheel (CHW). The multi-hazards studied consist of ecosystem disruption, gradual inundation, seawater intrusion, erosion, and flooding. The results showed that Denpasar City has heterogeneous coastal characteristics. Denpasar’s coastal region is composed of a geological layout: a barrier, delta/low estuary island, sedimentary plain, sloping soft rock, and tidal inlet/sand spit/river mouth. Wave exposure in the Denpasar’s coastal region consists of protected and moderately exposed categories with significant wave heights ranging from 0.93 to 1.27 m. Tidal analysis shows that the average tidal range in the Denpasar’s coastal region is 366 cm (meso tidal). Denpasar’s coastal area also has heterogeneous flora/fauna conditions with categories such as mangrove/tidal flat, vegetated slope, not vegetated, and any (there is vegetation, but it does not have a significant effect). Denpasar’s coastal region experienced an increase in shoreline by 4.2 km (8.7%) from 2012 to 2022, dominated by anthropogenic activities. There is no tropical cyclone activity around Denpasar’s coastal area. Based on the conditions of the biogeophysical parameters, the coastal type and the level of existing hazards can identified. Ecosystem disruption has low, medium, and very high hazard levels. Seawater intrusion has a low to high hazard level. Meanwhile, gradual inundation, erosion, and coastal flooding have a low to very high level of hazard. © The Author(s), under exclusive licence to Springer Nature B.V. 2024.</t>
  </si>
  <si>
    <t>2-s2.0-85186918224"</t>
  </si>
  <si>
    <t>10.1007/s11069-024-06414-6</t>
  </si>
  <si>
    <t>https://www.scopus.com/inward/record.uri?eid=2-s2.0-85183918170&amp;doi=10.1007%2fs11069-024-06414-6&amp;partnerID=40&amp;md5=72cd594768849267e04097fb9f89776d</t>
  </si>
  <si>
    <t>Sagar Island, located in the Indian Sundarbans Delta, is extremely vulnerable to storm surge flooding. Therefore, there is a need for a precise model to assess its susceptibility to storm surges, which is essential for efficient coastal management and reducing the risk of disasters. Traditional modeling methods often lack the capability to consider the intricate relationships between various influencing factors. This study aims to advance the field by developing robust deep learning (DL) models for storm surge susceptibility prediction, specifically incorporation of Bayesian optimization with DL models and implementing Explainable Artificial Intelligence (XAI) methods for model interpretation and data-driven management. Storm surge susceptibility in Sagar Island presents a critical problem requiring advanced predictive modeling. We employ Bayesian Optimization for hyperparameter tuning in Deep Neural Networks (DNN), 1D Convolutional Neural Networks (CNN), and LightGBM models, focusing on 11 variables with low multi-collinearity. Additionally, we applied Explainable AI techniques such as SHapley Additive exPlanations (SHAP) and permutation importance for model interpretability. DNN achieved the highest accuracy of 97.75%, with F1-score at 97.85%. LightGBM and CNN were close competitors with an accuracy of 97.5%. DNN’s true positive rate was 95%, compared to CNN’s 94% and LightGBM’s 93%. In the susceptibility mapping analysis, the CNN detected areas categorized as ‘Very Low’ and ‘Very High’ susceptibility, constituting 65.12% of the study area and covering 156.88 km² and 11.38% covering 11.38 km², respectively. Similarly, LightGBM exhibited a comparable pattern, but with a more pronounced representation of ‘High’ susceptibility zones, spanning 22.61 km², predominantly across the coastal and central regions of Sagar Island. Feature importance assessed through SHAP revealed “Rainfall” as 40% more impactful than “Cyclone Track.” While all three models demonstrated robust performance, DNN emerged as marginally superior in most evaluated metrics. Our study provides valuable insights for targeted storm surge management strategies in Sagar Island, combining high predictive accuracy with model interpretability. © The Author(s), under exclusive licence to Springer Nature B.V. 2024.</t>
  </si>
  <si>
    <t>2-s2.0-85183918170"</t>
  </si>
  <si>
    <t>Real Estate Economics</t>
  </si>
  <si>
    <t>10.1111/1540-6229.12480</t>
  </si>
  <si>
    <t>https://www.scopus.com/inward/record.uri?eid=2-s2.0-85186893113&amp;doi=10.1111%2f1540-6229.12480&amp;partnerID=40&amp;md5=89d556a971a7e83c2306205b71018904</t>
  </si>
  <si>
    <t>We provide a US national portrait of annual average exposure to floods across racial/ethnic and income groups, using predictions from the First Street Foundation flooding exposure model. Nationally, we find that Native Americans in inland neighborhoods and Hispanics in coastal ones face (statistically) significantly higher average exposure to flooding than non-Hispanic Whites, even when neighborhood income composition is controlled. Surprisingly, non-Hispanic Blacks and Asians generally have significantly lower average exposure to floods than non-Hispanic Whites. Lower income groups exhibit substantially higher exposure in inland areas than higher income groups—but not in coastal areas—when neighborhood racial/ethnic composition is controlled. © 2024 American Real Estate and Urban Economics Association.</t>
  </si>
  <si>
    <t>2-s2.0-85186893113"</t>
  </si>
  <si>
    <t>10.1016/j.ejrh.2024.101739</t>
  </si>
  <si>
    <t>https://www.scopus.com/inward/record.uri?eid=2-s2.0-85187999139&amp;doi=10.1016%2fj.ejrh.2024.101739&amp;partnerID=40&amp;md5=289077ffa2af855a906fcf0b15972d1f</t>
  </si>
  <si>
    <t>Study region: Yangtze River Delta core urban agglomeration, China Study focus: Traditional research on flood susceptibility assessment using machine learning often seeks to enhance model performance by increasing the number of input variables, which is impractical in regions with limited data availability. In this study, we constructed a variable system comprising 13 features for flood susceptibility assessment through machine learning techniques. A flexible framework, primarily incorporating methods for importance value calculation and repeated random sampling, were established to identify a minimal set of features that yield high-performance classifiers. Finally, the feasibility of the proposed framework was verified by comparing the classifier performances and flood susceptibility maps. New hydrological insights for the region: Results underscored the significance of features such as Land Use / Land Cover, Impervious Area, Normalized Difference Vegetation Index, Distance to Lake and Built-up Probability in model development. These five features proved sufficient to produce a classifier with Area Under the Curve (AUC) indices exceeding 0.9 for both training and testing data. Susceptibility maps generated using varying feature counts revealed that regions with limited vegetation cover and near lakes face higher flood susceptibility. The framework's feasibility and viability were confirmed by the excellent classifier performance (mean AUC &gt; 0.9) with reduced features and the consistent outcomes of generated maps, offering theoretical and technical support for flooding research in data-constrained regions. © 2024 The Authors</t>
  </si>
  <si>
    <t>2-s2.0-85187999139"</t>
  </si>
  <si>
    <t>10.1016/j.geomorph.2024.109063</t>
  </si>
  <si>
    <t>https://www.scopus.com/inward/record.uri?eid=2-s2.0-85182778414&amp;doi=10.1016%2fj.geomorph.2024.109063&amp;partnerID=40&amp;md5=de2f3084ef0751eb1f0529452de18f47</t>
  </si>
  <si>
    <t>The Poiqu River basin in central Himalaya is a transboundary basin between China and Nepal that has experienced rapid glacier ice loss and glacial lake growth, some of which have drained in catastrophic glacial lake outburst floods (GLOFs). Here, we focus on the outbursts of two glacial lakes in this basin, Gongbatongsha Co in 2016, and Poiqu No.1 in 2002, and integrate multiple data sources and approaches to improve our understanding of past GLOFs and project the magnitude of potential future GLOFs. We identify their potential triggers and assess downstream damage by combining remote sensing observations and field surveys. We find that after the outbursts, Gongbatongsha Co shrank by 0.14 ± 0.003 km2 (∼91 %) in 2016 and almost disappeared, and Poiqu No.1 shrank by 0.05 ± 0.001 km2 (∼80 %) in 2002 but then expanded by 0.10 ± 0.002 km2 (∼670 %) by 2022. Our study identifies ice avalanches from the parent glaciers as the dominant trigger of the two GLOF events, and clarifies that the 2002 GLOF event stemmed from Poiqu No.1 instead of the reported Jialong Co. We also reconstructed the flow depths, velocities, and inundation areas using the hydrodynamic models HEC-RAS and FLO-2D. For Gongbatongsha Co, the models suggest that the discharge peaked at ∼550 m3s−1 about 15 min after the outburst, and the flood reached the settlement of Zhangmu with a peak flow of ∼1600 m3s−1 about 8.5 h later. The peak discharge during the GLOF from Poiqu No.1 was ∼2700 m3s−1. The flood reached the town of Nyalam 1.3 h later, with a peak discharge of ∼1100 m3s−1. The simulation of a future GLOF from Poiqu No.1 shows significant potential impacts to Nyalam town and other downstream communities due to the high flow depth. A large GLOF scenario for Poiqu No.1 would result in a peak discharge of more than 2500 m3s−1, with the flood wave reaching Nyalam in less than 40 min. We show that very high-resolution digital elevation models such as obtained from uncrewed aerial vehicles perform better in flood simulation. Our approach can be applied to potentially dangerous glacial lakes in other high mountain areas. © 2024 Elsevier B.V.</t>
  </si>
  <si>
    <t>2-s2.0-85182778414"</t>
  </si>
  <si>
    <t>10.3390/ijgi13040123</t>
  </si>
  <si>
    <t>https://www.scopus.com/inward/record.uri?eid=2-s2.0-85191336509&amp;doi=10.3390%2fijgi13040123&amp;partnerID=40&amp;md5=62a4e129046e8c8a70ee3a5470cab785</t>
  </si>
  <si>
    <t>The severity and frequency of extremes are changing</t>
  </si>
  <si>
    <t>10.1016/j.jhydrol.2024.130978</t>
  </si>
  <si>
    <t>https://www.scopus.com/inward/record.uri?eid=2-s2.0-85186770360&amp;doi=10.1016%2fj.jhydrol.2024.130978&amp;partnerID=40&amp;md5=6036aa1c01775d80ee75e9a0d0eb074b</t>
  </si>
  <si>
    <t>Reliable early flood forecasting models and systems are essential for minimizing and preventing the impacts of floods worldwide. However, the predictive accuracy of such models and systems is often unacceptable for long-term forecasting, creating uncertainty in flood management decision-making. To address this problem, we propose an intelligent «Flood 2.0» system based on a proprietary machine learning and deep learning library and a flood zone visualisation module. The development of a new version of the system is preceded by a previous study «A system based on an artificial neural network of the second generation for decision support in especially significant situations». The machine learning and deep learning library developed within «Flood 2.0» consists of two parts: preprocessing and prediction. Initially, the study considers the method of data preprocessing. The essence of this method is the development and application of an impulse neural network for generation of information filtering rules, which makes it possible to generate a high-quality initial set of retrospective data in an automated mode, cutting off unnecessary digital noise. Next, a predictive part (method) for water level prediction based on a dataset generated by a data preprocessing method is discussed. This water level prediction method consists of: a) a machine learning model represented as a polynomial regression</t>
  </si>
  <si>
    <t>10.1016/j.jhydrol.2024.131055</t>
  </si>
  <si>
    <t>https://www.scopus.com/inward/record.uri?eid=2-s2.0-85187651999&amp;doi=10.1016%2fj.jhydrol.2024.131055&amp;partnerID=40&amp;md5=10494e06ae4ac4b128ecd4253ccd07cd</t>
  </si>
  <si>
    <t>Designing strategies to manage flood risks is complicated by the often large uncertainties surrounding flood risk projections. Uncertainty surrounding riverine flood risks can stem from choices regarding boundary and initial conditions, model structures, and parameters as well as interactions among hazards, exposures, and vulnerabilities. Here we analyze a case study to rank the drivers of uncertainties surrounding riverine flood hazards and risks. Using Sobol' sensitivity analysis with a large number of simulations, we thoroughly explore the interactions among different sources of uncertainty. We find that the projected flood risk is most sensitive to factors associated with flood hazards, rather than exposure and vulnerability: upstream discharge, river bed elevation, channel roughness, and the digital elevation model resolution. Our results highlight the importance of uncertainty quantification in enhancing the reliability of flood models and risk assessments. © 2024 The Authors</t>
  </si>
  <si>
    <t>2-s2.0-85187651999"</t>
  </si>
  <si>
    <t>10.1016/j.jhazmat.2024.133451</t>
  </si>
  <si>
    <t>https://www.scopus.com/inward/record.uri?eid=2-s2.0-85182596998&amp;doi=10.1016%2fj.jhazmat.2024.133451&amp;partnerID=40&amp;md5=afd38cb6226a07091b8070f14130c26f</t>
  </si>
  <si>
    <t>The environmental impacts of As mobilization and nitrous oxide (N2O) emission in flooded paddy soils are serious issues for food safety and agricultural greenhouse gas emissions. Several As immobilization strategies utilizing microbially-mediated nitrate reducing-As(III) oxidation (NRAO) and birnessite (δ-MnO2)-induced oxidation/adsorption have proven effective for mitigating As bioavailability in flooded paddy soils. However, several inefficiency and unsustainability issues still exist in these remediation approaches. In this study, the effects of a combined treatment of nitrate and birnessite were assessed for the simultaneous suppression of As(III) mobilization and N2O emission from flooded paddy soils. Microcosm incubations confirmed that the combined treatment achieved an effective suppression of As(III) mobilization and N2O emission, with virtually no As(T) released and at least a 87% decrease in N2O emission compared to nitrate treatment alone after incubating for 8 days. When nitrate and birnessite are co-amended to flooded paddy soils, the activities of denitrifying enzymes within the denitrification electron transport pathway were suppressed by MnO2. As a result, the majority of applied nitrate participated in nitrate-dependent microbial Mn(II) oxidation. The regenerated biogenetic MnO2 was available to facilitate subsequent cycles of As(III) immobilization and concomitant N2O emission suppression, sustainable remediation strategy. Moreover, the combined nitrate-birnessite amendment promoted the enrichment of Pseudomonas, Achromobacter and Cupriavidu, which are known to participate in the oxidation of As(III)/Mn(II). Our findings document strong efficacy for the combined nitrate/birnessite treatment as a remediation strategy to simultaneously mitigate As-pollution and N2O emission, thereby improving food safety and reducing greenhouse gas emissions from flooded paddy soils enriched with NH4+ and As. © 2024 Elsevier B.V.</t>
  </si>
  <si>
    <t>2-s2.0-85182596998"</t>
  </si>
  <si>
    <t>10.1016/j.gsd.2024.101095</t>
  </si>
  <si>
    <t>https://www.scopus.com/inward/record.uri?eid=2-s2.0-85183647781&amp;doi=10.1016%2fj.gsd.2024.101095&amp;partnerID=40&amp;md5=23797fede61a11097336db0bb1501219</t>
  </si>
  <si>
    <t>Groundwater has been increasingly used for water supply to sustain local livelihood and socio-economic development in the Vietnam Mekong Delta (VMD). Yet, intensive groundwater use raises concerns on sustainability as available fresh groundwater is finite with little or limited natural recharge in the area on one hand and, on the other hand, groundwater levels have been decreasing, with induced land subsistence, increased flooding and inundation, and exacerbated salinity intrusion. This study aimed to develop understanding of groundwater use and vulnerability of rural communities in the VMD. It was motivated by both the significance and little knowledge of decentralized groundwater use of small capacity by rural communities that is not monitored and managed. In this study, we designed and conducted a structured survey in selected rural communities to collect information related to water supply and groundwater use for domestic purposes and agriculture. Combining survey data and information from different sources, our analysis found that: 1) groundwater plays a varying role in domestic water use, with a heterogeneous pattern consistent with the spatial distribution of groundwater salinity</t>
  </si>
  <si>
    <t>10.1007/s11069-024-06510-7</t>
  </si>
  <si>
    <t>https://www.scopus.com/inward/record.uri?eid=2-s2.0-85187117224&amp;doi=10.1007%2fs11069-024-06510-7&amp;partnerID=40&amp;md5=4488fcb63e9e6401fa4d27d64d87c41f</t>
  </si>
  <si>
    <t>The Pearl River Delta (PRD) region is highly vulnerable to tropical cyclone (TC)-caused coastal hazards due to its long and meandering shoreline and well-developed economy. With global warming expected to continue or worsen in the rest of the twenty-first century, this study examines the TC impact on the PRD coastal regions by reproducing three intense landfalling TCs, namely Vicente (2012), Hato (2017), Mangkhut (2018), using a sophisticated air-wave-ocean coupled model of high spatial resolution (1-km atmosphere and 500-m wave and ocean). The simulations are conducted using present-day reanalysis data and the same TCs occurring in a pseudo-global warming scenario projected for the 2090s. Results indicate that the coupled model accurately reproduces the air-wave-ocean status during the TC episodes. The 2090s thermodynamic status effectively increases the intensity of intense TCs, leading to more severe coastal hazards including gale, rainstorm, and storm surges and waves. On average, the maximum surface wind speed within 50–200 km to the right of the TC center can increase by 4.3 m/s (+22%). The 99th and the 99.9th percentile of accumulated rainfall will increase from 405 to 475 mm (+17.3%), and from 619 to 735 mm (+18.6%), respectively. The maximum significant wave height at the ocean is lifted by an average of 57 cm (+13.8%), and the coastline typically faces a 40–80 cm increase. The maximum storm surges are lifted by 30–80 cm over the open sea but aggravate much higher along the coastline, especially for narrowing estuaries. For Typhoon Vicente (2012), there is more than a 200 cm wave height increase observed both at open sea and along the coastline. In the 2090s context, a combination of mean sea level rise, storm surge, and wave height can reach more than 300 cm increase in total water level at certain hot-spot coastlines, without considering the superposition of spring tides. © The Author(s) 2024.</t>
  </si>
  <si>
    <t>2-s2.0-85187117224"</t>
  </si>
  <si>
    <t>10.1016/j.jsames.2024.104836</t>
  </si>
  <si>
    <t>https://www.scopus.com/inward/record.uri?eid=2-s2.0-85185585959&amp;doi=10.1016%2fj.jsames.2024.104836&amp;partnerID=40&amp;md5=c4c3ec175d713d25f14af7fe115b4010</t>
  </si>
  <si>
    <t>Coastal marine systems worldwide present several risks through the global sea-level rise (SLR) trends. The Amazon Delta and Estuary (ADE) in Pará state, Brazil, is a mainland archipelago with variable landscapes and vulnerable archaeological sites in the context of global climate change. We aimed to recognize the human and environmental conditions knowledge for support directives to mitigate possible consequences of climate change in the lower Amazonia drainage basin system, in support of the Sustainable Development Goals (SDGs) of the United Nations. We map landscapes, estimated floodable areas of 2, 3, and 6 m of SLR using DSAS 5.0 (Digital Shoreline Analysis System), investigated coastline morphology changes between 1973 and 2019 (46 years), sampled soils at East Marajó Island, and suggested mitigation actions. The results indicate that several environments and archaeological sites are at heavy risk in front of climate change, mainly in the lowlands most submitted to the waterlogging process. Mangrove revealed several SLR effects with aggressive erosion at the coastline. The results provide spatial information regarding important aspects of SLR impacts in the ADE and its environmental, people, and archaeological fragilities. © 2024 Elsevier Ltd</t>
  </si>
  <si>
    <t>2-s2.0-85185585959"</t>
  </si>
  <si>
    <t>10.2166/wcc.2024.574</t>
  </si>
  <si>
    <t>https://www.scopus.com/inward/record.uri?eid=2-s2.0-85189860997&amp;doi=10.2166%2fwcc.2024.574&amp;partnerID=40&amp;md5=f49f0fa6489741bc745c6f314b229ae0</t>
  </si>
  <si>
    <t>Consistent monitoring of surface water dynamics is essential for water resources, flood risk management, and addressing the challenges posed by climate change, urbanization. Nhat Le River Basin witnesses significant and noticeable dynamics in surface water on a yearly basis due to water-related disasters like floods and droughts. This article presents the first comprehensive study to systematically map and analyse the long-term (2016–2022) spatiotemporal dynamics of surface water in the Nhat Le River Basin of Vietnam, utilizing Senti-nel-1 data. The results reveal that the optimal threshold for separating water from non-water pixels is 19 dB, with an overall accuracy of 0.93–0.94 and a Kappa coefficient of 0.77–0.82. Through quantitative analysis, the study characterizes seasonal and interannual variations in the surface water extent, contributing to an enhanced understanding of flood patterns and associated risks in a data-scarce region. Our analysis reveals the Kien Giang river delta as the most flooding-vulnerable sub-region, underscoring the importance of targeted risk management and adaptation planning in this area. A Google Earth Engine Tool is developed for automatic detecting, monitoring, and accessing the spatiotemporal dynamics of surface water in Nhat Le River Basin over the period 2016–2022 and is available on GitHub (https://github. com/MinhVu25/Surface:Water_Dynamics_2023). © 2024 The Authors.</t>
  </si>
  <si>
    <t>2-s2.0-85189860997"</t>
  </si>
  <si>
    <t>10.1016/j.jhydrol.2024.131098</t>
  </si>
  <si>
    <t>https://www.scopus.com/inward/record.uri?eid=2-s2.0-85188797032&amp;doi=10.1016%2fj.jhydrol.2024.131098&amp;partnerID=40&amp;md5=9d53f5394dd5d7fedcebea5d41c44094</t>
  </si>
  <si>
    <t>Many shallow lakes are strongly degraded and their hydroecological functioning has been altered. At the same time, their rate of disappearance is remarkably high compared to other ecosystem types. Moreover, due to their relatively small size and shallow depth these lakes are highly sensitive to meteorological variability, making them highly vulnerable to climate change. The accurate estimation of their water balance is key to identifying proper management strategies. To carefully model the water balance, it is necessary to use a Digital Elevation Model (DEM) of a high-enough spatial resolution to understand the bathymetric relationships of the basin</t>
  </si>
  <si>
    <t>10.1007/s00024-024-03465-5</t>
  </si>
  <si>
    <t>https://www.scopus.com/inward/record.uri?eid=2-s2.0-85189833699&amp;doi=10.1007%2fs00024-024-03465-5&amp;partnerID=40&amp;md5=a4089150b39f6415d35bb411ab04200f</t>
  </si>
  <si>
    <t>In the recent years, extreme temperature i.e. cold in winter and warm in summer has been observed in the coastal Odisha state in the east part of India. Hydro-meteorological disasters such as floods, droughts, heat waves and cold spells being experienced nowadays are unprecedented in living memory. In this work the climate variability over the coastal Odisha region is quantified considering the temperature parameter. A climate departure index (CDI) of three versions (simple, absolute and least-square) are calculated using monthly, annually and seasonally maximum, minimum as well as mean temperature form seven stations in the costal Odisha for the period 1969 to 2018 for assessing the degree of normal/unusual/extreme of a particular year in compared to the long-term average for the specific coast under consideration. Temperature time series data for the period 1969 to 2018 are homogenized by using the relative comparison between station observations and composite reference series by calculating CDI. Results indicates that CDI values of least-square on all cases are comparatively greater than simple and absolute CDIs. Least-square method is the appropriate method for determining the category of a year or a month or a season in terms of the temperature variation. Analysis based on mean temperature infers that only twenty extreme seasons are observed in monsoon season while three normal are observed during the month of October i.e., in post-monsoon season over the coastal Odisha. The relationship of climatic event including El Nino or La Nina feature of a particular year with respect to CDI is also investigated. The climatic variability is very high on some of the years based on analysis of index values of annual average of the temperatures (maximum, minimum and mean) over a region. © The Author(s), under exclusive licence to Springer Nature Switzerland AG 2024.</t>
  </si>
  <si>
    <t>2-s2.0-85189833699"</t>
  </si>
  <si>
    <t>10.1016/j.ijdrr.2024.104435</t>
  </si>
  <si>
    <t>https://www.scopus.com/inward/record.uri?eid=2-s2.0-85189504124&amp;doi=10.1016%2fj.ijdrr.2024.104435&amp;partnerID=40&amp;md5=1cc56931ffc53f176c7ee6708bcdc228</t>
  </si>
  <si>
    <t>The frequent occurrence of floods and waterlogging has significantly impacted coastal cities. Effective mapping of flood risk can enhance the precision of disaster risk reduction strategies. However, there is room for improvement in fields such as flood inundation data, evaluation objectivity, and classification refinement. This study, using Xiamen as a case study, advanced flood inundation data accuracy by generating a frequency-based flood inundation map from multi-year remote sensing imagery. This study integrated the EWM-TOPSIS model with a neural network model to evaluate the flood risk. The EWM-TOPSIS model was employed to assess the flood vulnerability and flood exposure, while the multi-class neural network model to simulate the flood hazard. This combined approach reduced subjectivity in the flood risk assessment of Xiamen and achieved a finer level of risk classification compared to traditional binary neural networks. The results indicated that the flood vulnerable areas of Xiamen are concentrated along waterways distant from roads, with high flood exposure in Tong'an and Xiang'an districts. The flood-prone areas in Xiamen are primarily located along the coastal areas characterized by extensive impermeable surfaces. High flood risk areas are mainly distributed in Tong'an and Xiang'an subdistricts, particularly in Xiangping and Xindian. The method developed offers support for accurate flood risk identification and decision-making in cities with limited data resources. © 2024 Elsevier Ltd</t>
  </si>
  <si>
    <t>2-s2.0-85189504124"</t>
  </si>
  <si>
    <t>Forum Geografi</t>
  </si>
  <si>
    <t>10.23917/forgeo.v38i1.1839</t>
  </si>
  <si>
    <t>https://www.scopus.com/inward/record.uri?eid=2-s2.0-85191329636&amp;doi=10.23917%2fforgeo.v38i1.1839&amp;partnerID=40&amp;md5=e8b065b1782e99620a4ea05aac712b35</t>
  </si>
  <si>
    <t>Topographic conditions represented by the Digital Elevation Model (DEM) are essential in flood inundation models. The DEM, which is categorised as a Digital Surface Model (DSM) stores the height information, besides the ground and non-ground elevation required for preprocessing before being employed in hydrologic applications, particularly in relation to flood modelling by removing non-ground elevation along the floodplain and river channels. The improvement in the accuracy of flood inundation modelling is crucial in reducing the impact of flood disasters. This study aims to compare the accuracy level of the DEM based on TerraSAR-X data with the filtering process using slope-based filtering and combining the cross-sectional river profile from the field measurement with the filtered DEM. The result confirms that the accuracy of the DEM product is improved via filtering to remove non-ground elevations, and there is a significant improvement in accuracy by means of fused river profile information for the filtered DEM. The results of adding river information to the DEM could provide a representation closer to the cross-sectional profile of the river based on field measurements within the accuracy level Mean Absolute Error 2.51 m, 2.72 m, and 1.91 m in the left overbank, right overbank and centre of the river, respectively. The performance results of the 2-dimensional flood hydrodynamic modelling using HEC-RAS derived from the DEM before filtering, after filtering, and the addition of river information show increasing accuracy in flood depth at each stage of the DEM processing. There is an improvement in accuracy in flood depth of approximately 11.67% using the filtered DEM, besides an increase in accuracy in flood depth by 24.98% utilising the filtered DEM with added river channel information. © 2024 by the authors.</t>
  </si>
  <si>
    <t>2-s2.0-85191329636"</t>
  </si>
  <si>
    <t>One Earth</t>
  </si>
  <si>
    <t>10.1016/j.oneear.2024.03.001</t>
  </si>
  <si>
    <t>https://www.scopus.com/inward/record.uri?eid=2-s2.0-85189109259&amp;doi=10.1016%2fj.oneear.2024.03.001&amp;partnerID=40&amp;md5=5a4c9b1fd4601f3f519cee608c9bd0e2</t>
  </si>
  <si>
    <t>The Mississippi River Delta (MRD) is a global natural and economic asset and socio-economic hub with an extensive fishery, major petrochemical complexes, and the largest global commodity port. During the twentieth century, &gt;25% of MRD coastal wetlands were lost. Climate forcings threatening the MRD include extreme precipitation, increasing river discharge, tropical cyclones, and sea-level rise exacerbated by subsidence. We outline adaptation strategies to enhance the sustainability of the MRD. These include defining defensive baselines, diverting river water into the deltaic plain, protecting the crucial river corridor between Baton Rouge and New Orleans, strengthening protection for New Orleans, and sustaining the fishing industry. These strategies highlight potential challenges of existing “restoration” plans, which sometimes fail to address ongoing climate challenges. Management plans must be more adaptation focused. We offer suggestions for current restoration initiatives and put our findings into the context of global delta restoration. © 2024 Elsevier Inc.</t>
  </si>
  <si>
    <t>2-s2.0-85189109259"</t>
  </si>
  <si>
    <t>10.3390/rs16071175</t>
  </si>
  <si>
    <t>https://www.scopus.com/inward/record.uri?eid=2-s2.0-85190305739&amp;doi=10.3390%2frs16071175&amp;partnerID=40&amp;md5=4c97f133062cdb58fad0b1d3e1208a58</t>
  </si>
  <si>
    <t>The Arctic-Boreal zone (ABZ) covers over 26 million km2 and is home to numerous duck species</t>
  </si>
  <si>
    <t>10.1016/j.jhydrol.2024.131133</t>
  </si>
  <si>
    <t>https://www.scopus.com/inward/record.uri?eid=2-s2.0-85189170994&amp;doi=10.1016%2fj.jhydrol.2024.131133&amp;partnerID=40&amp;md5=d06043e34fbddf2c738953091e6a23af</t>
  </si>
  <si>
    <t>Earth deformation including land subsidence and the related earth fissures caused by the over-exploitation of groundwater resources is threatening countries all over the World. At present, the simulation of earth deformation of aquifer system is mainly based on continuum and contact mechanics. These approaches lead to two main challenges, i.e. the need of knowing the location of possible earth fissures in advance and using meshes that must be adjusted during the rupture propagation. Here, ordinary state-based Peridynamics method is firstly introduced to simulate the evolution of continuous and discontinuous earth deformation due to groundwater withdrawal. A failure criteria accounting for shear and tensile strain simultaneously is proposed. The approach is used to simulate the evolution of land subsidence and earth fissures in compressible sedimentary soils with buried rigid ridges. Two case studies are reproduced: one is a test carried out in laboratory and the other one concerns Guangming village, Yangtze River delta. In both cases, the presence of a shallow buried bedrock crossing the alluvial deposits is responsible for the initiation and growth of earth fissure that a satisfactory captured by the model. For the lab experiment, a 0.1 m deep fissure appearing above the rocky tip is computed. In Guangming village area, results show that some small fissure groups were initiated. Then, three main earth fissures developed rapidly with the maximum depth of 32.5 m. This study proposes a consistency modelling framework to simulate continuum earth deformation and discontinuous fissures due to groundwater withdrawal in specific geological settings, and supply a reliable scientific tool for early warning of this geo-hazard. © 2024 Elsevier B.V.</t>
  </si>
  <si>
    <t>2-s2.0-85189170994"</t>
  </si>
  <si>
    <t>Theoretical and Applied Climatology</t>
  </si>
  <si>
    <t>10.1007/s00704-024-04948-0</t>
  </si>
  <si>
    <t>https://www.scopus.com/inward/record.uri?eid=2-s2.0-85190474749&amp;doi=10.1007%2fs00704-024-04948-0&amp;partnerID=40&amp;md5=472ec065506c467d202e495efc068566</t>
  </si>
  <si>
    <t>The coastal region of West Bengal, India, is vulnerable to the tropical cyclones from the Bay of Bengal often causing loss of life, infrastructure damage, agricultural devastation, and environmental degradation exemplified by the devastating impacts of Amphan in May 2020 and Yaas in May 2021. Considering the importance of accurately mapping flood extent, a study was conducted to evaluate the inundation caused by Amphan and Yaas in three coastal districts of West Bengal: East Medinipur, North 24 Parganas, and South 24 Parganas, by using satellite-derived data products and Google Earth Engine (GEE). The changes in backscattering signal of dual-polar Sentinel-1-C-band Synthetic Aperture Radar (SAR) due to flooding were analyzed to detect the inundation extent. The Copernicus Digital Elevation Model (GLO30) and JRC Global Surface Water Mapping Layers were used for terrain correction, masking of high slope areas and seasonal water bodies. The Climate Hazards Group InfraRed Precipitation with Station data (CHIRPS) revealed rainfall increases of 47–135% above the long-term average in these districts. Amphan caused widespread flooding in East Medinipur (17.56% of total area and 35% of croplands) affecting 349,097 people while the other districts were moderately affected. The impact of Yaas was comparatively lower. The study provides detailed Block-wise (third-level administrative unit) inundation map due to Amphan and Yaas of the study region. The methodological framework outlined herein, presents a scientifically rigorous method involving open-source satellite data and cloud computing platform to make informed decisions for flood management in the coastal plains. © The Author(s), under exclusive licence to Springer-Verlag GmbH Austria, part of Springer Nature 2024.</t>
  </si>
  <si>
    <t>2-s2.0-85190474749"</t>
  </si>
  <si>
    <t>10.1016/j.wace.2024.100662</t>
  </si>
  <si>
    <t>https://www.scopus.com/inward/record.uri?eid=2-s2.0-85189765553&amp;doi=10.1016%2fj.wace.2024.100662&amp;partnerID=40&amp;md5=da88b2db9e32fb7b706e0ecdc41e78c4</t>
  </si>
  <si>
    <t>Storm surges are the most important driver of flooding in many coastal areas. Understanding the spatial extent of storm surge events has important financial and practical implications for flood risk management, reinsurance, infrastructure reliability and emergency response. In this paper, we apply a new tracking algorithm to a high-resolution surge hindcast (CODEC, 1980–2017) to characterize the spatial dependence and temporal evolution of extreme surge events along the coastline of the UK and Ireland. We quantify the severity of each spatial event based on its footprint extremity to select and rank the collection of events. Several surge footprint types are obtained based on the most impacted coastal stretch from each particular event, and these are linked to the driving storm tracks. Using the collection of the extreme surge events, we assess the spatial distribution and interannual variability of the duration, size, severity, and type. We find that the northeast coastline is most impacted by the longest and largest storm surge events, while the English Channel experiences the shortest and smallest storm surge events. The interannual variability indicates that the winter seasons of 1989-90 and 2013–14 were the most serious in terms of the number of events and their severity, based on the return period along the affected coastlines. The most extreme surge event and the highest number of events occurred in the winter season 1989–90, while the proportion of events with larger severities was higher during the winter season 2013–14. This new spatial analysis approach of surge extremes allows us to distinguish several categories of spatial footprints of events around the UK/Ireland coast and link these to distinct storm tracks. The spatial dependence structures detected can improve multivariate statistical methods which are crucial inputs to coastal flooding assessments. © 2024</t>
  </si>
  <si>
    <t>2-s2.0-85189765553"</t>
  </si>
  <si>
    <t>10.1029/2024GL108394</t>
  </si>
  <si>
    <t>https://www.scopus.com/inward/record.uri?eid=2-s2.0-85193902848&amp;doi=10.1029%2f2024GL108394&amp;partnerID=40&amp;md5=7881fda9126185fb6fdceabf2999a261</t>
  </si>
  <si>
    <t>Space gravity missions have enabled the quantification of the mass component of sea-level rise over the past two decades. Barystatic sea-level rise is predominantly driven by melting polar ice sheets and mountain glaciers. However, continental hydrological processes also contribute to global sea level change at significant magnitudes. We show that for most coastal areas in low-to-mid latitudes, up to half of manometric sea-level rise is due to changes in water storage in ice-free continental regions. At other locations the direct attraction effect of anthropogenic pumping of groundwater over the duration of the Gravity Recovery and Climate Experiment (GRACE) and GRACE Follow-On (GRACE-FO) mission offsets sea-level rise from ice sheet and glacier melt. If these trends in continental hydrological storage were to slow or stop, these regions would experience greatly accelerated sea-level rise, posing a risk to coastal settlements and infrastructure, however, for most coastal communities current rates of sea-level rise would be significantly reduced. © 2024. The Authors. Geophysical Research Letters published by Wiley Periodicals LLC on behalf of American Geophysical Union.</t>
  </si>
  <si>
    <t>2-s2.0-85193902848"</t>
  </si>
  <si>
    <t>10.1016/j.gsf.2024.101780</t>
  </si>
  <si>
    <t>https://www.scopus.com/inward/record.uri?eid=2-s2.0-85182712688&amp;doi=10.1016%2fj.gsf.2024.101780&amp;partnerID=40&amp;md5=1bbd080f90f1ffe5f1c0c76a539437ac</t>
  </si>
  <si>
    <t>Flash floods (FFs) are amongst the most devastating hazards in arid regions in response to climate change and can cause the loss of agricultural land, human lives and infrastructure. One of the major challenges is the high-intensity rainfall events affecting low-lying areas that are vulnerable to FF. Several works in this field have been conducted using ensemble machine learning models and geohydrological models. However, the current advancement of eXtreme deep learning, which is named eXtreme deep factorisation machine (xDeepFM), for FF susceptibility mapping (FSM) is lacking in the literature. The current study introduces a new model and employs a previously unapplied approach to enhance FSM for capturing the severity of floods. The proposed approach has three main objectives: (i) During- and after-flood effects are assessed through flood detection techniques using Sentinel-1 data. (ii) Flood inventory is updated using remote sensing-based methods. The derived flood effects are implemented in the next step. (iii) An FSM map is generated using an xDeepFM model. Therefore, this study aims to apply xDeepFM to estimate susceptible areas using 13 factors in the emirates of Fujairah, UAE. The performance metrics show a recall of 0.9488), an F1-score of 0.9107), precision of (0.8756) and an overall accuracy of 90.41%. The accuracy of the applied xDeepFM model is compared with that of traditional machine learning models, specifically the deep neural network (78%), support vector machine (85.4%) and random forest (88.75%). Random forest achieves high accuracy, which is due to its strong performance that depends on factors contribution, dataset size and quality, and available computational resources. Comparatively, the xDeepFM model works efficiently for complicated prediction problems having high non-collinearity and huge datasets. The obtained map denotes that the narrow basins, lowland coastal areas and riverbank areas up to 5 km (Fujairah) are highly prone to FF, whilst the alluvial plains in Al Dhaid and hilly regions in Fujairah show low probability. The coastal city areas are bounded by high-rise steep hills and the Gulf of Oman, which can elevate the water levels during heavy rainfall. Four major synchronised influencing factors, namely, rainfall, elevation, drainage density, distance from drainage and geomorphology, account for nearly 50% of the total factors contributing to a very high flood susceptibility. This study offers a platform for planners and decision makers to take timely actions on potential areas in mitigating the effects of FF. © 2024 China University of Geosciences (Beijing) and Peking University</t>
  </si>
  <si>
    <t>2-s2.0-85182712688"</t>
  </si>
  <si>
    <t>10.5194/tc-18-1773-2024</t>
  </si>
  <si>
    <t>https://www.scopus.com/inward/record.uri?eid=2-s2.0-85190797064&amp;doi=10.5194%2ftc-18-1773-2024&amp;partnerID=40&amp;md5=4cf612f0e609ad1bb61162d513e91533</t>
  </si>
  <si>
    <t>Climate warming is degrading palsa peatlands across the circumpolar permafrost region. Permafrost degradation may lead to ecosystem collapse and potentially strong climate feedbacks, as this ecosystem is an important carbon store and can transition to being a strong greenhouse gas emitter. Landscape-level measurement of permafrost degradation is needed to monitor this impact of warming. Surface subsidence is a useful metric of change in palsa degradation and can be monitored using interferometric synthetic-aperture radar (InSAR) satellite technology. We combined InSAR data, processed using the ASPIS algorithm to monitor ground motion between 2017 and 2021, with airborne optical and lidar data to investigate the rate of subsidence across palsa peatlands in northern Sweden. We show that 55% of Sweden's eight largest palsa peatlands are currently subsiding, which can be attributed to the underlying permafrost landforms and their degradation. The most rapid degradation has occurred in the largest palsa complexes in the most northern part of the region of study, also corresponding to the areas with the highest percentage of palsa cover within the overall mapped wetland area. Further, higher degradation rates have been found in areas where winter precipitation has increased substantially. The roughness index calculated from a lidar-derived digital elevation model (DEM), used as a proxy for degradation, increases alongside subsidence rates and may be used as a complementary proxy for palsa degradation. We show that combining datasets captured using remote sensing enables regional-scale estimation of ongoing permafrost degradation, an important step towards estimating the future impact of climate change on permafrost-dependent ecosystems. © Author(s) 2024.</t>
  </si>
  <si>
    <t>2-s2.0-85190797064"</t>
  </si>
  <si>
    <t>10.1016/j.scitotenv.2024.170187</t>
  </si>
  <si>
    <t>https://www.scopus.com/inward/record.uri?eid=2-s2.0-85183628518&amp;doi=10.1016%2fj.scitotenv.2024.170187&amp;partnerID=40&amp;md5=bba206dde8dd4a28a86faa8664756c5b</t>
  </si>
  <si>
    <t>Coastal flooding due to sea level rise significantly affects socioeconomic development. The dynamic nature of coastal flood risk (CFR) and socioeconomic development level (SDL) leads to uncertainties in understanding their future interplay. This ambiguity challenges coastal nations in devising effective flood adaptation and coastal management strategies. This study quantitatively examines the expected GDP affected (EGA) and population affected (EPA) by coastal flooding in China's coastal zone (CCZ) from 2030 to 2100 under various climate scenarios (RCP2.6-SSP1, RCP4.5-SSP2, and RCP8.5-SSP5). The future SDL in CCZ is assessed using a method combining the analytic hierarchy process with entropy weight. The future CFR-SDL dynamic relationship is analyzed using the coupling coordination degree (CCD) model. The results reveal that in CCZ under the RCP2.6-SSP1, RCP4.5-SSP2, and RCP8.5-SSP5 scenarios: by 2100, the EGA and EPA will reach $814.90 billion &amp; 6.17 million people, $828.16 billion &amp; 7.63 million people, and $1568.83 billion &amp; 8.05 million people, respectively, where the coastal cities in Jiangsu and Guangdong provinces will face more obvious risks of socioeconomic losses</t>
  </si>
  <si>
    <t>10.2166/wpt.2024.116</t>
  </si>
  <si>
    <t>https://www.scopus.com/inward/record.uri?eid=2-s2.0-85196209979&amp;doi=10.2166%2fwpt.2024.116&amp;partnerID=40&amp;md5=06c958934936a682b831a153cadd730a</t>
  </si>
  <si>
    <t>The urban population of the world houses almost 13% in low-elevation coastal zones (LECZ). Major cities with a population of more than five million, which account for almost two-thirds of the world’s large cities, reside in low-elevation coastal zones. These areas house some of the most important socioeconomic activities, and they are also environmentally delicate. According to the IPCC 2007 report, there will be an 8–88 cm rise in sea level between 2000 and 2100 AD, which will have an unpredictable and massive impact on land up to 9 m elevation above MSL. This study discusses the rise in sea level, climate vulnerability, and future problems using elevation-based GIS analysis, accomplishing socioeconomic vulnerability and exposure. The statistics suggest that more than 26% of the population lies within a 9 m contour interval, whereas a 20 m contour accommodated 81% of the total population. In figures, it is estimated that over 1,632,200 people by 2011, which is expected to rise to 4,048,894 people by 2050, are exposed to 100-year flood events. Thus, the study clinched that a significant number of people in Surat confront flooding due to the extreme rise in water level during this period. © 2024 The Authors.</t>
  </si>
  <si>
    <t>2-s2.0-85196209979"</t>
  </si>
  <si>
    <t>10.1016/j.tcrr.2024.03.002</t>
  </si>
  <si>
    <t>https://www.scopus.com/inward/record.uri?eid=2-s2.0-85189822161&amp;doi=10.1016%2fj.tcrr.2024.03.002&amp;partnerID=40&amp;md5=33f92e8dbc74e75509bf58980b9df505</t>
  </si>
  <si>
    <t>The report highlights the significant progress over various regions with respect to understanding of coastal hazards, numerical modeling techniques and the generation &amp; dissemination of coastal hazard warnings and products. The developments over various regions in the globe during 2014–18 have been discussed in this report as presented during 10th Session of International Workshop on Tropical Cyclones (IWTC-X) at Bali, Indonesia. More specifically, various regions have started to confront the uncertainty that cannot be removed from TC analyses and forecasts and further communicate those hazards within the context of risk [probabilistic] based information. Progress also includes impact-based forecasts such as communicating coastal inundation information relative to total water level instead of storm surge, specifically (i.e., anomaly from astronomical tide and waves). Lastly, updates to model grid configuration, model resolution, and coupled dynamical systems continue to resolve the costal hazards more effectively. Those approaches have likely helped reduce loss of life relative to historical standards. However, regions agree that the generation and dissemination of coastal hazard information still need to be improved in view of growing population along the coast and thus increased exposure of life to coastal hazard. © 2024 The Shanghai Typhoon Institute of China Meteorological Administration</t>
  </si>
  <si>
    <t>2-s2.0-85189822161"</t>
  </si>
  <si>
    <t>10.1016/j.ijdrr.2024.104410</t>
  </si>
  <si>
    <t>https://www.scopus.com/inward/record.uri?eid=2-s2.0-85189044263&amp;doi=10.1016%2fj.ijdrr.2024.104410&amp;partnerID=40&amp;md5=a81cc5cfece2cfa75041a0598ea7050d</t>
  </si>
  <si>
    <t>Climate Change challenges small island developing nations (SIDS) whose economies are heavily dependent on touristic coastal development. Climate change, as a driver of coastal impacts, is manifested by increased storm intensity as well as sea level rise. The intersection of climate hazards, exposure and vulnerability is the overall risk of coastal impacts. Ecological principles can be applied to simple Coastal Indices (CVI) to establish priorities for mitigation focused on risky development areas to direct population growth to lower risk areas. This research examines one island within the Bahamian archipelago to demonstrate how ecological principles can be applied to quantify vulnerability and recommend high-priority sites for restoration or remediation. This study aims to quantify vulnerability of coastlines through an assessment of coastal vegetation setbacks, intact wetlands and coastal geomorphology. The aim is to produce a tool to identify highly vulnerable/highly exposed coastlines that can be specifically targeted for risk reduction through cost-benefit analyses of response options. The vulnerability assessment was quantitative and allowed the ranking of coastal environments on one island to set priorities for remediation of highly vulnerable sites. Tools that identify at-risk coastal areas allow small Caribbean nations more time to adapt their infrastructure and relocate populations. © 2024 Elsevier Ltd</t>
  </si>
  <si>
    <t>2-s2.0-85189044263"</t>
  </si>
  <si>
    <t>10.1007/s11069-024-06402-w</t>
  </si>
  <si>
    <t>https://www.scopus.com/inward/record.uri?eid=2-s2.0-85183896001&amp;doi=10.1007%2fs11069-024-06402-w&amp;partnerID=40&amp;md5=a528ec09f9b8b1f32bf6004ac080ab48</t>
  </si>
  <si>
    <t>The Río de la Plata Estuary (RdP), one of the most populated and developed areas of Southern South America, often experiences positive storm surges (PSS). These episodic rises of sea level due to meteorological forcing drive floods that endanger human lives and cause property damage. In this work, PSS are studied and contextualized in both the dynamics of the adjacent Southwestern Atlantic Continental Shelf (SWACS) and the synoptic dynamics of the atmosphere. The study is based on statistical analyses of tide gauge observations gathered at the upper RdP (period 1934–2020), numerical simulations of sea level in the SWACS and atmospheric reanalysis products. Results reveal hitherto unknown aspects of ocean dynamics in the SWACS forced by the atmosphere in which PSS events impacting the RdP are embedded, showing that: (1) Strong PSS in the RdP can be locally forced by cyclogenesis</t>
  </si>
  <si>
    <t>10.1038/s41558-024-01950-2</t>
  </si>
  <si>
    <t>https://www.scopus.com/inward/record.uri?eid=2-s2.0-85186389214&amp;doi=10.1038%2fs41558-024-01950-2&amp;partnerID=40&amp;md5=e17ad2d29e21f78e2308a636e6e398c1</t>
  </si>
  <si>
    <t>Climate hazards pose increasing threats to development outcomes across the world’s coastal regions by impacting infrastructure service delivery. Using a high-resolution dataset of 8.2 million households in Bangladesh’s coastal zone, we assess the extent to which infrastructure service disruptions induced by flood, cyclone and erosion hazards can thwart progress towards the Sustainable Development Goals (SDGs). Results show that climate hazards potentially threaten infrastructure service access to all households, with the poorest being disproportionately threatened in 69% of coastal subdistricts. Targeting adaptation to these climatic threats in one-third (33%) of the most vulnerable areas could help to safeguard 50–85% of achieved progress towards SDG 3, 4, 7, 8 and 13 indicators. These findings illustrate the potential of geospatial climate risk analyses, which incorporate direct household exposure and essential service access. Such high-resolution analyses are becoming feasible even in data-scarce parts of the world, helping decision-makers target and prioritize pro-poor development. © The Author(s) 2024. corrected publication 2024.</t>
  </si>
  <si>
    <t>2-s2.0-85186389214"</t>
  </si>
  <si>
    <t>10.1007/s10113-024-02193-9</t>
  </si>
  <si>
    <t>https://www.scopus.com/inward/record.uri?eid=2-s2.0-85187901081&amp;doi=10.1007%2fs10113-024-02193-9&amp;partnerID=40&amp;md5=71b7c7d70137de61d95ea23048d748fa</t>
  </si>
  <si>
    <t>Sea-level rise (SLR) and flooding are among the climate change stressors challenging human society in the twenty-first century. Many coastal areas and cities are implementing innovative solutions to mitigate flood risks and enhance resilience. Venice has recently developed a system of storm surge mobile barriers, known as the MoSE (Modulo Sperimentale Elettromeccanico or Experimental Electromechanical Module). This study aims to investigate the economic viability of MoSE operations in light of the potential future evolution of SLR. To conduct a cost-benefit analysis, a system dynamics model is utilised to assess the impact of MoSE operations on economic and residential activities of Venice and its port. Simulations are conducted until the end of the century, considering two SLR scenarios. The results suggest that the economic benefits largely outweigh the combined costs of investment and foregone port revenues resulting from the MoSE closures. Nevertheless, the increasing number of closures due to SLR seriously challenges the viability of the infrastructure in the medium to long term. Even more importantly, very frequent closures will have serious impacts on the quality of the lagoon ecosystem. These findings suggest a revision and stronger integration of the city’s safeguarding strategies, including the increase of the MoSE closure level officially set at 110 cm, and other coordinated interventions, such as sewer system consolidation. © The Author(s) 2024.</t>
  </si>
  <si>
    <t>2-s2.0-85187901081"</t>
  </si>
  <si>
    <t>10.1007/s41748-024-00371-7</t>
  </si>
  <si>
    <t>https://www.scopus.com/inward/record.uri?eid=2-s2.0-85184486523&amp;doi=10.1007%2fs41748-024-00371-7&amp;partnerID=40&amp;md5=9a3923c739f15f580327ce4a406fbc88</t>
  </si>
  <si>
    <t>Flash floods are significant threats, particularly in semi-arid regions where prolonged rainfall and/or over-discharge can lead to catastrophic downstream flooding. While Saudi Arabia’s Najran region has been repeatedly pummeled by severe floods, the impact of these events on urban development in the Najran Valley, particularly in relation to dam discharge rates, has not been adequately assessed. This study seeks to assess mitigation strategies for simulated floodwater outflow (extent, depth, and velocity) from Najran and Al-Ain Dams into the Wadi Najran Valley. The study employed a synergistic approach integrating satellite optical Landsat-8/SRTM digital elevation model (DEM) imagery, ancillary (soil and geological) maps, and land-based rainfall measurements in the Geographic Information System (GIS), coupled with hydrologic/hydrodynamic modeling. Analyzing three basins—Wadi Najran Dam, Wadi Al-Ain Dam, and Wadi Najran Valley—using Watershed Modeling System (WMS) software revealed potential discharge rates of 347.82 m3/s and 16.59 m3/s for fully opened gates of Najran and Al-Ain Dams, respectively. The low-lying Wadi Najran Valley exhibited the highest flooding risk, with a runoff volume surpassing 428 million m3 and a peak discharge of 2481.71 m3/s. The 100-year flood simulations using the Hydrologic Engineering Center River Analysis System (HEC-RAS) demonstrated uneven floodwater drainage in the main canal, leading to bilateral overflow consistent with historical flood observations. Inundation risk is effectively mitigated by widening the existing channel into a trapezoidal open channel with a base of 300 m and a height of 3.76 m to handle a peak discharge of 3481.71 m3/s based on proposed hydraulic calculations. The adaptability of the implemented methodology to analogous urban climates globally justifies subsequent research to comprehensively assess its cost-effectiveness and feasibility. © King Abdulaziz University and Springer Nature Switzerland AG 2024.</t>
  </si>
  <si>
    <t>2-s2.0-85184486523"</t>
  </si>
  <si>
    <t>10.1016/j.qsa.2024.100175</t>
  </si>
  <si>
    <t>https://www.scopus.com/inward/record.uri?eid=2-s2.0-85188064750&amp;doi=10.1016%2fj.qsa.2024.100175&amp;partnerID=40&amp;md5=3a202937b3218a2653697194293b28e0</t>
  </si>
  <si>
    <t>Deltas are highly valuable environmental systems, ensuring various livelihoods through their ecosystem services. However, human impact and climate change stressors are impacting deltas immensely. Consequently, many deltas, including Ghana's Volta Delta, are facing increasing risks, especially as hazards are increasing in magnitude and impacting coastal livelihoods. To provide a better understanding of coastal hazards in the Volta Delta, this study assessed the Delta's subsidence regime and its consequences for the potential impact of sea-level rise (SLR). Using the Interferometric Synthetic Aperture Radar (InSAR) technique and Global Navigation Satellite System (GNSS) surveys, vertical land motion (VLM) was documented. Interferograms of Sentinel-1 data from 2016 to 2020 indicated subsiding rates of up to −9.2 mm/yr. By combining local VLM information with recent SLR projections and elevation data, this study updates those projections and provides local assessments of potential Relative SLR (rSLR) impact. According to these locally improved scenarios, up to ∼45 % of the Delta will fall below local sea level by 2100, of which close to 10 % is explained by the integration of local VLM data alone. Depending on the climate change scenarios used, land subsidence will increase the deltaic area at risk by 4.31 % (96.27 km2) to 10.18 % (227.64 km2) and consequently exacerbate its exposure to coastal inundation. To avert the projections, the study recommends robust monitoring regimes</t>
  </si>
  <si>
    <t>10.1016/j.geomorph.2024.109114</t>
  </si>
  <si>
    <t>https://www.scopus.com/inward/record.uri?eid=2-s2.0-85186545208&amp;doi=10.1016%2fj.geomorph.2024.109114&amp;partnerID=40&amp;md5=3b30bf54263aabfdd29a4486dd8b6ba7</t>
  </si>
  <si>
    <t>Data collected between 2015 and 2022 was utilised to assess longitudinal connectivity and explain the temporal and spatial fluctuation of large wood (LW) along the Blanco River, which was severely affected by the 2008 eruption of the Chaitén Volcano in southern Chile. The study was performed along a ~ 10.6-km long segment, which was divided into two sub-segments (upper and lower). LW source areas were identified using information from previous research, complemented by the analysis of satellite images to cover the study period. LW fluctuation was studied for the period 2017–2022, using field data and images from an unmanned aerial vehicle along seven 80 m-long reaches located within the lower sub-segment of the river. Using the generated georeferenced orthomosaics and digital elevation models, LW and wood jams (WJs) locations, abundance, dimensions, volumes, and WJs stability were assessed, as well as wood deposition patterns. Streambank erosions and landslides were found to be the main LW sources. Considering wood sourcing, and the variations in the number of LW and WJs, in the dimensions of individual LW and WJs volume and deposition patterns as indicators, it was possible to infer the longitudinal connectivity conditions for the studied segment through time. The results showed that the upper and lower subsegments were poorly connected. However, changes in LW abundance over time, its dimensions and volumes, and the very low stability of WJs, and LW deposition patterns indicative of fluvial transport confirmed that the lower subsegment was longitudinally connected. The results also verified that the presence of LW did not affect water or sediment longitudinal connectivity along the fluvial system. The volume of individual LW and WJs showed a decreasing trend with time in all study reaches. As the bank erosions able to source LW to the channel are also reducing with time, pieces of wood deposited in the active channel may become the only way to sustain LW availability for the next few years. Things could change with the occurrence of an extreme and infrequent flood able to connect the upper and lower sub-segments and force the river to initiate a new phase of planform adjustments. © 2024 Elsevier B.V.</t>
  </si>
  <si>
    <t>2-s2.0-85186545208"</t>
  </si>
  <si>
    <t>10.1175/JPO-D-23-0233.1</t>
  </si>
  <si>
    <t>https://www.scopus.com/inward/record.uri?eid=2-s2.0-85210553410&amp;doi=10.1175%2fJPO-D-23-0233.1&amp;partnerID=40&amp;md5=4bbc44593fa6e3c4bbf142bf1894ebe3</t>
  </si>
  <si>
    <t>Accurate estimation of the wind stress under extreme conditions is crucial for modeling storm surges and storm waves, which is important to the development of a warning system for coastal disaster prevention. The problem, how-ever, is highly challenging owing to the presence of complex ocean surface processes under the action of unusually strong wind. In this study, the existing atmospheric wave boundary layer model is significantly enhanced by including various effects of wave breaking. Both the effect of wave breaking on the dissipation of energy and its effect on the transfer of momentum within the atmospheric boundary layer are carefully formulated. The wind stress coefficients obtained with the enhanced model are shown to be in good agreement with the measurements in not only deep but also shallow waters. The enhanced atmospheric wave boundary layer model is coupled with ocean wave as well as circulation models to simulate typhoon-induced storm surges and storm waves in the Pearl River delta region. The computational results show that the coupled model with improved evaluation of the wind stress is substantially advantageous when compared with existing approaches. © 2024, American Meteorological Society. All rights reserved.</t>
  </si>
  <si>
    <t>2-s2.0-85210553410"</t>
  </si>
  <si>
    <t>10.1007/s11356-024-32766-4</t>
  </si>
  <si>
    <t>https://www.scopus.com/inward/record.uri?eid=2-s2.0-85187485428&amp;doi=10.1007%2fs11356-024-32766-4&amp;partnerID=40&amp;md5=04e7985dd9ed3a9a88373439ab3c51d2</t>
  </si>
  <si>
    <t>Human biomonitoring of toxic trace elements is of critical importance for public health protection. The current study aims to assess the levels of selected trace metals (Cd, Co, Cr, Cu, Mn, Ni, Pb, and Zn) into paired human nail and hair samples (n = 180 each) from different altitudinal setting along the Indus River, and which were measured by using inductively coupled plasma mass spectrometry (ICP-MS). The human samples (hair and nail) were collected from four different ecological zones of Pakistan which include frozen mountain zone (FMZ), wet mountain zone (WMZ), riverine delta zone (RDZ), and low-lying southern areas (LLZ). Our results showed the following occurrence trends into studied hair samples: higher values (ppm) of Zn (281), Co (0.136), and Mn (5.65) at FMZ</t>
  </si>
  <si>
    <t>10.1016/j.ejrh.2024.101715</t>
  </si>
  <si>
    <t>https://www.scopus.com/inward/record.uri?eid=2-s2.0-85187538213&amp;doi=10.1016%2fj.ejrh.2024.101715&amp;partnerID=40&amp;md5=e1ee6f3e429459affefdcaf23dcd8a2a</t>
  </si>
  <si>
    <t>Study region: Poyang Lake and East Dongting Lake, China. Study focus: On the basis of data on the extent of the inundation of water bodies, the water level, and DEM data, this study constructed an hourly flood inundation dataset (PDFID) for the East Dongting Lake and Poyang Lake regions with a 10 m resolution and a coverage area of &gt;5000 km2 from 2012 to 2022 by using the RFim model and the U-net model. Validation of the results on Sentinel-1 SAR images and Sentinel-2 MSI optical images showed that the overall accuracy of the dataset ranged from 88% to 97%, with a kappa coefficient ranging from 0.601 to 0.932. The accuracy for the East Dongting Lake region ranged from 88% to 97%, with a kappa coefficient of &gt;0.67, and for the Poyang Lake region, the accuracy ranged from 89% to 97%, with a kappa coefficient of &gt;0.6. New hydrological insights for the region: Flood inundation datasets with a high spatiotemporal resolution and long time series enable us to analyze and comprehend floods’ processes, patterns, and dynamics, facilitating the enhanced development and management of flood prevention and mitigation strategies. However, they have yet to be made available. Thus, this study can provide a fundamental data source for analytical mining and predicting the flooding processes in basins. © 2024 The Authors</t>
  </si>
  <si>
    <t>2-s2.0-85187538213"</t>
  </si>
  <si>
    <t>10.1007/s11069-024-06460-0</t>
  </si>
  <si>
    <t>https://www.scopus.com/inward/record.uri?eid=2-s2.0-85185492614&amp;doi=10.1007%2fs11069-024-06460-0&amp;partnerID=40&amp;md5=e5619f13cb4e65ba3737f5c4c0101aa9</t>
  </si>
  <si>
    <t>This study develops an integrative and thorough assessment of storm-related coastal risk in Mexico. Through Bayesian networks (BN), we explore an approach that blends an ecological understanding of coastal dynamics and concepts of coastal risk based on hazards, exposure, and vulnerability. We used two approaches. First, we calculate a coastal risk index based on coastal hazards (storms, flooding potential and shoreline change rate), exposure (occurrence and size of human settlements), and vulnerability (extension of natural ecosystems which provide storm protection: mangroves and coastal dunes). Then, we used a Bayesian network approach to perform a causal-driven and spatially explicit probabilistic assessment of storm-induced risks. This study shows that the population living on the coast has grown drastically over the last decades, resulting in more significant exposure of people and assets to risk. We showed the importance of natural ecosystems in reducing coastal risk and that the highest coastal risk was associated with (i) the reduced cover (or absence) of mangroves and coastal dunes, (ii) the conservation status of vegetation, and (iii) higher population density. Overall, the study shows that utilizing a Bayesian network is an effective tool for exploring coastal risk scenarios. © The Author(s), under exclusive licence to Springer Nature B.V. 2024.</t>
  </si>
  <si>
    <t>2-s2.0-85185492614"</t>
  </si>
  <si>
    <t>10.5194/nhess-24-1381-2024</t>
  </si>
  <si>
    <t>https://www.scopus.com/inward/record.uri?eid=2-s2.0-85191599208&amp;doi=10.5194%2fnhess-24-1381-2024&amp;partnerID=40&amp;md5=69d8a6ce2d851b24d16df53406a9c3eb</t>
  </si>
  <si>
    <t xml:space="preserve">Coastal flood risk is a serious global challenge facing current and future generations. Several disaster risk reduction (DRR) measures have been posited as ways to reduce the deleterious impacts of coastal flooding. On a global scale, however, efforts to model the future effects of DRR measures (beyond structural) are limited. In this paper, we use a global-scale flood risk model to estimate the risk of coastal flooding and to assess and compare the efficacy and economic performance of various DRR measures, namely dykes and coastal levees, dry-proofing of urban assets, zoning restrictions in flood-prone areas, and management of foreshore vegetation. To assess the efficacy of each DRR measure, we determine the extent to which it can limit future flood risk as a percentage of regional GDP to the same proportional value as today (a ""relative risk constant""objective). To assess their economic performance, we estimate the economic benefits and costs of implementing each measure. If no DRR measures are implemented to mitigate future coastal flood risk, we estimate expected annual damages to exceed USD 1.3 trillion by 2080, directly affecting an estimated 11.5 million people on an annual basis. Low- and high-end scenarios reveal large ranges of impact uncertainty, especially in lower-income regions. On a global scale, we find the efficacy of dykes and coastal levees in achieving the relative risk constant objective to be 98 %, of dry-proofing to be 49 %, of zoning restrictions to be 11 %, and of foreshore vegetation to be 6 %. In terms of direct costs, the overall figure is largest for dry-proofing (USD 151 billion) and dykes and coastal levees (USD 86 billion), much more than those of zoning restrictions (USD 27 million) and foreshore vegetation (USD 366 million). These two more expensive DRR measures also exhibit the largest potential range of direct costs. While zoning restrictions and foreshore vegetation achieve the highest global benefit-cost ratios (BCRs), they also provide the smallest magnitude of overall benefit. We show that there are large regional patterns in both the efficacy and economic performance of modelled DRR measures that display much potential for flood risk reduction, especially in regions of the world that are projected to experience large amounts of population growth. Over 90 % of sub-national regions in the world can achieve their relative risk constant targets if at least one of the investigated DRR measures is employed. While future research could assess the indirect costs and benefits of these four and other DRR measures, as well as their subsequent hybridization, here we demonstrate to global and regional decision makers the case for investing in DRR now to mitigate future coastal flood risk.  © Copyright: </t>
  </si>
  <si>
    <t>2-s2.0-85191599208"</t>
  </si>
  <si>
    <t>Ianna Journal of Interdisciplinary Studies</t>
  </si>
  <si>
    <t>10.5281/zenodo.10865952</t>
  </si>
  <si>
    <t>https://www.scopus.com/inward/record.uri?eid=2-s2.0-85190884852&amp;doi=10.5281%2fzenodo.10865952&amp;partnerID=40&amp;md5=d5c23c3b2292c3a532cad5aae091b95b</t>
  </si>
  <si>
    <t>Background: Social media has evolved into a vital and useful instrument for political literacy and communication, particularly during election seasons. Despite social media's global influence in fostering political literacy and engagement, scholars have focused less on first-time and eligible voters in Nigeria's local neighbourhoods. Objective: The study examined the effect of social media on the political literacy of first-time and eligible voters living in rural communities in the Ethiope East local government area of Delta State, Nigeria. Methodology: The study employed a cross-sectional research design and gathered data from 275 respondents living in landlocked regions in the Ethiope East local government area of Delta State. The respondents were sampled using a simple random sampling technique. The data were analysed using t-test, correlation, and linear regression analysis. Result: Social media positively and statistically significantly impact the political literacy of first-time and eligible voters living in rural neighbourhoods in the Ethiope East regional government area of Delta State, Nigeria. This is because of increased political literacy and engagement. Thus, social media is becoming an increasingly powerful tool for political electioneering and social engineering. Conclusion: Social media significantly influences the political literacy of first-time and eligible voters living in rural neighbourhoods in Nigeria. Unique Contribution: The study has contributed to a better understanding of the significant influence of social media on the political literacy of first-time and eligible voters living in rural communities in Nigeria. Key Recommendation: Social media organisations should establish fact-checking desks in order to handle the flood of false information that will arise in the run-up to the general elections in 2027. © 2024, University of Nigeria Department of Mass Communication. All rights reserved.</t>
  </si>
  <si>
    <t>2-s2.0-85190884852"</t>
  </si>
  <si>
    <t>10.5194/esurf-12-537-2024</t>
  </si>
  <si>
    <t>https://www.scopus.com/inward/record.uri?eid=2-s2.0-85191572766&amp;doi=10.5194%2fesurf-12-537-2024&amp;partnerID=40&amp;md5=fbab437eb23d1220c6ce8dd5149ddf4f</t>
  </si>
  <si>
    <t xml:space="preserve">Benthos has long been recognized as an important factor influencing local sediment stability, deposition, and erosion rates. However, its role in long-Term (annual to decadal scale) and large-scale coastal morphological change remains largely speculative. This study aims to derive a quantitative understanding of the importance of benthos in the morphological development of a tidal embayment (Jade Bay) as representative of tidal coastal regions. To achieve this, we first applied a machine-learning-Aided species abundance model to derive a complete map of benthos (functional groups, abundance, and biomass) in the study area, based on abundance and biomass measurements. The derived data were used to parameterize the benthos effect on sediment stability, erosion rates and deposition rates, erosion and hydrodynamics in a 3-dimensional hydro-eco-morphodynamic model, which was then applied to Jade Bay to hindcast the morphological and sediment change for 2000-2009. Simulation results indicate significantly improved performance with the benthos effect included. Simulations including benthos show consistency with measurements regarding morphological and sediment changes, while abiotic drivers (tides, storm surges) alone result in a reversed pattern in terms of erosion and deposition contrary to measurement. Based on comparisons among scenarios with various combinations of abiotic and biotic factors, we further investigated the level of complexity of the hydro-eco-morphodynamic models that is needed to capture long-Term and large-scale coastal morphological development. The accuracy in the parameterization data was crucial for increasing model complexity. When the parameterization uncertainties were high, the increased model complexity decreased the model performance.  © Copyright: </t>
  </si>
  <si>
    <t>2-s2.0-85191572766"</t>
  </si>
  <si>
    <t>10.1016/j.ijdrr.2024.104429</t>
  </si>
  <si>
    <t>https://www.scopus.com/inward/record.uri?eid=2-s2.0-85189698378&amp;doi=10.1016%2fj.ijdrr.2024.104429&amp;partnerID=40&amp;md5=1d2e6baf82a9cd9e6637121c73407e6b</t>
  </si>
  <si>
    <t>Flood risk management is a critical concern worldwide, as communities and regions face increasing threats of flooding due to climate change, urbanization, and natural variability. As a headwater province of the Vietnamese Mekong Delta, An Giang is considered the most vulnerable to the impacts of floods. We thus applied a flood assessment framework that combines natural disaster (floods), economic, social, environmental factors with a set of 42 criteria in terms of hazard, exposure, and vulnerability. The Analytic Hierarchy Process method was used to weight these criteria before flood risk maps were made to assess their scales. Our results revealed that Khanh An and Long Binh communes, primarily located in An Phu District at the border between Vietnam and Cambodia, are at the highest hazard levels with scores of 0.68. Tinh Bien District where is relatively far from An Phu, although not heavily inundated, has a high level of vulnerability. Overall, 10 out of the 155 communes in the province (6.5%) were at high flood risk since these communes, mostly located in An Phu, have predominantly agricultural areas with a relatively poor population. In addition, 121 communes (78%) demonstrated a moderate flood risk level while the rest (15.5%) is very low or not at any risk. Mitigation measures should be developed to reduce flood risk across the province within the VMD context while this study sheds light to worldwide deltas on developing similar methods for flood risk management. © 2024 Elsevier Ltd</t>
  </si>
  <si>
    <t>2-s2.0-85189698378"</t>
  </si>
  <si>
    <t>10.1016/j.heliyon.2024.e29416</t>
  </si>
  <si>
    <t>https://www.scopus.com/inward/record.uri?eid=2-s2.0-85190747385&amp;doi=10.1016%2fj.heliyon.2024.e29416&amp;partnerID=40&amp;md5=ed09e873602727a2d6bdef70ae4d255a</t>
  </si>
  <si>
    <t>Iran is highly vulnerable to climate change, particularly evident in shifting precipitation and temperature patterns, especially in its southern coastal region. With these changing climate conditions, there is an urgent need for practical and adaptive management of water resources and energy supply to address the challenges posed by future climate change. Over the next two to three decades, the effects of climate change, such as precipitation and temperature, are expected to worsen, posing greater risks to water resources, agriculture, and infrastructure stability. Therefore, this study aims to evaluate the alterations in mean daily temperature (Tmean) and total daily rainfall (rrr24) utilizing climate change scenarios from both phases 5 and 6 of the Coupled Model Inter-comparison Project (CMIP5 and CMIP6, respectively) in the southern coastal regions of Iran (Hormozgan province), specifically north of the Strait of Hormuz. The predictions were generated using the Statistical Downscaling Model (SDSM) and National Centre for Environmental Prediction (NCEP) predictors, incorporating climate change scenarios from CMIP5 with Representative Concentration Pathways (RCPs) 2.6, 4.5, and 8.5 and CMIP6 with Shared Socioeconomic Pathways (SSPs) 1, 2, and 5. The analysis was conducted for three distinct time periods: the early 21st century (2021–2045), middle 21st century (2046–2071), and late 21st century (2071–2095). The results indicated that the CMIP5 model outperformed the CMIP6 model in simulating and predicting Tmean and rrr24. In addition, a significant increase in Tmean was observed across all the scenarios and time periods, with the most pronounced trend occurring in the middle and late 21st century future periods. This increase was already evident during the base period of 2021–2045 across all scenarios. Moreover, the fluctuations in precipitation throughout the region and across all scenarios were significant in the three examined future periods. The results indicated that among CMIP5 scenarios, RCP8.5 had highest changes of Tmean (+1.22 °C) in Bandar Lengeh station in 2071–2095 period. The lowest change magnitude of Tmean among CMIP5 scenarios was found in RCP4.5 (−1.94 °C) in Ch station in 2046–2070 period. The results indicated that among CMIP5 scenarios, RCP8.5 had highest changes of rrr24 (+150.2 mm) in Chabahar station in 2071–2095 period. The lowest change magnitude of rrr24 among CMIP5 scenarios was found in RCP8.5 (−25.8 mm) in Bandar Abbas station in 2046–2070 period. In conclusion, the study reveals that the coastal area of Hormozgan province will experience rising temperatures and changing rainfall patterns in the future. These changes may lead to challenges such as increased water and energy consumption, heightened risks of droughts or floods, and potential damage to agriculture and infrastructure. These findings offer valuable insights for implementing local mitigation policies and strategies and adapting to emerging climate changes in Hormozgan's coastal areas. For example, utilizing water harvesting technologies, implementing watershed management practices, and adopting new irrigation systems can address challenges like water consumption, agricultural impacts, and infrastructure vulnerability. Future research should accurately assess the effect of these changes in precipitation and temperature on water resources, forest ecosystems, agriculture, and other infrastructures in the study area to implement effective management measures. © 2024 The Author(s)</t>
  </si>
  <si>
    <t>2-s2.0-85190747385"</t>
  </si>
  <si>
    <t>10.5194/esurf-12-449-2024</t>
  </si>
  <si>
    <t>https://www.scopus.com/inward/record.uri?eid=2-s2.0-85188018743&amp;doi=10.5194%2fesurf-12-449-2024&amp;partnerID=40&amp;md5=f2421a61107d749e17662d79277d68bd</t>
  </si>
  <si>
    <t xml:space="preserve">Understanding the response of coastal barriers to future changes in rates of sea level rise, sediment availability, and storm intensity/frequency is essential for coastal planning, including socioeconomic and ecological management. Identifying drivers of past changes in barrier morphology, as well as barrier sensitivity to these forces, is necessary to accomplish this. Using remote sensing, field, and laboratory analyses, we reconstruct the mesoscale (decades-centuries) evolution of central Fire Island, a portion of a 50ĝ€¯km barrier island fronting Long Island, New York, USA. We find that the configuration of the modern beach and foredune at Fire Island is radically different from the system's relict morphostratigraphy. Central Fire Island is comprised of at least three formerly inlet-divided rotational barriers with distinct subaerial beach and dune-ridge systems that were active prior to the mid-19th century. Varying morphologic states reflected in the relict barriers (e.g., progradational and transgressive) contrast with the modern barrier, which is dominated by a tall and nearly continuous foredune and is relatively static, except for erosion and drowning of its fringing marsh. We suggest that this state shift indicates a transition from a regime dominated by inlet-mediated gradients in alongshore sediment availability to one where human impacts exerted greater influence on island evolution from the late 19th century onward. The retention of some geomorphic capital in Fire Island's relict subaerial features combined with its static nature renders the barrier increasingly susceptible to narrowing and passive submergence. This may lead to an abrupt geomorphic state shift in the future, a veiled vulnerability that may also exist in other stabilized barriers.  © Copyright: </t>
  </si>
  <si>
    <t>2-s2.0-85188018743"</t>
  </si>
  <si>
    <t>10.1007/s11069-024-06447-x</t>
  </si>
  <si>
    <t>https://www.scopus.com/inward/record.uri?eid=2-s2.0-85186913653&amp;doi=10.1007%2fs11069-024-06447-x&amp;partnerID=40&amp;md5=62ad39b325174c50c6530bb7af90453f</t>
  </si>
  <si>
    <t>It is well known that the increase in coastal flood hazard is expected to continue due primarily to climate change. While, previous studies have advanced probabilistic approaches for estimating future coastal flood hazard, two seminal issues have received little attention: (1) sea level trend projections that arise as a consequence of climate change not being incorporated in nonstationary coastal flood frequency analysis and (2) traditional stationary approaches that estimate return periods are not suited for analysis of nonstationary water levels. In this paper, a regression approach for sea level rise estimation is proposed to detrend water levels. The peak-over-threshold approach is used to analyze the probabilistic behavior of detrended water levels via a generalized Pareto distribution. Two interpretations of return period—the expected waiting time until an exceedance event occurs and the time associated with the expected number of exceedance events equal to one—are elaborated in a nonstationary context. By incorporating the existing sea level trend projections and using two interpretations of return period, flood hazard curves with uncertainty (i.e., water levels vs. return periods) are developed to describe the probabilistic behavior of future coastal flood hazards. Two case studies are conducted: one for Boston, Massachusetts, and one for New York City, New York. © The Author(s) 2024.</t>
  </si>
  <si>
    <t>2-s2.0-85186913653"</t>
  </si>
  <si>
    <t xml:space="preserve">Revista Cartografica </t>
  </si>
  <si>
    <t>10.354242/rcarto.i108.4524</t>
  </si>
  <si>
    <t>https://www.scopus.com/inward/record.uri?eid=2-s2.0-85194162786&amp;doi=10.354242%2frcarto.i108.4524&amp;partnerID=40&amp;md5=45a96760616ba96d5cb0f47ef4abfc1a</t>
  </si>
  <si>
    <t>Sea level rise and sea state variability, resulting from climate change and global warming, are critical research areas. However, current techniques for observing and monitoring these phenomena have limitations in terms of spatial and temporal resolution, particularly in dynamic coastal zones. GNSS Reflectometry (GNSS-R) is an emerging bistatic radar-based technique that utilizes the GNSS direct (transmitter-receiver) and reflected (transmitter-reflection point-receiver) signals to extract properties of the reflecting surface. This study explores the potential of airborne GNSS-R as a means to monitor sea state in coastal areas by using the Doppler spread and reflectivity as observables. The paper aims to derive a sea state factor from the reflected signal power and the Doppler shift distribution to analyze its correlation with wind speed and significant wave height data obtained from the ERA5 model. The experiment involved four flights conducted along the coast between Calais and Boulogne-sur-Mer, France, in July 2019. A GNSS software receiver processes the direct and reflected signals, tracking and re-tracking the reflected signals with the aid of a specular reflection model. The resulting in-phase and quadrature components are analyzed in the spectral domain every minute to estimate the power, the surface reflectivity, and the relative Doppler shift. The findings reveal that the sea state factor and Doppler spreading are sensitive to sea state conditions, correlated with the ERA5 parameters, and influenced by the elevation angle of GNSS satellites. At low elevations (E&lt;10°), the sea state factor demonstrates an inverse relationship (anti-correlation) with the wind speed and significant wave height, while the Doppler distribution shows a correlation with these parameters. Both correlations decrease with increasing elevation angle. This research underscores the potential of airborne GNSS-R for monitoring sea state variability in coastal areas enhancing our understanding of the relationships between GNSS-R measurements and sea state parameters. © 2024, Pan-American Institute of Geography and History. All rights reserved.</t>
  </si>
  <si>
    <t>2-s2.0-85194162786"</t>
  </si>
  <si>
    <t>10.1016/j.scitotenv.2024.170239</t>
  </si>
  <si>
    <t>https://www.scopus.com/inward/record.uri?eid=2-s2.0-85184145369&amp;doi=10.1016%2fj.scitotenv.2024.170239&amp;partnerID=40&amp;md5=c05c7a68522201a5aa149cb0ebc673ab</t>
  </si>
  <si>
    <t>In this study, we present a novel modeling framework that provides a stylized representation of coastal adaptation and migration dynamics under sea level rise (SLR). We develop an agent-based model that simulates household and government agents adapting to shoreline change and increasing coastal flood risk. This model is coupled to a gravity-based model of migration to simulate coastward migration. Household characteristics are derived from local census data from 2015, and household decisions are calibrated based on empirical survey data on household adaptation in France. We integrate projections of shoreline retreat and flood inundation levels under two Representative Concentration Pathways (RCPs) and account for socioeconomic development under two Shared Socioeconomic Pathways (SSPs). The model is then applied to simulate coastal adaptation and migration between 2015 and 2080. Our results indicate that without coastal adaptation, SLR could drive the cumulative net outmigration of 13,100 up to as many as 21,700 coastal inhabitants between 2015 and 2080 under SSP2–RCP4.5 and SSP5–RCP8.5, respectively. This amounts to between 3.0 %–3.7 % of the coastal population residing in the 1/100-year flood zone in 2080 under a scenario of SLR. We find that SLR-induced migration is largely dependent on the adaptation strategies pursued by households and governments. Household implementation of floodproofing measures combined with beach renourishment reduces the projected SLR-induced migration by 31 %–36 % when compared to a migration under a scenario of no adaptation. A sensitivity analysis indicates that the effect of beach renourishment on SLR-induced migration largely depends on the level of coastal flood protection offered by sandy beaches. By explicitly modeling household behavior combined with governmental protection strategies under increasing coastal risks, the framework presented in this study allows for a comparison of climate change impacts on coastal communities under different adaptation strategies. © 2024 The Authors</t>
  </si>
  <si>
    <t>2-s2.0-85184145369"</t>
  </si>
  <si>
    <t>10.1016/j.qsa.2024.100182</t>
  </si>
  <si>
    <t>https://www.scopus.com/inward/record.uri?eid=2-s2.0-85189074269&amp;doi=10.1016%2fj.qsa.2024.100182&amp;partnerID=40&amp;md5=ee9bea32e5f51b4c49d0d9caf6d1ddf0</t>
  </si>
  <si>
    <t>The quantitative and qualitative analysis of the basin is fundamental to understand the structural and hydrological control of the basin. In the present study morphometric and morph tectonic parameters of the Tawi basin has been analyzed to infer the geological variation, topographic information, structural and complex tectonic behavior at a watershed scale. The assessment of several of drainage network and their relative parameters has been quantified by using the Digital Elevation Model (DEM) based analysis in the Geographic Information System (GIS) environment. Based on the quantitative analysis in terms of linear, aerial and relief it is well understood that the basin is inhomogeneous in nature, less structurally stable, very gentle to steep slopes, compounded by aggradational and denudational processes in large scale, exhibited by incompetent rocks and a portion of the basin is prone to flood particularly in the lower reaches. The quantified results show that in the various watersheds of the Tawi basin bifurcation ratio (Rb) varies from 0.001 to 6.80 and the mean bifurcation ratio (Rbm) varies from 2.58 to 4.11. The mean stream length (Lsm) in the various watersheds of Tawi basin varies from 0.019 to 60.26 km. The drainage density (Dd) of Tawi basin varies from 0 to 9.63 km/km2, and the value of the drainage texture (Td) varies from 3.76 to 13.38 km-1. The qualitative analysis based on the asymmetric factor (AF) of the Tawi basin shows that the watersheds W5 and W6 are moderately asymmetric, and W2 and W4 as strongly asymmetric in nature, whereas the hypsometric integral (HI) values reveal that watershed W1 is the most stable watershed with a highest HI value of 0.89, while the W7 is the least stable with a HI value of 0.28, providing a comprehensive understanding of the geomorphic dynamics in the Tawi basin. © 2024 The Authors</t>
  </si>
  <si>
    <t>2-s2.0-85189074269"</t>
  </si>
  <si>
    <t>10.1016/j.wace.2024.100656</t>
  </si>
  <si>
    <t>https://www.scopus.com/inward/record.uri?eid=2-s2.0-85186997010&amp;doi=10.1016%2fj.wace.2024.100656&amp;partnerID=40&amp;md5=fcec7264b738e3ff22134e9940f4c001</t>
  </si>
  <si>
    <t>Tropical cyclone (TC) peripheral downdrafts and urbanization can promote extreme heatwave (HW) events in the Greater Bay Area (GBA), a highly urbanized coastal area in China. However, the roles of synoptic patterns and urbanization in the HW events remain unclear, particularly for the joint occurrences of the tropical cyclone and heatwave (TC-HW) extremes. Here, we identify three synoptic patterns closely related to TC-HW events, namely: the northeastern Taiwan TC pattern (P4), the southeastern Taiwan TC pattern (P6), and the eastern Taiwan-Philippine Sea TC pattern (P7), as these patterns could enhance HWs through strong downdrafts, strong solar radiation, and low humidity, thereby favoring the maintenance of TC-HW events. Among the three patterns, P6 is most conducive to the occurrence of TC-HW compound events in the GBA. Moreover, the urban-rural temperature disparities under the TC-HW events are unique than those on the days without TC-HW events, i.e., the daily maximum temperature at rural and suburban stations is higher than that at urban stations. This unique feature is the opposite of the urban heat island and is mainly attributed to the rural subsidence warming induced by the TCs and Foehn effects. These results indicate that the spatial distribution of HW in coastal area is substantially modulated by TCs, which is meaningful to understanding the features and underlying mechanism of compound TC-HW events and adapting to their impacts. © 2024 The Authors</t>
  </si>
  <si>
    <t>2-s2.0-85186997010"</t>
  </si>
  <si>
    <t>10.1016/j.ocemod.2024.102334</t>
  </si>
  <si>
    <t>https://www.scopus.com/inward/record.uri?eid=2-s2.0-85184807108&amp;doi=10.1016%2fj.ocemod.2024.102334&amp;partnerID=40&amp;md5=628d094f06c6f964f33dad3464a0e1c8</t>
  </si>
  <si>
    <t>Storm surges can give rise to extreme floods in coastal areas. The Norwegian Meteorological Institute (MET Norway) produces 120 h regional operational storm surge forecasts along the coast of Norway based on the Regional Ocean Modeling System (ROMS), using a model setup called Nordic4-SS. Despite advances in the development of models and computational capabilities, forecast errors remain large enough to impact response measures and issued alerts, in particular, during the strongest storm events. Reducing these errors will positively impact the efficiency of the warning systems while minimizing efforts and resources. Here, we investigate how forecasts can be improved with residual learning, i.e., training data-driven models to predict the residuals in forecasts from Nordic4-SS. A simple error mapping technique and a more sophisticated Neural Network (NN) method are tested. The simple error mapping technique provides a reduction in the Root Mean Square Error (RMSE) of less than 4%. Using the NN residual correction method, the RMSE in the Oslo Fjord is reduced by 36% for lead times of one hour, 9% for 24 h, and 5% for 60 h. Therefore, the residual NN method is a promising direction for correcting storm surge forecasts, especially on short timescales. Moreover, it is well adapted to being deployed operationally, as (i) the correction is applied on top of the existing model and requires no changes to it, (ii) all predictors used for NN inference are already available operationally, (iii) prediction by the NNs is very fast, typically a few seconds per station, and (iv) the NN correction can be provided to a human expert who may inspect it, compare it with the model output, and see how much correction is brought by the NN, allowing to capitalize on human expertise as a quality validation of the NN output. While no changes to the hydrodynamic model are necessary to calibrate the neural networks, they are specific to a given model and must be recalibrated when the numerical models are updated. © 2024 The Author(s)</t>
  </si>
  <si>
    <t>2-s2.0-85184807108"</t>
  </si>
  <si>
    <t>10.5194/essd-16-1651-2024</t>
  </si>
  <si>
    <t>https://www.scopus.com/inward/record.uri?eid=2-s2.0-85189808853&amp;doi=10.5194%2fessd-16-1651-2024&amp;partnerID=40&amp;md5=b336278d529ec850a1123b05fbda3cee</t>
  </si>
  <si>
    <t>Hydrologic and geomorphic processes are intricately linked within the Earth system, jointly characterizing terrestrial hydrological behaviors and biogeochemical cycles across diverse temporal and spatial scales. The Tibetan Plateau provides an ideal setting for investigating the interactions between hydrological and geomorphic processes in a largely pristine natural environment. Nonetheless, the interactions remain largely unknown due to challenging physical conditions and data limitations. This study presents the inaugural version of a hydrogeomorphic dataset encompassing 18ĝ€¯440 catchments across the region. The dataset comprises 18 hydrogeomorphic metrics along with, in particular, the width-function-based instantaneous unit hydrograph (WFIUH) of each catchment. We find that the peak flow of WFIUH is positively related to slope and curvature but negatively related to catchment area, perimeter, length and circularity. The relationships of time to peak with the hydrogeomorphic metrics are similar to those of peak flow but in an oppositive direction. Catchment concentration time shows a positive relationship with catchment size but a strong negative correlation with catchment slope. The validity of the derived WFIUH has been confirmed by its successful integration into an hourly hydrological model for simulating flash-flood events. Uncertainties in the WFIUH can be attributed to the resolution of the digital elevation model (DEM) and the methods employed for calculating flow velocity. The dataset is publicly available via the Zenodo portal: 10.5281/zenodo.8280786 (Guo and Zheng, 2023). It can contribute to advancing our understanding of catchment hydrological behaviors and can provide simple and fast-routing unit hydrograph calculation for ungauged catchments in the Tibetan Plateau and hence improve water resources management and disaster mitigation in the region and its downstream areas.  © 2024 Copernicus Publications. All rights reserved.</t>
  </si>
  <si>
    <t>2-s2.0-85189808853"</t>
  </si>
  <si>
    <t>10.1016/j.scitotenv.2024.170109</t>
  </si>
  <si>
    <t>https://www.scopus.com/inward/record.uri?eid=2-s2.0-85183123256&amp;doi=10.1016%2fj.scitotenv.2024.170109&amp;partnerID=40&amp;md5=06fcbcf2c640c5dec69583871d91b4c2</t>
  </si>
  <si>
    <t>The increase in storm surge events caused by climate change exacerbates adverse effects on seawater inundation in coastal areas. An accurate description of the water level curve is crucial for understanding the process of saltwater intrusion (SWI) resulting from storm surge. Most studies involving empirical surges as inputs to groundwater models, often simplify spatial and temporal seawater inundation processes, which may increase the uncertainty in vertical seawater intrusion. To address this gap, we employed a comprehensive modeling approach using storm surge model ADCIRC and numerical simulator HydroGeoSphere to reveal SWI dynamics during a historical storm surge event in a coastal farm, considering varying tidal-surge phases and typhoon intensities. Our findings indicate pronounced SWI variations even with consistently highest water level during a storm surge, contingent on prior tidal processes. The timing of typhoon landfall on an hourly scale yielded diverse water level curves, altering the function of SWI. Intriguingly, SWI exacerbates following a high tide with 31.2 % average salinity higher, highlighting the profound modulation effect of tidal levels on SWI. Local topography significantly influenced SWI dynamics. Ponds, for instance, retained elevated salinity levels for over 15 h, indicating a more prolonged exposure to salinity than roads. These findings underscore the importance of considering both tidal influences and topographical factors in understanding and mitigating SWI in coastal agricultural management. © 2024 Elsevier B.V.</t>
  </si>
  <si>
    <t>2-s2.0-85183123256"</t>
  </si>
  <si>
    <t>https://www.scopus.com/inward/record.uri?eid=2-s2.0-85196428685&amp;partnerID=40&amp;md5=eaf7907e905c4506f764cf34ec112cb6</t>
  </si>
  <si>
    <t>The hydraulic infrastructures of the city of Agadir are in poor condition and require major rehabilitation. They have been affected by floods and rainfall that have flooded most of the urban facilities of the city of Agadir. The present study aims at simulating and evaluating the capacity of two hydraulic works (Lahouar and Tassila) to face floods. These works are in the floodable black points of the city of Agadir. This study was carried out using modeling tools, empirical formulas and functions integrated into software dedicated to geographic information systems (GIS) and by exploiting climatic, hydrological, topographic, digital terrain model, geological data, etc. The simulated project flows were estimated using the rational method. The hydraulic capacity of two structures was simulated using the Culvert Master software. The simulation results for two hydraulic structures, Lahouar and Tassila, show that Tassila structure is powerless against the project flow (Q10) with a return time of 10 years, while Lahouar withstands the flow (Q10 and Q.20) at 10 and 20 years return time and shows no flow (Q100) for the 100 years return time. These results can be used not only for flood risk prevention but also for the management of urban sewerage systems. © 2024 Kalpana Corporation. All rights reserved.</t>
  </si>
  <si>
    <t>2-s2.0-85196428685"</t>
  </si>
  <si>
    <t>10.1038/s41586-024-07038-3</t>
  </si>
  <si>
    <t>https://www.scopus.com/inward/record.uri?eid=2-s2.0-85187167024&amp;doi=10.1038%2fs41586-024-07038-3&amp;partnerID=40&amp;md5=c32d75baf450a93b33e1c95d10824921</t>
  </si>
  <si>
    <t>The sea level along the US coastlines is projected to rise by 0.25–0.3 m by 2050, increasing the probability of more destructive flooding and inundation in major cities1–3. However, these impacts may be exacerbated by coastal subsidence—the sinking of coastal land areas4—a factor that is often underrepresented in coastal-management policies and long-term urban planning2,5. In this study, we combine high-resolution vertical land motion (that is, raising or lowering of land) and elevation datasets with projections of sea-level rise to quantify the potential inundated areas in 32 major US coastal cities. Here we show that, even when considering the current coastal-defence structures, further land area of between 1,006 and 1,389 km2 is threatened by relative sea-level rise by 2050, posing a threat to a population of 55,000–273,000 people and 31,000–171,000 properties. Our analysis shows that not accounting for spatially variable land subsidence within the cities may lead to inaccurate projections of expected exposure. These potential consequences show the scale of the adaptation challenge, which is not appreciated in most US coastal cities. © The Author(s) 2024.</t>
  </si>
  <si>
    <t>2-s2.0-85187167024"</t>
  </si>
  <si>
    <t>10.17491/jgsi/2024/173843</t>
  </si>
  <si>
    <t>https://www.scopus.com/inward/record.uri?eid=2-s2.0-85200786070&amp;doi=10.17491%2fjgsi%2f2024%2f173843&amp;partnerID=40&amp;md5=57001f336d4a188e4affb0eae1450c69</t>
  </si>
  <si>
    <t>Flooding is one of the extreme hydrological phenomena. It is a recurring natural disaster that causes loss of life and property in many parts of the world, particularly during the monsoon season. It is important to address such issues for local government and policymakers to manage the flood properly. One such flood management activity is to develop a flood-prone area that depicts the spatial and temporal extent of flood accurately. The integration of the Hydrologic Engineering Centre-River Analysis System (HEC-RAS) model and geospatial tools have emerged as a crucial approach for identifying and mapping flood-prone areas. The successful application of the HEC-RAS model generally depends on the topographical data, which represents the channel and floodplain geometry. In floodplain geometry, discrete cross-sections play a vital role to develop the floodplain map, particularly in the flat topographical region. To extract these data it needs a high-quality digital elevation model (DEM), such as light detection and ranging (LiDAR). However, due to a lack of high-resolution topographical data, flood hazard mapping in developing countries is rare. In common practice, the centerline of the river is considered the flow path for the channel. The orientation of the cross-sections is perpendicular to this line and extends to reach the limits of the floodplain. But, it is difficult to define the limits and it may depend on the magnitude of the flood. Hence, in this study, the HEC RAS model coupled with ArcGIS has been applied to the Ganga River, which traverses through the Bihar state of India to study the effect of cross-sectional width to define the floodplain. The Bihar state is facing substantial hardships from annual flooding events with approximately 16.5% of India’s flood-prone area. The extreme flood values for 5, 10, and 25 years of return period have been determined and the influence of the three different cross-sectional widths to mapping the floodplain has been investigated. This novel perspective adds dimension to the understanding of flood dynamics and its implications for flood risk assessment. In this analysis, it has been observed that, with an increase in the width of the cross-section, the floodplain area also getting increased. In this topographical region, keeping a fixed flow path will underestimate the flood-prone area. The width of the flow path depends on the topography of the region and the river flow. The outcomes of this analysis provide valuable insights into the flood-inundated areas for the specified return periods, enabling the identification and prioritization of flood-prone zones. © 2024 Geological Society of India, Bengaluru, India.</t>
  </si>
  <si>
    <t>2-s2.0-85200786070"</t>
  </si>
  <si>
    <t>10.1007/s12145-023-01218-x</t>
  </si>
  <si>
    <t>https://www.scopus.com/inward/record.uri?eid=2-s2.0-85182185890&amp;doi=10.1007%2fs12145-023-01218-x&amp;partnerID=40&amp;md5=4b805d86e2c57b671a99d5ea510e9a2b</t>
  </si>
  <si>
    <t>Unprecedented floods from extreme rainfall events worldwide emphasize the need for flood inundation mapping for floodplain management and risk reduction. Access to flood inundation maps and risk evaluation tools remains challenging in most parts of the world, particularly in rural regions, leading to decreased flood resilience. The use of hydraulic and hydrodynamic models in rural areas has been hindered by excessive data and computational requirements. In this study, we mapped the flood inundation in Huron Creek watershed, Michigan, USA for an extreme rainfall event (1000-year return period) that occurred in 2018 (Father’s Day Flood) using the Height Above Nearest Drainage (HAND) model and a synthetic rating curve developed from LIDAR DEM. We compared the flood inundation extent and depth modeled by the HAND with flood inundation characteristics predicted by two hydrodynamic models, viz., HEC-RAS 2D and SMS-SRH 2D. The flood discharge of the event was simulated using the HEC-HMS hydrologic model. Results suggest that, in different channel segments, the HAND model produces different degrees of concurrence in both flood inundation extent and depth when compared to the hydrodynamic models. The differences in flood inundation characteristics produced by the HAND model are primarily due to the uncertainties associated with optimal parameter estimation of the synthetic rating curve. Analyzing the differences between the HAND and hydrodynamic models also highlights the significance of terrain characteristics in model predictions. Based on the comparable predictive capability of the HAND model to map flood inundation areas during extreme rainfall events, we demonstrate the suitability of the HAND-based approach for mitigating flood risk in data-scarce, rural regions. © The Author(s) 2024.</t>
  </si>
  <si>
    <t>2-s2.0-85182185890"</t>
  </si>
  <si>
    <t>10.1007/s10113-024-02204-9</t>
  </si>
  <si>
    <t>https://www.scopus.com/inward/record.uri?eid=2-s2.0-85189101331&amp;doi=10.1007%2fs10113-024-02204-9&amp;partnerID=40&amp;md5=b5b76b3e50c5906bde9e97db09c42dae</t>
  </si>
  <si>
    <t>Heritage sites in coastal areas are increasingly at risk from inundation hazards due to land subsidence, pluvial floods, coastal erosion, and sea-level rise. In this study, we evaluated the seven relatively well-preserved cultural heritage sites on the southwestern coast of Taiwan threatened by inundation risks resulting from current land subsidence, pluvial floods, coastal erosion, and future rising sea levels by 2050 and 2100. We applied a high-resolution hydrodynamic model to project coastal inundation zones caused by sea-level rise. Here, we show that of the seven most well-preserved cultural heritage sites in low-lying coastal areas of the southwestern coast of Taiwan, all seven are at risk from existing land subsidence, three from current coastal erosion, and six from the pluvial flooding. Regarding sea-level rise inundation risks, only one cultural heritage site is simulated to be threatened by 2050, even in the highest emission scenario. However, the one, two, and seven relatively well-preserved cultural heritage sites would be inundated by 2100 once sea-level rises of the lowest, medium, and highest emission scenarios are imposed on the coastal flood model. Our results provide a primary assessment of where adaptation is most imperatively needed and can support policymakers in steering local-scale research to devise appropriate adaptation strategies for each coastal heritage site in Taiwan. © The Author(s), under exclusive licence to Springer-Verlag GmbH Germany, part of Springer Nature 2024.</t>
  </si>
  <si>
    <t>2-s2.0-85189101331"</t>
  </si>
  <si>
    <t>10.5194/hess-28-1463-2024</t>
  </si>
  <si>
    <t>https://www.scopus.com/inward/record.uri?eid=2-s2.0-85189480745&amp;doi=10.5194%2fhess-28-1463-2024&amp;partnerID=40&amp;md5=db314efc0d2a1739ddb8a8dbc0502b12</t>
  </si>
  <si>
    <t>Densely populated coastal river deltas are very vulnerable to compound flood risks coming from both oceanic and riverine sources. Climate change may increase these compound flood risks due to sea level rise and intensifying precipitation events. Here, we investigate to what extent nature-based flood defence strategies, through the conservation of mangroves in a tropical river delta, can contribute to mitigate the oceanic and riverine components of compound flood risks. While current knowledge of estuarine compound flood risks is mostly focussed on short-term events such as storm surges (taking 1 or a few days), longer-term events, such as El Niño events (continuing for several weeks to months) along the Pacific coast of Latin America, are less studied. Here, we present a hydrodynamic modelling study of a large river delta in Ecuador aiming to elucidate the compound effects of El Niño-driven oceanic and riverine forcing on extreme high water level propagation through the delta and, in particular, the role of mangroves in reducing the compound high water levels. Our results show that the deltaic high water level anomalies are predominantly driven by the oceanic forcing but that the riverine forcing causes the anomalies to amplify upstream. Furthermore, mangroves in the delta attenuate part of the oceanic contribution to the high water level anomalies, with the attenuating effect increasing in the landward direction, while mangroves have a negligible effect on the riverine component. These findings show that mangrove conservation and restoration programmes can contribute to nature-based mitigation, especially the oceanic component of compound flood risks in a tropical river delta. © Author(s) 2024.</t>
  </si>
  <si>
    <t>2-s2.0-85189480745"</t>
  </si>
  <si>
    <t>10.3390/ijgi13050161</t>
  </si>
  <si>
    <t>https://www.scopus.com/inward/record.uri?eid=2-s2.0-85194177847&amp;doi=10.3390%2fijgi13050161&amp;partnerID=40&amp;md5=d16b8226b2cb4eee7a0c68b1bc96413b</t>
  </si>
  <si>
    <t>The Ca Mau Peninsula, situated in the Mekong Delta of Vietnam, features low-lying terrain. In addition to the challenges posed by climate change, land subsidence in the area is exacerbated by the overexploitation of groundwater and intensive agricultural practices. In this study, we assessed the land subsidence susceptibility in the Ca Mau Peninsula utilizing three boosting machine learning models: AdaBoost, Gradient Boosting, and Extreme Gradient Boosting (XGB). Eight key factors were identified as the most influential in land subsidence within Ca Mau: land cover (LULC), groundwater depth, digital terrain model (DTM), normalized vegetation index (NDVI), geology, soil composition, distance to roads, and distance to rivers and streams. The dataset includes 2011 points referenced from the Persistent Scattering SAR Interferometry (PSI) method, of which 1011 points are subsidence points and the remaining are non-subsidence points. The sample points were split, with 70% allocated to the training set and 30% to the testing set. Following computation and execution, the three models underwent evaluation for accuracy using statistical metrics such as the receiver operating characteristic (ROC) curve, area under the curve (AUC), specificity, sensitivity, and overall accuracy (ACC). The research findings revealed that the XGB model exhibited the highest accuracy, achieving an AUC and ACC above 0.88 for both the training and test sets. Consequently, XGB was chosen to construct a land subsidence susceptibility map for the Ca Mau Peninsula. In addition, 31 subsidence points measured by leveling surveys between 2005 and 2020, provided by the Department of Survey, Mapping and Geographic Information Vietnam, were used for validating the land subsidence susceptibility from the XGB method. The findings indicate a 70.9% accuracy rate in predicting subsidence susceptibility compared to the leveling measurement points. © 2024 by the authors.</t>
  </si>
  <si>
    <t>2-s2.0-85194177847"</t>
  </si>
  <si>
    <t>10.1007/s10236-024-01610-1</t>
  </si>
  <si>
    <t>https://www.scopus.com/inward/record.uri?eid=2-s2.0-85188094663&amp;doi=10.1007%2fs10236-024-01610-1&amp;partnerID=40&amp;md5=695411ee8c483bcfc6fa9b738bbbbe06</t>
  </si>
  <si>
    <t>Coastal flooding within Great Lakes communities poses severe threats to ecosystem and economic sustainability. Accurate and efficient flood predictions could provide critical advanced warnings and improve local resilience. Three types of modeling approaches, including the Bathtub Method (BTM), Extended Hydrodynamic model (EXT), and Total Water Level (TWL) approach, were evaluated for a flood event in the Great Lakes. These studied modeling approaches have successfully replicated water levels at four nearshore gauge stations in the lake, indicating a reliable starting point for coastal flood simulations. Comparisons were made between simulations of maximum flood extent using different methods in three typical high flooding risk areas, including an open-bay area, along coasts of drowned-river-mouth (estuaries) lakes, and a section of shoreline with heavy infrastructural facilities. In addition, aerial photos from news reports and synthetic aperture radar (SAR) data were analyzed in this study to provide observed information for the studied flooding events. According to the results, BTM and EXT were consistent in simulating flood extents for various types of coastal areas, while the TWL was limited in predicting flood propagation into inland areas, particularly in the coasts of river-mouth lakes. Despite slightly overestimating the flood extent in disconnected low-lying areas, the BTM can still serve as a cost-effective tool to provide preliminary flood simulations for the Great Lakes region. We further discuss operational perspectives of using BTM, EXT, and TWL for coastal flood modeling. The results of this study could be used to improve the guidance of coastal management by determining efficient and accurate approaches for coastal flood predictions. © Springer-Verlag GmbH Germany, part of Springer Nature 2024.</t>
  </si>
  <si>
    <t>2-s2.0-85188094663"</t>
  </si>
  <si>
    <t>10.1016/j.ejrh.2024.101760</t>
  </si>
  <si>
    <t>https://www.scopus.com/inward/record.uri?eid=2-s2.0-85189557723&amp;doi=10.1016%2fj.ejrh.2024.101760&amp;partnerID=40&amp;md5=6ebe6987986cc056877be00da217bbbe</t>
  </si>
  <si>
    <t>The increasing frequency of urban flood disasters presents a significant obstacle to urban sustainability. Urban flood management aims to reduce the flood occurrences, currently addressed through urban drainage systems. Previous studies have demonstrated future precipitation extremes will pose larger pressure on urban drainage network, but when and where the pressure will reach a dangerous level have never been assessed in any city of China. This study establishes the initial framework for identifying critical decades and hot spots of urban drainage pressure changes due to future climate change, through a case study conducted in southern China (Haining city). Urban drainage pressure was assessed by a combination of the urban drainage model known as the Storm Water Management Model (SWMM) and pipe statistics. Using climate projections from the latest phase of Coupled Model Intercomparison Project (CMIP6) under four typical SSP-RCP (shared socioeconomic pathway-representative concentration pathway) scenarios, we project the changes in urban drainage pressure by 21st century, and identify the key decades and high risk areas with the occurrence of dangerous pressure levels. The results indicate an overall upward trend in urban drainage pressure for Haining city, with over 97% of the flooding nodes projected to firstly reach the dangerous level by the 2030 s. Comparisons of the patterns under different SSP-RCP scenarios, suggest that a higher forcing pathway would expedite the deterioration of urban drainage pressure, particularly in urban areas with lower DEM and high building intensity. This has broad implications for better informing disaster management and policy-making in similar cities, especially those with inadequate drainage capacities. © 2024 The Authors</t>
  </si>
  <si>
    <t>2-s2.0-85189557723"</t>
  </si>
  <si>
    <t>10.1007/s11069-023-06398-9</t>
  </si>
  <si>
    <t>https://www.scopus.com/inward/record.uri?eid=2-s2.0-85184205852&amp;doi=10.1007%2fs11069-023-06398-9&amp;partnerID=40&amp;md5=9e0f857acf666efa02a422e71abe82de</t>
  </si>
  <si>
    <t>Frequent floodings in Semarang City have generated increasing damages and losses in property and life quality. The cause of flooding is related to the coupled impacts of land subsidence, hydraulics hazards along with poor drainage and water retention systems. This paper studies the most recent flooding hazards caused by hydrological origins (i.e., river discharge, tidal) and land subsidence. In the study, riverine origin of flooding is simulated with the help of HEC-RAS 2D, while the tidal origin is simulated to high highest water level. However, due to the absence of the most recent topographic data, the role of land subsidence is measured by estimating the vertical changes of digital elevation model taken from Sentinel 1A. Flooding extent, in terms of depth and coverage, is verified based on satellite imagery Sentinel-2 which is cloud-processed using Google Earth Engine (GEE) and field survey. Fluvial flood is simulated with several boundary condition scenarios using combinations of 5-, 25-, or 50-year return periods of flood which is integrated with mean sea level (MSL) or high highest water level (HHWL) tides. Those boundary conditions are then incorporated into different terrains, namely LiDAR, DEMNAS, and TerraSAR DEM, to see how different digital elevation models (DEMs) can impact model sensitivity. By overlaying model outputs and land cover map, it can be concluded that settlements and water bodies are among the most potentially affected areas, covering up to 17 km2. This study is expected to help policymakers make a primary assessment of combined tidal and fluvial flood hazard through mitigation and adaptation measures. © The Author(s), under exclusive licence to Springer Nature B.V. 2024.</t>
  </si>
  <si>
    <t>2-s2.0-85184205852"</t>
  </si>
  <si>
    <t>Coastal Studies and Society</t>
  </si>
  <si>
    <t>10.1177/26349817231207040</t>
  </si>
  <si>
    <t>https://www.scopus.com/inward/record.uri?eid=2-s2.0-85191699841&amp;doi=10.1177%2f26349817231207040&amp;partnerID=40&amp;md5=acf2754a5f15662fe1999a2858c50d39</t>
  </si>
  <si>
    <t>Contemporary sea level rise (SLR) research seldom considers enabling effective geovisualisation for the communities. This lack of knowledge transfer impedes raising awareness on climate change and its impacts. The goal of this study is to produce an online SLR map accessible to the public that allows them to interact with evolving high-resolution geospatial data and techniques. The study area was the North Shore of Vancouver, British Columbia, Canada. While typically coarser resolution (10 m+/pixel) Digital Elevation Models have been used by previous studies, we explored an open access airborne 1 m LiDAR which has a higher resolution and vertical accuracy and can penetrate tree cover at a higher degree than most satellite imagery. A bathtub method model with hydrologic connectivity was used to delineate the inundation zones for various SLR scenarios which allows for a not overly complex model and process using standard tools such as ArcGIS and QGIS with similar levels of accuracy as more complex models, especially with the high-resolution data. Deep learning and 3D visualizations were used to create past, present, and modelled future Land Use/Land Cover and 3D flyovers. Analysis of the possible impacts of 1, 2, 3, and 4 m SLR over the unique coastline, terrain, and land use was detailed. The generated interactive online map helps local communities visualize and understand the future of their coastlines. We have provided a detailed methodology and the methods and results are easily reproducible for other regions. Such initiatives can help popularize community-focused geovisualisation to raise awareness about SLR. © The Author(s) 2023.</t>
  </si>
  <si>
    <t>2-s2.0-85191699841"</t>
  </si>
  <si>
    <t>10.1016/j.ejrs.2024.03.009</t>
  </si>
  <si>
    <t>https://www.scopus.com/inward/record.uri?eid=2-s2.0-85190762076&amp;doi=10.1016%2fj.ejrs.2024.03.009&amp;partnerID=40&amp;md5=cd1f5c59213fdf7bb15cafb513ff7717</t>
  </si>
  <si>
    <t>Nile Delta has been historically targeted for various types of human activities since the Pharaohs’ era due to abundance of its natural resources. The increasing land subsidence in the northern delta is a significant concern for the Egyptian government. Moreover, the cumulative subsidence coupled with the scenarios of sea level rise worsens the situation. In the present work, we utilize SNAPPING service on the Geohazards Exploitation Platform (GEP) to measure the spatial and temporal trends, as well as the extent of subsidence in urban areas within the Nile Delta. The study analyzed the period between 2015 and 2020 using 225 Copernicus Sentinel-1 radar imagery using the Persistent Scatterers Interferometry (PSI) technique and reported surface motion with an average of −5 mm/year in the Nile Delta surface. Subsidence is relatively higher in the eastern part with more patterns specific to particular regions. The northern part recorded subsidence ranged from 0 to 7 mm/year. High rates of subsidence up to 17 mm/year localized in locations of Port Said, Damietta, Ad Dakahlia and Al Sharkia governorates and around Manzala Lake. On the other side, medium uplift rates up to 6 mm/year concentrated around Bardaweel Lake, Parts of Ismailia governorate and Baltim city. On-site visual inspections in these areas documented tilting in buildings and clear cracks which confirm the impact of land subsidence on the structural integrity of the buildings. The GEP platform and the SNAPPING service demonstrated the capability of cloud-based solutions to provide precise surface motion information within a short time. © 2024 National Authority of Remote Sensing &amp; Space Science</t>
  </si>
  <si>
    <t>2-s2.0-85190762076"</t>
  </si>
  <si>
    <t>10.1029/2023EF003672</t>
  </si>
  <si>
    <t>https://www.scopus.com/inward/record.uri?eid=2-s2.0-85190137672&amp;doi=10.1029%2f2023EF003672&amp;partnerID=40&amp;md5=0c5acb3f76fff8d9d4913d002bb315d2</t>
  </si>
  <si>
    <t>Many barrier islands and spits (collectively, “barriers”) throughout the world are highly developed. As low-lying, sandy coastal landforms, barrier systems are naturally reshaped by processes associated with storms and sea-level rise (SLR). The resulting landscape changes threaten development, and in response, humans employ defensive measures that physically modify barrier geometry to reduce relatively short-term risk. These measures include the construction of large dunes, emplacement of beach nourishment, and removal of washover. Simulations conducted using a new coupled modeling framework show that, over decades to centuries, measures to protect roadways and communities alter the physical characteristics of barrier systems in ways that ultimately limit their habitability. We find that the pathway toward uninhabitability (via roadway drowning or community narrowing) and future system states (drowning or rebound) depends largely on dune management—because building dunes blocks overwash delivery to the barrier interior—and on initial conditions (barrier elevation and width). In the model, barriers can become lower and narrower with SLR to the point of drowning. The timing and occurrence of barrier drowning depends on randomness in the timing and intensity of storms and dune recovery processes. We find that under a constant rate of SLR, negative feedbacks involving storms can allow barriers that do not drown to rebound toward steady-state geometries within decades after management practices cease. © 2024 The Authors. Earth's Future published by Wiley Periodicals LLC on behalf of American Geophysical Union.</t>
  </si>
  <si>
    <t>2-s2.0-85190137672"</t>
  </si>
  <si>
    <t>10.1016/j.scitotenv.2024.171039</t>
  </si>
  <si>
    <t>https://www.scopus.com/inward/record.uri?eid=2-s2.0-85186266618&amp;doi=10.1016%2fj.scitotenv.2024.171039&amp;partnerID=40&amp;md5=ed5576859d9145c3b87e663f44814ca4</t>
  </si>
  <si>
    <t>Soil carbon (C), nitrogen (N), and phosphorus (P) cycling, in conjunction with microbial metabolism, varies significantly with salinity in coastal areas. However, microbial metabolism limitation on salinity levels has received limited attention. Based on soil microbial carbon use efficiency and enzymatic stoichiometry, microbial nutrient limitation characteristics of soil microbial communities in different salinity levels (4.45 mS·cm−1 - 17.25 mS·cm−1) in a subtropical mangrove wetland were investigated. Compared to low-salinity levels, the activity of soil C-acquiring enzyme activities, enzymatic C:N ratios and enzymatic C:P ratios decreased with medium salinity levels and high salinity levels. Soil microbial metabolism was primarily constrained by C and N at different salinity levels. Boosted regression tree analysis revealed that abiotic factors had the greatest influence on C and N limitation of microbial metabolism at different salinity levels. This study underscores the significance of salinity in microbial metabolic processes and enhances our understanding of how future salinity changes induced by rising sea levels will affect soil carbon and nutrient cycling in coastal wetlands. © 2024 Elsevier B.V.</t>
  </si>
  <si>
    <t>2-s2.0-85186266618"</t>
  </si>
  <si>
    <t>10.1016/j.jag.2024.103769</t>
  </si>
  <si>
    <t>https://www.scopus.com/inward/record.uri?eid=2-s2.0-85187983396&amp;doi=10.1016%2fj.jag.2024.103769&amp;partnerID=40&amp;md5=ea238ff861506f8ce5fe21bb353e6d6f</t>
  </si>
  <si>
    <t>This groundbreaking research makes a contribution to climate change adaptation studies by filling a crucial knowledge gap related to the precise evaluation of mangrove biomass—an essential element influencing the future trends of coastal ecosystems. Specifically, the study concentrates on the Hara Biosphere Reserve (HBR) on the coasts of the Persian Gulf (PG), aiming to generate precise maps of mangrove biomass. The methodological approach involves a comprehensive analysis, including the utilization of Landsat imagery to establish an NDVI map of mangroves, the application of the Cumulative Sum (CUSUM) method to determine a threshold NDVI value for distinguishing between tall and dwarf mangroves, and the subsequent mapping of their distribution in both coastal and island zones. Additionally, the study calculates above-ground biomass (AGB) and below-ground biomass (BGB) values in sample plots, develops a regression relationship between biomass and NDVI values, and integrates maps of tall and dwarf mangrove extent with spatial variations in AGB and BGB. Noteworthy outcomes include the identification of a threshold NDVI value (0.63) for distinguishing mangrove types and revealing distinct biomass values for mangroves in both coastal and island zones. Significantly, tall mangroves positioned on the seaward edges exhibit higher biomass in both zones than dwarf mangroves. These findings shed light on the potential exacerbation of climate change impacts, such as rising sea levels and changing tidal range on mangroves of the coasts of the PG due to the heightened productivity and specific spatial distribution of tall mangroves. Recognizing these structural characteristics and production disparities is crucial for developing effective climate change adaptation programs. Integrating such insights into management strategies is emphasized as pivotal for enhancing the efficiency and success of these programs, presenting a robust solution for protecting mangroves in diverse coastal areas. © 2024 The Authors</t>
  </si>
  <si>
    <t>2-s2.0-85187983396"</t>
  </si>
  <si>
    <t>10.1007/s11069-024-06556-7</t>
  </si>
  <si>
    <t>https://www.scopus.com/inward/record.uri?eid=2-s2.0-85188640832&amp;doi=10.1007%2fs11069-024-06556-7&amp;partnerID=40&amp;md5=43cac6e4b2ad7b20d6e1a443305e6595</t>
  </si>
  <si>
    <t>In recent years, extensive research has been conducted on various aspects of climate change, with particular attention given to the sea level rise (SLR) as a significant consequence of global warming. Although a general trend of positive SLR exists worldwide, regional variations in SLR rates are observed. This study aims to investigate the potential impact of SLR projected by a Coupled Model Intercomparison Project phase 5 model, under a 4.5 W m-2 radiative forcing stabilization scenario by 2100, on coastal flooding along the Brazilian Coast. To achieve this, an ocean numerical downscaling approach was employed using multiple nested grids with the Regional Ocean Modeling System, with a specific focus on the Guanabara Bay region. Guanabara Bay is a vital water body that receives substantial water discharges from the densely populated Rio de Janeiro metropolitan area. Two experiments were conducted simulating the present (1995–2005) and future conditions (2090–2100), and the projected changes were evaluated. The results reveal a projected SLR of 0.69 m at Fiscal Island by the end of the century, anticipating potential loss of remaining mangrove areas and the expansion and persistence of coastal flooding in important tourist destinations within the Rio de Janeiro Municipality. Overall, this study provides valuable insights into the potential impacts of SLR on coastal flooding in the Brazilian Coast, emphasizing the importance of considering regional variations in SLR rates for effective coastal management and adaptation strategies. © The Author(s), under exclusive licence to Springer Nature B.V. 2024.</t>
  </si>
  <si>
    <t>2-s2.0-85188640832"</t>
  </si>
  <si>
    <t>10.1007/s41064-024-00283-1</t>
  </si>
  <si>
    <t>https://www.scopus.com/inward/record.uri?eid=2-s2.0-85191031760&amp;doi=10.1007%2fs41064-024-00283-1&amp;partnerID=40&amp;md5=7d765911a5ae0f411df2f0f118760ba8</t>
  </si>
  <si>
    <t>Water injection and oil production often lead to significant surface deformations in oilfields. Such geological hazards are substantial potential threats to both the oilfield and its surrounding infrastructure. Liaohe oilfield is China’s largest production base for heavy and high-viscosity oil. It has a long history of surface deformation in its core production area near the Bohai Bay. Multitemporal synthetic aperture radar interferometry (MT-InSAR) offers long-term monitoring capabilities and has previously been used to monitor deformations in Liaohe oilfield. However, quantitative analysis of deformation-driving factors is less common in previous studies, and investigations are limited to data up until 2021. Continuous monitoring and analysis of deformation patterns and influencing factors in this region are of crucial practical importance. In this study, we acquired the latest long-term deformation data and the driving factors in Liaohe oilfield via MT-InSAR. For the first time, a quantitative analysis of deformation-driving factors was performed, and the ultra-long-term (from 1958 to 2023) deformation data with respect to Liaohe oilfield were collected and analyzed to interpret the deformation characteristics, variation tendency, and influencing factors. We employed 217 Sentinel-1A/B SAR images from 2019 to 2023 to calculate the deformation rates and cumulative deformations in this area. The results revealed three subsidence funnels and one uplift area, with deformation rates ranging from [−152, 41] mm/year and [−182, 51] mm/year (negative values indicating subsidence and positive values indicating uplift) for the ascending and descending datasets, respectively. Principal component analysis (PCA) was applied to the cumulative deformation sequence for extracting the primary components. The PCA results, groundwater data, and precipitation data were utilized for a quantitative analysis of primary deformation-driving factors. The analysis results indicate that the surface deformations exhibit a strongly linear trend mainly due to oilfield exploitation, coupled with slight variations related to precipitation and groundwater extraction. By integrating historical deformation information with the monitored results, the development process of the surface deformation was investigated and divided into six stages. This process was related to the oil energy demand, extraction techniques, and reservoir compaction phases. This study contributes to understanding the spatiotemporal evolution of surface deformation in the Liaohe oilfield and the driving factors, and it provides valuable insights for similar research in other oilfields. © Deutsche Gesellschaft für Photogrammetrie, Fernerkundung und Geoinformation (DGPF) e.V. 2024.</t>
  </si>
  <si>
    <t>2-s2.0-85191031760"</t>
  </si>
  <si>
    <t>Journal of Rock Mechanics and Geotechnical Engineering</t>
  </si>
  <si>
    <t>10.1016/j.jrmge.2023.08.009</t>
  </si>
  <si>
    <t>https://www.scopus.com/inward/record.uri?eid=2-s2.0-85176414827&amp;doi=10.1016%2fj.jrmge.2023.08.009&amp;partnerID=40&amp;md5=01cf3763cff671621a63ffab901238e0</t>
  </si>
  <si>
    <t>In most coastal and estuarine areas, tides easily cause surface erosion and even slope failure, resulting in severe land losses, deterioration of coastal infrastructure, and increased floods. The bio-cementation technique has been previously demonstrated to effectively improve the erosion resistance of slopes. Seawater contains magnesium ions (Mg2+) with a higher concentration than calcium ions (Ca2+)</t>
  </si>
  <si>
    <t>10.15625/2615-9783/20053</t>
  </si>
  <si>
    <t>https://www.scopus.com/inward/record.uri?eid=2-s2.0-85194379934&amp;doi=10.15625%2f2615-9783%2f20053&amp;partnerID=40&amp;md5=5259b7b560501f02a93c7248a89f2004</t>
  </si>
  <si>
    <t>Depositional environments in areas located near sea level are vulnerable to even subtle changes in both tectonism, climate and eustatic sea level. Sorting out mechanisms behind depositional changes in inner shelf-margins and epeiric seas is therefore far from straight forward. The epeiric Malay-Tho Chu Basin, located in the shallow Gulf of Thailand offshore Vietnam, contains a thick uppermost Oligocene to Recent post-rift succession. Based on 18000 km of 2D seismic profiles, the uppermost Oligocene-Recent succession is subdivided into six seismic sequences. Seismic facies mapping of each sequence complemented by information from industry completion reports of 14 wells document a gradual increase in marine influence from latest Oligocene through Middle Miocene time. The increased marine influence reflects the propagation and opening of the southwestern spreading arm of the East Vietnam Sea (South China Sea (East Sea)) combined with rapid subsidence in the Malay-Tho Chu Basin resulting from fast thermal relaxation following Oligocene rifting and amplified by mild fault-controlled subsidence in especially the western part of the area. From the latest Middle Miocene, slowed subsidence and regression occurred in association with uplift in the nearby southwestern East Vietnam Sea. From the latest Miocene, and during the Pliocene and Pleistocene, subsidence rates increased promoting marine conditions towards the East Vietnam Sea in the southeast. Meanwhile, Mekong River avulsion combined with hinterland uplift stimulated fluvial and alluvial deposition in the northern and western parts of the basin. The long-term depositional pattern was controlled primarily by tectonics, drainage evolution and climate. Meanwhile, flood- and delta plain deposits intercalated with stacked fluvial incisions, often filled by estuarine deposits, document short-lived environmental changes most likely controlled by eustatic sea level fluctuations. Such intervals developed during latest Middle Miocene to Pleistocene periods of slow subsidence or fast depositional rates and are interpreted to be the result of substantial eustatic sea level fluctuations. © 2024, Publishing House of Natural Science and Technology, VAST. All rights reserved.</t>
  </si>
  <si>
    <t>2-s2.0-85194379934"</t>
  </si>
  <si>
    <t>10.1016/j.ijdrr.2024.104450</t>
  </si>
  <si>
    <t>https://www.scopus.com/inward/record.uri?eid=2-s2.0-85189610078&amp;doi=10.1016%2fj.ijdrr.2024.104450&amp;partnerID=40&amp;md5=87d5e612c839c7c4da544042483b51d0</t>
  </si>
  <si>
    <t>Traditional flood risk assessment studies mainly looked at potential exposures and damage to human settlements, without considering the whole social-ecological systems. This study presents a comprehensive flood risk assessment considering hazard characteristics, exposure, and vulnerability of social-ecological systems in the coastal areas of Prince Edward Island (PEI), Canada. An indicator-based multi-criteria analysis method is adopted to estimate vulnerability and risk index for each local census block in the affected area under two scenarios (flood without climate change and flood with climate change). The result shows that the vulnerability and risk scores vary along the coastal area, with higher scores in the central and western regions. Social elements contribute more to vulnerability and risk index compared to the ecological elements in both urban and rural areas. The study also discussed the potential application of the risk assessment results for developing appropriate flood risk management strategies for coastal communities and vulnerable ecosystems. © 2024 The Authors</t>
  </si>
  <si>
    <t>2-s2.0-85189610078"</t>
  </si>
  <si>
    <t>10.1016/j.cities.2024.104953</t>
  </si>
  <si>
    <t>https://www.scopus.com/inward/record.uri?eid=2-s2.0-85188799477&amp;doi=10.1016%2fj.cities.2024.104953&amp;partnerID=40&amp;md5=aefaa05426c8760056b482904e5b1500</t>
  </si>
  <si>
    <t>Coastal communities are increasingly vulnerable due to sea level rise and population growth. Managed retreat is commonly recognized as a strategy that yields multifaced benefits in community adaptation. However, limited studies have explored the cumulative effects of sea level rise, population migration, and managed retreat on the community resilience. This study presents a parcel-level land use change model to analysis land-based flood mitigation strategies in Galveston County, Texas. The developed model integrates a Gradient Boosting Decision Tree with a flood risk model and diverse datasets. Our model results reveal the spatial patterns of urban development in Galveston under different relocation policies and the compounding impacts of sea level rise and population growth. Our findings illustrate that elevating the first floors of buildings can significantly mitigate flood risks and associated relocation costs. The private adaptation measure, together with government-led buyout policies, could foster a shift toward more resilient urban development and yield a more affordable relocation strategy. Our findings emphasize the need for a multidisciplinary approach in building resilient coastal communities, particularly in the face of escalating climate risks in local communities. © 2024 The Authors</t>
  </si>
  <si>
    <t>2-s2.0-85188799477"</t>
  </si>
  <si>
    <t>10.1007/s12145-024-01239-0</t>
  </si>
  <si>
    <t>https://www.scopus.com/inward/record.uri?eid=2-s2.0-85184416370&amp;doi=10.1007%2fs12145-024-01239-0&amp;partnerID=40&amp;md5=fce86565c09774e70109cb3444961bce</t>
  </si>
  <si>
    <t>The increasing availability of hydrological and physiographic spatiotemporal data has boosted machine learning’s role in rapid flood mapping. Yet, data scarcity, especially high-resolution DEMs, challenges regions with limited access. This paper examines how DEM type and resolution affect flood prediction accuracy, utilizing a cutting-edge deep learning (DL) method called 1D convolutional neural network (CNN). It utilizes synthetic hydrographs as training input and water depth data obtained from LISFLOOD-FP, a 2D hydrodynamic model, as target data. This study investigates digital surface models (DSMs) and digital terrain models (DTMs) derived from a 1 m LIDAR-based DTM, with resolutions from 15 to 30 m. The methodology is applied and assessed in a established benchmark, city of Carlisle, UK. The models’ performance is then evaluated and compared against an observed flood event using RMSE, Bias, and Fit indices. Leveraging the insights gained from this region, the paper discusses the applicability of the methodology to address the challenges encountered in a data-scarce flood-prone region, exemplified by Pakistan. Results indicated that utilizing a 30 m DTM outperformed a 30 m DSM in terms of flood depth prediction accuracy by about 21% during the flood peak stage, highlighting the superior performance of DTM at lower resolutions. Increasing the resolution of DTM to 15 m resulted in a minimum 50% increase in RMSE and a 20% increase in fit index across all flood stages. The findings emphasize that while a coarser resolution DEM may impact the accuracy of machine learning models, it remains a viable option for rapid flood prediction. However, even a slight improvement in data resolution in data-scarce regions would provide significant added value, ultimately enhancing flood risk management. © The Author(s), under exclusive licence to Springer-Verlag GmbH Germany, part of Springer Nature 2024.</t>
  </si>
  <si>
    <t>2-s2.0-85184416370"</t>
  </si>
  <si>
    <t>10.1007/s12524-024-01852-y</t>
  </si>
  <si>
    <t>https://www.scopus.com/inward/record.uri?eid=2-s2.0-85189336298&amp;doi=10.1007%2fs12524-024-01852-y&amp;partnerID=40&amp;md5=e18d01ab04fe7a09974da7c5aaaa2bbf</t>
  </si>
  <si>
    <t>Non-sustainable land use results in induced climate change and severe hydrologic hazards all over the world. Now a days, floods play a significant role in destructing the environment and human lives. The present study uses geospatial data with thirteen flood conditioning criteria to identify the flood risk in a deltaic region, Kuttanad. Eight physical- geological criteria such as elevation, drainage density, geology, flow accumulation, slope, Stream Power Index (SPI), Topographic Wetness Index (TWI) and Standard Curvature (SC) were used for vulnerability studies. Three socio-economic factors such as population density, Land Use and Land Cover (LULC) and road density were included to identify the flood exposure. Precipitation and river density were considered to identify the flood hazard. The above criteria were integrated by the method of spatial integration in the ArcGIS environment to identify the area subjected to flood risk. Subjective judgements made using the above criteria were converted into quantitative data based on Analytical Hierarchy Process (AHP) scale. Essential judgements of this study demonstrated that a critical percentage of the region (68%) comes under high flood vulnerability. 34% of the area comes under high hazardous regions and they need immediate attention. Integrating vulnerability, exposure and hazard, a flood risk map was prepared and found that nearly 72% of the region comes under high-risk. Efficiency of the flood risk and flood vulnerability map tested by Area Under Curve (AUC) indicates a higher precision, by obtaining 89% accuracy for the flood risk map and 93% for the flood vulnerability map. The mean value of the flood risk index in 6 agro-ecological zones has been computed and distributed evenly by the method of zonal statistics to identify the flood risk zone. Flood risk index ranging from 2.84 to 3.10 is classified under Zone I, 2.72–2.78 under Zone II, 2.71 under Zone III and 2.61 is classified as Zone IV respectively. The results obtained from this study enable prioritization of flood risk areas, offering valuable insights for planners, decision makers to control and alleviate flood events along the deltaic region, Kuttanad. © Indian Society of Remote Sensing 2024.</t>
  </si>
  <si>
    <t>2-s2.0-85189336298"</t>
  </si>
  <si>
    <t>10.1007/s11069-024-06434-2</t>
  </si>
  <si>
    <t>https://www.scopus.com/inward/record.uri?eid=2-s2.0-85185485285&amp;doi=10.1007%2fs11069-024-06434-2&amp;partnerID=40&amp;md5=c61b4451cf2041847331186074b90a07</t>
  </si>
  <si>
    <t>Urban floods can affect people's lives and properties, and therefore, urban flood mapping is crucial for reliable risk assessment and the development of effective mitigation strategies. With the advent of high spatial and temporal resolution satellite images, remote sensing has become popular for urban flood mapping. Synthetic aperture RADAR (SAR) sensors can capture image data during a flood event because their emitted signal can penetrate through the clouds. However, they have some limitations, such as layover, shadowing, and speckle noise, that might challenge their usage, especially for urban flood mapping. Deep learning (DL) algorithms have been widely used for automatic urban flood mapping using remote sensing data, but the flood mapping accuracy achieved using SAR and DL algorithms is still uncertain. This paper proposes a DL-based change detection framework, convolutional Siamese network (CSN), for flood mapping in three urban areas: parts of Ottawa, ON and Gatineau, QC, Abbotsford, BC, and Leverkusen, Germany. The datasets applied were Sentinel-1 and dual-polarized RADARSAT Constellation Mission (RCM) data. The applied data were captured in C-band, and their resolutions were 10 m and 5 m for Sentinel-1 and RCM, respectively. Comparison with other DL-based segmentation algorithms, including Unet, Unet++, DeepLabV3+, and Siamese-Unet, confirmed the reliability of the proposed CSN. Although a promising flood recall rate of about 0.7 was achieved, it was inferred from the flood precision and F1 score that Sentinel-1 data medium resolution might hinder its application for urban flood mapping. Further, RCM data were also tested in both urban and non-urban areas, and a precision of 0.79 was achieved for the non-urban case. Experiments on two existing datasets, SEN12FLOOD and SEN1FLOOD11, showed that the proposed CSN achieved a higher precision index of 0.75 on SEN12-FLOOD than SEN1FLOOD11 dataset, with a precision of 0.2, because of different labeling formats between the two datasets. © The Author(s), under exclusive licence to Springer Nature B.V. 2024.</t>
  </si>
  <si>
    <t>2-s2.0-85185485285"</t>
  </si>
  <si>
    <t>Revista de Direito Economico e Socioambiental</t>
  </si>
  <si>
    <t>10.7213/revdireconsoc.v15i2.31364</t>
  </si>
  <si>
    <t>https://www.scopus.com/inward/record.uri?eid=2-s2.0-85204948626&amp;doi=10.7213%2frevdireconsoc.v15i2.31364&amp;partnerID=40&amp;md5=8fe341f3c8aecfeef368dc79956cea63</t>
  </si>
  <si>
    <t>The Sundarbans region is facing significant impacts on its ecosystem, business, agriculture, and environment due to inadequate disaster management. Storm surges, cyclones, and rising sea levels threaten the mangrove environment, causing permanent damage to farming and fishing communities, poverty, and revenue loss. The loss of mangroves affects ecological services like carbon sequestration, coastal protection, and biodiversity. To mitigate these risks, laws, growth promotion, catastrophe management plans, improved infrastructure, and public engagement in disaster response planning are necessary. Balancing environmental protection and economic expansion through climate-resilient farming techniques and sustainable agriculture is crucial. Tighter regulations, sustainable development strategies, stakeholder engagement, and advanced technology like AI can contribute to creating a resilient Sundarbans that protects the environment, improves community welfare, and ensures a sustainable future. © 2024 Pontificia Universidade Catolica do Parana. All rights reserved.</t>
  </si>
  <si>
    <t>2-s2.0-85204948626"</t>
  </si>
  <si>
    <t>10.1007/s11852-024-01042-5</t>
  </si>
  <si>
    <t>https://www.scopus.com/inward/record.uri?eid=2-s2.0-85185655321&amp;doi=10.1007%2fs11852-024-01042-5&amp;partnerID=40&amp;md5=bc2e7473f9e7fe28a999737a4ee5afff</t>
  </si>
  <si>
    <t>Political attention for and research on nature-based solutions in coastal flood an erosion risk management has increased significantly in recent years. Literature suggests that there remains a historical inertia towards nature-based solutions due to the continued predominance of classical grey infrastructures like dikes and stone revetments. In this regard, Schleswig–Holstein can act as a living laboratory as it has a long tradition of applying grey and green infrastructures as well as nature-based measures like salt marsh enhancement techniques to protect against coastal flooding and erosion. Based on an assessment of structural and non-structural coastal flood and erosion risk management measures in Schleswig–Holstein, this paper elaborates on the prospects of grey and green infrastructures in the context of stronger sea level rise. This article concludes that nature-bases solutions for coastal flood and erosion risk management are not a recent development. Nature-based management of green infrastructures can significantly improve their functionality, also with regard to the expected stronger SLR, and includes non-structural measures like codes and prohibitions. Green infrastructures and their nature-based management successfully complement and support grey infrastructures i.e., as green as possible, as grey as necessary. However, with the exception of dunes as natural flood defenses, green infrastructures cannot render grey infrastructures superfluous. © The Author(s), under exclusive licence to Springer Nature B.V. 2024.</t>
  </si>
  <si>
    <t>2-s2.0-85185655321"</t>
  </si>
  <si>
    <t>Geodesy and Cartography (Vilnius)</t>
  </si>
  <si>
    <t>10.3846/gac.2024.18555</t>
  </si>
  <si>
    <t>https://www.scopus.com/inward/record.uri?eid=2-s2.0-85192833835&amp;doi=10.3846%2fgac.2024.18555&amp;partnerID=40&amp;md5=09b3adef46b415330f9950d3dde6a18c</t>
  </si>
  <si>
    <t>Flood events are the most sophisticated and damaging natural hazard compared to other natural catastrophes. Every year, this hazard causes human-financial losses and damage to croplands in different locations worldwide. This research employs a combination of artificial neural networks and geographic information systems (GIS) to simulate flood-vulnerable locations in the Samangan Province of Afghanistan. First, flood-influencing factors, such as soil, slope layer, elevation, flow direction, and land use/cover, were evaluated as influential factors in simulating flood-prone areas. These factors were imported into GIS soft-ware. The Fishnet command was used to partition the information layers. Furthermore, each layer was con-verted into points, and this data was fed into the perceptron neural network along with the educational data obtained from Google Earth. In the perceptron neural network, the input layers have five neurons and 16 nodes, and the outputs showed that elevation had the lowest possible weight (R2 = 0.713) and flow direction had the highest weight (R2 = 0.913). This study demonstrated that combining GIS and artificial neural networks results in acceptable performance for simulating and modeling flood susceptible areas in different geographical locations and significantly helps prevent or reduce flood hazards. © 2024 The Author(s).</t>
  </si>
  <si>
    <t>2-s2.0-85192833835"</t>
  </si>
  <si>
    <t>10.3390/hydrology11040054</t>
  </si>
  <si>
    <t>https://www.scopus.com/inward/record.uri?eid=2-s2.0-85191567431&amp;doi=10.3390%2fhydrology11040054&amp;partnerID=40&amp;md5=3ddd6f4d2b26add611f6872fc7044275</t>
  </si>
  <si>
    <t>Accurate and precise measures of channel morphology are important when monitoring a stream post-restoration to determine changes in stability, water quality, and aquatic habitat availability. Practitioners often rely on traditional surveying methods such as a total station for measuring channel metrics (e.g., cross-sectional area, width, depth, and slope). However, these methods have limitations in terms of coarse sampling densities and time-intensive field efforts. Drone-based lidar or drone laser scanning (DLS) provides much higher resolution point clouds and has the potential to improve post-restoration monitoring efforts. For this study, a 1.3-km reach of Stroubles Creek (Blacksburg, VA, USA), which underwent a restoration in 2010, was surveyed twice with a total station (2010 and 2021) and twice with DLS (2017 and 2021). The initial restoration was divided into three treatment reaches: T1 (livestock exclusion), T2 (livestock exclusion and bank treatment), and T3 (livestock exclusion, bank treatment, and inset floodplain). Cross-sectional channel morphology metrics were extracted from the 2021 DLS scan and compared to metrics calculated from the 2021 total station survey. DLS produced 6.5 times the number of cross sections over the study reach and 8.8 times the number of points per cross section compared to the total station. There was good agreement between the metrics derived from both surveying methods, such as channel width (R2 = 0.672) and cross-sectional area (R2 = 0.597). As a proof of concept to demonstrate the advantage of DLS over traditional surveying, 0.1 m digital terrain models (DTMs) were generated from the DLS data. Based on the drone lidar data, from 2017 to 2021, treatment reach T3 showed the most stability, in terms of the least change and variability in cross-sectional metrics as well as the least erosion area and volume per length of reach. © 2024 by the authors.</t>
  </si>
  <si>
    <t>2-s2.0-85191567431"</t>
  </si>
  <si>
    <t>Zeitschrift fur Vergleichende Politikwissenschaft</t>
  </si>
  <si>
    <t>10.1007/s12286-024-00591-1</t>
  </si>
  <si>
    <t>https://www.scopus.com/inward/record.uri?eid=2-s2.0-85186900364&amp;doi=10.1007%2fs12286-024-00591-1&amp;partnerID=40&amp;md5=cd07e05bcfa1ad18b5a713097bc8b598</t>
  </si>
  <si>
    <t>Faced with the risk of submersion and erosion along their coastlines, both France and the Netherlands have long relied on the introduction of ‘hard’ protection measures to tackle sea level rise. However, this approach has gradually begun to be reconsidered due to the adverse side-effects and decreased effectiveness that such protection measures may have in light of the increasingly significant impact of climate change on shorelines. New policy instruments such as nature-based solutions (NBSs) need to be found, but a lack of funding, resistance from local actors, and high population densities often impede the implementation of these instruments. While path-dependent solutions tend to be favoured in the short-term, more radical solutions such as managed retreat could prove necessary in the long run. © The Author(s), under exclusive licence to Springer Fachmedien Wiesbaden GmbH, ein Teil von Springer Nature 2024.</t>
  </si>
  <si>
    <t>2-s2.0-85186900364"</t>
  </si>
  <si>
    <t>Near Surface Geophysics</t>
  </si>
  <si>
    <t>10.1002/nsg.12283</t>
  </si>
  <si>
    <t>https://www.scopus.com/inward/record.uri?eid=2-s2.0-85180916842&amp;doi=10.1002%2fnsg.12283&amp;partnerID=40&amp;md5=5c65c52583dcb4f04da5056653d073db</t>
  </si>
  <si>
    <t>The renaissance botanical garden of ‘El Bosque’ in Béjar (Salamanca, Spain) presents a pond bounded by a dam in its western part. The latter is formed by two masonry walls interconnected by buttresses. Cubic spaces in between are filled with a variable grain-size material (silty sand) that allows limited water flow. In recent years, the southern part of the dam has experienced localized and random subsidence that jeopardizes the entrance to part of the garden. To regain access, a proper and reliable diagnosis of the origin, magnitude and relevance of the subsidence must be made. In this regard, we have undertaken a microgravity survey in the dam area to identify places with an anomalous distribution of the filling material in order to foresee further sinking or potential collapsing areas. The precise positioning (2 mm resolution) and accurate terrain correction needed in this kind of high-resolution gravity surveys (points every 1.5 m) were achieved by creating a detailed digital terrain model (cm resolution) with a remotely piloted aircraft. In addition, we performed three electric resistivity tomography (ERT) profiles at different levels of the garden: (i) on the dam itself</t>
  </si>
  <si>
    <t>10.1002/rra.4220</t>
  </si>
  <si>
    <t>https://www.scopus.com/inward/record.uri?eid=2-s2.0-85174564145&amp;doi=10.1002%2frra.4220&amp;partnerID=40&amp;md5=72a29fc97abf1ee0ce8eb38a124cb5fa</t>
  </si>
  <si>
    <t>Downstream impacts of large hydropower dams are often neglected or underestimated, especially for areas situated at long distances from a dam. Naturalization of the flow hydrograph is an important step in assessing hydro-ecological and socio-economic impacts of regulation. Using reservoir inflows, a recently developed, lagged-flow naturalization method is applied to the lower portion of the regulated Peace River, which forms the northern boundary of the Peace-Athabasca Delta (PAD). The PAD is a Ramsar wetland of international importance that depends on overland flooding for recharge of its high-elevation or “perched” basins. Such flooding can be caused by ice jams during the spring breakup of the ice cover or by exceptionally high runoff during open-water flow conditions. Herein, the focus is on the latter type of event and the resulting recharge of basins located within the Peace sector of the PAD. For the period 1972–2017, regulation has reduced open-water flow peaks by ~4100 m3/s on average, while limiting the possibility of overbank flooding from the Peace River during the summer. Consistent with earlier findings on spring breakup flows, naturalized open-water peaks do not exhibit a temporal trend. Recharge of non-perched basins can also occur with moderately high flows that cause no overland flooding but generate flow reversals in Peace River tributaries. In turn, this mechanism can deliver river water to various basins either directly or via connecting channels. Our results show that flow-based variables that index the hydrological sustenance of non-perched basins have been significantly reduced by regulation. © 2023 His Majesty the King in Right of Canada. River Research and Applications published by John Wiley &amp; Sons Ltd. Reproduced with the permission of the Minister of Environment and Climate change Canada.</t>
  </si>
  <si>
    <t>2-s2.0-85174564145"</t>
  </si>
  <si>
    <t>10.1134/S1028334X23602766</t>
  </si>
  <si>
    <t>https://www.scopus.com/inward/record.uri?eid=2-s2.0-85182719200&amp;doi=10.1134%2fS1028334X23602766&amp;partnerID=40&amp;md5=2b48da26420cca75a9af265d9389ed80</t>
  </si>
  <si>
    <t>Abstract: Snow and glaciers are very sensitive to changing climate. Glaciers in the central Karakoram, western Himalaya and eastern Hindukush mountain ranges are not responding to global warming in the same manner as their counterparts around the world. Glaciers in this region are behaving differently. Some are retreating, while others are stable or surging. It is important to monitor these changes to protect downstream communities from the negative consequences. This study is conducted to monitor the state of the selected glaciers of Hunza River Basin, such as Batura, Passu, Ghulkin, Gulmit, Baulter, Barpu, Samaiyar Bar, Muchuhar, and Shishper glaciers were analysed using Digital Elevation Model and satellite images for 1972, 1979, 1990, 1998, 2008 and 2018. A semi-automatic approach was adopted to delineate the glacier boundary supplemented by manual editing. These glaciers show different fluctuations over the last fifty years. The Batura glacier showed surge in the 1970s and then retreated followed by quiescence. There is no prominent change in Ghulkin, Barpu, and Samaiyar Bar glaciers while almost 40 m per year retreat was observed in Passu and Gulmit glaciers but Muchuhar retreated at a faster rate. The surge of Shishper results in the formation of glacier-dammed lake which has so far triggered four Glacial Lake Outburst Floods (GLOFs). Overall, area of nine glaciers decreased from 596.54 ± 31.02 km2 in 1972 to 568.52 ± 8.51 km2 in 2018, which accounts for 4.8% decrease in area. This decrease will affect landscape development, regional hydrology and people living downstream. © Pleiades Publishing, Ltd. 2024. ISSN 1028-334X, Doklady Earth Sciences, 2024, Vol. 514, Part 2, pp. 360–373. Pleiades Publishing, Ltd., 2024. ISSN 1028-334X, Doklady Earth Sciences, 2024. Pleiades Publishing, Ltd., 2024.</t>
  </si>
  <si>
    <t>2-s2.0-85182719200"</t>
  </si>
  <si>
    <t>Journal of Decision Systems</t>
  </si>
  <si>
    <t>10.1080/12460125.2024.2349443</t>
  </si>
  <si>
    <t>https://www.scopus.com/inward/record.uri?eid=2-s2.0-86000377861&amp;doi=10.1080%2f12460125.2024.2349443&amp;partnerID=40&amp;md5=3c06fd265af2475fba87ddd8871fe9e5</t>
  </si>
  <si>
    <t>The frequency of climate-related disasters is increasing along with their impacts. Disaster management involves a myriad of decisions that affect the common good in complex situations in which people may be in life-or-death situations. Prior planning assisted by technology support has become the de facto standard in addressing the needs of different constituency groups. Although traditionally underserved communities are particularly vulnerable to disasters, they are often overlooked in planning scenarios. This research focuses on one such group, the medicated society with chronic health conditions. To illustrate the risks and potential interventions for this subpopulation, we provide a case study of a scenario for a significant hurricane and flooding affecting a municipality in the United States. This coastal region is like coastal areas worldwide, where damages from winds and flooding lead to initial and sustained impacts. We provide recommendations for including this growing subpopulation in decision support for disaster management. © 2024 Informa UK Limited, trading as Taylor &amp; Francis Group.</t>
  </si>
  <si>
    <t>2-s2.0-86000377861"</t>
  </si>
  <si>
    <t>Oceans</t>
  </si>
  <si>
    <t>10.3390/oceans5010006</t>
  </si>
  <si>
    <t>https://www.scopus.com/inward/record.uri?eid=2-s2.0-85189145851&amp;doi=10.3390%2foceans5010006&amp;partnerID=40&amp;md5=0e3e045d5cdc1e407f6713674ee859c8</t>
  </si>
  <si>
    <t>Blue carbon has been proposed as a nature-based solution for climate change mitigation</t>
  </si>
  <si>
    <t>10.5194/nhess-24-539-2024</t>
  </si>
  <si>
    <t>https://www.scopus.com/inward/record.uri?eid=2-s2.0-85186082916&amp;doi=10.5194%2fnhess-24-539-2024&amp;partnerID=40&amp;md5=1eb984e30b6ce7b6d0de92d4eb9eaafe</t>
  </si>
  <si>
    <t xml:space="preserve">Flooding is an endemic global challenge with annual damages totalling billions of dollars. Impacts are felt most acutely in low- and middle-income countries, where rapid demographic change is driving increased exposure. These areas also tend to lack high-precision hazard mapping data with which to better understand or manage risk. To address this information gap a number of global flood models have been developed in recent years. However, there is substantial uncertainty over the performance of these data products. Arguably the most important component of a global flood model is the digital elevation model (DEM), which must represent the terrain without surface artifacts such as forests and buildings. Here we develop and evaluate a next generation of global hydrodynamic flood model based on the recently released FABDEM DEM. We evaluate the model and compare it to a previous version using the MERIT DEM at three study sites in the Central Highlands of Vietnam using two independent validation data sets based on a household survey and remotely sensed observations of recent flooding. The global flood model based on FABDEM consistently outperformed a model based on MERIT, and the agreement between the model and remote sensing was greater than the agreement between the two validation data sets.  © Copyright: </t>
  </si>
  <si>
    <t>2-s2.0-85186082916"</t>
  </si>
  <si>
    <t>Environment Systems and Decisions</t>
  </si>
  <si>
    <t>10.1007/s10669-023-09910-5</t>
  </si>
  <si>
    <t>https://www.scopus.com/inward/record.uri?eid=2-s2.0-85160854834&amp;doi=10.1007%2fs10669-023-09910-5&amp;partnerID=40&amp;md5=65b216698c0bed584aa6b72393fec51a</t>
  </si>
  <si>
    <t>The coasts of the Mediterranean basin are exposed to the ongoing effects of climate change and anthropogenic pressure. Low elevated coastal plains, river deltas, lagoons and reclamation areas are experiencing beach retreat, coastal erosion and marine flooding. This makes them particularly vulnerable to sea level rise (SLR), which is expected to increase up to 1 m by 2100 AD, according to the projections of the Intergovernmental Panel on Climate Change. In this study, selected stakeholders from four Mediterranean coastal areas that are highly vulnerable to the impacts of SLR have been engaged through a structured participatory process for the development of solution-oriented, case-specific and site-specific Policy Tools to address SLR. The developed Policy Tools for the Venice Lagoon, the Metaponto reclamation area and the Basento river mouth, in Italy, the Ebro River Delta in Spain, and the coastal plain of Chalastra, near the Axios River Delta, in Greece, contain relevant, effective and implementable actions stemming from stakeholder interaction and consensus building. The interconnected stakeholder engagement steps employed in this study identified relevant issues that should be considered when defining SLR adaptation policies to bridge knowledge and perception gaps, facilitate knowledge exchange and foster social learning through structured science communication on SLR. This participatory stakeholder process can lay the foundations for more extensive participation in public processes through which the resulting Policy Tools can materialise into collectively accepted, concrete actions to help vulnerable areas adapt to the expected SLR and consequent coastal hazards by the end of this century. © The Author(s) 2023.</t>
  </si>
  <si>
    <t>2-s2.0-85160854834"</t>
  </si>
  <si>
    <t>10.1017/cft.2024.2</t>
  </si>
  <si>
    <t>https://www.scopus.com/inward/record.uri?eid=2-s2.0-85210506599&amp;doi=10.1017%2fcft.2024.2&amp;partnerID=40&amp;md5=f97e5dbefba7d3e313b40e5724ea6013</t>
  </si>
  <si>
    <t xml:space="preserve">Climate change has been recognised as a major concern in coastal hotspots exposed to multiple climate hazards under regionally specific characteristics of vulnerability. We review the emerging research and current trends in the academic literature on coastal climate risk and adaptation from a human security perspective. The ecological and socioeconomic developments are analysed for key risk areas, including coastal infrastructure; water, food and fisheries; health; human mobility; and conflict, taking the different geographical contexts of coastal areas in islands, megacities and deltas into consideration. Compounding and cascading interactions require integrative research and policy approaches to address the growing complexity. Governance mechanisms focus on coastal management and adaptation, nature-based solutions and community-based adaptation, considering their synergies and trade-offs. This perspective allows for a holistic view on climate risks to human security and vicious circles of societal instability in coastal systems and the interconnectedness of different risk dimensions and systems necessary for sustainable and transformative adaptation solutions for the most affected coastal hotspots.
</t>
  </si>
  <si>
    <t>10.3389/fclim.2024.1488560</t>
  </si>
  <si>
    <t>https://www.scopus.com/inward/record.uri?eid=2-s2.0-85214097323&amp;doi=10.3389%2ffclim.2024.1488560&amp;partnerID=40&amp;md5=b0c31e47d767c8502bbb520fad9760af</t>
  </si>
  <si>
    <t>Southeast Asia is one of the most at-risk regions when it comes to the impacts of climate change. Densely populated cities and the increasing dependency of the Southeast Asian population on coastal areas make the risk of sea-level rise more prominent for the region. The Association of Southeast Asian Nations (ASEAN) has not been able to match this growing threat with the lack of ideal collective action in terms of mitigating and adapting to climate change. The reliance on the ASEAN State of Climate Change Report and vast ASEAN sectoral bodies have shown stagnant progress. This policy brief recommends (1) imposing adaptation and mitigation measures for ASEAN member states to adopt and (2) elevation of the “climate change’ discourse within ASEAN’s bodies into the category of “existential threat” to abandon ASEAN’s current risk-based perception vis-à-vis climate change. The actionable recommendation for ASEAN would be dependent upon whether the proposed mechanism ensures an alignment with the ASEAN Way (non-interference and consensus in decision-making). Copyright © 2024 Putra.</t>
  </si>
  <si>
    <t>2-s2.0-85214097323"</t>
  </si>
  <si>
    <t>10.1175/JPO-D-23-0131.1</t>
  </si>
  <si>
    <t>https://www.scopus.com/inward/record.uri?eid=2-s2.0-85185688722&amp;doi=10.1175%2fJPO-D-23-0131.1&amp;partnerID=40&amp;md5=459aab7d7182d033bbe99aefb3e48a7b</t>
  </si>
  <si>
    <t>Observations from a tidal estuary show that tidal intrusion fronts occur regularly during flood tides near topographic features including constrictions and bends. A realistic model is used to study the generation of these fronts and their influence on stratification and mixing in the estuary. At the constriction, flow separation occurs on both sides of the jet flow downstream of the narrow opening, leading to sharp lateral salinity gradients and baroclinic secondary circulation. A tidal intrusion front, with a V-shaped convergence zone on the surface, is generated by the interaction between secondary circulation and the jet flow. Stratification is created at the front due to the straining of lateral salinity gradients by secondary circulation. Though stratification is expected to suppress turbulence, strong turbulent mixing is found near the surface front. The intense mixing is attributed to enhanced vertical shear due to both frontal baroclinicity and the twisting of lateral shear by secondary circulation. In the bend, flow separation occurs along the inner bank, resulting in lateral salinity gradients, secondary circulation, frontogenesis, and enhanced mixing near the front. In contrast to the V-shaped front at the constriction, an oblique linear surface convergence front occurs in the bend, which resembles a one-sided tidal intrusion front. Moreover, in addition to baroclinicity, channel curvature also affects secondary circulation, frontogenesis, and mixing in the bend. Overall in the estuary, the near-surface mixing associated with tidal intrusion fronts during flood tides is similar in magnitude to bottom boundary layer mixing that occurs primarily during ebbs. © 2024 American Meteorological Society.</t>
  </si>
  <si>
    <t>2-s2.0-85185688722"</t>
  </si>
  <si>
    <t>Journal of Operational Oceanography</t>
  </si>
  <si>
    <t>10.1080/1755876X.2024.2444753</t>
  </si>
  <si>
    <t>https://www.scopus.com/inward/record.uri?eid=2-s2.0-85213489357&amp;doi=10.1080%2f1755876X.2024.2444753&amp;partnerID=40&amp;md5=8c1499ab737fc92c3203624b57ae02f4</t>
  </si>
  <si>
    <t>Tropical cyclones (TCs) are major natural disasters that can cause significant damage and loss of life in coastal areas. Arabian Sea has experienced many such TCs, with varying degrees of severity. These TCs are associated with heavy rainfall, flash floods, and make significant damage to infrastructure, society, and the environment. A range of factors influence cyclones in the Arabian Sea including sea surface temperatures, ocean currents, eddy activity, the position of the monsoon jet axis, and the Indian Ocean Dipole (IOD). The frequency of these TCs has already increased due to rising sea surface temperatures and changes in wind patterns. Researchers have conducted extensive studies in the region to better understand tropical cyclones and their impacts, focusing on sea surface cooling, air–sea interactions, and the effects of climate change. By studying these TCs over several decades, trends and patterns can be identified, contributing to the development of more accurate forecasting models and early warning systems to better prepare for future events. This paper reviews the history, track patterns, biological and physical impacts, numerical modelling, and future trends of tropical cyclones in the Western Arabian Sea, with the aim of supporting policymakers in developing more effective strategies for mitigating the impacts of future TCs. © 2024 The Author(s). Published by Informa UK Limited, trading as Taylor &amp; Francis Group.</t>
  </si>
  <si>
    <t>2-s2.0-85213489357"</t>
  </si>
  <si>
    <t>10.1007/s11111-024-00447-6</t>
  </si>
  <si>
    <t>https://www.scopus.com/inward/record.uri?eid=2-s2.0-85185482988&amp;doi=10.1007%2fs11111-024-00447-6&amp;partnerID=40&amp;md5=97b463aaf6a33ca14c7bd5f41ecd7bde</t>
  </si>
  <si>
    <t>Extreme climate events are infrequently considered for older individuals’ health and wellbeing in low and middle income countries. The world’s first and fourth largest urban populations exposed to extreme coastal flooding are in India (Mumbai and Kolkata). These and the next largest of India’s coastal cities, Chennai and Surat, each experienced an extreme flood event in the years 2005-2007 that was either unprecedented in recorded meteorological history (Mumbai and Chennai) or whose magnitude exceeded any in the last 30 and 40 years (Kolkata and Surat). Panel data collected before these events (2004-2005), and collected again approximately seven years later (2011-2012), are used for individuals aged 50 and over. Acquisition of any disability condition between 2004-2005 and 2011-2012 in these four large coastal cities is compared to all India’s urban areas, and to India’s five inland cities (Delhi, Bangalore, Hyderabad, Ahmedabad, and Pune) whose population sizes were between those of the four exposed coastal cities of the study. Residing in a coastal city that experienced an extreme flood event was associated with a 66% higher odds of acquiring disability (OR 1.66</t>
  </si>
  <si>
    <t>10.1016/j.landurbplan.2023.104967</t>
  </si>
  <si>
    <t>https://www.scopus.com/inward/record.uri?eid=2-s2.0-85178102805&amp;doi=10.1016%2fj.landurbplan.2023.104967&amp;partnerID=40&amp;md5=09269bd82f47cffc8cc56685363c48f7</t>
  </si>
  <si>
    <t>Coastal city flooding is projected to worsen in low-lying cities with climate change. Planners are concerned about the inadequacy of their current flood mitigation strategies, and the expense and risk of investing in expensive grey infrastructures, such as levees, under climate uncertainty. Implementing green stormwater infrastructure (GSI) on large privately-owned industrial land may be an attractive alternative</t>
  </si>
  <si>
    <t>Indonesian Journal of Geography</t>
  </si>
  <si>
    <t>10.22146/ijg.94063</t>
  </si>
  <si>
    <t>https://www.scopus.com/inward/record.uri?eid=2-s2.0-85213449730&amp;doi=10.22146%2fijg.94063&amp;partnerID=40&amp;md5=6f7d576fbbfe13aea761e0f86c930872</t>
  </si>
  <si>
    <t>The Sayung coast is an area subject to the direct influence of coastal disasters, particularly tidal floods. Tis research aimed to investigate the impact of tidal floods on social and economic aspects in Sayung Subdistrict. In order to achieve the aim, data collection was conducted through a systematic process comprising structured interviews carried out using a questionnaire. The research also implemented a random sampling methodology, comprising a total of 23 informants and in-depth interviews were conducted with key informants to augment its comprehensiveness. Following this, the data processing and analysis followed a mixed-method approach where quantitative and qualitative data were analyzed using the Structural Equation Model (SEM) and grounded theory. The obtained results showed that tidal floods had a significant direct impact is able to influence physical health, employment, and property at 62.32%, 69.59% and and 65.43% respectively. Furthermore indirect impact property is able to influence property value by 62.78%, physical health, property damages and employment can influence mental health by 71.71% and physical health, employment can affect mobility by 66.89%. The finding accounts for a new insight that tidal floods have direct and indirect impacts on the community, as examined using the mixed-method approach. The study of tidal flood impacts on poor households in Sayung Coastal, Demak, offers different findings from previous ones. Some previous studies discuss the general effects of tidal floods while disregarding the framework of the direct and indirect impacts of the floods on poor households. . ©2024 Faculty of Geography UGM and The Indonesian Geographers Associaton ©2024 by the authors.</t>
  </si>
  <si>
    <t>2-s2.0-85213449730"</t>
  </si>
  <si>
    <t>10.1016/j.catena.2023.107657</t>
  </si>
  <si>
    <t>https://www.scopus.com/inward/record.uri?eid=2-s2.0-85176235139&amp;doi=10.1016%2fj.catena.2023.107657&amp;partnerID=40&amp;md5=b9e06ced75d5081eaa92ca2b23ca3af0</t>
  </si>
  <si>
    <t>Regional-scale landslide susceptibility assessments are challenging and have recently captured the attention of scientists and technicians. A slope unit is a typical map unit that enhances the readability of landslide susceptibility maps (LSMs) by reducing ridge effects. Slope units are commonly obtained via the subbasin division (SBD) method from a digital elevation model (DEM) containing sink features, such as depressions, pits and flats. The SBD method addresses the depression problem by filling features but subsequently faces unresolved problems with parallel slope-unit boundaries. The main objective of this study was to introduce the priority-flood flow direction (PFD) algorithm to exploit flow information for depressions and compare PFD-improved slope units to SBD-based slope units in corresponding LSMs. An LSM case study was generated using an artificial neural network in Yan'an city, China, where loess ridge and hill landforms are developed. Data for a total of 447 landslides were obtained from historical records and field surveys to construct a landslide inventory map, where 313 landslides (70%) and 134 landslides (30%) were used for training and validation, respectively. Then, 9 conditioning factors related to landslides were prepared as inputs to generate six LSMs by combining two map units and three catchment area thresholds. These factors included elevation, slope, river distance, road distance, rainfall, normalized difference vegetation index (NDVI), aspect, land use and lithology. Finally, the resulting LSMs were validated and compared between the PFD and SBD methods using the precision, recall, accuracy, F1 score, success rate and prediction rate based on receiver operating characteristic (ROC) and cumulative landslide occurrence (CLO) curves. The results showed that the improved slope units produced no parallel boundaries, and the environment-factor layers generated based on these slope units prevented the generation of parallel factor-subclass boundaries, thus reducing striped distributions of factors and optimizing patterns in the LSMs. The PFD-improved LSM yielded ROC-based success rates ranging from 0.8849 to 0.8901, which were better than those obtained for the SBD-based LSM, at 0.8779–0.8823. The prediction rate revealed that the PFD-improved slope units were more suitable for large regions, as they provide more stable performance than the SBD-based slope units at large scales. The PFD algorithm resolved the problem of parallel boundaries and optimized LSM patterns, resulting in enhanced performance over the SBD method in large-scale research. The study results could be useful for local government management and land use planning in large regions. © 2023 Elsevier B.V.</t>
  </si>
  <si>
    <t>2-s2.0-85176235139"</t>
  </si>
  <si>
    <t>10.2166/wpt.2024.012</t>
  </si>
  <si>
    <t>https://www.scopus.com/inward/record.uri?eid=2-s2.0-85186771568&amp;doi=10.2166%2fwpt.2024.012&amp;partnerID=40&amp;md5=aa7894e34e3558ee8ed06e72080447ef</t>
  </si>
  <si>
    <t>Effective disaster management heavily relies on accurate flood susceptibility mapping. The fuzzy analytic hierarchy process (FAHP) is adept at considering the imprecise nature of decision-making criteria. This study assesses FAHP’s effectiveness in flood susceptibility mapping, comparing it with the conventional analytic hierarchy process (AHP). By using Geographic Information System-analyzed remotely sensed data, the research systematically evaluates flood risk southeast of Algiers. Various datasets, including Digital Elevation Model, slope, precipitation, and land use maps, were collected via remote sensing. A linear fuzzy membership function transformed the data into fuzzy values. AHP determined the importance of each dataset, with calculated weights multiplied by corresponding fuzzy values. Fuzzy analysis combined these characteristics into a five-cat-egory flood risk map, verified with Google Earth and satellite images. Results indicate a high potential for flood hazard mapping, categorizing 30% of frequently flooded regions as high risk. Maps reveal north basin areas are more flood prone due to excessive precipitation, and urban areas in floodplains are vulnerable. Receiver operating characteristic (ROC) curves and area under the ROC curve (AUC) assessments demonstrate AHP and FAHP’s effectiveness. AUC values of 88.40 and 92% indicate that both models accurately predict flood-prone areas. FAHP excels, reducing subjectivity and ambiguity in human judgments. © 2024 The Authors.</t>
  </si>
  <si>
    <t>2-s2.0-85186771568"</t>
  </si>
  <si>
    <t>Geophysical Prospecting</t>
  </si>
  <si>
    <t>10.1111/1365-2478.13446</t>
  </si>
  <si>
    <t>https://www.scopus.com/inward/record.uri?eid=2-s2.0-85179943020&amp;doi=10.1111%2f1365-2478.13446&amp;partnerID=40&amp;md5=846fe2b72edbb34aa2c8ace0026e5d28</t>
  </si>
  <si>
    <t>The formations above a producing reservoir can exhibit large mechanical changes, creating a risk of significant subsidence and loss of rock integrity. These changes can be monitored by time-lapse seismic acquisition, which measures the corresponding velocity changes via time-shifts. Third-order elastic theory can be used to connect subsurface strains and stress changes to these seismic attribute changes. Existing models assume isotropic strain dependence of the dynamic stiffness in shales. It is important to re-evaluate this isotropic assumption considering the inherent anisotropy of shales and their abundance in the overburden. Thus, we instead propose a third-order elastic model with a transversely isotropic strain dependence of the dynamic stiffness. When calibrated, this new model satisfactorily predicted P-wave velocity changes determined in undrained laboratory experiments conducted on overburden field shales, covering a wide range of propagation directions and stress variations. The shales exhibit anisotropic dynamic strain sensitivity, resulting in a significantly higher strain sensitivity predicted for Thomsen's anisotropy parameters epsilon and delta subjected to a uniaxial strain parallel to the horizontal bedding plane compared to the vertical direction. Geomechanical modelling, considering a depleting disk-shaped reservoir surrounded by shales, was employed to predict the dynamic stiffness changes of the overburden using the laboratory-calibrated third-order elastic model. The overburden time-shifts increased with offset angle, peaking at about 45°, suggesting a strong influence of shear strains on the time-shifts. In contrast, a corresponding model with an isotropic third-order elastic tensor, calibrated to the same data, exhibited a significantly lower sensitivity to the shear strains. These results underscore the importance of considering the anisotropic strain dependence of the dynamic stiffness when studying shales. Interpreting offset-dependent trends in pre-stack time-lapse seismic data, along with geomechanical modelling and an appropriate strain-dependent rock physics model, can assist in quantifying subsurface strains and stress changes. © 2024 The Authors. Geophysical Prospecting published by John Wiley &amp; Sons Ltd on behalf of European Association of Geoscientists &amp; Engineers.</t>
  </si>
  <si>
    <t>2-s2.0-85179943020"</t>
  </si>
  <si>
    <t>10.1016/j.scitotenv.2023.168783</t>
  </si>
  <si>
    <t>https://www.scopus.com/inward/record.uri?eid=2-s2.0-85179891830&amp;doi=10.1016%2fj.scitotenv.2023.168783&amp;partnerID=40&amp;md5=f3e6b2a296caa227b3bf207834c1eea4</t>
  </si>
  <si>
    <t>This study compares the performance of different wave overtopping estimation models at urban beaches. The models selected for comparison are the Mase et al. (2013) and EurOtop parametric models and the XBeach process-based model in surfbeat and non-hydrostatic mode. Seven energetic storms are selected between 2015 and 2022 with offshore significant wave height ranging between 3 m and 8 m and peak period between 12 s and 20 s to perform the model comparison. The information required to run and validate the models (beach slope, shoreface shape, absence/presence of overtopping) was collected for each storm from coastal videometry. To account for the uncertainties derived from the incident waves randomness and the bathymetry shape when using the process-based model, a series of simulations with random seed boundary conditions were run over two different realistic profile shapes for each storm. The present study is a pilot study on the beach of Zarautz</t>
  </si>
  <si>
    <t>10.1016/j.ijdrr.2024.104243</t>
  </si>
  <si>
    <t>https://www.scopus.com/inward/record.uri?eid=2-s2.0-85182416945&amp;doi=10.1016%2fj.ijdrr.2024.104243&amp;partnerID=40&amp;md5=542fde8ce07d41b59ac7b8a7fe5473d4</t>
  </si>
  <si>
    <t>Urban flooding has emerged as a significant urban issue in cities worldwide, with China being particularly affected. To effectively manage and mitigate urban floods, a holistic examination of the interaction between urban subsystems is required to improve urban flood resilience. However, the interactions and mechanisms between urban subsystems under flood disaster haven't been addressed adequately in previous studies. Therefore, this paper established a conceptual framework for illustrating the interactions between urban natural-ecological and social-economic subsystem considering urban pressure, state, and response within flood cycle. The objective is to investigate the coupling coordination degree (CCD) between these subsystems and identify the driving factors with a geographical detector model, and the cities in Yangtze River Delta are selected as an empirical example. The findings reveal an overall upward trend towards coordination for the whole area with notable variability among the cities. The resilience of the state dimension emerges as a crucial aspect in determining the CCD of the urban flood resilience of the area. Key driving factors for the coordinated development of urban flood resilience are identified as air pollution, global warming, technological innovation, governance power, financial strength, and urbanization. Based on the findings and the interactions among the driving factors, this paper presents potential implications that can serve as effective guidance and offer insights for policymakers, planners, and researchers in their efforts to enhance urban flood resilience for sustainable development in the future. © 2024 The Authors</t>
  </si>
  <si>
    <t>2-s2.0-85182416945"</t>
  </si>
  <si>
    <t>Journal of Environmental Studies and Sciences</t>
  </si>
  <si>
    <t>10.1007/s13412-023-00864-3</t>
  </si>
  <si>
    <t>https://www.scopus.com/inward/record.uri?eid=2-s2.0-85173032955&amp;doi=10.1007%2fs13412-023-00864-3&amp;partnerID=40&amp;md5=67766dfdfc2781e437a92d3d1f876f43</t>
  </si>
  <si>
    <t>Understanding people’s resilience to flood disaster is necessary, considering their different levels of vulnerability in terms of material and human losses. This study therefore assesses households’ resilience to flood disaster in Lagos State in order to determine their ability to absorb, adapt to and transform from flood disaster impact. Theoretically, a conceptual framework to unify the dimensions and components of disaster resilience was developed from the General Systems Theory, Parent-Child Relationship Design Pattern, and Resilience Capacity Theory. A descriptive cross-sectional survey based on quantitative research design was employed for this study. Using a multistage sampling technique, six local government areas in the state were selected based on the different flood types founded on historical evidence and were delineated into pluvial, fluvial and coastal zones. Data were thereafter collected through questionnaire administration on 512 sampled household heads from 4093 population on flood-risk streets. Descriptive statistics comprising frequency distribution, cross-tabulation and arithmetic mean were used in analysing the data. The results showed that within each of the zones, the mean indices for the dimensions range from 2.10 to 3.97, indicating their low, moderate and high levels under the different components. In all the zones, the mean indices for the components are within 2.5 and 3.4, indicating a moderate level. This suggests that households’ resilience to flood disaster differed based on the dimensions within each component for each flood zone but their resilience is similar across the zones based on the different components using the proposed unification framework. © 2023, AESS.</t>
  </si>
  <si>
    <t>2-s2.0-85173032955"</t>
  </si>
  <si>
    <t>10.1029/2022WR034377</t>
  </si>
  <si>
    <t>https://www.scopus.com/inward/record.uri?eid=2-s2.0-85186397881&amp;doi=10.1029%2f2022WR034377&amp;partnerID=40&amp;md5=d3e08bc611a54747c83ac52ae86e68a3</t>
  </si>
  <si>
    <t>The Peace-Athabasca Delta in Alberta, Canada has numerous perched basins that are primarily recharged after large ice jams cause floods (an ecological benefit). Previous studies have estimated that such large floods are likely to decrease in frequency under various climate projections. However, there is a sizable uncertainty range in these predicted flood probabilities, in part due to the short 60-year systematic record that contained few large ice jam floods. An additional 50 years of historical data are available from various sources, with expert-interpreted flood categories</t>
  </si>
  <si>
    <t>10.5194/nhess-24-429-2024</t>
  </si>
  <si>
    <t>https://www.scopus.com/inward/record.uri?eid=2-s2.0-85186076370&amp;doi=10.5194%2fnhess-24-429-2024&amp;partnerID=40&amp;md5=3247735cc7358900e84b4b6972bf760b</t>
  </si>
  <si>
    <t xml:space="preserve">The 2011 Tohoku-oki tsunami inundated the Joban coastal area in the Odaka region of the city of Minamisoma, up to 2818m from the shoreline. In this study, the flow characteristics of the tsunami were reconstructed from deposits using the DNN (deep neural network) inverse model, suggesting that the tsunami inundation occurred in the Froude supercritical condition. The DNN inverse model effectively estimated the tsunami flow parameters in the Odaka region, including the maximum inundation distance, flow velocity, maximum flow depth, and sediment concentration. Despite having a few topographical anthropogenic undulations that caused the inundation height to fluctuate greatly, the reconstructed maximum flow depth and flow velocity were reasonable and close to the values reported in the field observations. The reconstructed data around the Odaka region were characterized by an extremely high velocity (12.1ms-1). This study suggests that the large fluctuation in flow depths on the Joban Coast compared with the stable flow depths in the Sendai Plain can be explained by the inundation in the supercritical flow condition.  © Copyright: </t>
  </si>
  <si>
    <t>2-s2.0-85186076370"</t>
  </si>
  <si>
    <t>10.1016/j.catena.2023.107634</t>
  </si>
  <si>
    <t>https://www.scopus.com/inward/record.uri?eid=2-s2.0-85176371130&amp;doi=10.1016%2fj.catena.2023.107634&amp;partnerID=40&amp;md5=ccf1c9956f885dd6fa1b736cecbec371</t>
  </si>
  <si>
    <t>Dams have a profound effect on floodplain inundation and channel geometry. Still, few studies have analyzed detailed channel geometry changes, especially as they affect downstream floodplain inundation on large rivers. This research compared the Apalachicola River depths and floodplain inundation downstream of the Jim Woodruff Dam between early and late post-dam periods. We used hydrographic data for 1960 and 2010 collected by the U.S. Army Corps of Engineers. A ≤1.2 point/m2 LiDAR point cloud covering the entire floodplain was fused with the hydrographic data. After a forward and inverse transformation between coordinate systems, the combined data was converted into a riverbed digital elevation model (DEM). River geometric properties were calculated (Area, channel width, mean depth, thalweg elevation, and width-to-mean-depth ratio) for 1960 and 2010. Daily discharge and stage data (1928–2020) were collected for Chattahoochee and Blountstown gauge stations. Eleven flows, between the 10th and 99th percentile extracted from the daily flow duration curve for early and late post-dam periods, were used in a 2D hydrodynamic model, Hydrologic Engineering Center's River Analysis System (HEC-RAS) to simulate floodplain inundation. The result reveals that the riverbed degraded by about 1.5 m near the dam. Geometric changes between early and late post-dam periods include upper reaches deepening and narrowing (mean depth changed from ∼6.0 to ∼7.3 m with a consistent width), while the lower reach exhibited shallowing and widening (mean depth went from ∼6.0 m to ∼5.0 m). The channel area generally increased between the periods. Inundation depth was reduced by ∼1.0 m, for most flow categories, and decreased by 15 % from 1960 to 2010 for similar flows between the periods, particularly for the upper and middle reaches. Floodplain inundation extent deacreased by about 24.1 % for flow of ∼513 m3/s. The inundation decreases was partly due to alteration in geometric properties. This study highlights the need for comprehensive river morphology assessments to address human-induced degradation, changing inundation patterns, and their global implications in similar riverine ecosystems. © 2023 Elsevier B.V.</t>
  </si>
  <si>
    <t>2-s2.0-85176371130"</t>
  </si>
  <si>
    <t>10.1016/j.accre.2024.01.010</t>
  </si>
  <si>
    <t>https://www.scopus.com/inward/record.uri?eid=2-s2.0-85184767941&amp;doi=10.1016%2fj.accre.2024.01.010&amp;partnerID=40&amp;md5=c95b50444f6f19ee0abc7653afbe4795</t>
  </si>
  <si>
    <t>The coastal wetlands of the Yellow River Delta (YRD) in China are crucial for their valuable resources, environmental significance, and economic contributions. However, these wetlands are also vulnerable to the dual threats of climate change and human disturbances. Despite substantial attention to the historical shifts in YRD's coastal wetlands, uncertainties remain regarding their future trajectory in the face of compound risks from climate change and anthropogenic activities. Based on a range of remote sensing data sources, this study undertakes a comprehensive investigation into the evolution of YRD's coastal wetlands between 2000 and 2020. Subsequently, the potential fate of coastal wetlands is thoroughly analyzed through the Land Use/Cover Change (LUCC) simulation using System Dynamic-Future Land Use Simulation (SD-FLUS) model and the extreme water levels projection integrated future sea-level rise, storm surge, and astronomical high tide in 2030, 2050, and 2100 under scenarios of SSP1-2.6, SSP2-4.5, and SSP5-8.5. Results revealed that YRD's coastal wetlands underwent a marked reduction, shrinking by 1688.72 km2 from 2000 to 2020. This decline was mostly attributed to the substantial expansion in the areas of artificial wetlands (increasing by 823.78 km2), construction land (increasing by 767.71 km2), and shallow water (increasing by 274.58 km2). Looking ahead to 2030–2100, the fate of coastal wetlands appears to diverge based on different scenarios. Under the SSP1-2.6 scenario, the area of coastal wetland is projected to experience considerable growth. In contrast, the SSP5-8.5 scenario anticipates a notable decrease in coastal wetlands. Relative to the inundated area suffered from the current extreme water levels, the study projects a decrease of 6.8%–10.6% in submerged coastal wetlands by 2030 and 9.4%–18.2% by 2050 across all scenarios. In 2100, these percentages are projected to decrease by 0.4 % (SSP2-4.5) and 27.1% (SSP5-8.5), but increase by 35.7% (SSP1-2.6). Results suggest that coastal wetlands in the YRD will face a serious compound risk from climate change and intensified human activities in the future, with climate change being the dominant factor. More efficient and forward-looking measures must be implemented to prioritize the conservation and management of coastal wetland ecosystems to address the challenges, especially those posed by climate change. © 2024 The Authors</t>
  </si>
  <si>
    <t>2-s2.0-85184767941"</t>
  </si>
  <si>
    <t>10.1007/s40098-023-00765-w</t>
  </si>
  <si>
    <t>https://www.scopus.com/inward/record.uri?eid=2-s2.0-85167788984&amp;doi=10.1007%2fs40098-023-00765-w&amp;partnerID=40&amp;md5=5ba5265fe4e7a3fad4ae5d9749cac866</t>
  </si>
  <si>
    <t>Transportation networks on the eastern coast of Australia are often built on or traverse coastal flood plains and marine clays with unfavourable soil conditions. In the past two decades, a significant number of laboratory investigations were carried out in soft soil improvement using Prefabricated Vertical Drains (PVDs) combined with vacuum-assisted surcharge preloading. In addition, significant research efforts were made to reduce the maintenance costs of railway tracks and increase their longevity by using synthetic inclusions such as geocomposites, geogrids and shock mats. These research outcomes were implemented and validated in practice through several field investigations along the eastern coast of Australia. This paper demonstrates the significance of instrumentation and data interpretation in geotechnical field investigations through 6 case histories. Field trials including Port of Brisbane Land Reclamation, Ballina Bypass Upgrade and Sandgate Rail Separation Projects were presented highlighting innovative ways of monitoring the performance of PVDs with vacuum and non-vacuum surcharge preloading. Also, railway track design improvements using geosynthetic and shock mats were discussed through Bulli and Singleton trial track case studies. Further, the heavy haul track testing facility at Russell Vale, New South Wales, was discussed as an alternative for expensive and time-consuming field trials. © The Author(s) 2023.</t>
  </si>
  <si>
    <t>2-s2.0-85167788984"</t>
  </si>
  <si>
    <t>10.1007/s13201-024-02111-8</t>
  </si>
  <si>
    <t>https://www.scopus.com/inward/record.uri?eid=2-s2.0-85186139352&amp;doi=10.1007%2fs13201-024-02111-8&amp;partnerID=40&amp;md5=4098c63061d21ee0c8d9c0992c21ebc4</t>
  </si>
  <si>
    <t>The potential effects of Grand Ethiopian Renaissance Dam (GERD) failure on the downstream countries were numerically assessed. Flow discharge reaching Lake Nasser and the corresponding water levels were determined, and the inundated areas were defined as a result of GERD failure. High-resolution digital elevation model was developed with 2670-km length starting from GERD till Aswan High Dam. GERD’s reservoir, urban, and rural lands downstream of the GERD were presented using a numerical model. The modeled areas included parts of Ethiopia, Sudan, and Egypt, not to mention Toshka Spillway. The model areas were not divided into parts because of calculating the water levels at the existence of intermediate dams as model outputs. In case possible failure of GERD, Roseires and Sennar dams could collapse. Meanwhile, Merowe dam can sustain with the operation of its emergency spillway. Wave height reaches 100-m downstream of the GERD and 64-m and 31-m downstream of the Roseires and Merowe dams, respectively. © The Author(s) 2024.</t>
  </si>
  <si>
    <t>2-s2.0-85186139352"</t>
  </si>
  <si>
    <t>10.1007/s13201-023-02032-y</t>
  </si>
  <si>
    <t>https://www.scopus.com/inward/record.uri?eid=2-s2.0-85185335747&amp;doi=10.1007%2fs13201-023-02032-y&amp;partnerID=40&amp;md5=01ca8af2f48c516223f4139d455719fc</t>
  </si>
  <si>
    <t>Fresh groundwater in arid and highly populated regions is limited. In coastal aquifers, the deterioration of fresh groundwater is accelerated by saltwater intrusion, primarily occurring through lateral encroachment and vertical movements in the proximity of discharging wells. Coastal regions have high salinity due to saline intrusion, where many abstraction wells are turned off by this high salinity, which leads to increased freshwater supply costs. This study investigates the performance of new approach using the shoreline subsurface dams (SSDs) for mitigating the saline water wedge in coastal aquifers, where the dams are installed at the shoreline (distance from shoreline = 0). Specifically, the current study's novelty is testing the effectiveness of SSDs by different relative heights ranging from 0.05 to 0.50 in the test case (Henry problem) and from 0.09 to 0.53 relative to the aquifer thickness in the field scale aquifer (Biscayne aquifer, Florida, USA). The results showed an exponential increase in salt repulsion for increasing SSDs height, reaching a maximum of + 0.70%, + 1.80%, + 3.25%, + 5.80%, + 10.45%, and + 18.40% for the dam height to aquifer thickness ratios of 0.09, 0.18, 0.26, 0.35, 0.44 and 0.53, respectively, in the field scale case. The SSDs increase the freshwater storage at the coastal zones where the low salinity occurs and reduces the freshwater supply cost. Despite the positive impact of height on repulsion, important factors such as economics, construction aspects, geographical suitability, and environmental impacts must be considered for real applications. This is crucial to develop feasible solutions applicable globally under the growing pressure of sea level rise. © The Author(s) 2024.</t>
  </si>
  <si>
    <t>2-s2.0-85185335747"</t>
  </si>
  <si>
    <t>10.1007/s11069-023-06298-y</t>
  </si>
  <si>
    <t>https://www.scopus.com/inward/record.uri?eid=2-s2.0-85178392994&amp;doi=10.1007%2fs11069-023-06298-y&amp;partnerID=40&amp;md5=be6c1083e944db68107ae30c4af5d347</t>
  </si>
  <si>
    <t>This paper re-examines the influence of urban development on the number of flood events in Java from 1970 to 2020. This paper aims to prove development policies in Indonesia in the last 50 years and to analyze the correlation between flood events, population growth, and urbanization on a broader regional scale. The Moran-I spatial autocorrelation analysis method is applied to measure its spatial autocorrelation between urbanization and flood events. The dynamic urbanization illustrated by spatial–temporal analysis from the 1970 to the 2020s using Landsat data; in this case, urbanization is measured using the parameters of population concentration and built-up area growth in urban areas of Java. In more detail, the results of hot-spot clusters show development from “lower-low” dispersion in the 70 s to areas with a majority of “higher-high” clustered in 2000–2020. It proves that the development burden in Java is in high category impact, so solutions for population distribution, land development, and spatial planning are needed to ensure environmental sustainability in Java.</t>
  </si>
  <si>
    <t>International Journal of Environmental Science and Development</t>
  </si>
  <si>
    <t>10.18178/ijesd.2024.15.6.1500</t>
  </si>
  <si>
    <t>https://www.scopus.com/inward/record.uri?eid=2-s2.0-86000586339&amp;doi=10.18178%2fijesd.2024.15.6.1500&amp;partnerID=40&amp;md5=d9e0c9e5f961c25872b5b52f5daa8bac</t>
  </si>
  <si>
    <t>The morphometric characterization of river watersheds is of great importance and is used to predict extreme hydro-meteorological phenomena (floods). The aim of this work was to morphometrically characterize the Lucite River sub-watershed using geotechnologies. Based on the Digital Elevation Model, using SRTM (Shuttle Radar Topography Mission) data, the following watershed morphometrics were determined: Drainage area, Watershed perimeter, Coefficient of compactness, Form factor, Circularity index, Declivity, Altitude, Maintenance coefficient, Drainage density, Hydrographic density, Torrential coefficient and Watershed order. All procedures were processed in ArcGIS 10.5 software. The results suggest that the Lucite River sub-watershed is not very susceptible to flooding under normal rainfall conditions, due to the low values of Drainage Density 0.021, Hydrological Density 0.028, Compactness Coefficient 1.92 and Form factor 0.43, presenting an elongated and irregular shape. Although these values do not indicate the need for flood prevention strategies, however in situations of abnormal rainfall, the sub-watershed could be susceptible to flooding, as some values are close to the threshold. Copyright © 2024 by the authors.</t>
  </si>
  <si>
    <t>2-s2.0-86000586339"</t>
  </si>
  <si>
    <t>10.1016/j.jhydrol.2023.130563</t>
  </si>
  <si>
    <t>https://www.scopus.com/inward/record.uri?eid=2-s2.0-85182224965&amp;doi=10.1016%2fj.jhydrol.2023.130563&amp;partnerID=40&amp;md5=d769dc49f745a043a1ad7e9b048e48e5</t>
  </si>
  <si>
    <t>Global dam construction and reservoir artificial regulations change the biogeochemical processes of nutrients along river networks. Herein, nutrients and hydrologic parameters were analyzed to ascertain their spatiotemporal heterogeneity in the Yellow River and assess the retention effect of nutrients in the Xiaolangdi Reservoir (XLDR). Nutrients increased upstream of reservoirs (the Sanmenxia Reservoir and XLDR) due to the inflow of tributaries (Wei River and Fen River). The XLDR maintained a balanced effect on most nutrient levels from upstream of reservoirs to downstream by the disparities in biogeochemical processes during various periods, including biotic assimilation consumption in the upper layer and regeneration and release in the lower layer during the Drainage period</t>
  </si>
  <si>
    <t>10.5194/gmd-17-1603-2024</t>
  </si>
  <si>
    <t>https://www.scopus.com/inward/record.uri?eid=2-s2.0-85186750557&amp;doi=10.5194%2fgmd-17-1603-2024&amp;partnerID=40&amp;md5=e125f5c34e75d93401a018546d250c28</t>
  </si>
  <si>
    <t>Two-dimensional (2D), depth-averaged shallow water equation (SWE) models are routinely used to simulate flooding in coastal areas - areas that often include vast networks of channels and flood-control topographic features and/or structures, such as barrier islands and levees. Adequately resolving these features within the confines of a 2D model can be computationally expensive, which has led to coupling 2D simulation tools to less expensive one-dimensional (1D) models. Under certain 1D-2D coupling approaches, this introduces internal constraints that must be considered in the generation of the 2D computational mesh used. In this paper, we further develop an existing automatic unstructured mesh generation tool for SWE models, ADMESH+, to sequentially (i) identify 1D constraints from the raw input data used in the mesh generation process, namely the digital elevation model (DEM) and land-water delineation data</t>
  </si>
  <si>
    <t>10.1007/s11069-023-06304-3</t>
  </si>
  <si>
    <t>https://www.scopus.com/inward/record.uri?eid=2-s2.0-85177795237&amp;doi=10.1007%2fs11069-023-06304-3&amp;partnerID=40&amp;md5=ef54da32a415490c7a90ef11d4ef1611</t>
  </si>
  <si>
    <t>The low-lying islands of the Indian Sundarbans Delta (ISD) contain a unique ecosystem with rich biodiversity, which are at the forefront of the impacts of climate change and natural disasters, such as cyclones. Therefore, in this study, we have analyzed the impact of Cyclone Yaas at the local level in the ISD. We utilized various indices derived from MODIS satellite images to analyze the local-level impacts. The results of our study revealed widespread impacts from high storm surges of 9–16 feet. In general, the daytime land surface temperatures (LSTs) were higher before compared to during the storm, due to lower insolation associated with cloudy skies. However, higher values were observed during the storm for nighttime LSTs and the vegetation indices. More specifically, at the local level, the differences were more pronounced in the vegetated and low-lying coastal areas of the islands. The results of the image analyses were also corroborated with field observations in some of the islands, which showed saltwater encroachment in agricultural lands, collapsed embankments built for protection against storm surge, and food insecurity. The results of our study highlighted the vulnerability of these islands to extreme weather events, and long-lasting impacts on the local communities. © The Author(s), under exclusive licence to Springer Nature B.V. 2023.</t>
  </si>
  <si>
    <t>2-s2.0-85177795237"</t>
  </si>
  <si>
    <t>Anais da Academia Brasileira de Ciencias</t>
  </si>
  <si>
    <t>10.1590/0001-3765202420240592</t>
  </si>
  <si>
    <t>https://www.scopus.com/inward/record.uri?eid=2-s2.0-85213169476&amp;doi=10.1590%2f0001-3765202420240592&amp;partnerID=40&amp;md5=130b0e9309ade6e42b3fc7c7e95c6050</t>
  </si>
  <si>
    <t>Regional sea level rise varies from the global average and is influenced by climate variability. We studied sea level anomalies in southern Brazil from 1993 to 2022, finding increasing trend from 1993 to 2022. We used oceanic and atmospheric dynamics to understand the rapid sea level rise. Positive trends in the Southern Annular Mode and the South Atlantic Ocean subtropical gyre intensified wind stress curl and Ekman transport. If global warming continues and the Southern Annular Mode remains in a positive trend, sea level rise in southern Brazil is likely to persist and increase risks for the population in this low-lying coastal area. © 2024, Academia Brasileira de Ciencias. All rights reserved.</t>
  </si>
  <si>
    <t>2-s2.0-85213169476"</t>
  </si>
  <si>
    <t>Acta Universitatis Carolinae, Geographica</t>
  </si>
  <si>
    <t>10.14712/23361980.2024.21</t>
  </si>
  <si>
    <t>https://www.scopus.com/inward/record.uri?eid=2-s2.0-85213045211&amp;doi=10.14712%2f23361980.2024.21&amp;partnerID=40&amp;md5=aa2f38029a095512355b004b1f10ba49</t>
  </si>
  <si>
    <t>The Belvedere glacier is an intensively studied glacier in the Italian Alps on the east face of the Monte Rosa, which is currently undergoing a fast deglaciation connected to various slope failures and Glacial Lake Outburst Floods. Measurements of the terminus position have been carried out since the 1920s. Since 2000, more attention has been paid to this area due to the occurrence of large mass movements and a surge-type event. In this review, research articles and various reports dealing mainly with glacier dynamics, rock and ice avalanches, Glacial Lake Outburst Floods, and other hazardous processes were considered. Aerial photogrammetry, Unmanned Aerial Vehicles, satellite stereo-processing and several terrestrial approaches (laser scanning, geophysics, measurements of near-surface heat flow, ablation stakes and camera-lapse) provided a base for quantifying the ongoing processes. Despite efforts based on the comparison of Digital Elevation Models, this review shows that the evolution of the Belvedere glacier in terms of ice volume is still partially unknown due to the low temporal frequency of aerial surveys, technical limitations of the Unmanned Aerial Vehicles used, and the fact that most studies focus only on the lower part of the glacier. The hazardous supraglacial Effimero lake that appeared during the surge-type event has been well documented, and interventions to mitigate potential risks were put in place, but the trigger of the event and the evolution of the lake basin have not yet been clarified. Mass wasting and outburst floods are mainly documented in the grey literature. The degradation of permafrost was suggested to be the driver of rock and ice avalanches, including one of the largest ice avalanches in the Alps, which occurred in 2005. In summary, the Belvedere Glacier and the surrounding rock walls have experienced repeated slope failures, an incident of surge and several outburst floods. Despite regular monitoring, a clear picture of its behavior due to the changing climate is still unknown. This review is intended to pave the way for further integrative studies. © 2024 The Authors.</t>
  </si>
  <si>
    <t>2-s2.0-85213045211"</t>
  </si>
  <si>
    <t>10.5194/hess-28-575-2024</t>
  </si>
  <si>
    <t>https://www.scopus.com/inward/record.uri?eid=2-s2.0-85185826725&amp;doi=10.5194%2fhess-28-575-2024&amp;partnerID=40&amp;md5=119b2e4f7d5b6aa17f5bdfea34167e4d</t>
  </si>
  <si>
    <t xml:space="preserve">High-resolution flood maps are needed for more effective flood risk assessment and management. Producing these directly with hydrodynamic models is slow and computationally prohibitive at large scales. Here we demonstrate a new algorithm for post-processing low-resolution inundation layers by using high-resolution terrain models to disaggregate or downscale. The new algorithm is roughly 8 times faster than state-of-The-Art algorithms and shows a slight improvement in accuracy when evaluated against observations of a recent flood using standard performance metrics. Qualitatively, the algorithm generates more physically coherent flood maps in some hydraulically challenging regions compared to the state of the art. The algorithm developed here is open source and can be applied in conjunction with a low-resolution hydrodynamic model and a high-resolution DEM to rapidly produce high-resolution inundation maps. For example, in our case study with a river reach of 20 km, the proposed algorithm generated a 4 m resolution inundation map from 32 m hydrodynamic model outputs in 33 s compared to a 4 m hydrodynamic model runtime of 34 min. This 60-fold improvement in runtime is associated with a 25 % increase in RMSE when compared against the 4 m hydrodynamic model results and observations of a recent flood. Substituting downscaling into flood risk model chains for high-resolution modelling has the potential to drastically improve the efficiency of inundation map production and increase the lead time of impact-based forecasts, helping more at-risk communities prepare for and mitigate flood damages.  © Copyright: </t>
  </si>
  <si>
    <t>2-s2.0-85185826725"</t>
  </si>
  <si>
    <t>Erdkunde</t>
  </si>
  <si>
    <t>10.3112/erdkunde.2024.04.04</t>
  </si>
  <si>
    <t>https://www.scopus.com/inward/record.uri?eid=2-s2.0-85216636059&amp;doi=10.3112%2ferdkunde.2024.04.04&amp;partnerID=40&amp;md5=eee34eaacf54abf7885d097e07c972b4</t>
  </si>
  <si>
    <t>Floodplains are vital and diverse habitats, providing essential ecosystem services. In Germany, the total surface of floodplain meadows has decreased by over 80% since the 1950s due to human activities such as river channelisation and embankment as well as land use intensification, leading to changes in nutrient and pollutant input. However, effects of these changes on floodplain vegetation remain understudied, primarily due to their recent occurrence. Here we investigate the effects of terrain elevation, flow distance to permanent water bodies (rivers and clay ponds), groundwater-surface distance and thickness of the alluvial clay layer on the plant species composition of the floodplain meadows ‘Papitzer Lachen’ in Northwest Saxony, Germany. We make use of the Ellenberg indicator system to approach statistical results from an ecological point of view. We recorded the vegetation species composition on 20 relevés of 10 m x 10 m (100 m2) each across different floodplain meadow types along an elevation gradient. We classified the plant communities phytosociologically. In addition, we performed an ordination of the plots (detrended correspondence analysis, DCA) and compared the resulting axes to environmental variables using Pearson’s correlation coefficient. As abiotic factors, we used the elevation of each plot measured via DGPS in the field, least cost path to the next water body derived from a digital elevation model, groundwater-surface distance as well as thickness of the alluvial clay layer. We calculated the mean weighted Ellenberg indicator moisture value for each plot and compared it to the DCA results. Three of the stands were classified as Scutellario-Veronicetum longifoliae Walther 1955, eleven as Arrhenatheretum elatioris Braun 1915 and six as a Silaum-silaus-community. The relevés could be roughly separated in two groups along the first DCA axis. The first DCA axis showed significant correlations (p &lt; 0.05) with ground elevation (r = –0.54) and alluvial clay layer thickness (r = –0.68) but no significant correlations with groundwater-surface distance and proximity to water bodies. The weighted mean Ellenberg indicator moisture values significantly correlate with distance to groundwater table (r = –0.59) and confirm a moisture gradient. The main explanatory variable for variation in the vegetation appears to be hydrology. However, variability in water levels which is typical for floodplains has declined. Main reasons are a smaller amplitude of water levels due to river regulation and long periods of droughts. This underlines the strong anthropogenic influence on floodplains. As floodplains are, especially due to their dynamic hydrology, particularly species-rich ecosystems, this study helps to document and understand this diversity to support a conservation value. © 2024, Erdkunde. All rights reserved.</t>
  </si>
  <si>
    <t>2-s2.0-85216636059"</t>
  </si>
  <si>
    <t>10.5194/nhess-24-375-2024</t>
  </si>
  <si>
    <t>https://www.scopus.com/inward/record.uri?eid=2-s2.0-85186082251&amp;doi=10.5194%2fnhess-24-375-2024&amp;partnerID=40&amp;md5=7c250a8bca15a913e67b2093b2392728</t>
  </si>
  <si>
    <t>Flooding associated with Hurricane Maria in 2017 had devastating consequences for lives and livelihoods in Puerto Rico. Yet, an understanding of current and future flood risk on small islands like Puerto Rico is limited. Thus, efforts to build resilience to flooding associated with hurricanes remain constrained. Here, we take an event set of hurricane rainfall estimates from a synthetic hurricane rainfall simulator as the input to an event-based rainfall-driven flood inundation model using the hydrodynamic code LISFLOOD-FP. Validation of our model against high-water-mark data for Hurricane Maria demonstrates the suitability of this model for estimating flood hazard in Puerto Rico. We produce event-based flood hazard and population exposure estimates for the present day and the future under the 1.5 and 2°C Paris Agreement goals. Population exposure to flooding from hurricane rainfall in Puerto Rico for the present-day climate is approximately 8%-10% of the current population for a 5-year return period, with an increase in population exposure to flooding by 2%-15% and 1%-20% under 1.5 and 2°C futures (5-year return period). This research demonstrates the significance of the 1.5°C Paris Agreement goal for Small Island Developing States, providing the first event-based estimates of flooding from hurricane rainfall under climate change for a small island. © 2024 Copernicus Publications. All rights reserved.</t>
  </si>
  <si>
    <t>2-s2.0-85186082251"</t>
  </si>
  <si>
    <t>Sustainable Horizons</t>
  </si>
  <si>
    <t>10.1016/j.horiz.2023.100088</t>
  </si>
  <si>
    <t>https://www.scopus.com/inward/record.uri?eid=2-s2.0-85182709147&amp;doi=10.1016%2fj.horiz.2023.100088&amp;partnerID=40&amp;md5=545ab8b7891f79c08fc232451b178307</t>
  </si>
  <si>
    <t>Tropical cyclone was effect through biodiversity, environment-nature circumstances, mangrove deforestation</t>
  </si>
  <si>
    <t>10.3390/land13030351</t>
  </si>
  <si>
    <t>https://www.scopus.com/inward/record.uri?eid=2-s2.0-85189157530&amp;doi=10.3390%2fland13030351&amp;partnerID=40&amp;md5=67e6c5430022a25b17ae24e8fe5cb38e</t>
  </si>
  <si>
    <t>Floods are common and inevitable natural disasters. Achieve Sustainable Development Goal (SDG) 11.5 is a critical challenge for coastal cities, especially those in deltaic lowlands such as in the case of Guangzhou, China. Regarding the spatial planning and design of such urban regions, it is crucial to study the impacts of flooding in compact or decentralized spatial development pathways. This reinforces the understanding of the relationship between strategic decisions for spatial planning and flood mitigation. However, the lack of a computer model to assess spatial evolution paths is a significant limitation. The non-dominated Sorting Genetic Algorithm II (NSGA-II) explores the possibility of a compact built-up land layout in 2030. The results showed that, concerning the 2030 decentralized scenario, the 2030 compact scenario presents a large increase in the integrated fitness function value from 0.618 to 0.771 (the increase is equivalent to 0.153 or about 24.75%). In addition, different development scenarios were constructed by setting different target weights. Compared to the decentralized scenario results, the fitness function values of the optimization results of each scenario showed better results at different levels. They could also serve as a reference for other similar coastal areas to achieve SDG 11.5 by 2030. © 2024 by the authors.</t>
  </si>
  <si>
    <t>2-s2.0-85189157530"</t>
  </si>
  <si>
    <t>International Journal of Advanced Computer Science and Applications</t>
  </si>
  <si>
    <t>10.14569/IJACSA.2024.0151109</t>
  </si>
  <si>
    <t>https://www.scopus.com/inward/record.uri?eid=2-s2.0-86000673254&amp;doi=10.14569%2fIJACSA.2024.0151109&amp;partnerID=40&amp;md5=0fbfaec3f29f873b3e0835e090197e19</t>
  </si>
  <si>
    <t>In this study, we developed an agent-based model (ABM) to simulate and improve evacuation rates during flood disasters. Utilizing the “Evacuate Now Button”, a previously proposed system for sharing real-time evacuation rates among residents, our experimental findings demonstrate a significant enhancement in evacuation behavior through this system. Simulations were conducted using geographical data from Nobeoka City, Miyazaki Prefecture, and Toyohashi City, Aichi Prefecture. Results showed that the “Evacuate Now Button” increased evacuation rates from a few percent to approximately 78% in Nobeoka City and 90% in Toyohashi City. We also investigated the effect of varying the range for calculating evacuation rates and the accuracy of the evacuation information shared with residents. It was found that larger calculation ranges led to higher final evacuation rates, while smaller ranges resulted in a quicker initial increase in evacuation behavior. These findings provide valuable insights for enhancing evacuation strategies and disaster preparedness in regions prone to floods. © (2024), (Science and Information Organization). All Rights Reserved.</t>
  </si>
  <si>
    <t>2-s2.0-86000673254"</t>
  </si>
  <si>
    <t>PLOS Water</t>
  </si>
  <si>
    <t>10.1371/journal.pwat.0000222</t>
  </si>
  <si>
    <t>https://www.scopus.com/inward/record.uri?eid=2-s2.0-85204363365&amp;doi=10.1371%2fjournal.pwat.0000222&amp;partnerID=40&amp;md5=a11cf86ebca415166a73ad9ca890d8e0</t>
  </si>
  <si>
    <t>Small Island Developing States (SIDS) face multiple developmental challenges including the adverse impacts of climate change. Among these complex challenges is the critical issue of devising strategies and plans to achieve water resource sustainability. The combined effects of hydro-climatic hazards such as droughts, rising sea levels, floods and increasing socio-economic pressures have already begun to adversely impact on SIDS water resources. This review article examined studies on ten English-speaking Caribbean SIDS to explore challenges and opportunities for enhancing water resource sustainability in the Caribbean and to identify emerging research gaps. A desk review and synthesis of existing data and available literature including reports, policy documents, peer-reviewed journal articles and books published over the last ten years were conducted to highlight research gaps in water resource sustainability. The conclusion presents a way forward for SIDS to cope with the consequences of climate change on their vital water resources. The findings from this paper can inform regional polices, strategies and plan and direct research to critical areas where information is needed to support evidenced-based decision making. The review is useful for academics, policymakers and practitioners.  © 2024 Mycoo, Roopnarine. This is an open access article distributed under the terms of the Creative Commons Attribution License, which permits unrestricted use, distribution, and reproduction in any medium, provided the original author and source are credited.</t>
  </si>
  <si>
    <t>2-s2.0-85204363365"</t>
  </si>
  <si>
    <t>10.1007/s11069-023-06319-w</t>
  </si>
  <si>
    <t>https://www.scopus.com/inward/record.uri?eid=2-s2.0-85178887532&amp;doi=10.1007%2fs11069-023-06319-w&amp;partnerID=40&amp;md5=3ffe6f4d7be16cf20da8370d8c7f172c</t>
  </si>
  <si>
    <t>It is shown that very steep coastal profiles can give rise to unexpectedly large wave events at the coast. We conduct a statistical analysis of runs from a nearshore Boussinesq-type model to demonstrate that under certain wave conditions, which a casual observer would perceive as calm, the likelihood of large run-up events is uncharacteristically high. The data computed by the Boussinesq-type model show that sea states with lower overall wave steepness favor higher run-up. Under these wave conditions, more of the available wave energy reaches the shore, since less wave breaking occurs, which can create a false sense of security for beach-goers. © The Author(s) 2023.</t>
  </si>
  <si>
    <t>2-s2.0-85178887532"</t>
  </si>
  <si>
    <t>Frontiers in Water</t>
  </si>
  <si>
    <t>10.3389/frwa.2024.1509945</t>
  </si>
  <si>
    <t>https://www.scopus.com/inward/record.uri?eid=2-s2.0-85213563581&amp;doi=10.3389%2ffrwa.2024.1509945&amp;partnerID=40&amp;md5=69f28e083f11369368d38599463d3779</t>
  </si>
  <si>
    <t>Groundwater is essential for sustaining human life and ecosystems as a freshwater resource. However, intensive groundwater pumping (GWP) can deplete groundwater levels, and exacerbate issues such as sea-level rise and saltwater intrusion in coastal areas, further affecting the availability and accessibility of groundwater. To address these challenges, accurate monitoring and modeling of water table depth (WTD), a key indicator of groundwater storage, is useful for sustainable groundwater management. This work studies the implementation of a regression-enhanced random forest (RERF) model to predict WTD anomalies with pumping as a major input for New Jersey, a coastal state in the United States. The predicted WTD anomalies align well with observations, with a test Nash-Sutcliffe Efficiency (NSE) of 0.49, a test Pearson correlation coefficient (r) of 0.72, and a test root-squared mean error (RMSE) of 1.61 m. Based on a permutation feature importance, the most important input variables in the model for predicting WTD anomalies were long-term mean WTD, precipitation minus evapotranspiration (PME), and GWP. Using the trained RERF model, we generated 90 m spatial resolution WTD anomaly maps for New Jersey for January and July 2015, showing areas of increasing and decreasing WTD. We then inverted the RERF model to predict GWP using WTD anomalies, land cover, and a cross metric as additional inputs. This approach was less effective, yielding a test NSE of 0.40, a test r of 0.65, and a test RMSE of 15.44 million liters/month. A permutation feature importance revealed the most important input variables to be PME, long-term mean WTD, and topographic slope. Again we generated 90 m GWP maps for New Jersey for January and July 2015, offering finer resolution than the previous maps at the subwatershed level. Focusing on New Jersey, the study provides insights into the relationship between WTD anomalies and its critical input variables including GWP in coastal areas. Moreover, significant gaps in WTD observations persist in New Jersey, highlighting the need for comprehensive monitoring efforts. Thus, by employing ML techniques and leveraging available data, this study contributes to improving groundwater management practices and informing future decision-making. Copyright © 2024 Kim, Ma and Maxwell.</t>
  </si>
  <si>
    <t>2-s2.0-85213563581"</t>
  </si>
  <si>
    <t>Journal of Applied Geophysics</t>
  </si>
  <si>
    <t>10.1016/j.jappgeo.2024.105312</t>
  </si>
  <si>
    <t>https://www.scopus.com/inward/record.uri?eid=2-s2.0-85184809901&amp;doi=10.1016%2fj.jappgeo.2024.105312&amp;partnerID=40&amp;md5=34875e214e080ee4c75d40f604324b15</t>
  </si>
  <si>
    <t>Rockfall is one of the recurrent geo-hazards in Pakistan and poses challenge not only to elements at risks but also to the infrastructure planners, engineers and government. In this study, rockfall susceptibility is spatially assessed in Salt Range along Motorway (M-2) within 500 m buffer zone. The events of rockfall become more frequent with damaging effect after the construction of M-2 even in the presence of certain structural measures like fences, protective walls, terraces and water diversion channels. Rockfall susceptibility was assessed using geological, meteorological, topographical, geo-morphometric conditions and rockfall events characteristics as input risk factors or spatial layers. Factor based ranking methodology was adopted in integration with geo-spatial tools for spatial assessment of rockfall risk. Similarly, importance of each risk factor is individually calculated and analysed in terms of cause and effect relation. Global Positioning System (GPS) based field measurements, landsat images, Shuttle Radar Topography Mission (SRTM) and Digital Elevation Model (DEM) is used as input data to map land cover conditions and carry out watershed analysis and slope-aspect analyses in ArcGIS10.2, respectively. The cumulative rockfall susceptibility assessment was finally done at 4-class ordinal scale (very high, high, moderate and low) by applying weighted overly analysis in GIS environment. Analysis revealed that very high susceptibility zone is in the lower southern part of the study area- attributed mainly to the fault, porous sedimentary rocks of laterite, sand stone and shale. This study carries great importance in rockfall risk reduction through structural and non-structural measures within Salt Range vis-à-vis other mountainous regions in Pakistan. In addition, the current study approach can be utilized effectively to prioritize and geo-visualize the severity of potential future rockfall risk along other highways having similar geological and geomorphological settings. © 2024</t>
  </si>
  <si>
    <t>2-s2.0-85184809901"</t>
  </si>
  <si>
    <t>Sedimentology</t>
  </si>
  <si>
    <t>10.1111/sed.13143</t>
  </si>
  <si>
    <t>https://www.scopus.com/inward/record.uri?eid=2-s2.0-85176925260&amp;doi=10.1111%2fsed.13143&amp;partnerID=40&amp;md5=4611e0d1b716c477b013400536bf3ea1</t>
  </si>
  <si>
    <t>From numerous modern gently inclined coastal areas and deltas around the world carbonate-cemented sandstone slabs and pebbles have been reported. Such sandstones collected at the coast of the German North Sea and the Mediterranean Sea (Rhône Delta) are cemented by calcite derived from the anaerobic oxidation of methane, as evidenced by biomarkers and δ13C isotope values &lt;−35‰ typical of anaerobic oxidation of methane. The methane originated from peat, which formed in coastal lowlands, deltas and channels during the Pleisto–Holocene transgression due to the concomitant rise of the groundwater level. During ongoing transgression, the peat became overlain by marginal-marine mud, acting as a seal, and finally by marine sand. In shallow-marine settings, wave-pumping effects during storms led to seal failure and methane could migrate upward. This scenario matches recent observations in the German North Sea where a pockmark field formed during the winter storm season. The emanating methane was eventually oxidized aerobically or anaerobically by anaerobic oxidation of methane in the sand cover. The CH4 generated in the peat underneath contains ‘old’ carbon that becomes, in the case of anaerobic oxidation of methane, incorporated into bicarbonate, which in turn facilitates cementation of sand and, thus, causes the peculiar situation that the C-14 age of the cement is older than the bioclasts embedded in the sandstone. Such authigenically cemented sandstones have environmental significance for flooding of gently inclined coastal plains. © 2023 International Association of Sedimentologists.</t>
  </si>
  <si>
    <t>2-s2.0-85176925260"</t>
  </si>
  <si>
    <t>10.1007/s10113-024-02182-y</t>
  </si>
  <si>
    <t>https://www.scopus.com/inward/record.uri?eid=2-s2.0-85182981667&amp;doi=10.1007%2fs10113-024-02182-y&amp;partnerID=40&amp;md5=bf2b63fa6240715c978e5af44a26c058</t>
  </si>
  <si>
    <t>As the impacts of climate change increase, Small Island Developing States (SIDS) in particular shall face increasingly significant adaptation challenges. Past climate adaptation efforts within SIDS have had limited success. As such, the purpose of this systematic literature review has been to identify areas of importance for facilitating climate adaptation, particularly within Small Island Developing States (SIDS), and more specifically, to assess the extent to which participatory justice within decision-making processes is recognised as an important component of climate adaptation through the lens of water management. This review process utilised the SPIDER tool to guide the literature search across SCOPUS, Web of Science and EBSCO host databases, generating 495 publications that were reduced to a total of 70 sources guided by PRISMA, informing the review’s results and discussion. Thematic analysis of the selected studies was applied, utilising the Values-Rules-Knowledge framework. Through this analysis, five principles were created and comprise the major conclusions of this review: (1) ensuring community engagement, (2) expanding available options through local experimentation, (3) ensuring that monitoring and evaluation of adaptation initiatives are taken seriously, (4) adopting decision-making mechanisms that are systems-oriented and inclusive, and (5) investing only if there is a long-term commitment to protecting SIDS. It is hoped that these principles can serve as a comprehensive guide for funding agencies, applied projects and research aiding climate adaptation within SIDS. © 2024, The Author(s).</t>
  </si>
  <si>
    <t>2-s2.0-85182981667"</t>
  </si>
  <si>
    <t>10.1007/s10040-023-02745-z</t>
  </si>
  <si>
    <t>https://www.scopus.com/inward/record.uri?eid=2-s2.0-85176798356&amp;doi=10.1007%2fs10040-023-02745-z&amp;partnerID=40&amp;md5=e635869ec01e3aa13366c2714880e792</t>
  </si>
  <si>
    <t>Groundwater is present at shallow depth under many coastal low-lying cities. Despite the importance of protecting coastal urbanised areas from flooding and climate-change-induced sea-level rise, the effects of shallow groundwater fluctuations are rarely investigated. The aim of this study was to determine characteristics of shallow groundwater, including spatial and temporal trends in depths to groundwater and their relationship to natural and anthropogenic stressors. The study uses depth to groundwater measurements from a uniquely extensive and densely spaced monitoring network in Ōtautahi/Christchurch, New Zealand. Data-driven analysis approaches were applied, including spatial interpolation, autocorrelation, clustering, cross-correlation and trend analysis. These approaches are not commonly applied for groundwater assessments despite the potential for them to provide insights and information for city-wide systems. The comprehensive approach revealed discernible clusters and trends within the dataset. Responses to stresses such as rainfall events and stream flow were successfully classified using clustering analysis. The time series analysis indicated that in areas of shallow groundwater, low variation in levels occurred and this was also found using clustering. However, attributing some clusters to specific hydrogeological attributes or stressors posed challenges. The primary feature in hydrograph classification proved to be the proximity to tidal rivers and their correlation with tidal signals. These results highlight the value of using large datasets to characterise spatial and temporal variability of shallow groundwater in urban coastal settings and to assist with monitoring infrastructure planning in the face of future climate-change hazards. © The Author(s) 2023.</t>
  </si>
  <si>
    <t>2-s2.0-85176798356"</t>
  </si>
  <si>
    <t>10.1175/JPO-D-23-0151.1</t>
  </si>
  <si>
    <t>https://www.scopus.com/inward/record.uri?eid=2-s2.0-85186234055&amp;doi=10.1175%2fJPO-D-23-0151.1&amp;partnerID=40&amp;md5=ce64b1852acfa8ce24a7e523a42ef3bf</t>
  </si>
  <si>
    <t>Large-amplitude internal solitary waves were recently observed in a coastal plain estuary and were hypothesized to evolve from an internal lee wave generated at the channel-shoal interface. To test this mechanism, a 3D nonhydrostatic model with nested domains and adaptive grids was used to investigate the generation of the internal solitary waves and their subsequent nonlinear evolution. A complex sequence of wave propagation and transformation was documented and interpreted using the nonlinear wave theory based on the Korteweg-de Vries equation. During the ebb tide a mode-2 internal lee wave is generated by the interaction between lateral flows and channel-shoal topography. This mode-2 lee wave subsequently propagates onto the shallow shoal and transforms into a mode-1 wave of elevation as strong mixing on the flood tide erases stratification in the bottom boundary layer and the lower branch of the mode-2 wave. The mode-1 wave of elevation evolves into an internal solitary wave due to nonlinear steepening and spatial changes in the wave phase speed. As the solitary wave of elevation continues to propagate over the shoaling bottom, the leading edge moves ahead as a rarefaction wave while the trailing edge steepens and disintegrates into a train of rank-ordered internal solitary waves, due to the combined effects of shoaling and dispersion. Strong turbulence in the bottom boundary layer dissipates wave energy and causes the eventual destruction of the solitary waves. In the meantime, the internal solitary waves can generate elevated shear and dissipation rate in local regions. © 2024, American Meteorological Society. All rights reserved.</t>
  </si>
  <si>
    <t>2-s2.0-85186234055"</t>
  </si>
  <si>
    <t>10.1371/journal.pwat.0000153</t>
  </si>
  <si>
    <t>https://www.scopus.com/inward/record.uri?eid=2-s2.0-85204419541&amp;doi=10.1371%2fjournal.pwat.0000153&amp;partnerID=40&amp;md5=c62ef72b196f31b637d91d56d517a0ab</t>
  </si>
  <si>
    <t>In Bangladesh s south-central coastal zone, there is considerable potential to intensify crop production by growing dry winter season Boro rice, maize, wheat, pulses and oilseeds using irrigation from southward flowing and predominantly freshwater rivers. However, the impacts of surface water withdrawal for sustained irrigation and its safe operating space remain unclear. We used field measurements and simulation modeling to investigate the effects of irrigation water withdrawal for Boro rice-the most water-consumptive crop-on river water flow and salinity under different climate change and river flow scenarios. Under the baseline conditions, about 250,000 ha could potentially be irrigated with river water that has salinity levels below 2 dS/m. The impact on river water salinity would be minimal, and only between 0.71 to 1.12% of the cropland would shift from the 0-2 dS/m class to higher salinity levels. Similarly, for the moderate climate change scenario (RCP 4.5) that forecasts a sea level rise of 22 cm in 2050, there would be a minor change in water flow and salinity. Only under the extreme climate change scenario (RCP 8.5), resulting in a sea level rise of 43 cm by 2050 and low flow conditions that are exceeded in 90% of the cases, the 2 dS/m isohaline would move landward by 64 to 105 km in March and April for the Tentulia and Buriswar Rivers. This would expose an additional 36.6% of potentially irrigable cropland to salinity levels of 2 to 4 dS/m. However, Boro rice will already be well established by that time and can tolerate greater levels of salinity. We conclude that there is considerable scope to expand irrigated crop production without negatively exposing the cropland and rivers to detrimental salinization levels while preserving the ecosystem services of the rivers.  © 2024 Khan et al.</t>
  </si>
  <si>
    <t>2-s2.0-85204419541"</t>
  </si>
  <si>
    <t>10.1007/s10584-024-03699-1</t>
  </si>
  <si>
    <t>https://www.scopus.com/inward/record.uri?eid=2-s2.0-85186119130&amp;doi=10.1007%2fs10584-024-03699-1&amp;partnerID=40&amp;md5=e47bdb6373c9a28f94ebff14919e48b5</t>
  </si>
  <si>
    <t>How will the increased frequency of coastal inundation events induced by sea level rise impact residential insurance premiums, and when would insurance contracts be withdrawn? We model the contribution of localised sea level rise to the increased frequency of coastal inundation events. Examining four Aotearoa New Zealand cities, we combine historical tide-gauge extremes with geo-located property data to estimate the annual expected loss from this hazard, for each property, in order to establish when insurance retreat is likely to occur. We find that as sea level rise changes the frequency of inundation events, 99% of properties currently within 1% AEP coastal inundation zones can expect at least partial insurance retreat within a decade (with less than 10 cm of sea level rise). Our modelling predicts that full insurance retreat is likely within 20–25 years, with timing dependent on the property’s elevation and distance from the coast, and less intuitively, on the tidal range in each location. © The Author(s) 2024.</t>
  </si>
  <si>
    <t>2-s2.0-85186119130"</t>
  </si>
  <si>
    <t>10.1007/s11069-023-06349-4</t>
  </si>
  <si>
    <t>https://www.scopus.com/inward/record.uri?eid=2-s2.0-85179705047&amp;doi=10.1007%2fs11069-023-06349-4&amp;partnerID=40&amp;md5=2fd9f2481ff09dd5871944e1be3c5c76</t>
  </si>
  <si>
    <t>Sea-level and temperature rise due to climate change exacerbate existing climate-related hazards in coastal areas. In this work, an approach based on Coastal City Living Labs is developed to carry out a high-level characterisation of key climate-related hazards for ten European coastal cities. The Coastal City Living Labs are conceived as physical and virtual spaces in which stakeholders meet for collaboration, co-creation and co-ideation to solve the challenges posed by climate-related hazards. The information on past extreme climate events and local knowledge thus obtained are combined to identify the main hazards for each city. Subsequently, these hazards are categorised based on the recommendations of the recent Sixth Assessment Report from the Intergovernmental Panel on Climate Change. The main climate-related hazards are found to be storms, coastal and land flooding, and coastal erosion. Importantly, significant differences are found between the specific cities as to the main hazards of concern. Even within the same coastal city, relevant differences are found in respect of the main hazards, depending on the area considered. It follows that granularity in the characterisation of the hazards is fundamental in designing mitigation measures. To clarify the spatial extent of the different hazards in each coastal city, bespoke maps are produced through GIS software. In addition to the interest of the results for the specific cities investigated, this work provides a methodology to assess climate-related hazards in coastal areas using Coastal City Living Labs, which can be applied elsewhere.Kindly check and confirm the inserted city name for affiliation 2 is correctly identified.CorrectKindly check and confirm the corresponing author mail ID is correctly identified.Correct © The Author(s), under exclusive licence to Springer Nature B.V. 2023.</t>
  </si>
  <si>
    <t>2-s2.0-85179705047"</t>
  </si>
  <si>
    <t>Russian Journal of Pacific Geology</t>
  </si>
  <si>
    <t>10.1134/S1819714024010044</t>
  </si>
  <si>
    <t>https://www.scopus.com/inward/record.uri?eid=2-s2.0-85189465323&amp;doi=10.1134%2fS1819714024010044&amp;partnerID=40&amp;md5=7b1fc9eb81eb32f3a44344b6d803ed1e</t>
  </si>
  <si>
    <t>Abstract: This paper reports on results of bathymetric and seismoacoustic studies of the shelf in the western part of Peter the Great Bay. Five flooded coastlines, formed in the Late Pleistocene–Holocene, were revealed on the shelf. It was found that a significant part of the shelf is occupied by a zone of irregular sedimentation. This zone is underlain by an erosion surface buried under sediments of ebb–flood tidal deltas in the areas of active sedimentation and is exposed on the seafloor within the area of active modern erosion. The abrasion and formation of the irregular sedimentation zone on the shelf intensified about 11 500–11 700 years ago. Acoustic anomalies, associated with gas occurrences in sediments and gas plumes in the water column, were recorded on the shelf of the bay. Types of anomalies were classified, and a map of their areal distribution was compiled. It is concluded that the trigger mechanism that provides gas migration into sediments and to the water column is associated with a group of factors: the change of the postglacial sea level and abrasion processes, as well as the meteorological and hydrological regimes. © Pleiades Publishing, Ltd. 2024. ISSN 1819-7140, Russian Journal of Pacific Geology, 2024, Vol. 18, No. 1, pp. 80–100. Pleiades Publishing, Ltd., 2024. Russian Text The Author(s), 2024, published in Tikhookeanskaya Geologiya, 2024, Vol. 43, No. 1, pp. 88–109.</t>
  </si>
  <si>
    <t>2-s2.0-85189465323"</t>
  </si>
  <si>
    <t>River</t>
  </si>
  <si>
    <t>10.1002/rvr2.78</t>
  </si>
  <si>
    <t>https://www.scopus.com/inward/record.uri?eid=2-s2.0-85188253232&amp;doi=10.1002%2frvr2.78&amp;partnerID=40&amp;md5=9f010669764ec9433be7726e81ee8e22</t>
  </si>
  <si>
    <t>The rapid growth of impervious areas in urban basins worldwide has increased the number of impermeable surfaces in cities, leading to severe flooding and significant economic losses for civilians. This trend highlights the urgent need for methodologies that assess flood hazards and specifically address the direct impact on pedestrians, which is often overlooked in traditional flood hazard analyses. This study aims to evaluate a methodology for assessing the risk to pedestrians from hydrodynamic forces during urban floods, with a specific focus on Cúcuta, Colombia. The methodology couples research outcomes from other studies on the impact of floodwaters on individuals of different ages and sizes with 1D/2D hydrological modeling. Advanced computational algorithms for image recognition were used to measure water levels at 5-s intervals on November 6, 2020, using drones for digital elevation model data collection. In Cúcuta, where flood risk is high and drainage infrastructure is limited, the PCSWMM (Computer-based Urban Stormwater Management Model) was calibrated and validated to simulate extreme flood events. The model incorporated urban infrastructure details and geomorphological parameters of Cúcuta's urban basin. Four return periods (5, 10, 50, 100), with extreme rainfall of 3 h, were used to estimate the variability of the risk map. The output of the model was analyzed, and an integrated and time-varying comparison of the results was done. Results show that the regions of high-water depth and high velocity could vary significantly along the duration of the different extreme events. Also, from 5 to 100 years return period, the percentage of area at risk increased from 9.6% to 16.6%. The pedestrian sensitivity appears much higher than the increase in velocities or water depth individually. This study identified medium to high-risk locations, which are dynamic in time. We can conclude dynamics are spatiotemporal, and the added information layer of pedestrians brings vulnerability information that is also dynamic. Areas of immediate concern in Cúcuta can enhance pedestrian safety during flash flood events. The spatiotemporal variation of patterns requires further studies to map trajectories and sequences that machine learning models could capture. © 2024 The Authors. River published by Wiley-VCH GmbH on behalf of China Institute of Water Resources and Hydropower Research (IWHR).</t>
  </si>
  <si>
    <t>2-s2.0-85188253232"</t>
  </si>
  <si>
    <t>Anthropocene</t>
  </si>
  <si>
    <t>10.1016/j.ancene.2024.100427</t>
  </si>
  <si>
    <t>https://www.scopus.com/inward/record.uri?eid=2-s2.0-85183534049&amp;doi=10.1016%2fj.ancene.2024.100427&amp;partnerID=40&amp;md5=5ce52ebe8ba434394475dfe33fd76956</t>
  </si>
  <si>
    <t>The United States (U.S.) coastal plain is subject to rising sea levels, land subsidence, more severe coastal storms, and more intense droughts. These changes lead to inputs of marine salts into freshwater-dependent coastal systems, creating saltwater intrusion. The penetration of salinity into the coastal interior is exacerbated by groundwater extraction and the high density of agricultural canals and ditches throughout much of the rural U.S. landscape. Together saltwater intrusion and sea level rise (SWISLR) create substantial changes to the social-ecological systems situated along the coastal plain. Many scholars and practitioners are engaged in studying and managing SWISLR impacts on social, economic, and ecological systems. However, most efforts are localized and disconnected, despite a widespread desire to understand this common threat. In addition to variable rates of sea level rise across the U.S. outer coastal plain, differences in geomorphic setting, water resources infrastructure and management, and climate extremes are resulting in different patterns of saltwater intrusion. Understanding both the absolute magnitude of this rapid environmental change, and the causes and consequences for its spatial and temporal variation presents an opportunity to build new mechanistic models to link directional climate change to temporally and spatially dynamic socio-environmental impacts. The diverse trajectories of change offer rich opportunities to test and refine modern theories of ecosystem state change in systems with exceptionally strong socioecological feedbacks. © 2024 The Authors</t>
  </si>
  <si>
    <t>2-s2.0-85183534049"</t>
  </si>
  <si>
    <t>10.1016/j.jhydrol.2024.130724</t>
  </si>
  <si>
    <t>https://www.scopus.com/inward/record.uri?eid=2-s2.0-85183917698&amp;doi=10.1016%2fj.jhydrol.2024.130724&amp;partnerID=40&amp;md5=cb22fa458d401d736289fcb14f9fdc86</t>
  </si>
  <si>
    <t>As the impact of flooding intensifies globally in metropolitan areas, there is an urgent need for high-resolution flood forecasting models to facilitate preparedness and mitigate flood impacts. In response, we have proposed a high efficiency algorithm (HEA) designed to simulate urban flood inundation, leveraging the urban hydrologic unit (UHU) concept from an urban hydrological cycle perspective. The HEA significantly reduces the computational demands associated with high-resolution modeling by using a hydrologic unit derived from the digital elevation model (DEM). This approach effectively shifts the overwhelming burden of computational load to the hydrodynamic algorithm (HDA), which is grounded in the Shallow Water Equations (SWEs), thus enabling efficient flood inundation simulation crucial for time-critical decision making during extreme events. Our research also incorporated the HEA and HDA methods into a self-developed, distributed-framework basin modeling system, named the Taihu Basin Model (TBM). Both the HEA and HDA models were calibrated and validated with observed data on pipe level, flow rate, and inundation depth from our Shuangqiaobang experimental fields. Comparative analysis, focusing on simulated urban flood inundation distribution characteristics, simulation accuracy and timeliness, demonstrated the superior effieicney of the HEA method by three orders of magnitude. The consistency between observed data and the simulated results of both HEA and HDA models underscores the accuracy and reliablility of these models. The HEA model's simulated urban flood inundation distribution appears more patchy and localized compared to the HDA model, due to the generalization of urban UHUs in the TBM. © 2024</t>
  </si>
  <si>
    <t>2-s2.0-85183917698"</t>
  </si>
  <si>
    <t>Dynamics of Atmospheres and Oceans</t>
  </si>
  <si>
    <t>10.1016/j.dynatmoce.2023.101429</t>
  </si>
  <si>
    <t>https://www.scopus.com/inward/record.uri?eid=2-s2.0-85181713734&amp;doi=10.1016%2fj.dynatmoce.2023.101429&amp;partnerID=40&amp;md5=c29a0910c992710ad526937e2a236b8f</t>
  </si>
  <si>
    <t>The northern Gulf of Mexico is facing high rates of wetland loss due to subsidence and sea level–rise, which has encouraged the application of various wetland restoration techniques. Marsh terracing is a restoration technique that has been implemented since the early 1990 s in Texas and Louisiana, yet few studies have been conducted to evaluate its effectiveness. Marsh terraces are segmented berms of soil built in coastal ponds that were once vegetated marshes. Marsh terracing is hypothesized to dissipate wind waves, encourage marsh expansion, and reduce shoreline erosion. This study (1) assessed the effectiveness of the most common terrace shapes (linear, chevron, and square) and spacing (100, 110, and 120 m) at reducing significant wave height (Hs), (2) assessed the effectiveness of alternative terrace designs for reducing Hs during different wind conditions, and 3) estimated the construction costs of alternative terrace designs. The Simulating WAves Nearshore (SWAN) model was used to simulate wind–driven waves in ponds with real and hypothetical terrace designs. Results revealed that: (1) The chevron shape provided the greatest reduction in Hs during all wind conditions, reducing Hs by up to 54%. (2) Hs reduction was not affected by terrace spacings. (3) Based on wave attenuation, the chevron design with a 120 m terrace spacing provided the optimal outcome with an estimated construction cost/ha of $6332 in a 250,000 m2 site compared to the terrace shapes and spacings evaluated in this study. This study will help coastal managers design marsh terraces to address wetland erosion in the Gulf of Mexico and other coastal areas facing similar environmental problems. © 2023 The Authors</t>
  </si>
  <si>
    <t>2-s2.0-85181713734"</t>
  </si>
  <si>
    <t>10.1016/j.jhydrol.2023.130581</t>
  </si>
  <si>
    <t>https://www.scopus.com/inward/record.uri?eid=2-s2.0-85180417308&amp;doi=10.1016%2fj.jhydrol.2023.130581&amp;partnerID=40&amp;md5=07749a4aaccf74513a5d386659045c52</t>
  </si>
  <si>
    <t>The Dogai Coring Lake on the Tibetan Plateau, with widespread permafrost and glaciers in the watershed, has expanded rapidly between 2014 and 2020. However, it remains unclear how much melting water from permafrost and glaciers contributes to the increase in lake volume. This study quantifies the potential amount of water released by the melt of permafrost and glaciers, and assesses the fraction of water storage gains in the lake offset by the loss from the cryosphere (i.e., ground ice and glaciers). The small baseline subset interferometric synthetic aperture radar (SBAS-InSAR) method was used to derive the spatiotemporal changes in surface deformation, which then assisted the estimation of the potential water release from ground ice melting. The glacier mass balance was estimated using a geodetic method with ASTER DEMs. Results show that 51.3 % of the region experienced subsidence with rates in the range of 5–20 mm∙a−1 during 2014–2020. Ground ice melting released water at a rate of 35.1 × 106 m3∙a−1, accounting for ∼19.3 % of the increase in lake volume. The glacier mass loss rate was estimated to be − 0.69 ± 0.04 m w.e. yr−1 (113.6 ± 7.3 × 106 m3∙a−1), contributing ∼62.5 % to the lake volume increase. Our results show that the water storage loss in the cryosphere has largely (∼80 %) offset the water storage gain in the lake, suggesting that cryospheric meltwater is an important factor regulating water budget change of the lake watershed. © 2023 Elsevier B.V.</t>
  </si>
  <si>
    <t>2-s2.0-85180417308"</t>
  </si>
  <si>
    <t>Acta Geodynamica et Geomaterialia</t>
  </si>
  <si>
    <t>10.13168/AGG.2024.0023</t>
  </si>
  <si>
    <t>https://www.scopus.com/inward/record.uri?eid=2-s2.0-85213318002&amp;doi=10.13168%2fAGG.2024.0023&amp;partnerID=40&amp;md5=932cd49b2292faea545ccb9228c5921f</t>
  </si>
  <si>
    <t>Estimates and projections of sea level change are critical for coastal areas. In this work, we utilize satellite altimetry (SA) and tide gauge (TG) technologies to estimate variations in sea level, and we also evaluate the consistency of sea level changes obtained using TG and SA from 1993 to 2020. Additionally, we use deep learning models (artificial neural network (ANN), gated recurrent unit (GRU), and long short-term memory (LSTM)) to forecast sea level changes with SA time series. Our results reveal that the average absolute sea level (ASL) rate in the China Seas and the neighboring ocean based on SA is 3.55 mm/yr, which is higher than the global rate of 3.30 mm/yr. Specifically, the ASL rates of East China Sea and South China Sea are 3.21 mm/yr and 4.24 mm/yr, respectively. The sea level change in the South China Sea is significantly greater than that in the East China Sea. Secondly, the relative sea level (RSL) rate based on TGs is 3.88 mm/yr. We perform VLM correction on TGs with co-located GNSS following the method of Zhou et al. (2022) and obtain a TG-based ASL result of 3.77 mm/yr. Our results show that there is good consistency between coastal sea level changes estimated using tide gauges and satellite radar altimetry. Finally, we use the ANN, GRU, and LSTM models to predict sea level change with SA. The results show that LSTM’s prediction accuracy is better than that of the other models, with average RMSE, MAE, and R² values of 48.92 mm, 35.99 mm, and 0.85, respectively. © 2024, Czech Academy of Sciences. All rights reserved.</t>
  </si>
  <si>
    <t>2-s2.0-85213318002"</t>
  </si>
  <si>
    <t>10.3390/atmos15030372</t>
  </si>
  <si>
    <t>https://www.scopus.com/inward/record.uri?eid=2-s2.0-85188839370&amp;doi=10.3390%2fatmos15030372&amp;partnerID=40&amp;md5=522043e8cbece14dd41e16995ee62d8e</t>
  </si>
  <si>
    <t>Urban communities in environmentally sensitive areas face escalating challenges due to climate change and inadequate infrastructural support, particularly in underserved regions like southside Norfolk, Virginia. This area, characterized by its vulnerability to flooding and a predominantly low-income population, lacks equitable inclusion in broader urban flood protection plans. This research focuses on the development of community-centered resilience strategies through active engagement and collaboration with local residents. The methodology centered around building trust and understanding within the community through a series of interactions and events. This approach facilitated a two-way exchange of information, enabling the research team to gather crucial insights on community-valued assets, prevalent flooding issues, and preferred flood mitigation solutions. The engagement revealed a significant increase in community knowledge regarding climate change, sea level rise, and stormwater management. Residents expressed a strong preference for green infrastructure solutions, including rain gardens, permeable pavements, and living shorelines, alongside concerns about pollution and the need for infrastructure redesign. The outcomes of this community engagement have initiated plans to develop tailored, nature-based flooding solutions. These results are set to inform future urban planning and policy, offering insights to the City of Norfolk and the United States Army Corps of Engineers for potential redesigns of flood intervention strategies that are more inclusive and effective. A template for participatory research to inform coastal hazard management includes cross-sector collaboration, a long-term engagement commitment, and education and surveying opportunities to align solutions to lived, local experiences. This template allows for community trust building, which is especially important in environmental justice communities. The study highlights the importance of community involvement in urban resilience planning, demonstrating that local engagement is essential in shaping community-centric solutions and equitable environmental policies. © 2024 by the authors.</t>
  </si>
  <si>
    <t>2-s2.0-85188839370"</t>
  </si>
  <si>
    <t>10.1007/s13280-023-01946-w</t>
  </si>
  <si>
    <t>https://www.scopus.com/inward/record.uri?eid=2-s2.0-85178191108&amp;doi=10.1007%2fs13280-023-01946-w&amp;partnerID=40&amp;md5=0ac75a6503b1fef94f4599e991133c43</t>
  </si>
  <si>
    <t>A methodological framework is presented for the assessment of beach vulnerability to climate variability and change on small touristic islands. Based on the development of a coastal vulnerability index (CVI) fueled by open-source Earth Observations and social media information, it includes both physical and socio-economic characteristics of the shoreline. In a pilot study in the U.S. Virgin Islands (USVIs), most beaches were found to be vulnerable to erosion. The CVI was utilized to rank the most likely vulnerable beaches, which were then studied using historic geomorphologic data</t>
  </si>
  <si>
    <t>10.5194/essd-16-35-2024</t>
  </si>
  <si>
    <t>https://www.scopus.com/inward/record.uri?eid=2-s2.0-85184024247&amp;doi=10.5194%2fessd-16-35-2024&amp;partnerID=40&amp;md5=df62bc26b3b7230dea8bf1de878b98f0</t>
  </si>
  <si>
    <t>The Antarctic ice sheet's future contribution to sea level rise is difficult to predict, mostly because of the uncertainty and variability of the surface mass balance (SMB). Ice cores are used to locally (kilometer scale) reconstruct SMB with a very good temporal resolution (up to sub-annual), especially in coastal areas where accumulation rates are high. The number of ice core records has been increasing in recent years, revealing an important spatial variability and different trends of SMB, highlighting the crucial need for greater spatial and temporal representativeness. We present records of density, water stable isotopes (δ18O, δD, and deuterium excess), major ions concentrations (Na+, K+, Mg2+, Ca2+, MSA, Cl-, SO42-, and NO3-), and continuous electrical conductivity measurement (ECM), as well as age models and resulting surface mass balance from the top 120m of two ice cores (FK17 and TIR18) drilled on two adjacent ice rises located in coastal Dronning Maud Land and dating back to the end of the 18th century. Both environmental proxies and SMB show contrasting behaviors, suggesting strong spatial and temporal variability at the regional scale. In terms of precipitation proxies, both ice cores show a long-term decrease in deuterium excess (d-excess) and a long-term increase in δ18O, although less pronounced. In terms of chemical proxies, the non-sea-salt sulfate (nssSO42-) concentrations of FK17 are twice those of TIR18 and display an increasing trend on the long-term, whereas there is only a small increase after 1950 in TIR18. The SO42-/Na+ ratios show a similar contrast between FK17 and TIR18 and are consistently higher than the seawater ratio, indicating a dominant impact of the nssSO42- on the SO42- signature. The mean long-term SMB is similar for FK17 and TIR18 (0.57±0.05 and 0.56±0.05mi.e.yr-1, respectively), but the annual records are very different: since the 1950s, TIR18 shows a continuous decrease while FK17 has shown an increasing trend until 1995 followed by a recent decrease. The datasets presented here offer numerous development possibilities for the interpretation of the different paleo-profiles and for addressing the mechanisms behind the spatial and temporal variability observed at the regional scale (tens of kilometers) in East Antarctica. The ""Mass2Ant IceCores""datasets are available on Zenodo (10.5281/zenodo.7848435</t>
  </si>
  <si>
    <t>10.1016/j.jhydrol.2023.130511</t>
  </si>
  <si>
    <t>https://www.scopus.com/inward/record.uri?eid=2-s2.0-85181712191&amp;doi=10.1016%2fj.jhydrol.2023.130511&amp;partnerID=40&amp;md5=5ab72c2da725d9501dd334dbef3eb3a0</t>
  </si>
  <si>
    <t>The vulnerability of island freshwater lenses to rising sea levels has been assessed previously using sharp-interface analytical solutions that consider islands as circular or two-dimensional strips, or the lenses are treated as entirely underlain by seawater. However, many islands do not fit these basic conditions. The current study develops an analytical solution for the freshwater-saltwater interface in elliptical islands where the interface intercepts the aquifer base, and explores (for the first time for island lenses) the applicability of a dispersion correction to the analytical solution. An analysis of the lens response to sea-level rise (SLR) and the accompanying land-surface inundation (LSI) shows that for lenses entirely underlain by seawater, the primary impact of SLR is likely the associated LSI. Counterintuitively, lenses in contact with the aquifer basement may experience an increase in the freshwater volume with SLR, although this requires that LSI is limited (e.g., the shoreline is steep) and the water table is sufficiently deep (below the land surface) to allow it to rise commensurately with SLR. The analysis also shows that as the aspect ratio of the elliptical island increases (i.e., larger values approach strip islands and circular islands have a value of 1), the lens volume decreases (for a given island area). Thus, circular islands have the maximum freshwater storage per island area. Specifically, for typical island aquifer conditions, freshwater storage decreased over 50% as a/b increased from 1 to 10. The results obtained from this study and the new analytical solution are expected to assist in the rapid assessment of the freshwater resources of elliptical-like islands. © 2023 The Author(s)</t>
  </si>
  <si>
    <t>2-s2.0-85181712191"</t>
  </si>
  <si>
    <t>10.1016/j.scitotenv.2023.169827</t>
  </si>
  <si>
    <t>https://www.scopus.com/inward/record.uri?eid=2-s2.0-85182282638&amp;doi=10.1016%2fj.scitotenv.2023.169827&amp;partnerID=40&amp;md5=d0286ae7a240bcf55d987e648d96ba7b</t>
  </si>
  <si>
    <t>Understanding the molecular composition and fate of dissolved organic matter (DOM) during transport in estuaries is essential for gaining a comprehensive understanding of its role within the global biogeochemical cycle. In 2020, a catastrophic flood occurred in the Yangtze River basin. It is currently unknown whether differences in hydrologic conditions due to extreme flooding will significantly impact the estuarine to oceanic DOM cycle. We determined the DOM composition in the Yangtze River estuary (YRE) to the East China Sea by using Fourier transform ion cyclotron resonance mass spectrometry (FT-ICR MS) during the high discharge and the flood period (monthly average discharge was 1.2 times higher) on the same trajectory. Our study found that the composition of DOM is more diverse, and more DOM molecules were introduced to the YRE during the flood, especially in the freshwater end member. The result revealed that the DOM was significantly labile and unstable during the flood period. A total of 1840 unique molecular formulas were identified during the flood period, most of which were CHON, CHONS, and CHOS compounds, most likely resulting from anthropogenic inputs from upstream. Only 194 of these molecules were detected in the seawater end member after transporting to the sea, suggesting that the YRE served as a ‘filter’ of DOM. However, the flood enhances the transport of a group of terrigenous DOM, that is resistant to photodegradation and biodegradation. As a result, YRE experienced ~1.6 times higher terrigenous DOC flux than high discharge period. Considering the increased frequency of future floods, our study provides a preliminary basis for further research on how floods affect the composition and characteristics of estuarine DOM. With the help of the FT-ICR MS technique, we can now better understand the dynamic of DOM composition and characteristics in large river estuaries. © 2024 Elsevier B.V.</t>
  </si>
  <si>
    <t>2-s2.0-85182282638"</t>
  </si>
  <si>
    <t>10.1007/s11069-023-06371-6</t>
  </si>
  <si>
    <t>https://www.scopus.com/inward/record.uri?eid=2-s2.0-85181493873&amp;doi=10.1007%2fs11069-023-06371-6&amp;partnerID=40&amp;md5=be583a78232080573cd0564680e206ea</t>
  </si>
  <si>
    <t>Flood disasters are destructive especially in prosperous and urbanized estuarine regions, where the flood regime is much more complex due to multiple fluvial–estuarine impacts. The Shenzhen River (SZR), located in one of the most prosperous regions of southern China, is vulnerable to increasing flood risk. Unravelling the influential factors is of particular significance to flood hazards prevention and urban safety for the SZR. Based on the field-measured floods on June 13, 2008 (“2008.06”) and August 29, 2018 (“2018.08”) with roughly equal magnitudes of rainfall and tide, the changing flood risk in the SZR basin was assessed. Considering the substantial development of tidal flat plants in the past two decades, a physical model of the SZR was built to quantify the impacts of changing river regime on the flood stage. The model covers the whole mainstream of tidal reach and half of the Shenzhen Bay (SZB), which was well calibrated and validated by in situ flow process. Several situations with different ranges of riverine vegetation and estuarine mangrove, including all vegetation (actual situation), half vegetation, no vegetation, mangrove in 2002 and 2018, were modelled to explore flood stage variations in 2-yr and 50-yr return period. The results found that the “2018.08” flood stage was about 1.4 m higher than “2008.06” flood. Moreover, the rainfall–runoff duration in “2018.08” was significantly decreased by 1 h less than that of “2008.06” flood, indicating increased flood risk in the SZR. The flood stage in the middle reach increases by more than 0.6 m driven by the riverine vegetation during the 50-yr return period flood, while the flood stage rises less than 0.1 m for the flood with 2-yr return period. Moreover, the extended estuarine mangrove forest resulted in about 0.2 m flood stage increment in the lower reach. The effects of sea level rise and sediment deposition after channel dredging on the flood risk in the SZR were further discussed. The effects of sea level rise and sediment deposition after channel dredging on flood risk were further discussed in the SZR. Channel infilling probably causes a flood stage increase of approximately 0.5 m for all reaches, while the influence of sea level is relatively slight but cumulative. Sufficient river management and planning, such as seasonal removal of riverine vegetation, mangrove management and regular topography surveys, should be taken into consideration in the near future. © The Author(s), under exclusive licence to Springer Nature B.V. 2024.</t>
  </si>
  <si>
    <t>2-s2.0-85181493873"</t>
  </si>
  <si>
    <t>10.1007/s11069-023-06397-w</t>
  </si>
  <si>
    <t>https://www.scopus.com/inward/record.uri?eid=2-s2.0-85183056449&amp;doi=10.1007%2fs11069-023-06397-w&amp;partnerID=40&amp;md5=1f90b5d44de1896c5ee4e56a3797680d</t>
  </si>
  <si>
    <t>Tropical cyclones are one of the most dangerous natural phenomena. These extreme events involve various hazards, such as strong winds, severe precipitation, storm surge, flooding, and landslides. In Mexico, tropical cyclones are the most frequent natural threats and have a high cost to affected populations. This research aimed to characterise the spatial and temporal changes in risk associated with hurricane winds on the Yucatan Peninsula. This effort included a comprehensive analysis of three integral risk components (hazard, vulnerability, and exposure) for three distinct time intervals (1950–2000, 1950–2010, and 1950–2020). This analytical process was executed utilising a fine-resolution hexagonal grid. Hazard was estimated by calculating the probabilities of occurrence of winds related to various hurricane categories after estimating wind fields from the International Best Track Archive for Climate Stewardship (IBTrACS) data with a parametric model. Vulnerability was approximated by constructing indicators with sociodemographic data from the National Population and Housing Census issued by Mexico’s National Institute of Statistics and Geography. With these indicators, a factor analysis was performed, and a weighted index was constructed. Finally, exposure was estimated from population density. Each of these indices was aggregated at the hexagonal level, allowing the calculation of the risk associated with hurricane-force wind. The results showed high-risk levels associated with high-hazard levels, e.g. in coastal areas such as the Riviera Maya. Similarly, high-risk levels are related to high marginalisation, i.e. vulnerability, in the northeastern zone of the Yucatan Peninsula. The increased frequency of tropical cyclones combined with high population densities has recently led to higher risk levels in this region of Mexico. © The Author(s) 2024.</t>
  </si>
  <si>
    <t>2-s2.0-85183056449"</t>
  </si>
  <si>
    <t>Climate Dynamics</t>
  </si>
  <si>
    <t>10.1007/s00382-023-07017-w</t>
  </si>
  <si>
    <t>https://www.scopus.com/inward/record.uri?eid=2-s2.0-85178474877&amp;doi=10.1007%2fs00382-023-07017-w&amp;partnerID=40&amp;md5=b044f06d529ce5aaebe6d1303f1bed1e</t>
  </si>
  <si>
    <t>Coastal storms can cause erosion and flooding of coastal areas, often accompanied by significant social-economic disruption. As such, storm characterisation is crucial for an improved understanding of storm impacts and thus for coastal management. However, storm definitions are commonly different between authors, and storm thresholds are often selected arbitrarily, with the statistical and meteorological independence between storm events frequently being neglected. In this work, a storm identification algorithm based on statistically defined criteria was developed to identify independent storms in time series of significant wave height for high wave energy environments. This approach proposes a minimum duration between storms determined using the extremal index. The performance of the storm identification algorithm was tested against the commonly used peak-over-threshold. Both approaches were applied to 40 and 70-year-long calibrated wave reanalyses datasets for Western Scotland, where the intense and rapid succession of extratropical storms during the winter makes the identification of independent storm events notably challenging. The storm identification algorithm provides results that are consistent with regional meteorological processes and timescales, allowing to separate independent storms during periods of rapid storm succession, enabling an objective and robust storm characterisation. Identifying storms and their characteristics using the proposed algorithm allowed to determine a statistically significant increasing long-term trend in storm duration, which contributes to the increase in storm wave power in the west of Scotland. The coastal storm identification algorithm is found to be particularly suitable for high-energy, storm-dominated coastal environments, such as those located along the main global extratropical storm tracks. © The Author(s) 2023.</t>
  </si>
  <si>
    <t>2-s2.0-85178474877"</t>
  </si>
  <si>
    <t>10.1016/j.ejrs.2023.12.001</t>
  </si>
  <si>
    <t>https://www.scopus.com/inward/record.uri?eid=2-s2.0-85179757398&amp;doi=10.1016%2fj.ejrs.2023.12.001&amp;partnerID=40&amp;md5=23ffbd55586f019e70e802a596cd2ad1</t>
  </si>
  <si>
    <t>Large- and small-scale subsidence coexist in the world's coastal cities due to extensive land reclamation and fast urbanization. Synthetic aperture radar (SAR) images are typically limited by either low resolution or small coverage, making them ineffective for fully monitoring displacement in coastal areas. In this research, a machine learning-based method is developed to investigate the reclaimed land subsidence based on multi-satellite SAR data integration. The proposed method requires at least a pair of SAR images from complementary tracks. First, the line-of-sight (LOS) displacements are recovered in connection to a series of extremely coherent points based on the differential interferometry synthetic aperture radar (DInSAR). These LOS displacements are then converted into their vertical component, geocoded to a common grid, and simultaneously integrated (i.e., pixel-by-pixel) based on Support Vector Regression (SVR). The proposed methodology does not necessitate the simultaneous processing of huge DInSAR interferogram sequences. The experiments include high-resolution COSMO-SkyMed (CSK) and TerraSAR-X (TSX) images, as well as a small monitoring cycle Sentinel-1 (S1) images of reclaimed territories near Hong Kong Kowloon City. The overall average annual displacement (AAD) ranges from -12.86 to 11.63 mm/year derived from 2008 to 2019. The evaluation metrics including RMSE, MAE, correlation coefficient, and R-squared are used to investigate the impact of SVR in the integration of SAR datasets. Based on these evaluation metrics, SVR is superior in terms of integration performance, accuracy, and generalization ability. Thus, the proposed method has potentially performed multi-satellite SAR data integration. © 2023 National Authority of Remote Sensing &amp; Space Science</t>
  </si>
  <si>
    <t>2-s2.0-85179757398"</t>
  </si>
  <si>
    <t>10.1016/j.scitotenv.2023.169690</t>
  </si>
  <si>
    <t>https://www.scopus.com/inward/record.uri?eid=2-s2.0-85181904482&amp;doi=10.1016%2fj.scitotenv.2023.169690&amp;partnerID=40&amp;md5=60bbaed2d819d59960dc851b9c3174f3</t>
  </si>
  <si>
    <t>The destabilization of delta's worldwide due to climate change and human activities presents challenges in meeting the growing demands for freshwater and food. The Nile Delta in Egypt is a prime example of a vulnerable region facing various stressors. In order to preserve land and water resources, it is crucial to monitor the spatial and temporal changes in Land Use/Land Cover (LULC), shoreline, and Terrestrial Water Storage (TWS) in these vulnerable regions This study comprehensively investigates the dynamic changes in LULC and their associated water and soil responses in the Eastern Nile Delta under these combined impacts. To achieve this goal, a combination of remote sensing techniques utilizing Landsat (5, 8, and 9), and GRACE datasets, along with field observations and Geographic Information System (GIS) tools, was employed. Accordingly, shoreline changes show coastal erosion rates ranging from 5.28 to 34.92 m/year due to climate change-induced SLR, with continued inland movement predicted for the next 20 years. Moreover, the dynamic changes in urbanization and alterations in agricultural cover have considerable penalties for water demand. Analysis of GRACE data indicates a notable reduction in average TWS by 77.89 mm between 2002 and 2017, with an annual rate, estimated at −5.821 mm/year. Soil sampling in highly vulnerable areas confirms agricultural degradation attributed to elevated salinity levels, with EC values ranging from 3.60 to 190 ds/m. These finds provide valuable insights for stakeholders and policymakers, to make reliable strategies regarding water allocation, land use regulations, and climate change adaptation in the worldwide vulnerable deltas. © 2024 Elsevier B.V.</t>
  </si>
  <si>
    <t>2-s2.0-85181904482"</t>
  </si>
  <si>
    <t>Revista de Geociencias do Nordeste</t>
  </si>
  <si>
    <t>10.21680/2447-3359.2024v10n1ID31738</t>
  </si>
  <si>
    <t>https://www.scopus.com/inward/record.uri?eid=2-s2.0-85195128380&amp;doi=10.21680%2f2447-3359.2024v10n1ID31738&amp;partnerID=40&amp;md5=f80e90132290be69d051473d39b15f95</t>
  </si>
  <si>
    <t>Coastal zones are dynamic regions whose morphology is directly influenced by natural or anthropic physical factors. Depending on the level of occupation and stage of development, these areas may be subject to risks associated with floods or erosive processes that make them vulnerable. Considering this context, this work quantified the relative vulnerability of the coast to physical changes between the Peroba and Redonda beaches in the municipality of Icapuí, east coast of Ceará, highlighting the stretches of beach where the effects on the coastline can be extreme. The natural variables geomorphology, slope, shoreline variation rate, mean tidal range, significant wave height, and mean sea level variation were used to implement the Coastal Vulnerability Index. The results indicated the occurrence of three vulnerability classes, ranging from moderate to very high. About 2,940 m (58%) were recorded as moderate vulnerability, 2,100 m (41%) as high vulnerability, and about 30 m (1%) as very high vulnerability. The most vulnerable stretches are associated with sandy beaches. The less vulnerable ones are with active cliffs that are part of the coastal tablelands and conservation areas. © 2024, Universidade Federal do Rio Grande do Norte. All rights reserved.</t>
  </si>
  <si>
    <t>2-s2.0-85195128380"</t>
  </si>
  <si>
    <t>10.1007/s11356-024-32280-7</t>
  </si>
  <si>
    <t>https://www.scopus.com/inward/record.uri?eid=2-s2.0-85184511489&amp;doi=10.1007%2fs11356-024-32280-7&amp;partnerID=40&amp;md5=00256dfee159eaf3b8261172742edecf</t>
  </si>
  <si>
    <t>The main goal of this research is the interpretability of deep learning (DL) model output (e.g., CNN and LSTM) used to map land susceptibility to subsidence hazard by means of different techniques. For this purpose, an inventory map of land subsidence (LS) is prepared based on fieldwork and a record of LS presence points, and 16 features controlling LS were mapped. Thereafter, 11 effective features controlling LS were identified by means of a particle swarm optimization (PSO) algorithm, which was then used as input in the CNN and LSTM predictive models. To address the inherent black box nature of DL models, six interpretation methods (feature interaction, permutation importance plot (PFIM), bar plot, SHapley Additive exPlanations (SHAP) main plot, heatmap plot, and waterfall plot) were used to interpret the predictive model outputs. Both models (CNN and LSTM) had AUC &gt; 90 and therefore provided excellent accuracy for mapping LS hazard. According to the most accurate model—the CNN predictive model—the range from very low to very high hazard classes occupied 20%, 20%, 25%, 16.3%, and 18.7% of the study area, respectively. According to three plots (bar plot, SHAP main plot, and heatmap plot), which were constructed based on the SHAP value, distance from the well, GDR and DEM were identified as the three most important features with the highest impact on the DL model output. The results of the waterfall plot indicate two effective features consisting of distance from the well and coarse fragment, and two effective features comprising landuse and DEM, contributed negatively and positively to LS, respectively. Overall, these explanation techniques can address critical concerns with respect to the interpretability of sophisticated DL predictive models. © The Author(s), under exclusive licence to Springer-Verlag GmbH Germany, part of Springer Nature 2024.</t>
  </si>
  <si>
    <t>2-s2.0-85184511489"</t>
  </si>
  <si>
    <t>10.5194/hess-28-761-2024</t>
  </si>
  <si>
    <t>https://www.scopus.com/inward/record.uri?eid=2-s2.0-85185890973&amp;doi=10.5194%2fhess-28-761-2024&amp;partnerID=40&amp;md5=89726f12a21e563d1349bed529510248</t>
  </si>
  <si>
    <t>There is evidence of an increased frequency of rapid intensification events of tropical cyclones (TCs) in global offshore regions. This will not only result in increased peak wind speeds but may lead to more intense heavy precipitation events, leading to flooding in coastal regions. Therefore, high impacts are expected for urban agglomerations in coastal regions such as the densely populated Pearl River Delta (PRD) in China. Regional climate models (RCMs) such as the Weather Research and Forecasting (WRF) model are state-of-the-art tools commonly applied to predict TCs. However, typhoon simulations are connected with high uncertainties due to the high number of parameterization schemes of relevant physical processes (including possible interactions between the parameterization schemes) such as cumulus (CU) and microphysics (MP), as well as other crucial model settings such as domain setup, initial times, and spectral nudging. Since previous studies mostly focus on either individual typhoon cases or individual parameterization schemes, in this study a more comprehensive analysis is provided by considering four different typhoons of different intensity categories with landfall near the PRD, i.e. Typhoon Neoguri (2008), Typhoon Hagupit (2008), Typhoon Hato (2017), and Typhoon Usagi (2013), as well as two different schemes for CU and MP, respectively. Moreover, the impact of the model initialization and the driving data is studied by using three different initial times and two spectral nudging settings. Compared with the best-track reference data, the results show that the four typhoons show some consistency. For track bias, nudging only horizontal wind has a positive effect on reducing the track distance bias</t>
  </si>
  <si>
    <t>10.1016/j.ecoleng.2023.107149</t>
  </si>
  <si>
    <t>https://www.scopus.com/inward/record.uri?eid=2-s2.0-85179010152&amp;doi=10.1016%2fj.ecoleng.2023.107149&amp;partnerID=40&amp;md5=3a2f39ddee878d2fc684b921921d758e</t>
  </si>
  <si>
    <t>Most lacustrine deltas are nowadays highly anthropized systems. River training works during past centuries considered rivers mainly as vectors of water and sediments from a point source to a sink. However, numerous problems have been identified by residents and the competent authorities, such as lakeshore erosion near river deltas, land-use conflicts, and loss of biodiversity without efficiently managing flood risks. These human-induced changes on the deltaic environment led to the deterioration of ecosystem services. This paper focuses on the lacustrine deltas as a complex biotope at the interface of aquatic and terrestrial environments. It proposes a restoration strategy based on two simple geometrical parameters. This methodological approach defines the potential to recover a quasi-natural state of the delta using the slope of the upstream water course and the opening angle of the delta. The result of this work is the creation of a diagram like the ones classifying rivers according to their morphology. This chart will allow the design engineer to determine, given the actual slope of the water course, which shape a delta would ideally adopt without accounting for the downstream lacustrine morphogenic parameters. It will also help in determining the space required for the watercourse to fulfill its natural functions. This methodological approach is applied to a case study: The Reuss Delta, where a restoration project took place. This approach can be used as a pre-study to determine, according to the available space, if it will be possible to improve the morphological dynamics of the delta and to recover its non-anthropized state. © 2023 The Authors</t>
  </si>
  <si>
    <t>2-s2.0-85179010152"</t>
  </si>
  <si>
    <t>10.3389/feart.2024.1465040</t>
  </si>
  <si>
    <t>https://www.scopus.com/inward/record.uri?eid=2-s2.0-85213541432&amp;doi=10.3389%2ffeart.2024.1465040&amp;partnerID=40&amp;md5=4d0c034fb5be6f793fdc7f5a154c9664</t>
  </si>
  <si>
    <t>Introduction: Global coastal flooding maps are now achieving a level of detail suitable for local applications. The resolution of these maps, derived from widely available open data sources, is approaching that of local flooding maps (0.5–100 m), increasing the need for a standardized approach to evaluate underlying assumptions and indicators for local applications. Methods: This study introduces the Waterlevel, Elevation, Protection, Flood, Impact, Future (WEPFIF) notation, a structured notation for documenting and comparing key methodological choices and data variations across global coastal flooding studies. This approach enhances the understanding and explanation of the fitness-for- purpose of flood maps. This notation builds on commonly used methodological choices, dataset variations, and model approaches in global flooding risk research. Analysis of these workflows identifies common elements and highlights the need for a more structured reporting approach to improve comparability. Results: Applying the WEPFIF notation to a case study in the Netherlands reveals significant variations in flood risk assessments originating from differences in Digital Elevation Model (DEM) and water level selection, and inclusion of protective infrastructure. Discussion: WEPFIF, by annotating these methodological variations, enables more informed comparisons between local and global flood studies. This allows researchers and practitioners to select appropriate data and models, based on their specific research objectives. The study proposes tailored approaches for three common types of flood studies: raising concern, optimizing flood protection investments, and representing the state of coastal risk. Copyright © 2024 Baart, de Boer, Pronk, van Koningsveld and Muis.</t>
  </si>
  <si>
    <t>2-s2.0-85213541432"</t>
  </si>
  <si>
    <t>10.1007/s41207-023-00432-9</t>
  </si>
  <si>
    <t>https://www.scopus.com/inward/record.uri?eid=2-s2.0-85178102570&amp;doi=10.1007%2fs41207-023-00432-9&amp;partnerID=40&amp;md5=4fc7e19fea64eea4fb08a3d65217a1e5</t>
  </si>
  <si>
    <t>The young Nile Delta Basin of Egypt (Plio-Pleistocene) exhibits compaction disequilibrium, as the rate of sedimentation exceeds the rate of subsidence. This represents the main cause of the overpressure regime encountered in this basin. This condition presents a very challenging problem when adjusting the mud weight (MW) window with respect to the pore pressure (PP) and the fracture pressure (FP) to avoid possible crises (a blowout or lost circulation). This paper considers a scientific approach for constructing and interpreting geo-pressure and geo-mechanical models for the Late Miocene (Messinian) Abu Madi gas and condensate reservoirs (level II and III sands) in eight wells (BS-1, BE-2, BE-3, BN-1, BN-2, Nidoco-9, Nidoco-10 and Nidoco-7) distributed in the Baltim (South, East and North) and Nidoco fields, offshore Nile Delta, Egypt. The available data are in the form of repeat formation tester (RFT) data and well logs (sonic and resistivity) in addition to drill stem test (DST) data. Through the interpretation of pressure–depth (P-D) plots, two major geo-pressure regimes (abnormal and subnormal) were detected for the Abu Madi reservoir in the study area. The deduced fluid densities ranged between 0.5 and 0.71 g/cc, indicating the presence of gas and condensate. The gas–water contact (GWC) is located above the free-water level (FWL), indicating a water-wet reservoir. The geomechanical models were constructed based on the calculated Poisson ratios (γ), which ranged from 0.22 for clean sand intervals and increase with increasing shale content to a maximum value of 0.34. Using this model, the calculated pore pressure (PP), mud weight (MW), overburden (σOB), and fracture (FP) and hydrostatic (Phyd) pressure gradients were obtained and compared graphically. Most of the pore pressures are mild to subnormal overpressures corresponding to the safe mud weight window between 8 and 9.5 ppg. The effective stresses (ESs) are generally high and can reach 10.5 ppg, which leaves room to house hydrocarbons and makes the examined fields suitable for future exploration. © Springer Nature Switzerland AG 2023.</t>
  </si>
  <si>
    <t>2-s2.0-85178102570"</t>
  </si>
  <si>
    <t>Atmospheric Chemistry and Physics</t>
  </si>
  <si>
    <t>10.5194/acp-24-2267-2024</t>
  </si>
  <si>
    <t>https://www.scopus.com/inward/record.uri?eid=2-s2.0-85186084745&amp;doi=10.5194%2facp-24-2267-2024&amp;partnerID=40&amp;md5=43dab0cdafa39656204b9a0d75b1fe6f</t>
  </si>
  <si>
    <t>A multi-lidar system, mounted in a vehicle to monitor the profiles of temperature, wind, and particle optical properties, was utilized to investigate the winter fine particulate matter (PM2.5) pollution from a vertical perspective in four cities in China in winter 2018. We observed the enhancement of surface nocturnal PM2.5 in two typical plains cities (Changzhou and Wangdu), which was attributed to the subsidence of PM2.5 transported from upstream polluted areas, with the wind turning north and downdrafts dominating. Combining the observed surface PM2.5, the reanalysis meteorological data, and the GEOS-Chem model simulation, we revealed the transport nocturnal PM2.5 enhancement by subsidence (T-NPES) events that occurred frequently in the two cities, with percentages of 12.2% and 18.0%, respectively, during December 2018-February 2019. Furthermore, the GEOS-Chem model simulation further confirmed the ubiquity of winter T-NPES events on a large scale, including North China Plain and the Yangtze River Delta. Process analysis revealed that the subsidence was closely correlated with the southeasterly movement of the high-pressure system and the passage of the cold front, resulting in the increase of temperature aloft, a stronger inversion layer, and further PM2.5 accumulation in the atmospheric boundary layer. Thus, a conceptual model of the T-NPES events was proposed to highlight this surface PM2.5 enhancement mechanism in these plains regions. However, it did not apply to the two cities in the basin region (Xi'an and Chengdu) due to the obstruction of the weather system movement by the mountains surrounding the basin.  © 2024 Copyright Authors</t>
  </si>
  <si>
    <t>2-s2.0-85186084745"</t>
  </si>
  <si>
    <t>10.5194/esurf-12-1-2024</t>
  </si>
  <si>
    <t>https://www.scopus.com/inward/record.uri?eid=2-s2.0-85183051361&amp;doi=10.5194%2fesurf-12-1-2024&amp;partnerID=40&amp;md5=e269def1b9b188789544310a69d5033a</t>
  </si>
  <si>
    <t>The frequency and intensity of coastal flooding is expected to accelerate in low-elevation coastal areas due to sea level rise. Coastal flooding due to wave overtopping affects coastal communities and infrastructure</t>
  </si>
  <si>
    <t>10.1007/s11069-023-06225-1</t>
  </si>
  <si>
    <t>https://www.scopus.com/inward/record.uri?eid=2-s2.0-85180235976&amp;doi=10.1007%2fs11069-023-06225-1&amp;partnerID=40&amp;md5=8527bb66fd4e394c5f74e4f8e82a9592</t>
  </si>
  <si>
    <t>In the face of current uncertainties about the processes of climate change and its consequences, the search for possible response strategies is urgently needed. One of the most serious repercussions of climate change, which threatens many coastal areas globally, is the sea-level rise. To deepen understanding of this phenomenon and its related impacts, several models have recently been developed to satisfy the unique needs of coastal zone management. These models are very useful because of their visualization and prediction capabilities as they aid in decision-making regarding the adaptation of current protected area investments. This review, therefore, provides evidence of the potential and effectiveness of recent mapping models for managing the effects of sea-level rise. This study examined current models for mapping flood risk areas as a result of sea-level rise. It also provides guidelines to help coastal zone managers and policymakers decide the applicability of various models at local, regional, and global scales. There is no universally accepted model, and each of the models reviewed in this paper has its strengths and weaknesses. However, the models provided by the National Oceanic and Atmospheric Administration are commonly used by organizations and others. These models are more accessible and comprehensible for scientists and individuals with limited scientific background knowledge on sea-level rise. © The Author(s), under exclusive licence to Springer Nature B.V. 2023.</t>
  </si>
  <si>
    <t>2-s2.0-85180235976"</t>
  </si>
  <si>
    <t>10.3390/hydrology11030031</t>
  </si>
  <si>
    <t>https://www.scopus.com/inward/record.uri?eid=2-s2.0-85188843297&amp;doi=10.3390%2fhydrology11030031&amp;partnerID=40&amp;md5=5553e1547744c7db66901ff21e62a40d</t>
  </si>
  <si>
    <t>Hydrology and meteorological data from relatively undisturbed watersheds aid in identifying effects on ecosystem services, tracking hydroclimatic trends, and reducing model uncertainties. Sustainable forest, water, and infrastructure management depends on assessing the impacts of extreme events and land use change on flooding, droughts, and biogeochemical processes. For example, global climate models predict more frequent high-intensity storms and longer dry periods for the southeastern USA. We summarized 17 years (2005–2021) of hydrometeorological data recorded in the 52 km2, third-order Turkey Creek watershed at the Santee Experimental Forest (SEF), Southeastern Coastal Plain, USA. This is a non-tidal headwater system of the Charleston Harbor estuary. The study period included a wide range of weather conditions</t>
  </si>
  <si>
    <t>10.3389/fclim.2024.1498938</t>
  </si>
  <si>
    <t>https://www.scopus.com/inward/record.uri?eid=2-s2.0-85214434918&amp;doi=10.3389%2ffclim.2024.1498938&amp;partnerID=40&amp;md5=277cfb8039d969e748f07933f8751e6e</t>
  </si>
  <si>
    <t>Climate change resulting from weather conditions has recently attracted global attention and concern</t>
  </si>
  <si>
    <t>Progress in Physical Geography</t>
  </si>
  <si>
    <t>10.1177/03091333231216588</t>
  </si>
  <si>
    <t>https://www.scopus.com/inward/record.uri?eid=2-s2.0-85177477864&amp;doi=10.1177%2f03091333231216588&amp;partnerID=40&amp;md5=254e5cec42ffcf26d4d8cf0598353b07</t>
  </si>
  <si>
    <t>Over the coming century, climate change and sea-level rise are predicted to cause widespread change to coastal wetlands. Estuarine vegetated wetlands can adapt to sea-level rise through both vertical development (i.e., biophysical feedbacks and sedimentation) and upslope/horizontal migration. Quantifying changes to estuarine vegetated wetlands over time can help to inform current and future decisions regarding land management and resource stewardship. In this study, we show how coastal land cover maps readily available in the US can be used to assess and understand estuarine vegetated wetland changes. This assessment involves two steps: (1) identifying the net gain/loss of estuarine vegetated wetlands and (2) determining which land cover types contribute to the net gain/loss. From this information, we developed estuarine vegetated wetland change scenarios that evaluate whether estuarine vegetated wetland gain kept up with loss and whether the contribution was from: (1) estuarine vegetated wetland migration or tidal restoration</t>
  </si>
  <si>
    <t>10.1016/j.scitotenv.2023.168355</t>
  </si>
  <si>
    <t>https://www.scopus.com/inward/record.uri?eid=2-s2.0-85178496990&amp;doi=10.1016%2fj.scitotenv.2023.168355&amp;partnerID=40&amp;md5=915380b9eb9a95648e76a6d794bee79b</t>
  </si>
  <si>
    <t>Improving salt-affected soil health using different strategies is of great significance for Sustainable Development Goals. The effects of biochar as a sustainable carbon negative soil amendment on phosphorous (P) pools in the degraded salt-affected soils of the of coastal wetlands (as one of the primary blue carbon ecosystems) with halophyte litter input under different water conditions (the two intrinsic characteristics of coastal wetlands) are poorly understood. Thus, a corn straw derived biochar (CBC) was added into a coastal salt-affected soil collected from the Yellow River Delta to investigate its effect on P fractions and availability under the input of three different local halophyte litters (i.e., Suaeda salsa, Imperata cylindrica and Phragmites australis) and under the unflooded and flooded water conditions. The results showed that the individual input of Suaeda salsa increased soil P availability by 28.2–40.9 %, but Imperata cylindrica and Phragmites australis had little effect on P availability. CBC individual amendment more efficiently enhanced P availability in the unflooded soil than the flooded soil. However, the co-amendment of CBC with litters showed little synergistic effect on P availability. CBC sharply increased the proportion of Ca-bound labile P fraction, but moderately lifted the proportion of Al/Fe-bound mediumly labile P fraction. CBC-enhanced P availability and altered inorganic P fractions were mainly resulted from the provision of labile inherent P by biochar, improved soil properties (i.e., increased CEC), and altered bacterial community composition (i.e., elevated abundance of P-solubilizing and phosphate-accumulating bacteria). These findings give new insights into understanding P biogeochemical cycling in the coastal salt-affected soils amended with biochars, and will be helpful to develop biochar-based technologies for enhancing P pools and improving soil health of the blue carbon ecosystems. © 2023 Elsevier B.V.</t>
  </si>
  <si>
    <t>2-s2.0-85178496990"</t>
  </si>
  <si>
    <t>10.1029/2023JF007065</t>
  </si>
  <si>
    <t>https://www.scopus.com/inward/record.uri?eid=2-s2.0-85186465305&amp;doi=10.1029%2f2023JF007065&amp;partnerID=40&amp;md5=237fd212746b91957542ec910f99f978</t>
  </si>
  <si>
    <t>Coastal marsh survival may be compromised by sea-level rise, limited sediment supply, and subsidence. Storms represent a fundamental forcing for sediment accumulation in starving marshes because they resuspend bottom material in channels and tidal flats and transport it to the marsh surface. However, it is unrealistic to simulate at high resolution all storms that occurred in the past decades to obtain reliable sediment accumulation rates. Similarly, it is difficult to cover all possible combinations of water levels and wind conditions in fictional scenarios. Thus, we developed a new method that derives long-term deposition rates from short-term deposition generated by a finite number of storms. Twelve storms with different intensity and frequency were selected in Terrebonne Bay, Louisiana, USA and simulated with the 2D Delft3D-FLOW model coupled with the Simulating Waves Nearshore (SWAN) module. Storm impact was analyzed in terms of geomorphic work, namely the product of deposition and frequency. To derive the long-term inorganic mass accumulation rates, the new method generates every possible combination of the 12 chosen storms and uses a linear model to fit modeled inorganic deposition with measured inorganic mass accumulation rates. The linear model with the best fit (highest R2) was used to derive a map of inorganic mass accumulation rates. Results show that a storm with 1.7 ± 1.6 years return period provides the largest geomorphic work, suggesting that the most impactful storms are those that balance intensity with frequency. Model results show higher accumulation rates in marshes facing open areas where waves can develop and resuspend sediments. This method has the advantage of considering only a few real scenarios and can be applied in any marsh-bay system. © 2024. American Geophysical Union. All Rights Reserved.</t>
  </si>
  <si>
    <t>2-s2.0-85186465305"</t>
  </si>
  <si>
    <t>10.1038/s41561-023-01357-2</t>
  </si>
  <si>
    <t>https://www.scopus.com/inward/record.uri?eid=2-s2.0-85185124400&amp;doi=10.1038%2fs41561-023-01357-2&amp;partnerID=40&amp;md5=482f5011aebf8be4ea5960efc166a0f0</t>
  </si>
  <si>
    <t>Vertical land movements can cause regional relative sea-level changes to differ substantially from climate-driven absolute sea-level changes. Whereas absolute sea level has been accurately monitored by satellite altimetry since 1992, there are limited observations of vertical land motion. Vertical land motion is generally modelled as a linear process, despite some evidence of nonlinear motion associated with tectonic activity, changes in surface loading or groundwater extraction. As a result, the temporal evolution of vertical land motion, and its contribution to projected sea-level rise and its uncertainty, remains unresolved. Here we generate a probabilistic vertical land motion reconstruction from 1995 to 2020 to determine the impact of regional-scale and nonlinear vertical land motion on relative sea-level projections up to 2150. We show that regional variations in projected coastal sea-level changes are equally influenced by vertical land motion and climate-driven processes, with vertical land motion driving relative sea-level changes of up to 50 cm by 2150. Accounting for nonlinear vertical land motion increases the uncertainty in projections by up to 1 m on a regional scale. Our results highlight the uncertainty in future coastal impacts and demonstrate the importance of including nonlinear vertical land motions in sea-level change projections. © The Author(s) 2024.</t>
  </si>
  <si>
    <t>2-s2.0-85185124400"</t>
  </si>
  <si>
    <t>10.1007/s11852-023-01018-x</t>
  </si>
  <si>
    <t>https://www.scopus.com/inward/record.uri?eid=2-s2.0-85181475100&amp;doi=10.1007%2fs11852-023-01018-x&amp;partnerID=40&amp;md5=ae8ddb7c340dd16f56d3503ab3a79f08</t>
  </si>
  <si>
    <t>Topography and vegetation have a significant role in soil development in different ecosystems. Interactions between soil and landforms help to understand the pedogenic processes and soil variability. The present study assessed the impact of various landforms and vegetation on pedological variability along the toposequence of the eastern coastal plain. We characterized 46 soil profiles from five landforms, viz., foothills, upland, alluvial plains, coastal plains, and sandbars and performed factor analysis. The frequency distribution of the soil properties was significantly skewed with each other’s. Soils are classified into three orders: Alfisols, Inceptisols, and Entisols from hills to sandbars. The soils were characterized by clay (2.50–65.8%), AWC (4.0–28.0%), pH (5.40–9.40), EC (0.03–5.60 dSm−1), OC (0.01–1.13%), CEC (1.0-31.60 cmol (p+) kg−1), BS (57–95%) and ESP (0.54–27.8%). Whereas alluvial plain soils are rich in clay and organic carbon, foothill and upland soils experience severe to moderate soil erosion, leading to the leaching of basic cations. Coastal plains face regular seawater intrusion and flooding, causing excess deposition of salts, which alter the soil pedogenic process under different landforms and land use. Soil pH, EC, clay, CEC and ESP significantly influenced the paddy yield in alluvial and coastal plains landforms. Development of landform and soil relationships concerning land uses in coastal regions helps to identify factors involved in soil development, pedogenic processes and crop productivity. © 2024, The Author(s), under exclusive licence to Springer Nature B.V.</t>
  </si>
  <si>
    <t>2-s2.0-85181475100"</t>
  </si>
  <si>
    <t>10.3390/rs16050800</t>
  </si>
  <si>
    <t>https://www.scopus.com/inward/record.uri?eid=2-s2.0-85187447445&amp;doi=10.3390%2frs16050800&amp;partnerID=40&amp;md5=1d711d2b3fbdde657eb63208a00177dd</t>
  </si>
  <si>
    <t>The coastal environment is characterized by high, multi-scale dynamics and the corresponding observations from a single remote sensing sensor are still facing challenges in achieving both high temporal and spatial resolution. This study proposed a spatiotemporal fusion model for coastal environments, which could fully enhance the efficiency of remote sensing data use and overcome the shortcomings of traditional spatiotemporal models that are insensitive to small-scale disturbances. The Enhanced Deep Super-Resolution Network (EDSR) was used to reconstruct spatial features in the lower spatial resolution GOCI-II data. The spatial features obtained instead of GOCI-II data were fed into the spatiotemporal fusion model, which enabled the fusion data to achieve an hour-by-hour observation of the water color and morphology information changes at 30 m resolution, including the changes in the spatial and temporal distributions of suspended particulate matter (SPM), the characterization of the vortex street caused by the bridge piers, the inundation process of the tidal flats, and coastline changes. In addition, this study analyzed the various factors affecting fusion accuracy, including spectral difference, errors in both temporal difference and location distance, and the structure of the EDSR model on the fusion accuracy. It is demonstrated that the location distance error and the spectral difference have the most significant impact on the fusion data, which may lead to the introduction of some ambiguous or erroneous spatial features. © 2024 by the authors.</t>
  </si>
  <si>
    <t>2-s2.0-85187447445"</t>
  </si>
  <si>
    <t>10.1016/j.jenvman.2023.119657</t>
  </si>
  <si>
    <t>https://www.scopus.com/inward/record.uri?eid=2-s2.0-85179758021&amp;doi=10.1016%2fj.jenvman.2023.119657&amp;partnerID=40&amp;md5=6f4434cfe31387f6a1e6a1c968b08211</t>
  </si>
  <si>
    <t>Salt marshes, critical habitats offering many ecosystem services, are threatened by development, accelerated sea level rise (SLR) and other anthropogenic stressors that are projected to worsen. As seas rise, some salt marshes can migrate inland if there is adjacent, permeable, undeveloped land available. Facilitating marsh migration is necessary for coastal resilience efforts, but extensive coastal development can make finding suitable migration corridors challenging. This work seeks to characterize changes in land use, ownership, and economic value at the property parcel level within current versus future marsh areas for the state of Rhode Island, USA. We find that most parcels currently containing salt marsh are publicly owned, whereas most adjacent parcels projected to contain new salt marsh in 2050 are privately owned. Additionally, parcels containing new marsh in 2050 have 47% higher per-hectare assessed values than parcels containing current marsh. We describe the locations and characteristics of parcels within migration corridors with the lowest per-hectare values that may be the most cost-effective for marsh conservation practitioners to protect. This study highlights the expanding land use types and landowner sets that will be involved in marsh conservation decisions, and the economic value of potential migration corridors where costly tradeoffs may be necessary to promote coastal resilience. © 2023</t>
  </si>
  <si>
    <t>2-s2.0-85179758021"</t>
  </si>
  <si>
    <t>10.1126/science.adf0630</t>
  </si>
  <si>
    <t>https://www.scopus.com/inward/record.uri?eid=2-s2.0-85186290305&amp;doi=10.1126%2fscience.adf0630&amp;partnerID=40&amp;md5=45cab3cecad0d9c5e19ace0c4e410a83</t>
  </si>
  <si>
    <t>In recent decades, climate change and other anthropogenic activities have substantially affected groundwater systems worldwide. These impacts include changes in groundwater recharge, discharge, flow, storage, and distribution. Climate-induced shifts are evident in altered recharge rates, greater groundwater contribution to streamflow in glacierized catchments, and enhanced groundwater flow in permafrost areas. Direct anthropogenic changes include groundwater withdrawal and injection, regional flow regime modification, water table and storage alterations, and redistribution of embedded groundwater in foods globally. Notably, groundwater extraction contributes to sea level rise, increasing the risk of groundwater inundation in coastal areas. The role of groundwater in the global water cycle is becoming more dynamic and complex. Quantifying these changes is essential to ensure sustainable supply of fresh groundwater resources for people and ecosystems. © 2024 American Association for the Advancement of Science. All rights reserved.</t>
  </si>
  <si>
    <t>2-s2.0-85186290305"</t>
  </si>
  <si>
    <t>10.1016/j.ejrh.2023.101600</t>
  </si>
  <si>
    <t>https://www.scopus.com/inward/record.uri?eid=2-s2.0-85183765509&amp;doi=10.1016%2fj.ejrh.2023.101600&amp;partnerID=40&amp;md5=58c108e77a2008228c0e6838207bd1bb</t>
  </si>
  <si>
    <t>Study region: The Nile Delta region consists of flat, low-lying areas, where most areas are used for agriculture. It covers an area of 22,000 km2, which is 2.20% of the total area of Egypt. Study focus: This study evaluates the water budget and the salinity due to the Sea Level Rise (SLR) and the reduction in the river water flow caused by the Grand Ethiopian Renaissance Dam (GERD) using the numerical code SEAWAT. Three filling scenarios were considered for the GERD reservoir at elevations 600 m, 621 m, and 645 m above mean sea level (AMSL) for the storage volumes of 17 billion cubic meters (BCM) (scenarios #1), 37.30 BCM (scenarios #2), and 74 BCM (scenarios #3). The impact of these fillings scenarios was combined with SLR of 25 cm, and increasing the abstraction rates from the Nile Delta aquifer by 25%, 50%, and 100%, respectively. New hydrological insights for the region: The study findings indicated that the SLR and the GERD reservoir filling with increasing pumping rates, especially during the filling periods, would influence the groundwater resources in the Nile Delta. The GERD reservoir filling could alter the freshwater, in which the aquifer salinity increased by 4.47%, 11.48%, and 29.99% for the three scenarios, respectively. The methodology and findings presented in this study might be useful for investing and comparing the impact of SLR and upstream dam projects on the downstream water budget and salinity at other coastal regions. © 2023 The Authors</t>
  </si>
  <si>
    <t>2-s2.0-85183765509"</t>
  </si>
  <si>
    <t>10.1016/j.geomorph.2023.109003</t>
  </si>
  <si>
    <t>https://www.scopus.com/inward/record.uri?eid=2-s2.0-85178365531&amp;doi=10.1016%2fj.geomorph.2023.109003&amp;partnerID=40&amp;md5=a135a324cffcd1af9c369c8e89041dd7</t>
  </si>
  <si>
    <t>Landscapes tend to be described using some combination of mathematically- and statistically-derived morphometrics extracted from digital elevation models. For coastal barriers, these morphometrics are commonly used to characterize the response of these landscapes to sea level rise and storm activity, or to develop process-form relationships. However, it is not clear if these morphometrics, alone or in combination, are consistent with our interpretation of the landscape based on visual interpretation of structure and patterns. This study compares landscape interpretations based on commonly used morphometrics to visual interpretations made by experts and non-experts. Results suggest that what we visually perceive as landform structure and landscape pattern is not consistent with mathematically and statistically derived morphometrics, and that there is a need to evaluate whether the morphometrics we use are appropriate to characterize landforms in complex polygenetic landscapes for monitoring and management. © 2023 Elsevier B.V.</t>
  </si>
  <si>
    <t>2-s2.0-85178365531"</t>
  </si>
  <si>
    <t>10.1146/annurev-marine-020923-120737</t>
  </si>
  <si>
    <t>https://www.scopus.com/inward/record.uri?eid=2-s2.0-85176785888&amp;doi=10.1146%2fannurev-marine-020923-120737&amp;partnerID=40&amp;md5=d32e6bd91cc13e7d3cc296f665decc92</t>
  </si>
  <si>
    <t>Sea-level rise (SLR) is influencing coastal groundwater by both elevating the water table and shifting salinity profiles landward, making the subsurface increasingly corrosive. Low-lying coastal municipalities worldwide (potentially 1,546, according to preliminary analysis) are vulnerable to an array of impacts spurred by these phenomena, which can occur decades before SLR-induced surface inundation. Damage is accumulating across a variety of infrastructure networks that extend partially and fully beneath the ground surface. Because the resulting damage is largely concealed and imperceptible, it is largely overlooked as part of infrastructure management and planning. Here, we provide an overview of SLR-influenced coastal groundwater and related processes that have the potential to damage societally critical infrastructure and mobilize urban contamination. In an effort to promote research efforts that can inform effective adaptation and management, we discuss various impacts to critical infrastructure and propose actions based on literature focused specifically on SLR-influenced coastal groundwater. © 2024 Annual Reviews Inc.. All rights reserved.</t>
  </si>
  <si>
    <t>2-s2.0-85176785888"</t>
  </si>
  <si>
    <t>International Journal of Rock Mechanics and Mining Sciences</t>
  </si>
  <si>
    <t>10.1016/j.ijrmms.2024.105637</t>
  </si>
  <si>
    <t>https://www.scopus.com/inward/record.uri?eid=2-s2.0-85182888568&amp;doi=10.1016%2fj.ijrmms.2024.105637&amp;partnerID=40&amp;md5=2dd4cd652bf096dd2c23d53be0554dae</t>
  </si>
  <si>
    <t>Oil productions can result in pore pressure drop in the reservoir, generating an increase in effective stress and leading to reservoir compaction. The compaction in the subsurface reservoir translates to the earth's surface, which is manifested as a loss of elevation (land subsidence), causing damages to oil production facilities and surface infrastructures. The Liaohe oilfield, located in Liaohe River Delta (LRD), northeast of China, is one of the most significant subsidence areas in China as a direct consequence of oil extraction from the reservoir. Previous studies carried out in this area assumed the oil production-induced displacement retrieved from Interferometric Synthetic Aperture Radar (InSAR) corresponds only to vertical deformation. In this work, for the first time, we proposed a method to retrieve the full three-dimensional (3D) displacement field over the oilfield. We retrieved the vertical and east-west displacement components by combining the multiple-geometry InSAR line-of-sight (LOS) observations and retrieved the north-south component based on the assumption of a physical relationship between the horizontal and vertical displacement. Two ascending and two descending datasets from Sentinel-1 satellite covering the area were processed by an InSAR time series analysis over the 2017 to 2021 period, providing consistent displacement rate maps and displacement time series in the LOS direction. Spatial local-scale land subsidence was found in several producing fields over the deltaic region, including Shuguang, Huanxiling, and Jinzhou oilfields. The 3D displacement decomposition was then conducted in Shuguang oilfield. The derived 3D displacement field exhibit a circular subsidence bowl with a maximum subsiding rate reaching 212 mm/year, accompanied by a centripetal pattern of horizontal displacements with maximum rates up to 50–60 mm/year moving towards the subsidence center. The retrieved 3D displacements are in good agreement with predictions from the geomechanical modeling by assuming a disk-shaped reservoir subject to a uniform reduction in pore fluid pressure. Finally, we show the importance of knowing both the vertical and horizontal displacement in characterizing the lateral boundary of the subsurface reservoir. © 2024 Elsevier Ltd</t>
  </si>
  <si>
    <t>2-s2.0-85182888568"</t>
  </si>
  <si>
    <t>10.3390/rs16050898</t>
  </si>
  <si>
    <t>https://www.scopus.com/inward/record.uri?eid=2-s2.0-85187524324&amp;doi=10.3390%2frs16050898&amp;partnerID=40&amp;md5=9372410685a9c213b6580de64b3e3102</t>
  </si>
  <si>
    <t>Coastal areas, influenced by human activity and natural factors, face major environmental shifts, including climate-induced flood risks. This highlights the importance of forecasting coastal land use for effective flood defense and ecological conservation. Japan’s distinct demographic path necessitates flexible strategies for managing its urban development. The study examines the Ibaraki Coastal region to analyze the impacts of land-use changes in 2030, predicting and evaluating future floods from intensified high tides and waves in scenario-based forecasts. The future roughness map is derived from projected land-use changes, and we utilize this information in DioVISTA 3.5.0 software to simulate flood scenarios. Finally, we analyzed the overlap between simulated floods and each land-use category. The results indicate since 2020, built-up areas have increased by 52.37 sq. km (39%). In scenarios of constant or shrinking urban areas, grassland increased by 28.54 sq. km (42%), and urban land cover decreased by 7.47 sq. km (5.6%) over ten years. Our research examines two separate peaks in water levels associated with urban flooding. Using 2030 land use maps and a peak height of 4 m, which is the lower limit of the maximum run-up height due to storm surge expected in the study area, 4.71 sq. km of residential areas flooded in the urban growth scenario, compared to 4.01 sq. km in the stagnant scenario and 3.96 sq. km in the shrinkage scenario. With the upper limit of 7.2 m, which is the extreme case in most of the study area, these areas increased to 49.91 sq. km, 42.52 sq. km, and 42.31 sq. km, respectively. The simulation highlights future flood-prone urban areas for each scenario, guiding targeted flood prevention efforts. © 2024 by the authors.</t>
  </si>
  <si>
    <t>2-s2.0-85187524324"</t>
  </si>
  <si>
    <t>10.1016/j.geomorph.2023.108997</t>
  </si>
  <si>
    <t>https://www.scopus.com/inward/record.uri?eid=2-s2.0-85178378321&amp;doi=10.1016%2fj.geomorph.2023.108997&amp;partnerID=40&amp;md5=dcca6c382ed2936813980b666823377d</t>
  </si>
  <si>
    <t>This research focuses on a geoarchaeological study of the coastal sector extending from Fusaro coastal lake to Punta Pennata Islet, located in the western peripheral area of Campi Flegrei Caldera (Gulf of Pozzuoli, Italy), to reconstruct relative sea-level (RSL) oscillations and related vertical ground movements which have occurred since the Roman period. Campi Flegrei Caldera is characterized by sudden vertical ground movements of volcano-tectonic origin (i.e. bradyseismic crisis) which strongly modified the coastal landscape during the Holocene. Despite this, the area has been densely inhabited since the Greek-Roman times, preserving numerous traces of its ancient splendor. Part of these findings can be interpreted as high- or low- precision sea-level markers, helping in the reconstruction of the RSL change history. By using a multi-technique approach made of both direct and indirect surveys, the latter performed at the key-site of Punta Pennata through the use of an unmanned surface vessel prototype (ARGO), we investigated different archaeological sites with a twofold purpose. We reconstructed the RSL change of the study area during the last 2.1 ka and, by comparing the RSL data with site-specific geophysical models, we demonstrated that during the considered period the area went through five different evolutive phases characterized by an alternation of prevailing uplift, stability, and subsidence of volcano-tectonic origin, bringing the RSL from −4 and +5 m MSL, up to its current elevation. Moreover, by comparing the RSL data with the present-day sea level, we observed a differential overall subsidence of almost 1-m between the inner and outer sectors of the caldera at Miseno Cape. This validated the presence of a fault, crossing the promontory in an NNW-SSE direction, previously mentioned by other authors. Moreover, the integration of our data and historic sources enabled reconstructing the palaeo-environmental scenario of this area during the 1st century BC. © 2023 The Authors</t>
  </si>
  <si>
    <t>2-s2.0-85178378321"</t>
  </si>
  <si>
    <t>10.1016/j.jhydrol.2024.130886</t>
  </si>
  <si>
    <t>https://www.scopus.com/inward/record.uri?eid=2-s2.0-85185827103&amp;doi=10.1016%2fj.jhydrol.2024.130886&amp;partnerID=40&amp;md5=26d29d2bf39a58b076ccde738ee480d1</t>
  </si>
  <si>
    <t>Natural hazards like hurricanes, cyclones, and typhoons frequently cause major economic and livelihood loss in coastal areas around the world. However, accurately predicting sea surface height and flood inundation extent at the operational level remains a challenge. This work tests the hypothesis that assimilating satellite-like sea surface observations within a storm surge model can improve the estimation of storm surge dynamics for operational forecasting. A synthetic experiment is proposed based on Hurricane Irene, which moved along the United States East Coast in 2011. With a focus on the Chesapeake Bay area, a framework is developed to simulate coastal sea surface height using a storm surge model and merging synthetic satellite observations. To represent the “truth” of the system, a hindcast simulation was run for the Hurricane Irene event. Different satellite revisit times are considered to assess the improvement over the numerical model open-loop (i.e., no data assimilation) simulation. Results indicate that the assimilation of synthetic sea surface height observations has the potential to reduce errors and improve the accuracy in the hydrodynamic model simulations by up to 25% (in terms of correlation coefficient), especially when the satellite has short revisit times (i.e., daily, half-daily and flood tides). Such improvements are consistent regardless of the bias sign in the satellite observations and the location, which is fundamental in an operational setting where errors in satellite observations are often unknown. © 2024 Elsevier B.V.</t>
  </si>
  <si>
    <t>2-s2.0-85185827103"</t>
  </si>
  <si>
    <t>10.1016/j.jafrearsci.2023.105163</t>
  </si>
  <si>
    <t>https://www.scopus.com/inward/record.uri?eid=2-s2.0-85182685422&amp;doi=10.1016%2fj.jafrearsci.2023.105163&amp;partnerID=40&amp;md5=5ab4c3178d0c4a5371687600e81db68c</t>
  </si>
  <si>
    <t>A high-resolution quantitative nannoplankton biostratigraphy has been established in four wells based on a total of 1241 subsurface samples to understand and improve hydrocarbon exploration and recovery in the offshore Nile Delta. Ninety-two nannofossil species were used to delineate stages/ages boundaries of the Miocene-Pleistocene succession and to construct the age-depth model. Empirical, semi-quantitative (Graphic Correlation), and quantitative (Unitary Associations ‘UA’) methods retained comparable results, suggesting that the data quality is a master variable in the biostratigraphic resolution of the studied sequence. The UA method retained a sequence of 22 UAs, which exceeded the empirical zones (15</t>
  </si>
  <si>
    <t>10.1007/s11852-023-01015-0</t>
  </si>
  <si>
    <t>https://www.scopus.com/inward/record.uri?eid=2-s2.0-85180521066&amp;doi=10.1007%2fs11852-023-01015-0&amp;partnerID=40&amp;md5=775f46d87ef694e05b5b3a2fb2811325</t>
  </si>
  <si>
    <t>Climate change is an issue that can affect the dynamics of coastal areas. Besides storing abundant potential resources, coastal areas also contain potential hazards related to climate change, including in Indonesian coastal areas. Aerotropolis coastal city of Kulon Progo is one of the areas in Indonesia with those potentials. The survival of the coastal region is essential to Kulon Progo’s vital operations as an aerotropolis city, starting with tourism, the economy, and investment. However, these activities lead to changes in coastal characteristics that climate change exacerbates. We can perform some steps to prevent and reduce coastal hazards, e.g., multi-hazard assessment. The coastal multi-hazards model comprised five types of hazards: ecosystem disruption, gradual inundation, seawater intrusion, erosion, and coastal flooding. The potential for coastal hazards may increase as coastal characteristics change. Therefore, this study aims to identify coastal characteristics based on biogeophysical parameters and to model the spatial distribution of coastal multi-hazards in the Kulon Progo using the Coastal Hazard Wheel (CHW) method. The analysis of biogeophysical parameters according to CHW shows that the coastal area of Kulon Progo consists of sedimentary plain and river mouth landforms. Wave exposure is moderately exposed, with significant wave heights ranging from 2.05 to 2.42 m. The tidal range is included in the class of meso tides with a value range of 2.09 to 2.34 m. The flora/fauna parameters consist of areas not covered by vegetation and covered by coastal forest ecosystem vegetation. Most sediment balances in coastal areas experience a deficit with an average erosion rate of 5.49 m/year. Still, some shorelines encounter a surplus with an average accretion rate of 3.96 m/year. Coastal areas of Kulon Progo are not affected by tropical cyclone activity. The multi-hazard model results indicate a moderate level of ecosystem disruption hazard</t>
  </si>
  <si>
    <t>10.22146/ijg.89225</t>
  </si>
  <si>
    <t>https://www.scopus.com/inward/record.uri?eid=2-s2.0-85213266656&amp;doi=10.22146%2fijg.89225&amp;partnerID=40&amp;md5=f3c2a268cacacd66b7468deaae10e45b</t>
  </si>
  <si>
    <t>A river basin’s flood-prone mapping is essential for managing flood risks, developing mitigation plans, and developing flood forecasting and warning systems, among other things. This research uses the HAND model to estimate the level of flood-prone and its distribution in watersheds. The method used is survey and image interpretation. The data used is DEM imagery with a resolution of 10 meters. Data analysis uses spatial analysis, which includes elevation, hydrological analysis, fill, flow accumulation, flow direction, flow distance, and minus statistical analysis. The results showed that the Serawai watershed has five classes: very prone, prone, moderate, not prone, and very not prone. The very prone class has an area of 112,213.82 ha (65.41%), including Tontang, Sedaha, Nanga Serawai, Begori, Nanga Lekawai, Surga, Buntut Ponte, and Nanga Segulang village. The prone class has an area of 29,356.65 ha (17.14%), spread across the village of part of Beurgea, part of Nanga Segulang, Nanga Jelundung, and part of Tontang village. The moderate level has an area of 18,971.52 ha (11.08%), spread across Tontang, part of Nanga Jelundung, and part of Baras Nabun village. The area with a not-prone is 7,996.20 ha (4.67%), spread across Baras Nabun and parts of Nanga Jelundung village. For areas that are very not prone, they have an area of 3,004.20 (1.75%), spread over parts of the villages of Sedaha, parts of Baras Nabun, and Nanga Jelundung. Based on the research results, it can be concluded that the HAND Model is an effective and easy-to-use model for estimating flood-prone areas. © 2024 Faculty of Geography UGM and The Indonesian Geographers Associaton © 2024 by the authors. Licensee Indonesian Journal of Geography, Indonesia.</t>
  </si>
  <si>
    <t>2-s2.0-85213266656"</t>
  </si>
  <si>
    <t>10.3390/resources13020029</t>
  </si>
  <si>
    <t>https://www.scopus.com/inward/record.uri?eid=2-s2.0-85185659085&amp;doi=10.3390%2fresources13020029&amp;partnerID=40&amp;md5=84ba889a6753d14c9e7ae7036c3e031f</t>
  </si>
  <si>
    <t>The edaphic and environmental changes in Bujagh grasslands have led to a gradual decline in the wintering waterbird populations in the associated national park. This has particularly affected forage habitats for birds, especially migratory geese. Our aim was to identify the reasons for the loss of habitat quality by examining the structure of the plant community and the edaphic factors that have been instrumental in shifting the grass community pattern to a Rush–Rubus type along the succession route. Bujagh National Park is surrounded by marine, riverine fresh water, and lagoon habitats, and the seasonal floodings of the Sefidrud and Ushmak rivers impact the grassland area along the deltaic pathway to the Caspian Sea. We used the TWINSPAN classification function to extract plant groups and their dominant species. Subsequently, we analyzed land cover changes in the study area over two times (2010 and 2020) to identify alterations in the coverage of main plants and land uses. Following the evaluation of unconstrained ordination methods and the selection of NMDS ordination, we compared the dominant species of groups to the main edaphic predictors. The results indicated that the chemicals and heavy metals in the soil did not play a direct role in the shift from grassland to Rush–Rubus plant type. However, these elements could have a significant impact on the evolution of the structure and the competitive capability among the main dominant species of the grass group. In conclusion, the dominance of the Rush–Rubus type is likely related to other unmeasured environmental and anthropogenic factors that support and enhance their reproductive attributes and herbal proliferation in the grassland territory. © 2024 by the authors.</t>
  </si>
  <si>
    <t>2-s2.0-85185659085"</t>
  </si>
  <si>
    <t>10.1029/2023JD039974</t>
  </si>
  <si>
    <t>https://www.scopus.com/inward/record.uri?eid=2-s2.0-85183762367&amp;doi=10.1029%2f2023JD039974&amp;partnerID=40&amp;md5=1c6069525ad20ac20db506c3b9e03462</t>
  </si>
  <si>
    <t>This study focuses on a new compounding concern, the sudden turn from drought to flood (STDF), that is becoming increasingly prominent. This study investigates the long-term trends and variability of STDFs in China during 1961–2020. The findings indicate that STDFs are prevalent in north and northeast China, and the Yangtze River Delta (YRD). The probability of a drought being followed by a severe flood is approaching 35% in northern and northeastern China. Since 1961, the number of STDFs in China has increased at a rate of average 2.8 events per decade. This increase mainly has occurred in late spring and early summer. The likelihood that a drought being followed by a significant pluvial is also increasing. The increasing STDF in northern China is mainly attributable to the increasing flood frequency and volatility of precipitation. Changes in the STDF trend is more dependent on the drought frequency in the YRD. © 2024. American Geophysical Union. All Rights Reserved.</t>
  </si>
  <si>
    <t>2-s2.0-85183762367"</t>
  </si>
  <si>
    <t>10.1016/j.scitotenv.2023.168140</t>
  </si>
  <si>
    <t>https://www.scopus.com/inward/record.uri?eid=2-s2.0-85176215175&amp;doi=10.1016%2fj.scitotenv.2023.168140&amp;partnerID=40&amp;md5=57790fc9a843e2e02ef4ab5b24078ca8</t>
  </si>
  <si>
    <t>The Mekong Delta is one of the most productive rice-producing regions in the world, exporting approximately one-fifth of the global rice traded annually. Previous studies note that saltwater intrusion is a serious concern, and the intensity of saltwater intrusion is primarily driven by sea level rise, land subsidence, anthropogenic sediment starvation, and upstream hydro-infrastructure developments. However, these studies often rely on scenario-based approaches instead of an integrated approach to assess the possible impacts of saltwater intrusion. Using an integrated hydrodynamic-statistical-economic model, we investigate how and the extent to which these drivers may impact the saltwater intrusion. We also examine the costs and returns of two popular saltwater intrusion control policies, i.e., hard-engineering structural and soft-land use planning. When comparing the baseline scenarios, the findings indicate that anthropogenic forces lead to a four times greater saltwater intrusion intensity than the climate change-induced sea level rise. The results further reveal a 50 % or less chance that annual saltwater-affected areas would exceed 1.93 million ha for the baseline, but the likelihood is highly likely to be 100 % with a sea level rising of 22 cm. Under the combined effects of sea-level rise, land subsidence, and riverbed incision, our model shows that the probability of annual saltwater-affected areas staying above 2.30 million ha is almost equal to one. This finding implies that a large share of the current rice-planted areas of the Delta could be wiped out of production for at least one season a year. The findings show that a combination of hard and soft policies would be a more sustainable and cost-effective strategy to lower the intensity and risks of saltwater intrusion. Therefore, there is an urgent need for better coordination of governance and investments among regions within the Delta and counties in the whole Mekong River Basin. © 2023</t>
  </si>
  <si>
    <t>2-s2.0-85176215175"</t>
  </si>
  <si>
    <t>Environmental Modeling and Assessment</t>
  </si>
  <si>
    <t>10.1007/s10666-024-10006-w</t>
  </si>
  <si>
    <t>https://www.scopus.com/inward/record.uri?eid=2-s2.0-85206627840&amp;doi=10.1007%2fs10666-024-10006-w&amp;partnerID=40&amp;md5=dbc43c7f2968598a39c2fab882b0d375</t>
  </si>
  <si>
    <t>Frazil ice, a major component of winter river dynamics, poses hazards through ice jam formation, particularly in regions like Newfoundland, Canada. This study employs an integrated hydrological and river ice hydraulic modeling approach to predict future freeze-up ice jamming events in the Exploits River under climate change scenarios. Focusing on the naturally flowing lower subbasin, the study simulates streamflow and frazil ice generation by integrating HEC-HMS and RIVICE models. Climate scenarios from the Coupled Model Intercomparison Project (CMIP) phase 6 are incorporated using the delta change method. This study aims to evaluate the generation and accumulation of frazil ice and predict future trends in freeze-up ice jamming events. Our study reveals significant insights into the future dynamics of ice cover extents along the Exploits River, particularly in relation to the town of Badger. Notably, our findings indicate a trend toward shorter ice cover durations and later arrivals of the ice cover front at Badger, potentially mitigating flood risk, particularly during milder winter seasons. Moreover, in some scenarios, the projected ice cover may not even reach Badger during these milder winters, further reducing the town’s vulnerability to flooding events. This research is crucial for ensuring infrastructure resilience and community safety in regions where frazil ice dynamics play a critical role in riverine hazards. © The Author(s), under exclusive licence to Springer Nature Switzerland AG 2024.</t>
  </si>
  <si>
    <t>2-s2.0-85206627840"</t>
  </si>
  <si>
    <t>10.1007/s41748-024-00447-4</t>
  </si>
  <si>
    <t>https://www.scopus.com/inward/record.uri?eid=2-s2.0-85205578934&amp;doi=10.1007%2fs41748-024-00447-4&amp;partnerID=40&amp;md5=d7f2dd0aa8f62f2dd18c74b6b1ea5458</t>
  </si>
  <si>
    <t>This study proposes a novel method, the Forensic Investigations Tidal Flood (ForeINTiFlood) framework, to investigate tidal floods in the Pekalongan coast, a region highly susceptible to these events. The key challenge lies in identifying the primary drivers of such floods. ForeINTiFlood addresses this gap by employing a multi-source-temporal geospatial data framework that integrates machine learning and hydrodynamic modeling. This framework offers a robust suite of tools for forensic investigations of coastal tidal flooding. The method leverages a comprehensive set of geo-bio-physical parameters encompassing topographic, bathymetric, shoreline change, land use and land cover, human infrastructure, ecological, and coastal hydrodynamic data. The effectiveness of ForeINTiFlood is assessed through the evaluation of variable importance in machine learning models trained on data spanning 2000 to 2020. The analysis yielded topography, ecology, land use and land cover, and human infrastructure as the most influential variables, with average importance scores of 0.387, 0.245, 0.199, and 0.160, respectively. Accuracy assessments using the k-fold approach demonstrated high performance for Random Forest (RF), Gradient Tree Boosting (GTB), and Classification and Regression Tree (CART) models, achieving average accuracies of 0.927, 0.924, and 0.908, respectively. Furthermore, a positive correlation was observed between the predicted flood probability from the machine learning models and the actual floodwater depth obtained from hydrodynamic modeling for the periods 2000, 2005, 2010, 2015, and 2020, with correlation values ranging from 0.52 to 0.72. These findings suggest a strong link between the model’s predictions and real-world flood occurrences. ForeINTiFlood forensic investigation identified three specific areas (central, western, and eastern) as potential entry points for tidal floods. High-resolution satellite imagery further corroborated these findings. These results hold significant value for coastal zone management, flood mitigation strategies, and the development of resilience plans to combat tidal flooding challenges. Additionally, the results of this study can inform decision-makers in formulating strategies to address tidal flooding problems in the study area. © King Abdulaziz University and Springer Nature Switzerland AG 2024.</t>
  </si>
  <si>
    <t>2-s2.0-85205578934"</t>
  </si>
  <si>
    <t>Environmental Hazards</t>
  </si>
  <si>
    <t>10.1080/17477891.2024.2441799</t>
  </si>
  <si>
    <t>https://www.scopus.com/inward/record.uri?eid=2-s2.0-85212928907&amp;doi=10.1080%2f17477891.2024.2441799&amp;partnerID=40&amp;md5=2d01cccf54c94b20dd77db0d3305cc7d</t>
  </si>
  <si>
    <t>Climate change poses a significant challenge for rice farmers in the southwestern coastal regions of Bangladesh, exacerbating food insecurity. This study investigates the relationship between climate change, food security, and the role of adaptive strategies among rice farmers in Koyra, Dakope, and Paikgacha–three Upazilas in the Khulna region. Data were collected through face-to-face interviews with 843 rice farmers and analysed using descriptive statistics, student t-tests, one-way ANOVA, and stepwise multiple regression. Results showed that 25% of farmers in Koyra, 17% in Dakope, and 13% in Paikgacha experienced extreme food insecurity. Koyra and Dakope reported higher levels of food insecurity compared to Paikgacha. Adaptive strategies accounted for the largest variance (15.8%) in food insecurity, while coastal floods (3.8%), agroforestry (2.8%), and agroecological practices (1.7%) also contributed. Cyclones had the greatest impact in Dakope, whereas adaptive strategies were particularly effective in mitigating food insecurity in Koyra and Paikgacha. The findings highlight that perceived climate change significantly affects food security, with adaptive strategies playing a crucial role in reducing its impact. Future research should focus on longitudinal studies and improved knowledge dissemination to enhance the adoption of effective adaptive practices, particularly among marginal farmers. © 2024 Informa UK Limited, trading as Taylor &amp; Francis Group.</t>
  </si>
  <si>
    <t>2-s2.0-85212928907"</t>
  </si>
  <si>
    <t>10.1007/s11069-024-06984-5</t>
  </si>
  <si>
    <t>https://www.scopus.com/inward/record.uri?eid=2-s2.0-85208236153&amp;doi=10.1007%2fs11069-024-06984-5&amp;partnerID=40&amp;md5=876bad8601bf1fbf086bf10712289520</t>
  </si>
  <si>
    <t>Storm surges in the Western Mediterranean are generally low in magnitude, making their contribution to coastal flooding less significant compared to wave overtopping. Nonetheless, low-lying, sheltered coasts such as deltas and wetlands, which are frequent along the Mediterranean basin are particularly vulnerable to storm surges. This study, focusing on the Ebro Delta as representative of this type of coastal environment, investigates the flooding caused by storm surge alone and in conjunction with other non-wave related factors like astronomical tides and sea level rise (SLR), using the LISFLOOD-FP model. The findings highlight the significant flooding potential of storm surges on passive, and unprotected coasts, while also indicate that astronomical tides have a minor effect on flood extent under prevalent microtidal conditions. SLR greatly increases the impact of storm surges, amplifying temporary inundation in the short term and becoming the dominant factor over time. The study underscores the importance of accurately representing surge duration and small topographic features in flood models to ensure robust coastal inundation assessments in low-lying areas. © The Author(s) 2024.</t>
  </si>
  <si>
    <t>2-s2.0-85208236153"</t>
  </si>
  <si>
    <t>10.3389/feart.2024.1507359</t>
  </si>
  <si>
    <t>https://www.scopus.com/inward/record.uri?eid=2-s2.0-85212291571&amp;doi=10.3389%2ffeart.2024.1507359&amp;partnerID=40&amp;md5=27c89f84f9c6bbf581570d81f5e892d3</t>
  </si>
  <si>
    <t>Introduction: The Lower Jurassic Beipiao Formation in the western Liaoning of northeast China represents a significant case study for understanding the interplay between volcanic activity, sedimentary processes, and organic matter enrichment. Methods: This study aims to investigate the lithofacies, depositional environments, and hydrocarbon potential of the Beipiao Formation, using core, outcrop, thin-section, and geochemical data. Results: Thirteen lithofacies types were identified, which reflect a complex depositional history influenced by volcanic processes and gravity flows. The sedimentary facies analysis revealed three key depositional environments: shallow lake, semi-deep to deep lacustrine, and fan delta. The basin evolution suggests a transition from fan delta deposits to deep lake deposits and then back to fan delta, with volcanic and gravity flow deposits interbedded. Volcanic activity not only provided nutrient-rich environments conducive to biological productivity but also helped create conditions favorable for organic matter preservation. The earthquake, flooding or stormed events induced gravity flow, which favored plant fragments dispersal to the deep-lake and formed type III kerogen in the deep-lake developed area. Discussion: These findings suggest that the Jurassic Beipiao Formation in western Liaoning Province, exhibit significant hydrocarbon potential. This challenges previous assumptions regarding the dominance of shallow water environments and limited exploration prospects within the Yanshan Orogenic Belt. Furthermore, this study highlights the crucial role of volcanic activity and gravity flow in organic matter enrichment, transportation, and preservation within a volcanic-rift basin, with potential applicability to similar basins worldwide. Copyright © 2024 Wen, Xu, Jiang, Liu, Meng, Zhang, Wei, Shen, Li and Zhang.</t>
  </si>
  <si>
    <t>2-s2.0-85212291571"</t>
  </si>
  <si>
    <t>10.3389/frwa.2024.1359196</t>
  </si>
  <si>
    <t>https://www.scopus.com/inward/record.uri?eid=2-s2.0-85191846506&amp;doi=10.3389%2ffrwa.2024.1359196&amp;partnerID=40&amp;md5=1a4b1c14cf67658a8a631ad22fb2fc4c</t>
  </si>
  <si>
    <t>Introduction: Rapid urbanization in coastal areas worldwide, combined with intense precipitation events and coastal flooding exacerbated by climate change, poses an existential challenge for many coastal communities. Floodwater in coastal urban areas contains non-point source pollutants, such as trace metals and fecal coliforms, but the presence of fecal coliforms resistant to antibiotics poses an additional threat to human health and has yet to be reported. Methods: In this study, floodwater samples were collected from four locations in Charleston, SC, a medium-sized coastal city in the southeastern United States. All sites were impacted by flooding: two by tidal and rainfall flooding, one by tidal flooding, and one by stormwater runoff. Since ampicillin is a commonly-prescribed antibiotic for both humans and animals, this study aimed to analyze the patterns of ampicillin-resistant coliform (AmpRC) concentrations as correlated to flood-source and land-use patterns. Results: Floodwater from all areas contained AmpRC and trace metals, with varying contaminant concentrations based on the flood source. No correlations were observed between coliform and trace metal concentrations. Analysis of land-use patterns demonstrated a positive correlation between percent coverage of impervious surfaces and coliform concentrations at all the sites. Discussion: Overall, the results suggest that land-use patterns increase the prevalence of antibiotic-resistant coliforms and increase the likelihood of human exposure to these potential pathogens. Climate change is expected to exacerbate the presence of antibiotic-resistant bacteria in floodwater generated from rainfall and tidal flooding in coastal cities. Cities like Charleston, SC are experiencing rapid urbanization and increased coastal flooding, making this research particularly relevant. Copyright © 2024 Squiggins, Fullerton and Vulava.</t>
  </si>
  <si>
    <t>2-s2.0-85191846506"</t>
  </si>
  <si>
    <t>10.1109/JSTARS.2024.3420130</t>
  </si>
  <si>
    <t>https://www.scopus.com/inward/record.uri?eid=2-s2.0-85197562873&amp;doi=10.1109%2fJSTARS.2024.3420130&amp;partnerID=40&amp;md5=68781115db1e427a79ffb7239127ff19</t>
  </si>
  <si>
    <t>—The Vietnamese Mekong Delta (VMD) has been affected by environmental challenges for several decades, including coastal erosion and land subsidence. Subsidence rates of several cm/yr have been reported in parts of the delta, which are one order larger than the regional sea level rise of 3.3 mm/yr. The precise monitoring of subsidence with high spatial and temporal resolution is essential to understand its causes and associated risks, and to support the development and monitoring of countermeasures. Here, we present subsidence estimates between 2017 and 2022 derived from advanced persistent scatterer interferometry (PSI) applied to Sentinel-1 data. The PSI approach fully integrates temporary persistent scatterers, in order to derive the best possible persistent scatterer network for long time series. Furthermore, we adapted a method to optimally integrate reference points with known displacement to suppress spatially correlated nuisance (SCN) in the derived displacement time series. Due to a lack of geodetic references, we built an infrastructural reference network based on large bridges with piled foundations of about 70 m depth, which are only affected by compaction in deeper soil layers. We compare the method with the standard referencing approach in PSI, and show that referencing to the selected reference bridges with our method enables to measure the largest part of the subsidence while reducing the SCN considerably. We find the highest subsidence rates of more than 7 cm/yr mainly in urban areas, and various kinds of temporal nonlinearities. © 2024 The Authors.</t>
  </si>
  <si>
    <t>2-s2.0-85197562873"</t>
  </si>
  <si>
    <t>10.1080/01490419.2024.2388321</t>
  </si>
  <si>
    <t>https://www.scopus.com/inward/record.uri?eid=2-s2.0-85201313354&amp;doi=10.1080%2f01490419.2024.2388321&amp;partnerID=40&amp;md5=af8c2e65179a6ceb14e16041d08b98c1</t>
  </si>
  <si>
    <t>This study investigates morphological changes, erosion-accretion patterns, and climate change impacts on Bangladesh’s dynamic coastal regions focusing on the Meghna Estuary and islands like Sandwip, Urir Char, and Swarna Dweep. Using remote sensing and GIS techniques, the research analyzes short-term (5-year) and long-term (30-year) changes from 1991 to 2021. Satellite imagery reveals significant erosion and accretion rates. Sandwip experienced high erosion (up to 29.48 km2 every 5 years) until 2006 but recent stability. Urir Char faced substantial erosion (up to 22.73 km2 every 5 years) until 2001 in the southeast and accretion in the north. Swarna Dweep showed minimal erosion but significant accretion. The islands exhibited migration tendencies: Swarna Dweep southeast, Sandwip northeast, and Urir Char northwest. Cyclones, including the 1991 event, Sidr, and Aila, significantly reshaped coastal morphology. Climate change impacts include increasing rainfall trends (up to 0.8572 mm/year on Sandwip), rising temperatures (up to 0.005 °C/year on Urir Char), and accelerated sea-level rise (up to 11.93 mm/year on Sandwip). The study emphasizes the importance of monitoring, coastal management, and adaptation strategies for Bangladesh’s dynamic coastline in the face of ongoing environmental changes. © 2024 Informa UK Limited, trading as Taylor &amp; Francis Group.</t>
  </si>
  <si>
    <t>2-s2.0-85201313354"</t>
  </si>
  <si>
    <t>10.1007/s11069-024-06993-4</t>
  </si>
  <si>
    <t>https://www.scopus.com/inward/record.uri?eid=2-s2.0-85208069469&amp;doi=10.1007%2fs11069-024-06993-4&amp;partnerID=40&amp;md5=83d509ec69e2194e81b0598d69962d9c</t>
  </si>
  <si>
    <t>Under the context of climate change, the projection of regional future climate can effectively deal with potential future meteorological and hydrological disasters. However, the accuracy of regional climate projection is often directly affected by downscaling methods. Therefore, this study selected dynamic downscaling, statistical downscaling, and dynamic-statistical downscaling to downscale global climate models in the Pearl River Delta (PRD), China, and compared the accuracy of the results on the annual, monthly, and daily scales to evaluate their adaptability. The downscaling method with the highest accuracy was used to project the future (2040–2100) climate of the PRD. The dynamic-statistical downscaling method exhibited the highest adaptability as it combines the advantages of the other two methods and performs better in both the trend and magnitude projections of climate variables. The future temperature, rainfall, and extreme climate indices in the PRD were generally projected to increase, especially in SSP585 scenario, but the increasing trends generally varied among the variables. The temperature was projected to gradually stabilize in the future low grade scenario, while under the future high-grade scenario it exhibited an increasing trend. Significant increases in rainfall were mainly observed in the highly urbanized central and coastal areas of the PRD during the flood season, and were projected to continue to increase under all future scenarios. The spatial characteristics of extreme climate indices are complex, yet they are all projected to increase in most future scenarios. Therefore, it is extremely important to carefully prepare in advance for disasters caused by extreme climate events. © The Author(s), under exclusive licence to Springer Nature B.V. 2024.</t>
  </si>
  <si>
    <t>2-s2.0-85208069469"</t>
  </si>
  <si>
    <t>Geodetski List</t>
  </si>
  <si>
    <t>https://www.scopus.com/inward/record.uri?eid=2-s2.0-85211104343&amp;partnerID=40&amp;md5=0c1fd3e8ecb4c379a0536be447ff0b72</t>
  </si>
  <si>
    <t>Pantura is one of the regions on the north coast of Java Island that is vulnerable to subsidence disasters. However, in reality, subsidence and uplift occur in the form of emergent land due to high sedimentation rates. Subsidence and uplift are part of the earth’s dynamic equilibrium in maintaining a ratio of water area of 71% to land area of 29%. This process gives rise to pseudo-dynamics, which are often overlooked, resulting in errors that frequently occur in disaster mitigation, regional planning, and infrastructure development. This research aims to identify the pseudo-dynamics in Pantura using dynamics topography. Dynamics topography is a geomodelling and geoforensics approach by integrating the latest DTM, time-series topography, and time-series vertical deformation (modified D-InSAR method) so that it is known how to classify the dynamics topography changes in the areas being studied. The data used are topography maps made in England (1817), topography maps made in the US Army (1944), Indonesia topography map (2018), WorldView 2/3 from World Imagery (2022), and Sentinel-1 (2017–2022). The research area is located in 26 regions, divided into the West Pantura (10 areas), the Central Pantura (8 areas), and the East Pantura (8 areas). The research results obtained three criteria for areas experiencing pseudo-dynamics, namely subsidence, uplift, and alternating subsid-ence–uplift. Areas experiencing subsidence (13 areas) are Tangerang–Jakarta, Jakarta, South Tangerang–Depok–Bogor–Bekasi, Jakarta–Bekasi–Citarum estuary, Pemalang–Pekalongan, Pekalongan–Batang, Batang–Kendal, Kendal– Semarang, Semarang, Semarang–Demak–Jepara, Lamongan–Gresik–Suraba-ya, Surabaya–Sidoarjo, and Sidoarjo–Pasuruan. The areas experiencing uplift (7 areas) are Seribu Islands (North), Seribu Islands (South), Karawang–Subang, Subang–Indramayu, Indramayu–Cirebon, Indramayu–Cirebon, and Karimun Jawa Islands. The areas experiencing alternating subsidence and uplift (6 ar-eas) are Banten–Tangerang, Citarum estuary–Karawang, Brebes–Tegal, Tegal– Pemalang, Jepara–Pati, and Pati–Rembang–Tuban–Lamongan. The results of this pseudo-dynamics research with dynamics topography can be used to consider disaster mitigation and regional planning in Pantura. © 2024, Croatian Geodetic Society. All rights reserved.</t>
  </si>
  <si>
    <t>2-s2.0-85211104343"</t>
  </si>
  <si>
    <t>10.1080/19475705.2024.2361812</t>
  </si>
  <si>
    <t>https://www.scopus.com/inward/record.uri?eid=2-s2.0-85195424188&amp;doi=10.1080%2f19475705.2024.2361812&amp;partnerID=40&amp;md5=0a36cacf42d68106bee62138542a03c9</t>
  </si>
  <si>
    <t>The paper integrates well-established methods from other spheres of flood risk assessment in a novel way to explore the currently poorly understood Safe Development Paradox (SDP) phenomenon in coastal settings. The study contributes to addressing this knowledge gap based on insights from contrasting UK case studies: Portsmouth, Weston-super-Mare, and Southport. Differential analysis of historic LiDAR Digital Surface Models (DSMs) was used to identify temporal changes in the urban landscape to create a DSM of Difference (DoD), representing elevation change between two locations over time. Geostatistical testing, specifically t-tests, were then used to infer statistical significance of changes in urban development. The findings reveal a consistent pattern: following completion or improvement of large-scale structural coastal flood defences, there is subsequent, and statistically significant, increases in urban development within/near flood-exposed areas across all three case studies, contrary to the limited flood-exposed development in neighbouring settlements, with no comparable defences constructed during the same period. On average, new urban development occurs approximately 2 years after the completion of coastal flood defence projects. The study emphasises the importance of context-specific and neighbourhood analyses, considering settlement size, economy, and extraneous factors influencing the nature of development to better understand the SDP’s long-term implications. © 2024 The Author(s). Published by Informa UK Limited, trading as Taylor &amp; Francis Group.</t>
  </si>
  <si>
    <t>2-s2.0-85195424188"</t>
  </si>
  <si>
    <t>10.1007/s11069-024-07070-6</t>
  </si>
  <si>
    <t>https://www.scopus.com/inward/record.uri?eid=2-s2.0-85212082280&amp;doi=10.1007%2fs11069-024-07070-6&amp;partnerID=40&amp;md5=645de9ecb055118198f82c08b161b8be</t>
  </si>
  <si>
    <t>Climate change is driving the rapid global expansion of glacial lakes, particularly in mountainous regions like the southeastern Tibetan Plateau. Moraine-dammed lakes (MDLs), formed by glacial meltwater blocked by glacial moraine dams, significantly risk outburst floods with devastating consequences. Our study focuses on the Yigong Tsangpo Basin, using Landsat satellite imagery from 1990 to 2022 to analyze changes in glacial lake size and distribution. We observed a 17.24% rise in glacial lake numbers and a 54.7% increase in their total area over 32 years. We selected six easily obtainable assessment factors based on the extracted results and DEM information. We proposed a simple logistic regression model to assess MDL outburst susceptibility. The model effectively determined the outburst susceptibility of historical MDL events in southeastern Tibet beyond the Yigong Tsangpo Basin. Applied to the Yigong Tsangpo Basin, the model highlighted 11 high-risk lakes requiring immediate attention. This study provides valuable preliminary references for disaster prevention and mitigation of MDL outbursts in southeastern Tibet. © The Author(s), under exclusive licence to Springer Nature B.V. 2024.</t>
  </si>
  <si>
    <t>2-s2.0-85212082280"</t>
  </si>
  <si>
    <t>USGS Scientific Investigations Report</t>
  </si>
  <si>
    <t>10.3133/sir20245115</t>
  </si>
  <si>
    <t>https://www.scopus.com/inward/record.uri?eid=2-s2.0-85211779548&amp;doi=10.3133%2fsir20245115&amp;partnerID=40&amp;md5=fbf14a3a2970cd09c03bcb99e00a33d6</t>
  </si>
  <si>
    <t>Digital flood-inundation maps for a nearly 6-mile reach of the Cuyahoga River at Jaite, Ohio, were created by the U.S. Geological Survey (USGS) in cooperation with the Northeast Ohio Regional Sewer District Board of Trustees. The maps depict estimates of the extent and depth of flooding corresponding to selected water levels (stages) at USGS streamgage 04206425 on the Cuyahoga River at Jaite, Ohio. Water-surface profiles were computed for the stream reach by using a one-dimensional steady-state step-backwater model. The hydraulic model was calibrated to the current USGS streamgage data and then used to compute 15 water-surface profiles for flood stages at 1-foot intervals referenced to the streamgage datum and ranging from 6 to 20 feet, which correspond to below “action stage” to “major flood stage” as reported by the National Weather Service. The simulated water-surface profiles were then used with a geographic information system digital elevation model derived from light detection and ranging data to delineate the areas flooded at each stage. These maps, along with current stage data from the USGS streamgage and forecasted high-flow stages from the National Weather Service, can provide emergency management personnel and residents with information that is critical for flood response activities such as evacuations and road closures, as well as for postflood recovery efforts. © 2024, US Geological Survey. All rights reserved.</t>
  </si>
  <si>
    <t>2-s2.0-85211779548"</t>
  </si>
  <si>
    <t>Australian Journal of Water Resources</t>
  </si>
  <si>
    <t>10.1080/13241583.2024.2429226</t>
  </si>
  <si>
    <t>https://www.scopus.com/inward/record.uri?eid=2-s2.0-85210562983&amp;doi=10.1080%2f13241583.2024.2429226&amp;partnerID=40&amp;md5=26dc2a6dcdf4b8f838176c7ce2599803</t>
  </si>
  <si>
    <t>Flooding poses a major challenge to urbanised areas around the world. Increasing resilience is therefore key, especially in low-lying coastal areas. To assess to what extent and why flood risk management projects improve urban resilience, we developed an approach that combines an assessment of impacts on an area’s functional resilience and the adaptive capacity of citizens. Application of the approach to the Dudley Creek flood remediation project in Christchurch, New Zealand, shows that the project had a positive impact on the area’s resilience. Yet, if the project had paid more attention to combining hard infrastructure interventions with citizen engagement, its positive impact would have been higher. This study confirms the relevance of combining engineering and social perspectives on urban resilience, both in assessing resilience and in designing flood risk management projects. Practitioners are invited to use the framework to design projects that improve an urban area’s resilience in a holistic manner. © 2024 The Author(s). Published by Informa UK Limited, trading as Taylor &amp; Francis Group.</t>
  </si>
  <si>
    <t>2-s2.0-85210562983"</t>
  </si>
  <si>
    <t>10.22146/ijg.91114</t>
  </si>
  <si>
    <t>https://www.scopus.com/inward/record.uri?eid=2-s2.0-85202675821&amp;doi=10.22146%2fijg.91114&amp;partnerID=40&amp;md5=dea4d013a9840ca49f3829a05118ec2e</t>
  </si>
  <si>
    <t>A flood is a natural disaster that may happen anywhere and anytime. These disasters have become an annual cycle in Indonesia, and it is important to be swift in their mitigation and control. This study aims to determine the vulnerability of flooding in Silat Hulu and the extent of the area likely to be submerged. The method used was survey and secondary interpretation data. Data was from topographic maps, Sentinel 2A images, and 10 x 10 m resolution DEM images acquired on November 21, 2021, obtained from the ALOS PALSAR imagery. Data analysis using ArcGIS 10.8, using the weighted overlay spatial analysis tool. The results showed that the study location had three flood vulnerability classes: low, medium, and high. The locations with low vulnerability classes have an area of 2,921 ha, moderate have 32,683 ha, and high have 28,208 ha. Low flood vulnerability is spread to a small extent in Nangau Luan, Nangau Lungu, and Landau Badai villages. The level of vulnerability is mostly in Nangau, Nangau Lungu, and Landau Storm. The high level of vulnerability is mainly spread in the villages of Nangau Dangkan, Blimbing, Nangau Ngeri, and Nangau Lungu. GIS and remote sensing approaches are practical tools for flood-prone maps. Furthermore, GIS-based flood vulnerability mapping and remote sensing are valuable tools for estimating flood vulnerability areas. ©2024 Faculty of Geography UGM and The Indonesian Geographers Associaton.</t>
  </si>
  <si>
    <t>2-s2.0-85202675821"</t>
  </si>
  <si>
    <t>Current Science</t>
  </si>
  <si>
    <t>10.18520/cs/v127/i4/461-474</t>
  </si>
  <si>
    <t>https://www.scopus.com/inward/record.uri?eid=2-s2.0-85202780907&amp;doi=10.18520%2fcs%2fv127%2fi4%2f461-474&amp;partnerID=40&amp;md5=e59ac662062531f7348427dc9dc241af</t>
  </si>
  <si>
    <t>Concepts, approaches and frameworks for assessing the impacts of climate change are evolving quickly. Due to their particular geographic location, proximity to oceans, concentration of populated regions, and infrastructure, coastal communities are particularly sensitive to the effects of climate change. The present study aims to develop a thematic map based on the CID (climatic impact-drivers) framework proposed in the assessment report-6 of the Intergovernmental Panel on Climate Change (IPCC) to evaluate the climate change’s physical hazards in the coastal districts of India. The study points out that West Bengal and Odisha are the two states with the highest cyclone hazard index values making them most vulnerable to cyclones. At the same time, Kerala, Andhra Pradesh and West Bengal respectively fall in the extremely severe category of flood, heatwave and shoreline change hazards. The maritime state of Gujarat along with Diu and Daman experiences maximum severity for the sea level rise hazard. The multi-hazards index developed in the study by considering 14 threshold-based CID indices showed that the coastal state of Andhra Pradesh has the highest proneness to the physical hazards due to climate change. © (2024), (Indian Academy of Sciences). All Rights Reserved.</t>
  </si>
  <si>
    <t>2-s2.0-85202780907"</t>
  </si>
  <si>
    <t>10.1007/s13412-024-00993-3</t>
  </si>
  <si>
    <t>https://www.scopus.com/inward/record.uri?eid=2-s2.0-85210554381&amp;doi=10.1007%2fs13412-024-00993-3&amp;partnerID=40&amp;md5=42168d72f59a64087c931361cf0a9264</t>
  </si>
  <si>
    <t>Annual extreme weather events (EWEs) significantly threaten the coastal aquaculture sector in Quang Ngai (QN) province in Vietnam. A survey was conducted on 91 participants to assess the extent of losses and damages (LDs) caused by EWEs to coastal aquaculture production at the household level. The data were processed and analyzed through descriptive statistics using the open source RTool (R version 4.4.0) and market price methods to compare LDs at different production forms (estuaries, sand, and lagoons), scales (small, medium, and large), and EWEs. Three-way ANOVA was employed to assess the contribution of factors on the LDs. Our survey indicated that the small-scale production in the lowlands (estuaries and lagoons) and the medium- and large-scale households (HHs) farming on the sand were greatly affected by EWEs. Due to floods and typhoons, lowlands lost about 8–9% of income and 10–20% of initial investment. For farming on the sand, our study found that heat waves and extreme rainfall caused a loss of about 12% and 9%, respectively, compared to profit and initial investment. This study also showed that the type and size of farms and the interaction between the type of EWEs and the aquaculture form and production scales contributed significantly to the loss of coastal aquaculture HHs in QN province. The results and findings of the study herein described are meant to develop mitigation and adaptation strategies at the household and local fisheries sector levels in QN province. © AESS 2024.</t>
  </si>
  <si>
    <t>2-s2.0-85210554381"</t>
  </si>
  <si>
    <t>10.3389/frwa.2024.1403286</t>
  </si>
  <si>
    <t>https://www.scopus.com/inward/record.uri?eid=2-s2.0-85195560847&amp;doi=10.3389%2ffrwa.2024.1403286&amp;partnerID=40&amp;md5=8b3b0e2af654c0767a1f6c19a7f7ad7c</t>
  </si>
  <si>
    <t>The risk of high river flow and peak storm surge superimposing in the estuary of small-and medium-sized rivers can be more severe during typhoon landfalls than at other times. In this study, 30 cases of typhoon track ensemble experiments for five rivers in Mikawa Bay, Japan, were evaluated using an atmospheric-river-ocean model. The results showed that storm surges coincided with high river flows when typhoons crossed the western side of Mikawa Bay, with the highest potential observed when typhoons passed northwest of the Bay. The average time discrepancy for the five rivers between the storm surge occurrence and increased river flow in the minimum time difference case was 48 min at the river mouth. Distinct trends in the time difference between a storm surge and river flow were observed for each river mouth. The order of time differences corresponded to the drainage area scale: Toyo (188 min), Umeda (112 min), Otowa (114 min), Sana (96 min), and Yagyu (88 min). Time difference trends also varied based on the distance between the typhoon center and each river mouth. For Toyo River, storm surges and high river flows did not substantially overlap, regardless of distance. However, for medium-and small-sized rivers, the time difference increased proportionally with the distance from the typhoon. The Yagyu River showed the highest potential for compound occurrence of a storm surge and river flood because of the synchronization of storm surge peaks and high river flow peaks, with a time difference of 1–2 h for small-and medium-sized rivers within 100 km2 of the basin. Copyright © 2024 Haruyama, Toyoda, Kato, Mori, Kim and Yoshino.</t>
  </si>
  <si>
    <t>2-s2.0-85195560847"</t>
  </si>
  <si>
    <t>10.3389/feart.2024.1351581</t>
  </si>
  <si>
    <t>https://www.scopus.com/inward/record.uri?eid=2-s2.0-85203523807&amp;doi=10.3389%2ffeart.2024.1351581&amp;partnerID=40&amp;md5=b93b47e1b7cf6090b5a8bb57512f200e</t>
  </si>
  <si>
    <t>Subsidence refers to the gradual lowering or sudden sinking of the ground surface and is known to impact human lives in terms of damages to the infrastructures, utility lines, and buildings as well as changes in the surficial drainage systems and groundwater conditions. The impacts of land subsidence will be greater in the future, considering the sea level rise, population growth, intensification of coastal erosion and extreme events, as well as increase in flood risk or freshwater salinization, mostly in coastal cities. The main aim of this work is to provide an open-source, peer-reviewed, and comprehensive database identifying the main and secondary causes of land subsidence in 143 coastal cities. We highlight the potential impacts of subsidence that are still unknown in some at-risk cities and non-existence of mitigation measures. The database additionally shows that mitigation measures, specifically those addressing subsidence due to groundwater extraction, have proven successful in the past. The proposed database aims to increase the knowledge on the subsidence phenomenon and also global awareness of land subsidence issues among researchers, the scientific community, stakeholders, and policymakers in terms of urban planning and development. Copyright © 2024 Pedretti, Giarola, Korff, Lambert and Meisina.</t>
  </si>
  <si>
    <t>2-s2.0-85203523807"</t>
  </si>
  <si>
    <t>Applied Mobilities</t>
  </si>
  <si>
    <t>10.1080/23800127.2024.2363610</t>
  </si>
  <si>
    <t>https://www.scopus.com/inward/record.uri?eid=2-s2.0-85195206584&amp;doi=10.1080%2f23800127.2024.2363610&amp;partnerID=40&amp;md5=ae78f6123e2cba25c87a0c00eb444177</t>
  </si>
  <si>
    <t>The high incidence of crime, gender-based violence, and flood disasters in the urban and suburban landscape, coupled with limited land and minimal urban planning budgets in Caribbean Small Island Developing States (SIDS) have created an environment with inadequate implementation of United Nations Sustainable Development Goals (UNSDG). Given these shortcomings, this study analyzed walkability in a Caribbean SIDS environment in order to improve the human- and spatial environment-centric urban space embodied in many of the UNSDG. A questionnaire qualitatively assessed five components of walkability: security from criminal activity, protection from moving vehicles, thermal comfort, a physical walkable infrastructure, and accessibility for the differently abled persons. Of these five walkability criteria, respondents rated security from criminal activity, and accessibility for the differently abled as the least satisfactory. Through this walkability assessment, this research identified a gap between walkability principles applied globally in walkability studies and their feasibility in SIDS. © 2024 Informa UK Limited, trading as Taylor &amp; Francis Group.</t>
  </si>
  <si>
    <t>2-s2.0-85195206584"</t>
  </si>
  <si>
    <t>Geological Quarterly</t>
  </si>
  <si>
    <t>10.7306/GQ.1726</t>
  </si>
  <si>
    <t>https://www.scopus.com/inward/record.uri?eid=2-s2.0-85202583340&amp;doi=10.7306%2fGQ.1726&amp;partnerID=40&amp;md5=af89924fe3e38f104ae450c0d8d4ddd2</t>
  </si>
  <si>
    <t>Over the recent years, post-mining terrain deformations have been increasingly frequent around Trzebinia. Sinkholes appearing closer and closer to buildings have become a significant geohazard. The research demonstrated that the problem of post-mining deformation in the area is much more extensive than previously estimated. Identification of the deformations involved analysis of historic aerial photographs, airborne laser scanning data, orthophotomaps and satellite radar data. Moreover, laser scanning of the selected areas using an unmanned aerial vehicle and a terrestrial laser scanner was carried out together with field mapping work. A comprehensive survey of sinkholes, including those previously unknown – located outside built-up areas – allowed an assumption to be made that areas where sinkholes had been remediated in the past were also at significant risk. A number of sinkholes are also located outside areas of shallow mining (up to 100 m below ground level). In the study area, 527 sinkholes and 254 linear-type deformations (post-mining faults) were identified. The use of satellite radar interferometry made it possible to state that continuous deformations also occur in the area of influence of the former ""Siersza"" Hard Coal Mine. In the past, this was the subsidence of the terrain, and currently an uplift is faced in this area which, in some places, reaches up to 20 mm per year. © 2024, Polish Geological Institute. All rights reserved.</t>
  </si>
  <si>
    <t>2-s2.0-85202583340"</t>
  </si>
  <si>
    <t>Earth Sciences Research Journal</t>
  </si>
  <si>
    <t>10.15446/esrj.v28n3.113693</t>
  </si>
  <si>
    <t>https://www.scopus.com/inward/record.uri?eid=2-s2.0-85211366716&amp;doi=10.15446%2fesrj.v28n3.113693&amp;partnerID=40&amp;md5=9c0a0576cd5cb04faff547913d8906b3</t>
  </si>
  <si>
    <t>The city of San Francisco de Campeche, located in the Yucatan Peninsula, Mexico, is vulnerable to coastal flooding due to its geographical location and low altitude terrain. Under these inherent site conditions, sea level rise associated with climate change represents a potential threat to people’s property and goods in the coming decades. In this work, three scenarios of sea level rise in the coastal area of the city of San Francisco de Campeche were evaluated through numerical simulation and using wave and wind data obtained from the ERA5 reanalysis model as inputs: astronomical tide data and a high-resolution topobathymetric model. The scenarios evaluated correspond to the periods 2031-2050, 2046-2065, and 2081-2100 reported in the latest IPCC assessment report. Damage to people’s property and goods was analyzed using the CENAPRED methodology based on the type of housing. The results allow identifying that the area of the old neighbor-hood of San Román, Colonia Miramar, Pedro Sainz de Baranda, Adolfo Ruiz Cortinez, Resurgimiento avenues, and the Campeche-Merida and Campeche-Champoton coastal highway, as well as the federal and state government offices they will be the most affected areas by sea level rise with economic damages exceeding $13,860,322 Mexican pesos ($USD 805,832.67) under the 2031-2050 scenario, $14,706,754 Mexican pesos ($USD 855,043.83) in the 2046-2065 scenario and $22,536,250 Mexican pesos ($USD 1,310,247.09) in the 2081-2100 scenario</t>
  </si>
  <si>
    <t>International Journal of Digital Earth</t>
  </si>
  <si>
    <t>10.1080/17538947.2024.2441928</t>
  </si>
  <si>
    <t>https://www.scopus.com/inward/record.uri?eid=2-s2.0-85212278900&amp;doi=10.1080%2f17538947.2024.2441928&amp;partnerID=40&amp;md5=286c7e3262d267e5b9c99a3ddedd2fc9</t>
  </si>
  <si>
    <t>This research addresses the knowledge gap regarding glacier surging detection (GSD) and their potential downstream implications for Glacier Lake Outburst Floods (GLOFs) risk. This study investigates GSD across the Karakoram region, Pakistan, focusing on 30 glaciers from 2013 to 2023. The increasing occurrence of irregular and rapid glacial surges poses significant threats to downstream communities, the potential formation of ice dam lakes, and subsequent outburst floods. High-resolution satellite imagery, DEM, temperature, and precipitation data quantified glacier velocity rate (GVR) using feature-tracking, surge detection, and correlations. Findings indicate substantial movement ≥42 m/y during 2015–19 and 2021–22, peaking at 56.98 m/y in 2018–19</t>
  </si>
  <si>
    <t>10.1007/s10668-024-05355-1</t>
  </si>
  <si>
    <t>https://www.scopus.com/inward/record.uri?eid=2-s2.0-85204301595&amp;doi=10.1007%2fs10668-024-05355-1&amp;partnerID=40&amp;md5=2557e2c9624fb7614fee61281395276a</t>
  </si>
  <si>
    <t>Coastal erosion poses a significant threat to the sustainability of urban coastal areas, endangering communities and economies alike. Addressing this complex issue requires innovative strategies that integrate diverse perspectives and robust decision-making frameworks. Traditional methods of assessing coastal erosion risks often lack a robust decision-making framework that can handle the complexity and variability of coastal environmental issues. In this study, we propose an innovative method that combines a Hyper-Delphi Hierarchy (HDH) approach and multi-criteria decision analysis (MCDA) to evaluate erosion risks in coastal cities, as demonstrated in a case study conducted in Kuala Nerus and Kuala Terengganu, Malaysia. We demonstrated high- and low-risk important criteria values and determined the main factors influencing coastal erosion risk by a thorough analysis of objective field data and expert opinions. Notably, the presence of rivers emerges as a significant risk factor, with a score of 0.282, followed closely by changes in the shoreline at 0.275, and floods at 0.251. Surprisingly, the effect of built-up areas appears lower than anticipated, registering a score of 0.073. These scores derived from the HDH model, represent the weighted importance of various risk factors based on expert evaluations and reflect the relative significance of each factor in contributing to coastal erosion risk. This HDH study demonstrated hazard criteria and layer weight and integrated Geographic Information Systems (GIS) spatial data for assessing coastal erosion risk, providing important insights into coastal city sustainability (CCS). Areas like Bukit Besar, Kuala Nerus, and Batu Rakit were identified as having the highest risk, with large areas of extremely hazardous conditions. In contrast, Pengadang Buluh displayed the lowest risk due to effective coastal defense measures. Our research provides a methodological blueprint that helps identify key erosion risk factors to prioritize in mitigation strategies. Future research will benefit from incorporating these findings into vulnerability and hazard mapping studies, for example, by adopting weighting factors for GIS layers, to contribute to erosion mitigation planning in coastal cities. © The Author(s), under exclusive licence to Springer Nature B.V. 2024.</t>
  </si>
  <si>
    <t>2-s2.0-85204301595"</t>
  </si>
  <si>
    <t>10.3133/sir20245122</t>
  </si>
  <si>
    <t>https://www.scopus.com/inward/record.uri?eid=2-s2.0-85213028968&amp;doi=10.3133%2fsir20245122&amp;partnerID=40&amp;md5=3cbf46bd4c31ba020c8ad7bed0aa6015</t>
  </si>
  <si>
    <t>Digital flood-inundation maps for a 9.9-mile reach of the Cuyahoga River in and near Independence, Ohio, were created by the U.S. Geological Survey (USGS) in cooperation with the Northeast Ohio Regional Sewer District Board of Trustees. Water-surface profiles were computed for the stream reach by using a one-dimensional steady-state step-backwater model. The model was calibrated to the current (2024) stage-streamflow relation (rating curve 43.0) for the USGS streamgage 04208000, Cuyahoga River at Independence, Ohio. The resulting hydraulic model was then used to compute 13 water-surface profiles for water levels (flood stages) ranging from 14.00 to 26.00 feet. The flood stages range from “action stage” to above “major flood stage” as reported by the National Weather Service. The simulated water-surface profiles were then used in combination with a digital elevation model derived from light detection and ranging data to map the inundated areas associated with each flood profile. The flood-inundation maps and the supporting hydraulic model produced by this study can be used by emergency managers and local officials to assess flood mitigation strategies and to define flood hazard areas to protect life and property, to coordinate flood response activities such as evacuations and road closures, and to aid postflood recovery efforts. © 2024, US Geological Survey. All rights reserved.</t>
  </si>
  <si>
    <t>2-s2.0-85213028968"</t>
  </si>
  <si>
    <t>LUMS Law Journal</t>
  </si>
  <si>
    <t>https://www.scopus.com/inward/record.uri?eid=2-s2.0-85198985136&amp;partnerID=40&amp;md5=d22dce000c5b3fd9a38dfecafe0f0821</t>
  </si>
  <si>
    <t>The Indian subcontinent is characterised by its lengthy peninsular coastline, home to a large and rich diversity of flora and fauna. However, increasing urbanisation, industrialisation, tourism, recreation, and other developmental activities have taken a toll on one of the world’s most delicate ecosystems by severely disturbing the ecological equilibrium. While these coastal regions are of great importance to the economy, they usually receive little attention from the ecological point of view. Until 1991, the activities carried out in the coastal areas were unregulated. Hasty clearances, rampant norm violations, and the unchecked and uncontrolled establishment of thermal and nuclear power plants, ports, ship-breaking yards, shrimp farms, etc., have unsurprisingly destroyed the fragile coastal ecosystem. This has led to the salinisation of groundwater as well. Massive deforestation for industrialisation and urbanisation around these areas has made them further susceptible to flooding and other environmental calamities, including climate change. Most developmental activities in the coastal areas, including the No Development Zone (“NDZ”), are unscientific and unsustainable. Though the Coastal Regulation Zone (“CRZ”) Notifications have been aimed at addressing the coastal ecosystem’s concerns and balancing conflicting interests, they have not yielded the desired results. In light of this background, this paper aims to evaluate the efficacy of these notifications by comparing the various CRZ areas in these notifications. Considering the proactiveness shown by the adjudicating forums and the civil society in safeguarding the coastal ecosystem, the authors would provide comprehensive and realistic suggestions for better conservation of CRZ. © 2024 Shaikh Ahmad Hassan School of Law. All rights reserved.</t>
  </si>
  <si>
    <t>2-s2.0-85198985136"</t>
  </si>
  <si>
    <t>Cogent Social Sciences</t>
  </si>
  <si>
    <t>10.1080/23311886.2024.2390181</t>
  </si>
  <si>
    <t>https://www.scopus.com/inward/record.uri?eid=2-s2.0-85201790967&amp;doi=10.1080%2f23311886.2024.2390181&amp;partnerID=40&amp;md5=be5d01f749bed882295ce27fec5ab252</t>
  </si>
  <si>
    <t>This study delves into the intricate challenges posed by climate variability for rice farmers in the Vietnamese Mekong Delta. It systematically explores the patterns of climate variability and their profound impacts on rice production across diverse areas within the delta. Through an examination of both collective and individual responses to these challenges, the study identifies local rice adaptation strategies. Data collection methods include focus group discussions and semi-structured interviews. The findings unveil notable regional disparities, with farmers in Can Tho and Bac Lieu facing more severe impacts of climate variability during different rice crops compared to those in An Giang province. Can Tho farmers navigate floods and sudden cold, while their counterparts in Bac Lieu contend with risks associated with saline intrusion due to water shortages in the Mekong River and compromised sluice gates. Bac Lieu’s farmers face additional constraints, such as compromised harvests due to heavy rain, resulting in lower quality and prices. This study underscores the importance of collective actions, such as water drainage in Can Tho and freshwater storage in Bac Lieu, in mitigating climate variability. Unfortunately, local innovations in collective action have been constrained by disagreements and conflicts among different stakeholder groups. In light of this, the implications suggest that climate variability in the Mekong has become increasingly complex in recent years, particularly with issues like saline intrusion and drought. Collective adaptation through government intervention at various levels remains a viable strategy to encourage different communities of rice producers to adapt to climate variability. © 2024 The Author(s). Published by Informa UK Limited, trading as Taylor &amp; Francis Group.</t>
  </si>
  <si>
    <t>2-s2.0-85201790967"</t>
  </si>
  <si>
    <t>Modern Cartography Series</t>
  </si>
  <si>
    <t>10.1016/B978-0-443-23890-1.00013-X</t>
  </si>
  <si>
    <t>https://www.scopus.com/inward/record.uri?eid=2-s2.0-85205007842&amp;doi=10.1016%2fB978-0-443-23890-1.00013-X&amp;partnerID=40&amp;md5=9132291c4e7baefc9f79e690136a6a00</t>
  </si>
  <si>
    <t>A watershed, a natural hydrological entity, directs surface runoff to form channels, drains, streams, or rivers at specific points. It serves as the fundamental unit for water supply and evolves over time. Water scarcity poses a significant challenge, especially in a country with a monsoonal climate like ours, where rainfall occurs seasonally. Due to inadequate management, a substantial amount of water drains through channels, often leading to floods in the lower basin. Analyzing watershed attributes is crucial for effective water resource management, and remote sensing and geographic information system (GIS) techniques are powerful tools for this purpose. This research underscored the significance of watershed attributes in water resource management by leveraging ArcGIS software, ASTER digital elevation model (DEM), and satellite images to analyze the Haringmuri watershed in West Bengal, India. The study systematically assessed various hydrological parameters crucial for effective water resource management within the watershed. Moreover, it proposed alternative solutions for water harvesting in the study area by introducing appropriate soil and water conservation structures based on the research findings. Key watershed attributes, such as drainage pattern, topographic parameters, land use types, and soil types, were thoroughly evaluated and interpreted for the Haringmuri watershed. Our findings demonstrated that employing GIS and ASTER DEM data for watershed morphometric analysis and hydrological evaluation at the watershed scale is more practical and accurate compared to other available techniques. © 2025 Elsevier Inc.</t>
  </si>
  <si>
    <t>2-s2.0-85205007842"</t>
  </si>
  <si>
    <t>Boletim de Ciencias Geodesicas</t>
  </si>
  <si>
    <t>10.1590/s1982-21702024000100009</t>
  </si>
  <si>
    <t>https://www.scopus.com/inward/record.uri?eid=2-s2.0-85196529626&amp;doi=10.1590%2fs1982-21702024000100009&amp;partnerID=40&amp;md5=cbaea22ea06eb9043c395dcfb91f7d8d</t>
  </si>
  <si>
    <t>This study aimed to evaluate the performance of eight digital elevation models (DEMs), i.e., one digital terrain model (DTM) obtained from airborne P-band radar (BCDCA DTM), one digital surface model (DSM) obtained from airborne X-band radar (BCDCA DSM) and six DSMs from orbital sensors (AW3D30, ASTER GDEM, Copernicus DEM, NASADEM, SRTM, Topodata), for the morphological characterization of the floodplains of Amapá (Brazil). All DEMs were resampled to the same mesh size and compared by visual and statistical analysis in terms of elevation and slope. The comparison demonstrated that the DTM obtained from P-band radar images was the most consistent one in representing the landforms, as it is less sensitive to vegetation. The behavior of the automated hydrographic network extraction was also analyzed, showing that even the DTM was not able to detect drainage lines across flat landscapes with centimeter elevation variations. As the comparisons were made with a common 30 m grid, the conclusions are limited to this scale and the effect of a change of scale is discussed. In view of the difficulty of automatically extracting the network in a plain, the possibility to reduce the modelling to a 2D approach, based on external hydrographic data, is also discussed. © 2024, Universidade Federal do Parana. All rights reserved.</t>
  </si>
  <si>
    <t>2-s2.0-85196529626"</t>
  </si>
  <si>
    <t>10.1080/10106049.2024.2387073</t>
  </si>
  <si>
    <t>https://www.scopus.com/inward/record.uri?eid=2-s2.0-85201118780&amp;doi=10.1080%2f10106049.2024.2387073&amp;partnerID=40&amp;md5=e910e606d5c1d0fd73a27d1c0700d927</t>
  </si>
  <si>
    <t>Topographic data is a fundamental input to flood hazard models and controls the quality of the outputs. However, open-access global digital elevation models (DEMs) are dated and limited to 30 m resolution, which hinders modelling efforts in urban or topographically complex environments. We used the flood prone and expanding city of Kathmandu, Nepal, to evaluate the impact of topographic data source and resolution on flood model outputs. All DEMs evaluated featured spatially correlated topographic sinks with depths exceeding 20 m that required hydrological conditioning before being used in flood modelling. Incomplete hydrological conditioning appeared related to the overestimation of flood extent and therefore limited agreement when comparing a global 90 m resolution flood hazard model with a bespoke city-scale model at 10 m resolution (F1 score = 0.40). Instead, we found that the height above nearest drainage (HAND) metric was better able to replicate the higher resolution flood map as an indicator of flood susceptibility requiring only topographic information as an input. We also found that the computationally efficient FastFlood model was able to match the inundation extent (F1 score = 0.79) and flood depths (mean absolute error and root mean square error of 0.46 and 0.76 m respectively) of a published 10 m physics-based flood hazard model whilst requiring 212 times less computation time. Our analysis demonstrated that mapping city-scale flood inundation required hydrologically conditioned high-resolution topographic data but not physically complex flood models, highlighting the need for greater availability of high quality open access topographic data. © 2024 The Author(s). Published by Informa UK Limited, trading as Taylor &amp; Francis Group.</t>
  </si>
  <si>
    <t>2-s2.0-85201118780"</t>
  </si>
  <si>
    <t>Quality and Quantity</t>
  </si>
  <si>
    <t>10.1007/s11135-024-01925-7</t>
  </si>
  <si>
    <t>https://www.scopus.com/inward/record.uri?eid=2-s2.0-85197157875&amp;doi=10.1007%2fs11135-024-01925-7&amp;partnerID=40&amp;md5=77034fe4a81da50090327464c53dbd37</t>
  </si>
  <si>
    <t>This study conducts a comprehensive assessment of tidal inundation in the Chattogram City coastal area in Bangladesh, employing a blend of temporal trend analysis and community perception. Parameters explored include water level trends, projected water levels for the next decade, local perceptions of inundation, depth, and duration of inundation, and factors influencing water stagnation. Data from six-gauge stations (Sadarghat—BIWTA, Kalurghat—CPA, Khal-10—CPA, Sadarghat—CPA, SW 125—BWDB, and SW 152.2—BWDB) were collected, alongside household data from five Wards. Utilizing mixed methods, quantitative data from time series analysis and household surveys were combined with qualitative insights from focus group discussions and key informant interviews. Results reveal rising water levels at multiple stations, except SW 152.2 (BWDB), which exhibited a decreasing trend. Tide data forecasting projects future trends. Community perceptions offer firsthand accounts of tidal inundation's impact. This study benefits urban planners and policymakers, aiding their adaptation strategies and long-term mitigation efforts. The synthesis of quantitative analysis and qualitative narratives enriches understanding and informs actionable steps for safeguarding the Chattogram City coastal area. © The Author(s), under exclusive licence to Springer Nature B.V. 2024.</t>
  </si>
  <si>
    <t>2-s2.0-85197157875"</t>
  </si>
  <si>
    <t>10.1007/s11069-024-06860-2</t>
  </si>
  <si>
    <t>https://www.scopus.com/inward/record.uri?eid=2-s2.0-85212081946&amp;doi=10.1007%2fs11069-024-06860-2&amp;partnerID=40&amp;md5=7acf88066d32abb7c536891e478e0227</t>
  </si>
  <si>
    <t>Underserved communities, especially those in coastal areas in Puerto Rico, face significant threats from natural hazards such as hurricanes and rising sea levels. Limited funding hinders the investment in costly mitigation measures, increasing exposure to natural disasters. Providing coastal resources and data products through effective communication mechanisms is fundamental to improving the well-being of these underserved coastal communities. The overall objectives of the pilot effort to engage and connect with underserved coastal communities in Puerto Rico were the following: (1) compile a comprehensive database of the projects and resources relevant to natural hazards in Puerto Rico</t>
  </si>
  <si>
    <t>10.1016/j.crm.2024.100655</t>
  </si>
  <si>
    <t>https://www.scopus.com/inward/record.uri?eid=2-s2.0-85205587222&amp;doi=10.1016%2fj.crm.2024.100655&amp;partnerID=40&amp;md5=51034d6c79fb7d5b278d822f28f62cb6</t>
  </si>
  <si>
    <t>Elevating parts or the entirety of the structure of buildings in exposed coastal areas can be an effective way of managing the growing risks associated with climate change and sea level rise. While these accommodation measures are well known, there is little to no research on their role in coastal adaptation policy in Europe or on accommodation taking place at all. A systematic review of grey literature was carried out in metropolitan France, the UK and Ireland to assess the current state of structural accommodation. The analysis shows that although measures such as the raising of floor levels of new developments are common practice as part of property-level resilience and flood risk management on the coasts of the three studied countries, accommodation remains driven by local spatial planning and poorly integrated in overarching adaptation policies. Accommodation is found to be unevenly distributed along the assessed coasts and in many locations is happening in protected or sheltered locations to manage residual risk. Comparisons with the experience from the US – where elevated buildings have been an established strategy for over 50 years – suggest that accommodation could be enhanced by providing guidelines that better account for coastal processes such as the impacts of waves, as well as by promoting financial incentives through subsidies or insurance schemes. National coastal adaptation policies are rapidly evolving in Europe and could benefit from a better understanding of the advantages and limitations of accommodation by elevating buildings. © 2024 The Author(s)</t>
  </si>
  <si>
    <t>2-s2.0-85205587222"</t>
  </si>
  <si>
    <t>Geodynamics</t>
  </si>
  <si>
    <t>10.23939/jgd2024.01.012</t>
  </si>
  <si>
    <t>https://www.scopus.com/inward/record.uri?eid=2-s2.0-85200545702&amp;doi=10.23939%2fjgd2024.01.012&amp;partnerID=40&amp;md5=e34e1b942e502bd352a989969e9148a6</t>
  </si>
  <si>
    <t>The proposed study aims to determine the influence of geological structures on the features of the channels of the largest right-bank tributaries of the Dniester River – the Stryi, Bystrytsia, and Limnytsia rivers. For this purpose, we conducted zoning of the river based on morphometric and hydrological characteristics. Three parts were identified: mountainous, pre-mountainous area and plain area, which differ significantly in channel properties, their changes over time, and deformation processes. Objective. Based on remote sensing images of various resolutions, the use of historical maps over time, and specialized maps, to investigate the nature of the channels of the right-bank tributaries of the Dniester: Stryi, Limnytsia, and Bystrytsia, from their sources to the estuarine part where they flow into the Dniester River, depending on the geological and lithological features of the surface. The main research methods involve the transformation of various materials from remote sensing, historical, and special maps for the purpose of studying specific phenomena of river processes. The methodology involves the preparation of input materials, including historical topographic maps, geological maps, satellite images, maps and images georeferencing, satellite image processing, river channel vectorization, analysis of river channels depending on geological structures. Results. Considering the morphology, valley width, manifestation, and development of channel processes, the Stryi, Bystrytsia, and Limnytsia rivers were categorized into three sections: mountainous, pre-mountainous and plain area with developed accumulative forms. In the mountainous section, all three rivers have single channels, while in the pre-mountainous section, multichannel patterns are observed, which have decreased from the 19th to the 21st century in terms of the width of multichannelity and the number of channels. This indicates a decrease in the flow modulus. For the plain sections of channels with undeveloped accumulative forms, a clear tendency towards dependence of channel type on structural-lithological features is traced. Originality. The paper has established the dependence of channel processes of right-bank tributaries of the Dniester River on geological and sedimentological structures of the Skole Beskids and Subcarpathian Depression. Practical significance. The results of monitoring channel processes need to be considered in addressing a range of tasks, including the construction of hydraulic structures, designing power transmission networks at river crossings, developing gas pipelines, determining flood zones, assessing the consequences of erosion after floods, land reclamation, establishing water protection zones, managing recreational and border lands, and establishing interstate borders along rivers. © K. Burshtynska, I. Bubniak, I. Zayats, S. Blazhko, N. Hrytskiv.</t>
  </si>
  <si>
    <t>2-s2.0-85200545702"</t>
  </si>
  <si>
    <t>Russian Journal of Earth Sciences</t>
  </si>
  <si>
    <t>10.2205/2024es000908</t>
  </si>
  <si>
    <t>https://www.scopus.com/inward/record.uri?eid=2-s2.0-85204484251&amp;doi=10.2205%2f2024es000908&amp;partnerID=40&amp;md5=c338ea528ba138f750ec96c72dae53c4</t>
  </si>
  <si>
    <t>The results of the study of tidal and subtidal variations in sea level in the area of the southeastern coast of the Sakhalin Island and a series of atmospheric pressure and wind speed from the open website “Weather Schedule” are presented. Using spectral analysis, astronomical tides were studied and diurnal M1, K1 and semi-diurnal M2, S2 tidal harmonics with high energy were detected. The maximum heights of tidal waves have been determined and the tidal regime in the studied water area is classified as mixed with a predominance of diurnal tides. It is shown that sea level rises due to the impact of winds on the sea surface are observed in the northerly direction of the winds, which is associated with storm surge in the coastal zone of Mordvinov Bay. The lowering of the sea level is observed with southerly winds and it is caused by the downsurge. The magnitude of the decrease in sea level for events that have a correlation between high wind speeds and the duration of influence to the winds of the western directions is maximal, and the wind speed has less influence on the magnitude of the decrease in level than its duration. Calculations of the level response to changes in atmospheric pressure using the Proudman equation and analysis of the results showed that these events can be attributed to the phenomenon of the “inverted barometer”. A comparison of theoretical profiles calculated from the time form of the Korteweg–de Vries equation with the registered profiles of sea level showed that they are well described by the profile of a solitary wave. © 2024. The Author.</t>
  </si>
  <si>
    <t>2-s2.0-85204484251"</t>
  </si>
  <si>
    <t>10.1080/02626667.2024.2420866</t>
  </si>
  <si>
    <t>https://www.scopus.com/inward/record.uri?eid=2-s2.0-85209936741&amp;doi=10.1080%2f02626667.2024.2420866&amp;partnerID=40&amp;md5=df40b0ea4b3eb6027c8bc75805a6a229</t>
  </si>
  <si>
    <t>This paper investigates the interwoven history of hydrological studies and water infrastructure development on the Mekong floodplains. On the basis of an extensive literature review, archival work, and key informant interviews, we unravel the making of an expert-led understanding of the Mekong floodplains–from the detailed reports written by colonial engineers during the French protectorate in the late 19th century to the development of the first computational models, developed in the 1960s on punch-cards and in Fortran. We show how these studies not only reflect the objectives of successive powers and their relationships to local communities but also shaped the landscape and hydrology of the Mekong floodplains and continue to do so through a variety of water infrastructure development projects. This serves as a call to conceive of hydrological knowledge as contingent rather than as a neutral depiction of physical processes that exists independently from the conditions of its production. © 2024 IAHS.</t>
  </si>
  <si>
    <t>2-s2.0-85209936741"</t>
  </si>
  <si>
    <t>10.3389/frwa.2024.1329109</t>
  </si>
  <si>
    <t>https://www.scopus.com/inward/record.uri?eid=2-s2.0-85189646693&amp;doi=10.3389%2ffrwa.2024.1329109&amp;partnerID=40&amp;md5=e096b1b2db563db223fd7e66b76eb20e</t>
  </si>
  <si>
    <t>The Texas Gulf Coast region contains significant centers of population, infrastructure, and economy and is threatened by intensifying tropical storms. The flooding from these tropical storms often has multiple compounding drivers. This characteristic presents a complex numerical problem where a simulation must consider multiple hydrologic forcings. While several procedures exist for addressing this problem numerically, they tend to be resource-intensive and cannot be conducted in near real-time. We extend GeoFlood, a reduced physics approach for fluvial flood forecasting, to rapidly predict coastal and compound fluvial-coastal inundation. This method is validated against a numerical ocean circulation model (ADCIRC) simulation of Hurricane Ike, a major coastal flooding event that happened on the Texas Gulf Coast in 2008. We show that the inundation map generated by coastal HAND (c-HAND) has reasonable agreement with the ADCIRC simulation while taking about 1.7% of the time currently needed to run ADCIRC on a supercomputer. While our model correctly predicts 99% of ADCIRC-inundated DEM cells, it also overpredicts inundated area by a factor of approximately 27%. We combine c-HAND with the GeoFlood framework for fluvial flood forecasting to create a compound fluvial-coastal inundation mapping workflow that can be run in near real-time. c-HAND's fast wall-clock time and low CPU requirements can support decision making by first response personnel. The method provides timely and convenient access to crucial information, such as the locations of flooded roads and inundated coastal areas. Copyright © 2024 Wang, Passalacqua, Cai and Dawson.</t>
  </si>
  <si>
    <t>2-s2.0-85189646693"</t>
  </si>
  <si>
    <t>10.12912/27197050/194026</t>
  </si>
  <si>
    <t>https://www.scopus.com/inward/record.uri?eid=2-s2.0-85208947524&amp;doi=10.12912%2f27197050%2f194026&amp;partnerID=40&amp;md5=386112ffe67f6725e5540b160f9c4347</t>
  </si>
  <si>
    <t>This study aims to estimate the runoff volume by analyzing satellite data and Digital Elevation Model (DEM) data utilizing a set of software tools such as (ArcHydro Tool, ArcGIS) to excerpt hydrological and morphological characteristics of Wadi Al Arab Dam basin with an area of 266 km² in Jordan. Natural data “soil and land use” were analyzed and defined by the curve number (CN) method with geographic information systems (GIS). The novelty of this study lies in the application of high-resolution DEMs combined with advanced GIS techniques to achieve more precise elevation mapping and hydrological flow assessments, which were previously less accurate in similar studies. Moreover, it highlights runoff concentration time and the minimal dissection of the basin, providing a better understanding of flood potential and geomorphological traits in arid regions. This fills a gap in quantifying basin hydrodynamics compared to previous studies. Results found that the total CN for the basin was 86.5. The drainage density of the basin was found to be 4.39 × 10⁻⁵ m/m², indicating less impact from erosion factors and less dissection. The concentration time of the basin was approximately 65.69 minutes, increasing the possibility of high flood potential due to the short distance traveled by the runoff. The relief ratio was found to be low at 0.018, indicating minimal dissection and runoff in the basin. We recommended the urgent adoption of high-accuracy digital data sources due to the precision they offer when conducting quantitative measurements. © 2024, Polskie Towarzystwo Inzynierii Ekologicznej (PTIE). All rights reserved.</t>
  </si>
  <si>
    <t>2-s2.0-85208947524"</t>
  </si>
  <si>
    <t>US Geological Survey Open-File Report</t>
  </si>
  <si>
    <t>10.3133/ofr20241025</t>
  </si>
  <si>
    <t>https://www.scopus.com/inward/record.uri?eid=2-s2.0-85193286590&amp;doi=10.3133%2fofr20241025&amp;partnerID=40&amp;md5=82e2ec1aee6d70dde5f13b0901fe0c65</t>
  </si>
  <si>
    <t>The U.S. Army Corps of Engineers American River Watershed Common Features project (ACRF) seeks to reduce flood risk for the City of Sacramento, California, and surrounding areas. The project includes levee-remediation measures to address seepage, stability, erosion, and height concerns as well as the widening of the Sacramento Weir and Bypass. The project reach is in the lower extent of the Sacramento River migration corridor for the federally threatened southern Distinct Population Segment of North American green sturgeon (Acipenser medirostris). To establish baseline migratory behavior, we examined adult green sturgeon transit through the project area prior to construction. Biologists from the U.S. Army Corps of Engineers collected and tagged 55 adult green sturgeon with acoustic and passive integrated transponders, near Hamilton City, California, at river kilometer 332 of the Sacramento River each fall from 2020 to 2022. To evaluate fish movements, we deployed five acoustic detection sites at river kilometers 101, 90, 76, and 21 on the Sacramento River and in Tule Canal near the Sacramento Bypass at river kilometer 101 of the Sacramento River. The acoustic receivers detected nearly all tagged fish moving downstream through the ARCF study area during the same water year (October 1–September 30) in which they were tagged. Three fish released in October of 2020 arrived at the ARCF study area more than 362 days later in October 2021. The timing of tagged fish movements was associated with increases in river flow and not hour of day. Adult green sturgeon moved downstream from January to August when streamflows exceeded 15,000 cubic feet per second. During water year 2023 and the critically dry water year 2022, fish moved with the first peaks in flow occurring from mid-October to early January. Fish tagged in the critically dry water year 2021 entered the ARCF study area over an extended period from January to October, when flows remained around 10,000 cubic feet per second all year. Fish moved quickly between sites within the ARCF study area and generally spent less than 1 hour at each detection site. © 2024, US Geological Survey. All rights reserved.</t>
  </si>
  <si>
    <t>2-s2.0-85193286590"</t>
  </si>
  <si>
    <t>10.1007/s11069-024-06957-8</t>
  </si>
  <si>
    <t>https://www.scopus.com/inward/record.uri?eid=2-s2.0-85207793211&amp;doi=10.1007%2fs11069-024-06957-8&amp;partnerID=40&amp;md5=2f6b8d3c099d1b9924972c755f24eb81</t>
  </si>
  <si>
    <t>Floods are among the most common natural disasters, causing countless losses every year worldwide and demanding urgent measures to mitigate their impacts. This study proposes a novel combination of artificial intelligence and process-based models to construct a flood early warning system (FEWS) for estuarine regions. Using streamflow and rainfall data, a deep learning model with long short-term memory layers was used to forecast the river discharge at the fluvial boundary of an estuary. Afterwards, a hydrodynamic process-based model was used to simulate water levels in the estuary. The river discharge predictors were trained using different forecasting windows varying from 3 h to 36 h to assess the relationship between the time window and accuracy. The insertion of attention layers into the network architecture was evaluated to enhance forecasting capacity. The FEWS was implemented in the Douro River Estuary, a densely urbanised flood-prone area in northern Portugal. The results demonstrated that the Douro Estuary FEWS is reliable for discharges up to 5000 m3/s, with predictions made 36 h in advance. For values higher than this, the uncertainties in the model predictions increased</t>
  </si>
  <si>
    <t>Inzynieria Mineralna</t>
  </si>
  <si>
    <t>10.29227/IM-2024-01-36</t>
  </si>
  <si>
    <t>https://www.scopus.com/inward/record.uri?eid=2-s2.0-85204708661&amp;doi=10.29227%2fIM-2024-01-36&amp;partnerID=40&amp;md5=4741cc35314ea01f7d247b8b277bae25</t>
  </si>
  <si>
    <t>The pressure control of the climate change and anthropogenic factors have consequences on the ecological systems, generating structural changes. The abiotic (i.e., water hydrology and hydraulics, sediment load, water physic-chemistry) and biotic (i.e., biodiversity, structure and functionality of food webs) characteristics of river-channels-lakes from deltas depend on several factors</t>
  </si>
  <si>
    <t>10.1080/19475705.2024.2361806</t>
  </si>
  <si>
    <t>https://www.scopus.com/inward/record.uri?eid=2-s2.0-85196114305&amp;doi=10.1080%2f19475705.2024.2361806&amp;partnerID=40&amp;md5=4b9743ddf6dcab545c069d382bb26bb3</t>
  </si>
  <si>
    <t>In this study, we developed a novel approach for designing flash flood control measures in a contact zone between agricultural land and a built-up area using the hydrological component of the SIMWE model implemented in GRASS GIS as r.sim.water module. The inputs for the Monte Carlo simulation of water flow in this module included a high-resolution digital surface model and land cover data derived from airborne laser scanning data and aerial orthophotographs. The preferential flow feature of the module helped to better represent concentrated flows such as streams. The flash flood control measures were represented by a modified digital surface model and the probabilistic permeability parameter. The proposed flash flood control measures reduced water depths in critical zones by over 50% (10–40 cm), thereby lowering the risk of house basement flooding and enabling the sewerage system to manage locally generated water flow. Time series of high-resolution water depth rasters elucidate the dynamics of the phenomena and efficiency of the flood control measures. The proposed approach has the advantage of providing high spatial resolution coupled with the flexibility of GIS to evaluate various scenarios and flash flood control measures thus improving the urban planning process. © 2024 The Author(s). Published by Informa UK Limited, trading as Taylor &amp; Francis Group.</t>
  </si>
  <si>
    <t>2-s2.0-85196114305"</t>
  </si>
  <si>
    <t>10.1016/j.nhres.2024.06.005</t>
  </si>
  <si>
    <t>https://www.scopus.com/inward/record.uri?eid=2-s2.0-85196858709&amp;doi=10.1016%2fj.nhres.2024.06.005&amp;partnerID=40&amp;md5=a3ebe399f807e5cd95748f9bc957fda8</t>
  </si>
  <si>
    <t>While climate change impacts the entire world, the people of Bangladesh bear a disproportionately heavy burden. Situated at the forefront of extreme climatic events such as cyclone, flood, saltwater intrusion, drought, and heavy rainfall, they face severe vulnerabilities. Coastal communities have been facing climate change impacts and livelihood threats for some time now. Hatiya – a coastal Upazila (sub-district) of the Noakhali District in Bangladesh faced extreme climatic and socio-economic challenges in the recent past. To understand the climate change-induced risks and vulnerabilities of Hatiya Upazila, it is vital to understand the socioeconomic and livelihood vulnerability index of this area. In this study, the Livelihood Vulnerability Index (LVI), Socioeconomic Vulnerability Index (SeVI) and Livelihood Vulnerability Index-Inter-Governmental Panel on Climate Change ​(LVI-IPCC) vulnerability index have been analyzed to evaluate the impacts of climate change on the livelihood and socioeconomic profile of the affected communities of Hatiya. A total of 150 household surveys and 11 Focus Group Discussions have been conducted in Hatiya Upazila for this purpose following purposive random sampling. The collected data included livelihood strategies, social network &amp; communications, food, health, water, social, economic, physical, and climatic disaster &amp; variability. All these vulnerability indicators were divided into 7 sub-components of LVI, and 5 subcomponents of SeVI, forming indicators to measure the desired vulnerability index. The index was formed by three IPCC endorsed climate change vulnerability indicators i.e., exposure, sensitivity, and adaptive capacity. The LVI value of Hatiya Upazila was found to be 0.495, which indicated that Hatiya has a medium vulnerability in terms of livelihood. Based on the weighted average scores, Hatiya was found to be the most vulnerable due to natural hazards (0.729), while indicators within this domain revealed that the highest percentage (64.6%) of households lost their property and other resources during natural hazards. In addition, Hatiya possessed a high level of socio-economic vulnerability (0.704). Livelihood Strategies become less diversified with the increased deterioration rate of natural resources such as fishing, agriculture, forest resources, etc. Most of the households were found to have weak Social Network &amp; Communications as they did not go to the local government or others for any kind of help, so the score for these components (0.722) was in the highly vulnerable range of LVI. However, the LVI-IPCC value of the study area was 0.027, indicating medium vulnerability. The SeVI index value for Hatiya Upazila was 0.704 which indicated high vulnerability and social, and economic vulnerability mostly influenced by natural hazards. The average indexed values of the three LVI-IPCC climate change contributing factors such as adaptive capacity, exposure, and sensitivity of Hatiya Upazila were 0.631, 0.573, and 0.465 respectively. This study can be a baseline for vulnerability assessment of climate change-affected communities in coastal Bangladesh and the government can take proper initiatives to facilitate adaptive capacity to reduce the climate change vulnerability of the local communities. © 2024 National Institute of Natural Hazards, Ministry of Emergency Management of China</t>
  </si>
  <si>
    <t>2-s2.0-85196858709"</t>
  </si>
  <si>
    <t>10.12912/27197050/188281</t>
  </si>
  <si>
    <t>https://www.scopus.com/inward/record.uri?eid=2-s2.0-85194817819&amp;doi=10.12912%2f27197050%2f188281&amp;partnerID=40&amp;md5=29f87c6cde5a23dead0baf64ab417a7c</t>
  </si>
  <si>
    <t>The research investigated changes in surface water quality (SWQ) in the canals and rivers of Can Tho province in the Mekong Delta in southern Vietnam. Surface water was sampled at 34 points through months of the end of the rainy and flood season (October 2023), the beginning of the dried season (December 2023), and the middle of the dried season (February 2024). The SWQ parameters were compared with limited values of the national technical standard on SWQ and the Vietnamese water quality index. We used principal component analysis (PCA) to find sources causing surface water pollution and cluster analysis (CA) to identify the similarities in SWQ parameters among sampling points. The research showed that Can Tho’s average SWQ value ranged at a good level. The SWQ in the dry season is worse than in the rainy season. Pollution from suspended solids, organic matter, nutrients, and coliform was found in Can Tho’s surface water. The PCA resulted in the three key sources of PCs 1, 2, and 3 being elucidated by 65.3% of SWQ changes. Twelve current monitoring parameters, including temperature, pH, dissolved oxygen, total suspended solids, total organic carbon, biological oxygen demand, chemical oxygen demand, ammonium, nitrite, nitrate, phosphate, and coliform, are influencing SWQ. It is suggested from the CA results that the 34 monitoring points could decrease to 30 points in the case of financial issues. The results are beneficial in reviewing the sampling points and monitoring parameters for SWQ in Can Tho. © 2024, Polskie Towarzystwo Inzynierii Ekologicznej (PTIE). All rights reserved.</t>
  </si>
  <si>
    <t>2-s2.0-85194817819"</t>
  </si>
  <si>
    <t>Developments in Environmental Science</t>
  </si>
  <si>
    <t>10.1016/B978-0-443-23665-5.00007-7</t>
  </si>
  <si>
    <t>https://www.scopus.com/inward/record.uri?eid=2-s2.0-85204639563&amp;doi=10.1016%2fB978-0-443-23665-5.00007-7&amp;partnerID=40&amp;md5=d2f3753da7fc8567f2da09220360583a</t>
  </si>
  <si>
    <t>The rapid growth of aquaculture farming has an important effect on land use and land cover (LULC) and the natural ecosystem in coastal areas due to the increase in soil salinity. The current study was conducted to study the impact of soil salinity on LULC change analysis from Landsat imageries (1990, 2000, 2010, and 2020) using geospatial technology in the coastal blocks of Purba Medinipur district. The geospatial indicators were employed for analyzing the Normalized Difference Salinity Index, Normalized Difference Vegetation Index, and Normalized Difference Water Index. The mapping of the LULC classes was done using the maximum likelihood supervised classification. The outcome showed that the intrusion of salt water during flood and cyclone seasons caused the waterbody area to grow by 29.1 km2 over 30 years. The values of the Kappa coefficient (K) were determined to be 0.91 (2020), 0.94 (1990), 0.96 (2000), and 0.94 (2010). Geoinformatics must be used in land resource management and agriculture to address the growing concerns about soil salinity and climate change-related land degradation in coastal areas. © 2024 Elsevier B.V.</t>
  </si>
  <si>
    <t>2-s2.0-85204639563"</t>
  </si>
  <si>
    <t>Panamerican Mathematical Journal</t>
  </si>
  <si>
    <t>10.52783/pmj.v34.i4.2014</t>
  </si>
  <si>
    <t>https://www.scopus.com/inward/record.uri?eid=2-s2.0-85207223376&amp;doi=10.52783%2fpmj.v34.i4.2014&amp;partnerID=40&amp;md5=4019fafab65b5007dba30a2e8962be9d</t>
  </si>
  <si>
    <t>Floods are unexpected natural disasters that can have a major impact on human life, soil along bank erosion, damage vital infrastructure, road closures, economy standard, and society of various affected regions. An initial step of proper assessment is necessary for flood damage along with accurate measurements to easily restore essential damage of infrastructure, relief, and mitigation as quickly as possible. Nowadays, the rapid development of remote sensing images using deep learning as a most positive tool for accurately estimating the extent of overall flood detection surfaces. The monitoring of flood detections from remote sensing images still extends a few issues due to mostly varying from different weather changes conditions, cloud coverage areas that can have a limit to use of level of visible remote sensing satellite collected data. Moreover, Remote Sensing Satellite based observations may not always be mapped to the distribution's flood point peak, also it is very essential for both the flood extent and flood volume estimation. To overcome this challenge, we have presented a new remote sensing technology that integrates with a high resolution multi-spectral satellite data/information by using an advanced Deep Learning to accurately analyze remote sensing based observations. In our experiment, we use the European Space Agency (ESA) launched Sentinel type-1, Sentinel type-2 data and Digital Elevation Model (DEM) to accurately measure flood monitoring results. In our study, we reviewed a real example of the flood situation that happened in 2019 in Kolhapur. In our results, we evaluated a flood volume estimation at 0.0010 km3 in Kolhapur district. Finally, the proposed methodology provides an effective way to accurately motoring floods using low-cost satellite data and deep learning approaches. This project has the potential to improve the more accurate flood detection and mapping which can prevent an exactly timely response and immediate recovery efforts for flood surrounding affected areas. © 2024, International Publications. All rights reserved.</t>
  </si>
  <si>
    <t>2-s2.0-85207223376"</t>
  </si>
  <si>
    <t>10.1080/19942060.2024.2394641</t>
  </si>
  <si>
    <t>https://www.scopus.com/inward/record.uri?eid=2-s2.0-85202795050&amp;doi=10.1080%2f19942060.2024.2394641&amp;partnerID=40&amp;md5=6e11846dee08b5c7e52b9c81cfe6d203</t>
  </si>
  <si>
    <t>A comprehensive understanding of the processes of storm surge and flooding induced by typhoons is crucial for the development of effective emergency plans and risk management strategies. This study employed the three-dimensional coastal ocean circulation model FVCOM to simulate the storm surge in the Pearl River Estuary (PRE) during Typhoon Hato in 2017. In addition, the storm surge predictions are integrated with the InfoWorks 2D-1D hydrologic network drainage model to study urban flooding in the Inner Harbor district in Macao for the first time. Typhoon's wind and pressure fields were reconstructed based on parametric models, and numerical experiments were conducted to investigate the effects of tide-surge interaction. A thorough comparison between observed and simulated wind and water levels demonstrated a high degree of agreement. The results reveal that nonlinear tide-surge interactions are not uniformly distributed across the PRE. In the Lingdingyang waters, the impact of tide-surge interaction on the total water level ranges from 1% offshore to 30% upstream. In the coastal waters near Macao, this impact varies from 5% to 25%, with a peak impact of 25% observed near Hac Sa Bay in Macao, indicating a significant influence of tide-surge interaction in this area. Predicted city flood levels during HATO are well-validated against field data. The Inner Harbor of Macao is identified as the zone most severely affected by flooding induced by storm surge, with the highest flood depths recorded at its northern and southern ends. © 2024 The Author(s). Published by Informa UK Limited, trading as Taylor &amp; Francis Group.</t>
  </si>
  <si>
    <t>2-s2.0-85202795050"</t>
  </si>
  <si>
    <t>Geoplanning</t>
  </si>
  <si>
    <t>10.14710/geoplanning.11.1.1-16</t>
  </si>
  <si>
    <t>https://www.scopus.com/inward/record.uri?eid=2-s2.0-85190323832&amp;doi=10.14710%2fgeoplanning.11.1.1-16&amp;partnerID=40&amp;md5=9f67a8f11aff6fa6fddb2a1d94f51df9</t>
  </si>
  <si>
    <t>As the world's largest delta, Bangladesh possesses distinctive geomorphology dominated by transboundary rivers, making it vulnerable to climatic hazards such as river erosion that causes severe loss of land and other resources. Using four Landsat imageries of 1991, 2001, 2011 and 2021 the current study analyzed the amount and trend of river erosion and accretion on the Teesta Floodplain of Bangladesh for three decades. Findings indicate that the Teesta River experiences severe bank erosion and accretion regularly, causing bank line shifting and thus significant affecting the land-use/land-cover (LULC) change of the area. Between 1991 and 2021, approximately 194 square kilometers of land were eroded, while an equivalent area of land was accreted. Approximately 1072 km2 of agricultural land was converted into other categories, with the settlement area gradually increasing. This trend of changes shows that agricultural land and water-bodies will reduce in the next two decades while barren land and settlement areas will increase. The agricultural lands and barren lands have a greater chance of being occupied by settlement areas. At the same time, crop production patterns will move to those crops that require less water due to the reduction of water-bodies. Reduced flow during the dry season and massive discharge during the monsoon from India's Gajoldoba barrage caused massive siltation and erosion. Comprehensive river management and restoration with an intergovernmental treaty or understanding between India and Bangladesh is required to resolve this crisis in the long run. © 2024 Diponegoro University. All rights reserved.</t>
  </si>
  <si>
    <t>2-s2.0-85190323832"</t>
  </si>
  <si>
    <t>10.3389/feart.2024.1421253</t>
  </si>
  <si>
    <t>https://www.scopus.com/inward/record.uri?eid=2-s2.0-85203841956&amp;doi=10.3389%2ffeart.2024.1421253&amp;partnerID=40&amp;md5=ef1509c1bf1348c688b39f054c15e4d6</t>
  </si>
  <si>
    <t>To explore the characteristics of the dynamic shear modulus of river-phase (as opposed to estuarine) floodplain interbedded soil, undisturbed interbedded soil from the floodplain of the Yangtze River in Nanjing was subjected to strain-controlled cyclic triaxial tests to investigate how the initial effective confining pressure (σʹm), consolidation ratio (kc), and degree of consolidation (U) influence the maximum dynamic shear modulus Gmax and the dynamic shear modulus ratio G/Gmax. The results show that for this soil, G decreases with increasing strain amplitude, and for a given strain amplitude, G increases with increasing σʹm, kc, and U. Compared with soil from the Yangtze estuary, kc has a greater effect on Gmax of the floodplain interbedded soil. Finally, a modified Martin-Davidenkov model is proposed for predicting G/Gmax of river-phase floodplain interbedded soil under different σʹm, kc, and U. Copyright © 2024 Liu, Huo, Chen, Zhou and Wu.</t>
  </si>
  <si>
    <t>2-s2.0-85203841956"</t>
  </si>
  <si>
    <t>Journal of Remote Sensing (United States)</t>
  </si>
  <si>
    <t>10.34133/remotesensing.0305</t>
  </si>
  <si>
    <t>https://www.scopus.com/inward/record.uri?eid=2-s2.0-85208810564&amp;doi=10.34133%2fremotesensing.0305&amp;partnerID=40&amp;md5=7390d52316e4cb59b9adc6bee185030c</t>
  </si>
  <si>
    <t>Sandy beaches are one of the most dominant coastal types across the world, which can protect the coast and provide tourism. The intertidal zone is inundated with dynamic tides, making it challenging to obtain the intertidal topography near sandy beaches due to their narrow widths, particularly in sparsely populated areas with rare in situ measurements. Recently, the Ice, Cloud, and land Elevation Satellite 2 (ICESat-2) photon-counting lidar offers unprecedented finer observations in elevation in coastal zones. In this study, we aimed to explore the capacity of combining ICESat-2 altimeter data and Sentinel-2 imagery in deriving the intertidal topography for sandy beaches. Our results indicate that the satellite-derived sandy beach intertidal topography (with a resolution of ~3 m) in Texas, USA exhibits a good accuracy of 0.35 m compared with a local high-resolution digital elevation model dataset. Moreover, we generated the coastal lowland map from the beach topography and validated the lowland results using high-resolution data. We highlighted that our proposed method for inverting the topography of sandy beaches are based on globally accessible satellite data (i.e., without in situ data), demonstrating the potential for applications in various coastal zones around the world. Copyright © 2024 Nan Xu et.al.</t>
  </si>
  <si>
    <t>2-s2.0-85208810564"</t>
  </si>
  <si>
    <t>10.1080/19475705.2024.2333795</t>
  </si>
  <si>
    <t>https://www.scopus.com/inward/record.uri?eid=2-s2.0-85190363037&amp;doi=10.1080%2f19475705.2024.2333795&amp;partnerID=40&amp;md5=ea54b982bb7e9f2b6541fc698f2b3887</t>
  </si>
  <si>
    <t>Deltas like the Ganges-Brahmaputra Delta (GBD) experience significant land subsidence due to overlaying load, consolidation, sediment compaction, regional tectonics, and human activity. The southwestern region of Bangladesh, marked by its low-lying floodplain with compressible sediments, experiences significant land subsidence. However, accurate assessments for these areas are very scarce, often focusing on the point-based measurements. This study employed Interferometric Synthetic Aperture Radar analysis, spanning from 2014 to 2022, to effectively measure land subsidence, and visualize it spatially. In the study area, subsidence rates were found to be ranging from 3 to 20 mm/year, with most areas experiencing 3-10 mm/year. While some areas show higher rates of 10-13 mm/year, very few exceeded 14 mm/year. The average subsidence rate was 5.98 mm/year, demonstrating significant spatial variability, with higher rates in Gopalganj, Patuakhali, Bhola, Barishal, and other areas. The findings were validated based on existing Global navigation satellite system (GNSS) data points, affirming their reliability. Despite minor discrepancies with other measurements at specific points, the overall results align well with existing data. This comprehensive analysis provides a detailed assessment of land subsidence in the southwestern region of Bangladesh, highlighting significant spatial variability and offering valuable insights for future coastal development and risk mitigation strategies. © 2024 The Author(s). Published by Informa UK Limited, trading as Taylor &amp; Francis Group.</t>
  </si>
  <si>
    <t>2-s2.0-85190363037"</t>
  </si>
  <si>
    <t>10.1007/s10668-024-04748-6</t>
  </si>
  <si>
    <t>https://www.scopus.com/inward/record.uri?eid=2-s2.0-85189104791&amp;doi=10.1007%2fs10668-024-04748-6&amp;partnerID=40&amp;md5=4c7cf1e8c0ec2a24164512b9b754d1a7</t>
  </si>
  <si>
    <t>Humans have relied on oceans since time immemorial and have exploited them for natural resources and recreational activities. With the advancement of technologies, rapid population growth and land-use change, the dependability on marine ecosystems has increased tremendously. Anthropogenic activities are causing increased global temperatures, altered weather conditions, melting glaciers, rising sea levels, acidification etc. The biological processes of marine ecosystems are getting affected indirectly or directly from the molecular level to rock pools to ocean basins, thus impacting overall ecosystem services. Out of various disturbances being caused by humans, global warming has been one of the most threatening factors with other anthropogenic inputs such as nutrient enrichment, sewage and microplastics, thereby causing significant changes in the symbiotic relationship between algae and corals. The coral associations with algae, macroalgae and other groups play a very important role in the functioning of ocean ecosystems and are very sensitive to anthropogenic inputs. The symbiotic association of algae with corals results in enriched biodiversity as well as it maintains the biogeochemistry of oceans and open coastal areas. The review outlines the importance of algal associations towards the maintenance of coral reefs, along with discussing the ecological services offered by them. One of the sections also discusses the impact of anthropogenic activities on the association between corals and algae. Also, the potential adaptive response of corals to the changing climatic conditions, and conservation strategies for the conservation of coral ecosystems to ensure a sustainable environment have also been discussed. Graphical Abstract: (Figure presented.) © The Author(s), under exclusive licence to Springer Nature B.V. 2024.</t>
  </si>
  <si>
    <t>2-s2.0-85189104791"</t>
  </si>
  <si>
    <t>Environmental Justice</t>
  </si>
  <si>
    <t>10.1089/env.2023.0056</t>
  </si>
  <si>
    <t>https://www.scopus.com/inward/record.uri?eid=2-s2.0-85200989762&amp;doi=10.1089%2fenv.2023.0056&amp;partnerID=40&amp;md5=85f32f7c5a93147d28e0752ccc9ae7ea</t>
  </si>
  <si>
    <t>Background: Sea level rise (SLR) is complex issue that will impact many low-lying coastal areas globally. Indigenous peoples will be disproportionately affected by SLR owing to colonization creating obstacles that prevent effective Indigenous responses. Methods: Engaging with a coastal Māori community in Northland, New Zealand, our research team developed shared socioeconomic pathway (SSP) projections using a digital elevation model (DEM), to strengthen the community’s understanding of how SLR will impact their tribal area. Results: By 2150, all projections show that study site will see the inundation of infrastructure and road access to the site, including the community’s marae (ancestral gathering place) and access to burial grounds. Discussion: Response to SLR is urgent and requires autonomous community-level action. Kaitiakitanga as an environmental ethic is a core driver of Māori climate change response and centers the Indigenous community as active agents. Conclusion: Unimpeded Māori responses to SLR requires the reclamation of land and natural resource governance to achieve synchrony with the environment and beneficial outcomes for coastal Māori communities. © Mary Ann Liebert, Inc.</t>
  </si>
  <si>
    <t>2-s2.0-85200989762"</t>
  </si>
  <si>
    <t>10.3389/feart.2024.1394256</t>
  </si>
  <si>
    <t>https://www.scopus.com/inward/record.uri?eid=2-s2.0-85197586002&amp;doi=10.3389%2ffeart.2024.1394256&amp;partnerID=40&amp;md5=c99c0c0536b8bfdbe81cb96755a804e3</t>
  </si>
  <si>
    <t>Background: Various methods have been utilized to investigate and mitigate flood occurrences, yet there is a paucity of literature on factors, such as soil compositions, that contribute to persistent flooding in river basins like the Lower Niger catchment, specifically at Onitsha. Furthermore, the study seeks to furnish essential geospatial data concerning flood vulnerability, flood risks, and exposure rates in the Lower Niger Catchment area, situated in Onitsha, southeastern Nigeria. Materials and methods: Soil samples were collected from 10 specific locations identified through GPS and ground-truthing techniques. Additionally, satellite imagery from the Landsat Enhanced Thematic Mapper (ETM +) was utilized, with supervised classification employed to extract feature classes. Analysis operations were conducted using IDRISI software, resulting in the creation of digital elevation models (DEMs), susceptibility maps, and flood-risk zones. Results: Analysis revealed that the predominant soil composition in the study area comprises sandy (84.8%), silt (8.1%), and clayey (7.1%) soils. Utilizing these soil characteristics alongside relevant aerial data, exposure rates were determined at various scales to delineate the most flood-vulnerable zones in the basin. It was found that certain areas, accommodating a population exceeding 79,426 across 2,926.2 ha, were particularly susceptible to flooding. Notably, major markets such as Bridgehead, Textile, and Biafra were identified as highly susceptible, with varying degrees of risk. The prevalence of sandy soil, which facilitates increased rainwater infiltration but is also prone to rapid saturation and runoff, likely contributes to the heightened susceptibility to flooding in these areas. Conclusion: Geospatial analysis employing remote sensing data indicates the high susceptibility and exposure to flooding in the lower Niger River Basin around Onitsha. Urgent mitigation efforts are imperative, necessitating the establishment of zoned areas equipped with effective drainage systems to safeguard vulnerable populations. Copyright © 2024 Chinedu, Ezebube, Uchegbu and Ozorme.</t>
  </si>
  <si>
    <t>2-s2.0-85197586002"</t>
  </si>
  <si>
    <t>International Review for Spatial Planning and Sustainable Development</t>
  </si>
  <si>
    <t>10.14246/IRSPSD.12.2_293</t>
  </si>
  <si>
    <t>https://www.scopus.com/inward/record.uri?eid=2-s2.0-85192739936&amp;doi=10.14246%2fIRSPSD.12.2_293&amp;partnerID=40&amp;md5=a83d12b34edf0656fe5a4f95a3f0ad0b</t>
  </si>
  <si>
    <t>Coastal areas and their communities are one of the most vulnerable components of urban existence. The balance of the environmental, economic, and sociocultural sectors is crucial to maintain their sustainability. This research focuses on assessing the level of sustainability of a coastal area, namely Kampung Sentra Bandeng Semarang, and its influence on the community's current economic activities. Data from field observations, interviews with the community, and secondary sources are components of this analysis. The Circles of Coastal Sustainability (CCS) method was used to assess the sustainability conditions at the study site. As a result, environmental and economic aspects are aspects that need special handling for future regional planning programs. There are many sustainability indicators that still need to be improved, especially in handling tidal flooding and land subsidence. © (2024), (SPSD Press). All Rights Reserved.</t>
  </si>
  <si>
    <t>2-s2.0-85192739936"</t>
  </si>
  <si>
    <t>10.1080/19475705.2024.2421405</t>
  </si>
  <si>
    <t>https://www.scopus.com/inward/record.uri?eid=2-s2.0-85209585192&amp;doi=10.1080%2f19475705.2024.2421405&amp;partnerID=40&amp;md5=3edc3214d77bf08cce8d2c4b1791f1d1</t>
  </si>
  <si>
    <t>In Spain, human exposure to flooding continues to increase driven by changes in land use and population growth in urban and coastal areas. This study explores the geography of flood exposure in Spain in relation to human population, economic activities and points of special significance. The analysis is based on public flood hazard and risk mapping generated by water management administrators at the river basin district level. The data are published and accessible through the Spanish National Floodplain Mapping System (NFMS). The results show for first time, the spatial distribution of human population exposure, which amounts to at least 3,263,000 inhabitants nationwide (6.9% of the total Spanish population), the potential economic loss, totalling at least 122,132 million euros across Spain, and points of special significance classified into eleven different categories that have been analysed for all Spanish river basin districts. The results also indicate a higher exposure concentration along the Mediterranean coast. © 2024 The Author(s). Published by Informa UK Limited, trading as Taylor &amp; Francis Group.</t>
  </si>
  <si>
    <t>2-s2.0-85209585192"</t>
  </si>
  <si>
    <t>10.12912/27197050/192770</t>
  </si>
  <si>
    <t>https://www.scopus.com/inward/record.uri?eid=2-s2.0-85208717226&amp;doi=10.12912%2f27197050%2f192770&amp;partnerID=40&amp;md5=59d60ca8c66ffa0b296c2666519c0c7c</t>
  </si>
  <si>
    <t>According to national climate resilience projections, the coastal area of Bolaang Mongondow has experienced an increase in wave height of around 1 meter. It is in the top priority category with high potential hazards and vulnerability or risk of climate change disasters. The rise of the global sea level affects the increase in coastal submergence and erosion and increases the frequency of overtopping of coastal buildings. This research aimed to analyze the extent of the physical vulnerability of coastal Bolaang Mongondow related to the climate change impacts. The coastal area of Bolaang Mongondow was chosen because it is a coastal area with varied lowlands that directly face the Sulawesi Sea (Pacific Ocean). The vulnerability assessment method used in this study was calculating the Coastal Vulnerability Index (CVI). Spatial data interpretation of the parameters of coastal geomorphology, elevation, coastal slope, shoreline change, sea level rise, tides, and significant wave height will contribute to the final vulnerability index value. The results showed that the weight of each analyzed variable varied, ranging from not vulnerable, moderate, vulnerable, and very vulnerable. The CVI assessment shows the less vulnerable category class in all analyzed coastal areas, with index values of 5.86 in Poigar District, 13.1 both in East Bolaang and Bolaang Districts, 14.6 in Lolak District, and 6.55 in Sangtombolang District. Thus, this research concludes that the physical condition of the Bolaang Mongondow coast is less vulnerable to the impacts of climate change. However, it is still threatened in several specific aspects. Although it has not considered socio-economic factors, the assessment of the physical vulnerability of the Bolaang Mongondow coastline produced in this study can be used to formulate targeted mitigation strategies and adaptation measures in the area. © 2024, Polskie Towarzystwo Inzynierii Ekologicznej (PTIE). All rights reserved.</t>
  </si>
  <si>
    <t>2-s2.0-85208717226"</t>
  </si>
  <si>
    <t>10.3133/ofr20241004</t>
  </si>
  <si>
    <t>https://www.scopus.com/inward/record.uri?eid=2-s2.0-85191413707&amp;doi=10.3133%2fofr20241004&amp;partnerID=40&amp;md5=5c532ad960a969afd11209598269d814</t>
  </si>
  <si>
    <t>Living shorelines with salt marsh species, rock breakwaters, and sand nourishment were built along the coastal areas in the Glenn Martin National Wildlife Refuge, Maryland, in 2016 in response to Hurricane Sandy (2012). The Fog Point living shoreline at Glenn Martin National Wildlife Refuge was designed with the “headland - breakwater - embayment” pattern. Scientists from the U.S. Geological Survey, Northeastern University, U.S. Fish and Wildlife Service, and Louisiana State University studied wave, current, and sediment dynamics to assess the effectiveness of the Fog Point living shoreline structures in terms of wave attenuation and erosion reduction. Wave gages, current meters, sediment traps, sediment tiles, and lateral erosion pins were deployed along the Fog Point shoreline during February 10–14, 2020. Because of COVID-19 pandemic travel restrictions, sensors were not retrieved until August 25, 2021, which was 18 months after field deployment, resulting in tremendous loss or damage of sensors and sediment measurements. Monitoring data indicated that wave heights were substantially reduced at locations behind the breakwater (headland) compared to the wave heights in the offshore location, but not at the location in the control area (the embayment). Current patterns and current velocities at the location behind the breakwater were complex and changed dramatically compared to the current patterns and current velocities offshore. Sediments were blocked by the breakwater most of the time except during periods of storms with wave heights larger than 0.9 meter, when waves overtopped the breakwater and brought sediments to the tidal flat and salt marshes behind the breakwater. Behind the breakwater, both sediment deposition and erosion were observed during the 18 months of monitoring. Continued low elevation marsh edge erosion from wave undercutting along the embayment was observed, especially at the existing wave-cut gullies. Monitoring results indicate that the “breakwater + marsh planting” structure along the Fog Point shoreline has limited shoreline protection capacity. Marsh edge erosion behind the breakwater was likely caused by the limited sediment supply from marine sources for transport and delivery, as well as the effects of circulation and current velocity on the settling and deposition of suspended sediments from eroded marshes. Marsh edge erosion continued in the embayment or control area where no shoreline restoration structures were implemented. Long-term (decadal scale) monitoring and adaptive management of living shoreline structures could help to assess the effectiveness of wave attenuation for reducing shoreline erosion and enhancing vegetation growth for trapping sediments and the effectiveness of marsh surface elevation growth for keeping pace with sea level rise. © 2024, US Geological Survey. All rights reserved.</t>
  </si>
  <si>
    <t>2-s2.0-85191413707"</t>
  </si>
  <si>
    <t>10.3389/fclim.2024.1408038</t>
  </si>
  <si>
    <t>https://www.scopus.com/inward/record.uri?eid=2-s2.0-85196820050&amp;doi=10.3389%2ffclim.2024.1408038&amp;partnerID=40&amp;md5=aaf7247686494bb72de5eed15bfba4d9</t>
  </si>
  <si>
    <t>Vulnerable estuaries face resilience challenges against climate-induced salinization. This study examines the Po di Goro estuary in the Northern Adriatic Sea using an innovative modeling approach. It assesses the effectiveness of a Nature-Based Solution in reducing the threat of salt-wedge intrusion. An intermediate-complexity numerical model is considered, leveraging its low computational cost, which is suitable for climate projections, along with robust physics encompassing the main estuarine processes. Two centennial climate experiments covering 1991–2100 are proposed following a mechanistic modeling approach to understand the compound effects of sea level rise and river discharge changes. The first experiment is a full forcing experiment. The second experiment uses the same model but removes the sea level rise as an input forcing. A third experiment, referred to as the Digital Twin Experiment, assesses the effectiveness of a location-specific Nature-Based Solution. This experiment specifically examines the impact of reducing salt levels in the water by using a halophyte plant along the estuary. The results show that, in a future climate change scenario, the salt-wedge intrusion increases. This response is due to the non-linear combination of reduced river discharge and the local sea level rise. The discharge decrease acts as the main driver in the mid-term future (i.e., 2050–2080). In the long-term future (i.e., 2080–2100), the local sea level rise becomes more relevant as the discharge trend is expected to be null. The salt-wedge intrusion in the Po di Goro is projected to increase up to 63% annually (120% in summertime). Additionally, the river mouth salinity could rise by 27% annually (69% in summertime) in the long-term future (2081–2100). The halophyte plant, Atriplex portulaciodes, proposed as Nature-Based Solution, could reduce salt-wedge intrusion in the Po di Goro by up to 16% annually (22% in summer) in the long-term future. In the short-term future, this Nature-Based Solution may be effective enough to counteract the salt increase. Copyright © 2024 Verri, De Lorenzis, Santos da Costa, Sorolla, Löchner, Ribot, Marti, DelGado, Coppini and Pinardi.</t>
  </si>
  <si>
    <t>2-s2.0-85196820050"</t>
  </si>
  <si>
    <t>10.29227/IM-2024-01-64</t>
  </si>
  <si>
    <t>https://www.scopus.com/inward/record.uri?eid=2-s2.0-85204676582&amp;doi=10.29227%2fIM-2024-01-64&amp;partnerID=40&amp;md5=59b581d1561b4ad8d07f783035ce921d</t>
  </si>
  <si>
    <t>The aim of this work was to investigate of the sulfates removal from acid mine drainage (AMD) by biological method using sulfate-reducing bacteria (SRB). A sample of AMD out-flowing from the Pech shaft of the abandoned and flooded Smolník deposit in Slovak Republic was studied. The untreated AMD (with contents metals) and treated AMD i.e. after of the metals removing by the synthetic sorbent Slovakite were used. The base of the biological sulfates elimination was the sulfates bacterial reduction under influence of SRB genera Desulfovibrio. These bacteria realize the sulfates reduction to hydrogen sulfide at the simultaneously oxidation of energetic substrate. Standard selective nutrient medium DSM-63 and modified selective nutrient medium DSM-63 (without sulfates contents) with standard amount of sodium lactate (as energetic substrate) were used in the experiments with untreated AMD. Standard selective nutrient medium DSM-63 and modified selective nutrient medium DSM-63 with standard, double and triple amount of sodium lactate were used in the experiments with treated AMD. In the case of untreated AMD has been reached low removing of sulfates - 20% efficiency (standard medium) and 26% (modified medium). The formation of heterogeneous precipitates containing metals pointed to the need for treatment of AMD by the initial removal of metals by sorption on Slovakite sorbent and subsequent removal of sulfates by bacterial reduction. The results of experiments with AMD treated in this way showed 49%, 70% and 88% efficiency of sulfate removal when using sodium lactate in standard, double and triple amounts. The results of this work suggest that ratio of substrate quantity and sulfate concentration is one of the key parameter of sulfate reducing condition. However, the price of the energy substrate is also an important factor. Therefore, subsequent experiments will be focused on the use of the more affordable substrates (e.g. whey) or mixed bacterial culture of SRB, which will also be able to use the products of decomposition of basic energetic substrates. © 2024 Polish Mineral Engineering Society. All rights reserved.</t>
  </si>
  <si>
    <t>2-s2.0-85204676582"</t>
  </si>
  <si>
    <t>Geology</t>
  </si>
  <si>
    <t>10.1130/G52549.1</t>
  </si>
  <si>
    <t>https://www.scopus.com/inward/record.uri?eid=2-s2.0-85212591793&amp;doi=10.1130%2fG52549.1&amp;partnerID=40&amp;md5=f6718297ba70606a4b99067e8119f6ab</t>
  </si>
  <si>
    <t>Thick sand deposits at the edge of continental shelves, sometimes covered with large bedforms, are generally considered as relict features inherited from periods of low sea level, but alternative interpretations are possible, even in zones where modern oceanic processes are moderate. Detailed investigations in the western Gulf of Lions (western Mediterranean Sea) reveal the presence of remains of Marine Isotope Stage 4 (MIS 4) and MIS 2 shelf-edge deltas at the head of canyons. The sands were then “cannibalized” by strong rising sea-level currents, forming a 20-km-long, strike-oriented sand body covered by dunes. Presently, the migration of dunes is maintained by strong storm-driven currents. The seasonal reversal of circulation is at the origin of inversion of dune morphology, thus the sand body mimics a tidal sand bank with clockwise circulation of bedforms. In the long term, dunes migrate southward with a negative angle of climb, eroding into the underlying shelf-edge deltas. Acoustic Doppler current profiles and numerical simulations indicate that the sediment is sorted, once in suspension, and is flushed to the deep sea while sand bedload contributes to bedform migration. This relative enrichment of sand without external supply is referred to as a “natural sand plant,” by analogy with industrial sand plants where sand is washed and sieved. It forms a discontinuous sand belt, 5–20 m thick, more than 110 km along-strike, connecting multiple shelf-edge deltas. The geological importance of recognizing this recycling mechanism is indicated by the preservation of similarly large buried dunes formed during the deglaciation leading to interglacial MIS 7 at ca. 240 ka (Termination III). © 2024 Geological Society of America. For permission to copy, contact editing@geosociety.org.</t>
  </si>
  <si>
    <t>2-s2.0-85212591793"</t>
  </si>
  <si>
    <t>Dirasat: Human and Social Sciences</t>
  </si>
  <si>
    <t>10.35516/hum.v51i5.3024</t>
  </si>
  <si>
    <t>https://www.scopus.com/inward/record.uri?eid=2-s2.0-85203057250&amp;doi=10.35516%2fhum.v51i5.3024&amp;partnerID=40&amp;md5=2fdba26b9f3bc1dcd2482ccb11abe0f8</t>
  </si>
  <si>
    <t>Objectives: The research aimed to remove the ambiguity about the reasons that led to the occurrence of the flood disaster in Ghat town in June 2019 and to identify the factors that influenced its occurrence. Methods: The analytical approach was used to analyze satellite imagery from the European satellite (Sentinel 2) to determine the areas where floods spread throughout the town and the area surrounding it as well as the pathways through which they invaded the town. In addition to conducting a field study to evaluate the damage and verify the accuracy of remote sensing data, wadi streams and basins that had an impact on the town were also extracted using digital elevation models (DEMs). Results: The study showed that using remote sensing techniques in GIS environment was successful in determining the spread of floods and calculating their quantities, as well as extracting wadi streams and calculating the areas of their basins. It also became clear that the most significant wadis affecting the town are those descended from the Tassili-Nazjer series, led by Wadi Innaghen, Wadi Tahramet-Azzezjer, and subsequently Wadi Tinalkum, all of which are tributaries of the Tanezzuft Great Wadi. It became apparent that the floodwaters entered Ghat from three directions: the southern, western, and northern. Conclusion: It was discovered that the main cause of the disaster was a severe rainstorm that lasted through ten days, as well as the construction of new town neighborhoods in the lowlands, which in fact represent a natural spillway for two large wadis © 2024 DSR Publishers/ The University of Jordan.</t>
  </si>
  <si>
    <t>2-s2.0-85203057250"</t>
  </si>
  <si>
    <t>Water Science</t>
  </si>
  <si>
    <t>10.1080/23570008.2024.2422254</t>
  </si>
  <si>
    <t>https://www.scopus.com/inward/record.uri?eid=2-s2.0-85208806471&amp;doi=10.1080%2f23570008.2024.2422254&amp;partnerID=40&amp;md5=4effc3b9e3fdb9e98d335c658dbdd683</t>
  </si>
  <si>
    <t>Intense energy flow near the dike head significantly influences the development of the dike field zone (DFZ), momentum exchange zone (MEZ), and mainstream zone (MSZ), leading to potential partial or full failure of the dike in the MEZ. To address this, laboratory experiments were conducted to observe flow changes and rate of energy reduction around a single impermeable dike, with alterations made to the pile group length (HL: half-length = 11.5 cm and FL: full length = 23 cm), location (U: upstream, D: downstream), and shape (C: Circular, DV: Delta Van, ST: Streamlined tapered, APF: Angled Plate footing). Modifications in the MEZ flow structure were studied to mitigate concerns about intense energy vortices and dike head flows. These piles helped to assess factors like flow deflection, backwater rise, energy reduction rate, velocity fluctuations, and discharge distribution percentages across the zones. The data revealed that when the pile group length was increased from HL to FL, there was an inverse effect on depth-averaged velocity, MEZ discharge distribution percentage, and flow deflection toward the DFZ. Conversely, there was a direct influence on the rise in backwaters, rate of energy reduction, and discharge distribution percentages in the DFZ. The U-FL-APF pile dike showcased optimal results, displaying a reduction in maximum energy by 52% and streamwise velocity by 96%, while also increasing the backwater rise and discharge distribution by 22% and of only 5% in the MEZ, respectively, compared to a single impermeable dike. During flood events, these suggested measures can mitigate the intensified swirls formed in the DFZ, protect the dike head from direct momentum exchanges in the MEZ, and enhance flow deflection into the MSZ. © 2024 The Author(s). Published by Informa UK Limited, trading as Taylor &amp; Francis Group.</t>
  </si>
  <si>
    <t>2-s2.0-85208806471"</t>
  </si>
  <si>
    <t>Revista de Gestao Social e Ambiental</t>
  </si>
  <si>
    <t>10.24857/rgsa.v18n3-062</t>
  </si>
  <si>
    <t>https://www.scopus.com/inward/record.uri?eid=2-s2.0-85193442847&amp;doi=10.24857%2frgsa.v18n3-062&amp;partnerID=40&amp;md5=1ed2f53cb079b48714e6c30603ee23f1</t>
  </si>
  <si>
    <t>Purpose: The aim of this work is to carry out the morphometric characterization of the Catu River Sub-Basin, located in the municipality of Alagoinhas-BA, with the Catu River being one of the tributaries that make up the Recôncavo Norte and Inhambupe Basin - BHRN/I . Methods: Data from the ALOS Palsar radar were used to obtain the Digital Elevation Model (DEM). The processing of spatial data occurs through Geographic Information Systems (GIS), with the morphometric characteristics of the sub-basin being determined with the aid of the QuantumGIS Palmas 2.18 software. Results and discussion: The morphometric parameters were calculated, obtaining that the sub-basin has an elongated shape, relief considered wavy, little prone to flooding and 4th order classification. Research implications: The research highlights the characteristics of the sub-basin regarding the drainage network, relief and susceptibility to flooding, these factors being associated with the occupation of the region's land and the release of effluents into water bodies. Originality/value: Enables the understanding of hydrological vulnerabilities and can become support material for municipal management, as well as promoting reflection on compliance with legislation and implementation of public policies in environmental management. © 2024 ANPAD - Associacao Nacional de Pos-Graduacao e Pesquisa em Administracao. All rights reserved.</t>
  </si>
  <si>
    <t>2-s2.0-85193442847"</t>
  </si>
  <si>
    <t>10.1080/19475705.2024.2368071</t>
  </si>
  <si>
    <t>https://www.scopus.com/inward/record.uri?eid=2-s2.0-85197921626&amp;doi=10.1080%2f19475705.2024.2368071&amp;partnerID=40&amp;md5=9c2e13204eaa6b68b6d872d952c015b6</t>
  </si>
  <si>
    <t>Tropical cyclones, including surge inundation, are a common event in the coastal regions of Bangladesh. The surge washes out the area within a very short period and remains in flooded condition for several days. Spatial analysis to understand the surge susceptibility level can assist the cyclone management system. Surge susceptibility analysis could be one of the most essential parts of disaster risk reduction through which cyclone vulnerability can be minimized. A Geographic Information Systems-based analytical hierarchy process (AHP) multi-criteria analysis and bivariate frequency ratio (FR) techniques were conducted to understand the surge susceptibility level of a cyclone-prone area on the Bangladesh coast. A total of 10 criteria were considered influential to surge flooding, i.e. Topographic Wetness Index, elevation, wind velocity, slope, distance from sea and rivers, drainage density, Land Use and Land Cover, Normalized Difference Vegetation Index, precipitation, and soil types. The final surge susceptibility maps were categorized into five classes, i.e. very low, low, moderate, high, and very high. Conferring to these susceptibility classes, policymakers can make decisions for future land use management and disaster risk reduction activities. According to this research, AHP showed better precision (Receiver Operating Characteristic) than FR for surge susceptibility prediction on the Bangladesh coast. © 2024 The Author(s). Published by Informa UK Limited, trading as Taylor &amp; Francis Group.</t>
  </si>
  <si>
    <t>2-s2.0-85197921626"</t>
  </si>
  <si>
    <t>10.18178/ijesd.2024.15.4.1483</t>
  </si>
  <si>
    <t>https://www.scopus.com/inward/record.uri?eid=2-s2.0-85199700782&amp;doi=10.18178%2fijesd.2024.15.4.1483&amp;partnerID=40&amp;md5=31430f8344259fbc77ecc973a380aabe</t>
  </si>
  <si>
    <t>Flooding is one of the most frequent natural disasters in Malaysia, causing billions of ringgits in damages and numerous deaths. One of the key strategies to lessen the impact of the disaster is by flood modelling, which is especially beneficial in flood risk management and decision making. This paper focuses on flood modelling and simulation for a river basin using HEC-HMS software with alternative data input from rainfall data produced by weather radar (QPE). Radar QPE has the advantage of providing an areal representation of rainfall, but it is only an indirect measurement of the values. HEC-HMS is an innovative hydrologic modeling software with the advantage of a moderate processing time compared to the more sophisticated hydrodynamic models yet being reasonably accurate. The study methods include the collection and preparation of data required, such as DEM, land use, and soil type for study area of Klang River basin, Malaysia. Initially, the hydrologic model performed a calibration process using the rain gauge data in an effort to generate the best-quality hydrologic simulations. Subsequently, the rainfall inputs from the mean gridded pixel radar QPE values were then used to rerun the models. After model calibration, the result shows that the coefficient of determination, R2, for the rain gauge input is higher (0.8) compared to the radar QPE input (0.6). It is concluded that to produce more accurate results, it was recommended that radar QPE calibration was necessary to enhance the data. © 2024 by the authors.</t>
  </si>
  <si>
    <t>2-s2.0-85199700782"</t>
  </si>
  <si>
    <t>10.1109/JSTARS.2024.3481874</t>
  </si>
  <si>
    <t>https://www.scopus.com/inward/record.uri?eid=2-s2.0-85208095946&amp;doi=10.1109%2fJSTARS.2024.3481874&amp;partnerID=40&amp;md5=3173049a7a71421b495e34fc8ea97578</t>
  </si>
  <si>
    <t>With the help of interferometric synthetic aperture radar (InSAR) and global navigation satellite system (GNSS) technology, high spatial and temporal resolution surface deformation results can be generated, which can help to better understand the mechanism of surface deformation. The spatio-temporal Kalman-based InSAR and GNSS fusion method fully considers the spatio-temporal correlation of deformation and characterizes the potential spatio-temporal process of deformation through spatial modeling and Kalman filter or smooth. However, when focusing on deformation with typical subsidence spatial characteristics, existing studies did not fully consider the spatial distribution of deformations, resulting in the loss of spatial detail information. This article proposes an adaptive spatial modeling optimization method that takes into account the spatial distribution of deformation, which can capture the optimal spatial basis layout scheme under a limited number of spatial bases, establish a more accurate spatial model, and improve the accuracy of deformation fusion. The effectiveness and reliability of this method are verified through simulation experiments and the deformation monitoring results in Datong City, China. The results of the two experiments show that the proposed method can improve the accuracy of InSAR interpolation results by 27.7% and 11.5% on average, respectively. © 2008-2012 IEEE.</t>
  </si>
  <si>
    <t>2-s2.0-85208095946"</t>
  </si>
  <si>
    <t>10.1007/s10668-024-04785-1</t>
  </si>
  <si>
    <t>https://www.scopus.com/inward/record.uri?eid=2-s2.0-85189809149&amp;doi=10.1007%2fs10668-024-04785-1&amp;partnerID=40&amp;md5=f5332a12431986bafafaa62bf1da83af</t>
  </si>
  <si>
    <t>Addressing the escalating issue of flood susceptibility, exacerbated by climate change and urban expansion, this study presents a comprehensive evaluation of the Height Above the Nearest Drainage (HAND) model in Barreiros, Brazil—a locale recurrently affected by floods. Employing rigorous calibration techniques, the HAND model was fine-tuned using Digital Terrain Models (DTMs)—Light Detecting and Ranging (LiDAR) at 5 m and Advanced Land Observing Satellite Phased Array Type L-band Synthetic Aperture Radar (ALOS PALSAR) at 12.5 m—and validated using historical flood data. Metrics such as error percentages, Receiver Operating Characteristic (ROC), Area Under the Curve (AUC), Specificity, Sensitivity, and Precision were employed for validation. Results reveal that the LiDAR-based DTM provided superior drainage delineation, resulting in enhanced flood simulation accuracy. An overall effectiveness of 74.5% was achieved, further validated by ROC/AUC analyses. The study also highlights the model's tendency to overestimate flood risks in plains and suggests caution in its application. These findings have critical implications for flood risk assessment, urban planning, and resource allocation. Graphical abstract: (Figure presented.) © The Author(s), under exclusive licence to Springer Nature B.V. 2024.</t>
  </si>
  <si>
    <t>2-s2.0-85189809149"</t>
  </si>
  <si>
    <t>Journal of Applied Remote Sensing</t>
  </si>
  <si>
    <t>10.1117/1.JRS.18.014506</t>
  </si>
  <si>
    <t>https://www.scopus.com/inward/record.uri?eid=2-s2.0-85193038067&amp;doi=10.1117%2f1.JRS.18.014506&amp;partnerID=40&amp;md5=92730db72089b10692eabf18d4173a40</t>
  </si>
  <si>
    <t>Owing to accelerated urbanization, land subsidence has damaged urban infrastructure and impeded sustainable economic and social development in Qingdao City, China. Combining interferometric synthetic aperture radar (InSAR) and generic atmospheric correction online service (GACOS), atmospheric correction has not yet been investigated for land subsidence in Qingdao. A small baseline subset of InSAR (SBAS InSAR), GACOS, and 28 Sentinel-1A images were combined to produce a land subsidence time series from January 2019 to December 2020 for the urban areas of Qingdao, and the spatiotemporal evolution of land subsidence before and after GACOS atmospheric correction was compared, analyzed, and verified using leveling data. Our work demonstrates that the overall surface condition of the Qingdao urban area is stable, and subsidence areas are mainly concentrated in the coastal area of Jiaozhou Bay, northwestern Jimo District, and northern Chengyang District. The GACOS atmospheric correction could reduce the root-mean-square error of the differential interferometric phase. The land subsidence time series after correction was in better agreement with the leveling-monitored results. It is effective to perform GACOS atmospheric correction to improve the accuracy of SBAS InSAR-monitored land subsidence over a large scale and long time series in coastal cities.  © 2024 Society of Photo-Optical Instrumentation Engineers (SPIE).</t>
  </si>
  <si>
    <t>2-s2.0-85193038067"</t>
  </si>
  <si>
    <t>10.1080/14693062.2024.2420739</t>
  </si>
  <si>
    <t>https://www.scopus.com/inward/record.uri?eid=2-s2.0-85208060584&amp;doi=10.1080%2f14693062.2024.2420739&amp;partnerID=40&amp;md5=20ec153d1034cfafafb26193d826d252</t>
  </si>
  <si>
    <t>Climate change and sea-level rise mean that managed retreat of populations away from coastal areas will be increasingly necessary in coming decades. However, decisions involving managed retreat are often a source of conflict between local communities and public authorities. Law and society literature on naming, blaming and claiming provides important insights into how conflicts emerge and end in litigation. This paper applies this literature to examine claims-making beyond just the courts. Drawing on media stories about Fairbourne, a coastal village in North Wales, it explores how residents have mobilized against managed retreat. Data from these stories is analysed using the above naming, blaming and claiming framework. This reveals eight distinct claims, including three stemming from a naming of climate risk and five concerning economic harms. Paying attention to the claims-making process using this tripartite framework aids understanding and may help avoid conflict around managed retreat caused by sea-level rise. Key policy insights Sea-level rise as a result of climate change is a key issue for many small, low-income coastal communities that are unlikely to receive significant investments in sea defences over the medium to long term. Adapting to sea-level rise through managed retreat involves the decommissioning of housing and infrastructure and relocation inland. However, managed retreat often produces conflict with local populations and gives rise to claims-making by them. Being able to unpick community claims-making, by disaggregating it into naming, blaming and claiming, can help policy makers to understand community standpoints and establish how relevant conflicts might be resolved. © 2024 The Author(s). Published by Informa UK Limited, trading as Taylor &amp; Francis Group.</t>
  </si>
  <si>
    <t>2-s2.0-85208060584"</t>
  </si>
  <si>
    <t>10.1080/17538947.2024.2425163</t>
  </si>
  <si>
    <t>https://www.scopus.com/inward/record.uri?eid=2-s2.0-85209645471&amp;doi=10.1080%2f17538947.2024.2425163&amp;partnerID=40&amp;md5=19a9a36ecbe5c9c0ee2c3b7c0c52098c</t>
  </si>
  <si>
    <t>Sandy beaches are at the frontline of resisting continuous sea level rise associated with anthropogenic climate change. However, accurate and comprehensive spatial information for monitoring, utilizing, and protecting sandy beaches is still lacking at the national or above scales. This study, for the first time, addresses this gap by collecting cloud-free, low-tide Sentinel-2 images in 2022 to map 10-m sandy beaches across China using the image classification method. We adopted the Support Vector Machine to derive the spatial distribution of sandy beaches, assess accuracy, and analyze spatial characteristics. Our results demonstrate the efficiency of the SVM model in mapping sandy beaches (User's accuracy: 96%, Kappa coefficient: 0.93). We identified 3,444 beaches in China, with a total length of 3,187.57 km, an average width of 69.93 meters, and a total area of 217.43 km², constituting 24.16% of the national coastline. Notably, Guangdong, Taiwan, and Hainan provinces are rich in beach resources, whereas Macao, Shanghai, Tianjin, and Jiangsu provinces have relatively fewer beach resources. Further, our results outperform the existing OpenStreetMap beach dataset. Our developed 10-m beach database is crucial for analyzing potential beach risks, uncovering socioeconomic values of beach resources, and promoting the sustainable coastal zone development in China. © 2024 The Author(s). Published by Informa UK Limited, trading as Taylor &amp; Francis Group.</t>
  </si>
  <si>
    <t>2-s2.0-85209645471"</t>
  </si>
  <si>
    <t>10.1007/s41207-024-00677-y</t>
  </si>
  <si>
    <t>https://www.scopus.com/inward/record.uri?eid=2-s2.0-85209593897&amp;doi=10.1007%2fs41207-024-00677-y&amp;partnerID=40&amp;md5=0dcda666f0411760311aca16bbdccc18</t>
  </si>
  <si>
    <t>This paper identifies all the watersheds that cross the Rif hinterland to the Moroccan Mediterranean coastal margin, which are important sources of sediments of continental origin due to water erosion during flooding. Focusing on the river mouths leading to active coastal cells in terms of watersheds, the study analyzes the nature of their connection and their evolution over time. 13 Coastal watersheds draining the Moroccan Rif hinterland into the Alboran Sea have been identified. The land–sea interaction represented by the nature of the connection (permanent, temporary, or unconnected) between these coastal watersheds and the sea fluctuates over time depending on several factors, such as watershed characteristics, flooding, the impact of dam construction on some of them, as well as river flow, wind conditions, wave movement, and coastal currents. This study used digital elevation models to delineate coastal watersheds, and multi-temporal satellite imagery to study the morphodynamic evolution of river mouths, precipitation, wave, and wind data as factors influencing their evolution. Studying the morphodynamics of these river mouths is crucial to understanding how coastal zones react to these events. It also enables us to manage coastal watersheds better and protect coastal infrastructures surrounding river mouths. © Springer Nature Switzerland AG 2024.</t>
  </si>
  <si>
    <t>2-s2.0-85209593897"</t>
  </si>
  <si>
    <t>Micropaleontology</t>
  </si>
  <si>
    <t>10.47894/mpal.70.6.01</t>
  </si>
  <si>
    <t>https://www.scopus.com/inward/record.uri?eid=2-s2.0-85210419514&amp;doi=10.47894%2fmpal.70.6.01&amp;partnerID=40&amp;md5=2550a2248f3cd1ad40d46c068b640b7f</t>
  </si>
  <si>
    <t>Quantitative palynofloral analysis of late Berriasian to early Hauterivian aged sediments from the Vocontian Basin of southeast France has involved fifty-four outcrop samples from Vergol (Montbrun-les-Bains) and twenty-seven from La Charce (Serre de l’Âne). All samples were marls except for two from the early Valanginian Barrande layers, thin black layers rich in organic carbon. Sampling was focused particularly on the Berriasian/Valanginian, early/late Valanginian and Valanginian/Hauterivian boundaries with two of these particularly important as La Charce is the GSSP for base Hauterivian and Vergol is a GSSP candidate for base Valanginian. Although little has been previously published on the palynology of the Vocontian Basin, this study has benefitted from many previous multi-disciplinary studies in the area</t>
  </si>
  <si>
    <t>10.3389/frwa.2024.1388003</t>
  </si>
  <si>
    <t>https://www.scopus.com/inward/record.uri?eid=2-s2.0-85200247231&amp;doi=10.3389%2ffrwa.2024.1388003&amp;partnerID=40&amp;md5=972cf02d28aece91a8dbd0e3ded1bc0e</t>
  </si>
  <si>
    <t>The Kingdom of Saudi Arabia is undergoing massive and rapid urbanization as part of Vision 2030. This includes development projects along Saudi Arabia’s coastline across the Red Sea. Coastal areas, especially the ones along Saudi’s western regions are susceptible to natural disasters such as flooding. NEOM, a futuristic city currently being developed in the northwest of Saudi Arabia, exemplifies a potential flooding hazard due to its geographic location and proposed urbanization plans. This research aims to enhance flood hazard assessment in NEOM by applying the Fuzzy Analytical Hierarchy Process (FAHP) in combination with Geographic Information System (GIS). Acknowledging traditional limitations related to data availability and parameter selection consensus, the study carefully selects parameters such as drainage density, elevation, slope, rainfall, land use/land cover (LULC), soil type, normalized difference vegetation index (NDVI), and topographic wetness index (TWI). The 30 m DEM was used to derive Drainage Density, Slope, and TWI while LULC data helped assess land cover changes. Rainfall data and soil type information are integrated to evaluate their impact on flood susceptibility. NDVI is employed to analyze vegetation cover. Utilizing ArcGIS Pro’s weighted overlay model, the criteria were combined to generate the final flood susceptibility map. The research outcomes manifest in a flood susceptibility map categorizing areas into seven distinct susceptibility classes, ranging from ‘very low’ to ‘very high.’ A quantitative breakdown in a summary table provides insights into the proportional distribution of flood risk. Results indicate a significant portion of NEOM falls within varying degrees of moderate susceptibility range with relatively limited distribution of flood susceptibility on the extremes, equating to areas with ‘low to moderate’ susceptibility is 4,322.8 km2, areas with ‘moderate’ susceptibility is 5,109.69 km2, areas with ‘moderate to high’ is 4,081.39 km2. The flood susceptibility map developed in this study can shed insights on potential optimum areas for flood mitigation measures (i.e., optimum locations for establishing stormwater collection points). Copyright © 2024 Bokhari, Tawabini and Baalousha.</t>
  </si>
  <si>
    <t>2-s2.0-85200247231"</t>
  </si>
  <si>
    <t>10.1007/s12524-024-02040-8</t>
  </si>
  <si>
    <t>https://www.scopus.com/inward/record.uri?eid=2-s2.0-85210598948&amp;doi=10.1007%2fs12524-024-02040-8&amp;partnerID=40&amp;md5=cb62814a18453d6f07cf0bf90296ce8e</t>
  </si>
  <si>
    <t>Barren island volcano (BIV), located in the Andaman Sea, stands as a unique geological phenomenon characterized by its dynamic volcanic activity and complex morphtectonic features. In the current study, we employed advanced remote sensing techniques and detailed field surveys to elucidate the structural complexities and eruptive history of BIV. Analysis of DEM and bathymetric surveys reveals the presence of two distinct caldera formations-an older, outer caldera and a more recent, inner caldera-shaped by significant eruptive events and rapid subsidence along ring faults. The central polygenetic cone, marked by strombolian eruptions, emerges as the focal point of recent volcanic activity, surrounded by secondary cones and spatter cones indicative of ongoing magmatic processes and shallow magma chambers. Structural analysis further highlights the dynamic nature lava flow pathways, particularly the breaching of caldera walls towards the West and Northwest, influenced by pyroclastic loading and tectonic stresses from nearby faults. Integrating the satellite data and bathymetric data along with field expedition, our study maps both subaerial and submarine features of BIV, revealing submerged parasitic cones and the ruggedness of its volcanic flanks. Overall, our findings underscore the intricate interplay between magmatic processes, tectonic settings, and eruptive history in shaping the evolution of BIV. Continued monitoring and advanced remote sensing applications are imperative for predicting future volcanic behavior and mitigating potential hazards associated with BIV. © Indian Society of Remote Sensing 2024.</t>
  </si>
  <si>
    <t>2-s2.0-85210598948"</t>
  </si>
  <si>
    <t>Archives of Mining Sciences</t>
  </si>
  <si>
    <t>10.24425/ams.2024.151444</t>
  </si>
  <si>
    <t>https://www.scopus.com/inward/record.uri?eid=2-s2.0-85205452919&amp;doi=10.24425%2fams.2024.151444&amp;partnerID=40&amp;md5=4d2d60f91d44f8a03417a0c12eb2432b</t>
  </si>
  <si>
    <t>Discontinuous deformations, such as sinkholes, pose significant challenges in post-mining areas due to their unpredictable nature and potential hazard to surface development and the safety of local communities. Therefore, monitoring the post-mining regions should be treated as a continuing task. This study addresses the ongoing problem of sinkhole formation in the former “Przyjaźń Narodów – Szyb Babina” (Babina) lignite mine located in the glaciotectonic region of Muskau Arch in western Poland. The research uses airborne and terrestrial laser scanning methods to identify and monitor discontinuous deformations, focusing on a newly discovered sinkhole. The methodology involves differential analysis of Digital Elevation Models (DEMs) and their derivatives obtained from airborne laser scanning (ALS) and periodic terrestrial laser scanning (TLS) measurements. The results of ALS DEM analysis allowed the successful identification of 75 confirmed sinkholes, the largest measuring 12.8 m in diameter and 4.8 m deep. Whereas, differential DEM analysis indicated new sinkholes that developed between 2011 and 2020 in the area of shallow underground mining. Two-year TLS monitoring of the new sinkhole showed no progression in its dimensions. However, localised erosion processes associated with water transport were detected. The study shows that sinkhole formation processes are active 5 decades after the end of mining and highlights the importance of continuous monitoring of post-mining areas with advanced laser scanning methodss. © 2024. The Author(s).</t>
  </si>
  <si>
    <t>2-s2.0-85205452919"</t>
  </si>
  <si>
    <t>Planning Malaysia</t>
  </si>
  <si>
    <t>10.21837/pm.v22i34.1584</t>
  </si>
  <si>
    <t>https://www.scopus.com/inward/record.uri?eid=2-s2.0-85206115366&amp;doi=10.21837%2fpm.v22i34.1584&amp;partnerID=40&amp;md5=a20ef358df14a457a29a2e26de8eebbe</t>
  </si>
  <si>
    <t>The efforts to alleviate slum settlement in the coastal areas of Jakarta are required to consider the sustainability of flood disaster protection measures. This is essential for reducing vulnerability issues, particularly in Kalibaru Subdistrict with the highest flood risk. The vulnerability issues refer to aspects of community exposure level, sensitivity, and adaptive capacity as main indicators of coastal areas due to climate change. Therefore, this study aimed to analyze the vulnerability of slum settlement in coastal area of Kalibaru Subdistrict, North Jakarta. A quantitative method was used to measure vulnerability level of settlements to flood using statistical and scoring analysis. The results showed that vulnerability level of settlement to floods was within the moderate category. The adaptive capacity serving as a significant element, was influenced by collective actions, cooperation, and mutual assistance in addressing disaster threats. This showed the need to optimize both physical and non-physical aspects of slum settlement eradication interventions. © 2024 by MIP.</t>
  </si>
  <si>
    <t>2-s2.0-85206115366"</t>
  </si>
  <si>
    <t>10.1504/IJHST.2024.138803</t>
  </si>
  <si>
    <t>https://www.scopus.com/inward/record.uri?eid=2-s2.0-85195180398&amp;doi=10.1504%2fIJHST.2024.138803&amp;partnerID=40&amp;md5=cfed52fd6b2d554342e7f9a35f6c0cb5</t>
  </si>
  <si>
    <t>Flooding is a recurring phenomenon which can reduce certain extent by storing the water in large dam. However, dam operation is the most challenging part of flood resilience in recent climatic uncertainty and extremes. Furthermore, old dams have the potential to fail due to extreme rainfall, earthquakes, and structural failure. Recently, dam break analysis for prior threat detection has been used to strengthen resilience and improve decision-making by guiding emergency action plans (EAP) preparation. This paper describes the analysis of overtopping and piping failure of the earthen part of the Damanganga Reservoir, Gujarat, India using geospatial techniques and 2D hydrodynamic inundation modelling. The Froehlich’s guideline is utilised for dam breach analysis. Water surface elevation, water depth, water velocity, arrival time, and water inundation map were developed using 2D HEC-RAS based hydrodynamic modelling. The generated maps will utilise for flood decision making activity to reinforce the EAP for large dam. © 2024 Inderscience Enterprises Ltd.</t>
  </si>
  <si>
    <t>2-s2.0-85195180398"</t>
  </si>
  <si>
    <t>U.S. Geological Survey Fact Sheet</t>
  </si>
  <si>
    <t>10.3133/fs20243031</t>
  </si>
  <si>
    <t>https://www.scopus.com/inward/record.uri?eid=2-s2.0-85200601281&amp;doi=10.3133%2ffs20243031&amp;partnerID=40&amp;md5=2b514f0c84334dd5329d3f2f62c2710c</t>
  </si>
  <si>
    <t>High-quality elevation data are proving to be a resource of value in addressing many important economic issues in Michigan. The expanding statewide availability of current and accurate high-resolution elevation data can help support agriculture and precision farming, natural resource conservation, flood risk management, and geologic resource assessment and hazard mitigation. Water supply and quality assessment, coastal zone management, infrastructure and construction management, solar potential and other renewable energy programs, and identification of features of interest or concern such as archaeological and historical sites are other notable areas that are supported with accurate, high-resolution elevation data. Critical applications that meet the State’s management needs depend on light detection and ranging (lidar) data that provide a highly detailed three-dimensional (3D) model of the Earth’s surface and aboveground features. © 2024, US Geological Survey. All rights reserved.</t>
  </si>
  <si>
    <t>2-s2.0-85200601281"</t>
  </si>
  <si>
    <t>Open Geosciences</t>
  </si>
  <si>
    <t>10.1515/geo-2022-0602</t>
  </si>
  <si>
    <t>https://www.scopus.com/inward/record.uri?eid=2-s2.0-85204049150&amp;doi=10.1515%2fgeo-2022-0602&amp;partnerID=40&amp;md5=4c07008bd4ed28b71d0be2d3efe03421</t>
  </si>
  <si>
    <t>Fine characterization of oil plane distribution in highly heterogeneous tight sandstone is a prerequisite for efficient reservoir development. This study systematically evaluated the distribution characteristics of tight oil in the Chang 7 Member of the Western Ordos Basin using a large number of experimental tests, logging interpretation, and 3D modelling methods. The logging interpretation models of shale content, porosity, permeability, and oil saturation were constructed, and the effective reservoir was identified by establishing the intersection identification pattern of reservoir acoustic wave time difference and deep lateral resistivity. The 3D numerical simulation results showed that the tight oil is distributed between injection and production wells. The areas with high tight oil content are mainly distributed along the WE direction, and a series of high remaining oil zones are formed locally. Under the influence of long-term injection and production, a high permeability zone will be formed between wells, which is similar to a high-speed channel and will be flooded quickly, and a banded remaining oil retention zone will be formed around it. For the horizontal well flooding area, the water flooding range of the water injection well is small, and a large amount of remaining oil is enriched between water injection wells. Finally, the classification standard of the remaining oil in the Chang 72 sub-member of the study area is proposed, and then, the strategy of adopting different development and adjustment schemes according to different types of reservoirs is formed.  © 2024 the author(s), published by De Gruyter.</t>
  </si>
  <si>
    <t>2-s2.0-85204049150"</t>
  </si>
  <si>
    <t>10.1080/10106049.2024.2391056</t>
  </si>
  <si>
    <t>https://www.scopus.com/inward/record.uri?eid=2-s2.0-85201564867&amp;doi=10.1080%2f10106049.2024.2391056&amp;partnerID=40&amp;md5=dd08b5f630a074e4e7001652281591ae</t>
  </si>
  <si>
    <t>Situated in the Yangtze River Delta’s alluvial plain, Shanghai has faced intensified land subsidence problems since the economic reforms of the 1990s. However, previous studies have lacked long time-series land subsidence monitoring and an analysis of multifactorial interactions in Shanghai over the past years. This study analyzed Shanghai’s land subsidence from 1992 to 2020 using SAR data from ERS-1/2, ENVISAT ASAR, and Sentinel-1A, applying the SBAS-InSAR technique. The geo-detector method was used to identify key factors affecting land subsidence, including groundwater, urban structure, metro development, and population dynamics. The results showed that (1) the utilization of multi-sensor SAR data enables the comprehensive analysis of urban land subsidence over an extended temporal series, facilitating the acquisition of its spatiotemporal distribution</t>
  </si>
  <si>
    <t>10.17491/jgsi/2024/172981</t>
  </si>
  <si>
    <t>https://www.scopus.com/inward/record.uri?eid=2-s2.0-85195065305&amp;doi=10.17491%2fjgsi%2f2024%2f172981&amp;partnerID=40&amp;md5=760963aa3e2f50c83f0a82b36d115e56</t>
  </si>
  <si>
    <t>One of the most fragile places on earth is the coastal zone. There are several different ecosystems in this area. In this area, erosion and accretion are typical natural occurrences. These changes could also threaten the coastal ecology. Uneven coastal changes can result from natural processes such rainfall, cyclones, floods, tectonic shifts and longshore drift. Similar to this, anthropogenic influences like mining, unscientific land use, urbanisation, etc., contribute to coastal processes and bring much more significant alterations in the coastal region. Therefore, identifying such a location is crucial. Advanced approaches for studying shoreline change have been made possible by geospatial technology. The enormous effort to obtain an accurate result over a greater area has become easier as a result. In order to examine the changes in the Cuddalore shoreline during the years 2002, 2007, 2013, 2017, and 2022, Landsat satellite imageries with 30 m spatial resolution were used. The Digital Shoreline Analysis System (DSAS) tool for analysing shoreline change has been integrated to Geographic Information System (GIS) software. DSAS was used to construct the baseline transects for the shoreline change measurement. Using the MATLAB feature runtime function for ArcGIS, the rate of shoreline change was computed. Based on the DSAS output, the area of high erosion, low erosion, stable, and low accretion, high accretion zones were assessed on the coastline. The results reveal that 15.38% of the shoreline, around 6.8 km is under high erosion. 12.2% of the shoreline, which is around 5.4 km, is under low erosion. 32% of the shoreline, around 14.5 km, is a stable region. 26.9% of shorelines, around 11.9 km, is low accretion, and 12.6% of shorelines, around 5.6 km, is high accretion. The coastal villages, namely, Gundupallavadi, Cuddalore, Thandavarayancholanga pettai, Ariyakoshti and parangipettai have a high erosion with a maximum rate of change between-3 to-14 m/y. The coastal villages Patchayankuppam, Cuddalore, Tiruchchepuram, Kayalpattu, Kothattai, Ariyakoshti, Parangipettai have high accretion with a maximum rate of change between 3 to 10 m/y. © 2024 Geological Society of India, Bengaluru, India.</t>
  </si>
  <si>
    <t>2-s2.0-85195065305"</t>
  </si>
  <si>
    <t>10.1016/B978-0-443-23890-1.00007-4</t>
  </si>
  <si>
    <t>https://www.scopus.com/inward/record.uri?eid=2-s2.0-85204981946&amp;doi=10.1016%2fB978-0-443-23890-1.00007-4&amp;partnerID=40&amp;md5=77e05d67f286d0cbb11b4fb386fbb8ae</t>
  </si>
  <si>
    <t>The present study tries to analyze the flood susceptibility of the Dibrugarh district by using the analytical hierarchy process (AHP) and frequency ratio (FR). The indicators of flood susceptibility were elevation, distance from river, stream density, rainfall, land use and land cover, slope, topographic wetness index, and soil. The same were extracted from digital elevation model, rainfall data, satellite images, and FAO soil data. Among the eight indicators, elevation was assigned a maximum weightage value of 25%. The matrix of the weightage was prepared by assigning an intensity score to each indicator ranging from 1 to 9. The flood susceptibility maps were generated by applying the AHP and FR model integrating the eight indicators, and the output maps were reclassified as very high flood susceptibility zone, high flood susceptibility zone, moderate flood susceptibility zone, and no flood zone. Both the models showed that about 30% of the area is very high risk for flood disasters. © 2025 Elsevier Inc.</t>
  </si>
  <si>
    <t>2-s2.0-85204981946"</t>
  </si>
  <si>
    <t>Geography</t>
  </si>
  <si>
    <t>10.1080/00167487.2024.2351772</t>
  </si>
  <si>
    <t>https://www.scopus.com/inward/record.uri?eid=2-s2.0-85194382017&amp;doi=10.1080%2f00167487.2024.2351772&amp;partnerID=40&amp;md5=0ddedda6e02b9f3b67693debd6241f2d</t>
  </si>
  <si>
    <t>This study explores the intricate relationship between beach conservation and human behaviour, focusing on beachgoers in Lagos State, Nigeria. It underlines the importance of nature connection in determining people’s willingness to pay (WTP) for the management and preservation of coastal ecosystems. As well as providing spaces for recreation, beaches provide vital ecosystem services such as flood protection and contributions to biodiversity, but they are often threatened by human-induced actions such as pollution. The research investigates pathways through which individuals connect with nature, highlighting beauty, compassion, emotion, contact and meaning. It reveals that participants primarily establish their connection through the aesthetic appeal of beaches. Additionally, the study uncovers a positive WTP for beach management, with most participants willing to contribute modest amounts. The study’s implications point to the need for holistic beach management strategies in Nigeria that balance economic development and environmental conservation. Ultimately, this research underscores the importance of strengthening connections between individuals and the natural world to foster pro-environmental behaviour and financial contributions to conservation efforts. © 2024 Geography.</t>
  </si>
  <si>
    <t>2-s2.0-85194382017"</t>
  </si>
  <si>
    <t>First Break</t>
  </si>
  <si>
    <t>10.3997/1365-2397.fb2024033</t>
  </si>
  <si>
    <t>https://www.scopus.com/inward/record.uri?eid=2-s2.0-85189954372&amp;doi=10.3997%2f1365-2397.fb2024033&amp;partnerID=40&amp;md5=802cb4fc237b582a72e9ffd077c92ecd</t>
  </si>
  <si>
    <t>Mitigating flood risk of heavily urbanised coastal regions by geo-engineered surface uplift via CO2-sequestration may help to create commercially viable storage opportunities for greenhouse gases like CO2. Recent projections for increased global flood risk due to sea level rise induced by rising CO2-emissions are briefly reviewed. Next, a practical geo-mechanical model is presented, suitable for quick technical assessments of the key physical parameters that contribute most to achieving a specific surface uplift rate required to outpace the projected relative sea level rise for a certain region at risk. The model allows for probabilistic inputs to (1) capture the uncertainty in the value of key input parameters, and (2) link and rank the sensitivity of the surface uplift, to the individual input parameters (in tornado and spider graphs). Three uplift scenarios are given to demonstrate the feasibility of flood mitigation with CO2-sequestration. Finally, a discussion places the emergence of CO2-injection projects in a historic perspective, and highlights the critical key factors in the future screening of any CO2-injection prospects. These factors include the evaluation of technical challenges, potential risks, stakeholder management, public education and perception management. © 2024 EAGE Publishing BV. All rights reserved.</t>
  </si>
  <si>
    <t>2-s2.0-85189954372"</t>
  </si>
  <si>
    <t>10.1080/19942060.2024.2345161</t>
  </si>
  <si>
    <t>https://www.scopus.com/inward/record.uri?eid=2-s2.0-85192094712&amp;doi=10.1080%2f19942060.2024.2345161&amp;partnerID=40&amp;md5=c9cb658d42c436c3f29661703b55963e</t>
  </si>
  <si>
    <t>The curved tidal channel, Luotou Deep-water Navigational Channel, is the main channel of the Ningbo Zhoushan Port, which is ranked first in the world. Tidal dynamics in the channel are spatially and temporally asymmetric. In this study, the three-dimensional tidal dynamics in the channel were analyzed using field data and simulated using FVCOM. The results show that the tides in the channel flood/ebb along the northern/southern bank near the bottom/surface layer and these asymmetries are due to the imbalanced Coriolis force, centrifugal force, sea-level gradient, and density gradient. Residual current velocity peaks (0.7 m/s) in the middle of the channel as the same distribution as sediment flux. There are two high turbidity zones (&gt;4 kg/m3) which are northern at flood than at an ebb in the channel. The drag reduction effect of fluid mud enhances the lateral circulation, which is strong near the Chuanshan Peninsula and frictional dissipation plays an important role in it. The presence of suspended sediment changes the contribution of acceleration terms through impacting density and bottom friction, and the centrifugal force term has the largest increases. This study provides the foundation for the morphology evolution and harbor management of macro-tidal turbid coastal zones. Highlights: A baroclinic model was built to study the tidal dynamics in macro-tidal turbid Zhoushan Islands. Asymmetric tides and lateral circulation occur in the Luotou Deep-water Navigational Channel (DNC). Mechanism of lateral circulation depends on tidal phases and locations in the DNC. Sediment impacts water density and drag coefficient, and then changes currents and sediment fluxes in the DNC. © 2024 The Author(s). Published by Informa UK Limited, trading as Taylor &amp; Francis Group.</t>
  </si>
  <si>
    <t>2-s2.0-85192094712"</t>
  </si>
  <si>
    <t>10.1007/s41207-024-00525-z</t>
  </si>
  <si>
    <t>https://www.scopus.com/inward/record.uri?eid=2-s2.0-85194048431&amp;doi=10.1007%2fs41207-024-00525-z&amp;partnerID=40&amp;md5=b00c96cbacf9c6b50b74b5870969c49a</t>
  </si>
  <si>
    <t>In this paper, sedimentological, geochemical, palaeontological and radiocarbon dating results from Holocene cores are presented to infer the palaeoenvironmental evolution of the Thyna coast in the Gulf of Gabes (Tunisia). Based on detailed faunal, sedimentological and geochemical analyses, the evolution of the coastline and the impact of a high-energy event around 365 CE which led to the destruction of parts of the historic city of Thyna are reconstructed. The scenario developed here is based on the analysis of four drill cores and shows an evolution from a shallow marine palaeoenvironment to a gradually enclosed lagoon. The core record includes the following. (i) Evidence of the first Holocene transgression at around 6234–5733 cal year BCE (8184–7683 cal yr BP), characterised by the first appearance of foraminifera and molluscs. The transgressive sediments of the first transgression overlie the Upper Pleistocene–Greenlandian terrigenous clays. (ii) Deposits of a high-energy event that formed in the fourth century after the Crete earthquake (365 AD). The bioclastic deposits are characterised by an erosive base and are rich in rip-up clasts, charcoal particles, wood and pottery fragments, and abundant shell debris. This deposit comprises a blend of remains from coastal and lagoonal molluscs, along with brackish foraminifera originating from the more internal regions of a confined lagoon. (iii) After the high-energy event, there is evidence of a partially open lagoon off the coast, which was protected from the open sea by a sand barrier. (iv) Evidence of increased marine influence and further opening of the lagoon in the nineteenth and twentieth centuries, suggesting that the coastal area of Thyna is affected not only by the current sea level rise but probably also by subsidence. The scenario developed and the events identified here are compared with those already known. © Springer Nature Switzerland AG 2024.</t>
  </si>
  <si>
    <t>2-s2.0-85194048431"</t>
  </si>
  <si>
    <t>10.1007/s41748-024-00549-z</t>
  </si>
  <si>
    <t>https://www.scopus.com/inward/record.uri?eid=2-s2.0-85212475156&amp;doi=10.1007%2fs41748-024-00549-z&amp;partnerID=40&amp;md5=8336a3deeb3ef87077b77fea80dd5f3e</t>
  </si>
  <si>
    <t>The December 2004 Indian ocean earthquake and its devastating tsunami resulted in exacerbated seawater intrusion into the coastal aquifers and inundation along the east coast of south Andaman Island, severely impacting freshwater resources. Following the 2004 earthquake recurring storm surges, tidal variation, and increasing groundwater abstraction caused by the region’s fast urbanization and population growth further stressing the groundwater resources. To improve the understanding of the current status of seawater intrusion, the long-term impact of tsunami-induced seawater intrusion on aquifers and subsequent recovery, this study aims to map freshwater and saline zones and assess the vulnerability of aquifers two decades after the subsidence and tsunami. The present study reports the results of an integrated approach combining 12 geoelectrical vertical resistivity soundings and profiling utilizing Schlumberger configuration along the east coast at four potential sites that were affected by inundation during the 2004 event. The geoelectrical resistivity data show low resistivity zones (0–10 Ωm) at shallow surface up to (50 m) as probable zones of sea water intrusion. The resistivity profiling illustrates maximum effect of the salinization up to ~ 1.5 km far away from the coast. Moreover, hydrochemical analysis of groundwater samples from dug and bore wells during pre-monsoon and post-monsoon periods at VES locations suggest Na-Cl water type and contamination. The total dissolved solids (TDS) content exceeded the allowed limits, pH and elevated electrical conductivity, mostly caused by Cl-, Na+, K+, Ca2+ and Mg2+, indicating high salinity and dissolved salt content. SO42- levels surpass permissible limits, whilst Na+ and K+ concentrations suggest contamination. The integrated findings indicate the complex interplay between aquifer geometry, coastal geomorphology, such as low-lying coastal zones and stress from recurring cyclones and anthropogenic activities significantly influences the sea water intrusion and the ocean flushing of contamination along the east coast of south Andaman. The study underlines the importance of determining aquifer susceptibility and understanding the mechanisms of tsunami-induced seawater intrusion in order to enhance the resilience of groundwater resources in tsunami-prone areas. © King Abdulaziz University and Springer Nature Switzerland AG 2024.</t>
  </si>
  <si>
    <t>2-s2.0-85212475156"</t>
  </si>
  <si>
    <t>10.1007/s00267-024-02096-9</t>
  </si>
  <si>
    <t>https://www.scopus.com/inward/record.uri?eid=2-s2.0-85210602767&amp;doi=10.1007%2fs00267-024-02096-9&amp;partnerID=40&amp;md5=eed0763d336ede5253b22cf629604379</t>
  </si>
  <si>
    <t>Intergovernmental Panel on Climate Change (IPCC) scenarios run by an ensemble of models developed by the Coupled Model Intercomparison Project (CMIP) projects an average sea level rise (SLRs) of 0.6 to 1.2 m for the low and high emission scenarios (SSP1-1.9, SSP5-8.5), during the next century (IPCC 2021). The coastal zone will experience an increase in the flooding of terrestrial habitats and the depth of marine productive areas, with potential negative consequences for these ecosystems. The coast in Denmark is highly modified due to anthropogenic uses. Dikes, dams, and other coastal infrastructure are widespread, causing a coastal squeeze that prevents natural coastal development and inland migration of coastlines. We performed a national-scale analysis on the impacts of mean sea level rise (MSLR) in 2070 and 2120, and a 1 in 10-year storm surge water level (10SS) in 2120 MSLR for the Danish coast. Our study shows extensive permanent flooding of coastal habitats (~14%), whereas only 1.6% of urban areas will be flooded. Finally, very large agricultural areas (~191,000 ha) will be frequently flooded by 10SS if no extra protective measures are planned. With the present coastal protection structures, key habitats will be affected by permanent flooding or coastal squeeze while even larger extents will be subjected to intermittent marine flooding. About 45% (199 km2) of all Danish coastal wetlands will be permanently flooded by 2120, while areas occupied by forest, lakes and freshwater wetlands will be more frequently flooded by marine water. This study highlights the importance of including coastal habitats as dynamic elements in climate adaptation plans. Conservation and restoration of key habitats such as coastal wetlands should be prioritized in management plans. If Denmark does not change its current priorities, it may face the complete loss of coastal wetlands habitat in the 22nd century. © The Author(s) 2024.</t>
  </si>
  <si>
    <t>2-s2.0-85210602767"</t>
  </si>
  <si>
    <t>Turkish Journal of Earth Sciences</t>
  </si>
  <si>
    <t>10.55730/1300-0985.1912</t>
  </si>
  <si>
    <t>https://www.scopus.com/inward/record.uri?eid=2-s2.0-85190806941&amp;doi=10.55730%2f1300-0985.1912&amp;partnerID=40&amp;md5=dd4416e75bff1c54f0230608643c2ceb</t>
  </si>
  <si>
    <t>The turbiditic succession containing exotic blocks of various sizes deposited in the Çüngüş Basin, has been previously identified as the Çüngüş Formation in front of the Southeast Anatolian Suture Belt, Türkiye. These turbiditic sediments, dated as Eocene-Early Miocene, were interpreted as the lowermost allochthonous tectono-stratigraphic unit thrust over the Lice Formation during the Miocene within the Çüngüş-Hakkari nappes. In this study, the stratigraphical, sedimentological, palaeontological, and structural features of the Çüngüş and Lice formations are examined and reinterpreted within a basin model. Both formations consist of sandstones, siltstones, mudstones, and subordinate conglomerates, indicating ramp-fringe palaeochannel, submarine fan, and basin-floor turbidite facies associations. In the northern part of the basin, just in front of the suture belt, volcanic, metamorphic, and ophiolitic rocks and nummulitic limestones are included as blocks and tectonic slices within the turbidite succession. Based on nannoplankton analysis, both Çüngüş and Lice formations are assigned an Early Miocene age. The sedimentary facies associations filling the Çüngüş Basin are transitional from proximal to distal facies. The thrust in the previous maps separating the Çüngüş and Lice formations cannot be confirmed in the field. Based on our field observations and age data, we interpret that the Lice and the Çüngüş formations deposited continuously within the Çüngüş Basin that was opened as a foreland basin by flexural subsidence of the Arabian Autochthon under the crustal load of the Pütürge-Bitlis Massifs and the Maden Complex during the Early Miocene. The turbidite deposits containing exotic blocks in the north of the basin are interpreted as wedge-top deposits of the foreland basin, while those in the south are considered foredeep deposits. © TÜBİTAK.</t>
  </si>
  <si>
    <t>2-s2.0-85190806941"</t>
  </si>
  <si>
    <t>10.3133/sir20235060</t>
  </si>
  <si>
    <t>https://www.scopus.com/inward/record.uri?eid=2-s2.0-85190643514&amp;doi=10.3133%2fsir20235060&amp;partnerID=40&amp;md5=47c39fa44444800e6ca7a88b93ffbf63</t>
  </si>
  <si>
    <t>This study examined the abundance and distribution of nutrients and phytoplankton in the tidal aquatic environments of the Sacramento–San Joaquin Delta (Delta) and Suisun Bay, comprising three spatial surveys conducted in May, July, and October of 2018 that used continuous underway high frequency sampling and measurements onboard a high-speed boat to characterize spatial variation across the extent of the Delta. The method used involves simultaneously collecting information about the concentration and spatial distribution of all major nutrient forms with analogous information about the major classes of phytoplankton and associated water-quality conditions. The results showed substantial variation across space and time, providing an unprecedented snapshot of the dynamic environmental processes that shape the ways nutrients interact with and affect aquatic habitats in the Delta. The purposes of this study were to improve our understanding of how hydrodynamics, landscape features, and aquatic primary productivity interact to drive nutrient cycling and transport in the Delta and to provide insights into the underlying processes most directly responsible for the conditions at the time of this study, and thus into the range of conditions that may be expected following the wide array of prospective future changes to the Delta. One major anticipated change at the time of this study was the planned upgrade to the Sacramento Regional Wastewater Treatment Plant, but the study also informs our understanding of potential effects from other changes to the Delta, such as those caused by other nutrient-management actions, flow actions, large-scale wetland restoration, drought, flood, levee failure, and changes to water management. Nutrient loading is the primary driver of nutrient concentrations in the Delta, but several other major drivers interact to shape their distribution and effects: geomorphology, hydrodynamics, landscape features, and aquatic productivity. Hydrodynamics affect timescales of transport and dilution of nutrient loads in the Delta. During transit through the system, channel geometry, tidal mixing, and water exports affect hydrodynamics in diverse ways that influence water-residence and transport times, thereby markedly affecting the range of times during which natural internal cycling can alter nutrient concentrations and forms. Channel geometry and location shape tidal energy and river currents into these observed dynamics. Interactions with Delta aquatic landscapes such as herbaceous tidal marsh, submerged aquatic vegetation, and large expanses of intertidal or subtidal sediments (all highly productive landscapes) exert demand on available nutrient supplies but can also simultaneously transform and generate nutrients. Finally, while phytoplankton require nutrients to sustain production and thus are a potential nutrient sink, the amount and form of nutrients also can influence the occurrence of harmful algal blooms (HABs) that adversely affect aquatic organisms as well as affect the occurrence of beneficial algal blooms that result in production of algae that are favorable for imperiled Delta pelagic aquatic food webs. The surveys revealed a complex mosaic of spatial variation, with nutrient concentrations varying from near zero to well above concentrations considered eutrophic</t>
  </si>
  <si>
    <t>10.3389/feart.2024.1426088</t>
  </si>
  <si>
    <t>https://www.scopus.com/inward/record.uri?eid=2-s2.0-85199887255&amp;doi=10.3389%2ffeart.2024.1426088&amp;partnerID=40&amp;md5=dcd611a2cdeed118ff57df1dcb9b5128</t>
  </si>
  <si>
    <t>Volcanic debris flows (lahars) are highly destructive volcanic phenomena and present significant challenges in numerical simulation. This manuscript tackles the three fundamental requirements for modelling gravitational flows: determining plausible source configurations</t>
  </si>
  <si>
    <t>Frontiers in Conservation Science</t>
  </si>
  <si>
    <t>10.3389/fcosc.2024.1444626</t>
  </si>
  <si>
    <t>https://www.scopus.com/inward/record.uri?eid=2-s2.0-85206999826&amp;doi=10.3389%2ffcosc.2024.1444626&amp;partnerID=40&amp;md5=53ea16f58509d8895b434c6036978301</t>
  </si>
  <si>
    <t>The challenge of selecting strategies to adapt to climate change is complicated by the presence of irreducible uncertainties regarding future conditions. Decisions regarding long-term investments in conservation actions contain significant risk of failure due to these inherent uncertainties. To address this challenge, decision makers need an arsenal of sophisticated but practical tools to help guide spatial conservation strategies. Theory asserts that managing risks can be achieved by diversifying an investment portfolio to include assets – such as stocks and bonds – that respond inversely to one another under a given set of conditions. We demonstrate an approach for formalizing the diversification of conservation assets (land parcels) and actions (restoration, species reintroductions) by using correlation structure to quantify the degree of risk for any proposed management investment. We illustrate a framework for identifying future habitat refugia by integrating species distribution modeling, scenarios of climate change and sea level rise, and impacts to critical habitat. Using the plains coqui (Eleutherodactylus juanariveroi), an endangered amphibian known from only three small wetland populations on Puerto Rico’s coastal plains, we evaluate the distribution of potential refugia under two model parameterizations and four future sea-level rise scenarios. We then apply portfolio theory using two distinct objective functions and eight budget levels to inform investment strategies for mitigating risk and increasing species persistence probability. Models project scenario-specific declines in coastal freshwater wetlands from 2% to nearly 30% and concurrent expansions of transitional marsh and estuarine open water. Conditional on the scenario, island-wide species distribution is predicted to contract by 25% to 90%. Optimal portfolios under the first objective function – benefit maximization – emphasizes translocating frogs to existing protected areas rather than investing in the protection of new habitat. Alternatively, optimal strategies using the second objective function – a risk-benefit tradeoff framework – include significant investment to protect parcels for the purpose of reintroduction or establishing new populations. These findings suggest that leveraging existing protected areas for species persistence, while less costly, may contain excessive risk and could result in diminished conservation benefits. Although our modeling includes numerous assumptions and simplifications, we believe this framework provides useful inference for exploring resource dynamics and developing robust adaptation strategies using an approach that is generalizable to other conservation problems which are spatial or portfolio in nature and subject to unresolvable uncertainty. Copyright © 2024 Eaton, Terando and Collazo.</t>
  </si>
  <si>
    <t>2-s2.0-85206999826"</t>
  </si>
  <si>
    <t>10.1007/s10668-024-05520-6</t>
  </si>
  <si>
    <t>https://www.scopus.com/inward/record.uri?eid=2-s2.0-85206620840&amp;doi=10.1007%2fs10668-024-05520-6&amp;partnerID=40&amp;md5=8fb364b1732f6d85ff81dbe0e9f41ad6</t>
  </si>
  <si>
    <t>The coastal area is a vulnerable environment due to the extreme natural events. Floods, decreased soil fertility, and saltwater intrusions are natural phenomena in coastal areas. An Indian district, South 24 Parganas, the delta region, has more land losses because of shoreline alteration and sea level rise (SLR). Mangrove areas are decreasing due to land losses, and many areas have increased mangrove forests. Remote Sensing-based Landsat 4–5 TM and 8 OLI/TIRS multi-temporal datasets are applied for land dynamic analysis of Sagar Island, Namkhana, Kakdwip, and Pathar Pratima blocks South 24 Parganas district, India. Four decadal multi-temporal datasets are applied for this study: 1991, 2001, 2011, and 2021. In the analysis, Cropland decreased by 77.95 km2, and gradually, the inland fishery area increased by 89.13 km2 due to saltwater intrusion. The eight islands increased their size due to sediment deposition</t>
  </si>
  <si>
    <t>10.3389/fclim.2024.1355446</t>
  </si>
  <si>
    <t>https://www.scopus.com/inward/record.uri?eid=2-s2.0-85189908850&amp;doi=10.3389%2ffclim.2024.1355446&amp;partnerID=40&amp;md5=a2064f05e6b5412fbba2cdf84602aa4b</t>
  </si>
  <si>
    <t>Infrastructure in low-lying coastal areas faces challenges from climate change, sea level rise, and the impact of compound hazards. Dynamic adaptive pathways planning (DAPP) is increasingly being applied as a way of planning under deep uncertainty. Stress testing for robustness is an integral part of DAPP which provides decision-makers with confidence. We outline a seven-step approach—combining scoping workshops, systems mapping, DAPP, exploratory modelling, robust decision-making, real options analysis and validation workshops—to support decision-making for infrastructure in low-lying coastal areas. We apply the seven steps to two wastewater treatment plant (WWTP) case studies in New Zealand to quantify indicators, signals, triggers and adaptation thresholds within DAPP plans and to identify adaptation pathways that are robust against future uncertainty. Case study one focuses on the implementation of an existing DAPP at Helensville WWTP. Our modelling enabled the challenge of quantifying indicators for adaptation thresholds and triggers to be overcome. We show that an adaptation threshold occurs at 31 cm of RSLR, the trigger point is sufficient lead time to enable relocation, and the indicator is the rate of observed RSLR. Case study one demonstrates in a quantitative way how an existing DAPP can be functionally implemented by a water management agency. Modelling for case study two, the Seaview WWTP, showed that 26 cm and 56 cm of RSLR are key thresholds. Nuisance flooding may occur after 26 cm of RSLR, which could happen as early as 2040 under a high emissions scenario. Inundation of plant assets may occur after 56 cm of RSLR, which could occur as early as 2060. Modelling showed that implementing changes to plant layout would allow the plant to remain on site for its design life (until 2080). Five adaptation archetypes were developed—sequences of adaptive actions that achieve the performance objective of continuing levels of service and avoid inundation of WWTPs. The seven-step approach is a way to stress-test a DAPP, to quantify signals, triggers and adaptation thresholds and to simulate implementation of a DAPP under a range of scenarios. This can facilitate more robust decision-making for wastewater infrastructure assets under future uncertainty. Copyright © 2024 Allison, Lawrence, Stephens, Kwakkel, Singh, Blackett and Stroombergen.</t>
  </si>
  <si>
    <t>2-s2.0-85189908850"</t>
  </si>
  <si>
    <t>10.1007/s41207-024-00617-w</t>
  </si>
  <si>
    <t>https://www.scopus.com/inward/record.uri?eid=2-s2.0-85200966096&amp;doi=10.1007%2fs41207-024-00617-w&amp;partnerID=40&amp;md5=42b3fba3b8e457d5b8fd2f72aeb13126</t>
  </si>
  <si>
    <t>Flash floods, known for their sudden onset and severe damages, present a major threat due to intense rainfall occurring within a brief period. This study focuses on the Tebessa Basin as a patt of the Atlas chain of eastern Algeria, and employs a comprehensive approach to morphologically characterize hydrographic units, aiming to assess flash flood risks and propose preventive measures. We implemented a prioritization and classification methodology for the basin’s hydrographic units using a weighted sum analysis (WSA) and morphometric modeling, utilizing 15 morphometric criteria. The modeling and determination of sub-basins and the drainage network relied on digital elevation model (DEM) data. Our analysis identified sixteen sub-basins within the main Tebessa Basin. Each sub-basin was categorized according to its priority level (very high, high, moderate, low, and poor) based on composite factors determined through the WSA. The results revealed a very high flash flood risk covering 6.55% of the Tebessa Basin (sub-basin 5), a high risk encompassing 35.33% (sub-basins 2, 4, 8, 11, and 12), and a moderate risk extending to 55.68% (sub-basins 1, 3, 7, 9, 10, 14, 15, and 16). In addition, there was a low flood risk (1.85%—sub-basin 13) and a poor flood risk (0.58%). Our study pinpointed sub-basin 5 as a focal point for major flash flood risk, indicating the necessity for targeted mitigation actions. These findings provide valuable insights for formulating effective strategies to alleviate the consequences of this natural hazard, contributing to the advancement of flash flood risk management in the Tebessa Basin. © Springer Nature Switzerland AG 2024.</t>
  </si>
  <si>
    <t>2-s2.0-85200966096"</t>
  </si>
  <si>
    <t>10.1007/s12524-024-02037-3</t>
  </si>
  <si>
    <t>https://www.scopus.com/inward/record.uri?eid=2-s2.0-85208116786&amp;doi=10.1007%2fs12524-024-02037-3&amp;partnerID=40&amp;md5=7922f07d520cb713561096eb676b229d</t>
  </si>
  <si>
    <t>Soil sedimentation, often modified or accelerated by anthropogenic activities, is a geomorphic process that influenced the soil productivity, nutrient degradation, and the siltation occurrence in water bodies, which were the primary causes of land degradation specifically by water. This study focused on delineating soil erosion using the Revised Universal Soil Loss Equation involving GIS based technique in the Surma-Meghna River system. The specific river system covered around 58,975 km2, and its surrounding regions, located at the foothills of the Himalayan highlands to the coastal area, experienced considerable rainfall, which increased the nature of soil erosion dynamics. The study area was divided into 9 sub watersheds (WD1, WD2, WD3, WD4, WD5, WD6, WD7, WD8, WD9). The expected soil sedimentation was 10.81 t ha−1y−1 on average. About 16% of the total area exhibited higher soil erosion rates, particularly in the northern and southern portions of the study area, with WD1 being the most erosion-prone spot. When soil particle distribution was considered, contamination in water shifted from sand to silt and clay which leads to a higher erodibility factor in the northern section (WD1–WD3) and a lower erodibility factor in the southern section (WD4–WD8). The Erosivity (R) factor was distributed maximally in WD1 (4048 MJ·mm·ha−1·h−1·y−1) and minimally in WD7 (1688 MJ·mm·ha−1·h−1·y−1). A lower deviation of the topographic (LS) factor occurred in 60% of the research area, making the topography relatively low-lying. The total amount of actual soil loss was estimated at 96 million t y−1 and the trend of actual sedimentation was found to decreased from WD1–WD9 (North to South). Resistance factor to soil loss known as Cover Management or C factor was lower in the region of WD1, WD2, WD3 &amp; WD5 due to the presence of dense vegetation. Overall, lesser erosion was observed throughout the study area as most of the agricultural land (97%) was in the plain region (1°–4°), where seasonal crops were grown. As a result, 52% of the research area was not significantly affected by human induced soil loss. Actual sedimentation decreased to 1.76% of potential sediment. The degree of association between actual soil erosion and the R, K, LS and P factor was strong, with an R2 value 0.98. From the local environment sensitivity analysis, the C and K factors were both indicated as sensitive due to the tropical environment and the predominance of floodplains in the north and south. The sediment delivery ratio (SDR) was derived as 0.023, with the highest value observed in WD1 and the lowest in WD2. Finally, it was concluded that sedimentation occurred on a much smaller scale than it does theoretically in the Surma-Meghna River system, as it transported 3.5 million t y−1 of sediment into the river. Vegetation significantly resisted soil sedimentation, indicating the need for reforestation in the elevated regions, as a balanced hypsometric curve was found in the study area. © Indian Society of Remote Sensing 2024.</t>
  </si>
  <si>
    <t>2-s2.0-85208116786"</t>
  </si>
  <si>
    <t>10.1080/14693062.2024.2371405</t>
  </si>
  <si>
    <t>https://www.scopus.com/inward/record.uri?eid=2-s2.0-85198516316&amp;doi=10.1080%2f14693062.2024.2371405&amp;partnerID=40&amp;md5=12c0e8eea499c432f9cce68c24383992</t>
  </si>
  <si>
    <t>Sea level rise induced flooding is projected to cause significant damage to the low-lying coastal areas of many countries around the planet. Many households located in vulnerable areas have already started to adapt to flooding, although some empirical studies indicate that informal adaptation is reaching its limit and that more formal countermeasures by governments will be necessary to cope with the increased flood risks. In such cases, public support for flood adaptation policy is crucial to ensure a successful and timely adaptation, as these strategies can directly affect coastal residents. However, there is limited understanding on the mechanisms and factors that determine public support for flood adaptation policy. Thus, this study proposes a new model–the Foundation of Adaptation Policy Support (FAPS)–which integrates the Protection Motivation Theory and the Risk Information Seeking and Processing models. FAPS was tested using structural equation modelling with latent variables and data that was collected from a household questionnaire survey conducted in the Tokyo lowland areas (n = 388), with the super levee representing a policy that could be applied to sea level rise adaptation. The proposed FAPS model showed a good fit with the collected data, indicating that the strongest predictors of policy support include the perceived effectiveness of the policy and the importance of the issue of flooding to individuals. Other important predictors of policy support include knowledge about flooding, the opinions of surrounding people (i.e. family and friends), and the systematic processing by respondents of information related to floods. The FAPS model sets the foundation for understanding the mechanisms of public support for adaptation policy and provides new insights into designing and planning such policies in practice. Key policy insights Perceived policy effectiveness and the importance of addressing floods are the strongest predictors of public support for adaptation policy. Increasing people’s knowledge about flooding is essential to communicate the importance of adaptation policy. Investigating people’s knowledge and the perceived importance of the issue of flooding prior to designing policies can predict public preferences for certain countermeasures. © 2024 Informa UK Limited, trading as Taylor &amp; Francis Group.</t>
  </si>
  <si>
    <t>2-s2.0-85198516316"</t>
  </si>
  <si>
    <t>10.1007/s11069-024-07032-y</t>
  </si>
  <si>
    <t>https://www.scopus.com/inward/record.uri?eid=2-s2.0-85211167152&amp;doi=10.1007%2fs11069-024-07032-y&amp;partnerID=40&amp;md5=bb0c22aba212777ef7bf708396808b0f</t>
  </si>
  <si>
    <t>This paper analyzes the effect of climate change and urbanization on the hydrological efficiency of dams that have been built to protect Jeddah city in Saudi Arabia from severe floods. Brayman Dam is considered a case study. Several data have been collected to address the objectives. Among these data are the historical rainfall, digital elevation models, a base map of Jeddah city, and its future expansion up to 2050. Hydrological analyses have been performed using common software: HEC-HMS, GIS, and WMS to estimate the floods under the current (design) condition, the effect of climate change, the effect of future urbanization and the combined effect of both. It has been shown that under the normal condition (NC) scenario, the Brayman dam capacity can accommodate the floods for up to 200 years return period. The effect of the climate change scenario (CC) is more significant than the effect of the urbanization scenario (U). The effect of urbanization scenario (U) leads to shortening the time to peak of the flood. In the combined scenarios (CC + U), the runoff volume exceeded the dam capacity by about 66%, the dam is expected to get overtopped by 26% from the current dam height, and the dam lake is expected to inundate 46% more area than the current condition. © The Author(s), under exclusive licence to Springer Nature B.V. 2024.</t>
  </si>
  <si>
    <t>2-s2.0-85211167152"</t>
  </si>
  <si>
    <t>10.1016/j.crm.2024.100634</t>
  </si>
  <si>
    <t>https://www.scopus.com/inward/record.uri?eid=2-s2.0-85197480421&amp;doi=10.1016%2fj.crm.2024.100634&amp;partnerID=40&amp;md5=67dd530d0bf515a761fdcc6b6c082c04</t>
  </si>
  <si>
    <t>The extent and severity of disaster displacement in small island developing states (SIDS) often go unreported or underreported in global assessments due to the total number of affected people falling below established thresholds. Additionally, post-disaster assessments prepared by various international relief agencies often present conflicting evidence, and largely do not offer substantial insights into national and subnational spatial and temporal patterns of displacement, particularly with respect to the disproportionate risk that certain localities, communities and populations face over time. This article is a case study of hurricane induced displacement in a Caribbean SIDS – The Bahamas. It triangulates data from a publicly-available global disaster database, weather and post-disaster reports from national government departments and agencies, and newspaper articles. Its qualitative-dominant synthesis represents the best available evidence of hurricane risk across the archipelago between 2004 and 2019, organized according to hazard (winds, storm surge, flooding), exposure (people, livelihoods, assets etc. adversely affected), and vulnerability (the propensity or predisposition for adverse impacts). It finds that 11 hurricanes across three periods caused displacement in one or more of the 17 major islands. In identifying the emerging spatial and temporal patterns, it proposes two alternative core-periphery models for The Bahamas. These models not only provide a more accurate account of the islands’ exposure and sensitivity to hurricanes, but also highlight the geographical factors that should be considered as the basis for future plans, actions, strategies or policies that seek to build equitable resilience to these and other climate-amplified hydrometeorological events in SIDS. © 2024 The Author(s)</t>
  </si>
  <si>
    <t>2-s2.0-85197480421"</t>
  </si>
  <si>
    <t>10.1109/JSTARS.2023.3328321</t>
  </si>
  <si>
    <t>https://www.scopus.com/inward/record.uri?eid=2-s2.0-85179013736&amp;doi=10.1109%2fJSTARS.2023.3328321&amp;partnerID=40&amp;md5=f83d69f1d4628de67bcde3646e7f63bd</t>
  </si>
  <si>
    <t>The Kunming Changshui International Airport was built on complex mountainous terrain with significant fluctuations in Southwest China. The site contains large areas of high fill susceptible to uneven ground deformation from filling material consolidation, dynamic loading from aircraft, and other factors. Thus, monitoring and analyzing the causes and characteristics of postconstruction deformation of high-fill foundations are crucial to the airport's safe operation. In this study, we obtained a total of 149 Sentinel-1A ascending SAR images from March 2017 to March 2022. We estimated the elevation error and corrected the topographic phase to mitigate the impact of large topographic fluctuations on monitoring. Then, we extracted ground subsidence results based on time-series InSAR technology. The results show that deformation mainly occurred in the high-fill areas during the monitoring period, whereas settlement was more pronounced when the fill height was over 30 m. The deformation rate is influenced by the height of the fill, ground reinforcement measures, and dynamic loading of aircraft. Using the Mann-Kendall trend analysis and Pettitt mutation test methods to detect temporal information from time-series points, we found that the time required for the foundation to reach a stable state after construction is not directly related to its residual subsidence. Other factors, such as construction measures also influence it.  © 2008-2012 IEEE.</t>
  </si>
  <si>
    <t>2-s2.0-85179013736"</t>
  </si>
  <si>
    <t>10.1007/s11069-023-06244-y</t>
  </si>
  <si>
    <t>https://www.scopus.com/inward/record.uri?eid=2-s2.0-85174628698&amp;doi=10.1007%2fs11069-023-06244-y&amp;partnerID=40&amp;md5=6c77a77c207edfebb6ad558ded81f9e3</t>
  </si>
  <si>
    <t>The present paper investigates the impact of future scenarios for the past two storms (namely, Vardah and Madi). These two storms had a different intensity over Bay of Bengal, India. The recent study in this region shows that the influence of these Tropical Cyclones (TC) may be severe in future climatic conditions. Different future Representative concentration pathways (RCP) scenarios are investigated in this study. The combined sea level rise (SLR) and high wind intensity in future scenarios has been investigated in the present study for their influence on maximum water level (MWL), wave climate and coastal inundations. The coupled surge and wave models are used to analyze the influence of SLR and wind intensity for different RCPs. The variations of MWL and inundation extent with increase and decrease in wind increment for different RCPs of the TC’s were reported. Overall, for the Far Future RCP 8.5 scenario, the relative percentage of difference (compared to the current scenario) in MWL has increased by 135% for TC Vardah and 180% for TC Madi. Further, the flood area for TC’s Vardah and Madi will increase by 70% and 95% compared to the current scenario. Finally, the study reveals that the extreme wind intensity of the TC’s in future scenarios plays a significant contribution of up to 50% in coastal inundations. © 2023, The Author(s), under exclusive licence to Springer Nature B.V.</t>
  </si>
  <si>
    <t>2-s2.0-85174628698"</t>
  </si>
  <si>
    <t>10.1016/j.jhydrol.2023.130461</t>
  </si>
  <si>
    <t>https://www.scopus.com/inward/record.uri?eid=2-s2.0-85178326342&amp;doi=10.1016%2fj.jhydrol.2023.130461&amp;partnerID=40&amp;md5=f90e698ce6e1c909987877fa3a5fc692</t>
  </si>
  <si>
    <t>Surface water bodies connected to the ocean such as estuarine rivers can act as pathways for saltwater intrusion (SI, i.e., the displacement of fresh groundwater by saltwater in an aquifer) far inland of the coast, presenting one of the earliest risks associated with relative sea level rise (SLR). However, SI vulnerability mapping approaches have largely focused on SI from the coast and do not consider estuarine surface water bodies, except for GALDIT–SUSI (Kazakis et al., 2019); a weighted indexing approach designed for regional-scale mapping applications using a Geographic Information Systems (GIS) framework. However, GALDIT-SUSI is subjective in ranking the importance of factors that can contribute to SI and combining these into a vulnerability index. A less subjective approach to assessing SI vulnerability than weighted indexing methods involves the use of physically-based analytic solutions such as Strack (1976), but these have not been applied in a GIS framework or along estuaries and rivers previously. Here, these analytic solutions, surface water salinity, and surface water-groundwater freshwater head gradients are used in the development of a new SI vulnerability tier system. This new approach was applied in the low-lying coastal city of Ōtautahi Christchurch, Aotearoa New Zealand, along 70 km of coastal, estuary, and river margins under current sea level and SLR using GIS, then compared to GALDIT–SUSI. The main advantage of the SI vulnerability tiers method is that it considers surface water behaviour, e.g., increased saltwater encroachment up rivers under SLR, which exposed new areas of the aquifer to saltwater and increased SI vulnerability upstream. In contrast, GALDIT-SUSI does not consider surface water conditions and accounts for topography and groundwater level as the main SI vulnerability drivers in this application. The SI vulnerability tiers proposed here are more theoretically robust than GALDIT-SUSI and provide a physically-based, large-scale, relatively low-budget and rapid screening tool to highlight areas most vulnerable to SI under current and future conditions for further monitoring and management; a gap of national and international relevance.</t>
  </si>
  <si>
    <t>Himalayan Geology</t>
  </si>
  <si>
    <t>https://www.scopus.com/inward/record.uri?eid=2-s2.0-85184451859&amp;partnerID=40&amp;md5=f5f59f515edd2f18a5bbb3bbdbb6c40f</t>
  </si>
  <si>
    <t>In the recent past the Himalayan terrain has witnessed several instances of glacier lake outburst flooding due to global warming. This peculiar phenomenon necessitates importance to investigate the connection between rising temperature, glacier melting, lake formation, and alterations to lake sizes. A large section of the population in the downstream glaciated regions of Himalaya is exposed to potential hazards arising from such glacial lakes. The current study aims to investigate the rapid expansion and development of proglacial lake in the Warwan Sub-basin of Chenab River in Kishtwar Himalaya of Jammu and Kashmir (union territory), India. In the present study, dimensional changes of proglacial lake and deglaciation of its host glacier using coarse-resolution Landsat images (TM</t>
  </si>
  <si>
    <t>10.1002/rra.4217</t>
  </si>
  <si>
    <t>https://www.scopus.com/inward/record.uri?eid=2-s2.0-85174249492&amp;doi=10.1002%2frra.4217&amp;partnerID=40&amp;md5=58226427039226243a49efa7e0ade529</t>
  </si>
  <si>
    <t>A remotely operated underwater vehicle (ROV) is a tethered underwater mobile device that can conduct a bathymetric survey cost-efficiently. Assessment of the utility of ROV-based bathymetric surveys in flood inundation mapping remains limited. This study aims to examine the utility of ROV-based bathymetric surveys in high-resolution flood inundation mapping for a hypothetical case study of the Lake Tuscaloosa Dam breach in the state of Alabama, USA. This study conducted the sensitivity test of flood inundation mapping to the river channel depth (ROV-based vs. digital elevation model [DEM]-based) and initial flow condition (e.g., wet vs. dry), via six different simulations of the parallelized diffusion hydrodynamic model (pDHM). This study found that the ROV-based pDHM runs had higher maximum water depths over the flood-inundated areas, ranging from +73% to +166% of the simulated depths of the DEM-based pDHM runs. However, the impact of initial streamflow condition on the maximum depths was limited. This study also found that the pDHM runs with a dry initial flow condition delayed the time to reach the maximum depth after the dam breach by 2 h relative to the pDHM runs with a wet initial streamflow condition. This study suggests that ROV-based bathymetry surveys improve flood inundation mapping by emphasizing the influence of river channel depth, initial streamflow conditions, and bathymetry, thereby bolstering community resilience to a potential human-made hazard such as dam failure. © 2023 John Wiley &amp; Sons Ltd.</t>
  </si>
  <si>
    <t>2-s2.0-85174249492"</t>
  </si>
  <si>
    <t>10.3133/ofr20231087</t>
  </si>
  <si>
    <t>https://www.scopus.com/inward/record.uri?eid=2-s2.0-85183406721&amp;doi=10.3133%2fofr20231087&amp;partnerID=40&amp;md5=b08670ea3739b6d669157383e36e1ec2</t>
  </si>
  <si>
    <t>The Bureau of Reclamation (Reclamation) operates the Central Valley Project (CVP), one of the nation’s largest water projects. Reclamation has an ongoing need to improve the scientific basis for adaptive management of the CVP and, by extension, joint operations with California’s State Water Project. The U.S. Geological Survey (USGS) works cooperatively with the Bureau of Reclamation to provide scientific support for the management of Reclamation’s CVP project. Major habitat restoration efforts and a new water-diversion point are planned to benefit delta smelt (Hypomesus transpacificus) and other species of concern while ensuring the reliability of water supply. In addition, various flow actions and management activities have been identified as possible methods to increase populations of delta smelt and salmonid (Oncorhynchus spp.) runs of concern. The overarching goal of this cooperative project was to provide Reclamation with the scientific information needed to evaluate the efficacy of ongoing and future adaptive management actions and to improve the scientific basis for more flexible CVP operations that would achieve water-supply reliability and fish protection. The research and monitoring described in this report comprises the period 2015–19 and focuses on management issues related to native fish species of concern, especially delta smelt. Conserving the delta smelt population while providing a reliable water supply is a primary management and policy issue in California. Our approach for this cooperative project is based on the “physics to fish” concept, the idea that high-quality habitat is generated and sustained by the interaction between physical processes and the landscape. These interactions create a template for chemical and biological processes that can change across a variety of spatial and temporal scales. Following this concept, this project (hereafter referred to as “the physics to fish project”) included monitoring and studies of water flows, sediments, water quality, and invertebrate and fish dynamics across a range of spatial and temporal scales and in regions relevant to resource managers tasked with managing water supplies and ecosystem health in the San Francisco Estuary. The intent of this approach was to document the habitat conditions, important processes, and interactions among them that create high-quality habitat for native fishes so that the likely effects of future management actions (for example, habitat restoration) can be objectively assessed at the local (site-specific), regional (within subregions of the estuary), and landscape (across the entire estuary and beyond) scales. Hydrodynamically, the upper estuary (landward of Carquinez Strait) is characterized by a fixed volume of tidally exchanged water (for example, tidal prism) that interacts with the existing channel network and bathymetry to create regions with differing hydrodynamics. Our results indicate that careful study of construction or reoperation of existing infrastructure to perform management actions can help (1) improve the accuracy of hydrodynamic models</t>
  </si>
  <si>
    <t>10.1007/s13157-023-01763-7</t>
  </si>
  <si>
    <t>https://www.scopus.com/inward/record.uri?eid=2-s2.0-85180231866&amp;doi=10.1007%2fs13157-023-01763-7&amp;partnerID=40&amp;md5=5d863778b02006347ab7e39762eb3516</t>
  </si>
  <si>
    <t>This study examines the process of shoreline regulation through the citizen-led permitting process by local wetlands boards in Virginia, focusing on the perceptions of the permit decision-making team and the factors considered in their decision making. Analysis of the decision process reveals the intricacies of the management of tidal wetlands and how they affect the long-term sustainability of wetlands. Results show that the process of compromise and negotiation with property owners is valued highly as part of the permit-seeking process, resulting in very few permits being denied. Decision makers perceived that environmental change and increased flooding are risks to their community, but also that their decisions are balancing environmental concerns and protecting wetlands. This perception that permit decisions appropriately protect tidal wetlands is at odds with studies by wetlands scientists that suggest the citizen regulatory process fails to achieve the no net loss of wetlands policy goals and does not result in sustainability for wetlands. © 2023, The Author(s), under exclusive licence to Society of Wetland Scientists.</t>
  </si>
  <si>
    <t>2-s2.0-85180231866"</t>
  </si>
  <si>
    <t>10.1016/j.envsoft.2023.105888</t>
  </si>
  <si>
    <t>https://www.scopus.com/inward/record.uri?eid=2-s2.0-85178164032&amp;doi=10.1016%2fj.envsoft.2023.105888&amp;partnerID=40&amp;md5=cfc6217accd048f67633b58814e281f1</t>
  </si>
  <si>
    <t>With increasing urban pluvial flood risks, proposing a real-time simulation method is essential. However, accurate simulation of spatiotemporal flood evolution is often impeded by incomplete or missing drainage data. This study proposes a hybrid method where a machine learning module is applied to generate point waterlogging depth for immediate calibration of equivalent infiltration and flood maps in the equivalent drainage module to address this issue. The accuracy and efficiency of hybrid method in flood real-time simulation under missing drainage data are highlighted by comparing with two hydrodynamic models. The outcomes evince that the waterlogging simulation deviation of the hybrid method is less than 0.1 m during design storms, while the computational efficiency can ideally reach up to 5 times of the traditional 1D/2D coupled hydrodynamic model. Overall, the hybrid method offers a promising solution for early warning and mitigation of urban pluvial floods, especially for cities lacking drainage data. © 2023 Elsevier Ltd</t>
  </si>
  <si>
    <t>2-s2.0-85178164032"</t>
  </si>
  <si>
    <t>10.1016/j.jhydrol.2023.130570</t>
  </si>
  <si>
    <t>https://www.scopus.com/inward/record.uri?eid=2-s2.0-85179853398&amp;doi=10.1016%2fj.jhydrol.2023.130570&amp;partnerID=40&amp;md5=692470a2dc60a6324feb4ff49d583aad</t>
  </si>
  <si>
    <t>In the context of global climate change and urbanization, model predictive control (MPC) has been increasingly applied in the field of real-time control of urban drainage systems to cope with frequent urban flooding events caused by extreme rainstorms. However, the computation time of the predictive model calculation greatly hinders further development of MPC in this field. In this study, we propose two surrogate models, namely the water tank-water balance model 1 (TWBM1) and the water tank-water balance model 2 (TWBM2), to replace the storm water management model (SWMM) as the prediction model for MPC, thus improving MPC computational efficiency. Both surrogate models can obtain the total outflow process at the downstream outfall of the study area and the corresponding overflow process. In comparison with TWBM1, TWBM2 requires 26 % fewer calibration parameters, and its structure is simpler. These results have been verified in the real-time optimal scheduling of a rainwater drainage system in the Doumen area of Fuzhou City, China. The results show that TWBM1 and TWBM2 have shorter computation time compared to SWMM, which improves the efficiency of MPC computation. Additionally, in comparison with the existing scheduling results, MPC has better performance in terms of economy, security and computational efficiency. © 2023 Elsevier B.V.</t>
  </si>
  <si>
    <t>2-s2.0-85179853398"</t>
  </si>
  <si>
    <t>Journal of Soils and Sediments</t>
  </si>
  <si>
    <t>10.1007/s11368-023-03620-w</t>
  </si>
  <si>
    <t>https://www.scopus.com/inward/record.uri?eid=2-s2.0-85167510506&amp;doi=10.1007%2fs11368-023-03620-w&amp;partnerID=40&amp;md5=ea011a94c5a59fa24b7a1298d8952884</t>
  </si>
  <si>
    <t>Purpose: Many large inland rivers are contaminated by historic industrial and agricultural activities along their shorelines. Redistribution of contaminated river sediments via dredging or flooding can reintroduce previously stored toxic persistent organic pollutants into the aquatic environment. Materials and methods: We used multiple lines of evidence, including chemical measurements using gas chromatography-high-resolution mass spectrometry and cell-based bioassays using the fish liver cell line RTL-W1, to determine the risk to aquatic biota associated with sediment in three reservoirs and one delta lake in the Saskatchewan River, a large Canadian prairie river. Results: Concentrations of dioxins and furans (maximum ~ 30 ng kg−1 dry weight) and polycyclic aromatic hydrocarbons (maximum &lt; 300 μg kg−1 dry weight) were generally low in sediments, though hotspots were identified in parts of reservoirs rich in clay and organic matter wherein these chemicals accumulated. Concentration measurements agreed well with bioassay results, as the samples with the highest chemical concentrations induced the greatest EROD activity (biological equivalent concentration = 4010 ng kg−1). With one exception, all fishes tested were below the tolerable intake level for dioxins, and PAH metabolites were only rarely detected in bile, suggesting limited risk to human consumers. Discussion: Based on our findings, the overall effects of dioxins and dioxin-like chemicals on biota in this system are likely limited. Nonetheless, disturbance and intentional movement of sediments in this river basin for potential sediment restoration in the future should be done cautiously, paying attention to sediment characteristics and local hotspots. © 2023, The Author(s), under exclusive licence to Springer-Verlag GmbH Germany, part of Springer Nature.</t>
  </si>
  <si>
    <t>2-s2.0-85167510506"</t>
  </si>
  <si>
    <t>Episodes</t>
  </si>
  <si>
    <t>10.18814/epiiugs/2023/023028</t>
  </si>
  <si>
    <t>https://www.scopus.com/inward/record.uri?eid=2-s2.0-85188835384&amp;doi=10.18814%2fepiiugs%2f2023%2f023028&amp;partnerID=40&amp;md5=14e03a9f0816f51d8620100664c721b8</t>
  </si>
  <si>
    <t>The land subsidence characteristics in Shanghai were constantly developing with the change of groundwater level in the process of urban development, and had different effects on the deformation of metro tunnels buried in deep soft soil layers. In this study, the long time series field monitoring data obtained by levelling and stratification extensometer methods was analyzed, and the coupling deformation mechanism of geological stratification and metro tunnel in deep quaternary coastal areas for different periods and scenarios was revealed. The results showed that with the rapid rise of the groundwater level in Shanghai since 2005, the deep sedimentary strata gradually rebound, resulting in the universal rebound of underground metro tunnel. The deformation trends of soil layers and metro tunnel structure were inconsistent with the regional land subsidence due to different control factors. For metro lines built in different periods, the tunnel displacement was basically controlled by the deformation of sedimentary strata below the tunnel structure. The coupling deformation of geological stratification and metro tunnel structure in the deep Quaternary sedimentary area can be described in three conceptual calculation models: inverse settlement model, extrusion model and counteract model. The hysteresis effects when the increase of water volume transformed to the rise of groundwater level and the soil layer deformation driven by rising water level were discussed. © 2024 International Union of Geological Sciences. All rights reserved.</t>
  </si>
  <si>
    <t>2-s2.0-85188835384"</t>
  </si>
  <si>
    <t>10.1007/s11368-023-03636-2</t>
  </si>
  <si>
    <t>https://www.scopus.com/inward/record.uri?eid=2-s2.0-85169156636&amp;doi=10.1007%2fs11368-023-03636-2&amp;partnerID=40&amp;md5=01132392dc0f5d27acd2af2935a29e1e</t>
  </si>
  <si>
    <t>Purpose: Mangrove ecosystems which play a critical role in global C sequestration have recently become threatened by global warming and sea level rise. This study aimed to explore the responses of SOC mineralization and C pool stability in mangrove ecosystems to warming and flooding conditions. Methods: Laboratory incubation and solid-state 13C nuclear magnetic resonance (13C-NMR) analysis were used to evaluated soil organic carbon (SOC) mineralization and stability under warming (ST), flooding (SW), warming in coincidence with flooding (SWT), and soil under normal temperature taken from a subtropical mangrove ecosystem in southeastern China. Results: The cumulative SOC mineralization of ST increased by 24%, while SWT and SW decreased by 59% and 68% relative to CK, respectively. Furthermore, the 13C-NMR analysis showed that O-alkyl C was the dominant SOC chemical composition in all treatments (37.1–43.1%), followed by the aromatic C and alkyl C. The aromaticity index (AI) decreased, and the ratio of alkyl and O-alkyl to aromatic (Alip/Arom) increased in all treatments compared with CK, while the alkyl C/O-alkyl C ratio (A/O-A) and hydrophobicity index (HI) were higher for ST and SW but lower for SWT. Warming significantly facilitated SOC mineralization, and lowered SOC stability due to the high cumulative CO2-C production, while flooding had the opposite effects. However, warming in coincidence with flooding led to low SOC decomposition and a more recalcitrant substance. Conclusion: The theoretical elevated CO2 release from mangrove soils under warming in coastal zones might be partially offset by prolonged flooding. The different effects on the chemical fractions, chemical compositions, and stability of the SOC pool in mangrove soil under warming and flooding might further complicate the research on coastal carbon sinks. © 2023, The Author(s), under exclusive licence to Springer-Verlag GmbH Germany, part of Springer Nature.</t>
  </si>
  <si>
    <t>2-s2.0-85169156636"</t>
  </si>
  <si>
    <t>10.1016/j.jafrearsci.2023.105125</t>
  </si>
  <si>
    <t>https://www.scopus.com/inward/record.uri?eid=2-s2.0-85178110384&amp;doi=10.1016%2fj.jafrearsci.2023.105125&amp;partnerID=40&amp;md5=e6f4611b764c0177659cac775dd4d863</t>
  </si>
  <si>
    <t>The Earth's climate system is clearly warming. Unquestionably, climate change has an impact on landslides by affecting the stability of both naturally occurring and artificially constructed slopes. Less certain are the type, extent, degree, and direction of the changes in stability conditions as well as the location, abundance, activity, and frequency of landslides in response to the expected climate changes. Climate change threatens global ecosystems, causing severe human and economic losses through sea level rise, hurricanes, flooding, landslides, and heat waves. Landslides in high mountains could become more common as a result of these changes. The high-speed electric train project in Egypt seeks to provide sustainable transportation, lessen climate change, and enhance public health. The study area was conducted along a 70-km track in the Eastern Desert, Egypt, across steep and rugged basement rocks of the Red Sea mountain chain (RSM). The geographic pinpointing of landslide susceptibility zones plays a significant role in promoting hazards mitigation in mountainous areas, such as RSM. The aim of this research project is to create a landslide susceptibility map (LSM) utilizing multi-criteria decision analysis (MCDA) in the region using information value (IV) and analytical hierarchy process (AHP) approaches that encompass the third proposed track of the high-speed electric railroad Qena-Hurghada between the RSM. The landslide inventory map, which has a total of 12 single landslide locations, was created based on fieldwork using hand-held GPS and Landsat 8 images. The two decision-making techniques were used to contrast the LSM factors based on the knowledge of experts using the qualitative method of AHP with the statistical approach that depends on the field data IV. Ten landslide-influencing parameters taken into consideration are slope, lithology, rainfall distribution, distance to fault, distance to track, seismicity of area, distance to epicenter, land cover, distance to stream, and aspect. The parameters were obtained using LANDSAT8 and SRTM DEM of a 30 m resolution, vectorized lithological structure units from a 1:2000, 000 map, and data between (1913–2000) for yearly precipitation and (1997–2018) for seismic activity of the research area. A GIS-based method produces a themed layer map for each geoenvironmental element, weighing each parameter after examination. A LSM was produced using a combination of thematic layers that were then separated into four grades: low, moderate, high, and very high, based on the intensity of the landslide vulnerability. According to AUC data, the IV model has a better success rate 0.85 than the AHP model 0.82. The study's models, especially when applied to the IV method, showed good accuracy in forecasting landslide vulnerability. The method shows rising landslide percentages with susceptibility and delivers accurate results that are compatible with the landslide inventory map. Environmental decisions often lead to unintended consequences due to lost information, incorrect factor selection, limited expert expertise, and ignoring uncertainty. This investigation emphasizes the importance of LSM as a tool for decision-makers to minimize landslide losses and damage. © 2023 Elsevier Ltd</t>
  </si>
  <si>
    <t>2-s2.0-85178110384"</t>
  </si>
  <si>
    <t>10.1007/s11625-023-01414-0</t>
  </si>
  <si>
    <t>https://www.scopus.com/inward/record.uri?eid=2-s2.0-85174936038&amp;doi=10.1007%2fs11625-023-01414-0&amp;partnerID=40&amp;md5=5131e4c9eb5a21b833cdb406df4b3e5e</t>
  </si>
  <si>
    <t>Climate change strains human and natural system sustainability worldwide. Plum Island Estuary, Massachusetts (PIE MA) salt marshes are socio-environmental ecosystems experiencing two such climate stressors: sea level rise (SLR) and the mud fiddler crab Minuca pugnax (= Uca pugnax Smith) range expansion. Salt marshes are important sources of ecosystem functioning and ecosystem services. Uncertainties remain, however, whether SLR and the fiddler crab range expansion will affect PIE ecosystem functioning and services over time by changing marsh area. We, therefore, determined in this study: (1) to what degree PIE marshes provide residents with cultural ecosystem services (e.g., recreation)</t>
  </si>
  <si>
    <t>Urban Water Journal</t>
  </si>
  <si>
    <t>10.1080/1573062X.2022.2162424</t>
  </si>
  <si>
    <t>https://www.scopus.com/inward/record.uri?eid=2-s2.0-85145336964&amp;doi=10.1080%2f1573062X.2022.2162424&amp;partnerID=40&amp;md5=c2d1fb9acfe6e14d9d57e8cdbc6e8366</t>
  </si>
  <si>
    <t>The sustainable development of coastal peri-urban areas is associated with the awareness of the local vulnerability to natural disasters, such as flood hazards. In ungauged basins, statistical and modelling approaches combined with geographic information systems have been widely used for the evaluation of different scenarios. In the current study, a multicriteria decision analysis (MCDA) simulated the response of the floodplains to the variations of the most dominant criteria, which affected the flood susceptibility of the area. An index of flood susceptibility is proposed to compare the simulated outcomes of the different scenarios. We provide a thorough discussion about improving the accuracy of the MCDA method through calibration and validation procedures, in association with the HEC-RAS 2D model. Observed and simulated inundation depths were compared for the validation process. The derived maps effectively revealed the flood susceptibility of the area upon the criteria variation, particularly the elevation and the rainfall. © 2022 Informa UK Limited, trading as Taylor &amp; Francis Group.</t>
  </si>
  <si>
    <t>2-s2.0-85145336964"</t>
  </si>
  <si>
    <t>10.1016/j.catena.2023.107630</t>
  </si>
  <si>
    <t>https://www.scopus.com/inward/record.uri?eid=2-s2.0-85175421556&amp;doi=10.1016%2fj.catena.2023.107630&amp;partnerID=40&amp;md5=380886e8fbc9a29500bd43a8e3a676e9</t>
  </si>
  <si>
    <t>Marine Isotope Stage (MIS) 3 is the latest interstadial period with unstable climate regimes that provides an indispensable key to better predict future climate change. However, paleoclimate reconstruction in the Yangtze Delta covering MIS 3 remains elusive due to limited archives with reliable age. Here, we derived a 53,000–year–long paleoclimate record from the northern Yangtze Delta, using luminescence age–based palynological data of a coastal sediment core (YZ07). The results show that the climate was relatively warm and wet during ∼53.0–37.5 ka, followed by a slightly cool but wetter condition between ∼37.5 ka and ∼33.2 ka. Afterwards, a cool and dry climate prevailed from ∼33.2 ka to ∼30.7 ka. Three cold events were identified around 48.0 ka, 39.0 ka and 31.0 ka, corresponding to the timings of Heinrich Event (HE 5), HE 4 and HE 3, respectively. From ∼30.7 ka to ∼11.5 ka, broadleaved forests and wetland herbs obviously contracted in the Yangtze Delta region, indicating cold and dry climate conditions. From the late Pleistocene to Holocene, the pollen variations in this core site were linked to coastal geomorphology under climate–induced sea–level changes. Besides, our findings suggest that the percentages of emergent vegetation in this work were negatively correlated with El Niño–Southern Oscillation (ENSO)–linked flood events during the Holocene. Overall, from mid–MIS 3 to MIS 2, the climate exhibits a ‘warm–cool–cold’ pattern in the Yangtze Delta, broadly concordant with other climate proxies in East Asian monsoon domain and beyond on suborbital or millennial timescales. We argue that the northern hemisphere summer insolation may be responsible for the paleoclimate variability and paleovegetation successions in the Yangtze Delta. However, the variability of precipitation in MIS 3 might be governed by interhemispheric insolation forcing, which accounts for a wetter climate phase occurring during late MIS 3 rather than mid–MIS 3. © 2023 Elsevier B.V.</t>
  </si>
  <si>
    <t>2-s2.0-85175421556"</t>
  </si>
  <si>
    <t>10.1016/j.envsci.2023.103599</t>
  </si>
  <si>
    <t>https://www.scopus.com/inward/record.uri?eid=2-s2.0-85173970734&amp;doi=10.1016%2fj.envsci.2023.103599&amp;partnerID=40&amp;md5=252555b4f87b3c9860de95c24374bc4b</t>
  </si>
  <si>
    <t>Coastal flooding is a severe and recurring problem, as evidenced by recent disasters that have caused significant damage for coastal communities. A community’s ability to mitigate the effects of coastal flooding depends on the local context and its adaptive capacity. Although past research has highlighted the important role that non-governmental organizations play in building adaptive capacity to support effective adaptation, few studies have focused specifically on rural, community-based nonprofits. To fill this gap, we employ a mixed-methods approach to evaluate the role of the Ingleside on the Bay Coastal Watch Association (IOBCWA), a resident-led, community-based nonprofit, in building adaptive capacity to coastal flooding in the City of Ingleside on the Bay (IOB; pop. 800), located in the Coastal Bend Region of Texas. By applying a grounded theory framework, we show that IOBCWA has improved the adaptive capacity of IOB through five primary activities: engaging in community organizing, boosting advocacy and outreach, implementing evidence-based data collection, building capacity among residents, and developing regional communication networks. Our findings are further examined using the Regional Fingerprint tool (Hirschfeld et al., 2020) to assess progress toward building regional adaptive capacity. We identify a need for more formalized policies, enhanced regional partnerships, and broader inclusion of socially vulnerable groups to address environmental challenges. Overall, this work highlights the important role that small, community-based nonprofits like IOBCWA play in building community adaptive capacity and suggests the need for a more comprehensive regional approach with participation from multiple stakeholders to address challenges related to coastal flooding.</t>
  </si>
  <si>
    <t>10.1073/pnas.2206192119</t>
  </si>
  <si>
    <t>https://www.scopus.com/inward/record.uri?eid=2-s2.0-85181993126&amp;doi=10.1073%2fpnas.2206192119&amp;partnerID=40&amp;md5=2517b336337be445ba8731a14c2e5e90</t>
  </si>
  <si>
    <t>The warnings of potential climate migration first appeared in the scientific literature in the late 1970s when increased recognition that disintegrating ice sheets could drive people to migrate from coastal cities. Since that time, scientists have modeled potential climate migration without integrating other population processes, potentially obscuring the demographic amplification of this migration. Climate migration could amplify demographic change-enhancing migration to destinations and suppressing migration to origins. Additionally, older populations are the least likely to migrate, and climate migration could accelerate population aging in origin areas. Here, we investigate climate migration under sea-level rise (SLR), a single climatic hazard, and examine both the potential demographic amplification effect and population aging by combining matrix population models, flood hazard models, and a migration model built on 40 y of environmental migration in the United States to project the US population distribution of US counties. We find that the demographic amplification of SLR for all feasible Representative Concentration Pathway-Shared Socioeconomic Pathway (RCP-SSP) scenarios in 2100 ranges between 8.6-28 M [5.7-53 M]-5.3 and 18 times the number of migrants (0.4-10 M). We also project significant aging of coastal areas as youthful populations migrate but older populations remain, accelerating population aging in origin areas. As the percentage of the population lost due to climate migration increases, the median age also increases-up to 10+ y older in some highly impacted coastal counties. Additionally, our population projection approach can be easily adapted to investigate additional or multiple climate hazards.  © 2024 the Author(s).</t>
  </si>
  <si>
    <t>2-s2.0-85181993126"</t>
  </si>
  <si>
    <t>10.1080/19942060.2023.2300763</t>
  </si>
  <si>
    <t>https://www.scopus.com/inward/record.uri?eid=2-s2.0-85181734055&amp;doi=10.1080%2f19942060.2023.2300763&amp;partnerID=40&amp;md5=db3b85b09e614fe8f78074943ce3f0a4</t>
  </si>
  <si>
    <t>Reduced riverine sediment supply and sea-level rise (SLR) threaten land building and ecosystem in deltas. However, the sediment-morphodynamic processes in a channel-shoal complex are not well understood. Here, based on bathymetry and the Delft3D model, geomorphic changes and suspended sediment budgets in the South Passage, Nanhui and Jiuduansha Shoal in the mega-Changjiang Delta were examined. Results reveal that with riverine suspended sediment concentration (SSC) decreased by 75%, the net sediment deposition rate was reduced from 4.20 cm/yr in 1979–1990 to 3.21 cm/yr in 1990–2003, and further declined to 2.21 cm/yr in 2003–2013 and 0.40 cm/yr in 2013–2020. Severe erosion occurred along the upper South Passage and extended toward the mouth bar. Strong accretions accumulated in the Nanhui and Jiuduansha Shoal. After river SSC declined from 0.53 kg/m3 to 0.35 kg/m3, 0.16 kg/m3, and 0.12 kg/m3, net suspended sediment deposition was lowered by 3.13%, 7.35% and 8.67%, respectively. Moreover, SLR of 5 cm, 15 cm, 25 cm, and 50 cm resulted in a further 1.11%, 4.18%, 4.16%, and 14.79% reduction in sediment trapping efficiency. Our findings highlight the strong likelihood that reduced river sediment input, SLRs and intensified anthropogenic effects will exacerbate sediment deficit and erosion in mega fluvial-tidal deltas. © 2024 The Author(s). Published by Informa UK Limited, trading as Taylor &amp; Francis Group.</t>
  </si>
  <si>
    <t>2-s2.0-85181734055"</t>
  </si>
  <si>
    <t>International Journal of River Basin Management</t>
  </si>
  <si>
    <t>10.1080/15715124.2023.2289942</t>
  </si>
  <si>
    <t>https://www.scopus.com/inward/record.uri?eid=2-s2.0-85181530364&amp;doi=10.1080%2f15715124.2023.2289942&amp;partnerID=40&amp;md5=97597ba2f4c33f96bcc0d11b1ba71ce0</t>
  </si>
  <si>
    <t>Sandbars are narrow ridges of sand formed by the river system in Bengal delta in eastern India. Some charlands or riverbeds of the Damodar River are situated along both its banks as well as in its central channel, offering habitats for both human populations and wildlife. Throughout its history, the river has been known as ‘Sorrow of Bengal’ owing to its frequent inundations and devastating impact. Since the partition of India in 1947, numerous sandbars have been colonized at various stages. Before partition, the area consisted of vast fields covered with bushes. This paper elaborates on the living conditions of marginalized people of Bangladesh and the local settlers who have inhabited the sandbars. They face a multitude of challenges, including safety concerns during storms, a lack of access to essential amenities like water, electricity, healthcare, education, and employment opportunities, as well as transportation difficulties. Sandbars are susceptible to flooding, necessitating frequent evacuations for the residents when massive floods occur. Additionally, these riverbeds are often geographically isolated from neighbouring landmasses. Despite these challenges, both refugees and local settlers have managed to adapt to life on these transient sandbars. The research also elucidates how communities often develop unique techniques and technologies to mitigate the challenges posed by the river. Finally, this study demonstrates that assessments of vulnerability and insecurity are arbitrary and insignificant</t>
  </si>
  <si>
    <t>10.3390/rs16020294</t>
  </si>
  <si>
    <t>https://www.scopus.com/inward/record.uri?eid=2-s2.0-85183327302&amp;doi=10.3390%2frs16020294&amp;partnerID=40&amp;md5=26fbd5a22d979d55192842c3655d5785</t>
  </si>
  <si>
    <t>High-resolution flood monitoring can be achieved relying on multi-temporal analysis of remote sensing SAR data, through the implementation of semi-automated systems. Exploiting a Bayesian inference framework, conditioned probabilities can be estimated for the presence of floodwater at each image location and each acquisition date. We developed a procedure for efficient monitoring of floodwaters from SAR data cubes, which adopts a statistical modelling framework for SAR backscatter time series over normally unflooded areas based on Gaussian processes (GPs), in order to highlight flood events as outliers, causing abrupt variations in the trends. We found that non-parametric time series modelling improves the performances of Bayesian probabilistic inference with respect to state-of-the-art methodologies using, e.g., parametric fits based on periodic functions, by both reducing false detections and increasing true positives. Our approach also exploits ancillary data derived from a digital elevation model, including slopes, normalized heights above nearest drainage (HAND), and SAR imaging parameters such as shadow and layover conditions. It is here tested over an area that includes the so-called Metaponto Coastal Plain (MCP), in the Basilicata region (southern Italy), which is recurrently subject to floods. We illustrate the ability of our system to detect known (although not ground-truthed) and smaller, undocumented inundation events over large areas, and propose some consideration about its prospective use for contexts affected by similar events, over various land cover scenarios and climatic settings. © 2024 by the authors.</t>
  </si>
  <si>
    <t>2-s2.0-85183327302"</t>
  </si>
  <si>
    <t>10.1029/2023EF003581</t>
  </si>
  <si>
    <t>https://www.scopus.com/inward/record.uri?eid=2-s2.0-85182155254&amp;doi=10.1029%2f2023EF003581&amp;partnerID=40&amp;md5=5774622f82b439af531a057d03e76d8e</t>
  </si>
  <si>
    <t>Groundwater is the main freshwater source in many densely populated and industrialized coastal areas around the world. Growing future freshwater demand is likely to increase the water stress in these coastal areas, possibly leading to groundwater overexploitation and salinization. This situation will likely be aggravated by climate change and the associated projected sea level rise. Here, we assess the impact of sea level rise exclusively on coastal fresh groundwater resources worldwide (limited to areas with unconsolidated sedimentary systems) by estimating future decline in inland fresh groundwater volumes under three sea level rise scenarios following Representative Concentration Pathway (RCP) 2.6, 4.5, and 8.5. For that, 2D groundwater models in 1,200 coastal regions estimate the past, present and future groundwater salinity. Our results show that roughly 60 (range 16–96) million people living within 10 km from current coastline could lose more than 5% of their fresh groundwater resources by 2100 according to RCP 8.5 scenario compared to only 8 (range 0–50) million people based on RCP 2.6 scenario. We conclude that sea level rise will have severe consequences for many coastal populations heavily dependent on fresh groundwater. © 2024 The Authors. Earth's Future published by Wiley Periodicals LLC on behalf of American Geophysical Union.</t>
  </si>
  <si>
    <t>2-s2.0-85182155254"</t>
  </si>
  <si>
    <t>10.55730/1300-0985.1900</t>
  </si>
  <si>
    <t>https://www.scopus.com/inward/record.uri?eid=2-s2.0-85182669679&amp;doi=10.55730%2f1300-0985.1900&amp;partnerID=40&amp;md5=5d4e7cd49540c1edbc9f41c2dcccd33b</t>
  </si>
  <si>
    <t>The Mw 7.7 Pazarcık earthquake on February 06, 2023, struck southern Türkiye, causing typical liquefaction along the shores of İskenderun Bay. This liquefaction was characterized by lateral spreading, subsidence, and flooding. Subsidence-triggered sand ejecta, water flows, and opening cracks were identified in areas spanning approximately 2 km in length and 300 m in width. Based on coastal references such as lighthouses or harbor platforms, settlements of 0.8 m and lateral spreading of 0.4% were recorded along the coastal zone following the Pazarcık earthquake. According to camera recordings, liquefaction-related water and silty sand outflows occurred 29 min after the earthquake. The largest water outlet observed had dimensions of 2 m in length, 1 m in width, and 0.5 m in depth. Images captured at the moment of liquefaction show water gushing for 2 m. Granulometric analysis of liquefied sand eruptions at 10 locations on the coast of İskenderun indicated the presence of silty sand (SM). No water entered the settlement area from the sea during or shortly after the earthquake. The waters that flooded the streets of İskenderun were largely drained or pumped out after remaining for 3 days. The liquefaction of the main soil zone played a crucial role in the collapse or tilting of tall buildings along the shores of İskenderun.Lateral spreading and collapse on the shores of İskenderun were further exacerbated by the MW 6.4 magnitude Defne earthquake that occurred 14 days after the initial major earthquake. Field observations made 25 days after the first earthquake revealed a settlement of 1.7 m and approximately 1% lateral spreading in the coastal zone of İskenderun. © TÜBİTAK.</t>
  </si>
  <si>
    <t>2-s2.0-85182669679"</t>
  </si>
  <si>
    <t>10.1080/15715124.2024.2312857</t>
  </si>
  <si>
    <t>https://www.scopus.com/inward/record.uri?eid=2-s2.0-85185443879&amp;doi=10.1080%2f15715124.2024.2312857&amp;partnerID=40&amp;md5=11c51c402e3dfc5cfe58c7ca9e823f03</t>
  </si>
  <si>
    <t>In this study, we investigated the applicability of five open-access, satellite-derived DEMs with resolutions of ∼90 m (MERIT-Hydro and TanDEM-X), ∼30 m (SRTM and ALOS), and ∼8.1 m (DEMNAS) to rain-on-grid modeling (with HEC-RAS) for flood hydrograph prediction in the Katulampa watershed, Indonesia. Additionally, the influence of the Manning coefficient and infiltration values on the modeling results was also investigated based on three types of land use (forest, agriculture, and urban area). It was shown that ALOS (∼30 m) was the most accurate data among other DEMs to predict flood hydrographs. Interestingly, MERIT-Hydro (∼90 m) significantly outperformed SRTM (∼30 m) and DEMNAS (∼8.1 m), indicating that DEMs with finer-resolution are not necessarily more accurate than coarser-resolution DEMs for rain-on-grid modeling. Furthermore, we observed that the modeling results were strongly influenced by the Manning coefficient and infiltration values, indicating the importance of calibration for such values. Based on 279 combinations carried out, only agriculture was sensitive to both Manning coefficient and infiltration values, while forest and urban were not. The Manning coefficients calibrated for each land use data were similar for different flood events. However, only the infiltration values calibrated for agriculture were distinct for different flood events, thus emphasizing the need for individual calibrations of infiltration values for each event. Our findings are useful to demonstrate how rain-on-grid modeling–with proper DEM data and the calibrated Manning coefficient and infiltration values–can be utilized for accurate flood hydrograph predictions. © 2024 International Association for Hydro-Environment Engineering and Research.</t>
  </si>
  <si>
    <t>2-s2.0-85185443879"</t>
  </si>
  <si>
    <t>10.3390/atmos15010065</t>
  </si>
  <si>
    <t>https://www.scopus.com/inward/record.uri?eid=2-s2.0-85183313941&amp;doi=10.3390%2fatmos15010065&amp;partnerID=40&amp;md5=660aa2e6a5a8c11032f59a75ca23fe66</t>
  </si>
  <si>
    <t>Locust plagues and tidal disasters are primary natural hazards in China’s eastern coastal regions, yet their interrelationship remains unclear. This study, drawing on historical documents from the Ming and Qing dynasties (1368–1911 AD), focuses on Zhejiang Province and its Hangzhou Bay coastline, areas typically affected by tidal disasters. Employing advanced quantitative analysis and spatiotemporal models, the research aims to reveal the mechanisms behind tidal disasters and their impact on locust population dynamics. The findings indicate a limited spatiotemporal correlation between locust plagues and tidal or drought disasters but a significant association with flooding. The relationship between locust infestations and floods is notably strong in the unique geographical context of Hangzhou Bay’s northern shore. The ‘hydromarginal’ nature of the north coast creates an ideal habitat for locusts. This study pioneers in identifying flooding as a crucial mediator between tidal disasters and locust plagues, shedding light on the ‘typhoon-tidal-flood-locust’ disaster sequence and offering new insights into understanding and mitigating natural disasters in the region. In this study, we primarily employ a quantitative methodology, utilizing advanced data analysis and sophisticated spatiotemporal modeling to investigate the interplay between locust plagues and tidal disasters. Although some progress has been made in the study of historical natural disasters, systematic studies of the relationship between tidal floods and locust breeding sites along the east coast of China during the Ming and Qing dynasties are still scarce. This study fills this gap by employing advanced GIS and time series analysis techniques, combining traditional historical documentary studies with modern scientific methods and providing a new methodological approach to the analysis of historical disaster patterns. © 2024 by the authors.</t>
  </si>
  <si>
    <t>2-s2.0-85183313941"</t>
  </si>
  <si>
    <t>10.1016/j.cacint.2023.100134</t>
  </si>
  <si>
    <t>https://www.scopus.com/inward/record.uri?eid=2-s2.0-85180975854&amp;doi=10.1016%2fj.cacint.2023.100134&amp;partnerID=40&amp;md5=4ff10c910febc84f913382f23b43a1d5</t>
  </si>
  <si>
    <t>The United States government sponsored the Home Owners’ Loan Corporation (HOLC) in the 1930s to assess and grade neighborhoods based on perceived financial risk. The grades were influenced by the presence of minority racial groups, immigrants, and residents with lower socioeconomic statuses and, even though the practice was eventually outlawed, the impact on low income and underrepresented minorities is still prevalent today. This study was designed to assess spatial patterns and intensity of flood risk to (a) HOLC grade, (b) proximity to coastal zones, (c) intensity of vegetative cover, and (d) relationship to buried (ghost) streams and wetlands to determine which variable has the most impact on flood risk. Flood risk data, acquired from First Street Foundation's Flood Factor dataset, was summarized by HOLC grade, and ghost streams and wetlands were digitized from historical maps and aggregated by HOLC grade. The results show flood risk is higher in C and D graded neighborhoods, compared to A and B. Regardless of HOLC grade, neighborhoods near the Detroit River and Lake St. Claire have 10 times higher flood risk than inland neighborhoods. Interestingly, B-graded neighborhoods exhibit minimal impact from buried rivers and wetlands, but that risk increases substantially if there is a history of stream or wetland burial within a D graded neighborhood. Flood risk is disproportionately distributed, caused in part by outlawed, racist housing policies. Understanding where risk is highest can help identify optimum locations for adaptation measures to minimize flood damage in these neighborhoods. © 2023</t>
  </si>
  <si>
    <t>2-s2.0-85180975854"</t>
  </si>
  <si>
    <t>10.24857/rgsa.v18n4-001</t>
  </si>
  <si>
    <t>https://www.scopus.com/inward/record.uri?eid=2-s2.0-85182698181&amp;doi=10.24857%2frgsa.v18n4-001&amp;partnerID=40&amp;md5=8492be657987458792b6acb818ce5605</t>
  </si>
  <si>
    <t>Purpose: The work proposes the location, simulation and comparison of Digital Elevation Models (DEM) in a section where the Pomba River and the Paraíba do Sul River meet, located in the northwest of the state of Rio de Janeiro, a region known for the reproduction of some species of fish threatened with extinction. Methods: Searches for DEMs in the region were carried out on a free website, where a total of 10 DEMs were found. Several hydraulic simulations were carried out using computer modeling software called Iber, to verify the veracity and coherence of the data available. Results and conclusion: After simulating all DEMs, it was found that the DEM that best represented the study region, with greater coherence in topography and hydraulics, was the DEM provided by Copernicus with a 5m lowering. Research implications: Hydraulic simulations are fundamental for preventing dangerous situations for society as a whole. Together with the studies carried out through simulations, it is possible to analyze their hydraulic and topographic coherence for the flow of rivers and also their floodability for urbanized/dry regions. Originality/value: Verification of the coherence of data provided by the Open Topography website using Iber software, as a method of preventing hydraulic disasters (floods). Palavras-chave: Digital Elevation Model, Computational Modeling, Floods, Iber. © 2024 ANPAD - Associacao Nacional de Pos-Graduacao e Pesquisa em Administracao. All rights reserved.</t>
  </si>
  <si>
    <t>2-s2.0-85182698181"</t>
  </si>
  <si>
    <t>10.1080/10095020.2023.2244006</t>
  </si>
  <si>
    <t>https://www.scopus.com/inward/record.uri?eid=2-s2.0-85169924090&amp;doi=10.1080%2f10095020.2023.2244006&amp;partnerID=40&amp;md5=4431ca9f234f8a027989f95f47d44d7c</t>
  </si>
  <si>
    <t>Remote sensing (RS) technologies are extensively exploited by scientists and a vast audience of local authorities, urban managers, and city planners. Coastal regions, geohazard-prone areas, and highly populated cities represent natural laboratories to apply RS technologies and test new methods. Over the last decades, many efforts have been spent on improving Earth’s surface monitoring, including intensifying Earth Observation (EO) operations by the major national space agencies. They oversee to plan and make operational constellations of satellite sensors providing the scientific community with extensive research and development opportunities in the geoscience field. For instance, within this framework, the European Space Agency (ESA) and the Ministry of Science and Technology of China (MOST) have sponsored, since the early 2000s, the DRAGON initiative jointly carried out by the European and Chinese RS scientific communities. This manuscript aims to provide a synthetic overview of some research activities and new methods recently designed and applied and trace the route for further developments. The main findings are related to i) the analysis of flood risk in China, ii) the potential of new methods for the estimation and removal of ground displacement biases in small-baseline oriented interferometric Synthetic Aperture Radar (SAR) methods, iii) the analysis of the inundation risk in low-lying regions using coherent and incoherent SAR methods</t>
  </si>
  <si>
    <t>South African Geographical Journal</t>
  </si>
  <si>
    <t>10.1080/03736245.2023.2193565</t>
  </si>
  <si>
    <t>https://www.scopus.com/inward/record.uri?eid=2-s2.0-85150969295&amp;doi=10.1080%2f03736245.2023.2193565&amp;partnerID=40&amp;md5=296043dec18b84361becd9dfb358c405</t>
  </si>
  <si>
    <t>Coastlines globally are sensitive to the effects of sea-level rise, increased coastal storminess and changes in coastal sediment supply and sediment dynamics in the Anthropocene. Coastlines are also influenced by land use change, urbanization and development of built infrastructure. These changes can affect the dynamics of coastal landforms, weaken coastal resilience and make coasts more sensitive to climate hazards. This study critically examines the properties of coastlines that contribute to coastal biophysical resilience in South Africa, highlighting their relativerates of change and dynamic behaviour in response to physical and human forcing factors. Coastal landforms can be considered as ‘green infrastructure’ that can buffer the effects of climate change as well as providing ecosystem and environmental services in their own right. Viewing coastal landforms as green infrastructure provides a ‘nature-based solution’ to mitigate against climate change impacts that can work with–not against–the natural geomorphic, sedimentary and ecological processes of coastlines. Coastal landforms can also contribute to socioecological resilience, where they provide environmental and ecosystem services. The green infrastructure approach to coastal resilience has not been well developed in South Africa but is more effective in supporting coastal sustainable development. © 2023 The Society of South African Geographers.</t>
  </si>
  <si>
    <t>2-s2.0-85150969295"</t>
  </si>
  <si>
    <t>10.3390/rs16020262</t>
  </si>
  <si>
    <t>https://www.scopus.com/inward/record.uri?eid=2-s2.0-85183313290&amp;doi=10.3390%2frs16020262&amp;partnerID=40&amp;md5=6098c37b2df1564965a077bf8c98aa76</t>
  </si>
  <si>
    <t>The Oceans from Space V Symposium, held in Venice, Italy, on 24–27 October 2022, devoted special sessions to sea level rise, as described by a series of satellite altimeters, and to remediations of consequent calamities in vulnerable mediterranean seas. It emerged that various aspects of climate change can be modelled in time as a Single Exponential Event (SEE), with a similar trend (a 54–year e–folding time) for CO2 concentration in the Earth’s atmosphere, global average sea surface temperature, and global average sea level. The sea level rise record, combining tide gauges data starting in 1850, as well as more recent altimeter data, for the last 30 years, is already 25 cm above historical values. If the curve continues to follow the exponential growth of the simple SEE model, it will reach about 40 cm by the year 2050, 1 m by 2100, and 2.5 m by 2150. As a result, dramatic impacts would be expected for most coastal areas in the next century. Decisive remediations, based on geo-engineering at the basin scale, are possible for semi-enclosed seas, such as the Mediterranean and Black Seas. Damming the Strait of Gibraltar would provide an alternative to the conclusion that coastal sites such as the City of Venice are inevitably doomed. © 2024 by the authors.</t>
  </si>
  <si>
    <t>2-s2.0-85183313290"</t>
  </si>
  <si>
    <t>Watershed Ecology and the Environment</t>
  </si>
  <si>
    <t>10.1016/j.wsee.2024.03.002</t>
  </si>
  <si>
    <t>https://www.scopus.com/inward/record.uri?eid=2-s2.0-85188000086&amp;doi=10.1016%2fj.wsee.2024.03.002&amp;partnerID=40&amp;md5=89716cc9cef19c4c2cbb8db2ff3e3e91</t>
  </si>
  <si>
    <t>The invasive species Spartina alterniflora has significantly disrupted the ecological stability of coastal wetland ecosystems. Consequently, its control has become an important aspect of coastal wetland conservation. When controlling S. alterniflora, it is imperative to assess the ecological impacts of control methods. In this study, the effects of different control methods, i.e. “mowing + flooding” (MF) and “mowing + plowing” (MP), on the soil carbon and nitrogen contents in coastal wetlands were investigated in the Yellow River Delta, China. The results showed that the contents of soil organic carbon, inorganic carbon, and total nitrogen in the MF area within 2 years after treatment were 2.03–3.93 g/kg, 13.74–16.06 g/kg, and 0.24–0.47 g/kg, respectively, which were 36.33 %–-199 %, 2.91 %–36.71 % and 115.42 %–212.09 % higher than that those in the CK area, respectively. The C/N ratio in the MF treatment was 6.98–8.54, which was 5.42 %–40.30 % lower than that in the CK treatment. The contents of soil organic carbon, inorganic carbon, and total nitrogen in the MP area were 1.52–2.3 g/kg, 13.07–14.94 g/kg, and 0.2–0.32 g/kg, respectively, which were 15.91 %–54.18 %, 0.97 %–15.56 % and 35.19 %–182.26 % higher than those in the CK area. The C/N ratio in the MP area was 14.72 %–46.79 % lower than that in the CK area. Correlation analysis revealed that the soil carbon and nitrogen contents in the MF area were significantly positively correlated with the soil water content and electrical conductivity, and the C/N ratio was significantly negatively correlated with the soil sand content. In the MP area, the soil carbon and nitrogen contents were affected by the soil water content and electrical conductivity. The soil organic carbon content was also significantly negatively correlated with soil pH and significantly positively correlated with soil clay content. The C/N ratio was significantly negatively correlated with the total nitrogen content. Overall, the effects of MF on the soil carbon and nitrogen content in coastal wetlands were greater than those of MP. Future studies need to pay attention to the changes in tidal hydrological processes to more accurately assess the impacts of the control of S. alterniflora on the overall carbon sink capacity of the intertidal zone. © 2024 The Authors</t>
  </si>
  <si>
    <t>2-s2.0-85188000086"</t>
  </si>
  <si>
    <t>10.1016/j.envsoft.2023.105863</t>
  </si>
  <si>
    <t>https://www.scopus.com/inward/record.uri?eid=2-s2.0-85177206202&amp;doi=10.1016%2fj.envsoft.2023.105863&amp;partnerID=40&amp;md5=0c79b0c193717467942f2f3264106add</t>
  </si>
  <si>
    <t>We propose a novel conceptual flood inundation model that can be coupled with any hydrological model to generate the probabilistic flood extent maps for a given time step. We generate the runoff rasters using the dynamic Budyko hydrological model that uses the regional IMD/CPC precipitation datasets and the global JAXA GSMaP gauge-precipitation (V7) product over Kerala/Louisiana flood events during August 2018/2016. A freely available global dataset is used for obtaining river geometry information and topographic information is obtained from ASTER/SRTM DEM and localised LiDAR DEM. We evaluated the proposed model using the ground observed flood points from the state disaster management agency for Kerala and flood maps published by USGS for Louisiana. The proposed model captured ∼ 45% of flooding during peak flood days while taking ∼ 15 min for each run on a daily time step on a desktop computer. © 2023 Elsevier Ltd</t>
  </si>
  <si>
    <t>2-s2.0-85177206202"</t>
  </si>
  <si>
    <t>Journal of Urban Affairs</t>
  </si>
  <si>
    <t>10.1080/07352166.2022.2137033</t>
  </si>
  <si>
    <t>https://www.scopus.com/inward/record.uri?eid=2-s2.0-85144164387&amp;doi=10.1080%2f07352166.2022.2137033&amp;partnerID=40&amp;md5=9028f32cff3c7877b599a806fe1fcf56</t>
  </si>
  <si>
    <t>Cities are increasingly focused on building resilience. The literature on urban resilience governance emphasizes the importance of breaking down organizational silos and fostering collaboration between diverse actors. Yet few studies empirically examine whether existing resilience governance networks possess these theorized characteristics. This paper addresses this gap by focusing on flood resilience governance in four major U.S. cities and uses social network analysis to analyze the collaboration structures of organizations involved in resilience building efforts. Drawing on original survey data, results suggest that resilience governance is multi-level, with city, regional, state, and federal government organizations present in all city networks. The networks are also diverse, with nonprofit organizations, private firms, and educational or research institutions prominently featured. While these results are promising in terms of the potential for resilience to diversify participation in decision-making, we also find low levels of network density, meaning that the networks are generally sparsely connected. This suggests that the network is susceptible to fragmentation if organizations defect from the network. © 2022 Urban Affairs Association.</t>
  </si>
  <si>
    <t>2-s2.0-85144164387"</t>
  </si>
  <si>
    <t>10.3390/rs16020350</t>
  </si>
  <si>
    <t>https://www.scopus.com/inward/record.uri?eid=2-s2.0-85183330756&amp;doi=10.3390%2frs16020350&amp;partnerID=40&amp;md5=29e4d9c967094995c5b43d6a556eea28</t>
  </si>
  <si>
    <t>Coastal regions, increasingly threatened by floods due to climate-change-driven extreme weather, lack a comprehensive study that integrates coastal and riverine flood dynamics. In response to this research gap, we conducted a comprehensive bibliometric analysis and thorough visualization and mapping of studies of compound flooding risk in coastal cities over the period 2014–2022, using VOSviewer and CiteSpace to analyze 407 publications in the Web of Science Core Collection database. The analytical results reveal two persistent research topics: the way to explore the return periods or joint probabilities of flood drivers using statistical modeling, and the quantification of flood risk with different return periods through numerical simulation. This article examines critical causes of compound coastal flooding, outlines the principal methodologies, details each method’s features, and compares their strengths, limitations, and uncertainties. This paper advocates for an integrated approach encompassing climate change, ocean–land systems, topography, human activity, land use, and hazard chains to enhance our understanding of flood risk mechanisms. This includes adopting an Earth system modeling framework with holistic coupling of Earth system components, merging process-based and data-driven models, enhancing model grid resolution, refining dynamical frameworks, comparing complex physical models with more straightforward methods, and exploring advanced data assimilation, machine learning, and quasi-real-time forecasting for researchers and emergency responders. © 2024 by the authors.</t>
  </si>
  <si>
    <t>2-s2.0-85183330756"</t>
  </si>
  <si>
    <t>10.3389/feart.2024.1348336</t>
  </si>
  <si>
    <t>https://www.scopus.com/inward/record.uri?eid=2-s2.0-85185916811&amp;doi=10.3389%2ffeart.2024.1348336&amp;partnerID=40&amp;md5=a5bb03521922d777c430fa6c0b1afa74</t>
  </si>
  <si>
    <t>Seasonal delta is a sandy fan-shaped sedimentary system formed by seasonal river flooding in continental basins. Modern sedimentary finds that seasonal deltas mainly develop in an arid-semi-arid climate environment with gentle terrain. However, the study of seasonal deltas in ancient rock records is still insufficient, leading to misinterpretations as other sedimentary systems, which poses challenges to the correct understanding of the origin and spatial distribution of sand body deposits. In this study, the red bed deposits of the Cretaceous Baxigai Formation in the west of the Tabei Uplift were selected as the research object. Based on core observation and description, a comprehensive analysis of the sedimentary environment, sedimentary characteristics and sedimentary model of the Baxigai Formation was carried out using data such as well-logging and analytical testing, combined with modern depositional characteristics. Research shows that the sedimentary sequence of the Baxigai Formation red bed developed a seasonal delta sedimentary system in the arid climate. The seasonal delta deposits provide an opportunity to understand the influencing of river flow and total sedimentary loading vary greatly on the sedimentary model, sedimentary mechanism, and distribution of sand bodies in arid climates. The sedimentary process of the seasonal delta in the Baxigai Formation was controlled by the dual-stage sedimentation process in an arid paleoclimate. During the flood period, the supercritical flow sedimentary structures are widely developed in the major distributary channels, and the distributary channels migrate and bifurcate frequently. On the delta plain, crevasse channels are formed through the avulsion of major distributary channels. During the dry period, due to the consumption of water seepage and evaporation transfer, terminal distributary channels are abandoned, crevasse channels are not developed, and the sediment is exposed. The density of the distributary channels is reduced, and the total sedimentary loading is low. The distributary channels sand body is the skeleton sand body of the seasonal delta. This study is of great significance for accurately explaining the formation process of seasonal deltas and provides a useful reference for further exploration and deployment of oil and gas reservoirs and paleogeographic reconstruction in the study area. Copyright © 2024 Wang, Hu, Li, He, Gao, Dou and Wang.</t>
  </si>
  <si>
    <t>2-s2.0-85185916811"</t>
  </si>
  <si>
    <t>10.1080/01431161.2023.2297179</t>
  </si>
  <si>
    <t>https://www.scopus.com/inward/record.uri?eid=2-s2.0-85181709502&amp;doi=10.1080%2f01431161.2023.2297179&amp;partnerID=40&amp;md5=c2da7f5ba48edd266c194f15d94c93d6</t>
  </si>
  <si>
    <t>The Southeast Asian (SEA) region represents a complex coastal geographical location. Most countries in SEA are encircled by the ocean, with lowlands coastal areas. The advantages of long-term satellite altimetry and tide gauge measurements have enabled climate-related research, particularly sea level rise, to be examined extensively in spatial and temporal scales. In this study, sea level anomaly (SLA) derived from 26 years of multi-mission satellite altimeter data plus approximately 28 years of tidal data have been utilized. Then, the projection for every 10 years starting from 2030 until 2100 has been analysed using machine learning regression. The projections are then evaluated based on the global model of the Intergovernmental Panel on Climate Change (IPCC). The findings presented that sea level rise trends around SEA with overall means of 4.70 ± 0.37 mm yr−1 for the satellite altimeter and 3.41 ± 0.24 mm yr−1 for the coastal tide gauge. Sea level projection from coastal tide gauge and satellite altimeter are expected to rise up to 34.87 and 33.71 cm, respectively, in 2100. These outcomes prove that the altimetry data from Radar Altimeter Database System (RADS) and the redundant tidal data are capable in measuring the sea level in SEA. These results are also expected to be valuable for multidisciplinary environmental studies in SEA, such as coastal flooding, coastal erosion, and other effect of global warming. Thus, it would make a meaningful contribution towards Sustainable Development Goal (SDG) 13, climate action, by providing the sea level rate and prediction information. © 2024 Informa UK Limited, trading as Taylor &amp; Francis Group.</t>
  </si>
  <si>
    <t>2-s2.0-85181709502"</t>
  </si>
  <si>
    <t>Climate and Development</t>
  </si>
  <si>
    <t>10.1080/17565529.2024.2312815</t>
  </si>
  <si>
    <t>https://www.scopus.com/inward/record.uri?eid=2-s2.0-85186890600&amp;doi=10.1080%2f17565529.2024.2312815&amp;partnerID=40&amp;md5=153ba6ea54e104bdfdc85028a52f9345</t>
  </si>
  <si>
    <t>Coastal Louisiana is experiencing climate-related impacts at rates substantially higher than other areas worldwide. Unique coastal communities face imminent impacts requiring adaptation and possible relocation. As such, Louisiana's strategies for ecosystem-scale flood management and ecological restoration are relevant globally. In this paper, we trace the idea of managed retreat as a nonstructural adaptation mechanism through the analysis of Louisiana's Coastal Master Plan and LA SAFE documents, and interviews with residents and planning professionals. Although Louisiana's plans and policies increasingly recognise increasing risk, and relocation as a necessary adaptation strategy, planning goals for relocation have weakened over time. Our analysis found two reasons for this. First, professionals and residents view risk and relocation differently. Low- and moderate-income residents had varied claims and constraints that influenced the adoption of relocation programmes and highlighted the need for community-driven initiatives. Second, no social infrastructure was implemented with the technical capacity or financial resources to work with communities to develop and implement relocation initiatives. As climate impacts increase, policies facilitating managed retreat will also need to expand. This work provides insights into the evolution of large-scale relocation planning, and a better understanding of the challenges facing states and communities as these efforts are expanded. © 2024 Informa UK Limited, trading as Taylor &amp; Francis Group.</t>
  </si>
  <si>
    <t>2-s2.0-85186890600"</t>
  </si>
  <si>
    <t>10.1080/03036758.2023.2232743</t>
  </si>
  <si>
    <t>https://www.scopus.com/inward/record.uri?eid=2-s2.0-85165460763&amp;doi=10.1080%2f03036758.2023.2232743&amp;partnerID=40&amp;md5=e4c4570defb06dd7f4bb72541402578b</t>
  </si>
  <si>
    <t>Changes in global mean sea level are a clear indicator of a warming climate, but local factors including land subsidence or uplift, cause changes in relative sea level that drive shoreline shifts. These local changes and their impact on coastal hazards matter to coastal communities. NZ SeaRise produced relative sea level projections for Aotearoa to include the latest global climate and Antarctic Ice Sheet research and estimates of vertical land movement at high spatial resolution. Research-informed communication to the public and planners included a web-based projections tool supplemented by written and visual narratives, and a media engagement plan. This communication, and analysis of media impact, provided a case study for audience-relevant information on sea-level rise. Information regarding shoreline change and evolving hazards, required for risk assessment, was not included in the NZ SeaRise projections. New research is needed to reduce uncertainty in future Antarctic Ice Sheet contribution to sea level, link changes in sea surface height to our dynamic land surface and enhance communication approaches. Several examples of the required research are presented here but ongoing efforts must refine the timing and magnitude of coastline change, better define coastal hazards and risks, and develop appropriate adaptation strategies for unavoidable climate change impacts. © 2023 GNS Science. Published by Informa UK Limited, trading as Taylor &amp; Francis Group.</t>
  </si>
  <si>
    <t>2-s2.0-85165460763"</t>
  </si>
  <si>
    <t>10.1109/JSTARS.2023.3333969</t>
  </si>
  <si>
    <t>https://www.scopus.com/inward/record.uri?eid=2-s2.0-85146151681&amp;doi=10.1109%2fJSTARS.2023.3333969&amp;partnerID=40&amp;md5=1069a61f70a8df661b7fd14fbfa84e1e</t>
  </si>
  <si>
    <t>This study introduces the S1S2-Water dataset - a global reference dataset for training, validation, and testing of convolutional neural networks (CNNs) for semantic segmentation of surface water bodies in publicly available Sentinel-1 and Sentinel-2 satellite images. The dataset consists of 65 triplets of Sentinel-1 and Sentinel-2 images with quality-checked binary water mask. Samples are drawn globally on the basis of the Sentinel-2 tile-grid (100 km × 100 km) under consideration of predominant landcover and availability of water bodies. Each sample is complemented with metadata and digital elevation model (DEM) raster from the Copernicus DEM. On the basis of this dataset, we carry out performance evaluation of CNN architectures to segment surface water bodies from Sentinel-1 and Sentinel-2 images. We specifically evaluate the influence of image bands, elevation features (slope) and data augmentation on the segmentation performance and identify best-performing baseline-models. The model for Sentinel-1 achieves an Intersection over Union (IoU) of 0.845, Precision of 0.932, and Recall of 0.896 on the test data. For Sentinel-2 the best model produces an IoU of 0.965, Precision of 0.989, and Recall of 0.951, respectively. We also evaluate the performance impact when a model is trained on permanent water data and applied to independent test scenes of floods.  © 2023 IEEE.</t>
  </si>
  <si>
    <t>2-s2.0-85146151681"</t>
  </si>
  <si>
    <t>Land Economics</t>
  </si>
  <si>
    <t>10.3368/le.100.1.102022-0085R</t>
  </si>
  <si>
    <t>https://www.scopus.com/inward/record.uri?eid=2-s2.0-85185338271&amp;doi=10.3368%2fle.100.1.102022-0085R&amp;partnerID=40&amp;md5=fcb74cd1c78308cba0b901e15868e0cb</t>
  </si>
  <si>
    <t>Coastlines bring precious amenities to residents, but they also have significant and growing risks from storms and rising sea levels. Disentangling these amenities and risks is of ever- increasing importance to the public and policy makers. Evaluating the most tangible aspect of coastal living in New England, we present a scalable way to construct parcelspecific measures of coastal amenities. Estimates suggest that good coastal amenities, represented by unobstructed ocean views, add about 33%-69% to property prices. Coastal hazard effects are separated from the amenities: the flood zone discounts in coastal Connecticut and Massachusetts are generally low. (JEL Q51, Q54) © 2024 by the Board of Regents of the University of Wisconsin System. All Rights Reserved.</t>
  </si>
  <si>
    <t>2-s2.0-85185338271"</t>
  </si>
  <si>
    <t>10.1016/j.ijdrr.2023.104174</t>
  </si>
  <si>
    <t>https://www.scopus.com/inward/record.uri?eid=2-s2.0-85180590920&amp;doi=10.1016%2fj.ijdrr.2023.104174&amp;partnerID=40&amp;md5=19c8a79d6bc43c2a2330878ad13c521e</t>
  </si>
  <si>
    <t>Natural disasters like floods not only lead to the displacement of residents and loss of lives but are also associated with substantial economic costs. However, less is known about the effect of floods on the assets and liabilities of flood-affected households. Considering multiple rounds of largescale household surveys and employing a difference-in-difference methodology, the study examines the causal effect of coastal flood on the household balance sheet in a southern state of India. Specifically, the paper documents that flood-affected households hold lower amounts of illiquid assets and more liquid financial assets in the post-flood period, pointing towards a substitution in the asset side of the household balance sheet. On the other hand, floods adversely impact the extent of indebtedness among the affected households. Additional evidence indicates that loans for meeting household expenditures drive the increased indebtedness. The affected households also end up paying higher interest rates on borrowings. Hence, our findings draw significant policy implications for flood-affected households residing in coastal areas in developing economies. © 2023 Elsevier Ltd</t>
  </si>
  <si>
    <t>2-s2.0-85180590920"</t>
  </si>
  <si>
    <t>10.1016/j.ijdrr.2023.104192</t>
  </si>
  <si>
    <t>https://www.scopus.com/inward/record.uri?eid=2-s2.0-85182371937&amp;doi=10.1016%2fj.ijdrr.2023.104192&amp;partnerID=40&amp;md5=2b9aa53580fd2fb553c81fcc92e1cee1</t>
  </si>
  <si>
    <t>The increasing occurrence of floods due to global climate change is a challenge to the growth of urban resilience. However, few studies have investigated strategies to avoid flood risks during long-term and comprehensive land use and development. To address this issue, this study proposes a method that integrates flood risk and land use predictions to identify critical conflict patches that impact urban resilience. Further strategies for differential development based on the attributes of these critical conflict patches were formulated. Taking the Min Delta Urban Agglomeration (MDUA) in China as a case study, critical conflict patches for expanded urban resilience were identified based on a multi-source data set, a random forest (RF) algorithm, and a patch-generating land use simulation model (PLUS) combined with cellular automata (CA). These patches were categorized into three levels of risk prediction—low, medium, and high risk—based on flood risk attributes. These risk forecast levels were further divided into seven categories. The best land use approach was determined by assessing the quantity, spatial distribution, and risk-based priority ranking of these conflict patches. The results demonstrated that most conflicting patches were located in bare land within built-up areas, urban-rural intersection zones, and remote suburban areas with high traffic accessibility. The identified conflicting patches were applied to three different land use patterns: intra-city renewal, urban edge expansion, and the creation of derived cities. The total number of conflicting patches for land use decisions in the MDUA was 122 (170.82 km2) in 2025 and 685 (1205.81 km2) in 2035. Approximately 108 km2 of urban land was added for resilience expansion following optimization. In all development scenarios, the optimized land use pattern facilitated resilient growth of urban development while maintaining the stability of the flood disaster environment. Based on our methodology and case study, we proposed a decision-making framework to assist cities or potential urban regions to avoid water-related problems and related issues. This approach could also contribute to decisions involving different geographical areas for resilient land use. © 2023 Elsevier Ltd</t>
  </si>
  <si>
    <t>2-s2.0-85182371937"</t>
  </si>
  <si>
    <t>10.1016/j.earscirev.2023.104626</t>
  </si>
  <si>
    <t>https://www.scopus.com/inward/record.uri?eid=2-s2.0-85179049984&amp;doi=10.1016%2fj.earscirev.2023.104626&amp;partnerID=40&amp;md5=7733bad0b8da8064ee8b6bf9416a0903</t>
  </si>
  <si>
    <t>The forces that drive uplift of the continental lithosphere outside collision zones are a topic of considerable dispute. Here we review our studies of the post-Caledonian development of Greenland, Fennoscandia and adjacent regions based on apatite fission-track analysis (AFTA) and stratigraphic landscape analysis (SLA). AFTA defines episodes of cooling (exhumation) while SLA provides a relative denudation chronology. Integrating these results with the geological record can produce a coherent history of both positive and negative vertical crustal movements. Our studies reveal a history involving multiple regional episodes of burial and exhumation, leading to a) formation of peneplains graded to sea level, b) formation of distinct unconformities in sedimentary successions, and c) deposition of thick siliciclastic wedges in basins adjacent to the uplifting landmasses. Exhumation episodes which began in late Carboniferous, Middle Triassic and Middle Jurassic affected the entire study area (with some time variations). These episodes correlate with rifting episodes during the break-up of Pangea, attributed to accumulation of mantle heat beneath the supercontinent. Mid-Cretaceous exhumation affected wide parts of the study area and coincided with the inversion of the Sorgenfrei-Tornquist Zone in southern Scandinavia. This may be linked with changes in the relative motion between the European and African plates in the earliest Late Cretaceous. Maastrichtian exhumation affected wide areas around Greenland, probably reflecting doming above the rising Iceland Plume upon its arrival in the upper mantle, prior to the mid-Paleocene impact at the base of the lithosphere. The mid-Paleocene impact of the plume under Greenland contributed to the onset of sea-floor spreading west of Greenland. This represents the onset of the Eurekan Orogeny which affected wide areas around northern Greenland. End-Eocene exhumation interrupted the Eocene regime of subsidence following earliest Eocene break-up in the North-East Atlantic, coincided with a minimum rate of sea-floor spreading in the North-East Atlantic, possibly related to changes in the motion of Africa relative to Europe. Early Miocene exhumation affected only Fennoscandia and is attributed to intraplate stress transmitted across the Eurasian plate. Late Miocene uplift initiated the formation of Greenland's coastal mountains but did not affect Fennoscandia. This episode correlates with changes in the absolute motion of the North American Plate. Pliocene uplift – amplified by the isostatic response to erosion – raised all margins in the region with maximum elevations reached in coastal areas close to Iceland. This suggests support from the Iceland Plume due to outward-flowing asthenosphere extending beneath the conjugate margins of the North-East Atlantic. We use these observations to argue that these episodes reflect both lithospheric and sub-lithospheric forces, related either to changes in the motion of the plates caused by far-field stress induced by events outside the study area, or driven by movements within the mantle directly within the study area. Geodynamic modelling is required to obtain further insights into the properties of the Earth that allow recurrent episodes of uplift and subsidence of the continents. © 2023 The Authors</t>
  </si>
  <si>
    <t>2-s2.0-85179049984"</t>
  </si>
  <si>
    <t>10.1016/j.uclim.2023.101769</t>
  </si>
  <si>
    <t>https://www.scopus.com/inward/record.uri?eid=2-s2.0-85178091073&amp;doi=10.1016%2fj.uclim.2023.101769&amp;partnerID=40&amp;md5=7d29faa98b3d26b7acd4d5772ef0419a</t>
  </si>
  <si>
    <t>The determination and projection of flood risk level is an important problem for disaster management decision-makers, especially for densely populated and economically developed Zhejiang Province, China. This study generated a flood risk map for 2020 adopting 11 parameters and projected flood risk maps for 2025 and 2030 by adopting the CA-Markov method spatially. The data were first homogenized using the fuzzy method. Next, the analytic hierarchy process (AHP) method calculates the weight of each parameter and generates a flood risk distribution map. Statistical analysis of flood disasters in the study area and the support of other research results showed that the proposed model performed well in mapping flood risk. The map showed that 15.19% of the study area was in the high-and extremely high-risk classes, and was mainly concentrated in the southeast coastal area and Hangzhou Bay area. The Receiver Operator Characteristic (ROC) curves (AUC2015 = 0.887, AUC2020 = 0.891) verified the excellent performance of the CA-Markov method in projecting flood risk. Finally, the CA-Markov method was adopted to project the risk distribution map of future flood areas, and the results showed that the high-risk areas for flooding in the southeast coastal area and northern Hangzhou Bay area will be further expanded in 2025 and 2030. © 2023 Elsevier B.V.</t>
  </si>
  <si>
    <t>2-s2.0-85178091073"</t>
  </si>
  <si>
    <t>10.3389/fclim.2024.1334625</t>
  </si>
  <si>
    <t>https://www.scopus.com/inward/record.uri?eid=2-s2.0-85185492510&amp;doi=10.3389%2ffclim.2024.1334625&amp;partnerID=40&amp;md5=89b39359dbcad4dd28bd90a103455cb6</t>
  </si>
  <si>
    <t>Climate change is raising sea level rise and storminess effects on coastal systems, affecting the morphology of coastlines and impacting coastal communities and ecosystems. It is essential to gain information at an adequate scale to identify effective adaptation measures. This is of major importance in areas combining high vulnerability to climate change with high socio-economic development, like the Northern Adriatic coastal area. To this aim, in this work two different approaches have been applied to investigate inland penetration of sea water along the Marche Region: (a) a simple “bathtub” method applied to the entire Marche coastline, to highlight areas likely prone to intense inundation</t>
  </si>
  <si>
    <t>Applied Soft Computing</t>
  </si>
  <si>
    <t>10.1016/j.asoc.2023.111031</t>
  </si>
  <si>
    <t>https://www.scopus.com/inward/record.uri?eid=2-s2.0-85183611674&amp;doi=10.1016%2fj.asoc.2023.111031&amp;partnerID=40&amp;md5=eec47dd2b3aa4b509491f6209a446388</t>
  </si>
  <si>
    <t>Rapid flood prediction in coastal urban areas is an important but challenging task. However, multi-driver floods in coastal areas and their non-linearity in physical processes are hard to represent in physics-based numerical models (PBNMs). In this study, we investigated the performance of surrogate machine learning (ML) models and their flood prediction capability. Initially, we utilize the MIKE+ coupled 1D–2D model to simulate coastal urban flooding in one of the severely flood-affected areas of Ho Chi Minh City (HCMC), Vietnam. Then, nine ML models, including AdaBoost (AB), Decision Tree (DT), Gaussian Process (GP), k-Nearest Neighbors (KNN), Linear Discriminant Analysis (LDA), Naive Bayes (NB), Neural Network (NN), Random Forest (RF), and Support Vector Machine (SVM) are employed to surrogate the PBNM flood prediction performance and engaged to predict flood depths of the study area domain. 806 simulation scenarios of MIKE+ modeling having a spatial grid of 1107 ×1513, grid size = 2 m, extracting 270,000 inundation points to generate input data for nine ML models are used to simulate surface flood depths for the study area. Results show three ML models, GP, RF, and NN, outperform the remaining models, with R2 value of 0.997, 0.996, and 0.995, respectively. Thus, applying ML models can significantly reduce the simulation time by a PBNM, improve accuracy, and potentially be adopted for real-time forecasting and emergency management. © 2023 Elsevier B.V.</t>
  </si>
  <si>
    <t>2-s2.0-85183611674"</t>
  </si>
  <si>
    <t>10.1016/j.jhydrol.2023.130586</t>
  </si>
  <si>
    <t>https://www.scopus.com/inward/record.uri?eid=2-s2.0-85179752723&amp;doi=10.1016%2fj.jhydrol.2023.130586&amp;partnerID=40&amp;md5=d6b25bdd5e7e23c5f7736f838b1ade4c</t>
  </si>
  <si>
    <t>Estimation of hydraulic parameters and groundwater depletion of aquitards is necessary to evaluate the groundwater resources and land subsidence. In this study, an analytical solution for water release from a nonlinear consolidated aquitard was derived by approximating the drawdown history as a continuous piecewise linear drawdown function (PLD) with several stages, while the water level in adjacent aquifers varies arbitrarily over time. According to dimensionless and parameter sensitivity analyses, groundwater depletion of an aquitard increases with an increase in compression index, aquitard thickness, and water drawdown rate in adjacent aquifers, decreases with an increase in initial void ratio and effective stress, and is not affected by the consolidation coefficient. In addition, we proposed a type-curve fitting method to calculate the hydraulic parameters of the aquitard under the condition of PLD in adjacent aquifers. The proposed method was applied to estimate the hydraulic parameters of aquitards at two field sites in the Yangtze River Delta in China, i.e., Changzhou and Shanghai. Results show that the compression index of the aquitards in Changzhou and Shanghai are 0.074 and 0.24, respectively, while the consolidation coefficients are 7.62 × 10-7 m2/s and 2.16 × 10-6 m2/s, respectively. The hydraulic conductivity and specific storage estimated by the proposed method are in good agreement with previous studies and the results of the geological method of Konikow and Neuzil (2007). The proposed analytical method for estimating hydraulic parameters and groundwater depletion of aquitards will contribute to the sustainable management of groundwater resources in multi-layer aquifer systems. © 2023 Elsevier B.V.</t>
  </si>
  <si>
    <t>2-s2.0-85179752723"</t>
  </si>
  <si>
    <t>10.1007/s13157-023-01761-9</t>
  </si>
  <si>
    <t>https://www.scopus.com/inward/record.uri?eid=2-s2.0-85179925672&amp;doi=10.1007%2fs13157-023-01761-9&amp;partnerID=40&amp;md5=c2a9ec538e0c2f7bb740036b732ed10f</t>
  </si>
  <si>
    <t>Groundwater hydrology plays an important role in coastal marsh biogeochemical function, in part because groundwater dynamics drive the zonation of macrophyte community distribution. Changes that occur over time, such as sea level rise and shifts in habitat structure are likely altering groundwater dynamics and eco-hydrological zonation. We examined tidal flooding and marsh water table dynamics in 1999 and 2019 and mapped shifts in plant distributions over time, at Piermont Marsh, a brackish tidal marsh located along the Hudson River Estuary near New York City. We found evidence that the marsh surface was flooded more frequently in 2019 than 1999, and that tides were propagating further into the marsh in 2019, although marsh surface elevation gains were largely matching that of sea level rise. The changes in groundwater hydrology that we observed are likely due to the high tide rising at a rate that is greater than that of mean sea level. In addition, we report changes in plant cover by P. australis, which has displaced native marsh vegetation at Piermont Marsh. Although P. australis has increased in cover, wrack deposition and plant die off associated Superstorm Sandy allowed for native vegetation to rebound in part of our focus area. These results suggest that climate change and plant community composition may interact to shape ecohydrologic zonation. Considering these results, we recommend that habitat models consider tidal range expansion and groundwater hydrology as metrics when predicting the impact of sea level rise on marsh resilience. © 2023, The Author(s), under exclusive licence to Society of Wetland Scientists.</t>
  </si>
  <si>
    <t>2-s2.0-85179925672"</t>
  </si>
  <si>
    <t>10.1080/15715124.2022.2114483</t>
  </si>
  <si>
    <t>https://www.scopus.com/inward/record.uri?eid=2-s2.0-85138345024&amp;doi=10.1080%2f15715124.2022.2114483&amp;partnerID=40&amp;md5=79db482110c6f502f40a6a8d536ef674</t>
  </si>
  <si>
    <t>Estuaries are the main gateway of nutrients into marine coastal waters. Human activities and biodegradation processes in coastal freshwater and mangrove swamps are the major sources of nutrients. This study examines the sources, sinks and flux rates of nitrogen (N), phosphorus (P) and silicon (Si) through the interfaces: river estuary, mangrove estuary and ocean estuary. Measurements of the concentrations of nutrients and water velocity were made near the surface on an hourly basis, and then integrated over the flood and ebb flows over the cross-sectional area and a budget estimated over the tidal cycle, at the three interfaces. The results indicated that freshwater swamps, along the river basin, and mangrove swamps were the major source of nitrate in the estuary</t>
  </si>
  <si>
    <t>10.1080/10106049.2024.2311203</t>
  </si>
  <si>
    <t>https://www.scopus.com/inward/record.uri?eid=2-s2.0-85184703628&amp;doi=10.1080%2f10106049.2024.2311203&amp;partnerID=40&amp;md5=a3fea8d314c4a44104fe4d1db0d7dafa</t>
  </si>
  <si>
    <t>Spatio-temporal dynamics of surface water reservoirs at regional and global scales remain poorly understood. Using satellite remote sensing provides a unique opportunity to address this problem. This study aims to (1) quantify the extent and volume of surface water and (2) compare our approach with other datasets. We utilized MODIS-based spectral indices to monitor temporal variations in inundation extent. By interpolating water levels across the surface water extent, we generated water level maps and quantified surface water volume from 2000 to 2022. Evaluation against ICESat-2 data involved 64 comparisons, with approximately 58% showing an R2 value greater than or equal to 0.5, and 38% were higher than or equal to 0.7. Compared to the flooding model, our method aligns more closely with ICESat-2 data, contrary to the flooding model which tends to overestimate water levels and, consequently, water storage. © 2024 The Author(s). Published by Informa UK Limited, trading as Taylor &amp; Francis Group.</t>
  </si>
  <si>
    <t>2-s2.0-85184703628"</t>
  </si>
  <si>
    <t>10.3390/rs16020248</t>
  </si>
  <si>
    <t>https://www.scopus.com/inward/record.uri?eid=2-s2.0-85183314271&amp;doi=10.3390%2frs16020248&amp;partnerID=40&amp;md5=d5a21b2c336f6c69e6c61a1ee3645a7d</t>
  </si>
  <si>
    <t>Monitoring and assessing coastal subsidence is crucial to mitigating potential disaster risks associated with rising sea levels. Nansha District in Guangzhou City, representing global coastal soft-soil urban areas, faces significant challenges related to ground subsidence. However, the current understanding of the status, causative factors, and risk (includes subsidence susceptibility and vulnerability) assessment of ground subsidence in Nansha District is unclear. To address this gap, we utilized the SBAS-InSAR technique, analyzing 49 Sentinel-1A images from December 2015 to June 2019, for systematic ground subsidence monitoring. Subsequently, we assessed subsidence risk using a comprehensive index method and a risk matrix. Our findings indicate that subsidence velocity primarily ranged from −40 to −5 mm/a, with a spatial pattern of increasing subsidence from inland to coastal areas. The cumulative subsidence process unfolded in four distinct stages. The genesis of land subsidence was linked to an endogenous geological context dominated by soft-soil deposition, influenced by external factors such as surface loading and groundwater extraction. High-risk zones were concentrated in key engineering development areas, transportation pipeline trunk lines, and densely populated regions, demanding special attention. This study provides a foundational resource for disaster prevention and control strategies in Nansha District and similar coastal cities. © 2024 by the authors.</t>
  </si>
  <si>
    <t>2-s2.0-85183314271"</t>
  </si>
  <si>
    <t>10.1016/j.jenvman.2023.119502</t>
  </si>
  <si>
    <t>https://www.scopus.com/inward/record.uri?eid=2-s2.0-85178001802&amp;doi=10.1016%2fj.jenvman.2023.119502&amp;partnerID=40&amp;md5=4d9ba58871c7a4e6b9c131a39b65719f</t>
  </si>
  <si>
    <t>Coastal areas are of paramount importance due to their pivotal role in facilitating a wide range of socio-economic activities and providing vital environmental services. These areas, as the meeting points of land and sea, face significant risks of flooding due to the ongoing rise in sea levels caused by climate change. Additionally, they are susceptible to extreme events like king tides and large waves in the future. This paper introduces a framework for estimating the extreme total water level (TWL) by considering the effects of regional sea level rise (RSLR) resulting from a warming climate under RCP 8.5. It also incorporates the contributions of high tides, 100-year storm surge, and 100-year wave setup and run-up. The proposed framework is utilized to evaluate the occurrence of extreme coastal flooding along the Persian Gulf coast of Iran, an area that is home to significant industries in the country. The results offer an estimated increase of RSLR by 0.23 m from 2020 to 2050 considering an ensemble of climate model projections. Extreme wave setup values are estimated to range between 0.19 and 0.66 m, while storm surge is projected to vary from 0.4 to 1.44 m across the studied coastline. These together yield in a projected extreme TWL along the coastline within the range of 3.18 and 3.90 m above the current sea level. This significant increase in sea level could lead to the inundation of approximately 513 km2 of low-lying coastal land, which accounts for about 16% of the studied domain and could pose serious flooding threat to the people and their assets in this region. Finally, relative ranking of flooded zones (i.e., 6 zones) helps determine the areas with higher chance of flood exposure, at which investment in flood mitigation measures should be prioritized. © 2023 Elsevier Ltd</t>
  </si>
  <si>
    <t>2-s2.0-85178001802"</t>
  </si>
  <si>
    <t>10.1007/s11069-023-06195-4</t>
  </si>
  <si>
    <t>https://www.scopus.com/inward/record.uri?eid=2-s2.0-85174045993&amp;doi=10.1007%2fs11069-023-06195-4&amp;partnerID=40&amp;md5=1b8d4bf3748a9c0487d2d488aefc0b82</t>
  </si>
  <si>
    <t>The recent, very active hurricane seasons, as well as emerging concerns related to the future effects of sea-level rise, hurricane intensification, and increased storm recurrence rates on coastal areas, make the prediction of storm-induced flood hazard a key priority when discussing coastal community resilience. To address this priority, researchers have placed substantial efforts in developing improved high-fidelity, numerical models to predict the storm surge for a given storm event. For promoting computational efficiency when utilizing these models within hazard estimation applications, metamodeling (also referred to as surrogate modeling) techniques have emerged as a popular strategy. The accuracy of such techniques in this context has been examined so far using cross-validation (CV) techniques or by testing their performance for a (very) small number of historical storms. This paper investigates this topic within a different setting, examining the resultant regional storm surge hazard maps, specifically using Gaussian process (GP) as the metamodel of choice. This is accomplished by examining the hazard products (hazard maps or curves) obtained by GP implementations, as well as the hazard products established through alternative, simplified Monte Carlo approaches. Examining this accuracy fills in an important knowledge gap and provides an answer to the question “what are the benefits in coastal hazard estimation by using metamodels?”, while simultaneously improving the trustworthiness of the associated results within the context of coastal risk quantification. The selection of the storm ensemble supporting the GP development is also examined, and it is shown that an adaptive implementation provides distinct advantages. This implementation selects batches of storms in stages, leveraging the GP developed using the storms identified up to the current stage, to choose the next batch. Finally, a computationally efficient framework is presented to explicitly consider the uncertainty associated with the GP predictions to provide confidence bounds for the hazard products. © 2023, The Author(s), under exclusive licence to Springer Nature B.V.</t>
  </si>
  <si>
    <t>2-s2.0-85174045993"</t>
  </si>
  <si>
    <t>Journal of Environmental Protection and Ecology</t>
  </si>
  <si>
    <t>https://www.scopus.com/inward/record.uri?eid=2-s2.0-85187165383&amp;partnerID=40&amp;md5=4213cebe543e316144232eb77fddcd33</t>
  </si>
  <si>
    <t>Coastal ecosystems face increasing risks from rising sea levels, climate change, and pol-lution. These factors dissatisfied the vulnerable balance of these ecosystems, affecting water quality and general environmental health. Traditional coastal monitoring approaches have problems with spatial coverage, flexibility, and real-time data-gathering limitations. Effective monitoring measures are critical for understanding and mitigating the impact on these sensitive ecosystems, which function as key buffers against environmental changes. The proposed UAV-enabled Wireless Sensor Network solution addresses these issues by providing a dynamic method to improve monitoring capabilities and contribute to the long-term sustainability of coastal ecosystems. This research intends to change the understanding and management of these crucial ecological zones. Unmanned aerial vehicles (UAVs) are provided with a wide range of sensors that provide a dynamic option for obtaining comprehensive data over large and different coastal ecosystems. The objective of this technology is to overcome the spatial limitations of standard fixed sensor networks, allowing monitoring of inaccessible or dangerous locations. The research aims to provide real-time, high-resolution data on critical water quality metrics by integrating UAVs with WSN nodes. The assessment of temperature, salinity, and pollution indicators is particularly significant in determining the vulnerability of coastal water resources. The proposed method not only addresses the shortcomings of current monitoring techniques, but also enhances the capacity to recognise and respond to rapid environmental changes. This work concept allows new possibilities for the long-term management of water resources in vulnerable coastal ecosystems. © 2024, Scibulcom Ltd.. All rights reserved.</t>
  </si>
  <si>
    <t>2-s2.0-85187165383"</t>
  </si>
  <si>
    <t>10.3390/rs15245668</t>
  </si>
  <si>
    <t>https://www.scopus.com/inward/record.uri?eid=2-s2.0-85180617908&amp;doi=10.3390%2frs15245668&amp;partnerID=40&amp;md5=2fdd898f6eac4ddd56c9fccced8bae73</t>
  </si>
  <si>
    <t>Coal mining leads to surface subsidence, landslides, soil erosion and other problems that seriously threaten the life and property safety of residents in mining areas, and it is urgent to obtain mining subsidence information using high-frequency, high-precision and large-scale monitoring methods. Therefore, this paper mainly studies the deformation monitoring of the Datong mining area using Lutan-1 monostatic and bistatic SAR data. Firstly, the latest Lutan-1 bistatic data are used to reconstruct the DSM, and the interferometric calibration method is used to improve the accuracy of the DSM. Then, the surface deformation monitoring of the mining area is implemented by using DInSAR, SBAS-InSAR and Stacking-InSAR with the reconstructed DSM data and Lutan-1 monostatic SAR data. Finally, the deformation monitoring results are compared with the surface deformation results based on the TanDEM data, and both the results are evaluated using the filed leveling data. Taking 20 images covering the Datong mining area as the data sources, the surface deformation results obtained using different InSAR methods in the mining area were quantitatively evaluated and analyzed. The results indicated that: (1) the DSM obtained using the Lutan-1 bistatic SAR data was assessed and demonstrated with the ICESat laser altimetry data an error of 2.8 m, which meets the Chinese 1:50,000 scale DEM cartographic accuracy standard, and the difference analysis with the TanDEM data shows that the terrain changes are mainly distributed in mountainous areas</t>
  </si>
  <si>
    <t>10.1016/j.ancene.2023.100409</t>
  </si>
  <si>
    <t>https://www.scopus.com/inward/record.uri?eid=2-s2.0-85174695202&amp;doi=10.1016%2fj.ancene.2023.100409&amp;partnerID=40&amp;md5=f62d602f50ce3146e2d92749175e9978</t>
  </si>
  <si>
    <t>This paper investigates the utilization of satellite imagery archives in the northeastern Nile Delta to examine and explore the evolution of archaeological landscapes. The study incorporates optical satellite imagery from multiple sensors, including Landsat, ASTER, and CORONA, in addition to historical topographic maps, and digital elevation data. The methodology involves employing Support Vector Machine (SVM) algorithm, spatial analysis, and analyzing vegetation indices. The findings reveal significant landscape changes during the period from the prehistoric to the Byzantine era, influenced by natural factors such as sea level changes and land subsidence. Moreover, the landscape changed after the construction of the Aswan High Dam, influenced by human activities such as agriculture and urbanization. The study was successful in detecting the remains of the Tanitic branch, an ancient branch of the Nile River. Additionally, the analysis of vegetation indices showed crop anomalies, which may be indicative of buried structures. However, further investigations, including ground surveys and excavations, are needed for validation. The research contributes to the understanding of the region's historical and cultural significance, highlights the impact of human activities on archaeological sites, and underscores the importance of preserving cultural heritage in the face of environmental changes and urban development. © 2023 Elsevier Ltd</t>
  </si>
  <si>
    <t>2-s2.0-85174695202"</t>
  </si>
  <si>
    <t>Marine Geophysical Research</t>
  </si>
  <si>
    <t>10.1007/s11001-023-09532-1</t>
  </si>
  <si>
    <t>https://www.scopus.com/inward/record.uri?eid=2-s2.0-85178955131&amp;doi=10.1007%2fs11001-023-09532-1&amp;partnerID=40&amp;md5=2de00142e5713153198ef97a42493a35</t>
  </si>
  <si>
    <t>Recently, subsidence at the coast of Pingtung alluvial plain (SW Taiwan) considerably accelerated, mainly caused by excessive groundwater exploitation from shallow aquifers. To better understand the subsidence pattern and groundwater flow, investigating the structural setting of the Pingtung Basin is essential. The present investigation has revealed that the shallow-marine region off the most rapidly subsiding area of Linbian estuary and Dapeng Bay is characterised by extensive fault and fracture networks, along with a buried syncline, as evidenced by the seismic records. Nearshore, seismic records reveal tectonic fault blocks situated only a few meters beneath the modern seafloor, within the upper 200 m of the seafloor sediments corresponding to the upper interval of the syncline’s infill. This syncline has the same width as the Pingtung basin on land and likely represents its marine extension. Seaward of the most rapidly subsiding area, namely the Linbian estuary, a depression developed on the modern seafloor by both sagging above the syncline centre towards the western flank and extensional faults, which are indicative of recent sinking (= reactivation) of the syncline underneath. The faults, the submarine depression and the coastal subsidence are primarily manifest above the western flank and the centre of the syncline, possibly due to asymmetric reactivation prograding from the syncline's centre towards its western flank. The western flank is intersected by the Liuchu Hsu mud-diapir ridge, which started to rise further and thus, likely triggered the formation of a series of extensional faults above the syncline, followed by minor fault inversions. Previous studies have described freshwater leakage from land aquifers to the seafloor near the subsiding area and at the locations of faults. In fact, these aquifers extend to the adjacent seafloor. Furthermore, faults and fractures in the sub-seafloor deposits in vicinity to the subsiding land areas likely act as conduits in two ways: (1) saline water can infiltrate into the aquifers or (2) freshwater flows out of them. Therefore, these conduits facilitate flow of water from land towards the sea and vice versa. Consequently, the human-induced groundwater overdraft at the Pingtung coast represents a primary factor, which causes seawater to intrude inland whereas tectonic subsidence of the Pingtung Basin is of subordinate importance. The extensive fault and fracture networks, however, have the potential to amplify seawater intrusion inland or seaward freshwater leakage by providing pathways, as highlighted by this study results. © 2023, The Author(s), under exclusive licence to Springer Nature B.V.</t>
  </si>
  <si>
    <t>2-s2.0-85178955131"</t>
  </si>
  <si>
    <t>10.1007/s43545-023-00791-8</t>
  </si>
  <si>
    <t>https://www.scopus.com/inward/record.uri?eid=2-s2.0-85193444945&amp;doi=10.1007%2fs43545-023-00791-8&amp;partnerID=40&amp;md5=676c10a6a343530786dde2b0d5aa5f9d</t>
  </si>
  <si>
    <t>Bangladesh is exposed to frequent natural disasters such as floods, cyclones, tidal surges, and earthquakes. To improve resilience, the country has implemented multisectoral and muti-level national interventions based on international guidelines over the past few years. As a result, local people have become more knowledgeable about and adept at coping with disasters. While previous studies have focused on the causes and consequences of this development, this study examines the trend of successful disaster risk reduction (DRR) interventions through qualitative research in the southwest coastal area of Bangladesh. The authors performed 10 in-depth interviews, four focus group discussions, non-participatory observatory notes, and gathered 36 photographs of the surrounding landscapes in two selected villages of Dacope Upazila and Mongla Upazila, Khulna Division of Bangladesh. This study has suggested that coastal residents have changed their actions through DRR due to a range of awareness programs led by governmental and non-governmental organizations. While a top-down approach has improved early warning, disaster preparedness, and safer environments, a bottom-up approach should be considered to incorporate effective local DRR activities such as kinship network support. These findings suggest that both new and traditional disaster-coping activities should be integrated into more effective DRR strategies. © The Author(s) 2023.</t>
  </si>
  <si>
    <t>2-s2.0-85193444945"</t>
  </si>
  <si>
    <t>10.1007/s13157-023-01753-9</t>
  </si>
  <si>
    <t>https://www.scopus.com/inward/record.uri?eid=2-s2.0-85178228625&amp;doi=10.1007%2fs13157-023-01753-9&amp;partnerID=40&amp;md5=00eebeb1fe4d26d4ee3d98fcf6f8eece</t>
  </si>
  <si>
    <t>Thirty-five years post-harvest, effects of harvest disturbances upon tree composition and aboveground biomass were evaluated in a water-tupelo (Nyssa aquatica)- baldcypress (Taxodium distichum) bottomland. The forested wetland, along the Tensaw River, is within the Mobile-Tensaw River Delta in southwest Alabama. Nine replications of four disturbances were evaluated: no harvest reference (REF), clearcutting with helicopter removal (HELI), HELI combined with skidder extraction simulation (SKID), and HELI combined with broadcast herbicide application (glyphosate) to sprouts and seedlings for two years (GLYPH). Thirty-five years post-treatment, species, diameter at breast height (DBH</t>
  </si>
  <si>
    <t>Water, Air, and Soil Pollution</t>
  </si>
  <si>
    <t>10.1007/s11270-023-06748-0</t>
  </si>
  <si>
    <t>https://www.scopus.com/inward/record.uri?eid=2-s2.0-85179928913&amp;doi=10.1007%2fs11270-023-06748-0&amp;partnerID=40&amp;md5=05d3501cdfda7c7af43af6641b03e055</t>
  </si>
  <si>
    <t>Environmental pollution arises from the myriad of chemicals in current and historic applications. In Nigeria, the fate of pollutants among other factors relies on water runoffs with pollution implications on the flooded environment. In addition, there is a need for applications of pesticides against disease vectors in a flood-prone environment, therefore increasing pollution complications in the environment. Literature information is missing regarding the levels and public health risk implications of contaminants such as heavy metals and organochlorine pesticide (OCP) residues in groundwater and residential soils within the selected flood-prone residential locations in Lagos, Nigeria. This study was hence targeted at examining the levels and health risks of heavy metals and OCP residues in residential soils and groundwater sources of the targeted environment. Seven heavy metals comprising Cd, Zn, Fe, Pb, Cu, Ni, and Co were detected in the water samples with high concentrations of iron (mean = 22,000 mg/kg) and Zn (mean = 810 mg/kg). Only Fe (mean = 5.8 µg/L) and Zn (mean = 2.6 µg/L) were detected in the groundwater samples. Fifteen OCP residues were observed in the soil samples within the concentration range of 7.9 to 13 (mean = 11) mg/kg while seven OCP residues were reported in the groundwater samples within the concentration range of 0.19 to 0.35 (mean = 0.24) mg/kg. There was a concern about high contamination of dieldrin and heptachlor epoxide in the groundwater sources with concentrations exceeding the WHO (2017) drinking water guideline. A significant Pearson correlation (&lt; 0.05) was obtained for endrin and endosulfan I in water and soil samples indicating potential contamination of groundwater from soil sources. The diagnostic ratio indicated possible applications of endosulfan and some other OCP residues. Overall, our data indicated low health risk implications for all the targeted contaminants. We recommend continuous investigation of newly listed priority chemicals such as dicofol and more public engagement on the implication of environmental pollution and health impacts of regulated chemicals. © 2023, The Author(s), under exclusive licence to Springer Nature Switzerland AG.</t>
  </si>
  <si>
    <t>2-s2.0-85179928913"</t>
  </si>
  <si>
    <t>10.1029/2023EA003243</t>
  </si>
  <si>
    <t>https://www.scopus.com/inward/record.uri?eid=2-s2.0-85180193891&amp;doi=10.1029%2f2023EA003243&amp;partnerID=40&amp;md5=24a8efb6892670ca82c3e5e5a7d4f78c</t>
  </si>
  <si>
    <t>This study proposes a novel, new ensemble model (NEM) designed to simulate the maximum water level increases caused by storm surges in a frequently cyclone-affected coastal water of Hong Kong, China. The model relies on storm and water level data spanning 1978–2022. The NEM amalgamates three machine learning algorithms: Random Forest (RF), Gradient Boosting Decision Tree (GBDT), and XGBoost (XGB), employing a stacking technique for integration. Six parameters, determined using the Random Forest and Recursive Feature Elimination algorithms (RF-RFE), are used as input features for the NEM. These parameters are the nearest wind speed, gale distance, nearest air pressure, minimum distance, maximum pressure drop within 24 hr, and large wind radius. Model assessment results suggest that the NEM exhibits superior performance over RF, GBDT, and XGB, delivering high stability and precision. It reaches a coefficient of determination (R2) up to 0.95 and a mean absolute error (MAE) that fluctuates between 0.08 and 0.20 m for the test data set. An interpretability analysis conducted using the SHapley Additive exPlanations (SHAP) method shows that gale distance and nearest wind speed are the most significant features for predicting peak water level increases during storm surges. The results of this study could provide practical implications for predictive models concerning storm surges. These findings present essential tools for the mitigation of coastal disasters and the improvement of marine disaster warning systems. © 2023 The Authors.</t>
  </si>
  <si>
    <t>2-s2.0-85180193891"</t>
  </si>
  <si>
    <t>10.1007/s10113-023-02138-8</t>
  </si>
  <si>
    <t>https://www.scopus.com/inward/record.uri?eid=2-s2.0-85175717415&amp;doi=10.1007%2fs10113-023-02138-8&amp;partnerID=40&amp;md5=730c76c7eaac21eb3f1c2e66b22df5cb</t>
  </si>
  <si>
    <t>The large tidal lake systems along the Southeast Australian coast are amongst the most vulnerable estuaries in Australia to the effects of sea level rise. In these lakes, reduced tide ranges compared with the ocean, in combination with modest flood extremes, have allowed development to occur in close vertical proximity to the current mean sea level. In this study, we examine water levels within Lake Macquarie, Australia’s most exposed estuary to sea level rise. We analyse water level data from the entrance channel and the lake to investigate recent changes to the frequency and duration of inundation or flooding of low-lying streets and examine the potential impacts of future rises in sea level. Our analysis shows that the numbers of days each year when water levels exceed those of low-lying streets, while subject to some variability, have increased significantly over recent decades. The increasing frequency of inundation is attributed to both mean sea level rise and an increase in tide range over the period of available data, which is thought to be associated with scour processes related to ongoing morphological adjustment to entrance training works undertaken over a century ago. Comparison of the projected behaviour of lake and open coast water levels under sea level rise shows the lake has significantly greater sensitivity to sea level rise. Projected inundation frequency for a given amount of sea level rise within the lake is double that of open coast sites, exposing infrastructure in the estuary to increasing risk of damage. © 2023, The Author(s).</t>
  </si>
  <si>
    <t>2-s2.0-85175717415"</t>
  </si>
  <si>
    <t>10.1016/j.ejrs.2023.11.011</t>
  </si>
  <si>
    <t>https://www.scopus.com/inward/record.uri?eid=2-s2.0-85177802518&amp;doi=10.1016%2fj.ejrs.2023.11.011&amp;partnerID=40&amp;md5=e4008428133ea7ed4116ede22545595e</t>
  </si>
  <si>
    <t>Climate change is increasingly affecting the Red Sea-related terrains in Egypt and Saudi Arabia with a notable increase in heavy precipitation events. This highly vulnerable region to flashfloods and other climate change-driven hazards encompasses rough terrains with more than 11,000 basins/subbasins, which necessitates the accurate estimation of their hydrological and geomorphological parameters among which the hypsometric analysis. In this regard, The study examines the accuracy of the hypsometric analysis extracted using open source SRTM-1, ASTER-GDEM, Copernicus-GLO30, ALOS-DEM against high-resolution Topo-1 m and Topo-2.8 m DEMs for Talat Hamdh basin in Egypt and Wadi El-Salwely basin in Saudi Arabia, respectively. Copernicus-GLO30 shows the highest accuracy among all DEMs with the root-mean-squared–error (RMSE), mean elevation error, standard deviation, maximum and minimum absolute errors of 3.03, 2.0, 2.3, 11.7 and 0.1 m, respectively for Talat Hamdh basin. The findings also show that, regardless of the geology and geomorphic evolution of the basin, the hypsometric analysis is sensitive to the DEM type rather than the spatial resolution as Copernicus DEM yields similar basin numbers (a single basin) and area (1.366 and 141.9 km2) compared to the reference DEMs (1.408 and 154.4 km2) for Talat Hamdh and Wadi El-Salwely basins, respectively. Contrariwise, other open source DEMs yield multiple basins and thus significantly smaller basin area. Given the DEM-type dependence of the hypsometric analysis, the study recommends that large-scale hydrological and geomorphological analyses should consider using a high-resolution reference DEM on a local-scale basin to examine the accuracy of open source DEMs prior to conducting the analysis. © 2023 National Authority of Remote Sensing &amp; Space Science</t>
  </si>
  <si>
    <t>2-s2.0-85177802518"</t>
  </si>
  <si>
    <t>10.1038/s41598-023-44805-0</t>
  </si>
  <si>
    <t>https://www.scopus.com/inward/record.uri?eid=2-s2.0-85174238770&amp;doi=10.1038%2fs41598-023-44805-0&amp;partnerID=40&amp;md5=15fc6f0a517b899d731892d6e0b9e716</t>
  </si>
  <si>
    <t>The mechanical properties of soil in fault-fracture zone areas are diverse and complex. Deep excavation projects often encounter adverse geological conditions such as reverse faulting, which can lead to surface subsidence and collapses, posing significant challenges to excavation safety. Currently, there is limited research in the field of deep excavation engineering that analyzes the influence of reverse faulting on the deformation of retaining piles, and the existing research methods are not systematic enough. Therefore, this study aims to investigate the characteristics of how reverse faulting affects the deformation of retaining piles in deep excavation projects. Various research methods were employed, including numerical simulation, on-site monitoring, and orthogonal experiments, using a deep excavation project in Shenzhen as a case study. The results of the study indicate that reverse faulting exacerbates the deformation of retaining piles, causing the trend of increased deformation to shift upward. The upper part of the pile is significantly more affected than the lower part, and the overall deformation of the pile exhibits an approximate spoon-shaped curve distribution, with the maximum deformation occurring in the upper-middle section of the excavation. Under the influence of reverse faulting, the deformation of retaining piles is positively correlated with fault slip distance and fault dip angle, while it is negatively correlated with fault position. The growth rate of the maximum deformation of retaining piles, denoted as r(ΔZmax/Δ), increases approximately logarithmically with increasing fault slip distance and exponentially with increasing fault dip angle, but decreases approximately logarithmically with increasing distance from the fault to the excavation. An analysis of the sensitivity of fault slip distance, fault dip angle, and fault position to the maximum deformation of retaining piles was conducted. It was determined that the fault dip angle has the highest sensitivity, followed by fault slip distance, while fault position has the lowest sensitivity. Based on the fitting of 64 sets of orthogonal experimental data, a good linear relationship was established between the maximum deformation of retaining piles (Uhm) and the indicator η(θπT/180∘S), leading to the development of a predictive model for the maximum deformation of retaining piles under the influence of reverse faulting. These research findings provide valuable insights and references for similar engineering projects. © 2023, Springer Nature Limited.</t>
  </si>
  <si>
    <t>2-s2.0-85174238770"</t>
  </si>
  <si>
    <t>Journal of Mountain Science</t>
  </si>
  <si>
    <t>10.1007/s11629-023-8142-2</t>
  </si>
  <si>
    <t>https://www.scopus.com/inward/record.uri?eid=2-s2.0-85181236281&amp;doi=10.1007%2fs11629-023-8142-2&amp;partnerID=40&amp;md5=217748509ea1c6df460f1498a2d7ea18</t>
  </si>
  <si>
    <t>The Safaga Region (SR) is part of the Red Sea mountain range in Egypt. Catastrophic flash flooding is now an inescapable event, wreaking havoc and causing massive loss of life and property. The majority of the floodwater, however, has been wasted as runoff to the Red Sea, which, if used wisely, could meet a fraction of the water demands for a variety of applications in this area. The current work aims to use GIS techniques to integrate remote sensing data for evaluating, mitigating, and managing flash floods in SR. The data set comprised Tropical Rainfall Measuring Mission (TRMM) thematic rainfall data, 1:50,000 scale topographical map sheets, geological maps, the ASTER Digital Elevation Model (ASTER GDEM), Landsat 7 Enhanced Thematic Mapper” (ETM7+), and Landsat 8 Operational Land Imager. The flash flood risk model of SR is developed using ArcGIS-10.3 geoprocessing tools integrating all the causal factors thematic maps. The final flood risk model for the SR suggests that 57% of the total basins in the SR are at high risk of flooding. Almost 38% of all basins are at moderate flood risk. The remaining 5% of basins are less prone to flooding. Flood-prone zones were identified, suitable dam-building sites were located, and extremely probable areas for water recharge were recognized. On the basis of reliable scientific data, structural and non-structural mitigation strategies that might reduce the damage susceptibility, alleviate the sensitivity of the flash flood, and best utilize its water supply were recommended. © 2023, The Author(s).</t>
  </si>
  <si>
    <t>2-s2.0-85181236281"</t>
  </si>
  <si>
    <t>10.1016/j.jhydrol.2023.130402</t>
  </si>
  <si>
    <t>https://www.scopus.com/inward/record.uri?eid=2-s2.0-85176505727&amp;doi=10.1016%2fj.jhydrol.2023.130402&amp;partnerID=40&amp;md5=4850c1c19b405ee102a317acf664af78</t>
  </si>
  <si>
    <t>To enhance flood protection and risk reduction in China's coastal cities, it is crucial to comprehend the variability and underlying causes of compound floods along the coasts arising from storm surges and intense precipitation. The variability of compound floods from storm surge and extreme precipitation from 1958 to 2014 was analyzed using daily maximum sea level data and daily cumulative precipitation from 16 tide gauges along the coast of China. More than 70 % of the storm surges that caused damage from 1989 to 2014 at 14 out of 16 tide gauges were compound floods. We found a strong and seasonally varying dependence between storm surges and extreme precipitation along the coast of China. There were generally positive trends for the annual number of compound events at tide gauges south of 35°N. Compound flood variability was related to large-scale climate modes. The Arctic Oscillation in March was significantly negatively correlated with the compound events at tide gauges north of 35°N, while the opposite was true at tide gauges south of 35°N. The compound events were significantly correlated with the Pacific Decadal Oscillation (PDO) in June at 10 of the 16 tide gauges, and negatively correlated with the Niño1 + 2 index in February at 7 of the 16 tide gauges. Precipitation extremes determine the changes in the occurrence of compound floods, and by modifying the East Asian summer monsoon and typhoons, the large climate modes are supposed to impact the occurrence of compound floods. Our findings can enhance our understanding of compound floods and provide an important reference for flood risk management, particularly for low-lying coastal cities in China. © 2023 Elsevier B.V.</t>
  </si>
  <si>
    <t>2-s2.0-85176505727"</t>
  </si>
  <si>
    <t>10.1016/j.jag.2023.103544</t>
  </si>
  <si>
    <t>https://www.scopus.com/inward/record.uri?eid=2-s2.0-85175636397&amp;doi=10.1016%2fj.jag.2023.103544&amp;partnerID=40&amp;md5=c31858e8241fceabc51010f9ce4331e5</t>
  </si>
  <si>
    <t>Mapping large-scale coastal subsidence is significant in providing valuable support to decision-making stakeholders to recognize impacts of potential natural disasters. However, this task presents significant challenges due to its highly complex nature of the spatial–temporal variability. Recent advances in the observation capability of synthetic aperture radar (SAR) missions and the processing algorithms of interferometric SAR (InSAR) techniques have made it possible to efficiently map large-scale subsidence from space. This study utilized the persistent scatterer (PS) InSAR method to process four swathes of Sentinel-1 SAR images captured between 2016 and 2022 to map large-scale subsidence along the Texas coastline. The subsidence map, encompassing over 1.7 million PS points, was calibrated/validated with observations of 115 continuously operating global navigation satellite system (cGNSS) stations. Nineteen subsiding hotspots were identified and potential subsidence drivers were analyzed, including hydrocarbon extraction (HE), groundwater withdrawal (GW), and salt domes. The results suggest that HE activities were the primary driver of observed subsidence in the Coastal Bend and South Texas, as well as in the Southeast Texas regions. In the Houston-Galveston Area, subsidence appears to be influenced by a combination of GW, HE, and salt dome movements. Within 50 km of the Texas shorelines, subsidence rates were approximately −1.0 mm/yr within the coastal vicinity, while inland areas experience a gradually increasing trend. Specific coastal areas, such as Corpus Christi, Freeport, Seabrook, San Leon, and others, may face elevated flooding risks during high tide and storm events with the sea-level rise trend up to 24.0 mm/yr in relation to coastal subsiding land. © 2023 The Author(s)</t>
  </si>
  <si>
    <t>2-s2.0-85175636397"</t>
  </si>
  <si>
    <t>Remote Sensing in Earth Systems Sciences</t>
  </si>
  <si>
    <t>10.1007/s41976-023-00093-w</t>
  </si>
  <si>
    <t>https://www.scopus.com/inward/record.uri?eid=2-s2.0-85173870922&amp;doi=10.1007%2fs41976-023-00093-w&amp;partnerID=40&amp;md5=5ed6511ef57e5e80b1a1f80ad1bb3796</t>
  </si>
  <si>
    <t>The incessant reoccurrence of flooding disasters across Nigeria has mandated an urgent outlook on flood-risk management techniques. Ilorin and its environs have suffered immensely from annual flood reoccurrence. This study aims to assess flood risk within Ilorin and its environs and proffer adequate flood mitigation strategies that governments and policymakers can adopt to placate future flooding events within the state. Satellite imagery data were acquired and analyzed for flood-risk assessment of the area. Ten highly influential flood causative factors were synergized using Multi-Criteria Decision-Making techniques in this research; they are Land Surface Temperature, Elevation, Soil Moisture Index, and Distance to Stream, Drainage Density, Stream Power Index, Normalized Difference Vegetation Index, Land Use Land Cover, Slope, and Topographic Wetness Index. Findings showed that approximately 47.2% of the study area had low flood risk, while moderate and high flood-risk zones occupied 33.5% and 19.29%, respectively. Most parts of Ilorin and its environs are safe from flood disasters; only about one-quarter of the total area under investigation lies in the high flood-risk zones; these areas mostly fall within the shores of major streams, rivers, and dams within the state. A plot of previous flood cases in the state placed the affected areas in the high and moderate zones of flood risk, confirming the efficacy of geospatial techniques in flood-risk assessment. It is hoped that this study's findings and recommendations can be implemented to prevent future devastating flooding occurrences within the state.</t>
  </si>
  <si>
    <t>10.1016/j.jag.2023.103585</t>
  </si>
  <si>
    <t>https://www.scopus.com/inward/record.uri?eid=2-s2.0-85179035495&amp;doi=10.1016%2fj.jag.2023.103585&amp;partnerID=40&amp;md5=dce1978c342115e18153cdf548b27e67</t>
  </si>
  <si>
    <t>Hanoi has experienced rapid urbanisation over the last few decades, putting intense pressure on its natural resources, such as groundwater, but also on the local authorities to meet demand for infrastructure, housing and public amenities. Recent studies using Interferometric Synthetic Aperture Radar (InSAR) measured rates of subsidence in Hanoi documenting the evolution of the subsiding areas. These studies have primally attributed the high rates of subsidence to the increased extraction of groundwater. In this study we use Sentinel 1 InSAR data for six years between July 2015 and January 2021 to examine subsidence patterns across Hanoi and link them to the development of urban areas. We find that although groundwater extraction undoubtedly plays a significant role, there is a clear spatial and temporal link between new development and the areas of subsidence. The use of historical optical satellite imagery allows the evolution of the development to be linked to the InSAR ground motion time series. A correlation exists between subsidence and the reclamation of agricultural land, often flooded rice fields, for building via the dumping of aggregate to create dry, raised areas on which to build. We illustrate our findings with examples where newly developed areas are co-incident with areas of subsidence, we show the relationships between the stages of the ground loading and the rate of the resulting subsidence. Ultimately, we extract rates of motion for each year following ground loading. The collected rates of subsidence for over 40 locations of new development allows us to determine the rates of subsidence due to the consolidation process. This relationship enables an understanding of subsidence rate with time which has clear applications in the planning of future developments on thick superficial geological deposits. © 2023</t>
  </si>
  <si>
    <t>2-s2.0-85179035495"</t>
  </si>
  <si>
    <t>10.1016/j.ejrh.2023.101572</t>
  </si>
  <si>
    <t>https://www.scopus.com/inward/record.uri?eid=2-s2.0-85178017062&amp;doi=10.1016%2fj.ejrh.2023.101572&amp;partnerID=40&amp;md5=3a218788ac2d7160f2f023e585577618</t>
  </si>
  <si>
    <t>Study region: The study region is the coastal Tra Vinh province located in Mekong Delta, Vietnam Study focus: The study aims to clarify the ambiguities in implementing Vietnam's regulation on restrictions of groundwater abstraction in Mekong Delta. Three ambiguities were identified, namely, how should half of the saturated thickness of the unconfined aquifer be computed</t>
  </si>
  <si>
    <t>10.1038/s41598-023-46495-0</t>
  </si>
  <si>
    <t>https://www.scopus.com/inward/record.uri?eid=2-s2.0-85176138663&amp;doi=10.1038%2fs41598-023-46495-0&amp;partnerID=40&amp;md5=39e640848a958b26b53700092a72566a</t>
  </si>
  <si>
    <t>The development of probabilistic maps associated with lava flow inundation is essential to assess hazard in open vent volcanoes, especially those that have highly urbanized flanks. In this study we present the new lava flow hazard map linked to the summit eruptions of Mt. Etna, which has been developed using a probabilistic approach that integrates statistical analyses of the volcanological historical data with numerical simulations of lava flows. The statistical analysis of volcanological data (including vent location, duration and lava volumes) about all summit eruptions occurred since 1998 has allowed us both to estimate the spatiotemporal probability of future vent opening and to extract the effusion rate curves for lava flow modelling. Numerical simulations were run using the GPUFLOW model on a 2022 Digital Surface Model derived from optical satellite images. The probabilistic approach has been validated through a back-analysis by calculating the fit between the expected probabilities of inundation and the lava flows actually emplaced during the 2020-2022 period. The obtained map shows a very high probability of inundation of lava flows emitted at vents linked to the South East Crater, according to the observation of the eruptive dynamics in the last decades. © 2023, The Author(s).</t>
  </si>
  <si>
    <t>2-s2.0-85176138663"</t>
  </si>
  <si>
    <t>10.1007/s11629-023-7903-2</t>
  </si>
  <si>
    <t>https://www.scopus.com/inward/record.uri?eid=2-s2.0-85181251836&amp;doi=10.1007%2fs11629-023-7903-2&amp;partnerID=40&amp;md5=b00f3338f67b1a09fbb19cf943cdba18</t>
  </si>
  <si>
    <t>Impoundment and water level fluctuations in reservoirs can induce landslides, especially during initial filling and drawdown. Since the initial impoundment in April 2021, multiple landslides have occurred within the Baihetan (BHT) reservoir, which is located at the boundary of Sichuan and Yunnan province in southeast China. However, due to the complex terrain conditions of reservoir banks, traditional landslide research methods, such as surveys, deformation monitoring, and geotechnical experiments, cannot be effectively conducted in a timely manner. In recent years, the development of remote sensing technology has addressed the shortcomings of traditional landslide research methods that may not be promptly carried out. In particular, interferometric synthetic aperture radar (InSAR) technology, capable of measuring subtle deformations, and portable small unmanned aerial vehicles (UAVs) have played a significant role. This study integrates multiple remote sensing data sources, including InSAR results, optical remote sensing images, digital elevation model (DEM), and UAV imagery, to investigate and elucidate the deformation characteristics and mechanisms of the Xiaomidi (XMD) landslide developed on the left bank of Jinsha River, about 100 km from the BHT hydropower dam site. The spatial deformation distribution of the landslide before and after impoundment and the deformation time series during filling were examined. Monitoring water level variation and analysing the deformation process of the landslide were achieved by employing continuous synthetic aperture radar (SAR) intensity images and DEM. UAV photography was utilized to assist in the verification of ground deformation. The findings suggest that the weak strength of the reversed bedding strata structure and the steep slope eroded by the Jinsha River are inherent factors that contribute to the development of the landslide. The rise in the water level leads to softening of the rock mass at the slope toe, thereby directly facilitating the acceleration of landslide deformation. The toppling deformation of the lower rock mass initiates the formation of surface cracks and localized uneven subsidence in the overlying colluvial deposits. © 2023, Science Press, Institute of Mountain Hazards and Environment, CAS and Springer-Verlag GmbH Germany, part of Springer Nature.</t>
  </si>
  <si>
    <t>2-s2.0-85181251836"</t>
  </si>
  <si>
    <t>10.1016/j.nbsj.2023.100095</t>
  </si>
  <si>
    <t>https://www.scopus.com/inward/record.uri?eid=2-s2.0-85214688697&amp;doi=10.1016%2fj.nbsj.2023.100095&amp;partnerID=40&amp;md5=20859b474c348851ba87a2537c100cf0</t>
  </si>
  <si>
    <t>The islands of the Caribbean are particularly susceptible to the effects of climate change due to their low-lying coastal areas and location within the Atlantic basin's hurricane belt. The UK Overseas Territory of Anguilla is one such island. The predicted increase in the severity of hurricanes and sea-level rise is highly likely to increase the flood risk of already vulnerable island communities. In this study, flood risk and erosion models are used to prioritise opportunity areas for nature-based restoration and to identify those that would have the greatest impact on coastal and in-land flood risk reduction. Two study sites in Anguilla were selected to highlight this ecologically-based modelling approach; Cove Bay and Pond, a degraded sand dune system and brackish pond, and the East End Pond, an Important Bird and Biodiversity Area that floods following heavy rainfall events. At the coastal site, the restoration of mangroves, sand dunes and coral reefs have the potential to provide flood risk reduction up to 500 m inland and protect homes, infrastructure and tourism developments. For the in-land East End Pond, areas of high erosion risk were predominately identified as bare or disturbed land within 1 km of the pond's basin. Habitat restoration of these areas was identified as having the greatest impact on reducing flood risk. The creation of flood risk, opportunity and impact models are invaluable tools that can be used to inform, advocate and justify the implementation of nature-based solutions to a range of stakeholders from policy-makers to local communties.</t>
  </si>
  <si>
    <t>10.1016/j.accre.2023.11.008</t>
  </si>
  <si>
    <t>https://www.scopus.com/inward/record.uri?eid=2-s2.0-85180799097&amp;doi=10.1016%2fj.accre.2023.11.008&amp;partnerID=40&amp;md5=b07f8d05d34afc94a119cb3d21872739</t>
  </si>
  <si>
    <t>High temperature and high humidity pose notable threats to the health and survival of humans, and the impact of compound extreme events involving multiple meteorological elements is usually greater than the sum of the impacts of individual extreme events. However, there is limited research on the compound extreme meteorological events, defined based on the extreme of health risks rather than just the extreme of meteorological elements, necessitating further investigation into their characteristics and underlying driving factors. Using daily records of emergency ambulance dispatches from selected Chinese cities, together with daily average temperature and relative humidity data, this study identified and quantified warm‒wet compound extreme events with high health risks (HRWWs) that occurred in southern China during 1979–2022. Results revealed that HRWWs were most prevalent in the coastal region of southern China. The annual frequency of HRWWs across China underwent a marked shift in 2014, with the rapid increase in recent years primarily contributed by the increase in summer HRWWs and advance and extension of the period of occurrence of HRWWs in summer. Further analysis indicated that the changes in HRWWs in southern China during summer were primarily regulated by the El Niño‒Southern Oscillation (ENSO) of the preceding winter and the springtime Indian Ocean basin-wide (IOBW) mode. El Niño and Indian Ocean warming force a reverse Walker circulation in the tropical Indian Ocean‒western Pacific, strengthening the Philippine anticyclone (PAC) in summer. This weakens convection in the northwestern Pacific and enables the western Pacific subtropical high to extend westward over coastal areas of southern China. The resulting abnormal atmospheric circulation causes prevailing subsidence over southern China, which is unfavorable for precipitation but conducive to maintaining high surface temperatures. Despite reduced precipitation, water vapor flux is increased owing to strengthened southwesterlies associated with the PAC that enhance regional humidity. Consequently, as temperature and humidity levels rise, HRWWs occur more frequently in southern China, as evidenced since 2014. Further analysis suggested that the contribution of intensification of IOBW warming to the sudden increase in HRWW occurrence over the past decade has been greater than that of ENSO. © 2023 The Authors</t>
  </si>
  <si>
    <t>2-s2.0-85180799097"</t>
  </si>
  <si>
    <t>Mine Water and the Environment</t>
  </si>
  <si>
    <t>10.1007/s10230-023-00960-4</t>
  </si>
  <si>
    <t>https://www.scopus.com/inward/record.uri?eid=2-s2.0-85178963249&amp;doi=10.1007%2fs10230-023-00960-4&amp;partnerID=40&amp;md5=b638a0ddb6ebda5e9061856cafaba534</t>
  </si>
  <si>
    <t>Entering the coal phase-out era, major priorities of the Greek lignite mining industry are sustainable mine closure, land reclamation, and planning for long-term and sustainable land repurposing scenarios. A holistic and digitally enabled approach to water management could lead to effective strategic planning in the coal phase-out era. This research proposes an integrated approach to evaluate the hydrological profile of a large and complex open pit lignite mining area based on remote sensing data. This framework included processing of satellite images in different bands and an evaluated digital elevation model of an ≈170 km2 area within the Ptolemais Basin, northern Greece, that has extensive surface lignite mining. Several spectral (SMI, RIP, NDVI, NDWI, MNDWI) and topographic (SPI, TWI, LS) indices were investigated, providing details of spatial and temporal variations in the terrestrial water cycle. The analysis permitted the hydrological characteristics of the study area to be mapped with sufficient accuracy. Water bodies, low-flowing streams, water flow direction, vegetation cover, erodible areas, locations with water accumulation, and areas with high soil moisture were identified. A major additional outcome of this research was the construction of flood-susceptibility maps introducing several hydrological parameters in a fuzzy model. The results indicated several areas inside the mining area with high flood susceptibility. These results were subsequently validated through PPC flood event reports during heavy rainfalls and events reported in the National River Basin Management plans. Using high-resolution digital elevation models and remote sensing data processing to identify hazards, like flooding, could improve land use planning and water management strategies. © 2023, The Author(s) under exclusive licence to International Mine Water Association.</t>
  </si>
  <si>
    <t>2-s2.0-85178963249"</t>
  </si>
  <si>
    <t>10.5194/os-19-1753-2023</t>
  </si>
  <si>
    <t>https://www.scopus.com/inward/record.uri?eid=2-s2.0-85180606300&amp;doi=10.5194%2fos-19-1753-2023&amp;partnerID=40&amp;md5=803d3e43dbfe9466979cc5f0cffe34cb</t>
  </si>
  <si>
    <t>Extreme sea level events, such as storm surges, pose a threat to coastlines around the globe. Many tide gauges have been measuring the sea level and recording these extreme events for decades, some for over a century. The data from these gauges often serve as the basis for evaluating the extreme sea level statistics, which are used to extrapolate sea levels that serve as design values for coastal protection. Hydrodynamic models often have difficulty in correctly reproducing extreme sea levels and, consequently, extreme sea level statistics and trends. In this study, we generate a 13-member hindcast ensemble for the non-tidal Baltic Sea from 1979 to 2018 using the coastal ocean model GETM (General Estuarine Transport Model). In order to cope with mean biases in maximum water levels in the simulations, we include both simulations with and those without wind-speed adjustments in the ensemble. We evaluate the uncertainties in the extreme value statistics and recent trends of annual maximum sea levels. Although the ensemble mean shows good agreement with observations regarding return levels and trends, we still find large variability and uncertainty within the ensemble (95 % confidence levels up to 60 cm for the 30-year return level). We argue that biases and uncertainties in the atmospheric reanalyses, e.g. variability in the representation of storms, translate directly into uncertainty within the ensemble. The translation of the variability of the 99th percentile wind speeds into the sea level elevation is in the order of the variability of the ensemble spread of the modelled maximum sea levels. Our results emphasise that 13 members are insufficient and that regionally large ensembles should be created to minimise uncertainties. This should improve the ability of the models to correctly reproduce the underlying extreme value statistics and thus provide robust estimates of climate change-induced changes in the future. © Author(s) 2023. This work is distributed under the Creative Commons Attribution 4.0 License.</t>
  </si>
  <si>
    <t>2-s2.0-85180606300"</t>
  </si>
  <si>
    <t>10.26565/2410-7360-2023-59-23</t>
  </si>
  <si>
    <t>https://www.scopus.com/inward/record.uri?eid=2-s2.0-85213729721&amp;doi=10.26565%2f2410-7360-2023-59-23&amp;partnerID=40&amp;md5=52853f5490a51383524143c9a17326fc</t>
  </si>
  <si>
    <t>Problem Statement. Wetlands perform many vital functions, in particular: accumulation and storage of surface waters,  supporting services (soil formation, nutrient cycling, photosynthesis, biodiversity),  cultural services (cultural and entertainment, spiritual, religious and other intangible benefits). In Ukraine, there are 2417 wetlands with a total area of about 255 million hectares. Among them are 50 wetlands of international importance with a total area of about 734 thousand hectares, a significant proportion of which falls on the territory of the North-Western Black Sea region coastal zone. The aim of this study is to determine the state, vulnerabilities and climate change impact on the ecosystem services of the «Chilia Branch» wetlands. Research Methodology. To determine the periods of drought, the study used the Standardised Precipitation Evapotranspiration Index (SPEI) from April to October 1980-2023. The SPEI index was calculated at a point located in the southern part of the Danube Biosphere Reserve. The assessment of the state of the vegetation cover was carried out on the basis of the analysis of Normalized Difference Vegetation Index (NDVI) the period 2017-2023 at two sites (Ermakov Island and Limba Island). To analyze dynamics land cover in the wetland area, were used Sentinel-2 land use satellite imagery for the period 2017-2021. Results. Analysis of the SPEI index showed that during the study period there was a positive statistically significant linear trend towards an increase in dry conditions (0.26/ 10 years). In the period 1980-2023 during the growing season on the territory of the ""Chilia Branch"" wetland, there is a change in weather conditions towards arid, which poses a certain threat. At the same time, it should be noted that the unique hydrological complex of the Danube Delta has a mitigating effect of the atmospheric drought impact on the vegetation. Also, it should be noted that the threat to coastal wetlands is the anthropogenic transformation of coastal natural systems (urbanization processes, expansion of land for agricultural needs, pollution of soil and surface waters), which can lead to loss of habitats of living organisms and deterioration of ecosystem services.  © Slizhe Mariia, Safranov Tamerlan, Berlinsky Nikolai, El Hadri Youssef, 2023.</t>
  </si>
  <si>
    <t xml:space="preserve"> Scopus</t>
  </si>
  <si>
    <t xml:space="preserve"> 2-s2.0-85213729721"</t>
  </si>
  <si>
    <t>10.1016/j.scitotenv.2023.167013</t>
  </si>
  <si>
    <t>https://www.scopus.com/inward/record.uri?eid=2-s2.0-85171341324&amp;doi=10.1016%2fj.scitotenv.2023.167013&amp;partnerID=40&amp;md5=46371cae2c896ca627d15b405757fe8f</t>
  </si>
  <si>
    <t>Due to extreme conditions, which are influenced by the location of landfills, the release of pollutants has been recently proven to be more severe in estuary landfills, as these landfill locations are affected by both sea-water and river-water interactions. To identify geographic and environmental features linked to the extreme conditions of certain landfills, a high-dimensional clustering method combining Uniform Manifold Approximation and Projection (UMAP) with the Louvain algorithm is proposed. A case study was conducted using 17 noteworthy features that transform to Landfill Suitability Index (LSI) applied to hundreds of landfill sites in Taiwan. This study clustered landfills into 10 clusters and identified several clusters with significant extreme locations, including estuary landfills (7.9 %), fault-water-body landfills (8.2 %), and densely-populated-water-body landfills (17.6 %). Furthermore, a critical discovery of endangered Platalea minor habitats near these estuary landfills was made. Additionally, this work identified “healthy” landfills (11.2 %) that are minimally affected by the considered features. These findings demonstrate the promising potential of our framework for managers to systematically improve landfill management strategies. Moreover, our framework was tested by incorporating rainfall and flooding features in relation to climate change scenarios. To address the demand for land release from occupied landfills in Taiwan, there is a pressing need to expedite the transition to a circular economy, and our framework can provide further assistance in this regard. This approach is promising, as it provides a new method to evaluate the environmental risks linked to landfills and also identifies potential opportunities related to landfill mining. Finally, this work was extended to include a case study in England, which has 19,801 landfills and a dataset containing 15 relevant landfill features</t>
  </si>
  <si>
    <t>10.5194/nhess-23-3895-2023</t>
  </si>
  <si>
    <t>https://www.scopus.com/inward/record.uri?eid=2-s2.0-85183031923&amp;doi=10.5194%2fnhess-23-3895-2023&amp;partnerID=40&amp;md5=2957adb781404b473a0cc2e2e356bed4</t>
  </si>
  <si>
    <t>Total water levels (TWLs), including the contribution of wind waves, associated with tropical cyclones (TCs) are among the most damaging hazards faced by coastal communities. TC-induced economic losses are expected to increase because of stronger TC intensity, sea level rise, and increased populations along the coasts. TC intensity, translation speed, and distance to the coast affect the magnitude and duration of increased TWLs and wind waves. Under climate change, the proportion of high-intensity TCs is projected to increase globally, whereas the variation pattern of TC translation speed also depends on the ocean basin and latitude. There is an urgent need to improve our understanding of the linkages between TC characteristics and TWL components. In the past few years, hurricanes Matthew (2016), Dorian (2019), and Isaias (2020) propagated over the South Atlantic Bight (SAB) with similar paths but resulted in different coastal impacts. We combined in situ observations and numerical simulations with the Coupled Ocean-Atmosphere-Wave-Sediment Transport (COAWST) modeling system to analyze the extreme TWLs under the three TCs. Model verification showed that the TWL components were well reproduced by the present model setup. Our results showed that the peak storm surge and the peak wave runup depended mainly on the TC intensity, the distance to the TC eye, and the TC heading direction. A decrease in TC translation speed primarily led to longer exceedance durations of TWLs, which may result in more severe economic losses. Wave-dependent water level components (i.e., wave setup and wave swash) were found to dominate the peak TWL within the near-TC field. Our results also showed that in specific conditions, the prestorm wave runup associated with the TC-induced swell may lead to TWLs higher than at the peak of the storm. This was the case along the SAB during Hurricane Isaias. Isaias's fast TC translation speed and the fact that its swell was not blocked by any islands were the main factors contributing to these peak TWLs ahead of the storm peak.  © 2023 Chu-En Hsu et al.</t>
  </si>
  <si>
    <t>2-s2.0-85183031923"</t>
  </si>
  <si>
    <t>Water Resources</t>
  </si>
  <si>
    <t>10.1134/S0097807823602224</t>
  </si>
  <si>
    <t>https://www.scopus.com/inward/record.uri?eid=2-s2.0-85186860977&amp;doi=10.1134%2fS0097807823602224&amp;partnerID=40&amp;md5=18d60297d27885d9066410335fee0f72</t>
  </si>
  <si>
    <t>Abstract: Field hydrometric studies at the estuaries of the White Sea basin yielded data on some hydrodynamic features of reverse tidal currents. Among the mouth areas of tidal rivers studied in 2015–2022, the most interesting results were obtained at the mesotidal Kyanda estuary, flowing into Onega Bay, and at the macrotidal Syomzha estuary, flowing into Mezen estuary. The essence of the method used in the field studies is synchronic measurements of water flow by acoustic Doppler profilers and water levels by autonomous barometric recorders in two cross-sections, located at different distances from the river mouth, during an entire semidiurnal tidal cycle. The results of these measurements were used to evaluate the terms of Saint-Venant equation of motion and the roughness coefficients. It was found that in the tidal rivers, the flow resistance varies considerably during a tidal cycle. In periods of quasi-steady water flow in both directions during flood and ebb, the values of the Darcy–Weisbach friction factor are 0.04–0.07, as is typical for rivers with similar morphological channel pattern and characteristics. However, in several cases, in periods close to slack water, the friction factor took negative values. A possible explanation of this phenomenon is a negative turbulent viscosity, which manifests itself in some phases of the tidal cycle, when the energy of eddy formations can be transferred to the translational motion of the water mass. © Pleiades Publishing, Ltd. 2023. ISSN 0097-8078, Water Resources, 2023, Vol. 50, Suppl. 2, pp. S154–S163. Pleiades Publishing, Ltd., 2023.</t>
  </si>
  <si>
    <t>2-s2.0-85186860977"</t>
  </si>
  <si>
    <t>10.3390/land12122093</t>
  </si>
  <si>
    <t>https://www.scopus.com/inward/record.uri?eid=2-s2.0-85180440963&amp;doi=10.3390%2fland12122093&amp;partnerID=40&amp;md5=239d247eda31e8032ce3e983807dc445</t>
  </si>
  <si>
    <t>The imbalance between the supply and demand of ecological products between society and ecosystems is an important cause of a series of water ecological problems, and water ecological restoration projects aim to improve the above supply–demand relationship by means of inputs from the social side. For this reason, this paper takes the Yellow River Delta region as an example to launch a study on the assessment of the effectiveness of water ecological restoration projects from the perspective of the supply and demand of ecological products. Specifically, the level of the supply and demand of ecological products, as well as the relationship between the supply and the demand in the studied area, were measured using the equivalent factor approach and the water footprint approach, and the effects of the Yellow River Delta hydro-ecological restoration project were assessed by integrating the following four metrics: land use, supply of ecological products (ecosystem services), demand for ecological products, and the relationship between the supply of and demand for ecological products. The results of this study show that although the hydro-ecological restoration project continues to replenish water resources in the Yellow River Delta region, and promotes the level of ecological product supply in the study area through the restoration of wetlands and water, the growing and excessive demand for ecological products in the study area still puts the local ecosystems at risk of degradation. In the future, the Yellow River Delta region should continue to control the scale of land for production and living on the supply side of ecological products and increase its investment in water ecological restoration, while establishing a highly efficient mode of ecological product development and utilization and a reasonable mechanism for the payment of ecological products on the demand side. In addition, the Yellow River Delta region needs to pay attention to the impacts of rising sea levels and other climatic problems on ecological restoration. © 2023 by the authors.</t>
  </si>
  <si>
    <t>2-s2.0-85180440963"</t>
  </si>
  <si>
    <t>Oceanology</t>
  </si>
  <si>
    <t>10.1134/S000143702306005X</t>
  </si>
  <si>
    <t>https://www.scopus.com/inward/record.uri?eid=2-s2.0-85181712236&amp;doi=10.1134%2fS000143702306005X&amp;partnerID=40&amp;md5=710bbb58c6e00db5a77cd1e780abf08e</t>
  </si>
  <si>
    <t>Abstract: Changes in the coastal zone under the influence of currents of different nature and wind waves are being investigated. A sandy beach located in the water area of the “Park of the 300th Anniversary of St. Petersburg”, the Neva Bay of the Gulf of Finland of the Baltic Sea, is considered as an object. The beach is actively affected by wind waves and eventually washes away with the intensity of the retreat of the shore of about 4 m per year. For numerical modeling, a set of models is used: SWAN–wind-wave model and COASTOX-UN–a two-dimensional model of currents, sediment transport and bottom reformation. It was developed a model of the Neva Bay and the mouth of the Neva River from the Flood Prevention Facility Complex in the west to the river Neva near the Liteiny Bridge in the east. Based on the reanalysis of wind data, 36 strong storms were selected for a five-year period from 2014 to 2018, for the sequence of which numerical modeling of waves, currents and lithodynamic processes was carried out. It was obtained balances of alluvial and washouts after a ten-years simulated period for beach sectors. To verify the results, satellite images of the modeling area are used, it was found that the model adequately describes the main observed trends in the development of the beach. © 2023, Pleiades Publishing, Inc.</t>
  </si>
  <si>
    <t>2-s2.0-85181712236"</t>
  </si>
  <si>
    <t>Artificial Satellites</t>
  </si>
  <si>
    <t>10.2478/arsa-2023-0011</t>
  </si>
  <si>
    <t>https://www.scopus.com/inward/record.uri?eid=2-s2.0-85183012353&amp;doi=10.2478%2farsa-2023-0011&amp;partnerID=40&amp;md5=933a0a99c7c0a91610e3535ed0d31ec0</t>
  </si>
  <si>
    <t>This paper presents an R-based approach to mapping dynamics of the flooded areas in the Inner Niger Delta (IND), Mali, using time series analysis of Landsat 8-9 satellite images. As the largest inland wetland in West Africa, the habitats of IND offers high potential for biodiversity of the flood-dependent eco systems. IND is one of the most productive areas in West Africa. Mapping flooded areas based on satellite images enables to provide strategies for land management and rice planting and modelling vegetation types of IND. Our approach is based on using libraries of R programming language for processing six Landsat images, and each image was taken on November from 2013 to 2022. By capturing spatial and temporal structures of the satellite images on 2013, 2015, 2018, 2020, 2021 and 2022, the remote sensing data are combined to yield estimates of landscape dynamics that is temporally coherent, while helping to analyse fluctuations of spatial extent in fluvial wetlands caused by the hydrological processes of seasonal flooding. Further, by allowing packages of R to support image processing, an approach to mapping vegetation by NDVI, SAVI and EVI indices and visualising changes in distribution of different land cover classes over time is realised. In this context, processing Earth observation data by advanced scripting tools of R language provides new insights into complex interlace of climate-hydrological processes and vegetation responses. Our study contributes to the sustainable management of natural resources and improving knowledge on the functioning of IND ecosystems in Mali, West Africa. © 2023 Polina Lemenkova et al., published by Sciendo.</t>
  </si>
  <si>
    <t>2-s2.0-85183012353"</t>
  </si>
  <si>
    <t>Environmental Challenges</t>
  </si>
  <si>
    <t>10.1016/j.envc.2023.100799</t>
  </si>
  <si>
    <t>https://www.scopus.com/inward/record.uri?eid=2-s2.0-85178326709&amp;doi=10.1016%2fj.envc.2023.100799&amp;partnerID=40&amp;md5=260f2e5084797ee93cc87f493eeeb149</t>
  </si>
  <si>
    <t>Climate change has become a global concern with substantial impacts in all regions, especially coastal communities. In response, coastal communities take different adaptation strategies to minimise the negative impacts of climate change. Understanding climate change from the perspective of local communities can provide valuable insights into policy and strategy planning for the unprecedented consequences of climate change. Data was gathered in three sub-locations through a questionnaire survey (365 households), four (4) focus group discussions (FGDs) and eleven (11) key informant interviews (KIIs). We also explored meteorological data to understand better the local significance of climate variability and climate change. Descriptive statistics and logistic regression were used to analyse the data. The results show that local communities perceived changes in climate variables, consistent with meteorological data, pointing to a significant decline in rainfall and increased temperatures since the 1980s. The communities also highlighted climate-related events such as floods, droughts, saltwater intrusion, and coastal erosion, expressing concern that these were rising. The perceived changes in the climatic variables have led to a decline in crop yields, fish catch, and water quantity, an increase in drought duration and intensity, and plant and animal diseases. Targeted efforts are required, given the likely magnitude of future climate change. © 2023 The Author(s)</t>
  </si>
  <si>
    <t>2-s2.0-85178326709"</t>
  </si>
  <si>
    <t>Climate Services</t>
  </si>
  <si>
    <t>10.1016/j.cliser.2023.100424</t>
  </si>
  <si>
    <t>https://www.scopus.com/inward/record.uri?eid=2-s2.0-85177783958&amp;doi=10.1016%2fj.cliser.2023.100424&amp;partnerID=40&amp;md5=a8e71887de63fa070670c81174f1fd0b</t>
  </si>
  <si>
    <t>Damage costs from coastal flooding are high and are expected to increase further due to rising sea levels. The associated risks suggest a need for developing methodologies and models to assess damage costs in coastal areas as a basis for decision-making on climate change adaptation. The accuracy of damage cost estimates is critical in cost-effective decision-making on adaptation measures, reflecting climate hazards, flood levels, and associated damage costs. However, detailed models require extended work compared to simpler models due to demands on input data, including land use, damage costs, and adaptation options and costs. In the paper, varying levels of resolution, damage costs and flood models are assessed for coastal flooding risks for two Danish urban areas. Two damage cost models are used: a detailed, context-specific model using local high-resolution land use- and flood damage cost data and a less detailed model with lower-resolution land use data and damage costs based on generic European cost curves. Two flood models are used for the assessment using the detailed damage cost model based on a dynamic and a static flood approach, respectively. For the coarser model, only a static flood model is used. Significant differences are identified between the modelling approaches: The flood area varies up to a factor of ten for static floods due to the digital elevation map (DEM) model alone and a factor of 17 when changing both the DEM and using a dynamic flood. Corresponding factors for resulting damage costs are four and five, respectively. © 2023 The Authors</t>
  </si>
  <si>
    <t>2-s2.0-85177783958"</t>
  </si>
  <si>
    <t>10.1038/s41598-023-48807-w</t>
  </si>
  <si>
    <t>https://www.scopus.com/inward/record.uri?eid=2-s2.0-85179332176&amp;doi=10.1038%2fs41598-023-48807-w&amp;partnerID=40&amp;md5=443a8ba3a5a8422ae8209af97b606ea3</t>
  </si>
  <si>
    <t>As sea levels are rising, the number of chronic flooding events at high tide is increasing across the world coastlines. Yet, many events reported so far either lack observational evidence of flooding, or relate to coastal areas where ground subsidence or oceanic processes often enhance climate change-induced sea-level rise (SLR). Here we present observational and modelling evidence of high-tide flooding events that are unlikely to occur without SLR in French Guiana, where sea-level rise rates are close to the global average and where there is no significant ground subsidence. In particular, on 16 October 2020, a well-documented flooding event happened in Cayenne under calm weather conditions. Our probabilistic assessment of daily maximum water levels superimposed on SLR shows that this event can be modelled and is a consequence of SLR. As sea levels will continue to rise, we show that the number, severity and extent of such high-tide flooding events will increase across several urban areas of French Guiana, with an evolution depending on the topography. As concerns are growing regarding the economic impacts and adaptation challenges of high-tide chronic events across the world, our study provides new evidence that this early impact of SLR is emerging now. © 2023, The Author(s).</t>
  </si>
  <si>
    <t>2-s2.0-85179332176"</t>
  </si>
  <si>
    <t>10.1038/s41598-023-44642-1</t>
  </si>
  <si>
    <t>https://www.scopus.com/inward/record.uri?eid=2-s2.0-85174147516&amp;doi=10.1038%2fs41598-023-44642-1&amp;partnerID=40&amp;md5=e7ec88075786c053edc7d3ed3b0eef77</t>
  </si>
  <si>
    <t>Land subsidence, a complex geophysical phenomenon, necessitates comprehensive time-varying data to understand regional subsidence patterns over time. This article focuses on the crucial task of reconstructing missing time-varying land subsidence data in the Choshui Delta, Taiwan. We propose a novel algorithm that leverages a multi-factorial perspective to accurately reconstruct the missing time-varying land subsidence data. By considering eight influential factors, our method seeks to capture the intricate interplay among these variables in the land subsidence process. Utilizing Principal Component Analysis (PCA), we ascertain the significance of these influencing factors and their principal components in relation to land subsidence. To reconstruct the absent time-dependent land subsidence data using PCA-derived principal components, we employ the backpropagation neural network. We illustrate the approach using data from three multi-layer compaction monitoring wells from 2008 to 2021 in a highly subsiding region within the study area. The proposed model is validated, and the resulting network is used to reconstruct the missing time-varying subsidence data. The accuracy of the reconstructed data is evaluated using metrics such as root mean square error and coefficient of determination. The results demonstrate the high accuracy of the proposed neural network model, which obviates the need for a sophisticated hydrogeological numerical model involving corresponding soil compaction parameters. © 2023, Springer Nature Limited.</t>
  </si>
  <si>
    <t>2-s2.0-85174147516"</t>
  </si>
  <si>
    <t>10.3390/rs15235592</t>
  </si>
  <si>
    <t>https://www.scopus.com/inward/record.uri?eid=2-s2.0-85179122991&amp;doi=10.3390%2frs15235592&amp;partnerID=40&amp;md5=734b5e28aec01c81d7463f5eeba515bd</t>
  </si>
  <si>
    <t>This study evaluates the susceptibility of the coastal regions on the Thrace Peninsula to sea-level rise (SLR) and the corresponding vulnerability to climate change. To achieve this, a high-resolution digital elevation model with a 5 m granularity was used to apply the Coastal Vulnerability Index, adjusted for region-specific coastal sensitivity factors. Various global mean sea-level rise scenarios were examined for the near-term (2020–2050), mid-term (2050–2100), and long-term (2100–2300) to assess the impact of SLR. The examination of the immediate consequences of SLR on coastal areas included the analysis of land cover characteristics in the near-term. Results indicate that the Thrace Peninsula is highly susceptible to natural and socio-economic hazards caused by SLR. The concentration of population and socio-economic activities in coastal regions is a primary contributing factor to this vulnerability. In addition, hydrodynamic models are used to enhance understanding of the effects of SLR. The study reveals limited preparedness for planned adaptations to SLR in the region. The data highlight the crucial necessity for policymakers, researchers, and stakeholders to collaborate in executing strategic interventions and proactive initiatives. Upholding the ecological, economic, and societal welfare of the Thrace Peninsula, as well as comparable areas, necessitates addressing both the vulnerability and resilience of immediate coastal regions. © 2023 by the authors.</t>
  </si>
  <si>
    <t>2-s2.0-85179122991"</t>
  </si>
  <si>
    <t>10.3390/hydrology10120238</t>
  </si>
  <si>
    <t>https://www.scopus.com/inward/record.uri?eid=2-s2.0-85180643462&amp;doi=10.3390%2fhydrology10120238&amp;partnerID=40&amp;md5=193e7bfbac66769dcbda33f37b970b7f</t>
  </si>
  <si>
    <t>Polders are low-lying areas located in deltas, surrounded by embankments to prevent flooding (river or tidal floods). They rely on pumping systems to remove water from the inner rivers (artificial rivers inside the polder area) to the outer rivers, especially during storms. Urbanized polders are especially vulnerable to pluvial flooding if the drainage, storage, and pumping capacity of the polder is inadequate. In this paper, a Monte Carlo (MC) framework is proposed to evaluate the benefits of rainfall threshold-based flood warnings when mitigating pluvial flooding in an urban flood-prone polder area based on 24 h forecasts. The framework computes metrics that give the potential waterlogging duration, maximum inundated area, and pump operation costs by considering the full range of potential storms. The benefits of flood warnings are evaluated by comparing the values of these metrics across different scenarios: the no-warning, perfect, deterministic, and probabilistic forecast scenarios. Probabilistic forecasts are represented using the concept of “predictive uncertainty” (PU). A polder area located in Nanjing was chosen for the case study. The results show a trade-off between the metrics that represent the waterlogging and the pumping costs, and that probabilistic forecasts of rainfall can considerably enhance these metrics. The results can be used to design a rainfall threshold-based flood early warning system (FEWS) for a polder area and/or evaluate its benefits. © 2023 by the authors.</t>
  </si>
  <si>
    <t>2-s2.0-85180643462"</t>
  </si>
  <si>
    <t>10.1016/j.scitotenv.2023.166317</t>
  </si>
  <si>
    <t>https://www.scopus.com/inward/record.uri?eid=2-s2.0-85168551413&amp;doi=10.1016%2fj.scitotenv.2023.166317&amp;partnerID=40&amp;md5=317145d86bdf3ebfe8c4854e448851ed</t>
  </si>
  <si>
    <t>The Mexican Atlantic coast is vulnerable to sea level rise due to its low, sandy shorelines with extensive adjacent wetlands. The increasing trends at the regional level are similar to global trends (~3 ± 0.04 mm/year): between 1.8 mm/year in Alvarado, Veracruz, to 3.6 mm/year in Isla Mujeres, Quintana Roo. A synthetic model was applied to Mexican Atlantic coast under two sea level rise scenarios for the year 2100. Our objectives were: 1) to identify potentially floodable zones in the face of a sea level rise of one and two meters on the Mexican Atlantic coast with a synthetic model using SRTM and LiDAR topographic data</t>
  </si>
  <si>
    <t>10.13189/eer.2023.110609</t>
  </si>
  <si>
    <t>https://www.scopus.com/inward/record.uri?eid=2-s2.0-85181708721&amp;doi=10.13189%2feer.2023.110609&amp;partnerID=40&amp;md5=4a3c25b4b5a6d4412b50940c26113e75</t>
  </si>
  <si>
    <t>Seawater intrusion (SI) into deep freshwater aquifers is a serious problem in coastal areas around the globe that has been exacerbated in recent decades by climate change and rising sea levels. Pumping and seawater upcoming can intensify the mixing of groundwater and seawater within the aquifer to the point where fresh groundwater becomes unfit for drinking. Here, based on the study of subsurface and overland runoff (seepage, springs, and streams) conducted in the pristine Utrish Nature Reserve on the Russian Black Sea coast, several geochemical characteristics of the runoff indicating the occurrence of SI have been identified for the first time. We have termed the diffusion of highly diluted seawater from the seawater-freshwater mixing zone into deep aquifers and subsequently into subsurface and overland runoff the secondary contamination (SC) of subsurface and overland runoff. The identified characteristics are: positive correlation of excess trace elements with Cl and SO4 anions predominant in seawater, consistently higher Br content (marine factor) in spring water compared to stream water, and, conversely, lower concentrations of Al, Cr, Zn, Cs, and all rare earth elements (REEs) (terrestrial factor). Furthermore, overland and subsurface runoff exhibited anomalous REE fractionation relative to rocks, channel sediments, and soils. The occurrence of europium (Eu/Eu* = 3.96 in spring water and Eu/Eu* = 1.44 in stream water) was a positive anomaly attributed to changes in redox potential at the geochemical barrier at the seawater-freshwater interface. The impact of SI on stream water and springs fed by perched aquifers was linked to the topography of the area characterized by low hypsometry. The geochemical indicators described in this study will help establish the occurrence and magnitude of SI in groundwater aquifers in coastal areas without resorting to suboptimal sampling methods, such as drilling, which can damage aquifers. Furthermore, these indicators can serve as reference benchmarks for monitoring SI intensity in heavily used coastal aquifers to control pumping rates and reduce contamination by seawater due to upcoming and mixing for enhanced coastal water security. © 2023 by authors, all rights reserved.</t>
  </si>
  <si>
    <t>2-s2.0-85181708721"</t>
  </si>
  <si>
    <t>10.1016/j.ocemod.2023.102283</t>
  </si>
  <si>
    <t>https://www.scopus.com/inward/record.uri?eid=2-s2.0-85175633089&amp;doi=10.1016%2fj.ocemod.2023.102283&amp;partnerID=40&amp;md5=60c1d7d07e9192b7f8b3dd9eda1fca2a</t>
  </si>
  <si>
    <t>The northern East China Sea (NECS) is a semienclosed basin that is frequently attacked by tropical cyclones (TCs), and the accompanied storm surges are huge threats to coastal regions. In this study, numerical simulations of storm surges in the NECS are performed in the impacts of wave-induced surface drag (wave drag) and wave radiation stress (wave setup). The wave drag is estimated using a wave-steepness-dependent roughness parameterization. Comparisons with the observations reveal that the numerical simulations can be significantly improved by considering enhanced wave drag. The wave drag accounts for 15–22 % increase in the peak storm surge in the southern coastal regions of the Bohai Sea, which is much more significant than the wave setup (accounting for less than 10 % increase). Analysis with the wind and wave conditions shows that the significant impact of wave drag is attributed to the shoaling of young fetch-limited waves, which is accumulative toward the shoreline. The impact of different roughness parameterizations, such as wave-age-dependent scaling, is discussed. The results highlight the necessity of considering the influence of wave-enhanced surface drag on surge level in fetch-limited shoaling waters. © 2023</t>
  </si>
  <si>
    <t>2-s2.0-85175633089"</t>
  </si>
  <si>
    <t>10.1016/j.ejrh.2023.101580</t>
  </si>
  <si>
    <t>https://www.scopus.com/inward/record.uri?eid=2-s2.0-85178380646&amp;doi=10.1016%2fj.ejrh.2023.101580&amp;partnerID=40&amp;md5=9ee5654bfa773fe82b185c376d65e7e6</t>
  </si>
  <si>
    <t>Study region: Two southern Quebec (Canada) watersheds were used to validate the proposed method for delineating inundated areas of small watersheds: the 554-km2 St.Charles and the 133 km2 À la Raquette watersheds. Observed data from six-gauge stations were used to validate the Synthetic Rating Curves (SRC) developed in the study. Study focus: This research focuses on the application of the Height Above the Nearest Drainage (HAND) method to derive SRCs and support floodplain mapping in small watersheds. Accurate floodplain delineation is crucial of flood management, particularly in datascarce regions. This study presents a novel approach using (HAND) approach to precisely identify flood-prone areas. It involves generating (SRCs) connecting discharge and terrain derived hydraulic characteristics, integrated into PHYSITEL</t>
  </si>
  <si>
    <t>10.1016/j.envsoft.2023.105842</t>
  </si>
  <si>
    <t>https://www.scopus.com/inward/record.uri?eid=2-s2.0-85174066947&amp;doi=10.1016%2fj.envsoft.2023.105842&amp;partnerID=40&amp;md5=1d0f46aac62ed1cb7d76300ff14b3008</t>
  </si>
  <si>
    <t>Digital Elevation Models (DEMs) are essential for two-dimensional flood modelling. Remote sensing provides ever-increasing coverage and quality of elevation and other data for DEM generation, but we lack standalone tools for integrating this data. DEMs must be hydrologically conditioned if they are to produce accurate flood models. Hydrological conditioning is the process of adjusting a DEM to better represent flow-paths through the removal of spurious-obstructions. We present GeoFabrics, an open-source Python package, that provides a flexible, multistage, and automated framework for assimilating elevation, natural-feature, and infrastructure data into hydrologically conditioned DEMs. Unlike existing tools, it is fully automated requiring only a single instruction-file to produce a hydrological conditioning DEM. We demonstrate GeoFabrics’ utility at two sites by showing how it can assimilate a wide-range of data into hydrologically conditioned DEMs. We then highlight the impact that different stages of the hydrological conditioning process can have on a generic flood event. © 2023 The Authors</t>
  </si>
  <si>
    <t>2-s2.0-85174066947"</t>
  </si>
  <si>
    <t>10.1016/j.jag.2023.103580</t>
  </si>
  <si>
    <t>https://www.scopus.com/inward/record.uri?eid=2-s2.0-85177828512&amp;doi=10.1016%2fj.jag.2023.103580&amp;partnerID=40&amp;md5=aa5c217344404098bae59790c04f4543</t>
  </si>
  <si>
    <t>Monitoring vertical land motion (VLM) along coastlines, which influences the dynamics of sea level changes in relation to the land, is a challenging task due to its inherent high spatiotemporal variability and limited availability of observations. This study aimed to investigate the rates, patterns, and drivers of land subsidence near the coastal town of San Leon, TX, United States, since the 1990s, utilizing a range of space and terrestrial geodetic techniques. These techniques included interferometric synthetic aperture radar (InSAR), global navigation satellite systems (GNSS), tide gauge (TG), and satellite radar altimetry (SRA). The small baseline subset (SBAS) InSAR method was adopted to process 254 images from three synthetic aperture radar (SAR) sensors, i.e., ERS-2 between 1995 and 1999, ALOS-1 PALSAR between 2006 and 2011, and Sentinel-1 between 2016 and 2020. The results from InSAR subsidence maps were verified by comparing with high-accuracy vertical positioning observations at ten continuously operating GNSS (cGNSS) stations. Within the study area, a special attention was given to the Eagle Point TG station where sea level has been significantly rising relative to the sinking land. Long-term time series of land subsidence at Eagle Point obtained from sea-level difference between TG and SRA observations were confirmed and compared against InSAR and the cGNSS station observations recorded in close proximity. Gaussian Process regression (GPR) was then employed to model the VLM processes at Eagle Point using: (1) the combined results of InSAR and sea-level difference (i.e., GPR 1), and (2) the InSAR results alone (i.e., GPR 2). A 0.9 mm/yr divergence was found between GPR 1 and GPR 2 models, indicating the potential to accurately estimate long-term VLM with InSAR standalone measurements even if multi-year observation gaps intermittently occur, especially for inland areas where measurement data from other geodetic techniques, such as GNSS, TG, and SRA, are not available. Further investigations suggest that land subsidence around Eagle Point since 1998 was related to anthropogenic activities such as hydrocarbon pumping from oil and gas wells that were situated in close proximity to the TG station. © 2023 The Author(s)</t>
  </si>
  <si>
    <t>2-s2.0-85177828512"</t>
  </si>
  <si>
    <t>Ecology and Society</t>
  </si>
  <si>
    <t>10.5751/ES-14403-280430</t>
  </si>
  <si>
    <t>https://www.scopus.com/inward/record.uri?eid=2-s2.0-85181214362&amp;doi=10.5751%2fES-14403-280430&amp;partnerID=40&amp;md5=9499cef3e15fb132cc387a16eea0c33d</t>
  </si>
  <si>
    <t>Research on collaborative governance, polycentric governance, and policy networks shares the hypothesis that policy networks emerge to solve collective-action problems across multiple levels of geographic scale. Policy networks provide social capital in the form of information and trust-based relationships, which enable the involved actors to learn and cooperate to address environmental risks. We argue that policy networks in polycentric governance systems are scale dependent in both structure and function. The structure of policy networks varies across levels of geographic scale, with regional-level networks presenting more structural features that support learning and cooperation. Also, local networks are more responsive to the varying risks of sea-level rise in different localities. As policy networks scale up to higher levels of geographic scale, network structures become more homogenous, driven by the regional actors’ concern for the well-being of entire regions. Drawing from a stakeholder survey in the context of sea-level rise and climate adaptation networks in San Francisco Bay, we define networks at multiple geographic scale based on the level of policy actors’ engagement with local coastal planning units. Our social network analysis findings underscore that regional actors are crucial sources of social capital for solving climate adaptation collective-action problems and that sea-level rise vulnerability is especially associated with the emergence of bonding social capital. Environmental risk, such as sea-level rise, will urge the need for collective actions across geographic scales, and our studies suggest that regional actors can provide public good across regions and reduce the transaction costs of building policy networks between disadvantaged communities. © 2023 by the author(s).</t>
  </si>
  <si>
    <t>2-s2.0-85181214362"</t>
  </si>
  <si>
    <t>Journal of Environmental and Engineering Geophysics</t>
  </si>
  <si>
    <t>10.32389/JEEG23-002</t>
  </si>
  <si>
    <t>https://www.scopus.com/inward/record.uri?eid=2-s2.0-85195409184&amp;doi=10.32389%2fJEEG23-002&amp;partnerID=40&amp;md5=0236e155fc7bc957e7fb948d87af0bac</t>
  </si>
  <si>
    <t>This study reports the combination of remote sensing and ground geophysical techniques to locate an abandoned and hidden municipal solid waste landfill located in a fluvial plain in the French Western Alps. Following earthworks and further floods that eroded into the river bank, wastes made of a mixture of plastic, metal and soil/earth, were uncovered and some of them flowed into the river. The existence of an abandoned landfill, several decades-old, was known, but the knowledge of its exact location was forgotten. Historic aerial photographs back to 1948 allowed delineation in space and time of the location of a platform that was used for landfill operations between around 1973 and 1983. A LiDAR DEM acquired in 2012 allowed was used to locate topographic depressions 0.1 to 0.4 m in depth, notably inside the platform. These depressions are interpreted as resulting from differential compaction originating from the presence of compressible wastes. Geophysical mapping techniques (magnetic and electromagnetic) confirmed the presence of anomalies inside the identified platform. Geophysical imaging techniques (ground-penetrating radar, electrical resistivity tomography) provided a quantitative evaluation of the width and depth of the individual pits. The combination of the different techniques allowed for estimating the first-order volume of waste. The methodology adopted in this work is applicable to detect landfills exhibiting differential compaction and physical contrasts. © 2023 Society of Exploration Geophysicists. All rights reserved.</t>
  </si>
  <si>
    <t>2-s2.0-85195409184"</t>
  </si>
  <si>
    <t>Tourism and Hospitality</t>
  </si>
  <si>
    <t>10.3390/tourhosp4040032</t>
  </si>
  <si>
    <t>https://www.scopus.com/inward/record.uri?eid=2-s2.0-85180188010&amp;doi=10.3390%2ftourhosp4040032&amp;partnerID=40&amp;md5=e22ed636b2d735c9fff0df9a7e6191a7</t>
  </si>
  <si>
    <t>Climate change and rising sea levels present significant challenges for geotourism destinations and activities. Accelerated changes in geomorphological processes threaten or diminish both the physical existence and aesthetic qualities of geoheritage assets, and hence the visitor experience, as well as presenting increased or new risks from natural hazards. This is particularly a concern in mountain and coastal areas, and also where greater extremes of temperature and precipitation affect visitor comfort. A literature review was conducted to assess the extent to which the consequences of climate change have been recognised in geotourism research. With the exception of glacier-based geotourism, few studies have considered the impacts of climate change and reported the planning or development of adaptation measures. However, the didactic potential of geotourism in raising awareness of climate change has been commonly recognised. A review of the wider tourism literature identified additional destination-supply and visitor-demand issues that will affect the sustainability of geotourism in the face of climate change. These include changes in visitor motivations, travel behaviour, perceptions of destination image, and reactions to local, national, and international mitigation and adaptation responses, as well as geoethical considerations around carbon footprints and sustainable modes of travel. Situating geotourism within a broader body of multidisciplinary tourism research should help inform adaptation strategies in conjunction with measures to adapt to the physical impacts of climate change on geotourism sites. © 2023 by the author.</t>
  </si>
  <si>
    <t>2-s2.0-85180188010"</t>
  </si>
  <si>
    <t>10.1007/s10980-023-01762-3</t>
  </si>
  <si>
    <t>https://www.scopus.com/inward/record.uri?eid=2-s2.0-85175245495&amp;doi=10.1007%2fs10980-023-01762-3&amp;partnerID=40&amp;md5=7a093d156733d5948d4b81e488a82e89</t>
  </si>
  <si>
    <t>Context: Tidal saline wetlands (TSWs) are highly threatened from climate-change effects of sea-level rise. Studies of TSWs along the East Coast U.S. and elsewhere suggest significant likely losses over coming decades but needed are analytic tools gauged to Pacific Coast U.S. wetlands. Objectives: We predict the impacts of sea-level rise (SLR) on the elevation capital (vertical) and migration potential (lateral) resilience of TSWs along the Pacific Coast U.S. over the period 2020 to 2150 under a 1.5-m SLR scenario, and identified TSWs at risk of most rapid loss of resilience. Here, we define vertical resilience as the amount of elevation capital and lateral resilience as the amount of TSW displacement area relative to existing area. Methods: We used Bayesian network (BN) modeling to predict changes in resilience of TSWs as probabilities which can be useful in risk analysis and risk management. We developed the model using a database sample of 26 TSWs with 147 sediment core samples, among 16 estuary drainage areas along coastal California, Oregon, and Washington. Results: We found that all TSW sites would lose at least 50% of their elevation capital resilience by 2060 to just before 2100, and 100% by 2070 to 2130, depending on the site. Under a 1.5-m sea-level rise scenario, nearly all sites in California will lose most or all of their lateral migration resilience. Resilience losses generally accelerated over time. In the BN model, elevation capital resilience is most sensitive to elevation capital at time t, mean tide level at time t, and change in sea level from time 0 to time t. Conclusions: All TSW sites were projected with declines in resilience. Our model can further aid decision-making such as prioritizing sites for potential management adaptation strategies. We also identified variables most influencing resilience predictions and thus those potentially prioritized for monitoring or development of strategies to prevent loss regionally. © 2023, This is a U.S. Government work and not under copyright protection in the US</t>
  </si>
  <si>
    <t>10.1016/j.jag.2023.103579</t>
  </si>
  <si>
    <t>https://www.scopus.com/inward/record.uri?eid=2-s2.0-85178479905&amp;doi=10.1016%2fj.jag.2023.103579&amp;partnerID=40&amp;md5=9b2599bbeecc69240b9bed1f689b66af</t>
  </si>
  <si>
    <t>Over the last two decades, Semarang, located in the central region of Java island, Indonesia, has been undergoing significant land subsidence. Mainly attributed to reservoir compaction and fluid extraction, this subsidence has pronounced effects in coastal regions. However, the existing study on the details of subsidence and its application to accurately depict present circumstances has been insufficient. Utilizing the new small baseline subset technique and C-band SAR data from 2015 to 2022, this study delineates the spatial boundaries of land subsidence in Semarang and surrounding areas. Atmospheric effects were mitigated using the GACOS model during InSAR processing. The study reveals dominant vertical movements in Semarang's north coastal area, characterized by rapid and extensive changes. In contrast, horizontal movement shows relatively small changes in number to the east of the study area. Time series analysis indicates maximum subsidence rate of 100–120 mm/year in the northern and eastern part of Semarang and Demak. Available data from GNSS stations ensures the reliability of these findings. The correlation coefficient of 0.86 indicated substantial association between groundwater and deformation. Approximately 20 % of Semarang's land area is affected by land subsidence, which is notably more prevalent in alluvial soils and densely populated regions. In Demak, subsidence is primarily observed in agricultural regions, whereas in Kendal, the 50 mm/year subsidence rate represents a growing concern. This accelerating phenomenon poses substantial risks to the local environment and economic sectors. All authorities must harmonize regulations to force their roles, produce details spatial plan maps, and establish mitigation and adaptation infrastructure to handle the current crisis realistically. © 2023 The Authors</t>
  </si>
  <si>
    <t>2-s2.0-85178479905"</t>
  </si>
  <si>
    <t>10.1016/j.heliyon.2023.e20431</t>
  </si>
  <si>
    <t>https://www.scopus.com/inward/record.uri?eid=2-s2.0-85173447705&amp;doi=10.1016%2fj.heliyon.2023.e20431&amp;partnerID=40&amp;md5=e5a470954a5f368b16d3c94b6bd47d1d</t>
  </si>
  <si>
    <t>Quality groundwater is the most essential prerequisite for the better livelihood of the coastal villages and a vital resource for a safe living. Seawater interaction and coastal inundation modify hydro geochemical cycles leading to gross utility as a challenge. Poor quality water intake causes diseases and seriously affects human health. In this study, the suitability of shallow drinking water sources (10–15 m) has been studied with a focus on coastal village in south west of India (Alappad coast, Kollam, Kerala) which is a host of huge placer mineral reserve of the country. This coastal stretch has good deposition of Late Quaternary sediments of heavy mineral placers subjected to severe seawater interactions. Mineralogically, garnet and heavy minerals comprises the beaches and most coastal plains of the Alappad. A concerted geological process where moving water and waves causes erosion, leads to lowering of the earth's surface -is prominent in this fragmented land. This study critically evaluates the temporal-spatial impact of these interactions in an age of varying climatic conditions and hence for reference beyond. Water quality index analysis has been attempted using the entropy weighted water quality index (EWQI) method for a total of 45 samples (15 samples season-wise). It aims to ascertain better choices of groundwater sources for domestic uses for isolated settlers endowed with estuaries, and old coastal plains with barrier beaches. Irrigation suitability was evaluated using sodium adsorption ratio (SAR) and Na%. Observed EWQ Indices (38.2 ± 14.5) for post-monsoon (80% samples), (66.1 ± 77.7) for monsoon (66% samples), and (71.4 ± 71.3) for pre-monsoon (53% samples) fall in excellent category. Post-monsoon is most favoured for a better quality groundwater as evidenced by WQI of 80% among the samples tested. Ca–HCO3 is the dominant hydrochemical type observed. The mean value of iron (0.9 ± 1.3 mg/L) exceeded the permissible limit of 0.3 mg/L during monsoon season due to mineral-water interactions. In pre-monsoon season the parameters Na+ (95.9 ± 200.7 mg/L), Cl− (173.4 ± 510.2 mg/L), EC (1559.3 ± 2510.6 μS/cm), and TDS (492.5 ± 629.7 mg/L) were observed in higher ranges. Significant correlation (p &lt; 0.05) prevailed between EWQI, and parameters-conductivity (0.75), TDS (0.75), Iron (0.59), Ca2+ (0.66), and Mg2+ (0.74). Principal component analysis (PCA) on chemical parameters accounted for the total variance of 84.2% in pre-monsoon, 89.9% in monsoon and 82.9% in post-monsoon. Groundwater quality is influenced by geochemical processes, salt intrusion, and human activities like fertiliser application and domestic sewage discharge. Hierarchical cluster analysis (HCA) grouped the samples into three clusters. Cluster 3 represents poor quality water (13%) in pre-monsoon (EWQI ranged 32.2–192.7), and monsoon (EWQI ranged 171.8–309.7). Cluster 3 in post-monsoon (20%) indicating good water quality (EWQI ranged 51.4–72.6). Ultimate finding is that post-monsoon groundwater is more suitable for drinking and domestic purposes for the selected coastal area. © 2023</t>
  </si>
  <si>
    <t>2-s2.0-85173447705"</t>
  </si>
  <si>
    <t>10.21163/GT_2023.182.04</t>
  </si>
  <si>
    <t>https://www.scopus.com/inward/record.uri?eid=2-s2.0-85175332902&amp;doi=10.21163%2fGT_2023.182.04&amp;partnerID=40&amp;md5=36d7261de2544dab28811aeed01d8511</t>
  </si>
  <si>
    <t>The Kukup Coastal Area is located in the southern part of Java's coastal area, which has an active megathrust subduction zone. The dynamics of tectonic activities in this zone trigger earthquakes with various intensities. Some of these earthquakes can trigger a tsunami threatening human activities in this area. Therefore, a detailed study of tsunami hazards by integrating physical and socio-economic aspects needs to be done to estimate disaster risk and determine spatial planning in coastal areas. The objectives of this study are (1) to identify the coastal system and (2) to create a tsunami hazard map in the Kukup Coastal Area. Coastal systems can be identified by analyzing the physical and socioeconomic conditions. Physical conditions such as morphological and coastal typology can be extracted from Digital Elevation Model (DEM) from aerial photo processing. Socio-economic conditions such as land use analysis and tourism activities can be extracted from orthophoto, which is extracted from aerial photo processing using drones. The tsunami hazard can be analyzed using three modelling stages: earthquake source modelling, tsunami wave propagation modelling, and tsunami inundation modelling using Geographic Information System (GIS). The results show that the morphological conditions in the study area were dominated by the formation of conical hills with a firm lineament pattern causing the formation of elongated basins such as labyrinths. This basin is a place for developing socioeconomic activities, especially tourism, which can be seen from a large amount of built-up land area. The presence of these basins causes the tsunami inundation pattern to extend perpendicular to the shoreline, causing the tsunami inundation in the study area to extend as far as 2 km from the shoreline. © 2023, Asociatia Geographia Technica. All rights reserved.</t>
  </si>
  <si>
    <t>2-s2.0-85175332902"</t>
  </si>
  <si>
    <t>10.1016/j.ejrs.2023.08.004</t>
  </si>
  <si>
    <t>https://www.scopus.com/inward/record.uri?eid=2-s2.0-85168552121&amp;doi=10.1016%2fj.ejrs.2023.08.004&amp;partnerID=40&amp;md5=003c35cc548827b64fef1f76ce9826e0</t>
  </si>
  <si>
    <t>Natural crises manifested in floods and droughts are counted as the most severe impacts of climate change on the world. In this regard, flash floods are the most common cause of economic and human losses worldwide. However, the present study focuses on the flash flood-affected area between Zafaarana and Ras Ghareb coastal roads. Sentinel-2 satellite images of recent years before and after the flash flood have been utilized to detect flooded areas and investigate their environmental conditions. Initially, the captured images were pre-processed to compare the environmental conditions before and after flooding. Consequently, the Normalized Difference Water Index (NDWI) was utilized to classify water bodies in different bands. Finally, an image difference feature (IDF) model with computation of per-pixel features, merging image disparities, and calculation of the characteristic value phases was constructed to extract various image differences after photo processing, that's to identify flooded pixels in the images and assess their performance in the proposed model. The proposed IDF model was compared by rating each model on the same test set, while changing the training set. In conclusion, the proposed algorithm shows an accuracy of 98.9%, which is a better flood image processing technique than other methods. The insights from this research will help decision makers in structuring their rescue strategies and evacuation maps during and before the environmental crisis. © 2023 National Authority of Remote Sensing &amp; Space Science</t>
  </si>
  <si>
    <t>2-s2.0-85168552121"</t>
  </si>
  <si>
    <t>10.1038/s43247-023-00807-4</t>
  </si>
  <si>
    <t>https://www.scopus.com/inward/record.uri?eid=2-s2.0-85159934139&amp;doi=10.1038%2fs43247-023-00807-4&amp;partnerID=40&amp;md5=e563dafc36a44acc4074f7c19896b340</t>
  </si>
  <si>
    <t>Sea level rise will exacerbate the vulnerability of low-lying coastal regions around the world in the coming decades, posing a severe threat to coastal populations. Here, we assess the future population and asset exposure of West Africa (WA) to normal and extreme coastal flooding based on the projected sea level rise scenarios reported in the IPCC Sixth Assessment Report using a bathtub modeling approach, MERIT DEM and gridded population gross domestic product datasets that are consistent with the Shared Socioeconomic Pathways. We find that socioeconomic development will be responsible for the maximum increase in future coastal flooding along the WA coast towards the end of the century. While contributions from climate-induced sea level rise will dominate and be responsible for changes in coastal flooding events in some countries, exposure to these events is likely to dominate in many countries if the ongoing horizontal infrastructural development and economic-oriented transformation continue. These results have important implications for both sustainable coastal planning and flooding risk mitigation for WA’s coastal areas and should be considered as a cautionary tale for managing increasing socioeconomic development and coastward migration at the expense of the region’s coastal ecosystems. © 2023, The Author(s).</t>
  </si>
  <si>
    <t>2-s2.0-85159934139"</t>
  </si>
  <si>
    <t>10.1002/dep2.248</t>
  </si>
  <si>
    <t>https://www.scopus.com/inward/record.uri?eid=2-s2.0-85170705939&amp;doi=10.1002%2fdep2.248&amp;partnerID=40&amp;md5=ee28c8da0ea73f31103b43fd4c76e391</t>
  </si>
  <si>
    <t>This study aims to interpret and document the depositional architecture styles and sequence stratigraphic framework of the Ash Shumaysi Formation in the Jeddah-Makkah region, the west-central part of Saudi Arabia, and presents an example of rarely discussed, local-scale sub-basins (half grabens). It also shows the relationships between synchronous sedimentary processes and pre, syn and post-rift conditions. The described lithofacies and their facies associations indicate the presence of seven architectural depositional styles: proximal-distal braided fluvial, meandering fluvial (point bar), crevasse splay, floodplain, estuarine and lacustrine. A proposed depositional model for the Ash Shumaysi Formation is drawn. The Ash Shumaysi Formation forms a second order depositional sequence, which is organised into two third order depositional sequences (sequences I and II) bounded by three sequence boundaries. Each third-order sequence encloses the low accommodation systems tract and high accommodation systems tract. The low accommodation systems tract represents the coarse-grained, braided-distal fluvial facies developed during low accommodation space associated with high sediment supply (high discharge). The high accommodation systems tract encloses the fine-grained deposits of point bar, estuarine and lacustrine facies that reflect the creation of significant accommodation space and low sediment supply (low discharge). Vertical and lateral variations of the inferred depositional architectural styles, sequences and systems tracts reflect that tectonic forces and climate are the main controlling factors during deposition of the Ash Shumaysi Formation, although base-level changes in response to sea-level changes cannot be ruled out. © 2023 The Authors. The Depositional Record published by John Wiley &amp; Sons Ltd on behalf of International Association of Sedimentologists.</t>
  </si>
  <si>
    <t>2-s2.0-85170705939"</t>
  </si>
  <si>
    <t>Revista Brasileira de Geografia Fisica</t>
  </si>
  <si>
    <t>10.26848/rbgf.v16.5.p2721-2742</t>
  </si>
  <si>
    <t>https://www.scopus.com/inward/record.uri?eid=2-s2.0-85177178637&amp;doi=10.26848%2frbgf.v16.5.p2721-2742&amp;partnerID=40&amp;md5=05f0784f329c737fdb9556cdaadc6dda</t>
  </si>
  <si>
    <t>This paper proposes a methodology for semiautomated geomorphological mapping, integrating morphometric, morphographic, morphogenetic, morphodynamic and morphochronological elements, using only geomorphometric attributes quantitative measured from a Digital Elevation Model (DEM). The object-oriented classificatory rules were applied in the state of Paraná, Brazil. The elaboration of the methodological proposal contemplated five main stages</t>
  </si>
  <si>
    <t>Journal of Volcanology and Geothermal Research</t>
  </si>
  <si>
    <t>10.1016/j.jvolgeores.2023.107918</t>
  </si>
  <si>
    <t>https://www.scopus.com/inward/record.uri?eid=2-s2.0-85172368667&amp;doi=10.1016%2fj.jvolgeores.2023.107918&amp;partnerID=40&amp;md5=afa2442f521b5b6cd2cfc2fc4fc0c3e2</t>
  </si>
  <si>
    <t>Active volcanic craters are highly dynamic geological features that undergo morphological changes on a broad range of spatial and temporal scales. Such changes have implications for the stability of the edifice, the eruptive style and the associated hazards. However, monitoring the morphological evolution of active craters at high spatial resolution and over long periods of time can be challenging, especially at remote volcanoes. In this study, we demonstrate the potential of Structure-from-Motion Multi-View Stereo photogrammetry technique based on crowd-sourced data, applied to the case study of Oldoinyo Lengai (OL) volcano in northern Tanzania. Following the 2007–08 paroxysm, OL volcano resumed its characteristic effusive activity and started to fill in with lava the newly-formed 300 m wide and 130 m deep pit crater. Monitoring capability is limited at OL due to its location in a remote non-urbanized area, therefore, the eruptive and morphological evolution is poorly constrained (e.g., lava emission rates, number of vents, location of unstable areas), with hazard implications for tourists visiting the summit area. Here we use crowd-sourced images, including Unoccupied Aircraft System (UAS) images, ground-based videos and pictures collected between October 2014 and June 2022, to reconstruct high-resolution topographic time-series of OL's summit crater. With these data, we have generated 7 Digital Elevation Models (DEMs) of OL's pit crater spanning the past 8 years, and estimated the emitted volume of lava and the corresponding time averaged discharge rates (TADR). From this we characterize the geomorphological evolution of OL pit crater since the 2007–08 paroxysm and perform a preliminary hazard assessment of the crater area. InSAR COSMO-SkyMed and Sentinel-1 data covering the periods 2013–2014 and 2018–2019 were also used in this study to complement our observations. Our results indicate that the main location of lava emission within the crater floor has repeatedly shifted over the years and that the 2008 cone has experienced a subsidence over time. OL's TADR has increased over the years, reaching values one order of magnitude higher in the period 2021–2022 compared to 2014–2018. Assuming similar TADR in the coming years, the crater could be filled in by lava within the next decade, leading to new lava overflows on the flanks of the volcano. © 2023 Elsevier B.V.</t>
  </si>
  <si>
    <t>2-s2.0-85172368667"</t>
  </si>
  <si>
    <t>10.1016/j.jhydrol.2023.130139</t>
  </si>
  <si>
    <t>https://www.scopus.com/inward/record.uri?eid=2-s2.0-85171797482&amp;doi=10.1016%2fj.jhydrol.2023.130139&amp;partnerID=40&amp;md5=0076807e516e9cc249dd4fb91ab3fef9</t>
  </si>
  <si>
    <t>Seawater intrusion (SWI) is a natural phenomenon that negatively impacts the potability of groundwater and is expected to worsen with rising sea levels due to climate change. Artificial recharge of freshwater is a commonly-used remediation method to mitigate SWI and improve freshwater supply security in affected coastal aquifers. However, limited freshwater availability can limit the effectiveness of this approach. This study proposes a novel mitigation measure, called Inj-GCW, which combines the injection of reclaimed water with the use of groundwater circulation wells (GCW) to enhance the effectiveness of artificial recharge in controlling SWI. GCW is a dual-screened well with isolated screens that extract and inject groundwater into the aquifer. The performance of the proposed measure was quantitatively evaluated using an illustrative simplified unconfined coastal aquifer. Based on the findings, the design parameters were estimated for a field-scale case study of the Nile Delta aquifer (NDA), a large Mediterranean coastal aquifer in Egypt. The study adopts a future scenario that considers Sea-level rise due to climate change and projected population growth by 2100. Results demonstrate that introducing of GCWs into the saltwater wedge, along with injection, effectively retreated the saltwater wedge, due to enhanced velocity, seaward fluxes, and dilution of contamination. Inj-GCW measure led to an 8.9% reduction in SWI and a 5.2% decrease in aquifer salinity compared to the expected intrusion in 2100. Furthermore, the Inj-GCW measure resulted in a 2.2% higher repulsion rate and 0.3% reduction in total salt mass compared to injection alone. The Inj-GCW measure presents a promising solution to SWI challenges in the NDA and other coastal aquifers facing similar issues. The formation of a brackish water bubble at the injection well screen of the GCW and the generated vertical groundwater circulation cells acted as a hydraulic barrier and contributed to the proposed method effectiveness. © 2023 The Author(s)</t>
  </si>
  <si>
    <t>2-s2.0-85171797482"</t>
  </si>
  <si>
    <t>Journal of Iberian Geology</t>
  </si>
  <si>
    <t>10.1007/s41513-023-00213-x</t>
  </si>
  <si>
    <t>https://www.scopus.com/inward/record.uri?eid=2-s2.0-85160598988&amp;doi=10.1007%2fs41513-023-00213-x&amp;partnerID=40&amp;md5=fa03d85aaec538f70d8d1d2767d0a70f</t>
  </si>
  <si>
    <t>The Los Guájares valley is located about 35 km south of Granada in the Internal Zones of the Betic Cordillera. The Miocene deposits in this area consist of six sedimentary units separated by unconformities, which are exposed in small and laterally discontinuous outcrops overlying metamorphic rocks of the Alpujárride Complex. The lowest unit comprises upper Serravallian marls with planktonic foraminifera filling neptunian dykes and covering Triassic dolomitic marbles of the Alpujárride Complex. These marls reflect deep marine deposition on the Betic basement under a local extensional regime. Uplift of the region led to emergence and deposition of continental red alluvial-fan conglomerates and foothill breccias. The overlying unit, a shoreline conglomerate with small oyster banks, indicates relative sea-level rise. Shallow-marine conditions continued during the deposition of the following unit, early Tortonian in age, which consists of calcareous sandstones with hermatypic corals. Small patch reefs developed in the overlying unit composed of sandy limestones with corals (Porites, Tarbellastraea, Thegioastraea) and oysters, and sandy limestones with coralline algae in the most distal areas. The coral reefs in Los Guájares and some coral heads in Albuñuelas, a near locality, are the only record of early Tortonian coral buildups in the Mediterranean. The last marine unit comprises lower Tortonian conglomerates, sandstones and siltstones accumulated in the front of a small delta. Oyster banks and concentrations of Turritelines suggest high nutrient levels in the delta-front paleoenvironments. The Los Guájares valley area emerged afterwards, following the onset of a compressional geodynamic regime in the central Betic Cordillera and since the early Tortonian only small bodies of foothill and alluvial-fan deposits formed in a predominantly erosional context. © 2023, The Author(s).</t>
  </si>
  <si>
    <t>2-s2.0-85160598988"</t>
  </si>
  <si>
    <t>10.1029/2023EF003731</t>
  </si>
  <si>
    <t>https://www.scopus.com/inward/record.uri?eid=2-s2.0-85174693307&amp;doi=10.1029%2f2023EF003731&amp;partnerID=40&amp;md5=cf01cb80a82f4b06d38a862b404019c6</t>
  </si>
  <si>
    <t>The incidence of climate-related disasters is on the rise, which makes it imperative to intensify anticipatory action. Tropical cyclones (TC) bring extreme precipitation and storm surge to coastal areas. This poses a compound flood risk to coastal communities due to the coincidence/concurrence of multiple flood drivers. In the absence of sufficient spatiotemporal coverage of historic TC data, appropriate characterization of compound flood risk mainly relies on running a large number of synthetic scenarios with the hope that it covers the wide range of potential threats posed to a coastal community. Such an approach requires huge computational resources that make it infeasible in many cases. Here, we propose a dependence-informed sampling scheme that helps reduce the dimensionality of the problem and systematically select a handful of scenarios with the largest Cumulative Likelihood of Potential Impact (CLPI). The CLPI is a compound flood index that ranks the candidate storms with the potential to cause compound flooding based on the regional dependencies between forcing (wind and rainfall) and coastal flooding drivers (storm surge and runoff). The analysis of historic TC records near the coast of Texas, USA shows the usefulness of CLPI in improving the efficiency of hazard risk assessment and providing reliable information at a lower cost. The proposed CLPI successfully ranks candidate hurricane scenarios based on their potential impact and filters out the less relevant scenarios without the need for detailed hydrodynamic simulation. © 2023 The Authors. Earth's Future published by Wiley Periodicals LLC on behalf of American Geophysical Union.</t>
  </si>
  <si>
    <t>2-s2.0-85174693307"</t>
  </si>
  <si>
    <t>10.5194/gmd-16-5755-2023</t>
  </si>
  <si>
    <t>https://www.scopus.com/inward/record.uri?eid=2-s2.0-85177785642&amp;doi=10.5194%2fgmd-16-5755-2023&amp;partnerID=40&amp;md5=644481277736054dbe1ab3eb8a1695e1</t>
  </si>
  <si>
    <t>Adapting and improving the hydrological processes in land surface models are crucial given the increase in the resolution of the climate models to correctly represent the hydrological cycle. The present paper introduces a floodplain scheme adapted to the higher-resolution river routing of the Organising Carbon and Hydrology In Dynamic Ecosystems (ORCHIDEE) land surface model. The scheme is based on a sub-tile parameterisation of the hydrological units - a hydrological transfer unit (HTU) concept - based on high-resolution hydrologically coherent digital elevation models, which can be used for all types of resolutions and projections. The floodplain scheme was developed and evaluated for different atmospheric forcings and resolutions (0.5°and 25 km) over one of the world's largest floodplains: the Pantanal, located in central South America. The floodplain scheme is validated based on the river discharge at the outflow of the Pantanal which represents the hydrological cycle over the basin, the temporal evolution of the water mass over the region assessed by the anomaly of total water storage in the Gravity Recovery And Climate Experiment (GRACE), and the temporal evaluation of the flooded areas compared to the Global Inundation Extent from Multi-Satellites version 2 (GIEMS-2) dataset. The hydrological cycle is satisfactorily simulated</t>
  </si>
  <si>
    <t>10.1038/s43247-023-00844-z</t>
  </si>
  <si>
    <t>https://www.scopus.com/inward/record.uri?eid=2-s2.0-85160793346&amp;doi=10.1038%2fs43247-023-00844-z&amp;partnerID=40&amp;md5=78f9489bb2cbda0668e8e22a7c0317e6</t>
  </si>
  <si>
    <t>Shark Bay Marine Park is a UNESCO World Heritage Property located in a region of marginal tropical cyclone influence. Sustainable management of this unique environment as the climate changes requires a quantified understanding of its vulnerability to natural hazards. Here, we outline a structured analysis of novel historical archive information that has uncovered reports of an extreme storm surge associated with a Tropical Cyclone in 1921 that generated remarkable overland flow which left fish and sharks stranded up to 9.66 km (6 miles) inland. Weighted information from historical archives is placed in a new framework and provide inputs to modelling of this event which improves the understanding of its magnitude and furnishes records of the impacts of what occurred on that day and notably also in the years following. The suite of plausible tracks that reproduce the historical data contextualise the storm as a marginal Category 4 or 5 storm and its return interval as equivalent or slightly greater than the current local planning level for coastal flooding in the region. The outcome underscores the global importance of examining the probable maximum event for risk management in areas of marginal cyclone influence where vulnerable ecosystems or vital regional infrastructure of key economic importance are located, and the need to factor in TC risk in marine conservation and planning in the Shark Bay World Heritage Property. © 2023, The Author(s).</t>
  </si>
  <si>
    <t>2-s2.0-85160793346"</t>
  </si>
  <si>
    <t>10.1038/s43247-023-00817-2</t>
  </si>
  <si>
    <t>https://www.scopus.com/inward/record.uri?eid=2-s2.0-85159642256&amp;doi=10.1038%2fs43247-023-00817-2&amp;partnerID=40&amp;md5=74c6c71485375de6fd186e0dabd4f03e</t>
  </si>
  <si>
    <t>Predictions of total water levels, the elevation of combined tides, surge, and wave runup at the shoreline, are necessary to provide guidance on potential coastal erosion and flooding. Despite the importance of early warning systems for these hazards, existing real-time meteorological and oceanographic forecast systems at regional and national scales, until now, have lacked estimates of runup necessary to predict wave-driven overwash and erosion. To address this need, we present an approach that includes wave runup in an operational, national-scale modeling system. Using this system, we quantify the contribution of waves to potential dune erosion events along 4,700 km of U.S. Atlantic and Gulf of Mexico sandy coastlines for a one-year period. Dune erosion events were predicted to occur at over 80% of coastal locations, where waves dominated shoreline total water levels, representing 73% of the signal. This shows that models that neglect the wave component underestimate the hazard. This new, national-scale operational modeling system provides communities with timely, local-scale (0.5 km resolution) coastal hazard warnings for all wave conditions, allowing for rapid decision-making related to safety and emergency management. The modeling system also enables continued research into wave-driven processes at a broad range of coastal areas. © 2023, This is a U.S. Government work and not under copyright protection in the US</t>
  </si>
  <si>
    <t>10.5194/hess-27-4227-2023</t>
  </si>
  <si>
    <t>https://www.scopus.com/inward/record.uri?eid=2-s2.0-85179134157&amp;doi=10.5194%2fhess-27-4227-2023&amp;partnerID=40&amp;md5=5b520d5fd1b26c7e406c3ba8563b8155</t>
  </si>
  <si>
    <t>Numerical modelling is a reliable tool for flood simulations, but accurate solutions are computationally expensive. In recent years, researchers have explored data-driven methodologies based on neural networks to overcome this limitation. However, most models are only used for a specific case study and disregard the dynamic evolution of the flood wave. This limits their generalizability to topographies that the model was not trained on and in time-dependent applications. In this paper, we introduce shallow water equation-graph neural network (SWE-GNN), a hydraulics-inspired surrogate model based on GNNs that can be used for rapid spatio-Temporal flood modelling. The model exploits the analogy between finite-volume methods used to solve SWEs and GNNs. For a computational mesh, we create a graph by considering finite-volume cells as nodes and adjacent cells as being connected by edges. The inputs are determined by the topographical properties of the domain and the initial hydraulic conditions. The GNN then determines how fluxes are exchanged between cells via a learned local function. We overcome the time-step constraints by stacking multiple GNN layers, which expand the considered space instead of increasing the time resolution. We also propose a multi-step-Ahead loss function along with a curriculum learning strategy to improve the stability and performance. We validate this approach using a dataset of two-dimensional dike breach flood simulations in randomly generated digital elevation models generated with a high-fidelity numerical solver. The SWE-GNN model predicts the spatio-Temporal evolution of the flood for unseen topographies with mean average errors in time of 0.04ĝ€¯m for water depths and 0.004ĝ€¯m2ĝ€¯s-1 for unit discharges. Moreover, it generalizes well to unseen breach locations, bigger domains, and longer periods of time compared to those of the training set, outperforming other deep-learning models. On top of this, SWE-GNN has a computational speed-up of up to 2 orders of magnitude faster than the numerical solver. Our framework opens the doors to a new approach to replace numerical solvers in time-sensitive applications with spatially dependent uncertainties. © 2023 Copernicus GmbH. All rights reserved.</t>
  </si>
  <si>
    <t>2-s2.0-85179134157"</t>
  </si>
  <si>
    <t>10.1371/journal.pone.0292991</t>
  </si>
  <si>
    <t>https://www.scopus.com/inward/record.uri?eid=2-s2.0-85174804666&amp;doi=10.1371%2fjournal.pone.0292991&amp;partnerID=40&amp;md5=ec49ed3d36bd8cddc2c93ea365cdf8c8</t>
  </si>
  <si>
    <t>The Mekong River provides water, food security, and many other valuable benefits to the more than 60 million Southeast Asian residents living within its basin. However, the Mekong River Basin is increasingly stressed by changes in climate, land cover, and infrastructure. These changes can affect water quantity and quality and exacerbate related hazards such as land subsidence and saltwater intrusion, resulting in multiple compounding risks for neighboring communities. In this study, we demonstrate the connection between climate change, groundwater availability, and social vulnerability by linking the results of a numerical groundwater model to land cover and socioeconomic data at the Cambodia-Vietnam border in the Mekong River Delta region. We simulated changes in groundwater availability across 20 years and identified areas of potential water stress based on domestic and agriculture-related freshwater demands. We then assessed adaptive capacity to understand how communities may be able to respond to this stress to better understand the growing risk of groundwater scarcity driven by climate change and overextraction. This study offers a novel approach for assessing risk of groundwater scarcity by linking the effects of climate change to the socioeconomic context in which they occur. Increasing our understanding of how changes in groundwater availability may affect local populations can help water managers better plan for the future, leading to more resilient communities. © 2023 Public Library of Science. All rights reserved.</t>
  </si>
  <si>
    <t>2-s2.0-85174804666"</t>
  </si>
  <si>
    <t>10.1016/j.qsa.2023.100121</t>
  </si>
  <si>
    <t>https://www.scopus.com/inward/record.uri?eid=2-s2.0-85171691822&amp;doi=10.1016%2fj.qsa.2023.100121&amp;partnerID=40&amp;md5=53c4e39b62690cc7d02f1beafb3cf692</t>
  </si>
  <si>
    <t>This study focuses on the morphotectonic analysis of the Ujh River basin, examining various aspects related to geometrical changes in the drainage basin caused by tectonic and erosional processes. The topographic development of the Ujh River basin is a response to enhanced tectonic deformation caused by Main Central Thrust (MCT) and Main Boundary Thrust (MBT). We assume that the basin asymmetry, tilting, incision, and migration of the river basin are regulated by the compressive force generated between MBT and MCT. The results were characterized by a high Asymmetry Factor (Af) indicating greater asymmetry suggesting a rightward tilting with low Valley Floor to Valley Width (Vf) values which indicate differential uplift and incision owing to ongoing tectonic processes. The high Stream Length Gradient (SL) Index values in the MCT zone, indicate sudden topographic breaks caused by the vertical tectonic uplift with active erosion processes. The Ujh River basin is in a disequilibrium state, with convex portions indicating uplift and concave portions indicating subsidence on the slope-area plot. The χ analysis, plotting χ values against elevation, highlights upliftment and erosion zones along the trunk stream, with major slope breaks and high χ values observed in the upstream region, particularly along the MCT. Overall, the Ujh River basin exhibits morphotectonic characteristics indicating ongoing tectonic activity and a state of disequilibrium. © 2023 The Authors</t>
  </si>
  <si>
    <t>2-s2.0-85171691822"</t>
  </si>
  <si>
    <t>10.1016/j.nbsj.2023.100061</t>
  </si>
  <si>
    <t>https://www.scopus.com/inward/record.uri?eid=2-s2.0-85164699543&amp;doi=10.1016%2fj.nbsj.2023.100061&amp;partnerID=40&amp;md5=288284611eb3ca3e8d661523019b37a0</t>
  </si>
  <si>
    <t>Louisiana has high coastal wetland loss rates due to natural processes such as subsidence and anthropogenic activities such as construction of river levees and dams, pervasive alteration of surface hydrology by local industries such as oil and gas, and navigation. With the exception of the Atchafalaya River discharge area, most of Louisiana's marsh coastline is retreating and coastal marshes are degrading. In the inactive degrading delta regions, there exists a previously uncharacterized landform referred to colloquially as coastal ‘land bridge’ marshes. Land bridge marshes are saline or brackish marshes fronting large estuarine bays or lakes with sufficient fetch and wave energy to supply high levels of resuspended sediments to the marsh surface. They are generally linear features that are oriented parallel to the coast and the shoreline front retreats landward due to erosion from wave energy. These marshes persist over time vertically due to input of resuspended sediments but are experiencing rapid edge erosion due to wave attack. Comparison of data from Louisiana's Coastal Reference Monitoring System (CRMS) sites show that land bridge marshes have a greater frequency of higher soil surface elevation and higher soil bulk density than non-land bridge marshes. Because land bridges are vertically stable relative to other coastal wetlands, identification of measures to sustain these landscape features is important. Simulations using MarshMorpho2D, a process-based reduced-complexity morphology model, suggest that protection barriers installed on the seaward side of land bridge marshes will attenuate wave energy and, thus, edge erosion. Shoreline protection that can reduce wave energy but still allow sediment input to marshes include living shorelines, rock barriers, and/or breakwaters. Periodic thin layer nourishment of the marsh surface may be necessary to help sustain vertical growth. Further, marsh creation projects directly landward of land bridge marshes may benefit from their protection from waves and as a source of sediment. Consideration of land bridge marshes as distinct marsh types in the State Master Plan and integrated modeling could help to identify measures to sustain these landscape features. © 2023</t>
  </si>
  <si>
    <t>2-s2.0-85164699543"</t>
  </si>
  <si>
    <t>10.1002/dep2.249</t>
  </si>
  <si>
    <t>https://www.scopus.com/inward/record.uri?eid=2-s2.0-85171278027&amp;doi=10.1002%2fdep2.249&amp;partnerID=40&amp;md5=b8d8127a8264c89e204b7e6f852cb222</t>
  </si>
  <si>
    <t>On the Island of Samos (East Aegean region, Greece), two sedimentary basins are filled by thick continental series dated to the Late Miocene to Early Pliocene. A multidisciplinary study has been performed including (1) the definition of 21 sedimentary facies, (2) a review of the biological components and (3) carbon, oxygen and strontium stable isotope analyses. The succession is characterised by various depositional settings and hydrochemical compositions. Five main stages of basin evolution have been identified: (1) The Late Serravallian is marked by the development of alluvial fans and fan delta</t>
  </si>
  <si>
    <t>10.1016/j.gloplacha.2023.104225</t>
  </si>
  <si>
    <t>https://www.scopus.com/inward/record.uri?eid=2-s2.0-85169914416&amp;doi=10.1016%2fj.gloplacha.2023.104225&amp;partnerID=40&amp;md5=aee76c681503c2864edb81239b56ac3b</t>
  </si>
  <si>
    <t>Coastal depositional systems play a crucial role in the sequestration of terrigenous organic carbon (OC), especially deltas and coastal mud belts, which are two of the most efficient OC burial hotspots. Investigation into long-term coastal OC burial is challenging since the analysis of modern coastal environments only provides a snapshot of OC burial. Marine Isotope Stage 3 (MIS 3) refers to a unique interval in the last glacial period, characterized by a protracted falling sea level punctuated by millennial-scale climate oscillations. The study of OC burial during MIS 3 can help to estimate and predict changes in coastal OC burial driven by sea-level oscillations and extreme climate events. Here, we target late MIS 3 strata beneath the southern East China Sea. Based on the analysis of total organic carbon, total nitrogen content, stable organic carbon isotopic composition, and major and trace elements, this study demonstrates that relative sea-level changes control sediment provenance and sedimentary processes in coastal environments, which in turn regulate coastal OC burial during the late MIS 3. The burial of OC in the coastal ocean during MIS 3 deviates from the typical expectation that carbon burial is facilitated during transgression or high sea-level periods. Sediments deposited during high sea-level periods in late MIS 3 exhibit the lowest OC burial flux and contents due to long-distance transport from distant sources. The study highlights that the highest burial flux and contents of OC were found in deposits preserved during sea-level lowstands. This indicates that short-distance transport, local sources, and mountainous rivers affected by the monsoon and experience frequent floods, are associated with the highest OC burial and contents. Short and rapid climate warming events likely contribute to OC burial in late MIS 3 by intensifying precipitation and nutrient-rich supplies, thereby increasing the input of terrestrial and marine OC. This observation is noteworthy as it challenges the conventional understanding of the relationship between sea level and carbon burial. The study of OC burial in late MIS 3 is helpful in understanding how OC burial reacts to sea level oscillations and rapid climate warming events. © 2023 Elsevier B.V.</t>
  </si>
  <si>
    <t>2-s2.0-85169914416"</t>
  </si>
  <si>
    <t>10.3390/rs15204915</t>
  </si>
  <si>
    <t>https://www.scopus.com/inward/record.uri?eid=2-s2.0-85175438844&amp;doi=10.3390%2frs15204915&amp;partnerID=40&amp;md5=0b99137df03471d95b1fe858ece2f038</t>
  </si>
  <si>
    <t>Urban waterlogging is a natural disaster that occurs in developed cities globally and has inevitably become severe due to urbanization, densification, and climate change. The digital elevation model (DEM) is an important component of urban waterlogging risk prediction. However, previous studies generally focused on optimizing hydrological models, and there is a potential improvement in DEM by fusing remote sensing data and hydrological data. To improve the DEM accuracy of urban roads and densely built-up areas, a multisource data fusion approach (MDF-UNet) was proposed. Firstly, Fuzhou city was taken as an example, and the satellite remote sensing images, drainage network, land use, and DEM data of the study area were collected. Secondly, the U-Net model was used to identify buildings using remote sensing images. Subsequently, a multisource data fusion (MDF) method was adopted to reconstruct DEM by fusing the buildings identification results, land use, and drainage network data. Then, a coupled one-dimensional (1D) conduit drainage and two-dimensional (2D) hydrodynamic model was constructed and validated. Finally, the simulation results of the MDF-UNet approach were compared with the raw DEM data, inverse distance weighting (IDW), and MDF. The results indicated that the proposed approach greatly improved the simulation accuracy of waterlogging points by 29%, 53%, and 12% compared with the raw DEM, IDW, and MDF. Moreover, the MDF-UNet method had the smallest median value error of 0.08 m in the inundation depth simulation. The proposed method demonstrates that the credibility of the waterlogging model and simulation accuracy in roads and densely built-up areas is significantly improved, providing a reliable basis for urban waterlogging prevention and management. © 2023 by the authors.</t>
  </si>
  <si>
    <t>2-s2.0-85175438844"</t>
  </si>
  <si>
    <t>10.1029/2023WR035820</t>
  </si>
  <si>
    <t>https://www.scopus.com/inward/record.uri?eid=2-s2.0-85174441665&amp;doi=10.1029%2f2023WR035820&amp;partnerID=40&amp;md5=ac8b4ec0b220c94776811bddb04c3bb8</t>
  </si>
  <si>
    <t>Small-island populations disproportionately rely on fresh groundwater resources, which are increasingly threatened by salinization from changing ocean and climate conditions. This study investigates island groundwater dynamics and salinization over multiple timescales in response to marine, atmospheric, and morphologic drivers. New geophysical and hydrological data sets were collected on a remote sand island in the Northwest Atlantic Ocean between 2020 and 2022 and compared to historical baseline data from the 1970s. Data reveal saltwater intrusion due to multi-decadal erosion, seasonal climate patterns, tidal forcing, and episodic flooding from Atlantic hurricanes. Long-term dune erosion has caused the freshwater lens to thin and become asymmetrical</t>
  </si>
  <si>
    <t>10.1017/cft.2023.27</t>
  </si>
  <si>
    <t>https://www.scopus.com/inward/record.uri?eid=2-s2.0-85196736145&amp;doi=10.1017%2fcft.2023.27&amp;partnerID=40&amp;md5=03f9a37bf77cdd46cfe426abcf014c51</t>
  </si>
  <si>
    <t>Few coastal ecosystems remain untouched by direct human activities, and none are unimpacted by anthropogenic climate change. These drivers interact with and exacerbate each other in complex ways, yielding a mosaic of ecological consequences that range from adaptive responses, such as geographic range shifts and changes in phenology, to severe impacts, such as mass mortalities, ecological regime shifts and loss of biodiversity. Identifying the role of climate change in these phenomena requires corroborating evidence from multiple lines of evidence, including laboratory experiments, field observations, numerical models and palaeorecords. Yet few studies can confidently quantify the magnitude of the effect attributable solely to climate change, because climate change seldom acts alone in coastal ecosystems. Projections of future risk are further complicated by scenario uncertainty - that is, our lack of knowledge about the degree to which humanity will mitigate greenhouse-gas emissions, or will make changes to the other ways we impact coastal ecosystems. Irrespective, ocean warming would be impossible to reverse before the end of the century, and sea levels are likely to continue to rise for centuries and remain elevated for millennia. Therefore, future risks to coastal ecosystems from climate change are projected to mirror the impacts already observed, with severity escalating with cumulative emissions. Promising avenues for progress beyond such qualitative assessments include collaborative modelling initiatives, such as model intercomparison projects, and the use of a broader range of knowledge systems. But we can reduce risks to coastal ecosystems by rapidly reducing emissions of greenhouse gases, by restoring damaged habitats, by regulating non-climate stressors using climate-smart conservation actions, and by implementing inclusive coastal-zone management approaches, especially those involving nature-based solutions.  © The Author(s), 2023. Published by Cambridge University Press.</t>
  </si>
  <si>
    <t>2-s2.0-85196736145"</t>
  </si>
  <si>
    <t>10.1108/IJCCSM-07-2022-0100</t>
  </si>
  <si>
    <t>https://www.scopus.com/inward/record.uri?eid=2-s2.0-85168097866&amp;doi=10.1108%2fIJCCSM-07-2022-0100&amp;partnerID=40&amp;md5=0a6dd414a5b392d798578d6a9115c503</t>
  </si>
  <si>
    <t>Purpose: There is an increasing need for greater awareness and understanding of the risks climate change poses to farming communities so as to inform appropriate adaptive responses. The purpose of this study is to investigate farmers’ climate change impacts, awareness, risk perception and current adaptation strategies adopted to deal with the impacts of climate change on their livelihood. Design/methodology/approach: This research was undertaken with 67 farmers in Bayelsa State, Nigeria. This study used a combination of focus group discussion and quantitative survey to obtain data. Surveyed farmers were invited to an initial workshop and asked to take photos of climate change impacts on their land and the adaptation strategies being adopted. The photos were analysed and discussed with the farmers in a second workshop. Then, in a third workshop, farmers and other stakeholders came together to rank the most important consequences of climate change and shared knowledge on adaptation strategies. The survey and photovoice data were analysed using descriptive and inferential statistics. Findings: The results of this study showed that a majority of the farmers were knowledgeable of climate change, mostly got climate information through media. Floods and high temperatures were perceived as the most occurring climate change-related disaster risks. Majority of the farmers perceived climate change as high risk and have taken up multiple adaptation strategies in response to it, including changing planting times, mulching their land and digging irrigation pits. Farmers’ responses indicated that they want to do more but are restricted by financial resources. Practical implications: This study outcomes provide evidence for a need to consider stakeholders’ participation in planning climate change responses to effectively address the challenges posed by climate change, particularly in coastal agricultural communities. Government and relevant agencies as recommended need to support farmers to undertake needed adaptive strategies to adapt with future flooding, high temperature and drought, providing them with necessary facilities to enhance their adaptive capacities. Originality/value: To the best of the authors’ knowledge, this was one of the first studies to use photovoice to investigate climate change awareness, impacts and adaptations strategies with majority female farmers in west Africa. This study highlights the importance of participatory approaches to capture grassroots climate adaptation approaches. © 2023, Zelda Anne Elum and Mieke Snijder.</t>
  </si>
  <si>
    <t>2-s2.0-85168097866"</t>
  </si>
  <si>
    <t>10.1002/esp.5682</t>
  </si>
  <si>
    <t>https://www.scopus.com/inward/record.uri?eid=2-s2.0-85171135072&amp;doi=10.1002%2fesp.5682&amp;partnerID=40&amp;md5=9a107c88dc2cb78aede18ce2b1738ba3</t>
  </si>
  <si>
    <t>Coastal boulder deposits (CBDs), named huracanolitos in Cuba, found along rocky shores, result from storms, tropical cyclones or tsunamis. Despite being important indicators for coastal hazard assessment, determining the mode of emplacement of CBDs (storm/hurricane or tsunami) is not easy. We present, for the first time in English, data about CBDs along the shores of the Cuban Archipelago. More specifically, we focused on a CBD, that is, to our knowledge, the largest one ever described on Cuba Island. Located on a low-lying coral reef terrace on the SE shore of the island, the reefal limestone CBD is emplaced seaward of the ruins of the Bucanero resort. The resort was built in 1989, endured hurricanes Ivan (2004) and Dennis (2005) and, in October 2012, was destroyed by Hurricane Sandy. As observed on Corona and Landsat satellite images since 1962, the CBD was not moved, neither by hurricane Flora (1963) nor Sandy (2012), both associated with important storm surges and powerful swells. We determined the CBD volume with open-source structure from motion photogrammetry as 82.6 m3. Then, we estimated from a sample its density as 2550 kg/m3. Finally we calculated its weight as 210.6 tons. We calculated the minimum flow velocity responsible for the emplacement of the CBD 33 ± 2 m inland—6.83 ± 0.54 m/s and 7.26 ± 0.51 m/s. Such flow velocities are compatible with those of both tsunamis and hurricanes. Because of the greater frequency of hurricanes than tsunamis in the area, we propose that a tropical cyclone generated the extreme surge and wave that emplaced the Bucanero CBD. Such CBDs demonstrate that on Cuba's south coast, we can expect marine flooding exceeding the flooding during the major hurricanes of recent decades. © 2023 John Wiley &amp; Sons Ltd.</t>
  </si>
  <si>
    <t>2-s2.0-85171135072"</t>
  </si>
  <si>
    <t>10.1016/j.envc.2023.100742</t>
  </si>
  <si>
    <t>https://www.scopus.com/inward/record.uri?eid=2-s2.0-85163506069&amp;doi=10.1016%2fj.envc.2023.100742&amp;partnerID=40&amp;md5=7a880706a9efa0ec355e70daa812eb42</t>
  </si>
  <si>
    <t>The Vietnamese Mekong Delta including Ca Mau province (CMP) is seriously affected by land subsidence. Groundwater over-extraction is considered to be a major driver for this process. To address the reduction of groundwater (GW) extraction as a potential counter measure for further subsidence, this study focuses on understanding the importance of GW in people's life and water using habits as well as their awareness with current environmental problems in Ca Mau. Therefore, GW sampling campaigns and surveys were conducted in all 9 districts of Ca Mau province in 2019 and 2020. The analyzed water samples showed a connection with information from questionnaires and created a general picture of water using habits. GW plays an important role in people's lives, it is used for washing, cooking, drinking and other activities. People use GW for different purposes depending on their perception of water quality. For important and direct health related purposes, such as cooking or drinking, people prepare to treat water more carefully or choose another alternative water resource. The analytical approach to evaluation results based on viewpoints from general to detail helped to dig deeper into people's stories to explain research results with their behavior in each situation. When people are dependent on GW and have no option to use alternative water resources, the importance level of GW in their life increases and their awareness of GW over-extraction becomes less. If people have another water source to use such as tap water (TW), habits of using GW change. This opens up the idea that a potential alternative water will reduce the dependence of people on GW and protect GW from over-exploitation. Besides, people in Ca Mau do not have much awareness of land subsidence or the reason leading to environmental problems. Therefore, raising the awareness of people by well-design education campaigns should be strongly considered. © 2023</t>
  </si>
  <si>
    <t>2-s2.0-85163506069"</t>
  </si>
  <si>
    <t>10.1007/s11368-023-03451-9</t>
  </si>
  <si>
    <t>https://www.scopus.com/inward/record.uri?eid=2-s2.0-85147692504&amp;doi=10.1007%2fs11368-023-03451-9&amp;partnerID=40&amp;md5=f50dc0a1331b43c64418c8ee0d6278f7</t>
  </si>
  <si>
    <t>Purpose: As the result of historical mining at Idrija (Slovenia), mercury (Hg) contamination in the Gulf of Trieste (northern Adriatic Sea) is still an issue of environmental concern. The element has been conveyed into the coastal area by the Isonzo/Soča River inputs of freshwater and suspended particles for centuries. This research aims to investigate the occurrence of Hg bound to the settling sediment particles (SSP) in the coastal water and to assess the sedimentary Hg fluxes. Methods: Settling sediment particles were collected at four sites located in the innermost sector of the Gulf, a shallow and sheltered embayment where the accumulation of fine sediments is promoted. Six sampling campaigns were performed under different environmental conditions in terms of discharge from the Isonzo River and 12 sediment traps were installed in the upper and bottom water column for SSP collection. Settling sediment particles (SSP) were collected approximately every 2 weeks and analysed for grain size and total Hg. Results: Settling sediment particles (SSP) consisted predominantly of silt (77.7 ± 10.1%), showing a concentration of Hg ranging overall between 0.61 and 6.87 µg g−1. Regarding the daily SSP fluxes, the minimum (7.05 ± 3.26 g m−2 day−1) and the maximum (92.4 ± 69.0 g m−2 day−1) values were observed under conditions of low and high river discharge, respectively. The daily Hg fluxes displayed a notable variability, up to an order of magnitude, both in the surface water layer (3.07–94.6 µg m−2 day−1) and at the bottom (11.3–245 µg m−2 day−1), reaching the maximum values following periods of high river flow. Conclusions: The Isonzo River inputs of suspended particulate matter continue to convey Hg into the Gulf of Trieste, especially following river flood events, which represent one of the most relevant natural factors affecting the variations of the Hg flux in the investigated area. © 2023, The Author(s).</t>
  </si>
  <si>
    <t>2-s2.0-85147692504"</t>
  </si>
  <si>
    <t>10.1007/s13280-023-01901-9</t>
  </si>
  <si>
    <t>https://www.scopus.com/inward/record.uri?eid=2-s2.0-85164138689&amp;doi=10.1007%2fs13280-023-01901-9&amp;partnerID=40&amp;md5=a8338f8b9c8da0c6950bf37174343992</t>
  </si>
  <si>
    <t>Coastal erosion is a normal process of nature. However, the rate of coastal erosion, and the frequency and intensity of coastal flooding events, are now on the rise around the world due to the changing climate. Current responses to coastal erosion are primarily determined by site-specific factors, such as coastal elevation, coastal slope, coastal features, and historical coastline change rate, without a systematic understanding of the coastal-change processes in the context of climate change, including spatiotemporal changes in sea level, regional changes in wave climate, and sea ice coverage. In the absence of a clear understanding of the coastal-change processes, most of the current coastal responses have been built upon a risky assumption (i.e., the present-day coastal change will persist) and are not resilient to future climate change. Here, we conduct a literature review to summarize the latest scientific understanding of the coastal-change processes under climate change and the potential research gaps towards the prediction of future coastal erosion. Our review suggests that a coupled coastal simulation system with a nearshore wave model (e.g., SWAN, MIKE21, etc.) can play a critical role in both the short-term and long-term coastal risk assessment and protective measure development. © 2023, The Author(s) under exclusive licence to Royal Swedish Academy of Sciences.</t>
  </si>
  <si>
    <t>2-s2.0-85164138689"</t>
  </si>
  <si>
    <t>10.1186/s40623-023-01795-7</t>
  </si>
  <si>
    <t>https://www.scopus.com/inward/record.uri?eid=2-s2.0-85150696972&amp;doi=10.1186%2fs40623-023-01795-7&amp;partnerID=40&amp;md5=f34db8c245b5d682c8d74f83c1507eff</t>
  </si>
  <si>
    <t>The active Campi Flegrei caldera in southern Italy has a remarkably long history of coexistence between volcanism and human settlements, and it is famous for its peculiar slow ground movement called bradyseism, i.e. episodes of inflation and deflation of the caldera floor due to magmatic and/or hydrothermal processes. This natural phenomenon has interacted with the civilization that inhabited this strategic and fertile area, especially in Roman times, when the sinking of the coast hindered the flourishment of Puteoli and Baiae coastal towns. The drowning of a large part of Republic-early Imperial Roman coastal buildings, west of the modern Pozzuoli town, is classically used to illustrate the bradyseism activity. In this paper, we investigate the spatial variability and the role of this phenomenon, demonstrating that the caldera deflation alone cannot account for the submersion of Roman facilities in the western sector where the harbour structures of Portus Iulius and luxury villas of the Baianus Lacus presently lie beneath sea level. On the contrary, the sinking of this area is mainly the result of the activity of volcano-tectonic faults. We restored the topography to 100 BCE using archaeological and high-resolution topographic data. Results show that the several metres of vertical displacement recorded in the Baia area in the last 2100 yr were mainly produced by the activity of normal faults and secondarily by caldera deflation, the former including the long-lived Baia Fault and the younger normal faults associated with the Monte Nuovo eruption at 1538 CE. Graphical Abstract: [Figure not available: see fulltext.] © 2023, The Author(s).</t>
  </si>
  <si>
    <t>2-s2.0-85150696972"</t>
  </si>
  <si>
    <t>10.1029/2023WR035054</t>
  </si>
  <si>
    <t>https://www.scopus.com/inward/record.uri?eid=2-s2.0-85176043573&amp;doi=10.1029%2f2023WR035054&amp;partnerID=40&amp;md5=51fd214e2e123dc4d8973c46da0eae2e</t>
  </si>
  <si>
    <t>Climate change will increase sea levels, driving saltwater into coastal aquifers and impacting coastal communities and land use viability. Coastal aquifers are also impacted by tides that control groundwater-ocean interactions and maintain an “upper saline plume” (USP) of brackish groundwater. Coastal dikes are designed to limit the surface impacts of high-amplitude tides, but, due to ongoing sea-level rise (SLR), low-lying dikelands and underlying aquifers are becoming increasingly vulnerable to flooding from high tides and storm surges. This study combines field observations with numerical modeling to investigate ocean-aquifer mixing and future saltwater intrusion dynamics in a mega-tidal (tidal range &gt;8 m) dikeland along the Bay of Fundy in Atlantic Canada. Field data revealed strong connectivity between the ocean and coastal aquifer, as evidenced by pronounced tidal oscillations in deeper groundwater heads and an order of magnitude intra-tidal change in subsurface electrical resistivity. Numerical model results indicate that SLR and surges will force the migration of the USP landward, amplifying salinization of freshwater resources. Simulated storm surges can overtop the dike, contaminating agricultural soils. The presence of dikes decreased salinization under low surge scenarios, but increased salinization under larger overtopping scenarios due to landward ponding of seawater behind the dike. Mega-tidal conditions maintain a large USP and impact aquifer freshening rates. Results highlight the vulnerability of terrestrial soil landscapes and freshwater resources to climate change and suggest that the subsurface impacts of dike management decisions should be considered in addition to protection measures associated with surface saltwater intrusion processes. © 2023. The Authors.</t>
  </si>
  <si>
    <t>2-s2.0-85176043573"</t>
  </si>
  <si>
    <t>10.21163/GT_2023.182.10</t>
  </si>
  <si>
    <t>https://www.scopus.com/inward/record.uri?eid=2-s2.0-85175348830&amp;doi=10.21163%2fGT_2023.182.10&amp;partnerID=40&amp;md5=9865ae3664bd77534aca8c21d6163e83</t>
  </si>
  <si>
    <t>This study examines the agent behavior during a complex tsunami process to reach designated shelters based on the agent-based modeling approach. A GIS-based tsunami inundation modeling is employed considering the land slope and surface roughness coefficient to estimate the tsunami height loss. This model becomes the basis for determining the service area within the study site. Five shelter candidates are assessed using agent-based modeling simulated in the NetLogo, implementing the 50 minutes ETA and 9 meters tsunami run-up propagation for four population age classifications. Overall, the Panimbang coastal area is categorized as a high vulnerability to tsunamis (14.68% of the total area), where the run-up propagation is extended due to the tsunami invading rivers, thereby increasing the risk toward local society. Of particular concern, two proposed shelters (SA1 and SA5) exceed the capacity by 12.43% and 59.44% of their maximum capacity, respectively. Of 9,640 agents (people) simulated, 77.7% are evacuated, and 22.3% fail to reach the shelters, with a majority of the adult category. A sufficiently high casualty number is due to a ""bottleneck"" in the overlapping service areas. However, reconsidering the overcapacity TES with some additional shelters in the surrounding area is recommended. © 2023, Asociatia Geographia Technica. All rights reserved.</t>
  </si>
  <si>
    <t>2-s2.0-85175348830"</t>
  </si>
  <si>
    <t>10.1038/s43247-023-00804-7</t>
  </si>
  <si>
    <t>https://www.scopus.com/inward/record.uri?eid=2-s2.0-85154054046&amp;doi=10.1038%2fs43247-023-00804-7&amp;partnerID=40&amp;md5=cc518b93b549b56dc934473369f554f7</t>
  </si>
  <si>
    <t>Future sea level rise (SLR) and associated increases in the frequency and intensity of coastal flooding poses significant threats to coastal communities and transit systems. Yet current literature and practice lack methods for estimating flood damage costs to transit systems. Here, we construct an event-specific flood damage cost estimation framework for transit systems, simulating separately flood ingress into underground spaces. We apply this framework to the MBTA rail transit system in Boston, estimating damages under several coastal flood events with SLR and project expected annualized losses (EAL) through 2100 with uncertain SLR. We estimate EALs to the MBTA system have doubled since 2008 to $24.4 M/year and are expected to reach $58 M/year by 2030 under all SLR scenarios. Our results suggest that absent adaptation schemes, particularly at tunnel ingress locations, coastal flood risk will continue to accelerate, potentially resulting in permanent inundation of underground and low-lying sections of the transit system. © 2023, The Author(s).</t>
  </si>
  <si>
    <t>2-s2.0-85154054046"</t>
  </si>
  <si>
    <t>10.3390/rs15225327</t>
  </si>
  <si>
    <t>https://www.scopus.com/inward/record.uri?eid=2-s2.0-85177809642&amp;doi=10.3390%2frs15225327&amp;partnerID=40&amp;md5=9146ca90bf37e1f6743d45b51d7939f1</t>
  </si>
  <si>
    <t>The Shishapangma region, situated in the middle of the Himalayas, is rich in glacial lakes and glaciers. Hence, glacial lake outburst floods (GLOFs) have become a top priority because of the severe threat posed by GLOFs to the downstream settlements. This study presents a comprehensive analysis of GLOF hazards using multi-source remote sensing datasets and designs a flood model considering the different breaching depths and release volumes for the Galong Co region. Based on high-resolution optical images, we derived the expanding lake area and volume of glacial lakes. We monitored deformation velocity and long-term deformation time series around the lake dam with Small BAseline Subset Interferometric Synthetic Aperture Radar (SBAS-InSAR). The glacier thinning trend was obtained from the difference in the Digital Elevation Model (DEM). We identified potential avalanche sources by combining topographic slope and measurable deformation. We then carried out flood modeling under three different scenarios using the hydrodynamic model HEC-RAS for Galong Co, which is formed upstream of Nyalam. The results show that the Nyalam region is exposed to high-intensity GLOFs in all scenarios. The larger breaching depth and release volumes caused a greater flow depth and peak discharge. Overall, the multiple remote sensing approaches can be applied to other glacial lakes, and the modeling can be used as a basis for GLOF mitigation. © 2023 by the authors.</t>
  </si>
  <si>
    <t>2-s2.0-85177809642"</t>
  </si>
  <si>
    <t>Pollution</t>
  </si>
  <si>
    <t>10.22059/POLL.2023.355899.1803</t>
  </si>
  <si>
    <t>https://www.scopus.com/inward/record.uri?eid=2-s2.0-85182691562&amp;doi=10.22059%2fPOLL.2023.355899.1803&amp;partnerID=40&amp;md5=7f1c658b75bb96a4ef05a9709dc1e9fe</t>
  </si>
  <si>
    <t>Mangrove ecosystems have many functions for coastal areas, including ecological, social, and economic services. These functions have a systemic impact on the environment of other coastal ecosystems and human life. The mangrove ecosystem covering an area of 197.92 ha in Bedono, Demak Regency, Central Java was threatened due to the wave abrasion and high tides. Some parts of Bedono Village had become inundated and flooded permanently, zink as part of the ocean. This research was conducted to quantify water pollution in the mangrove ecosystem of Bedono Village using the Storage and Retrieval (STORET) method and the pollution index (PI). The fieldwork was conducted June 2022, by collecting water samples for laboratory analysis tests and in-situ water quality measurement. The parameter of the water quality that exceeded threshold of the Government Regulation of the Republic of Indonesia Number 22 of 2021 are the dissolved oxygen (DO) ranges between 4.39-8.78 mg L-1, BOD ranges between 30-32.4 mg L-1, phosphate ranges between 0.063-0.074 mg L-1, ammonia ranges between 0.148-0.48 mg L-1, Cr ranges between 0.071-0.21 mg L-1, and Pb ranges between 0.071-0.21 mg L-1. Based on the STORET method, the water quality in the mangrove ecosystem was found to be in the category of moderately (-16, for harbor function) – heavily polluted (-80, for tourism and -90, marine biota), whereas based on the PI index it was lightly polluted (1.77-4.12, for harbor function) – moderately polluted (11.06-13.83for tourism, and 9.96-11.85, marine biota). © The Author(s) 2023.</t>
  </si>
  <si>
    <t>2-s2.0-85182691562"</t>
  </si>
  <si>
    <t>10.1007/s11852-023-00970-y</t>
  </si>
  <si>
    <t>https://www.scopus.com/inward/record.uri?eid=2-s2.0-85168709778&amp;doi=10.1007%2fs11852-023-00970-y&amp;partnerID=40&amp;md5=2032e442d1f91b7048fd90fd43c17ea4</t>
  </si>
  <si>
    <t>This paper focuses on the current state of mangroves in Egypt, analyses how climate change is affecting mangrove forests and suggests a conservation strategy to safeguard this valuable maritime resource. Mangroves in Egypt are primarily found in regions around the Red Sea, making them popular for ecotourism across the globe. A crucial breeding and feeding ground for many commercial fishery species, mangroves are a maritime habitat that is both economically and environmentally significant and a variety of living things call them home. Mangroves are one of the most threatened tropical and subtropical ecoregions in the world. These threats come from both natural and human sources, including oil spills, human waste runoff, herbicide use, and coastal development, all of which have the potential to harm the environment. Mangrove habitats are immediately impacted by salinity changes and rising sea levels brought on by climate change. This is unfortunate as mangroves are one of the most important global carbon sinks, and their loss due to climate change may accelerate sea level rise and ocean acidification, which will cause the extinction of numerous commercial fish species. A conservation strategy should be implemented to safeguard the mangroves around the Egyptian Red Sea by using mitigation techniques, creating marine protected zones near the mangroves, and consulting the owners of the mangrove stalks. Analysis of multi-temporal satellite imagery is one of the most significant methods to assist decision-makers and environmental planners in obtaining high-precision information about environmental and climatic changes. Analysis of satellite imagery is a valuable way to detect, monitor, assess and map the environmental, human, and natural activities that are threatening the growth of the mangrove forest ecosystem. Change detection analyses using satellite imagery were conducted to evaluate the effects of rapid coastal sustainable development, including human urban and tourism activities</t>
  </si>
  <si>
    <t>10.3390/rs15204942</t>
  </si>
  <si>
    <t>https://www.scopus.com/inward/record.uri?eid=2-s2.0-85175365528&amp;doi=10.3390%2frs15204942&amp;partnerID=40&amp;md5=d7927d9f463d694402ad091627fe26bf</t>
  </si>
  <si>
    <t>Large-scale short-term monitoring and prediction of surface deformation are of great significance for the prevention and control of geohazards in rapidly urbanizing developing cities. Most studies focus on individual cities, but it would be more meaningful to address large urban agglomerations and consider the relevance of the regions within them. In addition, the commonly used linear fitting prediction methods cannot accurately capture the dynamic mechanisms of deformation. In this study, we proposed an automatic PS extraction method (named PS-SBAS-InSAR) that improves SBAS-InSAR to extract surface deformation and an Informer-based short-term surface deformation prediction method for case studies in 16 typical cities of the Yangtze River Delta (YRD). The results show that PS-SBAS-InSAR successfully extracted accurate surface deformation sequences of the YRD. During the period from January 2019 to January 2021, the YRD experienced a slight deformation with an average deformation rate within [−4, 4] mm/year. Geographically neighboring cities may have associated deformation distributions and similar deformation trends, as indicated by average deformation rate maps and landscape metrics. Both types of deformation (i.e., subsidence/uplift) tend to occur simultaneously, with specific areas of subsidence/uplift occurring in close proximity to areas of concentrated deformation. The Informer model effectively captured the time-series variation in surface deformation, suggesting a slowdown of deformation over the next two months (February 2021–March 2021). Our work contributes to a better understanding of changes and trends in large-scale surface deformation and provides useful methods for monitoring and predicting surface deformation in coastal areas. © 2023 by the authors.</t>
  </si>
  <si>
    <t>2-s2.0-85175365528"</t>
  </si>
  <si>
    <t>10.1016/j.jsames.2023.104646</t>
  </si>
  <si>
    <t>https://www.scopus.com/inward/record.uri?eid=2-s2.0-85173992524&amp;doi=10.1016%2fj.jsames.2023.104646&amp;partnerID=40&amp;md5=63ea4fc729db550c63e8bc2867102235</t>
  </si>
  <si>
    <t>Deltas are strategic systems of high ecological and economic importance since they provide various environmental resources and fertile alluvial soils. Different types of hydrodynamic processes occur in deltas, including saline intrusion. We implemented a three-dimensional numerical modeling system using the EFDC + Explorer Modeling System to analyze the characteristics of saline intrusion in the Sinú River delta, Colombia. We configured the model with field data from two measurement campaigns in February and November 2021, dry and wet seasons, respectively, and with secondary information. Several climatic conditions to cover a wide range of variability in the main forcing factors were simulated, specifically river discharge and tides: (1) without the influence of the El Niño Southern Oscillation (ENSO) climatic phenomena</t>
  </si>
  <si>
    <t>10.1038/s41598-023-38514-x</t>
  </si>
  <si>
    <t>https://www.scopus.com/inward/record.uri?eid=2-s2.0-85165416895&amp;doi=10.1038%2fs41598-023-38514-x&amp;partnerID=40&amp;md5=979342c7b8425a117ec05fce1c3deb55</t>
  </si>
  <si>
    <t>Anthropogenic climate change, particularly seawater warming, is expected to drive quick shifts in marine species distribution transforming coastal communities. These shifts in distribution will be particularly noticeable in biogeographical transition zones. The continental Portuguese coast stretches from north to south along 900 km. Despite this short spatial scale, the strong physical gradient intensified by the Iberian upwelling creates a transition zone where seaweed species from boreal and Lusitanian-Mediterranean origin coexist. On the northern coast, kelp marine forests thrive in the cold, nutrient-rich oceanic waters. In the south, communities resemble Mediterranean-type seaweed assemblages and are dominated by turfs. Recent evidence suggests that in these coastal areas, marine intertidal species are shifting their distribution edges as a result of rising seawater temperatures. Taking advantage of previous abundance data collected in 2012 from subtidal seaweed communities, a new sampling program was carried out in the same regions in 2018 to assess recent changes. The results confirmed the latitudinal gradient in macroalgal assemblages. More importantly we found significant structural and functional changes in a short period of six years, with regional increases of abundance of warm-affinity species, small seaweeds like turfs. Species richness, diversity, and biomass increase, all accompanied by an increase of community temperature index (CTI). Our findings suggest that subtidal seaweed communities in this transitional area have undergone major changes within a few years. Evidence of “fast tropicalization” of the subtidal communities of the Portuguese coast are strong indication of the effects of anthropic climate change over coastal assemblages. © 2023, The Author(s).</t>
  </si>
  <si>
    <t>2-s2.0-85165416895"</t>
  </si>
  <si>
    <t>10.1016/j.ocemod.2023.102250</t>
  </si>
  <si>
    <t>https://www.scopus.com/inward/record.uri?eid=2-s2.0-85168547703&amp;doi=10.1016%2fj.ocemod.2023.102250&amp;partnerID=40&amp;md5=c36913309622e04da3fe6d9657c438f8</t>
  </si>
  <si>
    <t>The September 2022 Hurricane Ian was among the most destructive hurricanes to hit the US coasts. Ian was one of the rare events that produced both positive (normal) and negative (reverse) surges. We analyse and model the generation mechanism of these surges through studying sea level, air pressure, and wind observations as well as numerical modelling. Analysis of a rich observation dataset helped us to explain their simultaneous generations for the first time. Among the examined data, maximum wind speed was 50–60 m/s and the minimum air pressure was 961.6 hPa. Although three factors of wind, pressure drop, and geometry contribute to surge generation, we found that wind was the dominant factor. Despite the opposing impacts of pressure drop and wind on reverse surge generation, the amplitudes of reverse surges (2.4 m) were larger than those of normal surges (over 1.8 m). Normal and reverse surges were consistently generated by landward and seaward winds, respectively. Reverse surges occurred at parts of the coast under seaward wind that experienced less intensive pressure drop. We successfully modelled both normal and reverse surges. Our model can be employed for forecasting unique storm surges such as those generated during Hurricane Ian. © 2023 The Author(s)</t>
  </si>
  <si>
    <t>2-s2.0-85168547703"</t>
  </si>
  <si>
    <t>10.1017/cft.2023.29</t>
  </si>
  <si>
    <t>https://www.scopus.com/inward/record.uri?eid=2-s2.0-85215843282&amp;doi=10.1017%2fcft.2023.29&amp;partnerID=40&amp;md5=a1b8b7d58e9e8dc4c5bdd12a2bf55b6b</t>
  </si>
  <si>
    <t>Flooding is a well-known extreme climate event affecting coastal settlements around the world. It is the principal climate-related disaster encountered by residents of Portee and Rukupa, coastal slums in Freetown, Sierra Leone. The impacts of floods in these slums have been exacerbated by the lack of effective control measures to address the disaster. One reason for this ineffectiveness is a lack of information about how households are ready to manage floods and the roles of community-based organisations (CBOs) in these events. Given this concern, this study examines household readiness and CBOs' roles in flood management in Portee and Rokupa using observation, purposive, and snowball sampling techniques to study 204 households and 12 CBOs. The results show that flood-related information in the community is mostly shared verbally among residents. In addition, most households claimed not to have received support amidst flood events, whereas CBOs within the area claimed the opposite. As such, we recommend that future studies look at household perceptions of vulnerability and willingness to take risk-reduction actions. This study encourages community members to strengthen inter-community and organisational learning, feedback, and support systems and adopt a no wait on the government principle for flood management.  © The Author(s), 2023. Published by Cambridge University Press.</t>
  </si>
  <si>
    <t>2-s2.0-85215843282"</t>
  </si>
  <si>
    <t>Fundamental Research</t>
  </si>
  <si>
    <t>10.1016/j.fmre.2023.02.024</t>
  </si>
  <si>
    <t>https://www.scopus.com/inward/record.uri?eid=2-s2.0-85151508871&amp;doi=10.1016%2fj.fmre.2023.02.024&amp;partnerID=40&amp;md5=6be3389eefee69571db33ef7aec5d69c</t>
  </si>
  <si>
    <t>Salinity stress is one of the critical environmental drivers of soil organic matter (SOM) decomposition in coastal ecosystems. Although the temperature sensitivity (Q10) of SOM decomposition has been widely applied in Earth system models to forecast carbon processes, the impact of salinity on SOM decomposition by restructuring microbial communities remains uncovered. Here, we conducted a microcosm experiment with soils collected from the coastal salt marsh in the Yellow River Estuary, which is subjected to strong dynamics of salinity due to both tidal flooding and drainage. By setting a gradient of salt solutions, soil salinity was adjusted to simulate salinity stress and soil carbon emission (CO2) rate was measured over the period. Results showed that as salinity increased, the estimated decomposition constants based on first-order kinetics gradually decreased at different temperatures. Below the 20‰ salinity treatments, which doubled the soil salinity, Q10 increased with increasing salinity</t>
  </si>
  <si>
    <t>10.1007/s11069-022-05405-9</t>
  </si>
  <si>
    <t>https://www.scopus.com/inward/record.uri?eid=2-s2.0-85131324664&amp;doi=10.1007%2fs11069-022-05405-9&amp;partnerID=40&amp;md5=ac6503b4e2b6b125234bd50c9d94619f</t>
  </si>
  <si>
    <t>Coastal zones worldwide have been subjected to increasingly high anthropic pressures over the last 50 years. The rapid urban growth rate together with the acceleration of Climate Change are boosting negative impacts on a wide range of coastal socioecological systems around the globe: as exposure, vulnerability, and the frequency and intensity of hydroclimatic hazards increase, so does disaster risk. Controlling exposure is the most efficient way of reducing flood risk; to this end, urban and infrastructure engineering design and planning processes should work hand in hand. Nonetheless, defining the “acceptable” risk level is not a technical question; it requires evidence-based guidance from “experts”, but sustainable solutions can only be reached through social negotiation processes conducted in the political arena. New forms of coastal governance should be devised.</t>
  </si>
  <si>
    <t>10.1016/j.qsa.2023.100125</t>
  </si>
  <si>
    <t>https://www.scopus.com/inward/record.uri?eid=2-s2.0-85173160111&amp;doi=10.1016%2fj.qsa.2023.100125&amp;partnerID=40&amp;md5=5a67f231a50b0c9e35457d550a39da66</t>
  </si>
  <si>
    <t>Hydrogeomorphic characteristics of the Sita-Swarna river basin, Western Ghats, India, are investigated to understand the influence of lithology, structure and geological control on the channel morphology. For preliminary investigation, remote sensing, geomorphic and morphometric analysis was carried out, producing slope, aspect and lineament maps from a 30 m resolution Digital Elevation Model (DEM) with the help of GIS. Remote sensing analysis inferred a steep south-to-southwest slope with dominant lineaments trending NW and ENE to E in the middle reaches of the Sita-Swarna river basin. These lineaments are deduced to have possibly been instigated by faults, shear zones, dyke ridges, or subsurface structures that influence the surficial topography. Upland and pediment geomorphic zone were identified, inferring Western Ghats Escarpment (WGE) and gently coastward W-sloping dissected pediment surface. A comprehensive morphometric analysis is performed using various linear, areal, and relief parameters for basin characterization. The linear parameters infer that the basin is structurally controlled and shows moderate to high permeability and flood susceptible areas downstream. The calculated morphometric parameters for basin characterization reveals that the Sita-Swarna river basin is at the mature stage of development and highly asymmetrical with the westward tilt, which indicates a possible influence of paleo tectonism. Rapid runoff is observed due to the steep escarpment leading to less infiltration and flash flood possibility during heavy rainfall. The present study mainly establishes the potential application of remote sensing methods to quantify the hydrogeological aspects, basin morphometry and landscape evaluation in the tropical climatic zone. © 2023</t>
  </si>
  <si>
    <t>2-s2.0-85173160111"</t>
  </si>
  <si>
    <t>10.1016/j.dib.2023.109456</t>
  </si>
  <si>
    <t>https://www.scopus.com/inward/record.uri?eid=2-s2.0-85167433458&amp;doi=10.1016%2fj.dib.2023.109456&amp;partnerID=40&amp;md5=17491c30f8c38c95ad173e35979bcb85</t>
  </si>
  <si>
    <t>The Alexander micro-estuary, located at the eastern edge of the Mediterranean Sea, is a typical example of small water bodies that suffer from a combination of urban and agricultural pollution, and overuse of its natural water sources. It is∼6.5 km long, with maximum depth of 3 m and maximum width of 45 m. To evaluate the anthropogenic stress on the system and its ability to mitigate pollution, water samples were collected within the framework of Ruppin's Estuarine and Coastal Observatory [1]. Water samples were collected from the estuary head, which drains about 510 km2, and at a point 300 m upstream from the estuary mouth before water flows into the Mediterranean Sea. A total of 236 stormwater and 44 base-flow water samples between December 2016 and December 2018. Stormwater samples were collected every 0.25 – 4 h along the entire course of the flow events using an automated samplers (Sigma 900, Hach Company, Loveland CO, USA</t>
  </si>
  <si>
    <t>10.1007/s10668-022-02648-1</t>
  </si>
  <si>
    <t>https://www.scopus.com/inward/record.uri?eid=2-s2.0-85137934235&amp;doi=10.1007%2fs10668-022-02648-1&amp;partnerID=40&amp;md5=3a5cff425f8fa835e42203884784ef08</t>
  </si>
  <si>
    <t>Floods and river-bank erosion are the most frequent natural hazards in India, specifically in the deltaic regions. In West Bengal, floods and river-bank erosion predominantly affect Malda district as it is located in the moribund part of the Bengal delta. This article studies the recent trend of shifting course of the River Ganga and the effects of floods and consequent river-bank erosion on livelihoods of the residents of chars [The chars (called Diara in the upper reaches of the Gangetic plains) are virgin, low-lying river islands and sand bars occurring in the plains, particularly the deltaic parts of rivers (Lahiri-Dutt and Samanta, South Asia: J South Asia Stud 30:327–350, 2007).] and river-bank areas of Manikchak block in the Malda district. Around 300 sample households were selected by random stratified sampling technique from four gram panchayats of Manikchak block. Both primary and secondary data have been used. After analysing satellite images from the year 1973 to 2018, it has been observed that the River Ganga continues to shift eastwards and is eroding villages one after another. Inhabitants face multidimensional obstacles to run their households. Large numbers of people are displaced every year due to loss of land. Failure in facilitating the required assistance in the form of alternative spaces for resettlement and other disaster-mitigating public support systems against these hazards would make it impossible for the deplorable condition of the vulnerable people to improve. © 2022, The Author(s), under exclusive licence to Springer Nature B.V.</t>
  </si>
  <si>
    <t>2-s2.0-85137934235"</t>
  </si>
  <si>
    <t>10.1016/j.pce.2023.103469</t>
  </si>
  <si>
    <t>https://www.scopus.com/inward/record.uri?eid=2-s2.0-85169479750&amp;doi=10.1016%2fj.pce.2023.103469&amp;partnerID=40&amp;md5=e5a209ad021906784056e7e746b0441e</t>
  </si>
  <si>
    <t>COVID-19 pandemic has spread around the world since December 2019. Preventive measures such as social distancing and masking have been implemented to contain the virus transmission and associated morbidity and mortality. The development of highly effective vaccines has further aided in mitigating viral spread. In the event of natural disasters recommended preventative measure can be compromised and accelerate the virus spread</t>
  </si>
  <si>
    <t>10.1016/j.jafrearsci.2023.105068</t>
  </si>
  <si>
    <t>https://www.scopus.com/inward/record.uri?eid=2-s2.0-85171382861&amp;doi=10.1016%2fj.jafrearsci.2023.105068&amp;partnerID=40&amp;md5=d115209e9c9154ab24133ebb50b2c92e</t>
  </si>
  <si>
    <t>Sub-surficial models predict the occurrence and geometry of strata, geological structures, inclusions, tectonic settings and so on. Robust data including geologic information, airborne gravity, and magnetic data, with constraining drill–depth data are here integrated to model the topography of the basement that underlies the Niger Delta sedimentary sequence. The aim was to elucidate the existence of a petroleum system from the unexplored depths of the delta near the basement, hypothetically controlled by the basement structures. Airborne total magnetic intensity (TMI) and Bouguer gravity anomaly (BGA) of the Niger Delta, obtained from the Nigerian Geological Survey Agency that were noise–filtered and corrected are used. The gradient of the geomagnetic field was removed from the magnetic data and the data was reduced to the equator (RTE). As precursory operations, sub-surficial lineament structures were delineated from these grids using the Tilt Derivative filters, and the depths were determined using the Source Parameter Imaging (SPI) technique. Subsequently, basement topography models were generated across four (4) profiles in a gravity-magnetic joint inversion scheme. Consequently, the strata that constitute the Niger – Delta ‘cake’ from the Cretaceous to Recent were modeled. The results showed that the Late Cretaceous Synrift Clastics (LCSC) formation presumed to directly overlie the basement may vary in thickness from 2.15 to 2.74 km. The lineament structures were found to dominantly trend in NE – SW direction. The depth to the basement, from the 2-dimensional models, ranges approximately from 13.18 to 19.35 km. It is postulated that while the Tertiary Niger Delta is characterized by lineaments engendered by diapiric instability of the over–pressured Paleocene – Pliocene marine shales, there exist other lineament structures beneath with NE – SW as the dominant trends, offshoots of Mid – Atlantic fracture zones including Chain and Charcot. Basement undulations, which are relicts of the vast subsidence Passive margins undergo during their formation are observed. These resultant synclinal structures create accommodation for the extensive deposition of the LCSC. The juxtaposition of this reservoir facie, the lineament-laden undulating Passive basement escarpment, and, the Paleocene – Pliocene Marine Shale formation could make for another petroleum system. © 2023 Elsevier Ltd</t>
  </si>
  <si>
    <t>2-s2.0-85171382861"</t>
  </si>
  <si>
    <t>10.1007/s11069-023-06148-x</t>
  </si>
  <si>
    <t>https://www.scopus.com/inward/record.uri?eid=2-s2.0-85171254403&amp;doi=10.1007%2fs11069-023-06148-x&amp;partnerID=40&amp;md5=f4bcbad13416112982c993341bb74031</t>
  </si>
  <si>
    <t>Coastal flooding is increasing with rising sea levels, resulting in cascading impacts on ecological and human systems. Flood events that trigger technological emergencies causing the inundation and dispersion of hazardous materials are known as Natech disasters. However, current research on the cascading impacts of Natech disasters is limited. Hampton Roads, Virginia, is experiencing accelerated sea level rise and a proportionally higher risk of storm surge, potentially leading to a greater risk of Natech disasters. The main objective of this study is to evaluate the impact of Natech events on surrounding communities in Hampton Roads. This study uses geospatial analysis to identify the current (2021) and future (2051) threats of a flood-induced Natech disaster to assess the impact on coastal populations and ecosystems. The flood risks were determined using a 100-year flood plain and an intermediate climate projection. The risk of a Natech disaster was identified by combining the flood risk with proximity to Toxics Release Inventory (TRI) facilities and Superfund sites. The findings reveal that block groups with higher proportions of African American residents, people in poverty, and those without a vehicle experience a significantly higher risk of exposure to a Natech disaster than those living further away from the TRI and Superfund facilities. Open water and wetland environments will also experience significant exposure to Natech events. This study suggests a need for proactive policy and programmatic interventions to minimize the potential impacts of Natech events on the surrounding communities. © 2023, The Author(s), under exclusive licence to Springer Nature B.V.</t>
  </si>
  <si>
    <t>2-s2.0-85171254403"</t>
  </si>
  <si>
    <t>10.3390/ijgi12110463</t>
  </si>
  <si>
    <t>https://www.scopus.com/inward/record.uri?eid=2-s2.0-85178299071&amp;doi=10.3390%2fijgi12110463&amp;partnerID=40&amp;md5=0cf09d13a193c6cd8cdd5b7c9d8cefbb</t>
  </si>
  <si>
    <t>Flood inundation causes socioeconomic losses for coastal tourism under climate extremes, progressively attracting global attention. Predicting, mapping, and evaluating the flood inundation risk (FIR) is important for coastal tourism. This study developed a spatial tourism-aimed framework by integrating a Weighted (Formula presented.) Nearest Neighbors (WkNN) algorithm, geographic information systems, and environmental indexes, such as precipitation and soil. These model inputs were standardized and weighted using inverse distance calculation and integrated into WkNN to infer the regional probability and distribution of the FIR. Zhejiang province, China, was selected as a case study. The evaluation results were mapped to denote the likelihood of an FIR, which was then validated by the historical Maximum Inundation Extent (MIE) extracted from the World Environment Situation Room. The results indicated that 80.59% of the WkNN results reasonably confirmed the MIE. Among the matched areas, 80.14%, 90.13%, 65.50%, and 84.14% of the predicted categories using WkNN perfectly coincided with MIE at high, medium, low, and very low risks, respectively. For the entire study area, approximately 2.85%, 64.83%, 10.8%, and 21.51% are covered by a high, medium, low, and very low risk of flood inundation. Precipitation and elevation negatively contribute to a high-medium risk. Drainage systems positively alleviate the regional stress of the FIR. The results of the evaluation illustrate that in most inland areas, some tourism facilities are located in high-medium areas of the FIR. However, most tourism facilities in coastal cities are at low or very low risk, especially from Hangzhou-centered northern coastal areas to southern Wenzhou areas. The results can help policymakers make appropriate strategies to protect coastal tourism from flood inundation. Moreover, the evaluation accuracy of WkNN is higher than that of kNN in FIR. The WkNN-based framework provides a reasonable method to yield reliable results for assessing FIR. The framework can also be extended to other risk-related research under climate change. © 2023 by the authors.</t>
  </si>
  <si>
    <t>2-s2.0-85178299071"</t>
  </si>
  <si>
    <t>Iraqi Geological Journal</t>
  </si>
  <si>
    <t>10.46717/igj.56.2E.9ms-2023-11-14</t>
  </si>
  <si>
    <t>https://www.scopus.com/inward/record.uri?eid=2-s2.0-85178465358&amp;doi=10.46717%2figj.56.2E.9ms-2023-11-14&amp;partnerID=40&amp;md5=6773451b13173c5af1a883f0af750661</t>
  </si>
  <si>
    <t>Flood damage assessment is considered the essential tool for evaluating risk to civil and agricultural systems in land use planning. The validity of the studies’ outcome depends on the availability of data and their spatial distribution. The present study came to compute flood susceptibility maps utilizing two application models: (i) the frequency ratio, and (ii) the analytical hierarchy process. These models were then tested in the Khazir River basin using GIS with a selection of twelve flood conditioning factors. The flood inventory variables layer and flood-causing factors were created using remote sensing data, a digital elevation model, and secondary data from various sources. Then, the flood inventory map was highlight divided into training and test data, with 105 flood sites (70%) used for training and 45 sites (30%) used for testing. After applying the areas under the curve for the frequency ratio and analytical hierarchy process models, which were 90.6% and 88.9%, respectively, the final flood sensitivity maps showed similar results for the two models, which confirm the effectiveness of the adopted methodology. The study found a considerable spatial variance in flood sensitivity maps, as (21.06%) of the flooded areas are classified as having very low sensitivity to flooding, (24.09%) are classified as having low vulnerability to floods, and (23.79%) are classified as having moderate vulnerability, (24.10%) classified as highly vulnerable to flooding, and (6.96%) classified as highly vulnerable to flooding. Flood danger ranged from very low in mountain locations to very high in plain areas close to the riverbanks. Obtained results could be improved if a land-use planning policy will be applied, in order to establish a master plan for water resources development to avoid flood damage. © 2023, Union of Iraqi Geologists. All rights reserved.</t>
  </si>
  <si>
    <t>2-s2.0-85178465358"</t>
  </si>
  <si>
    <t>10.1016/j.jenvman.2023.118838</t>
  </si>
  <si>
    <t>https://www.scopus.com/inward/record.uri?eid=2-s2.0-85169608388&amp;doi=10.1016%2fj.jenvman.2023.118838&amp;partnerID=40&amp;md5=823484703a8a8ab4f89d55d2bc87bc3b</t>
  </si>
  <si>
    <t>Flood risk assessment is a key step in flood management and mitigation, and flood risk maps provide a quantitative measure of flood risk. Therefore, integration of deep learning – an updated version of machine learning techniques – and multi-criteria decision making (MCDM) models can generate high-resolution flood risk maps. In this study, a novel integrated approach has been developed based on multiplicative long short-term memory (mLSTM) deep learning models and an MCDM ensemble model to map flood risk in the Minab-Shamil plain, southern Iran. A flood hazard map generated by the mLSTM model is based on nine critical features selected by GrootCV (distance to the river, vegetation cover, variables extracted from DEM (digital elevation model) and river density) and a flood inventory map (70% and 30% data were randomly selected as training and test datasets, respectively). The values of all criteria used to assess model accuracy performance (except Cohens kappa for train dataset = 86, and for test dataset = 84) achieved values greater than 90, which indicates that the mLSTM model performed very well for the generation of a spatial flood hazard map. According to the spatial flood hazard map produced by mLSTM, the very low, low, moderate, high and very high classes cover 26%, 35.3%, 20.5%, 11.2% and 7% of the total area, respectively. Flood vulnerability maps were produced by the combinative distance-based assessment (CODAS), the evaluation based on distance from average solution (EDAS), and the multi-objective optimization on the basis of simple ratio analysis (MOOSRA), and then validated by Spearman's rank correlation coefficients (SRC). Based on the SRC, the three models CODAS, EDAS, and MOOSRA showed high-ranking correlations with each other, and all three models were then used in the ensemble process. According to the CODAS-EDAS-MOOSRA ensemble model, 21.5%, 34.2%, 23.7%, 13%, and 7.6% of the total area were classified as having a very low to very high flood vulnerability, respectively. Finally, a flood risk map was generated by the combination of flood hazard and vulnerability maps produced by the mLSTM and MCDM ensemble model. According to the flood risk map, 27.4%, 34.3%, 14.8%, 15.7%, and 7.8% of the total area were classified as having a very low, low, moderate, high, and very high flood risk, respectively. Overall, the integration of mLSTM and the MCDM ensemble is a promising tool for generating precise flood risk maps and provides a useful reference for flood risk management. © 2023 Elsevier Ltd</t>
  </si>
  <si>
    <t>2-s2.0-85169608388"</t>
  </si>
  <si>
    <t>10.1016/j.ijdrr.2023.103963</t>
  </si>
  <si>
    <t>https://www.scopus.com/inward/record.uri?eid=2-s2.0-85170410624&amp;doi=10.1016%2fj.ijdrr.2023.103963&amp;partnerID=40&amp;md5=b45559dd65bb79c292cb57df78ae3441</t>
  </si>
  <si>
    <t>Global climate change has resulted in frequent extreme weather events in recent decades. The Pearl River Delta, one of the most developed regions in China, frequently faces the threat of flood disasters, causing significant human and economic losses. However, previous flood risk studies ignored the energy flow, material transfer and information transfer in the region, resulting in a disconnect between risk assessment results and management strategies, making it difficult to achieve the desired disaster prevention and mitigation effects. Thus, the HV-SS model was proposed with the aim of integrating flood assessment and management, thereby achieving more accurate and efficient risk management. The results showed that the majority of the study areas were under medium to high flood hazard levels, and their spatial distribution was closely related to natural conditions. The proportion of risk area was inversely proportional to the risk level, and the spatial distribution of flood risk exhibited a central-high and perimeter-low characteristic, with medium-risk surrounding the high-risk areas. Comparative verification, combined with the TOPSIS method achieved a matching rate of 89.89%, indicating that the assessment result was reasonable. The flood risk pattern constructed using the source-sink theory found that the primary risk sources were located in the central region and continuously transferred risk to surrounding areas through risk corridors. It is crucial to note that easily ignored risks were hidden around the risk nodes, and some reasonable flood management strategies were proposed. This study can provide a reference for regional flood risk assessment and management for sustainable development. © 2023 The Authors</t>
  </si>
  <si>
    <t>2-s2.0-85170410624"</t>
  </si>
  <si>
    <t>10.1007/s11069-023-06192-7</t>
  </si>
  <si>
    <t>https://www.scopus.com/inward/record.uri?eid=2-s2.0-85171788731&amp;doi=10.1007%2fs11069-023-06192-7&amp;partnerID=40&amp;md5=ec16c669c0c167d07b51e0e0afa2ae91</t>
  </si>
  <si>
    <t>Tropical cyclones (TCs) represent a major threat to coastal communities and cause billions of dollars in economic damage yearly. Much of the TC damage is due to extreme flooding caused by a combination of coastal storm surge and heavy rainfall runoff. Accurate modeling of flooding hazards due to TCs needs to account for all relevant factors. However, some models used in operational forecasting of flood risk focus only on the storm surge, ignoring the risk of compound flooding due to the combined effects of storm surge and streamflow in the coastal zone, which requires storm surge models to be coupled with a hydrologic model that captures precipitation-driven riverine flooding. Here, we present a novel one-way coupling of the river component of the Energy Exascale Earth System Model (E3SM) with the ADvanced CIRCulation model (ADCIRC). The coupled model is validated against NOAA tidal gauge observations for Hurricane Harvey (2017). We find that the coupled model significantly improves the predicted water elevation relative to the standalone ADCIRC baseline. Validating the streamflow predictions from the river model against USGS streamflow gauge data for a variety of model configurations shows that the streamflow predictions are reasonably accurate even for the extreme discharge during Hurricane Harvey. Comparing simulations produced by different hydrologic model configurations, more accurate streamflow predictions generally correlate with better flooding level predictions in the coupled model, further supporting the role of streamflow modeling in forecasting coastal flooding induced by hurricanes. © 2023, The Author(s), under exclusive licence to Springer Nature B.V.</t>
  </si>
  <si>
    <t>2-s2.0-85171788731"</t>
  </si>
  <si>
    <t>10.1186/s40562-023-00268-9</t>
  </si>
  <si>
    <t>https://www.scopus.com/inward/record.uri?eid=2-s2.0-85150161477&amp;doi=10.1186%2fs40562-023-00268-9&amp;partnerID=40&amp;md5=cfafe4e5c990986927f019f4773cda78</t>
  </si>
  <si>
    <t>There is evidence of increased soil organic carbon (SOC) and inorganic carbon (SIC) under fertilization in dry croplands of arid and semi-arid areas. However, not much is known about the responses of SOC and SIC in coastal saline − alkaline paddy soils that undergo flooding − draining cycles. Here, we assess the impacts of various combinations of organic and phosphorus fertilization on SOC and SIC and other soil properties in a saline − alkaline paddy field of the Yellow River Delta. Our study showed that organic fertilization resulted in an increase of SOC by 11.9% over 0 − 20 cm and 13.3% over 20 − 100 cm (i.e., 140 − 250 g C m−2y−1 over 0 − 100 cm) whereas phosphorus fertilization only led to a significant increase of SOC in subsoils (or ~ 75 g C m−2y−1 over 0 − 100 cm). There were little differences in SIC over 0 − 20 cm among the treatments</t>
  </si>
  <si>
    <t>10.1016/j.rsase.2023.101028</t>
  </si>
  <si>
    <t>https://www.scopus.com/inward/record.uri?eid=2-s2.0-85164719831&amp;doi=10.1016%2fj.rsase.2023.101028&amp;partnerID=40&amp;md5=b98a2e80e6e8c2c3d66bc4824c08f31e</t>
  </si>
  <si>
    <t>This research critically assesses the spatiotemporal changes in morphology of the Nijhum Dwip Island caused by the dynamic wave action of the Bay of Bengal. Using image analysis techniques on Landsat Satellite Data (ETM+, OLI), the nature of shoreline alterations, erosion-accretion, and lob shifting from 2003 to 2021 has been identified. The findings reveal that since 2013, the island's morphology and geographical extent have undergone considerable changes, and it has gradually reached its current stable state in the Bay of Bengal. The fluvial sediments brought by the Ganges-Brahmaputra-Meghna (GBM) river system influenced by tide is mainly responsible for the sedimentary accretion in and around the island. Due to the complex wave action, the island has experienced alternating erosion and accretion domination scenarios. Compared with its extent in 2003, up until 2021, it has lost approximately 2.57 km2 area, erosion and accretion mostly occurring in the southern part, geometrically transforming the island from a rectangular to a subrounded shape. The depocenter shifting of the island was predominantly in the south-eastern direction during the whole period but has shifted to reverse direction in 2021. The minimum and maximum lob shifting occurred in 2006 and 2015, respectively, at approximately 600 m and 1800 m. ALOS PALSAR DEM (12.5m) in combination with secondary data from the Bangladesh Meteorological Department has been used to develop and simulate flood inundation scenarios under different surge heights. The projections illustrate that in the case of 2 m, 3 m, and 4 m surge heights, approximately 46.45%, 56.51%, and 61.42% of the total land will go underwater, respectively. In all scenarios, cropland and bare ground are the most affected classes. © 2023 Elsevier B.V.</t>
  </si>
  <si>
    <t>2-s2.0-85164719831"</t>
  </si>
  <si>
    <t>10.1007/s11852-023-00977-5</t>
  </si>
  <si>
    <t>https://www.scopus.com/inward/record.uri?eid=2-s2.0-85170227178&amp;doi=10.1007%2fs11852-023-00977-5&amp;partnerID=40&amp;md5=1a5f5a0687f2213e3c1a293bde1b3d20</t>
  </si>
  <si>
    <t>Global warming is a worldwide phenomenon. Some of the consequences are ocean warming, melting glaciers, sea levels rising and coastal erosion. One of the means for a sustainable management of coastal areas is to have information on the trend of climatic parameters at the local scale as well as the spatial distribution and dynamics of coastal people. This study is a contribution to the assessment of the extent of climatic parameters and dynamics of coastal peoples in Togo. Climatic data like, precipitation, temperature, wind speed, sunshine, tidal gauge and satellite images (Landsat and Sentinel-2 images) for the period from 1988 to 2020 were used. The Mann-Kendall test and Sen’s slope test were used for climate trend analysis while settlement area mapping was done using Object-Based Image Analysis method. The results revealed a significant trend in temperature and sea level rise. The temperature analysis showed an increase of trend of 0. 038 °C/year while the tidal gauge data analysis showed an increase of trend of 13.75 mm/year. The annual trend of other climatic parameters was not significant but record monthly variability which were significant. The settlement areas has changed from 2. 06% to 11. 85% between 1988 and 2020. Near the sea, the settlement pattern is compacted with high density of people. In the inland this pattern is dispersed. In 1980, the population of the maritime region was estimated at 1,042,385 people while in 2022 it was 3,534,991 people. The study concludes that the coastal areas of Togo are hot spots of high population density and facing to the rise in temperature and sea level rise. © 2023, The Author(s), under exclusive licence to Springer Nature B.V.</t>
  </si>
  <si>
    <t>2-s2.0-85170227178"</t>
  </si>
  <si>
    <t>10.1007/s10980-023-01734-7</t>
  </si>
  <si>
    <t>https://www.scopus.com/inward/record.uri?eid=2-s2.0-85173521117&amp;doi=10.1007%2fs10980-023-01734-7&amp;partnerID=40&amp;md5=0336ccab06c46f9a8e1b3784cc37f9ef</t>
  </si>
  <si>
    <t>Context: Sea level rise will have unprecedented impacts on rural coastal communities. Adaptation will be a critical strategy to reduce community vulnerability, but requires a change in land management behaviors, the capacity for which is affected by a wide range of social-psychological factors. Objectives: Because much of the USA coastal landscape is privately owned, success of climate change adaptation strategies in communities depends on landowner support. We take a step in determining coastal community resilience by identifying the factors influencing landowners’ adaptation decisions. Methods: We used a stated preference experiment, administered via household survey in rural coastal North Carolina, USA, to elicit landowners’ climate change adaptation intentions. We combined survey responses with spatial data on landowner- and landscape-characteristics to map adaptation support for the study area. We identified the set of scenarios resulting in the greatest adaptation benefit by overlaying models of sea level rise. Results: We found adaptation support was higher for forest landowners than agricultural landowners</t>
  </si>
  <si>
    <t>10.1016/j.ijdrr.2023.104079</t>
  </si>
  <si>
    <t>https://www.scopus.com/inward/record.uri?eid=2-s2.0-85176408789&amp;doi=10.1016%2fj.ijdrr.2023.104079&amp;partnerID=40&amp;md5=ce57a83fddb9c730ff9d168af6be948b</t>
  </si>
  <si>
    <t>Globally, episodic coastal flooding is expected to have increasingly severe impacts on agriculture in low-lying coastal areas, as climate change continues to cause relative sea level rise (RSLR). This study analyses dairy farm exposure and impacts from extreme sea levels (ESL) and RSLR in Aotearoa-New Zealand (A-NZ). Spatio-temporal modelling is undertaken using: 1) a dairy production land layer; 2) a static coastal inundation model from 10, 100, 200 and 500-year annual recurrence interval (ARI) ESL events at 0–2 m RSLR (0.5 m increments); and 3) an Impact State (IS) scheme relating percentage of farmland inundated and depth of flooding at milking shed locations to categorise the severity of damage. Through this analysis we highlight the increasing exposure of the dairy industry to coastal flooding, with 472 farms potentially impacted (at or greater than IS 1) by a 10-year ARI event and 1276 farms exposed to a 500-year ARI event at current sea levels, rising to 1276 (10-year ARI) and 1344 farms (500-year ARI) with 2 m RSLR. RSLR is identified as the factor driving this increase in exposure and severity of impacts to dairying, with the increase in the number of farms impacted in a 500-year compared to 10-year event only 5 % greater when considered with 1 m of RSLR, compared to 37 % greater at 0 m RSLR. This has significant implications for A-NZ where the dairy industry is of high economic and social importance, demonstrating the need for industry targeted climate change adaptation and disaster risk reduction measures.</t>
  </si>
  <si>
    <t>10.1016/j.compgeo.2023.105769</t>
  </si>
  <si>
    <t>https://www.scopus.com/inward/record.uri?eid=2-s2.0-85170648869&amp;doi=10.1016%2fj.compgeo.2023.105769&amp;partnerID=40&amp;md5=1aa039d88711d0d598d9ea4479405d9a</t>
  </si>
  <si>
    <t>A coupled discrete element methods (DEM)-computational fluid dynamics (CFD) method was adopted to study the tunnel face instability mechanism in clay-gravel composite strata with confined water. This method was verified by the results of the transparent soil model tests previously conducted by the authors. On this basis, The DEM microscopic change trends and the variation in the composite strata and soil stresses were systematically analyzed. The results show that under confined water conditions, the failure zone of the lower gravel strata is wider, with a decrease of about 30° with the horizontal direction. The width of the ground settlement trough has widened by about 43.8%, while the maximum surface subsidence has reduced by about 46.2%. Further, the effect of confined water on the vertical stress of the soil is significant; nevertheless, it has almost no effect on the average horizontal stress. Moreover, the horizontal displacement of the lower gravel stratum is larger than the upper clay stratum, while this rule is not observed under no confined water conditions. To avoid tunnel face instability in clay-gravel composite strata, the horizontal displacement and the variation of vertical stress in front of the tunnel face should be carefully monitored during shield tunnel construction.</t>
  </si>
  <si>
    <t>10.1175/WCAS-D-23-0044.1</t>
  </si>
  <si>
    <t>https://www.scopus.com/inward/record.uri?eid=2-s2.0-85179361749&amp;doi=10.1175%2fWCAS-D-23-0044.1&amp;partnerID=40&amp;md5=69a68bdf5dcaa46d381378607b83c9ee</t>
  </si>
  <si>
    <t>Geovisualizations play a central role in communicating hurricane storm surge risks to the public by connecting information about the hazard to a place. Meanwhile, people connect to places through meaning, functions, and emotional bond, known as a sense of place. The mixed-method approach presented in this paper focuses on the intersection of sense of place, geovisualization, and risk communication.We explored place meaning, scale of place, and place attachment in the coastal communities in Georgia and South Carolina.We conducted cognitive mapping focus groups and developed a series of geovisualizations of storm surge risk with varying representations of place. We then investigated people’s ability to connect visual storm surge information to a place and understand their risk by testing these geovisualizations in a large population survey (n - 1442). We found that a 2D regional-scale map displayed together with a 3D abstract representation of a neighborhood was the most helpful in enabling people to relate to a place, quickly make sense of the information, and understand the risk. Our results showed that while the geovisualizations of storm surge risk can be effective generally, they were less effective in several important and vulnerable groups. We found substantial impacts of race, income, map-reading ability, place attachment, and scale of place on how people connected the storm surge risk shown in the visual to a place. These findings have implications for future research and for considering the way weather forecasters and emergency managers communicate storm surge information with diverse audiences using geovisualizations. © 2023 American Meteorological Society. This published article i</t>
  </si>
  <si>
    <t>2-s2.0-85179361749"</t>
  </si>
  <si>
    <t>Precambrian Research</t>
  </si>
  <si>
    <t>10.1016/j.precamres.2023.107121</t>
  </si>
  <si>
    <t>https://www.scopus.com/inward/record.uri?eid=2-s2.0-85174675877&amp;doi=10.1016%2fj.precamres.2023.107121&amp;partnerID=40&amp;md5=1b3966aca5dc7026347ed132e7150a27</t>
  </si>
  <si>
    <t>Four new volcano-sedimentary complexes (VSC's), respectively c. 3510, 3460, 3430, and 3320 Ma old, are identified in the East Strelley, Coongan, and Kelly belts of the East Pilbara craton and compared with the extraordinarily complete c. 3450 Ma Buck Reef-VSC in the southern African Kaapvaal craton. The VSC's reveal an intricate relationship between volcanic deposition, sedimentation, development of syndepositional fault arrays, both extensional and contractional, and magmatism. The geometry and kinematics of these fault systems were analyzed after restoring the tilt of the stratigraphic sequences back to the depositional horizontal. The growth fault arrays are interpreted to have been generated by lack of lateral support of depositional basin margin prisms as known from present-day deltas and passive margins. This ‘basin margin collapse’ scenario for deformation and kinematics of the topmost section of the crust relies on topographic relief combined with vertical crustal oscillation. The relationship between supracrustal collapse and coeval deformation on deeper-seated detachments within the basement of the Pilbara remains as yet unsolved. The restoration corroborates the (semi-)circular basin architecture we proposed in 2017, which preceded, and is unrelated to, the present-day configuration of granitoid complexes and greenstone belts. The new findings also assess an early, syndepositional presence of the east–west Warrawoona Lineament as a major dividing line of as yet unknown structural character between two areas of basin superposition. For the Coonterunah Subgroup a multistorey architecture is established: the Table Top/Coucal-VSC with its near-water level chert top is overlain by regularly bedded Double Bar Basalt. The ensemble is truncated by the newly introduced tectono-stratigraphic Bergamina Unit, interpreted as a mega-avalanche emplaced somewhere between 3496 and 3466 Ma, possibly time-equivalent to the Duffer Fm. The crustal depths of the detachments below the (water-level) tops of all VSC's identified, in other words the thicknesses of the VSC's, are used as proxy for determining minimum basin centre depths ranging from 1000 to 3800 m. The greatest depth was reached in the North and South Coongan Basins, where voluminous bimodal volcanism of the Duffer Fm, maximum subsidence and deposition rates resulted in maximum basin margin instability. © 2023 The Author(s)</t>
  </si>
  <si>
    <t>2-s2.0-85174675877"</t>
  </si>
  <si>
    <t>10.3390/rs15205076</t>
  </si>
  <si>
    <t>https://www.scopus.com/inward/record.uri?eid=2-s2.0-85175365240&amp;doi=10.3390%2frs15205076&amp;partnerID=40&amp;md5=a63bf6a1c61cb453b60cbf6a4d95e175</t>
  </si>
  <si>
    <t>New England salt marshes provide many services to humans and the environment, but these landscapes are threatened by drivers such as sea level rise. Mapping the distribution of salt marsh plant species can help resource managers better monitor these ecosystems. Because salt marsh species often have spatial distributions that change over horizontal distances of less than a meter, accurately mapping this type of vegetation requires the use of high-spatial-resolution data. Previous work has proven that unoccupied aerial vehicle (UAV)-acquired imagery can provide this level of spatial resolution. However, despite many advances in remote sensing mapping methods over the last few decades, limited research focuses on which spectral band, elevation layer, and acquisition date combinations produce the most accurate species classification mappings from UAV imagery within salt marsh landscapes. Thus, our work classified and assessed various combinations of these characteristics of UAV imagery for mapping the distribution of plant species within these ecosystems. The results revealed that red, green, and near-infrared camera image band composites produced more accurate image classifications than true-color camera-band composites. The addition of an elevation layer within image composites further improved classification accuracies, particularly between species with similar spectral characteristics, such as two forms of dominant salt marsh cord grasses (Spartina alterniflora) that live at different elevations from each other. Finer assessments of misclassifications between other plant species pairs provided us with additional insights into the dynamics of why classification total accuracies differed between assessed image composites. The results also suggest that seasonality can significantly affect classification accuracies. The methods and findings utilized in this study may provide resource managers with increased precision in detecting otherwise subtle changes in vegetation patterns over time that can inform future management strategies. © 2023 by the authors.</t>
  </si>
  <si>
    <t>2-s2.0-85175365240"</t>
  </si>
  <si>
    <t>10.3390/atmos14101573</t>
  </si>
  <si>
    <t>https://www.scopus.com/inward/record.uri?eid=2-s2.0-85175348044&amp;doi=10.3390%2fatmos14101573&amp;partnerID=40&amp;md5=ca3f1615767a8580098f8bf156c3d0a5</t>
  </si>
  <si>
    <t>Impact and risk assessments in coastal areas are informed by current and future sea level rise and acceleration, which demands a better understanding of drivers for regional sea level acceleration. In our study, we analyze the near-coastal sea level acceleration compared with global values during satellite altimetry (1993–2020) and discuss the potential drivers of regional sea level acceleration. We estimate regional sea level acceleration using high-resolution satellite altimetry sea surface height anomalies. Our study reveals a wide range of regional acceleration estimates, varying from −1.2 to 1.2 mm·yr−2, which can be up to 20 times larger or smaller than the global mean sea level acceleration of 0.07 mm·yr−2. Notably, sea level acceleration near the global coastline is calculated at 0.10 ± 0.03 mm·yr−2, exceeding the global mean sea level acceleration by 40%. Regional patterns of sea level acceleration are in good agreement with acceleration patterns calculated from the steric sea level. However, the magnitude of acceleration is only partially explained by the changes in steric sea level, with increasing contributions from the non-steric component. © 2023 by the authors.</t>
  </si>
  <si>
    <t>2-s2.0-85175348044"</t>
  </si>
  <si>
    <t>10.1002/rra.4181</t>
  </si>
  <si>
    <t>https://www.scopus.com/inward/record.uri?eid=2-s2.0-85165293885&amp;doi=10.1002%2frra.4181&amp;partnerID=40&amp;md5=25a1219e2e79378ecac0cd1e31645dc9</t>
  </si>
  <si>
    <t>Centuries of human development have altered the connectivity of rivers, adversely impacting ecosystems and the services they provide. Significant investments in natural resource projects are made annually with the goal of restoring function to degraded rivers and floodplains and protecting freshwater resources. Yet restoration projects often fall short of their objectives, in part due to the lack of systems-based strategic planning. To evaluate channel-floodplain (dis)connectivity and erosion/incision hazard at the basin scale, we calculate Specific Stream Power (SSP), an estimate of the energy of a river, using a topographically based, low-complexity hydraulic model. Other basin-wide SSP modeling approaches neglect reach-specific geometric information embedded in Digital Elevation Models. Our approach leverages this information to generate reach-specific SSP-flow curves. We extract measures from these curves that describe (dis)connected floodwater storage capacity and erosion hazard at individual design storm flood stages and demonstrate how these measures may be used to identify watershed-scale patterns in connectivity. We show proof-of-concept using 25 reaches in the Mad River watershed in central Vermont and demonstrate that the SSP results have acceptable agreement with a well-calibrated process-based model (2D Hydraulic Engineering Center's River Analysis System) across a broad range of design events. While systems-based planning of regional restoration and conservation activities has been limited, largely due to computational and human resource requirements, measures derived from low-complexity models can provide an overview of reach-scale conditions at the regional level and aid planners in identifying areas for further restoration and/or conservation assessments. © 2023 The Authors. River Research and Applications published by John Wiley &amp; Sons Ltd.</t>
  </si>
  <si>
    <t>2-s2.0-85165293885"</t>
  </si>
  <si>
    <t>10.1016/j.scitotenv.2023.165687</t>
  </si>
  <si>
    <t>https://www.scopus.com/inward/record.uri?eid=2-s2.0-85165988562&amp;doi=10.1016%2fj.scitotenv.2023.165687&amp;partnerID=40&amp;md5=93fa10d233632ccc30aed4fa1b1e283d</t>
  </si>
  <si>
    <t>Much is still unknown about the transport behavior of microplastic pollutants within the marine environment, particularly smaller scale coastal systems such as estuaries. Through the use of a Lagrangian particle-tracking model coupled with a validated 3D hydrodynamic model, we examined the transport, pathway and ultimate fate of microplastic particles, both in an idealized estuary and Galveston Bay, Texas, USA. Emphasis was placed on differences based on settling behavior (neutrally versus negatively buoyant), use of random walk for diffusion processes, and release location. For Galveston Bay, settling behavior had a noteworthy impact on both the transport pathway of microplastic particles, as well as overall time spent within the bay. Particles with negative buoyancy were retained approximately seven times longer than those with neutral buoyancy. Negatively buoyant particles also showed a tendency to be dispersed eastward to Trinity Bay through the bottom baroclinic flow, while neutrally buoyant particles took a more direct route along the ship channel to the mouth of the bay. Idealized model simulations suggest impact of settling depends on the vertical mixing strength. For a system with stronger tidal mixing, negatively buoyant particles with small settling velocities may still behave similarly to neutrally buoyant particles, and differences only become apparent for particles that sink rather quickly (&gt; 10 m d−1). Future sea-level rise or channel deepening tends to flush out neutrally buoyant particles more quickly, while increasing the retention time for negatively buoyant particles. Our results suggest that plastics within estuaries could show substantially different behavior depending on their buoyancy characteristics, highlighting a need to quantify specific settling velocities of plastic pollutants entering the coastal estuarine system. © 2023 Elsevier B.V.</t>
  </si>
  <si>
    <t>2-s2.0-85165988562"</t>
  </si>
  <si>
    <t>10.1016/j.qsa.2023.100108</t>
  </si>
  <si>
    <t>https://www.scopus.com/inward/record.uri?eid=2-s2.0-85166262271&amp;doi=10.1016%2fj.qsa.2023.100108&amp;partnerID=40&amp;md5=e7e59fee074ccbda6b5f509f8bb3f8c2</t>
  </si>
  <si>
    <t>Coastal areas are home to a myriad of essential services. However, population growth and climate change along with their cascading impacts have had profound impacts on their topography and evolution. Consequently, many coastal regions, of which Ghana's coast is no exception, are incessantly plagued with hazards that are increasing in magnitude and frequency. Predominantly through the recurrence of floods and erosion, Ghana's coast is becoming increasingly susceptible to huge socio-economic implications considering its environment-dependent economy. Therefore, attempts have been made to assess Ghana's coastal vulnerability to comprehend the complexities underpinning the occurrence of these hazards. However, most studies attribute the recurrence of floods and erosion to global sea-level rise, but coastal land subsidence could also have significant impacts. Indeed, land subsidence is a major component of relative sea-level rise (rSLR) in many coastal cities worldwide. Drawing on extant literature, this scoping study provides an overview and evaluation of three thematic areas—SLR, subsidence and coastal vulnerability—within the Ghanaian context along with their existing relationships. Additionally, it seeks to also assess available knowledge and data and to identify crucial knowledge gaps which impede comprehensive risk assessment of Ghana's coast. The survey findings, however, indicate a significant understudy of the selected thematic areas albeit posing potential threats to Ghana's coast. It brought to light the absence of a ground-validated subsidence study</t>
  </si>
  <si>
    <t>10.1371/journal.pone.0293177</t>
  </si>
  <si>
    <t>https://www.scopus.com/inward/record.uri?eid=2-s2.0-85176339321&amp;doi=10.1371%2fjournal.pone.0293177&amp;partnerID=40&amp;md5=5ab233984c407c47694623a13c5c3b65</t>
  </si>
  <si>
    <t>Tidal wetlands are critical but highly threatened ecosystems that provide vital services. Efficient stewardship of tidal wetlands requires robust comparative assessments of different marshes to understand their resilience to stressors, particularly in the face of relative sea level rise. Existing assessment frameworks aim to address tidal marsh resilience, but many are either too localized or too general, and few directly translate resilience evaluations to recommendations for management strategies. In response to the deficiencies in existing frameworks, we identified a set of metrics that influence overall marsh resilience that can be assessed at any spatial scale. We then developed a new comprehensive assessment framework to rank relative marsh resilience using these metrics, which are nested within three categories. We represent resilience as the sum of results across the three metric categories: current condition, adaptive capacity, and vulnerability. Users of this framework can add scores from each category to generate a total resilience score to compare across marshes or take the score from each category and refer to recommended management actions we developed based on expert elicitation for each combination of category results. We then applied the framework across the contiguous United States using publicly available data, and summarized results at multiple spatial scales, from regions to coastal states to National Estuarine Research Reserves to finer scale marsh units, to demonstrate the framework’s value across these scales. Our national analysis allowed for comparison of tidal marsh resilience across geographies, which is valuable for determining where to prioritize management actions for desired future marsh conditions. In combination, the assessment framework and recommended management actions function as a broadly applicable decision-support tool that will enable resource managers to evaluate tidal marshes and select appropriate strategies for conservation, restoration, and other stewardship goals. © 2023 Public Library of Science. All rights reserved.</t>
  </si>
  <si>
    <t>2-s2.0-85176339321"</t>
  </si>
  <si>
    <t>10.1038/s41598-023-41417-6</t>
  </si>
  <si>
    <t>https://www.scopus.com/inward/record.uri?eid=2-s2.0-85168924425&amp;doi=10.1038%2fs41598-023-41417-6&amp;partnerID=40&amp;md5=8351f9b4f72e766c981f23c8b388f5cc</t>
  </si>
  <si>
    <t>The Cauvery Delta, the ‘Rice Bowl’ of India follows a time-tested cultivation pattern over several irrigation zones. However, in this era of the Anthropocene, it is now well-established that short-duration, intense precipitation episodes will batter the flood plains year after year. The purpose of this first study is thus to quantify the impacts that such episodes may have on the floodplains of the Cauvery Delta and the concomitant threats to the historic Kallanai Dam. Precipitation events during the North-East monsoon period are driven not just by warm rain microphysics but also by large frozen hydrometeors falling from deep clouds causing undesirable flooding over the region to the extent of 66%. Additionally, from an assessment of the velocity heads and the floodwater depths, this study projects a heightened vulnerability. The total extent of submergence along riverbanks and other flow paths was estimated to be 145.98 km 2 out of which 65.14% of the submerged area is agricultural land. The most important conceptual advance established in this paper is that sub-zones in major watersheds that are currently safe will get inundated in the RCP8.5 warming scenario in 2050. © 2023, Springer Nature Limited.</t>
  </si>
  <si>
    <t>2-s2.0-85168924425"</t>
  </si>
  <si>
    <t>10.5194/acp-23-13835-2023</t>
  </si>
  <si>
    <t>https://www.scopus.com/inward/record.uri?eid=2-s2.0-85178246529&amp;doi=10.5194%2facp-23-13835-2023&amp;partnerID=40&amp;md5=adec2216ffbca65882986e71ea2c6eb2</t>
  </si>
  <si>
    <t>Intense tropical cyclones (TCs) can cause catastrophic damage to coastal regions after landfall. Recent studies have linked the devastation associated with TCs to climate change, which induces favorable conditions, such as increasing sea-surface temperature, to supercharge storms. Meanwhile, environmental factors, such as atmospheric aerosols, also impact the development and intensity of TCs, but their effects remain poorly understood, particularly coupled with ocean dynamics. Here, we quantitatively assess the aerosol microphysical effects and aerosol-modified ocean feedbacks during Hurricane Katrina using a cloud-resolving atmosphere-ocean coupled model: Weather Research and Forecasting (WRF) in conjunction with the Regional Ocean Model System (ROMS). Our model simulations reveal that an enhanced storm destructive power, as reflected by larger integrated kinetic energy, heavier precipitation, and higher sea-level rise, is linked to the combined effects of aerosols and ocean feedbacks. These effects further result in an expansion of the storm circulation with a reduced intensity because of a decreasing moist static energy supply and enhancing vorticity Rossby wave outward propagation. Both accumulated precipitation and storm surge are enhanced during the mature stage of the TC with elevated aerosol concentrations, implying exacerbated flood damage over the polluted coastal region. The ocean feedback following the aerosol microphysical effects tends to mitigate the vertical mixing cooling in the ocean mixing layer and offsets the aerosol-induced storm weakening by enhancing cloud and precipitation near the eyewall region. Our results highlight the importance of accounting for the effects of aerosol microphysics and ocean-coupling feedbacks to improve the forecast of TC destructiveness, particularly near the heavily polluted coastal regions along the Gulf of Mexico.  © 2023 Yun Lin et al.</t>
  </si>
  <si>
    <t>2-s2.0-85178246529"</t>
  </si>
  <si>
    <t>10.1016/j.ejrh.2023.101493</t>
  </si>
  <si>
    <t>https://www.scopus.com/inward/record.uri?eid=2-s2.0-85169913653&amp;doi=10.1016%2fj.ejrh.2023.101493&amp;partnerID=40&amp;md5=4564b7a0f3aeb67f2ef89260fd3dd874</t>
  </si>
  <si>
    <t>Study Region: The Ganges-Brahmaputra-Meghna (GBM) delta in Bangladesh Study Focus: The flow distribution in a deltaic channel network is complicated by tidal wave propagation. We use a 2DH numerical model to investigate the variability of the tide-modulated seasonal, subtidal, intratidal and residual divided discharges. New Hydrological Insights: Simulations show that the divided subtidal discharges and correlated subtidal water levels display remarkable fortnightly fluctuations in dry months, whereas they are heavily distorted by the rapid rising &amp; falling limbs of main stream flood waves in wet months. A subtidal water circulation that net water is transported from the tributaries to the main stream maintains at lower upstream discharges but is reversed by larger upstream discharges. With a series of increasing upstream riverine discharges routing downstream, the subtidal inflows experience a phase shift in the fortnightly cycles, in which the inflow peaks gradually move from spring tide to neap tide</t>
  </si>
  <si>
    <t>10.1016/j.ijdrr.2023.104085</t>
  </si>
  <si>
    <t>https://www.scopus.com/inward/record.uri?eid=2-s2.0-85176966717&amp;doi=10.1016%2fj.ijdrr.2023.104085&amp;partnerID=40&amp;md5=d433268e9a7db0460c57820865ce795f</t>
  </si>
  <si>
    <t>Advancements in early warning, efficient evacuation, and previous experience with cyclones have largely restricted disaster casualties in the Sundarban delta in India and Bangladesh. Despite the limited loss of life, post-cyclone soil, inland water salinity, and loss of agriculture productivity remain among the impeding factors affecting people's lives. Two severe cyclones, cyclone Amphan, which hit on May 20, 2020, and cyclone Yaas, which hit the delta on May 28, 2021, caused significant damage to the life and livelihood of the local people. In this paper, we inquired into the mental health and socio-psychological aspects of cyclone Amphan and Yaas-induced water insecurity in the Indian Sundarban delta using both qualitative and quantitative research methods. The empirically derived data from Focus Group Discussions (N = 17</t>
  </si>
  <si>
    <t>10.1007/s10708-021-10552-w</t>
  </si>
  <si>
    <t>https://www.scopus.com/inward/record.uri?eid=2-s2.0-85123109040&amp;doi=10.1007%2fs10708-021-10552-w&amp;partnerID=40&amp;md5=fdd452c68fcfa91b7477e68610a17e91</t>
  </si>
  <si>
    <t>This paper makes an assessment of the coastal erosion hazard of the Odisha state with the use of ‘Coastal Hazard Wheel’ methodology which is a multi-hazard assessment as well as a management tool in a changing global climate. This study analyses the coastal environment to assess the vulnerability profile of coastal erosion by using bio-geophysical parameters such as geological layout, tidal range, exposure to waves, balance or deficit of sediments, characteristics of flora and fauna and exposure to storm climate. These are also used in analysing climate change hazards of the coast which are inherent to an area like saline flooding, gradual inundation, ecosystem disruption and salt water intrusion. CHW framework has generated information about the degree to which coastal erosion is inherent in a particular coastal location along the coast. This application has used remote sensing data from the public domain and a GIS approach to screen the problem with an appropriate scale as suitable for regional and national planning purposes with a management perspective because of limited data availability. The study has generated coastal erosion data and maps for the 480 km of the coastline dividing the coast in to 14 different morphological segments. Assessment of this hazard shows that 50 percent of Odisha's coastline is vulnerable to a high or very high inherent hazard of erosion, 45 percent exhibits a lower level of erosion presence and 5 percent is moderately vulnerable to erosion. This study has revealed increasing magnitude of coastal erosion than previous assessments by different researchers which were mostly based on coastal vulnerability indices. The study also identifies a number of possible erosion hazard management and mitigation options which can be used depending on their location specific field data and coastal characteristics. The finding of the study is significant in view of its contribution towards a first step in understanding coastal erosion at the regional level for their management. However, input of local data and manmade structures along the coast in the model would enhance the results for the site-specific mitigation measures. © 2021, The Author(s), under exclusive licence to Springer Nature B.V.</t>
  </si>
  <si>
    <t>2-s2.0-85123109040"</t>
  </si>
  <si>
    <t>10.1016/j.ijdrr.2023.103997</t>
  </si>
  <si>
    <t>https://www.scopus.com/inward/record.uri?eid=2-s2.0-85172661474&amp;doi=10.1016%2fj.ijdrr.2023.103997&amp;partnerID=40&amp;md5=42742e6ca4388386cd6f3675bfd61f31</t>
  </si>
  <si>
    <t>Increased rainfall extremes cause severe urban flooding in cities with adverse socio-economic consequences, and Kathmandu city is no exception. Rainfall events are projected to become more intense and frequent in a warm and wet future, and they pose a major challenge to the sustainable development of Kathmandu city. This paper analyses historical extreme rainfall patterns across the city and uses these as the basis for future projections in combination with a range of General Circulation Models. Future projections of extreme rainfall are then fed into the numerical flood model HAIL-CAESAR (Lisflood), using a high-resolution digital elevation model of Kathmandu. We show that rainfall intensity, such as the annual maximum 1-day rainfall (RX1day), is projected to increase by up to 72% in the future, and the historical 100-year return period rainfall will become a 20 or 25-year return period rainfall. The flood modelling results show that the future flood hazard (magnitude and extent) will increase. The historical 100-year return period flood discharge will correspond to a 25-year return period future flood. A 100-year period flood discharge is likely to increase up to 72% (37% median) in the future. Area of land inundated by more than 1 m in a 100-year return period flood event could increase from 11.7 km2 to 23 km2 in the future. Furthermore, the location and timing of rainfall maxima affect the peak, timing, and location of flood hazards. This analysis can serve as a scientific basis to assess future flood-induced risk in Kathmandu in response to climate change. © 2023</t>
  </si>
  <si>
    <t>2-s2.0-85172661474"</t>
  </si>
  <si>
    <t>Deep-Sea Research Part II: Topical Studies in Oceanography</t>
  </si>
  <si>
    <t>10.1016/j.dsr2.2023.105322</t>
  </si>
  <si>
    <t>https://www.scopus.com/inward/record.uri?eid=2-s2.0-85169824003&amp;doi=10.1016%2fj.dsr2.2023.105322&amp;partnerID=40&amp;md5=39817ff86ac44100fd70a557647843e9</t>
  </si>
  <si>
    <t>As a partially mixed estuary, Tampa Bay is influenced both by its connections to the adjacent Gulf of Mexico (GOM) and what occurs locally within the estuary. To assist in addressing the many scientific questions arising from various environmental factors, a very high resolution Tampa Bay Coastal Ocean Model (TBCOM) is modified to downscale from the deep GOM, across the continental shelf and into Tampa Bay to provide daily, automated nowcasts and forecasts. Veracity tests are provided for sea levels and currents forced by tides, synoptic weather variations and for extreme events. The model is also demonstrated to reproduce the net estuarine circulation through comparisons between in situ observations and model simulations. With demonstrated accuracy, TBCOM forecast sea levels are provided online as a reference for navigation support and for extreme events such as hurricane storm surge. Model simulations, even with a perfect model, are subject to errors by the forcing functions. For Tampa Bay, the NOAA NAM winds used to force the model are found to underestimate the actual winds, suggesting that additional wind observations for assimilation into operational weather forecast models may offer further improvements. This finding highlights the need for further coordination between coastal ocean observing systems and the ocean and atmosphere modeling communities. With coastal ocean and estuary material properties determined largely by the circulation, most ecological applications require accurate and timely circulation information, which the TBCOM Nowcast/Forecast System for Tampa Bay endeavors to provide. © 2023 Elsevier Ltd</t>
  </si>
  <si>
    <t>2-s2.0-85169824003"</t>
  </si>
  <si>
    <t>10.1016/j.envsoft.2023.105829</t>
  </si>
  <si>
    <t>https://www.scopus.com/inward/record.uri?eid=2-s2.0-85172233217&amp;doi=10.1016%2fj.envsoft.2023.105829&amp;partnerID=40&amp;md5=6a5f042fb449cb630ff90084f261ad08</t>
  </si>
  <si>
    <t>Mapping inundation areas and flood depths is necessary for coastal and riverine management and planning. Flood maps help communicate flooding risk to affected communities and vulnerable populations and are essential for evaluating flooding impacts. Here, we introduce MatFlood, a computationally efficient static flood tool that exploits image-processing algorithm for estimation of flood extension and depth. Features include (a) an algorithm that evaluates hydro-connectivity</t>
  </si>
  <si>
    <t>10.1007/s10584-023-03610-4</t>
  </si>
  <si>
    <t>https://www.scopus.com/inward/record.uri?eid=2-s2.0-85171621801&amp;doi=10.1007%2fs10584-023-03610-4&amp;partnerID=40&amp;md5=d2e198912cf4bf01094e3809be2f5a00</t>
  </si>
  <si>
    <t>Extreme precipitation events (EPEs) and heatwaves (HWs) can trigger floods, droughts, and other natural disasters, resulting in severe socioeconomic losses in eastern China. However, the accurate links between EPEs and HWs and future changes in these extremes are not fully resolved, which potentially impedes disaster warning and preparedness efforts. This study examines historical and future changes in summer EPEs and HWs in eastern China based on observations and model outputs from the Coupled Model Intercomparison Project Phase 6. The results show that EPEs and HWs in eastern China have increased in the past four decades and are projected to rise in the future. According to multi-model projections, the Yangtze River Basin, along with areas to its south, are expected to experience an increase in compound disasters due to HWs and EPEs. High values of the multi-year mean total population exposure to EPEs and HWs are observed in the North China Plain, Yangtze River Delta, Sichuan Basin, and southeast coast. The total population exposure to EPEs shows a decreasing trend under Shared Socioeconomic Pathway (SSP) 245 and SSP585 scenarios during 2021–2100, consistent with future population decline. However, the annual total population exposure to HWs will increase, reaching nearly 3.0 billion and 5.0 billion by the end of the century under the SSP245 and SSP585 scenarios, respectively. Within the context of global warming, the relationship between the mean-state of precipitation and maximum temperature as well as the relationship between extreme precipitation and heatwaves shift from negative correlation in the historical period to positive correlation in future projections for eastern China. © 2023, The Author(s), under exclusive licence to Springer Nature B.V.</t>
  </si>
  <si>
    <t>2-s2.0-85171621801"</t>
  </si>
  <si>
    <t>Annual Review of Environment and Resources</t>
  </si>
  <si>
    <t>10.1146/annurev-environ-112320-101903</t>
  </si>
  <si>
    <t>https://www.scopus.com/inward/record.uri?eid=2-s2.0-85177615310&amp;doi=10.1146%2fannurev-environ-112320-101903&amp;partnerID=40&amp;md5=4c99a5a4da2c6c3bd07a7f3f651a4b3a</t>
  </si>
  <si>
    <t>Coastal systems are sensitive to direct and indirect impacts of climate change. Approximately 90% of all coastal areas will be affected by climate change to varying degrees. Nearly half of the world’s major cities are located within 50 km of a coast, and coastal population densities are 2.6 times greater than those of inland areas, with a steep rise over the years. While coastal critical infrastructure is expanding, more social and physical systems are increasingly exposed to climate-induced hazards. The interconnectedness and interdependencies of critical infrastructure systems increase their systemic instability and fragility, resulting in greater dynamic risk and cascading impacts. Coastal critical infrastructure systems on several continents are at risk from the effects of climate change, including sea level rise, storm surges, and extreme weather events. Therefore, it is necessary to build and run climate-resilient infrastructure that is planned, designed, implemented, and operated to predict, be prepared for, and adapt to changing climatic circumstances. This review provides an up-to-date, objective, and critical assessment based on the literature to help determine what is known and what needs the future attention of researchers. Copyright © 2023 by the author(s)</t>
  </si>
  <si>
    <t>2-s2.0-85177615310"</t>
  </si>
  <si>
    <t>10.1038/s41598-023-28695-w</t>
  </si>
  <si>
    <t>https://www.scopus.com/inward/record.uri?eid=2-s2.0-85146846853&amp;doi=10.1038%2fs41598-023-28695-w&amp;partnerID=40&amp;md5=957d32560930dd3e7888e3f9bee05575</t>
  </si>
  <si>
    <t>All landscapes, including estuarine islands, normally try to restore their geomorphic isostasy in all anthropogenic interventions on land dynamics. Munroe Island has been experiencing drastic environmental degradation, such as land subsidence, severe tidal/monsoon flooding, subsidence of build-ups and a drastic decay in agricultural productivity. This paper examines the role of anthropo-geomorphic interventions causing for the land degradation in Munroe Island through a multidisciplinary approach. Multidated, multiresolution satellite products and published maps, spanning a period of about six decades from 1960 to 2021, were used to understand the different geomorphic and geographical processes in the study area. Evaluation of the temporal bathymetric datasets, salinity measurements of the river and estuary, borehole data logs of the area and electrical resistivity surveys of the island were analyzed to find out the causative factors for the disturbances in the land neutrality, along with the tidal hydrodynamic changes in the region. The study shows about 14% of the total land area was vanished during the study period, and more than 25% of the area is under stress, leading to further land degradation. More than 500 households are forced to vacate their residence due to land subsidence/flooding. Lack of required freshwater and sediment supply from the Kallada river after the construction of the Thenmala reservoir in the Kallada river as well as the uncontrolled sand mining prevailed are the key factors for the environmental degradation of Munroe Island. The paper describes the role and colinkages of human-induced hydrogeomorphic interventions on a geomorphic system, in charge of the environmental degradation and land subsidence crisis of an estuarine island ecosystem and discusses the concerns related to the management strategies of such region. © 2023, The Author(s).</t>
  </si>
  <si>
    <t>2-s2.0-85146846853"</t>
  </si>
  <si>
    <t>Kuwait Journal of Science</t>
  </si>
  <si>
    <t>10.1016/j.kjs.2023.02.034</t>
  </si>
  <si>
    <t>https://www.scopus.com/inward/record.uri?eid=2-s2.0-85169884170&amp;doi=10.1016%2fj.kjs.2023.02.034&amp;partnerID=40&amp;md5=8a9b148b49b640314d9d6024bc5ffd87</t>
  </si>
  <si>
    <t>In Kuwait, about 111 ​mm of heavy rainfall occurred overnight in 6 ​hours on the 6th of November, 2018, caused flash floods in several areas. This study deals with the preparation of flood risk maps for Sabah Al Ahmed city by using the digital elevation model (DEM) and geographic information system (GIS) tools. Secondly, the detection of areas at risk from flash floods was done using the hydrological method. Using hydrological methods of GIS tools, the present work started with fill, flow direction, flow accumulation, basin, stream link, stream order, and stream density. In addition, quantitative descriptions of watershed morphology were used, such as the length/width ratio which was 2.64, indicating that the watershed was slightly rounded. The form factor was calculated at 0.37, indicating an inconsistent shape. The relief ratio was 0.03, indicating it was low relief. As a result, the most detected channels were the seventh, sixth, and fifth stream orders. In addition, the stream morphological equations yielded a texture ratio of 48.6 ​km, indicating a smooth texture. The bifurcation ratio was 3.12, indicating that the surface runoff had a high velocity. Also, the drainage density was 3.7 ​km/km2, and the stream frequency was 7.2 streams/km2. The watershed had moderate texture. Finally, the flood risk map showed that the study area was a very high-risk area with 1.1% of the watershed. The GIS was used in a flood risk analysis due to the potential risk it posed on people, buildings, and infrastructure in the affected areas. © 2023 The Authors</t>
  </si>
  <si>
    <t>2-s2.0-85169884170"</t>
  </si>
  <si>
    <t>10.3390/rs15225354</t>
  </si>
  <si>
    <t>https://www.scopus.com/inward/record.uri?eid=2-s2.0-85178371929&amp;doi=10.3390%2frs15225354&amp;partnerID=40&amp;md5=0db1d3cf9b4c9a7863f10d6310a99451</t>
  </si>
  <si>
    <t>High-resolution coastline detection and monitoring are challenging on a global scale, especially in flat areas where natural events, sea level rise, and anthropic activities constantly modify the coastal environment. While the coastline related to the 0-level contour line can be extracted from accurate Digital Terrain Models (DTMs), the detection of the real-time, instantaneous coastline, especially at low tide, is a challenge that warrants further study and evaluation. In order to investigate an efficient combination of methods that allows to contribute to the knowledge in this field, this work uses topographic total station measurements, Global Navigation Satellite System Real-Time Kinematic (GNSS RTK) technique, and the Structure from Motion (SfM) approach (using a low-cost drone equipped with optical and thermal cameras). All the data were acquired at the beginning of 2022 and refer to the areas of Boccasette and Barricata, in the Po River Delta (Northeastern of Italy). The real-time coastline obtained from the GNSS data was validated using the topographic total station measurements</t>
  </si>
  <si>
    <t>10.52939/ijg.v19i9.2873</t>
  </si>
  <si>
    <t>https://www.scopus.com/inward/record.uri?eid=2-s2.0-85177172670&amp;doi=10.52939%2fijg.v19i9.2873&amp;partnerID=40&amp;md5=408146939ba9e0e967f1a55c9f6962b1</t>
  </si>
  <si>
    <t>Many places in Malaysia suffer from annual floods that sometimes affect the environment, properties, and infrastructures. In this contribution, we attempt to provide a flood information system through the development of a flood risk map. The study was conducted in Maran district from 2017 to 2021 with the available data of Digital Elevation Model (DEM), land use map, topographic map, rainfall intensity, and soil type. The Geographic Information System (GIS) was integrated with the Multi-Criteria Decision Analysis (MCDA) to analyze the potential flood risk area. The distribution of rainfall intensity in the study area is developed using the Inverse Distance Weighted (IDW) interpolation method. The Analytic Hierarchy Process (AHP) is used to determine the weight value of flood hazard criteria. In our study area, there are some natural factors that determine flood risk, such as land use criteria (41.55%), terrain slope (28.95%), rainfall intensity (16.93%), and soil type (12.58%). The value of the consistency ratio is less than 10%, showing that the assessment for each criterion is consistent. It was found that the study area is likely to be at risk of flooding because it has a low slope, has clayey soils, has little vegetation, and is subject to heavy rainfall. © Geoinformatics International.</t>
  </si>
  <si>
    <t>2-s2.0-85177172670"</t>
  </si>
  <si>
    <t>10.1038/s43247-023-00703-x</t>
  </si>
  <si>
    <t>https://www.scopus.com/inward/record.uri?eid=2-s2.0-85152565751&amp;doi=10.1038%2fs43247-023-00703-x&amp;partnerID=40&amp;md5=1b52854eeb49ea02a32c8a29d6447b7f</t>
  </si>
  <si>
    <t>Including sea-level rise (SLR) projections in planning and implementing coastal adaptation is crucial. Here we analyze the first global survey on the use of SLR projections for 2050 and 2100. Two-hundred and fifty-three coastal practitioners engaged in adaptation/planning from 49 countries provided complete answers to the survey which was distributed in nine languages – Arabic, Chinese, English, French, Hebrew, Japanese, Korean, Portuguese and Spanish. While recognition of the threat of SLR is almost universal, only 72% of respondents currently utilize SLR projections. Generally, developing countries have lower levels of utilization. There is no global standard in the use of SLR projections: for locations using a standard data structure, 53% are planning using a single projection, while the remainder are using multiple projections, with 13% considering a low-probability high-end scenario. Countries with histories of adaptation and consistent national support show greater assimilation of SLR projections into adaptation decisions. This research provides new insights about current planning practices and can inform important ongoing efforts on the application of the science that is essential to the promotion of effective adaptation. © 2023, The Author(s) and His Majesty the King in Right of Canada as represented by the Minister of Natural Resources.</t>
  </si>
  <si>
    <t>2-s2.0-85152565751"</t>
  </si>
  <si>
    <t>10.5194/nhess-23-3235-2023</t>
  </si>
  <si>
    <t>https://www.scopus.com/inward/record.uri?eid=2-s2.0-85178183577&amp;doi=10.5194%2fnhess-23-3235-2023&amp;partnerID=40&amp;md5=c4468611208ba3827ba172ce28e5ae22</t>
  </si>
  <si>
    <t>Coastal areas can be tremendously biodiverse and host a substantial part of the world's population and critical infrastructure. However, there are often fragile environments that face various hazards such as flooding, coastal erosion, land salinization or pollution, earthquake-induced land motion, or anthropogenic processes. In this article, we investigate the stability of the Nice Côte d'Azur Airport, which has been built on reclaimed land in the Var River delta (French Riviera, France). This infrastructure, as well as the ongoing subsidence of the airport runways, has been a permanent concern since the partial collapse of the platform in 1979. Here, we used the full archive of ESA SAR (synthetic-aperture radar) images from 1992 to 2020 to comprehensively monitor the dynamics of the airport subsidence. We found that the maximum downward motion rate has been slowing down from 16 mm yr-1 in the 1990s to 8 mm yr-1 today. However, sediment compaction is still active, and an acceleration phase of the continuous creep leading to a potential failure of a part of the platform cannot be excluded. Our study demonstrates the importance of remotely monitoring of the platform to better understand the motion of coastal land, which will ultimately help evaluate and reduce associated hazards. © 2023 Copernicus GmbH. All rights reserved.</t>
  </si>
  <si>
    <t>2-s2.0-85178183577"</t>
  </si>
  <si>
    <t>10.1016/j.scitotenv.2023.165592</t>
  </si>
  <si>
    <t>https://www.scopus.com/inward/record.uri?eid=2-s2.0-85165533424&amp;doi=10.1016%2fj.scitotenv.2023.165592&amp;partnerID=40&amp;md5=88a64baa5f8605acca215d9236296fc1</t>
  </si>
  <si>
    <t>Due to the interaction between upstream discharge and astronomical tides in tidal reaches, the typhoon-induced storm surge processes are quite different from that in other coastal regions. Investigating the contributions of driving factors is essential to deepen the understanding of storm surges in tidal reaches. In this study, a coupled hydrological-hydrodynamic storm surge model is first developed to explore the main driving factors of storm surges in Makou-Dahengqin tidal reach during the three most influential typhoon events (Hagupit, Hato and Mangkhut). After that, the machine learning method is integrated to assess the water level in response to storm surges. The driving factors of storm surge are decomposed into remote forcing (upstream discharge, astronomical tide) and direct local forcing (wind stress, atmospheric pressure). The relative contributions of remote forcing are the highest near the estuary mouth. The relative contributions of local forcing to water levels are higher in the sections 40–80 km away from the estuary mouth. The most impacting period of the local forcing is about 48 h, while the relative contributions of remote forcing increase before and after the period. The local forcing-induced surges are highest at the upper reach during Hagupit, while it causes extreme surges at the estuary mouth during more powerful typhoons (Hato, Mangkhut). The maximum water levels and remote forcing-induced maximum surges invariably appear at the upper reach. However, when local and remote forcings are in the same phase, the maximum storm surge appears in the lower reaches during Hato. If local and remote forcings are in the same phase, the peak water levels would be amplified by up to 15.04 %, 36.23 % and 40.68 % during Hagupit, Hato and Mangkhut, respectively. Moreover, Remote forcing contributes more to the amplification of peak water levels than local forcing does, accounting for 68.5 % to 100 %. © 2023 Elsevier B.V.</t>
  </si>
  <si>
    <t>2-s2.0-85165533424"</t>
  </si>
  <si>
    <t>10.1016/j.scitotenv.2023.165011</t>
  </si>
  <si>
    <t>https://www.scopus.com/inward/record.uri?eid=2-s2.0-85163211282&amp;doi=10.1016%2fj.scitotenv.2023.165011&amp;partnerID=40&amp;md5=79e2348c0bf7f4b4f8f9b60b123eb7f6</t>
  </si>
  <si>
    <t>Climate change induced sea level rise (SLR) is one of the greatest challenges threatening the sustainable management of estuaries worldwide. Current knowledge regarding SLR and estuarine hydrodynamics is primarily focused on individual case studies, which provides limited guidance on how different estuary typologies will respond to SLR. To expand the current knowledge, this research used an idealised hydrodynamic approach to analyse the tidal range dynamics of 25 real-world estuaries with diverse shapes and boundary conditions, providing insights into estuarine response to SLR-induced tidal variations. Under present-day conditions, short length estuaries with wide entrances, deep waters, strong convergence, macro-tidal conditions, low values of roughness, and low upland river inflows are likely to experience amplified tidal range patterns</t>
  </si>
  <si>
    <t>10.1038/s43247-023-00761-1</t>
  </si>
  <si>
    <t>https://www.scopus.com/inward/record.uri?eid=2-s2.0-85151486989&amp;doi=10.1038%2fs43247-023-00761-1&amp;partnerID=40&amp;md5=26a8a23c9492f37077d30307614f710c</t>
  </si>
  <si>
    <t>Coastal communities around the world are experiencing increased flooding. Water level sensors provide real-time information on water levels and detections of flood risk. Previous sensor installations, however, have relied on qualitative judgments or limited quantitative factors to decide on sensor locations. Here, we provide a method to optimally place real-time water level sensors across a community. We utilize a multi-objective optimization approach, including traditional measures of sensor network performance such as coverage and uncertainty, and new flood-specific parameters such as hazard estimations (flood likelihood, critical infrastructure exposure), serviceability (sensor accessibility), and social vulnerability (socio-economic index, vulnerable residential communities index). We propose a workflow combining quantitative analyses with local expertise and experience. We show the method is able to reduce the set of possible new sensor locations to just 1.3% of the full solution set, supporting effective and feasible community decision-making. The method also supports sequential expansion of a sensor network, creating a network that provides detailed and accurate real-time water level information at the hyperlocal level for flood risk assessment and mitigation in coastal communities. © 2023, The Author(s).</t>
  </si>
  <si>
    <t>2-s2.0-85151486989"</t>
  </si>
  <si>
    <t>10.5194/nhess-23-3585-2023</t>
  </si>
  <si>
    <t>https://www.scopus.com/inward/record.uri?eid=2-s2.0-85179437900&amp;doi=10.5194%2fnhess-23-3585-2023&amp;partnerID=40&amp;md5=144021406988d4309f99c074f69de775</t>
  </si>
  <si>
    <t xml:space="preserve">Coastal flooding is recognized as one of the most devastating natural disasters, resulting in significant economic losses. Therefore, hazard assessment is crucial to support preparedness and response to such disasters. Toward this, flood map databases and catalogues are essential for the analysis of flood scenarios, and furthermore they can be integrated into disaster risk reduction studies. In this study and in the context of the European Coastal Flood Awareness System (ECFAS) project (GA 101004211), which aimed to propose the European Copernicus Coastal Flood Awareness System, a catalogue of flood maps was produced. The flood maps were generated from flood models developed with LISFLOOD-FP for defined coastal sectors along the entire European coastline. For each coastal sector, 15 synthetic scenarios were defined focusing on high-frequency events specific to the local area. These scenarios were constructed based on three distinct storm durations and five different total-water-level (TWL) peaks incorporating tide, mean sea level, surge and wave setup components. The flood model method was extensively validated against 12 test cases for which observed data were collated using satellite-derived flood maps and in situ flood markers. Half of the test cases represented well the flooding with hit scores higher than 80ĝ€¯%. The synthetic-scenario approach was assessed by comparing flood maps from real events and their closest identified scenarios, producing a good agreement and global skill scores higher than 70ĝ€¯%. Using the catalogue, flood scenarios across Europe were assessed, and the biggest flooding occurred in well-known low-lying areas. In addition, different sensitivities to the increase in the duration and TWL peak were noted. The storm duration impacts a few limited flood-prone areas such as the Dutch coast, for which the flooded area increases more than twice between 12 and 36ĝ€¯h storm scenarios. The influence of the TWL peak is more global, especially along the Mediterranean coast, for which the relative difference between a 2- and 20-year return period storm is around 80ĝ€¯%. Finally, at a European scale, the expansion of flood areas in relation to increases in TWL peaks demonstrated both positive and negative correlations with the presence of urban and wetland areas, respectively. This observation supports the concept of storm flood mitigation by wetlands.  © Copyright: </t>
  </si>
  <si>
    <t>2-s2.0-85179437900"</t>
  </si>
  <si>
    <t>10.3390/rs15205002</t>
  </si>
  <si>
    <t>https://www.scopus.com/inward/record.uri?eid=2-s2.0-85175366651&amp;doi=10.3390%2frs15205002&amp;partnerID=40&amp;md5=c31986287cfc042edb2c47681bb9edeb</t>
  </si>
  <si>
    <t>Tropical cyclones affecting Shenzhen city have shown a remarkable tendency to increase in both intensity and quantity, highlighting the urgency of accurate forecasts of storm surges and flooding for effective planning and mitigation. Utilizing satellite and field observations together with the advanced high-resolution baroclinic wave–current model (SCHISM), a comprehensive investigation aimed at storm surge and flooding in Shenzhen was conducted. Statistical work of historical tropical cyclones revealed that Shenzhen was most vulnerable to cyclones propagating from the southeast toward the northwest and passing Shenzhen down the Pearl River Estuary. Thus, a representative, i.e., super typhoon Hato (2017), was selected for further study. Validations of numerical results suggested satisfactory model performance in mapping the wave, tide, and surge processes. Remarkable differences in spatiotemporal distribution and intensity of storm surge and flooding were found along the Shenzhen coast, which was dominated by the propagation of far-field surge and tidal waves, cooperation between wind direction and coastline orientation, estuary morphology, and the land terrain. Intervention of wave–current interaction improved the simulation of the surge and flooding and triggered an earlier occurrence time of the maximum surge in specific areas. The Pearl River discharge significantly elevated the sea level height inside the estuary and contributed to a more severe surge. Given the extremely complicated river networks and huge freshwater flux of Pearl River and the increasing trend of concurrent heavy precipitation of tropical cyclones, future investigations on compound flooding were suggested. © 2023 by the authors.</t>
  </si>
  <si>
    <t>2-s2.0-85175366651"</t>
  </si>
  <si>
    <t>10.1038/s41598-023-40721-5</t>
  </si>
  <si>
    <t>https://www.scopus.com/inward/record.uri?eid=2-s2.0-85168342408&amp;doi=10.1038%2fs41598-023-40721-5&amp;partnerID=40&amp;md5=623be43903fd3c3d23cb3bd28649cad4</t>
  </si>
  <si>
    <t>Marine sediments in coastal zones serve as valuable archives for understanding the history of silicate chemical weathering and summer monsoon rainfall in source areas, providing insights into terrigenous climate and environmental evolution. In this study, we investigated the grain size, clay minerals, and geochemistry of sediments retrieved from core KZK01 in the coastal zone of the northwest South China Sea during the past 13 thousand years before present (kyr BP). Our findings demonstrated that the illite crystallinity index served as a reliable proxy for assessing the intensity of chemical weathering in the source area. Moreover, it distinctly recorded significant climatic events such as the Younger Dryas and Bond events during the Holocene. The dominant driver of the regional East Asian summer monsoon was identified as summer solar radiation in the Northern Hemisphere at low latitudes. Cold climate events exhibited global consistency, potentially influenced by the presence of ice sheets at high latitudes. Lastly, our records revealed a distinct transition at 9.0 kyr, highlighting significant impacts of the Qiongzhou Strait and sea level rise on regional climate dynamics. © 2023, Springer Nature Limited.</t>
  </si>
  <si>
    <t>2-s2.0-85168342408"</t>
  </si>
  <si>
    <t>10.3390/land12112014</t>
  </si>
  <si>
    <t>https://www.scopus.com/inward/record.uri?eid=2-s2.0-85178156756&amp;doi=10.3390%2fland12112014&amp;partnerID=40&amp;md5=139ab2a40265bdccc3159168f47b560f</t>
  </si>
  <si>
    <t>Flood risk assessment at the mesoscale requires data that are spatially and thematically detailed enough to provide reliable estimates at the catchment level. However, data availability and suitability are often contradictory: available data are rarely suitable at the required level of detail. To overcome this problem, numerous disaggregation methods have been proposed in recent decades, often based on somewhat generalised imperviousness characteristics derived from the available urban land use/land cover (LULC) nomenclature. To reduce generalisation, we propose a new disaggregation approach using a spatially distributed imperviousness density (IMD) layer at a very detailed spatial resolution of 10 m as ancillary data to improve the thematic detail of the urban classes of the available LULC datasets (Coastal Zones, Natura 2000) and the dasymetric mapping of the census data. The nomenclature of the urban classes and the impervious density thresholds were taken from the detailed Urban Atlas dataset. The disaggregation of the census data is then built on the resulting geometry of thematically improved residential classes. Assuming that IMD values indicate a built-up density, the proposed weighting scheme is IMD-dependent: it accounts for variability in the built-up density and, hence, variability in population. The approach was tested in three catchments in Croatia, each with a different degree of urbanisation. The resulting statistics (mean square error and percentage error) indicate that residential areas and population density depend on IMD. Using IMD as additional data therefore greatly improves the assessment of elements that are exposed to flooding and, consequently, the damage and flood risk assessment. © 2023 by the authors.</t>
  </si>
  <si>
    <t>2-s2.0-85178156756"</t>
  </si>
  <si>
    <t>10.3390/land12101844</t>
  </si>
  <si>
    <t>https://www.scopus.com/inward/record.uri?eid=2-s2.0-85175026670&amp;doi=10.3390%2fland12101844&amp;partnerID=40&amp;md5=6b930fa24e2ec8dacc577b8f2293f31e</t>
  </si>
  <si>
    <t>Impervious land expansion is linked to ecosystem fragmentation and degradation, posing threats to nature conservation and multiplying climate change impacts. This is particularly true on the Mediterranean coast, where persistent urbanization is coupled with tourism development, further intensifying coastal erosion, flood risk, heat stress and biodiversity loss, while decreasing carbon sequestration. In this research, high-resolution imperviousness data were analyzed through a geospatial methodology to detect patterns and processes in a heavily burdened Mediterranean coastal area, namely Greece. The methodology was structured on a set of GIS tools, analyzing the distribution of new impervious cover between 2006 and 2018, to evaluate pressures exerted on coastal territories and on the environmental protection network. The results revealed relatively slow rates of impervious land expansion at a nationwide scale, mostly attributed to the economic recession period in Greece. However, certain locations exhibited continuing artificialization of land even within Natura 2000 areas, while future pressures on coastal territories are expected to increase due to the restarting of construction activity and the continuing dynamic of the mass tourism sector. The conclusions imply that controlling for imperviousness is important in order to develop spatial planning policies for climate resilience, which should be decisively enforced in the Mediterranean to prevent a business-as-usual scenario. © 2023 by the author.</t>
  </si>
  <si>
    <t>2-s2.0-85175026670"</t>
  </si>
  <si>
    <t>10.3390/hydrology10110205</t>
  </si>
  <si>
    <t>https://www.scopus.com/inward/record.uri?eid=2-s2.0-85178104728&amp;doi=10.3390%2fhydrology10110205&amp;partnerID=40&amp;md5=9c40dfb50ccb4a6be5c2c2c438011892</t>
  </si>
  <si>
    <t>Pakistan is vulnerable to a range of climate hazards, including sea-level rise. The Indus Delta region, situated in the coastal Sindh province, is particularly at risk of sea-level rise due to low-lying land and fragile ecosystems. In this article, expertise is drawn together from the newly established Pakistan Sea-Level Working Group, consisting of policy experts, scientists, and practitioners, to provide recommendations for future research, investment, and coastal risk management. An assessment of the current scientific understanding of sea-level change and coastal climate risks in Pakistan highlights an urgent need to improve the availability and access to sea-level data and other coastal measurements. In addition, reflecting on the policy environment and the enablers needed to facilitate effective responses to future sea-level change, recommendations are made to integrate coastal climate services into the National Adaptation Plan and develop a National Framework for Climate Services. Such a framework, alongside collaboration, co-production, and capacity development, could help support required improvements in coastal observations and monitoring and continuously deliver useful, usable, and accessible sea-level information for use by practitioners and decision-makers. © 2023 by the authors.</t>
  </si>
  <si>
    <t>2-s2.0-85178104728"</t>
  </si>
  <si>
    <t>10.1038/s41598-023-32059-9</t>
  </si>
  <si>
    <t>https://www.scopus.com/inward/record.uri?eid=2-s2.0-85151853049&amp;doi=10.1038%2fs41598-023-32059-9&amp;partnerID=40&amp;md5=6b99e9bee93336937dd38b7a2a69947c</t>
  </si>
  <si>
    <t>Coastal space is one of the most valuable assets of the EU coastal member states, as the coast is highly urbanized. Hard engineering has traditionally been employed to protect communities in coastal lowlands, but as this alternative becomes less sustainable and more costly, coastal managers are increasingly turning to landuse planning strategies, such as setback zones or managed retreat. To explore the efficiency of these planning tools in reducing future urban exposure to sea-level rise and associated hazards, we developed spatially explicit projections of urban extent that account for different socio-economic futures and various types of setback zones. We find that the establishment of coastal setback zones can reduce the exposure of new urban development by at least 50% in the majority of EU countries by 2100. Our results emphasize that future urban exposure to sea-level rise will be significantly influenced by the ways in which we plan, design, and develop urban space in the EU coastal lowlands. © 2023, The Author(s).</t>
  </si>
  <si>
    <t>2-s2.0-85151853049"</t>
  </si>
  <si>
    <t>10.3390/rs15204998</t>
  </si>
  <si>
    <t>https://www.scopus.com/inward/record.uri?eid=2-s2.0-85175320909&amp;doi=10.3390%2frs15204998&amp;partnerID=40&amp;md5=2ec497eeb1edaffe57edfcc078ac34d0</t>
  </si>
  <si>
    <t>Frequent mining activities create a series of geological and environmental problems resulting in an immeasurable loss of life and property. Adopting effective technologies that monitor the surface subsidence of mining areas reliably and accurately is necessary. Targeting problems associated with conventional distributed scatterers interferometric synthetic aperture radar (DS-InSAR) technology, we propose a DS-InSAR technology integrating unmanned aerial vehicle (UAV) photogrammetry products divided into two key technical contents: generating an external reference digital elevation model (DEM) fused with UAV DEM and refining distributed scatterers candidates (DSCs) fused with an UAV digital orthophoto map (DOM). We selected two mining areas, one in Wu’an, Hebei, and the other in Inner Mongolia, with different surface cover types, mining depths, and topographies as the research area. We used Sentinel-1A SAR images covering a mine in Wu’an from 4 November 2018 to 4 March 2019 and a mining area in Inner Mongolia from 11 June 2018 to 21 October 2018 to compare and analyze the subsidence results. We also combined these results with data from their respective field observation stations to assess accuracy. We could apply DS-InSAR technology integrated with UAV photogrammetry products to the subsidence monitoring of two mining areas with different landforms and mining characteristics. Comparing with the leveling and total station, the experimental results show that the RMSE was reduced by about 2 mm in both mining areas, and accuracy for the Wu’an region improved to a higher degree than Inner Mongolia did. Furthermore, the refinement method of DS eliminated 965 and 2948 lower-quality DSCs in the two mining areas. These demonstrate that our proposed method can effectively improve the accuracy and reliability of subsidence results from two mining areas. © 2023 by the authors.</t>
  </si>
  <si>
    <t>2-s2.0-85175320909"</t>
  </si>
  <si>
    <t>10.3390/rs15194828</t>
  </si>
  <si>
    <t>https://www.scopus.com/inward/record.uri?eid=2-s2.0-85174149800&amp;doi=10.3390%2frs15194828&amp;partnerID=40&amp;md5=5071a0d53ce3cae385ac6010ae0c7143</t>
  </si>
  <si>
    <t>China is one of the countries that suffers severe damage from storm surges. Assessing the vulnerability to storm surges holds great significance for promoting sustainable development and minimizing disaster losses in coastal areas. This study first developed a vulnerability index by integrating 15 indicators from three components (exposure, sensitivity, and adaptability) that provide a comprehensive portrayal of the multidimensional structure of vulnerability. Subsequently, the vulnerability of Chinese coastal areas was comprehensively evaluated from the perspective of prefecture-level cities using a weight combination strategy. Furthermore, spatial statistical techniques were utilized to analyze the spatial heterogeneity of vulnerability. The results show that 64% of coastal cities are classified as being in the very high and high vulnerability categories, with Zhanjiang, Lingao, Dalian, Yancheng, and Shanwei exhibiting the highest vulnerability levels. Among the provinces, Guangxi and Hainan Provinces demonstrate the highest vulnerability, with more than 90% of their coastal cities facing high vulnerability. Additionally, the vulnerability of Chinese coastal cities exhibits significant spatial heterogeneity. Specifically, coastal cities located in the Yangtze River Delta and the Pearl River Delta regions are identified as low–low (LL) vulnerability clusters, whereas high–high (HH) vulnerability clusters are observed in coastal cities within the Beibu Gulf region. These results provide valuable insights for the formulation of disaster reduction policies at the provincial level and the focus for action at the local level. © 2023 by the authors.</t>
  </si>
  <si>
    <t>2-s2.0-85174149800"</t>
  </si>
  <si>
    <t>10.13189/eer.2023.110501</t>
  </si>
  <si>
    <t>https://www.scopus.com/inward/record.uri?eid=2-s2.0-85172884863&amp;doi=10.13189%2feer.2023.110501&amp;partnerID=40&amp;md5=fff127c87ddc9865a1b5982b87e2f021</t>
  </si>
  <si>
    <t>This study assesses walkability in Borg Rasheed, a vulnerable coastal settlement in Egypt's Nile Delta. It also explores walkability in terms of women's accessibility to daily services. Moreover, it investigates the anticipated impacts of sea level rise on infrastructure, and accessibility. The Neighborhood Environment Walkability Scale (NEWS) is a survey that was used to examine the built environment's attributes that influence walkability. A Geographic information system (GIS) was used to represent the examined features of the built environment. Counting pedestrians and modes of transportation identifies gender and age divisions among pedestrians and the frequently used modes of transportation. The methods were conducted through structured site visits and observations. It is found that pedestrians in Borg Rasheed settlement walk to most of their daily trips. Nonetheless, they suffer from unsafe and uncomfortable walking conditions. Furthermore, women encounter challenges in accessing services and social networks due to lack of security, inadequate transportation, and cultural restrictions. Through using mapping and geographic analysis the study anticipates at least 23% of pedestrians, motor vehicles, and bicycle users will lose their designated spaces by 2050 due to rising sea level and submerged infrastructure. Recommendations to enhance walkability to mitigate climate change and empower women are provided. © 2023 by authors, all rights reserved.</t>
  </si>
  <si>
    <t>2-s2.0-85172884863"</t>
  </si>
  <si>
    <t>Environment and Urbanization</t>
  </si>
  <si>
    <t>10.1177/09562478231192176</t>
  </si>
  <si>
    <t>https://www.scopus.com/inward/record.uri?eid=2-s2.0-85172449552&amp;doi=10.1177%2f09562478231192176&amp;partnerID=40&amp;md5=25b648c4ea0e42de26fcac92d1baf357</t>
  </si>
  <si>
    <t>Climate change is putting low-lying coastal zones at increased risk, through higher sea levels and changes in the weather. Deltas are subsiding, compounding such risks. Confirming past research, we find roughly 10 per cent of the world’s population and an even higher share of its urban population are located in coastal areas under 10 metres in elevation (LECZ10), with Asia dominating these statistics. However, according to our estimates for 2015, the deltaic LECZ10 is 2.6 times as densely populated and 1.7 times as built-up as the non-deltaic LECZ10. The deltaic LECZ10 accounts for only 0.35 per cent of the world’s land, but over 10 times the population share (279 million people). Population and built-up area growth rates remain higher in the deltaic LECZ10, and especially its cities. Indeed, for 1990–2015 the urbanization rate of the deltaic LECZ10 is double that in the non-deltaic LECZ10. Given the path dependency of urbanization, this risks locking in maladaptive settlement patterns. © 2023 International Institute for Environment and Development (IIED).</t>
  </si>
  <si>
    <t>2-s2.0-85172449552"</t>
  </si>
  <si>
    <t>10.1007/s11430-022-1151-0</t>
  </si>
  <si>
    <t>https://www.scopus.com/inward/record.uri?eid=2-s2.0-85171676036&amp;doi=10.1007%2fs11430-022-1151-0&amp;partnerID=40&amp;md5=e15aeda77be7050765031f1789a863f3</t>
  </si>
  <si>
    <t>Improved determinations of the oft-ignored third-degree ocean tides can yield better accuracy for tidal predictions, numerical model solutions, and geodesy. While only a small part of tidal range, these components can be larger at certain coastal locations due to shelf resonances and other effects. Here, we discuss observations of the M3 lunar terdiurnal tide using 9-year windowed tidal harmonic analyses at 157 tide gauges compares to a global assimilation model (TPXO9v5a), with a focus on the Western Pacific and the European Shelf. TPXO9v5a does well in estimating the observed M3 amplitudes and phase lags in most regions, though determinations in coastal zones and in morphologically complex areas are coarse and often inaccurate. We also employ a shallow-water model (MARS) on the European Shelf, which can yield localized improvement over TPXO. In five subregions of the European Shelf, regional root-mean-squared-errors (RMSEs) are lower (and thus a better fit) at three locations for TPXO for amplitudes, and three for phase lags, with MARS simulations being a better fit in the other subregions. We also show that some locations have experienced significant long-term increases and/or decreases in the M3 amplitude over time, likely related to resonance changes under sea level rise (SLR) which can modulate the oceanic response to astronomical forcing. This hypothesis is explored for Europe using the MARS model by applying various sea level rise scenarios, showing that the directionality (positive or negative) of the long-term changes in M3 amplitudes over time match the model results for more than half of our validation stations. © 2023, Science China Press.</t>
  </si>
  <si>
    <t>2-s2.0-85171676036"</t>
  </si>
  <si>
    <t>10.3390/atmos14111597</t>
  </si>
  <si>
    <t>https://www.scopus.com/inward/record.uri?eid=2-s2.0-85178158708&amp;doi=10.3390%2fatmos14111597&amp;partnerID=40&amp;md5=9d026f616288fcc9db37e3c19b42020f</t>
  </si>
  <si>
    <t>In coastal regions, accurate storm surge prediction is crucial for effective disaster management and risk mitigation. This study presents a comparative analysis between BALSSA (Bidirectional Attention-based LSTM for Storm Surge Architecture) and the Japan Meteorological Agency (JMA) numerical storm surge model, focusing on the Saola-induced storm surge in Macao, September 2023. To train and assess the model, we leverage an extensive dataset comprising meteorological and tide level information from more than 80 typhoon occurrences in Macao spanning the period from 2017 to 2023. The results provide evidence of BALSSA’s effectiveness in capturing the complex spatio-temporal dynamics of storm surges, with a lead time of up to 72 h, as reflected by its MAE of 0.019 and RMSE of 0.024. It demonstrates reliable accuracy in predicting storm surge magnitude, timing, and spatial extent, potentially contributing to more precise and timely warnings for coastal communities. Furthermore, the real-time data assimilation feature of BALSSA ensures up-to-date information, aligned with the latest observations, which is essential for effective emergency preparedness and response. The high-resolution grids enhance risk assessment, highlighting BALSSA’s potential for early warnings, emergency planning, and coastal risk management. This study contributes valuable insights to the broader field of storm surge prediction, guiding decision-making processes and supporting the development of effective strategies to enhance coastal resilience. © 2023 by the authors.</t>
  </si>
  <si>
    <t>2-s2.0-85178158708"</t>
  </si>
  <si>
    <t>10.1038/s41598-023-36138-9</t>
  </si>
  <si>
    <t>https://www.scopus.com/inward/record.uri?eid=2-s2.0-85160918472&amp;doi=10.1038%2fs41598-023-36138-9&amp;partnerID=40&amp;md5=57086992a3d2c55baa34ba314255955b</t>
  </si>
  <si>
    <t>Floods threaten urban infrastructure, especially in residential neighborhoods and fast-growing regions. Flood hydrodynamic modeling helps identify flood-prone locations and improve mitigation plans' resilience. Urban floods pose special issues due to changing land cover and a lack of raw data. Using a GIS-based modeling interface, input files for the hydrodynamic model were developed. The physical basin's properties were identified using soil map data, Land Use Land Cover (LULC) maps, and a Digital Elevation Model (DEM). So, the HEC-RAS 2-D hydrodynamic model was developed to estimate flood susceptibility and vulnerability in Erbil, Iraq. The case study examines the quality of flood modeling results using different DEM precisions. Faced with the difficulty, this study examines two building representation techniques: Building Block (BB) and Building Resistance (BR). The work presented here reveals that it is possible to apply the BR technique within the HEC-RAS 2-D to create urban flood models for regions that have a lack of data or poor data quality. Indeed, the findings confirmed that the inundated areas or areas where water accumulated in past rainfall events in Erbil are the same as those identified in the numerical simulations. The study's results indicate that the Erbil city is susceptible to flood hazards, especially in areas with low-lying topography and substantial precipitation. The study's conclusions can be utilized to plan and develop flood control structures, since it identified flood-prone areas of the city. © 2023, The Author(s).</t>
  </si>
  <si>
    <t>2-s2.0-85160918472"</t>
  </si>
  <si>
    <t>Applied Geochemistry</t>
  </si>
  <si>
    <t>10.1016/j.apgeochem.2023.105769</t>
  </si>
  <si>
    <t>https://www.scopus.com/inward/record.uri?eid=2-s2.0-85168426280&amp;doi=10.1016%2fj.apgeochem.2023.105769&amp;partnerID=40&amp;md5=3117a7a9139d0488f7f87b90711d0bed</t>
  </si>
  <si>
    <t>Contamination from acid mine drainage affects ecosystems and usability of groundwater for domestic and municipal purposes. The Captain Jack Superfund Site outside of Ward, Boulder County, Colorado, USA, hosts a draining mine adit that was remediated through emplacement of a hydraulic bulkhead to preclude acid mine drainage from entering nearby Lefthand Creek. During impoundment of water within the mine workings in 2020, a diverse and novel dataset of stable isotopes of water, sulfate, and carbon (δ2H, δ18OH2O, δ18OSO4, δ34S, δ13CDIC), rare earth elements, and environmental tracers (noble gases and tritium) were collected to understand groundwater recharge and mixing, mechanisms of sulfide oxidation and water-rock interaction, and the influence of remediation on the hydrologic and geochemical system. Water isotopes indicate that groundwater distal from the mine workings has seasonally variable recharge sources whereas water within the workings has a distinctive composition with minimal temporal variability. Sulfate isotopes indicate that sulfide oxidation occurs both within the mine workings and in adjacent igneous dikes, and that sulfide oxidation may occur under suboxic conditions with ferric iron as the oxidant. Carbon isotopes track the neutralization of acidic waters and the carbon mass budget of the system. Rare earth elements corroborate stable isotopes in indicating groundwater compartmentalization, and additionally illustrate enhanced mineral weathering in the mine workings. Environmental tracers indicate mixing of modern and pre-modern groundwater and inform timelines that active remediation may be needed. Together these datasets provide a useful template for similar investigations of abandoned mine sites where physical mixing processes, sources of solute loading, or remediation timeframes are of importance. © 2023</t>
  </si>
  <si>
    <t>2-s2.0-85168426280"</t>
  </si>
  <si>
    <t>10.5194/nhess-23-3169-2023</t>
  </si>
  <si>
    <t>https://www.scopus.com/inward/record.uri?eid=2-s2.0-85175292405&amp;doi=10.5194%2fnhess-23-3169-2023&amp;partnerID=40&amp;md5=c353483f33207790e2da8dcd36d1bcf0</t>
  </si>
  <si>
    <t>Intertidal wetlands, such as mangroves in the tropics, are increasingly recognized for their role in nature-based mitigation of coastal flood risks. Yet it is still poorly understood how effective they are at attenuating the propagation of extreme sea levels through large (order of 100 km2) estuarine or deltaic systems, with complex geometry formed by networks of branching channels intertwined with mangrove and intertidal flat areas. Here, we present a delta-scale hydrodynamic modelling study, aiming to explicitly account for these complex landforms, for the case of the Guayas delta (Ecuador), the largest estuarine system on the Pacific coast of Latin America. Despite coping with data scarcity, our model accurately reproduces the observed propagation of high water levels during a spring tide. Further, based on a model sensitivity analysis, we show that high water levels are most sensitive to the mangrove platform elevation and degree of channelization but to a much lesser extent to vegetation-induced friction. Mangroves with a lower surface elevation, lower vegetation density, and higher degree of channelization all favour a more efficient flooding of the mangroves and therefore more effectively attenuate the high water levels in the deltaic channels. Our findings indicate that vast areas of channelized mangrove forests, rather than densely vegetated forests, are most effective for nature-based flood risk mitigation in a river delta.  © 2023 Ignace Pelckmans et al.</t>
  </si>
  <si>
    <t>2-s2.0-85175292405"</t>
  </si>
  <si>
    <t>10.3390/atmos14091343</t>
  </si>
  <si>
    <t>https://www.scopus.com/inward/record.uri?eid=2-s2.0-85172894111&amp;doi=10.3390%2fatmos14091343&amp;partnerID=40&amp;md5=d97d1d028586c7a10d1fd241ef12ed9f</t>
  </si>
  <si>
    <t>The projection of future sea level change is usually based on the global climate models (GCMs); however, due to the low spatial resolution of the GCMs, the ability to reproduce the spatial heterogeneity of sea level is limited. In order to improve the sea level simulation capability in the South China Sea (SCS), a high-resolution ocean model has been established by using the dynamic downscaling technology. By evaluating and testing 20 models from the Coupled Model Intercomparison Project Phase 6 (CMIP6), average results of seven models were selected as the forcing condition of the high-resolution ocean model. The ocean model conducted the historical (1980~2014) and future (2015~2100) simulation under three scenarios of Shared Socio-economic Pathways (SSP1–2.6, SSP2–4.5 and SSP5–8.5). The selected average results of seven models in CMIP6 are better than any of them individually. The downscaled dynamic ocean model provides fruitful spatial characteristics of the sea level change, with a decrease in the dynamic sea level (DSL) in the central and southeastern parts of the SCS, and with a significant increase in the coastal DSL. The local steric sea level (SSL) is dominated by the local thermosteric sea level (TSSL), and the changes of local TSSL more than half of the sea level rise in SCS, indicate the magnitude of total sea level rise is dominated by local TSSL. But the spatial variation in total sea level is dominated by the spatial variation in DSL. Compared with CMIP5, the rise magnitude of the DSL and the local TSSL have been increased under the CMIP6 scenarios. The dynamic downscaling of sea level reveals more spatial details, provides more reliable projection of future sea level under the background of global warming, and can provide a new reference for coastal areas in the SCS to cope with the increasing risk of extreme water level disasters in the future.</t>
  </si>
  <si>
    <t>10.3390/land12081631</t>
  </si>
  <si>
    <t>https://www.scopus.com/inward/record.uri?eid=2-s2.0-85168868695&amp;doi=10.3390%2fland12081631&amp;partnerID=40&amp;md5=76fee257e05a1b88ea1193e84626707c</t>
  </si>
  <si>
    <t>Effectively resolving environmental problems often involves not only technical solutions but also examining and potentially reforming the political and institutional frameworks that govern how societies relate to the environment. Coastal flooding due to rising sea levels, for example, poses a significant threat to waterfront areas. Land-use regulations represent an effective means of mitigating this risk. Despite the multitude of strategies developed for tackling similar problems, relatively few have concentrated on assessing the effectiveness of land-use policies in managing such issues. This study examines a framework for evaluating the effectiveness of land-use policies in preventing sea flood risks in the capital regions of Finland. While the focus of this research is on the coastal regions of the cities of Helsinki and Espoo, its implications extend internationally. By integrating Geographical Information System (GIS) and simulation tools, we simulate future land-use scenarios based on values that reflect the effects of land-use policies. This framework can be applied to other coastal regions worldwide facing similar challenges. Using land cover data and GeoSOS-FLUS software, land-use simulations of the target areas were generated. Land-use planning performance in the target areas exhibited positive changes, as fewer vulnerable land-use types were located within the sea flood risk zones in 2018 compared to 2000. This simulation also shows a strong similarity to actual land-use in 2018, confirming the framework’s reliability. This paper presents a novel framework for evaluating the effectiveness of land-use policies in mitigating coastal flooding risks, focusing on the coastal regions of Helsinki and Espoo, Finland. By integrating GIS and simulation tools, the research demonstrates the utility of these tools in tracking land-use changes and analyzing policy impacts, enabling a nuanced assessment of policy effectiveness. Furthermore, the study highlights the importance of local knowledge and a localized approach to policy development, contributing to a deeper understanding of complex issues in urban planning and land-use management. © 2023 by the authors.</t>
  </si>
  <si>
    <t>2-s2.0-85168868695"</t>
  </si>
  <si>
    <t>10.1007/s11069-023-06027-5</t>
  </si>
  <si>
    <t>https://www.scopus.com/inward/record.uri?eid=2-s2.0-85160296547&amp;doi=10.1007%2fs11069-023-06027-5&amp;partnerID=40&amp;md5=a08d627073b0ecb239608d3f0c8a951e</t>
  </si>
  <si>
    <t>This investigation is a study of the spatial propagation of a flood through the execution of two processes integrated into Geographic Information Systems to produce maps of potential flood zones. Based on Multicriteria Assessment (MCDA) techniques, the Analytical Hierarchy Process (AHP) is used to identify areas with different potential degrees of flooding, and the hydrodynamic behavior of the extension is analyzed in terms of flooding in relation to different maximum flows, using the Nays2D solver of the iRIC software. For MCDA, four essential parameters were used for the evaluation of flood zones in the middle and lower course of the Acha–Arica: land use, elevation, slope of the land and distance to the river were used for the establishment of potential zoning. While photogrammetry procedures and a high-resolution Digital Elevation Model, together with base calculation conditions such as roughness, edge, discharge and time, were used for the hydrodynamic simulation of flooding for four different maximum flows of 42, 57, 84 and 114 m3/s. The results indicate that the AHP technique allows quite a coherent prediction of flood zones to be made with a limited amount of data. Hydrodynamic simulation with Nays2D allowed a simulated graphic representation of the extension to be obtained that reflects conditions very close to the actual conditions in which these events take place. Validation was performed by comparing the results with each other and with other sources of documentary records which showed high similarities between flood zones obtained. Graphical abstract: [Figure not available: see fulltext.]. © 2023, The Author(s), under exclusive licence to Springer Nature B.V.</t>
  </si>
  <si>
    <t>2-s2.0-85160296547"</t>
  </si>
  <si>
    <t>10.1016/j.jhydrol.2023.129814</t>
  </si>
  <si>
    <t>https://www.scopus.com/inward/record.uri?eid=2-s2.0-85163881644&amp;doi=10.1016%2fj.jhydrol.2023.129814&amp;partnerID=40&amp;md5=88c60fde5c8d24779d967fea3e68b5fb</t>
  </si>
  <si>
    <t>Deltaic islands are distinct hydro-environmental zones with global significance in food security, biodiversity conservation, and fishery industry. These islands are the fundamental building blocks of many river deltas. However, deltaic islands are facing severe challenges due to intensive anthropogenic activities, sea level rise, and climate change. In this study, dynamic changes of deltaic islands in Wax Lake Delta (WLD) and Atchafalaya Delta (AD), part of the Atchafalaya River Delta Complex (ARDC) in Louisiana, USA, were quantified based on remote sensing images from 1991 to 2019 through a machine learning method. Results indicate a significant increase in deltaic islands area for the whole ARDC at a rate of 1.29 km2/yr, with local expansion rates of 0.60 km2/yr for WLD and 0.69 km2/yr for AD. All three parts of the WLD naturally prograded seaward, with the western part (WP) and central part (CP) expanding southwestward to the sea, while the eastern part (EP) prograding southeastwards. Differently from WLD, the three parts of AD irregularly expanded seaward under the impacts of anthropogenic activities. The WP and CP of the AD expanded respectively northwestwards and southwestwards, while the EP remained stable. Different drivers dominate the growth of deltaic islands in the WLD and AD. Specifically, fluvial suspended sediment discharge and peak flow events were responsible for the shift in the spatial evolution of WLD, while dredging and sediment disposal contributed to the expansion of AD. Tropical storms with different intensity and landing locations caused short-term deltaic island erosion or expansion. Tropical storms mainly generated erosion on the deltaic islands of the WLD, while causing transient erosion or siltation on the deltaic islands of the AD. In addition, high-intensity hurricanes that made landfall east of the deltas caused more erosion in the AD. Finally, sea level rise, at the current rate of 8.17 mm/yr, will not pose a threat to the deltaic island of WLD, while the eastern part of AD may be at risk of drowning. This study recognizes the complexity of factors influencing the growth of deltaic islands, suggesting that quantitative studies on the deltaic island extent are of critical for the restoration and sustainable management of the Mississippi River Delta and other deltas around the world. © 2023 Elsevier B.V.</t>
  </si>
  <si>
    <t>2-s2.0-85163881644"</t>
  </si>
  <si>
    <t>10.1016/j.ejrh.2023.101451</t>
  </si>
  <si>
    <t>https://www.scopus.com/inward/record.uri?eid=2-s2.0-85162152193&amp;doi=10.1016%2fj.ejrh.2023.101451&amp;partnerID=40&amp;md5=802a87155f857fb8fc59b7d42a63b966</t>
  </si>
  <si>
    <t>Study region: The Northwest German part of the North Sea coast Study focus: Low lying coastal areas are highly threatened by climate change. This is due to rising sea level and changing water balance caused by climate change. Adaptation of coastal protection and inland drainage to climate change requires precise predictions of future conditions. While information on sea level rise is globally available, coastal water balance projections need to be specific for regions where often no discharge data is available. To serve this demand, a model based scenario analysis was carried out for four water boards in Northwest Germany. These water boards are regional organisations responsible for drainage and surface water level regulation in marsh areas. A water balance model was calibrated and validated against data of pumping stations and tidal water gates. Subsequently, climate change impacts on runoff generation were estimated. New hydrological insights for the region: The results indicate that runoff generation is expected to increase significantly in the wet season, same as the frequency of periods with large runoff volumes. The climate change impact signal is consistent over all investigated water board areas, indicating that the climate change signal dominates the spatial variability in soil properties and land use. The results emphasize the necessity to consider runoff generation projections for adjusting coastal drainage management. The scenario projections can be directly used for regional adaptation planning processes, taking into account the underlying uncertainties. © 2023 The Authors</t>
  </si>
  <si>
    <t>2-s2.0-85162152193"</t>
  </si>
  <si>
    <t>10.5194/nhess-23-2403-2023</t>
  </si>
  <si>
    <t>https://www.scopus.com/inward/record.uri?eid=2-s2.0-85171331327&amp;doi=10.5194%2fnhess-23-2403-2023&amp;partnerID=40&amp;md5=dc1753f97487387c85715c5826b70576</t>
  </si>
  <si>
    <t xml:space="preserve">Occurrence probabilities of extreme sea levels required in coastal planning, e.g. for calculating design floods, have been traditionally estimated individually at each tide-gauge location. However, these estimates include uncertainties, as sea-level observations typically have only a small number of extreme cases such as annual maxima. Moreover, exact information on sea-level extremes between the tide-gauge locations and incorporation of dependencies between the adjacent stations is often lacking in the analysis. In this study, we use Bayesian hierarchical modelling to estimate return levels of annual maxima of short-term sea-level variations related to storm surges in the Finnish coastal region. We use the generalised extreme value (GEV) distribution as the basis and compare three hierarchical model structures of different complexity against tide-gauge-specific fits. The hierarchical model structures allow us to share information on annual maximum sea levels between the neighbouring stations and also provide a natural way to estimate uncertainties in the theoretical estimates. The results show that compared to the tide-gauge-specific fits, the hierarchical models, which pool information across the tide gauges, provide narrower uncertainty ranges for both the posterior parameter estimates and the corresponding return levels in most locations. The estimated shape parameter of the GEV model is systematically negative for the hierarchical models, which indicates a Weibull type of behaviour for the extremes along the Finnish coast. The negative shape parameter also allows us to calculate the theoretical upper limit for the annual maximum sea levels on the Finnish coast. Depending on the tide gauge and hierarchical model considered, the median value of the theoretical upper limit was 47-73ĝ€¯cm higher than the highest observed sea level.  © Copyright: </t>
  </si>
  <si>
    <t>2-s2.0-85171331327"</t>
  </si>
  <si>
    <t>Barekeng</t>
  </si>
  <si>
    <t>10.30598/barekengvol17iss3pp1265-1276</t>
  </si>
  <si>
    <t>https://www.scopus.com/inward/record.uri?eid=2-s2.0-85217501893&amp;doi=10.30598%2fbarekengvol17iss3pp1265-1276&amp;partnerID=40&amp;md5=99ab3ec5df1509b9f4d1c11ccbeb2a81</t>
  </si>
  <si>
    <t>Mathematical modeling is considered an effective tool for analyzing real-life problems. In this research, we analyze the dynamics of the COVID-19 spread in Mataram city using the SIQRD model with the influence of the vaccination. The analysis is based on varying some parameter values of the model, i.e., the transmission rate (β), the recovery rate for COVID-19 (γ), and the death rate (δ), before and after vaccination, respectively. Our chosen methodology involves parameter estimation using the Euler method. The result shows that the model has an endemic equilibrium point that remains stable before and after vaccination. Furthermore, the basic reproduction number (R0), which states the number of secondary cases that occur if there are infected people in a population, has a value of more than 1 before the vaccination but equal to 1 after the vaccination. This suggests that prior to COVID-19 vaccination, infected individuals could potentially infect more than one person, but after vaccination, each infected person tends to only infect one other individual. This shift is attributed to the subsidence of COVID-19 symptoms following vaccination. © 2023 Author(s).</t>
  </si>
  <si>
    <t>2-s2.0-85217501893"</t>
  </si>
  <si>
    <t>10.5194/os-19-991-2023</t>
  </si>
  <si>
    <t>https://www.scopus.com/inward/record.uri?eid=2-s2.0-85170271368&amp;doi=10.5194%2fos-19-991-2023&amp;partnerID=40&amp;md5=87038dd50cb8b7277549b5a966ef4dd2</t>
  </si>
  <si>
    <t>The global acceleration of sea-level rise (SLR) during the 20th century is now established. On the local scale, this is harder to establish as several drivers of SLR play a role, which can mask the acceleration. Here, we study the rate of SLR along the coast of the Netherlands from the average of six tide gauge records covering the period 1890-2021. To isolate the effects of the wind field variations and the nodal tide from the local sea-level trend, we use four generalised additive models (GAMs) which include different predictive variables. From the sea-level trend estimates, we obtain the continuous evolution of the rate of SLR and its uncertainty over the observational period. The standard error in the estimation of the rate of SLR is reduced when we account for nodal-tide effects and is reduced further when we also account for the wind effects, meaning these provide better estimates of the rate of SLR. A part of the long-term SLR is due to wind forcing related to a strengthening and northward shift of the jet stream, but this SLR contribution decelerated over the observational period. Additionally, we detect wind-forced sea-level variability on multidecadal timescales with an amplitude of around 1 cm. Using a coherence analysis, we identify both the North Atlantic Oscillation and the Atlantic Multidecadal Variability as its drivers. Crucially, accounting for the nodal-tide and wind effects changes the estimated rate of SLR, unmasking an SLR acceleration that started in the 1960s. Our best-fitting GAM, which accounts for nodal and wind effects, yields a rate of SLR of about 1.72.21.3 mm yr-1 in 1900-1919 and 1.51.91.2 mm yr-1 in 1940-1959 compared to 2.93.52.4 mm yr-1 in 2000-2019 (where the lower and upper bounds denote the 5th and 95th percentiles). If we discount the nodal tide, wind and fluctuation effects and assume a constant rate of SLR, then the probability (p value) of finding a rate difference between 1940-1959 and 2000-2019 of at least our estimate is smaller than 1 %. Consistent with global observations and the expectations based on the physics of global warming, our results show unequivocally that SLR along the Dutch coast has accelerated since the 1960s. © 2023 Iris Keizer et al.</t>
  </si>
  <si>
    <t>2-s2.0-85170271368"</t>
  </si>
  <si>
    <t>10.1177/03091333231156511</t>
  </si>
  <si>
    <t>https://www.scopus.com/inward/record.uri?eid=2-s2.0-85148377007&amp;doi=10.1177%2f03091333231156511&amp;partnerID=40&amp;md5=d90cbc867d70a20819a9652d4642fcc5</t>
  </si>
  <si>
    <t>Flooding is increasing in urban areas around the world, leading to loss of life and property damage, and cities are using urban green spaces (UGS) for flood regulation. The spatial attributes of UGS have an important role in controlling and regulating urban flooding, and there is a need for a systematic map on how spatial factors of UGS, such as shape, size, location, or connectivity, impact flooding in urban areas. The objectives of this study are to analyze and synthesize published material to evaluate the impacts of the spatial dimensions of UGS on flood regulation and to identify knowledge gaps and future research directions. Pertinent literature was reviewed and synthesized using the systematic mapping method. The results of this study show that previous research on spatial configuration have examined how variables such as slope, DEM, green space coverage, and landscape shape index impact runoff reduction. Slope was found to be an important, but not determining factor in flood regulation. There is a need for further research on how the geographic context of urban regions, including climatic conditions and land use changes, impacts UGS functionality. Additionally, there is a need for further research on how the spatial configuration of UGS impacts flood vulnerability and intensity, two under-addressed yet important topics in urban flooding. © The Author(s) 2023.</t>
  </si>
  <si>
    <t>2-s2.0-85148377007"</t>
  </si>
  <si>
    <t>10.1007/s10113-023-02109-z</t>
  </si>
  <si>
    <t>https://www.scopus.com/inward/record.uri?eid=2-s2.0-85168710615&amp;doi=10.1007%2fs10113-023-02109-z&amp;partnerID=40&amp;md5=5588d338ffc61be7eada09a1bcd6c695</t>
  </si>
  <si>
    <t>The effects of climate change on the estuarine environment are not fully understood. In temperate regions, droughts are expected to increase in frequency and severity, due to lower precipitation, and the mean sea level is expected to rise. This study aimed to assess how the estuarine environment will be affected by river flow’s reduction, mean sea level rise, and the increase in nutrients discharged from anthropogenic sources. Seven scenarios were simulated and analyzed in the Tagus estuary (Portugal), using the hydrodynamic and biogeochemical model SCHISM: (i) reference scenario, (ii) 10% increase of the wastewater treatment plant (WWTP) outfall’s discharge, (iii) 25% reduction of the river flow, (iv) 50% reduction of the river flow, (v) sea level rise of 0.5 m, (vi) sea level rise of 1 m, and (vii) the combination of 0.5 m of sea level rise and 25% reduction of the river flow. Both the reduction of the river flow and mean sea level rise led to higher salinities and lower nutrients and chlorophyll-a concentrations in the mid and upper areas of the estuary. The reduction in riverine nutrients in the estuary may increase the importance of nutrients from anthropogenic sources (e.g. WTTP discharges) in shaping the spatial variability of the phytoplankton communities in the future. © 2023, The Author(s).</t>
  </si>
  <si>
    <t>2-s2.0-85168710615"</t>
  </si>
  <si>
    <t>10.5194/os-19-1277-2023</t>
  </si>
  <si>
    <t>https://www.scopus.com/inward/record.uri?eid=2-s2.0-85172863291&amp;doi=10.5194%2fos-19-1277-2023&amp;partnerID=40&amp;md5=dee7ef43aa4b2e195d50f600d962706e</t>
  </si>
  <si>
    <t xml:space="preserve">Today, monitoring the evolution of sea level in coastal areas is of importance, since almost 11g% of the world's population lives in low-lying areas. Reducing uncertainties in sea level estimates requires a better understanding of both altimetry measurements and local sea level dynamics. In New Caledonia, the Nouméa lagoon is an example of this challenge, as altimetry, coastal tide gauge, and vertical land motions from global navigation satellite systems (GNSSs) do not provide consistent information. The GEOCEAN-NC 2019 field campaign addresses this issue with deployments of in situ instruments in the lagoon (GNSS buoy, pressure gauge, etc.), with a particular focus on the crossover of one Jason-series track and two Sentinel-3A missions tracks. In this study, we propose a method to virtually transfer the Nouméa tide gauge at the altimetry crossover point, using in situ data from the field campaign. Following the philosophy of calibration and validation (Cal/Val) studies, we derive absolute altimeter bias time series over the entire Jason and Sentinel-3A periods. Overall, our estimated altimeter mean biases are slightly larger by 1-2gcm compared to Corsica and Bass Strait results, with inter-mission biases in line with those of Bass Strait site. Uncertainties still remain regarding the determination of our vertical datum, only constrained by the three days of the GNSS buoy deployment. With our method, we are able to re-analyse about 20 years of altimetry observations and derive a linear trend of -0.2g±g0.1gmmgyr-1 over the bias time series. Compared to previous studies, we do not find any significant uplift in the area, which is more consistent with the observations of inland permanent GNSS stations. These results support the idea of developing Cal/Val activities in the lagoon, which is already the subject of several experiments for the scientific calibration phase of the SWOT wide-swath altimetry mission.  © Copyright: </t>
  </si>
  <si>
    <t>2-s2.0-85172863291"</t>
  </si>
  <si>
    <t>Oecologia Australis</t>
  </si>
  <si>
    <t>10.4257/oeco.2023.2703.03</t>
  </si>
  <si>
    <t>https://www.scopus.com/inward/record.uri?eid=2-s2.0-85178385301&amp;doi=10.4257%2foeco.2023.2703.03&amp;partnerID=40&amp;md5=a16ed639046fd980fea39905f75d6ba1</t>
  </si>
  <si>
    <t>Trees of Mora paraensis (known as pracuúba) accumulate most of the commercial volume of the estuarine floodplain forests in the Amazon River, which are being pressed by disordered logging. To verify if their demographic rates are balanced and vary according to their proximity to the Amazon River, we analyzed the population dynamics of this species for 5 years in 240 plots of 10 m x 25 m. Half of the plots were in areas near the Amazon River and half were in more distant areas (3 ha in each site). The annual measured DBH from 2011 to 2015 was used to construct integral projection models (IPMs), based on the variation in the size of individual trees in that period. Tree survival was high in both populations, but only the population closest to the Amazon River showed mortality in trees of greater than 50 cm DBH. This population has a higher pracuúba density and basal area, but a smaller diameter average because there is a greater proportion and predominance of smaller trees. Both the population near and distant from the Amazon River exhibited increasing population growth rates in all sampling intervals. Population growth rates (λ) ranged from 1.02 to 1.25. The survival of M. paraensis populations showed a strong dependence on size and the distance of the Amazon River changes the density and demography of specie in estuarine forests population increases were maintained throughout the evaluation period, with no atypical year causing shrinkage in the populations. © 2023, Universidade Federal do Rio de Janeiro. All rights reserved.</t>
  </si>
  <si>
    <t>2-s2.0-85178385301"</t>
  </si>
  <si>
    <t>10.1016/j.wace.2023.100590</t>
  </si>
  <si>
    <t>https://www.scopus.com/inward/record.uri?eid=2-s2.0-85164270355&amp;doi=10.1016%2fj.wace.2023.100590&amp;partnerID=40&amp;md5=4e53742bb029f6c7143f7e39489e0cd6</t>
  </si>
  <si>
    <t>Coastal hazards represent an existential threat to Italian coastal regions since they host important economic centers related to manufacturing and tourism. Knowledge of potential extreme sea levels (ESL), their component, and their interactions are essential to better evaluate potentially hazardous future extreme events in a changing climate and possible effects on the design of coastal structures. Hence, in this study, we investigate the interaction between tide and surge for extreme conditions of sea level in 9 locations along the Italian coastline facing both the Adriatic and the Tyrrhenian Seas and all in a semi-diurnal tidal regime. First, we introduce a novel dependence metric, i.e., the β factor, in support of the classical Kendall's τ to preliminary assess the effect of the dependence between tide and surge when conditioned on ESL on the variance of ESL, and then we quantify such effect using a copula-based framework. Here, the surge component is determined via the concept of skew surge, i.e., the difference within a tidal cycle between the maximum observed sea level and the predicted high tide (irrespective of the time of occurrence), to remove any random effect in the interaction due to the timing of the tidal peak. Our results show that ESL components, i.e., tide and skew surge, are negatively dependent, i.e., high/low values of the surge are associated with low/high values of the tide, in all the stations investigated, and that higher values of dependence, measured with Kendall's τ, can be observed in the Adriatic Sea, around −0.6, while lower values in the Tyrrhenian Sea, around −0.45, with the exception of Palermo. In general, an increase in ESL for higher quantiles is observed when the negative dependence between tide and surge is explicitly modeled. Moreover, our results show that the β factor can help quantify the relative contribution of tide and surge on the variability of ESLs. More specifically, small β refers to cases when tide and surge are similar in their magnitude, e.g., Palermo, while values of β close to 1 refer to the case when one component dominates the other. In the former case, ESLs obtained from a model that does not account for the dependence between tide and surge will result in ESL estimates with larger variability. On the other hand, when one component dominates the other, the variability of ESLs is slightly influenced by the model used for tide and surge, i.e., dependent or independent. We can then conclude that by explicitly modeling the dependence between tide and skew surge we can improve estimates and inference of ESLs. © 2023 The Author(s)</t>
  </si>
  <si>
    <t>2-s2.0-85164270355"</t>
  </si>
  <si>
    <t>Journal of Financial Management of Property and Construction</t>
  </si>
  <si>
    <t>10.1108/JFMPC-07-2021-0043</t>
  </si>
  <si>
    <t>https://www.scopus.com/inward/record.uri?eid=2-s2.0-85125948061&amp;doi=10.1108%2fJFMPC-07-2021-0043&amp;partnerID=40&amp;md5=2dcc2ff588911ac5cdcc1623cec97034</t>
  </si>
  <si>
    <t>Purpose: Tanjung Mas, an urban village located in the northern part of Semarang city, has been facing a major impact of coastal inundation occurring along North Java Coastline. This by-product of global climate change is also affecting a 37-hectares slum, one of the largest slums in Semarang city. As the coastal flood tends to escalate every year, the affected areas must have a coping ability to reduce its impact, while also having adequate resources to recover. Considering Tanjung Mas’ dense demographic condition and its function as the city’s seaport, social vulnerability and capability play a significant role in mitigating and recovering flood impacts, in supplement to local government’s effort of strengthening the Northern Java Seawall. Therefore, this study aims to scored and correlated Tanjung Mas’ social vulnerability index (SoVI) and community capability index to assess how well its population can recover from the tidal flood in the future. Design/methodology/approach: This study used the SoVI framework analysis to synthesize relevant social vulnerability indicators and community capability indicators in Tanjung Mas. The two sets of indicators were correlated with Pearson R-squared correlation method to seek a possible non-causal relation. Bivariate indices mapping method exhibit the SoVI and community capability index spatially to show every area’s vulnerability and capability level. Findings: The vulnerability and capability level in Tanjung Mas vary within its smaller area, as six combinations of social vulnerability and community capability level were found. The worst combination was found on areas closer to the coastline, with high social vulnerability and low community capability level. These areas need to be strengthened in both its capability and coping ability toward coastal flood to realize a resilient community. Originality/value: This study will be useful for local governments as a supplement to the strategic spatial plan, predominantly in prioritizing vulnerable area treatment prior to the completion of Northern Java Seawall in 2025. This study provides information and a simplified quantitative scoring result of vulnerability and capability level in slum area that has been customized according to Indonesia’s demographic characteristic. These results and framework might be relevant to SoVI and capability scoring in developing countries. © 2022, Emerald Publishing Limited.</t>
  </si>
  <si>
    <t>2-s2.0-85125948061"</t>
  </si>
  <si>
    <t>Annali di Matematica Pura ed Applicata</t>
  </si>
  <si>
    <t>10.1007/s10231-023-01310-5</t>
  </si>
  <si>
    <t>https://www.scopus.com/inward/record.uri?eid=2-s2.0-85149235929&amp;doi=10.1007%2fs10231-023-01310-5&amp;partnerID=40&amp;md5=3e87f84ef3f60fa2ad8e97c0f7a5048c</t>
  </si>
  <si>
    <t>We investigate curvature properties of 3-(α, δ) -Sasaki manifolds, a special class of almost 3-contact metric manifolds generalizing 3-Sasaki manifolds (corresponding to α= δ= 1) that admit a canonical metric connection with skew torsion and define a Riemannian submersion over a quaternionic Kähler manifold with vanishing, positive or negative scalar curvature, according to δ= 0 , αδ&gt; 0 or αδ&lt; 0. We shall investigate both the Riemannian curvature and the curvature of the canonical connection, with particular focus on their curvature operators, regarded as symmetric endomorphisms of the space of 2-forms. We describe their spectrum, find distinguished eigenforms, and study the conditions of strongly definite curvature in the sense of Thorpe. © 2023, The Author(s).</t>
  </si>
  <si>
    <t>2-s2.0-85149235929"</t>
  </si>
  <si>
    <t>Environmental and Engineering Geoscience</t>
  </si>
  <si>
    <t>10.2113/EEG-D-22-00081</t>
  </si>
  <si>
    <t>https://www.scopus.com/inward/record.uri?eid=2-s2.0-85173144940&amp;doi=10.2113%2fEEG-D-22-00081&amp;partnerID=40&amp;md5=9ffdc9d37fb987b40f975e8daadf94bd</t>
  </si>
  <si>
    <t>Flood risk models in karst landscapes often use methods that do not capture the complex linkages between surface water and groundwater flow. Therefore, published maps for access to the National Flood Insurance Program may exclude those who experience regular inundation. Using simple geographic information system–based inundation models, we demonstrated how one town in Indiana, Orleans, in the classic karst landscape of the Lost River watershed, has been systematically excluded from flood insurance risk maps because Federal Emergency Management Agency–produced models do not consider the town to be prone to floods, despite well-documented evidence to the contrary. Our simple models connect missing elements to the National Hydrography Dataset and show that published flood insurance rate maps significantly under-predict the possible scope of floods in this watershed. Recently proposed highway infrastructure included alternatives that would have bisected the Lost River watershed and could have potentially increased flooding concerns. Unless comprehensive studies detail the actual risk of floods as (1) part of the natural landscape response in karst, (2) a natural consequence of more extreme events as climate changes, and (3) a consequence of impaired flow routes possible from road construction, towns such as Orleans may experience amplified economic exclusion. © 2023 Geological Society of America. All rights reserved.</t>
  </si>
  <si>
    <t>2-s2.0-85173144940"</t>
  </si>
  <si>
    <t>10.1016/j.pce.2023.103443</t>
  </si>
  <si>
    <t>https://www.scopus.com/inward/record.uri?eid=2-s2.0-85165409901&amp;doi=10.1016%2fj.pce.2023.103443&amp;partnerID=40&amp;md5=7754537eae8c4b18ed2d4784ff02d330</t>
  </si>
  <si>
    <t>The data source and resolution of DEM will affect the extraction of watershed features and flood simulation precision. In this paper, based on the 7 cm resolution DEM of the Liulin watershed obtained by tilt photography technology, the nearest neighbor interpolation, bilinear interpolation, and cubic convolution methods were used to resample DEMs with 1m and 30m resolution, and 6 resampled DEMs were obtained. The Aster 30m resolution DEM was downloaded from the geospatial data cloud. The watershed features were extracted from the 7 DEMs and compared. Based on these DEMs, the HEC-HMS model was established. 20 flood events were selected in the Liulin watershed for model calibration and verification. The results showed that the resampling method has little effect on the topographic features, but there were some differences between the resampling and downloaded DEM topographic features. The flood simulation results of the 1m resolution DEM-based HEC-HMS model are slightly better than that of the 30m resolution DEM-based model. The resampled 30m resolution DEM-based model performed identically with Aster 30m resolution DEM-based model. Therefore, an Aster 30m DEM can be used for flood simulation in a watershed that lacks measured high-precision topographic data. © 2023 Elsevier Ltd</t>
  </si>
  <si>
    <t>2-s2.0-85165409901"</t>
  </si>
  <si>
    <t>10.1016/j.ejrh.2023.101466</t>
  </si>
  <si>
    <t>https://www.scopus.com/inward/record.uri?eid=2-s2.0-85165300505&amp;doi=10.1016%2fj.ejrh.2023.101466&amp;partnerID=40&amp;md5=301b880ce5fc43271cd19e671b2fde25</t>
  </si>
  <si>
    <t>Study region: The coastal aquifer of Nile Delta, Egypt is used to develop the current study. Study focus: Excess water from rice irrigation is a source of incidental recharge to mitigate seawater intrusion. This paper numerically explores the optimal location of rice cultivations by subdividing the delta domain into three distinct recharging regions (north, central and south). Additionally, SEAWAT code was simulated under a combination of rice cultivation relocation and sea level rise (SLR). New hydrological insights for the region: The study findings revealed significant variations in salt volume reduction depending on the location of rice cultivation in the delta. Placing rice cultivation in the northern region resulted in the highest reduction of salt volume (19 %). In contrast, locating the recharge in the central region yielded a salt volume reduction of 0.50 %, while rice cultivation in the southern region produced a 15 % increase. Considering the projected SLR of 61 cm by 2100, there was an overall salt volume increment of 3 %. However, when accounting for both SLR and rice cultivation recharge in the northern region, a substantial salt volume reduction of 17 % was observed. The results demonstrated that incidental recharge by rice cultivation in coastal aquifers is an effective method for enhancing saltwater intrusion control. Moreover, this study improves our understanding of hydrological processes and expected responses in the delta under future climate scenarios. © 2023 The Authors</t>
  </si>
  <si>
    <t>2-s2.0-85165300505"</t>
  </si>
  <si>
    <t>10.1016/j.nhres.2023.05.002</t>
  </si>
  <si>
    <t>https://www.scopus.com/inward/record.uri?eid=2-s2.0-85179202607&amp;doi=10.1016%2fj.nhres.2023.05.002&amp;partnerID=40&amp;md5=9eb4690921613b6a0155090f85493328</t>
  </si>
  <si>
    <t>Identifying and understanding the value of citizen science to improve flood modeling is of importance to flood risk management. However, there are few studies that explore the value of citizen science data, with most studies focusing on evaluating the accuracy of the data. This research articulates the added value of citizen science data in flood modeling studies. During flood events, citizen scientists measured river water levels at selected sites along a main reach of the Big Akaki River in Addis Ababa, Ethiopia. They also provided information to estimate water discharge of the ungauged tributaries. The data acquired was used to force a one-dimensional (1D) HECRAS flood model, and to evaluate the model's sensitivity to inputs and parameters. Varying the downstream boundary condition caused a significant difference in the simulated water level (up to 3.5 ​km upstream of the downstream boundary site). Correcting the Digital Elevation Model and consideration of river tributary flows in the model simulation resulted in an underestimation of the observed stage by 0.08 ​m. The sensitivity analysis also showed that results were more sensitive to the Manning roughness values of the channel than that of the floodplain. Finally, this study identifies future flood modeling data collection priorities (e.g. flow data for the tributary). The flood modeling of the study area would not have been realized without the citizen science data. © 2023 National Institute of Natural Hazards, Ministry of Emergency Management of China</t>
  </si>
  <si>
    <t>2-s2.0-85179202607"</t>
  </si>
  <si>
    <t>10.1029/2023EF003784</t>
  </si>
  <si>
    <t>https://www.scopus.com/inward/record.uri?eid=2-s2.0-85168922847&amp;doi=10.1029%2f2023EF003784&amp;partnerID=40&amp;md5=26e4a7fd18e200e9ba3ff68388c16bfd</t>
  </si>
  <si>
    <t>We present the first global estimates of annual average exceedances of contemporary minor, moderate, and major flood levels under sea-level rise (SLR). Applying established methods, we show that minor flooding will occur most days worldwide under 0.7 m global SLR. Moderate flooding occurs at the same frequency under 1.0 m SLR. Local and regional differences in flood threshold elevations, tidal ranges, and non-tidal variability lead to differences in the SLR required for this chronic flooding to emerge. Lower flood thresholds, smaller tidal ranges, and larger extreme skew surges mean chronic flooding can emerge with less SLR. We discuss several implications of these findings for coastal flood hazard assessments. First, tide-driven water level variability dominates weather-driven water level variability when determining locations' propensities for frequent and chronic flooding under SLR. Second, centimeter-accurate flood threshold information is necessary to accurately estimate present and future flood hazards. Third, locations with the most frequent floods at present may not be those that have the most frequent floods under SLR. We develop the Rapid Assessment Framework for Frequent Flood Transitions under SLR (RAFFFTS) to apply these findings to locations not previously considered in global coastal flood hazard studies. RAFFFTS can robustly identify potential future tidal flooding hotspots using only 1-year observational records. We anticipate RAFFFTS will be a valuable tool for identifying locations at risk of chronic flooding under SLR, complementing existing tools for identifying changes in less frequent episodic floods. © 2023 Commonwealth of Australia and The Authors. Earth's Future published by Wiley Periodicals LLC on behalf of American Geophysical Union.</t>
  </si>
  <si>
    <t>2-s2.0-85168922847"</t>
  </si>
  <si>
    <t>10.1029/2023EA002885</t>
  </si>
  <si>
    <t>https://www.scopus.com/inward/record.uri?eid=2-s2.0-85168499214&amp;doi=10.1029%2f2023EA002885&amp;partnerID=40&amp;md5=418d858944e6c4180bd6a390ba27c675</t>
  </si>
  <si>
    <t>Satellite altimetry, which measures water level with global coverage and high resolution, provides an unprecedented opportunity for a wide and refined understanding of the changing tides in the coastal area. But its sampling frequency is too low to satisfy the Nyquist frequency requirement and too few data points per year are available to recognize a sufficient number of tidal constituents to capture the trend of tidal changes on a yearly basis. To address these issues, a novel regularized least-square approach is developed to relax the sampling interval limit to the range of 9–11 days, reaching the revisit time of the existing satellites. In this method, the prior information of the regional tidal amplitudes is used to support a least square analysis to obtain the amplitudes of the tidal constituents for water elevation time series of different lengths and time intervals. Synthetic data experiments performed in Delaware Bay and Galveston Bay showed that the proposed method can determine the tidal amplitudes with high accuracy and the sampling interval can be extended to the application level of major altimetry satellites. The proposed algorithm was further validated using the data of the altimetry mission, Jason-3, to show its applicability to irregular and noisy data. The new method could help identify the changing tides with sea-level rise and anthropogenic activities in coastal areas, informing coastal flooding risk assessment and ecosystem health analysis. © 2023 The Authors. Earth and Space Science published by Wiley Periodicals LLC on behalf of American Geophysical Union.</t>
  </si>
  <si>
    <t>2-s2.0-85168499214"</t>
  </si>
  <si>
    <t>10.1029/2023GL103017</t>
  </si>
  <si>
    <t>https://www.scopus.com/inward/record.uri?eid=2-s2.0-85165501104&amp;doi=10.1029%2f2023GL103017&amp;partnerID=40&amp;md5=792e7a38d43991a5cd46e1f880cf8f12</t>
  </si>
  <si>
    <t>Subsidence after a subduction zone earthquake can cause major changes in estuarine bathymetry. Here, we quantify the impacts of earthquake-induced subsidence on hydrodynamics and habitat distributions in a major system, the lower Columbia River Estuary, using a hydrodynamic and habitat model. Model results indicate that coseismic subsidence increases tidal range, with the smallest changes at the coast and a maximum increase of ∼10% in a region of topographic convergence. All modeled scenarios reduce intertidal habitat by 24%–25% and shifts ∼93% of estuarine wetlands to lower-elevation habitat bands. Incorporating dynamic effects of tidal change from subsidence yields higher estimates of remaining habitat by multiples of 0–3.7, dependent on the habitat type. The persistent tidal change and chronic habitat disturbance after an earthquake poses strong challenges for estuarine management and wetland restoration planning, particularly when coupled with future sea-level rise effects. © 2023 Battelle Memorial Institute and The Authors. This article has been contributed to by U.S. Government employees and their work is in the public domain in the USA.</t>
  </si>
  <si>
    <t>2-s2.0-85165501104"</t>
  </si>
  <si>
    <t>10.1029/2023EF003479</t>
  </si>
  <si>
    <t>https://www.scopus.com/inward/record.uri?eid=2-s2.0-85170660009&amp;doi=10.1029%2f2023EF003479&amp;partnerID=40&amp;md5=e63e0abf1510b7794dc3b0031ffefc5e</t>
  </si>
  <si>
    <t>In the coming decades, coastal flooding will become more frequent due to sea-level rise and potential changes in storms. To produce global storm surge projections from 1950 to 2050, we force the Global Tide and Surge Model with a ∼25-km resolution climate model ensemble from the Coupled Model Intercomparison Project Phase 6 High Resolution Model Intercomparison Project (HighResMIP). This is the first time that such a high-resolution ensemble is used to assess changes in future storm surges across the globe. We validate the present epoch (1985–2014) against the ERA5 climate reanalysis, which shows a good overall agreement. However, there is a clear spatial bias with generally a positive bias in coastal areas along semi-enclosed seas and negative bias in equatorial regions. Comparing the future epoch (2021–2050) against the historical epoch (1951–1980), we project ensemble-median changes up to 0.1 (or 20%) in the 1 in 10-year storm surge levels. These changes are not uniform across the globe with decreases along the coast of Mediterranean and northern Africa and southern Australia and increases along the south coast of Australia and Alaska. There are also increases along (parts) of the coasts of northern Caribbean, eastern Africa, China and the Korean peninsula, but with less agreement among the HighResMIP ensemble. Information resulting from this study can be used to inform broad-scale assessment of coastal impacts under future climate change. © 2023 The Authors. Earth's Future published by Wiley Periodicals LLC on behalf of American Geophysical Union.</t>
  </si>
  <si>
    <t>2-s2.0-85170660009"</t>
  </si>
  <si>
    <t>10.1016/j.jhydrol.2023.129974</t>
  </si>
  <si>
    <t>https://www.scopus.com/inward/record.uri?eid=2-s2.0-85166235925&amp;doi=10.1016%2fj.jhydrol.2023.129974&amp;partnerID=40&amp;md5=e2c33fb4046b806db6ee9bfedf30d1d0</t>
  </si>
  <si>
    <t>Floods are considered the most destructive natural catastrophes on the planet</t>
  </si>
  <si>
    <t>10.1016/j.cliser.2023.100401</t>
  </si>
  <si>
    <t>https://www.scopus.com/inward/record.uri?eid=2-s2.0-85162947000&amp;doi=10.1016%2fj.cliser.2023.100401&amp;partnerID=40&amp;md5=6728aea4145c8371c5c1f420cb306f0f</t>
  </si>
  <si>
    <t>While the prioritisation of scarce resources for climate adaptation is becoming a priority for low and middle income countries, the climate service literature addressing adaptation prioritisation decisions is scarce. This paper contributes to filling this gap by presenting a co-creation process carried out in the Maldives among representatives of government, civil society and researchers. Together, we identified the need to improve a ranking method currently used by the Maldivian government to prioritise islands for investments in erosion prevention. As a solution we developed a layered index. The first layer of this index captures the objective dimension of the problem through an erosion hazard subindex, using the three variables wave energy, reef health and reef flat minimum width. The second layer captures the normative dimension through a multi-criteria analysis using the erosion hazard subindex as one criterion next to other stakeholder selected criteria such as critical infrastructure, economic activity, per capita income and the potential to house additional people that resettle from riskier places as sea-level rise progresses. Results of this new ranking method show that socioeconomic criteria were considered more important by the stakeholders than the biophysical criterion of erosion hazard. Among the top-ranked islands are many regional centres but also less populous islands that have a large potential to house additional people. Lessons learnt from the co-creation process highlight the importance of assembling interdisciplinarity teams, fostering mutual learning among project participants, and designing research projects that do not prescribe upfront the exact problems to be addressed and methods to be applied. © 2023 The Authors</t>
  </si>
  <si>
    <t>2-s2.0-85162947000"</t>
  </si>
  <si>
    <t>10.1111/1752-1688.13094</t>
  </si>
  <si>
    <t>https://www.scopus.com/inward/record.uri?eid=2-s2.0-85146470682&amp;doi=10.1111%2f1752-1688.13094&amp;partnerID=40&amp;md5=62f14de61fef9b24e5c995aa9e9d5e63</t>
  </si>
  <si>
    <t>Polder is usually used for flood control in the river delta area. With the rapid development of urbanization, the dikes or pumps cut the original stream network system, and the stream network connectivity (SNC) and the river system pattern have changed. The dikes or pumps generally force up the river's water level, and regional flood formation mechanisms and processes have changed. In order to quantitatively describe the characteristics of polder-type flood control measure (PFCM) and the change law of SNC, firstly, the streams inside polders were generalized as virtual streams, a hydrological-hydrodynamic model was constructed by connecting Hydrologic Engineering Center-Hydrologic Modeling System and MIKE11 model. Secondly, an SNC evaluation model was constructed based on flow resistance and hydrological process. Finally, the SNC under different scenarios was simulated and evaluated to reveal the influence of the PFCM on SNC. And the dominance analysis method obtained the main control factors of SNC changes. The results showed that the pumps as the main drainage facility under the PFCM, SNC after the opening of the pumps were increased by 0.060, 0.103, and 0.311 for 50%, 30%, and 3% frequency flood scales compared with the pumps closed, respectively. However, compared with the natural stream (without the PFCM), the SNC decreased by 0.391, 0.456, and 0.487, respectively, at the same time of the same flood scale. The PFCM negatively impacted the SNC, and the number of pumps was the main control factor of the SNC. © 2023 American Water Resources Association.</t>
  </si>
  <si>
    <t>2-s2.0-85146470682"</t>
  </si>
  <si>
    <t>10.1016/j.ijdrr.2023.103830</t>
  </si>
  <si>
    <t>https://www.scopus.com/inward/record.uri?eid=2-s2.0-85164420051&amp;doi=10.1016%2fj.ijdrr.2023.103830&amp;partnerID=40&amp;md5=4c1c61fb01f3fbc15467ce0151cd9ad2</t>
  </si>
  <si>
    <t>Reduction of the impact of natural hazards and enhancement of the resilience of population involves access to straightforward information about safe and non-safe areas during the occurrence of a natural phenomenon. The present study focusses on the drainage basin of the Xerias River, at northeastern Peloponnese, Greece, an area highly prone to flooding, while tsunami inundation has also been documented. Firstly, the hazard assessment of the study area to the two phenomena was evaluated by using the Analytic Hierarchy Process and Geographical Information System along with geological, geomorphological, and meteorological data. A sensitivity analysis was used to calculate the uncertainties of both produced geohazard maps, while validation procedure was carried out to determine their accuracy. This study focused on the settlements that host primary and secondary schools to identify safe locations, as well as safe routes from schools to these locations. To this end, the hazard maps were used as input that estimated and divided the settlements into safe and non-safe areas concerning flooding and tsunami inundation. Then, safe locations and routes were defined for the evacuation of the population in case of occurrence of these two natural hazards and incorporated all aforementioned information into an open access application. Regarding flood hazard, the most prone areas are distributed at the northern part of the study area. The analysis for the hazard to tsunami inundation indicated that the most susceptible area is a narrow coastal zone across the city of Corinth. The proposed method appears to be quite accurate, and both geohazard maps is of excellent quality, according to the uncertainty analysis and validation findings. Τhe northern part of city of Corinth along with the nearby schools is threatened by both geohazards. The recommended safe locations for flood hazard are distant from the northern part of the city, while the recognized safe areas for tsunami hazard are not close to the coast. The schools of Athikia and Chiliomodi are located in non-safe areas regarding flooding and authorities should ensure the construction of flood shelter near schools. In the settlements of Solomos and Examilia, the school buildings are located in safe areas regarding flooding. This study highlights the importance of scientific analysis in safe location and route planning, brings together science and society, and provides useful information that can save human lives. © 2023</t>
  </si>
  <si>
    <t>2-s2.0-85164420051"</t>
  </si>
  <si>
    <t>10.3390/cli11080172</t>
  </si>
  <si>
    <t>https://www.scopus.com/inward/record.uri?eid=2-s2.0-85169040445&amp;doi=10.3390%2fcli11080172&amp;partnerID=40&amp;md5=55a717bc5df52368b08100ce1100421a</t>
  </si>
  <si>
    <t>As the global climate is changing dramatically, the Westfjords of Iceland are facing a multitude of challenges, including changing weather patterns, sea level rise, and invasive species. In order to cope with the recent climatic changes—many of which present great uncertainties to livelihoods—strategies must be developed to plan and adapt for the future. Iceland has recently launched marine spatial planning (MSP) endeavours, and one of the first planning processes has been conducted in the Westfjords. MSP presents opportunities for authorities, stakeholders, and the public to come together to forge a sustainable path ahead for marine areas that are under increasing pressure from human activities. However, MSP comes with its own considerable challenges as it attempts to engage stakeholders and the general public in decisions about an ‘invisible’ space largely beneath the surface of the sea. In this paper, the uncertainties of the environmental changes will be explored in conjunction with the multitude of societal challenges to coastal and marine planning in the Westfjords to establish Iceland’s unique context for MSP and to make recommendations for its development. Data from the planning documents as well as from semi-structured interviews and a workshop conducted in the Westfjords will be analysed and discussed. The results show both an urgent environmental need to take action to adapt to ongoing climate change effects and a complex societal structure that favours those who already have power and influence over others. Our recommendations include reforming the Icelandic MSP process with a view to strengthening the public participatory channels as well as the transparency, trust, and accessibility of the process. © 2023 by the authors.</t>
  </si>
  <si>
    <t>2-s2.0-85169040445"</t>
  </si>
  <si>
    <t>10.3390/rs15153713</t>
  </si>
  <si>
    <t>https://www.scopus.com/inward/record.uri?eid=2-s2.0-85167785515&amp;doi=10.3390%2frs15153713&amp;partnerID=40&amp;md5=79ba895667c1a42e24ce62e8f4d32b9a</t>
  </si>
  <si>
    <t>This study quantified erosional and depositional processes for secondary lahars in Las Lajas drainage at Volcán de Fuego, Guatemala, during the rainy season from May to October 2021. Abundant pyroclastic material from ongoing eruptive activity is remobilized seasonally during heavy precipitation, which can impact infrastructure and populations living near Fuego. Our region of focus was in an agricultural zone 6 to 10 km from the summit, surveyed with an unoccupied aerial vehicle (UAV) quadcopter at monthly intervals. Imagery was processed into overlapping time-lapse structure from motion digital elevation models (DEMs). DEMs were differenced to find volumetric changes as a function of the channel flow path distance (quantified in 500 m sections) to track channel morphology changes over time. The largest measured volume changes were a 490 m3/day loss in the upper section (~6 km from summit) and a 440 m3/day gain in the lower sections (~10 km from summit). We discussed how the natural channel’s constriction and widening of Las Lajas in more distal sections control the behavior and stability of the stream evolution. Above the constriction, the channel is primarily downcutting and meandering within an old flood plain, which had been filled in by pyroclastic materials deposited by the June 2018 paroxysm. © 2023 by the authors.</t>
  </si>
  <si>
    <t>2-s2.0-85167785515"</t>
  </si>
  <si>
    <t>10.1029/2023WR034974</t>
  </si>
  <si>
    <t>https://www.scopus.com/inward/record.uri?eid=2-s2.0-85167867407&amp;doi=10.1029%2f2023WR034974&amp;partnerID=40&amp;md5=d0c40c61836dddebc7c7379d8a3cd307</t>
  </si>
  <si>
    <t>Wave and water depth were measured with an instrumented tripod in the Yellow River Delta from 9 December 2014 to 29 April 2015. Concurrent wind data were also collected from a nearby wind station. A high-precision model for predicting local significant wave height (Hs) with wind speed (vw) is constructed using an improved data-driven approach. The proposed model realized high accuracy as it solves the problem that the Hs falls too fast during the wind-decreasing periods. It was tackled by considering the remaining influence of historical vw on the present Hs via incorporating a memory curve of the past wind effect. This innovative approach significantly improves the prediction (R2 from 0.60 to 0.83). The winds in the past 24 hr still left an influence on the waves at the observation site although the influence decreases with time. Physically, it is an implicit but simpler consideration of wind fetch/duration. Further data modeling experiments indicated that the decisive factor for the Hs at the site is the wind speed. Wind directions slightly improve the prediction, indicating that waves are slightly affected by the underwater seabed slope along different wind directions, and northwest winds cause the strongest waves at the site. Adding atmospheric pressure or water depth even reduces the accuracy, which indicated that storm surges and wave deformations under different tide levels have a weak impact on Hs. The proposed local wave model can be easily constructed with available wind and wave data, making it expandable to other regions dominated by wind waves. © 2023. American Geophysical Union. All Rights Reserved.</t>
  </si>
  <si>
    <t>2-s2.0-85167867407"</t>
  </si>
  <si>
    <t>10.1016/j.wace.2023.100575</t>
  </si>
  <si>
    <t>https://www.scopus.com/inward/record.uri?eid=2-s2.0-85161708036&amp;doi=10.1016%2fj.wace.2023.100575&amp;partnerID=40&amp;md5=4b2add513e9ef6aca8d0976068c684f9</t>
  </si>
  <si>
    <t>Coastal zones are among the most complex and dynamic areas on earth. Many marine and hydrologic processes act individually or combined in these areas and can lead to extreme events impacting coastal communities. Since coastal areas are densely populated and host many significant economic activities, understanding how these extremes are changing is crucial for integrated coastal zone management. More reliable and appropriate estimations of future extreme conditions in nearshore areas are urgently needed in light of the projected increases in the severity of future loading conditions combined with the limited residual service life of many existing coastal infrastructures. Considering the ever-growing adoption of nonstationary extreme value analysis as a reliable tool to study the evolution of extremes in coastal regions, this paper provides a systematic and comprehensive literature review on this topic. For this purpose, an automated search algorithm is used to retrieve the most relevant literature form the SCOPUS database. Then, after a careful review of the full texts, a set of articles and conference papers that fully match the purpose of the article are selected and classified based on 14 different categories. Moreover, research challenges and future research pathways regarding nonstationary extreme value analysis are highlighted and discussed. © 2023 The Authors</t>
  </si>
  <si>
    <t>2-s2.0-85161708036"</t>
  </si>
  <si>
    <t>Journal of East Asia and International Law</t>
  </si>
  <si>
    <t>10.14330/jeail.2023.16.2.08</t>
  </si>
  <si>
    <t>https://www.scopus.com/inward/record.uri?eid=2-s2.0-85179989744&amp;doi=10.14330%2fjeail.2023.16.2.08&amp;partnerID=40&amp;md5=1d9e7b681053b982a06caeb25de8a9cc</t>
  </si>
  <si>
    <t>Indonesia is a disaster-prone archipelagic country and one of the world's largest emitters. Climate change has increased the risk of disasters in Indonesia, such as rising sea levels leading to floods. This is undoubtedly a threat to the Indonesian population in coastal areas and small islands. They will be forced to become Internally Displaced Persons (IDPs) if sea levels continue to rise and drown their houses. The number of IDPs in Indonesia has increased significantly in recent years. While IDPs have a legal status and are entitled to protection from the state, there is unfortunately no specific provision for IDPs due to climate disasters in Indonesia. This article examines the legal protection afforded to IDPs in Indonesia as a result of climate-related disasters</t>
  </si>
  <si>
    <t>10.1029/2023EF003518</t>
  </si>
  <si>
    <t>https://www.scopus.com/inward/record.uri?eid=2-s2.0-85171777382&amp;doi=10.1029%2f2023EF003518&amp;partnerID=40&amp;md5=a2ec432ffb1457f6628153182c128f21</t>
  </si>
  <si>
    <t>With sea level rise threatening coastal development, decision-makers are beginning to act by modifying shorelines. Previous research has shown that hardening or softening shorelines may change the tidal range under future sea level rise. Tidal range can also be changed by natural factors. Coastal marshes, which humans increasingly depend on for shoreline protection, are ecologically sensitive to tidal range. Therefore, it is critical to examine how changes in tidal range could influence marsh processes. A marsh accretion model was used to investigate the ecological response of a San Francisco Bay, California, USA marsh to multiple tidal range scenarios and sea level rise from 2010 to 2100. The scenarios include a baseline scenario with no shoreline modifications in the estuary, a shoreline hardening scenario that amplifies the tidal range, and 14 tidal range scenarios as a sensitivity analysis that span tidal amplification and reduction of the baseline scenario. The modeling results expose key tradeoffs to consider when planning for sea level rise. Compared to the baseline, the hardening scenario shows minor differences. However, further tidal amplification prolongs marsh survival but decreases Sarcocornia pacifica cover, an important species for certain threatened wildlife and an effective attenuator of wave energy. Conversely, tidal reduction precipitates marsh drowning but shows gains in Sarcocornia pacifica cover. These mixed impacts of tidal amplification and reduction shown by the model indicate potential tradeoffs in relation to marsh survival, habitat characteristics, and shoreline protection. This study suggests the need for a cross-sectoral, regional approach to sea level rise adaptation. © 2023 The Authors. Earth's Future published by Wiley Periodicals LLC on behalf of American Geophysical Union.</t>
  </si>
  <si>
    <t>2-s2.0-85171777382"</t>
  </si>
  <si>
    <t>10.1007/s11852-023-00965-9</t>
  </si>
  <si>
    <t>https://www.scopus.com/inward/record.uri?eid=2-s2.0-85167516169&amp;doi=10.1007%2fs11852-023-00965-9&amp;partnerID=40&amp;md5=f52f75b82a0172a6879b6aeac9330f57</t>
  </si>
  <si>
    <t>In environmental impact studies conducted in coastal regions, the survey of biodiversity is crucial in areas that are subject to interventions. As the characterization of aquatic invertebrates may indicate important issues that need to be addressed. In this regard, hydrozoans (Class Hydrozoa, Phylum Cnidaria) are recognised as important bioindicators. These organisms are characterized by biradial, tetramerous, or polymerous symmetry, a simple gastrovascular system, and non-cellular mesoglea. The aim of the present study was to perform the first descriptive survey of hydrozoan species found in the estuary of the International Minho River (shared by Portugal and Spain), which is classified as an Important Bird Area and is a site of the Natura 2000 network. Specimens were collected from the tidal marine, brackish and tidal freshwater wetland zones through 1) glass eel fishing bycatch using stow nets at flood tides around the new moon (length of float lines: 10 m</t>
  </si>
  <si>
    <t>10.5194/nhess-23-2475-2023</t>
  </si>
  <si>
    <t>https://www.scopus.com/inward/record.uri?eid=2-s2.0-85171374161&amp;doi=10.5194%2fnhess-23-2475-2023&amp;partnerID=40&amp;md5=2bc318eade2510f8f8826028bca8ef5f</t>
  </si>
  <si>
    <t xml:space="preserve">Coastal floods, driven by extreme sea levels, are one of the most dangerous natural hazards. The people at highest risk are those living in low-lying coastal areas exposed to tropical-cyclone-forced storm surges. Here we apply a novel modelling framework to estimate past and/or present and future storm-surge-level and extreme-sea-level probabilities along the coastlines of southern China, Vietnam, Cambodia, Thailand, and Malaysia. A regional hydrodynamic model is configured to simulate 10ĝ€¯000 years of synthetic tropical cyclone activity, representative of a past/present (1980-2017) and high-emission-scenario future (2015-2050) period. Results show that extreme storm surges, and therefore total water levels, will increase substantially in the coming decades, driven by an increase in the frequency of intense tropical cyclones. Storm surges along the southern Chinese and northern and southern Vietnamese coastlines increase by up to 1ĝ€¯m, significantly larger than expected changes in mean sea-level rise over the same period. The length of coastline that is presently exposed to storm surge levels of 2.5ĝ€¯m or greater will more than double by 2050. Sections of Cambodian, Thai, and Malaysian coastlines are projected to experience storm surges (at higher return periods) in the future, not previously seen, due to a southward shift in tropical cyclone tracks. Given these findings, coastal flood management and adaptation in these areas should be reviewed for their resilience against future extreme sea levels.  © Copyright: </t>
  </si>
  <si>
    <t>2-s2.0-85171374161"</t>
  </si>
  <si>
    <t>10.1134/S1875372823030022</t>
  </si>
  <si>
    <t>https://www.scopus.com/inward/record.uri?eid=2-s2.0-85180263095&amp;doi=10.1134%2fS1875372823030022&amp;partnerID=40&amp;md5=8445b03d3ceab9f34de8aa8a4371d489</t>
  </si>
  <si>
    <t>Abstract: As a result of soil-geochemical studies, we have determined the degree of hydrogenic transformation of soils on the most developed and periodically flooded territories of the western and southern coast of Lake Baikal. Indicators are selected and a scale is proposed for a point assessment of hydrogenic transformation of soils and soil cover. The following indicators are used as indicators of the hydrogenic transformation of soils and soil cover: morphological signs of hydromorphism, soil pollution, reduction of physical clay content, increased area of exposed soil-forming and underlying rock, reduction of humus reserves, the area of natural forage land and arable land removed from land use, and others. An assessment is made of the environmental damage caused to the soil cover of the coastal area as a result of the influence of fluctuations in the lake level. It is revealed that most of the key areas of the western coast of Lake Baikal are characterized by an average degree of soil transformation. A high degree of soil transformation is noted at the mouths of the Goloustnaya and Anga rivers and on the coast of the Gulf of Shida and Lake Ulan-Khan. On most of the studied territory of the southern coast of Baikal (the mouth of the Snezhnaya, Utulik, Pokhabikha, and Kultuk rivers), a high degree of transformation of soil cover has been established, where an anthropogenic impact is also observed. In all periodically flooded soils of the lake coast, geomorphological signs of hydromorphism are observed, and in some areas there are processes of increasing the fraction of physical sand, sediment from organic remains of dead vegetation, a decrease and increase in humus reserves, and a decrease in the area of forage land. Increased concentrations of petroleum products and some heavy metals have been detected in the soils of the estuaries of the southern coast of Lake Baikal. The soils of most of the key areas are characterized by low levels of plant nutrients. © 2023, Pleiades Publishing, Ltd.</t>
  </si>
  <si>
    <t>2-s2.0-85180263095"</t>
  </si>
  <si>
    <t>Indonesian Journal on Geoscience</t>
  </si>
  <si>
    <t>10.17014/ijog.10.2.229-244</t>
  </si>
  <si>
    <t>https://www.scopus.com/inward/record.uri?eid=2-s2.0-85178007777&amp;doi=10.17014%2fijog.10.2.229-244&amp;partnerID=40&amp;md5=7912d81d7c3a3104b22c24a023faec6b</t>
  </si>
  <si>
    <t>Detailed geomorphological map of a region provides necessary information on landforms to understand the variations of surface and subsurface processes. Geomorphological maps prepared based on a combined geospatial and field-observation approach are preliminary data for precise, prompt, and efficient watershed-level planning. The Kulsi is a significant left-bank tributary of the Brahmaputra. It has potential for agricultural, land, and water resources, but the region needs to catch up due to frequent climatic-geomorphic hazards. Therefore, this article aims to prepare an object-oriented detailed geomorphological map using geospatial tools. High-resolution satellite images and a digital elevation model were used to generate the detailed geomorphological map of the studied area. The resultant map is verified with extensive fieldwork. The investigated basin is characterized by structural and denudation hills, anthropogenetic escarpment</t>
  </si>
  <si>
    <t>10.1007/s10708-023-10845-2</t>
  </si>
  <si>
    <t>https://www.scopus.com/inward/record.uri?eid=2-s2.0-85148911896&amp;doi=10.1007%2fs10708-023-10845-2&amp;partnerID=40&amp;md5=4f36c195b14bd1e388b7fa17c26e5bf7</t>
  </si>
  <si>
    <t>Local communities’ perception on how ecosystems such as mangroves contribute to their resilience to climate change is essential to effectively engage them in adaptation and mitigation actions. This study assessed the perceptions of coastal communities on climate change, and the contribution of mangroves in their resilience to climate change in the southern Côte d’Ivoire. Individual interviews (n = 120) were conducted in four coastal villages, selected based on their proximity to mangroves. Data were analyzed using the Chi-Square test simple correspondence analysis. Informants’ knowledge on climate change was low. However, the scarcity of rainfall (62%), increased temperature (heat) (32%), and the high frequency of high winds (6%) have been cited as indicators of changes in the climate. More than half of respondents (63.3%) agreed that mangroves help people adapt to climate change because they produce more fish, shield people from poverty, and lessen flooding, storms, and erosion in their communities. This study has demonstrated a substantial relationship between the level of mangrove significance knowledge and the profession practiced in terms of whether it is affected by climate change. People with higher levels of education and members of particular professions frequently know more about climate change. The profession is a key driver in the knowledge of the contribution of mangroves in protecting fish fauna against climate change. Mangroves reduce the vulnerability of coastal communities to the effects of climate change through their ecosystem services which include fish productivity (which provides income to fishermen and fish sellers as well as alternative income to farmers), protection against flooding and erosion, and more. Therefore, it is of utmost importance to conserve this ecosystem at all costs. © 2023, The Author(s), under exclusive licence to Springer Nature B.V.</t>
  </si>
  <si>
    <t>2-s2.0-85148911896"</t>
  </si>
  <si>
    <t>10.1016/j.nhres.2023.06.002</t>
  </si>
  <si>
    <t>https://www.scopus.com/inward/record.uri?eid=2-s2.0-85178364126&amp;doi=10.1016%2fj.nhres.2023.06.002&amp;partnerID=40&amp;md5=0a99dcd2c3dd7b4f7490e2c577712685</t>
  </si>
  <si>
    <t>The Alboran Basin may be subject to tsunami hazards. If such an event were to occur, it is expected that the urbanised and densely populated areas of northern Moroccan coastline would be affected. Precise inundation hazard maps are needed for tsunami risk management in this region. In this article, we argue that the diversity of hazard mapping methods ensures the robustness of the scientific knowledge about the exposure of a territory. Hence, the main objective of this study is to analyse the exposure of the plain of Martil (north of Morocco), by using four hazard mapping methods to create inundation maps for two scenarios of tsunamis generated by extreme submarine mass failure (SMF) in the Alboran Sea, of 0.9 ​km3 and 3.8 ​km3 respectively. A digital terrain model of the plain was used to explore four methods of inundation mapping. The static method identified 4.32 ​km2 and 19.83 ​km2 of flooded areas for each scenario using water height values as inundation thresholds. The hybrid and the volumetric methods use the volume of water to determine the inundation extent. For the first scenario, 3.51 ​km2 of the plain were inundated using the hybrid method, and 20.11 ​km2 for the second scenario. The results of the volumetric methods are 2.32 ​km2 and 7.82 ​km2 respectively for the first and second scenario. Finally, the fourth method relies on numerical hydrodynamic modelling of tsunami inundation (Freshkiss3d® code). With this method, 4.55 ​km2 of the plain were flooded in the first scenario, and 24.12 ​km2 for the second. The comparison of the results highlights that the most sensitive areas to tsunami inundation are the lowest topographic ones, being the beaches and the wadis floodplains. This result raises questions on the current coastal development and the preparedness of its population, thus calling for more attention to engage on tsunami risk management related questions. © 2023 National Institute of Natural Hazards, Ministry of Emergency Management of China</t>
  </si>
  <si>
    <t>2-s2.0-85178364126"</t>
  </si>
  <si>
    <t>10.1111/jiec.13402</t>
  </si>
  <si>
    <t>https://www.scopus.com/inward/record.uri?eid=2-s2.0-85161403276&amp;doi=10.1111%2fjiec.13402&amp;partnerID=40&amp;md5=81ddfd4a354961ea08ea8a2ab2e58c14</t>
  </si>
  <si>
    <t>Recent research suggests that over 75% of resources extracted globally now go toward creating, maintaining, or operating material stocks (MS) to provide societal services like housing, transport, education, and health. However, the integrity of current and future built environments, and the capacity of the system to continue providing services, are threatened by extreme events and sea-level rise (SLR). This is especially significant for the most disaster-prone countries in the world: Small Island Developing States. In the aftermath of disasters, complex rebuilding efforts require substantial material and economic resources, oftentimes incurring massive debt. Understanding the composition and dynamics of MS and environmental threats is essential for current and future sustainable development. Drawing on open-source OpenStreetMap (OSM) data, we conducted a spatially explicit material stock analysis (MSA) for The Bahamas for 2021, where we included buildings and transport MS, and SLR exposure scenarios. Total MS was estimated at 76 million tonnes (Mt) or 191 tonnes per capita (t/cap) of which transport comprises 43%. These MS are likely to increase by 36 Mt in the future. Simulations show that under 1-, 2-, or 3-m SLR scenarios, around 4, 6, and 9 Mt of current MS will be exposed, with transport MS at greatest risk, with over 80% of total exposure in each scenario. Our findings highlight the critical role that key MS play in sustainability and resilience, contributing to the emphasis on effective development planning and climate change adaptation strategies, and to the exploration of the use of OSM data for studying these objectives. © 2023 The Authors. Journal of Industrial Ecology published by Wiley Periodicals LLC on behalf of International Society for Industrial Ecology.</t>
  </si>
  <si>
    <t>2-s2.0-85161403276"</t>
  </si>
  <si>
    <t>10.46717/igj.56.2C.23ms-2023-9-29</t>
  </si>
  <si>
    <t>https://www.scopus.com/inward/record.uri?eid=2-s2.0-85173867657&amp;doi=10.46717%2figj.56.2C.23ms-2023-9-29&amp;partnerID=40&amp;md5=7d3d29df24b775b58d597ec96d17eb89</t>
  </si>
  <si>
    <t>Several application programs, including Global Mapper, Surfer and GIS, which deal with spatial analysis and extract spatial data and information for land features, were used to extract geometric elements of the proposed Derlock Dam reservoir based on the digital elevation model (DEM) with a discriminating ability of 10 m. It started at a level of 740 m at the site of the dam and reached a height of 900 m above sea level with an interval of 10 m. The relationship of the level with the negative volumetric and negative spatial elements showed that there is a large difference in the values of Negative Volume (NV), Negative Planar Area (NPA), and negative surface area (NSA) at the level of the reservoir (900 m), which is a positive factor in choosing the topograph Negative Surface Area depression, as it shows a significant decrease in the surface area (evaporation area) and the wet area (the area of penetration). This corresponds to a significant increase in the volume of the reservoirs, and indicates that the depression is deep and small in area, as well as the final economic feasibility of the project. It consists of two reservoirs, which will allow a strategy to maneuver the amount of water storage, as well as reduce the risks of flood waves and sediments that will be deposited behind the dam gate. The reservoir volume reached 900 m, 3611048537 billion m3, distributed among reservoirs near the dam with volumes of 445189305 million/m3 and 3166195232 billion/m3 for the reservoir far from the dam site, because the Upper Zab River does not have dams, so it will be able to build important reservoirs and control the river water during floods. © 2023, Union of Iraqi Geologists. All rights reserved.</t>
  </si>
  <si>
    <t>2-s2.0-85173867657"</t>
  </si>
  <si>
    <t>10.1111/gcb.16850</t>
  </si>
  <si>
    <t>https://www.scopus.com/inward/record.uri?eid=2-s2.0-85164162988&amp;doi=10.1111%2fgcb.16850&amp;partnerID=40&amp;md5=07651dd5ca63e469c4d5441bf8798ad9</t>
  </si>
  <si>
    <t>Wetlands are crucial nodes in the carbon cycle, emitting approximately 20% of global CH4 while also sequestering 20%–30% of all soil carbon. Both greenhouse gas fluxes and carbon storage are driven by microbial communities in wetland soils. However, these key players are often overlooked or overly simplified in current global climate models. Here, we first integrate microbial metabolisms with biological, chemical, and physical processes occurring at scales from individual microbial cells to ecosystems. This conceptual scale-bridging framework guides the development of feedback loops describing how wetland-specific climate impacts (i.e., sea level rise in estuarine wetlands, droughts and floods in inland wetlands) will affect future climate trajectories. These feedback loops highlight knowledge gaps that need to be addressed to develop predictive models of future climates capturing microbial contributions. We propose a roadmap connecting environmental scientific disciplines to address these knowledge gaps and improve the representation of microbial processes in climate models. Together, this paves the way to understand how microbially mediated climate feedbacks from wetlands will impact future climate change. © 2023 John Wiley &amp; Sons Ltd.</t>
  </si>
  <si>
    <t>2-s2.0-85164162988"</t>
  </si>
  <si>
    <t>10.5194/tc-17-2891-2023</t>
  </si>
  <si>
    <t>https://www.scopus.com/inward/record.uri?eid=2-s2.0-85170276037&amp;doi=10.5194%2ftc-17-2891-2023&amp;partnerID=40&amp;md5=fde35bcdfee81fb5803503c47e4edee0</t>
  </si>
  <si>
    <t>Glacier surges are prevalent in the Karakoram and occasionally threaten local residents by inundating land and initiating mass movement events. The Kyagar Glacier is well known for its surge history, and in particular its frequent blocking of the downstream valley, leading to a series of high-magnitude glacial lake outburst floods (GLOFs). Although the surge dynamics of the Kyagar Glacier have been broadly described in the literature, there remains an extensive archive of remote sensing observations that have great potential for revealing specific surge characteristics and their relationship with historic lake outburst floods. In this study, we propose a new perspective on quantifying the surging process using successive digital elevation models (DEMs), which could be applied to other sites where glacier surges are known to occur. Advanced Spaceborne Thermal Emission and Reflection Radiometer DEMs, High Mountain Asia 8-meter DEMs, and the Shuttle Radar Topography Mission DEM were used to characterize surface elevation changes throughout the period from 2000 to 2021. We also used Landsat time series imagery to quantify glacier surface velocities and associated lake changes over the course of two surge events between 1989 and 2021. Using these datasets, we reconstruct the surging process of the Kyagar Glacier in unprecedented detail and find a clear signal of surface uplift over the lower glacier tongue, along with uniformly increasing velocities, associated with the period of surge initiation. Seasonal variations in surface flow are still evident throughout the surge phase, indicating the presence of water at the glacier bed. Surge activity of the Kyagar Glacier is strongly related to the development and drainage of the terminal ice-dammed lake, which itself is controlled by the drainage system beneath the glacier terminus. © 2023 Guanyu Li et al.</t>
  </si>
  <si>
    <t>2-s2.0-85170276037"</t>
  </si>
  <si>
    <t>Computers and Geosciences</t>
  </si>
  <si>
    <t>10.1016/j.cageo.2023.105406</t>
  </si>
  <si>
    <t>https://www.scopus.com/inward/record.uri?eid=2-s2.0-85164237790&amp;doi=10.1016%2fj.cageo.2023.105406&amp;partnerID=40&amp;md5=39bf92f6a3d34e256298cb766bf83a76</t>
  </si>
  <si>
    <t>Accurate sea-level forecasting is crucial for navigation, engineering and coastal conservation. One of the major obstacles in obtaining accurate sea-level data, both at coastal and offshore areas, has been in defining a realistic vertical datum. The Baltic Sea countries, however, have collaborated in calculating a high-resolution regional geoid model (NKG2015). This now paves the way for determining accurate sea-levels over the entire sea. Accordingly, this study explores the application of a deep learning two-dimensional Convolutional Neural Network (Conv2D) technique along with using essential inputs (e.g. accurate dynamic topography (DT), wind speed and direction, surface pressure and temperature). The method was tested for a three-year 2017–2019 period in the Baltic Sea. The evaluation was based on two statistical criteria: spatial root mean squared error (RMSE) and R-squared (R2). Results revealed that the proposed Conv2D model allows predicting the DT of the Baltic Sea, with an R2 of 0.91. The spatial RMSE plot also confirms accurate DT predictions for most of the Baltic Sea points, with the discrepancies distributed within ±4 cm. Spatially, some larger RMSE values (∼10 cm) were obtained at particular locations in south-eastern Baltic Sea, which may be due to the input sources utilized. Examination of sea level maxima also showed that the Conv2D model reproduced the maxima events in most scenarios (9 of 10 and 8 of 11 in Gulf of Finland and Riga, respectively) with residuals that varied up to 7 cm–18 cm. For the higher residuals, the Conv2D tended to underestimate the sea level. This suggests the importance of considering the necessary inputs (e.g waves) for forecasting storm surges and that the Conv2D model can still be improved. External validation was also performed using along-track sea level satellite altimetry data, with differences between forecasted model and satellite being within 5 cm. This confirms the validity of the forecasted model and the occurrences of model biases to be minimum. The method utilized shows the potential to contribute toward operational sea level forecasting in the Baltic Sea. © 2023 Elsevier Ltd</t>
  </si>
  <si>
    <t>2-s2.0-85164237790"</t>
  </si>
  <si>
    <t>10.1007/s11356-022-24672-4</t>
  </si>
  <si>
    <t>https://www.scopus.com/inward/record.uri?eid=2-s2.0-85143991681&amp;doi=10.1007%2fs11356-022-24672-4&amp;partnerID=40&amp;md5=b6ddd1d343aeb0e73770f8843ac622b5</t>
  </si>
  <si>
    <t>During the monsoon season, flooding is common in several parts of India, and urban areas are becoming more prone to flooding even during less intense rainfall events as a result of the encroachment of waterbodies and natural drainage channels, increased impervious areas, and subsequent decrease in infiltration capabilities. In the years 2000, 2008, 2016, 2019, 2020, and 2021, severe flood events in our study area, the Saroor Nagar urban watershed in Telangana state, caused human loss, economic devastation, and environmental devastation. Although flood risk cannot be completely eliminated, it can be significantly reduced by developing a flood hazard model to identify flood-prone areas in a watershed, which can assist decision makers seeking comprehensive flood risk management. The flood hazard map is created by integrating Geomatics with multi-criteria decision analysis and the analytical hierarchy process (AHP). Topographic wetness index (TWI), digital elevation model (DEM), slope, precipitation, drainage density, distance to waterbody, soil, and land use land cover (LULC) were the flooding causative elements considered in this study. The resulting flood risk map is divided into four distinct categories that reflect flood danger levels of low, moderate, high, and extremely high. The flood risk map revealed that the moderate risk zone decreased from 50.2 to 45.7% of the study area between 2008 and 2020, while the high-risk zone increased from 45.2 to 52.8%. The flood susceptibility map is validated using crowdsourcing techniques. The findings demonstrated that a Geographic Information System (GIS)-based multi-criteria analysis framework for flood hazard analysis could be effectively used to aid disaster management decision-making. © 2022, The Author(s), under exclusive licence to Springer-Verlag GmbH Germany, part of Springer Nature.</t>
  </si>
  <si>
    <t>2-s2.0-85143991681"</t>
  </si>
  <si>
    <t>10.1029/2023JF007083</t>
  </si>
  <si>
    <t>https://www.scopus.com/inward/record.uri?eid=2-s2.0-85170389153&amp;doi=10.1029%2f2023JF007083&amp;partnerID=40&amp;md5=490c250d9534f94ecf0ea932b9c4632f</t>
  </si>
  <si>
    <t>Coastal boulders are often indicators of past extreme wave events. In fact, the coastal boulder distribution induced by infragravity-dominated storm waves (energetic IG waves) may be similar to that induced by tsunamis</t>
  </si>
  <si>
    <t>10.5194/nhess-23-3125-2023</t>
  </si>
  <si>
    <t>https://www.scopus.com/inward/record.uri?eid=2-s2.0-85173223867&amp;doi=10.5194%2fnhess-23-3125-2023&amp;partnerID=40&amp;md5=41e6cbb949f994b8c38ddc548531c9e7</t>
  </si>
  <si>
    <t xml:space="preserve">Topographic and bathymetric data are essential for accurate predictions of flooding in estuaries because water depth and elevation data are fundamental components of the shallow-water hydrodynamic equations used in models for storm surges and tides. Where lidar or in situ acoustic surveys are unavailable, recent efforts have centred on using satellite-derived bathymetry (SDB) and satellite-derived topography (SDT). This work is aimed at (1) determining the accuracy of SDT and (2) assessing the suitability of the SDT and SDB for extreme water level modelling of estuaries. The SDT was created by extracting the waterline as it tracks over the topography with changing tides. The method was applied to four different estuaries in Aotearoa / New Zealand: Whitianga, Maket, Chiwa and Tauranga harbours. Results show that the waterline method provides similar topography to the lidar with a root-mean-square error equal to 0.2 m, and it is slightly improved when two correction methods are applied to the topography derivations: the removal of statistical bias (0.02 m improvement) and hydrodynamic modelling correction of waterline elevation (0.01 m improvement). The use of SDT in numerical simulations of surge levels was assessed for Tauranga Harbour in eight different simulation scenarios. Each scenario explored different ways of incorporating the SDT to replace the topographic data collected using non-satellite survey methods. In addition, one of these scenarios combined SDT (for intertidal zones) and SDB (for subtidal bathymetry), so only satellite information is used in surge modelling. The latter SDB is derived using the well-known ratio-log method. For Tauranga Harbour, using SDT and SDB in hydrodynamic models does not result in significant differences in predicting high water levels when compared with the scenario modelled using surveyed bathymetry.  © Copyright: </t>
  </si>
  <si>
    <t>2-s2.0-85173223867"</t>
  </si>
  <si>
    <t>10.5194/os-19-1123-2023</t>
  </si>
  <si>
    <t>https://www.scopus.com/inward/record.uri?eid=2-s2.0-85169672199&amp;doi=10.5194%2fos-19-1123-2023&amp;partnerID=40&amp;md5=991157285a42c0aadbc91919ab12613f</t>
  </si>
  <si>
    <t>Wind waves and swells are major drivers of coastal environment changes and coastal hazards such as coastal flooding and erosion. Wave characteristics are sensitive to changes in water depth in shallow and intermediate waters. However, wave models used for historical simulations and projections typically do not account for sea level changes whether from tides, storm surges, or long-term sea level rise. In this study, the sensitivity of projected changes in wave characteristics to the sea level changes is investigated along the Atlantic European coastline. For this purpose, a global wave model is dynamically downscaled over the northeastern Atlantic for the 1970-2100 period under the SSP5-8.5 climate change scenario. Twin experiments are performed with or without the inclusion of hourly sea level variations from regional 3D ocean simulations in the regional wave model. The largest impact of sea level changes on waves is located on the wide continental shelf where shallow-water dynamics prevail, especially in macro-tidal areas. For instance, in the Bay of Mont-Saint-Michel in France, due to an average tidal range of 10 m, extreme historical wave heights were found to be up to 1 m higher (+30 %) when sea level variations are included. At the end of the 21st century, extreme significant wave heights are larger by up to +40 % (+60 cm), mainly due to the effect of tides and mean sea level rise. The estimates provided in this study only partially represent the processes responsible for the sea-level-wave non-linear interactions due to model limitations in terms of resolution and the processes included.  © 2023 Alisée A. Chaigneau et al.</t>
  </si>
  <si>
    <t>2-s2.0-85169672199"</t>
  </si>
  <si>
    <t>10.1002/rra.3913</t>
  </si>
  <si>
    <t>https://www.scopus.com/inward/record.uri?eid=2-s2.0-85120787042&amp;doi=10.1002%2frra.3913&amp;partnerID=40&amp;md5=952cd89263f8a9248362a9fafdd1c376</t>
  </si>
  <si>
    <t>The Pearl River Delta is a complex ecological-artificial system. The low-elevation landform and land subsidence make the Guangdong-Hong Kong-Macao Greater Bay Area (GBA) more vulnerable to heavy rainstorms with sea-level rise in the future. Therefore, this study discussed how to optimize the delta-related built environment based on locality via cooperation between urban designers and hydrology researchers so that urban development in the GBA can adapt to water disasters. First, this study proposed three adaptive spatial strategies for urban design to improve flood resilience: (a) adding more sunken space and rearranging the locations of manholes</t>
  </si>
  <si>
    <t>10.1007/s11852-023-00955-x</t>
  </si>
  <si>
    <t>https://www.scopus.com/inward/record.uri?eid=2-s2.0-85165235512&amp;doi=10.1007%2fs11852-023-00955-x&amp;partnerID=40&amp;md5=29c4cd94b82925cfb1a736714a841dc5</t>
  </si>
  <si>
    <t>Sea level rise will be a major threat to coastal communities within the next century due to the intensity and severity of the floods it can cause. A new methodology considering water infiltration, slope, and hydraulic connectivity was developed to assess the potential inundation extension associated with different total water level and sea level rise scenarios on sandy coasts. This methodology was applied for the current conditions as well as 2050 and 2100 scenarios of storm surge and high tide levels with return periods of 1 year and 100 years. The study area is Culatra village, located on the lagoon side of a barrier island in southern Portugal. The effects of shoreline evolution after the construction of a harbor and associated beach nourishment were also evaluated within the inundation scenarios. The results show that, within the study area, total water level variations caused by sea level rise have a greater influence on the inundation extension than shoreline retreat. The village appears to be safe for the current and 2050 total water level scenarios with a 1-year return period but would be highly affected by 100-year return periods, especially from 2050 onwards. This novel approach represents an improvement on more common flood mapping methods such as the bathtub approach and can be easily applied to other backbarrier environments under sea level rise or facing coastal erosion. © 2023, The Author(s).</t>
  </si>
  <si>
    <t>2-s2.0-85165235512"</t>
  </si>
  <si>
    <t>10.5194/nhess-23-2961-2023</t>
  </si>
  <si>
    <t>https://www.scopus.com/inward/record.uri?eid=2-s2.0-85173060827&amp;doi=10.5194%2fnhess-23-2961-2023&amp;partnerID=40&amp;md5=a4c8ee86afd2278e7f2b2607d241542f</t>
  </si>
  <si>
    <t>Among the Baltic Sea littoral states, Germany is anticipated to endure considerable damage as a result of increased coastal flooding due to sea-level rise (SLR). Consequently, there is a growing demand for flood risk assessments, particularly at regional scales, which will improve the understanding of the impacts of SLR and assist adaptation planning. Existing studies on coastal flooding along the German Baltic Sea coast either use state-of-The-Art hydrodynamic models but cover only a small fraction of the study region or assess potential flood extents for the entire region but rely on global topographic data sources and apply the simplified bathtub approach. In addition, the validation of produced flood extents is often not provided. Here we apply a fully validated hydrodynamic modelling framework covering the German Baltic Sea coast that includes the height of natural and anthropogenic coastal protection structures in the study region. Using this modelling framework, we extrapolate spatially explicit 200-year return water levels, which align with the design standard of state embankments in the region, and simulate associated coastal flooding. Specifically, we explore (1) how flood extents may change until 2100 if dike heights are not upgraded, by applying two high-end SLR scenarios (1 and 1.5 m)</t>
  </si>
  <si>
    <t>10.3390/cli11090176</t>
  </si>
  <si>
    <t>https://www.scopus.com/inward/record.uri?eid=2-s2.0-85172908233&amp;doi=10.3390%2fcli11090176&amp;partnerID=40&amp;md5=5f969cfdc29e4c1c92b5da5938d74779</t>
  </si>
  <si>
    <t>This study aims to assess the changes in the atmospheric conditions favorable to storm surges over the Santos Coast in Southeast Brazil. Storm surges can favor high sea level rises and coastal erosion, affecting people and strategic structures in coastal areas. The assessment of the atmospheric conditions was based on the downscaling of climate simulations of the Brazilian Earth System Model by the Eta regional climate model at higher spatial resolution. The detection scheme used by the model was able to reproduce the three observed atmospheric patterns favorable to storm surges found by recent studies: Pattern 1 is characterized by a cyclone on the synoptic scale over the ocean</t>
  </si>
  <si>
    <t>Geoscientific Instrumentation, Methods and Data Systems</t>
  </si>
  <si>
    <t>10.5194/gi-12-155-2023</t>
  </si>
  <si>
    <t>https://www.scopus.com/inward/record.uri?eid=2-s2.0-85171022913&amp;doi=10.5194%2fgi-12-155-2023&amp;partnerID=40&amp;md5=ac9031c5c5c59b892dfcba662da6d38f</t>
  </si>
  <si>
    <t>Uncrewed aerial vehicles (UAVs), affordable precise global navigation satellite system hardware, multi-beam echo sounders, open-source 3D hydrodynamic modelling software, and freely available satellite data have opened up opportunities for a robust, affordable, physics-based approach to monitoring river flows. Traditional methods of river discharge estimation are based on point measurements, and heterogeneity of the river geometry is not contemplated. In contrast, a UAV-based system which makes use of geotagged images captured and merged through photogrammetry in order to generate a high-resolution digital elevation model (DEM) provides an alternative. This UAV system can capture the spatial variability in the channel shape for the purposes of input to a hydraulic model and hence probably a more accurate flow discharge. In short, the system can be used to produce the river geometry at greater resolution so as to improve the accuracy in discharge estimations. Three-dimensional hydrodynamic modelling offers a framework to establish relationships between river flow and state variables such as width and depth, while satellite images with surface water detection methods or altimetry records can be used to operationally monitor flows through the established rating curve. Uncertainties in the data acquisition may propagate into uncertainties in the relationships found between discharge and state variables. Variations in acquired geometry emanate from the different ground control point (GCP) densities and distributions used during photogrammetry-based terrain reconstruction. In this study, we develop a rating curve using affordable data collection methods and basic principles of physics. The basic principal involves merging a photogrammetry-based dry bathymetry and wet bathymetry measured using an acoustic Doppler current profiler (ADCP). The output is a seamless bathymetry which is fed into the hydraulic model so as to estimate discharge. The impact of uncertainties in the geometry on discharge estimation is investigated. The impact of uncertainties in satellite observation of depth and width is also analysed. The study shows comparable results between the 3D and traditional river rating discharge estimations. The rating curve derived on the basis of 3D hydraulic modelling was within a 95ĝ€¯% confidence interval of the traditional gauging-based rating curve. The 3D-hydraulic-model-based estimation requires determination of the roughness coefficient within the stable bed and the floodplain using field observation at the end of both the dry and wet season. Furthermore, the study demonstrates that variations in the density of GCPs beyond an optimal number have no significant influence on the resultant rating relationships. Finally, the study observes that which state variable approximation (water level and river width) is more accurate depends on the magnitude of the flow. Combining stage-appropriate proxies (water level when the floodplain is entirely filled and width when the floodplain is filling) in data-limited environments yields more accurate discharge estimations. The study was able to successfully apply advanced UAV and real-time kinematic positioning (RTK) technologies for accurate river monitoring through hydraulic modelling. This system may not be cheaper than in situ monitoring</t>
  </si>
  <si>
    <t>10.3390/rs15184463</t>
  </si>
  <si>
    <t>https://www.scopus.com/inward/record.uri?eid=2-s2.0-85173037632&amp;doi=10.3390%2frs15184463&amp;partnerID=40&amp;md5=d7579d9d03b89976f5d6ea0d8305fdd4</t>
  </si>
  <si>
    <t>Floods are natural events that can have a significant impacts on the economy and society of affected regions. To mitigate their effects, it is crucial to conduct a rapid and accurate assessment of the damage and take measures to restore critical infrastructure as quickly as possible. Remote sensing monitoring using artificial intelligence is a promising tool for estimating the extent of flooded areas. However, monitoring flood events still presents some challenges due to varying weather conditions and cloud cover that can limit the use of visible satellite data. Additionally, satellite observations may not always correspond to the flood peak, and it is essential to estimate both the extent and volume of the flood. To address these challenges, we propose a methodology that combines multispectral and radar data and utilizes a deep neural network pipeline to analyze the available remote sensing observations for different dates. This approach allows us to estimate the depth of the flood and calculate its volume. Our study uses Sentinel-1, Sentinel-2 data, and Digital Elevation Model (DEM) measurements to provide accurate and reliable flood monitoring results. To validate the developed approach, we consider a flood event occurred in 2021 in Ushmun. As a result, we succeeded to evaluate the volume of that flood event at 0.0087 km3. Overall, our proposed methodology offers a simple yet effective approach to monitoring flood events using satellite data and deep neural networks. It has the potential to improve the accuracy and speed of flood damage assessments, which can aid in the timely response and recovery efforts in affected regions. © 2023 by the authors.</t>
  </si>
  <si>
    <t>2-s2.0-85173037632"</t>
  </si>
  <si>
    <t>10.1016/j.earscirev.2023.104503</t>
  </si>
  <si>
    <t>https://www.scopus.com/inward/record.uri?eid=2-s2.0-85165310511&amp;doi=10.1016%2fj.earscirev.2023.104503&amp;partnerID=40&amp;md5=52ef857a263c914108cb5e1787cff8d3</t>
  </si>
  <si>
    <t>Extreme events and disturbances (e.g., tropical cyclones, extreme precipitation, and flooding often associated with land falling storms) affect aquatic carbon (C) cycling at multiple spatiotemporal scales and are most impactful in the coastal ocean with highly connected ecosystems that include rivers, estuaries, wetlands, and the continental shelf. Satellite remote sensing with its synoptic and repeated coverage over large regions and across a range of environmental conditions - including severe weather and natural disasters, has the potential to greatly expand our ability to monitor and quantify the impacts of extreme events on C cycling, particularly in the coastal zone. This review presents recent studies that have employed a combination of field data, numerical model simulations, and multiple resolution satellite observations to assess the impacts of extreme events on the fluxes, transport, and cycling of dissolved (DOC) and particulate organic carbon (POC) in the coastal zone, across the continuum of tidal wetlands, estuaries, and shelf waters. Our review highlights the challenges in quantifying C cycling across the coastal interface and examines key research needs and opportunities (e.g., sensor capabilities and algorithms) to better integrate ocean color remote sensing with field and modeling efforts to improve estimates of lateral C fluxes between wetlands, estuaries, and the shelf at local, regional, and global scales. © 2023 The Authors</t>
  </si>
  <si>
    <t>2-s2.0-85165310511"</t>
  </si>
  <si>
    <t>10.1016/j.jhazmat.2023.131945</t>
  </si>
  <si>
    <t>https://www.scopus.com/inward/record.uri?eid=2-s2.0-85164293206&amp;doi=10.1016%2fj.jhazmat.2023.131945&amp;partnerID=40&amp;md5=c95ab944d4a4fe654968980e17fcf56f</t>
  </si>
  <si>
    <t>Paddy fields located around estuaries suffer from seawater intrusion, and how and to what extent salinity levels influence Cd accumulation in rice grains is still unclear. Pot experiments were carried out by cultivating rice under alternating flooding and drainage conditions with different salinity levels (0.2‰, 0.6‰ and 1.8‰). The Cd availability was greatly enhanced at 1.8‰ salinity due to the competition for binding sites by cations and the formation of Cd complexation with anions, which also contributed to Cd uptake by rice roots. The soil Cd fractions were investigated and found that the Cd availability significantly decreased during flooding stage, while it rapidly increased after soil drainage. During drainage stage, Cd availability was greatly enhanced at 1.8‰ salinity mainly attributed to the formation of CdCln2−n. The kinetic model was established to quantitatively evaluate Cd transformation, and it found that the release of Cd from organic matter and Fe-Mn oxides was greatly enhanced at 1.8‰ salinity. The results of pot experiments showed that there was a significant increase in Cd content in rice roots and grains in the treatment of 1.8‰ salinity, because the increasing salinity induced an increase in Cd availability and upregulation of key genes regulating Cd uptake in rice roots. Our findings elucidated the key mechanisms by which high salinity enhanced Cd accumulation in rice grains, and more attention should be given to the food safety of rice cultivated around estuaries. © 2023 Elsevier B.V.</t>
  </si>
  <si>
    <t>2-s2.0-85164293206"</t>
  </si>
  <si>
    <t>10.1371/journal.pone.0289318</t>
  </si>
  <si>
    <t>https://www.scopus.com/inward/record.uri?eid=2-s2.0-85168241805&amp;doi=10.1371%2fjournal.pone.0289318&amp;partnerID=40&amp;md5=5c205d559b86272bf1404b221c197aea</t>
  </si>
  <si>
    <t>Accurate prediction of wave overtopping at sea defences remains central to the protection of lives, livelihoods, and infrastructural assets in coastal zones. In addressing the increased risks of rising sea levels and more frequent storm surges, robust assessment and prediction methods for overtopping prediction are increasingly important. Methods for predicting overtopping have typically relied on empirical relations based on physical modelling and numerical simulation data. In recent years, with advances in computational efficiency, data-driven techniques including advanced Machine Learning (ML) methods have become more readily applicable. However, the methodological appropriateness and performance evaluation of ML techniques for predicting wave overtopping at vertical seawalls has not been extensively studied. This study examines the predictive performance of four ML techniques, namely Random Forest (RF), Gradient Boosted Decision Trees (GBDT), Support Vector Machines —Regression (SVR), and Artificial Neural Network (ANN) for overtopping discharge at vertical seawalls. The ML models are developed using data from the EurOtop (2018) database. Hyperparameter tuning is performed to curtail algorithms to the intrinsic features of the dataset. Feature Transformation and advanced Feature Selection methods are adopted to reduce data redundancy and overfitting. Comprehensive statistical analysis shows superior performance of the RF method, followed in turn by the GBDT, SVR, and ANN models, respectively. In addition to this, Decision Tree (DT) based methods such as GBDT and RF are shown to be more computationally efficient than SVR and ANN, with GBDT performing simulations more rapidly that other methods. This study shows that ML approaches can be adopted as a reliable and computationally effective method for evaluating wave overtopping at vertical seawalls across a wide range of hydrodynamic and structural conditions. © 2023 Habib et al. This is an open access article distributed under the terms of the Creative Commons Attribution License, which permits unrestricted use, distribution, and reproduction in any medium, provided the original author and source are credited.</t>
  </si>
  <si>
    <t>2-s2.0-85168241805"</t>
  </si>
  <si>
    <t>Groundwater</t>
  </si>
  <si>
    <t>10.1111/gwat.13274</t>
  </si>
  <si>
    <t>https://www.scopus.com/inward/record.uri?eid=2-s2.0-85148337829&amp;doi=10.1111%2fgwat.13274&amp;partnerID=40&amp;md5=9241b842949b20bb30e49ddcfe8aeed1</t>
  </si>
  <si>
    <t>Coastal agricultural zones are experiencing salinization due to accelerating rates of sea-level rise, causing reduction in crop yields and abandonment of farmland. Understanding mechanisms and drivers of this seawater intrusion (SWI) is key to mitigating its effects and predicting future vulnerability of groundwater resources to salinization. We implemented a monitoring network of pressure and specific conductivity (SC) sensors in wells and surface waters to target marsh-adjacent agricultural areas in greater Dover, Delaware. Recorded water levels and SC over a period of three years show that the mechanisms and timescales of SWI are controlled by local hydrology, geomorphology, and geology. Monitored wells did not indicate widespread salinization of deep groundwater in the surficial aquifer. However, monitored surface water bodies and shallow (&lt;4 m deep) wells did show SC fluctuations due to tides and storm events, in one case leading to salinization of deeper (18 m deep) groundwater. Seasonal peaks in SC occurred during late summer months. Seasonal and interannual variation of SC was also influenced by relative sea level. The data collected in this study data highlight the mechanisms by which surface water-groundwater connections lead to salinization of aquifers inland, before SWI is detected in deeper groundwater nearer the coastline. Sharing of our data with stakeholders has led to the implementation of SWI mitigation efforts, illustrating the importance of strategic monitoring and stakeholder engagement to support coastal resilience. © 2022 National Ground Water Association.</t>
  </si>
  <si>
    <t>2-s2.0-85148337829"</t>
  </si>
  <si>
    <t>10.1017/cft.2023.23</t>
  </si>
  <si>
    <t>https://www.scopus.com/inward/record.uri?eid=2-s2.0-85190247741&amp;doi=10.1017%2fcft.2023.23&amp;partnerID=40&amp;md5=557cb47ee9a4efe5319df623a391c647</t>
  </si>
  <si>
    <t>We review impacts of climate change, energy scarcity, and economic frameworks on sustainability of natural and human systems in coastal zones, areas of high biodiversity, productivity, population density, and economic activity. More than 50% of the global population lives within 200 km of a coast, mostly in tropical developing countries. These systems developed during stable Holocene conditions. Changes in global forcings are threatening sustainability of coastal ecosystems and populations. During the Holocene, the earth warmed and became wetter and more productive. Climate changes are impacting coastal systems via sea level rise, stronger tropical cyclones, changes in basin inputs, and extreme weather events. These impacts are passing tipping points as the fossil fuel-powered industrial-Technological-Agricultural revolution has overwhelmed the source-sink functions of the biosphere and degraded natural systems. The current status of industrialized society is primarily the result of fossil fuel (FF) use. FFs provided more than 80% of global primary energy and are projected to decline to 50% by mid-century. This has profound implications for societal energy requirements, including the transition to a renewable economy. The development of the industrial economy allowed coastal social systems to become spatially separated from their dominant energy and food sources. This will become more difficult to maintain with the fading of cheap energy. It seems inevitable that past growth in energy use, resource consumption, and economic growth cannot be sustained, and coastal areas are in the forefront of these challenges. Rapid planning and cooperation are necessary to minimize impacts of the changes associated with the coming transition. There is an urgent need for a new economic framework to guide society through the transition as mainstream neoclassical economics is not based on natural sciences and does not adequately consider either the importance of energy or the work of nature.  © The Author(s), 2023. Published by Cambridge University Press.</t>
  </si>
  <si>
    <t>2-s2.0-85190247741"</t>
  </si>
  <si>
    <t>Earth System Governance</t>
  </si>
  <si>
    <t>10.1016/j.esg.2023.100179</t>
  </si>
  <si>
    <t>https://www.scopus.com/inward/record.uri?eid=2-s2.0-85160350919&amp;doi=10.1016%2fj.esg.2023.100179&amp;partnerID=40&amp;md5=f3784438227037601c2ef2c6479084b7</t>
  </si>
  <si>
    <t>Groundwater salinization due to sea-level rise is a problem that governance actors in coastal areas of the North Sea region have overseen for a long period. As an ecological problem associated with climate change, it can be severely exacerbated by careless water management. This paper studies governance processes, actor perspectives and responses to groundwater salinization and sea-level rise in the East Frisian and Frisian regions of the German North Sea coast. Due to its low-lying landscape, large areas of land remain below sea-level, making groundwater salinization an urgent concern. Our research questions are: (i) What type of anticipatory governance approach can be found with actors in the study region concerning groundwater salinization and climate adaptation challenges? (ii) How can an alternative anticipatory governance approach promote proactive governance processes addressing the complex problem of groundwater salinization in terms of awareness, preparedness, methods, strategies and policy actions? We conducted semi-structured interviews and workshops between 2017 and 2021, including a group of 15 actors from private and civil society organizations as well as authorities on municipal, inter-municipal and state levels. Our study finds that problem awareness in municipalities and regional governance levels in East Frisia and Frisia is low. Current management of groundwater salinization mainly focuses on technical response measures, while precautionary measures are given low priorities. With regard to governance approaches, our study identifies apparent societal challenges of groundwater salinization at the complex interface between water management, human activities and natural processes, and sustainable ways to manage and protect groundwater resources. However, we found indication for a defensive anticipatory governance approach prioritizing risk management and assessing plausible futures. In participatory processes, we discussed possible technical, non-technical and institutional adaptation options for future implementation. Finally, conclusions will be drawn on how knowledge and awareness building can contribute to change actors perspectives on the overseen problem of groundwater salinization and increase adaptiveness. © 2023</t>
  </si>
  <si>
    <t>2-s2.0-85160350919"</t>
  </si>
  <si>
    <t>10.1016/j.geomorph.2023.108754</t>
  </si>
  <si>
    <t>https://www.scopus.com/inward/record.uri?eid=2-s2.0-85160716515&amp;doi=10.1016%2fj.geomorph.2023.108754&amp;partnerID=40&amp;md5=f96821551a7db80622200fd2daec65e3</t>
  </si>
  <si>
    <t>The warming of high latitudes climate is enhancing the degradation of ground-ice and inducing important landscape changes across the Arctic. This new Arctic state affects geomorphological dynamics, hydrology, and ecosystems, and poses challenges to the stability of infrastructure and livelihoods of Arctic communities. This study focuses on the hamlet of Paulatuk within the Inuvialuit Settlement Region of the Amundsen Gulf, south Darnley Bay, in northern Canada. In the summer of 2019, an ultra-high resolution aerial survey with a fixed-wing Unmanned Aerial Vehicle (UAV) was conducted, generating a 5 cm spatial resolution orthomosaic and Digital Surface Model (DSM). These, together with field observations were used to produce a very-high resolution geomorphological map of the settlement and surrounding coastal areas. Landscape changes were analyzed using historical aerial imagery of 1975 and 1993, the 2019 UAV survey and a very-high resolution Pléiades satellite scene from 2020. The area is a tundra terrace made up of sandy fluvioglacial sediments affected by a dense network of ice-wedge polygons, mostly high-centered, but also low-centered, showing signs of permafrost degradation. Air and ground temperatures have increased respectively by 0.8 and 1.9 °C over last two decades at Paulatuk, and inter-polygon ponds surface increased by 23,000 m2 since 1975 due to ice-wedge thawing. The airstrip enhanced thaw pond formation on its margins, especially after 1993. The DSM reveals a depression south of the airstrip, which can be potentially flooded due to its proximity to the coastal waters. © 2023 The Author(s)</t>
  </si>
  <si>
    <t>2-s2.0-85160716515"</t>
  </si>
  <si>
    <t>10.1007/s11069-023-06037-3</t>
  </si>
  <si>
    <t>https://www.scopus.com/inward/record.uri?eid=2-s2.0-85160649813&amp;doi=10.1007%2fs11069-023-06037-3&amp;partnerID=40&amp;md5=5ed678a23d61c03a0959b2923f1b8b30</t>
  </si>
  <si>
    <t>Flood susceptibility mapping is required for assessing flood risk areas and developing flood prevention techniques. The Thamirabarani river basin, a flood-prone area in the Tamil Nadu region of Srivaikundam, was investigated. Flood risk assessment using a composite risk and vulnerability index is a well-established tool that plays an important role in the development of flood risk reduction schemes. The present research is an attempt to analyze flood risk using analytical hierarchy procedures in a geographic information system context, which includes flood hazard components and susceptibility indicators. Geographic information system (GIS) are currently a trusted and useful tool for defining flood susceptibility maps at various spatial scales. The accuracy of various GIS-based flood risk assessment techniques is compared in this article. Land use and land cover, drainage density, topographic wetness index, distance from rivers, river length, slope, DEM, and rainfall were the eight foundation layers that were generated from the geographical database. All of the thematic layers and the resulting flood frequency map were combined to create the flood susceptibility using a GIS platform. Flood-vulnerable areas have been classified as very low class (1.7%), low class (26.3%), medium class (42.1%), high class (24%), and very high class (5.9%). The flood susceptibility study with this model will be a very beneficial and efficient tool for creating flood mitigation measures, according to local government administrators, researchers, and planners. © 2023, The Author(s), under exclusive licence to Springer Nature B.V.</t>
  </si>
  <si>
    <t>2-s2.0-85160649813"</t>
  </si>
  <si>
    <t>10.3390/hydrology10080172</t>
  </si>
  <si>
    <t>https://www.scopus.com/inward/record.uri?eid=2-s2.0-85169082040&amp;doi=10.3390%2fhydrology10080172&amp;partnerID=40&amp;md5=7f9000e44351de105e9d8df13078fc76</t>
  </si>
  <si>
    <t>The expansion of urban areas and the increasing frequency and magnitude of intense rainfall events are anticipated to contribute to the widespread escalation of urban flood risk across the globe. To effectively mitigate future flood risks, it is crucial to combine a comprehensive examination of intense rainfall events in urban areas with the utilization of detailed hydrodynamic models. This study combines extreme value analysis techniques applied to rainfall data ranging from sub-hourly to daily durations with a high-resolution flood modelling analysis at the building level in the centre of Thessaloniki, Greece. A scaling procedure is employed to rainfall return levels assessed by applying the generalised extreme value (GEV) distribution to annual maximum fine-temporal-scale data, and these scaling laws are then applied to more reliable daily rainfall return levels estimated by means of the generalised Pareto distribution (GPD), in order to develop storm profiles with durations of 1 h and 2 h. The advanced flood model, CityCAT, is then used for the simulation of pluvial flooding, providing reliable assessments of building-level exposure to flooding hazards. The results of the analysis conducted provide insights into flood depths and water flowpaths in the city centre of Thessaloniki, identifying major flowpaths along certain main streets resulting in localised flooding, and identifying around 165 and 186 buildings highly exposed to inundation risk in the study area for 50-year storm events with durations of 1 h and 2 h, respectively. For the first time in this study area, a detailed analysis of extreme rainfall events is combined with a high-resolution Digital Terrain Model (DTM), used as an input into the advanced and fully featured CityCAT hydrodynamic model, to assess critical flowpaths and buildings at high flood risk. The results of this study can aid in the planning and design of resilient solutions to combat urban flash floods, as well as contribute to targeted flood damage mitigation and flood risk reduction. © 2023 by the authors.</t>
  </si>
  <si>
    <t>2-s2.0-85169082040"</t>
  </si>
  <si>
    <t>10.1007/s10113-023-02105-3</t>
  </si>
  <si>
    <t>https://www.scopus.com/inward/record.uri?eid=2-s2.0-85169115951&amp;doi=10.1007%2fs10113-023-02105-3&amp;partnerID=40&amp;md5=e3a470fef82226d3b4fbc215493115dd</t>
  </si>
  <si>
    <t>Yalimapo beach, near the Maroni River estuary in French Guiana, is an important turtle nesting site. The interaction of massive mud banks migrating alongshore from the distant Amazon River with discharge from the Maroni River generates strong beach morpho-sedimentary changes. The eventual degradation of the marine turtle nesting habitats resulting from these changes represents a threat to the offspring, and consequently, to the turtle population. Field operator counts of green and leatherback turtle nests were combined with high-resolution topographic measurements of the beach over four field surveys in 2012 and 2014 to map the topographic modifications susceptible to affect nesting on Yalimapo beach. We assumed that the survival of nests was at stake when the depth of sand between the egg chamber and the topographic surface (i.e. the top) of the beach was &lt; 50 cm, and that beach surface lowering &gt; 10 cm represented unfavourable conditions for nest safety with unequal nest survival across the beach. Erosion of the beach surface exceeding a depth of 50 cm therefore results in nest destruction. Digital elevation models were produced to quantify the topographic modification of nesting on Yalimapo beach and highlight the endangered nesting areas. As the modification of the beach is not linear, some sectors are more eroded than others, resulting in unequal nest survival across the beach. Overall, up to 40% of the nests were presumed destroyed over the 2 years of survey, but true losses would depend on the species and the preferential locations of their nesting habitats. The relatively unfavourable conditions that prevailed during the 2 years of the survey are consistent with persistent erosion of Yalimpao beach since 2011. This ongoing erosion could explain in part the drastic decline of the leatherback turtle population in western French Guiana over the period 2001–2018. The substrate quality and dynamics of the nesting beach in relation to the preferred nesting habitat of each species are therefore critical issues that should be considered in the conservation strategies of marine turtles. The beach nesting conditions of marine turtles in French Guiana, as elsewhere, could be further aggravated in the future by climate change effects, including sea-level rise. © 2023, The Author(s).</t>
  </si>
  <si>
    <t>2-s2.0-85169115951"</t>
  </si>
  <si>
    <t>10.5194/gmd-16-4331-2023</t>
  </si>
  <si>
    <t>https://www.scopus.com/inward/record.uri?eid=2-s2.0-85170843192&amp;doi=10.5194%2fgmd-16-4331-2023&amp;partnerID=40&amp;md5=96398a001fe1ea84ebda3e9a5f46ad28</t>
  </si>
  <si>
    <t>Sea level rise (SLR) may impose substantial economic costs to coastal communities worldwide, but characterizing its global impact remains challenging because SLR costs depend heavily on natural characteristics and human investments at each location - including topography, the spatial distribution of assets, and local adaptation decisions. To date, several impact models have been developed to estimate the global costs of SLR. Yet, the limited availability of open-source and modular platforms that easily ingest up-to-date socioeconomic and physical data sources restricts the ability of existing systems to incorporate new insights transparently. In this paper, we present a modular, open-source platform designed to address this need, providing end-to-end transparency from global input data to a scalable least-cost optimization framework that estimates adaptation and net SLR costs for nearly 10 000 global coastline segments and administrative regions. Our approach accounts both for uncertainty in the magnitude of global mean sea level (g.m.s.l.) rise and spatial variability in local relative sea level rise. Using this platform, we evaluate costs across 230 possible socioeconomic and SLR trajectories in the 21st century. According to the latest Intergovernmental Panel on Climate Change Assessment Report (AR6), g.m.s.l. is likely to rise during the 21st century by 0.40-0.69 m if late-century warming reaches 2 'C and by 0.58-0.91 m with 4 'C of warming . With no forward-looking adaptation, we estimate that annual costs of sea level rise associated with a 2 'C scenario will likely fall between USD 1.2 and 4.0 trillion (0.1 % and 1.2 % of GDP, respectively) by 2100, depending on socioeconomic and sea level rise trajectories. Cost-effective, proactive adaptation would provide substantial benefits, lowering these values to between USD 110 and USD 530 billion (0.02 and 0.06 %) under an optimal adaptation scenario. For the likely SLR trajectories associated with 4 'C warming, these costs range from USD 3.1 to 6.9 trillion (0.3 % and 2.0 %) with no forward-looking adaptation and USD 200 billion to USD 750 billion (0.04 % to 0.09 %) under optimal adaptation. The Intergovernmental Panel on Climate Change (IPCC) notes that deeply uncertain physical processes like marine ice cliff instability could drive substantially higher global sea level rise, potentially approaching 2.0 m by 2100 in very high emission scenarios. Accordingly, we also model the impacts of 1.5 and 2.0 m g.m.s.l. rises by 2100</t>
  </si>
  <si>
    <t>10.1007/s11356-023-29027-1</t>
  </si>
  <si>
    <t>https://www.scopus.com/inward/record.uri?eid=2-s2.0-85166574730&amp;doi=10.1007%2fs11356-023-29027-1&amp;partnerID=40&amp;md5=72b4232da8dd274b5cf75f30b79287dd</t>
  </si>
  <si>
    <t>Research on investigating spatial resolution effect on image-based wetland mapping was done, and reported finer resolution is more appropriate. But is Sentinel image more effective than Landsat image for delineating ox-bow lake, a cut-off channel of a river, and for mapping inundation frequency? Inundation frequency means regularly, water appears in a pixel. In order to obtain these answers, the present study used frequently used spectral indices like normalized difference water index (NDWI), modified NDWI (MNDWI), re-modified NDWI (RmNDWI) and ensemble vegetation inclusive aggregated water index (ViAWI). For obtaining inundation consistency character, the water presence frequency (WPF) approach was adopted. A set of accuracy matrices was applied for validating the resolution effect. Results revealed that among the used indices, MNDWI was found suitable for ox-bow lake mapping. But this index is not able to map vegetated part of the ox-bow lakes. This problem was resolved using ensemble ViAWI. Inundation frequency analysis exhibited that about 70% of the area is consistent with water presence and therefore is hydro-ecologically and economically viable, and no such major differences were recorded between Sentinel and Landsat images. The study further revealed that finer resolution Sentinel images are more effective in ox-bow lake mapping and characterising inundation frequency, but they were not significantly better. Accuracy difference between them was found at the very minimum. Therefore, the study recommended that in a Sentinel image sparse condition, Landsat images could alternatively be used without much accuracy departure, particularly on those water bodies where water appearance is not highly erratic. © 2023, The Author(s), under exclusive licence to Springer-Verlag GmbH Germany, part of Springer Nature.</t>
  </si>
  <si>
    <t>2-s2.0-85166574730"</t>
  </si>
  <si>
    <t>Habitat International</t>
  </si>
  <si>
    <t>10.1016/j.habitatint.2023.102868</t>
  </si>
  <si>
    <t>https://www.scopus.com/inward/record.uri?eid=2-s2.0-85163505175&amp;doi=10.1016%2fj.habitatint.2023.102868&amp;partnerID=40&amp;md5=1bb1fa41172488db673ab492f238bced</t>
  </si>
  <si>
    <t>Coastal urban areas worldwide are increasingly becoming convergence points for climatic hazards, demographic shifts, and spatial development. However, the presence of societal demands that impact both livelihoods and urban planning in response to climatic hazards undermines the potential positive outcomes. This research, conducted in a coastal urban area of Ghana's Greater Accra Region, utilized the Community-based Risk Screening Tool – Adaptation and Livelihoods (CRiSTAL) developed by the International Institute for Sustainable Development (IISD) to analyze the experiences of climatic hazards and overall livelihoods of the population. The study employed Ghana's Census Sampling Frame for implementation, and Participatory Learning Approaches, to collect data which it identified floods, heavy storms, and heat stress as the most significant hazards. These hazards greatly influenced the population's physical, social, and financial livelihood assets, resulting in losses and damages caused by heavy rains, storms, and subsequent floods. Extreme heat also had a notable impact on human and financial resources. The local population prioritized human mobility and livelihood diversification as important adaptation strategies. The findings have important policy implications, highlighting the need to address barriers and disruptions in resilience-building and sustainability efforts, emphasizing the significance of prioritizing policy investment and considering climate change uncertainties in planning towards minimizing “urban climate policy inhibition” (Urban-CPI). The study also revealed valuable lessons, such as CRiSTAL's ability to bridge the gap between climatic risk and livelihood issues, bringing them closer to communities and enhancing preparedness to adapt to climatic risks and impacts on livelihoods. © 2023 The Authors</t>
  </si>
  <si>
    <t>2-s2.0-85163505175"</t>
  </si>
  <si>
    <t>10.1016/j.scitotenv.2023.163755</t>
  </si>
  <si>
    <t>https://www.scopus.com/inward/record.uri?eid=2-s2.0-85158002713&amp;doi=10.1016%2fj.scitotenv.2023.163755&amp;partnerID=40&amp;md5=0719d23a8c7cfa3ed7bdd63804d3d0fd</t>
  </si>
  <si>
    <t>Laurentian Great Lakes coastal wetlands (GLCW) are ecological hotspots and their integrity depends upon dynamic hydrologic regimes of the Great Lakes. GLCW naturally adjust to changes in hydrologic regimes via migration, but Great Lakes water levels may be shifting faster than wetlands can manage: 2000–2015 marked an extended low water level period and was followed by record highs in 2017–2020. Our objective was to quantify how Great Lakes water levels impact GLCW linear extent (from the shoreline to open water). We calculated wetland extent and migration from 2011 to 2019 using data from 1538 vegetation transects at 342 sites across the U.S. shoreline of the Great Lakes. Mediated multiple linear regression with Bayesian hierarchical modeling investigated the relationship between water levels and wetland extent. We employed Bayesian hierarchical modeling because (1) the dataset was spatially nested, with sampling points within wetlands within Great Lakes and (2) Bayesian statistics offer flexibility for environmental modeling, such as the inclusion of mediation in models, where we can assess both direct influences of Great Lake water levels on wetland extent and indirect (i.e., mediated) influences of water levels via the presence of vegetation zones on thus wetland extent. Results showed that, overall, there was a landward migration from 2011 to 2019 (although 38 % of wetlands had lakeward migration of the wetland-upland border). Wetland length and inundation length decreased with increased water levels, as mediated by the presence of certain vegetation zones. This decrease in wetland extent is of concern because it likely relates to a decrease in wetland function and habitat. A better understanding of how GLCW migrate with shifts in water levels enables decision makers to better predict where Great Lakes coastal wetlands are at risk of being lost and thus where to prioritize management efforts. © 2023</t>
  </si>
  <si>
    <t>2-s2.0-85158002713"</t>
  </si>
  <si>
    <t>10.3390/ijgi12080314</t>
  </si>
  <si>
    <t>https://www.scopus.com/inward/record.uri?eid=2-s2.0-85169157487&amp;doi=10.3390%2fijgi12080314&amp;partnerID=40&amp;md5=17c022cc28a01263f2e438b4acef1960</t>
  </si>
  <si>
    <t>Hydro-based morphological models are representations of the terrain related to the flow or storage of water in the landscape. However, their application in the context of an integrated environmental assessment has been scarcely explored in the literature, despite the well-known importance of water for ecosystems and land use planning. Here, we derive the HAND and TWI models, which present solid conceptual bases based on water–landscape relationships from digital terrain models. We aim to present these models as useful representations in the environmental assessment of watersheds as they are relatively easy to generate and interpret. To this end, we applied these models in a Brazilian watershed and evaluated their spatial and reciprocal occurrence in the hydrological landscape through geographic entities and their spatial relationships with other landscape elements such as land use. We argue that HAND and TWI are simple hydrological-based models with robust premises that can reveal intrinsic relationships between relief parameters and water, providing new perspectives for the environmental assessment of small watersheds. Their outcomes have tremendous implications for land management initiatives. Our results show that geometric signatures of the TWI appeared through all the structural units of the hydrological landscape. The plateau areas were most prone to water accumulation/soil saturation, followed by floodplains, hillslopes, and ecotones. Thus, there is a tendency for the greatest geometric signatures of water accumulation/soil saturation entities to be located near the higher-order channels as well as the greatest geometric signatures of the floodplains. Agriculture and planted forests increased with distance, while the areas occupied by forest remnants tended to decrease within a range of up to 50 m from channels. However, they were also found within 50 m around the springs, whereas open fields, urban areas, and water bodies remained stable. We argue that HAND and TWI are simple hydrological-based models with robust premises that can reveal intrinsic relationships between the relief parameters and water, providing new perspectives for the environmental assessment of small watersheds whose outcomes have tremendous implications for land management initiatives. © 2023 by the authors.</t>
  </si>
  <si>
    <t>2-s2.0-85169157487"</t>
  </si>
  <si>
    <t>10.1007/s10584-023-03602-4</t>
  </si>
  <si>
    <t>https://www.scopus.com/inward/record.uri?eid=2-s2.0-85171129439&amp;doi=10.1007%2fs10584-023-03602-4&amp;partnerID=40&amp;md5=cb619a7eaad740a52b7fbdffb3e59e70</t>
  </si>
  <si>
    <t>Climate change-induced sea level rise (SLR) will affect a range of coastal assets and prompt difficult decisions about coastal land use across the world. Several recent studies find that current and projected SLR is associated with relatively lower property values. We contribute to this growing body of research with a case study of O‘ahu, Hawai‘i, which is famed for its beaches as well as valuable coastal real estate. We leverage a dataset that unpacks multiple types of SLR exposure and coastal parcel attributes. We apply property transaction data for the island of O‘ahu through 2019 to investigate the effect of current and expected SLR exposure on residential property prices. We find that exposed properties have already experienced declines in transaction prices, at 9 to 14%, attributed to expectations of exposure to chronic inundation (as opposed to seasonal flooding). The price declines are mainly for multi-dwelling homes as opposed to single family homes. The market response of residential properties to SLR has important implications for coastal management strategies, in particular the viability and timing of programs for retreat. © 2023, The Author(s).</t>
  </si>
  <si>
    <t>2-s2.0-85171129439"</t>
  </si>
  <si>
    <t>10.1002/psp.2685</t>
  </si>
  <si>
    <t>https://www.scopus.com/inward/record.uri?eid=2-s2.0-85161995175&amp;doi=10.1002%2fpsp.2685&amp;partnerID=40&amp;md5=3e54cdf0b0608f1ba52e13b818a63307</t>
  </si>
  <si>
    <t>Hurricanes have proven to be one of the most deadly and costly natural hazards in the Gulf and Atlantic coast regions of the United States. Looming climate change and increasing population in coastal areas means these hazards could become even more devastating in the future. This paper first develops estimates of areas most impacted by hurricane flooding and wind damage and then assesses the generalised patterns of demographic change in those at-risk locations, disaggregating by both race and age to account for the complex shifts in demographic composition that have occurred over the past five decades. We find evidence of racial, ethnic, and age disparities in exposure to hurricane flooding and wind impacts. Our results highlight not only the uneven burden of risk placed on those unable or unwilling to move, but also the structural privilege that enables the white population to remain in place, even in the face of increased hurricane damage risk. © 2023 The Authors. Population, Space and Place published by John Wiley &amp; Sons Ltd.</t>
  </si>
  <si>
    <t>2-s2.0-85161995175"</t>
  </si>
  <si>
    <t>10.1007/s11356-022-22924-x</t>
  </si>
  <si>
    <t>https://www.scopus.com/inward/record.uri?eid=2-s2.0-85137779589&amp;doi=10.1007%2fs11356-022-22924-x&amp;partnerID=40&amp;md5=6a28951c34f8ebd9013cca1accdfc50d</t>
  </si>
  <si>
    <t>Flooding is one of the most catastrophic natural disasters in terms of provoking socio-economic losses. The current study is to foster a flood susceptibility map of Krishna District in Andhra Pradesh (AP) through integrating remote sensing data, geographical information system (GIS), and the analytical hierarchy process (AHP). Eleven factors, including elevation, slope, aspect, land use/land cover (LULC), drainage density, topographic wetness index, stream power index, lithology, soil, precipitation, and distance from the streams, are considered for identifying and evaluating the spatial distribution of critical flood-susceptible regions. Thematic maps of different factors were derived in GIS using remote sensing data obtained from Sentinel-2A (satellite sensor), shuttle radar topography mission digital elevation model (SRTM DEM v3), and other scientific data products. An analytical hierarchy process is a mathematical approach for decision support, primarily based on the weight and rank of different causative factors. AHP technique is implemented for flood hazard modeling and ascertaining the Flood Hazard Index (FHI) to produce a flood susceptibility map. Different thematic maps weighed with the AHP framework are combined using overlay analysis to produce the flood susceptibility map of the study region. The outcomes of the study demonstrate the potential of GIS and AHP in providing a premise to recognize the vulnerable areas that are susceptible to flood. According to the findings, the Flood Hazard Index is 42% and the study region is classified into very high, high, moderate, low, and very low susceptible, respectively. Following that, historical flood data was used to validate the accuracy of the generated flood susceptibility map. This shows that a maximum of 90% of the data points are within floodplain. © 2022, The Author(s), under exclusive licence to Springer-Verlag GmbH Germany, part of Springer Nature.</t>
  </si>
  <si>
    <t>2-s2.0-85137779589"</t>
  </si>
  <si>
    <t>10.1007/s10712-023-09771-2</t>
  </si>
  <si>
    <t>https://www.scopus.com/inward/record.uri?eid=2-s2.0-85150262550&amp;doi=10.1007%2fs10712-023-09771-2&amp;partnerID=40&amp;md5=48d2a1f6f253eabc9a7777c246909124</t>
  </si>
  <si>
    <t>This review paper reports on the state-of-the-art concerning observations of surface winds, waves, and currents from space and their use for scientific research and subsequent applications. The development of observations of sea state parameters from space dates back to the 1970s, with a significant increase in the number and diversity of space missions since the 1990s. Sensors used to monitor the sea-state parameters from space are mainly based on microwave techniques. They are either specifically designed to monitor surface parameters or are used for their abilities to provide opportunistic measurements complementary to their primary purpose. The principles on which is based on the estimation of the sea surface parameters are first described, including the performance and limitations of each method. Numerous examples and references on the use of these observations for scientific and operational applications are then given. The richness and diversity of these applications are linked to the importance of knowledge of the sea state in many fields. Firstly, surface wind, waves, and currents are significant factors influencing exchanges at the air/sea interface, impacting oceanic and atmospheric boundary layers, contributing to sea level rise at the coasts, and interacting with the sea-ice formation or destruction in the polar zones. Secondly, ocean surface currents combined with wind- and wave- induced drift contribute to the transport of heat, salt, and pollutants. Waves and surface currents also impact sediment transport and erosion in coastal areas. For operational applications, observations of surface parameters are necessary on the one hand to constrain the numerical solutions of predictive models (numerical wave, oceanic, or atmospheric models), and on the other hand to validate their results. In turn, these predictive models are used to guarantee safe, efficient, and successful offshore operations, including the commercial shipping and energy sector, as well as tourism and coastal activities. Long-time series of global sea-state observations are also becoming increasingly important to analyze the impact of climate change on our environment. All these aspects are recalled in the article, relating to both historical and contemporary activities in these fields. © 2023, The Author(s).</t>
  </si>
  <si>
    <t>2-s2.0-85150262550"</t>
  </si>
  <si>
    <t>10.5194/nhess-23-2697-2023</t>
  </si>
  <si>
    <t>https://www.scopus.com/inward/record.uri?eid=2-s2.0-85170830161&amp;doi=10.5194%2fnhess-23-2697-2023&amp;partnerID=40&amp;md5=d69dcad878b81db2c0b03eae189a0d4f</t>
  </si>
  <si>
    <t>The impact of natural hazards such as storm surges and waves on coastal areas during extreme tropical cyclone (TC) events can be amplified by the cascading effects of multiple hazards. Quantitative estimation of the marginal distribution and joint probability distribution of storm surges and waves is essential to understanding and managing tropical cyclone disaster risks. In this study, the dependence between storm surges and waves is quantitatively assessed using the extreme value theory (EVT) and the copula function for the Leizhou Peninsula and the island of Hainan of China, based on numerically simulated surge heights (SHs) and significant wave heights (SWHs) for every 30 min from 1949 to 2013. The steps for determining coastal protection standards in scalar values are also demonstrated. It is found that the generalized extreme value (GEV) function and Gumbel copula function are suitable for fitting the marginal and joint distribution characteristics of the SHs and SWHs, respectively, in this study area. Secondly, the SHs show higher values as locations get closer to the coastline, and the SWHs become higher further from the coastline. Lastly, the optimal design values of SHs and SWHs under different joint return periods can be estimated using the nonlinear programming method. This study shows the effectiveness of the bivariate copula function in evaluating the probability for different scenarios, providing a valuable reference for optimizing the design of engineering protection standards.  © 2023 EandG Quaternary Science Journal. All rights reserved.</t>
  </si>
  <si>
    <t>2-s2.0-85170830161"</t>
  </si>
  <si>
    <t>10.1016/j.heliyon.2023.e18508</t>
  </si>
  <si>
    <t>https://www.scopus.com/inward/record.uri?eid=2-s2.0-85166620897&amp;doi=10.1016%2fj.heliyon.2023.e18508&amp;partnerID=40&amp;md5=547899c622f39c7fe71e0f304ec6bff6</t>
  </si>
  <si>
    <t>Sea level rise is one of the most serious outcomes of increasing temperatures, leading to coastal flooding, beach erosion, freshwater contamination, loss of coastal habitats, increased soil salinity, and risk of damage to coastal infrastructures. This study estimates the vulnerability to inundation for 2100 in coastal zones in Jeddah Province, Kingdom of Saudi Arabia, under various sea level rise (SLR) scenarios of 1, 2, 5, and 10 m. The predicted flooding was estimated using a combination of factors, including SLR, the bathtub model, digital elevation model, climate scenarios, and land use and land cover. The climate scenarios used were Representative Concentration Pathway (RCP) scenarios 1.9, 2.6, 4.5, and 8.5. The results of the SLR scenarios of 1, 2, 5, and 10 m revealed that 1.6, 4.7, 14.9, and 30.6% (or 88, 214, 679, 1398 km2) of the study area's coast could be classified as inundated areas. The various SLR scenarios can inundate 3.3 to 34% of the road area/length. The inundated built-up and road areas were estimated to range between 0.31 and 0.79 km2, accounting respectively for 1.18 to 3.01% of the total class areas for 1-meter and 2-meter SLR scenarios. In contrast, the inundated area will be significant in the situation of 5 and 10 m SLR scenarios. Regarding the case of a 10-meter SLR scenario, the inundation will negatively impact the built-up and road infrastructure areas, inundating 8.9 km2, with industrial infrastructures affected by inundation estimated at 0.21 km2, followed by green space infrastructures at 0.013 km2. The spatial information based on various SLR scenario impact mapping for Jeddah Province can be highly valuable for decision-makers to better plan future civil engineering structures within the framework of sustainable development. © 2023 The Authors</t>
  </si>
  <si>
    <t>2-s2.0-85166620897"</t>
  </si>
  <si>
    <t>10.1007/s10666-023-09887-0</t>
  </si>
  <si>
    <t>https://www.scopus.com/inward/record.uri?eid=2-s2.0-85152415885&amp;doi=10.1007%2fs10666-023-09887-0&amp;partnerID=40&amp;md5=385d4cf58e7a2d4d5c320a760852cdab</t>
  </si>
  <si>
    <t>Flood forecasts commonly require reliable input data to accurately reflect the actual situation. Although widely used in the world, the coarse digital elevation models (DEMs) from remote sensing often provide poor representations of the real topography due to the effects of water and mountain shadows. Remote sensing methods cannot reliably capture riverbed elevations, and fine-scale DEMs are needed. Due to the high cost of labor and material resource limitations, complete fine-scale DEMs are difficult to obtain to support flood forecasting across long reaches at sufficiently high precision. This work presents a refined three-dimensional river channel reconstruction method by considering the longitudinal and lateral topographic features of rivers to provide realistic river terrain data. The performance of this method in flood simulation is confirmed by simulating extreme flood events in the lower-670-km reach of the Jinsha River at a 30-m resolution. The numerical simulations and field measurements are quantitatively compared in terms of flood peaks and flood propagation processes. Numerical experiments further confirm that uncertainties from terrain inputs are not amplified by the hydrodynamic model when producing the final flood forecasting outputs. © 2023, The Author(s), under exclusive licence to Springer Nature Switzerland AG.</t>
  </si>
  <si>
    <t>2-s2.0-85152415885"</t>
  </si>
  <si>
    <t>10.3390/rs15164011</t>
  </si>
  <si>
    <t>https://www.scopus.com/inward/record.uri?eid=2-s2.0-85168791322&amp;doi=10.3390%2frs15164011&amp;partnerID=40&amp;md5=e5911a98aa63ddc12014ed978f89f665</t>
  </si>
  <si>
    <t>The subway alleviates the traffic pressure in the city but also brings the potential risk of land subsidence. The land subsidence caused by the subway is a global problem that seriously affects the safety of subway operations and surrounding buildings. Therefore, it is very important to carry out long-term deformation monitoring on the subway system. StaMPS-PS is a time-series Interferometric Synthetic Aperture Radar (InSAR) technique that serves as an effective means for monitoring urban ground subsidence. However, the accuracy of external (Digital Elevation Models) DEM will affect the accuracy of StaMPS-PS monitoring, and previous studies have mostly used SRTM-1 arc DEM (30 m) as the external DEM. In this study, to obtain a more precise measurement of surface deformation caused by the excavation of the Hohhot subway, a total of 85 scenes of Sentinel-1A data from July 2015 to October 2021, as well as two different resolution digital elevation models (DEMs) (ALOS PALSAR DEM and SRTM-1 arc DEM), were used to calculate and analyze the subsidence along the subway line in Hohhot city. The StaMPS-PS monitoring results showed the ALOS PALSAR DEM, as an external DEM, had higher accuracy, and there was regional subsidence in both the construction processes of Line 1 and Line 2 of the Hohhot subway, with a maximum subsidence rate of −21.1 mm/year. The dynamic changes in subway subsidence were fitted using the Peck formula and the long short-term memory (LSTM) model. The Peck formula results showed the width and maximum subsidence of the settlement troughs gradually expanded during the construction of the subway. The predicted values of the Root Mean Square Error (RMSE) and Mean Absolute Percentage Error (MAPE) of the LSTM model were less than 4 mm and 10%, respectively, consistent with the measured results. Furthermore, we discussed the factors that affect settlement along the subway line and the impact of two external DEMs on StaMPS-PS. The study results provide a scientific method for DEM selection and subsidence analysis calculations in the StaMPS-PS monitoring of urban subway subsidence. © 2023 by the authors.</t>
  </si>
  <si>
    <t>2-s2.0-85168791322"</t>
  </si>
  <si>
    <t>10.1002/nsg.12260</t>
  </si>
  <si>
    <t>https://www.scopus.com/inward/record.uri?eid=2-s2.0-85161915227&amp;doi=10.1002%2fnsg.12260&amp;partnerID=40&amp;md5=239fa8fc29f46559e638c28a480ae5d0</t>
  </si>
  <si>
    <t>Rice is a staple crop in the Vietnam Mekong Delta (VMD) in which more than half of Vietnam's rice is produced. However, rice production in the VMD is threatened by increasing saltwater intrusion due to land subsidence and climate change induced sea level rise. Saltwater intrusion into lowland areas through the canal system or capillary rise of saline water from near surface saline water tables may result in salt accumulation in the topsoil. Therefore, it is important to disentangle the two effects and their relative importance to implement appropriate strategies for water and salinity management for adapting rice production systems of the VMD to climate change. Here, we report on the possibility of using geoelectrical methods to evaluate the potential threat of subsoil salinity to rice production. To evaluate the level of subsoil salinity, we measured soil electrical resistivity using an ARES II to a depth of 40 m in a case study comprising five locations in the VMD. Electrical resistivity measurements were calibrated to soil types, which were identified through evaluating 1 m core sections obtained by drilling down to 40 m depth. The relationship between drilling data and soil resistivity was determined by applying clustering and principal component analysis. Resistivity values smaller than 3 Ω m were clearly identified as indicative for a saline water table. The results show a direct link between the depth of the saline water table and the proximity to the sea, but not to the rice production system (single, double, or triple cropping). This study proved for the first time the applicability of the electrical resistivity tomography method for identifying groundwater tables and evaluating subsoil salinity on an agricultural field scale in the VMD. © 2023 The Authors. Near Surface Geophysics published by John Wiley &amp; Sons Ltd on behalf of European Association of Geoscientists and Engineers.</t>
  </si>
  <si>
    <t>2-s2.0-85161915227"</t>
  </si>
  <si>
    <t>10.1016/j.heliyon.2023.e18644</t>
  </si>
  <si>
    <t>https://www.scopus.com/inward/record.uri?eid=2-s2.0-85166340407&amp;doi=10.1016%2fj.heliyon.2023.e18644&amp;partnerID=40&amp;md5=26c9165c38cfe9abc3b32aeed2b604f9</t>
  </si>
  <si>
    <t>The 1693 tsunami was the most extensive earthquake-tsunami event in Sicily, submerging Catania, Augusta, and Syracuse. However, the earthquake rupture, water level, arrival time, and furthest inundation distance of the tsunami waves are not yet known. This study aims to investigate the tsunamigenic source, run-up height, furthest inundation distance, and arrival time of the 1693 tsunami waves on the east coast of Sicily. Moreover, the assessment of tsunami-prone zones was also conducted based on worst-case earthquake-tsunami scenarios. Numerical modeling was applied by proposing six offshore focal mechanism scenarios using the shallow water equation in Delft3D and Delft Dashboard. The input parameters include length, width, strike, dip, slip, rake, and depth of the earthquake rupture. Meanwhile, the tsunami wave propagation onshore utilized XBeach and ArcGIS, considering the maximum run-up height, surface roughness analyzed from land use maps, slope, river existence, and coastline from Digital Terrain Model (DTM) identification. The results indicate that the worst possible impact of the 1693 tsunami was generated by an earthquake with a magnitude of Mw 7.13. The maximum water level, furthest inundation distance, and arrival time achieved 7.7 m, 318 m, and 9 min after wave generation offshore, respectively. This simulation is consistent with the discovery of 1693 tsunami deposits at a distance of less than 400 m from the coastlines of Augusta and Syracuse, but it is above the estimated furthest inundation distance in previous studies, which only reached around 100 m–200 m from the eastern coastline of Sicily. The results of the study are reliable as they align with the 1697 historical document where seawater inundated San Filippo Square, Catania. © 2023 The Author</t>
  </si>
  <si>
    <t>2-s2.0-85166340407"</t>
  </si>
  <si>
    <t>Warta Geologi</t>
  </si>
  <si>
    <t>10.7186/wg492202301</t>
  </si>
  <si>
    <t>https://www.scopus.com/inward/record.uri?eid=2-s2.0-85171253807&amp;doi=10.7186%2fwg492202301&amp;partnerID=40&amp;md5=9e901fbc6c99a2d0a7c8a2e3e6eb9235</t>
  </si>
  <si>
    <t>This article presents bathymetric and seismic evidence of a submerged Late Pleistocene river valley on the Sunda Shelf, off Sarawak. The submarine feature identified as the Paleo-Lupar is detectable in digital elevation models (DEM) at water depths of about 40 m near the Lupar river mouth to more than 100 m to the north nearer the shelf edge. Bathymetric profiles revealed an ~30 km-wide submarine valley, with individual channels that, in places, can be more than 80 m deeper than the surrounding seabed. The Paleo-Lupar is one of several major paleo-rivers that drained the Sunda Shelf when sea level was lowest during the Last Glacial Maximum (LGM) around 21 ka BP and were subsequently submerged due to the sea level rise that has since occurred. © 2023 by the Author(s).</t>
  </si>
  <si>
    <t>2-s2.0-85171253807"</t>
  </si>
  <si>
    <t>10.1016/j.envsoft.2023.105731</t>
  </si>
  <si>
    <t>https://www.scopus.com/inward/record.uri?eid=2-s2.0-85162783426&amp;doi=10.1016%2fj.envsoft.2023.105731&amp;partnerID=40&amp;md5=ba2e095de57db0cfa530f32d7facb905</t>
  </si>
  <si>
    <t>A major challenge in compound flooding simulation is representing small rivers in the model mesh. A parallel Python-based tool is developed to support the construction of unstructured grids (UGs) at continental scales. The tool is driven by Digital Elevation Model (DEM), ensuring accurate representation of geomorphic features in the resulting mesh. Its first component (pyDEM) extends an existing tool to detect river thalwegs from DEMs. The second component (RiverMapper) uses the thalwegs to generate river ‘arcs’, which can be directly ingested into meshing tools (e.g., the Surface-water Modeling System). The novelty lies in the explicit 2D representation of rivers in both along- and cross-channel directions, making it ideal for accurate, efficient, and high-resolution continental-scale research. The tool is employed to create a UG for a 3D creek-to-ocean model encompassing the US East and Gulf Coasts, and it greatly improves the flow exchange between the watershed and the coastal zone. © 2023 Elsevier Ltd</t>
  </si>
  <si>
    <t>2-s2.0-85162783426"</t>
  </si>
  <si>
    <t>10.1007/s13157-023-01705-3</t>
  </si>
  <si>
    <t>https://www.scopus.com/inward/record.uri?eid=2-s2.0-85165258302&amp;doi=10.1007%2fs13157-023-01705-3&amp;partnerID=40&amp;md5=9ba66def584fa8a675c8c1655e9af5dc</t>
  </si>
  <si>
    <t>Flooded savannas are valuable and extensive ecosystems in South America, but not widely studied. In this study, we quantify the spatial distribution of soil organic carbon (SOC) content and stocks in the Casanare flooded savannas. We sampled 80 sites at two soil-depth intervals (0-10 and 10-30 cm), where SOC values ranged from 0.41% in the surface and 0.23% in the sub-surface of drier soils to over 14.50% and 7.51%, in soils that experienced seasonal flooding. Spatial predictions of SOC were done through two digital soil mapping (DSM) approaches: Expert-Knowledge (EK) and Random-Forest (RF). Although both approaches performed well, EK was slightly superior at predicting SOC. Covariates derived from vegetation cover, topography, and soil properties were identified as key drivers in controlling its distribution. Total SOC stocks were 55.07 Mt with a mean density of 83.1±24.3 t·ha-1 in the first 30 cm of soil, with 12.3% of this located in areas that experience long periods of flooding (semi-seasonal savannas) , which represented only 7.9% of the study area (664,752 ha). Although the study area represents only 15% of the total area of the Casanare department, the intensive pressure of human development could result in the reduction of its SOC stocks and the release of important amounts of greenhouse gases into the atmosphere. At regional level, the impact of a large-scale land use conversions of the flooded Llanos del Orinoco ecosystem area (15 Mha) could transform this area in a future source of important global emissions if correct decisions are not taken regarding the land management of the region. © 2023, The Author(s).</t>
  </si>
  <si>
    <t>2-s2.0-85165258302"</t>
  </si>
  <si>
    <t>10.1007/s12594-023-2442-6</t>
  </si>
  <si>
    <t>https://www.scopus.com/inward/record.uri?eid=2-s2.0-85168463268&amp;doi=10.1007%2fs12594-023-2442-6&amp;partnerID=40&amp;md5=50881405201a5eacf680282dc509fbf8</t>
  </si>
  <si>
    <t>In this work, using Snyder, SCS, and the geographically distributed approaches, synthetic unit hydrographs are developed for the recurring flood-impacted ungauged sub-watershed in the Ambika river basin of Gujarat. Due to the scarcity of observed rainfall-runoff data, enforcement of effective flood control measures have not been implemented in this area. Hence the districts in the Ambika river basin regularly experience unexpected floods during the monsoon season, resulting in loss of life and property. The unit hydrograph of a watershed is essential for developing a flood hydrograph, which is useful for flood forecasting. The majority of Indian watersheds are not gauged, and there is not enough rainfallrunoff data to develop a unit hydrograph. However, there are several approaches available that may be used to develop synthetic unit hydrographs using different regionally based empirical equations, and some of them are mentioned above. Using geospatial tools is one of the GIS-based methods for obtaining synthetic unit hydrographs that solely take into account the digital elevation model (DEM) which eliminates the use of regional empirical constants. The geographically distributed synthetic unit hydrograph (GDSUH) approach is employed here on the idea of distributed time-area unit hydrograph and spatial distribution of overland and channel flow velocity. The cumulative travel time map has been divided into isochrones to develop a time-area curve and the resulting unit hydrograph. In this technique, a pure translation flow process is assumed. This approach is most appropriate for watersheds of smaller size. Hence, in this present study, a smaller, unmeasured sub-watershed with an area of 46 km2 is chosen, and the synthetic unit hydrographs are derived using each of the three approaches. The findings from this study were analyzed to determine the most appropriate method for this region. It was observed that the GDSUH is more suitable in comparison to the other two conventional synthetic unit hydrograph approaches. In smaller and un-gauged watersheds, this method gives a conceptual model for forecasting stream flow hydrographs that will capture the geographically distributed nature of the rainfall-runoff process. Additionally, it has the advantages of being simple, quick, inexpensive, and time-saving, especially for smaller regions that lack rainfall-runoff data. © 2023, Geological Society of India, Bengaluru, India.</t>
  </si>
  <si>
    <t>2-s2.0-85168463268"</t>
  </si>
  <si>
    <t>10.1002/rra.4144</t>
  </si>
  <si>
    <t>https://www.scopus.com/inward/record.uri?eid=2-s2.0-85159040572&amp;doi=10.1002%2frra.4144&amp;partnerID=40&amp;md5=690bc31604837e5d5e36c3c3a6206fed</t>
  </si>
  <si>
    <t>Accurate models with low computational times are required to predict the consequences of fluvial floods in real-time. Even though detailed hydraulic models can predict flood water levels and corresponding inundation extents with high accuracy, their computational times limit their applicability to being used as a flood early-warning system. Therefore, conceptual models were developed in the literature for many years. These types of models do not attempt to represent the complex dynamic flood generation processes but are based on simplified hydraulic concepts, generally only using a digital elevation model as input. However, a shift in this research field is currently present from conceptual models to data-driven models, and more specifically to neural networks. This paper discusses the benefits and drawbacks of both modelling approaches and speculates which method is most promising to be used as a flood warning system to predict the consequences of fluvial floods in real-time. © 2023 The Authors. River Research and Applications published by John Wiley &amp; Sons Ltd.</t>
  </si>
  <si>
    <t>2-s2.0-85159040572"</t>
  </si>
  <si>
    <t>10.1016/j.heliyon.2023.e18190</t>
  </si>
  <si>
    <t>https://www.scopus.com/inward/record.uri?eid=2-s2.0-85166216651&amp;doi=10.1016%2fj.heliyon.2023.e18190&amp;partnerID=40&amp;md5=05fae22cc0f326dd7461122756b216cb</t>
  </si>
  <si>
    <t>Bangladesh, a coastal developing nation with a diverse sustainable biodiversity of natural resources is currently focused upon by international communities as a result of its high potential of the coastal zone (CZ) with natural gas. Sustainable Coastal Zone Management (SCZM) is key to its national development. SCZM refers to the management of coastal resources in order to provide secure and alternative livelihoods, as well as to manage all types of coastal hazards and social and cultural well-being in order to ensure long-term productivity and minimize environmental impact. This paper aims to delineate the current initiatives and status of coastal management in Bangladesh, highlighting key issues such as climate changes, sea level rise, tropical cyclones, coastal and marine pollution, coastal erosions, saltwater intrusions, and mangrove degradations as well as the future trend in Bangladesh which will facilitate sustainable development by emphasizing the social, ecological, and economic pillars of sustainability. Unsustainable coastal development practices in Bangladesh are going to damage the coastal ecosystems, particularly mangrove forests and coral reefs, which provide protection against tropical cyclones caused by global climate change and coastal erosions. The paper concludes by outlining a roadmap toward achieving SCZM in Bangladesh. The road to achieving SCZM requires collaboration, integration of scientific research, policy frameworks, community engagement, capacity building, and long-term commitment from all stakeholders involved. So, it is required to address all kinds of coastal issues and reframes all existing coastal management practices to ensure a healthy productive ecosystem to achieve SCZM as well as the sustainable development of the country. © 2023 The Author(s)</t>
  </si>
  <si>
    <t>2-s2.0-85166216651"</t>
  </si>
  <si>
    <t>10.15625/2615-9783/18408</t>
  </si>
  <si>
    <t>https://www.scopus.com/inward/record.uri?eid=2-s2.0-85168118710&amp;doi=10.15625%2f2615-9783%2f18408&amp;partnerID=40&amp;md5=ed5f24b8308a599496ea2d9f4f2665fa</t>
  </si>
  <si>
    <t>The Ba Lat estuary is part of the downstream stretch of the Red River Delta, the second-largest Delta in Vietnam and the 12th largest in the world. This study analyses GAT borehole sediments in the Ba Lat estuary area to assess environmental changes during the Late Pleistocene-Holocene period. This entailed detailed analyses of 70 m-deep borehole data from the Ba Lat estuary area, including structural analysis of 70 m-deep sediment core samples, 230 samples of grain size, 49 samples of Foraminifera, five samples of petrographic thin slices, and four samples of radiocarbon dating. The data reveal nine sedimentary facies, including river channel sand facies, floodplain clayey silt facies, tidal flat sandy-silty facies, bay clayey silt facies, pro-delta clayey silt facies, delta front sandy-silty clay facies, mouth bar sand facies, tidal flat sandy-silty clay facies, and delta plain silty clay facies. The combined nine sedimentary facies formed sequentially in time, representing the evolution of the sedimentary environment from the Late Pleistocene to the Holocene and the evolutionary process from the continental to the estuarine and Delta environment. The results also enable the geographic identification and delineation of the incised valley in the Red River Delta during the Late Pleistocene to Holocene period. The sedimentation rate in the incised valley varies from period to period. In the sedimentation phase of the incised valley, the average accretion rate reached 11.64 mm/year. In contrast, during the open sea regime (shallow sea near the coast), the accretion rate was observed to be very low, with a rate of 1.27 mm/year and the period of delta formation had the highest accretion rate, reaching 13.41 mm/year. © 2023, Publishing House of Natural Science and Technology, VAST. All rights reserved.</t>
  </si>
  <si>
    <t>2-s2.0-85168118710"</t>
  </si>
  <si>
    <t>Quaternary</t>
  </si>
  <si>
    <t>10.3390/quat6030041</t>
  </si>
  <si>
    <t>https://www.scopus.com/inward/record.uri?eid=2-s2.0-85172167772&amp;doi=10.3390%2fquat6030041&amp;partnerID=40&amp;md5=8a04a75092331908e4f64cbdd404c8eb</t>
  </si>
  <si>
    <t>Well-preserved Quaternary sedimentary sequences in the central coast of Ecuador have provided sufficient relevant information for paleogeographic reconstruction and climatic evolution, from stratigraphic, geochemical, and biological analysis. The Jaramijo canton site is one of the most remarkable results in the stratigraphic correlation of lithological units with delineation of a paleo sea-cliff of age 14C 43,245 ± 460 B.P. (belonging to the MIS-3). This MIS-3 is associated with a period of glaciation, but the data obtained, such as δ 18O, indicate paleo-temperature values of −1 to −1.5, which are interpreted in this study, indicate that the central coast of Ecuador has an interstadial phase (warm years in a glacial stage). Two more paleo-coastal cliffs have been mapped from orthophoto analysis, but these are younger. The sedimentary levels analyzed in this study include deposits that occurred in MIS 3 to MIS 1. Holocene transgression has modified the central coast of Ecuador and increased the level of coastal climate hazard by sea level rise. Indeed, paleo-coastlines have been evidenced from bathymetric data in the depth contours of −5.5 m and −7.6 m, at 440 and 650 m distances from the up-to-date coastline. For the Jaramijó site, the rate of cliff-erosion and wave-cut platforms are in the order of 1.1 to 2.4 m/yr. These cliff-erosion rates, with a moderate to high coastal vulnerability index, can be increased if we consider mathematical models with an estimated sea-level rise scenario to be, in 2100, about +1 to +1.4 m. © 2023 by the authors.</t>
  </si>
  <si>
    <t>2-s2.0-85172167772"</t>
  </si>
  <si>
    <t>10.3390/land12101873</t>
  </si>
  <si>
    <t>https://www.scopus.com/inward/record.uri?eid=2-s2.0-85166236982&amp;doi=10.3390%2fland12101873&amp;partnerID=40&amp;md5=60032959901561a9d9556f2319d8d8bc</t>
  </si>
  <si>
    <t>Frequent drought and worsening salinity intrusion challenge future land uses and livelihoods in the Vietnamese Mekong Delta. The central government is, therefore, formulating a new strategy premised on adaption to natural environmental dynamics. For an achievable strategy that bridges the gap between plans and practice, it is important to understand what drives land-use changes at the farm level. Previous research developed and applied a multi-scale drivers framework in the highly flooded zone of the delta. The current study uses that same framework to investigate the land-use history and drivers of change in the salinity intrusion zone of this delta from 1975 to 2016. We interviewed 32 farmers in Tra Vinh Province and used transcript analysis to quantify the influence of the drivers that the farmers mentioned. We then compared the drivers of land-use change with those found earlier in the highly flooded zone. Results show more diversification of land uses and land-use changes in the salinity intrusion zone. Farmers here followed three main pathways: rice intensification, integrated farming of rice and vegetables/aquaculture, or intensive shrimp farming. Land-use changes were conditional on the regional infrastructure construction to preserve freshwater conditions. However, household-scale drivers, especially natural and financial assets, were most frequently mentioned. Socio-economic context also emerged as an important driver, particularly trends and pressures from the community and markets. © 2023 by the authors.</t>
  </si>
  <si>
    <t>2-s2.0-85166236982"</t>
  </si>
  <si>
    <t>10.5194/essd-15-2957-2023</t>
  </si>
  <si>
    <t>https://www.scopus.com/inward/record.uri?eid=2-s2.0-85170238795&amp;doi=10.5194%2fessd-15-2957-2023&amp;partnerID=40&amp;md5=a9007b4df0dc3fe946c4c44a31c7bfe4</t>
  </si>
  <si>
    <t>The spatio-Temporal variation of surface water storage (SWS) in the Congo River basin (CRB), the second-largest watershed in the world, remains widely unknown. In this study, satellite-derived observations are combined to estimate SWS dynamics at the CRB and sub-basin scales over 1992-2015. Two methods are employed. The first one combines surface water extent (SWE) from the Global Inundation Extent from Multi-Satellite (GIEMS-2) dataset and the long-Term satellite-derived surface water height from multi-mission radar altimetry. The second one, based on the hypsometric curve approach, combines SWE from GIEMS-2 with topographic data from four global digital elevation models (DEMs), namely the Terra Advanced Spaceborne Thermal Emission and Reflection Radiometer (ASTER), Advanced Land Observing Satellite (ALOS), Multi-Error-Removed Improved Terrain (MERIT), and Forest And Buildings removed Copernicus DEM (FABDEM). The results provide SWS variations at monthly time steps from 1992 to 2015 characterized by a strong seasonal and interannual variability with an annual mean amplitude of 1/4101±23 km3. The Middle Congo sub-basin shows a higher mean annual amplitude (1/471±15 km3). The comparison of SWS derived from the two methods and four DEMs shows an overall fair agreement. The SWS estimates are assessed against satellite precipitation data and in situ river discharge and, in general, a relatively fair agreement is found between the three hydrological variables at the basin and sub-basin scales (linear correlation coefficient &gt;0.5). We further characterize the spatial distribution of the major drought that occurred across the basin at the end of 2005 and in early 2006. The SWS estimates clearly reveal the widespread spatial distribution of this severe event (1/440 % deficit as compared to their long-Term average), in accordance with the large negative anomaly observed in precipitation over that period. This new SWS long-Term dataset over the Congo River basin is an unprecedented new source of information for improving our comprehension of hydrological and biogeochemical cycles in the basin. As the datasets used in our study are available globally, our study opens opportunities to further develop satellite-derived SWS estimates at the global scale. The dataset of the CRB's SWS and the related Python code to run the reproducibility of the hypsometric curve approach dataset of SWS are respectively available for download at 10.5281/zenodo. 7299823 and 10.5281/zenodo.8011607 (Kitambo et al., 2022b, 2023). © 2023 Copernicus GmbH. All rights reserved.</t>
  </si>
  <si>
    <t>2-s2.0-85170238795"</t>
  </si>
  <si>
    <t>10.18178/ijesd.2023.14.4.1442</t>
  </si>
  <si>
    <t>https://www.scopus.com/inward/record.uri?eid=2-s2.0-85169010679&amp;doi=10.18178%2fijesd.2023.14.4.1442&amp;partnerID=40&amp;md5=17d3bee7435fa287af31f31cd2bbfcc5</t>
  </si>
  <si>
    <t>This study considers the impact of extreme climates on most of the world's land and seas, which may cause the average sea level to rise due to global climate change. Affected by the rise of sea level, it will change the distribution characteristics of sea tides, waves and currents. When the distribution of tides, waves and currents in the sea area changes, it may cause changes in the overall environmental characteristics of the estuary and coastal areas, and further affects the function of coastal protection facilities. This study takes the sea area of Yilan as an example, and analyzes the problem of sea level rise in the three-in-one climate change (including sea level rise, typhoon and heavy rain). For the analysis of sea level rise, this study calculates tide level data in three ways, the first is simple moving average (SMA), then there are empirical mode decomposition (EMD) and ensemble empirical mode decomposition (EEMD) in the hilbert-huang transform (HHT) for sea level rise analysis. The use of ensemble empirical mode decomposition (EEMD) is because when modal confusion occurs in empirical mode decomposition (EMD), the occurrence of modal confusion can be reduced by adding the decomposed signal to the white noise sequence. Comparing the analysis results of the three respectively, the result obtained by using simple moving average (SMA) is the smallest (2.78 mm/yr), and the result obtained by using ensemble empirical mode decomposition (EEMD) calculation is the largest (4.11mm/yr). By analyzing the results obtained, it can be provided for assessing future hydrological and environmental changes based on climate change conditions. © 2023 International Journal of Environmental Science and Development. All rights reserved.</t>
  </si>
  <si>
    <t>2-s2.0-85169010679"</t>
  </si>
  <si>
    <t>10.1016/j.landurbplan.2023.104804</t>
  </si>
  <si>
    <t>https://www.scopus.com/inward/record.uri?eid=2-s2.0-85163179392&amp;doi=10.1016%2fj.landurbplan.2023.104804&amp;partnerID=40&amp;md5=482ece0d004b07b912eeb63e60605f49</t>
  </si>
  <si>
    <t>Flood resilience has aroused significant interest in coastal areas dealing with a growing frequency of severe rainstorms caused by climate change and urbanisation. At the core of flood resilience is the development of a resilient green-grey-blue infrastructure system that can resist, absorb, and recover from floods in a timely manner. Current flood resilience research, however, is limited to evaluating single infrastructure systems, failing to examine the dynamic process or find ideal spatial infrastructure designs for decision-makers. This research proposes a scenario-based assessment framework for integrated green-grey-blue infrastructure systems to improve flood resilience during urban design decision-making. Rainfall-runoff, drainage networks, and river system models are interlinked to provide quantitative simulation evaluations of water quantity and urban impact in various spatial organisations of infrastructure design. A dynamic, multi-criteria decision-making process is used to reveal the importance of five temporal indicators and rank design alternatives. In Guangzhou, China, the efficiency of this architecture is demonstrated on Pazhou Island, a typical river network area. Given the limited water and green space available, the results demonstrate that submerged areas exert a greater influence during peak rainfall, and blue infrastructure storage becomes an essential factor following rainfall. Furthermore, from a spatial perspective, the looped network of green-blue infrastructure enhances flood resilience, and downstream waterway connections and green space-aligned waterways boost the water storage capacity of green-grey-blue infrastructure. This paradigm can improve flood resilience in the Greater Bay Area in the future, especially in response to heavy rainstorms and river floods. © 2023</t>
  </si>
  <si>
    <t>2-s2.0-85163179392"</t>
  </si>
  <si>
    <t>Landscape Architecture Frontiers</t>
  </si>
  <si>
    <t>10.15302/J-LAF-1-020082</t>
  </si>
  <si>
    <t>https://www.scopus.com/inward/record.uri?eid=2-s2.0-85219058853&amp;doi=10.15302%2fJ-LAF-1-020082&amp;partnerID=40&amp;md5=cae682cb8153a2db6bcca56e12c41fd3</t>
  </si>
  <si>
    <t>The Mekong Delta (across Cambodia and Vietnam) and the Sài Gòn-Đồng Nai Delta (where Ho Chi Minh City is embedded), like most deltas, are typically considered a vast, relatively flat water-dominated and dynamic territory characterized by always evolving variations of wetness, multiplying by that multitudes of biotopes. Ancient and modern engineering developed with this overly simplified preconception and subsequently radically transformed the entire ecotones into sharp and categorical distinctions of wet and dry, primarily to create productive and protective landscapes for humankind within abstractly ordered and static landscape structures. Fluid gradients in elevation and humidity were systematically replaced by fixed elevations. Extractive monocultures on massive scales resulted simultaneously in gigantic harvests but also the loss of ecology and biodiversity that is largely irrecoverable. The paper critically unravels the historical development of the deltas in relation to their homeopathic topography: how its manipulation framed development agendas—of productive landscapes, of settlement, and of infrastructure—and was linked to both cosmological worldviews and territorial geo-politics. The micro-topographies of the deltas were significantly altered by the mighty Khmer Empire and Nguyễn Dynasty and since the 19th century by French and American occupiers and subsequently by Cambodians and Vietnamese projects. The paper utilizes several case studies to reveal that IKSP (indigenous knowledge systems and practices) have harnessed topographical manipulation for context-specific sociocultural reproduction. A host of local practices, often in peripheral geographies, has either escaped the relentless “modernization” process or locally adapted to and/or intelligently subverted the imposed supra-order. There is a strong resistance and resilience (subversive by humans and geological by the forces of nature including sea level rise and subsidence) to imposed topographical manipulation. The cases, arranged from the least to the most intrusive and controlling land management practices, underscore that the deltas remain a territory that is culturally, religiously, and productively nuanced by topographical transformation. At the same time, there is clearly an innate, ever-changing nature of deltaic physiography and topography, which is simultaneously an asset and a vulnerability. © Higher Education Press 2023.</t>
  </si>
  <si>
    <t>2-s2.0-85219058853"</t>
  </si>
  <si>
    <t>Journal of Choice Modelling</t>
  </si>
  <si>
    <t>10.1016/j.jocm.2023.100428</t>
  </si>
  <si>
    <t>https://www.scopus.com/inward/record.uri?eid=2-s2.0-85165034277&amp;doi=10.1016%2fj.jocm.2023.100428&amp;partnerID=40&amp;md5=45bf8b83a26233becf42e0bbe1f2000d</t>
  </si>
  <si>
    <t>Forecasting the future impact of climate change on migration is difficult, for many reasons, including the interactive and dynamic nature of many decisions and the heterogeneity of behavior. One popular solution, agent-based models (ABM) cope well with dynamics and heterogeneity, but often lack rigorous foundations in terms of individual behavior. Moreover, given limited exposure to actual climate change, it can be a challenge to build adequate behavioral models of migration choice based on historical data. To tackle this issue, we build an ABM of future migration using a bespoke choice experiment (CE) designed to examine intention to migrate among farmers living in the Vietnamese Mekong Delta (VMD). In the CE, respondents are asked to make migration choices for scenarios constructed using six attributes: drought intensity, flood frequency, income gain from migration, migration networks, neighbors' choice, and crop choice restriction. The simulation runs to 2050 and is based on two scenarios of future global emissions of greenhouse gases—Representative Concentration Pathway (RCP) 4.5 and RCP8.5. The results suggest potentially high levels of migration as a result of climate change and the particular importance of positive feedback from pre-existing migration and neighbor's choices. The results also suggest that crop-restriction regulations have a significant impact on migration for coastal provinces of VMD. Finally, we find that migration drivers vary significantly across provinces, which suggests the policymakers point to targeted action for each province. In summary, the study demonstrates how integrating CE into ABM can foster the predictive modeling of climate-induced migration. © 2023 Elsevier Ltd</t>
  </si>
  <si>
    <t>2-s2.0-85165034277"</t>
  </si>
  <si>
    <t>10.3390/geosciences13090280</t>
  </si>
  <si>
    <t>https://www.scopus.com/inward/record.uri?eid=2-s2.0-85172184888&amp;doi=10.3390%2fgeosciences13090280&amp;partnerID=40&amp;md5=2eb5075c5bb8d3b433628717f1af2279</t>
  </si>
  <si>
    <t>The Lambousa fishtank, an archaeological structure entirely carved in bedrock, can be easily recognized and measured in the plan on Google Earth (GE). We surveyed in situ this excellent archaeological marker in 2016 through direct measurements using traditional field instruments, such as metric tapes and invar rods, and terrestrial photogrammetry using Structure from Motion (SfM) methods. The bedrock on which the fishtank is founded is an Upper Pleistocene calcarenite also containing Persistrombus latus. The age of the studied fishtank has not been previously published, but on the basis of the construction technique and the interpretation provided by Archaelogist and references therein, we believe that it was built in the period between 2.1 and 1.8 ka BP, like similar fishtanks in the Mediterranean area. Architectural structures consist of evident foot walks (Crepido), a stone base, and a tunnel that allows for seawater exchange during high tides. The tunnel is at the same altitude as the Crepido, which lies around the fishtank. These architectural components allow us to evaluate the palaeo-sea level with significant precision during the time when the fishtank was active. MIS 5.5 coastal deposits that outcrop in the study area are located at a maximum altitude of a few meters, while the inner margin of the MIS 5.5 terrace allows us to hypothesize “quasi-tectonic stability”. We have also obtained several predictions of the contribution from Glacial Isostatic Adjustment (GIA) to relative sea level at Lambousa for the past 3.5 kyr, according to models ICE-6G (VM5a), ICE-7G (VM7), and one of the GIA models by the Australian National University ANU) Research group. © 2023 by the authors.</t>
  </si>
  <si>
    <t>2-s2.0-85172184888"</t>
  </si>
  <si>
    <t>10.3390/atmos14091445</t>
  </si>
  <si>
    <t>https://www.scopus.com/inward/record.uri?eid=2-s2.0-85172860273&amp;doi=10.3390%2fatmos14091445&amp;partnerID=40&amp;md5=61248ea6fe40d36ebbf6f250af723c78</t>
  </si>
  <si>
    <t>Irma was a major hurricane that developed during the 2017 season. It was a category 5 on the Saffir–Simpson Hurricane wind scale. This hurricane caused severe damage in the Caribbean area and the Florida Keys. The social, economic, and environmental impacts, mainly related to coastal flooding, were also significant in Cuba. The maximum limits of coastal flooding caused by this hurricane were determined in this research. Field trips and the use of the GPS supported our work, which focused on both the northern and southern coasts of the Ciego de Ávila province. This work has been critical for improving coastal flooding scenarios related to a strong hurricane, as it has been the first experience according to hurricane data since 1851. Results showed that the Punta Alegre and Júcaro towns were the most affected coastal towns. The locals had never seen similar flooding in these places before. The differences between flood areas associated with Hurricane Irma and previous modeled hazard scenarios were evident (the flooded areas associated with Hurricane Irma were smaller than those modeled for categories 1, 3, and 5 hurricanes). The effects of this hurricane on the most vulnerable coastal settlements, including the impacts on the archeological site “Los Buchillones”, were also assessed. © 2023 by the authors.</t>
  </si>
  <si>
    <t>2-s2.0-85172860273"</t>
  </si>
  <si>
    <t>Leading Edge</t>
  </si>
  <si>
    <t>10.1190/tle42090608.1</t>
  </si>
  <si>
    <t>https://www.scopus.com/inward/record.uri?eid=2-s2.0-85171613748&amp;doi=10.1190%2ftle42090608.1&amp;partnerID=40&amp;md5=89def13925f58c49797e2cd048ac3ea0</t>
  </si>
  <si>
    <t>Barrier islands provide a first line of defense for coastal communities against storms, hurricanes, and sea-level rise. The geomorphology of barrier islands exerts a major control on storm impact and island recovery. In turn, barrier island geomorphology is affected by subsurface hydrogeologic conditions. In this study, we investigated the relationship between subsurface hydrogeologic conditions and geomorphology of Padre Island, with a focus on the influence of human development. We measured apparent electrical conductivities using frequency-domain electromagnetic (FDEM) surveys and spatially correlated them with the island's morphology. The latter was generated from a 1 m resolution digital elevation model. Four distinct zones were identified from the observed variations in apparent conductivity and elevation, revealing their inverse correlation. The beach area (Zone I) exhibits the highest apparent conductivity (289.7 ± 66.3 mS/m) and the lowest elevations (1.4 ± 0.2 m). These trends are largely due to the proximity of the beach to saline groundwater and maritime floods. Conversely, the foredune area (Zone II) presents the lowest apparent conductivity (19.0 ± 3.4 mS/m) and the highest elevation (4.5 ± 0.4 m) due to a greater distance from saline waters, deeper groundwater levels, and relatively dry soil conditions. Human development has significantly impacted Zones III (east central zone) and IV (west central zone), contributing to an increase in apparent conductivity (Zone III: 40.3 ± 21.8 mS/m</t>
  </si>
  <si>
    <t>10.1007/s10661-023-11533-x</t>
  </si>
  <si>
    <t>https://www.scopus.com/inward/record.uri?eid=2-s2.0-85165505098&amp;doi=10.1007%2fs10661-023-11533-x&amp;partnerID=40&amp;md5=15c8a014ed32961afdc50ecdda794a2f</t>
  </si>
  <si>
    <t>Coastal communities are vulnerable to wave and storm surges during extreme events, highlighting the need to increase community resilience. The effectiveness of natural wetlands in attenuating waves is vital to designing strategies for protecting public safety. This study aimed to understand how vegetation attenuates waves and determine the best method for modeling vegetation’s impact on wave dynamics. The researchers compared two different vegetation representations in numerical models, implicit and explicit, using SWAN and XBeach at varying spatial resolutions. The study focused on two marshes in the Chesapeake Bay, using field measurements to investigate the accuracy of each method in representing wave attenuation by vegetation and the implications of explicitly representing average characteristics of one vegetation species on a regional level. Results showed that explicit modeling using average vegetation characteristics provided more accurate results than the implicit model, which only showed wave attenuation due to topography. The finer scale resolution and site-specific vegetation characteristics further improved the accuracy of wave attenuation observed. Understanding the trade-offs between different vegetation representations in numerical models is essential to accurately represent wave attenuation and design effective protection strategies for coastal communities. © 2023, The Author(s), under exclusive licence to Springer Nature Switzerland AG.</t>
  </si>
  <si>
    <t>2-s2.0-85165505098"</t>
  </si>
  <si>
    <t>10.1016/j.ijdrr.2023.103867</t>
  </si>
  <si>
    <t>https://www.scopus.com/inward/record.uri?eid=2-s2.0-85165950198&amp;doi=10.1016%2fj.ijdrr.2023.103867&amp;partnerID=40&amp;md5=d571686640c62bd1111a7b3b446b391e</t>
  </si>
  <si>
    <t>On October 30, 2020, 11:51 UTC, a large shallow earthquake of moment magnitude Mw7.0 ruptured the eastern Aegean Sea area and affected several Greek islands, mainly Samos, as well as the Izmir area, western Turkey. A moderate damaging tsunami followed the earthquake and inundated many coastal zones in the area. At 12:15 UTC, the Greek Civil Protection sent to the residents of the eastern Aegean Sea Greek islands a tsunami alert via SMS through the single European emergency phone number 112. It has been the first time that a tsunami warning was publicly issued in the frame of the North-East Atlantic and Mediterranean Tsunami Warning System (NEAMTWS/IOC/UNESCO) since the system became operational during the summer of 2012. Through an on-line questionnaire survey conducted soon after the event we investigated the impact the tsunami 112 alert message had among the population. The aim of this study is to assess the effectiveness of the 112 number as a tool for tsunami early warning, to look after possible weaknesses that may need future improvements and to better understand the level of tsunami risk awareness among the population. The response received from 344 citizens clearly indicates that the particular tsunami alert in general had positive impact to the message recipients, but highlights several weaknesses of the tsunami emergency management chain in Greece and demonstrates some aspects of the 112 system that need improvement. © 2023 Elsevier Ltd</t>
  </si>
  <si>
    <t>2-s2.0-85165950198"</t>
  </si>
  <si>
    <t>10.1016/j.cities.2023.104426</t>
  </si>
  <si>
    <t>https://www.scopus.com/inward/record.uri?eid=2-s2.0-85165081220&amp;doi=10.1016%2fj.cities.2023.104426&amp;partnerID=40&amp;md5=8d01ed2cbc79fb899ac0f7710ceac113</t>
  </si>
  <si>
    <t>The IPCC AR6 report advises that climate change will exacerbate storm surges and coastal flooding in the eastern Mediterranean basin in the upcoming decades. The above is particularly acute in low-lying arid cities in developing nations like Alexandria. The communities' lack of awareness of these rising vulnerabilities subsequently impacts their willingness to tackle upcoming challenges. The latter strongly relies on the public perception and efficiency of the ongoing waterways and waterscape transformations, which remains largely unquantified. To address this deficiency, we evaluate these factors for the historic transformed 21-km canal in Alexandria's vulnerable arid port city. We perform a public survey based on the City Development Strategy for Sustainable Development criterion, assessing the inhabitants' perceptions of the degeneration and transformation of the city's most iconic and historic urban waterway. Our results suggest that the waterscape's multiple transformations negatively influenced the inhabitants' awareness of Alexandria's coastal vulnerabilities and led to public disconnection from the city's maritime heritage, visual attributes, and environment. This disconnection resulting from decades of degrading waterways and inefficient landscape transformations is mainly observed among youth and further compromises the city's resilience to upcoming coastal hazards and aggravates the ecological and coastal degradations. We suggest an adaptive conceptual plan of waterways regeneration to restore their roles in mitigating climatic challenges and improving public connectivity to the historic city's marine identity. © 2023 The Author(s)</t>
  </si>
  <si>
    <t>2-s2.0-85165081220"</t>
  </si>
  <si>
    <t>10.1007/s11069-023-05944-9</t>
  </si>
  <si>
    <t>https://www.scopus.com/inward/record.uri?eid=2-s2.0-85151960891&amp;doi=10.1007%2fs11069-023-05944-9&amp;partnerID=40&amp;md5=ca81b872e25e3cf10ec40a0dd63e641d</t>
  </si>
  <si>
    <t>The Holland model is a common and efficient parametric model for constructing the typhoon wind field and involves two critical parameters: the radius of maximum wind (RMW) and the Holland B parameter, which are sensitive to the azimuth of a typhoon prior to landfall. However, their azimuth dependencies cannot be well addressed in the original mathematical expression. This study developed a framework for improving the Holland model by considering the azimuth-dependent RMW and Holland B parameter for typhoons along the Zhejiang coast prior to landfall. The Weather Research and Forecasting (WRF)–Advanced Research WRF (ARW) model was applied to construct the precise database of wind fields for six historical typhoons that passed through the Zhejiang coast. The azimuth-dependent functions were proposed to describe the asymmetry of the RMW and Holland B parameter, of which the coefficients were obtained by regression analyses of the precise database of historical typhoons. The improved azimuth-dependent model was then illustrated to assess the coastal hazards along Zhejiang Coast, including wind speeds with 50- and 100-year return periods and storm surges. The asymmetries of the RMW and Holland B parameter were expressed as functions of the heading direction and latitude of the typhoon center, respectively. The improved model showed good agreement with the observations during Typhoon Winnie (9711), Prapiroon (0012), and Khanun (0515). Including azimuth dependency in typhoon wind fields can provide more specific and reliable information in estimating coastal hazards under typhoons. © 2023, The Author(s), under exclusive licence to Springer Nature B.V.</t>
  </si>
  <si>
    <t>2-s2.0-85151960891"</t>
  </si>
  <si>
    <t>10.1007/s10668-022-02297-4</t>
  </si>
  <si>
    <t>https://www.scopus.com/inward/record.uri?eid=2-s2.0-85127694117&amp;doi=10.1007%2fs10668-022-02297-4&amp;partnerID=40&amp;md5=d5aa8d7898e2390f296333528fa7e602</t>
  </si>
  <si>
    <t>The southeastern coastline of Bangladesh where the longest natural sea beach Cox’s Bazar is located has experienced more pronounced changes due to human intervention compared to the changes due to storms, cyclones and flooding. Over the past 30 years, nature-dependent livelihood and economic activities have generated employment, income and shelter to people but has also enhanced exposure level and consequent vulnerability and risks to fast growing economic activities and human settlements to projected climate-induced natural disasters. Satellite imageries clearly show the changing land-use pattern due to human intervention. On the ground, questionnaire-based, face-to-face interview method has helped in understanding the key drivers behind the changing economic activities, occupation category-wise exposure and vulnerability of the people along the coast. Fishing, salt-shrimp practice, fish drying, agriculture, tourism, and related small trading business are now the main economic activities, and human settlement expansion has changed the coastal ecosystem. The vulnerability assessment suggests that the fast emergence of salt-shrimp farm-based employment and livelihood is one of the most sensitive to natural threats. As per anthropogenic threats, the hotel and restaurant industries are polluting the most fragile coastal ecosystem. © 2022, The Author(s), under exclusive licence to Springer Nature B.V.</t>
  </si>
  <si>
    <t>2-s2.0-85127694117"</t>
  </si>
  <si>
    <t>10.1007/s12524-023-01694-0</t>
  </si>
  <si>
    <t>https://www.scopus.com/inward/record.uri?eid=2-s2.0-85153096408&amp;doi=10.1007%2fs12524-023-01694-0&amp;partnerID=40&amp;md5=4259e5792534271828e96113ee70253c</t>
  </si>
  <si>
    <t>Sea level rise (SLR) and its impact on coastal areas and low-lying topographies have a risk of increasing significance day by day because of its direct effect on geology, economy and urbanization, such as shoreline changes, land loss, re-planning of infrastructure and social impacts. In addition to the traditional measurement methods like tide gauges used in the past, satellite monitoring and data have enriched the scope of studies on SLR and allowed the combined analysis of different data. Antalya, located in the Mediterranean basin of Türkiye and leading in tourism revenues, is an important city where more than 2.5 million people live and are visited by over 15 million tourists yearly, creating an over 10 billion-dollar economy for the country. The effect of SLR on the Antalya Gulf was evaluated by considering five different scenarios that are expected to occur depending on carbon emission rates and SLR values varying from 100 to 500 cm. Inundated regions due to the SLR along the Antalya Gulf were determined using DEMs produced from SRTM satellite images with 30-m resolution and merged with the land use/land cover (LULC) maps acquired from ESA Sentinel-2 imagery with 10-m resolution. Sixteen settlements in the region were classified according to the predominant LULC characteristics, and the effect of SLR was evaluated. It is expected that more than 250 km2 of land loss and a comprehensive shift in shoreline may occur in the Antalya Gulf within 60–80 years. © 2023, Indian Society of Remote Sensing.</t>
  </si>
  <si>
    <t>2-s2.0-85153096408"</t>
  </si>
  <si>
    <t>10.1175/JPO-D-22-0211.1</t>
  </si>
  <si>
    <t>https://www.scopus.com/inward/record.uri?eid=2-s2.0-85171591250&amp;doi=10.1175%2fJPO-D-22-0211.1&amp;partnerID=40&amp;md5=2375ed947018f48d003d50350daa6a1e</t>
  </si>
  <si>
    <t>Curvature can create secondary circulation and flow separation in tidal channels, and both have important consequences for the along-channel momentum budget. The North River is a sinuous estuary where drag is observed to be higher than expected, and a numerical model is used to investigate the influence of curvature-induced processes on the momentum distribution and drag. The hydrodynamic drag is greatly increased in channel bends compared to that for straight channel flows. Drag coefficients are calculated using several approaches to identify the different factors contributing to the drag increase. Flow separation creates low-pressure recirculation zones on the lee side of the bends and results in form drag. Form drag is the dominant source of the increase in total drag during flood tides and is less of a factor during ebb tides. During both floods and ebbs, curvature-induced secondary circulation transports higher-momentum fluid to the lower water column through vertical and lateral advection. Consequently, the streamwise velocity profile deviates from the classic log profile and vertical shear becomes more concentrated near the bed. This redistribution by the lateral circulation causes an overall increase in bottom friction and contributes to the increased drag. Additionally, spatial variations in the depth-averaged velocity field due to the curvature-induced flow are nonlinearly correlated with the bathymetric structure, leading to increased bottom friction. In addition to affecting the tidal flow, the redistributed momentum and altered bottom shear stress have clear implications for channel morphodynamics. © 2023 American Meteorological Society.</t>
  </si>
  <si>
    <t>2-s2.0-85171591250"</t>
  </si>
  <si>
    <t>10.1007/s41651-023-00138-0</t>
  </si>
  <si>
    <t>https://www.scopus.com/inward/record.uri?eid=2-s2.0-85152619150&amp;doi=10.1007%2fs41651-023-00138-0&amp;partnerID=40&amp;md5=402d91f79e32d2e29122490d6fd119d6</t>
  </si>
  <si>
    <t>Weather-related disasters have caused widespread deaths and economic losses in developing countries, including Brazil. Frequent floods and landslides in Brazil are mostly climatic driven, often aggravated by human activities and poor environmental planning. In this paper, we aimed to map and discuss the susceptibility to landslides in the urban area of Ouro Preto, Brazil, a municipality with colonial and world heritage houses. We used data on precipitation, soil types, geology, digital elevation model (DEM), and land use and land cover (LULC) of high spatial resolution (1 m). The location of landslides in the urban perimeter was provided by the Civil Defense of Ouro Preto, and these were validated by fieldwork. A novel mathematical model based on multi-criteria decision-making (MCDA) and the Analytic Hierarchy Process (AHP) was used to map the susceptible areas to landslides. Results show that areas most affected by strong landslides were low-density vegetation (high susceptibility) and rocky outcrops (very high susceptibility). The largest areas susceptible to landslides are urban land use areas. Particularly, landslides that occurred in February 2022 in the region were related to intense soil saturation. With an average monthly rainfall of 122.60 mm, the uneven relief and edaphoclimatic characteristics had caused percolation of the surface runoff, naturally triggering landslides. This study supports mitigation efforts by local governments and decision-makers. © 2023, The Author(s), under exclusive licence to Springer Nature Switzerland AG.</t>
  </si>
  <si>
    <t>2-s2.0-85152619150"</t>
  </si>
  <si>
    <t>10.3390/land12061200</t>
  </si>
  <si>
    <t>https://www.scopus.com/inward/record.uri?eid=2-s2.0-85163844618&amp;doi=10.3390%2fland12061200&amp;partnerID=40&amp;md5=1a7445a281b2829ba0bb5f27cefe714a</t>
  </si>
  <si>
    <t>With global climate change and rapid urbanization, it is critical to assess urban flood resilience (UFR) within the social-economic-natural complex ecosystem in dealing with urban flood disasters. This research proposes a conceptual framework based on the PSR-SENCE model for evaluating and exploring trends in urban flood resilience over time, using 27 cities in the Yangtze River Delta (YRD) of China as case studies. For the overall evaluation, a hybrid weighting method, VIKOR, and sensitivity analysis were used. During that time, UFR in the YRD region averaged a moderate level with an upward trend. This distinguishes between the resilience levels and fluctuation trends of provinces and cities. Jiangsu, Zhejiang, and Anhui provinces all displayed a trend of progressive development</t>
  </si>
  <si>
    <t>10.5194/gmd-16-2565-2023</t>
  </si>
  <si>
    <t>https://www.scopus.com/inward/record.uri?eid=2-s2.0-85160947183&amp;doi=10.5194%2fgmd-16-2565-2023&amp;partnerID=40&amp;md5=c86f3175c11fae3a22aeda04632e2dc9</t>
  </si>
  <si>
    <t>We present a new 3D unstructured-grid global ocean model to study both tidal and nontidal processes, with a focus on the total water elevation. Unlike existing global ocean models, the new model resolves estuaries and rivers down to 1/48m without the need for grid nesting. The model is validated with both satellite and in situ observations for elevation, temperature, and salinity. Tidal elevation solutions have a mean complex root-mean-square error (RMSE) of 4.2cm for M2 and 5.4cm for all five major constituents in the deep ocean. The RMSEs for the other four constituents, S2, N2, K1, and O1, are, respectively, 2.05, 0.93, 2.08, and 1.34cm). The nontidal residual assessed by a tide gauge dataset (GESLA) has a mean RMSE of 7cm. For the first time ever, we demonstrate the potential for seamless simulation on a single mesh from the global ocean into several estuaries along the US West Coast. The model is able to accurately capture the total elevation, even at some upstream stations. The model can therefore potentially serve as the backbone of a global tide surge and compound flooding forecasting framework.  © 2023 Y. Joseph Zhang et al.</t>
  </si>
  <si>
    <t>2-s2.0-85160947183"</t>
  </si>
  <si>
    <t>10.15625/2615-9783/18407</t>
  </si>
  <si>
    <t>https://www.scopus.com/inward/record.uri?eid=2-s2.0-85162963980&amp;doi=10.15625%2f2615-9783%2f18407&amp;partnerID=40&amp;md5=294b43e15e851e9dc6c4db0b6c0f2cc2</t>
  </si>
  <si>
    <t>Changes to the coastline or shoreline arise from the water's dynamic interaction with the land surface, which is triggered by ocean currents, waves, and winds. Various methods have been proposed to identify and monitor coastlines and shorelines, but their outcomes are uncertain. This study proposes indicators for identifying coastlines and shorelines in the fields and on the remote sensing data. Different pixel-and object-based machine learning (ML) models were built to automatically interpret coastlines and shorelines from high-resolution remote sensing images and monitor coastal erosion in Vietnam. Two pixel-based models using Random Forest and SVM structures and eight object-based models using U-Net, and U-Net3+ structures were trained. All models were trained using the high-resolution images gathered using Google Earth Pro as input data. The U-Net achieves the most remarkable performance of 98% with a loss function of 0.16 when utilizing an input-image size of 512×512. Object-based models have shown higher performance in analyzing coastlines and shorelines with linear and continuous structures than pixel-based models. Additionally, the coastline is appropriate to evaluate coastal erosion induced by the effect of sea-level rise during storms. At the same time, the shoreline is suited to observe seasonal tidal fluctuations or the instantaneous movements of current waves. Under the pressure of tourist development, the coasts in Danang and Quang Nam provinces have been eroded in the last 10 years. River and ocean currents also cause erosion in the southern Cua Dai estuary. In the future, the trained U-Net model can be used to monitor the changes in coastlines and shorelines worldwide. © 2023, Publishing House of Natural Science and Technology, VAST. All rights reserved.</t>
  </si>
  <si>
    <t>2-s2.0-85162963980"</t>
  </si>
  <si>
    <t>10.3390/cli11050110</t>
  </si>
  <si>
    <t>https://www.scopus.com/inward/record.uri?eid=2-s2.0-85160302761&amp;doi=10.3390%2fcli11050110&amp;partnerID=40&amp;md5=72c90c7d87b44faa1c571fb6406bf925</t>
  </si>
  <si>
    <t>Ex situ adaptation in the form of relocation has become inevitable in some low-lying coastal zones where other adaptation strategies become impractical or uneconomical. Although relocation of coastal low-lying communities is anticipated globally, little is still known about the factors that influence household-level adoption. This study draws on an extended version of Protection Motivation Theory (PMT) to assess the factors influencing the relocation intention of three highly vulnerable coastal rural communities in Ghana. A total of 359 household heads were randomly selected for a questionnaire survey. The study employed binary logistic regression to identify key factors that influence residents’ readiness to relocate. The results indicated that cognitive and compositional factors were more important than contextual factors in explaining the intention to relocate among coastal rural communities in Ghana. However, contextual factors mediated or attenuated the influence of cognitive and compositional factors on relocation intention. Based on the findings, this study advocates for intensive education on the effects of future sea-level rise impacts on communities as well as structural and non-structural measures to improve the socio-economic capacity of rural communities. © 2023 by the authors.</t>
  </si>
  <si>
    <t>2-s2.0-85160302761"</t>
  </si>
  <si>
    <t>10.1016/j.jhydrol.2023.129309</t>
  </si>
  <si>
    <t>https://www.scopus.com/inward/record.uri?eid=2-s2.0-85150843423&amp;doi=10.1016%2fj.jhydrol.2023.129309&amp;partnerID=40&amp;md5=4f8d5af666a7249cca8af1ebcd7a83d6</t>
  </si>
  <si>
    <t>Despite a proven record of accurate floodplain mapping, complex hydrodynamic models lack efficiency due to their data-intensive approach and high computation time. As fast-computing low-complexity alternatives, topography-based hydrogeomorphic approaches are being increasingly used in recent times. Yet, there is little evidence to suggest whether and to what extent such topography-based approaches, simply relying on Digital Elevation Models (DEMs), can effectively delineate floodplains/flood hazard zones in data-scarce, highly complex mountainous terrains. We fill this knowledge-gap by conducting a floodplain mapping comparative assessment with three topography-based approaches along a 56-km river reach in the North West Himalayas (Beas River, India). Specifically, we generated floodplain extent using Height Above the Nearest Drainage (HAND), Topographic Wetness Index (TWI), and Slope Position (SP), and estimated their relative differences compared to a reference inundation extent simulated by MIKE11 hydrodynamic model. The unique feature of our study was an extensive field survey to collect longitudinal and cross-sectional elevation data across 223 locations, which allowed us to verify vertical accuracy across multiple alternative DEMs and subsequently improve the selected DEM via bathymetry integration. Statistical measures estimating the degree of consistency across three topography-based approaches suggested that HAND and TWI produce more reasonable floodplain maps than SP. HAND-based floodplain demonstrated greater agreement with the model-simulated reference map. TWI showed moderate predictability with a tendency of underestimating floodplains. SP was largely inconsistent, demarcating floodplains in areas where the hydrodynamic model found uplands and vice versa. Our study can offer critical insights to support floodplain hydrological, biological, and habitat studies across the world's developing countries where locally relevant delineation of floodplains remains challenging due to data scarcity. © 2023 Elsevier B.V.</t>
  </si>
  <si>
    <t>2-s2.0-85150843423"</t>
  </si>
  <si>
    <t>10.15625/2615-9783/18303</t>
  </si>
  <si>
    <t>https://www.scopus.com/inward/record.uri?eid=2-s2.0-85163659658&amp;doi=10.15625%2f2615-9783%2f18303&amp;partnerID=40&amp;md5=23ae1d6d10eb677ab0103de89164cd4a</t>
  </si>
  <si>
    <t>Water stored by reservoirs is critical for irrigation, electricity generation, drinking water supply, recreation, fisheries, and flood control. Therefore, the reservoir's water storage volume (SW) must be measured and monitored frequently for better watershed management. Since SW data is often not publicly available, finding a method to quantify SW objectively and accurately but to facilitate local water management is necessary. This study proposes a method for monitoring water surface area and storage volume using multi-sensor satellite remote sensing data through the Tuyen Quang Reservoir case study in Northern Vietnam. Accordingly, the water surface area was first delineated from multi-temporal optical satellite images, such as Landsat series and Sentinel-2 images, using the Modified Normalized Difference Water Index and resampled into 30-m pixel resolution data. Using the Shuttle Radar Topography Mission Digital Elevation Model data, the water depth at each pixel was then calculated by the difference between its elevation and the reservoir shoreline's mean elevation. The results showed that the reservoir's water surface area increased rapidly during 2003-2007 (from 579 ha to 5,516 ha), fluctuated insignificantly in 2008-2020, and reached 7,196 ha in 2021. Consequently, SW was raised from 11.8 million m3 in 2003 to 1.68 billion m3 in 2021. Our estimations agree with the depth and SW of Tuyen Quang Reservoir published in 2019. Our proposed method could be an effective water resource management tool in developing countries where the number of impounding reservoirs increases dramatically yearly without the financial afford to build gauging stations. © 2023, Publishing House of Natural Science and Technology, VAST. All rights reserved.</t>
  </si>
  <si>
    <t>2-s2.0-85163659658"</t>
  </si>
  <si>
    <t>10.3390/rs15133290</t>
  </si>
  <si>
    <t>https://www.scopus.com/inward/record.uri?eid=2-s2.0-85165218300&amp;doi=10.3390%2frs15133290&amp;partnerID=40&amp;md5=c0adc1e87d7a41040f36e874eb06dea0</t>
  </si>
  <si>
    <t>Land motions are significantly widespread in the Yellow River delta (YRD). There is, however, a lack of understanding of the delta-wide comprehensive deformation mode and its dynamic mechanism, especially triggered by groundwater extraction. This paper adopts an integrated analysis of multidisciplinary data of image geodesy, geophysics, geology and hydrogeology to provide insights into Earth surface displacement patterns and dynamics in the YRD. Delta-scale land motions were measured for the first time using L-band ALOS images processed using multi-temporal InSAR, illustrating multiple obvious surface sinking regions and a maximum annual subsidence velocity of up to 130 mm. Then, the InSAR-constrained distributed point source model with optimal kernel parameters, a smoothness factor of 10 and a model grid size of 300 m was established and confirmed to be rational, reliable and accurate for modeling analysis over the YRD. Remarkable horizontal surface displacements, moving towards and converging on a sinking center, were recovered by means of modeling and measured using InSAR, with a maximum rate of up to 60 mm per year, which can trigger significant disasters, such as ground fissures and building damage. In addition, the annual total water storage variation at the delta scale, the most meaningful outcome, can be calculated and reaches a total of approximately 12,010 × 103 m3 in Guangrao city, efficiently filling the gap of GRACE and in situ investigations for delta-wide aquifer monitoring. Finally, a comparative analysis of time series InSAR measurements, modeling outcomes, and fault and groundwater data was conducted, and the strong agreement demonstrates that faults control aquifer distribution and hence the spatial distribution of groundwater-withdrawal-related regional land subsidence. Moreover, the obvious asymmetric displacements, demonstrating a northeasterly displacement trend, further reveal that faults control aquifer distribution and Earth surface deformation. These findings are useful for understanding the land motion patterns and dynamics, helping to sustainably manage groundwater and control disasters in the YRD and elsewhere worldwide. © 2023 by the authors.</t>
  </si>
  <si>
    <t>2-s2.0-85165218300"</t>
  </si>
  <si>
    <t>10.1016/j.qsa.2023.100096</t>
  </si>
  <si>
    <t>https://www.scopus.com/inward/record.uri?eid=2-s2.0-85162828179&amp;doi=10.1016%2fj.qsa.2023.100096&amp;partnerID=40&amp;md5=079f347ffd8d896855fb83e339460737</t>
  </si>
  <si>
    <t>The present study analyzes the geo-hydrological behaviour of the Kashang khad basin of the satluj river system in Kinnaur district, Himachal Pradesh. The major source of water in the region is the snowmelt, which contributes to the evolution of a drainage pattern. It highlights the importance of ASTER GDEM and satellite images for assessing and understanding the various geo-hydrological parameters such as drainage analysis, and topographic analysis for better basin management. Hydrological modelling of ArcGIS 10.5 has been used for the delineation and analysis of basins using SRTM DEM with 30 m resolution. Morphometric parameters like linear, relief, and aerial further help in the micro-level study of its physiographic characteristics and structural control of flow along with runoff, which can help predict floods, their extent, and intensity. It was found that the basin had a dendritic pattern with uniform lithology. The stream order ranges from 1st order to 5th order signalling homogeneity in texture and medium to high drainage density meaning permeable soil and good surface runoff. The drainage texture of 2.19 indicates the basin is prone to weathering and erosion. The bifurcation ratio ranges from 4.43 to 5.23, with a mean Rb of 4.82 showing the structural control on the elongated basin with Re of 0.56. The ASTER DEM and sophisticated morphometric attributes and hydrological environs can be effectively utilized in watershed management and other hydrological studies in higher mountainous regions. © 2023 The Authors</t>
  </si>
  <si>
    <t>2-s2.0-85162828179"</t>
  </si>
  <si>
    <t>10.1016/j.jappgeo.2023.105039</t>
  </si>
  <si>
    <t>https://www.scopus.com/inward/record.uri?eid=2-s2.0-85153571552&amp;doi=10.1016%2fj.jappgeo.2023.105039&amp;partnerID=40&amp;md5=4a7c14e38136dc568194952c86886ff2</t>
  </si>
  <si>
    <t>Although porosity and permeability are essential parameters for slope stability, estimating the spatial porosity and permeability variation of slope site is difficult because of complexity of petrophysical modeling. The differential effective medium (DEM) and self-consistent approximation (SCA), which used to calculate elastic modulus of porous materials, are applied to link seismic wave velocity to porosity and permeability. The shear-wave velocity structure is gathered through a near surface Rayleigh-wave survey, and the porosity and permeability profiles are further estimated. The results are cross validated by the borehole data and poroelastic relation. The petrophysical structure of the Yangtze River embankment may further reflect hydrological properties of laminated layers, which bear relatively large porosity and permeability in some area. The results show that the porosity and permeability profiles based on SCA are more reliable with respecting to the borehole data. The relationship between seismic velocity and porosity and permeability is established and validated, favoring a sound basis for further hydrological interpretation of seismic data. Furthermore, some geotechnical suggestions are put forward during the flood seasons in correspondence to the natural hazard mitigation. © 2023 Elsevier B.V.</t>
  </si>
  <si>
    <t>2-s2.0-85153571552"</t>
  </si>
  <si>
    <t>10.3390/rs15102561</t>
  </si>
  <si>
    <t>https://www.scopus.com/inward/record.uri?eid=2-s2.0-85160643235&amp;doi=10.3390%2frs15102561&amp;partnerID=40&amp;md5=fb740cd2d5f362c39d41cd9df3e1903a</t>
  </si>
  <si>
    <t>Identifying areas susceptible to flash flood hazards is essential to mitigating their negative impacts, particularly in arid regions. For example, in southeastern Sinai, the Egyptian government seeks to develop its coastal areas along the Gulf of Aqaba to maximize its national economy while preserving sustainable development standards. The current study aims to map and predict flash flood prone areas utilizing a spatial analytic hierarchy process (AHP) that integrates GIS capabilities, remote sensing datasets, the NASA Giovanni web tool application, and principal component analysis (PCA). Nineteen flash flood triggering parameters were initially considered for developing the susceptibility model by conducting a detailed literature review and using our experiences in the flash food studies. Next, the PCA algorithm was utilized to reduce the subjective nature of the researchers’ judgments in selecting flash flood triggering factors. By reducing the dimensionality of the data, we eliminated ten explanatory variables, and only nine relatively less correlated factors were retained, which prevented the creation of an ill-structured model. Finally, the AHP method was utilized to determine the relative weights of the nine spatial factors based on their significance in triggering flash floods. The resulting weights were as follows: rainfall (RF = 0.310), slope (S = 0.221), drainage density (DD = 0.158), geology (G = 0.107), height above nearest drainage network (HAND = 0.074), landforms (LF = 0.051), Melton ruggedness number (MRN = 0.035), plan curvature (PnC = 0.022), and stream power index (SPI = 0.022). The current research proved that AHP, among the most dependable methods for multi-criteria decision-making (MCDM), can effectively classify the degree of flash flood risk in ungauged arid areas. The study found that 59.2% of the area assessed was at very low and low risk of a flash flood, 21% was at very high and high risk, and 19.8% was at moderate risk. Using the area under the receiver operating characteristic curve (AUC ROC) as a statistical evaluation metric, the GIS-based AHP model developed demonstrated excellent predictive accuracy, achieving a score of 91.6%. © 2023 by the authors.</t>
  </si>
  <si>
    <t>2-s2.0-85160643235"</t>
  </si>
  <si>
    <t>10.1017/cft.2023.17</t>
  </si>
  <si>
    <t>https://www.scopus.com/inward/record.uri?eid=2-s2.0-85180264600&amp;doi=10.1017%2fcft.2023.17&amp;partnerID=40&amp;md5=8c624d1af3b996b6d60fddfa7cbbfe00</t>
  </si>
  <si>
    <t>Blue carbon is identified as a natural climate solution as it provides multiple ecosystem services, including climate mitigation, adaptation, and other co-benefits. There remain ongoing challenges for blue carbon as a natural climate solution, particularly as blue carbon ecosystems are at risk from climate change. Concepts of uniformitarianism were applied to consider how the present and past behaviour of blue carbon ecosystems can inform decision-makers of blue carbon risks. Climate change may increase the capture and storage of blue carbon in the short to medium term</t>
  </si>
  <si>
    <t>10.1007/s00343-022-1217-z</t>
  </si>
  <si>
    <t>https://www.scopus.com/inward/record.uri?eid=2-s2.0-85153957898&amp;doi=10.1007%2fs00343-022-1217-z&amp;partnerID=40&amp;md5=5916887d7d1c6ab93f48e6727f7423a2</t>
  </si>
  <si>
    <t>The Bohai Sea is influenced by numerous extreme oceanic wave events in history. However, it is often difficult to determine the types of these events due to the lack of detailed historical records, causing uncertainty in the reconstruction of historical coastal disasters. We investigated an anomalous sand layer in the Xiliyu Village by the coast of Laizhou Bay, Shandong, from which an extreme event deposit was identified using a multi-proxy approach including grain size distribution, geochemistry, and magnetic susceptibility. This event was dated 2 700–3 100 a bp, and caused inundation of a large coastal area of Laizhou Bay. By comparing historical records with instrumental data, we believe that the event deposit was generated by a severe storm surge with wind speed of &gt;34.9 m/s. © 2023, Chinese Society for Oceanology and Limnology, Science Press and Springer-Verlag GmbH Germany, part of Springer Nature.</t>
  </si>
  <si>
    <t>2-s2.0-85153957898"</t>
  </si>
  <si>
    <t>10.1016/j.scitotenv.2023.162803</t>
  </si>
  <si>
    <t>https://www.scopus.com/inward/record.uri?eid=2-s2.0-85150358846&amp;doi=10.1016%2fj.scitotenv.2023.162803&amp;partnerID=40&amp;md5=b092e91a1a4f2e4d8a15a492ab26eb38</t>
  </si>
  <si>
    <t>The invasion of Spartina alterniflora has caused severe damage to the coastal wetland ecosystem of the Yellow River Delta, China. Flooding and salinity are key factors influencing the growth and reproduction of S. alterniflora. However, the differences in response of S. alterniflora seedlings and clonal ramets to these factors remain unclear, and it is not known how these differences affect invasion patterns. In this paper, clonal ramets and seedlings were studied separately. Through literature data integration analysis, field investigation, greenhouse experiments, and situational simulation, we demonstrated significant differences in the responses of clonal ramets and seedlings to flooding and salinity changes. Clonal ramets have no theoretical inundation duration threshold with a salinity threshold of 57 ppt (part per thousand)</t>
  </si>
  <si>
    <t>Journal of Southern Hemisphere Earth Systems Science</t>
  </si>
  <si>
    <t>10.1071/ES22036</t>
  </si>
  <si>
    <t>https://www.scopus.com/inward/record.uri?eid=2-s2.0-85169832057&amp;doi=10.1071%2fES22036&amp;partnerID=40&amp;md5=7f70d9b7aa5626a380c784fb7e8eca56</t>
  </si>
  <si>
    <t>Despite being well-documented in other countries, the roles that anthropogenically induced changes and natural variability in tidal processes play in modulating coastal flood frequencies have not been investigated in Australia. Here we conduct a brief assessment of changes in tidal variability around Australia. We then apply a simple attribution framework to quantify the separate and joint effects of tidal range changes and increasing relative mean sea level on nuisance flood frequency at the location with the largest relative changes in tidal range, Lakes Entrance, Victoria. To understand how these changes in variability affect flood hazards, we consider a nuisance flood threshold based on recent coastal flood impact surveys. Results show that increases in the heights of high tides over recent years have exerted a large influence on coastal flood frequencies. These recent changes are potentially linked to changes in channel dredging regimes. We show that 93% of nuisance flood days since 2009 would not have occurred without these tidal range changes or the coincident increases in the mean sea level. We demonstrate the importance of considering tidal processes in estuarine coastal flood hazard assessments for future planning, even if these processes do not represent a substantial flood threat today. We discuss the implications of this study for future work on estuarine flood hazards and the benefits of considering impact-based thresholds in the assessment of such hazards. © 2023 Australian Bureau of Meteorology. All rights reserved.</t>
  </si>
  <si>
    <t>2-s2.0-85169832057"</t>
  </si>
  <si>
    <t>10.1134/S000143702302008X</t>
  </si>
  <si>
    <t>https://www.scopus.com/inward/record.uri?eid=2-s2.0-85164468351&amp;doi=10.1134%2fS000143702302008X&amp;partnerID=40&amp;md5=55e19f655cafd32dd249c2f432e8ec60</t>
  </si>
  <si>
    <t>Abstract: Based on the results of global oceanic reanalysis (GLORYS12.v.1), materials of hydrometeorological observations by the Roshydromet network in the Laptev Sea and mouth of the Lena River and reviews of ice processes in the Arctic Ocean by the Arctic and Antarctic Research Institute, this paper considers the features of the evolution of the Lena Polynya on the estuarine nearshore of the Bykovsky Arm in the warm period 1993–2019. A relationship has been revealed between the timing of formation of the polynya in the nearshore of this arm with the dates of flood onset at the head of the Lena River Delta. The assumption is confirmed that the average growth rate of the Lena polynya in summer is determined by the timing of its formation: the earlier the flood begins, the earlier the polynya forms in the nearshore of the Bykovsky Arm and the smaller the its average growth rate. It has been established that warming in the mouth area of the Lena in 2008–2019 stabilized, since there are no significant trends in the water and ice regime characteristics. These patterns may be invariant for other river mouths of the Laptev Sea Basin, and the obtained dependences can be used to improve the forecast of dates of clearing of the water area from ice in the Lena’s estuarine nearshore nearshore and the planning of icebreaking navigation along the Tiksi port–Lena River route. © 2023, Pleiades Publishing, Inc.</t>
  </si>
  <si>
    <t>2-s2.0-85164468351"</t>
  </si>
  <si>
    <t>10.2166/bgs.2023.010</t>
  </si>
  <si>
    <t>https://www.scopus.com/inward/record.uri?eid=2-s2.0-85165152721&amp;doi=10.2166%2fbgs.2023.010&amp;partnerID=40&amp;md5=5196021029ad0cdf81a957c7895359d9</t>
  </si>
  <si>
    <t>The integrated hydrological model is a powerful tool that is used to assess the temporal distribution of fresh groundwater discharge especially in coastal areas. The coastal regions of Hawaii are examples of crucial natural resources for the Hawaiian economy and general ecological health. To fully comprehend the intricate interactions between coastal hydrology processes and ecosystems, it is necessary to evaluate the fresh submarine groundwater discharge (FSGD) at the Heeia shoreline using an integrated hydrological modeling technique. Under steady-state settings, the results showed that the present daily average of FSGD is around 0.43 m3/days across 1 m of the shoreline. However, we showed that the FSGD values were considerably impacted by climate change, groundwater head of the coastal aquifer, recharge rate, and sea level rise, particularly by the end of the 21st century. The post-development FSGD fluxes were 1.5 3.5 times greater than the freshwater transported by the Heeia stream, demonstrating the considerable contribution of the FSGD to the coastal zones of Heeia. The results also showed an exponential association between the FSGD and the groundwater level for the coastal unconfined aquifer. © 2023 The Authors.</t>
  </si>
  <si>
    <t>2-s2.0-85165152721"</t>
  </si>
  <si>
    <t>10.1029/2023JB026437</t>
  </si>
  <si>
    <t>https://www.scopus.com/inward/record.uri?eid=2-s2.0-85160413531&amp;doi=10.1029%2f2023JB026437&amp;partnerID=40&amp;md5=c5d60475d102d1e3aeac45dd19342f34</t>
  </si>
  <si>
    <t>The 2018 Sierra Negra eruption resulted in meter-scale subsidence due to basaltic magma extraction from a deflating reservoir. The eruption was also characterized by dike intrusions, &gt;4 MW earthquakes, and sulfur dioxide emissions. We use a combination of Interferometric Synthetic Aperture Radar, Digital Elevation Model, Global Positioning System and seismic data to assess conditions required to trigger episodic caldera collapse at Sierra Negra. The 2018 effusive eruption was mainly sourced from a horizontal sill located at ∼2 km depth, with a minimum erupted bulk volume of 0.19 km3. The modeled reservoir is bound by a C-shaped ring of seismicity, suggesting trapdoor fault slip. Two &gt;4.5 MW earthquakes (5 and 22 July 2018) produced localized subsidence north of the southern trapdoor fault. After removing the modeled subsidence signal, distributed normal trapdoor fault slip explains the location of residual displacement. Furthermore, distributed fault models indicate slip occurred along the northern, central and southern segments of the trapdoor fault during the entire eruption, until 25 August 2018. Theoretical models of caldera collapse estimate that an erupted volume of 0.19 km3 is too small to trigger full-scale caldera collapse, given the caldera aspect ratio (depth/diameter) of 0.22. Nonetheless, the spatial distribution and duration of seismicity and slip suggest trapdoor fault activation is the initial stage of caldera collapse at Sierra Negra, which may lead to full-scale caldera collapse during larger eruptions. Alternatively, hundreds of medium-sized eruptions, similar to that of 2018, may have triggered fault slip events over the past millennia. © 2023. American Geophysical Union. All Rights Reserved.</t>
  </si>
  <si>
    <t>2-s2.0-85160413531"</t>
  </si>
  <si>
    <t>10.1016/j.dynatmoce.2023.101370</t>
  </si>
  <si>
    <t>https://www.scopus.com/inward/record.uri?eid=2-s2.0-85159229513&amp;doi=10.1016%2fj.dynatmoce.2023.101370&amp;partnerID=40&amp;md5=1ff8d5b7262ad582af99e84963b50e04</t>
  </si>
  <si>
    <t>In the context of climate change and human activities, the global sea level is facing a rising trend, which poses serious challenges to the ecological environment of coastal areas. In this study, we selected the monthly mean sea level (MSL) time series of 9 stations in the coastal areas of China as the research object. First, we analyzed the spatiotemporal distribution characteristics of the monthly MSL in the coastal areas of China. Secondly, we analyzed the ability of ensemble empirical mode decomposition (EEMD) to decompose the monthly MSL series. Finally, we choose three machine learning models, namely Back Propagation (BP), K-Nearest Neighbor (KNN), and Long Short-Term Memory (LSTM) neural network models to compare model prediction effect between single machine learning models with machine learning models combined with EEMD. The results show that except for the YANTAI (YT) station, which showed an insignificant downward trend, the monthly MSL of other stations showed an upward trend, indicating that the coastal areas of China are facing the risk of sea level rise. EEMD can effectively reduce the complexity of the original monthly MSL time series, and different intrinsic mode functions (IMFs) reflect changes in monthly MSL at different frequencies. Comparing the single machine learning model and the machine learning model combined with EEMD, it is found that the simulation effect of the machine learning model combined with EEMD is better than that of the single model. The model with the best prediction effect on monthly MSL in the coastal areas of China is LSTM-EEMD, followed by KNN-EEMD. This study provides an important reference for systematically understanding sea level changes and selecting an appropriate monthly MSL prediction model in the coastal areas of China. © 2023 Elsevier B.V.</t>
  </si>
  <si>
    <t>2-s2.0-85159229513"</t>
  </si>
  <si>
    <t>10.1007/s10640-023-00771-9</t>
  </si>
  <si>
    <t>https://www.scopus.com/inward/record.uri?eid=2-s2.0-85150373613&amp;doi=10.1007%2fs10640-023-00771-9&amp;partnerID=40&amp;md5=a6f1f5743fa4c3ee1f64ca5975ffd451</t>
  </si>
  <si>
    <t>A flood can be a severe event, causing not only material damage but also immaterial, such as stress and discomfort. Yet, the risk of flooding may not always be known to house buyers before purchase. In this paper, we estimate the immaterial cost of flood risk from coastal flooding using the hedonic house price approach. The analysis is based on a rich house price dataset that identifies flooded houses using insurance data. The design of the insurance mechanism makes it possible to separate material and immaterial damage as all houses are insured independently of the flood risk. Applying a difference-in-differences design, we study the effect of changes in flood risk information, namely the publication of flood maps, and a flood event in Denmark in 2013. By estimating a time-variant house price function, we can infer the welfare implications of non-marginal changes in flood-risk perception. We find that households have a maximum WTP of 21% of the house price to avoid being flooded after a flood event and that this effect diminishes over time. Houses located in a flood risk zone are sold with an 8.4% price discount but controlling for inundation removes the impact of the flood map. © 2023, The Author(s), under exclusive licence to Springer Nature B.V.</t>
  </si>
  <si>
    <t>2-s2.0-85150373613"</t>
  </si>
  <si>
    <t>10.1016/j.geomorph.2023.108694</t>
  </si>
  <si>
    <t>https://www.scopus.com/inward/record.uri?eid=2-s2.0-85153500283&amp;doi=10.1016%2fj.geomorph.2023.108694&amp;partnerID=40&amp;md5=e95b866d4657237541cf28f298c2dcc4</t>
  </si>
  <si>
    <t>Pingos of the western Canadian Arctic (WCA) coastal plain are among the most abundant and well-studied in the northern hemisphere. However, the abundance and morphometric variation of these pingos has not been quantitatively examined with respect to surficial and physiographic settings, likely because they have never been systematically catalogued with precision. We assess the distribution and morphology of pingos in the WCA using the High Resolution Digital Elevation Model (HRDEM) and demonstrate how this population compares to others in the Arctic, and how it varies in relation to surficial and physiographic settings. Of the 2363 pingos identified in the WCA (900 more than previous estimates), relief ranges from a few 10s of centimetres to 46.7 m for Ibyuk Pingo, which is the archetype of closed-system (hydrostatic) pingos in the region. Nearly 18 % (272) are taller than 10 m, although about 35 % of the pingos (830) are &lt;2 m tall, which is the minimum height limit of most other studies. Using this minimum cut-off to compare populations, the mean height of WCA pingos &gt;2 m (n = 1533) is 6.5 m, which is greater than other lowland pingos in the Arctic. WCA pingos are about 10 % larger in radius than pingos in North Alaska but have comparable mean slopes. Nevertheless, about 72 % of WCA pingos &gt;2 m tall are “high-slope” pingos with a mean slope of 5° or greater. Within the WCA, 95 % of all pingos occur within the Tuktoyaktuk Lowlands in relation to the distribution of underlying Pleistocene sands, specifically the extent of braidplain deposits from the paleo-Peel and Anderson rivers known as the Kidluit Formation (Marine Isotope Stage 3). However, the spatial density of pingos within the Tuktoyaktuk Lowlands varies with physiography, and the highest densities relate to ice-rich, topographically-complex terrains that have a history of glaciation and thermokarst. In contrast, pingos within the modern Mackenzie Delta, where the low-lying, Holocene-age terrain is not amenable to lake drainage that promotes closed-system pingo formation, have a low density (5 % of total population) and are smaller. Nearly 30 % of WCA pingos reside at &lt;5 m asl. Consequently, ongoing relative sea level rise and the effects on coastal change are likely to erode some pingos within the current population but may also trigger lake drainage and formation of new pingos. © 2023</t>
  </si>
  <si>
    <t>2-s2.0-85153500283"</t>
  </si>
  <si>
    <t>Revista Brasileira de Ciencias Ambientais</t>
  </si>
  <si>
    <t>10.5327/Z2176-94781546</t>
  </si>
  <si>
    <t>https://www.scopus.com/inward/record.uri?eid=2-s2.0-85204014601&amp;doi=10.5327%2fZ2176-94781546&amp;partnerID=40&amp;md5=e3db0f7d4097de82eaa7c94a7b3aa518</t>
  </si>
  <si>
    <t>Vigia de Nazaré is a town located in the northeastern extreme of the Brazilian state of Pará, in the Pará Coastal Zone, a sub-region of the Amazon Coastal Zone. The town sits on the lower levels of the region’s terraces, and on fluviomarine plains. The different stages of its sociospatial evolution reflect the problem analyzed here, in particular, the occupation and urban development of the fluvial-marine plains, which was occupied spontaneously by large numbers of families, most of which are socially vulnerable. The present study investigated the physical and social processes that led this urban space’s vulnerability to hydrometeorological hazards, based on an integrated historical-geographic approach and the inherent precariousness of the environment. The data analysis revealed high levels of annual precipitation in the region, with a well-defined rainy season between January and May (mean monthly precipitation of over 300 mm), in an environment dominated by semidiurnal macro tides with amplitudes of up to 4.5 meters. In 2022, the high tide reached at least 4.2 meters in 60 occasions — the level of alert for possible rainfall-induced tidal surges. The recent occupation of the urban zone is concentrated on the low-lying areas of the fluviomarine plain, which recently account for one-third of the urban center. These areas are exposed to the hydrological dynamics of the local estuarine environment, which result in environmental degradation and hydro-morphodynamic processes alteration. © 2023, ABES - Associacao Brasileira de Engenharia Sanitaria e Ambiental. All rights reserved.</t>
  </si>
  <si>
    <t>2-s2.0-85204014601"</t>
  </si>
  <si>
    <t>10.3390/rs15092409</t>
  </si>
  <si>
    <t>https://www.scopus.com/inward/record.uri?eid=2-s2.0-85159352188&amp;doi=10.3390%2frs15092409&amp;partnerID=40&amp;md5=ab350b6105189a60ef93c819a4b683f5</t>
  </si>
  <si>
    <t>Land subsidence (LS) is becoming one of the major problems in coastal and delta cities worldwide. Understanding the current LS situation and the research trends is of paramount importance for further studies and addressing future international research networks. We analyzed the LS-related literature available from the Scopus database. The use of a single database avoided the redundancy of articles, while excluding some subject areas was useful to obtain only studies related to LS. By using VOSviewer and CiteSpace tools, we conducted a bibliometric analysis by considering title, keywords, and abstract to identify the temporal development, the geographical origin, and the area of study of the research. The results revealed a considerable heterogeneity of approaches, thematics, study areas, and research output trends. China, the US, and Italy are the major contributors to the scientific production, but the higher number of articles is not always related to the extension of the LS phenomenon in these countries. The monitoring approach differs worldwide, and univocal modeling is still lacking</t>
  </si>
  <si>
    <t>10.1007/s12524-023-01698-w</t>
  </si>
  <si>
    <t>https://www.scopus.com/inward/record.uri?eid=2-s2.0-85159218144&amp;doi=10.1007%2fs12524-023-01698-w&amp;partnerID=40&amp;md5=f2a5b8fca95f2768a04a7a6c08a39ff1</t>
  </si>
  <si>
    <t>Godavari mangroves are the second largest mangrove ecoregion of India located on its eastern coast. Mangroves perform major ecological functions including shoreline stabilization and coastal protection. They have undergone serious alterations, largely induced by human activities resulting in increased vulnerability to coastal flooding. A reliable database on mangroves distribution and temporal changes is essential for their effective management and conservation. Present study analyzes the long-term changes in mangroves, as well as the geomorphological changes along the coast of Godavari Estuary over a span of 82 years (1937–2019), using topographical maps, remotely sensed multi-temporal satellite imageries for five time periods. Results indicated that the rate of land uses conversions of agricultural fields, degraded areas, mudflats and mangrove vegetation into aquaculture significantly increased during the late 1990s. About 40 percent of it was constructed on mangrove areas between 1980 and 2019. The area under aquaculture was estimated to be 6,388.62 ha in 2000, almost doubling-up to 11,924.67 ha in 2019. Mangrove cover in this region increased by 15.95 percent between 2000 and 2019 (including 11.9 percent in Coringa Wildlife Sanctuary) due to increased protection, consequent regeneration and accretion. Shift in Hope Island spit was observed in north and northwest directions, gradually growing nearly 3.84 km. High-resolution declassified satellite data were found very helpful for long-term mangrove mapping and analyzing geomorphological changes</t>
  </si>
  <si>
    <t>10.1016/j.jvolgeores.2023.107840</t>
  </si>
  <si>
    <t>https://www.scopus.com/inward/record.uri?eid=2-s2.0-85162916761&amp;doi=10.1016%2fj.jvolgeores.2023.107840&amp;partnerID=40&amp;md5=428bedd292f1216588ca1eaa235cb7d3</t>
  </si>
  <si>
    <t>Details of ongoing changes in geomorphology and structure of nested volcanic craters are lacking due to the difficult and hazardous access. In this study, we present a novel unoccupied aircraft system (UAS) dataset collected at Lascar, northern Chile, one of the most active volcanoes in the Central Volcanic Zone of the Andes. Lascar features nested craters, the deepest crater of which has experienced repeated lava dome emplacement and numerous violent explosions in recent decades. We performed UAS surveys in 2017 and 2020 to collect the optical and thermal imaging data of the active crater. By applying the Structure-from-Motion (SfM) method, we obtained centimeter-scale optical and thermal orthomosaics as well as digital terrain models. We quantify the spatial and volumetric changes that occurred during the observation period. The results show material removal from the crater wall and a significant accumulation of volcanic material on the crater floor. The thermal orthomosaic helps identify thermal anomalies and the spatial distribution of fumaroles. The highest thermal anomaly was found on the crater floor and delimited by ring structures. Both the optical orthomosaics and DEMs from 2017 and 2020 showed a consistent ring structure, which remained stable following two explosive events. Possible localized subsidence was observed within the ring structure. Consequently, we hypothesize that the ring structure represents the surface expression of underlying concentric fracture systems and constrains a narrow conduit top. Our results provide important insights into an active crater's morphological, structural, and thermal features, with implications for understanding the formation mechanism and evolution of volcanic craters. © 2023 The Authors</t>
  </si>
  <si>
    <t>2-s2.0-85162916761"</t>
  </si>
  <si>
    <t>10.1016/j.margeo.2023.107032</t>
  </si>
  <si>
    <t>https://www.scopus.com/inward/record.uri?eid=2-s2.0-85151298513&amp;doi=10.1016%2fj.margeo.2023.107032&amp;partnerID=40&amp;md5=3115dfb878aaae003c418d5e2caeaef3</t>
  </si>
  <si>
    <t>Tsunamis and cyclones are sea-borne hazards capable of inundating vast coastal areas. This study aims at an extreme wave hazard assessment with a preliminary inundation analysis along the Makran Coast, Pakistan. The coastal hazard, particularly tsunamis, is evaluated by integrating five approaches: (i) probabilistic tsunami hazard assessment (PTHA); (ii) deterministic tsunami hazard assessment (DTHA); (iii) geophysical-seismic (2-D thermal modelling), (iv) sedimentary tsunami deposits (tsunamis); and (v) the historical record. The recurrence interval for a mega-tsunami event (≥12 m) is between 500 and 1000 years in the Arabian Sea. Of these mega-tsunamis, about 60% are generated by seismic sources, while the remaining 40% are attributed to secondary (co-seismic submarine landslides) and other non-seismic sources. Based on the above five approaches, the hazard analysis helped to shortlist four wave scenarios (3, 7, 10, and 15 m). Which were further used to demarcate risk areas through static inundation analysis. The results indicated that the damage potential at the coast is minor to negligible with 3 m waves and moderate with 7 m waves. Whereas the 10 m and 15 m waves will severely disrupt the study area. In addition to tsunami risk, cyclone risk is assessed by interpolating storm tracks dating back to 1842 CE. In the last 64 years, cyclone frequency has jumped from 1 cyclone per 10 years to 20 cyclones per 10 years, and the intensity has increased by two levels from Tropical Storm (TS) to Category-3.</t>
  </si>
  <si>
    <t>10.1016/j.jhydrol.2023.129355</t>
  </si>
  <si>
    <t>https://www.scopus.com/inward/record.uri?eid=2-s2.0-85150063824&amp;doi=10.1016%2fj.jhydrol.2023.129355&amp;partnerID=40&amp;md5=d24b38ea1d8c33fd8a069d8dcb9adbe1</t>
  </si>
  <si>
    <t>Increasing the effective urban water storage capacity is one of a range of solutions to mitigate heat issues and flooding in urban areas and vegetation plays an important role in it. In this study, the regional-scale water storage capacity of four city clusters in China during the period 2009–2018 was estimated based on a four-source evapotranspiration (ET) model incorporated with urban water storage capacity (S) estimated on the basis of daily ET recession. Our results showed that simulated ET was consistent with four flux towers (R2 = 0.57, RMSE = 1.45 mm/d). The spatial distribution of S was similar to that of ET, and ranged from 2 to 28 mm. The influence of environmental drivers on the spatial pattern of S was explored using a machine learning technique, and the relative contribution of LAI (leaf area index) to the spatial pattern of S ranged from 11.59% to 27.56%. The effect of vegetation change on S in urban and non-urban areas showed an opposite relationship to the LAI change. However, the effect on S in urban and non-urban areas was reversed when vegetation was expanded to 1.25 times the existing mean, owing to the increase in vegetation dominating the change in urban Eb (soil evaporation) to a greater degree than for non-urban Eb. Urban areas in Beijing–Tianjin–Hebei, the Yangtze River Delta, Pearl River Delta, and Chengdu–Chongqing would need to increase existing vegetation by 10%, 32%, 32%, and 28%, respectively, to store additional precipitation (above the mean annual precipitation) in high-precipitation years. This study provides a new mechanistic understanding of the effects of vegetation change on water consumption in urban ecosystems, allowing the role of urban ecological planning in urban flood mitigation to be quantified. © 2023 Elsevier B.V.</t>
  </si>
  <si>
    <t>2-s2.0-85150063824"</t>
  </si>
  <si>
    <t>International Journal of Engineering and Geosciences</t>
  </si>
  <si>
    <t>10.26833/ijeg.1110560</t>
  </si>
  <si>
    <t>https://www.scopus.com/inward/record.uri?eid=2-s2.0-85152935913&amp;doi=10.26833%2fijeg.1110560&amp;partnerID=40&amp;md5=dcb200092533009e75e32d91f5f1ef0f</t>
  </si>
  <si>
    <t>Topographic Wetness Index, also known as the compound topographic index, (TWI) is a topographic indicator that calculates the potential of where water is likely to accumulate during excessive precipitation cycles resulting from abrupt atmospheric anomalies. High index values represent serious potential of water accumulation due to low slope, and the opposite for high slope. As expected from the term, slope, Digital Elevation Model (DEM) datasets play an important role in the calculation of TWI. DEMs are produced utilizing tachometry, GPS benchmarking, UAV, aerial or satellite image capture and LIDAR capabilities. However, no matter how it is generated, a DEM is as good as the actual ground sampling algorithm, on which the final resolution is based. Using six different DEM resolutions coming from three global and one national source presented in three different setting coverages, upper feeder basin of Bozkurt sub-province, Kastamonu, was analyzed emphasizing the urbanized part of the sub-province, which was devastated during the August 11th, 2021 flood. Coarser resolution missed the overall precision while the finer resolution captured it nicely. On the flip side, finer resolution excessively fragmented the questioned area while the coarser resolution formed a unity coinciding with the destructed area recorded during the event. © Author(s) 2023.</t>
  </si>
  <si>
    <t>2-s2.0-85152935913"</t>
  </si>
  <si>
    <t>10.1007/s00267-023-01817-w</t>
  </si>
  <si>
    <t>https://www.scopus.com/inward/record.uri?eid=2-s2.0-85151562231&amp;doi=10.1007%2fs00267-023-01817-w&amp;partnerID=40&amp;md5=e09f60746ef1648d2cf5c7eb73f50f45</t>
  </si>
  <si>
    <t>Globally, there is an urgent need for widespread restoration of coastal wetlands like mangroves and saltmarsh. This restoration has been slow to progress in Australia for a number of reasons, including legal issues surrounding land tenure, ownership and use. This paper uses the responses to a survey of coastal zone experts to identify and articulate these legal issues, before considering and analysing in-depth recommendations, solutions and levers to facilitate restoration, and areas where further research or possible policy and/or law reform is needed. It calls for legislative reform to clarify tidal boundaries generally and under sea-level rise, greater use of incentive schemes to encourage the uptake of restoration projects, and utilisation of contracts and land-based covenants to secure projects and carbon flows. © 2023, The Author(s).</t>
  </si>
  <si>
    <t>2-s2.0-85151562231"</t>
  </si>
  <si>
    <t>10.1016/j.envsoft.2023.105683</t>
  </si>
  <si>
    <t>https://www.scopus.com/inward/record.uri?eid=2-s2.0-85152711380&amp;doi=10.1016%2fj.envsoft.2023.105683&amp;partnerID=40&amp;md5=f566b4fb4759db88bd917819ba25a0e0</t>
  </si>
  <si>
    <t>Freshwater availability in the coastal zone is threatened by overexploitation, seawater intrusion and global change. Recent advances in parallel computing of coupled variable-density groundwater flow and salt transport models enable the construction of large-scale high-resolution models, key to support sound policy making. Here, we present the construction of a nationwide coupled variable-density groundwater flow and salt transport model for the Netherlands, derived from the existing nationwide groundwater flow model. Construction of the model is fully scripted in a reproducible and transparent version-controlled workflow, aiding regular updating and stakeholder trust in model results. A 3D groundwater salinity distribution was interpolated from over 2M available measurements using Multiple Indicator Kriging as a starting condition in the model. Calculation of a high-end sea-level rise scenario shows the added benefit of large-scale groundwater salinity modelling for policy making. The presented approach is generally applicable to groundwater flow models of coastal aquifers. © 2023 The Authors</t>
  </si>
  <si>
    <t>2-s2.0-85152711380"</t>
  </si>
  <si>
    <t>10.1016/j.heliyon.2023.e18272</t>
  </si>
  <si>
    <t>https://www.scopus.com/inward/record.uri?eid=2-s2.0-85165341554&amp;doi=10.1016%2fj.heliyon.2023.e18272&amp;partnerID=40&amp;md5=df131045b5c5d2bc1a665b73e715ee8e</t>
  </si>
  <si>
    <t>Cities are concentrated areas of population that are vulnerable to the impact of natural disasters. Owing to the impact of climate change and extreme weather incidents in recent years, many cities worldwide have been affected by sudden disasters, especially floods, causing many casualties. Social media plays an important role in the communication and sharing of information when physical communication is limited in emergency situations. However, obtaining and using public sentiment during major disasters to provide support for emergency disaster relief is a popular research topic. In the summer of 2021, China's inland plains experienced extremely serious rainstorms. The rainfall on July 20 in the capital city of Zhengzhou, Henan Province, the most population province in China, reached 201.9 mm/h, causing extremely serious consequences. This case study examines people's sentiment about this event through datamining of Chinese Weibo social media during the extreme rainfall period. The six most concerned types of public response topics and 14 subcategory topics were determined from 2,124,162 Weibo messages. “Asking for help” and “public sentiment” dominated the main topics, reaching almost 66%, with a relatively even distribution of secondary categories, but with “appeal for assistance” taking the top spot. Topics changed cyclically with work and rest, but these areas seemed to lag behind coastal areas in their responses to the storm in the same time. The topics were centred around Zhengzhou and distributed in China's major city clusters, such as the Beijing-Tianjin-Hebei agglomerations, Yangtze River Delta, and Pearl River Delta regions. Community-level disaster relief information was also discovered, which showed that high building power outages, basement flooding, tunnel trapping, and drinking water shortages were common topics in specific inner urban regions. This detailed information will contribute to accurate location-based relief in the future. Based on this lesson, a series of measures for urban flood reduction are proposed, including disaster prevention awareness, infrastructure building, regulation mechanisms, social inclusivity, and media dissemination. © 2023 The Authors</t>
  </si>
  <si>
    <t>2-s2.0-85165341554"</t>
  </si>
  <si>
    <t>10.1016/j.scitotenv.2023.162519</t>
  </si>
  <si>
    <t>https://www.scopus.com/inward/record.uri?eid=2-s2.0-85149307206&amp;doi=10.1016%2fj.scitotenv.2023.162519&amp;partnerID=40&amp;md5=e6dbb69625d7386dcdf8d7b1ee8f8947</t>
  </si>
  <si>
    <t>Coastal tidal wetlands are sufficiently acknowledged for the supplied vital ecosystem functions, including flood protection and biological conservation. Measuring and estimating reliable topographic data is essential for quantifying mangrove habitat quality. This study proposes a novel methodology for quickly constructing a digital elevation model (DEM) with an instantaneous waterline combined with tidal level records. Unmanned aerial vehicles (UAVs) enabled on-site waterline interpretation analysis. The results show that image enhancement improves the accuracy of waterline recognition and object-based image analysis has the highest accuracy. The waterline DEM (WDEM) performs a more accurate elevation production than UAV DEM, indicating that its application to habitat evaluation and prediction could be more reliable. Hydrodynamic simulations incorporated with the mangrove habitat model were utilized to calculate inundation duration, flow resistance, and vegetation dissipation potential according to the verified WDEM. The larger the mangrove coverage ratio, the stronger the flow resistance, which means that the protective consequence of the mangrove on the natural embankment is evident. The WDEM and nature-based solutions presented facilitate an adequate understanding of coastal protection and promote the potential ecosystem-based disaster risk reduction of mangrove wetlands. © 2023 Elsevier B.V.</t>
  </si>
  <si>
    <t>2-s2.0-85149307206"</t>
  </si>
  <si>
    <t>10.1016/j.ejrh.2023.101395</t>
  </si>
  <si>
    <t>https://www.scopus.com/inward/record.uri?eid=2-s2.0-85153598694&amp;doi=10.1016%2fj.ejrh.2023.101395&amp;partnerID=40&amp;md5=218584542d8df46f68dd43ed45625e1f</t>
  </si>
  <si>
    <t>Study region: Climate change is expected to severely impact Egypt's Nile Delta Aquifer (NDA). Despite its large freshwater reservoir, estimated at 400 Billion Cubic metres (BCM), climate-change-induced drivers (drought and sea-level rise) coupled with increasing groundwater over-abstraction will cause a gradual reduction of the available freshwater volume. This study used the numerical model SEAWAT to study the impact of the main hydrogeological and anthropogenic factors on the response of the submarine groundwater discharge (SGD) (i.e., the net fresh seaward groundwater flux) and seawater intrusion (SWI) in the NDA. Study focus: Five scenarios were examined, including (i) a probable Sea-level rise (SLR), (ii) expected reduction in Nile hydrograph and its branches, (iii) freshwater overpumping, (iv) the combination of reduction in Nile hydrograph and overpumping, and (v) the combination of these scenarios in the years 2030, 2050 and 2070. New hydrological insights for the region: The results show that the increasing saltwater head due to SLR coupled with a reduction in Nile flow and overpumping ultimately results in the landward shifting of the saltwater within the aquifer. In addition, the resulting salinity increase in the aquifer caused a significant increase in the deterioration of a large quantity of freshwater volume with a subsequent reduction of the SGD. Also, the salt mass variation (SMV) in scenario 5 increased to 7.09%, 10.69%, and 12.99%, while the groundwater discharges variation (SGDV) to the sea declined by 21.90%, 42.38%, and 61.95% in the years 2030, 2050 and 2070, respectively. Moreover, the coastal aquifers required the management of the SGD to keep the balance between the freshwater and saltwater interface. This study is useful for the future planning and water resources management in coastal regions for integrated management of SGD, SWI, and aquifer freshwater storage. Also, the applications of smart measurements of SGD and groundwater salinity are required for coastal aquifers management. © 2023 The Authors</t>
  </si>
  <si>
    <t>2-s2.0-85153598694"</t>
  </si>
  <si>
    <t>10.46717/igj.56.1E.13ms-2023-5-23</t>
  </si>
  <si>
    <t>https://www.scopus.com/inward/record.uri?eid=2-s2.0-85161406925&amp;doi=10.46717%2figj.56.1E.13ms-2023-5-23&amp;partnerID=40&amp;md5=3d236b82823f4acb870ac4d95ad819a5</t>
  </si>
  <si>
    <t>The city of Erbil, the capital of the Kurdistan Region-Iraq, is exposed to frequent floods and cause human and material losses. The current research is analysis of floods as a case study on Zerin City, which was exposed to flood last session 2021-2022. The analysis is based on using different Hydrologic software and digital elevation models, soil data, rainfall data and land use data, were used in order to determine the boundary of catchment area, the area extension of flood plain, depth of flood, water velocity through hydrologic modeling. The results showed that there is a big similarity between the real flood and the modeled flood. Some of the natural water streamlines (valleys) have been filled and the remaining were unable to pass the excess flow generated by the storm. The agricultural lands were not ploughed due to the late rains in this season. Accordingly, increase in the curve number CN (the estimated CN was 79) have been used, the flood inundation, water depth, and velocity through the modeling rainfall storm of return period 50 years on the Zerin City has been done in modeling. The results are a scientific tool that can be used to assess the damages of the study area, and is useful for decision makers. © 2023, Union of Iraqi Geologists. All rights reserved.</t>
  </si>
  <si>
    <t>2-s2.0-85161406925"</t>
  </si>
  <si>
    <t>10.3390/rs15123093</t>
  </si>
  <si>
    <t>https://www.scopus.com/inward/record.uri?eid=2-s2.0-85164143966&amp;doi=10.3390%2frs15123093&amp;partnerID=40&amp;md5=8514277f791bc4e26d2c41c0df645909</t>
  </si>
  <si>
    <t>Understanding the evolution of river morphology is crucial for comprehending changes in water resources and implementing development projects along rivers. This study proposes an integrated approach utilizing remote sensing image data combined with deep learning and visual interpretation algorithms to analyze continuous-type changes in river morphology. This research focuses on the lower reaches of the Minjiang River in China and comprehensively analyzes the river’s morphological evolution from 1986 to 2021. The results show that the proposed method of river water identification in this study demonstrates high accuracy and effectiveness, with an F1 score and Kappa coefficient greater than 0.96 and 0.91, respectively. The morphology of the river channel remains stable in the upstream and estuarine sections of the study region while undergoing substantial alterations in the middle section. Additionally, this study also identifies several factors that significantly impact the evolution of river morphology, including reservoir construction, river sediment mining, river training measures, geological conditions, and large flood events. The findings of this study can provide some insights into the management and conservation of water resources. © 2023 by the authors.</t>
  </si>
  <si>
    <t>2-s2.0-85164143966"</t>
  </si>
  <si>
    <t>10.1016/j.dynatmoce.2023.101368</t>
  </si>
  <si>
    <t>https://www.scopus.com/inward/record.uri?eid=2-s2.0-85153359134&amp;doi=10.1016%2fj.dynatmoce.2023.101368&amp;partnerID=40&amp;md5=1d60f24e9d555a5f59cc5a58766c6b47</t>
  </si>
  <si>
    <t>Climate change will have an undeniable influence on coastal areas, resulting in increased rates of both sea level rise and storm-related impacts. In this context, it is crucial to estimate the local probable extreme sea wave conditions, to properly reproduce the sea state and the coastal hydrodynamic, and to investigate the effectiveness of sea defenses under sea level rise. This work describes the first steps towards an innovative fully coupled modeling system composed of a wind-sea wave (SWAN) and hydrodynamic model (2DEF). Numerical simulations, focusing on the shoreline of Calabaia, Cosenza, Italy, have been compared to the MIKE model outcomes in the same area. The simulations have been performed to investigate the inshore sea wave characteristics, to assess the effectiveness of the actual sea defense interventions, and to identify the impact of extreme storms, by combining sea level rise and extreme sea wave scenarios with the most recent georeferenced territorial data. The models are two-way coupled at half-hourly intervals exchanging the following fields: 2D sea level, surface currents and bottom elevation are transferred from 2DEF to SWAN</t>
  </si>
  <si>
    <t>10.1016/j.catena.2023.107056</t>
  </si>
  <si>
    <t>https://www.scopus.com/inward/record.uri?eid=2-s2.0-85149685973&amp;doi=10.1016%2fj.catena.2023.107056&amp;partnerID=40&amp;md5=74e4479e0813e9dd5e89153c6c67f9f7</t>
  </si>
  <si>
    <t>Invasive engineering species are well-known to have the capacity to alter abiotic and biotic ecosystem characteristics and associated ecological processes. However, it has not been investigated whether and how they can alter reciprocal interactions between biological and physical processes, known as bio-geomorphic feedbacks, which may indirectly influence their invasion and native species. Here, using a tidal channel-salt marsh invaded by Spartina alterniflora in the Yellow River Delta of China as a model system, we first quantified the bio-geomorphic impacts caused by the invasion and subsequently examined the feedbacks of such altered bio-geomorphic impacts on its self-expansion and the growth of native dominants - Suaeda salsa. Field observations and experiments showed that invaded S. alterniflora significantly promoted the sedimentation rate within its expansion belt along tidal channel margins, resulting in marginal depressions with increased inundation conditions. The altered bio-geomorphic processes considerably reduced the survival and growth of natives, while the impacts on S. alterniflora seedlings were threshold-dependent. Seedling establishment, growth and asexual expansion of S. alterniflora were facilitated when the inundation depth of these depressions fell within a threshold (approximately &lt; 15 cm). In contrast, as the inundation depth exceeded the threshold, inundation-related stress occurred and inhibited its growth performance. As such, invasive S. alterniflora could be facilitated to expand laterally into salt marshes while suppressing the growth range of natives for the foreseeable future. Our findings suggest that species invasions contribute substantially to existing bio-geomorphic feedback loops, leading to observed effects on population dynamics that should be integrated into the restoration of salt marshes that have undergone invasion-induced geomorphological metamorphosis. © 2023 Elsevier B.V.</t>
  </si>
  <si>
    <t>2-s2.0-85149685973"</t>
  </si>
  <si>
    <t>10.1016/j.jhydrol.2023.129446</t>
  </si>
  <si>
    <t>https://www.scopus.com/inward/record.uri?eid=2-s2.0-85151747550&amp;doi=10.1016%2fj.jhydrol.2023.129446&amp;partnerID=40&amp;md5=e9e4f5aefb5a307256678c68cc187c63</t>
  </si>
  <si>
    <t>Climate change leads to more severe floods, which needs to be modeled properly. This study uses two hydraulic models including Hydrologic Engineering Center River Analysis System (HEC-RAS) and LISFLOOD-FP to simulate floods in two basins (Kashkan and Missouri) with different topographies (mountain and plain terrain). The impacts of different parameters like input resolutions, Digital Elevation Models (DEMs), roughness coefficient, and modeling techniques on flood simulation are examined. Results indicate that the performance of the models varies based on topography, input resolutions, and modeling approach. Indeed, the 2D modeling of both models in different topography types leads to better results compared to 1D/2D modeling. In Kashkan basin, HEC-RAS and LISFLOOD-FP models simulate floodplain flow with accuracies of 74% and 70%, respectively, and the accuracies of the models in Missouri basin are 80% and 84%, respectively. Although both models, particularly HEC-RAS with ALOS 30 m, can provide reasonable results, with an accuracy of 74% for Kashkan and 63% for Missouri basin, LISFLOOD-FP can perform better (about 4% higher accuracy) than HEC-RAS with a higher resolution of DEM (3DEP) in Missouri basin with significantly lower computational costs. In addition, the performance of the two models significantly decreases using ASTER DEM in plain topography. Results confirm that HEC-RAS outperforms LISFLOOD-FP in coarser resolution DEMs, while LISFLOOD-FP performs better in plain topography, which requires higher resolution DEMs. Despite the low sensitivity of the two models to roughness coefficients, the variability of the LISFLOOD-FP simulations is smaller than HEC-RAS. This work uses the best setting and factors to simulate floodplain zones, which is valuable for flood risk and hazard assessment to reduce and manage damages and losses. © 2023 Elsevier B.V.</t>
  </si>
  <si>
    <t>2-s2.0-85151747550"</t>
  </si>
  <si>
    <t>10.1007/s11069-023-05975-2</t>
  </si>
  <si>
    <t>https://www.scopus.com/inward/record.uri?eid=2-s2.0-85158124273&amp;doi=10.1007%2fs11069-023-05975-2&amp;partnerID=40&amp;md5=6ff935aef2a92be94d97040177b696ba</t>
  </si>
  <si>
    <t>The inland propagation of storm surge caused by tropical cyclones depends on large and small waterways to connect the open ocean to inland bays, estuaries, and floodplains. Numerical models for storm surge require these waterways and their surrounding topography to be resolved sufficiently, which can require millions of computational cells for flooding simulations on a large (ocean scale) computational domain, leading to higher demands for computational resources and longer wall-clock times for simulations. Alternatively, the governing shallow water equations can be modified to introduce subgrid corrections that allow coarser and cheaper simulations with comparable accuracy. In this study, subgrid corrections are extended for the first time to simulations at the ocean scale. Higher-level corrections are included for bottom friction and advection, and look-up tables are optimized for large model domains. Via simulations of tides, storm surge, and coastal flooding due to Hurricane Matthew in 2016, the improvements in water level prediction accuracy due to subgrid corrections are evaluated at 218 observation locations throughout 1500km of coast along the South Atlantic Bight. The accuracy of the subgrid model with relatively coarse spatial resolution (ERMS=0.41m) is better than that of a conventional model with relatively fine spatial resolution (ERMS=0.67m). By running on the coarsened subgrid model, we improved the accuracy over efficiency curve for the model, and as a result, the computational expense of the simulation was decreased by a factor of 13. © 2023, The Author(s), under exclusive licence to Springer Nature B.V.</t>
  </si>
  <si>
    <t>2-s2.0-85158124273"</t>
  </si>
  <si>
    <t>10.46717/igj.56.1F.13ms-2023-6-21</t>
  </si>
  <si>
    <t>https://www.scopus.com/inward/record.uri?eid=2-s2.0-85164787867&amp;doi=10.46717%2figj.56.1F.13ms-2023-6-21&amp;partnerID=40&amp;md5=599d086c77d3eb8dd6dfa5c61edf3014</t>
  </si>
  <si>
    <t>Hydro-Morphometric analysis of the drainage systems is an efficient tool to manage water resources to protect from flooding or discover suitable locations for hydrological projects. This study aims to analyze the morphological and hydrologic processes of the Heshkaro River watershed using Remote Sensing and Geographic Information System techniques. The river causes damage to neighborhoods, which are located at the mouth during the rainy season. The ALOS PALSAR digital elevation model (12.5 m resolution) data and ArcGIS 10.8 toolbox were used to delineate the watershed and calculate the morphometric characteristics of the river drainage. The results show that the Heshkaro River basin is a fifth-order basin with 359 tributaries and a total length reached 214.13 km, where there is a strong exponential relationship (R2 =0.97) between the mean length of streams and stream order. In addition, the study area is an elongated shape, depending on the elongation and circularity ratio. Furthermore, the bifurcation ratio, basin relief, and slope degree indicate that the geological structure has little influence on the drainage pattern. The basin has low runoff, low relief, and high infiltration, as well as low exposure to erosion and sediment loading. The results of this study provide the requirement for deep management of the Heshkaro River watershed to secure the environmental sustainability of the basin. © 2023, Union of Iraqi Geologists. All rights reserved.</t>
  </si>
  <si>
    <t>2-s2.0-85164787867"</t>
  </si>
  <si>
    <t>10.1016/j.ijdrr.2023.103669</t>
  </si>
  <si>
    <t>https://www.scopus.com/inward/record.uri?eid=2-s2.0-85151436778&amp;doi=10.1016%2fj.ijdrr.2023.103669&amp;partnerID=40&amp;md5=1b00ad444d15528e3a00ec43f701dd07</t>
  </si>
  <si>
    <t>Storm surge disasters (SSD) have caused severe damage to China's coastal areas, and they have become an essential influencing factor for the social and economic development of China. This study uses an input-output model to assess the storm surge economic losses in 11 coastal regions of China for the period of 2007–2016, and also explores its influencing factors. The results show that: (1) From 2007 to 2016, the southeastern coastal areas were the most severely impacted by SSD, the Total Economic Losses (TEL) reached 742.8 billion CNY. Among them, Guangdong, Fujian and Zhejiang Provinces suffered the worst economic losses, with 81.3% contribution to TEL; (2) The Indirect Economic Losses (IEL) from SSD accounted for a total percentage of 74%–96%, and the TEL have not decreased over the years; (3) SSD have seriously impacted the Chinese manufacturing industry, accounting for an average of 50% of the TEL per year; (4) Different regions had different sectoral distributions of IEL, while the manufacturing and service industries were still the most affected sectors; (5) The more frequent the occurrence of SSD, the greater the losses caused by SSD, with no such correlation observed for the intensity of SSD; (6) The aggregation of marine industries and populations can significantly increase the damage from SSD, while the development of science and technology can reduce the damage from SSD. Overall, this study evaluates China's SSD economic losses on a long-term scale, which is of great significance for future disaster prevention and mitigation.</t>
  </si>
  <si>
    <t>Geographica Helvetica</t>
  </si>
  <si>
    <t>10.5194/gh-78-281-2023</t>
  </si>
  <si>
    <t>https://www.scopus.com/inward/record.uri?eid=2-s2.0-85164030845&amp;doi=10.5194%2fgh-78-281-2023&amp;partnerID=40&amp;md5=529afd6c57cb8ead937f03fc8bf897b2</t>
  </si>
  <si>
    <t>Urban political ecology (UPE) has recently turned its attention to the embodied dimension of human-nature relations. In particular, within urban hydrological systems across the globe, the need to consider the emotional and bodily ways in which we connect to the ecologies of the city has been acknowledged. This paper joins such efforts and explores the flood experiences of a diverse group of Bangkokians during the 2011 inundation by drawing on three interconnected concepts: materiality, affect and emotion. Together they help us explore the intense experiences of Bangkokians during the flood and serve as theoretical tools to unpack the uncanny encounters between Bangkokians and the materiality of the flood. Thus, the paper attends to the socio-material forces that shaped the flooding event and contributes nuanced insights about the embodied experiences of floods within the delta city. © 2023 Copernicus GmbH. All rights reserved.</t>
  </si>
  <si>
    <t>2-s2.0-85164030845"</t>
  </si>
  <si>
    <t>10.1016/j.jhydrol.2023.129681</t>
  </si>
  <si>
    <t>https://www.scopus.com/inward/record.uri?eid=2-s2.0-85162210821&amp;doi=10.1016%2fj.jhydrol.2023.129681&amp;partnerID=40&amp;md5=b8f4f8e1e92e236dae3703de3c51dce1</t>
  </si>
  <si>
    <t>The Pearl River Delta (PRD) is one of the largest urbanized areas in both area and population and also suffers increasing flooding hazards in the context of climate change and anthropogenic interventions. The co-occurrence of multiple upstream flooding drivers (compound flooding) over different upstream channels often exacerbates stronger impacts on downstream water levels compared with their isolated occurrence. It is particularly important to derive more reliable risk estimations of extreme water levels in downstream channels of a nested river system by considering the spatial dependence between multiple upstream floods and downstream water levels. In this study, we present an approach, termed the high-dimensional conditional probability (HDCP) approach, to capture the probabilistic dependence behavior of upstream floods and downstream water level events at the PRD, and estimate the extreme water levels' likelihood and event-impacted areas under the multiple upstream flooding. The PRD, as one of the most vulnerable regions to extreme floods in China, was used as a case study to test the applicability of the HDCP approach. First, the HDCP is used to model the conditional dependence of upstream floods and downstream water levels based on the canonical vine copula. Then, different flood scenarios are investigated by estimating the occurrence likelihood of downstream water level events and their spatial patterns. The final part identifies the changes in the occurrence likelihood variability of extreme water level events after strong human interventions. Results indicate that the upstream flooding over the Xijiang River dominates the occurrence likelihood of extreme water level events over the PRD, and the Beijiang River plays a secondary role. After strong human interventions, the effect of the Beijiang River has been strengthened, while the effect of the Xijaing River has been weakened. The proposed HDCP approach is not only applicable to the PRD area dominated by multiple upstream rivers, as mentioned in this study, but it is also promising in detecting the spatial occurrence likelihood of other hydrometeorological variables in other areas with different climates and topographical conditions, and formulating regional development strategies for policymakers in water resources and disaster drought risk managements against single/compound extreme events. © 2023 Elsevier B.V.</t>
  </si>
  <si>
    <t>2-s2.0-85162210821"</t>
  </si>
  <si>
    <t>10.1007/s43545-023-00681-z</t>
  </si>
  <si>
    <t>https://www.scopus.com/inward/record.uri?eid=2-s2.0-85188723609&amp;doi=10.1007%2fs43545-023-00681-z&amp;partnerID=40&amp;md5=8314a75e169020bab301efd16956eafd</t>
  </si>
  <si>
    <t>The paper assessed flood risk profiles and coping strategies based on local people's perceptions and experiences in the Greater Accra Metropolitan Area, a historically known area for its perennial flooding. The study surveyed 300 households across eight communities using questionnaires. We performed a descriptive analysis of residents' past experiences, causes, effects, destruction from floods and coping mechanisms. The results show that flooding in the study area is perennial, primarily attributed to low elevation, torrential rainfall and the absence or clogging of drainage systems. Local coping strategies identified include digging trenches around houses before and during floods, constructing temporary barriers, and using rocks, sandbags and concrete to divert floodwaters away from homes. Some move to parts of their dwelling with higher elevation, while others temporarily live with family and friends. We recommend proactive and local-based emergency response and education systems to reduce flood impact and promote sustainable adaptation. © The Author(s), under exclusive licence to Springer Nature Switzerland AG 2023.</t>
  </si>
  <si>
    <t>2-s2.0-85188723609"</t>
  </si>
  <si>
    <t>10.1007/s12524-023-01697-x</t>
  </si>
  <si>
    <t>https://www.scopus.com/inward/record.uri?eid=2-s2.0-85153361432&amp;doi=10.1007%2fs12524-023-01697-x&amp;partnerID=40&amp;md5=d156aa2b8aefc8f34c6552cd267fc063</t>
  </si>
  <si>
    <t>Although floods are blessed by nature, they create disaster and terror in the lives of the people. From a geographical point of view, it has been observed that most of the world’s floods are limited to the floodplain. However, there are several differences between the nature of flooding in the coastal regions and plains. Some parts of coastal or island regions are inundated regularly by tidal waters, periodic tropical cyclones and the presence of nearby inlets, thus increasing the likelihood of flooding. In this article, the flood situation and susceptibility of a populated Sagar Island located in the Hooghly River estuary of West Bengal are discussed through the AHP model. Flood susceptibility mapping helps to highlight the actual flood-prone and susceptible areas, which has never been done before for these islands. With the help of the AHP model, it has been seen that the amount of inundated and susceptible area is much higher (62% inundation with ROC value 0.73) in the southern part of Sagar Island, i.e. near the Bay of Bengal. It is expected that if the flooded and flood-prone areas are highlighted with the help of various factors through the AHP model, it will be of help to determine the government policy and improve the flood situation. © 2023, Indian Society of Remote Sensing.</t>
  </si>
  <si>
    <t>2-s2.0-85153361432"</t>
  </si>
  <si>
    <t>10.1029/2023JC019635</t>
  </si>
  <si>
    <t>https://www.scopus.com/inward/record.uri?eid=2-s2.0-85163729215&amp;doi=10.1029%2f2023JC019635&amp;partnerID=40&amp;md5=58d771f1f6287cea308f4a77f86d0f6a</t>
  </si>
  <si>
    <t>Barataria Estuary is an economically and ecologically important estuary in coastal Louisiana, USA. Due to rapid wetland loss, extreme Mississippi River flood and drought events (e.g., the flood of 2019 and the drought of 2022), devastating storm events (e.g., Hurricane Ida in 2021), eustatic sea-level rise (SLR), high subsidence rates, and human activities, temporal and spatial variability of salinity and temperature in the estuary is highly complex. This study comprehensively investigates environmental drivers that govern salinity and temperature dynamics, as well as the effects of a proposed large-scale, land-building diversion of Mississippi River water. A three-dimensional (3D), process-based hydrodynamic, salinity and temperature transport model system is formulated and implemented. Three different modeling domains are set up for nested computations. The model system is validated for the year 2018 against measurements of water level, salinity, and temperature. A series of numerical experiments are then carried out to quantitatively examine impacts of various environmental drivers, as well as nearshore density stratification and local baroclinic forcing. The drivers include wind, rainfall, freshwater point-source diversion, SLR, and Mississippi River discharge. Interestingly, the analysis shows that the proposed Mid-Barataria diversion and rainfall can cause a reduction of annual salinity up to 14 and 10 ppt, respectively. Neglecting the effect of nearshore density stratification could underestimate salinity by up to 9 ppt. The well-mixed estuary can be adequately modeled using depth-averaged models. However, to adequately capture proper salinity and temperature stratification, it is necessary to use 3D models for the coastal regional domain. © 2023. American Geophysical Union. All Rights Reserved.</t>
  </si>
  <si>
    <t>2-s2.0-85163729215"</t>
  </si>
  <si>
    <t>10.1016/j.envsoft.2023.105729</t>
  </si>
  <si>
    <t>https://www.scopus.com/inward/record.uri?eid=2-s2.0-85159622157&amp;doi=10.1016%2fj.envsoft.2023.105729&amp;partnerID=40&amp;md5=761d42af133c6dc475ace43c3f0cfd53</t>
  </si>
  <si>
    <t>The use of numerical models to anticipate the effects of floods and storms in coastal regions is essential to mitigate the damages of these natural disasters. However, local studies require high spatial and temporal resolution numerical models, limiting their use due to the involved high computational costs. This constraint becomes even more critical when these models are used for real-time monitoring and warning systems. Therefore, the objective of this paper was to reduce the computational time of coastal morphodynamic models simulations by implementing a deep learning emulator. The emulator performance was evaluated using different scenarios run with the XBeach software, which considered different grid resolutions and the effects of a storm event in the morphodynamic patterns around a breakwater and a groin. The morphodynamic simulation time was reduced by 23%, and it was identified that the major restriction to reducing the computational cost was the hydrodynamic numerical model simulation. © 2023</t>
  </si>
  <si>
    <t>2-s2.0-85159622157"</t>
  </si>
  <si>
    <t>10.5194/nhess-23-2251-2023</t>
  </si>
  <si>
    <t>https://www.scopus.com/inward/record.uri?eid=2-s2.0-85164303933&amp;doi=10.5194%2fnhess-23-2251-2023&amp;partnerID=40&amp;md5=7d9a7679767d2b5b0de1d22064454d61</t>
  </si>
  <si>
    <t>In low-lying coastal areas floods occur from (combinations of) fluvial, pluvial, and coastal drivers. If these flood drivers are statistically dependent, their joint probability might be misrepresented if dependence is not accounted for. However, few studies have examined flood risk and risk reduction measures while accounting for so-called compound flooding. We present a globally applicable framework for compound flood risk assessments using combined hydrodynamic, impact, and statistical modeling and apply it to a case study in the Sofala province of Mozambique. The framework broadly consists of three steps. First, a large stochastic event set is derived from reanalysis data, taking into account co-occurrence of and dependence between all annual maximum flood drivers. Then, both flood hazard and impact are simulated for different combinations of drivers at non-flood and flood conditions. Finally, the impact of each stochastic event is interpolated from the simulated events to derive a complete flood risk profile. Our case study results show that from all drivers, coastal flooding causes the largest risk in the region despite a more widespread fluvial and pluvial flood hazard. Events with return periods longer than 25 years are more damaging when considering the observed statistical dependence compared to independence, e.g., 12 % for the 100-year return period. However, the total compound flood risk in terms of expected annual damage is only 0.55 % larger. This is explained by the fact that for frequent events, which contribute most to the risk, limited physical interaction between flood drivers is simulated. We also assess the effectiveness of three measures in terms of risk reduction. For our case, zoning based on the 2-year return period flood plain is as effective as levees with a 10-year return period protection level, while dry proofing up to 1 m does not reach the same effectiveness. As the framework is based on global datasets and is largely automated, it can easily be repeated for other regions for first-order assessments of compound flood risk. While the quality of the assessment will depend on the accuracy of the global models and data, it can readily include higher-quality (local) datasets where available to further improve the assessment.  © Copyright 2023 Authors</t>
  </si>
  <si>
    <t>2-s2.0-85164303933"</t>
  </si>
  <si>
    <t>10.3390/hydrology10050103</t>
  </si>
  <si>
    <t>https://www.scopus.com/inward/record.uri?eid=2-s2.0-85160243592&amp;doi=10.3390%2fhydrology10050103&amp;partnerID=40&amp;md5=816efa78a5262f8c7f25ede6829bf1f4</t>
  </si>
  <si>
    <t>Storm surges due to severe weather events threaten low-land littoral areas by increasing the risk of seawater inundation of coastal floodplains. In this paper, we present recent developments of a numerical modelling system for coastal inundation induced by sea level elevation due to storm surges enhanced by astronomical tides. The proposed numerical code (CoastFLOOD) performs high-resolution (5 m × 5 m) raster-based, storage-cell modelling of coastal inundation by Manning-type equations in decoupled 2-D formulation at local-scale (20 km × 20 km) lowland littoral floodplains. It is fed either by outputs of either regional-scale storm surge simulations or satellite altimetry data for the sea level anomaly. The presented case studies refer to model applications at 10 selected coastal sites of the Ionian Sea (east-central Mediterranean Sea). The implemented regular Cartesian grids (up to 5 m) are based on Digital Elevation/Surface Models (DEM/DSM) of the Hellenic Cadastre. New updated features of the model are discussed herein concerning the detailed surveying of terrain roughness and bottom friction, the expansion of Dirichlet boundary conditions for coastal currents (besides sea level), and the enhancement of wet/dry cell techniques for flood front propagation over steep water slopes. Verification of the model is performed by comparisons against satellite ocean color observations (Sentinel-2 images) and estimated flooded areas by the Normalized Difference Water Index (NDWI). The qualitative comparisons are acceptable, i.e., the modelled flooded areas contain all wet area estimations by NDWI. CoastFLOOD results are also compared to a simplified, static level, “bathtub” inundation approach with hydraulic connectivity revealing very good agreement (goodness-of-fit &gt; 0.95). Furthermore, we show that proper treatment of bottom roughness referring to realistic Land Cover datasets provides more realistic estimations of the maximum flood extent timeframe. © 2023 by the authors.</t>
  </si>
  <si>
    <t>2-s2.0-85160243592"</t>
  </si>
  <si>
    <t>10.1007/s11852-023-00952-0</t>
  </si>
  <si>
    <t>https://www.scopus.com/inward/record.uri?eid=2-s2.0-85161886673&amp;doi=10.1007%2fs11852-023-00952-0&amp;partnerID=40&amp;md5=571722b57084937362bc5963a665c647</t>
  </si>
  <si>
    <t>The Volta Delta (Ghana, West Africa) is increasingly impacted by Sea Level Rise (SLR). SLR renders the Volta Delta mostly vulnerable to flooding, salinization of water resources and agricultural fields, and permanent loss of lands. This would potentially threaten its population, infrastructure and economy, and could be worsened by land subsidence (LS). Relative Sea Level Rise (RSLR) in this study is the rate of LS with respect to SLR. It is thus very important to precisely quantify LS rates together with SLR and plan and assess countermeasures. This study presents and discusses recent LS rates in the Volta Delta derived from satellite-based SAR-Interferometry and their impact on relative SLR. Sentinel-1 scenes acquired between 2015 and 2021 were used to quantify recent LS in the study area. The Persistent Scatter Interferometry (PS-InSAR) technique was applied, which allowed for estimating displacement rates of coherent backscatter targets with mm/yr precision. Separate analyses of time series for the Keta lagoon and Songor lagoon areas of the delta give insight into the vertical land movements, with irregularly distributed average rates of up to 4 mm/yr. LS in the Volta Delta is due to various causes, most prominently natural compaction of young deltaic sediments, but also aquifer over-exploitation and salt mining, and probably increasingly less compensated by a drop in sediment supply due to damming. Furthermore, projection of future elevation projections by RSLR was assessed by combining the observed LS rates with three IPCC representative concentration pathways (RCP) scenarios. The RSLR impact assessments computed revealed that by 2100, more than 20% of the Volta Delta districts could potentially be below MSL for all the addressed RCP scenarios, including the fragile but key sand barriers surrounded by water bodies. The study is, however, a preliminary investigation and recommends further local ground-based LS investigations to calibrate PS-InSAR outcome, thus improving our understanding of the areas driving critical present and future changes in the Volta Delta. © 2023, The Author(s), under exclusive licence to Springer Nature B.V.</t>
  </si>
  <si>
    <t>2-s2.0-85161886673"</t>
  </si>
  <si>
    <t>10.5194/nhess-23-2273-2023</t>
  </si>
  <si>
    <t>https://www.scopus.com/inward/record.uri?eid=2-s2.0-85164324151&amp;doi=10.5194%2fnhess-23-2273-2023&amp;partnerID=40&amp;md5=dc8f9fdce2f5f4cb71c5c97d13ef3775</t>
  </si>
  <si>
    <t xml:space="preserve">On 18 September 2020, Medicane Ianos hit the western coast of Greece, resulting in flooding and severe damage at several coastal locations. In this work, we aim at evaluating its impact on sea conditions and the associated uncertainty through the use of an ensemble of numerical simulations. We applied a coupled wave-current model to an unstructured mesh, representing the whole Mediterranean Sea, with a grid resolution increasing in the Ionian Sea along the cyclone path and the landfall area. To investigate the uncertainty in modelling sea levels and waves for such an intense event, we performed an ensemble of ocean simulations using several coarse (10 km) and high-resolution (2 km) meteorological forcings from different mesoscale models. The performance of the ocean and wave models was evaluated against observations retrieved from fixed monitoring stations and satellites. All model runs emphasized the occurrence of severe sea conditions along the cyclone path and at the coast. Due to the rugged and complex coastline, extreme sea levels are localized at specific coastal sites. However, numerical results show a large spread of the simulated sea conditions for both the sea level and waves, highlighting the large uncertainty in simulating this kind of extreme event. The multi-model and multi-physics approach allows us to assess how the uncertainty propagates from meteorological to ocean variables and the subsequent coastal impact. The ensemble mean and standard deviation were combined to prove the hazard scenarios of the potential impact of such an extreme event to be used in a flood risk management plan.  © Copyright: </t>
  </si>
  <si>
    <t>2-s2.0-85164324151"</t>
  </si>
  <si>
    <t>Acta Hydrotechnica</t>
  </si>
  <si>
    <t>10.15292/acta.hydro.2023.05</t>
  </si>
  <si>
    <t>https://www.scopus.com/inward/record.uri?eid=2-s2.0-85188710935&amp;doi=10.15292%2facta.hydro.2023.05&amp;partnerID=40&amp;md5=ae354d41bf359fcb3af29a3d061e9ec6</t>
  </si>
  <si>
    <t>In this paper, 6 synthetic unit hydrograph (SUH) methods, namely Snyder, SCS, GAMA-1, ITB-1, ITB-2, and Nakayasu, were compared against a rain-on-grid model (HEC-RAS) for flood hydrograph prediction in the Katulampa watershed, Indonesia. HEC-RAS was used with an open-access, ~30 m resolution digital elevation model (DEM), i.e. the Advanced Land Observing Satellite (ALOS). The relative error of the hydrograph results (peak discharge and time-to-peak) were compared with the observed data, while the errors in the hydrograph’s shape were detected using the Root Mean Square Error (RMSE) and Pearson Product Moment Correlation (PPMC). We found that HEC-RAS could predict the flood hydrograph significantly more accurately than the SUH methods, yielding the RMSE value of 1.98 m3/s and the PPMC value of 0.93. This study remains an interesting example of how modern computational tool can improve the runoff prediction of conventional SUH methods. © Ginting B. M. et al.</t>
  </si>
  <si>
    <t>2-s2.0-85188710935"</t>
  </si>
  <si>
    <t>10.1016/j.gloenvcha.2023.102702</t>
  </si>
  <si>
    <t>https://www.scopus.com/inward/record.uri?eid=2-s2.0-85160290092&amp;doi=10.1016%2fj.gloenvcha.2023.102702&amp;partnerID=40&amp;md5=9b10f323c26c3e06d2ab4a628d8b82d3</t>
  </si>
  <si>
    <t>Adaptation to climate change is a critical issue in coastal areas, at risk from sea-level rise, erosion, and sea flooding. In territories strongly urbanized and long oriented toward tourism and a residential economy, a change in coastal management and territorial development is hard to initiate. In Provence-Alpes-Côte d'Azur (France), a leading tourism region, this article explores how local authorities perceive climate change and talk about adaptation strategies. Interviews with municipal-level authorities, both elected officials and technical agents, reveal the influence of territorial inertia, with persistent statements promoting the beach- and residential-oriented economy and a wait-and-see attitude regarding climate change. Beach erosion is the only coastal risk interviewees really recognize, while sea-level rise and sea flooding are barely perceived. Yet evidence supporting the possibility of a future change in position is provided by the younger generation of interviewees, who are more aware of environmental challenges. Providing original data for a coastal region often considered as a model of development throughout the world, this article also proposes an original and transferable method combining geographical sampling of municipalities, text statistics and qualitative analysis of interviews, to apprehend the social representations of the coast, of climate change and coastal risks. Such a methodology is recommended prior to any quantitative assessment of climate action at local scale. © 2023 The Author(s)</t>
  </si>
  <si>
    <t>2-s2.0-85160290092"</t>
  </si>
  <si>
    <t>10.1016/j.marpetgeo.2023.106250</t>
  </si>
  <si>
    <t>https://www.scopus.com/inward/record.uri?eid=2-s2.0-85152139205&amp;doi=10.1016%2fj.marpetgeo.2023.106250&amp;partnerID=40&amp;md5=e5f4d620b6c5579fd5ce16805d98a74b</t>
  </si>
  <si>
    <t>Sediment destruction poses a major risk to marine engineering facilities in river delta areas. The vertical deformation of seabed induced by storm surges is one of the major causes of sediment destruction. In this study, an in-situ observation system for monitoring the seabed vertical deformation was developed. The system includes a Paroscienctific high-precision water pressure sensor, a tide &amp; wave recorder, and an Acoustic Doppler Current Profiler (ADCP). A processing method of the high-precision water pressure data was established. The advantage of this data processing method is that it allows us to obtain the water depth variation in shallow sea area based on the observed water pressure data. The system and the processing method were applied in an in-situ observation, which was carried out in Chengdao Sea area in the Yellow River Delta from December 2020 to January 2021. During this observation, marine hydrodynamic changes and vertical deformation of seabed were synchronously monitored. Three storm surge events were observed during this period. The vertical deformation process of seabed during the storm surges was quantitatively analyzed. After the first two storm surge events, the monitored vertical settlement of seabed reached 8.97 mm. A seabed vertical deformation mechanism was established based on the in-situ monitoring data. © 2023 Elsevier Ltd</t>
  </si>
  <si>
    <t>2-s2.0-85152139205"</t>
  </si>
  <si>
    <t>10.3390/atmos14071076</t>
  </si>
  <si>
    <t>https://www.scopus.com/inward/record.uri?eid=2-s2.0-85166360148&amp;doi=10.3390%2fatmos14071076&amp;partnerID=40&amp;md5=c8a57010fb89574ab728f657ff6412a5</t>
  </si>
  <si>
    <t>Understanding the relationship between fire behavior and the driving weather conditions is critical for fire management and long-term fire risk assessment. In this study, we focus on two wildfire events: the Split wildfire in Croatia and the Forcett–Dunalley wildfire in Tasmania, Australia. The antecedent weather in both events included extremely dry conditions and higher-than-average air temperatures in the months prior to the events. The synoptic patterns in both events consisted of a large surface pressure gradient, which generated strong wind, driving the fire’s spread. The Weather Research and Forecasting (WRF) model was utilized to simulate fire weather conditions during the development of the two events. In the innermost domain of WRF, resolution is 500 m with explicit moisture calculation only, and there are 66 vertical levels, with about 20 of them to resolve the boundary layer. The WRF simulations are well verified by station observations, including upper-level wind speeds. The convergence line pattern in the Tasmanian event, which was conducive to intense plume development, has been well simulated. Only a slight discrepancy was identified in the simulation of the coastal change in wind direction in the Croatian event. It is identified that in the Split case, bura wind was highly coupled with an upper-level trough, which induced subsidence of the upper-level dry and cold air to the surface, causing rapid drying of the fuel. During the Forcett–Dunalley fire, the atmosphere was unstable, which enabled deep pyrocumulonimbus development. In general, the development from ignition to the timing of the most extreme fire intensity in both events was largely determined by the evolution of the surface to upper-level meteorological drivers. While these extreme meteorological conditions would impact fire-fighting strategies such as aircraft operations, a model-based estimate of the high-risk areas is critical. Our findings would also benefit an estimate of the climatology of fire events with similar behavior and thus a long-term fire risk assessment. © 2023 by the authors.</t>
  </si>
  <si>
    <t>2-s2.0-85166360148"</t>
  </si>
  <si>
    <t>10.1007/s11069-023-05935-w</t>
  </si>
  <si>
    <t>https://www.scopus.com/inward/record.uri?eid=2-s2.0-85151466515&amp;doi=10.1007%2fs11069-023-05935-w&amp;partnerID=40&amp;md5=794cb4a25707a515f534f9c31a045ab2</t>
  </si>
  <si>
    <t>Coastal areas play an important role in the global food and economic system, but are vulnerable to a number of coastal hazards such as cyclones and storm surges. The Sundarban Biosphere Reserve (SBR) is located on the east coast of India and has a rich diversity of aquatic and terrestrial flora and fauna. The region is frequently affected by coastal hazards such as cyclones and storm surges. The objective of this study is to investigate the impact of Super Cyclone Amphan on land use land cover (LULC) in SBR. For this purpose, the land use land cover (LULC) map of the study area before and after the cyclone was first constructed using four machine learning algorithms: Support Vector Machine (SVM), Spectral Angle Mapper and Maximum Likelihood Classifier. In addition, the accuracy of these methods was evaluated using the confusion matrix. The result shows that the SVM basis provides better accuracy than the other methods. After evaluating the accuracy, the detection of changes in the LULC was analysed. The result shows that forest cover in the region decreased significantly (about 38.8%) due to super cyclone Amphan. In addition, agricultural land, swamps, sandbanks and beaches increased by 49.51%, 39.57%, 17.40% and 6.93% respectively. The findings of this study can be used by local and state disaster management authorities to prepare the effective disaster management plans for the region. © 2023, The Author(s), under exclusive licence to Springer Nature B.V.</t>
  </si>
  <si>
    <t>2-s2.0-85151466515"</t>
  </si>
  <si>
    <t>10.3390/rs15092415</t>
  </si>
  <si>
    <t>https://www.scopus.com/inward/record.uri?eid=2-s2.0-85159344297&amp;doi=10.3390%2frs15092415&amp;partnerID=40&amp;md5=38457f6ab6bf697ff38bea8c9d316411</t>
  </si>
  <si>
    <t>Global sea level rise is a major environmental concern for many countries and cities, particularly for low-lying coastal areas where urban development is threatened by the combined effects of sea level rise and land subsidence. This study employed an improved two-layer network Persistent Scatterers Interferometric Synthetic Aperture Radar (PS-InSAR) technology to obtain high-precision land subsidence in Singapore from 2015 to 2019. Landsat images from 1973 to 2020 were also utilized to extract changes in Singapore’s coastline. Geological, topographical, and global sea level rise data were integrated to investigate the causes and impacts of land subsidence in Singapore. The results indicate that the areas with severe subsidence coincide with land reclamation areas, where subsidence is mainly due to soil consolidation. Based on WorldDEM, land subsidence, and sea level rise data, the maximum inundation depth in Singapore by 2050 is estimated to be 1.24 m, with the Marina Bay area in Singapore’s central business district being the most vulnerable to sea level rise. This study provides data support and a scientific basis for understanding the impact of land subsidence on Singapore’s coastal areas under the influence of multiple factors using advanced InSAR technology. © 2023 by the authors.</t>
  </si>
  <si>
    <t>2-s2.0-85159344297"</t>
  </si>
  <si>
    <t>10.1016/j.jhydrol.2023.129712</t>
  </si>
  <si>
    <t>https://www.scopus.com/inward/record.uri?eid=2-s2.0-85163328130&amp;doi=10.1016%2fj.jhydrol.2023.129712&amp;partnerID=40&amp;md5=beb6788935a79f5b12fe4983b4735e94</t>
  </si>
  <si>
    <t>Extreme precipitation occurs naturally in the form of “events,” and the spatio-temporal distribution pattern of event-based extreme precipitation is of great significance to flood disaster prevention and water resources protection. This study proposed the concept of hourly scale event-based extreme precipitation (HEEP), referring to a precipitation event with at least an hourly precipitation extreme (exceeding the 99th percentile threshold). Then we identified the dominant time distribution pattern (TDP), analyzed the seasonal proportion and distribution, and investigated the spatial distribution of three basic features (total frequency, amount, and duration) of HEEP from 2008 to 2017 in China and its nine major river basins. Results showed that over 90% of the areas in China were dominated by short-duration HEEP (S-HEEP, less than eight hours). While the rest areas were led by long-duration HEEP (L-HEEP, more than eight hours), mainly concentrated on the middle and lower reaches of the Yangtze River and southeast coastal areas of China. Areas dominated by S-HEEP were more than L-HEEP in different seasons except in winter. Three basic features of HEEP showed similar spatial distribution patterns of high in southeastern China and low in northwestern China, indicating HEEP frequently occurred in southeastern China with relatively large amounts and long duration. The concept of HEEP can provide new ideas for regional and global extreme precipitation research. © 2023 Elsevier B.V.</t>
  </si>
  <si>
    <t>2-s2.0-85163328130"</t>
  </si>
  <si>
    <t>10.1142/S1793431123500069</t>
  </si>
  <si>
    <t>https://www.scopus.com/inward/record.uri?eid=2-s2.0-85144548665&amp;doi=10.1142%2fS1793431123500069&amp;partnerID=40&amp;md5=49e188a7f6e19e4edf6fbeb51c9cbd73</t>
  </si>
  <si>
    <t>The Manila trench in the South China Sea (SCS) is identified as being most susceptible to the future major earthquakes. Once a submarine earthquake occurs, the coastal areas and ocean engineering projects around SCS will be affected. Based on the Sanya new airport project, this paper presents an analysis of tsunami impacts to the project region. A series of numerical simulations of tsunami are carried out and compared under different magnitudes of earthquakes. An extreme tsunami induced by a giant earthquake of M9.3 is simulated and analyzed in detail. The tsunami propagation scenarios and surface elevation in the region are presented. The inundation map and flow velocity distribution are analyzed. The impacts of this human project to the coasts are discussed by comparing tsunami wave height with and without the artificial island. According to the numerical results and relevant analysis, the giant tsunami will have great impacts to the artificial island.  © 2023 World Scientific Publishing Company.</t>
  </si>
  <si>
    <t>2-s2.0-85144548665"</t>
  </si>
  <si>
    <t>10.1029/2022WR033681</t>
  </si>
  <si>
    <t>https://www.scopus.com/inward/record.uri?eid=2-s2.0-85165458931&amp;doi=10.1029%2f2022WR033681&amp;partnerID=40&amp;md5=1612fb04d463cde99a960a21e82c284e</t>
  </si>
  <si>
    <t>The topological system of lakes and streams is the basis for deriving a multitude of patterns and processes in hydrology, geomorphology and ecology. Flow direction is key to constructing a lake-stream topological system. However, lakes and streams are important hydrological objects that should be considered since they are linked during the process of material and energy transportation. Therefore, a flow direction algorithm that can clearly express the topological relationship of lakes and streams, was proposed here. Lakes and streams were taken as the hydrological objects in stream networks and coupled into a flow direction algorithm. A topological system was established based on the proposed algorithms. Six areas on the Tibetan Plateau were chosen as sample areas with the MERIT digital elevation model (DEM) as the DEM data source. Streams derived from flow direction data in the HydroSHEDS data set (HYDROSTREAMS) and MERIT hydro data set (MERITSTREAMS), as well as streams derived from flow direction results of the D-infinity algorithm and priority-flood algorithm were compared with streams derived from the proposed algorithm. The topological relationship between streams and lakes was clearly expressed by the proposed algorithm. In lake areas, the proposed algorithm showed better performance, and no parallel streams were found. In nonlake areas, the stream networks derived from these algorithms were stable. The proposed algorithm offers an opportunity to treat lakes and streams differently during simulation, thus adding to the authenticity of the simulation. © 2023. American Geophysical Union. All Rights Reserved.</t>
  </si>
  <si>
    <t>2-s2.0-85165458931"</t>
  </si>
  <si>
    <t>10.3390/rs15143678</t>
  </si>
  <si>
    <t>https://www.scopus.com/inward/record.uri?eid=2-s2.0-85166235171&amp;doi=10.3390%2frs15143678&amp;partnerID=40&amp;md5=3a0648f6d63be2bb12aed4313665090d</t>
  </si>
  <si>
    <t>Flood risk assessment and mapping are considered essential tools for the improvement of flood management. This research aims to construct a more comprehensive flood assessment framework by emphasizing factors related to human resilience and integrating them with meteorological and geographical factors. Moreover, two ensemble learning models, namely voting and stacking, which utilize heterogeneous learners, were employed in this study, and their prediction performance was compared with that of traditional machine learning models, including support vector machine, random forest, multilayer perceptron, and gradient boosting decision tree. The six models were trained and tested using a sample database constructed from historical flood events in Hefei, China. The results demonstrated the following findings: (1) the RF model exhibited the highest accuracy, while the SVR model underestimated the extent of extremely high-risk areas. The stacking model underestimated the extent of very-high-risk areas. It should be noted that the prediction results of ensemble learning methods may not be superior to those of the base models upon which they are built. (2) The predicted high-risk and very-high-risk areas within the study area are predominantly clustered in low-lying regions along the rivers, aligning with the distribution of hazardous areas observed in historical inundation events. (3) It is worth noting that the factor of distance to pumping stations has the second most significant driving influence after the DEM (Digital Elevation Model). This underscores the importance of considering human resilience factors. This study expands the empirical evidence for the ability of machine learning methods to be employed in flood risk assessment and deepens our understanding of the potential mechanisms of human resilience in influencing urban flood risk. © 2023 by the authors.</t>
  </si>
  <si>
    <t>2-s2.0-85166235171"</t>
  </si>
  <si>
    <t>10.1007/s00382-022-06498-5</t>
  </si>
  <si>
    <t>https://www.scopus.com/inward/record.uri?eid=2-s2.0-85139389411&amp;doi=10.1007%2fs00382-022-06498-5&amp;partnerID=40&amp;md5=cd9a019a29632241a10616697c35c79c</t>
  </si>
  <si>
    <t>Climate change has a massive influence on cryosphere around the globe, particularly in the Hindukush, Karakoram, and Himalayan (HKH) region which is jeopardizing water resources of the region. Thus, keeping this problem in mind the study was conducted using improved MODIS snow cover product for District Hunza to extract snow cover area (SCA) from 2003 to 2018. ASTER GDEM data was utilized to correlate the topographic parameters (elevation, slope, and aspect) with SCA. Mean monthly and annual rainfall and temperature data were acquired from climate research unit (CRU) to examine the impact of climate change on SCA. The results indicated that District Hunza has a declining trend of SCA on a monthly and annual time scale because mean monthly and annual temperature is increasing with a rate of 0.31 °C and 0.10 °C, respectively while precipitation is decreasing with a rate of − 2.90 mm/month and − 5.73 mm/year. High seasonal variability has been observed in SCA due to variations in temperature and precipitation. Maximum snow cover area is observed in elevation zone 3–zone 5 in accumulation period while in depletion period maximum SCA is observed in zone 4 and zone 5. The highest snow cover area was observed in slope zone 3 and zone 4 while Northeast and North facing slope aspect has also maximum amount of snow. Monthly, annual, and seasonal SCA has been correlated with climatic parameters and strong relationship has been observed between them. The conclusion can be drawn from this study that increasing temperature and decreasing precipitation are contributing to SCA melting, which can cause flood and water scarcity in downstream regions. © 2022, The Author(s), under exclusive licence to Springer-Verlag GmbH Germany, part of Springer Nature.</t>
  </si>
  <si>
    <t>2-s2.0-85139389411"</t>
  </si>
  <si>
    <t>10.1371/journal.pone.0287364</t>
  </si>
  <si>
    <t>https://www.scopus.com/inward/record.uri?eid=2-s2.0-85162786511&amp;doi=10.1371%2fjournal.pone.0287364&amp;partnerID=40&amp;md5=95b258ee02dd0a48054db769b41d9ba8</t>
  </si>
  <si>
    <t>The uncertainty of climate change's impacts hinders adaptation actions, particularly microscale urban design interventions. This paper proposes a sixfold urban design framework to assess and enhance the resilience of urban form to climate change, where urban form refers to the patterns of streets, buildings, and land uses. The framework is then applied to Long Bay in Negril, Jamaica-a coastal area that incorporates the complex interactions between urbanization and a highly vulnerable socio-ecological system to climate change-related hazards, primarily sea-level rise. Empirical evidence from 19 in-depth interviews with planning and design professionals and development actors, in situ observations, and morphological analyses reveal that Long Bay's current adaptation strategies heavily rely on bounce-back resilience measures that predominantly consider the impacts of extreme climatic events rather than slow-onset ones. Such strategies abet current tourism-driven development patterns while overlooking Long Bay's inherent abilities for generative transformation and incremental changes to meet climatic uncertainty. Instead, this study's findings highlight how generative urban form transformation would better equip Long Bay to cope with future uncertainty-climatic or other.  © 2023 Dhar, Khirfan.</t>
  </si>
  <si>
    <t>2-s2.0-85162786511"</t>
  </si>
  <si>
    <t>10.1007/s10661-023-11461-w</t>
  </si>
  <si>
    <t>https://www.scopus.com/inward/record.uri?eid=2-s2.0-85163372809&amp;doi=10.1007%2fs10661-023-11461-w&amp;partnerID=40&amp;md5=91f87636a360bed3f41f46f20ffa52cc</t>
  </si>
  <si>
    <t>Bangladesh, the largest delta in the world, is situated over the flow of more than 700 rivers. The Ganges is a transboundary river, and it takes the Padma after meeting Jamuna near Aricha. The Padma River’s morphology and hydraulic parameters are so dynamic that it erodes a large portion of land every year. However, the situation of erosion has been very threatening since 2014 which is almost the same period when the construction of the Padma Bridge started. Our Study on the erosion-accretion rate and bar dynamics of the selected reach of Padma River shows that the downstream right bank of this river lost around 134.85 sq. km of land between 2003 and 2021. The total bar area has also increased to 76.8%. Land use land classification (LULC) analysis was done for the years 2003, 2009, 2015, and 2021 to predict how the river might act in the future. For this prediction, artificial neural network (ANN) system has been used, and the predicted land use map was generated for 2027. The current kappa validation was 0.869, and the accuracy of the prediction was 87.05%. This study aims at analyzing the current morphological condition and its connection to the construction of the Padma Bridge and also predicts how the lower Padma River might act in near future. According to the study findings, in absence of prompt and appropriate measures, this country is highly susceptible to experiencing catastrophic consequences. © 2023, The Author(s), under exclusive licence to Springer Nature Switzerland AG.</t>
  </si>
  <si>
    <t>2-s2.0-85163372809"</t>
  </si>
  <si>
    <t>10.1007/s11356-023-27686-8</t>
  </si>
  <si>
    <t>https://www.scopus.com/inward/record.uri?eid=2-s2.0-85160257773&amp;doi=10.1007%2fs11356-023-27686-8&amp;partnerID=40&amp;md5=4068cbc6446871c14a9060fc5ffc1afd</t>
  </si>
  <si>
    <t>A coastal region is a section of land that borders a significant body of water, often the sea or ocean. Despite their productivity, they are sensitive to even little alterations in the outside environment. This study aims to develop a spatial coastal vulnerability index (CVI) map for the Tamil Nadu coast of India, which has diverse coastal and marine environments that are ecologically fragile zones. Climate change is expected to increase the intensity and frequency of severe coastal hazards, such as rising sea levels, cyclones, storm surges, tsunamis, erosion, and accretion, severely impacting local environmental and socio-economic conditions. This research employed expert knowledge, weights, and scores from the analytical hierarchy process (AHP) to create vulnerability maps. The process includes the integration of various parameters such as geomorphology, Land use and land cover (LULC), significant wave height (SWH), rate of sea level rise (SLR), shoreline change (SLC), bathymetry, elevation, and coastal inundation. Based on the results, the very low, low, and moderate vulnerability regions comprise 17.26%, 30.77%, and 23.46%, respectively, whereas the high and very high vulnerability regions comprise 18.20% and 10.28%, respectively. The several locations tend to be high and very high due to land-use patterns and coastal structures, but very few are contributed by geomorphological features. The results are validated by conducting a field survey in a few locations along the coast. Thus, this study establishes a framework for decision-makers to implement climate change adaptation and mitigation actions in coastal zones. © 2023, The Author(s), under exclusive licence to Springer-Verlag GmbH Germany, part of Springer Nature.</t>
  </si>
  <si>
    <t>2-s2.0-85160257773"</t>
  </si>
  <si>
    <t>Ecological Applications</t>
  </si>
  <si>
    <t>10.1002/eap.2847</t>
  </si>
  <si>
    <t>https://www.scopus.com/inward/record.uri?eid=2-s2.0-85152084248&amp;doi=10.1002%2feap.2847&amp;partnerID=40&amp;md5=90bf27991c1410f0bb50a615fbee6b00</t>
  </si>
  <si>
    <t>Coastal habitats can play an important role in climate change mitigation. As Louisiana implements its climate action plan and the restoration and risk-reduction projects outlined in its 2017 Louisiana Coastal Master Plan, it is critical to consider potential greenhouse gas (GHG) fluxes in coastal habitats. This study estimated the potential climate mitigation role of existing, converted, and restored coastal habitats for years 2005, 2020, 2025, 2030, and 2050, which align with the Governor of Louisiana's GHG reduction targets. An analytical framework was developed that considered (1) available scientific data on net ecosystem carbon balance fluxes per habitat and (2) habitat areas projected from modeling efforts used for the 2017 Louisiana Coastal Master Plan to estimate the net GHG flux of coastal area. The coastal area was estimated as net GHG sinks of −38.4 ± 10.6 and −43.2 ± 12.0 Tg CO2 equivalents (CO2e) in 2005 and 2020, respectively. The coastal area was projected to remain a net GHG sink in 2025 and 2030, both with and without the implementation of Coastal Master Plan projects (means ranged from −25.3 to −34.2 Tg CO2e). By 2050, with model-projected wetland loss and conversion of coastal habitats to open water due to coastal erosion and relative sea level rise, Louisiana's coastal area was projected to become a net source of GHG emissions both with and without the Coastal Master Plan projects. However, in the year 2050, the Louisiana Coastal Master Plan project implementation was projected to avoid the release of +8.8 ± 1.3 Tg CO2e compared with an alternative with no action. Reduction in current and future stressors to coastal habitats, including impacts from sea level rise, as well as the implementation of restoration projects could help to ensure coastal areas remain a natural climate solution. © 2023 The Authors. Ecological Applications published by Wiley Periodicals LLC on behalf of The Ecological Society of America.</t>
  </si>
  <si>
    <t>2-s2.0-85152084248"</t>
  </si>
  <si>
    <t>10.1038/s43017-023-00429-6</t>
  </si>
  <si>
    <t>https://www.scopus.com/inward/record.uri?eid=2-s2.0-85160616639&amp;doi=10.1038%2fs43017-023-00429-6&amp;partnerID=40&amp;md5=fa405164fcf9ea7ce361eb9d445bc0ca</t>
  </si>
  <si>
    <t>Climate change is driving a fundamental reorganization of the coastal zone, in which carbon-rich ecosystems are simultaneously migrating, accreting and submerging. In this Review, we discuss the geomorphic processes constraining soil carbon accumulation and the ecological processes constraining greenhouse gas emissions that together determine the net radiative forcing of the coastal landscape and the size of the coastal carbon sink. Sea level rise creates vertical and lateral accommodation space that potentially enhances soil carbon accumulation in marshes and mangroves. However, sea level rise and saltwater intrusion lead to ecosystem transitions that result in loss of existing carbon pools, altering the balance between carbon sequestration and greenhouse gas emissions. We propose that ecosystem reorganization results in large, but mostly offsetting, changes in radiative forcing. At the continental scale, losses in soil carbon sequestration and wood production are offset by reduced methane emissions associated with salinization of freshwater ecosystems. Nevertheless, climate effects on the coastal carbon sink remain largely studied within individual ecosystems. Future work is needed to determine the connectivity of carbon between ecosystems, changes in carbon accumulation and greenhouse gas emissions as ecosystem transitions occur, and the fate of carbon as it moves through the coastal landscape. © This is a U.S. Government work and not under copyright protection in the US</t>
  </si>
  <si>
    <t>10.1007/s10661-023-11159-z</t>
  </si>
  <si>
    <t>https://www.scopus.com/inward/record.uri?eid=2-s2.0-85152244265&amp;doi=10.1007%2fs10661-023-11159-z&amp;partnerID=40&amp;md5=2163acd83b9a8d32a0deeee1bc24f542</t>
  </si>
  <si>
    <t>Population growth, industrialisation and increasing agricultural demands have significantly stressed groundwater resources in Pacific Island countries (PICs). Climate change and sea-level rise also affect the groundwater resources in PICs. These anthropogenic and natural factors give rise to saltwater intrusion (SWI), a major growing environmental problem in the PICs. SWI is a highly non-linear process which makes it more complex to manage. However, with the help of numerical modelling, SWI can be monitored, managed and controlled. In the present study, we used an illustrative study area where the hydrogeological parameters and other boundary conditions used are similar to the PICs aquifer systems in Vanuatu. The scenarios include changing the barrier wells, injection wells, recharge, hydraulic head, hydraulic conductivity and grid size. The numerical simulation model of the study area was developed, and different scenarios were tested using SEAWAT modules. Apart from salt, we also modelled leachate and engine oil present in the investigated study area to see how it affects the freshwater wells over time. The scenario-based sensitivity analysis tests indicate that injection wells, recharge and hydraulic conductivities are highly sensitive, and with the proper modification, SWI can be managed or regulated. The sensitivity of grid size showed that the simulated results varied within the 10% range of different gird sizes. Moreover, it was also found that the rise in sea level or coastal heads by 0.3–1 m does not significantly cause further SWI encroachment in aquifers. The results from this study are very crucial in this modern era when freshwater needs in coastal areas, especially PICs, are rapidly increasing, and fresh groundwater resources are declining. The novel outcome presented in this study opens pathways for further detailed modelling and numerical studies in the field of SWI management strategy development and is, therefore, beneficial for policymakers, groundwater modellers and general scientific communities. © 2023, The Author(s).</t>
  </si>
  <si>
    <t>2-s2.0-85152244265"</t>
  </si>
  <si>
    <t>10.1016/j.ecoleng.2023.106948</t>
  </si>
  <si>
    <t>https://www.scopus.com/inward/record.uri?eid=2-s2.0-85150053796&amp;doi=10.1016%2fj.ecoleng.2023.106948&amp;partnerID=40&amp;md5=11081c9a5ce934b62748bdb54445555c</t>
  </si>
  <si>
    <t>White et al. (2023) measured land area with precision in coastal areas exposed to river diversions, but the absence of concurrent measurements in reference sites prohibits them from making conclusions, which they do, that river diversions have a beneficial or neutral consequences but not harmful effects. Their global conclusions about land gain are inappropriate for analyses of areas embedded in ecosystems when there are no reference areas included in the analysis. Their inferences about the temporal on-site changes are valid, but measurements in suitable reference sites are needed to separate out the environmental ‘noise’ common to both and to allow conclusions about putative causes. Environmental impacts are typically discerned within a Before-After-Control-Impact (BACI) analysis. White et al.'s study design is a'BA’, but not a BACI design. They are critical of one of two of Turner et al.'s (2019) photogrammetric methods, but neglect to realize that the different methods reveal different aspects of land loss and are used independently of each other within a BACI framework having multiple reference sites. They also neglect to account for 1) results from a BACI analysis of thirty-two sites from farther downstream, 2) a striking loss of land after a natural river diversion opened up in 1973, and 3) they omit important information placing sediment retention into context. The problem of omitting reference sites in evaluations of environmental impacts is commonly observed and deserves wider attention to improve the general ecological intelligence of responsible parties and lay communities. Treating environmental projects a priori as experiments with testable hypotheses with alternative outcomes and actionable exit strategies will reduce errors and bias in endeavors with many unexpected unknowns. © 2023 The Author</t>
  </si>
  <si>
    <t>2-s2.0-85150053796"</t>
  </si>
  <si>
    <t>10.3390/cli11050114</t>
  </si>
  <si>
    <t>https://www.scopus.com/inward/record.uri?eid=2-s2.0-85160230868&amp;doi=10.3390%2fcli11050114&amp;partnerID=40&amp;md5=688cac810047fd59f1aacd5584f3d3da</t>
  </si>
  <si>
    <t>Floods are among the most occurring natural hazards that cause severe damage to infrastructure and loss of life. In India, southern Gujarat is affected during the monsoon season, facing multiple flood events in the Damanganga basin. As the basin is one of the data-scarce regions, evaluating the globally available dataset for flood risk mitigation studies in the Damanganga basin is crucial. In the present study, we compared four open-source digital elevation models (DEMs) (SRTM, Cartosat-1, ALOS-PALSAR, and TanDEMX) for hydrodynamic (HD) modeling and flood risk mapping. The simulated HD models for multiple flood events using HEC-RAS v6.3 were calibrated by adopting different roughness coefficients based on land-use land cover, observed water levels at gauge sites, and peak flood depths in the flood plain. In contrast to the previous studies on the Purna river basin (the neighboring basin of Damanganga), the present study shows that Cartosat-1 DEM provides reliable results with the observed flood depth. Furthermore, the calibrated HD model was used to determine the flood risk corresponding to 10, 25, 50, and 100-year return period floods calculated using Gumbel’s extreme value (GEV) and log-Pearson type III (LP-III) distribution techniques. Comparing the obtained peak floods corresponding to different return periods with the observed peak floods revealed that the LP-III method gives more reliable estimates of flood peaks for lower return periods, while the GEV method gives comparatively more reliable estimates for higher return period floods. The study shows that evaluating different open-source data and techniques is crucial for developing reliable flood mitigation plans with practical implications. © 2023 by the authors.</t>
  </si>
  <si>
    <t>2-s2.0-85160230868"</t>
  </si>
  <si>
    <t>10.3390/rs15143564</t>
  </si>
  <si>
    <t>https://www.scopus.com/inward/record.uri?eid=2-s2.0-85166252005&amp;doi=10.3390%2frs15143564&amp;partnerID=40&amp;md5=28a74f3ed826117398d4203b38979921</t>
  </si>
  <si>
    <t>Gold mining generates major environmental impacts like landscape degradation, accumulation of waste rock dumps, and water contamination by suspended solids. Russia ranks third in the world in gold production, but the impact of gold mining has not been previously estimated for its vast northeastern part. This study provides a detailed overview of land-cover changes associated with gold mining in the Magadan region (northeast Russia) in the 21st century, where alluvial gold production has increased by a third in the last 20 years. A long-term series of Landsat and Sentinel-2 images obtained in July and August are used to compile two datasets of mining-impacted areas with totally removed vegetation for 2000–2002 and 2022. We calculated the NDVI difference and then discriminated mining-related vegetation losses from other bare areas, using additional data like the classification of landforms based on the digital surface model and the data on mining allotments. The total area of gold-mining sites was estimated as 41,206 ha in 2000–2002 and 72,602 ha in 2022, with an increase of 26,031 ha over the past 4–6 years. Moreover, this is a lower-boundary estimate, without taking into account man-made reservoirs and historical mines recovered by vegetation. The spatial distribution of mining sites has not changed significantly over the past two decades and has a maximum in the western part of the region. We found that the floodplains of the Berelekh and Debin Rivers (large tributaries of the Kolyma River) are most heavily impacted by gold mining with a removed vegetation canopy occupying 16.0% and 11.2% of their area. Along with the land degradation assessment, we found that 19,900 ha of historical gold-mining sites in the Berelekh River basin are recovered by vegetation, which is comparable in size to the areas impacted by mining over the past 20 years. © 2023 by the authors.</t>
  </si>
  <si>
    <t>2-s2.0-85166252005"</t>
  </si>
  <si>
    <t>10.5194/nhess-23-2333-2023</t>
  </si>
  <si>
    <t>https://www.scopus.com/inward/record.uri?eid=2-s2.0-85164496799&amp;doi=10.5194%2fnhess-23-2333-2023&amp;partnerID=40&amp;md5=65c8636112d05c7743f997447b6199d6</t>
  </si>
  <si>
    <t>Urban flooding is a major challenge for many megacities in low-elevation coastal zones (LECZs), especially in Southeast Asia. In these regions, the effects of environmental stressors overlap with rapid urbanization, which significantly aggravates the hazard potential. Ho Chi Minh City (HCMC) in southern Vietnam is a prime example of this set of problems and therefore a suitable case study to apply the concept of low-regret disaster risk adaptation as defined by the Intergovernmental Panel on Climate Change (IPCC). In order to explore and evaluate potential options of hazard mitigation, a hydro-numerical model was employed to scrutinize the effectiveness of two adaptation strategies: (1) a classic flood protection scheme including a large-scale ring dike as currently constructed in HCMC and (2) the widespread installation of small-scale rainwater detention as envisioned in the framework of the Chinese Sponge City Program (SCP). A third adaptation scenario (3) assesses the combination of both approaches (1) and (2). From a hydrological point of view, the reduction in various flood intensity proxies that were computed within this study suggests that large-scale flood protection is comparable but slightly more effective than small-scale rainwater storage: for instance, the two adaptation options could reduce the normalized flood severity index (INFS), which is a measure combining flood depth and duration, by 17.9 % and 17.7 %, respectively. The number of flood-prone manufacturing firms that would be protected after adaptation, in turn, is nearly 2 times higher for the ring dike than for the Sponge City approach. However, the numerical results also reveal that both response options can be implemented in parallel, not only without reducing their individual effectiveness but also complementarily with considerable added value. Additionally, from a governance perspective, decentralized rainwater storage conforms ideally to the low-regret paradigm: while the existing large-scale ring dike depends on a binary commitment (to build or not to build), decentralized small- and micro-scale solutions can be implemented gradually (for example through targeted subsidies) and add technical redundancy to the overall system. In the end, both strategies are highly complementary in their spatial and temporal reduction in flood intensity. Local decision-makers may hence specifically seek combined strategies, adding to singular approaches, and design multi-faceted adaptation pathways in order to successfully prepare for a deeply uncertain future. © 2023 Leon Scheiber et al.</t>
  </si>
  <si>
    <t>2-s2.0-85164496799"</t>
  </si>
  <si>
    <t>Geogaceta</t>
  </si>
  <si>
    <t>10.55407/geogaceta98169</t>
  </si>
  <si>
    <t>https://www.scopus.com/inward/record.uri?eid=2-s2.0-85180949291&amp;doi=10.55407%2fgeogaceta98169&amp;partnerID=40&amp;md5=f0cc654c50deb36daf0106b828294f65</t>
  </si>
  <si>
    <t>Future scenarios of sea level rise in Portugal are expected to put at risk sensitive areas from a natural and urban point of view. This research proposes a methodology for the assessment of sea level rise Hazard zones using the evaluation of permanent and episodic components as important factors to predict flooding and coastal erosion hazards for the Shared Socioeconomic Pathway 1, 2 and 5 scenarios, in 2040, 2070 and 2100. © 2023 Sociedad Geologica de Espana. All rights reserved.</t>
  </si>
  <si>
    <t>2-s2.0-85180949291"</t>
  </si>
  <si>
    <t>10.1016/j.jhydrol.2023.129659</t>
  </si>
  <si>
    <t>https://www.scopus.com/inward/record.uri?eid=2-s2.0-85159639200&amp;doi=10.1016%2fj.jhydrol.2023.129659&amp;partnerID=40&amp;md5=3510dc5abd0fe4eef7d15c7b9d0ad016</t>
  </si>
  <si>
    <t>Many areas of the world are experiencing groundwater flooding (GF) events with serious impacts on the environment and human health. In Europe, GF has received specific attention with the Directive 2007/60/EC, which requires Member States to map GF hazard and risk and propose mitigation measures. In Italy, despite the commitment assigned by the Legislative Decree 49/2010 to River Basin District Authorities, no models have been developed for groundwater flooding hazard (GFH) evaluation also for the lack of standard methods based on commonly available data. In this paper, a new method has been developed through a specific procedure that accounts for i) probability of GF events estimation based on available time series of groundwater levels and ii) probability mapping through a newly developed MATLAB™ code, high-resolution topographic data and groundwater table model. The methodology has been tested and validated in the Metropolitan City of Naples (Italy), affected by GF since 2010, for which i) sixty-two-year long time series of groundwater levels, ii) high-resolution Digital Elevation and Digital Terrain Models and iii) basement/building geometry, are available. The results show that about 59% of the buildings present in the study area have potentially floodable underground structures. In the 2010–2021 period, only 2% of these buildings were flooded and most of them were built in the period 1980–2000, when the piezometric levels were deeper due to over-pumping of the groundwater. The obtained GFH map shows that only 2% of the built area is involved by 1- to 2- year events, while 6% is affected by 1- to 10- year events. A good spatial correspondence between the return period and locations of GF events occurred during 2010–2021 period was observed, thus indicating the significant performance of the model. The obtained GFH map output can support decisions of authorities and policy-makers to reduce the GF risk. © 2023 Elsevier B.V.</t>
  </si>
  <si>
    <t>2-s2.0-85159639200"</t>
  </si>
  <si>
    <t>TEM Journal</t>
  </si>
  <si>
    <t>10.18421/TEM122-49</t>
  </si>
  <si>
    <t>https://www.scopus.com/inward/record.uri?eid=2-s2.0-85161237401&amp;doi=10.18421%2fTEM122-49&amp;partnerID=40&amp;md5=442352a0ced90ded0ec5c861793fc104</t>
  </si>
  <si>
    <t>Palembang City is divided into two regions by the Musi river, and there are 114 tributaries streamed within Palembang City, with 31.58% located in the Seberang Ilir region and 68.42% in the Seberang Ulu region. In the lowland topography of Palembang City, with most of the region below 5 m above mean sea level, flooding becomes repetitive. This paper examines the flooded area within the Bendung river basin using multi-temporal composite remote sensing radar data from Sentinel 1. Flood events in November 2018 and December 2021 were selected. The flood extent and affected populations will be calculated using Google Earth Engine (GEE) and Geographic Information System (GIS) application. In this study, flood extent was delineated and compared for different digital elevation models. It is found that the threshold value, the DEM, and the availability of radar data in conjunction with the flood event will better delineate the affected area to the flood. The DEM contributed a 37.5% to 83% difference in the delineated area calculation. The script in the GEE is customizable for different areas of interest and can be applied to different areas with adjustments to the threshold value that should be a minimum of 1.0 or higher. © 2023 Sumi Amariena Hamim et al</t>
  </si>
  <si>
    <t>10.5194/gmd-16-2343-2023</t>
  </si>
  <si>
    <t>https://www.scopus.com/inward/record.uri?eid=2-s2.0-85159329723&amp;doi=10.5194%2fgmd-16-2343-2023&amp;partnerID=40&amp;md5=0ab2cbc40636a8a8fea8bd2916e9a6e1</t>
  </si>
  <si>
    <t xml:space="preserve">A statistical model called the sea level simulator v1.0 is introduced. The model integrates mean sea level change and sea level extremes into a joint probabilistic framework that is useful for coastal spatial planning. Given a user-defined planning period, the model can estimate the flood risk as a function of height above the current mean sea level. These flood risk estimates are derived through Monte Carlo simulations of a very large number of planning periods. The derived flood risk is contingent on user-assigned probabilities for future greenhouse gas emission pathways, and the model is thus also useful for quantifying the dependence of flood risk on such pathways and their probabilities. Moreover, the simulator can quantify whether flood risk is dominated by sea level extremes or mean sea level rise and how this depends on the length of the planning period. The code, written in MATLAB, is parallelized and lightweight enough that it can be run on an ordinary PC. The code is easily adaptable to include new locations, new mean sea level projections and similar model developments. The flood risk estimates derived from the simulator are well suited to tackle adaptation and decision problems. Applications for construction of coastal protection and land development in coastal areas have been demonstrated in the past. The paper gives an in-depth technical description of the model. Example simulations from a Swedish nuclear site are also given, and the capabilities of the simulator are discussed. The main aim of the paper is to work as a technical reference for the first public release of the sea level simulator.  © Author(s) 2023. </t>
  </si>
  <si>
    <t>2-s2.0-85159329723"</t>
  </si>
  <si>
    <t>Journal of Tropical Meteorology</t>
  </si>
  <si>
    <t>10.46267/j.1006-8775.2023.014</t>
  </si>
  <si>
    <t>https://www.scopus.com/inward/record.uri?eid=2-s2.0-85165906218&amp;doi=10.46267%2fj.1006-8775.2023.014&amp;partnerID=40&amp;md5=8c9708cb268fd6f3be132d0fe9fbdc20</t>
  </si>
  <si>
    <t>With the extreme drought (flood) event in southern China from July to August in 2022 (1999) as the research object, based on the comprehensive diagnosis and composite analysis on the anomalous drought and flood years from July to August in 1961-2022, it is found that there are significant differences in the characteristics of the vertically integrated moisture flux (VIMF) anomaly circulation pattern and the VIMF convergence (VIMFC) anomaly in southern China in drought and flood years, and the VIMFC, a physical quantity, can be regarded as an indicative physical factor for the ""strong signal"" of drought and flood in southern China. Specifically, in drought years, the VIMF anomaly in southern China is an anticyclonic circulation pattern and the divergence characteristics of the VIMFC are prominent, while those are opposite in flood years. Based on the SST anomaly in the typical draught year of 2022 in southern China and the SST deviation distribution characteristics of abnormal draught and flood years from 1961 to 2022, five SST high impact areas (i. e., the North Pacific Ocean, Northwest Pacific Ocean, Southwest Pacific Ocean, Indian Ocean, and East Pacific Ocean) are selected via the correlation analysis of VIMFC and the global SST in the preceding months (May and June) and in the study period (July and August) in 1961-2022, and their contributions to drought and flood in southern China are quantified. Our study reveals not only the persistent anomalous variation of SST in the Pacific and the Indian Ocean but also its impact on the pattern of moisture transport. Furthermore, it can be discovered from the positive and negative phase fitting of SST that the SST composite flow field in high impact areas can exhibit two types of anomalous moisture transport structures that are opposite to each other, namely an anticyclonic (cyclonic) circulation pattern anomaly in southern China and the coastal areas of east China. These two types of opposite anomalous moisture transport structures can not only drive the formation of drought (flood) in southern China but also exert its influence on the persistent development of the extreme weather. © 2023, Journal of Tropical Meteorology Editorial Office. All rights reserved.</t>
  </si>
  <si>
    <t>2-s2.0-85165906218"</t>
  </si>
  <si>
    <t>10.3390/land12051035</t>
  </si>
  <si>
    <t>https://www.scopus.com/inward/record.uri?eid=2-s2.0-85160415355&amp;doi=10.3390%2fland12051035&amp;partnerID=40&amp;md5=b12b908f722b4729bbc92ca0ce583840</t>
  </si>
  <si>
    <t>Over the last few decades, an increasing economic and social flooding damages trend has been recorded worldwide. Although this situation was initially associated with climate change, recently different institutions and scientific papers have related this trend to two main reasons: (i) a human population increase and (ii) the number of assets located in floodable areas. In this regard, this paper analyses evolutions in flood damages and their causes in a Mediterranean area, the provinces of Alicante and Murcia, between 1996 and 2016. The duration of this period, from a flood risk management policy point of view, is very important because it encompasses one of the most important legislative periods at a national and European level. As a main result, this paper establishes a temporal and spatial pattern related to increases in flood damages and their main influence on coastal areas, respectively, due to certain economic, spatial and temporal factors. As a conclusion, these trends demonstrate the inefficiency of flood risk management policies, especially those connected with spatial planning. © 2023 by the author.</t>
  </si>
  <si>
    <t>2-s2.0-85160415355"</t>
  </si>
  <si>
    <t>10.5194/nhess-23-1847-2023</t>
  </si>
  <si>
    <t>https://www.scopus.com/inward/record.uri?eid=2-s2.0-85160937087&amp;doi=10.5194%2fnhess-23-1847-2023&amp;partnerID=40&amp;md5=8f0d1d4c32fce2eadeed3eda0363eca2</t>
  </si>
  <si>
    <t>Coastal flooding is driven by the combination of (high) tide and storm surge, the latter being caused by strong winds and low pressure in tropical and extratropical cyclones. The combination of storm surge and the astronomical tide is defined as the storm tide. To gain an understanding of the threat posed by coastal flooding and to identify areas that are especially at risk, now and in the future, it is crucial to accurately model coastal inundation. Most models used to simulate the coastal inundation scale follow a simple planar approach, referred to as bathtub models. The main limitations of this type of models are that they implicitly assume an infinite flood duration, and they do not capture relevant physical processes. In this study we develop a method to generate hydrographs called HGRAPHER, and we provide a global dataset of storm tide hydrographs based on time series of storm surges and tides derived from the Global Tide and Surge Model (GTSM) forced with the ERA5 reanalysis wind and pressure fields. These hydrographs represent the typical shape of an extreme storm tide at a certain location along the global coastline. We test the sensitivity of the HGRAPHER method with respect to two main assumptions that determine the shape of the hydrograph, namely the surge event sampling threshold and coincidence in the time of the surge and tide maxima. The hydrograph dataset can be used to move away from planar inundation modelling techniques towards dynamic inundation modelling techniques across different spatial scales.  © 2023 Job C. M. Dullaart et al.</t>
  </si>
  <si>
    <t>2-s2.0-85160937087"</t>
  </si>
  <si>
    <t>Florida Geographer</t>
  </si>
  <si>
    <t>https://www.scopus.com/inward/record.uri?eid=2-s2.0-85181556661&amp;partnerID=40&amp;md5=f769f0bcf2afce12092a31bf18369304</t>
  </si>
  <si>
    <t>The basin of the Halifax River was formed over millennia, and it has been altered by people’s activities in ways that lead to a need for restoration and protection. The basin was sculpted by changing sea levels, and falling sea levels exposed the barrier island that separates today’s river from the Atlantic Ocean. Although labeled a river, the waterbody actually is a long, shallow estuarine lagoon that became brackish when the ocean washed over the barrier island. People have lived along the estuary for thousands of years because it facilitated transportation and provided valuable natural resources. The first major alterations to the watershed began in the mid-1800s when canals were dredged to create a safe inland passage for steamships and other vessels. In the 1920s, canals to drain the floodplain accommodated the new development demanded by an increasing population. Such large-scale alterations led to unforeseen detrimental impacts. Major portions of the basin became and remain impaired by high levels of nutrients and phytoplankton, low concentrations of dissolved oxygen, and the presence of bacteria that may indicate contamination with sewage. Partnerships with local, state, and federal agencies are addressing these and other impairments. Overall, the waterways of the Halifax River basin require restoration and protection. © 2023 Florida State University. All rights reserved.</t>
  </si>
  <si>
    <t>2-s2.0-85181556661"</t>
  </si>
  <si>
    <t>10.1007/s10346-023-02047-1</t>
  </si>
  <si>
    <t>https://www.scopus.com/inward/record.uri?eid=2-s2.0-85153589136&amp;doi=10.1007%2fs10346-023-02047-1&amp;partnerID=40&amp;md5=c4477a9143ba7c357a7e2f294438b060</t>
  </si>
  <si>
    <t>Large rocky landslides induced by underground mining are the primary type of geological disaster in the karst mountains of southwestern China. In this study, by integrating field surface surveys, interferometric synthetic aperture radar (InSAR) monitoring, and discrete element simulations, we analyzed the deformation evolution of steep cliffs with karst structural planes under mining disturbance. Based on the stress transfer, deformation response, and instability precursors, a landslide instability model was developed. The results revealed that the instability boundaries and the instability mode were controlled by the large structural plane at the top of the mountain. Underground mining accelerated the uneven subsidence of the overlying strata, which led to expansion and penetration of the karst fissure structural planes and fracturing of the rock base, which are the main reason for the instability of the mountain. Underground mining caused internal stress fluctuation of the overlying strata, and the mountain experienced four stages during this process, i.e., development of karst fissure structural planes, fissures expansion and rock base fracturing, further fissures expansion and rock base crashing, and fissures penetration and shear failure. The mining-induced failure of mountain with large karst structural planes can be described as tensile shear-fracturing crashing failure. The InSAR monitoring results revealed that accelerated deformation occurred in the source area starting 20 days before the Baiyan landslide. In addition, 25 potential deformation landslides were identified in Zhijin County, Guizhou Province. Hence, InSAR technology can be used for early-stage detection and warning of similar landslides. © 2023, Springer-Verlag GmbH Germany, part of Springer Nature.</t>
  </si>
  <si>
    <t>2-s2.0-85153589136"</t>
  </si>
  <si>
    <t>10.5194/esurf-11-405-2023</t>
  </si>
  <si>
    <t>https://www.scopus.com/inward/record.uri?eid=2-s2.0-85159407982&amp;doi=10.5194%2fesurf-11-405-2023&amp;partnerID=40&amp;md5=6ea511d08e922ae24110f6a03b934fdf</t>
  </si>
  <si>
    <t xml:space="preserve">As humans continue to inhabit and modify river deltas, the natural processes governing material transport through these landscapes are altered. Two common engineering projects undertaken on deltas are the dredging of channels to enable shipping and the construction of embankments to reduce flooding. While the impact of these topographic modifications has been studied at a local level for specific sites, there is a gap in our generalized understanding of how these landscape modifications impact material transport. To narrow this gap, we conduct exploratory numerical modeling to develop deltaic landscapes with different input sediment compositions, modify their topography to mimic dredging and embankments, simulate different flow conditions, and then model the transport of passive particles. We find that human modification of topography lowers hydrological connectivity by reducing the area visited by fluvial inputs. The amount of time particles spend within the delta is reduced by the construction of polders and is lengthened by dredging. Material buoyancy has a greater impact on nourishment areas and exposure times than flow regime or topographic modification, with positively buoyant particles spending longer and visiting a greater area of the delta than neutral and negatively buoyant material. The results of this study can help guide the design of future engineering projects by providing estimates of their likely impact on transport processes.  © Copyright: </t>
  </si>
  <si>
    <t>2-s2.0-85159407982"</t>
  </si>
  <si>
    <t>10.1029/2022EA002767</t>
  </si>
  <si>
    <t>https://www.scopus.com/inward/record.uri?eid=2-s2.0-85164299722&amp;doi=10.1029%2f2022EA002767&amp;partnerID=40&amp;md5=4af16d4558ac4700f92a915b446d41dc</t>
  </si>
  <si>
    <t>Global Navigation Satellite System Interferometric Reflectometry (GNSS-IR) measures water level using the interference pattern in signal-to-noise ratio (SNR) from direct and reflected signals off the sea surface, retrieved from standard geodetic antennas. Significant wave height is also measured by determining the satellite elevation angles where reflections become incoherent. We developed an approach for standard geodetic antennas to simultaneously measure sea levels and waves using a criterion for identifying coherent reflections. We tested the method at an exposed coastal environment at the E.B. Scripps Memorial Pier in California. The 1-year test captures a broad range of sea states and benefits from several co-located standard oceanographic sensors. By including GPS, Galileo, and GLONASS observations, the retrieval rate increases by a factor of ∼2 over GPS alone. Uncorrected water levels are estimated with a root-mean-square (RMS) error of 18.2 cm with respect to a conventional tide gauge. We further developed a simplified correction to remove the effect of phenomena altering the SNR oscillatory frequency and phase, which reduces RMS errors to 9.4 cm. We estimate the significant wave height with 15 cm RMS error with respect to a traditional wave gauge. The method, however, requires a short calibration. We find the wave height errors increase abruptly beyond a fixed limit when high waves are present, that may be a result of the particular deployment geometry. With this caveat, the technology could be useful to deploy in under-sampled regions affected by compounded coastal hazards, such as in areas affected by tropical cyclones and flooding. © 2023 The Authors.</t>
  </si>
  <si>
    <t>2-s2.0-85164299722"</t>
  </si>
  <si>
    <t>10.1016/j.jag.2023.103330</t>
  </si>
  <si>
    <t>https://www.scopus.com/inward/record.uri?eid=2-s2.0-85154542805&amp;doi=10.1016%2fj.jag.2023.103330&amp;partnerID=40&amp;md5=9947b0f659f778ffa4f244c63283cb2d</t>
  </si>
  <si>
    <t>Global Digital Elevation Models (GDEMs) have been increasingly used to assess the risk of flooding worldwide. However, their effectiveness and the performance of flood risk models in areas with complex terrain, such as Jeddah, Saudi Arabia, have not been comprehensively studied. This study aims to compare the performance of five distinct Global Digital Elevation Models (GDEMs) − 30-m SRTM, 30-m ASTER, 90-m MERIT, 10 m Sentinel-1 DEM, and 12.5 m ALOSPALSAR - in estimating the inundation extent and depth of the Jeddah watershed, including three dams. Both hydrological and hydraulic modeling approaches were utilized to achieve this objective. The study findings revealed that all Global Digital Elevation Models (GDEMs) produced similar watershed boundaries in the mountain area (Wadi Qaws), except for ALOS-PALSAR, which generated a different watershed boundary from previous reports and studies. However, all GDEMs failed to accurately delineate the drainage area of one of the dams, except for SRTM and ALOS-PALSAR. Moreover, ASTER and SRTM products provided the closest estimates to ground observations, producing peak discharges of 114.1 m3/s and 110 m3/s, respectively. For the entire watershed, encompassing mountain, urban, and coastal areas, GDEMs demonstrated significant differences in the watershed boundary, streams, outlet location, and peak discharge at the watershed outlet. In addition, each GDEM's flood inundation map was significantly distinct. Overall, the results suggest that SRTM outperformed all other GDEMs in the mountain area. © 2023 The Author(s)</t>
  </si>
  <si>
    <t>2-s2.0-85154542805"</t>
  </si>
  <si>
    <t>10.1016/j.qsa.2023.100086</t>
  </si>
  <si>
    <t>https://www.scopus.com/inward/record.uri?eid=2-s2.0-85158030950&amp;doi=10.1016%2fj.qsa.2023.100086&amp;partnerID=40&amp;md5=c2259f9c8fb98507443a91233ad96f43</t>
  </si>
  <si>
    <t>The radiocarbon (14C) marine reservoir effect (MRE) is very sensitive to physical and chemical processes affecting the local carbon (C) cycle. In coastal zones, these tend to be numerous and complex, hindering the derivation of local marine reservoir offsets (ΔR) for the establishment of archaeological chronologies. Although discussions of how the magnitude of the MRE responds to factors such as the presence of coastal upwelling are common in the literature, little has been done to assess how the effect is influenced by a changing relative sea level. Here, we address the MRE temporal variation on the coast of Rio de Janeiro in the light of updated 14C calibration curves and considering the Holocene relative sea-level curve for the region. To achieve this, we employ Bayesian modelling to analyze published and new 14C ages from Brazilian archaeological sites and pre-bomb samples. In this study, we show evidence for a Late Holocene increase in the MRE, varying from −577 ± 56 14C yr at ca. 5500 cal BP to −29 ± 25 14C yr at present, associated with a decreased relative sea-level. © 2023 The Authors</t>
  </si>
  <si>
    <t>2-s2.0-85158030950"</t>
  </si>
  <si>
    <t>10.1007/s11442-023-2116-8</t>
  </si>
  <si>
    <t>https://www.scopus.com/inward/record.uri?eid=2-s2.0-85158974671&amp;doi=10.1007%2fs11442-023-2116-8&amp;partnerID=40&amp;md5=ef227ac57758ea4c7c367892d70d5843</t>
  </si>
  <si>
    <t>The construction of channel regulation projects, reservoirs, and other human activities have led to significant changes in channel geometry and hydrodynamic conditions in mountainous macrotidal estuaries. However, their impact on the long-term evolution of the turbidity maximum zone (TMZ) in these estuaries is still unclear. Therefore, the Minjiang Estuary (ME) was selected as the study area and using the Gabor filter and surface suspended sediment concentration (SSSC) data retrieved from GF PMS/WFV and Landsat-TM/ETM+/OLI images in the flood season from 1986 to 2020, the flow direction of Chuanshi Waterway, the spatiotemporal evolution characteristics of TMZ in the ME, and the influence of human activities on these were analyzed. The results indicate that during flood tides in the past 35 years, the TMZ was mainly distributed in sections from the Changmen to the Chuanshi and Meihua waterways. The construction of the Shuikou Reservoir caused the SSSC to decrease by 65 mg/L at the Chuanshi Tidal Gauge Station in the ME. The TMZ in the ME waterway channel notably migrated toward the sea due to the waterway regulation project, with the landward and seaward boundaries moving by 2.5 km and 3 km seaward, respectively. The main distribution area moved from Jinpaimen to the section from Chuanshi Waterway to the mouth of the ME. These variation characteristics were basically consistent with the annual average TMZ in the flood season. Through the interactions between nature and human interventions, the flow regime of the ME tended to converge in the flood season. Therefore, human activities have significantly impacted the long-term evolution of the TMZ in the ME. © 2023, Science in China Press.</t>
  </si>
  <si>
    <t>2-s2.0-85158974671"</t>
  </si>
  <si>
    <t>10.3390/land12061221</t>
  </si>
  <si>
    <t>https://www.scopus.com/inward/record.uri?eid=2-s2.0-85164103810&amp;doi=10.3390%2fland12061221&amp;partnerID=40&amp;md5=de533187ebea4f104df41a6af112d851</t>
  </si>
  <si>
    <t>Coal mining inevitably brings some negative impacts, such as surface subsidence, aquifer breakage, and land degradation, to the eco-geological environment in the mining area. Among these impacts, coal mining-induced ground deformation is the most serious and has threatened the geological, ecological, and human settlement securities of mining areas. Efforts existing in the literature apply to ground deformation identification in mined-out areas at the meso-/micro and short-time scales. However, when looking back at coal mining history, there are few ways to quickly and accurately quantify ground deformation at the regional and long-time scales. In this context, we propose a method for identifying ground deformation patterns in coal mining areas using historical high-precision digital elevation models (DEMs), including data preprocessing, DEM subtraction operations, interpretation, and fitting correction. This method was applied to the Yulin National Energy and Chemical Base and successfully identified the ground deformation characteristics of the Yulin coal mining area from 2015 to 2019. By determining surface subsidence displacement, excavation depth, stacking height, and the position of the goaf suspended roof area, the objective situation of ground deformation in Yulin mining area was obtained, and the mining methods and distribution characteristics of different surface deformations were analyzed and determined. The research results are of great significance for the development of mineral resources in mining areas, reducing geological disaster risks, protecting the ecological environment, and achieving the goal of coordinated development in mining areas. © 2023 by the authors.</t>
  </si>
  <si>
    <t>2-s2.0-85164103810"</t>
  </si>
  <si>
    <t>10.1038/s41558-023-01691-8</t>
  </si>
  <si>
    <t>https://www.scopus.com/inward/record.uri?eid=2-s2.0-85162221868&amp;doi=10.1038%2fs41558-023-01691-8&amp;partnerID=40&amp;md5=6d799f9de34880c6f6319850c746db22</t>
  </si>
  <si>
    <t>Future sea-level change is characterized by both quantifiable and unquantifiable uncertainties. Effective communication of both types of uncertainty is a key challenge in translating sea-level science to inform long-term coastal planning. Scientific assessments play a key role in the translation process and have taken diverse approaches to communicating sea-level projection uncertainty. Here we review how past IPCC and regional assessments have presented sea-level projection uncertainty, how IPCC presentations have been interpreted by regional assessments and how regional assessments and policy guidance simplify projections for practical use. This information influenced the IPCC Sixth Assessment Report presentation of quantifiable and unquantifiable uncertainty, with the goal of preserving both elements as projections are adapted for regional application. © 2023, Springer Nature Limited.</t>
  </si>
  <si>
    <t>2-s2.0-85162221868"</t>
  </si>
  <si>
    <t>10.3390/land12071418</t>
  </si>
  <si>
    <t>https://www.scopus.com/inward/record.uri?eid=2-s2.0-85166221824&amp;doi=10.3390%2fland12071418&amp;partnerID=40&amp;md5=1c2785592aa9296703ef22ece8cd1fca</t>
  </si>
  <si>
    <t>Coastal areas of Grenada in the south-eastern Caribbean are particularly vulnerable to the adverse impacts of climate change. The effects of increasingly powerful hurricanes, sea-level rise, and reef degradation are often compounded by local anthropogenic activities. Many communities reside in low-lying areas, with development and infrastructure concentrated along the coast. Wave/storm surge models based on historic hurricanes Ivan and Lenny, and a hurricane with a predicted 100-year return period, were used to assess coastal inundation under different storm and sea-level rise scenarios. Coupled Tomawac and Telemac models were used in conjunction with high-resolution LiDAR data to provide a full vulnerability assessment across all coastal zones. Results were combined with census data at the Enumeration District level to assess impacts on the built environment. Qualitative and quantitative estimates were derived for the impact on natural features, land use, and infrastructure supporting critical economic activity in Grenada’s coastal zones. Estimation of both spatial extent and inundation depth improved the estimation of likely coastal impacts and associated costs at the national level. A general increase in extent and severity of inundation was predicted with projected future sea-level rise, with the potential for disruption to major coastal infrastructure evident in all scenarios, risking serious social and economic consequences for local communities. Coastal communities using poorer-quality building materials were most severely affected. This integrated method of assessment can guide disaster planning and decision-making to reduce risk and aid resilience in hurricane-prone regions. © 2023 by the authors.</t>
  </si>
  <si>
    <t>2-s2.0-85166221824"</t>
  </si>
  <si>
    <t>10.1007/s41748-021-00277-8</t>
  </si>
  <si>
    <t>https://www.scopus.com/inward/record.uri?eid=2-s2.0-85119997815&amp;doi=10.1007%2fs41748-021-00277-8&amp;partnerID=40&amp;md5=d20d70a4d2a9b45fec1cd3a96cb19102</t>
  </si>
  <si>
    <t>Mangrove forests are vital in many ways to coastal communities. The forests prevent coastal erosion, produce nutrients and organic matter, serve as a sink for carbon, nitrogen, and phosphorus, maintain water quality, and support food production for habitat biodiversity. However, these systems are threatened by urban development and have sea-level rise as a result of climate change. Such is evident in Guyana coastal areas where there had been a reduction of mangroves coverage from approximately 80,000 ha in 1980 to 22,000 ha in 2010 and 26,115 ha in 2019. One of the measures to restrict the depletion of this vital ecosystem is through an aggressive programme of mangrove replanting and restoration by the Government of Guyana. To monitor and measure the spatio-temporal effectiveness of this management effort require effective and advanced technologies, which remote-sensing capabilities can provide. In this study, the synthetic aperture radar (SAR) imagery was used for the mapping of mangrove regeneration and dynamics. The producer’s accuracy of the mangrove classification for each year was 96%, 95%, 97%, 99%, and 99% in 1996, 2007, 2010, 2016, and 2019, respectively, and the users’ accuracy was 95%, 95%, 95%, 99%, and 99%, respectively, demonstrated that this can be used for the monitoring spatio-temporal response of mangroves. The analysis of diameter at breast height and the heights of the mangroves also show the spatial and temporal trend of gains and losses of biomass as derived from the allometric equations of the analysed SAR images. The findings show the effectiveness of the methodology used to monitor changes and to estimate the biomass. This study could be a useful guide for planning future coastal restoration projects at the sample study sites, assist in community resilience in the face of sea-level rise and climate change, and support policymakers in multi-policy coordination involving the management of the Guyana coastal retreat. © 2021, King Abdulaziz University and Springer Nature Switzerland AG.</t>
  </si>
  <si>
    <t>2-s2.0-85119997815"</t>
  </si>
  <si>
    <t>10.1007/s10666-023-09890-5</t>
  </si>
  <si>
    <t>https://www.scopus.com/inward/record.uri?eid=2-s2.0-85151262412&amp;doi=10.1007%2fs10666-023-09890-5&amp;partnerID=40&amp;md5=e0687f5dbaab87202a2561cc70a08386</t>
  </si>
  <si>
    <t>Modern concepts in water resources management and related risk assessment necessitate participatory approaches with stakeholders having a key role in the respective processes. The objective of the article is to (i) integrate stakeholders’ opinions and preferences on identified hazards, i.e., coastal flooding, water scarcity, and heat stress, derived by physically based numerical modeling under current and future climate change conditions and attributed in the form of an Integrated deltaic risk index (IDRI) at a specific case study area, and (ii) investigate whether and how the stakeholders’ opinions differentiate the initial outputs coming from the mathematical models. Doing so, stakeholders’ mapping was conducted in tandem with interviews for the detection of responsibilities, tasks, importance, and influence, followed by a structured questionnaire for registering the stakeholders’ perception on climate change impacts and relevant estimated hazards at the same deltaic case study area. Thereafter, a stakeholder-based risk assessment model was constructed based on two methods: (a) stakeholders’ opinion and answers about the impact of each identified hazard are equally taken into consideration, and (b) stakeholders are divided into groups and evaluated through multi-criteria analysis. Finally, the produced weights by the two methods are appropriately coupled with the identified hazards and resulted in the development of a Stakeholder Participatory multi-Risk Index (SPmRI) per method. The comparison of the produced SPmRIs with the IDRI, which was formulated without considering any stakeholders’ participation, reveals noticeable differentiation of modeled outputs especially in cases of high index values, corroborating the need for stakeholders’ opinion inclusion through the SPmRI approach. The proposed methodology fosters the interaction of stakeholders’ perception with modeling-based hazard assessment as a modern tool for decision-making processes. © 2023, The Author(s).</t>
  </si>
  <si>
    <t>2-s2.0-85151262412"</t>
  </si>
  <si>
    <t>10.3390/cli11070155</t>
  </si>
  <si>
    <t>https://www.scopus.com/inward/record.uri?eid=2-s2.0-85166430314&amp;doi=10.3390%2fcli11070155&amp;partnerID=40&amp;md5=f98908ee5a2fddb1bf0ecab23bbe289d</t>
  </si>
  <si>
    <t>Regional climate change is affected by global warming, large-scale inter-regional circulation, and land use/cover. As a result of different ecological, economic, and social conditions, climate adaptation actions vary from region to region, including community-based adaptation in small island developing states, enhancing flood resilience in Europe, weather index insurance promotion in Africa, climate change adaptation based on traditional knowledge in the Polar Regions, and global joint decision-making in terms of regional issues of the Ocean. This paper takes the above five typical cases as the research objects, and the multi-case comparative research method is adopted to discuss regional climate change adaptation based on the pressure–state–response framework. It found that: (1) regional climate change adaptation faces significant pressure from cross-regional flows of finance, population, and species under climate change</t>
  </si>
  <si>
    <t>10.1007/s11356-022-21662-4</t>
  </si>
  <si>
    <t>https://www.scopus.com/inward/record.uri?eid=2-s2.0-85133466824&amp;doi=10.1007%2fs11356-022-21662-4&amp;partnerID=40&amp;md5=2464fe3901986c0bae3c950e8d7d7905</t>
  </si>
  <si>
    <t>The impact of global warming presents an increased risk to the world’s shorelines. The Intergovernmental Panel on Climate Change (IPCC) reported that the twenty-first century experienced a severe global mean sea-level rise due to human-induced climate change. Therefore, coastal planners require reasonably accurate estimates of the rate of sea-level rise and the potential impacts, including extreme sea-level changes, floods, and shoreline erosion. Also, land loss as a result of disturbance of shoreline is of interest as it damages properties and infrastructure. Using a nonlinear autoregressive network with an exogenous input (NARX) model, this study attempted to simulate (1991 to 2012) and predict (2013–2020) sea-level change along Merang kechil to Kuala Marang in Terengganu state shoreline areas. The simulation results show a rising trend with a maximum rate of 28.73 mm/year and an average of about 8.81 mm/year. In comparison, the prediction results show a rising sea level with a maximum rate of 79.26 mm/year and an average of about 25.34 mm/year. The database generated from this study can be used to inform shoreline defense strategies adapting to sea-level rise, flood, and erosion. Scientists can forecast sea-level increases beyond 2020 using simulated sea-level data up to 2020 and apply it for future research. The data also helps decision-makers choose measures for vulnerable shoreline settlements to adapt to sea-level rise. Notably, the data will provide essential information for policy development and implementation to facilitate operational decision-making processes for coastal cities. © 2022, The Author(s), under exclusive licence to Springer-Verlag GmbH Germany, part of Springer Nature.</t>
  </si>
  <si>
    <t>2-s2.0-85133466824"</t>
  </si>
  <si>
    <t>10.1016/j.geomorph.2023.108640</t>
  </si>
  <si>
    <t>https://www.scopus.com/inward/record.uri?eid=2-s2.0-85150770234&amp;doi=10.1016%2fj.geomorph.2023.108640&amp;partnerID=40&amp;md5=de660839fa88ac2fa278d587e0ef484c</t>
  </si>
  <si>
    <t>In this work we explore the impact that changes in local climate and river hydrology have on the morphodynamics of a river delta, particularly focusing on the evolution of the delta generating at the lake inlet. We investigated the case of the delta in the lower reach of the Omo River in Ethiopia, which flows into lake Turkana, Kenya. The lake is the fourth largest lake and the largest desert lake in the world. This case study is of particular interest because within the last decades three dams have been built within the Omo basin. Among these, the Gibe III dam had a huge impact on the river hydrology and the sediment supply. To quantify changes in land use and river morphology and relate these to climate change and river hydrology we collated a historical dataset by combining information from different satellite sources. We observed that the amount of bare sediments progressively diminished and the biomass became denser compared to the existence of sparse biomass in the past. We argue that this is due to the changes in river hydrology and sediment load imposed by the dam, which increased sediment erosion by deepening the channel. The presence of the dam also increased the low flow level and reduced the peak flow during flood season, reducing the natural oscillations of the water table. In consequence, the possibility to plant for the local population was removed during floods. Our findings also indicate that the hydrology and reduced sediment discharge have changed the downstream (e.g. lake level), and upstream (e.g. mouth bar deposition) boundary conditions controlling the evolution of the delta structure, respectively. As a result, the delta morphology became less dynamic and less complex. © 2023 The Authors</t>
  </si>
  <si>
    <t>2-s2.0-85150770234"</t>
  </si>
  <si>
    <t>10.3390/rs15123088</t>
  </si>
  <si>
    <t>https://www.scopus.com/inward/record.uri?eid=2-s2.0-85164178046&amp;doi=10.3390%2frs15123088&amp;partnerID=40&amp;md5=68879a1f134385a2cb7c0ebae573ab6f</t>
  </si>
  <si>
    <t>Changes in sea surface salinity (SSS) caused by the discharge of freshwater plumes from rivers affect the marine environment in estuaries</t>
  </si>
  <si>
    <t>10.5194/os-19-603-2023</t>
  </si>
  <si>
    <t>https://www.scopus.com/inward/record.uri?eid=2-s2.0-85160919047&amp;doi=10.5194%2fos-19-603-2023&amp;partnerID=40&amp;md5=9f72968d3a48e2771dfa6b064decc01e</t>
  </si>
  <si>
    <t>From both practical and theoretical perspectives, it is essential to be able to express observed salinity distributions in terms of simplified theoretical models, which enable qualitative assessments to be made in many problems concerning water resource utilization (such as intake of fresh water) in estuaries. In this study, we propose a general and analytical salt intrusion model inspired by Guo's general unit hydrograph theory for flood hydrograph prediction in a watershed. To derive a simple, general and analytical model of salinity distribution, we first make four hypotheses on the longitudinal salinity gradient based on empirical observations</t>
  </si>
  <si>
    <t>10.1016/j.envdev.2022.100799</t>
  </si>
  <si>
    <t>https://www.scopus.com/inward/record.uri?eid=2-s2.0-85145082822&amp;doi=10.1016%2fj.envdev.2022.100799&amp;partnerID=40&amp;md5=dbed29d0180ae2f54fe4c088bf5c4a29</t>
  </si>
  <si>
    <t>Delta regions are compound socio-ecological systems increasingly exposed to various multi-hazards (e.g., drought, flooding). The Danube Delta, one of the most complex wetland areas in Europe, and one of the most vulnerable regions when it comes to drought, defined by its key vulnerable categories: women, children, the elderly population, the unemployed etc. In addition to the demographic aspects, there is also the infrastructure that puts a damper on the development of certain sectors of the economy, be they technical (water, gas, electricity), or social (schools, medicine, medical facilities). The current paper aims to apply a multi-criteria regional-level aridity and drought vulnerability assessment relying on both quantitative and qualitative methods in attaining a two-fold objective: (1) developing a comprehensive socio-economic aridity and drought vulnerability index in order to (2) identifying aridity and drought-vulnerable areas based on the finest indicators available for quantifying socio-economic vulnerability. The main research findings point to a general high and very high socio-economic vulnerability in the central and northern parts of the Danube Delta (36.3% of the total population) because of the high values of the elderly population, of households not connected to the water supply and sewage network, of the economic dependency rate, the high distance from the polarizing centres and the small numbers of emergency situation units. The low and very low vulnerability is registered in the West and in Sulina town (19.4% of the total population) where the accessibility to infrastructure and services makes up for the overall high drought exposure (dry/arid and semiarid climate). The research findings will improve the general understanding of drought vulnerability in a deltaic area, thus providing valuable information to be used by policymakers for drought management. © 2022 Elsevier B.V.</t>
  </si>
  <si>
    <t>2-s2.0-85145082822"</t>
  </si>
  <si>
    <t>10.3390/rs15082201</t>
  </si>
  <si>
    <t>https://www.scopus.com/inward/record.uri?eid=2-s2.0-85153722303&amp;doi=10.3390%2frs15082201&amp;partnerID=40&amp;md5=76822eed3eb44ff1a97cf8331a6b7cd9</t>
  </si>
  <si>
    <t>Agricultural crop production was affected worldwide due to the variability of weather causing floods or droughts. In climate change impacts, flood becomes the most devastating in deltaic regions due to the inundation of crops within a short period of time. Therefore, the aim of this study was to propose climate-adaptive crops that are suitable for the flood inundation in risk-prone areas of Bangladesh. The research area included two districts adjacent to the Jamuna River in Bangladesh, covering an area of 5489 km2, and these districts were classified as highly to moderately vulnerable due to inundation by flood water during the seasonal monsoon time. In this study, first, an inundation vulnerability map was prepared from the multicriteria analysis by applying a fuzzy expert system in the GIS environment using satellite remote sensing datasets. Among the analyzed area, 42.3% was found to be highly to moderately vulnerable, 42.1% was marginally vulnerable and 15.6% was not vulnerable to inundation. Second, the most vulnerable areas for flooding were identified from the previous major flood events and cropping practices based on the crop calendar. Based on the crop adaptation suitability analysis, two cash crops, sugarcane and jute, were recommended for cultivation during major flooding durations. Finally, a land suitability analysis was conducted through multicriteria analysis applying a fuzzy expert system. According to our analysis, 28.6% of the land was highly suitable, 27.9% was moderately suitable, 19.7% was marginally suitable and 23.6% of the land was not suitable for sugarcane and jute cultivation in the vulnerable areas. The inundation vulnerability and suitability analysis proposed two crops, sugarcane and jute, as potential candidates for climate-adaptive selection in risk-prone areas. © 2023 by the authors.</t>
  </si>
  <si>
    <t>2-s2.0-85153722303"</t>
  </si>
  <si>
    <t>10.1111/gcb.16583</t>
  </si>
  <si>
    <t>https://www.scopus.com/inward/record.uri?eid=2-s2.0-85146482024&amp;doi=10.1111%2fgcb.16583&amp;partnerID=40&amp;md5=131b62a44f9254bff4b835e664f99f83</t>
  </si>
  <si>
    <t>Coastal wetlands provide essential ecosystem goods and services but are extremely vulnerable to sea-level rise, extreme climate, and human activities, especially the coastal wetlands in large river deltas, which are regarded as “natural recorders” of changes in estuarine environments. In addition to the area (loss or gain) and quality (degradation or improvement) of coastal wetlands, the information on coastal wetland structure (e.g., patch size and number) are also major metrics for coastal restoration and biodiversity protection, but remain very limited in China's four major river deltas. In this study, we quantified the spatial–temporal dynamics of total area (TA) and patch number (PN) of coastal wetlands with different sizes in the four deltas and the protected areas (PAs) and assessed the effects of major driving factors during 1984–2020. We also investigated the effectiveness of PAs through the comparison of TA and PN of coastal wetlands before and after the years in which PAs were listed as Ramsar Sites. We found both TA and PN experienced substantial losses in the Liaohe River Delta and Yellow River Delta but recent recoveries in the Yangtze River Delta. The coastal wetlands had a relatively stable and variable trend in TA but had a continually increasing trend in PN in the Pearl River Delta. Furthermore, reduced coastal reclamation, ecological restoration projects, and rapid expansion of invasive plants had great impacts on the coastal wetland structure in various ways. We also found that PAs were effective in halting the decreasing trends in coastal wetland areas and slowing the expansion of reclamation, but the success of PAs is being counteracted by soaring exotic plant invasions. Our findings provide vital information for the government and the public to address increasing challenges of coastal restoration, management, and sustainability in large river deltas. © 2023 John Wiley &amp; Sons Ltd.</t>
  </si>
  <si>
    <t>2-s2.0-85146482024"</t>
  </si>
  <si>
    <t>10.13189/eer.2023.110208</t>
  </si>
  <si>
    <t>https://www.scopus.com/inward/record.uri?eid=2-s2.0-85160313893&amp;doi=10.13189%2feer.2023.110208&amp;partnerID=40&amp;md5=fc5825b31de2a5e757374749e4025166</t>
  </si>
  <si>
    <t>Pekalongan City, Central Java, Indonesia, is an urban area that often experiences floods and tidal hazards. The topography of Pekalongan City is lower than the sea, resulting in frequent tidal surges. The existence of the Smart City concept encourages the use of digital instruments to identify the extent of built areas that have a threat of tidal floods. Enhanced Built-Up and Bareness Index (EBBI) were used to map built-up areas. At the same time, the GIS method is considered a digital instrumental tool to identify and obtain flood and tidal hazard classes. Results of this study demonstrate three categories of flood and tidal hazards: a low threat of 305,79 hectares or 6.67%, a moderate danger of 1897,94 hectares or 41.94%, and a high threat of 2321,25 hectares or 51,3%. The total area of built areas that fall into the low classification is 22.25 hectares or 1.58%, the medium threat is 784,54 hectares or 55.5%, and the great danger is 606,62 hectares or 42.8%. From this case, the study also stressed that the circumstances of the Smart City concept had brought more and more exposure to digital instruments employed by local government. © 2023 by authors, all rights reserved.</t>
  </si>
  <si>
    <t>2-s2.0-85160313893"</t>
  </si>
  <si>
    <t>10.1016/j.scitotenv.2023.161438</t>
  </si>
  <si>
    <t>https://www.scopus.com/inward/record.uri?eid=2-s2.0-85147088035&amp;doi=10.1016%2fj.scitotenv.2023.161438&amp;partnerID=40&amp;md5=f38bafdfc1e698507dddea22ea9a664e</t>
  </si>
  <si>
    <t>Identifying the mixing processes of waters and currents in tidal reach is an important aspect of environmental management to protect freshwater resources and prevent water pollution. In this study, three field investigations conducted in a typical tidal reach in August, November and the following April focused on two isotopes (δD and δ18O) and salinity. A salinity-isotope conservative mixing model was established to differentiate water flows of the important control interface (CI) from freshwater, transition zone and saltwater end-members. Results suggested that the average δD and δ18O values during the ebb and flood tides depleted from August to November, then enriched significantly in the following April and were even higher than those in August. The δD and δ18O values in the saltwater zone enriched markedly compared with those in freshwater zone and transition zone due to the stronger evaporation occurring in the saltwater zone. Based on the revised model, the average contributions of freshwater end-member, transition zone end-member and saltwater end-member in three months were, respectively, 51.50 %, 36.93 % and 11.57 %. However, the contributions of freshwater and transition zones in April end-member were equivalent (47.45 % vs 44.31 %). Meanwhile the largest contribution of saltwater end-member was 20.56 % and occurred in August. The proportions of three end-members that contributed to CI changed with different evaporation scenarios and moisture sources of precipitation. Our research provides important information that furthers our understanding of the isotopes and their applications to environmental management in estuarine regions. © 2023 Elsevier B.V.</t>
  </si>
  <si>
    <t>2-s2.0-85147088035"</t>
  </si>
  <si>
    <t>10.3390/hydrology10040091</t>
  </si>
  <si>
    <t>https://www.scopus.com/inward/record.uri?eid=2-s2.0-85154030059&amp;doi=10.3390%2fhydrology10040091&amp;partnerID=40&amp;md5=2dbcc24f0f86140cd541be736762c0c9</t>
  </si>
  <si>
    <t>Floods are lethal and destructive natural hazards. The Mediterranean, including Greece, has recently experienced many flood events (e.g., Medicanes Zorbas and Ianos), while climate change results in more frequent and intense flood events. Accurate flood mapping in river areas is crucial for flood risk assessment, planning mitigation measures, protecting existing infrastructure, and sustainable planning. The accuracy of results is affected by all simplifying assumptions concerning the conceptual and numerical model implemented and the quality of geospatial data used (Digital Terrain Models—DTMs). The current research investigates flood modelling sensitivity against geospatial data accuracy using the following DTM resolutions in a mountainous river sub-basin of Thessaly’s Water District (Greece): (a) open 5 m and (b) 2 m data from Hellenic Cadastre (HC) and (c) 0.05 m data from an Unmanned Aerial Vehicle (UAV) topographical mission. RAS-Mapper and HEC-RAS are used for 1D (steady state) hydraulic simulation regarding a 1000-year return period. Results include flood maps and cross section-specific flow characteristics. They are analysed in a graphical flood map-based empirical fashion, whereas a statistical analysis based on the correlation matrix and a more sophisticated Machine Learning analysis based on the interpretation of nonlinear relationships between input–output variables support and particularise the conclusions in a quantifiable manner. © 2023 by the authors.</t>
  </si>
  <si>
    <t>2-s2.0-85154030059"</t>
  </si>
  <si>
    <t>10.1007/s00267-022-01759-9</t>
  </si>
  <si>
    <t>https://www.scopus.com/inward/record.uri?eid=2-s2.0-85143821063&amp;doi=10.1007%2fs00267-022-01759-9&amp;partnerID=40&amp;md5=05f06ddef8f64ed23eaea620722e60b1</t>
  </si>
  <si>
    <t>The U.S. Mid-Atlantic coastal region is experiencing higher rates of SLR than the global average, especially in Hampton Roads, Virginia, where this acceleration is primarily driven by land subsidence. The adaptation plans for coastal flooding are generally developed at the municipal level, ignoring the broader spatial implications of flooding outside the individual administrative boundaries. Flood impact assessments at the watershed scale would provide a more holistic perspective on what is needed to synchronize the adaptation efforts between the neighboring administrative units. This paper evaluates flooding impacts from sea level rise (SLR) and storm surge among watersheds in Hampton Roads to identify those most at risk of coastal flooding over different time horizons. It also explores the implications of flooding on the municipalities, the land uses, and land covers throughout this region within the case study watershed. The 2% Annual Exceedance Probability (AEP) storm surge flood hazard data and NOAA’s intermediate SLR projections were used to develop flooding scenarios for 2030, 2060, and 2090 and delineate land areas at risk of combined flooding. Findings show that five out of 98 watersheds will substantially increase in inundation, with two intersecting multiple municipalities. They also indicate significant inundation of military, commercial, and industrial land uses and wetland land covers. Flooding will also impact residential land use in urban areas along the Elizabeth River and Hampton city, supporting the need for collaborative adaptation planning on hydrologically influenced spatial scales. © 2022, The Author(s), under exclusive licence to Springer Science+Business Media, LLC, part of Springer Nature.</t>
  </si>
  <si>
    <t>2-s2.0-85143821063"</t>
  </si>
  <si>
    <t>10.1029/2022JC019523</t>
  </si>
  <si>
    <t>https://www.scopus.com/inward/record.uri?eid=2-s2.0-85153862443&amp;doi=10.1029%2f2022JC019523&amp;partnerID=40&amp;md5=fc3d829b30e8d456933d1b391b587d1c</t>
  </si>
  <si>
    <t>Waves are one of the main causes of coastal flooding and shoreline change in low-lying atoll nations like Tuvalu. A detailed understanding of Tuvalu’s wave climate is therefore critical for decision-makers, coastal engineers, and disaster-risk managers. Here, we investigate Tuvalu’s wind-wave climate, changes due to large-scale climate variability, and long-term trends. A 44-year (1979–2022) high-resolution wave hindcast was developed using the unstructured version of the wave model Simulating Waves Nearshore (SWAN). The model resolution varied between 20 km offshore in deep water and 300 m close to shore. The model was forced with the European Centre for Medium-Range Weather Forecasts Reanalysis v5 (ERA5) wind and boundary wave conditions. Northern and Southern Hemisphere winter months produced the largest and most powerful waves. Through the analysis of the directional wave energy spectra, we identified three main wave energy sources: (a) extratropical storms in the Southern Ocean</t>
  </si>
  <si>
    <t>10.1007/s11625-022-01233-9</t>
  </si>
  <si>
    <t>https://www.scopus.com/inward/record.uri?eid=2-s2.0-85139784614&amp;doi=10.1007%2fs11625-022-01233-9&amp;partnerID=40&amp;md5=4f0dd7e064affffa870495cd77dd2f30</t>
  </si>
  <si>
    <t>To adapt to a changing climate, decision-makers design, evaluate, and implement measures that have an implication of justice on citizens in the present and well into the future. Decision-makers are often required to make decisions without certainty of the consequences and understanding their effects on intergenerational justice. Thus, managing the impacts of climate change requires novel decision-aiding approaches that consider climate impacts’ temporal and spatial heterogeneity and the uncertainty in climate predictions, preferences, and values. We reviewed the literature on the extent to which principles of intergenerational justice—conservation of options and resources for future generations—have been integrated to traditional approaches in climate resilience decision-making. We explore the extent to which flexibility, i.e., the conservation and expansion of options in subsequent decision periods, can contribute to upholding the principles of intergenerational justice under uncertainty. We illustrate the approach in the case of the Delta Programme in the Netherlands, a complex system designed to protect against sea-level rise (SLR). Designing adaptation strategies to SLR with flexibility as a core concept brings significant advantages in circumstances of uncertainty. The conservation of options in flexible pathways, in this case, contributes to the principles of intergenerational justice. Our civilization’s long-term sustainability and survival may depend on the extent to which individuals can see beyond their gains and toward the gains of the collective society at an intergenerational scale. © 2022, The Author(s).</t>
  </si>
  <si>
    <t>2-s2.0-85139784614"</t>
  </si>
  <si>
    <t>Annals of Glaciology</t>
  </si>
  <si>
    <t>10.1017/aog.2023.70</t>
  </si>
  <si>
    <t>https://www.scopus.com/inward/record.uri?eid=2-s2.0-85179398436&amp;doi=10.1017%2faog.2023.70&amp;partnerID=40&amp;md5=8e7a90087908b14f1666de030a915758</t>
  </si>
  <si>
    <t>The Jostedalsbreen ice cap is mainland Europe’s largest ice cap and accommodates 20% (458 km2 in 2019) of the total glacier area of mainland Norway. Jostedalsbreen and its meltwater contribute to global sea-level rise and to local water management, hydropower and tourism economies and livelihoods. In this study, we construct a digital terrain model (DTM) of the ice cap from 1966 aerial photographs, which by comparing to an airborne LiDAR DTM from 2020, we compute changes in surface elevation and geodetic mass balances. The area mapped in both surveys cover about 3/4 of the ice cap area and 49 of 82 glaciers. The measured glacier area has decreased from 363.4 km2 in 1966 to 332.9 km2 in 2019, i.e. a change of −30 km2 or −8.4% (−0.16% a−1), which is in line with the percentage reduction in area for Jostedalsbreen as a whole. The mean geodetic mass balance over the 49 glaciers was −0.15 ± 0.01 m w.e. a−1, however, large variability is evident between glaciers, e.g. Nigardsbreen (−0.05 m w.e. a−1), Austdalsbreen (−0.28 m w.e. a−1) and Tunsbergdalsbreen (−0.36 m w.e. a−1) confirming differences also found by the glaciological records for Nigardsbreen and Austdalsbreen. © The Author(s), 2023. Published by Cambridge University Press on behalf of International Glaciological Society.</t>
  </si>
  <si>
    <t>2-s2.0-85179398436"</t>
  </si>
  <si>
    <t>10.5194/tc-17-1373-2023</t>
  </si>
  <si>
    <t>https://www.scopus.com/inward/record.uri?eid=2-s2.0-85151845777&amp;doi=10.5194%2ftc-17-1373-2023&amp;partnerID=40&amp;md5=5d39d11358a02dc4a0048e3471c0557f</t>
  </si>
  <si>
    <t xml:space="preserve">Glacial lake outburst floods (GLOFs) or jökulhlaups from ice-dammed lakes are frequent in Greenland and can influence local ice dynamics and bedrock motion, cause geomorphological changes, and pose flooding hazards. Multidecadal time series of lake drainage dates, volumes, and flood outlets are extremely rare. However, they are essential for determining the scale and frequency of future GLOFs, for identifying drainage mechanisms, and for mitigating downstream flood effects. In this study, we use high-resolution digital elevation models (DEMs) and orthophotos (0.1×0.1m) generated from uncrewed-aerial-vehicle (UAV) field surveys, in combination with optical satellite imagery. This allows us to reconstruct robust lake volume changes associated with 14 GLOFs between 2007 and 2021 at Russell Glacier, West Greenland. As a result, this is one of the most comprehensive and longest records of ice-dammed lake drainages in Greenland to date. Importantly, we find a mean difference of ∼10% between our lake drainage volumes when compared with estimates derived from a gauged hydrograph 27km downstream. Due to thinning of the local ice dam, the potential maximum drainage volume in 2021 is ∼60% smaller than that estimated to have drained in 2007. Our time series also reveals variations in the drainage dates ranging from late May to mid-September and drainage volumes ranging between 0.9 and 37.7Mm3. We attribute these fluctuations between short periods of relatively high and low drainage volumes to a weakening of the ice dam and an incomplete sealing of the englacial tunnel following the large GLOFs. This syphoning drainage mechanism is triggered by a reduction in englacial meltwater, likely driven by late-season drainage and sudden air temperature reductions, as well as annual variations in the glacial drainage system. Furthermore, we provide geomorphological evidence of an additional drainage route first observed following the 2021 GLOF, with a subglacial or englacial flow pathway, as well as supraglacial water flow across the ice margin. It seems probable that the new drainage route will become dominant in the future. This will drive changes in the downstream geomorphology and raise the risk of flooding-related hazards as the existing buffering outlet lakes will be bypassed.  © Copyright: </t>
  </si>
  <si>
    <t>2-s2.0-85151845777"</t>
  </si>
  <si>
    <t>10.1007/s11069-023-05892-4</t>
  </si>
  <si>
    <t>https://www.scopus.com/inward/record.uri?eid=2-s2.0-85149474235&amp;doi=10.1007%2fs11069-023-05892-4&amp;partnerID=40&amp;md5=e279dd51304d1c459fb95edb4fabb97c</t>
  </si>
  <si>
    <t>This study evaluates various climate scenarios on flooding by identifying future streamflow, flow change and floodplain flows regarding future greenhouse gas emissions. Various general circulation models (GCMs) were utilized to create historical (1986–2014) and future (2022–2100) scenarios to assess the risk of flooding due to changes in flow under future climatic conditions using Coupled Model Intercomparison Project Phase 6 (CMIP6). The delta correction (DC) method was used to correct biases in the CMIP6 data to reduce uncertainty. Based on precise multimodal coupling data, different statistical distributions such as the generalized extreme value (GEV), Log-Pearson’s Type III, and Gumbel distribution were used to assess the flood return period for various climate conditions. The delta change method (DCM) was utilized to estimate future peak flows, where the delta change factor (DCF) assisted in estimating different design flood events. SSP 3-7.0 had the highest projected streamflow out of all the projections along with final processing results from Hec-GeoRAS which was processed into HEC-RAS model to generate flood hazard maps and flood inundation maps. The future flow was then used to estimate and project the future floods flow. The results from the calibration and validation revealed good simulation of the river Chenab streamflow values of HEC-RAS. The results indicate that flood inundation extent will increase in the future, suggesting a higher flood hazard. This study emphasizes the significance of projecting future flood hazards and using predicted climate data to obtain crucial evidence for developing effective floodplain management strategies. © 2023, The Author(s), under exclusive licence to Springer Nature B.V.</t>
  </si>
  <si>
    <t>2-s2.0-85149474235"</t>
  </si>
  <si>
    <t>10.1007/s11069-023-05834-0</t>
  </si>
  <si>
    <t>https://www.scopus.com/inward/record.uri?eid=2-s2.0-85148073383&amp;doi=10.1007%2fs11069-023-05834-0&amp;partnerID=40&amp;md5=451e7a985e107a6fae649e5cd305cd29</t>
  </si>
  <si>
    <t>Sea level time series of up to 17.5 years length, recorded with a 1 min sampling interval at 18 tide gauges, evenly distributed along the eastern and western coast of the Adriatic Sea (Mediterranean), were analysed in order to quantify contribution of high-frequency sea level oscillations to the positive sea level extremes of the Adriatic Sea. Two types of sea level extremes were defined and identified: (1) residual extremes which are mostly related to storm surges and (2) high-frequency (T &lt; 2 h) extremes, strongest of which are meteotsunamis. The detailed analysis of extremes led to the following conclusions: (1) high-frequency sea level oscillations can dominate positive sea level extremes</t>
  </si>
  <si>
    <t>10.21163/GT_2023.181.13</t>
  </si>
  <si>
    <t>https://www.scopus.com/inward/record.uri?eid=2-s2.0-85151568471&amp;doi=10.21163%2fGT_2023.181.13&amp;partnerID=40&amp;md5=7cfd4ba78fd65d6b9d579af8e6ebede5</t>
  </si>
  <si>
    <t>Semarang coastal area is mainly composed of alluvium sediment, vulnerable to tidal floods caused by land subsidence and seawater inundation. On the other hand, this capital area is also prone to earthquakes evoked by Kaligarang, Semarang, Ungaran 1, and Ungaran 2 Faults. This research aims to examine the earthquake vulnerability index in the coastal area of Semarang using the HVSR (horizontal to vertical spectral ratio) micro tremor method. The study was conducted by measuring the micro tremor signal as many as 110 points spread over the research location with an almost even distribution. Data collection was carried out around existing roads with a distance of about 1000 m west-east and about 500 m north-south. Data was taken with a 3-component TDS seismograph type 303S with a sampling rate of 20 Hz for 10 minutes. The micro tremor data was processed using Software Excel, Pro, and Geopsy data to obtain the dominant frequency values, amplification factor, seismic vulnerability index, Peak Ground Acceleration, and Ground stress-strain. The data obtained is described as a distribution map along with the parameter values using ArcGIS software. The results show that the frequency dominant, amplification, SVI, PGA and GSS vary from 0.13 Hz to 8.44 Hz, from 0.08 to 7.92, from 0.04 gal to 75.74 gal, from 5.75 μs2/cm to 45.22 μs2/cm, and from 12.3x10-6 – 788x10-6, respectively. The results obtained in the research area that have a vulnerability to earthquakes can be grouped into 3 categories, namely weak, medium and strong categories. Most of the research areas have a vulnerability index to moderate earthquakes, except for the northern and southern parts of West Semarang District, Sayung District, and Genuk District which is in the strong category. Areas with a weak category were found around the eastern part of North Semarang District and Central Semarang District in the northern part, Candisari District, Gayamsari District in the southern part, and Pedurungan District in the southern part. This study was conducted during the rainy season. Therefore, collecting the same data for different season I recommended for further study to investigate the influence of seasonal effects on earthquake-impacted areas. © 2023, Asociatia Geographia Technica. All rights reserved.</t>
  </si>
  <si>
    <t>2-s2.0-85151568471"</t>
  </si>
  <si>
    <t>10.3390/rs15082112</t>
  </si>
  <si>
    <t>https://www.scopus.com/inward/record.uri?eid=2-s2.0-85156152680&amp;doi=10.3390%2frs15082112&amp;partnerID=40&amp;md5=c3910140d36e55cf23c3b5221620f002</t>
  </si>
  <si>
    <t>Land subsidence in coastal and delta cities often results in infrastructure and residential building damages, while also increasing the area’s flooding vulnerability. The coastal cities of Messolonghi and Aitolikon are typical examples, as they are built on top of old stream deposits near the coast. In the last several years, the gradual subsidence of the sites, combined with the impact of climate change, resulted in multiple floods. The rush of seawater over the lowlands has also been reported. Persistent scatterer interferometry (PSI) is a remote-sensing technique that can provide a reliable and cost-effective solution, as it can be used to identify and monitor soil displacements. In this study, a novel parallelized PSI (P-PSI) processing chain, developed by the Operational Unit Center for Earth Observation Research and Satellite Remote Sensing (BEYOND) of the National Observatory of Athens, as well as the Copernicus EGMS product were used to identify these displacements. The results were examined in correlation with other potential factors such as the overexploitation of the underground water, the natural compaction of the clay soil layers, the primary and secondary consolidation due to the external construction loading, the oxidation of the organic soils, tidal gauge data, precipitation data, and ground truth data. In Messolonghi, various deformation rates were recorded, with maximum mean values of −5 mm/year in the eastern part, whereas in Aitolikon, the maximum values were around −4.5 mm/year. The displacements were mostly attributed to the primary consolidation due to the building loads. Deformation patterns and their correlation with precipitation could also be witnessed. It was evident that the increased precipitation rates and sea level rise played a leading role in the constant flooding. © 2023 by the authors.</t>
  </si>
  <si>
    <t>2-s2.0-85156152680"</t>
  </si>
  <si>
    <t>10.1016/j.nhres.2023.01.002</t>
  </si>
  <si>
    <t>https://www.scopus.com/inward/record.uri?eid=2-s2.0-85175652408&amp;doi=10.1016%2fj.nhres.2023.01.002&amp;partnerID=40&amp;md5=82991596bbd4ec1e9ee2c779d1a99231</t>
  </si>
  <si>
    <t>Since the inception of the concept, sustainability has been interpreted as encompassing social, economic, and environmental dimensions of it. It is now rapidly shifting from a concept to a measurable state of the human-ecological dynamic system. Recent research is focusing on an integrated approach, due to the absence of a perfectly defined sustainable condition with the presence of some driving forces in the environmental system as a reference. In the recent world, severe natural hazards are increasingly having a fatal impact on societal and economic strata. The islands of Indian Sundarban Delta are the focus of this study as their sustenance is highly at stake due to climate change induced sea level rise, cyclone, tidal surge, and severe land erosion. The main objective of this study is to design a model for obtaining a composite sustainability index of three adjacent islands of western part of Indian Sundarban Delta (ISD) Sagar, Mousani and Ghoramara which are facing severe hazard impact based on the ‘Driving Force-Pressure-State-Impact-Response’ (DPSIR) framework integrating all three dimensions. Indicators have been categorised into state indicators and driving forces under ten profiles chosen from three dimensions of sustainability. The impact score of driving forces over any profile has been considered as a product of values of drivers and states from that profile. The total sustainability score was attained by summarizing the impact scores assigning the same weights and different weights respectively, to the sustainability indicators. The sustainability score shows that Sagar is in a better position than the other two islands. © 2023 National Institute of Natural Hazards, Ministry of Emergency Management of China</t>
  </si>
  <si>
    <t>2-s2.0-85175652408"</t>
  </si>
  <si>
    <t>10.1007/s11069-022-05805-x</t>
  </si>
  <si>
    <t>https://www.scopus.com/inward/record.uri?eid=2-s2.0-85145844239&amp;doi=10.1007%2fs11069-022-05805-x&amp;partnerID=40&amp;md5=553d67c5c6ae08fde6feea059b6d87cc</t>
  </si>
  <si>
    <t>The expansion of the population and tourism industry, especially near the coast, is altering land use and deteriorating coastal resources. This contributes significantly in increasing the susceptibility of a coastal area to flooding and sea-level rise. Therefore, identifying vulnerable coastal areas through an integrated approach for comprehensive coastal development and realistic management policies is pivotal. This paper presents a method for assessing coastal vulnerability by employing selected physical and human indices. It was applied to the Mandarmani–Dadanpatrabar coastal sector of West Bengal, where the issue of rapid tourism growth at the expense of coastal resources is a major concern. For the assessment of coastal vulnerability, the entire length of the study area was divided into 64 equal segments. A set of six physical variables (shoreline change, beach width, coastal slope, dune discontinuity, vegetation, and coastal geomorphology) and three human variables (land use land cover, coastal protection, and distance of road) were measured using fieldwork and remote sensing and geographical information system. Subsequently, the physical and human vulnerability was calculated and then combined to create an integrated coastal vulnerability index (ICVI). While the majority of the coast is low-to-moderately vulnerable, it was observed that high vulnerability was present in areas where physical resources were rapidly exploited for the growth of tourism. This study emphasizes the need of implementing existing coastal regulation zone guidelines in a more realistic way to prevent loss of assets and promote integrated development. © 2023, The Author(s), under exclusive licence to Springer Nature B.V.</t>
  </si>
  <si>
    <t>2-s2.0-85145844239"</t>
  </si>
  <si>
    <t>10.1007/s11069-022-05773-2</t>
  </si>
  <si>
    <t>https://www.scopus.com/inward/record.uri?eid=2-s2.0-85144867321&amp;doi=10.1007%2fs11069-022-05773-2&amp;partnerID=40&amp;md5=3d167fd1219d36061130782cafbba069</t>
  </si>
  <si>
    <t>Storm surge simulation models require certain parameters for evaluating the worst possible event that could occur at a site with respect to a certain return period. The most significant probable maximum tropical cyclone parameters are pressure deficiency at the centre (ΔP) and maximum wind speed (Vmax) during the cyclone. In this study, the probable maximum tropical cyclone parameters that would yield the maximum probable storm surge along the Indian coasts of Arabian Sea and Bay of Bengal are estimated. Datasets are created based on various existing data archives for each basin. The datasets are subjected to extreme value analysis for determining the ΔP and Vmax parameters. The data are fitted to various probability distributions (Gumbel, Fréchet, Weibull and Log-normal) whose parameters (scale, shape, and location parameters) are estimated using graphical (least square fit) and numerical (order statistics approach) methods. A mean recurrence interval of 1000 and 10,000 years is considered for strategic structures. The best fit distribution and its parameters are obtained based on goodness of fit criteria. The resulting ΔP and Vmax are compared with theoretical maximum cyclone parameter values of each basin and revised till an optimal set of values are reached. The analysis shows that ΔP and Vmax values for Arabian Sea and Bay of Bengal are best represented by Weibull distribution. The estimated parameters are useful input to a storm surge model to determine the design basis flood level for the strategic coastal sites. © 2022, The Author(s), under exclusive licence to Springer Nature B.V.</t>
  </si>
  <si>
    <t>2-s2.0-85144867321"</t>
  </si>
  <si>
    <t>Environmental Advances</t>
  </si>
  <si>
    <t>10.1016/j.envadv.2023.100350</t>
  </si>
  <si>
    <t>https://www.scopus.com/inward/record.uri?eid=2-s2.0-85147883900&amp;doi=10.1016%2fj.envadv.2023.100350&amp;partnerID=40&amp;md5=434335df5b903f171e7b28ea4c7a5a48</t>
  </si>
  <si>
    <t>River Ganga, Brahmaputra, and their distributaries form one of the world's largest delta and mangrove forests - the Sundarbans Biosphere Reserve - designated as the World Heritage Centre by the United Nations Educational, Scientific and Cultural Organization (UNESCO). Global warming, climate change, and anthropogenic activities have however made the region fragile due to problems related to sea-level rises, tropical cyclones, salt-water intrusions, and pollutants. Several questions have been raised about the increasing levels of inorganic and organic pollutants in the delta region deposited by the Ganga and the Brahmaputra rivers that drain nearly 1.7 million km2 of land with extensive industrial, agricultural, and domestic land activities. Here we present the source, type, and pathways of microplastics (MPs) in water (n = 10) and sediment (n = 17) samples collected from 17 critical locations along the Hooghly River —an eastern distributary of River Ganga in the State of West Bengal—downstream from the megacity of Kolkata up to Sundarbans Biosphere Reserve. The average MPs concentration for the water and sediments were 718 ± 244 items/m3 (n=10, 1 σ) and 428 ± 266 items/kg dw. (n=17, 1 σ), respectively, which is similar to water and sediment samples from other Indian and world rivers. Attenuated Total Reflectance - Fourier Transform Infrared spectroscopy data reveals that the polymer type for the sediment and water samples were predominantly high-density polyethylene (33 %), polyoxymethylene or polyacetal (18 %), polyphenylene sulfide (18 %), polyacrylamide (13 %), polypropylene (7 %), polytetrafluoroethylene (6 %), and polybutadiene (5 %). The MPs present a higher proportion in sediment 0.3 mm-90 µm (49%) and water samples 1-0.3 mm (45%), suggesting a high degradation rate. Our data indicated that River Hooghly transported MPs is one of the factors for ecological risks in the Sundarbans Biosphere Reserve. © 2023 The Author(s)</t>
  </si>
  <si>
    <t>2-s2.0-85147883900"</t>
  </si>
  <si>
    <t>10.1029/2022JC019327</t>
  </si>
  <si>
    <t>https://www.scopus.com/inward/record.uri?eid=2-s2.0-85153887983&amp;doi=10.1029%2f2022JC019327&amp;partnerID=40&amp;md5=b6b6e15f597b5f6ca42ba1177fed4ade</t>
  </si>
  <si>
    <t>Evaluating the contribution of rivers to coastal seas in the Earth system and accurately predicting marine environmental responses to climate change are crucial for mitigating and addressing future natural disasters, especially those related to extreme hydrological events, such as fluvial floods. The Changjiang (Yangtze) River Estuary (CRE) and the East China Sea continuum, known for high environmental stress, complex marine dynamic processes, and frequent flood events, were selected to determine the compound impacts of a severe flood that persisted for the whole of July 2017. We conducted three cruise surveys before and after this flood event. Our surveys revealed that the phosphate concentration in the channel of the CRE declined from 2 to &lt;1 μM during the flood, while the nitrate concentration remained stable. We applied a coupled physical-biogeochemical model to determine the spatio-temporal influence of floodwater (freshwater from upstream during flood events). During the initial rising discharge stage, surface phytoplankton blooms triggered by enhanced stratification consumed phosphate and significantly increased the N:P ratio in the sea. The ratio was restored as the blooms diminished, but remained elevated due to lower phosphate floodwater in the northeastward area within the low-salinity river plume. Model experiments also showed that phytoplankton biomass and N:P ratio in the flood plume region were sensitive to the riverine phosphate concentration inputs during the flood event. © 2023. American Geophysical Union. All Rights Reserved.</t>
  </si>
  <si>
    <t>2-s2.0-85153887983"</t>
  </si>
  <si>
    <t>10.3390/geosciences13030064</t>
  </si>
  <si>
    <t>https://www.scopus.com/inward/record.uri?eid=2-s2.0-85151137527&amp;doi=10.3390%2fgeosciences13030064&amp;partnerID=40&amp;md5=f31b6c588bbdd7015f60465a47db52a1</t>
  </si>
  <si>
    <t>The Caribbean region is highly vulnerable to multiple hazards. Resultant impacts may be derived from single or multiple cascading risks caused by hydrological-meteorological, seismic, geologic, or anthropological triggers, disturbances, or events. Studies suggest that event records and data related to hazards, risk, damage, and loss are limited in this region. National Disaster Risk Reduction (DRR) planning and response require data of sufficient quantity and quality to generate actionable information, statistical inferences, and insights to guide continual policy improvements for effective DRR, national preparedness, and response in both time and space. To address this knowledge gap, we review the current state of knowledge, data, models, and tools, identifying potential opportunities, capacity needs, and long-term benefits for integrating Earth Observation (EO) understanding, data, models, and tools to further enhance and strengthen the national DRR framework using two common disasters in Jamaica: floods and landslides. This review serves as an analysis of the current state of DRR management and assess future opportunities. Equally, to illustrate and guide other United Nations Disaster Risk Reduction (UNDRR) priority countries in the Pacific region, known as Small Island Developing States (SIDS), to grapple with threats of multiple and compounding hazards in the face of increasing frequency, intensity, and duration of extreme weather events, and climate change impact. © 2023 by His Majesty the King in Right of Canada as represented by the Minister of Agriculture and Agri-Food Canada.</t>
  </si>
  <si>
    <t>2-s2.0-85151137527"</t>
  </si>
  <si>
    <t>10.1016/j.scitotenv.2022.161357</t>
  </si>
  <si>
    <t>https://www.scopus.com/inward/record.uri?eid=2-s2.0-85146276473&amp;doi=10.1016%2fj.scitotenv.2022.161357&amp;partnerID=40&amp;md5=7bbf5f11642028d2c5575c7b76eb9189</t>
  </si>
  <si>
    <t>Worldwide, climate change adaptation in coastal areas is a growing challenge. The most common solutions such as seawalls and breakwaters are expensive and often lead to unexpected disastrous effects on the neighboring unprotected areas. In recent years, this awareness has guided coastal managers to adopt alternative solutions with lower environmental impact to protect coastal areas, defined as Nature-Based Solutions (NBSs). NBS are quite popular around the world but are often analyzed and implemented individually at pilot sites. This contribution analyzes the effectiveness of two NBS to mitigate coastal impacts (coastal flooding and erosion) under three historical storms along the Emilia-Romagna coasts and the induced improvements due to their potential integration. Through numerical simulations with XBeach, this study demonstrated that the presence of seagrass meadows of Zostera marina produces an average attenuation of 32 % of the storm peak with a maximum attenuation of 89 % in incoming wave height. Seagrass also mitigates flooded areas and maximum inundation depths by 37 % and 58 % respectively. The artificial dune leads to higher mitigation in terms of inundation of the lagoon (up to 75 %), also avoiding any morphological variations behind it. Seagrass has also been shown to be able to reduce beach erosion volumes up to 55 %. The synergic effect of the two NBS improves the capacity to mitigate both inundation (with a benefit of up to 77 % for flooded area attenuation with respect to cases without any defenses) and coastal erosion. Results of the study suggest that the two NBS will work together to produce co-benefits in terms of preservation of their efficiency, development of habitats for organisms and vegetation species, and thereby offering an important social value in terms of possible tourism, recreation and research. © 2023 The Authors</t>
  </si>
  <si>
    <t>2-s2.0-85146276473"</t>
  </si>
  <si>
    <t>10.1029/2023GL103088</t>
  </si>
  <si>
    <t>https://www.scopus.com/inward/record.uri?eid=2-s2.0-85158921660&amp;doi=10.1029%2f2023GL103088&amp;partnerID=40&amp;md5=4b630e4294255271f1a47ccad2fd013a</t>
  </si>
  <si>
    <t>Accelerating ice loss from Thwaites Glacier is contributing approximately 5% of global sea-level rise, and could add tens of centimeters to sea level over the coming centuries. We use an ocean model to calculate sub-ice melting for a succession of Digital Elevation Models of the main trunk of Thwaites Glacier from 2011 to 2022. The ice evolution during this period induces a strong geometrical feedback onto melting. Ice thinning and retreat provides a larger melting area, thicker and better-connected sub-ice water column, and steeper ice base. This leads to stronger sub-ice ocean currents, increasing melting by over 30% without any change in forcing from wider ocean conditions. This geometrical feedback over just 12 years is comparable to melting changes arising from plausible century-scale changes in ocean conditions and subglacial meltwater inflow. These findings imply that ocean-driven ice loss from Thwaites Glacier may only be weakly influenced by anthropogenic emissions mitigation. © 2023. The Authors.</t>
  </si>
  <si>
    <t>2-s2.0-85158921660"</t>
  </si>
  <si>
    <t>10.1016/j.landurbplan.2022.104659</t>
  </si>
  <si>
    <t>https://www.scopus.com/inward/record.uri?eid=2-s2.0-85144784309&amp;doi=10.1016%2fj.landurbplan.2022.104659&amp;partnerID=40&amp;md5=fc988dbbb497eda6ddb82f611e9dcf84</t>
  </si>
  <si>
    <t>Globally, urban-coastal areas are expected to experience substantial landscape shifts as a result of climate change induced sea level rise. Such changes will impact valuable ecosystem services. We employed sea level rise projections and land cover change mapping to develop a model which quantified present-day carbon sequestration, aboveground carbon storage, and belowground carbon storage ecosystem services and predicted the impact of sea level rise and accretion through 2100 on future ecosystem services in the urban-coastal Jamaica Bay, New York (USA) watershed. Our model predicted that future carbon sequestration, aboveground carbon storage, and belowground carbon storage potential in our watershed will be significantly impacted in wetlands and natural coastal-fringe habitat and have losses up to 0.16%, 15%, and 51%, respectively. We paired our present-day ecosystem services model results with data on socio-economic need (access to open space and poverty level of each census tract in the watershed) and used multivariate clustering analysis to identify clusters in which planning and restoration may help to address issues of ecological conservation and environmental justice. Our work addresses the need for better understanding of urban-coastal ecosystem service flows and the potential impact of future landscape change on these services. Our results provide support to increase coastal resilience through informed design, planning, and management of these ecologically and socially significant landscapes. © 2022 Elsevier B.V.</t>
  </si>
  <si>
    <t>2-s2.0-85144784309"</t>
  </si>
  <si>
    <t>10.1007/s11442-023-2111-0</t>
  </si>
  <si>
    <t>https://www.scopus.com/inward/record.uri?eid=2-s2.0-85152568299&amp;doi=10.1007%2fs11442-023-2111-0&amp;partnerID=40&amp;md5=5042b9cf46eb4132f1cebaed8d257412</t>
  </si>
  <si>
    <t>Wetland vegetation is intimately related to floodplain inundations, which can be seriously affected by dam operation. Poyang Lake is the largest floodplain wetland in China and naturally connected with the Yangtze River and the Three Gorges Dam (TGD) upstream. To understand the potential impacts of TGD on Poyang Lake wetlands, we collected remote sensing imagery acquired during dry season from 1987 to 2020 and extracted vegetation coverage data in the Ganjiang Northern-branch Delta (GND) and the Ganjiang Southern-branch Delta (GSD), using the Object-oriented Artificial Neural Network Regression. Principal components analysis, correlation analysis, and the random forest model were used to explore the interactions between vegetation extent in the two deltas and 33 hydrological variables regarding magnitude, duration, timing, and variation. The implementation of the TGD advanced and extended the low-flow periods in Poyang Lake. Vegetation coverage in the GND and GSD increased at the rates of 0.39 and 0.22 km2/year, respectively. The reservoir storage at the end of September accelerated the runoff recession in the GND and the GSD, making low-flow events more influential for vegetation dynamics and shortening the response time of vegetation to the water regime. This study provides an important reference for evaluating the impacts of dam engineering on downstream wetlands. © 2023, Science in China Press.</t>
  </si>
  <si>
    <t>2-s2.0-85152568299"</t>
  </si>
  <si>
    <t>10.2166/wpt.2023.048</t>
  </si>
  <si>
    <t>https://www.scopus.com/inward/record.uri?eid=2-s2.0-85159330706&amp;doi=10.2166%2fwpt.2023.048&amp;partnerID=40&amp;md5=f468d7fa12b0a325e11d3839f9a3e6f7</t>
  </si>
  <si>
    <t>Floods are catastrophic natural disasters that cause a substantial toll on human lives, infrastructure, and the economy. Structural and non-structural measures are developed for planning flood mitigation strategies. Flood inundation mapping is valuable information for decision-makers and authorities to develop flood mitigation strategies and resource allocation. This study uses the HEC-RAS 2D model for flood inundation mapping in the Krishna River Basin. Digital elevation models (DEMs) of 12.5 and 30 m resolutions were used to model the inundation map. The study also investigated the effect of change in upstream bound-ary data on the inundated area. The simulated results with 12.5 m resolution DEM are found in good agreement with the validation data and conform to the inundated areas with the available reports. This study proves the 2D capabilities of HEC-RAS and helps the experts with better management practices. © 2023 The Authors.</t>
  </si>
  <si>
    <t>2-s2.0-85159330706"</t>
  </si>
  <si>
    <t>10.13189/eer.2023.110210</t>
  </si>
  <si>
    <t>https://www.scopus.com/inward/record.uri?eid=2-s2.0-85160431383&amp;doi=10.13189%2feer.2023.110210&amp;partnerID=40&amp;md5=69965c5f167abba8cf1a6ffa0e9bd058</t>
  </si>
  <si>
    <t>Floods are the most dreaded danger for household livelihoods, particularly those in coastal and estuary regions, due to their tremendous destruction. Proper assessment of the livelihood vulnerability of these communities thus becomes imperative for prioritizing policies. Applying the LVI-IPCC framework, this study investigates the flood-induced vulnerability of two coastal communities in Hai Duong and Vinh Hien communes of Thua Thien Hue province, Central Vietnam, and their vulnerable index’s determinants. Data were obtained through three focus group discussions, twelve key-informant interviews, and a cross-sectional survey of 360 households between September and December 2021. The results disclosed that coastal fishery communities are highly vulnerable to flood risks due to their high exposure and sensitivity. Further analysis revealed that floods are an extra burden to impoverished fishermen and have sealed the poor into endless poverty traps and thus could reverse the poverty reduction efforts. Therefore, poverty alleviation should be integrated and prioritized in capacity-building programs to adapt to flood risks. Attention to issues that assist the resilience of poor populations, specifically allocating resources to vulnerable groups, strengthening access to information for hard-to-reach households, and well cognizance of the floods-relative poverty and inequality nexuses should be future priorities. © The Authors.</t>
  </si>
  <si>
    <t>2-s2.0-85160431383"</t>
  </si>
  <si>
    <t>10.3390/rs15071737</t>
  </si>
  <si>
    <t>https://www.scopus.com/inward/record.uri?eid=2-s2.0-85152556475&amp;doi=10.3390%2frs15071737&amp;partnerID=40&amp;md5=1e5d12b277d5f68630c1c9424e93e697</t>
  </si>
  <si>
    <t>Coastal areas are increasingly endangered by climate change and associated sea level rise, which could have serious consequences, such as shoreline erosion and coastal city submergence. The current study aims to conduct a historical trend analysis (HTA) and predict the shoreline changes of the Nile Delta coasts. The Digital Shoreline Analysis System (DSAS) software, with the GIS environment, is used for monitoring the shoreline changes using a number of statistical methods (SCE, NSM, EPR, WLR and LRR). Satellite images from 1974 to 2022 were collected and geometrically corrected using supervised classification to detect the shoreline change of the Nile Delta. The GIS was used for detecting and monitoring changes in the shoreline, as well as forecasting future changes in the shoreline for the next 10 and 20 years (2033–2043). The critical sections of the Nile Delta were identified, and a time series analysis of shoreline changes was conducted. For each section, linear equations were established to predict probable changes in the shoreline. Between 1974 and 2022, the shoreline of the Nile Delta moved inland in different directions due to coastal erosion, and predictions indicate that this erosion will continue until both 2033 and 2043, particularly affecting the Rosetta and Damietta sections. The erosion rate ranged between 30–60 and 10–25 m/year at Rosetta and Damietta, respectively, but at Manzala, it ranged between 8–15 m/year. Continued erosion of the Nile Delta shoreline could have severe consequences that could affect the inhabitants, economy, buildings, roads, railways, and ports. These areas need an integrated coastal management strategy which incorporates increasing consciousness, urban development, and the implementation of rules and adaptation plans. The results of the current study and forecasting the shoreline change could help in protecting such areas. © 2023 by the authors.</t>
  </si>
  <si>
    <t>2-s2.0-85152556475"</t>
  </si>
  <si>
    <t>Geochimica et Cosmochimica Acta</t>
  </si>
  <si>
    <t>10.1016/j.gca.2023.02.018</t>
  </si>
  <si>
    <t>https://www.scopus.com/inward/record.uri?eid=2-s2.0-85150828257&amp;doi=10.1016%2fj.gca.2023.02.018&amp;partnerID=40&amp;md5=053643d347ecb71709229e7efaf6f5e1</t>
  </si>
  <si>
    <t>A likely consequence of sea level rise during the next century will be progressive inundation of seawater through the current unsaturated zone in coastal-margin soils. It is unclear how this will change the biogeochemical cycling of iron, sulfur and carbon over different time scales and soil types. A long-term (540 day) laboratory experiment, slowly inundating intact coastal soil cores with seawater from the ‘bottom up’, was conducted to observe how coupled iron and sulfur dynamics change in different soil types. Pore water was extracted from the 60 cm cores at 10 cm depth intervals every 90 days and analysed for pH, electrical conductivity (EC), Fe2+, HS− and dissolved metals (Fe, Mn, As, Cd, Cu, Ni, Pb, Co, Zn) as well as stable sulfur (34S/32S) and radiogenic strontium (87Sr/86Sr) isotopes. Destructive solid phase analyses (for reactive Fe, acid volatile and chromium reducible sulfur (AVS and CRS) and total organic carbon (TOC)) were made at the start and end of the experiment. Iron and sulfate reduction was induced in soils with readily available TOC as anoxic conditions established, evidenced by statistically significant increases (P &lt; 0.001) in dissolved Fe2+ and sulfide concentrations in porewaters, as well as simultaneous and progressive increase in the sulfur isotope (34S/32S) ratios. An increase in AVS indicated formation of metastable iron sulfide (FeS) minerals resulting from Fe2+ and sulfide in porewaters post inundation. This was supported by PHREEQC modelling of local mineral saturation states/indices in the system. Overall, the Fe2+ concentration increased to a peak at between 270 and 360 days, and then began decreasing at some depths, indicating slowing iron reduction, presumably because reactive iron (oxyhydro)oxides became progressively consumed by microbially driven reductive processes. However, microbially mediated sulfate reduction continued as abundant sulfate was still available from seawater. In the absence of free Fe2+, sulfide accumulated in the porewater, but only in those soils inundated the longest (&gt;360 days), and with greater than 5% TOC. The combined use of sulfur (34S/32S) and strontium (87Sr/86Sr) isotopes supported the observed results, and represents a new and robust technique to quantify progressive sulfate reduction and seawater mixing phenomena in coastal soils. This study gives new insights into the biogeochemical cycling of sulfur and iron in soils experiencing seawater inundation from sea level rise over longer timescales. It is likely that sulfidisation (due to in-situ sulfate reduction) will begin to affect coastal wetland soils, especially in areas where TOC is high and where reactive iron depletes over time. This has potential consequences for sulfide toxicity in coastal soils and environments globally. © 2023 The Authors</t>
  </si>
  <si>
    <t>2-s2.0-85150828257"</t>
  </si>
  <si>
    <t>10.1016/j.jag.2023.103228</t>
  </si>
  <si>
    <t>https://www.scopus.com/inward/record.uri?eid=2-s2.0-85148371524&amp;doi=10.1016%2fj.jag.2023.103228&amp;partnerID=40&amp;md5=edc296af30c9c21ef8ef6ce8016be4ec</t>
  </si>
  <si>
    <t>West Pearl River Delta (WPRD) is sinking as a result of the jointed effect of natural and anthropogenic factors. Land subsidence has increasingly become a concern because of tremendous population growth and rapid urbanization over this region in the last few decades. In this study, sixty-seven Sentinel-1 images, acquired between 2016 and 2021, were analyzed with the persistent scatterer interferometry technique (PSI), to monitor and reveal the ground subsidence characteristics in the WPRD. It is found that the overall vertical deformation velocities observed in the WPRD ranged between −70 mm/year and 10 mm/year. Three subsidence bowls were found in the study area (Gaolan island of Zhuhai, the junction area of Zhuhai and Zhongshan, and the junction area of Zhongshan and Jiangmen). The spatial–temporal subsidence characteristics have been analyzed. It is discovered that the ground subsidence is mostly dispersed in Quaternary deposits and is highly relevant to the thickness of sediments, indicating that soft soil consolidation is one of the primary causes contributing to land subsidence. Furthermore, land use maps for 2016 and 2021 were generated using Landsat-8 images for the investigation on the relationship between land subsidence and land use. The results obtained from analysis demonstrated that the rapid subsiding areas mainly occurred in the land-use classes as follows: aquaculture, urban land, and agricultural land. The land use conversion pattern with more significant anthropogenic influence usually causes a higher subsidence rate. In addition, based on soft soil thickness, groundwater exploitation, land use, elevation, and strata lithology, a Random Forest Regression (RFR) model was used to predict subsidence rates (R2 = 0.631, RMSE = 2.7 mm/year). The importance of these influencing factors of land subsidence was calculated based on the RFR algorithm. The results indicated that soft soil thickness, elevation, groundwater exploitation, strata lithology, and landcover type are the most significant factors affecting subsidence. The applicability of geological data and land-use history for land subsidence prediction has been demonstrated with the use of the RFR algorithm. © 2023</t>
  </si>
  <si>
    <t>2-s2.0-85148371524"</t>
  </si>
  <si>
    <t>10.1007/s11069-023-05813-5</t>
  </si>
  <si>
    <t>https://www.scopus.com/inward/record.uri?eid=2-s2.0-85150340173&amp;doi=10.1007%2fs11069-023-05813-5&amp;partnerID=40&amp;md5=0df37a4b161d54c293f24474bdc54cb4</t>
  </si>
  <si>
    <t>The Eastern African region is witnessing changes in climate conditions and rising sea levels due to the influences of global warming interacting with weather phenomena such as El Nino and La Nina. These trends, as well as more intense extreme weather events, highlight the urgent need for appropriate adaptation responses at both the national and local level. This is especially the case for the numerous small islands of the region that are particularly vulnerable to climate change. This paper reports on a study that examined coping and adaptation responses to climate and non-climate stressors among coastal communities on two Zanzibar islands (Pemba and Unguja) in Tanzania. The study focused on three of the primary livelihood activities on the islands, namely, seaweed growing, fishing, and crop and livestock farming. Using mainly survey data, we explored the responses of farmers, fishermen, and seaweed growers to multiple shocks and stressors. We further investigated responses that were discontinued for various reasons, as well as any barriers to adaptation encountered by these communities. We found that coastal communities in both Kiuyu Mbuyuni, Pemba and Matemwe, Unguja face a range of interrelated shocks and stressors linked to their livelihood activities, some of which they were able to respond to primarily through coping strategies. However, their attempts to adapt in the longer term as well as to venture outside their traditional activities were constrained by several barriers. Some of these barriers operate beyond the individual and community capability to overcome, while others—like social and cultural barriers—can be addressed at the local level but need a concerted effort and political will. We draw the findings together into a conceptual framework to help unpack the implications these hold for coastal communities on the two islands. We then suggest ways to build resilience in local livelihoods and overcome barriers to climate change adaptation in the future. © 2023, The Author(s), under exclusive licence to Springer Nature B.V.</t>
  </si>
  <si>
    <t>2-s2.0-85150340173"</t>
  </si>
  <si>
    <t>10.3390/hydrology10030060</t>
  </si>
  <si>
    <t>https://www.scopus.com/inward/record.uri?eid=2-s2.0-85151119098&amp;doi=10.3390%2fhydrology10030060&amp;partnerID=40&amp;md5=27adccee81caf194ea450a67073db5d4</t>
  </si>
  <si>
    <t>Rainfed agriculture is dependent on rainfall and runoff patterns, especially in lowland areas that rely on pumping operation to remove excess water from the drainage network. Polder areas are extremely vulnerable to saltwater intrusion and subsequent soil salinization driven by rising sea levels and accelerated by climate change. The aim of this paper is to reconstruct the recharge and discharge pattern in the Vidrice polder, a drainage canal network within the Neretva River Delta agroecosystem used to collect the surface and subsurface runoff from the agricultural land and saltwater infiltration through the aquifer. Water regime data are collected over an 18-month period of real-time monitoring at 15 min intervals on three stations along the primary drainage canal and one station at the secondary canal. Analysis of water level flashiness in the Vidrice polder using the Richards-Baker flashiness index (R-Bindex) indicates that daily pumping of water infiltrated in the canal network is sub-optimal: discharge fluctuates significantly more than recharge, by 46% on average, resulting in unnecessary lowering of the water level in the drainage network. The results show that the correlation between the intensive rainfall events (&gt;10 mm/day) and the recharge rates can be used to modify the daily pumping operation and maintain high freshwater levels in the canal network to increase the resistance to infiltration and reduce saltwater intrusion into the polder. © 2023 by the authors.</t>
  </si>
  <si>
    <t>2-s2.0-85151119098"</t>
  </si>
  <si>
    <t>10.1016/j.rsase.2023.100957</t>
  </si>
  <si>
    <t>https://www.scopus.com/inward/record.uri?eid=2-s2.0-85150417915&amp;doi=10.1016%2fj.rsase.2023.100957&amp;partnerID=40&amp;md5=c06735cea892f7afbe030a051eba6e23</t>
  </si>
  <si>
    <t>The coastline is a natural interface that separates the wet and dry parts of the beach. Shoreline configuration is always influenced by natural and anthropogenic forces. Storm surge is one of the major natural events that has converted the shape of shoreline along the Kutubdia island. With the use of the Digital Shoreline Analysis System (DSAS), the coastal area was evaluated to estimate the change dynamics of Kutubdia Island. This highly active coast with erosion and deposition has inherent complexity in determining the shoreline movement and quantifying the rate of change. The study examined the positional change of the shoreline of the island between 1980 and 2021 including its impacts on salt production using Geographic Information System (GIS) tools and multi-temporal LANDSAT images. To distinguish between water and land features, the LANDSAT images were radiometrically corrected and a spectral index, the Normalized Difference Water Index (NDWI) was used. The shorelines were extracted using a histogram-based Otsu's Binary threshold approach and image-based visual interpretation. The Shoreline Change Envelope (SCE), Linear Regression Rate (LRR), and End Point Rate (EPR) was used to calculate shoreline change rates. EPR and LRR both estimated average change rates of −4.125 m/yr and −4.647 m/yr, respectively. Between 1980 and 2021, an overall land area of 9.2439 sq. km was lost, while there were no significant land depositions. The landward movement was more noticeable on the northern side of the island. The eastern side showed no significant alterations. The short-term (in 2031) and long-term (in 2041) coastline positions have been forecast based on the demarcated shoreline. The results of the forecast also show that the shoreline will move landward but not significantly seaward. Island erosion is particularly dangerous in the northern and southern zones. The result also shows that salt production is decreasing due to island erosion, especially in the south. If the erosion continues at the same rate salt production will decrease almost by 4563.38 tons between 2021 and 2041. The results of this study may help with the proper management and planning for Kutubdia Island. Moreover, this can also be used in statistical modeling, to predict where the shoreline will be in the future. © 2023 Elsevier B.V.</t>
  </si>
  <si>
    <t>2-s2.0-85150417915"</t>
  </si>
  <si>
    <t>Environmental Conservation</t>
  </si>
  <si>
    <t>10.1017/S037689292200039X</t>
  </si>
  <si>
    <t>https://www.scopus.com/inward/record.uri?eid=2-s2.0-85200646993&amp;doi=10.1017%2fS037689292200039X&amp;partnerID=40&amp;md5=9947f162793ef5b8849ed21e5d647547</t>
  </si>
  <si>
    <t>Sea-level rise threatens both human communities and vulnerable species within coastal areas. Joint spatial planning can allow conservation and social resiliency goals to work in synergy. We present a case study integrating distribution information of a threatened saltmarsh bird, the eastern black rail (Laterallus jamaicensis jamaicensis), with social information to facilitate such joint planning. We constructed a distribution model for the species within an urbanizing coastal region (New Jersey, USA) and integrated this with publicly available parcel and protected area data to summarize ownership patterns. We estimated that c. 0.3–2.8% (c. 260–2200 ha) of available saltmarsh is occupied by eastern black rail, most of which is publicly owned (79%). Privately owned saltmarsh was spread across nearly 5000 individual parcels, 10% of which contained areas with the highest likelihood of rail presence according to our model (top quartile of predicted occupancy probabilities). Compared with all privately owned saltmarsh, parcels with probable rail habitat were larger (median: 5 versus 2 ha), contained more marsh (87% versus 59%) and were less economically valuable (US$11 200 versus US$36 100). Our approach of integrating species distributions with landownership data helps clarify trade-offs and synergies in species conservation and coastal resiliency planning. © The Author(s), 2022.</t>
  </si>
  <si>
    <t>2-s2.0-85200646993"</t>
  </si>
  <si>
    <t>10.1016/j.rsase.2023.100977</t>
  </si>
  <si>
    <t>https://www.scopus.com/inward/record.uri?eid=2-s2.0-85153474143&amp;doi=10.1016%2fj.rsase.2023.100977&amp;partnerID=40&amp;md5=2f2d236d36250459726751c1c46c6834</t>
  </si>
  <si>
    <t>The purpose of hydraulic analysis of floods is to improve our understanding of flood behavior and to develop strategies for managing and mitigating flood risk within a floodplain. This study aimed to conduct a hydraulic analysis of a flash flood event in Narok, Kenya, using topographic data collected by an unmanned aerial vehicle (UAV). The channels in the town were dry, making it an ideal opportunity to use UAV to map the channel and floodplain and generate topographical variables for hydraulic modeling. Detailed flight plans were created to cover the built-up area of the town, and the topography was reconstructed from the UAV survey data to generate a 5 cm Orthomosaic and a 5 cm Digital Surface Model (DSM). These topographic datasets were used to extract all the necessary geometric data, including a channel centerline, bank lines, channel cross-sections, blocked flow areas, details about the bridges and land use and land cover (LULC) of the floodplain. HEC-RAS model was used to simulate the flow through the channels during the flood event on November 27, 2019. The inundation depths reached 4 m at their highest point and extended up to 290 m from the channel at their furthest point. The model results were validated using survey data of observed wrack marks and photographs taken by local non-experts. This study demonstrates the potential of UAVs to improve flood simulations by providing accurate and detailed data collection at a lower cost and with fewer resources. In addition, the usefulness of the UAV-derived data is demonstrated beyond extracting river cross-sections, which previous related studies were limited to. Integrating UAVs into flood management strategies has the potential to lead to more effective and efficient flood management in the face of increased risk of flooding. © 2023 Elsevier B.V.</t>
  </si>
  <si>
    <t>2-s2.0-85153474143"</t>
  </si>
  <si>
    <t>10.1371/journal.pone.0284266</t>
  </si>
  <si>
    <t>https://www.scopus.com/inward/record.uri?eid=2-s2.0-85152601888&amp;doi=10.1371%2fjournal.pone.0284266&amp;partnerID=40&amp;md5=40304edf60bd27012b7171951c5921a3</t>
  </si>
  <si>
    <t>Background Coastal areas in Guinea-Bissau and elsewhere in West Africa are bordered by mangrove forests. In several of these places, swaths of mangrove forest have been removed and the landscape has been technologically adapted for the production of mangrove rice-a regionally important staple. However, the effects of global warming, in particular sea-level rise, pose challenges to these socioecological environments. In this context, knowledge appears as an important resource and knowing what knowledge has been produced and which perspectives have guided that production may inform future responses to climate change. We have developed a systematic literature review protocol focusing on the main question: ""How have mangrove forest and mangrove rice spaces been represented in the literature on Guinea-Bissau?""The main hypothesis is that although they occupy contiguous, interrelated and interactant spaces in coastal environments, mangrove forests and mangrove rice have been studied and analyzed independently in the literature. Methods This is a protocol for conducting a systematic review that will include academic and non-academic literature in Portuguese, English and French. The academic literature will be retrieved from both Web of Science and Scopus using Boolean expressions. The non-academic literature will be accessed from relevant institutions, specialized libraries, and reference lists of previously selected items. Data extraction will follow a standard procedure based on an information sheet. Our analysis will be both qualitative (inductive and deductive coding, content analysis) and quantitative (word clouds, descriptive statistics and statistical testing). Discussion This systematic review will provide information about the conceptual framework that has been produced through research, policymaking, and conservation and development programs in the management of coastal areas. This study will identify the limitations of previous approaches and contribute to both future research and strategies for planning adaptation to climate change. Finally, the outputs will add to broader debates about people-nature coexistence and climate change adaptation and mitigation. © 2023 Sousa et al.</t>
  </si>
  <si>
    <t>2-s2.0-85152601888"</t>
  </si>
  <si>
    <t>10.1002/dep2.190</t>
  </si>
  <si>
    <t>https://www.scopus.com/inward/record.uri?eid=2-s2.0-85132637683&amp;doi=10.1002%2fdep2.190&amp;partnerID=40&amp;md5=8541aac3ef186280061e8ffda1df7e4b</t>
  </si>
  <si>
    <t>Mud plays a pivotal role in estuarine ecology and morphology. However, field data on the lateral and vertical depositional record of mud are rare. Furthermore, numerical morphodynamic models often ignore mud due to long computational times and simplifications of mixed depositional processes. This study aims to understand the spatial distribution, formative conditions and preservation of mud deposits in the intertidal zone of bars in high-energy sand-dominated estuaries, and to elucidate the effects of mud on morphology, ecology and stratigraphic architecture. To meet these objectives, field data (historic bathymetry, bio-morphological maps and sediment cores of the shoal of Walsoorden, Western Scheldt estuary, the Netherlands) were combined with complementary hydro-morphodynamic numerical modelling (Delft3D). Based on the field observations, two types of mud deposits were distinguished: (1) mudflat deposits, which are thick (&gt;10 cm) mud beds at the surface associated with high elevations and low accumulation rates</t>
  </si>
  <si>
    <t>Reports on Progress in Physics</t>
  </si>
  <si>
    <t>10.1088/1361-6633/acaf8e</t>
  </si>
  <si>
    <t>https://www.scopus.com/inward/record.uri?eid=2-s2.0-85147720904&amp;doi=10.1088%2f1361-6633%2facaf8e&amp;partnerID=40&amp;md5=eaec733d6449918da98feb6cf44e139e</t>
  </si>
  <si>
    <t>Glaciers distinct from the Greenland and Antarctic ice sheets are currently losing mass rapidly with direct and severe impacts on the habitability of some regions on Earth as glacier meltwater contributes to sea-level rise and alters regional water resources in arid regions. In this review, we present the different techniques developed during the last two decades to measure glacier mass change from space: digital elevation model (DEM) differencing from stereo-imagery and synthetic aperture radar interferometry, laser and radar altimetry and space gravimetry. We illustrate their respective strengths and weaknesses to survey the mass change of a large Arctic ice body, the Vatnajökull Ice Cap (Iceland) and for the steep glaciers of the Everest area (Himalaya). For entire regions, mass change estimates sometimes disagree when a similar technique is applied by different research groups. At global scale, these discrepancies result in mass change estimates varying by 20%-30%. Our review confirms the need for more thorough inter-comparison studies to understand the origin of these differences and to better constrain regional to global glacier mass changes and, ultimately, past and future glacier contribution to sea-level rise. © 2023 IOP Publishing Ltd.</t>
  </si>
  <si>
    <t>2-s2.0-85147720904"</t>
  </si>
  <si>
    <t>10.1002/esp.5521</t>
  </si>
  <si>
    <t>https://www.scopus.com/inward/record.uri?eid=2-s2.0-85144199596&amp;doi=10.1002%2fesp.5521&amp;partnerID=40&amp;md5=c5b92a52a83cc3439e616524db5b9662</t>
  </si>
  <si>
    <t>A hybrid coastal defense consisting of a salt-marsh system at the seaward side and dykes on the landward side has been globally implemented to improve coastal resilience. In this approach, marshes are valuable ecosystems that dampen storm surges and have an intrinsic ability to keep up with sea-level rise (SLR). Dykes instead, prevent the surge from penetrating inland. Therefore, dyke retreat is now considered a valuable option that allows the creation of new marshland in front of the relocated dyke, thus maximizing surge damping. The studies investigating the effect of dyke retreat on surge modification do not incorporate the morphodynamic expansion of tidal networks in the de-reclaimed land, which is modeled as an unchannelized marsh. Here, we use the morphodynamic model Delft3D and a marsh evolution module to study the formation of tidal networks in a de-reclaimed land after dyke retreat and evaluate their effect on surge modification (damping or amplification), and thus, the maximum water level reached at the dyke during a storm surge event. For this purpose, we consider different combinations of hydrodynamic (storm surge peak and duration, SLR), and morphodynamic (sediment input, dyke retreat distance, and de-reclaimed land slope) parameters. Our results suggest that an increase in tidal prism, which depends on retreat distance, de-reclaimed land slope, and SLR, drives the century-scale morphodynamic evolution of the marsh. Results also show that surge damping is overestimated if the morphodynamic evolution of the tidal network after dyke retreat is neglected since the new creeks favor the landward propagation of the surge. Finally, a genetic algorithm is used to determine a relationship between surge modification, marsh morphology, and the morphodynamic and hydrodynamic parameters of the simulations. The relationship indicates that relative surge damping increases for shallower tidal networks, smaller surge peaks, higher marsh platforms, and smaller percentages of channelized area. © 2022 John Wiley &amp; Sons Ltd.</t>
  </si>
  <si>
    <t>2-s2.0-85144199596"</t>
  </si>
  <si>
    <t>10.1016/j.rsase.2023.100934</t>
  </si>
  <si>
    <t>https://www.scopus.com/inward/record.uri?eid=2-s2.0-85148086601&amp;doi=10.1016%2fj.rsase.2023.100934&amp;partnerID=40&amp;md5=b6f6cebcaabd83dd10a421099bce5407</t>
  </si>
  <si>
    <t>The paper presents an approach to assessing potential risks for coastal areas, where the foredune acts as the first and main line of defense against storm surges. The local correction technique for satellite data via morphodynamics and hydrodynamics features, applicable for the southern part of the Baltic Sea was developed. The proposed combination of regionally adapted height of the wave run-up and the surge height made it possible to clarify the width of the beach through analyzing ESA Sentinel-2a satellite images. Using digitized shorelines from ESA Sentinel-2a imagery as a reference, together with the results of modeling the near-hydrodynamic conditions, a study of the beach width dynamics between measurements was performed. This is due to the regularity of satellite data being affected by cloud cover and the period of circulation. Identifying hot spots on the shore made it possible to establish areas with a significant excess in the repeatability of small dry beach width and, correspondingly, the erosion rate. The hot spots were detected within the Curonian Spit protective dune ridge, identifying the vulnerable areas, which are able to serve as breach points to flooding. The hydrological analysis of the flood zones under storms of varying frequency was performed, and predictions were made regarding the regional sea level rise by BACC and Team (2015) regional climate analysis. The work shows the possibilities of combining hydrodynamic and hydrological modeling, satellite observations into a single forecasting and assessment system, which allows to analyze and model risks of various origins. The results obtained can significantly improve the existing models or become the background for the integrated coastal zone management system, especially in protected natural areas. © 2023 Elsevier B.V.</t>
  </si>
  <si>
    <t>2-s2.0-85148086601"</t>
  </si>
  <si>
    <t>10.1016/j.margeo.2023.107006</t>
  </si>
  <si>
    <t>https://www.scopus.com/inward/record.uri?eid=2-s2.0-85148543028&amp;doi=10.1016%2fj.margeo.2023.107006&amp;partnerID=40&amp;md5=46d1594fcd5f2fcffa22212661b243ce</t>
  </si>
  <si>
    <t>Contemporary and near-future shoreline change is widely regarded as an issue on small tropical islands. While it is widely anticipated that sea-level rise will precipitate shoreline recession on tropical islands, studies to date record both accretion and recession at historical timescales. This study of Seven Mile Beach, Grand Cayman presents a case study of historical shoreline change in which the local geomorphic setting is shown to be an important influence on shoreline behaviour. Consistent with its leeside setting, historic shoreline analysis (1958–2019) reveals erosion on the margins and accretion in the central part of the headland-embayment beach where no beachrock is present. The beach comprises five discrete, but interlinked subcells delineated by low headlands of exposed beachrock. These headlands have emerged through shoreline recession post-1971 but once exposed have become loci of persistent erosion, suggesting a positive feedback between beachrock and waves. A Category 5 Hurricane generated waves directly opposed to long-term modes and throughout the beach, long-term patterns of shoreline change were temporarily reversed, however, the historic pattern of shoreline change was restored within 2 years. The contemporary patterns of erosion and cell development suggest a reduction in sediment supply leading to cannibalization of relict beachridges on the margins of the embayment and emergence of formerly buried beachrock. The effects of coastal structures and erosion abatement measures were assessed and recommendations for coastal management, including development setback lines are presented. © 2023 The Authors</t>
  </si>
  <si>
    <t>2-s2.0-85148543028"</t>
  </si>
  <si>
    <t>Environment Conservation Journal</t>
  </si>
  <si>
    <t>10.36953/ECJ.11062273</t>
  </si>
  <si>
    <t>https://www.scopus.com/inward/record.uri?eid=2-s2.0-85190585862&amp;doi=10.36953%2fECJ.11062273&amp;partnerID=40&amp;md5=65643e8cbc4aaf7b09aa745322796598</t>
  </si>
  <si>
    <t>The morphometric analysis was carried out on the Halayapura microwatershed in Karnataka, India. Using ArcGIS 10.2.2 and applying the DEM model, the micro-watershed was subjected to quantitative investigation to determine the channel network involved and understand geo-hydrological behavior. In addition, remote sensing and geospatial techniques were used to study the micro-watershed drainage analysis and its associated parameters, such as stream order, stream length, stream frequency, drainage density, texture ratio, form factor, circulatory ratio, elongation ratio, bifurcation ratio, and compactness coefficient for the micro watershed, were evaluated. According to the findings, the stream order ranges from I to IV, with 97 streams in the micro-watershed. Streams of 72, 19, 5, and 1 are found in the I, II III, and IV order, respectively. The bifurcation values range from 3.78 to 5.00, with the average weight around 3.14. The elongation ratio and farm factor are 0.77 and 0.46, respectively. The drainage density of the micro watershed is 5.20 km/km2. The form factor, circularity, and elongation ratio contribute to a basin with an elongated shape through decreased flood proneness, erosion, and sediment transport capacity. The results of the microwatershed morphometric assessment are critical for evaluating and managing water resources and selecting a recharge structure for future water management in the study region. © ASEA.</t>
  </si>
  <si>
    <t>2-s2.0-85190585862"</t>
  </si>
  <si>
    <t>10.3390/rs15082011</t>
  </si>
  <si>
    <t>https://www.scopus.com/inward/record.uri?eid=2-s2.0-85156135628&amp;doi=10.3390%2frs15082011&amp;partnerID=40&amp;md5=abe03f8773a322728920ab48541ac467</t>
  </si>
  <si>
    <t>Ancient mining and quarrying activities left anthropogenic geomorphologies that have shaped the natural landscape and affected environmental equilibria. The artificial structures and their related effects on the surrounding environment are analyzed here to characterize the quarrying landscape in the southeast area of Rome in terms of its dimensions, typology, state of preservation and interface with the urban environment. The increased occurrence of sinkhole events in urban areas has already been scientifically correlated to ancient cavities under increasing urban pressure. In this scenario, additional interacting anthropogenic factors, such as the aerial bombardments perpetrated during the Second World War, are considered here. These three factors have been investigated by employing a combined geomatic methodology. Information on air raids has been organized in vector archives. A dataset of historical aerial photographs has been processed into Digital Surface Models and orthomosaics to reconstruct the quarry landscape and its evolution, identify typologies of exploitation and forms of collapse and corroborate the discussion concerning the induced historical and recent subsidence phenomena, comparing these outputs with photogrammetric products obtained from recent satellite data. Geological and urbanistic characterization of the study area allowed a better connection between these historical and environmental factors. In light of the information gathered so far, SAR interferometric products allowed a preliminary interpretation of ground instabilities surrounding historical quarries, air raids and recent subsidence events. Various sub-areas of the AOI where the presence of the considered factors also corresponds to areas in slight subsidence in the SAR velocity maps have been highlighted. Bivariate hotspot analysis allowed substantiating the hypothesis of a spatial correlation between these multiple aspects. © 2023 by the authors.</t>
  </si>
  <si>
    <t>2-s2.0-85156135628"</t>
  </si>
  <si>
    <t>10.1029/2022GL101626</t>
  </si>
  <si>
    <t>https://www.scopus.com/inward/record.uri?eid=2-s2.0-85158956047&amp;doi=10.1029%2f2022GL101626&amp;partnerID=40&amp;md5=ac117bd7272fcd159e52fc335ffa6eff</t>
  </si>
  <si>
    <t>Predictions of thunderstorm-related hazards are needed in several sectors, including first responders, infrastructure management and aviation. To address this need, we present a deep learning model that can be adapted to different hazard types. The model can utilize multiple data sources</t>
  </si>
  <si>
    <t>10.1007/s00024-022-03132-7</t>
  </si>
  <si>
    <t>https://www.scopus.com/inward/record.uri?eid=2-s2.0-85137002660&amp;doi=10.1007%2fs00024-022-03132-7&amp;partnerID=40&amp;md5=48f105bb531e41c38d43d2bfc1058090</t>
  </si>
  <si>
    <t>In this research we estimated the slip distribution of the 1966 Huacho Peru earthquake, by inverting tsunami waveforms. This event took place offshore the central Peru region and produced severe ground shaking in the cities of Supe and Huacho, with intensities of VIII MM, leading to 100 fatalities. The coseismic seabed deformation produced by the earthquake triggered a regional tsunami that inundated some coastal areas, with major effects in Casma and Tortugas. We used the tsunami waveforms from three tidal stations located in Chimbote, Callao and Marcona, to obtain the parameters of the seismic source through an inversion process, whereby we compared the simulated and observed waveforms using the non-negative least square approach. Our results show a dislocation with a maximum slip of 5.5 m located around the epicentre. This implies that the asperity with maximum energy release was located offshore Barranca city. The seismic moment was calculated as 2.05× 1021 Nm, which is equivalent to a moment magnitude of 8.1 Mw. We suggest that there is a high potential for the generation of a tsunamigenic earthquake in the central region of Peru, despite the occurrence of the 1966 Peruvian earthquake, because this earthquake (together with the 1940, 1974 and 2007 earthquakes) has only released around the 20% of the energy accumulated from the 1746 earthquake (Mw9.0). © 2022, The Author(s), under exclusive licence to Springer Nature Switzerland AG.</t>
  </si>
  <si>
    <t>2-s2.0-85137002660"</t>
  </si>
  <si>
    <t>10.1016/j.scitotenv.2023.161757</t>
  </si>
  <si>
    <t>https://www.scopus.com/inward/record.uri?eid=2-s2.0-85146593694&amp;doi=10.1016%2fj.scitotenv.2023.161757&amp;partnerID=40&amp;md5=b302f5e4a7b3462e9e0497e6fdd7cf61</t>
  </si>
  <si>
    <t>Data-driven models for water body extraction have experienced accelerated growth in recent years, thanks to advances in processing techniques and computational resources, as well as improved data availability. In this study, we modified the standard U-Net, a convolutional neural network (CNN) method, to extract water bodies from scenes captured from Sentinel-1 satellites of selected areas during the 2019 Central US flooding. We compared the results to several benchmark models, including the standard U-Net and ResNet50, an advanced thresholding method, Bmax Otsu, and a recently introduced flood inundation map archive. Then, we looked at how data input types, input resolution, and using pre-trained weights affect the model performance. We adopted a three-category classification frame to test whether and how permanent water and flood pixels behave differently. Most of the data in this study were gathered and pre-processed utilizing the open access Google Earth Engine (GEE) cloud platform. According to the results, the adjusted U-Net outperformed all other benchmark models and datasets. Adding a slope layer enhances model performance with the 30 m input data compared to training the model on only VV and VH bands of SAR images. Adding DEM and Height Above Nearest Drainage (HAND) model data layer improved performance for models trained on 10 m datasets. The results also suggested that CNN-based semantic segmentation may fail to correctly classify pixels around narrow river channels. Furthermore, our findings revealed that it is necessary to differentiate permanent water and flood pixels because they behave differently. Finally, the results indicated that using pre-trained weights from a coarse dataset can significantly minimize initial training loss on finer datasets and speed up convergence. © 2023 Elsevier B.V.</t>
  </si>
  <si>
    <t>2-s2.0-85146593694"</t>
  </si>
  <si>
    <t>10.3390/land12030627</t>
  </si>
  <si>
    <t>https://www.scopus.com/inward/record.uri?eid=2-s2.0-85151412501&amp;doi=10.3390%2fland12030627&amp;partnerID=40&amp;md5=c469abf908d7172d648c62a9f748c675</t>
  </si>
  <si>
    <t>Urban flooding is a frequent disaster in cities. With the increasing imperviousness caused by rapid urbanization and the rising frequency and severity of extreme events caused by climate change, the hydrological status of the urban area has changed, resulting in urban floods. This study aims to identify trends and gaps and highlight potential research prospects in the field of urban flooding in South Asia. Based on an extensive literature review, this paper reviewed urban flood hazard assessment methods using hydraulic/hydrological models and urban flood management practices in South Asia. With the advancement of technology and high-resolution topographic data, hydrologic/hydraulic models such as HEC-RAS/HMS, MIKE, SWMM, etc., are increasingly used for urban flood hazard assessment. Urban flood management practices vary among countries based on existing technologies and infrastructures. In order to control urban flooding, both conventional physical structures, including drainage and embankments, as well as new innovative techniques, such as low-impact development, are implemented. Non-structural flood mitigation measures, such as improved flood warning systems, have been developed and implemented in a few cities. The major challenge in using process-based hydraulic models was the lack of high-resolution DEM and short-duration rainfall data in the region, significantly affecting the model’s simulation results and the implementation of flood management measures. Risk-informed management must be implemented immediately to reduce the adverse effects of climate change and unplanned urbanization on urban flooding. Therefore, it is crucial to encourage emergency managers and local planning authorities to consider a nature-based solution in an integrated urban planning approach to enhances urban flood resilience. © 2023 by the authors.</t>
  </si>
  <si>
    <t>2-s2.0-85151412501"</t>
  </si>
  <si>
    <t>10.3390/geosciences13030067</t>
  </si>
  <si>
    <t>https://www.scopus.com/inward/record.uri?eid=2-s2.0-85151135329&amp;doi=10.3390%2fgeosciences13030067&amp;partnerID=40&amp;md5=4952a28846a36b4ee5b6f6c343447d70</t>
  </si>
  <si>
    <t>Rainfall runoff and topography are among the major factors controlling the accuracy of modelled riverine inundation extents. We have evaluated the sensitivity of both these variables on a novel 1-D conceptual flood inundation model employing Height Above Nearest Drainage (HAND) thresholds within sub-catchment units called Reach Contributing Area (RCA). We examined the March 2021 flood extent over the Hawkesbury–Nepean Valley (HNV) with 0.05′ gridded runoff derived from the Australian Water Resources Assessment (AWRA) modelling framework. HAND thresholds were enforced within each RCA using rating curve relationships generated by a modelled river geometry dataset obtained from Jet Propulsion Laboratory (JPL) and by modelling Manning’s roughness coefficient as a function of channel slope. We found that the step-like topographic nature of HNV significantly influences the back-water effect within the floodplain. At the same time, the improved accuracy of the GeoFabric Digital Elevation Model (DEM) outperforms SRTM DEM-derived flood output. The precision of HAND thresholds does not add significant value to the analysis. With enhanced access to river bathymetry and an ensemble point-based runoff modelling approach, we can generate an ensemble runoff-based probabilistic extent of inundation. © 2023 by the authors.</t>
  </si>
  <si>
    <t>2-s2.0-85151135329"</t>
  </si>
  <si>
    <t>10.1007/s00382-022-06386-y</t>
  </si>
  <si>
    <t>https://www.scopus.com/inward/record.uri?eid=2-s2.0-85135345822&amp;doi=10.1007%2fs00382-022-06386-y&amp;partnerID=40&amp;md5=518218e7331d3f5d25a7105651ee8c17</t>
  </si>
  <si>
    <t>The effect of anthropogenic climate change in the ocean is challenging to project because atmosphere-ocean general circulation models (AOGCMs) respond differently to forcing. This study focuses on changes in the Atlantic Meridional Overturning Circulation (AMOC), ocean heat content (Δ OHC), and the spatial pattern of ocean dynamic sea level (Δ ζ). We analyse experiments following the FAFMIP protocol, in which AOGCMs are forced at the ocean surface with standardised heat, freshwater and momentum flux perturbations, typical of those produced by doubling CO 2. Using two new heat-flux-forced experiments, we find that the AMOC weakening is mainly caused by and linearly related to the North Atlantic heat flux perturbation, and further weakened by a positive coupled heat flux feedback. The quantitative relationships are model-dependent, but few models show significant AMOC change due to freshwater or momentum forcing, or to heat flux forcing outside the North Atlantic. AMOC decline causes warming at the South Atlantic-Southern Ocean interface. It does not strongly affect the global-mean vertical distribution of Δ OHC, which is dominated by the Southern Ocean. AMOC decline strongly affects Δ ζ in the North Atlantic, with smaller effects in the Southern Ocean and North Pacific. The ensemble-mean Δ ζ and Δ OHC patterns are mostly attributable to the heat added by the flux perturbation, with smaller effects from ocean heat and salinity redistribution. The ensemble spread, on the other hand, is largely due to redistribution, with pronounced disagreement among the AOGCMs. © 2022, The Author(s).</t>
  </si>
  <si>
    <t>2-s2.0-85135345822"</t>
  </si>
  <si>
    <t>10.1029/2022JF006943</t>
  </si>
  <si>
    <t>https://www.scopus.com/inward/record.uri?eid=2-s2.0-85158977751&amp;doi=10.1029%2f2022JF006943&amp;partnerID=40&amp;md5=2ce71e1b876de6398e2f97fefc2999ea</t>
  </si>
  <si>
    <t>High-resolution grid digital elevation models (DEMs) are increasingly used by scientists and engineers to describe the current state and evolution of Earth and planetary topography. These data, however, are commonly altered by depression filling and grid coarsening procedures. Alteration of observed topographic data may cause significant information loss and limit the capabilities of models. This study shows that physically meaningful thalweg and ridge networks can be extracted automatically from any unaltered high-resolution grid DEM, and that these networks can be used as bases for terrain partitioning. The slopeline network connecting grid cell centers is used to identify ridge points as those grid cell border midpoints and vertices that are not crossed by slopelines. From each ridge point, the average length of the two slopelines extending on the opposite slopes of the ridge until they rejoin is then computed. Based on these lengths, exorheic and endorheic basins are identified. Thalwegs of exorheic and endorheic basins are finally connected through spilling saddles to form the thalweg network. The related ridge network is identified based on neighboring relationships between ridge points. Thalweg and ridge networks are hierarchized using the well-known concept of drainage area and an extended concept of dispersal area to inform terrain partitioning at any level of detail. Observed topographic features are well reproduced by extracted networks. The impact of preserving depressions over mountain areas is evaluated, and the benefits from unstructured terrain partitioning based on thalweg and ridge networks in the description of flood plain inundation are illustrated. © 2023. The Authors.</t>
  </si>
  <si>
    <t>2-s2.0-85158977751"</t>
  </si>
  <si>
    <t>10.1016/j.scitotenv.2022.161216</t>
  </si>
  <si>
    <t>https://www.scopus.com/inward/record.uri?eid=2-s2.0-85144814929&amp;doi=10.1016%2fj.scitotenv.2022.161216&amp;partnerID=40&amp;md5=bb2396d2f20c77323e06f6cc877847e2</t>
  </si>
  <si>
    <t>Globally, tidal flats are increasingly narrowing due to continuous reclamation and sea level rise. Nonetheless, the impact of tidal flat narrowing (TFN) on tidal creek systems that play a crucial role in the formation and shaping of tidal flats is not well understood, despite a cognition that the tidal flat-creek system is integrated and coevolved. In this study, based on the quantification and mapping of tidal creek ecosystem vitality (TCEV), we detected the state evolution of tidal creek systems in response to TFN process on the central Jiangsu coast (CJC), China. The results showed that two thirds of the original tidal flat width was lost from 1984 to 2020, with a narrowing rate of 210.9 m/yr. The seaward movement of seawall lines and the landward movement of low tide lines contributed 82.5 % and 17.5 % to this serious TFN process, respectively. Across the study period, the overall TCEV lost 82.3 % with a substantial transformation from high level to low level. In terms of three dimensions of structural complexity, functional integrity and spatial occupancy, the tidal creek system of CJC has greatly deviated from the high-quality state in 1984, which was significantly associated with TFN. For a natural mature tidal flat, the loss of its initial width seems acceptable when &lt;1/3, but unacceptable when &gt;1/2, which are two important thresholds corresponding to the lower and higher loss of TCEV, respectively. It is worried that the CJC tidal flat-creek system would fall into a vicious circle of state evolution. Therefore, efforts should be made to control irrational reclamation and perform ecological restoration based on an insight into the relationship between TCEV and TFN. © 2022 Elsevier B.V.</t>
  </si>
  <si>
    <t>2-s2.0-85144814929"</t>
  </si>
  <si>
    <t>10.1007/s11069-022-05768-z</t>
  </si>
  <si>
    <t>https://www.scopus.com/inward/record.uri?eid=2-s2.0-85144857184&amp;doi=10.1007%2fs11069-022-05768-z&amp;partnerID=40&amp;md5=a38e0f28e9d8b69e977fa14d35816de1</t>
  </si>
  <si>
    <t>The enormous losses caused by typhoon storm surges in coastal areas highlight the importance of assessing direct economic losses induced by typhoon storm surges. It is assumed that the trend of losses is mainly caused by the change in storm intensity resulting from climate change and the exposure and vulnerability of socioeconomic levels. This study constructed a hazard dataset of typhoon storm surges covering zero-loss events in mainland China from 1989 to 2019. Following the annual data trend analysis, the improved elasticity estimation model was used innovatively to assess and attribute the occurrence and the amount of typhoon storm surge-induced direct economic losses. The results show that the risks of typhoon storm surge are more sensitive to changes in climate-induced hazard intensity factors than socioeconomic factors. A 1% increase in minimum pressure decreases the hazard occurrence probability ratio by nearly 130% and disaster losses by approximately 47%, while a 1% increase in gross domestic product per capita increases the ratio by 1.4% and decreases losses by approximately 0.98%. A 1% increase in population density would increase the ratio by 0.97% and disaster losses by 0.63%. However, the rapid socioeconomic development of the typhoon storm surge-affected area is the main factor for the loss trend during the study interval. Wealth increments and population concentrations in coastal areas have contributed to the increasing possibility of loss occurrence. The growth in wealth has also contributed to the improvement of disaster risk management and the reduction of the loss amount. This study clarifies the quantitative relationship between typhoon storm surge risk (the occurrence and the amount of losses) and physical and socioeconomic drivers, and highlights how socioeconomic dimensions contribute to storm surge losses. The model can be used for risk predictions given the considerations for climate change and future socioeconomic development in coastal regions of China and can be further applied to risk management and disaster prevention and mitigation of storm surges. © 2022, The Author(s), under exclusive licence to Springer Nature B.V.</t>
  </si>
  <si>
    <t>2-s2.0-85144857184"</t>
  </si>
  <si>
    <t>10.1007/s10113-022-02013-y</t>
  </si>
  <si>
    <t>https://www.scopus.com/inward/record.uri?eid=2-s2.0-85148338126&amp;doi=10.1007%2fs10113-022-02013-y&amp;partnerID=40&amp;md5=d94fcfd4c59dad4e8d00caf790988f51</t>
  </si>
  <si>
    <t>Restoring degraded agricultural lands to their original coastal wetland cover is an approach for enhancing blue carbon storage. This approach enhances carbon sequestration in biomass and soils whilst reducing greenhouse gas emissions and delivering other conservation benefits such as enhancing biodiversity, improving water quality, and protecting coastlines from sea level rise. In Queensland, Australia, tens of thousands of hectares of coastal land have been converted to agriculture since the 1900s, often through drainage. We evaluated the characteristics of degraded agricultural land to identify opportunities for blue carbon restoration projects. Degraded agricultural land was identified through visual inspection of satellite imagery. Our analysis revealed degradation was associated with historical Melaleuca-dominated wetland vegetation and current land uses other than intensive agriculture. Field sampling of a subset of paired degraded and non-degraded sites found that water content, organic carbon, and electrical conductivity were significantly higher at degraded sites. We also observed standing water, drainage structures, and dead trees at degraded sites. From our analyses, we inferred land degradation is likely caused by waterlogging, salinisation, and land management choices. Degraded land historically vegetated by Melaleuca-dominated wetlands could be targeted for blue carbon restoration projects that protect remaining soil carbon and enhance carbon storage, restore ecosystem services, and provide new income streams for landowners. Further characterisation of the distribution of degraded lands may contribute to prioritisation of sites suitable for restoration. © 2023, The Author(s).</t>
  </si>
  <si>
    <t>2-s2.0-85148338126"</t>
  </si>
  <si>
    <t>10.3390/rs15051290</t>
  </si>
  <si>
    <t>https://www.scopus.com/inward/record.uri?eid=2-s2.0-85149657678&amp;doi=10.3390%2frs15051290&amp;partnerID=40&amp;md5=12384ffd8b91e636001d758d054c9459</t>
  </si>
  <si>
    <t>Coastal communities in deltaic regions worldwide are subject to subsidence through a combination of natural and anthropogenic processes. The city of Karachi in southern Pakistan is situated along the diffuse western boundary of the tectonically active Indian Plate, making it more susceptible to natural subsidence processes from plate motion-related deformational events such as earthquakes and faulting. Karachi has a dense population of over 16 million people, and determining the rate of subsidence and extent of neotectonic activity is crucial for mitigating seismic hazards. Excessive abstraction of groundwater and extensive groundwater use in irrigation are some of the anthropogenic contributions to subsidence in the area. A combination of the lack of historical data and few previous studies of the area make it difficult to determine the rate and extent of deformation in this region. We present an analysis of subsidence and neotectonic activity in Karachi and its surrounding areas using Interferometric Synthetic Aperture Radar (InSAR) timeseries techniques. The InSAR results for satellite LOS velocity change in both ascending and descending Sentinel-1 tracks indicate subsidence in key residential and industrial areas. Further decomposition into two dimensions (east–west and vertical) quantifies subsidence in these areas up to 1.7 cm per year. Furthermore, InSAR data suggest the presence of an active north–east dipping listric normal fault in North Karachi that is confirmed in the shallow subsurface by a 2D seismic line. Subsidence is known to cause the reactivation of faults, which increases the risk of damage to infrastructure. © 2023 by the authors.</t>
  </si>
  <si>
    <t>2-s2.0-85149657678"</t>
  </si>
  <si>
    <t>10.1016/j.heliyon.2023.e14696</t>
  </si>
  <si>
    <t>https://www.scopus.com/inward/record.uri?eid=2-s2.0-85150767819&amp;doi=10.1016%2fj.heliyon.2023.e14696&amp;partnerID=40&amp;md5=22e71b1fdb02f5d644ac6c436736ffe6</t>
  </si>
  <si>
    <t>Reducing methane emissions and water use is critical for combating climate change and declining aquifers on food production. Reductions in irrigation water use and methane emissions are known benefits of practicing alternate wetting and drying (AWD) over continuous flooding (CF) water management in lowland rice (Oryza sativa L.) production systems. In a two-year (2020 and 2021) study, methane emissions from large farm-scale (∼50 ha) rice fields managed under CF and AWD in soils dominated by Sharkey clay (Sharkey clay, clay over loamy, montmorillonitic non-acid, thermic Vertic halauepet) were monitored using the eddy covariance method (EC). In the EC system, an open-path laser gas analyzer was used to monitor air methane gas density in the constant flux layer of the atmosphere over the rice-crop canopies. Total water pumped into the field for floodwater management was higher in CF compared to AWD by 24 and 14% in 2020 and 2021, respectively. Considerable variations between seasons in the amount of methane emitted from the CF and AWD treatments were observed: CF emitted 29 and 75 kg ha−1 and AWD emitted 14 and 34 kg ha−1 methane in 2020 and 2021, respectively. Notwithstanding, the extent of reduction in methane emissions due to AWD over CF was similar for each crop season (52% in 2020 and 55% in 2021). Rice grain yield harvested differed by only ±2% between AWD and CF. This investigation of large-scale system-level evaluation, using the EC method, confirmed that by practicing AWD floodwater management in rice, water pumped from aquifers could be reduced by about a quarter and methane emissions from rice fields could be cut down by about half without affecting grain yields, thereby promoting sustainable water management and greenhouse gas emission reduction during rice production in the Lower Mississippi Delta. © 2023</t>
  </si>
  <si>
    <t>2-s2.0-85150767819"</t>
  </si>
  <si>
    <t>Southeastern Geographer</t>
  </si>
  <si>
    <t>10.1353/sgo.2023.0004</t>
  </si>
  <si>
    <t>https://www.scopus.com/inward/record.uri?eid=2-s2.0-85150610997&amp;doi=10.1353%2fsgo.2023.0004&amp;partnerID=40&amp;md5=4b103d53153ad92ab7fdb2f75f085152</t>
  </si>
  <si>
    <t>Climate change is a global issue that will impact the preservation of historic heritage sites. However, much of the research on the impacts of climate change on historic heritage sites has focused on Europe and in the United States, studies have largely centered on National Park Service (NPS) sites. In the state of Georgia, a number of heritage tourism destinations central to the state’s vibrant tourism econ-omy occur in its coastal zone, a zone navigating the impacts of sea-level rise, flooding, coastal erosion, and hurricanes. Given the limited understanding of the impacts on heritage tourism sites specifically within the state of Georgia — which has yet to develop a statewide adaptation plan — this study seeks to understand the impacts of climate change on heritage tourism sites from the perspective of site managers and staff. This study takes a multi-methodological approach utilizing surveys and archival research to understand site-specific impacts, management protocols, and management and staff views on climate change. The study focused on six sites in Georgia falling under different ownership structures and found that managers and staff at all sites reported damage from hurricanes and flooding and were concerned about the impacts of climate change and the long-term survival of their site. © 2023, University of North Carolina Press. All rights reserved.</t>
  </si>
  <si>
    <t>2-s2.0-85150610997"</t>
  </si>
  <si>
    <t>10.1007/s11069-023-05820-6</t>
  </si>
  <si>
    <t>https://www.scopus.com/inward/record.uri?eid=2-s2.0-85147759163&amp;doi=10.1007%2fs11069-023-05820-6&amp;partnerID=40&amp;md5=ae273a3975fbc86ba0186025986bb457</t>
  </si>
  <si>
    <t>A storm surge hazard indicator was developed based on the storm surge index and high-water index. Using this indicator, the storm surge hazard along the Chinese mainland coast was evaluated. Storm surges were simulated by the GPU-based high-resolution 2-D hydrodynamic operational storm surge model, driven by ERA5 reanalysis data. High waters were calculated from coastal warning water. The results show that the storm surge hazard for more than 80% of the mainland coast is moderate and low. The coasts with high-level storm surge hazard represent less than 20% of the total coast and included the three bays of Bohai, the head area of Hangzhou Bay, in the Pearl River Estuary, the areas along the eastern coast of the Leizhou Peninsula and the coastal area of Guangxi Province. In future work, different sea level rise scenarios will be considered using this indicator and method. © 2023, The Author(s), under exclusive licence to Springer Nature B.V.</t>
  </si>
  <si>
    <t>2-s2.0-85147759163"</t>
  </si>
  <si>
    <t>10.3390/cli11030070</t>
  </si>
  <si>
    <t>https://www.scopus.com/inward/record.uri?eid=2-s2.0-85150986626&amp;doi=10.3390%2fcli11030070&amp;partnerID=40&amp;md5=78045c7a3cdc3c6a7d39b713c1d69fff</t>
  </si>
  <si>
    <t>The sea level trend in the equatorial Malacca Strait is a significant issue that needs to be reviewed since it is an area of interest. Assessing its future impact on estuarine tidal characteristics is worth studying because it relates to the potency of coastal damages. This study aimed to discuss the relationship between sea level variations and anomalies and their possible triggering factors and to estimate the future impacts on the tidal properties in the estuarine zone. Tide gauge and altimetry data in the Tanjong Pagar site were used to assess the sea level trends over 27 years of observation (from 1992 to 2019). Both altimetry and tide gauge data showed an upward trend, with 0.24 cm/year and 0.39 cm/year, respectively. Due to the near-equatorial area of interest, sea level variability is more synchronized with ENSO rather than IOD. At some points, ENSO shapes the sea level fluctuation, with an R2 of less than 10%. For specific periods, the coupling effects between MJO and La Niña may trigger higher evaporation in the maritime continent, triggering increasing sea levels. Of particular concern, among the other assessed factors, the zonal currents and winds (wind-driven currents) are strongly correlated with sea level variations, primarily during the NE monsoon and the second transitional periods, with a determination coefficient of about 18–36%. As a result of sea level rises, it is estimated that tidal constituent amplitudes will increase by about 8.9% and 18.3% in 2050 and 2100, respectively. The increase in tidal range will possibly relate to the tidal bore passage in the Kampar estuary. Therefore, more advanced hydrodynamic modeling is necessary to determine the impact of sea level rises on tidal bore generation. © 2023 by the authors.</t>
  </si>
  <si>
    <t>2-s2.0-85150986626"</t>
  </si>
  <si>
    <t>10.1007/s10113-022-02009-8</t>
  </si>
  <si>
    <t>https://www.scopus.com/inward/record.uri?eid=2-s2.0-85145578283&amp;doi=10.1007%2fs10113-022-02009-8&amp;partnerID=40&amp;md5=ef595b1a122a1111237de715159bd832</t>
  </si>
  <si>
    <t>Melaleuca wetland ecosystems play crucial roles in ecology and human livelihood, yet the ecosystems are vulnerable to climate change and relative sea-level rise (SLR) impacts. Documents and research on climate change and SLR impacts on coastal Melaleuca wetlands in the Mekong Delta, Vietnam, are currently limited. Therefore, the present study aimed to identify changes in habitat suitability for a coastal Melaleuca wetland species in response to different future climate change and SLR scenarios, in the West Sea of the Mekong Delta, with the aid of an ensemble species distribution model (SDM) and the Sea Level Affecting Marshes Model (SLAMM). Melaleuca species occurrence records, bioclimatic and eco-physiological variables were utilized to predict potential distribution of the species in response to current and future climate scenarios (i.e. RCP4.5 and 8.5) for the year 2070. Wetland maps for 2020, a digital elevation model (DEM) and localized site-specific parameters (i.e. historic trend of SLR, erosion, subsidence and overwash) were utilized as input data for SLAMM to simulate spatial distribution of Melaleuca/forested wetlands under the two SLR scenarios. The final habitat suitability for the Melaleuca wetland species was identified based on these two resultant datasets, climatic suitability and spatial distribution of the wetlands. Simulated results suggested mean losses in suitable habitat of 29.8% and 58.7% for stable and subsidence scenarios, respectively, for the year 2070 in comparison to the baseline scenario. SLR combined with considerable subsidence rate was suggested as one of the main drivers responsible for the habitat suitability loss. The findings obtained from the current work are useful sources for planning conservation areas for the Melaleuca wetlands, to protect and preserve the ecosystems and their important services under future climate and SLR scenarios. © 2022, The Author(s).</t>
  </si>
  <si>
    <t>2-s2.0-85145578283"</t>
  </si>
  <si>
    <t>10.1016/j.atmosres.2023.106680</t>
  </si>
  <si>
    <t>https://www.scopus.com/inward/record.uri?eid=2-s2.0-85149437807&amp;doi=10.1016%2fj.atmosres.2023.106680&amp;partnerID=40&amp;md5=7384fa9e9a6d284c4418df9da91f2c5d</t>
  </si>
  <si>
    <t>Tropical cyclone's activities can affect the ozone pollution characteristics to a certain extent over the Pearl River Delta (PRD) region based on different track types of tropical cyclones. In this study, we utilize the Finite Mixture Model algorithm to classify tropical cyclones which land on the South China coastal area between 2009 and 2018 into 6 track's types, and those types are land on the PRD region directly (A1 type), the east of the PRD region (B1 and B2 types) and the west of the PRD region (C1, C2 and C3 types) respectively. Combined with observation data, the results indicate that the A1 type, B1 type and B2 type tropical cyclones can increase the ozone concentration about 44.9% ∼ 65.3% in the PRD region before landfall accompanied with stagnant meteorological conditions usually, such as high temperature (&gt;27 °C), low humidity (&lt;80%) or weak wind (&lt;3 m/s). And it should be emphasized that, due to the northward or northeastward deflection of the tracks, the ozone concentration in the PRD region does not decrease obviously (&lt;10%) on the landing-day under B1 and B2 types, and ozone pollution maybe persistent longer than other types. By simulating typical cases of each track's type within WRF-Chem model coupled with process analysis method, and the results indicate that tropical cyclone's peripheral subsidence airflow is more obvious over the PRD region under A1, B1 and B2 cases before landfall, and it maybe an external condition which can limit the development of boundary layer and vertical diffusion of ozone, rather than transporting ozone downward from the upper atmosphere to the near surface level. In addition, based on process analysis result, the chemical reaction with strong radiation condition maybe the essential cause of ozone production and pollution, and the physical process can cause the ozone consumption. © 2023</t>
  </si>
  <si>
    <t>2-s2.0-85149437807"</t>
  </si>
  <si>
    <t>10.3390/rs15061702</t>
  </si>
  <si>
    <t>https://www.scopus.com/inward/record.uri?eid=2-s2.0-85151972564&amp;doi=10.3390%2frs15061702&amp;partnerID=40&amp;md5=2ffbb8ffe40123cb8267806911d90c0d</t>
  </si>
  <si>
    <t>The National Oceanic and Atmospheric Administration (NOAA) National Centers for Environmental Information (NCEI) generates digital elevation models (DEMs) that range from the local to global scale. Collectively, these DEMs are essential to determining the timing and extent of coastal inundation and improving community preparedness, event forecasting, and warning systems. We initiated a comprehensive framework at NCEI, the Continuously Updated DEM (CUDEM) Program, with seamless bare-earth, topographic-bathymetric and bathymetric DEMs for the entire United States (U.S.) Atlantic and Gulf of Mexico Coasts, Hawaii, American Territories, and portions of the U.S. Pacific Coast. The CUDEMs are currently the highest-resolution, seamless depiction of the entire U.S. Atlantic and Gulf Coasts in the public domain</t>
  </si>
  <si>
    <t>10.1007/s00343-022-2051-z</t>
  </si>
  <si>
    <t>https://www.scopus.com/inward/record.uri?eid=2-s2.0-85151458226&amp;doi=10.1007%2fs00343-022-2051-z&amp;partnerID=40&amp;md5=22a9826f2dfcfd002225fdb2f740af5d</t>
  </si>
  <si>
    <t>The South China Sea suffers strongly from the typhoon storm surge disasters in China, and its northern coastal areas are facing severe risks. Therefore, it is necessary and urgent to establish an assessment system for rating typhoon storm surge disaster. We constructed an effective and reliable rating assessment system for typhoon storm surge disaster based on the theories of over-threshold, distribution function family, and composite extreme value. The over-threshold sample was used as the basis of data analysis, the composite extreme value expansion model was used to derive the design water increment, and then the disaster level was delineated based on the return period level. The results of the extreme value model comparison show that the Weibull-Pareto distribution is more suitable than the classical extreme value distribution for fitting the over-threshold samples. The results of the return period projection are relatively stable based on different analysis samples. Taking the 10 typhoon storm surges as examples, they caused landfall in the Guangdong area in the past 10 years. The results of the assessment ranking indicate that the risk levels based on the return period levels obtained from different distributions are generally consistent. When classifying low-risk areas, the classification criteria of the State Oceanic Administration, China (SOA, 2012) are more conservative. In the high-risk areas, the results of the assessment ranking based on return period are more consistent with those of the SOA. © 2023, Chinese Society for Oceanology and Limnology, Science Press and Springer-Verlag GmbH Germany, part of Springer Nature.</t>
  </si>
  <si>
    <t>2-s2.0-85151458226"</t>
  </si>
  <si>
    <t>Journal of the Geological Society</t>
  </si>
  <si>
    <t>10.1144/jgs2021-143</t>
  </si>
  <si>
    <t>https://www.scopus.com/inward/record.uri?eid=2-s2.0-85149936468&amp;doi=10.1144%2fjgs2021-143&amp;partnerID=40&amp;md5=270692e4a646289057c04cf27f839130</t>
  </si>
  <si>
    <t>Analysis and re-evaluation of recently obtained data from seismic reflection surveys and deep offshore and onland boreholes from the continental margin of Israel and the adjacent Levant basin, combined with pre-existing data, provide significant new insight into their early, Triassic to Middle Jurassic, development. Thick Middle Jurassic and older sediments in the Levant basin next to Israel cover a substantial relief of a pre-existing thin crust that was shaped in the Middle Triassic or earlier times. In the Levant margin near the present-day coastal area and further onshore the early development of the basin was accompanied by two major deformation phases, in the Triassic and in the Middle Jurassic, separated by a period (much of the Late Triassic and Early Jurassic) in which deformation and subsidence slowed down considerably or ceased. In contrast, in the Mt Carmel area conspicuous faulting and magmatism took place in the Late Triassic (older history unknown)</t>
  </si>
  <si>
    <t>10.1016/j.envsoft.2023.105658</t>
  </si>
  <si>
    <t>https://www.scopus.com/inward/record.uri?eid=2-s2.0-85151993527&amp;doi=10.1016%2fj.envsoft.2023.105658&amp;partnerID=40&amp;md5=0736e6143ed66e839cc159bee65c3613</t>
  </si>
  <si>
    <t>The impacts of climate change, especially sea-level rise, are an increasing threat to the world's coastal regions. Following recommendations made by the United Nations about the preservation of mangrove environments, particularly given their potential for effective natural defence against wave-driven hazards, a series of experiments have been conducted to quantify the ability of mangroves to counter climate change impacts. To date, these experiments have been limited by computational cost and inability to model multiple scenarios. With improved data quality and availability, machine learning has enormous potential to supplement, or even replace, existing numerical methods. This article presents both an outline of the importance of protecting mangrove environments and a review of methods currently used to quantify the capacity of mangroves to adapt to climate change impacts. In view of the limitations of existing numerical methods, the article also discusses the potential of machine learning as an efficient and effective alternative. © 2023 The Author(s)</t>
  </si>
  <si>
    <t>2-s2.0-85151993527"</t>
  </si>
  <si>
    <t>10.1016/j.jhydrol.2022.128902</t>
  </si>
  <si>
    <t>https://www.scopus.com/inward/record.uri?eid=2-s2.0-85149173434&amp;doi=10.1016%2fj.jhydrol.2022.128902&amp;partnerID=40&amp;md5=fe682f984ac55670fe4999cb6ad94631</t>
  </si>
  <si>
    <t>Intermittently Open/Closed Estuaries (IOCEs) are dynamic, sensitive estuaries that periodically close as a function of competing marine and fluvial energies. Once closed, IOCEs are often artificially opened to relieve localised flooding. Artificial openings are generally effective as a short-term flood mitigation strategy, however, sometimes IOCEs can close immediately after excavation without draining the lagoon. In this situation, the opening does not achieve its management purpose and reimplementation is required – costing many thousands of dollars at a time and leading to adverse impacts on estuary biota. Using a dataset of 137 openings at 37 IOCEs globally, we show that the hydraulic gradient (or grade) at opening and offshore significant wave height determine whether an estuary will remain open and drain its lagoon. The hydraulic gradient represents the energy slope between the estuary and the ocean, and wave height determines the capacity of waves to infill the channel with sediment to counter offshore erosion. Artificial openings are only successful when IOCEs are opened with a hydraulic gradient steeper than 0.017 m/m (equivalent to a grade of 1:60) and when significant wave height is below 4.30 m. These findings highlight that the estuary water level alone is not a good predictor of opening success, despite it being widely used to decide when to implement artificial openings. Using near-continuous monitoring of geomorphic change at 28 artificial openings, we show that the hydraulic gradient (and grade) at the time of opening controls the rate of channel expansion, outflow velocity at the mouth, lagoon drainage rate, and the time to reach peak channel width and outflow velocities. The tidal stage at opening can be used to either speed up or slow down the rates of change, potentially reducing the occurrence of fish kills associated with rapid drainage. Although the decision to open an estuary is a complex balance between environmental, cultural, socio-economic, and practical factors, we present a simple and cost-effective way to predict if artificial openings will be successful. The thresholds of our study can be used to complement existing decision support tools, but as a standalone method, are best suited for emergency openings where draining the lagoon to reduce flooding is the main management priority. © 2022</t>
  </si>
  <si>
    <t>2-s2.0-85149173434"</t>
  </si>
  <si>
    <t>10.1007/s00024-022-03057-1</t>
  </si>
  <si>
    <t>https://www.scopus.com/inward/record.uri?eid=2-s2.0-85131080901&amp;doi=10.1007%2fs00024-022-03057-1&amp;partnerID=40&amp;md5=5697bbfc604a9c84595e264cd50e75ac</t>
  </si>
  <si>
    <t>We present an overview of tsunami occurrences based on an analysis of a global database of tsunamis for the period 1900–2020. We evaluate the geographic and statistical distribution of various tsunami source mechanisms, high-fatality tsunamis, maximum water heights (MWHs) of tsunamis, and possible biases in the observation and recording of tsunami events. We enhance a global statistical overview with case studies from Indonesia, where tsunamis are generated from a diverse range of sources, including subduction zones, crustal faults, landslides, and volcanic islands. While 80% of global recorded tsunamis during 1900–2020 have been attributed to earthquake sources, the median MWH of earthquake tsunamis is just 0.4 m. In contrast, the median water height of landslide tsunamis is 4 m. Landslides have caused or contributed to 24% of fatal tsunamis. During 1900–2020, more tsunamis with water heights &gt; 1 m occurred in Indonesia than in any other country. In this region fatal tsunamis are caused by subduction zone earthquakes, landslides, volcanos, and intraplate crustal earthquakes. Landslide and volcano tsunami sources, as well as coastal landforms such as narrow embayments have caused high local maximum water heights and numerous fatalities in Indonesia. Tsunami hazards are increased in this region due to the densely populated and extensive coastal zones, as well as sea level rise from polar ice melt and local subsidence. Interrelated and often extreme natural hazards in this region present both an opportunity and a need to better understand a broader range of tsunami processes. © 2022, This is a U.S. government work and not under copyright protection in the U.S.</t>
  </si>
  <si>
    <t>10.1016/j.rsase.2023.100930</t>
  </si>
  <si>
    <t>https://www.scopus.com/inward/record.uri?eid=2-s2.0-85149064957&amp;doi=10.1016%2fj.rsase.2023.100930&amp;partnerID=40&amp;md5=1aad63507b34896d06c7a991bfd86bb2</t>
  </si>
  <si>
    <t>Inland aquaculture is a major industry that provides fish to reduce the stress of oceans in supplying global protein consumption. Developed and developing nations house their inland aquaculture industries largely in coastal areas, where groundwater is pumped to supply the needed water in a non-sustainable way that leads to coastal land subsidence. This study shows a comprehensive picture of land subsidence in Pingtung, a coastal plain in southern Taiwan, where, after the gradual abandonment of rice cultivation, huge groundwater exploitation has occurred since the 1970s to feed inland aquaculture. Integrated interpretation of multidevice monitoring results has improved knowledge of land subsidence associated with land uses and groundwater pumping. Results indicate a maximum cumulative subsidence of 350 cm from 1972 to 2019 near the aquaculture-rich township of Linbian. Sub-surface displacement measurements using multilayer compaction wells identified the de-watered layers responsible for the land subsidence in four sinking-affected coastal areas, where different groundwater usage patterns lead to different patterns of aquifer-system compactions at varying depths. The use of SAR interferometry with high spatial resolution and frequent revisit times has made it possible to overcome the inherent limitations of ground-based measurement methodologies such as leveling, continuous global navigation satellite system, and multilayer compaction wells, which while very accurate do not allow for adequate monitoring of subsidence in the Pingtung coastland due to the high dynamics and spatial variability of the process. Based on the results of this study, several sustainable aquaculture-related actions are being implemented or have been proposed to reduce the risks of land subsidence, flooding, and salinization in Pingtung. These include the use of InSAR monitoring for conventional sensors to continuously and timely monitor land subsidence. © 2023 Elsevier B.V.</t>
  </si>
  <si>
    <t>2-s2.0-85149064957"</t>
  </si>
  <si>
    <t>10.3390/rs15082046</t>
  </si>
  <si>
    <t>https://www.scopus.com/inward/record.uri?eid=2-s2.0-85156134474&amp;doi=10.3390%2frs15082046&amp;partnerID=40&amp;md5=039551794978f724cfbaf97767158296</t>
  </si>
  <si>
    <t>Owning to the nature of flood events, near-real-time flood detection and mapping is essential for disaster prevention, relief, and mitigation. In recent years, the rapid advancement of deep learning has brought endless possibilities to the field of flood detection. However, deep learning relies heavily on training samples and the availability of high-quality flood datasets is rather limited. The present study collected 16 flood events in the Yangtze River Basin and divided them into three categories for different purpose: training, testing, and application. An efficient methodology of dataset-generation for training, testing, and application was proposed. Eight flood events were used to generate strong label datasets with 5296 tiles as flood training samples along with two testing datasets. The performances of several classic convolutional neural network models were evaluated with those obtained datasets, and the results suggested that the efficiencies and accuracies of convolutional neural network models were obviously higher than that of the threshold method. The effects of VH polarization, VV polarization, and the involvement of auxiliary DEM on flood detection were investigated, which indicated that VH polarization was more conducive to flood detection, while the involvement of DEM has a limited effect on flood detection in the Yangtze River Basin. Convolutional neural network trained by strong datasets were used in near-real-time flood detection and mapping for the remaining eight flood events, and weak label datasets were generated to expand the flood training samples to evaluate the possible effects on deep learning models in terms of flood detection and mapping. The experiments obtained conclusions consistent with those previously made on experiments with strong datasets. © 2023 by the authors.</t>
  </si>
  <si>
    <t>2-s2.0-85156134474"</t>
  </si>
  <si>
    <t>10.1002/dep2.233</t>
  </si>
  <si>
    <t>https://www.scopus.com/inward/record.uri?eid=2-s2.0-85160513198&amp;doi=10.1002%2fdep2.233&amp;partnerID=40&amp;md5=75413d657691d2a00f8ce28e6793bec4</t>
  </si>
  <si>
    <t>When sea-level rise slowed down in the middle Holocene, fluvial and coastal sediments filled the newly created accommodation, whilst others remained largely unfilled because of limited sediment supply. In view of current and future rapid sea-level rise, the question arises how estuarine systems will adapt and whether the land-level rise may keep up. Besides geological data and conceptual models of large-scale and long-term estuary filling, little is known about the filling process during sea-level rise on the decadal-to-centennial time scale that is relevant for society. This study focusses on how sea-level rise affects the morphological and hydrodynamic development of filling estuaries. To this end, scaled laboratory experiments were conducted in a tilting flume facility that creates bidirectional tidal currents and develops entire estuaries. A net importing estuary with sand, mud and vegetation was formed that was subjected to linear sea-level rise. Findings show less of the imported sand was deposited landward following sea-level rise than in an experiment without sea-level rise. The bay-head delta and the flood-tidal delta retained nearly enough sediment to keep up with sea-level rise, whilst the tidal embayment in between drowned except for the highest vegetated bars. Sea-level rise also reduced vegetation survival and sprouting potential, as prolonged inundation increased mortality, negating the potential eco-engineering effect. This resulted in lower vegetation coverage with sea-level rise than under constant sea level. These findings suggest that sea-level rise may cause natural systems to drown even if nearly sufficient sediment is available to fill the newly created accommodation, particularly in areas further away from the fluvial and marine sediment sources. Finally, depending on the sea-level rise rate, the flood-tidal delta may show back-stepping like fluvial deltas, but in the reverse direction towards the sea. © 2023 The Authors. The Depositional Record published by John Wiley &amp; Sons Ltd on behalf of International Association of Sedimentologists.</t>
  </si>
  <si>
    <t>2-s2.0-85160513198"</t>
  </si>
  <si>
    <t>10.3390/geosciences13040118</t>
  </si>
  <si>
    <t>https://www.scopus.com/inward/record.uri?eid=2-s2.0-85154051524&amp;doi=10.3390%2fgeosciences13040118&amp;partnerID=40&amp;md5=64b58954ed0503780bb4bb8d533aa039</t>
  </si>
  <si>
    <t>As sea-level rise (SLR) and human-made interventions affect coastal currents and sediment transport, coastal barriers have become more vulnerable to the effect of storms, hurricanes, and climate variability. The response of each barrier is unique and depends on wave regime, coastline orientation, weather conditions, bathymetry, and type of human-made interventions, among other factors. In the Magdalena River deltaic barrier, located on the Colombian Caribbean coast, coastal erosion has caused the loss of hundreds of square kilometers of critical ecosystems, such as wetlands and lagoons, since the 1960s. This work aims to analyze the short-term drivers behind the observed loss of lagoons, particularly the drivers of lagoon breaching events and subsequent healing along the deltaic barrier. Lagoon breaching events and healings were detected using satellite imagery, and the timing of these events was related to prior local atmospheric, oceanographic, and fluvial conditions. The findings reveal that the dynamics of the lagoons are driven by extreme river discharges and energetic wave conditions associated with storms or hurricanes. Healing is driven by the sediment supplied by littoral currents and average waves punctuated by energetic events. The cumulative effect of breaching and healing has resulted in a deltaic barrier that has rolled over the lagoons, reducing their size over time. These findings provide a better understanding of the forces of coastal retreat and will help inform future management decisions of the coastal zone. © 2023 by the authors.</t>
  </si>
  <si>
    <t>2-s2.0-85154051524"</t>
  </si>
  <si>
    <t>10.3390/rs15051278</t>
  </si>
  <si>
    <t>https://www.scopus.com/inward/record.uri?eid=2-s2.0-85149942196&amp;doi=10.3390%2frs15051278&amp;partnerID=40&amp;md5=51ee80a6b103b8f7a00ef39069457c56</t>
  </si>
  <si>
    <t>The Peace–Athabasca Delta (PAD) in western Canada is one of the largest inland deltas in the world. Flooding caused by the expansion of lakes beyond normal shorelines occurred during the summer of 2020 and provided a unique opportunity to evaluate the capabilities of remote sensing platforms to map surface water expansion into vegetated landscape with complex surface connectivity. Firstly, multi-source remotely sensed data via satellites were used to create a temporal reconstruction of the event spanning May to September. Optical synthetic aperture radar (SAR) and altimeter data were used to reconstruct surface water area and elevation as seen from space. Lastly, temporal water surface area and level data obtained from the existing satellites and hydrometric stations were used as input data in the CNES Large-Scale SWOT Simulator, which provided an overview of the newly launched SWOT satellite ability to monitor such flood events. The results show a 25% smaller water surface area for optical instruments compared to SAR. Simulations show that SWOT would have greatly increased the spatio-temporal understanding of the flood dynamics with complete PAD coverage three to four times per month. Overall, seasonal vegetation growth was a major obstacle for water surface area retrieval, especially for optical sensors. © 2023 by the authors.</t>
  </si>
  <si>
    <t>2-s2.0-85149942196"</t>
  </si>
  <si>
    <t>10.1016/j.ocemod.2023.102179</t>
  </si>
  <si>
    <t>https://www.scopus.com/inward/record.uri?eid=2-s2.0-85148547116&amp;doi=10.1016%2fj.ocemod.2023.102179&amp;partnerID=40&amp;md5=a182ff97220253d837fefe781ad028a4</t>
  </si>
  <si>
    <t>Storm surge is the anomalous rising of the sea surface induced by intense atmospheric disturbances. The storm surge caused by tropical cyclones often causes great socio-economic, human activity, and life and property hazards to coastal areas. In terms of research resource consumption and computational time, machine learning algorithms that depend on data-driven strong nonlinear mapping skills outperform standard numerical model forecasting. To obtain a lighter and faster storm surge shortcoming forecast, we use a deep learning-based single-station water level prediction model for a storm surge at several locations in this work. In contrast to earlier research, this study employs convolutional neural networks to extract two-dimensional wind field information and merge them with local water level features to produce a more time-efficient intelligent forecast. © 2023 The Author(s)</t>
  </si>
  <si>
    <t>2-s2.0-85148547116"</t>
  </si>
  <si>
    <t>10.1016/j.jhydrol.2023.129268</t>
  </si>
  <si>
    <t>https://www.scopus.com/inward/record.uri?eid=2-s2.0-85147910961&amp;doi=10.1016%2fj.jhydrol.2023.129268&amp;partnerID=40&amp;md5=250a194c0fda29e05e8149d21ecd2f78</t>
  </si>
  <si>
    <t>A coupled surface water and variably-saturated groundwater model is developed for a coastal salt marsh (Nueces Delta, Texas USA). To evaluate the relative impacts of common model simplifications, the new model is compared against a prior salinity transport model that neglects evaporation and groundwater coupling. Both marsh-scale (at coarse grid resolution) and bank-scale (at fine grid resolution) simulations are used to examine the flux mechanisms in the intertidal zone where soil-moisture evaporation and groundwater fluxes contribute to hypersalinity. New numerical methods provide the groundwater–surface water coupling mechanisms necessary for practical marsh-scale simulations using the two-dimensional (2D) Shallow Water Equations for surface water and the density-dependent 3D Richards equation for groundwater. An asynchronous surface–subsurface coupling scheme is shown to significantly reduce the computational cost of marsh-scale simulations. Comparison of marsh-scale and bank-scale results indicates that a coarse model grid can represent the mechanisms of surface/subsurface salinity flux in the intertidal zone, but likely misrepresents the inundation effects of topography smaller than the model grid. Due to relatively weak tidal amplitudes at the study site, surface-water evaporation is a stronger driver of hypersalinity than surface–subsurface exchange induced by soil-moisture evaporation. The combination of evaporation and groundwater exchange creates small hypersalinity “hot spots” that do not appear in the simulations neglecting these processes. However, including these processes has only a marginal impact on comparisons with field data previously collected in the marsh. Both types of simulations have good agreement for surface-water volumetric transport (as evidenced by water surface levels), but the remaining model-field disagreement in salinity appears to be dominated by biases in salinity transport for oscillatory (tidal, wind-driven) fluxes through narrow channels. © 2023 Elsevier B.V.</t>
  </si>
  <si>
    <t>2-s2.0-85147910961"</t>
  </si>
  <si>
    <t>10.1007/s11069-023-05851-z</t>
  </si>
  <si>
    <t>https://www.scopus.com/inward/record.uri?eid=2-s2.0-85149241321&amp;doi=10.1007%2fs11069-023-05851-z&amp;partnerID=40&amp;md5=19ee17f3b935f613a275d3efe78a3c10</t>
  </si>
  <si>
    <t>Southeast Brazil is occasionally affected by intense storm surges that cause coastal erosion, coastal inundation, destruction of local infrastructure, and floods. This work is aimed at identifying the large-scale atmospheric conditions favourable to causing storm surges that reach the coast of the Sao Paulo State in Southeast Brazil. Based on ERA5 reanalysis data from May between 1981 and 2010, storms were identified on 89 surge days. Storm surge days are characterized by a significant wave height that exceeds 2.5 m. These surge days were clustered into three atmospheric patterns. Cluster Pattern 1 contains 10 storm surge days characterized by a low-pressure centre near the coastline and winds blowing parallel to the coast. These surface conditions are combined with upward vertical motion at 500 hPa and an upper-level jet stream, which helps rain formation over the ocean. Cluster Pattern 2 contains 22 events. The main feature of this pattern is the long and wide wind fetch area over the ocean, which generates a large area of intense winds that allows a more efficient propagation of high waves. This pattern shows the most significant rainfall values over the coastal area. Cluster Pattern 3 presents the largest number of surge days, totalling 57. The atmospheric pressure gradient established by the high-pressure system and the elongated trough over the ocean produces intense southerly winds along the coast, which favour high waves in this region. Therefore, the described atmospheric patterns favourable to storm surge events can be applied to forecasting systems and contribute to storm surge alerts in the Sao Paulo coastal zone. © 2023, The Author(s), under exclusive licence to Springer Nature B.V.</t>
  </si>
  <si>
    <t>2-s2.0-85149241321"</t>
  </si>
  <si>
    <t>10.1016/j.ejrh.2023.101321</t>
  </si>
  <si>
    <t>https://www.scopus.com/inward/record.uri?eid=2-s2.0-85146644766&amp;doi=10.1016%2fj.ejrh.2023.101321&amp;partnerID=40&amp;md5=c2a2b60050322684f8b0ec256b5c7a05</t>
  </si>
  <si>
    <t>Study region: Hong Kong is a megalopolis located on the southeast coast of China. Study focus: Megalopolis located in low-lying coastal areas such as Hong Kong is especially vulnerable to compound flood risks from multiple flood drivers (e.g., heavy rainstorms and extreme sea levels). Using long-term hydrological observations and socio-economic data, this study aims to reveal the risks, causes and socio-economic impacts of compound floods from precipitation and sea level in Hong Kong. New hydrological insights for the region: We find that the most extreme sea levels are mostly accompanied by heavy precipitation and thus lead to compound floods, while the most extreme precipitation events are less likely to coincide with extreme sea levels. TCs are the major trigger of compound floods with fractional contributions ranging from 48.8% to 83.8% in the gauges. Typhoon Wanda (1962) triggered the most severe compound flood with a joint return period of 178 years which is much shorter than the return period (&gt;10,000 years) without the consideration of the dependence between the extremes. During the past decades, Hong Kong has experienced an increase in compound flood hazards, which is mainly attributed to the mean sea level rise. Socio-economic data reveals that TCs associated with compound floods are more destructive than TCs that induced single-type floods, highlighting the urgent need to establish a multi-hazard flood risk management strategy. © 2023 The Authors</t>
  </si>
  <si>
    <t>2-s2.0-85146644766"</t>
  </si>
  <si>
    <t>10.1117/1.JRS.17.024507</t>
  </si>
  <si>
    <t>https://www.scopus.com/inward/record.uri?eid=2-s2.0-85163962130&amp;doi=10.1117%2f1.JRS.17.024507&amp;partnerID=40&amp;md5=9e45d8677ab1a413456713dee834e877</t>
  </si>
  <si>
    <t xml:space="preserve">
The rapid mapping of flood inundation is essential for timely assessment of damage and post-disaster recovery. Remote sensing technology provides clear spatial information for mapping flood inundation, but its real-time (RT) images are often not available due to the severe weather conditions during the disaster events; the combination of RT data can better compensate for the deficiency. In this study, a near RT (NRT) flood inundation probability mapping method based on post-event NRT remote sensing data combined with RT volunteer geographic information (VGI) was proposed for mapping the 2019 flood in Linhai City, Zhejiang Province. First, a probabilistic index distribution (PID) layer was constructed from high-resolution digital elevation model data using an inverse distance-weighted height filter based on each VGI point. Then, a quality evaluation method for non-reference data was introduced to evaluate the validity of the VGI data. The final flood probability map was generated by PID weighting. The results show that, by fusing NRT images and RT data, the proposed model for mapping flood inundation probability is more robust and enhances the spatial characteristics of the flood inundation probability index, allowing it to enable emergency responders to quickly identify areas requiring urgent attention.</t>
  </si>
  <si>
    <t>10.1007/s42990-023-00098-z</t>
  </si>
  <si>
    <t>https://www.scopus.com/inward/record.uri?eid=2-s2.0-85152425985&amp;doi=10.1007%2fs42990-023-00098-z&amp;partnerID=40&amp;md5=4de7c60b3419ffa7132a3fadfef51618</t>
  </si>
  <si>
    <t>Egypt’s northern coast can be considered a dynamic natural system like several coastal regions worldwide. While it provides many opportunities and resources, it may also pose significant challenges to the community, as the area is prone to land and marine-related geohazards (e.g., earthquakes, sea-level rise, land subsidence, storms, coastal erosion, and tsunamis). Also, the recent national census survey indicates that numerous assets, systems, infrastructures, and cultural heritage sites (elements under risk) are situated within the zone of hazards. Multi-hazard and risk assessments are therefore necessary to achieve national sustainable development plans. This study, in particular, focuses on tsunami hazard, which is defined here as the envelope (upper bound estimate) from a comprehensive set of possible simulated tsunami scenarios. The main aim of this work is to provide robust and conservative hazard estimates while considering the variability related to earthquake parameters. The seismological parameters that describe each tsunamigenic earthquake scenario are extracted from published works. Also, detailed nested grids of topo-bathymetry are developed from free-access data sources. The seismological and topo-bathymetry data are essential components for separately carrying out tsunami modelling for each individual scenario. The simulated scenarios are aggregated to build tsunami intensity maps of interest. The ETAs (Expected Time of Arrival), the maximum, average, and standard deviation of coastal tsunami wave height and the inundation maps are developed based on an aggregated scenario. In addition, the simulation of tsunami wave propagation can provide synthetic mareographs computed at selected sites, which can be used for detailed site-specific analysis. The obtained results from the current work indicate that the northern Egyptian coast is characterized by a moderate-to-high tsunami hazard. The western part of this coast poses the maximum coastal tsunami wave heights</t>
  </si>
  <si>
    <t>10.1016/j.ejrh.2023.101351</t>
  </si>
  <si>
    <t>https://www.scopus.com/inward/record.uri?eid=2-s2.0-85149342304&amp;doi=10.1016%2fj.ejrh.2023.101351&amp;partnerID=40&amp;md5=11296e05779c3ebf218fc9e5568b7181</t>
  </si>
  <si>
    <t>Study Region: Yangcheng Lake is located northeast of Suzhou city, one of the most economically developed cities in the Yangtze River Delta plain, China. Yangcheng Lake serves as a storage pool for flood control and water diversion</t>
  </si>
  <si>
    <t>10.1016/j.heliyon.2023.e14390</t>
  </si>
  <si>
    <t>https://www.scopus.com/inward/record.uri?eid=2-s2.0-85150755259&amp;doi=10.1016%2fj.heliyon.2023.e14390&amp;partnerID=40&amp;md5=32fa6d46e0ef76d632551723fbb09e0e</t>
  </si>
  <si>
    <t>As a result of ongoing human induced or natural factors acting on river channels, banks, and within a catchment, alluvial river systems change their course and morphology over time. The base level changes and the backwater effects affect rivers entering a static water body. For coastal rivers, the planform changes are highly pronounced at the fluvial deltas and flood plains. Aggradation, degradation, progradation, meandering, and formation of islands and distributary channels are common processes on coastal rivers. This study investigates planform changes and landscape responses of Gilgel Abay river about 36 km stretch starting from the bridge, near Chimba, to its entrance to Lake Tana by using historical images for the last 60 years (1957–2020) and field observation. The study reach was divided in to three parts based on feature characteristics. For data preparation and analysis, image analysis software's</t>
  </si>
  <si>
    <t>10.3390/land12030539</t>
  </si>
  <si>
    <t>https://www.scopus.com/inward/record.uri?eid=2-s2.0-85151400211&amp;doi=10.3390%2fland12030539&amp;partnerID=40&amp;md5=57a9bcc32d9f2023961a69e3805ce242</t>
  </si>
  <si>
    <t>Among the European coastal territories most vulnerable to the effects of mean sea level rise, such as flooding and erosion phenomena, are the 943 km of the Portuguese coastline where approximately 70 per cent of the population lives (Bigotte et al, 2014), a percentage that rises to around 80 per cent in the summer months, due to tourism (Andrade et al, 2002), especially in the Algarve region (southern Portugal). The case study of this research is the urban public space in the coastal city of Quarteira, which is particularly vulnerable. This space between the land and the sea has been recently framed in the inter-municipal climate change adaptation plan PIAAC-AMAL (Plano Intermunicipal de Adaptação às Alterações Climáticas do Algarve). The aim of the article is to explore the natural and anthropogenic process of formation and transformation of the urban space between the land and sea that occurred over time, up to the definition of the seashore street. Interpretative drawing is used as a methodology to understand the form of the public space. This is considered the first step for designing the public space between the land and the sea that deals both with the effects of climate change and the seasonal cycles of summer tourism. Through this analysis, it is argued that the understanding of the form (morphological characteristics) of this continuous space between land and sea is fundamental for consistent and robust adaptation design. © 2023 by the authors.</t>
  </si>
  <si>
    <t>2-s2.0-85151400211"</t>
  </si>
  <si>
    <t>10.1029/2022WR033714</t>
  </si>
  <si>
    <t>https://www.scopus.com/inward/record.uri?eid=2-s2.0-85153846064&amp;doi=10.1029%2f2022WR033714&amp;partnerID=40&amp;md5=46649ba7fddaeab255cb8ebaa2435948</t>
  </si>
  <si>
    <t>A river bifurcation is critical for distributing water, sediment and nutrients to the downstream branches of deltaic river networks. However, the downstream branches of a bifurcation can be linked by a connecting channel cutting through deltaic floodplains. The floodplain connecting channel as a downstream control can affect water partitioning at the river bifurcation and hence the hydrological connectivity of the river network. However, its effects are still largely elusive. In this study, we explored how a connecting channel linking downstream branches affects water partitioning at the upstream bifurcation and water distribution along the two branches. The investigation was conducted through idealized numerical simulations using Delft3D, followed by analysis of the cascading effects on the hydrological connectivity of river networks using graph theory. The results show that connecting channels can mitigate asymmetric water partitioning at the upstream bifurcation. However, this happens at the expense of inducing more uneven flow at the downstream outlets. The flow adjustment is due to the altered spatial water surface slope in the two branches associated with the flow exchange from one channel to the other via the connecting channel. Further analysis of hydrological connectivity shows that connecting channels can generally reduce the vulnerability of the channel network to hydrological alterations, especially changing inflow, by enhancing flow exchange between the two branches. Our results suggest that connecting channels are critical paths for hydrological connectivity, which have important implications for the management of deltaic river networks and their floodplains. © 2023. American Geophysical Union. All Rights Reserved.</t>
  </si>
  <si>
    <t>2-s2.0-85153846064"</t>
  </si>
  <si>
    <t>10.3390/rs15061586</t>
  </si>
  <si>
    <t>https://www.scopus.com/inward/record.uri?eid=2-s2.0-85151931505&amp;doi=10.3390%2frs15061586&amp;partnerID=40&amp;md5=a81db38493ed01e960b9aed127d08fde</t>
  </si>
  <si>
    <t>The combination of the current sea level rise (SLR) and an increase in the frequency and severity of sea storm events and surges, will have important environmental impacts on coastal tourist areas located in oceanic islands that are often heavily dependent economically on tourism. Importantly, coastal tourist resorts and their associated beaches are commonly located in the S-SW of these islands where they are protected from the effects of the NE trade winds but exposed to these storms. This study analyses the current and future conditions of SW sea storm events. Then, through mapping using orthophotos, LiDAR data, and bathymetry with high spatial resolution, it studies the environmental effects that these events are having now and will have in the future on tourist zones of oceanic islands. This is of particular importance, as in the case of the Macaronesia islands, SW sea storm events are occurring with ever greater frequency. The case study considers the SW sector of the island of Gran Canaria (Canary Islands, Spain). Regarding the analysis of SW storms, the results obtained show an increase in the frequency of events, especially since the 1990s, with 104 events detected (67.5% between 1958 and 2018). The most affected areas during these storms are usually beaches (severe erosive processes). Breakwaters and seafronts usually resist the impact of waves well, however, as is discussed that in the future scenario, their implementation will mean a high economic cost for local administrations. © 2023 by the authors.</t>
  </si>
  <si>
    <t>2-s2.0-85151931505"</t>
  </si>
  <si>
    <t>10.1016/j.wace.2023.100552</t>
  </si>
  <si>
    <t>https://www.scopus.com/inward/record.uri?eid=2-s2.0-85148354703&amp;doi=10.1016%2fj.wace.2023.100552&amp;partnerID=40&amp;md5=8a2fd01c5ed27f6ee5c64c1573050093</t>
  </si>
  <si>
    <t>The endeavor to reduce the multiple risks of climate extremes takes the future of civil society. Many global climate models (GCMs) and regional climate models (RCMs) have been developed to project the future changing climate. To quantitatively evaluate future flood risks, the results of the current hydrological model based on simulated data from the climate model should be analyzed. This paper focuses the connection of technological and policy aspects for the future flood management in South Korea. Accordingly, this study assesses the changes in flood quantiles based on the two representative concentration pathways (RCP4.5 and RCP8.5) scenarios. The HadGEM3-RA regional climate model is used to predict future changes in extreme rainfall events, and the regional quantile delta mapping (RQDM) method is adopted to correct for any inherent bias in the climate models. The climate change scenario is divided into the following four periods: S0 (1976–2005), S1 (2011–2040), S2 (2041–2070), and S3 (2071–2100). A regional frequency analysis (RFA) is applied to estimate the rainfall quantiles as input data in rainfall-runoff model. The flood quantiles are simulated using the HEC-1 (rainfall-runoff) model for historical and future periods, and the variations in the flood quantiles are calculated quantitatively for the five major river basins (Hangang, HAN; Nakdonggang, NAK; Geumgang, GUM; Seomjingang, SJG; Yeongsangang, YSG) in South Korea. As a result, it is found that the highest flood risk can occur in the YSG basin, and the YSG basin should be considered the most urgent and important river basin for climate change adaptation plans compared with other major basins in South Korea.</t>
  </si>
  <si>
    <t>10.3390/geohazards4010006</t>
  </si>
  <si>
    <t>https://www.scopus.com/inward/record.uri?eid=2-s2.0-85164101995&amp;doi=10.3390%2fgeohazards4010006&amp;partnerID=40&amp;md5=42e774e570c8e96e767987330a47bd1b</t>
  </si>
  <si>
    <t>Coastal environments are highly recognized for their spectacular morphological features and economic activities, such as agriculture, maritime traffic, fishing, and tourism. In the context of climate change and the evolution of physical processes, the occurrence of intense natural phenomena adjacent to populated coastal areas may result in natural hazards, causing human and/or structural losses. As an outcome, scientific interest in researching and assessing multi-hazard susceptibility techniques has increased rapidly in an effort to better understand spatial patterns that are threatening coastal exposed elements, with or without temporal coincidence. The islands of Milos and Thira (Santorini Island) in Greece are prone to natural hazards due to their unique volcano-tectonic setting, the high number of tourist visits annually, and the unplanned expansion of urban fabric within the boundaries of the low-lying coastal zone. The main goal of this research is to analyze the onshore coastal terrain’s susceptibility to natural hazards, identifying regions that are vulnerable to soil erosion, torrential flooding, landslides and tsunamis. Therefore, the objective of this work is the development of a multi-hazard approach to the South Aegean Volcanic Arc (SAVA) islands, integrating them into a superimposed susceptibility map utilizing Multi-Criteria Decision-Making (MCDM) analysis. The illustrated geospatial workflow introduces a promising multi-hazard tool that can be implemented in low-lying coastal regions globally, regardless of their morphometric and manmade characteristics. Consequently, findings indicated that more than 30% of built-up areas, 20% of the transportation network, and 50% of seaports are within the high and very high susceptible zones, in terms of the Extended Low Elevation Coastal Zone (ELECZ). Coastal managers and decision-makers must develop a strategic plan in order to minimize potential economic and natural losses, private property damage, and tourism infrastructure degradation from potential inundation and erosion occurrences, which are likely to increase in the foreseeable future. © 2023 by the authors.</t>
  </si>
  <si>
    <t>2-s2.0-85164101995"</t>
  </si>
  <si>
    <t>10.1029/2022JB025993</t>
  </si>
  <si>
    <t>https://www.scopus.com/inward/record.uri?eid=2-s2.0-85158993478&amp;doi=10.1029%2f2022JB025993&amp;partnerID=40&amp;md5=11c89b9789c4330fb49dce43d639483f</t>
  </si>
  <si>
    <t>Future projections of sea-level rise (SLR) used to assess coastal flooding hazards and exposure throughout the 21st century and devise risk mitigation efforts often lack an accurate estimate of coastal vertical land motion (VLM) rate, driven by anthropogenic or non-climate factors in addition to climatic factors. The Chesapeake Bay (CB) region of the United States is experiencing one of the fastest rates of relative sea-level rise on the Atlantic coast of the United States. This study uses a combination of space-borne Interferometric Synthetic Aperture Radar (InSAR), Global Navigation Satellite System (GNSS), Light Detecting and Ranging (LiDAR) data sets, available National Oceanic and Atmospheric Administration (NOAA) long-term tide gauge data, and SLR projections from the Intergovernmental Panel on Climate Change (IPCC), AR6 WG1 to quantify the regional rate of relative SLR and future flooding hazards for the years 2030, 2050, and 2100. By the year 2100, the total inundated areas from SLR and subsidence are projected to be 454(316–549)–600(535–690) (Formula presented.) for Shared Socioeconomic Pathways (SSPs) 1–1.9 to 5–8.5, respectively, and 342(132–552)–627(526–735) (Formula presented.) only from SLR. The effect of storm surges based on Hurricane Isabel can increase the inundated area to 849(832–867)–1,117(1,054–1,205) km2 under different VLM and SLR scenarios. We suggest that accurate estimates of VLM rate, such as those obtained here, are essential to revise IPCC projections and obtain accurate maps of coastal flooding and inundation hazards. The results provided here inform policymakers when assessing hazards associated with global climate changes and local factors in CB, required for developing risk management and disaster resilience plans. © 2023. The Authors.</t>
  </si>
  <si>
    <t>2-s2.0-85158993478"</t>
  </si>
  <si>
    <t>10.3390/hydrology10030061</t>
  </si>
  <si>
    <t>https://www.scopus.com/inward/record.uri?eid=2-s2.0-85151152480&amp;doi=10.3390%2fhydrology10030061&amp;partnerID=40&amp;md5=52574232eae98bc780052d1964c4034e</t>
  </si>
  <si>
    <t>Floods are natural hazards with negative environmental and socioeconomic impacts at a local and regional level. In addition to human lives, facilities, and infrastructure, flooding is a potential threat to archaeological sites, with all the implications for the cultural heritage of each country. Technological developments of recent years, particularly concerning geospatial technologies (GIS, Remote Sensing, etc.), have brought novel advantages to hydrological modelling. This study uses geoinformatics to quantify flood hazard assessment. The study area is the ungauged torrent of Kladeos River, located in Peloponnese, Greece. Geomorphological analysis combined with hydrological modelling were performed in a GIS-based environment in order to study the hydrological behavior of the Kladeos River basin. The hydrological analysis was carried out with rainfall data and hypothetical storms using a 5 × 5 m digital terrain model. The quantitative features of the catchment were calculated in order to determine its susceptibility to flooding. The hydro-morphometric analysis revealed stream order anomalies in the drainage network which, combined with the morphology of its upper and lower parts, enhance the possibility of flood events. The primary results indicated that there is an increased possibility of extensive flooding in the archaeological site, depending on the severity of the rainfall, since the basic geomorphological characteristics favor it. The proposed methodology calculates parameters such as flow rate, flow velocity, etc., in order to measure and quantify flood hazard and risks in the area of interest. © 2023 by the authors.</t>
  </si>
  <si>
    <t>2-s2.0-85151152480"</t>
  </si>
  <si>
    <t>10.1038/s41558-023-01603-w</t>
  </si>
  <si>
    <t>https://www.scopus.com/inward/record.uri?eid=2-s2.0-85149138692&amp;doi=10.1038%2fs41558-023-01603-w&amp;partnerID=40&amp;md5=5067f3aac5ece7496bb6652fd5c17f5c</t>
  </si>
  <si>
    <t>Adaptation to future sea-level rise is based on projections of continuously improving climate models. These projections are accompanied by inherent uncertainties, including those due to internal climate variability (ICV). The ICV arises from complex and unpredictable interactions within and between climate-system components, rendering its impact irreducible. Although neglecting this uncertainty can lead to an underestimation of future sea-level rise, its estimation and impacts have not been fully explored. Combining the Community Earth System Model version 1 Large Ensemble experiments with power-law statistics, we show that, by 2100, if the ICV uncertainty reaches its upper limit, new sea-level-rise hotspots would appear in Southeast Asian megacities (Chennai, Kolkata, Yangon, Bangkok, Ho Chi Minh City and Manila), in western tropical Pacific Islands and the Western Indian Ocean. The better the ICV uncertainty is taken into account and correctly estimated, the more effective adaptation strategies can be elaborated with confidence and actions to follow. © 2023, The Author(s), under exclusive licence to Springer Nature Limited.</t>
  </si>
  <si>
    <t>2-s2.0-85149138692"</t>
  </si>
  <si>
    <t>10.3390/cli11040079</t>
  </si>
  <si>
    <t>https://www.scopus.com/inward/record.uri?eid=2-s2.0-85153760475&amp;doi=10.3390%2fcli11040079&amp;partnerID=40&amp;md5=1e79e107607bb1fb77d12d818c0566fe</t>
  </si>
  <si>
    <t>The evidence for the capacity of mangrove forests for coastal protection gained more importance within the recent decade because of important international agreements, such as the Sustainable Development Goals and Sendai Framework for Disaster Risk Reduction. However, the degree to which researchers agree on the capacity of mangroves to reduce coastal hazards is not fully established. This study employed a multilevel review process that selected 45 peer-reviewed articles for detailed analysis. Significant findings revealed a strong agreement amongst scientific literature on the benefits of mangrove forests in reducing coastal hazards. However, findings also revealed the dominance of single-discipline research, and less representation of countries in Africa and South America. Limitations in sampled studies highlight the limited number of global studies conducted on mangrove forests’ effectiveness in attenuating coastal hazards, and the limited representation of development and disaster studies. It is recommended that future research on mangrove forests and their coastal hazard reduction capacity should explore multidisciplinary approaches, and synergies in fieldwork and simulation methods while considering possible future climate change situations. © 2023 by the authors.</t>
  </si>
  <si>
    <t>2-s2.0-85153760475"</t>
  </si>
  <si>
    <t>10.1016/j.jag.2023.103222</t>
  </si>
  <si>
    <t>https://www.scopus.com/inward/record.uri?eid=2-s2.0-85149063883&amp;doi=10.1016%2fj.jag.2023.103222&amp;partnerID=40&amp;md5=fee5479efca4473eb57c7b7ad6845a62</t>
  </si>
  <si>
    <t>It is crucial nowadays to accurately monitor vertical land motion (VLM) near coasts and understand its spatial and temporal variability to quantify its impact to water-land interactions. This study developed and employed a double difference (DD) network adjustment method to reconstruct daily VLM time series and estimate their trends using sea-level observations recorded at 24 tide gauge (TG) stations located on the Texas coastline between 1993 and 2020. Based on the first difference between TG and the satellite radar altimetry (SRA) observations, the method calculated DD between correlated TG pairs to mitigate sea-level variations. Then all potential connections of TG pairs across the 24 stations were combined to form a TG network regarding the DD values. On a daily basis, the DD values reflected relative elevation difference for a specific connection and the network could be solved via weighted least squares to reconstruct elevations (i.e., VLM time series) at different TG stations. Results indicated that at most TG stations, clear VLM patterns were restored and found to be largely consistent with time series derived from continuously-operating global navigation satellite system (cGNSS). In addition, greater than 80% of the TG stations used in the work showed a linear VLM trend with an uncertainty of less than or equal to 1.0 mm/yr. The proposed DD network adjustment method provides long and continuous VLM time-series results, and has a potential to complement other geodetic techniques, particularly along the coastal areas where TG stations were densely installed. © 2023 The Author(s)</t>
  </si>
  <si>
    <t>2-s2.0-85149063883"</t>
  </si>
  <si>
    <t>10.1007/s11069-023-05841-1</t>
  </si>
  <si>
    <t>https://www.scopus.com/inward/record.uri?eid=2-s2.0-85148366767&amp;doi=10.1007%2fs11069-023-05841-1&amp;partnerID=40&amp;md5=49827eea4d0aa2d40fc8ea527f955d98</t>
  </si>
  <si>
    <t>This study investigates the sensitivity of the Calcasieu Lake estuarine region to channel deepening in southwest Louisiana in the USA. We test the hypothesis that the depth increase in a navigational channel in an estuarine region results in the amplification of the inland penetration of storm surge, thereby increasing the flood vulnerability of the region. We run numerical experiments using the Delft3D modeling suite (validated with observational data) with different historic channel depth scenarios. Model results show that channel deepening facilitates increased water movement into the lake–estuary system during a storm surge event. The inland peak water level increases by 37% in the presence of the deepest channel. Moreover, the peak volumetric flow rate increases by 291.6% along the navigational channel. Furthermore, the tidal prism and the volume of surge prism passing through the channel inlet increase by 487% and 153.3%, respectively. In our study, the presence of the deepest channel results in extra 56.72 km2 of flooded area (approximately 12% increase) which is an indication that channel deepening over the years has rendered the region more vulnerable to hurricane-induced flooding. The study also analyzes the impact of channel deepening on storm surge in estuaries under different future sea-level rise (SLR) scenarios. Simulations suggest that even the most conservative scenario of SLR will cause an approximately 51% increase in flooded area in the presence of the deepest ship channel, thereby suggesting that rising sea level will cause increased surge penetration and increased flood risk. © 2023, The Author(s).</t>
  </si>
  <si>
    <t>2-s2.0-85148366767"</t>
  </si>
  <si>
    <t>10.1029/2022EF002947</t>
  </si>
  <si>
    <t>https://www.scopus.com/inward/record.uri?eid=2-s2.0-85152566726&amp;doi=10.1029%2f2022EF002947&amp;partnerID=40&amp;md5=e16279c5d8bb4624036ed9d0736073cd</t>
  </si>
  <si>
    <t>In low-lying estuarine regions, compound flooding (CF) is caused by the co-occurrence of extreme precipitation, river flooding and storm surge. In recent decades, there has been a rise in the frequency and intensity of pluvial-coastal CF events in different parts of the U.S. due to the increased frequency of intense precipitation and storm surge events. However, in estuarine and deltaic regions, the CF characteristics depend mainly on the storm tide and river flow interaction. Understanding how the fluvial-coastal CF may respond to changes to watershed and estuarine characteristics is essential for future CF hazard prediction. This study examined two critical processes: (a) the interplay between antecedent soil moisture conditions and peak river flow, and (b) how the impact of sea level rise (SLR) on storm surge and river flood distribution alters the CF in complex estuaries. As the study area, we selected the Delaware Bay and River, a shallow and convergent estuary in the US Mid-Atlantic region—where flood hazards during a CF can become more significant than the surge and river flood processes occurring in isolation. For the focal event for the study, we selected Hurricane Irene (2011) because it reportedly produced the most extreme CF over the past two decades in the same region. Ultimately, our results illustrated that the potential changes to the catchment and bay characteristics from the global temperature increase and SLR could significantly modulate the fluvial-coastal CF variability. The potential increase in global temperature and rainfall intensity might not always exacerbate the CF. © 2023 Commonwealth of Australia and Battelle Memorial Institute.</t>
  </si>
  <si>
    <t>2-s2.0-85152566726"</t>
  </si>
  <si>
    <t>10.1016/j.jag.2023.103260</t>
  </si>
  <si>
    <t>https://www.scopus.com/inward/record.uri?eid=2-s2.0-85150037230&amp;doi=10.1016%2fj.jag.2023.103260&amp;partnerID=40&amp;md5=af139cb8987ff21fdb5b153bab7347f1</t>
  </si>
  <si>
    <t>Intertidal zones are vulnerable to both landward and seaward pressures, i.e., sea level rise and aquaculture expansion. Thus, the conservation of coastal habitats has reached international prominence, as addressed in Sustainable Development Goal (SDG) target 14.5. Nevertheless, stakeholders often have limited resources to monitor ample intertidal zones and cannot effectively evaluate actual conservation progress. Modern satellite imagery, especially optical data, provides a cost-efficient opportunity. Nonetheless, most past studies relied on noise-included water indices and demanded intensive manual editions. Therefore, this study presents an automatic processing strategy to estimate essential baseline information of coastal dynamics and topography, including shoreline changes, intertidal digital elevation model (DEM), and mean sea level (MSL). The results were statistically validated with bathymetric surveys and indicated that our proposed workflow can identify hotspots of coastal erosion-accretion and topographic features. Methodologically, by incorporating a fine-resolution global tide model, the tidal effect was greatly mitigated. We confirm that images acquired during flood stages can yield better quality tidal flat DEMs. The shoreline extraction approach refined in this study also enhances the positional accuracy via overcoming common biases, including water color variations and breaking wave-induced whitewash. These improvements and the wide applicability of our approach highlight the opportunity of utilizing spaceborne remote sensing data to assess the coastal stability in different spatio-temporal scales. © 2023 The Author(s)</t>
  </si>
  <si>
    <t>2-s2.0-85150037230"</t>
  </si>
  <si>
    <t>10.1007/s11069-023-05846-w</t>
  </si>
  <si>
    <t>https://www.scopus.com/inward/record.uri?eid=2-s2.0-85148039326&amp;doi=10.1007%2fs11069-023-05846-w&amp;partnerID=40&amp;md5=d50d7bece56accb61cc1ab64694cf2b4</t>
  </si>
  <si>
    <t>The co-occurrence of multiple flood drivers resulting in compound flooding has received increased attention during the past decade subsequent to several catastrophic flood events in coastal areas around the world. However, most coastal flood risk assessments generally account for one of either oceanic or inland flood sources even in situations where the joint probability of occurrence of more than one flood driver is high. Accordingly, this paper examines the compound flooding potential due to tropical cyclone-induced storm surges, waves and precipitation for a major river basin in a low-lying coastal city of Sri Lanka. The physical processes associated with compound flooding in the coastal lowlands of the river basin, i.e. hydrodynamics of the storm surge including wave effects, river hydraulics as well as precipitation-induced direct surface run-off, have been numerically simulated by employing an array of loosely integrated models to compute space- and time-varying flood distributions for 14 scenarios of cyclonic storms and riverine floods covering a range of return periods. The selected scenarios cover a range of combinations of relative strengths of oceanic and inland flood drivers. The model simulations have been performed for three cases: storm surge (S) only, river flow (R) only and compound flooding (C) with S and R combined. The precipitation has been added in the cases of river flow and compound flooding events. The analysis of model simulations provides further insight into the temporal and spatial variation of the nonlinear interaction of storm surge and riverine flow that occurs in a transition zone between the respective fully dominant regions. The analysis of time-varying flood levels indicates a lesser interaction between storm surge-induced and riverine flood waves when one component is more dominant than the other whilst nearly equal magnitudes resulting in a greater interaction and rise in instantaneous compound flood level compared to flood levels if either component were to act separately. The effect of the phase shift of storm surge and riverine flood waves on the peak flood levels and extents as well as on the degree of nonlinear interaction of the component flows in the compound region are also examined. © 2023, The Author(s), under exclusive licence to Springer Nature B.V.</t>
  </si>
  <si>
    <t>2-s2.0-85148039326"</t>
  </si>
  <si>
    <t>10.1007/s11069-023-05890-6</t>
  </si>
  <si>
    <t>https://www.scopus.com/inward/record.uri?eid=2-s2.0-85149244538&amp;doi=10.1007%2fs11069-023-05890-6&amp;partnerID=40&amp;md5=4c2c6b3d8cc0d5484fff583e2904d91e</t>
  </si>
  <si>
    <t>The IANOS Medicane was one of the most severe storms that have formed in the Mediterranean Sea with Category 2 Hurricane characteristics. The storm induced a significant increase in sea-level elevation along its pathway and caused storm surges at the central Ionian Sea with consequent impacts on coastal regions of the Ionian Islands and western Greece. An integrated approach, based on hydrodynamic ocean simulations, coupled to meteorological and coastal flooding simulations, is used in combination with field and satellite observations to analyze the marine weather conditions, the storm surge characteristics, and the coastal inundation characteristics due to the impact of IANOS Medicane in September 2020. The evolution of the Medicane and the respective storm surge in the ocean have been successfully recorded by the met-ocean simulations, part of an active public-access operational forecast system. Both wind and atmospheric pressure patterns affected the storm surge variability over the Ionian Sea. The direct intrusion of the Medicane from the central Mediterranean Sea toward the Ionian Sea formed storm surges over several coastal areas, even before the storm’s landfall, due to the accompanying onshore currents. Storm surges in the order of 30 cm generated extensive flooding over lowland coastal areas, as confirmed by both satellite (Normalized Difference Water Index, NDWI) and numerical (coastal inundation modeling) data. Satellite-derived and simulated estimations showed that, in specific coastal regions, the run-up of seawater extended up to 200 m inland, depending on the hydraulic connectivity between the lowland areas, which determined the inundation extents during the storm surge. © 2023, The Author(s), under exclusive licence to Springer Nature B.V.</t>
  </si>
  <si>
    <t>2-s2.0-85149244538"</t>
  </si>
  <si>
    <t>Singapore Journal of Tropical Geography</t>
  </si>
  <si>
    <t>10.1111/sjtg.12476</t>
  </si>
  <si>
    <t>https://www.scopus.com/inward/record.uri?eid=2-s2.0-85148055244&amp;doi=10.1111%2fsjtg.12476&amp;partnerID=40&amp;md5=723bfffcb8a510b8472a505618213271</t>
  </si>
  <si>
    <t>Floods are a frequently occurring calamity in deltaic Bangladesh. This paper aims to assess the temporal expansion of waterbodies during flooding using geospatial techniques. Several water indices were applied to classify the satellite images at various temporal scales. Among them, the Normalized Difference Water Index (NDWI) showed the highest correlation (r = 0.831; where p = 0.01) with rainfall data. Specifically, the NDWI results showed that perennial waterbodies measured 37 km2 and 60 km2 in Sunamganj District in 2017 and 2019, respectively. The area of waterbodies notably increased 52-fold from March to April (37 km2 to 1958 km2) during the pre-monsoon flash flood of 2017. During the July 2019 monsoon flood, waterbodies started to extend after May and flooded 2784 km2 in area. NDVI analysis showed that in 2019, floodwater submerged 361.7 km2 of vegetation cover. At the same time, the Surma River's flooding resulted in a 73.9 per cent inundation of the total area of the Sunamganj District. We hope that this study will provide better understanding of the varying nature of floods that occur in the low lying bowl shaped Haor region which will in turn assist the government with flood mitigation.</t>
  </si>
  <si>
    <t>10.1007/s11069-023-05840-2</t>
  </si>
  <si>
    <t>https://www.scopus.com/inward/record.uri?eid=2-s2.0-85148033872&amp;doi=10.1007%2fs11069-023-05840-2&amp;partnerID=40&amp;md5=9770a9837a9c003a2160d448f7f0eb53</t>
  </si>
  <si>
    <t>Indian Sundarban is highly susceptible to tropical cyclones and resultant impacts such as storm surge-induced floods, embankment breaching, and saline water intrusion. It affects life and livelihood in severe ways. Mitigation and policy measures are therefore very important, based on information gathered at the grassroots level. Hence, this study is designed to assess inter-village variation in cyclone vulnerability, considering physical vulnerability, social vulnerability, and mitigation capacity. This study also highlights livelihood challenges faced by coastal dwellers. Geospatial and quantitative methods were used to assess the composite vulnerability index (CVI). Remote sensing data and climatic data were integrated to assess physical vulnerability and various socioeconomic data were incorporated to determine the social vulnerability. Moreover, an intensive field survey (2020–2021) was also conducted to understand the livelihood challenges of local people and accordingly suggest mitigation measures to cope with natural hazards. According to this analysis, nearly 18% of the total population living in the southern and eastern parts of the Matla–Bidya inter-estuarine area (MBI) are extremely vulnerable (CVI &gt; 0.544) due to their geographical location and high exposure to coastal hazards. Almost 51% of the total populations inhabited in 46% of the total MBI villages are experiencing high to moderate vulnerability. Conversely, MBI villages in the northern part, where 32% of the total population lives, show low vulnerability (CVI &lt; 0.387) due to less exposure and high resilience. Coastal low-lying villages are often hardest hit by tropical cyclones. Therefore, effective mitigation strategies and coping mechanisms are essentially needed to reduce the adverse impacts of cyclones. © 2023, The Author(s), under exclusive licence to Springer Nature B.V.</t>
  </si>
  <si>
    <t>2-s2.0-85148033872"</t>
  </si>
  <si>
    <t>10.3390/cli11030056</t>
  </si>
  <si>
    <t>https://www.scopus.com/inward/record.uri?eid=2-s2.0-85150958792&amp;doi=10.3390%2fcli11030056&amp;partnerID=40&amp;md5=22a173637e503c7c326bd0c89d9d11e0</t>
  </si>
  <si>
    <t>Extreme sea levels and coastal flooding are projected to be among the most uncertain and severe consequences of climate change. In response, a wide development of coastal vulnerability assessment methodologies has been observed in research to support societal resilience to future coastal flood risks. This work aims to explore the scope of application of index-based methodologies for coastal vulnerability assessment, in terms of their suitability to convey information on variations in climate variables potentially leading to sea-level changes and inundation. For this purpose, the InVEST Coastal Vulnerability model was coupled for the first time with the ERA5 reanalysis and used to develop a case study assessment of the biophysical exposure component of vulnerability to coastal flooding for Liguria, an Italian coastal region facing the Mediterranean Sea. Different scenarios of wind speed and wave power were created in order to test the sensitivity of this approach to climate data inputs. The results support the applicability of this approach to provide a preliminary grasp of local vulnerability to coastal inundation. Yet, this work also highlights how the method’s data aggregation and indicator computation processes result in its insensitivity to wind and wave variations, and therefore in its unsuitability to reproduce climate scenarios. The implications of these findings for research methodology and regarding the operationalisation of vulnerability assessment results are discussed. © 2023 by the authors.</t>
  </si>
  <si>
    <t>2-s2.0-85150958792"</t>
  </si>
  <si>
    <t>10.3390/rs15051425</t>
  </si>
  <si>
    <t>https://www.scopus.com/inward/record.uri?eid=2-s2.0-85149913199&amp;doi=10.3390%2frs15051425&amp;partnerID=40&amp;md5=146da61ef9dfb33e7d4e112665a27466</t>
  </si>
  <si>
    <t>In recent decades, climate change has led to global warming, glacier melting, glacial lake outbursts, sea level rising, and more extreme weather, and has seriously affected human life. Remote sensing technology has advanced quickly, and it offers effective observation techniques for studying and monitoring glaciers. In order to clarify the stage of research development, research hotspots, research frontiers, and limitations and challenges in glacier mass balance based on remote sensing technology, we used the tools of bibliometrics and data visualization to analyze 4817 works of literature related to glacier mass balance based on remote sensing technology from 1990 to 2021 in the Web of Science database. The results showed that (1) China and the United States are the major countries in the study of glacier mass balance based on remote sensing technology. (2) The Chinese Academy of Sciences is the most productive research institution. (3) Current research hotspots focus on “Climate change”, “Inventory”, “Dynamics”, “Model”, “Retreat”, “Glacier mass balance”, “Sea level”, “Radar”, “Volume change”, “Surface velocity”, “Glacier mapping”, “Hazard”, and other keywords. (4) The current research frontiers include water storage change, artificial intelligence, High Mountain Asia (HMA), photogrammetry, debris cover, geodetic method, area change, glacier volume, classification, satellite gravimetry, grounding line retreat, risk assessment, lake outburst flood, glacier elevation change, digital elevation model, geodetic mass balance, (DEM) generation, etc. According to the results of the visual analysis of the literature, we introduced the three commonly used methods of glacier mass balance based on remote sensing observation and summarized the research status and shortcomings of different methods in glacier mass balance. We considered that the future research trend is to improve the spatial and temporal resolution of data and combine a variety of methods and data to achieve high precision and long-term monitoring of glacier mass changes and improve the consistency of results. This research summarizes the study of glacier mass balance using remote sensing, which will provide valuable information for future research across this field. © 2023 by the authors.</t>
  </si>
  <si>
    <t>2-s2.0-85149913199"</t>
  </si>
  <si>
    <t>Development and Change</t>
  </si>
  <si>
    <t>10.1111/dech.12756</t>
  </si>
  <si>
    <t>https://www.scopus.com/inward/record.uri?eid=2-s2.0-85150356095&amp;doi=10.1111%2fdech.12756&amp;partnerID=40&amp;md5=0f5a2787a94bd6db62732afbce54dc54</t>
  </si>
  <si>
    <t>The imperative for vulnerable populations to adapt to greater environmental variability is increasing in lockstep with the onset of wide-ranging climate change impacts. However, while critical adaptation research emphasizes the necessity of addressing the underlying drivers of vulnerability to climate change, mainstream approaches to adaptation stress economic growth as a prerequisite for climate responses. Accordingly, capital-intensive adaptation measures promote competitiveness to spur economic growth in the Vietnamese Mekong Delta, where more than 18 million people face environmental hazards such as seawater intrusion, flood, drought and cyclones. This study evaluates competitiveness as a mandate for effective climate change adaptation. It finds that adaptation can advance either competition or vulnerability reduction, but it cannot logically or pragmatically pursue both. © 2023 The Authors. Development and Change published by John Wiley &amp; Sons Ltd on behalf of International Institute of Social Studies.</t>
  </si>
  <si>
    <t>2-s2.0-85150356095"</t>
  </si>
  <si>
    <t>10.1038/s41558-023-01595-7</t>
  </si>
  <si>
    <t>https://www.scopus.com/inward/record.uri?eid=2-s2.0-85148856483&amp;doi=10.1038%2fs41558-023-01595-7&amp;partnerID=40&amp;md5=0db41b1012e579f8f53d87b3069ce89e</t>
  </si>
  <si>
    <t>Two tropical cyclones (TCs) that make landfall close together can induce sequential hazards to coastal areas. Here we investigate the change in sequential TC hazards in the historical and future projected climates. We find that the chance of sequential TC hazards has been increasing over the past several decades at many US locations. Under the high (moderate) emission scenario, the chance of hazards from two TCs impacting the same location within 15 days may substantially increase, with the return period decreasing over the century from 10–92 years to ~1–2 (1–3) years along the US East and Gulf coasts, due to sea-level rise and storm climatology change. Climate change can also cause unprecedented compounding of extreme hazards at the regional level. A Katrina-like TC and a Harvey-like TC impacting the United States within 15 days of each other, which is non-existent in the control simulation for over 1,000 years, is projected to have an annual occurrence probability of more than 1% by the end of the century under the high emission scenario. © 2023, The Author(s).</t>
  </si>
  <si>
    <t>2-s2.0-85148856483"</t>
  </si>
  <si>
    <t>10.3390/rs15041035</t>
  </si>
  <si>
    <t>https://www.scopus.com/inward/record.uri?eid=2-s2.0-85149197857&amp;doi=10.3390%2frs15041035&amp;partnerID=40&amp;md5=d02f2cf66959197295ff38103c1861ed</t>
  </si>
  <si>
    <t>Coastal wetlands are located at the intersection of land and sea and provide extremely important ecological services. The coastal wetlands of estuarine harbors are representative parts of the coastal wetlands. Changes that occur in estuarine harbor wetlands are microcosms of the changes occurring in the coastal wetlands more generally. The coastal wetlands of Hainan Island, China, are coastal wetlands typical of tropical islands and are extremely sensitive to climate change. In the context of global sea level rise, studying the characteristics of spatial and temporal distribution of coastal wetlands on Hainan Island, as well as changes in their vulnerability, could provide scientific and technological support to address the adverse effects of climate change. Using nine typical estuarine harbor wetlands as target areas, this study systematically studies the spatial–temporal evolution of coastal wetlands on Hainan Island from 1990 to 2020. The results suggest the following: (1) The total area of coastal wetlands has remained relatively stable, but the area of artificial wetlands, especially aquaculture ponds, has increased significantly. There is a clear spatial variability in the changes in mangrove wetlands, with a clear increase in the area of areas with a high degree of protection, such as Dongzhai Harbor (DZG). The area of the areas with a high intensity of human activity has been significantly reduced, such as Bamen Bay (BMG). (2) The overall ecological risk of coastal wetlands is low, with the average wetland risk index (WRI) of all harbors being below 0.15. The higher the degree of protection, the lower the ecological risk of the area, such as DZG. Human activities are the main factor causing increased ecological risk in wetlands. (3) Climate-change-induced sea level rise and the intensification of human activities are the main determinants of future trends in the spatial distribution of coastal wetlands and wetland ecosystem stability. The results of this study provide guidance on the conservation and restoration of coastal wetlands. © 2023 by the authors.</t>
  </si>
  <si>
    <t>2-s2.0-85149197857"</t>
  </si>
  <si>
    <t>10.3389/feart.2023.1076732</t>
  </si>
  <si>
    <t>https://www.scopus.com/inward/record.uri?eid=2-s2.0-85180230140&amp;doi=10.3389%2ffeart.2023.1076732&amp;partnerID=40&amp;md5=b19d2db37c375cbce3edc17748623150</t>
  </si>
  <si>
    <t>Accurate estimates of glacier surface elevation changes are paramount for various aspects of the study of the cryosphere, from glacier flow and thickness estimates to hydrological forecasts and projections of sea-level-rise. We present a novel probabilistic framework to filter outliers and estimate uncertainties in glacier surface elevation changes computed from the subtraction of digital elevation models (DEM). Our methodology frames outlier filtering as a Bayesian inference problem, thus characterizing the state of knowledge on glacier surface elevation changes through the posterior distribution as the combination of glacier volume variation observations and prior knowledge arising from previously collected data and/or modeled results. We validate this technique with experiments using Gaussian random fields to generate artificial noise in glacier surface elevation variation observations and show that the model satisfactorily culls the simulated outliers. Surface elevation change estimates are consistent with results computed from widely-used outlier filtering and uncertainty estimation techniques. The Bayesian framework allows unifying DEM error models with physical considerations on glacier surface elevation changes within a simple, statistically coherent model preventing temporal correlation and additional biases in other techniques. On the basis of these results, we discuss the implications of DEM uncertainty and offer suggestions for the glaciological community. Copyright © 2023 Guillet and Bolch.</t>
  </si>
  <si>
    <t>2-s2.0-85180230140"</t>
  </si>
  <si>
    <t>10.3390/rs15041071</t>
  </si>
  <si>
    <t>https://www.scopus.com/inward/record.uri?eid=2-s2.0-85149255024&amp;doi=10.3390%2frs15041071&amp;partnerID=40&amp;md5=28973cc9d0e6cd9899de6f32651852a6</t>
  </si>
  <si>
    <t>In recent decades, in the Pre-Carpathian region of Ukraine during the summer period, floods and flood events became more frequent. They were accompanied by significant economic and environmental loss. Especially powerful were the floods of 2008 and 2020, but the floods in 2014 and 2016 also had destructive consequences. Therefore, the study of river channel processes, river stability and assessment of flooded land areas due to floods is an urgent problem. The aim of the study is to propose a methodology for hydrological modeling of sections of riverbeds with complex morphometric and hydrological characteristics. The construction of a digital elevation model (DEM) and the selection of the distance between the cross-sections, as well as the determination of the Manning coefficients, have the greatest impact on the accuracy of the modeling, so these factors should be given maximum weight when calibrating the model. The object of the study was the section of the Dniester River in Ukraine in the place of transition from the foothill part of the channel to the hilly–marshy part with complex meandering and significant shifts of the river. The methodology of hydrological modeling includes three principal components: construction of the DEM, determination of the type of underlying surface and determination of the level of water rise in the riverbed. The research was carried out on the basis of imaging from unmanned aerial vehicles (UAVs). In 2017, the imaging of a section of the Dniester riverbed was carried out in the summer during a period of significant vegetation growth, which affected the accuracy of determining the heights of the model points. According to the results of this imaging, the residual mean square (RMS) for determining the heights of the points exceeded the permissible value of the RMS (0.25–0.3 m) by two times. In 2021, imaging was performed in the autumn period when there was no leaf cover. The RMS of the DEM for 2021 imaging was 0.26 m. According to the results of the survey in 2017 and 2021, orthophotoplans were created, which were used to determine the planned displacements of the river bed and clarify the Manning coefficients, which characterize the roughness of the underlying surface. The value of the water level rise was obtained on the basis of the graph on the date of the maximum rise of the water level on 24 June 2020 according to the hydrometeorological station located near the selected area. The result of the research is hydrological modeling using the HEC-RAS module for a site with complex hydrological and morphometric characteristics on the date of the maximum water rise. It was established that in order to achieve the required accuracy of the DEM, imaging should be carried out in the leafless period of the year, since the accuracy of constructing the DEM decreases by half during the growing season. On the basis of the obtained orthophoto plans, a methodology for determining refined Manning coefficients was developed, which allows taking into account changes in the underlying surface of the channel area. The area of the flooded area was calculated based on the level of water rise during the 2020 flood. © 2023 by the authors.</t>
  </si>
  <si>
    <t>2-s2.0-85149255024"</t>
  </si>
  <si>
    <t>10.1007/s10584-022-03479-9</t>
  </si>
  <si>
    <t>https://www.scopus.com/inward/record.uri?eid=2-s2.0-85146887108&amp;doi=10.1007%2fs10584-022-03479-9&amp;partnerID=40&amp;md5=6da7e83a86b5b5af0ea1717a029a3f6c</t>
  </si>
  <si>
    <t>Elevated flood risk due to sea level rise is expected to increase migration from coastal areas. This presents an enormous policy challenge given the hundreds of millions of people living in low-lying coastal areas globally. Despite its relevance, little empirical research has been done on what drives coastal residents to migrate or stay under increased flood risk. This study aims to improve the knowledge base on this topic by collecting and analyzing unique survey data of flood-prone coastal residents in Central Vietnam. To explain permanent migration intentions under increased flood risk, we present respondents with realistic scenarios of more frequent severe flooding and utilize a theoretical framework that incorporates flood risk indicators as well as key indicators of sustainable livelihoods. Results indicate that flood risk could play a major role in future migration behavior</t>
  </si>
  <si>
    <t>10.1007/s12594-023-2295-z</t>
  </si>
  <si>
    <t>https://www.scopus.com/inward/record.uri?eid=2-s2.0-85147715937&amp;doi=10.1007%2fs12594-023-2295-z&amp;partnerID=40&amp;md5=e6d88e7e4a03fd78c8077639626fee9a</t>
  </si>
  <si>
    <t>Hypsometric integral (HI) has been widely used in Geomorphology study as an index to depict the recent and active structures for its sensitivity to the influence of tectonic and different lithology. The traditional methods to study HI often use drainage basins, this may be dependent on basin geometry and drainage area. To avoid this influence, HIs using two digital elevation models of 30 and 90 m of pixels resolution were calculated in Bailongjiang basin. The relations between relief amplitude, mean elevation and HI are also analysed in different analytical window. Meanwhile, spatial pattern analysis using Global Moran’s index and Getis-Ord Gi* index was applied to measure the spatial autocorrelation of HI and the distribution of hot spots. It can be concluded that spatial distributions of HI do not show clear spatial patterns and correlation with mean elevation and relief amplitude. HI are independent of the resolution of DEM and lithology but are scale influenced. The hot spots define the upliftment of the region and active faults in the upstream of Bailongjiang basin, the cold spots define tectonic inactivity or subsidence in the downstream of Bailongjiang and some river valley regions. © 2023, Geological Society of India, Bengaluru, India.</t>
  </si>
  <si>
    <t>2-s2.0-85147715937"</t>
  </si>
  <si>
    <t>10.5194/os-19-57-2023</t>
  </si>
  <si>
    <t>https://www.scopus.com/inward/record.uri?eid=2-s2.0-85147268675&amp;doi=10.5194%2fos-19-57-2023&amp;partnerID=40&amp;md5=699985abe4f0f40a2412ce49fbdc9ddd</t>
  </si>
  <si>
    <t>Identifying the causes for historical sea-level changes in coastal tide-gauge records is important for constraining oceanographic, geologic, and climatic processes. The Rio de la Plata estuary in South America features the longest tide-gauge records in the South Atlantic. Despite the relevance of these data for large-scale circulation and climate studies, the mechanisms underlying relative sea-level changes in this region during the past century have not been firmly established. I study annual data from tide gauges in the Rio de la Plata and stream gauges along the Rio Parana and Rio Uruguay to establish relationships between river streamflow and sea level over 1931-2014. Regression analysis suggests that streamflow explains 59%±17% of the total sea-level variance at Buenos Aires, Argentina, and 28%±21% at Montevideo, Uruguay (95% confidence intervals). A long-term streamflow increase effected sea-level trends of 0.71±0.35mmyr-1 at Buenos Aires and 0.48±0.38mmyr-1 at Montevideo. More generally, sea level at Buenos Aires and Montevideo respectively rises by (7.3±1.8)×10-6m and (4.7±2.6)×10-6m per 1m3s-1 streamflow increase. These observational results are consistent with simple theories for the coastal sea-level response to streamflow forcing, suggesting a causal relationship between streamflow and sea level mediated by ocean dynamics. Findings advance understanding of local, regional, and global sea-level changes</t>
  </si>
  <si>
    <t>10.3389/feart.2023.1258524</t>
  </si>
  <si>
    <t>https://www.scopus.com/inward/record.uri?eid=2-s2.0-85181870298&amp;doi=10.3389%2ffeart.2023.1258524&amp;partnerID=40&amp;md5=b12fced91c5784b0b453fca10fa5f828</t>
  </si>
  <si>
    <t>In the context of global climate warming and rising sea levels, the frequency of tropical cyclones in the South China Sea region has shown a significant upward trend in recent years. Consequently, the coastal areas of the South China Sea are increasingly vulnerable to storm surge disasters induced by typhoon, posing severe challenges to disaster prevention and mitigation in affected cities. Therefore, establishing a multi-indicator assessment system for typhoon storm surges is crucial to provide scientific references for effective defense measures against disasters in the region. This study examines 25 sets of typhoon storm surge data from the South China Sea spanning the years 1989–2020. A comprehensive assessment system was constructed to evaluate the damages caused by storm surges by incorporating the maximum wind speed of typhoons. To reduce redundancy among multiple indicators in the assessment system and enhance the stability and operational efficiency of the storm surge-induced disaster loss model, the entropy method and bootstrap toolbox were employed to process post-disaster data. Furthermore, the genetic simulated annealing algorithm was utilized to optimize a backpropagation neural network intelligent model (GSA-BP), enabling pre-assessment of the risks associated with storm surge disasters induced by typhoon and related economic losses. The results indicate that the GSA-BP model outperforms the genetic algorithm optimized BP model (GA-BP) and the simulated annealing algorithm-optimized BP model (SA-BP) in terms of predicting direct economic losses caused by storm surges. The GSA-BP model exhibits higher prediction accuracy, shorter computation time, and faster convergence speed. It offers a new approach to predicting storm surge losses in coastal cities along the South China Sea. Copyright © 2023 Zhang, Zhang, Shen, Ou and Zhang.</t>
  </si>
  <si>
    <t>2-s2.0-85181870298"</t>
  </si>
  <si>
    <t>10.3389/feart.2022.1038777</t>
  </si>
  <si>
    <t>https://www.scopus.com/inward/record.uri?eid=2-s2.0-85146845822&amp;doi=10.3389%2ffeart.2022.1038777&amp;partnerID=40&amp;md5=c8457ec5d4d3b494beddf6af1d94f92a</t>
  </si>
  <si>
    <t>Glacial lakes are a potential threat to the livelihoods and precious infrastructures in the Himalayan region. The expansion of these lakes under the influence of global warming further poses a grievous risk of natural disasters in the form of glacial lake outburst flood (GLOF) that necessitates regular monitoring to reduce and mitigate its implications. This research focuses on the regional scale distribution and evolution of glacial lakes in the Himalayan mountain range with their causes. We used Landsat thematic mapper (TM) and operational land imager (OLI) images, Google Earth imageries, Shuttle radar topographic mission (SRTM) Digital Elevation Model, and Aphrodite climatic data to study lake evolution and its controlling parameters. A total of the 5,409 glacial lakes was taken for the size expansion analysis, which excludes supraglacial lakes. An expansion rate of 2.98%/yr and 1.01%/yr in glacial lakes number and size was found from 1990 to 2020, respectively. The glacial lakes are distributed mainly in Langtang, Bhutan, Sikkim and Everest region</t>
  </si>
  <si>
    <t>10.1016/j.catena.2022.106758</t>
  </si>
  <si>
    <t>https://www.scopus.com/inward/record.uri?eid=2-s2.0-85141458939&amp;doi=10.1016%2fj.catena.2022.106758&amp;partnerID=40&amp;md5=afa59b31d9db142ba487ca30896202a3</t>
  </si>
  <si>
    <t>Tree-ring records from sites affected by underground mining provide valuable data on the long-term development of subsidence troughs. However, due to complexity of local conditions, it is unclear whether the surface displacements are actually the result of mining operations or shallow landslides caused by extreme rainfall. This paper compares surface movements at two nearby sites in the Upper Silesian Coal Basin (Central Europe) that have been affected by underground coal mining. Dendrogeomorphic data on subsidence-related movements were obtained from 360 increment cores (90 trees) of European larch (Larix decidua Mill.). Subsidence between 1966 and 2013 was calculated from the corresponding digital elevation models and the actual morphometric parameters of the sites were related to tree-ring records. The effect of precipitation on surface displacements was evaluated using logistic regression models incorporating rainfall data from a nearby meteorological station and dendrogeomorphic event years. The subsidence at the edges of subsidence troughs (study sites) between 1966 and 2013 reached 4–9 m, which is relatively low compared to nearby (5 km radius) directly undermined sites with subsidence up to 22 m. Most events were dated to the 1930s, 1970s, 1990s, and late 2000s with a peak of activity in 1973 and other noteworthy events in 1986, 1995, and 2009. Event years at the site with a flatter topography, and more waterlogged and clay soils are well explained by higher triennial precipitation and higher Simple daily intensity index, suggesting a possible influence of near-surface displacements on the chronology of recorded events, whereas the elevated site with step-block topography showed no relationship between precipitation extremes and event years. We concluded that not only the time of mining operation, but also the site-specific conditions are crucial for characterization of surface displacements in the forested post-mining landscape. © 2022 Elsevier B.V.</t>
  </si>
  <si>
    <t>2-s2.0-85141458939"</t>
  </si>
  <si>
    <t>Present Environment and Sustainable Development</t>
  </si>
  <si>
    <t>10.47743/pesd2023172003</t>
  </si>
  <si>
    <t>https://www.scopus.com/inward/record.uri?eid=2-s2.0-85202021691&amp;doi=10.47743%2fpesd2023172003&amp;partnerID=40&amp;md5=4ef40c48ade38ad4a6e2d730e299b872</t>
  </si>
  <si>
    <t>One of the main concerns and challenges of applied hydrology is estimating the peak flood discharge for an ungauged river. The method currently used in case of rivers with small catchment areas (less than 5 km²) is the Rational Formula as it had been proposed by Diaconu (1994) using the updated values of runoff coefficients presented by Miță (2019). Taking full advantage of the tools offered by the GIS software for digitizing the spatial information of the parameters related to a river and its catchment, this paper, for the first time in literature, approaches the Rational method as it is presented by Diaconu and Miță (1997), by means of an automated method based on GIS infrastructure, which greatly increases the accuracy of the results while significantly reducing the time needed to determine the end result. Therefore, using ArcMap software, one can create the necessary raster images based on DTM (30 m resolution), CLC 2018 shapefile and soil shapefile, an automated geoprocessing workflow with the help of Model Builder for extracting the necessary parameters for the Rational Formula, which will then be integrated in a custom Excel workbook that will generate the magnitude and frequency of peak discharge at the point of interest using a log-Pearson Type III probability distribution. This method has been applied on the Romanian catchment area of Siret river, but it can be used on almost all small river basins in Romania, because the given parameters and coefficients have been determined for the entire territory. © 2023 by the authors.</t>
  </si>
  <si>
    <t>2-s2.0-85202021691"</t>
  </si>
  <si>
    <t>10.1007/s00704-022-04349-1</t>
  </si>
  <si>
    <t>https://www.scopus.com/inward/record.uri?eid=2-s2.0-85145503361&amp;doi=10.1007%2fs00704-022-04349-1&amp;partnerID=40&amp;md5=967599a331c17e5ebd4fb6643b89aaa3</t>
  </si>
  <si>
    <t>This study aimed to provide broad insight into the long-term trends and periodicity of monthly and seasonal precipitation in Turkey and to evaluate their implications for sectoral water availability. Overall, Turkey’s monthly precipitation declined over the last five decades. While decreasing precipitation trends were dominant in the wet season, consistently increasing trends prevailed in the dry season. The monthly monotonic trends were marked by larger downward trends, especially in early winter and spring. The trend magnitudes in annual and wet season precipitation decreased from north to south and west to east, reaching a maximum value of 7.5 mm/year increase in the eastern Black Sea. The magnitude of dry season trends was much smaller but consistent across the country, varying by 1–5 mm/year. Monthly changes in the trend magnitudes varied between − 2.2 and 3.4 mm, reflecting both decrease and increase, respectively. The magnitude of the downward precipitation trends was higher in inland regions than in other regions. Spatial patterns in the trends evidenced that wet season precipitation variability largely governs annual precipitation variability. The wavelet spectrum indicated a strong annual signal for the monthly precipitation. The inland regions experienced the periodicity of wet years at much longer durations. An average 8-year periodicity was dominant for the annual precipitation, underlining its inter-annual variability and coincided well with the NAO spectrum. Assuming the identified trends persist in the future, a further increase in the magnitude of precipitation trends in coastal areas can enhance the flood risk. However, the precipitation decreases during the wet season are bound to have adverse consequences on sectoral-dependent water availability. © 2022, The Author(s), under exclusive licence to Springer-Verlag GmbH Austria, part of Springer Nature.</t>
  </si>
  <si>
    <t>2-s2.0-85145503361"</t>
  </si>
  <si>
    <t>10.3368/le.040721-0036R</t>
  </si>
  <si>
    <t>https://www.scopus.com/inward/record.uri?eid=2-s2.0-85150850987&amp;doi=10.3368%2fle.040721-0036R&amp;partnerID=40&amp;md5=d65803c2e7b221f751ac6fd51618ce7d</t>
  </si>
  <si>
    <t>We design a choice experiment to examine public preferences for coastal dune ecosystem restoration in the U.S. Pacific Northwest. Dunes are a public good whose natural state is now rare. Respondents are asked to choose among hypothetical projects that vary by project size, restoration quality, recreation access, flooding risk, and cost. Restoration quality is defined as closeness to the natural ecosystem. We find that increasing restoration quality results in significantly higher welfare gains than increasing the size of restoration area. Maintaining recreation access is preferred, and programs with recreation restrictions yield positive willingness to pay only if accompanied by the highest restoration quality. (JEL Q51, Q57) © 2023 by the Board of Regents of the University of Wisconsin System</t>
  </si>
  <si>
    <t>2-s2.0-85150850987"</t>
  </si>
  <si>
    <t>10.1007/s11069-022-05667-3</t>
  </si>
  <si>
    <t>https://www.scopus.com/inward/record.uri?eid=2-s2.0-85140087253&amp;doi=10.1007%2fs11069-022-05667-3&amp;partnerID=40&amp;md5=13930384249fa5fb38f06d0dba714090</t>
  </si>
  <si>
    <t>Tsunamis can cause massive damage and loss of life in coastal areas. This study uses Putuoshan Island as a case study to discuss ways to identify tsunami prevention zones based on the analysis of physical factors such as inundation, maximum wave amplitude, and tsunami flow. In the Ryukyu Trench Mw 9.0 tsunami scenario, the tsunami prevention zones of Putuoshan Island consist of land areas and marine areas. Our analysis identified two inundation areas in the western and southern Putuoshan Island as tsunami prevention zones. With the exception of the western marine area, the coastal waters of Putuoshan Island are also identified as tsunami prevention zones. The tsunami flow impact is greater in the waters of north and south Putuoshan Island. The results of this study could be used by emergency departments to take protective measures and thus to prevent the disastrous effects of tsunamis. © 2022, The Author(s), under exclusive licence to Springer Nature B.V.</t>
  </si>
  <si>
    <t>2-s2.0-85140087253"</t>
  </si>
  <si>
    <t>10.5194/nhess-23-375-2023</t>
  </si>
  <si>
    <t>https://www.scopus.com/inward/record.uri?eid=2-s2.0-85147904663&amp;doi=10.5194%2fnhess-23-375-2023&amp;partnerID=40&amp;md5=b6020bd936d9edc9a3528855c8b9da6e</t>
  </si>
  <si>
    <t>In urban areas, topography data without above-ground objects are typically preferred in wide-Area flood simulation but are not yet available for many locations globally. High-resolution satellite photogrammetric DEMs, like ArcticDEM, are now emerging and could prove extremely useful for global urban flood modelling</t>
  </si>
  <si>
    <t>10.3389/fenvs.2022.1037547</t>
  </si>
  <si>
    <t>https://www.scopus.com/inward/record.uri?eid=2-s2.0-85146638714&amp;doi=10.3389%2ffenvs.2022.1037547&amp;partnerID=40&amp;md5=30a4577bdd8c725644c373a12fc25dee</t>
  </si>
  <si>
    <t>The landscape of Pakistan is vulnerable to flood and periodically affected by floods of different magnitudes. The aim of this study was aimed to assess the flash flood susceptibility of district Jhelum, Punjab, Pakistan using geospatial model and Frequency Ratio and Analytical Hierarchy Process. Also, the study considered eight most influential flood-causing parameters are Digital Elevation Model, slop, distance from the river, drainage density, Land use/Land cover, geology, soil resistivity (soil consisting of different rocks and soil formation) and rainfall deviation. The rainfall data was collected from weather stations in the vicinity of the study area. Estimated weight was allotted to each flood-inducing factors with the help of AHP and FR. Through the use of the overlay analysis, each of the factors were brought together, and the value of drainage density was awarded the maximum possible score. According to the study several areas of the region based on the parameters have been classified in flood zones viz, very high risk, high risk, moderate risk, low risk, and very low risk. In the light of the results obtained, 4% of the study area that accounts for 86.25 km2 is at high risk of flood. The areas like Bagham, Sohawa, Domeli, Turkai, Jogi Tillas, Chang Wala, Dandot Khewra were located at the very high elevation. Whereas Potha, Samothi, Chaklana, Bagrian, Tilla Jogian, Nandna, Rawal high-risk zones and have been damaged badly in the flood history of the area. This study is the first of its kind conducted on the Jhelum District and provides guidelines for disaster management authorities and response agencies, infrastructure planners, watershed management, and climatologists. Copyright © 2023 Majeed, Lu, Anwar, Tariq, Qin, El-Hefnawy, El-Sharnouby, Li and Alasmari.</t>
  </si>
  <si>
    <t>2-s2.0-85146638714"</t>
  </si>
  <si>
    <t>10.3389/feart.2023.1332589</t>
  </si>
  <si>
    <t>https://www.scopus.com/inward/record.uri?eid=2-s2.0-85182660331&amp;doi=10.3389%2ffeart.2023.1332589&amp;partnerID=40&amp;md5=ba5c364fcd69152ff86bc0b36f745121</t>
  </si>
  <si>
    <t>Understanding the influence of the hydrological regime changes, encompassing both the duration and spatial extent of floods, is explored, through this paper, in the context of the complex interactions of the geological, geomorphological and climate change conditions. Integrating these parameters and their combined influence becomes paramount for effective flood risk management and disaster prevention, as highlighted in the broader context of the study’s conclusions. Over the past decade, despite prevailing drought conditions in North African countries, the Mejerda Valley in Tunisia has experienced several major flood events. The valley geomorphological history is presented, within the landscape evolution. This study explores the use of Sentinel-1 radar data for detecting and managing floods in the region, with a particular emphasis on the vulnerability of the Lower Mejerda Valley. Sentinel-1 radar data, owing to their continuous monitoring capabilities independent of weather conditions, prove highly effective in tracking the temporal evolution of floods and accurately mapping the extent of affected areas. The methodology utilized in this study has proven to be highly effective in accurately identifying areas susceptible to flooding, both spatially and temporally. In generating classified flood images, water objects are highlighted by applying a specific formula. The study delves into significant flood events in the Mejerda Valley, including occurrences in 2015, 2017, 2019, and 2020, examining their profound impacts on various regions. For instance, the floods of 2015 recorded precipitation levels reaching up to 141 mm, contributing to the overall understanding of flood evolution in the region. In conclusion, the Mejerda Delta’s relief is primarily due to tectonism, influencing both Mio-Pliocene and Quaternary processes, shaping the current delta configuration. The Valley’s topography results from extensive geomorphological evolution, with the eastward shoreline advance leading to the formation of sebkhas and lagoons, indicators of high flood risk, supported by detailed flood event analysis. Moreover, The climate change and anthropic activity are non-negligible parameters influencing flood occurrence and intensity. Copyright © 2024 Khemiri, Katlane, Khelil, Gaidi, Ghanmi and Zargouni.</t>
  </si>
  <si>
    <t>2-s2.0-85182660331"</t>
  </si>
  <si>
    <t>Acta Montanistica Slovaca</t>
  </si>
  <si>
    <t>10.46544/AMS.v28i4.19</t>
  </si>
  <si>
    <t>https://www.scopus.com/inward/record.uri?eid=2-s2.0-85191685805&amp;doi=10.46544%2fAMS.v28i4.19&amp;partnerID=40&amp;md5=b770e4f44d4d9112f2f3f0cb71b1c1e2</t>
  </si>
  <si>
    <t>Extreme hydrological events such as tsunamis, high tides, or storm surges seriously threaten coastal communities. These events result in flooding, property damage, loss of life, and long-term economic and social impacts. Therefore, monitoring and detecting extreme hydrological events significantly affect coastal areas in disaster response efforts. However, the cost of installing and maintaining these stations can be a significant challenge for developing countries. The objective of this study is to use a low-cost GNSS receiver to monitor tides and detect extreme coastal hydrological phenomena by analyzing changes in water level, using analysis of the signal-to-noise ratio (SNR) data. Data used in this study were collected from a GNSS station located in the Tam Giang Lagoon area, Thua Thien Hue, Vietnam, from September to October 2022. The water level based on GNSS-R is compared with the sensor's measured water level, with the Pearson correlation coefficient reaching 0.96 and RMSE of 0.08m. Continuous Wavelet Transform analysis demonstrated the relationship between water levels and extreme hydrological events. The results show that distinct signatures in the data correspond to the Noru typhoon from September 27-29, 2022, and the inundation from October 14-19, 2022, in Thua Thien Hue. This information is the basis for forecasting and early warning of extreme events and informing disaster response and management efforts. © 2023 by the authors.</t>
  </si>
  <si>
    <t>2-s2.0-85191685805"</t>
  </si>
  <si>
    <t>10.1080/02626667.2023.2269909</t>
  </si>
  <si>
    <t>https://www.scopus.com/inward/record.uri?eid=2-s2.0-85176941761&amp;doi=10.1080%2f02626667.2023.2269909&amp;partnerID=40&amp;md5=7c5c8d0803f109fd0a1919c2e3407942</t>
  </si>
  <si>
    <t>Recent studies show how geomorphic descriptors, retrieved from digital elevation models (DEMs), can be used for flood hazard mapping. As they strictly depend on the accuracy of the input DEMs and reference flood hazard maps used for training, DEM-based flood hazard models may display severe inconsistencies. Our study shows the application of two advanced DEM-based models to a large study area, and presents two main innovative points. First, the delicate tasks of appropriately selecting the input DEM and flood hazard map are specifically addressed with newly defined methods. Second, the ability of DEM-based models to exploit their natural features to enhance flood hazard mapping over the study region is investigated. Our results show (a) the benefits of considering multiple geomorphic descriptors, (b) the potential of DEM-based models for completing the information of imperfect reference flood hazard maps, and (c) the advantages of continuous representation of hazard over binary flood maps. © 2023 The Author(s). Published by Informa UK Limited, trading as Taylor &amp; Francis Group.</t>
  </si>
  <si>
    <t>2-s2.0-85176941761"</t>
  </si>
  <si>
    <t>10.3390/geosciences13020059</t>
  </si>
  <si>
    <t>https://www.scopus.com/inward/record.uri?eid=2-s2.0-85148767220&amp;doi=10.3390%2fgeosciences13020059&amp;partnerID=40&amp;md5=7bb769071dc36b278a27d89f9ae52fb4</t>
  </si>
  <si>
    <t>Shoreline change and coastal erosion resulting from natural events such as sea level rise and negative anthropogenic activities continue to be problems in many of the world’s coastal regions. Many coastal socio-ecological systems have become vulnerable as a result, especially in developing countries with less adaptive capacity. We utilized the systematic method to understand the research progress and policy recommendations on shoreline change and coastal erosion in West Africa. A total of 113 documents were retrieved from Scopus and the Web of Sciences databases, and 43 documents were eligible following established criteria. It was revealed that research on shoreline change and coastal erosion has progressed substantially since 1998, with most research studies originating from the Ghanaian territory. Again, most of the shoreline change and erosion problems in West Africa result from natural events such as sea level rise. However, there was evidence of anthropogenic influences such as sand mining, dam construction, and human encroachment causing shoreline change and erosion in the region. Research in the region has also progressed in terms of methodological approaches. Since 2004, researchers have utilized remote sensing and GIS techniques to source and analyze shoreline change and erosion. However, a combination of remote sensing and field observation approaches is required to clearly depict the erosion problems and aid policy direction. The overall call to action regarding policy recommendations revolves around improving coastal adaptation measures and the resilience of communities, instituting proper coastal zone management plans, and improving shoreline change and coastal erosion research. To protect lives and property, policymakers in the region need to set up good coastal zone management plans, strengthen adaptation measures, and make coastal communities more resistant to possible risks. © 2023 by the authors.</t>
  </si>
  <si>
    <t>2-s2.0-85148767220"</t>
  </si>
  <si>
    <t>10.1007/s11069-022-05683-3</t>
  </si>
  <si>
    <t>https://www.scopus.com/inward/record.uri?eid=2-s2.0-85140993371&amp;doi=10.1007%2fs11069-022-05683-3&amp;partnerID=40&amp;md5=f9468b6aa155b63e06dbdbded0bcd47d</t>
  </si>
  <si>
    <t>In the context of climate change and urbanization, flood becomes one of the most important threats to human life, health, and property. Coastal areas gathering large numbers of population, capital, and industries are vulnerable to suffering from the compound floods caused by hydrological and oceanic processes. The disaster mechanisms of compound floods are more complex, and the consequences are even more serious. Based on the existing research results, this article sorts out the main disaster mechanisms of compound floods in coastal areas and explains the main methods, including using statistical models to study the dependence between flood drivers or joint probability and numerical models to simulate compound flood inundation, and presents the characteristics of different methods. We also discuss the advantages and disadvantages of different models and analyze their uncertainties. Current research seldom considers the rainfall-runoff-storm surge compound flood and the effect of climate change. In addition, there are only a few kinds of literature that integrate statistical models and numerical models to investigate compound flood hazard. Uncertainties in compound flood study methods are also less considered. Future investigation should focus on the characteristics and uncertainties of different models and consider the impact of climate change on compound floods. These will help to fully understand compound floods, research models, and provide effective opinions for flood management in coastal areas. © 2022, The Author(s), under exclusive licence to Springer Nature B.V.</t>
  </si>
  <si>
    <t>2-s2.0-85140993371"</t>
  </si>
  <si>
    <t>10.1007/s11852-022-00928-6</t>
  </si>
  <si>
    <t>https://www.scopus.com/inward/record.uri?eid=2-s2.0-85146290042&amp;doi=10.1007%2fs11852-022-00928-6&amp;partnerID=40&amp;md5=e4a59aadd367530863ef611cc5732759</t>
  </si>
  <si>
    <t>Coastal landscapes, including coastal wetlands around the world, are increasingly facing devastating threats and disasters due to land use and land cover (LULC) changes and coastal processes occasioned by climate change. The coastal zone of Keta and the municipality in general are affected by human activities and geomorphological processes such as sea erosion and flooding which are upsetting the condition of the coastal wetland, the vegetal cover and other landscape features of the locality. The rationale of the study was to estimate the transformations in LULC in the wetlands and general landscape from 1991 to 2018 and investigate the driving forces behind the LULC changes. This can help wetlands managers to develop well-tailored policies towards sustainable management of wetlands in Ghana. To achieve this, the study carried out a LULC analysis using Landsat data of 1991, 2005 and 2018. The study established that, there has been a changing pattern in the major LULC types, except for bare lands. Wetlands reduced in coverage from 182.33 km2 to 135.11 km2 while farmlands showed a continuous increase in landmass. Increased anthropogenic activities such as urbanization, farming and geomorphic processes such as sea erosion and tidal inundation owing to climate change are the key drivers of the transformations of the landscape of the locality. Enforcement of the national wetlands conservation policy, planting of mangroves in the wetlands and the afforestation of other degraded lands of the municipality will restore the ecosystem and protect the landscape. © 2023, The Author(s), under exclusive licence to Springer Nature B.V.</t>
  </si>
  <si>
    <t>2-s2.0-85146290042"</t>
  </si>
  <si>
    <t>Hydro International</t>
  </si>
  <si>
    <t>https://www.scopus.com/inward/record.uri?eid=2-s2.0-85182584818&amp;partnerID=40&amp;md5=b1d80d2bd34b0f20767ef587bcb82a36</t>
  </si>
  <si>
    <t>In many places around the world, data clearly shows a rise in sea level. In low-lying coastal areas, even small increases when coupled with high tides and storm surges can have devastating consequences. Hydrography can provide a range of technological and data solutions for monitoring changes, pinpointing vulnerable areas and preparing for the future. Digital data standards developed by the IHO can also help to tackle the large quantity of ocean data generated. © 2023 Geomares Publishing. All rights reserved.</t>
  </si>
  <si>
    <t>2-s2.0-85182584818"</t>
  </si>
  <si>
    <t>Computation</t>
  </si>
  <si>
    <t>10.3390/computation11020027</t>
  </si>
  <si>
    <t>https://www.scopus.com/inward/record.uri?eid=2-s2.0-85148702421&amp;doi=10.3390%2fcomputation11020027&amp;partnerID=40&amp;md5=3ac2ed0e8ebae67430d2c6e2cc3ea022</t>
  </si>
  <si>
    <t>Flooding events have been negatively affecting the Republic of Kazakhstan, with higher occurrence in flat parts of the country during spring snowmelt in snow-fed rivers. The current project aims to assess the flood hazard reduction capacity of Alva irrigation system, which is located in the interfluve area of Yesil and Nura Rivers. The assessment is performed by simulating spring floods using HEC-RAS 2D and controlling the gates of the existing system. A digital elevation model of the study domain was generated by integration of Sentinel-1 radar images with the data obtained from bathymetrical survey and aerial photography. Comparison of the simulated inundation area with a remote sensing image of spring flood in April 2019 indicated that the main reason for differences was due to local snowmelt in the study domain. Exclusion of areas flooded by local snowmelt, which were identified using the updated DEM, from comparison increased the model similarity to 70%. Further simulations of different exceedance probability hydrographs enabled classification of the study area according to maximum flood depth and flood duration. Theoretical changes on the dam crest as well as additional gates were proposed to improve the system capacity by flooding agriculturally important areas, which were not flooded during the simulation of the current system. The developed model could be used by local authorities for further development of flood mitigation measures and assessment of different development plans of the irrigation system. © 2023 by the authors.</t>
  </si>
  <si>
    <t>2-s2.0-85148702421"</t>
  </si>
  <si>
    <t>10.3389/feart.2023.1091595</t>
  </si>
  <si>
    <t>https://www.scopus.com/inward/record.uri?eid=2-s2.0-85148623776&amp;doi=10.3389%2ffeart.2023.1091595&amp;partnerID=40&amp;md5=16d8aced3dab0d7a88b4921babab7b44</t>
  </si>
  <si>
    <t>At 00:43 UTC on 27 July 2022, a 15-km deep major earthquake with magnitude (Mw) 7.0 struck Northwestern Luzon, Philippines. The strongest ground shaking felt was at PHIVOLCS Earthquake Intensity Scale (PEIS) VII (destructive), equivalent to Modified Mercalli Intensity (MMI) VII, in Abra and along the coastal areas of Ilocos Sur. More than a thousand landslides, rockfalls and tension cracks were mapped, near the epicentral region, in the northwestern part of the Central Cordillera. Most of the landslides were shallow-seated, many of which were situated along road cuts. Liquefaction manifested as lateral spreads, sand boils, fissures, ground subsidence, and localized swelling was documented along the coastal areas of Ilocos Sur and river channels in Abra and Ilocos Sur. Sea level disturbance was also observed in some coastal areas of Ilocos Sur and La Union. Damages to buildings and infrastructures were documented in areas that experienced PEIS VI (very strong), equivalent to MMI VI and PEIS VII (destructive). Earthquake data, including hypocentral location, aftershock distribution, focal mechanism solutions and strong motion data, and InSAR observation indicate that the earthquake was generated by an almost north-south striking reverse left-lateral oblique fault that is gently dipping to the east. There is no clear indication of a surface rupture based on InSAR analysis and field investigation. The spatial distribution of geologic impacts, such as earthquake-induced landslides and liquefaction, is strongly controlled by the causative fault, the direction of rupture propagation and geology. Peak ground acceleration (PGA) records show a unidirectional rupture propagation and are congruent with the spatial distribution of earthquake impacts. Although earthquake parameters, deformation analysis and field data suggest that the Abra River Fault is the probable causative fault, the derived geometry and kinematics from the seismotectonic analysis challenge our existing understanding of the nature of the Abra River Fault, as well as the other segments of the Philippine Fault. The need to understand these earthquake sources in the country is needed for a better seismic hazard and risk assessment. Copyright © 2023 Perez, Llamas, Dizon, Buhay, Legaspi, Lagunsad, Constantino, De Leon, Quimson, Grutas, Pitapit, Rocamora and Pedrosa.</t>
  </si>
  <si>
    <t>2-s2.0-85148623776"</t>
  </si>
  <si>
    <t>10.1016/j.scitotenv.2022.160483</t>
  </si>
  <si>
    <t>https://www.scopus.com/inward/record.uri?eid=2-s2.0-85142491721&amp;doi=10.1016%2fj.scitotenv.2022.160483&amp;partnerID=40&amp;md5=9ef41daaa94848b797066096e4e3e3ff</t>
  </si>
  <si>
    <t>Globally, sea-level rise (SLR) is a major environmental challenge for coastal ecosystems. Of particular concern are the impacts on intertidal wetlands, the loss of which would have detrimental consequences for both human and ecological communities. On the south-east Australian coast, case studies suggest that the future of intertidal wetlands will greatly depend on landward migration as surface accretion may not keep up with the predicted SLR in many estuaries. However, due to differences in geomorphological settings and land-use, estuaries vary in their capacity to accommodate lateral migration. Regional scale assessment of the lateral accommodation space is therefore critical for pre-emptive planning to conserve these valuable coastal ecosystems. In this study, we analysed wetland lateral accommodation space distribution within 110 estuaries under three SLR scenarios and three land management options on the New South Wales coast, south-east Australia. From the wetland distribution predictions, we calculated and mapped the lateral accommodation space in each estuary associated with each sea level and land use scenario. We further investigated the relationships between wetland migration capacity, intertidal hypsometry represented by elevation skewness, and estuary type within a Bayesian analysis framework. Our results showed that while a few large riverine estuaries dominated the state's total accommodation space, saline wetlands were at risk of disappearing from most intermittently closed-open estuaries if they cannot vertically accrete at the pace of SLR. These distinct responses to SLR are due to different elevation distributions. Furthermore, our assessment of land use adaptation options suggested that the promotion of landward migration without impairing other important ecosystems could be achieved by making low intensity land uses available within several riverine estuaries and barrier (open entrance) estuaries. Through identifying migration opportunities and barriers, the findings of the study could support regional scale adaptation strategies to ensure the sustainability of wetland-associated ecosystem goods and services. © 2022</t>
  </si>
  <si>
    <t>2-s2.0-85142491721"</t>
  </si>
  <si>
    <t>10.4401/ag-8982</t>
  </si>
  <si>
    <t>https://www.scopus.com/inward/record.uri?eid=2-s2.0-85186192566&amp;doi=10.4401%2fag-8982&amp;partnerID=40&amp;md5=620a376a6c971826bc8c7763bcfcf8a2</t>
  </si>
  <si>
    <t>Stromboli is a volcanic island in a persistent state of activity, located in the Tyrrhenian Sea off the northern coast of Sicily. During the night of 25 and 26 May 2022, a massive human-caused wildfire destroyed most of the vegetation cover on the NE flank of the island, just above the main village. On 12 August 2022, a particularly heavy rainfall event remobilized the loose volcaniclastic deposits that covered the burned volcanic flank, no longer protected by the vegetation. This event triggered several debris flows that were channeled by the roads and flooded several streets and buildings, causing severe damage to the village. In late-March 2023, just before the large spring vegetation growth, we conducted an Unmanned Aerial System (UAS) photogrammetric campaign over a sector of the NE flank of Stromboli Island, to acquire data on an area massively affected by the wildfire first and by the debris flows later. Here we present and share with the scientific community and civil authorities the results of this UAS campaign, which consists of a 1.4 km2 wide 10 cm-resolution Digital Surface Model (DSM) and 1.6 cm-resolution orthomosaic. These data clearly show the dramatic consequences of the 2022 tragic events at Stromboli. We also produced an elevation difference map by comparing the 2023 DSM here generated and the 2012 LiDAR DEM to provide a first overview of the thickness of the deposits that were removed from the Stromboli NE flank. © 2023, Editrice Compositori s.r.l.. All rights reserved.</t>
  </si>
  <si>
    <t>2-s2.0-85186192566"</t>
  </si>
  <si>
    <t>10.1016/j.jafrearsci.2022.104803</t>
  </si>
  <si>
    <t>https://www.scopus.com/inward/record.uri?eid=2-s2.0-85147118187&amp;doi=10.1016%2fj.jafrearsci.2022.104803&amp;partnerID=40&amp;md5=9cb9651df2d3c72ab0b1de0477758e41</t>
  </si>
  <si>
    <t>Documented opposite rotations of the Victoria and Rovuma Microplates in the East African Rift (EAR) are compared to opposite microplate rotations in backarc basins related to subduction rollback. Counter-clockwise rotation of the Victoria Microplate implies northward propagation should occur on the Lakes Rukwa/Tanganyika portion of the Western Branch of the EAR despite the orthodox view that southerly propagation occurs there. A compilation of evidence for propagation including volcanic isotopic ages, border fault throws, subsidence and sediment thickness and age shows northwestern younging of volcanics from 25.9 to 0 Ma at Rungwe southeast of Lake Rukwa to 5.8–2.6 Ma ages at Mwenga-Kamituga, northern end of Lake Tanganyika, and north propagation in Rusizi to Kivu, and Virunga to Toro Ankole segments. Predicted southerly propagation on the Lake Malawi Rift is supported by southerly decreasing border fault throws and sediment isopachs. Where the southern Victoria Microplate meets the northern Rovuma Microplate, rather than a simple strike slip interface as previously modelled, a triangular rift basin develops widening to the ENE and narrowing to the WSW. Seismicity, digital elevation models and a new geological map indicate this is represented by the combined Ruhuhu/Kilombero/Kilosa/Ruvu/Rufiji Rift complex. © 2022 Elsevier Ltd</t>
  </si>
  <si>
    <t>2-s2.0-85147118187"</t>
  </si>
  <si>
    <t>10.1080/10106049.2023.2285354</t>
  </si>
  <si>
    <t>https://www.scopus.com/inward/record.uri?eid=2-s2.0-85178247133&amp;doi=10.1080%2f10106049.2023.2285354&amp;partnerID=40&amp;md5=e1a4a04424f36d86f3f1a9542663bdbe</t>
  </si>
  <si>
    <t>Coastal wetlands are predicted to undergo extensive transformation due to climate and land use change. Baseline maps of coastal wetlands can be used to help assess changes. Found in the upper portion of the estuarine zone, high marsh and salt pannes/flats provide ecosystem goods and services and are particularly important to fish and wildlife. We developed the first map of high marsh and salt pannes/flats along the northern Gulf of Mexico using regional models that included spectral indices related to greenness and wetness from optical satellite imagery, elevation data, irregularly flooded wetland probability information, and synthetic aperture radar backscatter. We found the greatest relative coverage of high marsh along the Texas coast (30% to 65%) and the Florida Panhandle (40%), whereas the greatest relative coverage of salt pannes/flats was along the lower Texas coast (74%) and the middle Texas coast (15%). As part of this effort, we also developed a map that highlighted irregularly flooded wetlands dominated by Juncus roemerianus (black needlerush) for part of the study area. Both maps had an overall accuracy of around 80%. Our results advance the understanding of estuarine marsh zonation and provide a baseline for assessing future transformations. © This work was authored as part of the Contributor’s official duties as an Employee of the United States Government and is therefore a work of the United States Government. In accordance with 17 U.S.C. 105, no copyright protection is available for such works under U.S. Law.</t>
  </si>
  <si>
    <t>2-s2.0-85178247133"</t>
  </si>
  <si>
    <t>10.1029/2022WR033603</t>
  </si>
  <si>
    <t>https://www.scopus.com/inward/record.uri?eid=2-s2.0-85148730925&amp;doi=10.1029%2f2022WR033603&amp;partnerID=40&amp;md5=46956afd4d1c5606d99e8d344aae0975</t>
  </si>
  <si>
    <t>Estimating the exposure of the coastal systems to natural hazards using coastal vulnerability models, which benefits from index-based approaches and utilize information about the characteristics of the system, has become extensively adopted in the past few decades in coastal management and planning. However, the explanatory power of index-based approaches and subjective selection of vulnerability factors are still in dispute. This study aims to introduce a stochastic coastal vulnerability model and assess its skill in characterizing and preserving simultaneous information about various comprising factors. Two common coastal vulnerability indices, Additive Coastal Vulnerability Index and Multiplicative Coastal Vulnerability Index are formed, and then their performances are compared to the proposed Probabilistic Coastal Vulnerability Index (PCVI) for the coastal counties of South Carolina. PCVI is developed based on the joint-probability analysis of vulnerability factors using copula functions, which makes it capable of preserving the importance of multivariate information, and in turn, forms a more informative index. The performance of indices is benchmarked against post-hazard flood maps and the cost of fatalities from Hurricane Florence (2018) and Hurricane Matthew (2016). The PCVI revealed more accurate results in terms of explaining the importance of vulnerability associated with biophysical and socio-economic factors. The capability of PCVI to preserve multivariate vulnerability information offers a more pragmatic approach to reflect the exposure and adaptive capacity of coastal communities facing coastal hazards. © 2023. The Authors.</t>
  </si>
  <si>
    <t>2-s2.0-85148730925"</t>
  </si>
  <si>
    <t>Tourism Geographies</t>
  </si>
  <si>
    <t>10.1080/14616688.2023.2269555</t>
  </si>
  <si>
    <t>https://www.scopus.com/inward/record.uri?eid=2-s2.0-85174140247&amp;doi=10.1080%2f14616688.2023.2269555&amp;partnerID=40&amp;md5=3432a4c40c01d2774262a729179c5e07</t>
  </si>
  <si>
    <t>Second homes are essential resources for tourism and recreation. Climate change is projected to transform tourism geographies and threaten economic and recreational activities. Based on building and housing register data and national models for climate change hazards, this paper investigates whether second homes in Denmark are potentially affected. Five different hazards are used to describe climate risk based on the RCP8.5 scenario: sea level rise, storm surge events, coastal erosion, flooding from watercourses, and terrestrial groundwater. It is estimated that between 2020 and 2070 a significant number of second homes will potentially be affected by one or more of these hazards, with terrestrial groundwater being the most frequent. GIS-analysis shows the detailed geographical distribution of the affected second homes, while regional grouping highlights the most affected regions. A compound risk analysis demonstrates that a significant proportion (approximately 25%) of the Danish second homes will be affected by either one or more hazards. The analysis thereby highlights how amenity rich geographies are threatened by climate change, which could cause these areas to become risk prone. This provides a background for discussing the implications for land use policy of transforming geographies. The article highlights a need for strategic planning and active engagement with second to protect the recreational potential of second homes and local economies in coastal zones. © 2023 Informa UK Limited, trading as Taylor &amp; Francis Group.</t>
  </si>
  <si>
    <t>2-s2.0-85174140247"</t>
  </si>
  <si>
    <t>10.1016/j.scitotenv.2022.160293</t>
  </si>
  <si>
    <t>https://www.scopus.com/inward/record.uri?eid=2-s2.0-85142199375&amp;doi=10.1016%2fj.scitotenv.2022.160293&amp;partnerID=40&amp;md5=92052be254309554873d8fc2fde3b62b</t>
  </si>
  <si>
    <t>With increasing storminess and incessant sea-level rise, coastal erosion is becoming a primary issue along many littorals in the world. To cope with present and future climate change scenarios, it is important to map the shoreline position over years and assess the coastal erosion trends to select the best risk management solutions and guarantee a sustainable management of communities, structures, and ecosystems. However, this objective is particularly challenging on gentle-sloping sandy coasts, where also small sea-level changes trigger significant morphological evolutions. This study presents a multidisciplinary study combining satellite images with Machine Learning and GIS-based spatial tools to analyze short-term shoreline evolution trends and detect erosion hot-spots on the Venice coast over the period 2015–2019. Firstly, advanced image preprocessing, which is not frequently adopted in coastal erosion studies, was performed on satellite images downloaded within the same tidal range. Secondly, different Machine Learning classification methods were tested to accurately define shoreline position by recognizing the land-sea interface in each image. Finally, the application of the Digital Shoreline Analysis System tool was performed to evaluate and visualize coastal changes over the years. Overall, the case study littoral reveals to be stable or mainly subjected to accretion. This is probably due to the high presence of coastal protection structures that stabilize the beaches, enhancing deposition processes. In detail, with respect to the total length of the considered shoreline (about 83 km), 5 % of the coast is eroding, 36 % is stable, 52 % is accreting and 7 % is not evaluable. Despite a significant coastal erosion risk was not recognized within this region, well-delimited erosion hot-spots were mapped in correspondence of Caorle, Jesolo and Cavallino-Treporti municipalities. These areas deserve higher attention for territorial planning and prioritization of adaptation measures, facing climate change scenarios and sea-level rise emergencies in the context of Integrated Coastal Zone Management. © 2022 Elsevier B.V.</t>
  </si>
  <si>
    <t>2-s2.0-85142199375"</t>
  </si>
  <si>
    <t>10.1029/2022GL100191</t>
  </si>
  <si>
    <t>https://www.scopus.com/inward/record.uri?eid=2-s2.0-85146111946&amp;doi=10.1029%2f2022GL100191&amp;partnerID=40&amp;md5=003dac865e659957ea209a98f2198756</t>
  </si>
  <si>
    <t>Recent studies have focused on the effect of large tropical cyclones (hurricanes) on the shore, neglecting the role of less intense but more frequent events. Here we analyze the effect of the offshore tropical storm Melissa on groundwater data collected along the North America Atlantic coast. Our meta-analysis indicates that both groundwater level and specific conductivity significantly increased during Melissa, respectively reaching maximum values of 1.09 m and 25.2 mS/cm above pre-storm levels. Time to recover to pre-storm levels was 10 times greater for groundwater specific conductivity, with a median value of 20 days, while groundwater level had a median recovery time of 2 days. A frequency-magnitude analysis indicates that the percent of time with salinization is higher for Melissa than for energetic hurricanes. Given the high frequency of these events (return period of 1–2 years), and the long time needed for groundwater conditions to return to normal levels, we conclude that increasingly frequent moderate storms will have a significant impact on the ecology of vegetated shorelines. © 2022. The Authors.</t>
  </si>
  <si>
    <t>2-s2.0-85146111946"</t>
  </si>
  <si>
    <t>10.1016/j.jhydrol.2022.128955</t>
  </si>
  <si>
    <t>https://www.scopus.com/inward/record.uri?eid=2-s2.0-85145265324&amp;doi=10.1016%2fj.jhydrol.2022.128955&amp;partnerID=40&amp;md5=7308030c35d9baf590c5245e16a46bd6</t>
  </si>
  <si>
    <t>Estuarine rivers provide critical pathways for seawater to travel upstream of the coast and salinize adjacent aquifers. However, this salinization mechanism (forthwith termed riparian saltwater intrusion) has received relatively little attention compared to saltwater intrusion (SI) at the coast. Time series measurements of river and groundwater freshwater head and specific conductance (SC), as well as horizontal river-aquifer hydraulic gradient were collected at transects of piezometers perpendicular to an estuarine river in Ōtautahi Christchurch, Aotearoa New Zealand. The uncertainties of freshwater head and hydraulic gradient were estimated using error propagation methods. Discrete Fourier Transforms were applied to river and groundwater freshwater head and SC time series data, which confirmed the tidal influence in both systems. Cross–correlation analyses of river and groundwater freshwater heads showed very strong relationships with varying time lags. Hydraulic gradients and river SC fluctuated with tides, resulting in the alternation of SI (increase in groundwater SC) and saltwater retreat (decrease in groundwater SC) with various time delays that may be driven by cyclic flow processes. While riparian SI occurred in most piezometers, the hydraulic gradient on the outside of the river meander was steeper than on the inside of the river meander resulting in less SI. Although positive hydraulic gradient (aquifer to river flow direction) occurred most of the time at all sites, land subsidence and climate change conditions of sea–level rise, increased drought, and decreased river flows could increase the occurrence of negative hydraulic gradient, which may result in increased groundwater salinization. © 2022 Elsevier B.V.</t>
  </si>
  <si>
    <t>2-s2.0-85145265324"</t>
  </si>
  <si>
    <t>10.5194/nhess-23-127-2023</t>
  </si>
  <si>
    <t>https://www.scopus.com/inward/record.uri?eid=2-s2.0-85147305449&amp;doi=10.5194%2fnhess-23-127-2023&amp;partnerID=40&amp;md5=e3e83e018b29867b3e7fa64d2b85fc00</t>
  </si>
  <si>
    <t>The warning water level is the default water level at which storm surges may occur along a coast and indicates a stage of alert. This level forms the basis for storm-surge forecasting, and prewarning is an important reference for governments and aids in the decision-making process for storm-surge prevention and disaster risk mitigation. The warning water level has four categories (blue, yellow, orange, and red) based on water level observational data. Taking into account the actual defense capability of the shore, we determined the warning water level by comprehensively analyzing factors, including the high water level at the typical return period of each shore section, wave exposure degree and defense capability of storm-surge protection facilities, and the shore-section importance level. Here, we proposed a quantitative method for determining the warning water level, and the application of this method was introduced by determining the warning water level at the shore section of Zhifu District (Yantai City, Shandong Province, China) as an example. We analyzed the spatial distribution characteristics of the warning water levels for 259 shore sections along the coast and revealed their current marine disaster prevention capabilities. Our findings provide a valid direction for determining future warning water levels and a reliable scientific reference for redetermining warning water levels in coastal areas while improving marine disaster prevention and protection capabilities. © 2023 Shan Liu et al.</t>
  </si>
  <si>
    <t>2-s2.0-85147305449"</t>
  </si>
  <si>
    <t>10.3389/fenvs.2023.1176547</t>
  </si>
  <si>
    <t>https://www.scopus.com/inward/record.uri?eid=2-s2.0-85174163047&amp;doi=10.3389%2ffenvs.2023.1176547&amp;partnerID=40&amp;md5=1258e0a6b0497a2a78160b41ec0fc513</t>
  </si>
  <si>
    <t>The vulnerability and flood risk assessment of Bhitarkanika National Park in Odisha, India, was conducted using a data-driven approach and a machine-based embedded decision support system. The park, located in the estuaries of the Brahmani, Baitarani, Dharma, and Mahanadi river systems, is home to India’s second-largest mangrove environment and the world’s most active and diverse saline wetland. To evaluate its vulnerability and risk, various threats were considered, with a focus on floods. Satellite imageries, such as Landsat 8 OLI, SRTM digital elevation model, open street map, Google pro image, reference map, field survey, and other ancillary data, were utilized to develop vulnerability and risk indicators. These indicators were then reclassified into ‘Cost’ and ‘Benefit’ categories for better understanding. The factors were standardized using the max-min standardization method before being fed into the vulnerability and risk model. Initially, an analytical hierarchy approach was used to develop the model, which was later compared with machine learning algorithms (e.g., SVM) and uncertainty analysis indices (e.g., overall accuracy, kappa, map quality, etc.). The results showed that the SVM-RBF machine learning algorithm outperformed the traditional geostatistical model (AHP), with an overall accuracy of 99.54% for flood risk mapping compared to AHP’s 91.12%. The final output reveals that a large area of Bhitarkanika National park falls under high flood risk zone. The Eastern coastal regions of Govindapur, Kanhupur, Chinchri, Gobardhanpur and Barunei fall under high risk zone of tidal floods, The Northern and western regions of Ramachandrapur, Jaganathpur, Kamalpur, Subarnapur, Paramanandapur, etc., Fall under high risk region of riverine floods. The study also revealed that the areas covered with mangroves have a higher elevation and hence are repellent to any kind of flood. In the event of a flood high priority conservation measures should be taken along all high flood risk areas. This study is helpful for decision-making and carrying out programs for the conservation of natural resources and flood management in the national park and reserve forest for ecological sustainability to support sustainable development goals (e.g., SDGs-14, 15). Copyright © 2023 Mohanty, Mustak, Singh, Van Hoang, Mondal and Wang.</t>
  </si>
  <si>
    <t>2-s2.0-85174163047"</t>
  </si>
  <si>
    <t>10.12775/bgeo-2023-0004</t>
  </si>
  <si>
    <t>https://www.scopus.com/inward/record.uri?eid=2-s2.0-85183484904&amp;doi=10.12775%2fbgeo-2023-0004&amp;partnerID=40&amp;md5=3abeb46fa3141759ca161049fe29d83c</t>
  </si>
  <si>
    <t>Continental windstorms are quite common in Türkiye, as well as in the Mediterranean basin. These storms have high frequency during hot and cold periods and transitional seasons. Türkiye is vulnerable to storms that are most effective in winter. When the distribution of the average number of stormy days during the year in Türkiye is analyzed by season, the season with the highest number of storms during the year is winter with a rate of 37%. The remaining seasons are spring (29%), fall (18%), and summer (16%). In the seasonal distribution of the storms that occur during the year, the winter season, which has the highest rate of occurrence, has an average of 4.9 days of storms. The spring and the autumn seasons have 3.8 and 2.4 stormy days, respectively. Storms have a high frequency during the cold season from October to May. Storms cause storm surges, floods, flash floods and roof blow-off disasters in the coastal zone of Türkiye, causing loss of life and property in the cold seasons. © Author(s) 2023.</t>
  </si>
  <si>
    <t>2-s2.0-85183484904"</t>
  </si>
  <si>
    <t>10.22146/ijg.65549</t>
  </si>
  <si>
    <t>https://www.scopus.com/inward/record.uri?eid=2-s2.0-85186384179&amp;doi=10.22146%2fijg.65549&amp;partnerID=40&amp;md5=d5ff24a34c82ecee3d9dbab4766654f0</t>
  </si>
  <si>
    <t>Aquaculture practices in developing countries, particularly Indonesia, are currently operating without effective control measures, leading to high tidal and other climate-related issues. Therefore, this study aimed to modify Coastal Vulnerability Index (CVI) assessment to evaluate the physical vulnerability of coastal areas in Indramayu Regency, West Java (62 sections) to tidal flooding (Rob). A total of 6 primary characteristics, including geomorphology, beach slope, water level rise sea, coastline alterations, tidal range, and high tide, as well as 2 additional parameters, namely land cover and mangrove breadth, were used for analysis. Based on the evaluation, CVI was divided into four groups, including (1) low, (2) moderate, (3) high, and (4) very high. The results showed that Indramayu District struggled to recover from tidal flooding, with 24.56%, 22.13%, 41.03%, and 12.28% being placed in the very high, high, moderate, and low categories. This underscored the role of local governments in improving coastal communities' capacity to respond to tidal flooding disasters. Furthermore, the results were expected to be used by local governments to enhance disaster mitigation systems, particularly for coastal areas in developing nations with comparable ecological conditions.  © 2023 Faculty of Geography UGM and The Indonesian Geographers Associaton.</t>
  </si>
  <si>
    <t>2-s2.0-85186384179"</t>
  </si>
  <si>
    <t>Geografiska Annaler, Series A: Physical Geography</t>
  </si>
  <si>
    <t>10.1080/04353676.2024.2323347</t>
  </si>
  <si>
    <t>https://www.scopus.com/inward/record.uri?eid=2-s2.0-85188843369&amp;doi=10.1080%2f04353676.2024.2323347&amp;partnerID=40&amp;md5=58e0fbff05eed617096f52e0cdd0765a</t>
  </si>
  <si>
    <t>Topographical changes in riverine floodplains need to be measured for assessing geomorphological dynamics and protecting floodplain areas, although topographic evaluation in disaster-prone floodplain in South Asia has been limited due to the lack of multitemporal, high-definition digital elevation models (DEMs) derived from modern techniques including airborne laser scanning, structure-from-motion (SfM) photogrammetry accompanied with Unmanned Aerial Vehicle (UAV, often referred as drone), and field-based mapping approaches. Here we conducted a preliminary study at two locations of Teesta River (Brahmaputra’s tributary) in Bangladesh using the UAV-SfM techniques and generated high-resolution DEMs. The selected locations represent dynamic changes of sediment and water on the floodplain over the years, and the UAV-SfM approach can be an effective method for monitoring those changes, but an archive of the past data has been unavailable. Here we evaluated the topographic changes by comparing the UAV-SfM-derived DEMs of 2022 with global DEM products (NASADEM of 1999), which are often the only available choice of DEMs in this river floodplain. The elevation differences of these two sets of DEMs were in the range of −5.23 to −84.66 m, and volumetric changes of −4.11 ± 0.15 to −86.25 ± 0.20 million m3, likely dominated by erosional processes towards the left side bank where the elevation errors are supposed to be several meters for UAV-DEM and ca. 5–12 m for NASADEM. Although it is not easy to accurately evaluate the absolute values of the changes, these changes may be associated with the upper basin’s morphodynamics. © 2024 Swedish Society for Anthropology and Geography.</t>
  </si>
  <si>
    <t>2-s2.0-85188843369"</t>
  </si>
  <si>
    <t>10.1016/j.wace.2022.100531</t>
  </si>
  <si>
    <t>https://www.scopus.com/inward/record.uri?eid=2-s2.0-85143702640&amp;doi=10.1016%2fj.wace.2022.100531&amp;partnerID=40&amp;md5=5e99a8d130ce9c3c85bf26fab2d4357a</t>
  </si>
  <si>
    <t>The effectiveness of adaptive measures tackling the effects of climate change is dependent on robust climate projections. This becomes even more important in the face of intensifying extreme events. One example of these events is flooding, which embodies a major threat to highly vulnerable coastal urban areas. This includes eastern Asia, where multiple coastal megacities are located, e.g. Shanghai and Shenzhen. While the ability of general circulation models (GCMs) and regional climate models (RCMs) to project atmospheric changes associated with these events has improved, systematic errors (biases) remain. This study therefore assess capabilities of improving the quality of regional climate projections for eastern Asia. This is performed by evaluating an ensemble consisting of bias adjustment methods, GCM-RCM model runs and future emission scenarios based on representative concentration pathways (RCP) obtained from EAS-CORDEX. We show that bias adjustment significantly improves the quality of model output and best results are obtained by applying quantile delta mapping. Based on these results we evaluate potential future changes in crucial hydrometeorological predictors, univariate extreme events and compound extreme events, focusing on high wind speeds and extreme precipitation. Key findings include an increase in daily maximum temperature of 1.5 to nearly 4 °C, depending on the scenario, as well as increased levels of precipitation under RCP 8.5. Furthermore, a distinct intensification of extreme events including high temperatures and heavy precipitation is detected and this increase exceeds the increase of the overall mean of these predictors. The annual number of compound events including heavy precipitation and extreme wind speeds shows a significant increase of up to 50% for RCP 8.5 in the South China Sea as well as the adjacent coastal areas. © 2022 The Author(s)</t>
  </si>
  <si>
    <t>2-s2.0-85143702640"</t>
  </si>
  <si>
    <t>10.3389/feart.2022.1053829</t>
  </si>
  <si>
    <t>https://www.scopus.com/inward/record.uri?eid=2-s2.0-85147017363&amp;doi=10.3389%2ffeart.2022.1053829&amp;partnerID=40&amp;md5=738dd3753b98b8f07e918a0eabe83fbd</t>
  </si>
  <si>
    <t>In the background of global climate change and rapid urbanization, extreme climate events are frequent, and highly urbanized areas flooding problems are becoming increasingly prominent. It becomes important to develop qualitative scenario storylines to assess future flooding risk in a changing environment over the highly urbanized areas. In this study, the future (2030–2050) flood risk in the Pearl River Delta (PRD) region of China was assessed based on the MaxEnt model. We have developed four future scenarios under different emission conditions based on the representative concentration pathways (RCPs) and the shared socio-economic pathways (SSPs). The MaxEnt model was trained by using flood hazard sample point data and flood risk indicators, meanwhile, food risk prediction with high accuracy was obtained. We analyzed the influencing factors of flood risk and predicted the flood risk of the PRD under four future scenarios. According to the results, there is a significant increase in the size and proportion of high flood risk areas in most scenarios. Flood risk under scenario SSP5-RCP8.5 are expected to be the most serious in the future. Population density (POPD) and Gross domestic product density (GDPD) have the highest explanatory power for flood risk. This study predict the changes of flood risk under the combined influence of climate change and human activities, and hoped to provide a reference for future planning and disaster mitigation construction in PRD cities. Copyright © 2023 Zuo, Wu, Zheng, Chen and Wang.</t>
  </si>
  <si>
    <t>2-s2.0-85147017363"</t>
  </si>
  <si>
    <t>10.3390/atmos14010052</t>
  </si>
  <si>
    <t>https://www.scopus.com/inward/record.uri?eid=2-s2.0-85184374784&amp;doi=10.3390%2fatmos14010052&amp;partnerID=40&amp;md5=84bef58e3fadde1e423c285f5e5a6842</t>
  </si>
  <si>
    <t>Seawater inundation mapping plays a crucial role in climate change adaptation and flooding risk reduction for coastal low-lying areas. This study presents a new elevation model called the digital impermeable surface model (DISM) based on the topographical data acquired by unmanned aerial vehicle (UAVs) for improving seawater inundation mapping. The proposed DISM model, along with the bathtub model, was used to assess coastal vulnerability to flooding in significant tropical cyclone events in a low-lying region of Victoria Harbor in Hong Kong. The inundation simulations were evaluated based on the typhoon news and reports which indicated the actual storm surge flooding conditions. Our findings revealed that the proposed DISM obtains a higher accuracy than the existing digital elevation model (DEM) and the digital surface model (DSM) with a RMSE of 0.035 m. The DISM demonstrated a higher skill than the DEM and the DSM by better accounting for the water-repellent functionality of each geospatial feature and the water inflow under real-life conditions. The inundation simulations affirmed that at least 88.3% of the inundated areas could be recognized successfully in this newly-designed model. Our findings also revealed that accelerating sea level rise in Victoria Harbor may pose a flooding threat comparable to those induced by super typhoons by the end of the 21st century under two representative emission scenarios (RCP4.5 and RCP8.5). The seawater may overtop the existing protective measures and facilities, making it susceptible to flood-related hazards. © 2022 by the authors.</t>
  </si>
  <si>
    <t>2-s2.0-85184374784"</t>
  </si>
  <si>
    <t>10.1007/s13201-022-01838-6</t>
  </si>
  <si>
    <t>https://www.scopus.com/inward/record.uri?eid=2-s2.0-85145358868&amp;doi=10.1007%2fs13201-022-01838-6&amp;partnerID=40&amp;md5=ccb495b0a9b0f93f78a0b731d6a57ddb</t>
  </si>
  <si>
    <t>Distributed modeling approach may have much better performance and accuracy compared with lumped-parameter hydrologic models. The main goals of this research are: investigating the possibility of combining distributed hydrological models with an one-dimensional hydraulic model and simulating waterways in large watersheds with limited hydrological and hydraulic data. Then performing sensitivity analysis on different parameters in order to identify the parameters containing the major influences on results. In the current research, an innovative approach in Gridded Surface Subsurface Hydrologic Analysis (GSSHA) model, the cross-sections of all 414 waterways in the 3450 km2 Karvandar watershed, used for flow routing calculations, are uniquely extracted. Then, the effect of three essential factors are evaluated. These factors are accuracy of the digital topographic model, cell size of grid network, and density of streams, on the results of GSSHA model simulations. This watershed is located in southeastern Iran, has a dry climate with limited available hydrological data. Results showed that peak discharges obtained from the GSSHA model, developed based on a DEM with a spatial resolution of 12.5 m, are slightly (&lt; 4%) lower than the corresponding values ​​in the GSSHA model with a 30 m DEM resolution. This fact confirms that the use of the topographic model with a lower spatial resolution has no substantial effects on the accuracy of simulation. Also, the peak discharges increased significantly (44% to 57%) by increasing the density of waterways in the GSSHA model. Furthermore, results showed that peak discharge obtained from three models with grid cell sizes of 100, 150, and 200 m (base model), are close together. Comparing with two models of coarser grids (250 and 300 m), significant differences observed, which indicated that the grids larger than 200 m could induce substantial errors in results. © 2022, The Author(s).</t>
  </si>
  <si>
    <t>2-s2.0-85145358868"</t>
  </si>
  <si>
    <t>10.1016/j.ejrh.2022.101282</t>
  </si>
  <si>
    <t>https://www.scopus.com/inward/record.uri?eid=2-s2.0-85144076167&amp;doi=10.1016%2fj.ejrh.2022.101282&amp;partnerID=40&amp;md5=d21bec18f62eb9462b2c71d0282ed1c4</t>
  </si>
  <si>
    <t>Study region: Lai Giang River basin, Central Vietnam Study focus: The Digital Elevation Models (DEM) is essential in hydrological modeling and water cycle understanding. There are several unanswered questions regarding the impact of DEM on the models’ quality of hydrological applications. This study develops a comprehensive framework for evaluating impacts of six global DEM products: MERIT, NASA, SRTM, ASTER GDEM2, AW3D30, and TanDEM-X using the semi-distributed model SWAT for the Lai Giang River basin, Central Vietnam, in which four criteria have been used (i) statistical analysis, (ii) river basin characteristics, (iii) effects of DEM uncertainty on streamflow using hydrological simulations, and (iv) cross-validation's impacts on hydrological applications. New hydrological insights for the regions: (1) NASA and SRTM 30 DEM were ranked as most accurate DEMs among the chosen products</t>
  </si>
  <si>
    <t>10.3389/feart.2022.1018980</t>
  </si>
  <si>
    <t>https://www.scopus.com/inward/record.uri?eid=2-s2.0-85147164256&amp;doi=10.3389%2ffeart.2022.1018980&amp;partnerID=40&amp;md5=146fcd3e0424cffdbf6fa5706d38d845</t>
  </si>
  <si>
    <t>With the development of the economy, the contradiction of water resources in the lower Yellow River area is becoming increasingly serious. Economic development not only increases the socio-economic water demand, but also causes damage to the environment. In order to ensure the safety of the vast plains along the lower Yellow River, protect the environment of the lower Yellow River and estuaries, and achieve environmental sustainability of the lower Yellow River, a model was established to optimize the allocation of water resources with the goal of ecological, safety, and social benefits, combining the uncertainty of water resources, the uncertainty of the water demand during the flood season under different water and sediment conditions, and the water requirements of different water users. An improved ecological footprint method considering soil water was applied during the allocation. Thirty different scenarios were set up, and appropriate scenarios for 2025 and 2030 in wet, normal, and dry years were calculated, providing a reference for decision makers. Results show that: 1) The water supply is affected by the amount of water resources and water demand for sediment transport in the lower Yellow River. The satisfaction of sediment transport and the water supply rate during wet years can reach a high level of satisfaction. 2) When the regional water resources ecological footprint is the smallest, the allocation of water resources tends to the section or unit with a smaller ecological footprint. Therefore, the river sections with the lowest water shortage rates are Lijin-Hekou and Sunkou-Aishan, and the unit with a low water shortage is ecological and industrial water. Copyright © 2023 Zhang, Li, Li, Yi, Wang and Liu.</t>
  </si>
  <si>
    <t>2-s2.0-85147164256"</t>
  </si>
  <si>
    <t>10.1142/S1793431122500191</t>
  </si>
  <si>
    <t>https://www.scopus.com/inward/record.uri?eid=2-s2.0-85133946389&amp;doi=10.1142%2fS1793431122500191&amp;partnerID=40&amp;md5=cfbd076a1020237bc100b4ef1f59f931</t>
  </si>
  <si>
    <t>The Mentawai Islands are located offshore of West Sumatra, Indonesia, and are likely to be hit by a large-scale tsunami in the future. In this study, maps showing tsunami evacuation times (ETs) along the road on the Mentawai Islands were developed to mitigate tsunami impact. We define the tsunami ET as the time required for an evacuee to move to a safe location through the road network from the tsunami inundation area. The safe locations were determined using a digital elevation model and the assumed tsunami inundation heights. The closest safe place for each location on the road network was determined using the shortest path search algorithm for the graph network. First, areas with high tsunami risk on the islands were identified using the obtained ET maps. Second, the appropriateness of the evacuation approach in the Matobe village on Sipora Island was evaluated based on the ET maps. Finally, population exposures to the different ET levels were estimated to quantify the potential risk of loss of life to a tsunami disaster in the Mentawai Islands. This study contributes to the tsunami disaster preparation of residents of the Mentawai Islands.  © 2023 World Scientific Publishing Company.</t>
  </si>
  <si>
    <t>2-s2.0-85133946389"</t>
  </si>
  <si>
    <t>10.1016/j.scitotenv.2022.160082</t>
  </si>
  <si>
    <t>https://www.scopus.com/inward/record.uri?eid=2-s2.0-85142882448&amp;doi=10.1016%2fj.scitotenv.2022.160082&amp;partnerID=40&amp;md5=70afb0c2667a3d7e16ef433bb040e165</t>
  </si>
  <si>
    <t>The present work aims to analyze the variability of the sea level of the Peruvian coast with time series over a long observation period (Seventy-eight years, from 1942 to 2019). Data came from the Talara, Callao and Matarani tide gauge stations located at the north, center and south of the coast. Variations of sea level as well as air and seawater surface temperature were analyzed. Among the different scenarios studied, a sea level rise of 6.79, 4.21 and 5.16 mm/year for Talara, Callao and Matarani, respectively was found during the 1979–1997 nodal cycle. However, these results decreased significantly during the next cycle (1998–2016) until values of 1.53, 2.16 and 1.0 mm/year for Talara, Callao and Matarani, respectively. Thus, it has been demonstrated that sea level rise are highly dependent on the time interval chosen. Moreover, large interannual changes of up to 200 mm/year are observed, due to recurring phenomena, such as “El Niño”. On the other hand, the trends obtained are slightly lower than those shown by the IPCC up until 2006 but significantly higher values have been observed. Finally, the results presented herein show the necessity of a local study of the sea level variability at the coastal areas. © 2022</t>
  </si>
  <si>
    <t>2-s2.0-85142882448"</t>
  </si>
  <si>
    <t>10.5194/nhess-23-1-2023</t>
  </si>
  <si>
    <t>https://www.scopus.com/inward/record.uri?eid=2-s2.0-85147260110&amp;doi=10.5194%2fnhess-23-1-2023&amp;partnerID=40&amp;md5=f115281eb42a59efe45483f264c4c1fd</t>
  </si>
  <si>
    <t>Water ponding and pluvial flash flooding (PFF) on roadways can pose a significant risk to drivers. Furthermore, climate change, growing urbanization, increasing imperviousness, and aging stormwater infrastructure have increased the frequency of these events. Using physics-based models to predict pluvial flooding at the road segment scale requires notable terrain simplifications and detailed information that is often not available at fine scales (e.g., blockage of stormwater inlets). This brings uncertainty into the results, especially in highly urbanized areas where micro-topographic features typically govern the actual flow dynamics. This study evaluates the potential for flood observations collected from Waze - a community-based navigation app - to estimate the likelihood of PFF at the road segment scale. We investigated the correlation of the Waze flood reports with well-known flood observations and maps, including the National Flood Hazard Layer (NFHL), high watermarks, and low water crossings data inventories. In addition, highly localized surface depressions and their catchments are derived from a 1 m resolution bare-earth digital elevation model (BE-DEM) to investigate the spatial association of Waze flood reports. This analysis showed that the highest correlation of Waze flood reports exists with local surface depressions rather than river flooding, indicating that they are potentially useful indicators of PFF. Accordingly, two data-driven models, empirical Bayes (EB) and random forest (RF) regression, were developed to predict the frequency of flooding, a proxy for flood susceptibility, for three classes of historical storm events (light, moderate, and severe) in every road segment with surface depressions. Applying the models to Waze data from 150 storms in the city of Dallas showed that depression catchment drainage area and imperviousness are the most important predictive features. The EB model performed with reasonable precision in estimating the number of PFF events out of 92 light, 41 moderate, and 17 severe storms with 0.84, 0.85, and 1.09 mean absolute errors, respectively. This study shows that Waze data provide useful information for highly localized PFF prediction. The superior performance of EB compared to the RF model shows that the historical observations included in the EB approach are important for more accurate PFF prediction. © 2023 Arefeh Safaei-Moghadam et al.</t>
  </si>
  <si>
    <t>2-s2.0-85147260110"</t>
  </si>
  <si>
    <t>10.3133/sir20235120</t>
  </si>
  <si>
    <t>https://www.scopus.com/inward/record.uri?eid=2-s2.0-85179681943&amp;doi=10.3133%2fsir20235120&amp;partnerID=40&amp;md5=e4948ed0f931b1fdf0465627f7deef7b</t>
  </si>
  <si>
    <t>In 2020 and 2021, the U.S. Geological Survey, Cape Cod National Seashore of the National Park Service, and Friends of Herring River cooperated to assess nutrient and suspended sediment concentrations across the ocean-estuary boundary at a dike on the Herring River on Chequessett Neck Road in Wellfleet, Massachusetts, that has restricted saltwater inputs by regulating water inflow through three culverts or sluice-ways into the watershed for more than 100 years. The dike is slated to be removed, and the purpose of this project was to characterize natural variability of nutrient and suspended sediment concentration during flood tide and ebb tide conditions at the dike based on seasonal and environmental variables. This baseline can be used to assess if removal of the dike is likely to result in measurable changes in water quality. Data from the current [2023] study were aggregated with previously published data from November 2015 through September 2018 to provide a long-term record. Samples for the current [2023] study were collected from flood and following ebb tides approximately twice per month from June 2020 through December 2021 at fixed time intervals after the beginning of the tides. Samples were analyzed for nitrate plus nitrite, ammonium, total dissolved nitrogen, total nitrogen, orthophosphate, total dissolved phosphorus, total phosphorus, silica, dissolved organic carbon, and suspended sediment. Constituent concentrations generally were lower using fixed time sampling than in previous studies that used flow-weighted composite sampling, except for nitrate plus nitrite and orthophosphate. Concentrations of nitrate plus nitrite, ammonium, total nitrogen, total dissolved nitrogen, silica, and dissolved organic nitrogen generally were higher on the ebb tide than on the flood tide. By contrast, concentrations of orthophosphate, total phosphorus, and total dissolved phosphorus were generally similar between flood and ebb tides. Most nutrient concentrations except silica and ammonium varied seasonally on flood and ebb tides. Phosphorus species, total nitrogen, and dissolved organic carbon concentrations generally peaked in mid-to late summer and were lowest in winter. For nitrate, the reverse was true. Nutrient concentrations generally were higher on the ebb tide than on the flood tide except for total dissolved phosphorus and total phosphorus where differences between flood and ebb tide depended on season. Constituent concentrations were similar between spring, neap, and midamplitude tides on both the flood and ebb tides. Nitrate, ammonium, total nitrogen, and silica concentrations were positively correlated with precipitation and runoff. Orthophosphate, total dissolved phosphorus, total phosphorus, and dissolved organic carbon were positively correlated with surface air temperature, downwelling shortwave radiation, and ocean water temperature. Nitrate, ammonium, and silica concentration were negatively correlated with surface air temperature and ocean water temperature. Orthophosphate and total dissolved phosphorus were negatively correlated with runoff. Nitrate plus nitrite, ammonium, and silica concentrations were negatively correlated with downwelling shortwave radiation. © 2023, US Geological Survey. All rights reserved.</t>
  </si>
  <si>
    <t>2-s2.0-85179681943"</t>
  </si>
  <si>
    <t>10.3390/land12020377</t>
  </si>
  <si>
    <t>https://www.scopus.com/inward/record.uri?eid=2-s2.0-85149224685&amp;doi=10.3390%2fland12020377&amp;partnerID=40&amp;md5=832c56858e2255997ce3681e9bcb2b96</t>
  </si>
  <si>
    <t>In the planning and design of natural and urban environments, visualization plays an increasingly important role. It has become a core component of communication and dissemination within the various formats of project representation, environmental assessment, workshops, and stakeholder involvement in general. However, as a practical technology, the outputs of our visualizations are, too often, regarded as a static product rather than as a living and evolving tool in and of itself, often due to the inherent restrictions present in both the analog and digital technologies used in data curation and visualization creation. In this paper, we argue that with the increasing complexity and usability of digital technologies, we are now capable of bringing a heightened level of interactive dynamism to planning and design, improving the communicative power of landscape visualization. We introduce a theoretical adaptive visualization (AV) framework, designed to support project meetings and stakeholder interactions with iterative planning and design elements. To demonstrate the merits of the framework, we develop an augmented reality application following AV principles</t>
  </si>
  <si>
    <t>10.3390/rs15041113</t>
  </si>
  <si>
    <t>https://www.scopus.com/inward/record.uri?eid=2-s2.0-85149255984&amp;doi=10.3390%2frs15041113&amp;partnerID=40&amp;md5=15b8302057f58152e129f48e86fe8359</t>
  </si>
  <si>
    <t>Absolute sea-level rise has become an important topic globally due to climate change. In addition, relative sea-level rise due to the vertical land motion in coastal areas can have a big societal impact. Vertical land motion (VLM) in Southeast Asia includes a tectonically induced component: uplift and subsidence in plate boundary zones where both Peninsular and East Malaysia are located. In this paper, the relative sea-level trends and (seismic cycle-induced) temporal changes across Malaysia were investigated. To do so, the data (1984–2019) from 21 tide gauges were analyzed, along with a subset (1994–2021) of nearby Malaysian GNSS stations. Changes in absolute sea level (ASL) at these locations (1992–2021) were also estimated from satellite altimetry data. As a first for Peninsular and East Malaysia, the combination ASL minus VLM was robustly used to validate relative sea-level rise from tide-gauge data and provide relative sea-level trend estimates based on a common data period of 25+ years. A good match between both the remote and in situ sea-level rise estimations was observed, especially for Peninsular Malaysia (differences &lt; 1 mm/year), when split trends were estimated from the tide gauges and GNSS time series to distinguish between the different VLM regimes that exist due to the 2004 Sumatra–Andaman megathrust earthquake. As in the south of Thailand, post-seismic-induced negative VLM has increased relative sea-level rise by 2–3 mm/year along the Andaman Sea and Malacca Strait coastlines since 2005. For East Malaysia, the validation shows higher differences (bias of 2–3 mm/year), but this poorer match is significantly improved by either not including data after 1 January 2014 or applying a generic jump to all East Malay tide gauges from that date onwards. Overall, the present relative sea-level trends range from 4 to 6 mm/year for Malaysia with a few regions showing up to 9 mm/year due to human-induced land subsidence. © 2023 by the authors.</t>
  </si>
  <si>
    <t>2-s2.0-85149255984"</t>
  </si>
  <si>
    <t>10.1007/s13201-022-01860-8</t>
  </si>
  <si>
    <t>https://www.scopus.com/inward/record.uri?eid=2-s2.0-85145724393&amp;doi=10.1007%2fs13201-022-01860-8&amp;partnerID=40&amp;md5=12542b40ee92e741a6d2ef401f1a3c7d</t>
  </si>
  <si>
    <t>Coastal zone has high value of socioeconomic activities. The number of developments and activities at the coastal areas of various sectors has increased day by day. Tsunami hazard is classified as one of the most devastating natural disasters that cause destruction along the coastal areas resulted to human fatalities. There are many causes of tsunami, but the most common is due to earthquake in the ocean. Previously recognised as a safe zone from natural disasters of tsunami, Malaysia was confronted by a rude awakening of the 2004 Andaman tsunami, causing a total loss of 68 lives. However, the potential impacts of tsunamis towards Malaysia coastal areas, especially at East Coast of Peninsular Malaysia, have not been explored extensively. This study, therefore, is critical and pertinent. It aims to investigate the potential seismic activities that generate tsunami occurrences affecting East Coast Peninsular Malaysia. This study further simulates Manila Trench earthquake-induced tsunami at various earthquake intensities, namely Mw 7.0, 8.0 and 9.0, by using TUNA model. Results obtained from this study indicated that tsunami wave generated by Manila Trench earthquake at Mw 9.0 resulted to the highest disastrous effects towards East Coast of Peninsular Malaysia. Findings from this study have established that Kelantan will experience the highest inundation depth at 4.0 m in Pasir Puteh with the highest inland inundation distance at 5.5 km in Bachok. Besides that, Terengganu will experience the highest inundation depth at 6.0 m in Kuala Terengganu with the highest inland inundation distance at 6.0 km also in Kuala Terengganu. In Pahang, the highest inundation depth at 4.5 m with the highest inland inundation distance at 3.3 km is anticipated to experience in Pekan, while in Johor, the highest inundation depth at 1.2 m with the highest inland inundation distance at 0.4 km is anticipated to experience in Mersing. On the other hand, Mw 8.0 and 7.0 earthquake was expected to be insignificant upon arriving at the coastal areas. Mitigation measures and evacuation plans can be effectively planned as findings obtained from this study are able to provide vital information on the possibilities of tsunami waves occurrences to overcome massive losses of properties and life. © 2023, The Author(s).</t>
  </si>
  <si>
    <t>2-s2.0-85145724393"</t>
  </si>
  <si>
    <t>Journal of Environmental Informatics</t>
  </si>
  <si>
    <t>10.3808/jei.202300497</t>
  </si>
  <si>
    <t>https://www.scopus.com/inward/record.uri?eid=2-s2.0-85174311752&amp;doi=10.3808%2fjei.202300497&amp;partnerID=40&amp;md5=e257b67f159965e76702a4106548111c</t>
  </si>
  <si>
    <t>Understanding the characteristics contributing to enhancing flood resilience is a matter of urgency in managing urban areas, especially for developing countries, given the challenges imposed by climate change, social growth and urbanization. Identifying resilience metrics remains challenging, mainly because the concept is relatively new, methodological approaches are almost absent, and many types of resilience-related data are still unavailable. A number of indices for flood resilience have been introduced in the literature, typically based on clustering algorithms that allow complex behaviors to be mapped to specific levels of resilience. Consequently, the qualitative aspects of such indices are highly sensitive to the availability, quality and heterogeneity of data. Historically, this assessment has often been performed using rather simple algorithms such as Principal Components Analysis (PCA). Whilst they allow reliable resilience metrics in some areas, their use in a complex urban system such as the northern coastal area in Morocco is arguable. In the present study, we introduce an advanced Machine Learning (ML) method, namely the Self-Organizing Map (SOM), to build a Flood Resilience Index (FRI). Compared to classical methodologies, this present technique allows an improved assimilation of the complex relationship between data representing the social, economic and physical status of the area and resilience level. The success of this approach is mainly due to the ability of SOM to deal with complex, heterogeneous and sparse datasets. The results demonstrate great potential for such algorithms to shed light on systems that are too complex for classical techniques. © 2023 ISEIS All rights reserved.</t>
  </si>
  <si>
    <t>2-s2.0-85174311752"</t>
  </si>
  <si>
    <t>10.18520/cs/v125/i11/1216-1226</t>
  </si>
  <si>
    <t>https://www.scopus.com/inward/record.uri?eid=2-s2.0-85179853364&amp;doi=10.18520%2fcs%2fv125%2fi11%2f1216-1226&amp;partnerID=40&amp;md5=56b64740a17b95f93af46c4c73d6dfce</t>
  </si>
  <si>
    <t>Recent studies have brought attention to the enormous megafloods and the considerable amount of water found on and beneath the surface of Mars. These ancient megafloods have not only carved out Martian surface, but also altered its climate. In the present study, ancient flooding of four Martian water channels (Mangala, Kasei, Ravi and Ma’adim) has been examined. The MCC dataset of MOM and MOLA-HRSC DEM were utilized to identify and estimate the hydraulic parameters of the channels. The estimated parameters were used in empirical equations to determine the flood velocity and discharge of Mangala (9.7 × 106 to 1 × 108 m3/sec), Ravi (6.5 × 107 to 9.6 × 108 m3/sec) and Ma’adim Valles (1.0 × 108 to 1.5 × 109 m3/sec). Estimated discharge magnitudes were in line with previous studies, except for Kasei Valles (2.6 × 108 to 5.3 × 109 m3/sec), where over-estimation was observed. The two-dimensional simulations of full-bank floods were performed using the hydrodynamic model to generate scenarios of palaeomegafloods in the four valleys. © (2023), (Indian Academy of Sciences). All Rights Reserved.</t>
  </si>
  <si>
    <t>2-s2.0-85179853364"</t>
  </si>
  <si>
    <t>10.2112/JCOASTRES-D-22TM-00009.1</t>
  </si>
  <si>
    <t>https://www.scopus.com/inward/record.uri?eid=2-s2.0-85149656748&amp;doi=10.2112%2fJCOASTRES-D-22TM-00009.1&amp;partnerID=40&amp;md5=ea85759a0f42bf106019d0e5c42c2510</t>
  </si>
  <si>
    <t>Coastal erosion control projects bring various benefits to people, such as reducing damage from coastal disasters, reducing erosion and flooding damage, and providing water-friendly spaces. Nevertheless, it is difficult to evaluate a project because there are few analyses of the economic impact of the project. Thus, this study aims to estimate the benefits of coastal erosion control and maintenance projects using people's willingness to pay (WTP). In particular, information on the effectiveness of a project for relatively unknown coastal regions is lacking. Therefore, this study targeted the Yeongrang coast in Gangwon-do, located on the east coast of Korea. The annual WTP per household was estimated to be approximately KRW 1999 (USD 1.81). The benefit-cost ratio based on this was estimated to be approximately 2.98, which is considered to be a sufficiently large benefit compared with the cost of the project. The findings of this study can be used as the basis for decision making regarding coastal erosion control policies for similar case areas.  © Coastal Education and Research Foundation, Inc. 2023.</t>
  </si>
  <si>
    <t>2-s2.0-85149656748"</t>
  </si>
  <si>
    <t>10.1111/jiec.13358</t>
  </si>
  <si>
    <t>https://www.scopus.com/inward/record.uri?eid=2-s2.0-85145276592&amp;doi=10.1111%2fjiec.13358&amp;partnerID=40&amp;md5=e4374415a199128c11ca5ca52f8397da</t>
  </si>
  <si>
    <t>Coastal sand mining for metals involves extraction of heavy mineral sands (HMS), which are sedimentary deposits of dense minerals that accumulate in coastal environments. HMS are localized concentrations of ores such as ilmenite, rutile, leucoxene, and iron, which are sources of metals such as titanium, zircon, iron, sillimanite/kyanite, staurolite, monazite, and garnet. The applications of these metals range from everyday products such as ceramics, paint, and pigments, as well as technologically advanced applications in the airline, shipbuilding, medicine, and defense industries. HMS extraction implies strip mining of coastal areas, which are often unique biodiversity ecosystems, or fragile ecosystems built up on sandy soils or dunes. The loss of such spaces has impacts such as loss of biodiversity and habitats, salt-water intrusion into agricultural lands and increased exposure to sea level rise. As a result of the serious ecological and socioeconomic transformations at such extraction frontiers, these operations cause resistance movements across the world. This article identifies and documents 24 cases of resistance against such operations. It presents the first comprehensive database and analysis of HMS related ecological distribution conflicts. © 2022 The Authors. Journal of Industrial Ecology published by Wiley Periodicals LLC on behalf of International Society for Industrial Ecology.</t>
  </si>
  <si>
    <t>2-s2.0-85145276592"</t>
  </si>
  <si>
    <t>10.3390/land12020478</t>
  </si>
  <si>
    <t>https://www.scopus.com/inward/record.uri?eid=2-s2.0-85149199151&amp;doi=10.3390%2fland12020478&amp;partnerID=40&amp;md5=bfc16577790c9875d7d3212e77c428d9</t>
  </si>
  <si>
    <t>Both human activities and climate change have changed landscapes significantly, especially in coastal areas. Sea level rise and land subsidence foster tidal floods and permanent inundations, thus changing and limiting land use. Though many countries, including Indonesia, are aware of these phenomena, the legal status of this permanently inundated land remains unclear. Indonesia refers to this land legally as obliterated land. This qualification makes former landowners uncertain, as it does not recognize their previous land rights, and creates disputes during land acquisition. In view of policy pressures to develop large-scale projects, the government often fails to include obliterated land legally during land acquisition processes for these projects. This causes unfair and disputed compensation for those former landowners. Current scientific discourses do not yet address this legal quandary. This study therefore has the following three aims: (1) to describe the legal, institutional and procedural contradictions related to obliterated land</t>
  </si>
  <si>
    <t>Ocean-Land-Atmosphere Research</t>
  </si>
  <si>
    <t>10.34133/olar.0029</t>
  </si>
  <si>
    <t>https://www.scopus.com/inward/record.uri?eid=2-s2.0-85187139621&amp;doi=10.34133%2folar.0029&amp;partnerID=40&amp;md5=3c0be6d1a16f726e4c47d77a352e5dc2</t>
  </si>
  <si>
    <t>Coastal areas are highly vulnerable to flood risks, which are exacerbated by the changing climate. This paper provides a comprehensive review of the literature on coastal flood risk assessment and resilience evaluation and proposes a smart-resilient city framework based on pre-disaster, mid-disaster, and post-disaster evaluations. First, this paper systematically reviews the origin of the resilience concept and the development of flood resilience. Next, it introduces the social-acceptable risk criteria and the flood resilience level for different flood phases. Then, a coastal flood resilience management system for smart cities is proposed, covering 3 phases of flood disasters (before, during, and after). Risk assessment is essential in pre-disaster scenarios because it provides a comprehensive understanding of the potential hazards and vulnerabilities of an area or system. Big data monitoring during disasters is an essential component of effective emergency management and response that can allow for more informed decisions and thus quicker, more effective responses to disasters, ultimately saving lives and minimizing damage. Data-informed loss assessments are crucial in providing a rapid, accurate understanding of post-disaster impact. This understanding, in turn, is instrumental in expediting recovery and reconstruction efforts by aiding decision-making processes and resource allocation. Finally, the impacts of climate change on the 3 phases of flood disasters are summarized. The development of more resilient coastal communities that are better equipped to withstand the impacts of climate change and adapt to changing environmental conditions is crucial. To address coastal compound floods, researchers should focus on understanding trigging factor interactions, assessing economic and social risks, improving monitoring and emergency response systems, and promoting interdisciplinary research with data openness. These strategies will enable comprehensive and holistic management of coastal flood risks in the context of climate change. Copyright © 2023 Ping Shen et al.</t>
  </si>
  <si>
    <t>2-s2.0-85187139621"</t>
  </si>
  <si>
    <t>10.1007/s11069-022-05668-2</t>
  </si>
  <si>
    <t>https://www.scopus.com/inward/record.uri?eid=2-s2.0-85140607755&amp;doi=10.1007%2fs11069-022-05668-2&amp;partnerID=40&amp;md5=bf5581979df8a2858b81a57a2d058984</t>
  </si>
  <si>
    <t>Dominica was hit hard by Hurricane Maria, a category 5 storm when it passed over the island on September 18, 2017. This study aims to characterise the dynamics associated with this event and their consequences in the medium term on the morphology and the coastal structures of this Caribbean island nation. Based on a multi-site approach (9 sites), this study uses varied data (satellite and aerial images, databases, reports, and numerical modelling) and the validation thereof via qualitative observations and topo-morphological surveys carried out in the field 18 months after the hurricane. The high-resolution modelling of the hydrometeorological conditions during the hurricane, the monitoring of the changes in the shoreline, and the field observations brought to light the prevalence of fluvio-sedimentary hazards (torrential flooding and ground movements) over marine hazards (marine flooding and storm swell) in the modification of the coastal landscapes. Phenomena of massive sediment discharge caused considerable damage to the buildings located in low-lying areas and flood plains and to road infrastructure, which hindered access to certain sectors of the island in the post-storm phase for a significant period of time. The more-limited damage of marine origin was exacerbated by the artificialisation of the coast and the establishment of a permanent shoreline. We demonstrate that the impact model for Hurricane Maria for the coastal areas of Dominica is the result of a combination of natural factors with a particular exposure and vulnerability of coastal populations and structures to hydrometeorological risks. © 2022, The Author(s), under exclusive licence to Springer Nature B.V.</t>
  </si>
  <si>
    <t>2-s2.0-85140607755"</t>
  </si>
  <si>
    <t>10.1080/08920753.2023.2291847</t>
  </si>
  <si>
    <t>https://www.scopus.com/inward/record.uri?eid=2-s2.0-85179943606&amp;doi=10.1080%2f08920753.2023.2291847&amp;partnerID=40&amp;md5=f441eaaeaf6e691870ff17fc9dd4fba2</t>
  </si>
  <si>
    <t>This essay concludes the examination of the CZMA entitled “The Coastal Zone Management Act in Its Sixth Decade: An Unsung Cornerstone in the Nation’s Response to Climate and Ocean Change” begun in the July issue of this journal. The July installment placed the CZMA in the political context of its origins, reviewed today’s political and legal constraints on environmental laws, and introduced CZMA Section 309 which authorizes grants to states and territories with federally approved Coastal Management Programs (CMPs) to enhance those programs over the coming 5 years to meet specified objectives. The first installment concluded that Section 309 and its explicit reference to climate related impacts provided an important legal framework to address these challenging coastal phenomena. This second installment further deepens the analysis by closely examining 12 state 5-year strategies with particular attention to coastal hazards, including sea level rise and approaches to the challenge of managed retreat. The review reenforces the essay’s conclusion that the CZMA’s Section 309 program provides a well focused weapon in the nation’s arsenal to respond to climate and ocean change and its coastal impacts. © 2023 Taylor &amp; Francis Group, LLC.</t>
  </si>
  <si>
    <t>2-s2.0-85179943606"</t>
  </si>
  <si>
    <t>10.2205/2023es000854</t>
  </si>
  <si>
    <t>https://www.scopus.com/inward/record.uri?eid=2-s2.0-85204065257&amp;doi=10.2205%2f2023es000854&amp;partnerID=40&amp;md5=5fd88364e6ba212279a58e52e3133519</t>
  </si>
  <si>
    <t>The shallow sandy shores of the tideless sea are regularly affected by storm activity. Foredune ridge is a natural and anthropogenic object, a natural protective barrier that protects ecosystems and populated areas from the effects of dangerous hydrometeorological phenomena such as storm surges and wind-sand flux. In the course of impact of dangerous hydrometeorological phenomena, the foredune ridge integrity is disturbed, the composing material is washed away thus forming breakthroughs. Monitoring of the foredune state is an important stage in maintaining its condition and also provides an empirical basis for predicting the impact of hazardous events. The use of ground-based laser scanning technology as well as digital photogrammetry for the study of sensitive coastal zones is justified for these purposes. In this article, we compare the results of calculating the dynamics of the beach sand material and advance them according to the results of ground-based laser scanning and digital photogrammetry. Comparability is provided by high-density clouds of ground-scan points and digital photogrammetry in a single coordinate reference. Two sections of the sensitive coastal zone of the Curonian Spit (Russian sector of the South-Eastern Baltic) have been explored in advance. A comparison of the applicability of means for obtaining digital elevation models to evaluate the dynamics of sand material has been made. In comparison with TLS, the use of UAV with the SfM algorithm is limited to post-storm surveys, since the final accuracy does not provide for reliable lithodynamic studies due to the small scale of processes comparable to measurement errors. © 2023. The Author.</t>
  </si>
  <si>
    <t>2-s2.0-85204065257"</t>
  </si>
  <si>
    <t>10.1016/j.ijdrr.2023.103568</t>
  </si>
  <si>
    <t>https://www.scopus.com/inward/record.uri?eid=2-s2.0-85149751734&amp;doi=10.1016%2fj.ijdrr.2023.103568&amp;partnerID=40&amp;md5=bb1ac06834ce3eb150f58a0199be66b9</t>
  </si>
  <si>
    <t>Despite traditional measures to prevent disasters, climate change and urbanization increase flood risk. Thus, flood resilience has attracted increased global concern. Understanding the commonalities and differences between flood resilience and risk is arguably important for flood risk reduction. However, these factors have been seldom reported in previous studies, and discussions on the role of flood resilience in flood risk analysis, assessment, and management are lacking. In this study, the association between flood resilience and risk is discussed using a case study in the Pearl River Delta. Flood resilience is quantified using a pressure-state-response (PSR) model, while flood risk is assessed based on the hazard-vulnerability framework and the extension catastrophe progression method. The implications of considering flood resilience in flood risk analysis, assessment, and management are proposed. The results suggest that the overall flood resilience (risk) in the study area is greater (lower) than that in the highly urbanized areas, and areas with low (high) flood resilience (risk) are mainly concentrated within the highly urbanized areas. Indices extracted from human society and highly related to human activities have the same attributes in both frameworks, while indices associated with climate and geography contribute to the two concepts differently. Flood resilience supplements the concept of flood risk, and can be incorporated into risk assessment as an index. Moreover, pre-disruption (post-disaster) measures should follow flood risk (resilience) assessment, and strategies that foster flood resilience should be included in flood risk management. This study provides references for flood resilience improvement and risk mitigation. © 2023 Elsevier Ltd</t>
  </si>
  <si>
    <t>2-s2.0-85149751734"</t>
  </si>
  <si>
    <t>10.1016/j.scitotenv.2022.159891</t>
  </si>
  <si>
    <t>https://www.scopus.com/inward/record.uri?eid=2-s2.0-85141915373&amp;doi=10.1016%2fj.scitotenv.2022.159891&amp;partnerID=40&amp;md5=d270cb685808caada2dbf2e5787c0c1d</t>
  </si>
  <si>
    <t>Coastal wetlands have been enclosed by thousands of kilometers of seawalls in China to obtain extra land for rapid socio-economic development in the coastal region. Although understanding seawall-induced impacts on delta wetlands and their ecosystem can provide valuable decision-making information to support coastal management, quantifying and measuring long-term, cumulative ecological impacts of harden seawall under sea level rise (SLR) remains a vital research gap. In this study, by combining the land-use transformation trajectory analysis, ecosystem services assessment, and the SLAMM (Sea Level Affecting Marshes Model), we have explored the seawall-induced effects on temporal-spatial dynamics of tidal wetlands and the Coastal Blue Carbon storage (CBCs) in the Yellow River Delta (YRD) under the SLR by 2050 and 2100. Our study revealed that the delta wetland area would have increased by 2327.87 km2 after seawall removal without regard for SLR while increasing by 3050 km2 in 2100 in both seawall scenarios under SLR. The effects of driving processes trajectory on the changes in CBCs indicated two-sided seawall-induced impacts on the delta wetlands in the YRD, i.e., functioning as a physical coastal defense to prevent coastal erosion (before 2050) while intensifying coastal squeeze effects and quickening the loss in delta wetlands and the CBCs by hindering their inland migration under SLR. For example, the gap of CBCs between the seawall-impacting and seawall-removal scenarios would have reached at 9.94 × 106 Mg by 2050 under the SLR, and the magnitude of the final decrease effect on CBCs induced by the seawall-impacting would be nearly 5 times higher than its gain after seawall-removal in the regressive succession, while the same magnitudes in the salinization process on both scenarios. Our study has provided valuable insights for shoreline management by mitigating seawall-induced impacts on the delta wetlands and their ecosystem services such as CBCs. © 2022 Elsevier B.V.</t>
  </si>
  <si>
    <t>2-s2.0-85141915373"</t>
  </si>
  <si>
    <t>10.1007/s11069-022-05728-7</t>
  </si>
  <si>
    <t>https://www.scopus.com/inward/record.uri?eid=2-s2.0-85142771771&amp;doi=10.1007%2fs11069-022-05728-7&amp;partnerID=40&amp;md5=c708006073e810995f768471258317fb</t>
  </si>
  <si>
    <t>In the current study, the one-dimensional/two-dimensional (1D/2D) coupled hydrodynamic model is used for the development of flood hazard maps for the frequently flooded coastal urban floodplain of the Surat city, India. The releases from the Ukai dam and tidal levels at the Arabian Sea are considered as upstream and downstream boundary conditions, respectively. The floodplain roughness was estimated using the existing land use land cover (LULC) classification, and the performance of the developed coupled hydrodynamic model was evaluated against the past flood data of year 2006 and 2013. The flood frequency analysis was carried out for peak inflow into the Ukai reservoir, and subsequently, the design flood hydrographs for different return periods have been developed. Finally, the simulated model output has been used to develop multi-parameter flood hazard maps defining the stability of people, vehicles, and buildings. More than 80% of the entire coastal urban floodplain of the Surat city is submerged during 100-year return period flood, with West and North zone of the city being the worst affected regions. Out of the total flooded area, nearly 20% area is under significant hazard for adults. The 27% area offers instability hazard to large four-wheel drive vehicles, whereas 14% area is affected with moderate to high hazard for buildings. The instability index for specific vehicle types is dominated by floating of small and large cars over 90% of the flooded area. Further, the combined hazard maps revealed that 14% of the flooded area is under very severe hazard category, posing a threat to the stability of people, vehicles, and buildings. The developed hazard maps will work as an effective non-structural measure for local administrative agencies to minimize the losses and better future planning. © 2022, The Author(s), under exclusive licence to Springer Nature B.V.</t>
  </si>
  <si>
    <t>2-s2.0-85142771771"</t>
  </si>
  <si>
    <t>10.3368/le.062620-0093R1</t>
  </si>
  <si>
    <t>https://www.scopus.com/inward/record.uri?eid=2-s2.0-85150780129&amp;doi=10.3368%2fle.062620-0093R1&amp;partnerID=40&amp;md5=d7dafa5f6c1aeba02ec88e574c90c20e</t>
  </si>
  <si>
    <t>Despite mounting threats from rising sea levels, adaptation to sea level rise (SLR) is often challenged by limited funding and understanding of residents’ preferences. Using an online choice experiment, we investigate residents’ preference for three SLR adaptation strategies: building seawalls, replenishing the beach, and installing stormwater pumps in Miami-Dade County. We control the preference, scale, and alternative heterogeneity using generalized multinomial logit models with error components. Results show that residents prefer additional adaptation strategies to the status quo, and valuations of adaptation attributes are correlated with residents’ sociodemographics. Accounting for alternative heterogeneity also significantly improves model performance. (JEL Q51, Q54) © 2023 by the Board of Regents of the University of Wisconsin System</t>
  </si>
  <si>
    <t>2-s2.0-85150780129"</t>
  </si>
  <si>
    <t>10.1002/gj.4627</t>
  </si>
  <si>
    <t>https://www.scopus.com/inward/record.uri?eid=2-s2.0-85142117150&amp;doi=10.1002%2fgj.4627&amp;partnerID=40&amp;md5=a1cda4dea1060e2c6ac5a40fc1060b6a</t>
  </si>
  <si>
    <t>This paper investigates the influence of water level oscillation and sediment supply volume on shallow-water delta development by means of a flume experiment. The experiment simulated the natural water level by dividing a cycle of sediment period into four parts: the draught period, the flood period (FP), the interflood period in a falling limb (IPF) and the interflood period in a rising limb (IPR). During the FP, flooding broke former channels and a large amount of sediments were evenly unloaded at the surface of lobes. Erosion often appeared at the beginning of the IPF and was dominant at low stand. Most sediments were concentrated in incised valleys and unloaded at the channel mouth to form a new lobe during the falling limb. Erosional channels and lobes were broken at the IPR. Sediments homogeneously covered the surface of lobes and few new lobes appeared during the period. Different sediment supplies influenced the characteristics of incised valley and channel style. Low sediment supply to the delta was strongly influenced by water level change, while high sediment supply was mainly affected by fluvial processes. Based on the flow sand content of water, channels can be classified into four types: (a) narrow and deep multiple channels, (b) narrow and shallow branch channels, (c) broad and shallow main channels, and (d) broad and deep stable channels. Their width-to-depth ratios are 1.1–3.5, 5.1–12.9, 7.3–20.2, 2.6–4.6, respectively. Most mouth bars were initially formed but then broken by water level oscillation and channel bifurcation. The preserved mouth bars were well preserved at the far end of lobes, where they entered the low-energy environment. © 2022 John Wiley &amp; Sons Ltd.</t>
  </si>
  <si>
    <t>2-s2.0-85142117150"</t>
  </si>
  <si>
    <t>10.1016/j.geomorph.2022.108482</t>
  </si>
  <si>
    <t>https://www.scopus.com/inward/record.uri?eid=2-s2.0-85143800570&amp;doi=10.1016%2fj.geomorph.2022.108482&amp;partnerID=40&amp;md5=fb46721b6fb3df8853eb1bf9222e1c88</t>
  </si>
  <si>
    <t>Delta shapes are governed by relative dominance of wave, tidal, and fluvial processes, while their coastline changes primarily depend on activation and abandonment of distributary channels. The partly-reclaimed Sundarban Mangrove Wetlands occupy the fluvially abandoned western part of the macro-mesotidal Lower Ganga–Brahmaputra–Meghna Delta (GBMD) in India and Bangladesh. To ascertain the evolution of the planform of this 15,500-km2 region over a century, maps and images pertaining to 1904–24 (Survey of India topographical maps), 1967 (Corona space photographs), 2001 (IRS-1D LISS-3 + Pan merged images), and 2015–16 (Resourcesat-2 LISS-4 fmx images) were digitally compared for documenting the changes in the areas of ~250 mangrove-covered and reclaimed tidal islands above the spring high water level. Area change of the individual islands was also studied based on their relative north–south and west–east positions. The results indicated that while erosion of the estuary margins and the sea facing coastline —up to 40 m/yr—was continuing for decades in the southern islands, intervening channels between the northern islands were getting silted up, especially in the western sector, resulting in land gain. Area change in the central sector mostly tended to be small and erosional. Overall, the total island area &amp; counts changed from 11,903 km2 &amp; 253 (1904–24), respectively, through 11,663 km2 &amp; 250 (1967), 11,506 km2 &amp; 244 (2001), and 11,455 km2 &amp; 251 (2015–16). The reduction rate of area, at −4.46 km2/yr, remained noticeably similar across all intervals of mapping / imaging years and projects that the region will lose 3.4 % of its present extent by 2100 if the observed tendencies continue. The trend of area reduction was 2.55-times higher in the western (Indian) segment of the region, than the eastern (Bangladeshi) section. At the level of individual islands, the trends of area change were classified into nine types involving linear and non-linear changes, with dominance of continuous (post-2001) erosion in 48.3 % (68.9 %) of the islands. Conversely, continuous (post-2001) accretion dominates in 15.8 % (31.1 %) of the islands. The retrogradation of the southern Sundarban can be ascribed to sediment starvation of the western GBMD due to abandonment of its deltaic distributaries and shelf bypassing of sediments through the Swatch of No Ground submarine canyon. On the other hand, the accretion of the northern interior areas, especially in the west, was mostly related to sediment reworking in a floodtide dominated environment, intervened by reclamation efforts. Factors like relative sea level rise, locational shifts in landfalls of cyclonic storms, and reclamation-related deforestation had little detectable influence on island area changes. As the observed tendencies of area change are likely to continue, planning for the region must integrate the transformations into management and development initiatives. © 2022 Elsevier B.V., The World Bank</t>
  </si>
  <si>
    <t>2-s2.0-85143800570"</t>
  </si>
  <si>
    <t>10.3389/feart.2022.1026181</t>
  </si>
  <si>
    <t>https://www.scopus.com/inward/record.uri?eid=2-s2.0-85147125696&amp;doi=10.3389%2ffeart.2022.1026181&amp;partnerID=40&amp;md5=62957c22d28809cc06b3f37e65ac6bb7</t>
  </si>
  <si>
    <t>While understanding the long-term slip rate of active normal faults is essential for the comprehensive assessment of seismic activity, it is difficult due to the absence of age control in the erosional bedrock region. The preserved sequence of wave-cut platforms in granite allows exploration of the long-term slip rate in the footwall of some normal faults. We investigated wave-cut platforms in the southern Pearl River Delta (PRD), a coastal delta transected by the seismically active Littoral Fault Zone (LFZ) in the northern South China Sea, to derive slip rates and their impacts on the seismic hazard potential. We mapped a flight of four wave-cut platforms (T1–T4), dated the T2 and T4 platforms by 10Be cosmogenic nuclide dating, and used the absolute age to correlate the un-dated platform to global sea-level highstands. Our results allocate the ages of 128 ka, 197 ka, and 239 ka to the upper three wave-cut platforms and yield temporally various uplift rates ranging from 0.30 to 0.38 mm/a during 239–128 ka to 0.09 mm/a since 128 ka. A decrease in the uplift rate, which coincided with a decreased subsidence rate within the PRD in previous work, implied a weakened differential uplift onshore of the LFZ system. Our findings infer that the transgression event occurred as early as marine isotope stage (MIS) 7 in the PRD, consistent with the view that Pleistocene sedimentation began in MIS 5 or earlier in the PRD. Copyright © 2023 Liang, Zhang, Li, Chen, Hui, Huang, Tian, Tang, Chen, Zhang, He, Yan, Dai, Li, Wang and Zhang.</t>
  </si>
  <si>
    <t>2-s2.0-85147125696"</t>
  </si>
  <si>
    <t>Bulletin of the Seismological Society of America</t>
  </si>
  <si>
    <t>10.1785/0120220093</t>
  </si>
  <si>
    <t>https://www.scopus.com/inward/record.uri?eid=2-s2.0-85147253808&amp;doi=10.1785%2f0120220093&amp;partnerID=40&amp;md5=7f8f76e3225fa78d8e16181d828eb038</t>
  </si>
  <si>
    <t>In this article, we estimate the tsunami hazard in Martinique due to tsunamis generated by earthquakes associated with the Lesser Antilles subduction zone. Using a deterministic approach based on reliable earthquake scenarios, we use high‐resolution bathymetric and topographic data to model tsunami propagation and inundation with Cornell Multi‐grid Coupled Tsunami model. An extreme earthquake subduction scenario of magnitude Mw 8.0 is tested, and a further realistic scenario of lower magnitude Mw 7.5, thus of different tsunami frequency content, is also processed to test the possible appearance of bay resonances. We find that the western coast of the island is relatively sheltered, because it represents a shadow area to diffraction, in particular, for the major city of Fort de France. Because of its very gentle slope, the eastern coast is prone to numerous floodings with meter scale wave amplitudes; most of the inundated zones consist of mangroves and geological depressions t are naturally regularly flooded by tides or storm surges. Hence such areas are often not exploited, the mangroves being let in their natural state, enhancing the protection of the surrounding communities. However, some strategic inhabited areas are subject to severe inundation. Finally, comparing our results with studies of the 1755 Lisbon transoceanic tsunami reveals a tsunami hazard close to our local Mw 7.5 scenario. It suggests the possibility to generalize our local tsunami hazard assessment in Martinique to other tsunami contexts and enlarge its validity. This issue is crucial for minimizing the efforts and increasing the efficiency of tsunami preparedness.</t>
  </si>
  <si>
    <t>10.1016/j.advwatres.2023.104366</t>
  </si>
  <si>
    <t>https://www.scopus.com/inward/record.uri?eid=2-s2.0-85145965654&amp;doi=10.1016%2fj.advwatres.2023.104366&amp;partnerID=40&amp;md5=1c77c7e2f699cca7865cc12bd6fddd38</t>
  </si>
  <si>
    <t>Soil temperature is an important environmental factor affecting biogeochemical processes in salt marshes and further wetland ecological functions. This study conducted field investigation and numerical simulations to examine temperature distributions and variations in a creek-marsh section subjected to estuarine and meteorological forcing conditions. The results showed that periodic tidal inundation induced water and heat exchange across sediment-water interfaces and thus modified diurnal temperature variations in shallow soil layers caused by meteorological fluctuations. The combination of periodic tidal inundation and sediment-atmosphere heat exchange led to the formation of three characteristic soil temperature zones along the creek-marsh section: a high-elevation marsh zone with diurnal temperature variations influenced by meteorological fluctuations, a near-creek zone where tide-induced porewater circulations regulated soil temperatures, and a low-elevation and sloping zone where sediment-atmosphere heat exchange decreased with the reduced marsh elevation. Sensitivity analyses demonstrated that a larger hydraulic conductivity facilitated the porewater circulation and heat transport in the near-creek zone, enhancing temperature fluctuations. An increased soil thermal conductivity intensified vertical heat exchange across sediment-water-atmosphere interfaces and increased the effect of estuarine and meteorological conditions on soil temperature. This study highlights the importance of surface water-groundwater interaction on temperature variations and helps to understand thermodynamics-dependent biogeochemical processes in salt marshes. © 2023</t>
  </si>
  <si>
    <t>2-s2.0-85145965654"</t>
  </si>
  <si>
    <t>10.1007/s11852-022-00921-z</t>
  </si>
  <si>
    <t>https://www.scopus.com/inward/record.uri?eid=2-s2.0-85146774329&amp;doi=10.1007%2fs11852-022-00921-z&amp;partnerID=40&amp;md5=8c66b1a46acfe39f3aa26334ee04313b</t>
  </si>
  <si>
    <t>Coastal protection comprises shoreline preservation and stabilisation as well as flood protection. Besides these technical aspects, coastal protection also represents a genuine social endeavour. Within this interplay of technical and social dimensions, planning and acting for the safety of people and assets along the coastline has become increasingly difficult for the responsible authorities. Within this context, Nature-based Solutions (NbS) for coastal protection offer a promising addition to and adaptation for existing protection measures such as dikes, sea walls or groynes. They bear the potential to adapt to shifting boundary conditions caused by climate change and cater the growing social call for sustainable solutions that benefit water, nature and people alike. This paper analyses, how NbS can fit into the entangled and historically grown system of coastal protection. As a paradigmatic example, the German islands of Amrum and Föhr were chosen. To contextualise the topic, a brief recap of the formation of these North Frisian Islands and their social history regarding coastal protection is given. This will be followed by a review of the relevant literature on the development of coastal protection on the two islands including its historical development. Using the theory of Social Representations (SRs), these historical insights are analytically contrasted with a synchronic snapshot gained from stakeholder interviews about the assessment of protective measures, and their anticipated future development with regard to the possible feasibility and implementation of NbS. This analysis reveals that, historically and synchronically seen, coastal protection on both islands is rather characterised by a dynamic rationale and the constant testing of and experimenting with different measures and concepts. However, well-established measures like diking or the construction of brushwood groynes for foreland creation are not being questioned while new approaches running against this rationale such as NbS are in many cases initially met with scepticism and doubt. Out of this follows that past and present dynamics in coastal protection play a vital role in planning. Hence, the implementation of NbS as signposts for the future requires an integrated and balanced interdisciplinary approach that considers the socio-technical dimensions of coastal protection for future coastal adaptation. © 2023, The Author(s).</t>
  </si>
  <si>
    <t>2-s2.0-85146774329"</t>
  </si>
  <si>
    <t>10.1007/s11069-022-05625-z</t>
  </si>
  <si>
    <t>https://www.scopus.com/inward/record.uri?eid=2-s2.0-85138787661&amp;doi=10.1007%2fs11069-022-05625-z&amp;partnerID=40&amp;md5=5c4c34165df25a434fec2d2b10f7945e</t>
  </si>
  <si>
    <t>Bayesian networks are probabilistic graphical models that are increasingly used to translate hydraulic boundary conditions during storm events into onshore hazards. However, comprehensive databases that are representative of the extreme and episodic nature of storms are needed to train the Bayesian networks. Such databases do not exist for many sites and many Bayesian networks are trained on data generated by process-based models. To our knowledge, they have not been trained exclusively on observational data for storm impact modeling. This study aims to explore the performance in coastal flooding prediction of a Bayesian network exclusively based on observational data. To this end, we take the ""Grande Plage"" of Biarritz (South west of France) as a test case. The network is trained using data from several monitoring networks located near the study site. Because observational data about storm impact regime are limited, a second aim of this work is to propose a methodology based on statistical learning methods to complement the data about this variable. This methodology aims to select the statistical learning method with the best generalizing ability with a cross validation. Two Bayesian networks are trained, one exclusively on the observational data and one with both observational and predicted data. To compare the two networks, their performances are evaluated on the same events. We demonstrated that it is possible to predict coastal flooding risk in a qualitative manner with a Bayesian network based only on observational data with a F1-score, a measure combining precision and recall, of 0.628. However, the predictive skill of this network is questionable for the most intense storm impact regimes which are impact and overwash regimes. Storm impact data is extended with the random forest method which showed the best generalizing ability based on cross-validation. This extension of the database led to a better Bayesian network in terms of predictive skill, with precision, recall and F1-score 7% higher on average than for the network trained only on observational data. © 2022, The Author(s), under exclusive licence to Springer Nature B.V.</t>
  </si>
  <si>
    <t>2-s2.0-85138787661"</t>
  </si>
  <si>
    <t>Environmental Problems</t>
  </si>
  <si>
    <t>10.23939/ep2023.04.231</t>
  </si>
  <si>
    <t>https://www.scopus.com/inward/record.uri?eid=2-s2.0-85191982409&amp;doi=10.23939%2fep2023.04.231&amp;partnerID=40&amp;md5=ff640b25bc5a47682b5a6b86fece7092</t>
  </si>
  <si>
    <t>The article presents the results of the analysis of surface water quality indicators changes in water bodies near settlements in the Mykolaiv region in the areas that were flooded after the destruction of the Kakhovka HPP. The analysis of critical water quality monitoring data on sanitary, chemical and microbiological indicators revealed a deterioration in water quality in the Dnipro-Bug Estuary and the Ingul, Ingulets and Southern Bug rivers. Particularly dangerous levels of pollution were observed in the Inhulets River, where a significant increase in water levels and flooding of civilian infrastructure, residential buildings and households were observed in June 2023. The main reason for the high level of water pollution is sewage, pollution from the destruction of cattle cemeteries, and a large amount of washed-up garbage from flooded areas. © Trokhymenko G., Magas N., Shumilova O., Klochko V., 2023.</t>
  </si>
  <si>
    <t>2-s2.0-85191982409"</t>
  </si>
  <si>
    <t>10.1016/j.jenvman.2022.116860</t>
  </si>
  <si>
    <t>https://www.scopus.com/inward/record.uri?eid=2-s2.0-85143356271&amp;doi=10.1016%2fj.jenvman.2022.116860&amp;partnerID=40&amp;md5=eb9a2dd76fa80df39ae4b447d30def2d</t>
  </si>
  <si>
    <t>Typhoon storm surge (TSS) is a complex marine disaster affected by multi-risk sources. Quantitative risk assessment is an important prerequisite for identifying risk areas and designing risk reduction strategies. This paper aims to propose a rapid, accurate, and comprehensive quantitative risk assessment method for TSS under multi-risk sources, including disaster occurrence probability and severity. First, identify the primary risk sources according to the disaster-causing mechanism of TSS. Then, based on the official public data from 1989 to 2020, the dependence structure among multi-risk sources is constructed using Copulas to calculate the probability of each superposition scenario. Meanwhile, build visual scenario databases employing Geographical Information System (GIS) techniques. Subsequently, the extent and depth of inundation are translated into economic risk and population risk using GIS and depth-damage functions. Finally, taking the “Mangkhut” as a case study, the method's feasibility and accuracy are verified. The results show that the primary risk sources of TSS are storm tide, astronomical tide and coastal waves. The Gumbel Copula is optimal, with OLS (ordinary least squares) and D of 0.0186 and 0.1831, respectively. The probability assessment under different superposition scenarios indicates that the greatest threat of TSS in Guangzhou comes from the storm tide and the astronomical tide. As for the “Mangkhut” case study in Jiangmen City, the assesses occurrence probability is 0.0355%, the accuracy of economic risk assessment (except mariculture) is 95.28%, and the accuracy of population risk assessment is 98.60%. Residences and the disaster-bearing bodies in 0–3 m inundation depth are most severely affected by TSS disasters. Measures such as locating residential and important buildings away from the shoreline (at least 10 km) and ground (above 3 m), formulating disaster emergency plans, and developing the forecast and prevention of storm tides and astronomical tides will help ensure the safety of residents’ life and property. This paper provides an efficient and accurate method, which is of great significance for disaster control, sustainable development, and decision-making. © 2022 The Authors</t>
  </si>
  <si>
    <t>2-s2.0-85143356271"</t>
  </si>
  <si>
    <t>10.1007/s11069-022-05654-8</t>
  </si>
  <si>
    <t>https://www.scopus.com/inward/record.uri?eid=2-s2.0-85139636439&amp;doi=10.1007%2fs11069-022-05654-8&amp;partnerID=40&amp;md5=4992a38be68efb1d1500ef7b15d7e1b4</t>
  </si>
  <si>
    <t>This study analyses a previous debris flow hazard as a consequence of emerging risks related to climate and regional physical changes. In addition to the increasing flood frequencies, there is an increasing risk of mud or debris flow due to increasing temperature and heavy precipitation resulting in glacier melting. One of the most recent dramatic examples of the debris flow incident took place in Barsem, Tajikistan, in 2015. As a result of heavy precipitation and excess temperature, the melting of glaciers caused debris flow which ended up with a catastrophic damage at Barsem Town. In this study, a methodology for modelling debris flow and related hazard is developed by examining the 2015 incident in detail with a commercially available software, Hydrological Engineering Centre-River Analysis System (HEC-RAS). Simulations and hazard assessment of the incident suggest that assessment of debris flow hazard can be implemented similar to flood hazard. Moreover, it is seen that debris flow inundation area can be predicted accurately by low-resolution free-source digital elevation models (DEMs), while in the present work they could not predict the debris flow hazard assessment accurately. Sensitivity results also reveal that free-source DEMs with higher resolutions do not necessarily give better predictions than free-source DEMs with lower resolutions. © 2022, The Author(s), under exclusive licence to Springer Nature B.V.</t>
  </si>
  <si>
    <t>2-s2.0-85139636439"</t>
  </si>
  <si>
    <t>Science Advances</t>
  </si>
  <si>
    <t>10.1126/sciadv.adi8259</t>
  </si>
  <si>
    <t>https://www.scopus.com/inward/record.uri?eid=2-s2.0-85175986397&amp;doi=10.1126%2fsciadv.adi8259&amp;partnerID=40&amp;md5=0c508ce176464934d353280d51264733</t>
  </si>
  <si>
    <t>Regional relative sea level rise is exacerbating flooding hazards in the coastal zone. In addition to changes in the ocean, vertical land motion (VLM) is a driver of spatial variation in sea level change that can either diminish or enhance flood risk. Here, we apply state-of-the-art interferometric synthetic aperture radar and global navigation satellite system time series analysis to estimate velocities and corresponding uncertainties at 30-m resolution in the New York City metropolitan area, revealing VLM with unprecedented detail. We find broad subsidence of 1.6 mm/year, consistent with glacial isostatic adjustment to the melting of the former ice sheets, and previously undocumented hot spots of both subsidence and uplift that can be physically explained in some locations. Our results inform ongoing efforts to adapt to sea level rise and reveal points of VLM that motivate both future scientific investigations into surface geology and assessments of engineering projects. © 2023 The Authors.</t>
  </si>
  <si>
    <t>2-s2.0-85175986397"</t>
  </si>
  <si>
    <t>10.1016/j.wace.2022.100534</t>
  </si>
  <si>
    <t>https://www.scopus.com/inward/record.uri?eid=2-s2.0-85143681214&amp;doi=10.1016%2fj.wace.2022.100534&amp;partnerID=40&amp;md5=d7e0f863d4f66cc5606abfa9e6491e4c</t>
  </si>
  <si>
    <t>Miami-Dade County is vulnerable to flash, pluvial, fluvial, coastal and groundwater flooding due to its low-elevation karst morphology. Despite considerable advances in understanding the impact of compound flooding events by considering major flood drivers (precipitation, river discharge, and coastal surge), little is known regarding the severity of groundwater hazards in this region. This study links a multivariate statistical analysis with a coupled physically-based 2D hydraulic model to estimate the flood hazard in the Arch Creek Basin located in North Miami. A bivariate copula analysis was used to capture the joint probability of key flood drivers with predefined water table thresholds to set-up the flood modeling conditions. Results demonstrate the high vulnerability to extreme precipitation events compared to coastal surge in the study area. Similarly, groundwater flooding is relevant in shallow water table environments, as it influences the severity of flood hazards in terms of flood inundation depth, extent, and damage to the built environment. This research demonstrates that groundwater flooding is a latent risk that should be incorporated in flood hazard mapping in regions susceptible to high water tables and sea level rise. © 2022 The Authors</t>
  </si>
  <si>
    <t>2-s2.0-85143681214"</t>
  </si>
  <si>
    <t>GSA Today</t>
  </si>
  <si>
    <t>10.1130/GSATG566A.1</t>
  </si>
  <si>
    <t>https://www.scopus.com/inward/record.uri?eid=2-s2.0-85174972848&amp;doi=10.1130%2fGSATG566A.1&amp;partnerID=40&amp;md5=33d23bd4a25b02571beaccb42905e9b2</t>
  </si>
  <si>
    <t>River deltas occupy only ~0.65% of Earth’s land surface, but collectively house ~4.5% of the global population and account for more than 6% of the global GDP. Because of ongoing human interventions in the past century (river diversions, groundwater and petroleum extraction, and urbanization), deltas are coming under additional and intense threat from climate change and the impending sea-level rise. Many high-latitude and tropical deltas where population pressure is low and human modification is minimal face less peril for the foreseeable future, but densely populated deltas, especially those in Asia with extreme urbanization and environmental pressures, will be more susceptible to land loss and drowning. Here we consider six key deltas—Mississippi, Yangtze, Niger, Bengal, Nile, and Indus—emphasizing recent findings and consensus as to their health and how human activities have brought these vulnerable ecosystems perilously close to or beyond the point of no return. © 2023 Geological Society of America. All rights reserved.</t>
  </si>
  <si>
    <t>2-s2.0-85174972848"</t>
  </si>
  <si>
    <t>10.1029/2022JC019012</t>
  </si>
  <si>
    <t>https://www.scopus.com/inward/record.uri?eid=2-s2.0-85148873016&amp;doi=10.1029%2f2022JC019012&amp;partnerID=40&amp;md5=9a8b40260bd6b890ef2bc37847115b3c</t>
  </si>
  <si>
    <t>Increasing exposure to coastal flood hazards will potentially induce an enormous socio-economic toll on vulnerable communities. To accurately characterize the hazard, we must consider both natural water level variability and climate change-induced sea-level rise. In this study, we develop a paleo-proxy-based reconstruction of coastal flood events over the last 500 yr to capture natural water level variability and superimpose that reconstruction onto expected sea-level rise to explore interannual and multidecadal variability in plausible future coastal flood risk. We first develop reconstructions of leading principal components (PCs) of sea surface temperature anomalies from 1500 CE onwards, using tree-ring, coral, and sclerosponge chronology-based El Niño Southern Oscillation reconstructions as predictors in a wavelet autoregression model. These reconstructions of PCs are then used in a stochastic water level emulator to develop ensemble simulations of hourly still water levels (SWLs) in the San Francisco Bay. The emulator accounts for multiple relevant processes, including monthly mean sea level (MMSL) anomalies, storm surge, and tide, all varying at different timescales. Accounting for natural variability in water levels over 1500–2000 CE increases coastal flood risk beyond that suggested by instrumental records alone. When superimposed on 0.22 m of sea-level rise (approximately the amount experienced over the previous century), the simulations show that while high tides and large storm surges cause the smaller extreme SWLs, the larger extreme SWLs occur during concurrent high MMSL, high tides, and significant storm surges. Our findings thus highlight the need to consider natural water level variability for coastal adaptation and planning. © 2023. American Geophysical Union. All Rights Reserved.</t>
  </si>
  <si>
    <t>2-s2.0-85148873016"</t>
  </si>
  <si>
    <t>10.1007/s11027-022-10043-4</t>
  </si>
  <si>
    <t>https://www.scopus.com/inward/record.uri?eid=2-s2.0-85146129700&amp;doi=10.1007%2fs11027-022-10043-4&amp;partnerID=40&amp;md5=3b8e9597838e3acbdcfe5fd07317e8a4</t>
  </si>
  <si>
    <t>Coastal cities are under severe threat from the impacts of climate change, such as sea-level rise, extreme weather events, coastal inundation, and ecosystem degradation. It is well known that the ocean, and in particular coastal environments, have been changing at an unprecedented rate, which poses increasing risks to people in small island developing states, such as Fiji. The Greater Suva Urban Area, the capital and largest metropolitan area of Fiji, is expected to be largely impacted by climate-related risks to its socio-economic, cultural, and political positions. In the face of these threats, creating a resilient city that can withstand and adapt to the impacts of climate change and promote sustainable development should be guided by a holistic approach, encompassing stakeholders from the government, the private sector, civil society organizations, and international institutions. This study assesses the risk profile of Suva city using an innovative risk information tool, the climate and ocean risk vulnerability index (CORVI), which applies structured expert judgment to quantify climate-related risks in data-sparse environments. Through comparative quantification of diverse risk factors and narrative analysis, this study identifies three priority areas for Suva’s future climate-resilient actions: development of climate risk-informed urban planning, harmonized urban development and natural restoration, and enhancing the climate resilience to the tourism sector. © 2023, The Author(s), under exclusive licence to Springer Nature B.V.</t>
  </si>
  <si>
    <t>2-s2.0-85146129700"</t>
  </si>
  <si>
    <t>Norwegian Journal of Geology</t>
  </si>
  <si>
    <t>10.17850/njg103-1-1</t>
  </si>
  <si>
    <t>https://www.scopus.com/inward/record.uri?eid=2-s2.0-85151987625&amp;doi=10.17850%2fnjg103-1-1&amp;partnerID=40&amp;md5=a3d9156beab7b98a5487cc169d9663a8</t>
  </si>
  <si>
    <t>The strandflat is the up to 60 km-wide flat lowland and shallow-sea erosion surface extending for 1800 km along the coast of the Norwegian glaciated passive margin. However, after more than one hundred yearof study its age of formation and regional variation in height remain obscure. Here, I link offshore datesurfaces to the strandflat to give insight on its age and processes of formation. I conclude that the strandflat was formed during the last 2.6 million years because linearly extended, pre-Quaternary, offshore surfaces are intersected by, and hence predate, the strandflat. Massive glacial erosion and transport shaped onshore and offshore landscapes, but waves and other levelling erosional processes gradually transformed this glaciated landscape to a strandflat. A wide strandflat could form because the coastline was highly segmented, basement rock weakened by brittle faults and fractures and the coastal zone remained fixed. When the land was glaci-isostatically depressed, but with the ice-front still in the fjords, waves could cut the cliffs on the islands and inner strandflat into a wider platform. The strandflat is widest and flattest along the mid-Norwegian margin. The more irregular strandflat along the west coast of southern Norway is a paleo-strandflat that was modified by erosion after the Norwegian Channel was formed (~0.8 Ma). Flexural isostatic subsidence from the weight of the North Sea Fan and Bjørnøya Fan extends to the coast of Stad and Troms, respectively, where the strandflat is below sea level. The strandflat in Lofoten and Vesterålen, rising northwards from submerged to exposed, is limited to subcropping basement. No strandflat exists around the coasts of southern Norway and parts of Finnmark. © the authors. This work is licensed under a Creative Commons Attribution 4.0 International Lic.</t>
  </si>
  <si>
    <t>2-s2.0-85151987625"</t>
  </si>
  <si>
    <t>10.1016/j.ijdrr.2022.103491</t>
  </si>
  <si>
    <t>https://www.scopus.com/inward/record.uri?eid=2-s2.0-85144804766&amp;doi=10.1016%2fj.ijdrr.2022.103491&amp;partnerID=40&amp;md5=128edd78103f575431e33179c432b713</t>
  </si>
  <si>
    <t>The complexity of land transport infrastructures, their length and the heterogeneity of potential hazardous scenarios across large areas make flood hazard assessment a challenging task. We propose a parsimonious, rapid and operational procedure that enables large scale applications and, at the same time, a detailed evaluation of individual segments of linear transport infrastructures. In particular, we focus on extensive land transport infrastructure networks (i.e., railways) and propose a methodological framework for: (1) identifying segments of the network that are prone to fluvial flooding, and (2) grouping the identified elements into different hazard classes depending on the mechanism and severity of the expected flooding scenario (i.e., damage due to potential embankment overtopping, embankment instability due to infiltration, erosion or washout, train or vehicles collision against fluvial deposits or debris, etc.). Network sections at risk, as well as main hazardous flood indices (e.g., water depth), are estimated referring to official inundation maps, when available, or by means of Digital Elevation Model (DEM)-based algorithms and geomorphic indices (e.g., Geomorphic Flood Index-GFI). In addition, a DEM-based approach is proposed to identify potential debris flow sources threatening the infrastructure. The procedure has been developed and tested for the Italian Railway Network (focusing on seven river basins), but it can be adapted to different cases and different land transport infrastructures. A first comparison with historical flood events proves the potential of the procedure, which can support stakeholders in planning measures for managing and mitigating the flood risk associated with the transport networks across large spatial scales. © 2022 Elsevier Ltd</t>
  </si>
  <si>
    <t>2-s2.0-85144804766"</t>
  </si>
  <si>
    <t>10.1007/s11069-022-05784-z</t>
  </si>
  <si>
    <t>https://www.scopus.com/inward/record.uri?eid=2-s2.0-85144379113&amp;doi=10.1007%2fs11069-022-05784-z&amp;partnerID=40&amp;md5=c6de89bbb709fb8d1d68e90982cd281d</t>
  </si>
  <si>
    <t>Base flood elevation (BFE) and design flood elevation (DFE) are essential references for building floodproofing. Previous BFE and DFE mapping methods were mainly applied to inland rivers and coastal areas, and few studies mentioned the mapping method of densely populated cities. This study proposes a high-resolution BFE and DFE mapping in the densely populated city of Tainan in Taiwan using the SOBEK model and hydraulic digital elevation model. DEM 1 was a 20-m resolution DEM without the building block (BB) method. DEMs 2 and 3 were 1-m resolution DEMs without and with the BB method, respectively. Compared to the observed flooding depths from the water level gauge, the simulation results with DEMs 1 and 2 were closer to the actual situation than that with DEM 3, as DEMs 1 and 2 could represent the water storage effect in buildings. Because buildings in a high building density area (HBDA) had adopted dry floodproofing, the water level rose when the subcritical flow flowed by the buildings. From a risk management perspective, BFE and DFE mapping should adopt DEM 3. The water levels rise effect on buildings was less pronounced in a low building density area (LBDA). DEM 1 could be used for BFE and DFE mapping to save computing power. Generally, a city can be divided into different areas according to building densities. The high-resolution DEM with BB method should be used for HBDA. LBDA should use a low-resolution DEM without the BB method, which can account for model computation efficiency and flood risk management. © 2022, The Author(s), under exclusive licence to Springer Nature B.V.</t>
  </si>
  <si>
    <t>2-s2.0-85144379113"</t>
  </si>
  <si>
    <t>10.5194/hess-27-2257-2023</t>
  </si>
  <si>
    <t>https://www.scopus.com/inward/record.uri?eid=2-s2.0-85184305669&amp;doi=10.5194%2fhess-27-2257-2023&amp;partnerID=40&amp;md5=ad20cd7f49f1d09b30a204b90140d664</t>
  </si>
  <si>
    <t>With their low lying, flat topography, river deltas and coastal plains are extremely prone to relative sea level rise and other water-related hazards. This calls for accurate elevation data for flood risk assessments, especially in the densely populated Southeast Asian deltas. However, in datapoor countries such as Myanmar, where high accuracy elevation data are not accessible, often only global satellite-based digital elevation models (DEMs), suffering from low vertical accuracy and remote sensing artefacts, can be used by the public and scientific community. As the lack of accurate elevation data hampers the assessment of flood risk, studying available information on land elevation and its reliability is essential, particularly in the context of sea level rise impact. Here, we assess the performance of 10 global DEMs in the Ayeyarwady Delta (Myanmar) against the new, local, socalled AD-DEM, which was generated based on topographical map elevation data. To enable comparison, all DEMs were converted to a common vertical datum tied to local sea level. While both CoastalDEM v2.1 (Kulp and Strauss, 2021) and FABDEM (Hawker et al., 2022) perform comparably well, showing the highest correspondence in comparison with AD-DEM and low-elevation spot heights, FABDEM outperforms CoastalDEM v2.1 by the absence of remote sensing artefacts. The AD-DEM provides a high-accuracy, open and freely available, and independent elevation dataset suitable for evaluating land elevation data in the Ayeyarwady Delta and studying topography and flood risk at large scale, while small-scale investigations may benefit from a FABDEM locally improved with data from the AD-DEM. Based on the latest Intergovernmental Panel on Climate Change (IPCC) projections of sea level rise, the consequences of DEM selection for assessing the impact of sea level rise in the Ayeyarwady Delta are shown. We highlight the need for addressing particularly low-lying populated areas within the most seaward districts with risk mitigation and adaptation strategies while also the more inland delta population should be made aware of facing a higher risk of flooding due to relative sea level rise in the next ~ 100 years. © Author(s) 2023.</t>
  </si>
  <si>
    <t>2-s2.0-85184305669"</t>
  </si>
  <si>
    <t>10.21837/PM.V21I30.1387</t>
  </si>
  <si>
    <t>https://www.scopus.com/inward/record.uri?eid=2-s2.0-85178038335&amp;doi=10.21837%2fPM.V21I30.1387&amp;partnerID=40&amp;md5=8646b86d6d8981ba1318b27c5a213d0a</t>
  </si>
  <si>
    <t>Ecotourism allows tourism policymakers and the community to manage nature-based tourism. However, although ecotourism is a promising idea or concept, this opportunity is only partially a reality. It requires a particular study relative to the current conditions of the destination and other aspects that can support the implementation of ecotourism. The objectives of this study are to 1) examine the opportunities for implementing ecotourism in a coastal area, Bantaeng regency of Indonesia</t>
  </si>
  <si>
    <t>10.1029/2022EF002927</t>
  </si>
  <si>
    <t>https://www.scopus.com/inward/record.uri?eid=2-s2.0-85148854337&amp;doi=10.1029%2f2022EF002927&amp;partnerID=40&amp;md5=a1d714829dd63ad0eba3797fd8826e87</t>
  </si>
  <si>
    <t>Increasing population size and economic dependence on the coastal zone, coupled with the growing need for residential, agricultural, industrial, commercial and green space infrastructure, are key drivers of land reclamation. Until now, there has been no comprehensive assessment of the global distribution of land use on reclaimed space at the coast. Here, we analyze Landsat satellite imagery from 2000 to 2020 to quantify the spatial extent, scale, and land use of urban coastal reclamation for 135 cities with populations in excess of 1 million. Findings indicate that 78% (106/135) of these major coastal cities have resorted to reclamation as a source of new ground, contributing a total 253,000 ha of additional land to the Earth's surface in the 21st century, equivalent to an area the size of Luxembourg. Reclamation is especially prominent in East Asia, the Middle East, and Southeast Asia, followed by Western Europe and West Africa. The most common land uses on reclaimed spaces are port extension (&gt;70 cities), followed by residential/commercial (30 cities) and industrial (19 cities). While increased global trade and the rapid urbanization have driven these uses, we argue that a city's prestigious place-making effort to gain global reputation is emerging as another major driver underlying recent reclamation projects to create tourist and green spaces Meanwhile, the study suggests that 70% of recent reclamation has occurred in areas identified as potentially exposed to extreme sea level rise (SLR) by 2100 and this presents a significant challenge to sustainable development at the coast. © 2023 The Authors. Earth's Future published by Wiley Periodicals LLC on behalf of American Geophysical Union.</t>
  </si>
  <si>
    <t>2-s2.0-85148854337"</t>
  </si>
  <si>
    <t>10.1007/s11069-022-05645-9</t>
  </si>
  <si>
    <t>https://www.scopus.com/inward/record.uri?eid=2-s2.0-85139231560&amp;doi=10.1007%2fs11069-022-05645-9&amp;partnerID=40&amp;md5=bd7e80e5431f041e27ce982c6ef37c24</t>
  </si>
  <si>
    <t>The paper discusses the persistence of floods focusing attention on the city of Dar es Salaam (DSM), where over 10% of the Tanzanian population resides. Beyond the metaphor of exploding population growth, the city has witnessed recurring floods. Whilst studies abound on the vulnerability and socio-economic losses associated with flood hazards, limited studies exist about the persistence of flood hazards in DSM. This study attempts to analyse (i) the various factors that exacerbate flooding in Dar es Salaam; and (ii) the extent of interdependency and interconnection of the various factors. A thorough systematic desk review of the literature was conducted focusing on Dar es Salaam. The literature surveyed shows how colonial planning legacy has (in)directly shaped the geomorphology of DSM, and instigated the persistence of present-day floods. Specifically, rapid spatial urbanization in informality, weak capacity in spatial development control, limited coverage of drainage infrastructure, geomorphology, climate change and variability, and low coverage of solid waste collection were discovered as the major factors exacerbating floods in DSM. Besides the interdependency and interconnected nature of these factors, the review showed how the persistence of flood hazards in Dar es Salaam is influenced by the coexistence and synergistic forces of the aforementioned: rapid spatial urbanization with informality, weak capacity in spatial development control, limited coverage of drainage infrastructure, geomorphology, climate change and variability and low coverage of solid waste collection. The study recommends that urban planners pay attention to city-specific context and the interlinked nature of the factors exacerbating floods in tailoring interventions.</t>
  </si>
  <si>
    <t>10.5194/essd-15-265-2023</t>
  </si>
  <si>
    <t>https://www.scopus.com/inward/record.uri?eid=2-s2.0-85147283289&amp;doi=10.5194%2fessd-15-265-2023&amp;partnerID=40&amp;md5=511efea1107e6d2f3c8f5aa7035d4ec3</t>
  </si>
  <si>
    <t>Wetlands, often called the ""kidneys of the earth"", play an important role in maintaining ecological balance, conserving water resources, replenishing groundwater and controlling soil erosion. Wetland mapping is very challenging because of its complicated temporal dynamics and large spatial and spectral heterogeneity. An accurate global 30m wetland dataset that can simultaneously cover inland and coastal zones is lacking. This study proposes a novel method for wetland mapping by combining an automatic sample extraction method, existing multi-sourced products, satellite time-series images and a stratified classification strategy. This approach allowed for the generation of the first global 30m wetland map with a fine classification system (GWL-FCS30), including five inland wetland sub-categories (permanent water, swamp, marsh, flooded flat and saline) and three coastal tidal wetland sub-categories (mangrove, salt marsh and tidal flats), which was developed using Google Earth Engine platform. We first combined existing multi-sourced global wetland products, expert knowledge, training sample refinement rules and visual interpretation to generate large and geographically distributed wetland training samples. Second, we integrated the Landsat reflectance time-series products and Sentinel-1 synthetic aperture radar (SAR) imagery to generate various water-level and phenological information to capture the complicated temporal dynamics and spectral heterogeneity of wetlands. Third, we applied a stratified classification strategy and the local adaptive random forest classification models to produce the wetland dataset with a fine classification system at each 5°×5°geographical tile in 2020. Lastly, GWL-FCS30, mosaicked by 961 5°×5° regional wetland maps, was validated using 25708 validation samples, which achieved an overall accuracy of 86.44% and a kappa coefficient of 0.822. The cross-comparisons with other global wetland products demonstrated that the GWL-FCS30 dataset performed better in capturing the spatial patterns of wetlands and had significant advantages over the diversity of wetland sub-categories. The statistical analysis showed that the global wetland area reached 6.38millionkm2, including 6.03millionkm2 of inland wetlands and 0.35millionkm2 of coastal tidal wetlands, approximately 72.96% of which were distributed poleward of 40°N. Therefore, we can conclude that the proposed method is suitable for large-area wetland mapping and that the GWL-FCS30 dataset is an accurate wetland mapping product that has the potential to provide vital support for wetland management. The GWL-FCS30 dataset in 2020 is freely available at 10.5281/zenodo.7340516 (Liu et al., 2022).  © 2023 Xiao Zhang et al.</t>
  </si>
  <si>
    <t>2-s2.0-85147283289"</t>
  </si>
  <si>
    <t>10.1016/j.scitotenv.2022.159593</t>
  </si>
  <si>
    <t>https://www.scopus.com/inward/record.uri?eid=2-s2.0-85140325121&amp;doi=10.1016%2fj.scitotenv.2022.159593&amp;partnerID=40&amp;md5=b80a3960729f22198ef6faee2fba87ff</t>
  </si>
  <si>
    <t>Salt marshes are potentially one of the most efficient carbon (C) sinks worldwide and perform important ecosystem functions, but sea level rise alters marsh sediments properties and thus threatens microbial roles in ecosystem functioning. Yet, the mechanisms of interactions of biochemical processes with microorganisms and their functions are still not fully understood. Here, this study investigated metagenomic taxonomic and functional profiling from the water-land conjugation up to about 300 m, 1000 m, and 2500 m in three parallel transects, respectively, in Hangzhou Bay, China. The results showed that soil physicochemical factors drove metagenomic taxonomic and functional genes in the 2500-m transect significantly different from other sites. The 2500-m transect had a greater abundance of Chloroflexi and Acidobacteria but lower in Proteobacteria. The metagenomic functional genes related to Phosphorus Metabolism (PHO) and Potassium Metabolism (POT) increased in the 2500 m. Additionally, nutrient-cycling functions and the genera of Anaeromyxobacter, Roseiflexus, and Geobacter related to PHO, POT at 2500 m were significantly greater than those of other transects. Carbon cycling functions within Carbohydrates (CHO) also differed significantly across transects. These research results demonstrated that the relative abundance of metagenomic microorganisms and their functional genes were significantly separated across the three transects. The vegetation type, salinity, and soil properties might be among the influencing factors. © 2022 Elsevier B.V.</t>
  </si>
  <si>
    <t>2-s2.0-85140325121"</t>
  </si>
  <si>
    <t>10.22146/ijg.80934</t>
  </si>
  <si>
    <t>https://www.scopus.com/inward/record.uri?eid=2-s2.0-85186920908&amp;doi=10.22146%2fijg.80934&amp;partnerID=40&amp;md5=3a975f92df3fa5ac27a632a0d5df01c6</t>
  </si>
  <si>
    <t>The coastal region is characterized by dynamic changes in its coastline, which can be attributed to various factors. However, the main causes of change along the Gresik coast have yet to be thoroughly studied. Therefore, this research aims to examine the patterns of coastline change along the Gresik coast around the Madura Strait and the influence of wind-generated waves on them. Specifically, the study focuses on four coastal zones: Ujung Pangkah, Sidayu, Bungah, and Manyar districts. The research utilizes satellite imagery and geographic information systems (GIS) as well as methods for calculating ocean waves to analyze the coastline change patterns. The study also examines the impact of ocean wave energy on coastal abrasion and accretion. The findings revealed that the accretion rate in the study area was higher than the erosion rate. The accretion in the coastal area of Gresik is attributed to the flow of the Bengawan Solo River, which carries sediment from upstream. The accretion and abrasion areas for the entire period from 2002 to 2019 were 1063.16 ha and 425.23 ha, respectively. The study also found that the mangrove areas exhibit a higher rate of accretion than abrasion, indicating their potential as a reliable indicator of the effects of sea level rise resulting from global warming. This study revealed that the northern part of Ujung Pangkah District and Bungah District experienced the highest abrasion patterns, whereas no abrasion was observed in Sidayu District. Between 2002 and 2019, the abrasion areas in Ujung Pangkah and Bungah districts totaled 243.96 ha and 178.29 ha, respectively. Wind-generated waves were likely the primary cause of the abrasion in these areas, though other factors may also have contributed to coastline changes. It is essential to consider these factors for effective coastal management in the region. © 2023 Faculty of Geography UGM and The Indonesian Geographers Associaton.</t>
  </si>
  <si>
    <t>2-s2.0-85186920908"</t>
  </si>
  <si>
    <t>10.3389/frwa.2023.1017945</t>
  </si>
  <si>
    <t>https://www.scopus.com/inward/record.uri?eid=2-s2.0-85147712930&amp;doi=10.3389%2ffrwa.2023.1017945&amp;partnerID=40&amp;md5=d511df997df1483c5f7e94094d9f2e78</t>
  </si>
  <si>
    <t>The overall precipitation in the state of Bihar, India is showing a decreasing trend both annually and seasonally, and yet extreme flood events are on the rise. The Kosi river embankments built to safeguard communities against flood risk are a product of socio-political and historical events in the past, but have resulted in differential impacts on those living inside and outside these embankments. The geomorphology of the river Kosi also makes it highly susceptible to recurring floods because it forms one of the largest inland deltas in North Bihar. Flood protection structures such as embankments exacerbate the magnitude of floods by jacketing the heavy sediment load and thus raising the riverbeds and exacerbating the intensity and duration of floods. Our paper employs an interdisciplinary approach to analysing both the biophysical and socio-institutional causalities of increasing flood events. From the quantitative analysis of rainfall data, we find that the daily, as well as monthly rainfall alone are not responsible for extreme flood events. The extreme rainfall events in the summer monsoon also do not increase the odds of flooding. Therefore, we conclude that precipitation alone is not the main factor affecting community's vulnerabilities but, a combination of socio-institutional factors including spatial location with respect to the embankment, class and caste of these communities. Our statistical analysis correlating daily and monthly gridded rainfall to the occurrences of flooding at the district level suggest that there are fewer flood events in the presence of the embankments across all years. However, primary data from household interviews and field observations confirm that the frequency and intensity of floods have increased in the post-embankment period. We found that the breaching of the river embankments is one of the major factors responsible for floods outside of the embankments. Kosi's marginalized communities perceive that they have become more vulnerable to flood risk in the post-embankment period with a declining standard of living in the Kosi villages caused by lack of proper roads, economic opportunities, educational institutions, public utilities and healthcare facilities, especially in areas with embankments. Copyright © 2023 Sahani, Badiger, Samrat and Krishnan.</t>
  </si>
  <si>
    <t>2-s2.0-85147712930"</t>
  </si>
  <si>
    <t>10.1016/j.ocemod.2022.102149</t>
  </si>
  <si>
    <t>https://www.scopus.com/inward/record.uri?eid=2-s2.0-85143536228&amp;doi=10.1016%2fj.ocemod.2022.102149&amp;partnerID=40&amp;md5=0feac3d72fe252b659985d948e914db6</t>
  </si>
  <si>
    <t>This study aims to systematically assess the impacts of projected climate change on episodic events of sea level elevation in coastal areas of the Mediterranean, induced by severe weather conditions identified as deep depressions. We try to add new insight in the long-term, climatic timescale, identification of affected parts of the Mediterranean coastal zone correlated to low atmospheric pressure systems, indicative of the Mediterranean basin during the 21st century. To achieve this goal, an integrated quantitative assessment is proposed by combining projections from available and established, green-house gasses emission/concentration scenarios (based on Representative Concentration Pathways</t>
  </si>
  <si>
    <t>News of the National Academy of Sciences of the Republic of Kazakhstan, Series of Geology and Technical Sciences</t>
  </si>
  <si>
    <t>10.32014/2023.2518-170X.456</t>
  </si>
  <si>
    <t>https://www.scopus.com/inward/record.uri?eid=2-s2.0-85211633632&amp;doi=10.32014%2f2023.2518-170X.456&amp;partnerID=40&amp;md5=16b36abf1fe1b2402ce78cfecaa32318</t>
  </si>
  <si>
    <t>The purpose of the study is to carry out the natural landscape differentiation of the Tobol River basin within the Kostanay region. The results of component studies of geosystems, a three-dimensional relief model, Landsat 8 TM satellite images, materials obtained during the development of methods of surveying the territory and image processing, Google Earth geoportal data, field research materials with GPS-binding were used as initial information for mapping the studied territory. A landscape map of the Tobol River basin was made, which is based on the structural and dynamic principle of community typification and reflects the genetic origin, classification hierarchy. Its main task was to demonstrate the spatial and temporal patterns operating in geosystems. 78 individual landscapes of the Tobol River basin within the Kostanay region are highlighted and shown on the map. The following classification categories are highlighted by headings and subheadings in the legend: class (plain and valley), types (forest-steppe, steppe and semi-desert), subtypes (north-steppe</t>
  </si>
  <si>
    <t>10.5194/essd-15-497-2023</t>
  </si>
  <si>
    <t>https://www.scopus.com/inward/record.uri?eid=2-s2.0-85147928103&amp;doi=10.5194%2fessd-15-497-2023&amp;partnerID=40&amp;md5=c9319b08cba3ddab147166e3e64b66ef</t>
  </si>
  <si>
    <t>A new reanalysis of Global Navigation Satellite System (GNSS) data at or near tide gauges worldwide was produced by the University of La Rochelle (ULR) group within the third International GNSS Service (IGS) reprocessing campaign (repro3). The new solution, called ULR-repro3, complies with the IGS standards adopted for repro3, implementing advances in data modelling and corrections since the previous reanalysis campaign and extending the average record length by about 7 years. The results presented here focus on the main products of interest for sea level science: The station position time series and associated velocities on the vertical component at tide gauges. These products are useful to estimate accurate vertical land motion at the coast and supplement data from satellite altimetry or tide gauges for an improved understanding of sea level changes and their impacts along coastal areas. To provide realistic velocity uncertainty estimates, the noise content in the position time series was investigated considering the impact of non-Tidal atmospheric loading. Overall, the ULR-repro3 position time series show reduced white noise and power-law amplitudes and lower station velocity uncertainties compared with the previous reanalysis. The products are available via SONEL (10.26166/sonel-ulr7a</t>
  </si>
  <si>
    <t>10.1016/j.ijdrr.2023.103556</t>
  </si>
  <si>
    <t>https://www.scopus.com/inward/record.uri?eid=2-s2.0-85147228522&amp;doi=10.1016%2fj.ijdrr.2023.103556&amp;partnerID=40&amp;md5=c4d552f895672b66bb32ecc709539630</t>
  </si>
  <si>
    <t>Mainland Portugal presents an extensive, diversified and complex coastal zone. This diversity gives rise to diverse geomorphologic features which support different densities of human occupancy and a range of land uses and activities. In this sense, the coastal zone becomes an area of great national strategic value, but has also into a multi-hazard zone. To understand this complexity, two statistical techniques, namely Cluster Analysis and Principal Component Analysis, were used to identify and differentiate, between the different coastal typologies, based on a set of variables that express the territorial complexity and the occurrences and impacts of coastal flooding. The chosen methodology enabled a diverse set of coastal typologies to be identified, which contributes towards differentiating local specific characteristics. The holistic and differentiating nature of the applied methodology and the results obtained allows it to contribute to the definition of mitigation strategies and the implementation of adaptation measures. The results enable us to define a set of typologies associated with Coastal Disaster Risk Reduction and Management which are an important contribution to comprehensive coastal flood risk assessment and management. © 2023 Elsevier Ltd</t>
  </si>
  <si>
    <t>2-s2.0-85147228522"</t>
  </si>
  <si>
    <t>10.5194/nhess-23-823-2023</t>
  </si>
  <si>
    <t>https://www.scopus.com/inward/record.uri?eid=2-s2.0-85149477694&amp;doi=10.5194%2fnhess-23-823-2023&amp;partnerID=40&amp;md5=a48b8a8f7f5b0125e52c8289a2d09005</t>
  </si>
  <si>
    <t>Coastal river deltas are susceptible to flooding from pluvial, fluvial, and coastal flood drivers. Compound floods, which result from the co-occurrence of two or more of these drivers, typically exacerbate impacts compared to floods from a single driver. While several global flood models have been developed, these do not account for compound flooding. Local-scale compound flood models provide state-of-the-art analyses but are hard to scale to other regions as these typically are based on local datasets. Hence, there is a need for globally applicable compound flood hazard modeling. We develop, validate, and apply a framework for compound flood hazard modeling that accounts for interactions between all drivers. It consists of the high-resolution 2D hydrodynamic Super-Fast INundation of CoastS (SFINCS) model, which is automatically set up from global datasets and coupled with a global hydrodynamic river routing model and a global surge and tide model. To test the framework, we simulate two historical compound flood events, Tropical Cyclone Idai and Tropical Cyclone Eloise in the Sofala province of Mozambique, and compare the simulated flood extents to satellite-derived extents on multiple days for both events. Compared to the global CaMa-Flood model, the globally applicable model generally performs better in terms of the critical success index (-0.01-0.09) and hit rate (0.11-0.22) but worse in terms of the false-alarm ratio (0.04-0.14). Furthermore, the simulated flood depth maps are more realistic due to better floodplain connectivity and provide a more comprehensive picture as direct coastal flooding and pluvial flooding are simulated. Using the new framework, we determine the dominant flood drivers and transition zones between flood drivers. These vary significantly between both events because of differences in the magnitude of and time lag between the flood drivers. We argue that a wide range of plausible events should be investigated to obtain a robust understanding of compound flood interactions, which is important to understand for flood adaptation, preparedness, and response. As the model setup and coupling is automated, reproducible, and globally applicable, the presented framework is a promising step forward towards large-scale compound flood hazard modeling. © 2023 Dirk Eilander et al.</t>
  </si>
  <si>
    <t>2-s2.0-85149477694"</t>
  </si>
  <si>
    <t>Acta Scientiarum Polonorum, Formatio Circumiectus</t>
  </si>
  <si>
    <t>10.15576/ASP.FC/2023.22.3.14</t>
  </si>
  <si>
    <t>https://www.scopus.com/inward/record.uri?eid=2-s2.0-85184000703&amp;doi=10.15576%2fASP.FC%2f2023.22.3.14&amp;partnerID=40&amp;md5=43ab4cfe19b0d96becbee104ef566478</t>
  </si>
  <si>
    <t>Aim of the study Development of new hydrodynamic numerical tools for simulations of the flow in the Odra River valley for the flood hazard assessment and management. Material and methods Use of the MIKE21 software for model building. Geospatial (ArcGis) topographical data processing and analysis for model inputs and outputs. Extensive use of remote sensing data (digital terrain model and orthophoto maps) combined with traditional data sources. Results and conclusions A cascade of twenty-five MIKE21 models was developed to cover a nearly 600 km long section of the Odra River. The models were used in different studies, including: the assessment of flood hazards with regards to various scenarios, the assessment of flooding due to ice jamming and breaks in embankments, the evaluation of the effectiveness of flood mitigating works within the complex water system of the city of Wrocław, the verification of historic flood data and stage-discharge relations, and also the verification of design discharges. © Copyright by Wydawnictwo Uniwersytetu Rolniczego w Krakowie, Kraków 2023.</t>
  </si>
  <si>
    <t>2-s2.0-85184000703"</t>
  </si>
  <si>
    <t>10.1080/17538947.2023.2271882</t>
  </si>
  <si>
    <t>https://www.scopus.com/inward/record.uri?eid=2-s2.0-85174863756&amp;doi=10.1080%2f17538947.2023.2271882&amp;partnerID=40&amp;md5=9830a03fb07f97f39a6253da8b60fc77</t>
  </si>
  <si>
    <t>Land subsidence, a common geological phenomenon in deltaic regions, poses significant risks to infrastructures, environments, and human lives. Monitoring and understanding land subsidence are crucial for establishing resilient, adaptive, and sustainable environments. In this study, a robust multi-temporal interferometric synthetic aperture radar (MTInSAR) method was employed to monitor land subsidence in the Guangdong-Hong Kong-Macao Greater Bay Area (GBA) using 541 Sentinel-1 SAR images. Spatial auto- and cross-correlation analysis were applied to select the most reasonable explanatory variables from nine candidates in each city of the GBA. City-level geographically weighted regression (GWR) models were then constructed to explore the spatially nonstationary effects of natural and human-induced factors. The findings revealed subsidence velocities ranging from 0 to 83.7 mm/yr in the GBA from 2015 to 2021, with the dominant factors affecting subsidence varying among regions. Natural and human-related factors accounted for 51.13% and 48.87%, respectively. Further analysis of representative subsidence areas highlights the importance of continuous monitoring of ground deformation using MTInSAR, region-specific land subsidence mitigation strategies, and regular maintenance of urban infrastructure. These insights are valuable for policymakers and urban planners in comprehending the complex processes underlying land subsidence and informing decision-making processes for sustainable and resilient urban development. © 2023 The Author(s). Published by Informa UK Limited, trading as Taylor &amp; Francis Group.</t>
  </si>
  <si>
    <t>2-s2.0-85174863756"</t>
  </si>
  <si>
    <t>10.1007/s11069-022-05675-3</t>
  </si>
  <si>
    <t>https://www.scopus.com/inward/record.uri?eid=2-s2.0-85140117830&amp;doi=10.1007%2fs11069-022-05675-3&amp;partnerID=40&amp;md5=76d1acee8c3229f237bd90b52494f9ea</t>
  </si>
  <si>
    <t>The impacts of sea level rise under a changing climate negatively affect the world’s coastal zones and threaten livelihood opportunities of the dependent communities, thereby highlighting the need for improved coastal adaptation strategies. The study employed a two-step methodology (i.e. bibliometric and systematic review) to analyse the geospatiality of sea level rise impacts and communities’ adaptation. In total, 363 papers were retrieved from Scopus and Web of Science databases, and 292 were considered eligible and used for the bibliometric analysis. In the systematic review, the study aimed for specific community adaptation strategies from the 292 papers, and 118 papers were eligible following developed criteria. Results indicate that countries are committed to helping their coastal communities to adapt to sea level rise impacts and the USA has been significant in that regard. Coastal communities adapt to sea level rise impacts by increasing their structural/physical or social options; however, policy/institutional assistance to intensify these options is limited. Also, specific community adaptation strategies to sea level rise impacts have been more of the engineered and built environment (67%) strategies and few on ecosystem-based strategies (7%). More ecosystem-based strategies are, thus, needed considering their socio-ecological benefits. Further research and increased communities-policymakers engagement for enhanced adaptive capacity is required.</t>
  </si>
  <si>
    <t>10.1017/cft.2023.3</t>
  </si>
  <si>
    <t>https://www.scopus.com/inward/record.uri?eid=2-s2.0-85215837816&amp;doi=10.1017%2fcft.2023.3&amp;partnerID=40&amp;md5=d8f78856c5c382e1f885b9158dd2e74f</t>
  </si>
  <si>
    <t>Coastal areas are subject to hazards that can result in severe impacts due to the high concentration of people and assets in exposed locations. While climate-induced sea-level rise will exacerbate these hazards in the course of the 21st century, future dynamics in socioeconomic development will play an important role in driving impacts-as well as adaptation responses-in particular in countries with rapid population growth in low-lying coastal areas. Here, we synthesize the current state of knowledge related to current and future population development in coastal locations and the underlying trends in socioeconomic development affecting coastal impacts at continental to global scales. Currently, 2.15Â billion people live in the near-coastal zone and 898Â million in the low-elevation coastal zone globally. These numbers could increase to 2.9Â billion and 1.2Â billion, respectively, depending on the socioeconomic scenario (i.e., Shared Socioeconomic Pathway [SSP]) considered. Nevertheless, although these numbers indicate a rapid increase in exposure of population and assets to coastal hazards, they bear limited information about the actual impacts as they do not include information on the vulnerability of coastal population. Based on these insights, we stress the need to account for dynamics in socioeconomic development in coastal risk assessments, including exposure as well as vulnerability, and additionally exploring potential feedbacks due to adaptation responses and migration decisions. Last, we propose action points for future work that can inform long-Term coastal planning for managing coastal risks.  © The Author(s), 2023.</t>
  </si>
  <si>
    <t>2-s2.0-85215837816"</t>
  </si>
  <si>
    <t>Finisterra</t>
  </si>
  <si>
    <t>10.18055/Finis33142</t>
  </si>
  <si>
    <t>https://www.scopus.com/inward/record.uri?eid=2-s2.0-85187162031&amp;doi=10.18055%2fFinis33142&amp;partnerID=40&amp;md5=65235c39e2f74aae13f18cf492f09ce4</t>
  </si>
  <si>
    <t>In Portugal, scholarly attention towards geohazards has grown significantly since the 1980s, with various analytical methods employed to study these phenomena, including physically-based models, data-driven models, and heuristic techniques. The published research has contributed to a better understanding of the underlying processes, but also includes the assessment of susceptibility, probability, and magnitude of hazardous events. Some studies have extended into risk analysis, considering exposure, asset valuation, and vulnerability, encompassing both physical and social dimensions. Geohazards are concentrated primarily in the western and southern coastal areas of mainland Portugal, particularly in regions like Lisbon, the Lower Tagus Valley, and the Algarve. These areas face multiple geohazard threats, including earthquakes, tsunamis, coastal erosion, floods, flash floods, and landslides. In the remaining parts of mainland Portugal, the inland North and Centre regions are more prone to landslides and soil erosion, while the Alentejo is comparatively safer but still faces a significant risk of soil erosion, contributing to the threat of desertification. Within the Atlantic islands, Madeira exhibits a notable susceptibility to landslides, flash floods, and coastal erosion, whereas the Azores islands encompass a wide spectrum of geohazards, comprising active volcanoes, earthquakes, tsunamis, landslides, flash floods, and coastal erosion. © Published under the terms and conditions of an Attribution-NonCommercial-NoDerivatives 4.0 International license.</t>
  </si>
  <si>
    <t>2-s2.0-85187162031"</t>
  </si>
  <si>
    <t>10.1007/s11069-022-05587-2</t>
  </si>
  <si>
    <t>https://www.scopus.com/inward/record.uri?eid=2-s2.0-85137515921&amp;doi=10.1007%2fs11069-022-05587-2&amp;partnerID=40&amp;md5=a1dd1839011c3f7110324749366a3a0f</t>
  </si>
  <si>
    <t>A two-dimensional (2D) hydrodynamic model is developed for the prediction of the water level in the lower Narmada River and its coastal floodplain passing through the Bharuch city of Gujarat, India. The 2D hydrodynamic model is calibrated for the flood of 2006 with due consideration of upstream (releases from Sardar Sarovar Dam) and downstream (tidal level of the sea) boundary conditions. The resistance coefficient of the floodplain is estimated using Landsat imagery based on the land use land cover pattern. The developed model is validated with independent data from a flood in 2013. The developed model is utilized to predict flood levels for the discharges corresponding to a 100-year return period flood, observed maximum flood and standard project flood of Sardar Sarovar Dam, which is situated upstream of the study area on the Narmada River. The model is further used to study the variation in water levels in the lower Narmada River due to the construction of the proposed Bhadbhut barrage for different gate-opening and embankment scenarios. This will be helpful in determining the height and length of the embankments along the river for flood protection. This is the first study in the lower Narmada River after the completion of the Sardar Sarovar Dam and after reaching its full capacity on September 17, 2019. The methodology proposed in this study for river flood prediction on the coastal floodplain using a 2D hydrodynamic model can be applied to similar geographical conditions. © 2022, The Author(s), under exclusive licence to Springer Nature B.V.</t>
  </si>
  <si>
    <t>2-s2.0-85137515921"</t>
  </si>
  <si>
    <t>Soft Computing</t>
  </si>
  <si>
    <t>10.1007/s00500-022-07508-8</t>
  </si>
  <si>
    <t>https://www.scopus.com/inward/record.uri?eid=2-s2.0-85140829195&amp;doi=10.1007%2fs00500-022-07508-8&amp;partnerID=40&amp;md5=6ebf9e090e47a1c6766316cce6ca26dc</t>
  </si>
  <si>
    <t>A real-time and accurate storm surge prediction model is of great scientific value and practical significance in reducing human casualties and economic losses in coastal areas. For this purpose, a novel storm surge multi-step forecasting framework integrating time-varying filtered empirical modal decomposition (TVF-EMD), fast Fourier transform (FFT), phase space reconstruction, convolutional neural network (CNN), and long short-term memory neural network (LSTM) is proposed in this study. Among the supplementary strategies, the TVF-EMD is used to extract the fluctuation features of the storm surge data and decompose the storm surge time series into a number of IMFs; the FFT is employed to calculate the frequency values of each IMF, and the subsequences with similar frequency values are combined and reconstructed. Meanwhile, CNN is adopted to predict the preprocessed high-frequency components, while the low-frequency is predicted by LSTM. Subsequently, the ultimate prediction results of the raw storm surge are calculated by superimposing the predicted values of all components. Three datasets collected from southeastern coastal region of China and five relevant comparison models are carried out to evaluate the proposed approach, where the corresponding results demonstrate that: (1) data preprocessing strategy applying TVF-EMD and FFT can significantly improve forecasting performance; (2) the TVF-EMD decomposition method is more effective under the influence of low sampling rate and noise; (3) by observing the characteristics of the subsequence, the prediction by modules can achieve better results. In addition, in order to apply the model to engineering, the proposed model is transferred to the small data domain as a pre-trained model using a transfer learning approach. According to the prediction results of Wenzhou station in the 7821-storm surge event, it can be found the proposed model still has good robustness and generalization ability even though the new sample data is small. This also proves that the model has strong practical value in coastal storm surge warning as well as disaster prevention and mitigation. Overall, the storm surge prediction framework proposed in this study has higher prediction accuracy and transferability, and can provide scientific and reasonable theoretical guidance for the emergency management to develop disaster prevention strategies.</t>
  </si>
  <si>
    <t>10.3389/fenvs.2023.1111856</t>
  </si>
  <si>
    <t>https://www.scopus.com/inward/record.uri?eid=2-s2.0-85169142864&amp;doi=10.3389%2ffenvs.2023.1111856&amp;partnerID=40&amp;md5=c5a4e8f00420dfe57d72a0a0c7587b18</t>
  </si>
  <si>
    <t>Fine scale data collection on vulnerability metrics is necessary for just policy outcomes. Those most likely to be disproportionately affected by specific climate risks should be identified early so that the needs of vulnerable communities (especially historically marginalized communities) can be addressed and mitigated in accordance with climate justice principles. While there is a growing body of event-specific and place-based studies, systematic studies on coastal populations at risk have typically not applied equity principles and have often ignored attributes such as race and ethnic composition, age structure, urban/rural classification, and housing tenure. Additionally, assumptions about future population trends depend on understanding past spatial patterns of change, as well as demographic and socioeconomic characteristics of the populations at risk, especially considering increasing coastal hazards. Yet, with few exceptions, research on coastal vulnerability has not analyzed changes in exposure over time and has not systematically addressed implications for communities of color over time. This paper seeks to fill these gaps. In this paper, using an equity lens and spatial demographic methods with the finest-resolution data available (census blocks), we estimate the extent of exposure and population change from 1990 to 2020 in the low elevation coastal zone in the continental United States. We find that the population of the LECZ has increased during this period, primarily by the growth of the urban population which has risen from about 22 million to 31 million persons. From 2000 to 2020, the urban population consistently grew at higher rates inside the LECZ than outside of it, reversing the pattern from the decade prior. We also examine changes in the population by race and Hispanic origin, urban and rural status, and a set of more expansive vulnerability themes. Our estimates, tabulated by counties and states, reveal the concentration and characteristics of exposure and changes to it over the past 30 years. Key findings include: residents of the LECZ are much older than average</t>
  </si>
  <si>
    <t>10.1016/j.eiar.2022.106953</t>
  </si>
  <si>
    <t>https://www.scopus.com/inward/record.uri?eid=2-s2.0-85139590723&amp;doi=10.1016%2fj.eiar.2022.106953&amp;partnerID=40&amp;md5=f4531853909614480b21c8cd5c4f6d9a</t>
  </si>
  <si>
    <t>Coastal floods are the type of marine disaster that causes the greatest economic losses in coastal areas of China, especially in the current context of global climate change. Mapping the spatial distribution of coastal flood susceptibility is a prerequisite for coastal flood risk analysis, and an important step in risk prevention and management. Based on the actual coastal flood propagation process, this study uses a 2D-source–pathway–receptor (2D-SPR) model to construct a complex network for coastal flood susceptibility analysis. In addition, it uses the decision-making trial and evaluation laboratory (DEMATEL) method and the technique for order preference by similarity to an ideal solution (TOPSIS) multi-attribute decision-making method to calculate the importance of each unit in the system, namely centrality Mi which ranges from 0.0716 to 4.3524, with a higher value indicating a higher importance. Finally, the spatial distribution of coastal flood susceptibility is drawn with ArcGIS software. For a clearer display, we divide the data into 12 levels according to the natural breakpoint method, and it can be seen that coastal flood susceptibility of different regions varies greatly. The classification results have obvious regularity, overall, open-land areas or parks, waters and southeast side have relatively higher values, which belong to the higher susceptibility area among the 12 levels. From the perspective of the integrity of the geographical unit, 15 locations including unbuilt areas and water areas are identified to have high flood susceptibilities relative to the mean values of all the areas. This study fully considers the hazard formation process of coastal floods, especially the complex interaction between hazard sources and receptors. These findings provide a new perspective for the rapid, objective assessment of coastal flood susceptibility. © 2022 Elsevier Inc.</t>
  </si>
  <si>
    <t>2-s2.0-85139590723"</t>
  </si>
  <si>
    <t>10.1080/10106049.2022.2159070</t>
  </si>
  <si>
    <t>https://www.scopus.com/inward/record.uri?eid=2-s2.0-85148658109&amp;doi=10.1080%2f10106049.2022.2159070&amp;partnerID=40&amp;md5=d9e9eceee48e06fe58c715a38b6a2033</t>
  </si>
  <si>
    <t>Understanding of shoreline dynamics is essential to coastal management and the development of tropical archipelagic countries. Therefore, this study aims to analyze the factors affecting shoreline changes and their future predictions in Bengkayang Regency, West Kalimantan. Research data used includes historical maps, remote sensing imagery, total suspended solids, underwater slope and depth, distance from the estuaries, wind speed, and distance from the coastal constructions. The multiple linear regression models and digital shoreline analysis system were applied. Findings showed accretion occurred in 1981, 1991, and 2021 while abrasion was detected in 2001 and 2011. The shorelines gained 37.05 meters between 1945 and 2021 under intensive accretion in segments 2–4 while abrasion recorded in segments 6–8. Furthermore, the shorelines are projected to be abraded between 2021 and 2041. These findings are recommended to be considered in the development of coastal areas that are adaptive to climate change, sea-level rise, and land subsidence. © 2023 The Author(s). Published by Informa UK Limited, trading as Taylor &amp; Francis Group.</t>
  </si>
  <si>
    <t>2-s2.0-85148658109"</t>
  </si>
  <si>
    <t>10.1080/17445647.2023.2223637</t>
  </si>
  <si>
    <t>https://www.scopus.com/inward/record.uri?eid=2-s2.0-85163813564&amp;doi=10.1080%2f17445647.2023.2223637&amp;partnerID=40&amp;md5=4a0d0ff8335e0f9a71beb362dcaa3753</t>
  </si>
  <si>
    <t>Orbital data from the MESSENGER spacecraft show that a significant portion of Mercury’s northern hemisphere is covered by smooth plains, which are interpreted to be flood volcanic material and/or impact melt. The smooth plains show pervasive tectonic structures and encompass a broad raised bulge of uncertain geophysical interpretation. In this work, we focus on the mapping of all the morphostructures within the northern smooth plains, aiming at providing a useful dataset for further studies about the mapped area. The structural map is obtained through a twofold process: first with an automatic mapping, using an algorithm to identify all the lineaments from a DEM</t>
  </si>
  <si>
    <t>10.1016/j.catena.2022.106734</t>
  </si>
  <si>
    <t>https://www.scopus.com/inward/record.uri?eid=2-s2.0-85143796341&amp;doi=10.1016%2fj.catena.2022.106734&amp;partnerID=40&amp;md5=731fdea00f42d1e5bd38eca230a69544</t>
  </si>
  <si>
    <t>As reports on glacial lake outburst floods (GLOFs) have increased with global warming, a robust GLOF susceptibility assessment approach is critical for disaster prevention and damage reduction. A robust GLOF susceptibility assessment approach, using the Analytic Hierarchy Process (AHP) to assess the potential hazard grades of glacial lakes combined with data from a digital elevation model (DEM), glaciers, remote sensing images, and field investigations, was constructed and applied in the Nidu Zangbo Basin in Nagqu, Tibetan Plateau. From 1988 to 2016, the total number and area of glacial lakes increased in this basin. There were 71 glacial lakes in the Nidu Zangbo Basin with a total area of 3.42 km2 in 2016, among which 14 lakes, accounting for an area&gt;0.05 km2, were considered to be potentially dangerous glacial lakes (PDGLs) in this study. At the end of 2017, the proposed approach identified 6 of 14 PDGLs as high potentially hazardous, among which Jinwucuo, with the highest hazardous score, occurred GLOF event on June 26, 2020, which proves the robustness of the approach. Thus, the GOLF susceptibility in the Nidu Zangbo Basin was suggested to be evaluated regularly with the approach and update monitoring data and remote sensing images. The study provides valuable clues to assess the GLOF susceptibilities in High Mountain Asia (HMA). © 2022 Elsevier B.V.</t>
  </si>
  <si>
    <t>2-s2.0-85143796341"</t>
  </si>
  <si>
    <t>10.1007/s11069-022-05569-4</t>
  </si>
  <si>
    <t>https://www.scopus.com/inward/record.uri?eid=2-s2.0-85137985379&amp;doi=10.1007%2fs11069-022-05569-4&amp;partnerID=40&amp;md5=264f4aa27ead2af0b62d529e02df3068</t>
  </si>
  <si>
    <t>The Lancang–Mekong River Basin (LMRB) is one of the river basins most prone to floods and droughts induced by extreme precipitation (EP). Therefore, it is of great significance to characterize the spatio-temporal changes of EP in the LMRB. Based on the Multi-Source Weighted-Ensemble Precipitation dataset (MSWEP) Version 2.2 (V2.2) dataset from 1979 to 2016, all improved extreme precipitation indices (EPIs) at grid and national levels were computed and their changing trends were investigated by means of the trend-free pre-whitening Mann–Kendall significance test and the Sen’s slope</t>
  </si>
  <si>
    <t>10.1016/j.catena.2022.106651</t>
  </si>
  <si>
    <t>https://www.scopus.com/inward/record.uri?eid=2-s2.0-85139082237&amp;doi=10.1016%2fj.catena.2022.106651&amp;partnerID=40&amp;md5=78aab515e1f5079059cf1b5da8d7b8ac</t>
  </si>
  <si>
    <t>At a global scale, intertidal areas are being reclaimed for agriculture as well as urban expansion, imposing high human pressure on the coastal zone. The Ganges-Brahmaputra Delta (GBD) is an exponent of this development. In this delta, land reclamation accelerated in the 1960's to 1980's, when polders were constructed in areas subject to regular marine flooding. A comprehensive analysis of tidal channel evolution in the southwest GBD reveals how land reclamation leads to tidal amplification, channel shoaling, bank erosion, and interaction between channels in which one tidal river captures the storage area of a neighbouring river. We identify-two positive feedback mechanisms that govern these morphological changes. First, reclaiming intertidal areas results in immediate loss of tidal storage, which leads to amplification and faster propagation of the tides. In systems with abundant sediment supply, the blind tidal channels progressively fill in with sediment, leading to a continued loss of tidal storage and therefore further distorting the tides. Secondly, when intertidal areas of parallel (and inter-connected) river delta distributaries are asynchronously or unevenly reclaimed, one channel distributary may expand its intertidal area at the expense of the other. This is initiated by an increasing propagation speed of the tidal wave in the partially reclaimed distributary, travelling into the non-reclaimed distributary through connecting channels. These connecting channels progressively expand while the pristine channel shoals, and potentially degenerates. Both positive feedback loops are very stable and are responsible for pluvial flooding of polders, large-scale bank erosion, and poorly navigable primary waterways, including the navigation channel accessing Bangladesh's second-largest port. Interventions aiming to solve these problems have to account for the complex positive feedback mechanisms identified in this paper and be nature-based and holistic. © 2022 The Authors</t>
  </si>
  <si>
    <t>2-s2.0-85139082237"</t>
  </si>
  <si>
    <t>10.1080/19463138.2022.2159415</t>
  </si>
  <si>
    <t>https://www.scopus.com/inward/record.uri?eid=2-s2.0-85145444987&amp;doi=10.1080%2f19463138.2022.2159415&amp;partnerID=40&amp;md5=9b9fe3b84cd79341bc9ed1ca9aaecce2</t>
  </si>
  <si>
    <t>This study considers climate impacts and environmental challenges (flooding and sea-level rise) in one of the coastal informal settlements in Lagos, Nigeria. A mix of methods was used to generate data. First, 14 residents, selected through purposive sampling, were interviewed. A survey (sample size = 300) of residents was conducted as a follow-up to the interviews. To elicit information on spatio-temporal dimensions, GIS-based mapping showed change in land use/cover from 1990 to 2020 and simulates impacts with 0.5 m, 1 m, 1.5 m and 2 m sea level rise scenarios. The results illuminate negative corollaries at the intersection of informal urbanisation and climate change in coastal settings. Flood-related impacts on the built and natural environment were significant. Climate adaption and resilience will need to involve restoring the decimated natural ecosystem and integration of indigenous systems in the study area and similar low-income coastal urban communities. © 2023 The Author(s). Published by Informa UK Limited, trading as Taylor &amp; Francis Group.</t>
  </si>
  <si>
    <t>2-s2.0-85145444987"</t>
  </si>
  <si>
    <t>10.1016/j.uclim.2022.101396</t>
  </si>
  <si>
    <t>https://www.scopus.com/inward/record.uri?eid=2-s2.0-85145323060&amp;doi=10.1016%2fj.uclim.2022.101396&amp;partnerID=40&amp;md5=21fb8392a5bfb08dfb94eb8f2d656cc1</t>
  </si>
  <si>
    <t>Many coastal cities face the risk of compound floods induced by multiple factors such as storm surge and rainfall. Flood risk assessment helps mitigate and manage flood disasters in coastal cities. In current literature, study about compound flood risk assessment of loss of life is limited. This study assesses the risk of loss of life in compound floods under storm surge ad rainfall in the Macao Peninsula which is a coastal city. The joint probability for storm surge and rainfall occurrence was analyzed by copula function. The coupled hydrodynamic model of drainage and overland flow was established to simulate the compound flooding process. The risk of loss of life is quantitatively assessed based on the mortality function for flood scenarios with different probabilities. The western coastal area of Macao Peninsula is the most vulnerable area to flooding with higher mortality. Although the most area of Macao Peninsula has low mortality, there is still a serious loss of life in extreme floods due to high population density. This study provides guidance for quantitative compound flood risk assessment and risk management of loss of life in coastal cities. © 2022 Elsevier B.V.</t>
  </si>
  <si>
    <t>2-s2.0-85145323060"</t>
  </si>
  <si>
    <t>10.1007/s00024-022-03215-5</t>
  </si>
  <si>
    <t>https://www.scopus.com/inward/record.uri?eid=2-s2.0-85145090558&amp;doi=10.1007%2fs00024-022-03215-5&amp;partnerID=40&amp;md5=69fc6465fdad777044201f4c76740502</t>
  </si>
  <si>
    <t>On January 15th, 2022, at approximately 4:47 pm local time (0347 UTC), several weeks of heightened activity at the Hunga volcano 65 km northwest of Tongatapu, culminated in an 11-h long violent eruption which generated a significant near-field tsunami. Although the Kingdom of Tonga lies astride a large and tsunamigenic subduction zone, it has relatively few records of significant tsunami. Assessment activities took place both remotely and locally. Between March and June 2022, a field team quantified tsunami runup and inundation on the main populated islands Tongatapu and Eua, along with several smaller islands to the north, including the Ha’apai Group. Peak tsunami heights were ~ 19 m in western Tongatapu, ~ 20 m on south-eastern Nomuka Iki island and ~ 20 m on southern Tofua, located ~ 65 km S and E and 90 km N from Hunga volcano, respectively. In western Tongatapu, the largest tsunami surge overtopped a 13–15 m-high ridge along the narrow Hihifo peninsula in several locations. Analysis of tide gauge records from Nukualofa (which lag western Tongatapu arrivals by ~ 18–20 min), suggest that initial tsunami surges were generated prior to the largest volcanic explosions at ~ 0415 UTC. Further waves were generated by ~ 0426 UTC explosions that were accompanied by air-pressure waves. Efforts to model this event are unable to reproduce the timing of the large tsunami wave that toppled a weather station and communication tower on a 13 m-high ridge on western Tongatapu after 0500 UTC. Smaller tsunami waves continued until ~ 0900, coincident with a second energetic phase of eruption, and noted by eyewitnesses on Tungua and Mango Islands. Despite an extreme level of destruction caused by this tsunami, the death toll was extraordinarily low (4 victims). Interviews with witnesses and analysis of videos posted on social media suggest that this can be attributed to the arrival of smaller ‘pre tsunami’ waves that prompted evacuations, heightened tsunami awareness due to tsunami activity and advisories on the day before, the absence of tourists and ongoing tsunami education efforts since the 2009 Niuatoputapu, Tonga tsunami. This event highlights an unexpectedly great hazard from volcanic tsunami worldwide, which in Tonga’s case overprints an already extreme level of tectonic tsunami hazard. Education and outreach efforts should continue to emphasize the ‘natural warning signs’ of strong ground shaking and unusual wave and current action, and the importance of self-evacuation from coastal areas of low-lying islands. The stories of survival from this event can be used as global best practice for personal survival strategies from future tsunami. © 2022, The Author(s).</t>
  </si>
  <si>
    <t>2-s2.0-85145090558"</t>
  </si>
  <si>
    <t>10.12785/ijcds/130166</t>
  </si>
  <si>
    <t>https://www.scopus.com/inward/record.uri?eid=2-s2.0-85161928351&amp;doi=10.12785%2fijcds%2f130166&amp;partnerID=40&amp;md5=16828f10c69dbe1b86833c510965ea5c</t>
  </si>
  <si>
    <t>Rapid climate change accelerates global temperature rise, causing thermal expansion of seawater and melting of ice-based
lands, such as ice sheets and glaciers; these anomalies eventually result in global sea level rise. Since the beginning of satellite records,
the sea level has risen significantly faster in recent decades than in prior decades, affecting people living in coastal areas directly as well
as indirectly causing many environmental abnormalities. It is now possible to continuously monitor the level of seawater using current
technology, but to battle this problem, it is necessary to understand the current scenario as well as predict the future scenario of sea
level so that people may prepare and researchers can develop a viable solution, which is the main objective of this study. Here, 29 years
of data on variables that are closely related to climate change, such as global temperature anomaly, ocean heat content change, carbon
dioxide level in the atmosphere, and mass variation in Antarctica and Greenland, was gathered to build a multivariant prediction model
using advance deep learning algorithms such as Recurrent Neural Network (RNN), Long Short Term Memory (LSTM), Gated Recurrent
Unit (GRU), WaveNet (a type of Deep Convolutional Neural Network), and Deep Hybrid Network to predict the future scenario
of global sea level rise. The results indicate that each method performs up to a certain level, but the deep hybrid model performed
best in terms of accurately detecting the pattern of the dataset where MAE is 5.77 and RMSE is 7.67. Deep learning algorithms are
admirable at identifying patterns in time series datasets, and with the necessary optimization, they can also assist in uncovering future data.</t>
  </si>
  <si>
    <t>Qualitative Research Reports in Communication</t>
  </si>
  <si>
    <t>10.1080/17459435.2022.2099961</t>
  </si>
  <si>
    <t>https://www.scopus.com/inward/record.uri?eid=2-s2.0-85170689776&amp;doi=10.1080%2f17459435.2022.2099961&amp;partnerID=40&amp;md5=73f3ceb374f1e52e957f4f492defe625</t>
  </si>
  <si>
    <t>Guided by the problematic integration theory, the purpose of this study was to determine what probabilistic and evaluative orientations were formed during post-disaster decision-making following the 2010 Deepwater Horizon oil spill, the 2011 Tuscaloosa Tornado, the 2011 Mississippi Delta flooding, and a pair of tornados in Hattiesburg Mississippi in 2013 and 2017. A series of focus groups were conducted in communities impacted by these disasters. Five different themes emerged when coding the focus group data for probabilistic and evaluative orientations formed: (1) Distrust, (2) Disorientation, (3) Desperation, (4) Disparity, and (5) Disconnection. The broader implications of this study shed light on how people handle personal uncertainty, especially in situations where their lives have been dramatically shifted in a negative way. © 2022 ECA.</t>
  </si>
  <si>
    <t>2-s2.0-85170689776"</t>
  </si>
  <si>
    <t>Journal of Applied Water Engineering and Research</t>
  </si>
  <si>
    <t>10.1080/23249676.2022.2114025</t>
  </si>
  <si>
    <t>https://www.scopus.com/inward/record.uri?eid=2-s2.0-85136561600&amp;doi=10.1080%2f23249676.2022.2114025&amp;partnerID=40&amp;md5=9808e44bc69cdb08bfac692f895616b9</t>
  </si>
  <si>
    <t>The availability of a flood hazard map is beneficial during flood risk reduction. However, there is a lack of high-resolution topographic data, which is a map realization obstacle. Therefore, this study aims to construct flood hazard maps based on hazard levels for various flood return periods. The 2D-hydrodynamic from the Hydrologic Engineering Center's River Analysis System (HEC-RAS) and Digital Surface Models (DSM) from Unmanned Aerial Vehicle (UAV) imagery were used for generating inundation maps. The results showed that simulation of return periods for 2 and 10 years illustrated a 37% increase in flood hazard levels. Furthermore, there was an increased danger level for locations that were exposed to flood inundation. This occurred in housing, some roads, and rice fields. Ultimately, this study mitigates flood hazards through the determination of evacuation directions, urban spatial planning, and informed flood mitigation measures. © 2022 IAHR and WCCE.</t>
  </si>
  <si>
    <t>2-s2.0-85136561600"</t>
  </si>
  <si>
    <t>Environmental Geochemistry and Health</t>
  </si>
  <si>
    <t>10.1007/s10653-021-01019-5</t>
  </si>
  <si>
    <t>https://www.scopus.com/inward/record.uri?eid=2-s2.0-85130764859&amp;doi=10.1007%2fs10653-021-01019-5&amp;partnerID=40&amp;md5=3f7f036762d938187bea6c3caeec5401</t>
  </si>
  <si>
    <t>The pollution of floodplain, deltaic and adjacent coastal soils in large fluvial systems, considered an urgent environmental problem, as well as potentially toxic elements in such environments, can negatively affect aquatic ecosystems, as well as pose significant risks to human health. This paper is devoted to the geochemistry of potentially toxic elements in soils of the Lower Don basin, which is one of the largest and most anthropogenically transformed water bodies in Southern Russia, as well as the adjacent areas of the Taganrog Bay coast. The median element concentrations in the soils of the study area were consistent with the world soil average and the contents of elements in background soils. Comparative assessment of the spatial distributions as well as the results of Pearson’s correlations, cluster analysis and principal component analysis showed that Cr, Ni, Cu and Zn are predominantly of natural origin</t>
  </si>
  <si>
    <t>GIScience and Remote Sensing</t>
  </si>
  <si>
    <t>10.1080/15481603.2023.2268367</t>
  </si>
  <si>
    <t>https://www.scopus.com/inward/record.uri?eid=2-s2.0-85173644189&amp;doi=10.1080%2f15481603.2023.2268367&amp;partnerID=40&amp;md5=ea1a44c0076fd75e53b6ff01d9f1e8e4</t>
  </si>
  <si>
    <t>The occurrence of collapses and landslides due to underground mining has its unique failure mechanism, especially in the Karst mountainous regions of China. Spaceborne and airborne remote sensing observations provide rapid and effective tools for assessing surface changes and monitoring surface deformation of such landslides. In this study, we take the Jianshanying landslide, a typical mining-induced and fast-deformed landslide, as an example, and reveal the failure mechanism of such landslide by investigating the historical surface displacement. First, the complete evolution of the landslide surface was investigated from its original state to the overall sliding. The data include the satellite and Unmanned Aerial Vehicle (UAV) optical images, UAV three-dimensional (3-D) real scene models, high-resolution Light Detection and Ranging (LiDAR) DEM, and field survey. The results show that the head region entered the high deformation stage after 2019, the maximum deformation rate was 12.3 m/yr. The landslide morphology was formed after the overall slide occurred in September 2020. Then, the pre-event 3-D surface deformation after the landslide entered the high deformation stage was recovered using Interferometric Synthetic Aperture Radar (InSAR), differential DEM, and SAR/optical offset-tracking techniques. The vertical deformation was recovered around −30 m from 2019 to 2020. In particular, we solved the problem of unequal accuracy of SAR and optical offset-tracking observations in 3-D deformation inversion by employing the Helmert variance component estimation method. The maximum deformation was 6 m and 3 m within 4 months in the NS and EW directions, respectively. Finally, we revealed the failure mechanism of the Jianshanying landslide based on the disparity of horizontal and vertical deformation. That is, underground mining causes a significant subsidence of the rear part of the landslide body, resulting in different stress changes in the rear and front parts of the landslide body, which eventually led to sliding of the front part of the slope along the free surface. This work investigates and monitors the typical underground mining-induced Jianshanying landslide by using multi-sensor remote sensing approaches to trace the pre-event surface motions and to reveal its failure mechanism. © 2023 The Author(s). Published by Informa UK Limited, trading as Taylor &amp; Francis Group.</t>
  </si>
  <si>
    <t>2-s2.0-85173644189"</t>
  </si>
  <si>
    <t>10.1109/JSTARS.2023.3272782</t>
  </si>
  <si>
    <t>https://www.scopus.com/inward/record.uri?eid=2-s2.0-85159814988&amp;doi=10.1109%2fJSTARS.2023.3272782&amp;partnerID=40&amp;md5=4ab41f146d9cec4e243a891e9c9832ed</t>
  </si>
  <si>
    <t>Coastal subsidence exacerbates relative sea level rise (SLR) and increases the risk of coastal flooding. However, the contribution of local land subsidence (LLS) in the Yellow river delta (YRD) to the relative SLR remains unclear, leading to a gap in the understanding of future inundation scenarios. In this article, we firstly used five years of Sentinel-1 data to generate the high-accuracy coastal subsidence of the YRD. Radar interferometry (InSAR) results show that fast subsiding funnels larger than 50 mm/yr are mainly distributed in the brine mining clusters, and the maximum subsidence rate exceeds 300 mm/yr. We then proposed an inundation estimation method by combining extended seeded region growing model, InSAR-derived LLS and SLR. This method can effectively output the coastal inundation time series, quantify and characterize the changes of inundation area and depth without detailed hydrodynamic conditions. Moreover, we presented high spatiotemporal resolution inundation scenarios for the entire YRD, revealing that in the absence of control measures, annual subsidence of 19 mm/yr contributes at least three times more than that SLR to the increased flood risk in 2050 under the low greenhouse gas emissions scenario (SSP1-2.6). However, under the scenario of SSP5-8.5, 4611 km2 of land would be inundated by 2100 and coastal dams are extremely likely to be damaged. This article is expected to provide a practical and cost-effective alternative to understanding the contribution of coastal subsidence to the relative SLR, and for choosing when and how to mitigate land subsidence to prevent future coastal flooding in the delta. © 2008-2012 IEEE.</t>
  </si>
  <si>
    <t>2-s2.0-85159814988"</t>
  </si>
  <si>
    <t>10.3389/feart.2023.1082203</t>
  </si>
  <si>
    <t>https://www.scopus.com/inward/record.uri?eid=2-s2.0-85149626157&amp;doi=10.3389%2ffeart.2023.1082203&amp;partnerID=40&amp;md5=2290d7dd202facf3059046c9e2ac97f5</t>
  </si>
  <si>
    <t>Seismic geomorphology and stratigraphic analysis can reveal how source-to-sink systems dynamically respond to climatic and tectonic forcing. This study uses seismic reflection data from the Norwegian Sea to investigate the stratigraphic response to a short-lived (0.2 Myr) period of climate change during the Paleocene-Eocene Thermal Maximum (PETM), superimposed on a long-lived (∼8 Myr) period of hinterland uplift. The data show that long-term uplift resulted in ∼300 m of relative sea-level fall, forced regression and formation of incised valleys during the latest Paleocene-earliest Eocene. The short-lived PETM climate perturbation at ∼56 Ma changed the transport dynamics of the system, allowing sediment to be bypassed to wide channel complexes on the basin floor, feeding a large mud-rich basin-floor fan more than 50 km into the basin. Our analysis also suggest that sediment supply was up to four times higher during the PETM compared to earlier and later periods. Maximum regression at ∼55.5 Ma resulted in the formation of a subaerial unconformity. The style of subaerial incision was dictated by shelf accommodation and proximity to the area of direct sediment input. Out-of-grade shelves and slopes sourced by littoral drift were prone to incision, but direct-fed and graded shelves and slopes were not. Despite maximum regression, sediments were not transported significantly beyond the toe-of-slope aprons, suggesting that rapid climate change was more efficient in bypassing sediment to the deep-water than low stands of sea level. As long-term accommodation increased after the PETM, deltas were still able to reach shelf edge, but periods of maximum regression were not associated with deep incisions along the outer shelf and only smaller canyons and gullies formed. The shelf-slope wedge was finally transgressed at ∼51 Ma. The age of deep valley incisions overlaps with the time of subaerial erosion in the East Shetland and Faroe-Shetland basins, suggesting a common mechanism for North Atlantic uplift around 55–56 Ma. Other seismic stratigraphic surfaces do not seem to be regionally time-equivalent, highlighting the importance of local controls on internal architecture of shelf-slope wedges. This study demonstrates the high-resolution stratigraphic response to long- and short-term external forcing together with intrinsic processes and can help identify similar relationships in other areas. Copyright © 2023 Sømme, Huwe, Martinsen, Sandbakken, Skogseid and Valore.</t>
  </si>
  <si>
    <t>2-s2.0-85149626157"</t>
  </si>
  <si>
    <t>Geoadria</t>
  </si>
  <si>
    <t>10.15291/geoadria.4046</t>
  </si>
  <si>
    <t>https://www.scopus.com/inward/record.uri?eid=2-s2.0-85168149682&amp;doi=10.15291%2fgeoadria.4046&amp;partnerID=40&amp;md5=d3fcffcac8aa69f3e787ea207d278996</t>
  </si>
  <si>
    <t>Climate change is an issue of concern and is expected to cause various adverse impacts on human societies in the near and long-term future. Sea-level rise, which is caused by global warming and melting continental ice sheets, in combination with the rising global population and evolution of human activities in coastal areas, tends to make coastal societies more prone to coastal hazards. The Gulf of Corinth in Greece with its diverse coastal landforms and tectonic complexity makes the region unique when considering an assessment of coastal vulnerability. In this study we apply an Integrated Coastal Vulnerability Index (ICVI) to a potential sea-level rise for the southern coastline of the Gulf of Corinth (Greece) consisting of physical and socio-economic parameters. Among multiple different methodologies that have been developed over the recent years, we decided to apply two of the mathematical approaches we believe are best suited for the protection of human activities in our study area. The first one, ICVI_1, is based on the Coastal Vulnerability Index (CVI) by Thieler and Hammar-Klose (1999) with variables of equal relative importance, whereas the second one, ICVI_2, uses the Analytic Hierarchic Process (AHP) with the assignment of relative weight values to each parameter. The parameters were identified and ranked into a vulnerability index with a scale from 1 to 5. The results reveal that both approaches depict more or less the same coastal sections of high or very high vulnerability, but differ in the distribution of extreme values. ICVI_1 shows that 18.3% of the total coastline features very high vulnerability (score 5), while ICVI_2 shows 9.1%. The coastal sections with the highest scores of vulnerability are mostly represented in the eastern part of the studied coastline with low-lying regions of gentle slope and concentrated human activity. © 2023, Croatian Geographical Society. All rights reserved.</t>
  </si>
  <si>
    <t>2-s2.0-85168149682"</t>
  </si>
  <si>
    <t>10.1080/15715124.2021.1981353</t>
  </si>
  <si>
    <t>https://www.scopus.com/inward/record.uri?eid=2-s2.0-85118396157&amp;doi=10.1080%2f15715124.2021.1981353&amp;partnerID=40&amp;md5=e341679c650a8d55581fb415bad5bc6b</t>
  </si>
  <si>
    <t>The network of streams continuously changes its location based on time, environmental factors and human interventions. It is very important to study the stream changes in order to provide management solutions for soil conservation. One of the new methods in this regard is to use fractal geometry. The purpose of this study was to investigate the relationship between fractal and morphometric characteristics of the basin and the possibility of fast, low-cost and accurate management of the stream network based on this relationship. For this purpose, using data basic maps, drainage networks map and digital elevation model (10 m) of the ground by ArcGIS 10.7 was prepared. Then applying the rules of the Horton–Strahler river network, fractal dimensions were calculated to examine the relationship between fractal dimensions, and some rivers’ geomorphic features were investigated. Finally, by entering the data obtained from the calculations in SPSS 22 and Curve Expert software, the morphometric characteristics of the basin associated with the fractal dimensions were investigated. In the Curve Expert software, the exponential, logarithmic, linear and power models of the dependent variable (fractal dimension) and the independent variable (morphometric characteristics) were investigated and the model that had the higher determination coefficient and was significant in SPSS 22 software for the nonlinear univariate regression was selected and introduced as the appropriate model for the relationship between the two studied variables. Results showed that the fractal dimension of stream branch, the fractal dimension of drainage density and the fractal dimension of total basin area were 1.84, 0.71 and 1.46, respectively. The results also showed that the fractal dimension of watersheds has meaningful relations with factors such as shape form, area, bifurcation ratio and length ratio in the watersheds. Due to the importance of stream characteristics in the management of watersheds in terms of flood, erosion and soil conservation, the fractal models can be used to make quick and accurate decisions about the stream management. © 2021 International Association for Hydro-Environment Engineering and Research.</t>
  </si>
  <si>
    <t>2-s2.0-85118396157"</t>
  </si>
  <si>
    <t>All Earth</t>
  </si>
  <si>
    <t>10.1080/27669645.2023.2256034</t>
  </si>
  <si>
    <t>https://www.scopus.com/inward/record.uri?eid=2-s2.0-85173783522&amp;doi=10.1080%2f27669645.2023.2256034&amp;partnerID=40&amp;md5=3917e93a06a99e85fd95175a5d9e30ff</t>
  </si>
  <si>
    <t>Glacial lakes in the Himalayas are increasing in size and number at an alarming rate, with the majority of lakes concentrated in the eastern and central parts of the mountain range. This research focuses on the future prediction of regional-scale glacial lake size in the entire Himalayan mountain range to avoid future glacial lake outburst flood (GLOF). Here, we used Landsat TM and OLI images, Google Earth imageries, Cartosat DEM, and SRTM DEM, and used some techniques: average lake size change rate, Markov model and glacial surface topography to extract glacial lake size change and future prediction of lake size. A total of 9675 individual glacial lakes were noticed during the study period (1990–2020), out of which the lakes present constantly throughout the study period (with size &gt; 0.01 km2) were added in this study.1This study used two methods (i.e., Markov model and Glacier surface topography) to predict future lake size and identified 191 and 94 critical lakes that are most at risk of enlargement in Markov and glacial surface topography, respectively. Moreover, 443 critical lakes in Himalaya is distributed as 227 in the eastern Himalayas, 195 in the central Himalayas, and 21 in the western Himalayas. The findings suggest that the number and size of glacial lakes will continue to increase, posing an even greater risk of GLOFs in the future. © 2023 iit kharagpur. Published by Informa UK Limited, trading as Taylor &amp; Francis Group.</t>
  </si>
  <si>
    <t>2-s2.0-85173783522"</t>
  </si>
  <si>
    <t>10.1080/24749508.2021.1952766</t>
  </si>
  <si>
    <t>https://www.scopus.com/inward/record.uri?eid=2-s2.0-85111976450&amp;doi=10.1080%2f24749508.2021.1952766&amp;partnerID=40&amp;md5=67b7062afead6e4286206efd3d864926</t>
  </si>
  <si>
    <t>Drainage morphometric analysis is a quantitative indexing of linear, areal, and relief attributes of a watershed, which is an essential prerequisite to understand the ongoing geomorphological, geological, and tectonic processes in a watershed that modifies its landscape. The present study is an investigation of the morphometric parameters of upper Beas basin. ALOS PALSAR digital elevation model available at 12.5 m resolution from Alaska Satellite Facility has been used for the study in Arc GIS 10.2 environment. The findings of the study categorize upper Beas as a sixth order drainage basin with a total area of 4958.98 km2. High bifurcation values infer an accelerated state of erosion and underline the mountainous origin and late youthful stage of river Beas and its tributaries. Geometrically, the basin has an elongated shape indicating lower peak flow but for a longer duration making flood management ambiguous. Upper Beas basin has a coarse drainage density and texture, suggesting high infiltration and less surface water availability. Tectonically, studyarea has some prominent faults and thrusts (MBT, MCT, and STD), making the region susceptible to water infiltration. These observations unquestionably indicate a strong tectonic and lithological control over the evolution of drainage patterns in the study area. © 2021 The Author(s). Published by Informa UK Limited, trading as Taylor &amp; Francis Group on behalf of the International Water, Air &amp; Soil Conservation Society(INWASCON).</t>
  </si>
  <si>
    <t>2-s2.0-85111976450"</t>
  </si>
  <si>
    <t>10.1130/G51288Y.1</t>
  </si>
  <si>
    <t>https://www.scopus.com/inward/record.uri?eid=2-s2.0-85161284754&amp;doi=10.1130%2fG51288Y.1&amp;partnerID=40&amp;md5=cd5e01f6c249d1ba240d26b183f501cb</t>
  </si>
  <si>
    <t>In Hassenruck-Gudipati et al. (2022), we describe how both structural and functional connectivity of the coastal Trinity River, Texas, USA, are controlled by bank type, which we classified as levee, scroll bar, counterpoint bar, cutoff, inactive, or erosional for the lowermost 130 river kilometers. We then showed how all bank types except levees decreased in occurrence downstream from the hydraulic zone of quasi-uniform flow and normal depth into the zone of gradually varying flow with backwater properties. Associated with this increase in levee prevalence was a measurable decrease in variability of bank line elevations (Hassenruck-Gudipati et al., 2022, their fig. 3 inset). We welcome the comments by Wu et al. (2023) to discuss the bank lines of the Trinity River further. They have no issues with our observations nor with their significance when it comes to river-floodplain connectivity. Instead, Wu et al. found our causal explanation for the observed downstream change in bank type incomplete. However, we disagree with this assessment. © (2023), All Rights Reserved.</t>
  </si>
  <si>
    <t>2-s2.0-85161284754"</t>
  </si>
  <si>
    <t>10.3389/fclim.2023.1259337</t>
  </si>
  <si>
    <t>https://www.scopus.com/inward/record.uri?eid=2-s2.0-85169914309&amp;doi=10.3389%2ffclim.2023.1259337&amp;partnerID=40&amp;md5=f5a7c6dac6c92e2e7696e0c3fdd57ca6</t>
  </si>
  <si>
    <t>Due to its inherent multidimensionality and complexities, successful climate adaptation policymaking requires a concerted effort among multiple governance levels. Discovering the challenges and governance gaps can provide insights for policymakers paving the way for more effective policies in the future. This paper intends to provide such analysis for Coastal Virginia, a strategic region in the United States receiving significant climate impacts, particularly sea-level rise (SLR) and flooding. Utilizing semi-structured interviews with the main stakeholders and building on the adaptation framework of Moser and Ekstrom, we identify, categorize, and relate main adaptation challenges to better understand the gaps and underlying institutional dynamics causing them. Intergovernmental coordination and comprehensive planning and prioritization are the main overarching challenges, with high emphasis in the literature, while the challenge of retreat and the private sector are less discussed. It is followed by recommendations for different levels of government, informing the path forward from the stakeholders' perspective. A discussion of findings provides several implications for local, state, and federal policymakers. This research could be extended to other coastal and non-coastal areas to help formulate national and sub-national adaptation policies that maintain a holistic vision for adaptation policymaking while pondering the context-specificities of states, regions, and localities. It would be an essential task as adapting to climate change is still in its infancy stages, with the prospect of staying with us for decades to come. Copyright © 2023 Eghdami, Michel, Shafiee-Jood and Louis.</t>
  </si>
  <si>
    <t>2-s2.0-85169914309"</t>
  </si>
  <si>
    <t>WSEAS Transactions on Environment and Development</t>
  </si>
  <si>
    <t>10.37394/232015.2023.19.72</t>
  </si>
  <si>
    <t>https://www.scopus.com/inward/record.uri?eid=2-s2.0-85166397253&amp;doi=10.37394%2f232015.2023.19.72&amp;partnerID=40&amp;md5=403e9e12bdbbb260f9705683bf57d396</t>
  </si>
  <si>
    <t>Erosion processes, triggered by water, occur and propagate on sloping surfaces and have a significant negative impact on the soil quality and vegetation, as well as cause a change of the topographic surface. In the long term, they can lead to an increase in sediment transport, siltation of dams, and higher flood hazard. The development of water erosion reflects on the slope profile and the specific landforms like rills and gullies. In this regard, the geomorphological features of the areas can be considered indicators of the spatial distribution of erosion and accumulation. The sediment properties give information about the conditions of the transport and the intensity of the hydrogeomorphic processes. The current study aims to analyse the short-term changes in erosion and deposition by application of morphometry and grain size analysis. Topographic wetness index (TWI) and cross-section profiles of two small gullies were analysed based on high-resolution digital terrain models (DTMs), generated from unmanned aerial system (UAS) data. Remote sensing was combined with field geomorphological research and sediment sampling. The results of the research show about average 2 cm change in erosion and deposition for the period October 2021 – November 2022. Despite TWI and cross-section profiles depending on the DTMs resolution, they are reliable indicators for erosion and deposition. The grain size analysis supports the morphometric analysis. Coarse to very fine sands are predominant in most cases of sediment sampling. The sorting coefficient shows very poorly to moderately sorted deposits which indicates transport in a more dynamic environment and temporary flow. © 2023, World Scientific and Engineering Academy and Society. All rights reserved.</t>
  </si>
  <si>
    <t>2-s2.0-85166397253"</t>
  </si>
  <si>
    <t>https://www.scopus.com/inward/record.uri?eid=2-s2.0-85165909476&amp;partnerID=40&amp;md5=ae03e82fb38da2b7b36e374109b2a8c9</t>
  </si>
  <si>
    <t>Twenty-two thousand people died when the 11 March 2011 Tohoku earthquake and tsunami struck Japan with little or no warning from Civil Defense authorities. Both the earthquake and the tsunami also resulted in the failure and destruction of the Fukushima Daiichi Nuclear Power Plant and in large-scale distribution of radioactive elements. The seawalls along the affected coasts were easily destroyed by the tsunami, which also stirred up sludge and sediments from the seabed on land, thus making evacuation extremely difficult. Therefore, it becomes obvious that when a destructive tsunami hits again Japan, all coastal plains will continue to be dangerous zones. People living in such areas do not have enough warning time – particularly from local earthquakes and tsunamis-to evacuate to safer areas inland. Therefore, and in order to protect the people in such vulnerable coastal areas, tsunami shelters must be used or constructed to provide for their short-term protection until the tsunami danger subsides. Rapid escape of the people in danger areas to air-sealed type of existing or constructed enclosures serving as temporary shelters, can save their lives. Specifically, air-tight shelters, even in tsunami flooded coastal areas, can provide temporary protection until there is no threat. Such temporary shelters can be cheaply constructed and reliably save lives. Building codes can be amended for building air-filled tsunami shelters in oceanfront buildings, and thus provide safety from normal-level tsunamis at relatively low cost. Tsunami shelters can be constructed even in subway facilities or underground shopping malls, and thus minimize or reduce to zero losses of human lives, not only from tsunamis, but also from large fires, If coastal towns were equipped with tsunami shelters, the number of deaths from tsunamis as well as from large fires could be minimized and even be reduced to zero. © 2023, Tsunami Society. All rights reserved.</t>
  </si>
  <si>
    <t>2-s2.0-85165909476"</t>
  </si>
  <si>
    <t>10.3133/sir20235005</t>
  </si>
  <si>
    <t>https://www.scopus.com/inward/record.uri?eid=2-s2.0-85165882538&amp;doi=10.3133%2fsir20235005&amp;partnerID=40&amp;md5=c7083b1afacb514ca5e7ca430bc3d6eb</t>
  </si>
  <si>
    <t>The U.S. Geological Survey (USGS), in cooperation with the New Jersey Department of Environmental Protection (NJDEP) and the New Jersey Office of Emergency Management (NJOEM), created digital flood-inundation maps for approximately 1,430 square miles of the New Jersey coast and tidewaters through 10 coastal counties stretching from Cumberland County through Bergen County, New Jersey. The maps depict extent and depth estimates of coastal flooding corresponding to selected tidal elevations recorded by 25 real-time USGS tide gages located within the study area. The flood-inundation maps can be accessed through the USGS Interagency Flood Risk Management (InFRM) Flood Decision Support Toolbox (FDST). Previously published modeled data were utilized from the coupled ADvanced CIRCulation Model (ADCIRC) and Simulating Waves Nearshore (SWAN) model. Simulated tropical storm events were selected based on parameters including landfall location or closest approach location, maximum wind speed, central pressure, and radii of winds. Two storm events were selected per tide gage providing two “scenarios” and accompanying inundation-map libraries for each gage. Flood-inundation maps reflect between 9 to 30 stages (elevations) at each tide gage that correspond to areal extents and depths for ADCIRC-SWAN storm time steps extracted from modeled hydrographs at the gage locations. Water-surface elevations from ADCIRC-SWAN node points extending through each tide gage station extent were used to interpolate a water surface. Combining these surfaces with a geographic information system (GIS) topobathymetric digital elevation model (TBDEM) delineated the area flooded by coastal waters at each tide gage elevation. The availability of these maps to visualize potential inundation for selected water levels along with real-time water level data available online from USGS tide gages, coastal impact statements, and forecasted tide elevations from the National Weather Service (NWS) will provide emergency management personnel and residents with a link between numeric and text warning information and images of estimated inundation extents in their community. User selected display of inundation allows early response activities to NWS forecasted water level elevations or mitigation planning by selecting targeted water levels and planning critical pre-flood activities such as building elevations, early traffic pattern changes because of neighborhood building inundation levels, improved understanding about when major road access is affected, as well as for post-flood recovery efforts. A subsequent analysis of several community metrics including total structures, structure density, percent of buildings inundated, and roads and bridges affected by flooding was used to evaluate moderate flooding impacts among the mapped station extents. Initial comparisons are presented to show the variability of these characteristics within each mapped station extent then extended to evaluate impacts from moderate flooding on these same areas. The analysis used simulated inundation layers at the moderate flood stage to investigate the magnitude of inundation on building structures and major roads among the mapped station extents. Experimental equations were developed to begin testing if a mathematical equation could help identify communities that were disproportionately impacted at moderate flood stage. The community analysis of impacts to moderate flooding based on these inundation scenario maps should provide community leaders and local and state planning officials with tools to better visualize and understand how flooding begins to disrupt and damage building structures and major roads as a surrogate for direct increased risk to human life and property. © 2023, US Geological Survey. All rights reserved.</t>
  </si>
  <si>
    <t>2-s2.0-85165882538"</t>
  </si>
  <si>
    <t>10.1029/2022EF002880</t>
  </si>
  <si>
    <t>https://www.scopus.com/inward/record.uri?eid=2-s2.0-85147148914&amp;doi=10.1029%2f2022EF002880&amp;partnerID=40&amp;md5=f68fcf1d6b43ef6f9bb49e29e5883daf</t>
  </si>
  <si>
    <t>The latest projections indicate that sea-level rise (SLR) is certain to exceed 2 m in coming centuries, and a rise by 4 m is considered possible. Radar-based land elevation models applied to date suggest that the increase of area below mean sea level, that is potentially exposed to permanent flooding, will accelerate as SLR proceeds, being relatively limited initially. However, applying new and more accurate satellite LiDAR elevation data we find the opposite pattern, with the fastest increase in the area of exposed land occurring in the early stages of SLR. In one-third of countries most of this increase will be caused by the first meter of SLR and in nearly all within the first 2 m. We conclude that in many regions the time available to prepare for increased exposure to flooding may be considerably less than assumed to date, and that better elevation data will support timely preparations. The global LiDAR lowland DTM (GLL_DTM_v2) elevation data set developed for this assessment is available in the public domain. © 2022 The Authors. Earth's Future published by Wiley Periodicals LLC on behalf of American Geophysical Union.</t>
  </si>
  <si>
    <t>2-s2.0-85147148914"</t>
  </si>
  <si>
    <t>10.3133/ofr20231031</t>
  </si>
  <si>
    <t>https://www.scopus.com/inward/record.uri?eid=2-s2.0-85165582434&amp;doi=10.3133%2fofr20231031&amp;partnerID=40&amp;md5=c80d9a15393ca3177a7ee98a8a77beb2</t>
  </si>
  <si>
    <t>Bathymetric change analyses document historical patterns of sediment deposition and erosion, providing valuable insight into the sediment dynamics of coastal systems, including pathways of sediment and sediment-bound contaminants. In 2014 and 2015, the California Ocean Protection Council, in partnership with the National Oceanic and Atmospheric Administration (NOAA) Office of Coastal Management, provided funding for new bathymetric surveys of large portions of San Francisco Bay. A total of 93 bathymetric surveys were conducted during this 2-year period, using a combination of interferometric sidescan and multibeam sonar systems. These data, along with recent NOAA, U.S. Geological Survey (USGS), U.S. Army Corps of Engineers, and private contractor surveys collected from 1999 to 2020 (hereinafter referred to as 2010s), were used to create the most comprehensive bathymetric digital elevation models (DEMs) of San Francisco Bay since the 1980s. Comparing DEMs created from these 2010s surveys with USGS DEMs created from NOAA’s 1971–1990 (hereinafter referred to as 1980s) surveys provides information on the quantities and patterns of erosion and deposition in San Francisco Bay during the 9 to 47 years between surveys. This analysis reveals that in the areas surveyed in both the 1980s and 2010s, the bay floor lost about 34 million cubic meters of sediment since the 1980s. Results from this study can be used to assess how San Francisco Bay has responded to changes in the system, such as sea-level rise and variation in sediment supply from the Sacramento-San Joaquin Delta and local tributaries, and supports the creation of a new, system-wide sediment budget. This report provides data on the quantities and patterns of sediment volume change in San Francisco Bay for ecosystem managers that are pertinent to various sediment-related issues, including restoration of tidal marshes, exposure of legacy contaminated sediment, and strategies for the beneficial use of dredged sediment. © 2023, US Geological Survey. All rights reserved.</t>
  </si>
  <si>
    <t>2-s2.0-85165582434"</t>
  </si>
  <si>
    <t>10.1016/j.advwatres.2022.104357</t>
  </si>
  <si>
    <t>https://www.scopus.com/inward/record.uri?eid=2-s2.0-85144370502&amp;doi=10.1016%2fj.advwatres.2022.104357&amp;partnerID=40&amp;md5=63736856739a4e12f0b7e2fb9fe6015b</t>
  </si>
  <si>
    <t>Real-world flood simulators often use first-order finite volume (FV1) solvers of the shallow water equations with efficiency enhancements exploiting parallelisation on Graphical Processing Units (GPUs) and the use of static adaptivity on fixed grids. A second-order discontinuous Galerkin (DG2) solver greatly increases the accuracy in the predictions on uniform grids, where it is comparatively costly to run, but its practical utility as an alternative for flood simulations using static adaptivity is not yet assessed. This is also the case for the dynamic adaptivity using the multiresolution analysis (MRA) of the Haar wavelet (HW) scaling FV1 piecewise-constant solutions (HWFV1) and of the smoother Multiwavelets (MWs) that scales DG2 piecewise-planar solutions (MWDG2) to adapt the resolution of their grids over time. Therefore, dynamic MWDG2 and HWFV1 adaptivity is newly explored for practical real-world simulations, to find out when they yield better predictions than static DG2 and FV1 adaptivity. A new GPU implementation is proposed to include dynamic MWDG2 adaptivity to also assess how far GPU parallelisation renders its runtime practically feasible. Dynamic and static adaptivity are assessed for three tests involving slow, gradual to rapid flood flows with analyses of their predictive accuracy and computational costs with reference to uniform grid DG2 simulations at the finest resolution of the digital elevation model (DEM). Findings suggest favouring static FV1 adaptivity for long-duration simulations of slowly to gradually propagating floods and dynamic MWDG2 adaptivity to simulate events driven by rapidly propagating flows. On the GPU, dynamic MWDG2 adaptivity is faster than uniform DG2, leading to a higher speedup ratio with higher reduction in the elements on its initial, fixed grid. © 2022 The Author(s)</t>
  </si>
  <si>
    <t>2-s2.0-85144370502"</t>
  </si>
  <si>
    <t>10.1080/15715124.2021.1938091</t>
  </si>
  <si>
    <t>https://www.scopus.com/inward/record.uri?eid=2-s2.0-85108447532&amp;doi=10.1080%2f15715124.2021.1938091&amp;partnerID=40&amp;md5=197880d6b6f78e55a5dcfa291286328e</t>
  </si>
  <si>
    <t>This study aimed at assessing and quantitatively analysing morphometric parameters of the Lake Tana Sub-basin and its catchments using remote sensing data and Geographic Information System (GIS). The extraction of drainage network was performed from Shuttle Radar Topographic Mission (SRTM) 30 m × 30 m Digital Elevation Model (DEM) data using the Arc Hydro extension within ArcGIS 10.2. The drainage network analysis of the sub-basin revealed that the sub-basin is a seventh order with a dendritic drainage pattern and very fine drainage texture. Further, the analysis of the study showed that the catchments Gilgel Abay, Ribb and Gumera are a fifth-order stream whereas Megech is a sixth-order stream. Values of bifurcation ratio is high that indicates the presence of a higher number of streams even in the higher orders, high structural disturbance, availability of erodible soils and occurrence of high overland flow and discharge. The drainage density also revealed the basin area is permeable, with high precipitation, infiltration rate and vegetation covers. Moreover, the elongation ratio showed the basin is elongated and low class. The smaller stream frequency indicates that the basin experienced low relief, permeable bedrock and the presence of alluvial fans and flood plains. The results of this study provide information on drainage morphometry for researchers and watershed managers to understand the watershed characteristics. It serves as a basis for improved planning, management and decision making to ensure sustainable use of the basin resources, river basin evaluation, watershed prioritization for soil and water conservation and natural resources management at macro and micro level. © 2021 International Association for Hydro-Environment Engineering and Research.</t>
  </si>
  <si>
    <t>2-s2.0-85108447532"</t>
  </si>
  <si>
    <t>10.1109/JSTARS.2023.3286471</t>
  </si>
  <si>
    <t>https://www.scopus.com/inward/record.uri?eid=2-s2.0-85162663020&amp;doi=10.1109%2fJSTARS.2023.3286471&amp;partnerID=40&amp;md5=2f7cb770b1063ebc2a7b5de434343ebe</t>
  </si>
  <si>
    <t>The IPCC-AR6 report suggests that the sea-level in the Persian Gulf is expected to rise by 2.1–4.9 mm/year by 2100, which is lower than the global projections of 4–14 mm/year. However, a central nationwide ground subsidence in Bahrain's low-lying island can aggravate these figures. The island is only 14 km wide, yet we observe a 7 × 12-km ground subsidence with vertical rates up to 20 mm/year for 2016–2021. We forecast a subsidence of up to 1.5 m by 2100 by extrapolating the average rate. To characterize the subsidence, we use the following methods: i) SBAS-InSAR with 94 and 131 C-band Sentinel-1A orbital radar acquisitions in ascending and descending directions for 2016–2021, respectively, and ii) Stacking-InSAR with eight L-band ALOS-1-PALSAR acquisitions for 2007–2010 and six ALOS-2-PALSAR-ScanSAR acquisitions for 2016–2021. We suggest three causes associated with this subsidence: First, exploitation of the Awali oil field; second, local aquifer depletion; and third, subsurface dissolution of anhydrites and chalky limestones. To assess the potential impact of subsidence on the shoreline, we measure the coastline evolution at three undisturbed beaches on the West coast from 1985 to 2021, excluding areas that underwent land reclamation. Using subpixel shoreline detection analysis from 308 Sentinel-2 and Landsat (L5, L7, and L8) acquisitions, we observe that the selected shores remain stable. However, observations reveal a shoreline retreat of up to 5 m/year on the southwestern coast for 2003–2014, surpassing the estimated rate of 0.08 m/year derived from tide gauge data. This nationwide subsidence should be considered when forecasting coastal infrastructure planning in Bahrain. We recommend performing a similar analysis in other low-lying Gulf islands, where oil exploitation occurs.</t>
  </si>
  <si>
    <t>10.1080/15715124.2021.2021926</t>
  </si>
  <si>
    <t>https://www.scopus.com/inward/record.uri?eid=2-s2.0-85125415305&amp;doi=10.1080%2f15715124.2021.2021926&amp;partnerID=40&amp;md5=02e31879613f8b736ab243304598fa52</t>
  </si>
  <si>
    <t>Climate change and trans-boundary development in the major deltas of the world, including the Vietnamese Mekong Delta have exacerbated environmental risks. Land subsidence, riverbed sand mining, and intensive groundwater extraction have all contributed to lower channel bed levels, resulting in riverbank erosion and the loss of assets and livelihoods for local residents. This study investigated the drivers, and classified the social vulnerability of local communities affected by riverbank erosion along two main branches in the Vietnamese Mekong. Direct interviews were conducted with 218 erosion-affected households along the Mekong and Bassac rivers in Dong Thap and An Giang provinces in order to create a social vulnerability index. More than 70% of the total surveyed households belonged to the highly, moderately, or low vulnerability groups, suggesting a range of affected communities within the sample, some of whom had the ability to cope with its short-term impacts. However, the estimated social vulnerability index revealed significant geographical heterogeneity, with communities along the Mekong branch being more vulnerable than those along the Bassac. The recommendations from our investigations include the establishment of community awareness programmes, as well as policy changes that ensure and support local residents’ livelihoods adaptation. Stakeholder participation and enhanced community engagement was found to be the most important tools available in terms of aiding local people cope with the complex impacts of riverbank erosion. © 2022 International Association for Hydro-Environment Engineering and Research.</t>
  </si>
  <si>
    <t>2-s2.0-85125415305"</t>
  </si>
  <si>
    <t>10.1016/j.crm.2022.100470</t>
  </si>
  <si>
    <t>https://www.scopus.com/inward/record.uri?eid=2-s2.0-85144560904&amp;doi=10.1016%2fj.crm.2022.100470&amp;partnerID=40&amp;md5=8debd65bf8f741811e4e1ca2e025c12b</t>
  </si>
  <si>
    <t>The sea level has risen notably in recent decades compared to the most recent millennia. This poses serious threats to infrastructure, local jobs, environment and human population over the next century, especially in coastal zones. In this paper, the most up-to-date understanding of the climate system and climate change was used to investigate impacts of sea level rise on potential land loss along the Caribbean and Pacific coastlines of Colombia. Sea level rise projections published in August 2021 by the Intergovernmental Panel on Climate Change in the Sixth Assessment Report were used to identify the area at risk of land loss. Moreover, the potential socio-economic implications of these changes were discussed in regions affected by the projected sea level rises. We examined five Shared Socioeconomic Pathways for the 21st century (SSP1-1.9, SSP1-2.6, SSP2-4.5. SSP3-7.0, SSP5-8.5). Our results suggest a sea level rise of 1.04 m in the worst-case scenario (SSP5-8.5) which would threaten an area of 2840.64 km2. The land use in the affected zones was determined. The area at risk will impact 12 departments or 86 municipalities with different social, environmental, economic, and cultural conditions along the coastline of Colombia, that need to be considered when devising and implementing mitigation policies. © 2022 The Authors</t>
  </si>
  <si>
    <t>2-s2.0-85144560904"</t>
  </si>
  <si>
    <t>10.1016/j.rsase.2022.100910</t>
  </si>
  <si>
    <t>https://www.scopus.com/inward/record.uri?eid=2-s2.0-85144461331&amp;doi=10.1016%2fj.rsase.2022.100910&amp;partnerID=40&amp;md5=7a295c0f686aff3a23f0bca70fc2eeb6</t>
  </si>
  <si>
    <t>Tidal wetlands are valued for the ecosystem services they provide yet are vulnerable to loss due to anthropogenic disturbances such as land conversion, hydrologic modifications, and the impacts of climate change, especially accelerating rates of sea level rise. To effectively manage tidal wetlands in face of multiple stressors, accurate studies of wetland extent and trends based on high-resolution imagery are needed. We provide salt marsh delineations for Barnegat Bay, New Jersey, by means of object-based image analysis of high-resolution aerial imagery and digital elevation models. We performed trends analyses of salt marsh extent from 1995 to 2015 and estimated drivers of marsh area change. We found that in 1995, 8830 ± 390 ha were covered with marsh vegetation, while in 2015 only 8180 ± 380 ha of salt marsh habitat remained. The resulting net loss rate of 0.37% yr−1 is equivalent to historic loss rates since the 1970s, indicating that despite regionally accelerating relative sea level rise and purported eutrophication, salt marsh loss rates at Barnegat Bay remain steady. The main drivers of salt marsh loss are excavations for mosquito control (409 ha), edge erosion (303 ha) and ponding (240 ha). Upland migration of salt marsh did not completely mitigate these losses but accounted for a gain of 147 ha of tidal marsh habitat. The methodology presented herein yielded accurate salt marsh delineations (&gt;90%) and trend detection (85%), outperforming low-resolution wetland delineations used in coastal management. This study demonstrates the suitability of high-resolution imagery for the detection of open water features. For the purposes of salt marsh change detection and the identification of change drivers, management and conservation agencies should make use of high-resolution imagery whenever feasible. © 2022</t>
  </si>
  <si>
    <t>2-s2.0-85144461331"</t>
  </si>
  <si>
    <t>10.3389/fenvs.2023.1122485</t>
  </si>
  <si>
    <t>https://www.scopus.com/inward/record.uri?eid=2-s2.0-85163607878&amp;doi=10.3389%2ffenvs.2023.1122485&amp;partnerID=40&amp;md5=7c64470a47816acc9b0e13c812e5d553</t>
  </si>
  <si>
    <t>There are challenges in monitoring and managing water quality due to spatial and temporal heterogeneity in contaminant sources, transport, and transformations. We demonstrate the importance of longitudinal stream synoptic (LSS) monitoring, which can track combinations of water quality parameters along flowpaths across space and time. Specifically, we analyze longitudinal patterns of chemical mixtures of carbon, nutrients, greenhouse gasses, salts, and metals concentrations along 10 flowpaths draining 1,765 km2 of the Chesapeake Bay region. These 10 longitudinal stream flowpaths are drained by watersheds experiencing either urban degradation, forest and wetland conservation, or stream and floodplain restoration. Along the 10 longitudinal stream flowpaths, we monitored over 300 total sampling sites along a combined stream length of 337 km. Synoptic monitoring along longitudinal flowpaths revealed: (1) increasing, decreasing, piecewise, or no trends and transitions in water quality with increasing distance downstream, which provide insights into water quality processes along flowpaths</t>
  </si>
  <si>
    <t>International Journal of Intelligent Systems</t>
  </si>
  <si>
    <t>10.1155/2023/5672401</t>
  </si>
  <si>
    <t>https://www.scopus.com/inward/record.uri?eid=2-s2.0-85165063850&amp;doi=10.1155%2f2023%2f5672401&amp;partnerID=40&amp;md5=89ac2411c08c636cdf988e8f93783aea</t>
  </si>
  <si>
    <t>This study presents results for urban flood susceptibility mapping (FSM) using image-based 2D-convolutional neural networks (2D-CNN). The model input multiparametric spatial data comprised of land-useland-cover (LULC), digital elevation model (DEM), and the topographic and hydrologic conditioning derivatives, precipitation, and soil types. The implemented dropout regularization 2D-CNN with ReLU activation function, categorical cross-entropy loss function, and AdaGrad optimizer produced the case study area FSM with overall accuracy (OA) of 82.5%. The image-based 2D-CNN outperformed the multilayer perceptron (MLP) neural network by 18.4% in terms of overall accuracy and with corresponding lower MAE and higher F1-measures of 10.9% and 0.989, as compared to 25.6% and 0.877, respectively, for MLP-ANN results. The accuracy of the 2D-CNN that produced FSM map and the model efficiency were evaluated using area under the ROC curve (AUC) with respective success and prediction rates of 0.827 and 0.809. Using image-based 2D-CNN, 27% of the 247.7 km2 of the studied area was mapped with a high risk of flooding, with MLP-ANN overestimating the degree of high flood risk by 4.7%. Based on the gain ratio index analysis of the flood conditioning factors (FCFs), the most significant FCFs were LULC (18.5%), precipitation (14.9%), proximity to river (13.3%), and elevation (12.4%). Soil types contributed 8.6%, slope 9.1%, and the DEM-derived hodological conditioning indicators contributed 23.2%. The study results demonstrate that in urban areas with scarce hydrological monitoring networks, the use of image-based 2D-CNN with multiparametric spatial data can produce high-quality flood susceptibility maps for flood management in urban environments. © 2023 Yashon O. Ouma and Lawrence Omai.</t>
  </si>
  <si>
    <t>2-s2.0-85165063850"</t>
  </si>
  <si>
    <t>10.3390/rs15020295</t>
  </si>
  <si>
    <t>https://www.scopus.com/inward/record.uri?eid=2-s2.0-85146400535&amp;doi=10.3390%2frs15020295&amp;partnerID=40&amp;md5=80cda8b160a46b616364ed2195460738</t>
  </si>
  <si>
    <t>Bangladesh is a global south hotspot due to climate change and sea level rise concerns. It is a highly disaster-prone country in the world with active deltaic shorelines. The shorelines are quickly changing to coastal accretion and erosion. Erosion is one of the water hazards to landmass sinking, and accretion relates to land level rises due to sediment load deposition on the Bay of Bengal continental shelf. Therefore, this study aimed to explore shoreline status with change assessment for the three study years 1991, 2006, and 2021 using satellite remote sensing and geographical information system (GIS) approaches. Landsat 5, 7 ETM+, and 8 OLI satellite imageries were employed for onshore tasseled cap transformation (TCT) and land and sea classification calculations to create shore boundaries, baseline assessment, land accretion, erosion, point distance, and near feature analysis. We converted 16,550 baseline vertices to points as the study ground reference points (GRPs) and validated those points using the country datasheet collected from the Survey of Bangladesh (SoB). We observed that the delta’s shorelines were changed, and the overall lands were accredited for the land-increasing characteristics analysis. The total accredited lands in the coastal areas observed during the time periods from 1991 to 2006 were 825.15 km2, from 2006 to 2021 was 756.69 km2, and from 1991 to 2021 was 1223.94 km2 for the 30-year period. Similarly, coastal erosion assessment analysis indicated that the results gained for the period 1991 to 2006 and 2006 to 2021 were 475.87 km2 and 682.75 km2, respectively. Therefore, the total coastal erosion was 800.72 km2 from 1991 to 2021. Neat accretion was 73.94 km2 for the 30-year period from 1991 to 2021. This research indicates the changes in shorelines, referring to the evidence for the delta’s active formation through accretion and erosion processes of ‘climate change’ and ‘sea level rise’. This research projects the erosion process and threatens land use changes toward agriculture and settlements in the coastal regions of Bangladesh. © 2023 by the authors.</t>
  </si>
  <si>
    <t>2-s2.0-85146400535"</t>
  </si>
  <si>
    <t>10.3390/cli11010024</t>
  </si>
  <si>
    <t>https://www.scopus.com/inward/record.uri?eid=2-s2.0-85146747667&amp;doi=10.3390%2fcli11010024&amp;partnerID=40&amp;md5=dc4741839695f912c93be91b73aaf2b6</t>
  </si>
  <si>
    <t>The coastal areas of the Mediterranean have been extensively affected by the transgressive event that followed the Last Glacial Maximum, with many studies conducted regarding the stratigraphic configuration of coastal sediments around the Mediterranean. The coastal zone of the Messolonghi area, western Greece, consists of low-relief beaches, containing low cliffs and eroded dunes, a fact that, in combination with the rising sea levels and tectonic subsidence of the area, has led to substantial coastal erosion. Coastal vulnerability assessment is a useful means of identifying areas of coastline that are vulnerable to impacts of climate change and coastal processes, highlighting potential problem areas. Commonly, coastal vulnerability assessment takes the form of an “index” that quantifies the relative vulnerability along a coastline. Here, the Coastal Vulnerability Index (CVI) methodology by Thieler and Hammar-Klose was employed, by considering geological features, coastal slope, relative sea-level change, shoreline erosion/accretion rates, and mean significant wave height as well as mean tide range, to assess the present-day vulnerability of the coastal zone of the Messolonghi area. In light of this, an impact assessment is performed under three different sea-level-rise scenarios. This study contributes toward coastal zone management practices in low-lying coastal areas that have little data information, assisting decision-makers in adopting best adaptation options to overcome the impact of sea-level rise on vulnerable areas, similar to the coastal zone of Messolonghi. © 2023 by the authors.</t>
  </si>
  <si>
    <t>2-s2.0-85146747667"</t>
  </si>
  <si>
    <t>10.3389/frwa.2023.1188321</t>
  </si>
  <si>
    <t>https://www.scopus.com/inward/record.uri?eid=2-s2.0-85168257052&amp;doi=10.3389%2ffrwa.2023.1188321&amp;partnerID=40&amp;md5=bc9afd25773e195a832a17f75669ab56</t>
  </si>
  <si>
    <t>Sacramento, the capital of California, has a population of over 2 million and is one of the most flood prone regions in the nation. Its problems exemplify those of many urban communities built near riverine and deltaic systems, that are subject to climate change. The city and its surrounding communities are protected by an elaborate system of levees and flood bypasses; but aging infrastructure, expected increases in extreme wet weather, and projected sea level rise are increasing the risk of levee failures. We explore how flood management approaches including social/institutional (non-structural), traditional structural, and ecological based approaches are being implemented in the Lower Sacramento/North Delta Region amid significant obstacles, to build resilient flood management systems. We review four case studies, one structural levee project and three multi-benefit projects that are only recently being implemented. We also examine the barriers, constraints, and challenges for implementing flood protection projects, and how project proponents are collectively working through these obstacles. We conclude that significant progress has been made in building flood resiliency since the 2008 Central Valley Flood Protection Act and the release of the 2012 Central Valley Flood Protection Plan. Informational tools and policies are being developed to educate the public and prepare for floods. Structural levee investments are substantial and are being implemented through partnerships. Statewide policies and investments are increasingly supporting multi-benefit projects that incorporate ecological restoration/enhancement while expanding flood volume capacity. Progress on implementing multi-benefit projects has been slow, due to land acquisition, easements, funding, regulatory and construction challenges; however, solutions to these impediments are emerging to facilitate more rapid progress. It is essential to continue and intensify the progress made in the last two decades, by learning from past projects, and improving on existing pathways to implement sustainable projects at a faster rate.</t>
  </si>
  <si>
    <t>10.1016/j.jsames.2022.104138</t>
  </si>
  <si>
    <t>https://www.scopus.com/inward/record.uri?eid=2-s2.0-85145181557&amp;doi=10.1016%2fj.jsames.2022.104138&amp;partnerID=40&amp;md5=83b6abc46d562bc115efa05f804bd6d9</t>
  </si>
  <si>
    <t>Lahars are debris flows originating at volcanoes with very erosive and destructive capabilities. Lahars constitute a serious hazard for the communities close to the Volcán Copahue, lying at the Argentina-Chile border. This study presents a comprehensive analysis of the sensitivity of the geographic information system (GIS) assisted model LAHARZ to the spatial resolution and quality of the digital elevation models (DEMs) for mapping lahar inundation areas within the context of Volcán Copahue. In addition, critical lahar volumes required to reach the nearby settlements are investigated, following a literature review to characterize plausible triggering mechanisms. We compared lahar inundation areas at the four main catchments of Volcán Copahue resulting from five DEMs: three 30-m spatial resolution datasets (SRTM, ASTER and AW3D30), the 12-m WorldDEM™, and a 5-m DEM derived from SPOT-7 data. Our sensitivity analysis shows that DEM spatial resolution and quality precipitate into the LAHARZ results. The interaction between the spatial resolution and the channel confinement constitutes the main control of the output geometries. Higher-spatial resolution DEMs (i.e. smaller pixel size) better depict channels and better define confined channels zones resulting in narrower output areas and longer runouts. For the same volume, the inundation areas obtained using the 5- and 12-m pixel DEMs are narrower and 2–3 km longer than when derived from any of the 30-m DEMs. At unconfined channels, LAHARZ is less sensitive to the spatial resolution and inundation areas tend to show ragged edges regardless of the input DEM. The quality of the DEM controls the inundation trajectories. These results highlight the importance of evaluating topographic models for LAHARZ simulations before the implementation of the model for hazard mapping. Our results suggest that lahars of volumes of 105–106 m3 would reach the nearest villages within a radius of 15 km from the volcano. More work is required to improve the knowledge on lahar deposits and in turn hazard assessment. © 2022 Elsevier Ltd</t>
  </si>
  <si>
    <t>2-s2.0-85145181557"</t>
  </si>
  <si>
    <t>Journal of the Indian Ocean Region</t>
  </si>
  <si>
    <t>10.1080/19480881.2023.2244400</t>
  </si>
  <si>
    <t>https://www.scopus.com/inward/record.uri?eid=2-s2.0-85168113059&amp;doi=10.1080%2f19480881.2023.2244400&amp;partnerID=40&amp;md5=d6df57ee63d4bd47c5431ddb4974f575</t>
  </si>
  <si>
    <t>There has been an increasing magnitude of floods due to rainfall variability along the coastal zones of Tanzania. Repeated flooding occurrences in Dar es Salaam along the Msimbazi Valley provide evidence. The Valley has recorded floods from 2009 to 2021 consecutively. Floods have badly affected people and communities, leading to forced migration. Between 2020 and 2022, the study conducted interviews and focus group discussions with affected people to investigate gendered experiences of forced migrants and assess gender-sensitive strategies by individuals and government in reducing climate change impacts. The study revealed that firstly, reactive migration was a common strategy used by both individuals and the government (during floods in 2011)</t>
  </si>
  <si>
    <t>10.3133/sir20235033</t>
  </si>
  <si>
    <t>https://www.scopus.com/inward/record.uri?eid=2-s2.0-85165925538&amp;doi=10.3133%2fsir20235033&amp;partnerID=40&amp;md5=a3e967e005296abc1458f0cd7b7b083a</t>
  </si>
  <si>
    <t>The Muddy River provides habitat for several wildlife and endemic aquatic species protected under the Endangered Species Act. Near Moapa, Nevada, in the Bureau of Land Management’s Muddy River Floodplain Restoration Project Area, a previously constructed levee on the east side of the river alters the natural hydrology and decreases connectivity between the river and its floodplain. The Bureau of Land Management is interested in restoring the project area to a more natural state and proposed removing the existing levee (at the time of this study in 2019) on the east bank of the river and replacing it with a new levee farther away from the river. The 50-, 20-, 10-, 4-, 2-, and 1-percent annual exceedance probability flood streamflows were estimated based on a flood-frequency analysis of a streamgage in the study area. River cross-sections were surveyed and combined with a digital elevation model of the floodplains to create a coupled one-and two-dimensional hydraulic model of the study area. The estimated flood streamflows were used as inputs in the hydraulic model to simulate how flood-inundation extents would change with the proposed restoration. Simulated inundation extents expand with increasing flood magnitudes, with nearly the entire valley inundated by the 2-percent flood streamflow. Within the project area, inundation extents with restoration increased on the east floodplain and decreased on the west floodplain for the 20-, 10-, 4-, 2-, and 1-percent flood streamflows. Outside the Muddy River Floodplain Restoration Project Area, inundation extents decreased with restoration east of the project area for the 20-and 10-percent flood streamflows, but changes in extent for larger streamflows were minor because most of the streamflow leaves the main river channel upstream of the restoration area. © 2023, US Geological Survey. All rights reserved.</t>
  </si>
  <si>
    <t>2-s2.0-85165925538"</t>
  </si>
  <si>
    <t>10.1080/1755876X.2021.1902682</t>
  </si>
  <si>
    <t>https://www.scopus.com/inward/record.uri?eid=2-s2.0-85102942533&amp;doi=10.1080%2f1755876X.2021.1902682&amp;partnerID=40&amp;md5=30f36ddd7735d82338cca9f396553171</t>
  </si>
  <si>
    <t>Pelagic Sargassum is a buoyant macroalgae that forms rafts at the ocean surface and serves as a biologically rich habitat for hundreds of diverse marine species. Since 2011, massive blooms of Sargassum have occurred in the tropical Atlantic and swept through the western tropical Atlantic, Caribbean Sea, and Gulf of Mexico. These recurring annual events have caused significant disruptions to coastal communities throughout the region, negatively impacting human health, tourism, fishing, navigation, and nearshore ecosystems. We present here the Sargassum Inundation Report (SIR), a product that uses satellite-based methodology to estimate and predict the future coastal inundation of pelagic Sargassum. Results from one year of SIRs show strong spatiotemporal differences in the potential of coastal inundation across the Intra-American Seas, and provide a comprehensive method for assessing its geographic distribution and temporal variation. Comparisons of SIRs to opportunistically collected photographs indicate a qualitative concordance between satellite and in situ observations. This work highlights the value of satellite observations, basin-wide and seasonal monitoring, and emphasises the need for sub-regional and weekly forecasting. SIRs show considerable promise as a tool that can eventually incorporate improved spatiotemporal resolution Sargassum imagery, ocean circulation, wind, and wave conditions to forecast the movement of Sargassum into coastal areas. © 2021 The Author(s). Published by Informa UK Limited, trading as Taylor &amp; Francis Group.</t>
  </si>
  <si>
    <t>2-s2.0-85102942533"</t>
  </si>
  <si>
    <t>10.1080/19475705.2023.2218012</t>
  </si>
  <si>
    <t>https://www.scopus.com/inward/record.uri?eid=2-s2.0-85163022607&amp;doi=10.1080%2f19475705.2023.2218012&amp;partnerID=40&amp;md5=adc9e6d44d109fec6e33e5e17224fa11</t>
  </si>
  <si>
    <t>Hydrodynamics and socio-economic impacts of compound floods as the result of co-occurring pluvial and fluvial floods, have not been well studied, which challenges conventional urban flood risk management that treats different types of floods separately. This study generates a high-resolution land surface digital surface model based on images from unmanned aerial vehicles, and incorporates it into a combined flooding model that integrates the 1D river hydrodynamic model, 1D urban drainage hydrodynamic model and 2D overland flow model, in order to simulate the inundation characteristics of extreme floods when local pluvial floods coincide with upstream fluvial floods, and in a further step to quantify the direct economic losses on urban physical systems. As demonstrated by an empirical study of Longyan, China, the combination of pluvial and fluvial floods leads to substantial exacerbation in inundation extent and depth. Consequently, the joining of pluvial and fluvial floods greatly amplifies economic losses to urban physical systems, indicating that ignoring co-occurrence of different types of floods will potentially lead to underestimation of flood risk and insufficient adaptation. Our study emphasizes the need to account for the co-occurrence of multiple types of floods in flood risk assessment and management, to avoid the shortcomings of fragmented responses. © 2023 The Author(s). Published by Informa UK Limited, trading as Taylor &amp; Francis Group.</t>
  </si>
  <si>
    <t>2-s2.0-85163022607"</t>
  </si>
  <si>
    <t>10.1016/j.wsee.2023.03.001</t>
  </si>
  <si>
    <t>https://www.scopus.com/inward/record.uri?eid=2-s2.0-85162494643&amp;doi=10.1016%2fj.wsee.2023.03.001&amp;partnerID=40&amp;md5=b4736543bed25290040d0bdd22c6fa9e</t>
  </si>
  <si>
    <t>Due to the dual impacts of anthropogenic disturbances and climate change, tidal hydrodynamics of estuaries have been intensively investigated for their potential to increase flood risk and devastate coastal habitats and human communities. Climate change leads to rises in sea levels, which can amplify regional tides and increase tidal ranges. This study takes the estuarine area of the Pearl River (PRE), one of the fastest-developed estuaries in China, as an example to explore the effects of land cover changes and sea level rise on tidal dynamics. Annual mean tidal levels were collected at 26 major hydrological stations from five major rivers/waterways. To better understand the temporal changes in tidal levels, we analyzed the trends and periodic patterns through linear regression and Complex Morlet wavelet analyses. For the main Pearl River outlet, where conversion of agricultural land to urban use had been primarily taking place, the tidal level changes were significantly affected by increased built-up areas and decreased cultivated land areas. On the other hand, in the middle to upper reaches of the Xi River and Shunde-Hengmen Waterway, we observed decreased tidal levels with decreases in the agricultural lands. No significant correlations were found between annual mean tidal levels and land cover changes downstream of the main rivers. Instead, the tidal level changes at locations close to the coastline were more related to sea level rise, with an average of 0.002 m per year increase. This study highlighted the importance of human activity and sea level rise impacts on tidal dynamics. A systematic understanding of the tidal changes in the estuary is expected to help enhance mechanisms of estuarine hydrology, which could serve as the basis for improving the management and practice of coastal regions in coping with climate change and estuary protection. © 2023</t>
  </si>
  <si>
    <t>2-s2.0-85162494643"</t>
  </si>
  <si>
    <t>10.3389/feart.2023.1165861</t>
  </si>
  <si>
    <t>https://www.scopus.com/inward/record.uri?eid=2-s2.0-85164930478&amp;doi=10.3389%2ffeart.2023.1165861&amp;partnerID=40&amp;md5=979df17099cb6d320b1020fdaea89e52</t>
  </si>
  <si>
    <t>Snowpack is an important temporal water storage for downstream areas, a potential source of natural hazards (avalanches or floods) and a prerequisite for winter tourism. Here, we use thousands of manual measurements of the water equivalent of the snow cover (SWE) from almost 30 stations between 1,200 and 2,900 m a.s.l. from four long-term monitoring programs (earliest start in 1937) in the center of the European Alps to derive daily SWE based on snow depth data for each station. The inferred long-term daily SWE time series were analyzed regarding spatial differences, as well as potential temporal changes in variability and seasonal averages during the last 7 decades (1957–2022). The investigation based on important hydro-climatological SWE indicators demonstrates significant decreasing trends for mean SWE (Nov-Apr) and for maximum SWE, as well as a significantly earlier occurrence of the maximum SWE and earlier disappearance of the continuous snow cover. The anomalies of mean SWE revealed that the series of low-snow winters since the 1990s is unprecedented since the beginning of measurements. Increased melting during the accumulation period below 2000 m a.s.l is also observed–especially in the most recent years–as well as slower melt rates in spring, and higher day-to-day variability. For these trends no regional differences were found despite the climatological variability of the investigated stations. This indicates that the results are transferable to other regions of the Alps. Copyright © 2023 Marty, Rohrer, Huss and Stähli.</t>
  </si>
  <si>
    <t>2-s2.0-85164930478"</t>
  </si>
  <si>
    <t>Arabian Journal for Science and Engineering</t>
  </si>
  <si>
    <t>10.1007/s13369-022-07013-y</t>
  </si>
  <si>
    <t>https://www.scopus.com/inward/record.uri?eid=2-s2.0-85133302423&amp;doi=10.1007%2fs13369-022-07013-y&amp;partnerID=40&amp;md5=7e073b5bcb04c497bf4a508bae9c9895</t>
  </si>
  <si>
    <t>Egypt is facing several hazardous environmental phenomena, particularly Sea Level Rise (SLR) and land subsidence. It has been considered to be one of the countries most likely to be affected by SLR because of the low elevation of the Nile Delta region’s northern coastal zone, like all world Deltas. For that, a GIS inundation model has been generated using an original high accuracy local digital elevation model for the Nile Delta region, Egypt (LDEM) and the SLR data measured by the tide-gauges. This model has been used to determine the vulnerable low laying areas to inundation from future SLR in 2050 and to determine land-use types and percentages that are most likely to be affected in the northern Mediterranean coast of Nile Delta region. Finally, a total Hazard Index Map (HIM) has been produced from combining SLR HIM, and the subsidence HIM for the study area which will present the full danger of the two phenomena on the coastal region. The results have shown that the inundated area calculated from the SLR in 2050 model is about 50 km2. From the land-use maps, the areas flooded by the sea represent almost 38.40 km2, 3.80 km2, 5.20 km2, and 2.60 km2 for the urban, agricultural lands, fishing farms, and bare areas, respectively. The authorities and decision makers should pay more attention to the hazardous effects due to the impacts of subsidence and SLR in the Nile Delta region, especially the northern coastal zone. More protection construction such as seawalls and breakwaters should be built at the northern coastal zone of the Nile Delta region vulnerable to inundation of SLR, to prevent the occurrence of the predicted inundation scenarios that could be occurred to this region in the future. © 2022, The Author(s).</t>
  </si>
  <si>
    <t>2-s2.0-85133302423"</t>
  </si>
  <si>
    <t>Boletin Geologico y Minero</t>
  </si>
  <si>
    <t>10.21701/bolgeomin/134.2/004</t>
  </si>
  <si>
    <t>https://www.scopus.com/inward/record.uri?eid=2-s2.0-85168267234&amp;doi=10.21701%2fbolgeomin%2f134.2%2f004&amp;partnerID=40&amp;md5=5d70aa8b788e98e0ab677c8b1da328ad</t>
  </si>
  <si>
    <t>Marine terraces are geological features composed of elevated, flat surfaces and steep slopes. The evolution of these terraces is largely influenced by active coastal tectonic deformation. This study investigates the uplift of marine terraces along the east coast of Algiers and its implications for the African and European plate convergence and sea-level curves. The objective of studying marine terraces in the Zemmouri area is to gain a deeper understanding of the evolution of the Earth’s coastlines and how they have been shaped over time by natural processes such as sea level changes, tectonic activity, geomorphic parameters, and erosion. Marine terraces provide valuable information about the history of sea level changes and the rate of tectonic uplift or subsidence of the coastal areas. Secondary data sources, including qualitative information and high-resolution satellite imagery (SRTM 30 m and ALOS 12.5 m), were used to analyze the impact of sea level on marine terraces. Fieldwork using GPS and altimeter measurements at the site of the Mw=6.8 Zemmouri earthquake that occurred on May 21, 2003, revealed the presence of two well-preserved marine terraces, which serve as important markers for measuring the long-term fault slip rate. The analysis highlights the significance of active coastal tectonic deformation in shaping the coastlines. This research offers new insights into the ongoing processes of plate convergence and sea level change along the east coast of Algiers, contributing to our overall comprehension of coastal evolution and the potential for seismic hazards in the region. © 2023 CSIC.</t>
  </si>
  <si>
    <t>2-s2.0-85168267234"</t>
  </si>
  <si>
    <t>Geo: Geography and Environment</t>
  </si>
  <si>
    <t>10.1002/geo2.119</t>
  </si>
  <si>
    <t>https://www.scopus.com/inward/record.uri?eid=2-s2.0-85162128203&amp;doi=10.1002%2fgeo2.119&amp;partnerID=40&amp;md5=deace19dae1c14ee7723bdd3a5017ce6</t>
  </si>
  <si>
    <t>Green spaces are fast depleting in many urban areas across the world. This contributes to carbon dioxide emissions and affects the local climate and well-being of city residents. Yet, there is limited empirical research on the spatio-temporal patterns of change in urban green spaces and linkages to human well-being, especially in coastal cities where urban green spaces additionally act as critical flood controls. This paper assesses the changing pattern of green space cover in Cape Coast Metropolis and the factors associated with the perceived well-being of residents. Using a mixed-methods design, we obtained open-source geospatial data and gathered primary data through field observations, and in-depth and semi-structured interviews. These data were analysed using geospatial, statistical, and textual techniques. The results show that, from 1991 to 2018, the metropolis lost 26.57 km2 (21.66%) of its green space cover. The major land use change observed is the conversion of green spaces and wetlands into built-up areas. The well-being of residents related to green space use in the metropolis is associated with individuals' age and gender</t>
  </si>
  <si>
    <t>10.1080/19475705.2023.2228457</t>
  </si>
  <si>
    <t>https://www.scopus.com/inward/record.uri?eid=2-s2.0-85163633504&amp;doi=10.1080%2f19475705.2023.2228457&amp;partnerID=40&amp;md5=2e02e1be772e188a305ae6888d75d795</t>
  </si>
  <si>
    <t>As a landmark in China’s hydraulic engineering history, the Central Route of the South–North Water Diversion Project (SNWD-CR) plays a major role in alleviating severe water shortages in Northern China. Existing InSAR monitoring of the SNWD-CR based on one-dimensional viewing geometry and Sentinel-1 imaging is insufficient for a comprehensive assessment of deformation causes. Moreover, the poor geocoding accuracy hampers the previous interpretation of the estimated deformations. Here we carry out comprehensive two-dimensional deformation analyses over the head of the SNWD-CR by integrating the multitemporal PS/DS InSAR and the stress–strain model, where the well-designed topography and geocoded error correction can help to identify the causes of deformation. We apply our strategy to ascending and descending TerraSAR-X meter-resolution datasets acquired from June 2020 to February 2021. Geocoding errors in both ascending and descending orbits are corrected, and the relationship between topography error and horizontal positioning error is discussed. The multi-data fusion results reveal insignificant deformations in the east–west direction except for a makeshift rigid-frame bridge, whereas the vertical deformation field shows two uplifts and a subsidence area in the narrow canal with a maximum rate of 23 mm/y, which are likely to be related to rainfall and water diversion pressure. Furthermore, the combination of the external DEM and topographic residual offers the chance to reconstruct the high-accuracy DEM. © 2023 The Author(s). Published by Informa UK Limited, trading as Taylor &amp; Francis Group.</t>
  </si>
  <si>
    <t>2-s2.0-85163633504"</t>
  </si>
  <si>
    <t>10.3133/sir20225051</t>
  </si>
  <si>
    <t>https://www.scopus.com/inward/record.uri?eid=2-s2.0-85165888139&amp;doi=10.3133%2fsir20225051&amp;partnerID=40&amp;md5=d050d608e1e08989b522a64363f91e28</t>
  </si>
  <si>
    <t>Censored and uncensored generalized additive models (GAMs) were developed using streamflow data from 941 U.S. Geological Survey streamflow-gaging stations (streamgages) to predict decadal statistics of daily streamflow for streams draining to the Gulf of Mexico. The modeled decadal statistics comprise no-flow fractions and L-moments of logarithms of nonzero streamflow for six decades (1950–2009). These statistics represent metrics of decadal flow-duration curves (dFDCs) derived from about 10 mil-lion daily mean streamflows. The L-moments comprise the mean, coefficient of L-variation, and the third through fifth L-moment ratios. The GAMs were fit to the statistics from 941 streamgages and 2,750 streamgage-decades by using watershed properties such as basin area and slope, decadal precipitation and temperature, and decadal values of flood storage and urban development percentages. The GAMs then estimated decadal statistics for 9,220 prediction locations (stream reaches) coincident with outlets of level-12 hydrologic unit codes. Both entire dataset (whole model) and leave-one-watershed-out model results are reported. No-flow fractions are censored data, and Tobit extensions to GAMs were used to model ephemeral streamflow conditions. Conversely, uncensored GAMs were used for estimation of the L-moments. The GAMs are shown, by coverage probabilities, to construct reliable 95-percent prediction limits. An example shows how no-flow fractions and L-moments may be used to approximate dFDCs by using selected probability distributions (mathemati-cal formulas) including the asymmetric exponential power, generalized normal, and kappa distributions. © 2023, US Geological Survey. All rights reserved.</t>
  </si>
  <si>
    <t>2-s2.0-85165888139"</t>
  </si>
  <si>
    <t>10.3808/jei.202300484</t>
  </si>
  <si>
    <t>https://www.scopus.com/inward/record.uri?eid=2-s2.0-85146517669&amp;doi=10.3808%2fjei.202300484&amp;partnerID=40&amp;md5=6bc178cc9b8907f0df71c21971d5755a</t>
  </si>
  <si>
    <t>Understanding how hydrological features affect habitat invasibility is crucial for predicting whether variations of such hydrological features may act as important inducement regulating range-expansion of invasive species in tidal channel-salt marsh systems. Although lateral hydrological connectivity (LC), or the hydrological connections between tidal channels and adjacent marsh flats, is an important hydrological feature, its effect on plant invasion has rarely been studied in depth. Here, we examined the effects of lateral hydrological connectivity on range-expansion of Spartina alterniflora (S. alterniflora) in tidal channel margins of a typical tidal channelsalt marsh system, in the Yellow River Delta, China. Field surveys and transplanting experiments showed that high LC greatly favors S. alterniflora to expand its invasion ranges along tidal channel margins by mediating such habitat physical forms of stress as soil salinity, soil moisture and soil hardness. In contrast, low LC, exacerbates those forms of stress, thereby significantly checking the lateral expansion of S. alterniflora. Moreover, human-made and naturally formed geomorphic structures in salt marshes (e.g., artificial ditches, pools, and hollow microtopography), particularly at high elevations, could potentially enhance LC over time, thereby making such sites prone to invasion by S. alterniflora. These results highlight the importance of lateral hydrological connectivity as an essential driver to regulate S. alterniflora lateral expansion along with the tidal channels. Our results imply that considering the relationships between hydrological processes and spread processes of exotic species should be incorporated into future management frameworks for risk assessment and ecological control of invasive plant species. © 2023 ISEIS All rights reserved.</t>
  </si>
  <si>
    <t>2-s2.0-85146517669"</t>
  </si>
  <si>
    <t>10.1007/s10661-022-10658-9</t>
  </si>
  <si>
    <t>https://www.scopus.com/inward/record.uri?eid=2-s2.0-85140324850&amp;doi=10.1007%2fs10661-022-10658-9&amp;partnerID=40&amp;md5=5b569b015cee69668db3c33e4bbf90fe</t>
  </si>
  <si>
    <t>Retrieval of glacier ice thickness is extremely important for monitoring water resources and predicting glacier dynamics and changes. The inter-annual glacier ice thickness observations (more than 5 years) exploit the glacier mass changes. Ice thickness is one of the important parameters to predict the future sea-level rise. Without adequate knowledge and precise information of glacier ice thickness distribution, future sea-level changes cannot be accurately assessed. In this study, we use an existing flow model to estimate the ice thickness of the High Mountain Asia (HMA) glaciers, using remote sensing techniques. The glacier ice velocity is one of the significant parameters in the Laminar flow model to retrieve the ice thickness. The glacier ice velocity is derived by utilizing the Differential SAR Interferometry (DInSAR) technique. The most optimum DInSAR data (ALOS-2/PALSAR-2) is used for estimating the ice velocity of the HMA glaciers. The ice thickness is mainly estimated for five different states in the HMA region, namely Himachal Pradesh, Uttarakhand, Sikkim, Bhutan, and Arunachal Pradesh. Most of the states are observed with a mean ice thickness of 100 m. Five benchmark glaciers (Samudra Tapu, Bara Shigri, Chhota Shigri, Sakchum, and Gangotri glaciers) are also selected for validating our results with the existing thickness information. The issues related to velocity-based ice thickness inversion are also emphasized in this study. The high-velocity rate due to the influx of melting water from adjacent glaciers causes an increment in the flow rate. This abnormal velocity derives erroneous ice thickness measurements. This is one of the major problems to be considered in the velocity-based thickness-derived procedures. Finally, the investigation suggests the inclusion of the velocity influencing parameters in the physical-based models for an accurate ice thickness inversion. © 2022, The Author(s), under exclusive licence to Springer Nature Switzerland AG.</t>
  </si>
  <si>
    <t>2-s2.0-85140324850"</t>
  </si>
  <si>
    <t>10.3389/fclim.2023.1085740</t>
  </si>
  <si>
    <t>https://www.scopus.com/inward/record.uri?eid=2-s2.0-85159962119&amp;doi=10.3389%2ffclim.2023.1085740&amp;partnerID=40&amp;md5=39c1263a10c0609f8e77863227f59e06</t>
  </si>
  <si>
    <t>Introduction: Socio-metabolic risks (SMRs) are systemic risks associated with the availability of critical resources, the integrity of material circulation, and the distribution of their costs and benefits in a socio-ecological system. For resource-stressed systems like small island nations, understanding trade-offs and synergies between critical resources is not only crucial, but urgent. Climate change is already putting small islands at high risk through more frequent and intense extreme weather events, changing precipitation patterns, and threats of inundation with future sea-level rise. Methods: This study compares the shifting resource-baseline for 14 Caribbean island nations for the year 2000 and 2017. We analyze water, energy, and food (WEF) and their nexus through the lens of SMRs, using indicators related to their availability, access, consumption, and self-sufficiency. Results: Our findings point to the decreasing availability of all three resources within the Caribbean region. Meanwhile, between 2000 and 2017, consumption levels have increased by 20% with respect to water (from 230 to 275 m3/cap/yr) and primary energy (from 89 to 110 GJ/cap/yr), and 5% for food (from 2,570 to 2,700 kcal/cap/day). While universal access to these resources increased in the population, food and energy self-sufficiency of the region has declined. Discussion: Current patterns of resource-use, combined with maladaptive practices, and climate insensitive development—such as coastal squeeze, centralized energy systems, and trade policies—magnify islands' vulnerability. Disturbances, such as climate-induced extreme events, environmental changes, financial crises, or overexploitation of local resources, could lead to cascading dysfunction and eventual breakdown of the biophysical basis of island systems. This research is a first attempt at operationalizing the concept of SMRs, and offers a deeper understanding of risk-related resource dynamics on small islands, and highlights the urgency for policy response. Copyright © 2023 Martin del Campo, Singh and Mijts.</t>
  </si>
  <si>
    <t>2-s2.0-85159962119"</t>
  </si>
  <si>
    <t>10.3390/hydrology10010017</t>
  </si>
  <si>
    <t>https://www.scopus.com/inward/record.uri?eid=2-s2.0-85146752426&amp;doi=10.3390%2fhydrology10010017&amp;partnerID=40&amp;md5=278780a2c816175107098b0e7c0280f0</t>
  </si>
  <si>
    <t>Numerous algorithms have been developed to automate the process of delineating water surface maps for flood monitoring and mitigation purposes by using multiple sources such as satellite sensors and digital elevation model (DEM) data. To better understand the causes of inaccurate mapping information, we aim to demonstrate the advantages and limitations of these algorithms through a case study of the 2022 Madagascar flooding event. The HYDRAFloods toolbox was used to perform preprocessing, image correction, and automated flood water detection based on the state-of-the-art Edge Otsu, Bmax Otsu, and Fuzzy Otsu algorithms for the satellite images</t>
  </si>
  <si>
    <t>10.1080/17445647.2022.2112772</t>
  </si>
  <si>
    <t>https://www.scopus.com/inward/record.uri?eid=2-s2.0-85136897216&amp;doi=10.1080%2f17445647.2022.2112772&amp;partnerID=40&amp;md5=8a3ee1d66e7c197e5381068fca55a368</t>
  </si>
  <si>
    <t>The landscape of the Lower Mesopotamia Plain (LMP) has been moulded by water-related processes, consequently, its Holocene geomorphic evolution has been strictly connected to the fluvial process and the anthropogenic water management since 8000 BC. About 6000 years ago, during the maximum marine ingression, the modern cities of Nasiriyah and Al-Amara were close to the Persian Gulf shoreline. Successively, the Tigris and Euphrates developed two wide delta systems, that prograded south-eastward developing a complex fluvial network. Remote sensing investigations over the LMP using satellite imagery and topographic analysis revealed the surficial expression of deltaic bodies with a lobate planform and several terminal distributary channels (TDCs), classifiable as tidal-influenced river-dominated deltas. Tell Zurghul archaeological site, belonging to the ancient State of Lagash, expanded in the western part of the recognized TDC during the Mid- and Late Holocene. Indeed, the occurrence of a divergent multi-channel system supplied water for the early civilizations, which improved the water management and prevented floods through a canals network. Therefore, the multi-sensor remote sensing approach over an area of 2850 km2 allowed us to recognize several fluvial landforms, both still active and relict, attributable to the Holocene riverscape of the LMP, as well as anthropogenic features and aeolian deposits. The Main map is a geomorphological map at the scale of 1:120,000 centred on Tell Zurghul, focusing on the geometry, spatial distribution, and state of activity of erosional and constructional landforms. © 2022 The Author(s). Published by Informa UK Limited, trading as Taylor &amp; Francis Group on behalf of Journal of Maps.</t>
  </si>
  <si>
    <t>2-s2.0-85136897216"</t>
  </si>
  <si>
    <t>10.1080/15715124.2021.1961795</t>
  </si>
  <si>
    <t>https://www.scopus.com/inward/record.uri?eid=2-s2.0-85112713803&amp;doi=10.1080%2f15715124.2021.1961795&amp;partnerID=40&amp;md5=5676a76c097fa52e66d262129710dbc2</t>
  </si>
  <si>
    <t>This study evaluates the salinity response to dredging under different forcing regimes for a 75-kilometer segment of the flood-prone Vermilion River located in coastal Louisiana, USA. The Vermilion is a tidal freshwater river affected by baseflow regulation, rapid urbanization, and hydromodification. This river also serves as major freshwater resource for the region. An efficient one-dimensional model calibrated previously for stage and water temperature is used to analyse the salinity impacts due to a large-scale flood control dredging. The analysis is based on 200 alternative scenarios based on combinations of uncertain key forcing variables for a critical 13-day intrusion period. The analysis reveals a nonlinear effect on mean salinities and position of the brackish water limit as a function of uncertain forcing variables. Dredging also increases the variability of salinity encroachment effects due to uncertainty in future forcing conditions (e.g. relative sea level rise, baseflow diversion volumes, and salinities at the river mouth). The robust analysis presented here provides a foundation for future model-based assessments of under-studied tidal freshwater rivers and provides key insights for coastal management and sustainability efforts in general. © 2021 International Association for Hydro-Environment Engineering and Research.</t>
  </si>
  <si>
    <t>2-s2.0-85112713803"</t>
  </si>
  <si>
    <t>Southeastern Archaeology</t>
  </si>
  <si>
    <t>10.1080/0734578X.2023.2215103</t>
  </si>
  <si>
    <t>https://www.scopus.com/inward/record.uri?eid=2-s2.0-85161823537&amp;doi=10.1080%2f0734578X.2023.2215103&amp;partnerID=40&amp;md5=6d7418496b635dca9e20b523b72884b5</t>
  </si>
  <si>
    <t>Rising sea and groundwater levels in coastal Florida have infringed on and wetted archaeological sites with some sites already submerged by rising sea levels. While studies of moisture-induced artifact diagenesis and destruction have been documented elsewhere, very little documentation exists for Florida and the faunal artifacts typical of Florida. This study sought to fill that gap by documenting the effects of wetting experiments on Floridian bone faunal artifacts. Our findings show that moisture-induced diagenesis and destruction is occurring at Florida sites and is more severe in older artifacts. Also, bone artifacts can retain moisture after the surrounding sediment matrix has dried. Furthermore, vertebrae across taxa are especially vulnerable to moisture-induced diagenesis while fish spines and scales are especially resistant. Although our data are limited, mammal bone seems especially vulnerable to diagenetic destruction, mammal bone being completely absent in the older assemblage, which is consistent with other artifact diagenesis studies. The implications of this study are that artifact assemblages excavated in Florida are biased by the postdeposition and pre-excavation loss of artifacts, specifically biased against diagenetic-prone bone (e.g., mammal and vertebrae) and toward diagenetic resilient bone (e.g., boney fish). This has implications both in terms of site interpretation and preservation priorities. © Southeastern Archaeological Conference 2023.</t>
  </si>
  <si>
    <t>2-s2.0-85161823537"</t>
  </si>
  <si>
    <t>10.3390/rs15020529</t>
  </si>
  <si>
    <t>https://www.scopus.com/inward/record.uri?eid=2-s2.0-85146422444&amp;doi=10.3390%2frs15020529&amp;partnerID=40&amp;md5=46825b5127494f0b757ddcc7b6ea5801</t>
  </si>
  <si>
    <t>Different interferometric approaches have been developed over the past few decades to process SAR data and recover surface deformation, and each approach has advantages and limitations. Finding an accurate and reliable interval for preparing mean deformation rate maps (MDRMs) remains challenging. The primary purpose of this paper is to implement an application consisting of three unsupervised clustering algorithms (UCAs) for determining the best interval from SAR-derived deformation data, which can be used to interpret long-term deformation processes, such as subsidence, and identify displacement patterns. Considering Port Harcourt (in the Niger Delta) as the study area, it was essential to remove the sources of error in extracting deformation signals from SAR data, spatially ionospheric and tropospheric delays, before using UCAs to obtain its characteristics and real deformation data. Moreover, another purpose of this paper is to implement the advanced integration method (AIM) for atmospheric phase screen (APS) correction to enhance deformation signals obtained through different SAR processing approaches, including interferometric SARs (two-pass interferometry, InSAR) and multitemporal interferometry SARs (n-pass interferometry, DInSAR</t>
  </si>
  <si>
    <t>10.1016/j.advwatres.2022.104363</t>
  </si>
  <si>
    <t>https://www.scopus.com/inward/record.uri?eid=2-s2.0-85145261523&amp;doi=10.1016%2fj.advwatres.2022.104363&amp;partnerID=40&amp;md5=66ac79db11e2d43032c09961a5c4b937</t>
  </si>
  <si>
    <t>Many post-tsunami field investigations affirm that the large floating debris transported by the flow contributes significantly to the destruction of on-land buildings. However, few simulation tools have been developed to predict the debris behaviour under violent flow conditions involving complex debris–fluid, debris–debris, debris–bed surface and debris–wall (solid structure) interactions. This paper introduces a fully coupled model of three-dimensional (3-D) debris motion in shallow-water flow. The model uses Smoothed Particle Hydrodynamics (SPH) to solve the shallow-water equations (SWEs) and represents debris motion using the modified Morison equation. The Discrete Element Method (DEM) model is used for the collision mechanism. The flow model is formulated based on the Euler–Lagrange equations that provide the vertical component of velocity and can therefore be coupled with the 3-D debris motion. A new solid boundary condition for shallow flows is introduced. The open boundary condition is used for wave generation by imposing inflow and outflow in predetermined zones. The SPH solves the wet–dry interface automatically. The model is implemented in an open-source software DualSPHysics. SWE-SPH flow model is initially validated against experimental data, followed by the debris model compared with an analytical solution and physical experiments, which gives close agreement. This model is expected to be a robust tool for predicting the hazards caused by extreme floodings, such as tsunamis. © 2022 Elsevier Ltd</t>
  </si>
  <si>
    <t>2-s2.0-85145261523"</t>
  </si>
  <si>
    <t>10.3390/hydrology10010014</t>
  </si>
  <si>
    <t>https://www.scopus.com/inward/record.uri?eid=2-s2.0-85146793426&amp;doi=10.3390%2fhydrology10010014&amp;partnerID=40&amp;md5=02ef1a8395582b827d9012cb2a0b20d5</t>
  </si>
  <si>
    <t>Coastal areas are dynamic and complex systems exposed to waves, high tides, and storm surges. Often, these areas are densely populated and have essential socio-economic values for the region and country. Any changes or disruptions can cause a tremendous social burden. Coastal Vulnerability Index (CVI) is one of the most used and straightforward methods to assess coastal vulnerability. This paper aims to analyse and summarise the current state of published coastal vulnerability indices. The analysis seeks to develop a regional vulnerability index for the eastern Adriatic coast, specifically for the Istrian peninsula. A total of 18 published papers were reviewed. A detailed survey was performed on three groups of variables that represent (a) the physical features of the coast, (b) the amount of influence of wave energy on the coast, and (c) exposed socio-economic factors. While choosing Physical and ecological variables is relatively straightforward, choosing Socio-economic variables is particularly challenging. The number of variables differs significantly from one author to another. As a result of the huge variety of global coastal characteristics and different research approaches, there is no universal CVI. Therefore, analysed indices are not suited for the calculation of the vulnerability of the Istrian coast without modification. A 5 × 5 m cell dimension was proposed as the most suitable for analysing the physical vulnerability of the Croatian coast of Istria. © 2023 by the authors.</t>
  </si>
  <si>
    <t>2-s2.0-85146793426"</t>
  </si>
  <si>
    <t>Urban Planning</t>
  </si>
  <si>
    <t>10.17645/up.v8i3.6834</t>
  </si>
  <si>
    <t>https://www.scopus.com/inward/record.uri?eid=2-s2.0-85173046118&amp;doi=10.17645%2fup.v8i3.6834&amp;partnerID=40&amp;md5=d81d4acaa84b6419187eb987810ae3ea</t>
  </si>
  <si>
    <t>Waterways played a crucial role in the emergence of Shanghai as a cosmopolitan city and world port. Over the years the spatial and functional relationships between the city and ports and hinterland have been changing continuously. In Shanghai, like other port cities, almost all ports and related industries are placed out beyond the urban fringes, to form decentral-ized regional clusters, while former docklands are quickly transformed into attractive urban waterfronts. Simultaneously there is a growing physical and socio‐economic gap with the rural hinterland. During Shanghai’s brutal lockdown in Spring 2022, due to China’s rigid zero‐Covid policy, citizens were without food and other supplies while fully loaded ships were lined up waiting in the port. Also, deliveries from surrounding rural areas were temporarily halted. This article focuses on recent developments but is based on experiences in previous centuries from a long durée perspective. It elaborates on how the Yangtze River Delta urbanized along shipping channels and examines changing relationships between city and port, between urban and rural, and between man and nature. What role did shipping channels play and how to rebalance various spatial claims: urban, rural, port interests, and environmental concerns?. © 2023 by the author(s).</t>
  </si>
  <si>
    <t>2-s2.0-85173046118"</t>
  </si>
  <si>
    <t>10.1080/10807039.2023.2192292</t>
  </si>
  <si>
    <t>https://www.scopus.com/inward/record.uri?eid=2-s2.0-85151675123&amp;doi=10.1080%2f10807039.2023.2192292&amp;partnerID=40&amp;md5=61f001c97466649b323c8d45b6a0847a</t>
  </si>
  <si>
    <t>Arsenic (As) in rice has been known as a worldwide human health threat that results originally from the accumulation of As in soil in many rice cultivation regions. This study aims to evaluate As levels in the soil–rice system in the Mekong River delta (MRD) with special focuses on the geographical distribution and the relation to soil physio-chemical properties. It was found that soil As contents varied from 0.3 to 15.9 mg kg−1 ((Formula presented.) = 7.22 ± 0.3 mg kg−1), whereas straw As content was about one order of magnitude lower ((Formula presented.) = 0.92 ± 0.1 mg kg−1). The content of As in grain varied from “not detectable” to 1115 µg kg−1 ((Formula presented.) = 73 ± 19 µg kg−1). Relatively similar geographical distribution patterns were observed for soil As and straw As, meanwhile grain As did not reveal a clear association with straw As and soil As. The accumulation of As in rice (straw and grain) were likely affected by various factors, but the mutual effects of soil As pool and soil properties were the most obvious. The East coastal area of the MRD has been identified as a vulnerable area to As threat. This finding suggests that in addition to the action plans to preserve coastal paddy soils from the threats of sea level rise and salt intrusion, contamination of As should also be considered. © 2023 Taylor &amp; Francis Group, LLC.</t>
  </si>
  <si>
    <t>2-s2.0-85151675123"</t>
  </si>
  <si>
    <t>Journal of Environmental Radioactivity</t>
  </si>
  <si>
    <t>10.1016/j.jenvrad.2022.107050</t>
  </si>
  <si>
    <t>https://www.scopus.com/inward/record.uri?eid=2-s2.0-85141312974&amp;doi=10.1016%2fj.jenvrad.2022.107050&amp;partnerID=40&amp;md5=45d788cb74cda80c0abe8cdd2fb04d25</t>
  </si>
  <si>
    <t>Regulations concerning potential future health impacts of the final disposal of radioactive wastes in geological disposal facilities are written in terms of annual dose to individuals who are representative of small groups living in the landscape in the vicinity of the repository site. As disposal programmes in Sweden and Finland have progressed towards licensing and construction, so too has detail describing the state and evolution of surface biosphere and the landscape around the proposed disposal sites increased. Simple and generic biosphere dose assessment models in early iterations have grown in complexity with increasing site-specific detail that aims to capture the radiologically significant features of the landscape into which future releases of radionuclides might credibly occur. Current dose assessment models used in support of license applications for disposal programmes in Sweden and Finland are highly complex and their application consequently lacks transparency. An alternative simpler approach to characterising landscape objects for dose assessment models would be beneficial in that it would offer an additional line of reasoning and would add clarity, thereby supporting the decision-making process of the regulatory authorities. In the context of coastal Fennoscandia, landscape change is relatively rapid and dramatic with post-glacial landrise transforming areas of the coastal seabed into terrestrial ecosystems over a period of a few thousand years, global sea level rise notwithstanding. The locations of the geosphere-biosphere interfaces for deep geologic disposal can be estimated with some precision but the nature of the receiving ecosystems at the time of the release is less certain. The approach described here provides a statistical quantification of key morphological characteristics of areas in the landscape where doses could arise, so as to better express uncertainties in dose modelling. The proposed method assumes that the variation in the morphology of potential release locations can be described by the variation in landscape objects seen in the landscape on a wider scale, providing a statistical description of the possible landscape objects, so allowing a more comprehensive range of potential future evolutions to be addressed. Our understanding of the evolution of the landscape, based on the kinds of terrain and ecosystem development models used by POSIVA in Finland and SKB in Sweden, suggests that objects identified in present-day maps can be used as analogues for a statistical characterisation of objects in the future landscape</t>
  </si>
  <si>
    <t>Annals of the American Association of Geographers</t>
  </si>
  <si>
    <t>10.1080/24694452.2022.2162477</t>
  </si>
  <si>
    <t>https://www.scopus.com/inward/record.uri?eid=2-s2.0-85149324737&amp;doi=10.1080%2f24694452.2022.2162477&amp;partnerID=40&amp;md5=fbef5df4bf24f5ba076d71b747c0e7f9</t>
  </si>
  <si>
    <t>The Colorado River delta is a sedimentary alluvial formation that embodies the Lower Colorado River transboundary aquifer. The Mexicali Valley overlies the Mexican part of the aquifer, and the Imperial Valley the aquifer’s portion north of the Mexico–U.S. border. Mexico receives an annual water allocation from the Colorado River stipulated by an international treaty between Mexico and the United States. The Colorado River water allocation to Mexico is shared by farmers in the Mexicali Valley and by several border cities, rural communities, and industries in the northern region of the State of Baja California. Farmers withdraw groundwater from the Mexicali Valley’s aquifer to make up for insufficient Colorado River water to grow their crops. Groundwater withdrawal has created overdraft of the Mexicali Valley aquifer with associated adverse impacts: sea water intrusion, declining groundwater levels, upwelling of brackish groundwater, land subsidence, degradation of groundwater-dependent ecosystems, and emigration of displaced farmers. This article reviews the natural and human histories in the Colorado River basin and the Mexicali Valley, and presents a methodology applying remote sensing, geographic information analysis, and hydrologic analysis to calculate the annual water deficit in the Mexicali Valley. Finally, this work evaluates the valley’s annual water deficit in reference to current agricultural and socioeconomic trends observed in the study region. Aquifer and related environmental degradation have adversely affected small-scale farming and exacerbated demographic instability. © 2023 by American Association of Geographers.</t>
  </si>
  <si>
    <t>2-s2.0-85149324737"</t>
  </si>
  <si>
    <t>10.1029/2022JC018777</t>
  </si>
  <si>
    <t>https://www.scopus.com/inward/record.uri?eid=2-s2.0-85147007637&amp;doi=10.1029%2f2022JC018777&amp;partnerID=40&amp;md5=516b78da6fa52cacbff9dad75b2877ee</t>
  </si>
  <si>
    <t>High tide floods (HTFs) are minor, shallow flooding events whose frequency has increased due to relative sea-level rise (SLR) and secular changes in tides. Here we isolate and examine the role of historical landscape change (geomorphology, land cover) and SLR on tides and HTF frequency in an urbanized lagoonal estuary: Jamaica Bay, New York. The approach involves data archeology, historical (1870s) map digitization, as well as numerical modeling of the bay. Numerical simulations indicate that a century of landscape alterations (e.g., inlet deepening and widening, channel deepening, and wetland reclamation) increased the mean tidal range at the head of the bay by about 20%. The observed historical shift from the attenuation to amplification of semidiurnal tides is primarily associated with reduced tidal damping at the inlet and increased tidal reflection. The 18% decrease in surface area exerts a minor influence. A 1-year (2020) water level simulation is used to evaluate the effects of both SLR and altered morphology on the annual number of HTFs. Results show that of 15 “minor flood” events in 2020, only one would have occurred without SLR and two without landscape changes since the 1870s. Spectral and transfer function analyses of water level reveal frequency-dependent fingerprints of landscape change, with a significant decrease in damping for high-frequency surges and tides (6–18 hr time scale). By contrast, SLR produced only minor effects on frequency-dependent amplification. Nonetheless, the geomorphic influence on the dynamical response significantly increases the vulnerability of the system to SLR, particularly high-tide flooding. © 2023 The Authors.</t>
  </si>
  <si>
    <t>2-s2.0-85147007637"</t>
  </si>
  <si>
    <t>10.1016/j.crm.2023.100515</t>
  </si>
  <si>
    <t>https://www.scopus.com/inward/record.uri?eid=2-s2.0-85154564865&amp;doi=10.1016%2fj.crm.2023.100515&amp;partnerID=40&amp;md5=733582078606a050d78850ff1cbf29bd</t>
  </si>
  <si>
    <t>A growing body of evidence suggests that the global sea level has been increasing at an accelerating rate. This trend, which is linked to global warming, poses a significant threat to the communities living in low elevation coastal areas. This study aims to investigate public preferences and estimate the economic value of sea-level rise (SLR) adaptation projects in Florida. We compute the households’ willingness to pay (WTP) for different attributes of SLR adaptation programs using a series of choice experiments embedded within a household survey of selected communities in Florida. We find strong spatially heterogeneous preferences in both the short-term and long-term adaptation plans. Moreover, Florida's seasonal residents are willing to pay more than yearlong residents due to their higher risk perceptions and higher income levels. There are few studies in the present literature that compare adaptation preferences across this demographic gradient. Thus, the empirical findings can contribute significantly to the design of optimal adaptation programs and policies to tackle the sea-level rise caused by climate change. © 2023 The Author(s)</t>
  </si>
  <si>
    <t>2-s2.0-85154564865"</t>
  </si>
  <si>
    <t>10.14246/irspsd.11.2_99</t>
  </si>
  <si>
    <t>https://www.scopus.com/inward/record.uri?eid=2-s2.0-85153708334&amp;doi=10.14246%2firspsd.11.2_99&amp;partnerID=40&amp;md5=8e1e0f15c76f846ec9fd5d92b2cd10b7</t>
  </si>
  <si>
    <t>Coastal areas play a vital role by providing some people with their source of livelihood. Coastal areas are vulnerable to the impacts of climate change, such as sea-level rise (SLR), which could damage infrastructure and threaten the socio-economic conditions of communities, thus making the regions vulnerable. Semarang City located in a coastal zone, and one of the coastal settlements in Semarang City experiencing the impacts of climate change is Tambak Lorok in North Semarang District. Adaptive capacity is needed for solutions to climate change vulnerability. This study aims to determine the level of vulnerability due to tidal flood disasters resulting from climate change in coastal settlements. In this initial stage, this study assesses the level of vulnerability and uses a quantitative approach. Through lessons learned by comparing the conditions of vulnerability in Bilu Village, Banjarmasin City, differences in capacity vulnerability were obtained. Tambak Lorok has a low level of social vulnerability, while Bilu Village has a medium level of vulnerability. Assessments related to social vulnerability are identified through individual and community capacity indicators measured at the household and community levels. Differences in the conditions of coastal areas and the impacts of climate change that occur affect the level of vulnerability of these areas © This open access article is published under a Creative Commons [Attribution-NonCommercial-NoDerivatives 4.0 International] license. https://creativecommons.org/licenses/by-nc-nd/4.0/</t>
  </si>
  <si>
    <t>2-s2.0-85153708334"</t>
  </si>
  <si>
    <t>10.1080/17565529.2022.2072800</t>
  </si>
  <si>
    <t>https://www.scopus.com/inward/record.uri?eid=2-s2.0-85130568235&amp;doi=10.1080%2f17565529.2022.2072800&amp;partnerID=40&amp;md5=6b37c5cb9e50165b571db983b8213cd2</t>
  </si>
  <si>
    <t>Sea-level rise and resulting salinity inundation are making many coastal areas increasingly unfavorable for rice production. This paper examines intensive and extensive adaptations to rice production in salinity-prone areas of the Mekong River Delta (MKD) of Vietnam using a two-year panel dataset of 788 rice-growing households. In terms of intensive adaptations, we estimate a fixed-effect regression model and find that salinity tolerant rice varieties (STVs) increase rice yields on fields that are not protected by salinity barriers, but overall economic benefits from STVs are limited by lower market prices compared to other varieties. In terms of extensive adaptations, farmers stop growing rice on 15% of survey fields. Probit and IV-probit model results reveal that falling rice profitability plays a significant role in these observed exits from rice production, while salinity barrier infrastructure, large rice field holdings, and community commitment to rice farming are associated with continued rice production. Development initiatives that support household adaptation to sea-level rise need to blend currently polarized policy options of investment in large rice sector infrastructure projects that lock farmers into intensive rice cultivation and of support farmer efforts to find alternative land uses in response to evolving market and environmental conditions. © 2022 Informa UK Limited, trading as Taylor &amp; Francis Group.</t>
  </si>
  <si>
    <t>2-s2.0-85130568235"</t>
  </si>
  <si>
    <t>10.3389/fenvs.2023.1088816</t>
  </si>
  <si>
    <t>https://www.scopus.com/inward/record.uri?eid=2-s2.0-85150693022&amp;doi=10.3389%2ffenvs.2023.1088816&amp;partnerID=40&amp;md5=2330557fe576bec8b619e85d5e2cdf0f</t>
  </si>
  <si>
    <t>Evaluating the ecosystem service value is an important step to promote the sustainable development and the construction of ecological civilization of the Yangtze River Economic Belt, the related research is already very rich. However, they neglect the evaluation of coastal areas and lack the deeper thinking of ecological value. To improve these deficiencies, this study takes the coastal area of Jiangyin as the study area, constructs the evaluation method system of ecosystem service value based on the land use data in 2016 and 2020, explores the temporal and spatial variation characteristics of land use and ecosystem service value in the study area, and analyzes reasons for these changes. The results show that: (1) Cultivated land is the main land type in the coastal area, with an area change rate of -15.89%, forest land increases rapidly, with a growth rate of 281.62%, followed by water area with a growth rate of 55.98%, garden land decreases the most, with a decrease rate of 86.36%, followed by construction land of 62.19%. Land use mainly presents the characteristics of changes from construction land to other land, construction land and green space, and cultivated land to cultivated land, water area and forest land. (2) The net increase of ecosystem service value in the coastal area is 483 million, with a growth rate of 137.27%. Among them, the value of forest land accounts for the largest proportion, with a net increase of 264 million yuan and a growth rate of 109.54%. In terms of single function, flood regulation and storage accounts for the main ecosystem service value, reaching more than 65%, with a net increase of 394 million yuan. (3) In terms of spatial distribution, the ecosystem service value of water conservation, flood regulation and storage has a spatial distribution characteristic of being high in the east and low in the west, while the distribution of ecosystem service value of wind prevention and sand fixation is both high and low in the west. In addition, this study further explores the response mechanism of ecological value to the protection measures along the river and the transformation path of ecosystem service value, which provides a new path for the study of government-led evaluation of ecological protection effects in important coastal areas and ecologically sustainable development with regional multi-subject participation. Copyright © 2023 Zhang, Jin, Pan, Wei and Shao.</t>
  </si>
  <si>
    <t>2-s2.0-85150693022"</t>
  </si>
  <si>
    <t>10.1007/s41748-022-00335-9</t>
  </si>
  <si>
    <t>https://www.scopus.com/inward/record.uri?eid=2-s2.0-85143363800&amp;doi=10.1007%2fs41748-022-00335-9&amp;partnerID=40&amp;md5=02ce34dc67256d805fb819097a50ab9a</t>
  </si>
  <si>
    <t>Salinisation within delta environments is a dynamic process governed by the interaction between coastal, fluvial and geomorphological systems. Increasingly, these have been modified through human activity and management practices, which lead to unintended problems associated with waterlogging and salt accumulation in soils and water resources. As a result of these issues, over 100 million people in the Ganges–Brahmaputra and other Asian deltas are negatively affected by a lack of freshwater availability and decreased crop yields. Rising sea levels, climate change, and population increase are all likely to exacerbate these problems. Using an iterative approach of literature review, we analyse the evolution of water management practices and policy and how these have influenced salinity within the delta, with a conceptual framework of understanding developed to guide risk management strategies. We find that management of coastal flooding and salinisation is hampered by socio-economic conditions and the dynamic hydro-morphology of the delta, which has increasingly been altered through diversion and abstraction of upstream flow. Whilst engineering solutions protect large areas from inundation, interruption of natural flood-dynamics also increases the potential impact from storm-surge and fluvio-tidal flooding. To limit salinity, policies based on salinisation science, as well as the implementation of adequately financed, multi-layered, integrated risk management plans at the local, regional, and river basin levels, are required. The promotion of stakeholder engagement should be encouraged to ensure local co-operation and effective implementation of policies. The mitigation of the multiple and cascading hazards associated with salinisation caused by anthropogenic activity, climate change and socio-economic development is crucial for the populations of delta regions across Asia. © 2022, The Author(s).</t>
  </si>
  <si>
    <t>2-s2.0-85143363800"</t>
  </si>
  <si>
    <t>10.1109/JSTARS.2023.3298989</t>
  </si>
  <si>
    <t>https://www.scopus.com/inward/record.uri?eid=2-s2.0-85166750679&amp;doi=10.1109%2fJSTARS.2023.3298989&amp;partnerID=40&amp;md5=f8840f74087efdd5d661f92ef449c10b</t>
  </si>
  <si>
    <t>Two-dimensional phase unwrapping (2-D PU) is the process of converting the measured phase into the real phase in interferometric signal processing. Reliable unwrapping results are critical for digital elevation model generation using interferometric synthetic aperture radar (InSAR) and interferometric synthetic aperture sonar (InSAS). The majority of previous research has concentrated on accuracy, whereas the computational efficiency must be taken into account for the interferometric measurement system that requires real-time processing. This article proposes a low-time-consuming algorithm that can accomplish high-precision 2-D PU for this application scenario. The neural network and a new path-based 2-D PU algorithm make up this algorithm. First, the incorrect region in the gradient field is predicted and corrected using the neural network. The output channelwise variance is then calculated and used to generate the quality maps. Finally, to achieve phase reconstruction, the path-based algorithm performs path planning and flooding integral according to quality maps and compensated gradient. This article also provides a recommended data structure implementation to ensure the algorithm's high efficiency. Experimental results using InSAR and InSAS data show that the proposed algorithm is highly efficient and accurate. © 2008-2012 IEEE.</t>
  </si>
  <si>
    <t>2-s2.0-85166750679"</t>
  </si>
  <si>
    <t>10.3133/sir20235054</t>
  </si>
  <si>
    <t>https://www.scopus.com/inward/record.uri?eid=2-s2.0-85165618369&amp;doi=10.3133%2fsir20235054&amp;partnerID=40&amp;md5=7d0b4579c69d2d9eb08d90aae0b4bd09</t>
  </si>
  <si>
    <t>Digital flood-inundation maps for an 8-mile reach of Papillion Creek near Offutt Air Force Base, Nebraska, were created by the U.S. Geological Survey (USGS) in cooperation with the U.S. Air Force, Offutt Air Force Base. The flood-inundation maps, which can be accessed through the USGS Flood Inundation Mapping Program website at https://www.usgs.gov/mission-areas/water-resources/science/ flood-inundation-mapping-fim-program, depict estimates of the areal extent and depth of flooding corresponding to selected water levels (stages) at the USGS streamgages Papillion Creek at Fort Crook, Nebr. (station 06610795), and Papillion Creek at Harlan Lewis Road near La Platte, Nebr. (station 06610798). Near-real-time stages at these streamgages may be obtained from the USGS National Water Information System database at https://doi.org/10.5066/F7P55KJN or from the National Weather Service Advanced Hydrologic Prediction Service at https://water.weather.gov/ahps/. Flood profiles were computed for the 8-mile stream reach by means of a one-dimensional step-backwater model. The model was calibrated by adjusting roughness coefficients to best represent the current (2022) stage-streamflow relation at the Papillion Creek at Fort Crook (station 06610795) streamgage. The hydraulic model then was used to compute water-surface profiles for 157 scenarios using a combination of stage values in 1-foot (ft) stage intervals that ranged from 27 to 39 ft at the Papillion Creek at Fort Crook (station 06610795) streamgage and from 13.9 to 30.9 ft at the Papillion Creek at Harlan Lewis Road near La Platte (station 06610798) streamgage, as referenced to the local datums. The simulated water-surface profiles then were combined by a geographic information system with a digital elevation model, which had a 3.281-ft grid to delineate the area flooded and water depths at each stage. The availability of these flood-inundation maps, along with information regarding current stage from the USGS streamgages, can provide emergency management personnel and residents with information that is critical for flood response activities and postflood recovery efforts. © 2023, US Geological Survey. All rights reserved.</t>
  </si>
  <si>
    <t>2-s2.0-85165618369"</t>
  </si>
  <si>
    <t>10.3390/hydrology10010013</t>
  </si>
  <si>
    <t>https://www.scopus.com/inward/record.uri?eid=2-s2.0-85146822174&amp;doi=10.3390%2fhydrology10010013&amp;partnerID=40&amp;md5=56e79be378b7e5d95d9bde72a10e5f0e</t>
  </si>
  <si>
    <t>Sea Level Rise (SLR) due to global warming is becoming a more pressing issue for coastal zones. This paper presents an overall analysis to assess the risk of a low-lying coastal area in Karasu, Turkey. For SLR scenarios of 1 m, 2 m, and 3 m by 2100, inundation levels were visualized using Digital Elevation Model (DEM). The eight-side rule is applied as an algorithm through Geographic Information System (GIS) using ArcMap software with high-resolution DEM data generated by eleven 1:5000 scale topographic maps. The outcomes of GIS-based inundation maps indicated 1.40%, 6.02%, and 29.27% of the total land area by 1 m, 2 m, and 3 m SLR scenarios, respectively. Risk maps have shown that water bodies, low-lying urban areas, arable land, and beach areas have a higher risk at 1 m. In a 2 m scenario, along with the risk of the 1 m scenario, forests become at risk as well. For the 3 m scenario, almost all the territorial features of the Karasu coast are found to be inundated. The effect of SLR scenarios based on population and Gross Domestic Product (GDP) is also analyzed. It is found that the 2 and 3 m scenarios lead to a much higher risk compared to the 1 m scenario. The combined hazard–vulnerability data shows that estuarine areas on the west and east of the Karasu region have a medium vulnerability. These results provide primary assessment data for the Karasu region for the decision-makers to enhance land use policies and coastal management plans. © 2023 by the authors.</t>
  </si>
  <si>
    <t>2-s2.0-85146822174"</t>
  </si>
  <si>
    <t>10.3389/fenvs.2023.1127839</t>
  </si>
  <si>
    <t>https://www.scopus.com/inward/record.uri?eid=2-s2.0-85166530403&amp;doi=10.3389%2ffenvs.2023.1127839&amp;partnerID=40&amp;md5=750575fd92d55ac681a20e556632fdcf</t>
  </si>
  <si>
    <t>Estuaries along the southeast coast of Australia form distinctive biophysical types. Each type reflects both geological setting and a Holocene geomorphic history associated with the degree of infill driven by marine and terrestrial processes. Of the 180 estuaries found within the state of New South Wales (NSW) many occur in national parks or are not significantly modified by human activities. For those estuaries where human activities are directly impacting environmental conditions and social, cultural and economic functions of the waterways, the management challenge is more complex. We combine the biophysical and socio-economic characteristics for the NSW coast to identify four “estuary contexts”, referred to as: 1) intermittently closed and open lakes and lagoons (ICOLLs), 2) coastal lakes, 3) deltaic floodplains, and 4) drowned river valleys. Each context may require different governance arrangements to address the coastal management requirements as outlined in recently introduced NSW legislation and planning policy. Such arrangements become especially urgent given threats facing private and public assets in low-lying locations around the shores of these estuaries as sea level continues to rise and climate change adaptation strategies set out in local government Coastal Management Programs are developed and implemented. Copyright © 2023 Thom, Hudson and Dean-Jones.</t>
  </si>
  <si>
    <t>2-s2.0-85166530403"</t>
  </si>
  <si>
    <t>10.1080/17445647.2022.2145918</t>
  </si>
  <si>
    <t>https://www.scopus.com/inward/record.uri?eid=2-s2.0-85142865698&amp;doi=10.1080%2f17445647.2022.2145918&amp;partnerID=40&amp;md5=d29fb974efb4618a4f52e4a3d6a1b06a</t>
  </si>
  <si>
    <t>According to the most recent scenarios, sea level is expected to keep rising during the next decades because of global warming. In this context, coastal areas are highly vulnerable to marine and climate-related processes, such as erosion and inundation. Such processes are expected to cause shoreline retreat and local morphological variations with consequent loss in natural ecosystems, exploitable coastal land, and significant socio-economic impacts. This paper aims at outlining future scenarios of potential coastal inundation along the NE coastal sector of the Island of Gozo (Malta). The study assessed expected coastline positions for the investigated coastal stretch by analysing high-resolution topographic data coupled with sea level projections for the years 2050 and 2100, accounting also for the contribution of storm surges. Results are expected to sensitize local authorities and communities about potential threats derived from sea level rise that could affect coastal areas in the near future. © 2022 The Author(s). Published by Informa UK Limited, trading as Taylor &amp; Francis Group on behalf of Journal of Maps.</t>
  </si>
  <si>
    <t>2-s2.0-85142865698"</t>
  </si>
  <si>
    <t>10.1007/s11069-022-05562-x</t>
  </si>
  <si>
    <t>https://www.scopus.com/inward/record.uri?eid=2-s2.0-85136510557&amp;doi=10.1007%2fs11069-022-05562-x&amp;partnerID=40&amp;md5=a269f749c03b7388e80f0a886730a57c</t>
  </si>
  <si>
    <t>High-energy storm events induce hazards that promote damage and destruction of property and infrastructure. Defining high-risk areas is therefore fundamental to prioritise management actions. This work presents the application of an approach to identify hotspots of storm impact at a regional scale (tens to hundreds of kilometres). The Coastal Risk Assessment Framework Phase 1 (CRAF1) is a hotspot selection method based on a coastal index that combines the potential hazard (i.e. overwash and erosion), the exposure (based on land use) and the vulnerability (based on socio-economic data) along each kilometre of the coast to assess the risk level. The suitability of the approach was tested on the southeastern coast of the Gulf of Cadiz (South Spain). CRAF1 was applied considering a morphological worst-case scenario and events of 10/50/100-year return period. The region shows a high overwash and erosion hazard level. Nevertheless, a relatively low number of risk hotspots were identified due to the low level of occupation in the study area. Comparison against available information of previous overwash and erosion events proved the reliability of the method to identify hotspots at a regional scale, even in a coastal area with high alongshore variability (geomorphology, wave exposure and tidal range). The results support the utility of the tool for coastal managers to prioritise and support risk reduction plans. Furthermore, the method presents two aspects that enlarge its potential applicability: (1) it is relatively easy to apply at a regional scale, and (2) it can be updated with new data to test different scenarios (e.g. sea-level rise). © 2022, The Author(s), under exclusive licence to Springer Nature B.V.</t>
  </si>
  <si>
    <t>2-s2.0-85136510557"</t>
  </si>
  <si>
    <t>10.55493/5003.v13i1.4719</t>
  </si>
  <si>
    <t>https://www.scopus.com/inward/record.uri?eid=2-s2.0-85167969045&amp;doi=10.55493%2f5003.v13i1.4719&amp;partnerID=40&amp;md5=ce9753705ca992fc555f6974c025157d</t>
  </si>
  <si>
    <t>This study delineates morphometric parameters for determining flood influence on river catchments in the Niger Delta Region using geospatial techniques. Data from the United States Geological Survey; Shuttle radar topographic mission was processed using ArcGIS 10.6 software. The results of the hydrological data analysis, compound factors, and weighted overlay approach demonstrate that early peak flows from the River Niger cause flooding along the riverbanks, as evidenced by the stream frequency findings. The Ikoli River's catchments consistently provide the River Niger with its peak discharge for a considerable time. The Orashi, Bomadi, Forcados, Nun, and Ikoli River basins all have a low relief ratio and hence little impact on floods. However, catchments with a higher relief ratio contribute more water in a shorter amount of time and produce floods in lower locations. Because of its high runoff parameters and short concentration time, the Orashi River catchment is the most flood-prone, followed by the Niger and Forcardos River catchments, which indicate "high," and the Ikoli, Nun, and Bomadi River catchments, which indicate "medium." It is therefore advised that the Orashi, Niger, and Forcados river catchments be prioritized in order to reduce the impact of floods in the Niger Delta research region.</t>
  </si>
  <si>
    <t>10.3178/hrl.17.9</t>
  </si>
  <si>
    <t>https://www.scopus.com/inward/record.uri?eid=2-s2.0-85152700970&amp;doi=10.3178%2fhrl.17.9&amp;partnerID=40&amp;md5=71acd2ecce4de5a0a19045bdf0d67f8c</t>
  </si>
  <si>
    <t>Increasing needs for real-time flood forecasting, proac-tive disaster prevention using hazard maps, and adaptation to flood risks associated with climate change require more detailed and accurate inundation information. Although river levees are an important factor in defining the extent and depth of flood water, data on the height and location of levees that can be introduced into global river models are not well developed. Therefore, in this study, an algorithm was developed to automatically determine the presence of levees when multiple river levee conditions are met from high-resolution Digital Elevation Models (DEMs). In the case study on the Kinu river, the 5-meter resolution DEM data was used to properly extract the location and height of levees including discontinuous levees, and the average error in levee height was in the range of 0.7 m. When a 10-meter, 20-meter, and 30-meter resolution DEM was used, the levee location was detected reasonably while erroneous determinations increased as the resolution became coarser, suggesting that the automatic detection method requires a resolution of at least 10-meter. © The Author(s) 2023.</t>
  </si>
  <si>
    <t>2-s2.0-85152700970"</t>
  </si>
  <si>
    <t>10.3390/rs15020374</t>
  </si>
  <si>
    <t>https://www.scopus.com/inward/record.uri?eid=2-s2.0-85146577217&amp;doi=10.3390%2frs15020374&amp;partnerID=40&amp;md5=b1af17c44fc56cd6dafebb4e002204d0</t>
  </si>
  <si>
    <t>Long-term and high-intensity coal mining has led to the increasingly serious surface subsidence and environmental problems. Surface subsidence monitoring plays an important role in protecting the ecological environment of the mining area and the sustainable development of modern coal mines. The development of surveying technology has promoted the acquisition of high-resolution terrain data. The combination of an unmanned aerial vehicle (UAV) point cloud and the structure from motion (SfM) method has shown the potential of collecting multi-temporal high-resolution terrain data in complex or inaccessible environments. The difference of the DEM (DoD) is the main method to obtain the surface subsidence in mining areas. However, the obtained digital elevation model (DEM) needs to interpolate the point cloud into the grid, and this process may introduce errors in complex natural topographic environments. Therefore, a complete three-dimensional change analysis is required to quantify the surface change in complex natural terrain. In this study, we propose a quantitative analysis method of ground subsidence based on three-dimensional point cloud. Firstly, the Monte Carlo simulation statistical analysis was adopted to indirectly evaluate the performance of direct georeferencing photogrammetric products. After that, the operation of co-registration was carried out to register the multi-temporal UAV dense matching point cloud. Finally, the model-to-model cloud comparison (M3C2) algorithm was used to quantify the surface change and reveal the spatio-temporal characteristics of surface subsidence. In order to evaluate the proposed method, four periods of multi-temporal UAV photogrammetric data and a period of airborne LiDAR point cloud data were collected in the Yangquan mining area, China, from 2020 to 2022. The 3D precision map of a sparse point cloud generated by Monte Carlo simulation shows that the average precision in X, Y and Z directions is 44.80 mm, 45.22 and 63.60 mm, respectively. The standard deviation range of the M3C2 distance calculated by multi-temporal data in the stable area is 0.13–0.19, indicating the consistency of multi-temporal photogrammetric data of UAV. Compared with DoD, the dynamic moving basin obtained by the M3C2 algorithm based on the 3D point cloud obtained more real surface deformation distribution. This method has high potential in monitoring terrain change in remote areas, and can provide a reference for monitoring similar objects such as landslides. © 2023 by the authors.</t>
  </si>
  <si>
    <t>2-s2.0-85146577217"</t>
  </si>
  <si>
    <t>10.1080/24749508.2023.2219492</t>
  </si>
  <si>
    <t>https://www.scopus.com/inward/record.uri?eid=2-s2.0-85162191383&amp;doi=10.1080%2f24749508.2023.2219492&amp;partnerID=40&amp;md5=8ac8f88474acfa2dec0189bb725dc50e</t>
  </si>
  <si>
    <t>This study used morphometric techniques to generate new information describing the evolution and hydrogeological behaviour of the Limpopo River Basin in Botswana, based on the analysis of drainage surface features, form, and size. Drainage basins provide basic information on their evolution, which, when quantified, yield information on the interaction between tectonics, climatic, and surface processes. Drainage networks were extracted from the Shuttle Radar Topographic Mission (SRTM) Digital Elevation Model (DEM) (90 m × 90 m), and subsequently, morphometry indices were computed using ArcGIS 10.5. Drainage network extraction was performed using the Arc Hydro extension in ArcGIS 10.5. ArcGIS 10.5 image processing technique was used to extract lineaments and create rose diagrams. The results showed that the Limpopo sub-basins in Botswana were drained by fourth- and fifth-order streams, with a total drainage area of 107, 871 km2. Additionally, the basin asymmetry and mean bifurcation ratios showed tilting in the sub-basins, suggesting tectonic instability and structural control in a low–to-moderate active tectonic zone. The sub-basins also had a coarse texture, indicating a high infiltration capacity. These results are essential for planning and managing watershed systems, flood risk assessment, and potential groundwater assessment for the different sub-basins of the Limpopo River Basin in Botswana. © 2023 The Author(s). Published by Informa UK Limited, trading as Taylor &amp; Francis Group on behalf of the International Water, Air &amp; Soil Conservation Society(INWASCON).</t>
  </si>
  <si>
    <t>2-s2.0-85162191383"</t>
  </si>
  <si>
    <t>Acta Carsologica</t>
  </si>
  <si>
    <t>10.3986/ac.v51i2.11029</t>
  </si>
  <si>
    <t>https://www.scopus.com/inward/record.uri?eid=2-s2.0-85148657150&amp;doi=10.3986%2fac.v51i2.11029&amp;partnerID=40&amp;md5=dfe63a84537ab6a696db74e4043eeded</t>
  </si>
  <si>
    <t>Poljes are flat closed karst depressions prone to regular flood-ing. The floods can be several meters high, last for months and damage significantly human infrastructures. To predict the maximum level reached, the polje water balance needs to be implemented. This technique encounters the difficulty that important part of the inflow and outflow flowing through many poljes is ungauged, as it is challenging to measure accurately the numerous springs and ponors activating temporarily with the rise of water level. This work aims to see whether this prob-lem can be handled and the polje water balance reconstituted. To do so, a typical Dinaric polje is equipped with several water level stations installed over its surface and in the nearby water active caves. Combining a 1*1m digital elevation model of the polje surface with water levels and inflow records of the main two springs allowed assessing the variation of flooded volume and reconstructing the water balance. The highest total inflow values reached during the observed period were of about 140-150 m3/s, with up to a third of it being ungauged. In addition, the effect of a large estavelles group on the polje inflow and out-flow could be identified, and helped to characterize the outflow, with values comprised between 65 and 75 m3/s. Finally, intense rainfall over the polje flooded surface showed to be a tempo-rary important source of inflow. The values found by the water balance analysis have been used as input and calibration data in a numerical model reproducing the flood dynamics in the polje and its surrounding aquifer. Results validated both polje water balance and conceptual hydrogeological model. They justify the significance of combining water level measurements with a digital elevation model to monitor the floods. The method can be applied to other poljes flooding in a complex way of superposed input and output signals. Finally, the places to be equipped in priority if the polje has no measurement network or if available funding is limited are discussed. © 2023, Zalozba ZRC. All rights reserved.</t>
  </si>
  <si>
    <t>2-s2.0-85148657150"</t>
  </si>
  <si>
    <t>10.3133/sir20235047</t>
  </si>
  <si>
    <t>https://www.scopus.com/inward/record.uri?eid=2-s2.0-85170259754&amp;doi=10.3133%2fsir20235047&amp;partnerID=40&amp;md5=6b64de0af7f9d8a41fc9dcfe8aaad1d0</t>
  </si>
  <si>
    <t>Higher sea level and stream runoff associated with climate change is expected to lead to greater lowland flooding across the Pacific Northwest. Increases in stream runoff that range from 20 to 32 percent by the 2040s and from 52 to 72 percent by the 2080s is expected to steadily increase flood risk. Flood risk is also expected to increase in response to the landward shift in high tides and storm surge, which will retard downstream conveyance. The combination of higher stream runoff, which is expected to drive greater fluvial sediment delivery to the coast, and more frequent, higher coastal waters relative to present-day (2023) levels, which will retard streamflow, is projected to cause more sedimentation across coastal and estuarine systems, exacerbating the flood risk. In the Nooksack River delta of western Washington, as in many Puget Sound deltas, resilient adaptation planning to mitigate impacts to community assets and infrastructure, nationally essential agricultural areas, and valued habitats and restoration investments that support endangered and threatened salmon recovery are underway but are in need of more informed projections of compound flood hazards. A Delft3D Flexible Mesh hydrodynamic model was constructed and used to assess changes in the extent, frequency, and timing of flood exposure associated with higher sea level and stream runoff projected to occur in the 2040s and 2080s. The model was also used to evaluate the change in and potential mitigating effects to flood exposure associated with individual and cumulative salmon-habitat-restoration strategies. Model simulations also evaluated the sensitivity of sedimentation to the individual and cumulative effects of higher fluvial delivery, trapping by sea-level rise, and changes in hydrodynamics associated with the rerouting of flows by proposed restoration strategies. The model performed well, having mean absolute errors for water levels below 1 foot (0.3 meters) when tested during a 2-year period for two recent flood events of record, the February 2, 2020, “Super Bowl flood” and the January 8, 2009, stream flood, both of which caused substantial flooding and damage across the study area. Fluvial discharge was found to dominate flood hazard at higher elevations in the study area, whereas near the coast, sea-level rise is computed to turn a less extreme 2-year (50 percent annual exceedance probability [AEP]) bankfull streamflow, which, at present (2023), causes nuisance flooding, into a more extreme 5-year (20 percent AEP) and 10 percent AEP streamflood event by the 2050s and 2100, respectively. The February 2020 Super Bowl flood was calculated to be a 10-year or 10 percent AEP peak-flow event, and the January 2009 flood was calculated to be a 25-year (4 percent AEP) peak-flow event. Extreme events such as the February 2020 Super Bowl flood and the January 2009 flood caused extensive damage across the Nooksack River floodplain, and model computations predict these magnitudes of events would have notably greater effect in the 2040s and 2080s in response to higher projected sea level and stream runoff. The modeled January 2009 flood is predicted to transform into a flood event, causing flood exposure that is comparable to the 100-year or 1 percent AEP flood by the 2040s. The modeled January 2009 flood is also predicted to exceed the flood exposure of the recent November 16, 2021, flood, which caused substantial damage in the lower Nooksack River floodplain and restricted access for emergency-management efforts on important arterial roadways in the area</t>
  </si>
  <si>
    <t>10.1016/j.heliyon.2023.e12998</t>
  </si>
  <si>
    <t>https://www.scopus.com/inward/record.uri?eid=2-s2.0-85147352708&amp;doi=10.1016%2fj.heliyon.2023.e12998&amp;partnerID=40&amp;md5=34299f8203656b8c1893488a4065e454</t>
  </si>
  <si>
    <t>This is a systematic attempt to depict the genetic evolution of the Late Quaternary sediments of the southeastern (SE) coastal region of the Bengal basin regarding paleotectonic settings, sedimentation, provenance, paleo-climatic conditions, weathering condition and age. The study has considered multiple attributes such as, lithology/lithofacies, sedimentary features/records, major oxides, clay minerals, foraminifera, and radiocarbon dating. The lithological characters along with associated clay minerals confirmed that a Pleistocene paleosol horizon (over-bank deposits) of warm-humid nature is commonly encountered immediately on top of the sub-crop bed-rock in the area overlain by Holocene fluvio-marine sediments of the same nature. The lithofacies, foraminiferal assemblages, and sedimentary structures of the analyzed samples suggest that the Holocene sediments have been presumably deposited in a fluvio-marine condition after the Last Glacial Maximum (LGM) due to the transgression of the sea. Geochemically, the sediments are classified as Fe-rich shale, shale, and wake and primarily intermediate to felsic orogen provenance. These are possibly derived from intense weathered sources from the upheaval of Himalayan ranges of both active continental margin and Island Arc paleotectonic setting. The plot of the Index of Compositional Variability versus the Chemical Index of Alteration indicates that the sediments seemingly experienced intense weathering associated with warm and humid climatic conditions. The sedimentation rates of the area vary from place to place and layer to layer due to the complex delta-building process. The reconstructed Relative Sea Level Curve reveals that presumably, the sea level has reached its current position after the LGM. The deduction possibly will facilitate the (1) reconstruction of Late Quaternary coastal evolution after LGM, (2) support for future urbanization, land use plans, etc., and (3) also be helpful for international researchers to understand the possible sources of sediment input in the area from the complex interplay of the Indian-, Eurasian- and Myanmar-plates. © 2023 The Authors</t>
  </si>
  <si>
    <t>2-s2.0-85147352708"</t>
  </si>
  <si>
    <t>10.1080/19475705.2023.2232080</t>
  </si>
  <si>
    <t>https://www.scopus.com/inward/record.uri?eid=2-s2.0-85164254865&amp;doi=10.1080%2f19475705.2023.2232080&amp;partnerID=40&amp;md5=00a8c2424bb1000d468d3bf4e356bdb7</t>
  </si>
  <si>
    <t>Storm surge-induced flooding (SSIF) is a major hazard for coastal areas under intensified typhoons. Therefore, it is essential to assess the potential impacts of SSIF (SSPIA). This study proposes a multidisciplinary framework for refined SSPIA using an ocean model and a refined exposure estimation method. First, a finite-volume coastal ocean model (FVCOM) and a typhoon model were developed and validated. Then, five scenarios of varying intensity were defined and combined with FVCOM to identify inundation scenarios. Subsequently, machine learning was used to obtain the fine-scale gridded population and gross domestic product (GDP) maps based on the census and geospatial data. Finally, we assessed the magnitude of the affected population and GDP based on the inundation scenarios and refined exposure datasets. We selected Zhoushan Island as a study area to implement this framework. Our assessment results show that the lowest scenario (955 hPa) affected 2587 people and 323.745 million CNY of GDP, while the highest scenario (915 hPa) affected 259,516 people and 20,178.898 million CNY of GDP. Therefore, it is imperative to implement effective mitigation and adaptation measures to address the threat of SSIF. This framework will apply to all flood-prone areas for a refined assessment of the potential impacts of SSIF. © 2023 The Author(s). Published by Informa UK Limited, trading as Taylor &amp; Francis Group.</t>
  </si>
  <si>
    <t>2-s2.0-85164254865"</t>
  </si>
  <si>
    <t>Carpathian Journal of Earth and Environmental Sciences</t>
  </si>
  <si>
    <t>10.26471/cjees/2023/018/248</t>
  </si>
  <si>
    <t>https://www.scopus.com/inward/record.uri?eid=2-s2.0-85150779294&amp;doi=10.26471%2fcjees%2f2023%2f018%2f248&amp;partnerID=40&amp;md5=4d7f72a10569c1fdfa888311f11d0beb</t>
  </si>
  <si>
    <t>The use of 1D, 2D, and 1D/2D modelling techniques to identify flood prone areas is a critical component of any flood hazard management project (e.g., APDF – action plan for dam failure) in the proximity of big dams and reservoirs. In this work, we manage to computed flood hazard models using 2D HEC-RAS module based on Digital Elevation Models (DEM’s) derived from Light Detection and Ranging (LiDAR) data and pre and post-processed using Geographic Information Systems (GIS)-based software (e.g., ArcGIS, HEC-RAS). Therefore, to produce urban flood hazard (FH) maps downstream of the Strâmtori-Firiza reservoir (S-Fr) in NW Romania, a multi-scenario approach based on LiDAR-derived DEM integration, 2D hydraulic modeling, and remote sensing (RS) data validation is provided. In this context, to assess the flood control capacity (FCC) of the S-Fr hydro-technical system, three flood tests based on S-Fr flow rate with 5% (167 m3/s), 1% (270 m3/s) and 0.1% (447 m3/s) return periods were performed. The flood impact within the urban area of Baia Mare located downstream of S-Fr was achieved for each flood scenarios using four spatial data derived from the RAS Mapper module: flood extent (FE), flood depth (FD), flood velocity (FV) and flood hazard (FH). The results indicate that a large area of Baia Mare city can be affected by a potential flood caused by a dam failure and also contribute to the APDF update of S-Fr dam. © 2023,Carpathian Journal of Earth and Environmental Sciences. All Rights Reserved.</t>
  </si>
  <si>
    <t>2-s2.0-85150779294"</t>
  </si>
  <si>
    <t>10.1080/17445647.2023.2243973</t>
  </si>
  <si>
    <t>https://www.scopus.com/inward/record.uri?eid=2-s2.0-85167331708&amp;doi=10.1080%2f17445647.2023.2243973&amp;partnerID=40&amp;md5=30ced00966a58136345e0b96ca45d3f8</t>
  </si>
  <si>
    <t>Coastal areas are dynamic environments that easily change over time. To contribute to a better understanding of natural and anthropogenic factors that may have contributed in the past and/or control present-day and near-future coastline modifications, we have realised a chronologically arranged sequence of three geomorphological and geothematic maps focusing on the southern Molise coast (Adriatic coast, Italy). The first two maps concern the geomorphological and anthropogenic modifications that occurred respectively from the Holocene to the 1950s (Map 1), and from the 1950s to the Present (Map 2). The third map deals with the present-day conditions and near-future scenarios of coastal hazard considering the period from the Present to the year 2050. Results obtained and comparative observations of the three maps highlight the elevated shoreline mobility of the Biferno River alluvial coastal plain sector, and its high susceptibility to further coastal hazard due to erosion and inundation. © 2023 The Author(s). Published by Informa UK Limited, trading as Taylor &amp; Francis Group.</t>
  </si>
  <si>
    <t>2-s2.0-85167331708"</t>
  </si>
  <si>
    <t>10.3389/fclim.2023.1080754</t>
  </si>
  <si>
    <t>https://www.scopus.com/inward/record.uri?eid=2-s2.0-85149316852&amp;doi=10.3389%2ffclim.2023.1080754&amp;partnerID=40&amp;md5=a836ea6416dea2ae35d7b01b9bcde437</t>
  </si>
  <si>
    <t>Climate change has been framed as a threat to human security and has therefore become securitized, scholars argue. But what about the securitization of climate change adaptation as a policy response to fight climate change? Adaptation has risen on political agendas worldwide, and a few scholars have found some early signs of the securitization of adaptation at UN/EU levels. This paper analyzes how and to what extent adaptation has become securitized at national level, studying The Netherlands as one of the frontrunners in adaptation. We compared the levels of securitization for different adaptation issues, based on content analysis of 19 general and sectoral national policy documents and 7 in-depth interviews with national policy makers and experts. Securitization is studied with respect to the discourses used to frame the climate as a risk or threat, and the actors and tools that are put forward to address the climate risk or threat. The results show that climate change has made Dutch adaptation to flood risks even more prominent: in the two most important national policy documents climate change is framed as a wake-up call to speed up the plans and actions of the longstanding Delta program to protect The Netherlands against flooding. We also see considerable differences between the levels of securitization for different adaptation issues. Water-related adaptation issues show signs of riskification, while the same cannot be said for adaptation to heat stress and drought. Furthermore, most attention goes to the governance of adaptation in the built environment, while neglecting the social and health care domains and the need to take account of the capabilities of at-risk citizen groups. By applying the securitization lens this research has yielded new insights into national adaptation policy development. Future research could develop a better understanding of how securitization tendencies travel across different governance scales</t>
  </si>
  <si>
    <t>10.3133/sir20235068</t>
  </si>
  <si>
    <t>https://www.scopus.com/inward/record.uri?eid=2-s2.0-85168082591&amp;doi=10.3133%2fsir20235068&amp;partnerID=40&amp;md5=8e68618750545d18daa8263852126dc4</t>
  </si>
  <si>
    <t>Digital flood-inundation maps for a 3.4-mile reach of Fourmile Creek at Silver Grove, Kentucky, were created by the U.S. Geological Survey (USGS) in cooperation with the City of Silver Grove and the U.S. Army Corps of Engineers Louisville District. Because the City of Silver Grove is subject to flooding from Fourmile Creek and the Ohio River (back-water flooding up Fourmile Creek), a set of flood-inundation maps was created, including maps for each flooding source considered independently and for possible scenarios involving flooding from both sources combined. The flood-inundation maps depict estimates of the areal extent and depth of flooding corresponding to a range of gage heights (gage height is commonly referred to as “stage,” or the water-surface elevation at a streamgage) at the USGS streamgage on Fourmile Creek at Grays Crossing at Silver Grove, Ky. (station number 03238785), and the USGS streamgage on Fourmile Creek at Highway 8 at Silver Grove, Ky. (station number 03238798). Near-real-time stages at these streamgages can be obtained from the USGS National Water Information System at https://waterdata.usgs.gov/. The USGS streamgage on the Ohio River at Cincinnati, Ohio (station number 03255000), is also important in this study because the National Weather Service (NWS) Advanced Hydrologic Prediction Service (AHPS</t>
  </si>
  <si>
    <t>10.1029/2022JF006934</t>
  </si>
  <si>
    <t>https://www.scopus.com/inward/record.uri?eid=2-s2.0-85147122737&amp;doi=10.1029%2f2022JF006934&amp;partnerID=40&amp;md5=5678814a4deb29cc925bfb4cf65cfef0</t>
  </si>
  <si>
    <t>Barrier islands are especially vulnerable to hurricanes and other large storms, owing to their mobile composition, low elevations, and detachment from the mainland. Conceptual models of barrier-island evolution emphasize ocean-side processes that drive landward migration through overwash, inlet migration, and aeolian transport. In contrast, we found that the impact of Hurricane Dorian (2019) on North Core Banks, a 36-km barrier island on the Outer Banks of North Carolina, was primarily driven by inundation of the island from Pamlico Sound, as evidenced by storm-surge model results and observations of high-water marks and wrack lines. Analysis of photogrammetry products from aerial imagery collected before and after the storm indicate the loss of about 18% of the subaerial volume of the island through the formation of over 80 erosional washout channels extending from the marsh and washover platform, through gaps in the foredunes, to the shoreline. The washout channels were largely co-located with washover fans deposited by earlier events. Net seaward export of sediment resulted in the formation of deltaic bars offshore of the channels, which became part of the post-storm berm recovery by onshore bar migration and partial filling of the washouts with washover deposits within 2 months. This event represents a volumetric setback in the overwash/rollover behavior required for barrier transgression, but the new ponds and lowland habitats may provide beneficial habit for endangered species and will likely persist for years. © 2023 The Authors. This article has been contributed to by U.S. Government employees and their work is in the public domain in the USA.</t>
  </si>
  <si>
    <t>2-s2.0-85147122737"</t>
  </si>
  <si>
    <t>10.37394/232015.2023.19.69</t>
  </si>
  <si>
    <t>https://www.scopus.com/inward/record.uri?eid=2-s2.0-85165988659&amp;doi=10.37394%2f232015.2023.19.69&amp;partnerID=40&amp;md5=9bd17446b040164cf6beb774a362dbd3</t>
  </si>
  <si>
    <t>Bangladesh’s deltaic geography makes it highly subject to natural disasters, with the southwest region being especially vulnerable to cyclones, storm surges, waterlogging during the monsoon, and soil salinity during the dry season. Despite being primarily an agricultural country, frequent natural disasters have severely impacted crop production and biodiversity, making it difficult for small coastal farmers to earn a livelihood. This study sought to identify the various income-generating activities and effective strategies that could help the waterlogged community become more resilient to the challenges posed by climate change. A mixed method, including a household survey, field visit, in-depth interview, and key informant interview, was used to collect data based on the purposive sampling technique. The collected quantitative and qualitative data were analyzed using percentage measures and narrative processes, respectively, and interpreted in the socio-cultural context to give a specific form and basis to the study. The study revealed that marginal farmers in Malopara village are particularly vulnerable to biodiversity losses that threaten their lives and livelihoods. To address these challenges, the study also found multiple income-generating activities as a way of community-based adaptation. This approach would help reduce food insecurity and provide alternative sources of income for small farmers, who are most affected by the changing climate. © 2023, World Scientific and Engineering Academy and Society. All rights reserved.</t>
  </si>
  <si>
    <t>2-s2.0-85165988659"</t>
  </si>
  <si>
    <t>Jordan Journal of Earth and Environmental Sciences</t>
  </si>
  <si>
    <t>https://www.scopus.com/inward/record.uri?eid=2-s2.0-85153725792&amp;partnerID=40&amp;md5=7c3103ead401a4b46c29420d0398a890</t>
  </si>
  <si>
    <t>Watershed resources analysis and development intervention at the catchment level requires primarily an understanding of the physical morphometry, but it has long been emphasized for hydrological analysis of soil and water conservation initiatives. This research was carried out to assess the morphometric characteristics of the sub-watersheds of Gelana using a geographic information system and remote sensing. The parameters considered were bifurcation ratio (Rb), stream frequency (Fs), drainage density (Dd), drainage texture (Dt), Length of overland flow (LoF), Constant of channel maintenance (CCM), infiltration number (If), elongation ratio (Re), circulatory ratio (Rc), form factor (Ff), compactness coefficient (Cc), basin relief (H), relief ratio (Rh), ruggedness number (Rn), stream power index (SPI), and sediment transport index (STI). Shuttle Radar Topographic Mission Digital Elevation Model 30 m resolution was used as input data to generate the value of these variables. The results showed that linear parameters ranged from Rb = 1.4–5.0</t>
  </si>
  <si>
    <t>Biodiversity</t>
  </si>
  <si>
    <t>10.1080/14888386.2023.2179113</t>
  </si>
  <si>
    <t>https://www.scopus.com/inward/record.uri?eid=2-s2.0-85150608534&amp;doi=10.1080%2f14888386.2023.2179113&amp;partnerID=40&amp;md5=49905eca5d16b4bb820508b234d3a1b3</t>
  </si>
  <si>
    <t>The Adams Bay site is a Native American monumental centre located in the Mississippi River Delta (MRD), a dynamic, geomorphic environment comprised of marshes, bayous, and rivers. The site itself was constructed approximately 600 to 800 years ago by Indigenous communities who are the ancestors of modern-day coastal communities. Earthen mounds at Adams Bay have disappeared over the past 70 years, and the last remaining mound at the site has almost completely eroded away over the past 10 years. This is an environment that is rapidly subsiding, eroding, and becoming inundated due to sea-level rise, and within this environment are hundreds of earthen and shell mounds. This study uses Sentinel-2 and National Agriculture Imagery Program data to document decadal changes to the landscape at Adams Bay and posits that mound-building had net positive impacts on biodiversity and vegetation in this marshy, deltaic environment. Sites like Adams Bay provide remarkable ecosystem services, enhancing the resilience of coastal ecosystems, and they must be studied and/or preserved before being lost to climatic and environmental forces. Finally, these sites are still incredibly significant to modern Indigenous communities who live in the coastal zone today, and additional resources need to be dedicated towards their conservation. © 2023 Biodiversity Conservancy International.</t>
  </si>
  <si>
    <t>2-s2.0-85150608534"</t>
  </si>
  <si>
    <t>10.12912/27197050/159577</t>
  </si>
  <si>
    <t>https://www.scopus.com/inward/record.uri?eid=2-s2.0-85149541548&amp;doi=10.12912%2f27197050%2f159577&amp;partnerID=40&amp;md5=db2ad80e3aec02094a511884c4481626</t>
  </si>
  <si>
    <t>Coastal inundation that is getting farther inland year by year has given a serious problem to the sustainability of farming activities in Pekalongan, but it has rarely been exposed more detail to the public. The aim of this research is to investigate the present effects of seawater inundation to the agriculture sector in Pekalongan coastal area. We focused on the study of coastal inundation dynamics, agriculture area reduction and rice production. Time series remote sensing imageries from google earth satellite were used to analyze the seawater run up between 2003 and 2018. This result revealed that the farthest distance of the inundation in 2018 reached 4.4 kilometers from the coastline in the west part of the city. For the last fifteen years, saline water has reduced almost 380 ha of farm land in the coastal area. That phenomenon has contributed to the rice production lost by almost 173 tons/year during 2003 and 2018. This result has showed a critical condition of agriculture sector in study area, thus some mitigation actions become a necessity thing in order to protect our land as well as food security on the next future. © 2023, Polskie Towarzystwo Inzynierii Ekologicznej (PTIE). All rights reserved.</t>
  </si>
  <si>
    <t>2-s2.0-85149541548"</t>
  </si>
  <si>
    <t>10.1080/08920753.2023.2235972</t>
  </si>
  <si>
    <t>https://www.scopus.com/inward/record.uri?eid=2-s2.0-85165475848&amp;doi=10.1080%2f08920753.2023.2235972&amp;partnerID=40&amp;md5=17a4b88c4c81d2ec2a12b1ed7279bb8d</t>
  </si>
  <si>
    <t>In 2022, the CZMA turned 50, joining other statutes from what has become known as the Environmental Decade in reaching this milestone. This essay, which the Journal presents in two issues, examines the Act’s role in addressing our coast’s most critical challenge—climate change. In the first issue and installment the essay briefly reviews the social and political context in which the Act emerged, lessons learned from other statutes’ 50th anniversary, and the CZMA’s 40th anniversary. The first installment then reviews the CZMA’s Section 309 program. This program encourages each participating state and territory to develop a 5-year strategy to enhance its Coastal Management Program (CMP) to address statutorily identified objectives, one of which most closely pertains to climate related impacts. The essay’s first installment concludes that the CZMA is singularly well positioned at a time when it is vitally needed, the prospect of new legislation is dim, and the current Supreme Court is methodically dismantling the environmental administrative state. The second installment reviews several individual 309 Strategies for 2021–2025 to illustrate how states and territories are using the CZMA to respond in the near term to climate change related impacts. © 2023 Taylor &amp; Francis Group, LLC.</t>
  </si>
  <si>
    <t>2-s2.0-85165475848"</t>
  </si>
  <si>
    <t>10.1016/j.ijdrr.2022.103338</t>
  </si>
  <si>
    <t>https://www.scopus.com/inward/record.uri?eid=2-s2.0-85141252320&amp;doi=10.1016%2fj.ijdrr.2022.103338&amp;partnerID=40&amp;md5=afefa8963d8a733117c3e5034681bc3c</t>
  </si>
  <si>
    <t>Rapid urban expansion in many parts of the world is leading to increased exposure to natural hazards, exacerbated by climate change. The use of physics-based models of natural hazards in risk-informed planning and decision-making frameworks may provide an improved understanding of site-specific hazard scenarios, allowing various decision-makers to more accurately consider the consequences of their decisions on risks in future development. We present results of physics-based simulations of flood, earthquake, and debris flow scenarios in a virtual urban testbed. The effect of climate change, in terms of increasing rainfall intensity, is also incorporated into some of the considered hazard scenarios. We use our results to highlight the importance of using physics-based models applied to high-resolution urban plans to provide dynamic hazard information at the building level for different development options. Furthermore, our results demonstrate that including building elevations into digital elevation models is crucial for predicting the routing of hazardous flows through future urban landscapes. We show that simulations of multiple, independent hazards can assist with the identification of developing urban regions that are vulnerable to potential multi-hazard events. This information can direct further modelling to provide decision-makers with insights into potential multi-hazard events. Finally, we reflect on how information derived from physics-based hazard models can be effectively used in risk-sensitive planning and decision-making. © 2022 The Authors</t>
  </si>
  <si>
    <t>2-s2.0-85141252320"</t>
  </si>
  <si>
    <t>10.1007/s11069-022-05617-z</t>
  </si>
  <si>
    <t>https://www.scopus.com/inward/record.uri?eid=2-s2.0-85139216748&amp;doi=10.1007%2fs11069-022-05617-z&amp;partnerID=40&amp;md5=40fda83c826cd26a818258d69fbf90f7</t>
  </si>
  <si>
    <t>The temporal clustering of storms presents consecutive storm surge and wave hazards that can lead to amplified flood and erosional damages</t>
  </si>
  <si>
    <t>10.2112/JCOASTRES-D-22TM-00005.1</t>
  </si>
  <si>
    <t>https://www.scopus.com/inward/record.uri?eid=2-s2.0-85146900743&amp;doi=10.2112%2fJCOASTRES-D-22TM-00005.1&amp;partnerID=40&amp;md5=2b98bbd3f2b7c2e14f514c0b4701825a</t>
  </si>
  <si>
    <t>Baek, D.</t>
  </si>
  <si>
    <t>Quaternary International</t>
  </si>
  <si>
    <t>10.1016/j.quaint.2022.03.001</t>
  </si>
  <si>
    <t>https://www.scopus.com/inward/record.uri?eid=2-s2.0-85126270301&amp;doi=10.1016%2fj.quaint.2022.03.001&amp;partnerID=40&amp;md5=d4f680065b334de879887f0f2359428d</t>
  </si>
  <si>
    <t>We present SeeLevelViz, a free, open-source program written in Python for making interactive visualizations of relative sea-level change in landscapes and shorelines. The accurate reconstruction of shoreline positions is a crucial factor in coastal palaeolandscape studies, particularly in areas where the coast is fronted by islands, since the separation of islands from the mainland drives important ecological and sociocultural outcomes. This program creates accurate time-slice reconstructions of shoreline positions and palaeolandscapes when the user provides two components: 1) a digital elevation model of the target region (including currently submerged areas), and 2) a simple spreadsheet of relative sea-level elevations at different dates derived either from a glacio isostatic adjustment model of relative sea-level change, or from observed past sea-level data points. The tool is presented using the eastern coast of the Adriatic Sea in the Mediterranean as a test case, since this region has a complex coastline articulation due to combined geological and geomorphological factors. In this area, like in many other Mediterranean coastal areas, the separation of islands from the mainland following the last glacial maximum and throughout the Holocene has occurred in connection with important phases of the development, particularly of Mesolithic and Neolithic cultures, influencing human migrations and the spread of seafaring techniques. Reliable palaeolandscape reconstructions at different time slices are thus crucial for supporting archaeological interpretation. Flexibile and user-friendly, SeeLevelViz can compliment reconstructions of coastal landscape changes either based on glacial isostatic adjustment models or on relative palaeo-sea- level evidence, since simple, interactive visualizations are a powerful technique for understanding spatial time-series data, both for the interpretation phase of research, and for presentation to colleagues and the public. The program can be modified or used freely for papers, presentations, etc. By crediting and citing this article. © 2022</t>
  </si>
  <si>
    <t>2-s2.0-85126270301"</t>
  </si>
  <si>
    <t>10.1007/s11069-022-05499-1</t>
  </si>
  <si>
    <t>https://www.scopus.com/inward/record.uri?eid=2-s2.0-85135255739&amp;doi=10.1007%2fs11069-022-05499-1&amp;partnerID=40&amp;md5=b8dec324e64e5e21a0571869e08d0c75</t>
  </si>
  <si>
    <t>The effects of weather extreme events can pose a threat to life and property, which is why proper prediction systems take on superlative importance. Despite the significant scientific advances in the field during the last decades, due to the intrinsic imperfections of prediction systems there will always be unavoidable uncertainties. To deal with them, deterministic prediction systems have been extended to “ensemble prediction systems” (EPS), defined as a composition of several simulations under different forcings, boundary conditions, parameters, models, etc., designed to represent the uncertainties. The mean of the EPS is often used for deterministic guidance to report the prediction but, in the presence of large differences among ensemble members, the average generates skewness that might underestimate the magnitude of the forecasts. In this paper, two techniques are revisited and readapted to improve the EPS forecasts. Firstly, it is proposed to partition ensemble forecasts into sub-ensemble forecasts, using cluster analysis to produce more representative predictions</t>
  </si>
  <si>
    <t>10.2112/JCOASTRES-D-22-00031.1</t>
  </si>
  <si>
    <t>https://www.scopus.com/inward/record.uri?eid=2-s2.0-85146843885&amp;doi=10.2112%2fJCOASTRES-D-22-00031.1&amp;partnerID=40&amp;md5=04c6fcc4146abecdf7b6763aac0d7d2f</t>
  </si>
  <si>
    <t>Elango, N. and Arul, C., 2023. Ecosystem-based disaster management planning for the eastern coast of India. Journal of Coastal Research, 39(1), 83-89. Charlotte (North Carolina), ISSN 0749-0208. The coastal zone of India is endowed with abundant coastal and marine ecosystems. India is also highly prone to natural calamities, especially floods, droughts, cyclones, and landslides. This study aims to highlight the importance of the ecosystem services along the east coast of India and incorporate the value of these resources at the planning stage of disaster management at all levels. A survey was conducted with experts at the national level who have an understanding of the existing disaster management plans along the coast of Tamil Nadu state. To understand the importance of ecosystem-based disaster risk reduction at the decision-making and planning level, further analysis was carried out in monetization of ecosystem services. The total value of ecosystem services was obtained as the product of landuse area and the value of ecosystem services. From the overall critical analysis and the initial online survey, it was inferred that ecosystem-based approaches to disaster risk reduction and managing climate change hold much promise and that investing in healthy ecosystems provides a viable route for sustainable development. There needs to be a shift from relying on structural engineering solutions to increased acceptance of social engineering approaches through consensus-building with disaster-affected communities. Despite the structural and nonstructural measures being implemented in lieu of disaster management, there is still a lacuna in effective implementation, as inferred from the study. Robust actions are needed at the planning stage, for which the adoption of ecosystem-based approaches with localised resources and knowledge would be an inclusive approach.  © 2023 Coastal Education and Research Foundation, Inc.</t>
  </si>
  <si>
    <t>2-s2.0-85146843885"</t>
  </si>
  <si>
    <t>10.1016/j.jafrearsci.2022.104709</t>
  </si>
  <si>
    <t>https://www.scopus.com/inward/record.uri?eid=2-s2.0-85137099289&amp;doi=10.1016%2fj.jafrearsci.2022.104709&amp;partnerID=40&amp;md5=8689975aff8fafb3ee77e4a91f562b74</t>
  </si>
  <si>
    <t>Flood, is a constant phenomenon, especially in semi-arid and flood plain regions are one of the most destructive natural hazards endangering a people's life, property, and physical and economic well-being. This paper focuses on hydraulic modelling using the HEC-RAS model in combination with the Watershed Modeling System (WMS) tools and compares the results to the Flood Hazard Index (FHI) method using GIS in the Seyad Basin situated in the southwestern region of Morocco with an area of 1512.85 km2. The goal of the study is to evaluate flood hazards in the Seyad Basin in which the cities of Taghjijt, Aday, Amtoudi, and Tagriante are located. The HEC-RAS approach combines the hydraulic surface water flow model and the digital terrain model data. This combination allows the mapping of the flood zones by using the WMS tools. This approach predicts flood occurrence probability for different times and determines the intensity of the flood (depth and velocity of floodwater) using the existing hydrological data. On the other hand, the Flood Hazard Index method (FHI) presents a multi-criteria index to assess areas prone to flood hazards, using six physical parameters: permeability, slope, distance from rivers, land use, drainage density, and flow accumulation. A weight is calculated from the analytic hierarchy process method and applied to each parameter. HEC-RAS method allows the mapping of a flood with a flood water surface profile that shows the flood depth for Annual Exceedance Probability (AEP). At the same time, FHI permits establishing flood hazard levels without showing the water depth. In both approaches, six simulations were performed with the return periods of 10, 20, 50, 100, 200, and 500 years. The simulation revealed that the most susceptible areas to flooding are the areas along the Wadi Seyad. © 2022 Elsevier Ltd</t>
  </si>
  <si>
    <t>2-s2.0-85137099289"</t>
  </si>
  <si>
    <t>10.1038/s43247-022-00537-z</t>
  </si>
  <si>
    <t>https://www.scopus.com/inward/record.uri?eid=2-s2.0-85139395043&amp;doi=10.1038%2fs43247-022-00537-z&amp;partnerID=40&amp;md5=42ddf1fad97026fbd2cf618c4305d215</t>
  </si>
  <si>
    <t>With its increasing record length and subsequent reduction in influence of shorter-term variability on measured trends, satellite altimeter measurements of sea level provide an opportunity to assess near-term sea level rise. Here, we use gridded measurements of sea level created from the network of satellite altimeters in tandem with tide gauge observations to produce observation-based trajectories of sea level rise along the coastlines of the United States from now until 2050. These trajectories are produced by extrapolating the altimeter-measured rate and acceleration from 1993 to 2020, with two separate approaches used to account for the potential impact of internal variability on the future estimates and associated ranges. The trajectories are used to generate estimates of sea level rise in 2050 and subsequent comparisons are made to model-based projections. It is found that observation-based trajectories of sea level from satellite altimetry are near or above the higher-end model projections contained in recent assessment reports, although ranges are still wide. © 2022, The Author(s).</t>
  </si>
  <si>
    <t>2-s2.0-85139395043"</t>
  </si>
  <si>
    <t>10.1016/j.jag.2022.103082</t>
  </si>
  <si>
    <t>https://www.scopus.com/inward/record.uri?eid=2-s2.0-85141274683&amp;doi=10.1016%2fj.jag.2022.103082&amp;partnerID=40&amp;md5=30c9bdcd7eadb7d7db5330452663fb74</t>
  </si>
  <si>
    <t>Earth observation technologies have great potential in the investigation, monitoring and assessment of various geohazards. Stacking is an efficient InSAR method for estimating deformation rates and helps in the generation and update of the geohazard inventories. However, it relies on the assumption that the atmospheric statistics are stationary, which does not always hold in large-scale interferograms processing. The nonstationary signal, caused by turbulence and stratification of atmosphere, will bias the deformation estimate and lead to misinterpretations of the geophysical processes. In this paper, we propose an enhanced InSAR stacking method integrated with atmospheric correction. Atmospheric errors in the interferograms are first corrected, and then the mean deformation rate is estimated based on least squares. Applications are conducted in ground subsidence monitoring in the Yellow River Delta as well as landslide detection along the Jinsha River, China, with the deformation results evaluated by spatial structure function, semi-variogram and correlation. Spatial dependence in the subsidence results of the Yellow River Delta decreases from 757 km to 220 km, suggesting that the influence of atmospheric turbulence on deformation is mitigated. Correlation between deformation rate and elevation along the Jinsha River reduces from 0.40 to 0.15, indicating that stratification is suppressed. The proposed method adopts the strategies of simplicity and effectiveness, and the outcomes, which can meet the requirements of geohazards general survey, will be beneficial to rapid geohazard detection. © 2022</t>
  </si>
  <si>
    <t>2-s2.0-85141274683"</t>
  </si>
  <si>
    <t>10.5194/nhess-22-3725-2022</t>
  </si>
  <si>
    <t>https://www.scopus.com/inward/record.uri?eid=2-s2.0-85143398286&amp;doi=10.5194%2fnhess-22-3725-2022&amp;partnerID=40&amp;md5=8cd0a32a537682e2601fa228d7c94983</t>
  </si>
  <si>
    <t>Flooding has always been a devastating hazard for social and economic assets and activities. Especially, lowland areas such as coastal regions can be more vulnerable to inundations. The combination of different natural hazards observed at the same time is definitely worsening the situation in the affected regions. The goal of this study is to conduct a distinctive multi-hazard analysis considering flood hazards with the contribution of potential earthquake-triggered tsunamis that might be observed throughout the Fethiye coastline and city center. For this purpose, tsunami hazard curves are generated based on Monte Carlo simulations. Comprehensive stochastic hazard analyses are performed considering the aleatory variability of earthquake-triggered tsunamis and epistemic uncertainty of floods having 10-, 50-, and 100-year return periods. Numerical simulations are conducted to combine the potential tsunamis and flood events that are able to adversely affect the selected region. The results of this study show that the blockage of stream outlets due to tsunami waves drastically increases the inundated areas and worsens the condition for the selected region.  Copyright © 2022 Cuneyt Yavuz et al.</t>
  </si>
  <si>
    <t>2-s2.0-85143398286"</t>
  </si>
  <si>
    <t>10.1111/1752-1688.12916</t>
  </si>
  <si>
    <t>https://www.scopus.com/inward/record.uri?eid=2-s2.0-85107235064&amp;doi=10.1111%2f1752-1688.12916&amp;partnerID=40&amp;md5=7dba703701231f6bb1abc31e8c534ab7</t>
  </si>
  <si>
    <t>Coastal environments such as the Chesapeake Bay have long been impacted by eutrophication stressors resulting from human activities, and these impacts are now being compounded by global warming trends. However, there are few studies documenting long-term estuarine temperature change and the relative contributions of rivers, the atmosphere, and the ocean. In this study, Chesapeake Bay warming, since 1985, is quantified using a combination of cruise observations and model outputs, and the relative contributions to that warming are estimated via numerical sensitivity experiments with a watershed–estuarine modeling system. Throughout the Bay’s main stem, similar warming rates are found at the surface and bottom between the late 1980s and late 2010s (0.02 ± 0.02°C/year, mean ± 1 standard error), with elevated summer rates (0.04 ± 0.01°C/year) and lower rates of winter warming (0.01 ± 0.01°C/year). Most (~85%) of this estuarine warming is driven by atmospheric effects. The secondary influence of ocean warming increases with proximity to the Bay mouth, where it accounts for more than half of summer warming in bottom waters. Sea level rise has slightly reduced summer warming, and the influence of riverine warming has been limited to the heads of tidal tributaries. Future rates of warming in Chesapeake Bay will depend not only on global atmospheric trends, but also on regional circulation patterns in mid-Atlantic waters, which are currently warming faster than the atmosphere. © 2021 The Authors. Journal of the American Water Resources Association published by Wiley Periodicals LLC on behalf of American Water Resources Association.</t>
  </si>
  <si>
    <t>2-s2.0-85107235064"</t>
  </si>
  <si>
    <t>10.3389/fenvs.2022.1039143</t>
  </si>
  <si>
    <t>https://www.scopus.com/inward/record.uri?eid=2-s2.0-85144223021&amp;doi=10.3389%2ffenvs.2022.1039143&amp;partnerID=40&amp;md5=f61a45e1b92f23a16bc44b3c3d4ea668</t>
  </si>
  <si>
    <t>Quantitative, broadly applicable metrics of resilience are needed to effectively manage tidal marshes into the future. Here we quantified three metrics of temporal marsh resilience: time to marsh drowning, time to marsh tipping point, and the probability of a regime shift, defined as the conditional probability of a transition to an alternative super-optimal, suboptimal, or drowned state. We used organic matter content (loss on ignition, LOI) and peat age combined with the Coastal Wetland Equilibrium Model (CWEM) to track wetland development and resilience under different sea-level rise scenarios in the Sacramento-San Joaquin Delta (Delta) of California. A 100-year hindcast of the model showed excellent agreement (R2 = 0.96) between observed (2.86 mm/year) and predicted vertical accretion rates (2.98 mm/year) and correctly predicted a recovery in LOI (R2 = 0.76) after the California Gold Rush. Vertical accretion in the tidal freshwater marshes of the Delta is dominated by organic production. The large elevation range of the vegetation combined with high relative marsh elevation provides Delta marshes with resilience and elevation capital sufficiently great to tolerate centenary sea-level rise (CLSR) as high as 200 cm. The initial relative elevation of a marsh was a strong determinant of marsh survival time and tipping point. For a Delta marsh of average elevation, the tipping point at which vertical accretion no longer keeps up with the rate of sea-level rise is 50 years or more. Simulated, triennial additions of 6 mm of sediment via episodic atmospheric rivers increased the proportion of marshes surviving from 51% to 72% and decreased the proportion drowning from 49% to 28%. Our temporal metrics provide critical time frames for adaptively managing marshes, restoring marshes with the best chance of survival, and seizing opportunities for establishing migration corridors, which are all essential for safeguarding future habitats for sensitive species. Copyright © 2022 Morris, Drexler, Vaughn and Robinson.</t>
  </si>
  <si>
    <t>2-s2.0-85144223021"</t>
  </si>
  <si>
    <t>10.1126/science.adf8148</t>
  </si>
  <si>
    <t>https://www.scopus.com/inward/record.uri?eid=2-s2.0-85142203858&amp;doi=10.1126%2fscience.adf8148&amp;partnerID=40&amp;md5=864ef8c9677577d96ecd07cde8f15cc9</t>
  </si>
  <si>
    <t>[No abstract available]</t>
  </si>
  <si>
    <t>2-s2.0-85142203858"</t>
  </si>
  <si>
    <t>10.1002/joc.7620</t>
  </si>
  <si>
    <t>https://www.scopus.com/inward/record.uri?eid=2-s2.0-85128783554&amp;doi=10.1002%2fjoc.7620&amp;partnerID=40&amp;md5=4f48e0e6111c9808cf9709e63cab714f</t>
  </si>
  <si>
    <t>The estimation of maximum storm surges along a coast is indispensable for emergency action planning, design, and adaptation of coastal infrastructure. The existing studies on the Bay of Bengal coast have used synthetic tracks with constant track parameters such as the maximum wind speed, radius of maximum wind, and central pressure to estimate the probable maximum storm surges. However, the analysis of the best tracks from the Joint Typhoon Warning Center during 1978–2019 shows that the track parameters vary from origin to landfall locations. The reported studies along the Bay of Bengal have failed to capture such variations and overestimated probable maximum storm surges due to constant track parameters. Therefore, this study proposes a methodology for estimating wind speed of various return periods and associated track parameters that vary along a synthetic track. The wind speed of different return periods is computed at each eye location using the probabilistic approach. Thus, the calculated wind speeds vary from origin to landfall locations, and such a pattern of wind speed variation is observed to be similar to the historical cyclones. The radius of maximum wind and central pressure is calculated using the regression equations derived from historical tracks. The accuracy of the proposed methodology is investigated by simulating the cyclones Thane and Vardah that occurred along the Tamil Nadu coast. The results suggest that the varying track parameters using the proposed methodology produce realistic surge values similar to parameters from best track data, and it overcomes the overestimation of surge heights. The proposed methodology is further utilized to analyse the maximum surge scenarios along the Tamil Nadu coast resulting from various track shifts and angles of attack. The proposed methodology is expected to improve the estimation of storm surges in other basins. © 2022 Royal Meteorological Society.</t>
  </si>
  <si>
    <t>2-s2.0-85128783554"</t>
  </si>
  <si>
    <t>10.1038/s41598-022-14303-w</t>
  </si>
  <si>
    <t>https://www.scopus.com/inward/record.uri?eid=2-s2.0-85132688687&amp;doi=10.1038%2fs41598-022-14303-w&amp;partnerID=40&amp;md5=103c4674e1b6388f9fd682de52d0eb96</t>
  </si>
  <si>
    <t>Sea level rise (SLR) will increase adaptation needs along low-lying coasts worldwide. Despite centuries of experience with coastal risk, knowledge about the effectiveness and feasibility of societal adaptation on the scale required in a warmer world remains limited. This paper contrasts end-century SLR risks under two warming and two adaptation scenarios, for four coastal settlement archetypes (Urban Atoll Islands, Arctic Communities, Large Tropical Agricultural Deltas, Resource-Rich Cities). We show that adaptation will be substantially beneficial to the continued habitability of most low-lying settlements over this century, at least until the RCP8.5 median SLR level is reached. However, diverse locations worldwide will experience adaptation limits over the course of this century, indicating situations where even ambitious adaptation cannot sufficiently offset a failure to effectively mitigate greenhouse-gas emissions. © 2022, The Author(s).</t>
  </si>
  <si>
    <t>2-s2.0-85132688687"</t>
  </si>
  <si>
    <t>10.1038/s41598-022-20882-5</t>
  </si>
  <si>
    <t>https://www.scopus.com/inward/record.uri?eid=2-s2.0-85139507415&amp;doi=10.1038%2fs41598-022-20882-5&amp;partnerID=40&amp;md5=188eb8299416d713568eec15f78f02c0</t>
  </si>
  <si>
    <t>Effective measures to improve road accessibility during storms are required as traffic congestion caused by storm floods increasingly constrains the efficiency of urban commuting. However, flood impacts on urban road connectivity are not yet well assessed due to inaccurate simulation of flood processes in urban areas where high-resolution data for drainage networks and gauged hydrological data are insufficient. Thus, this study assesses flood impacts on road network connectivity in an urban area of southern China through joint modeling of 1-D hydrodynamic processes in drainage networks and 2-D flood inundation processes on roads using MIKE Urban and MIKE 21. High-resolution DEM images of 5 m and a drainage network of 5635 pipelines were used for urban hydrological simulation. Flood depths were gauged for model calibration and validation by recruited volunteers in the context of citizen science. The results show that road network connectivity decreases as rainfall increases. More than 40% of road connectivity is lost in the study area when a 1-in-100-year return period rainfall occurs. The study results can help to inform more adaptive strategies for local flood control. The study methods are also applicable to improving urban hydrological modeling in broader regions. © 2022, The Author(s).</t>
  </si>
  <si>
    <t>2-s2.0-85139507415"</t>
  </si>
  <si>
    <t>10.1029/2022JD037617</t>
  </si>
  <si>
    <t>https://www.scopus.com/inward/record.uri?eid=2-s2.0-85145218388&amp;doi=10.1029%2f2022JD037617&amp;partnerID=40&amp;md5=e4193036617e402c5901e851160d2ba6</t>
  </si>
  <si>
    <t>Hurricane storm surge represents a significant threat to coastal communities around the world. Here, we use artificial neural network (ANN) models to predict storm surge levels using hurricane characteristics along the US Gulf and East Coasts. The ANN models are trained with storm surge levels from a hydrodynamic model and physical characteristics of synthetic hurricanes which are downscaled from National Centers for Environmental Prediction (NCEP) reanalysis using a statistical-deterministic hurricane model. The ANN models are able to accurately predict storm surge levels with root-mean-square errors (RMSE) below 0.2 m and correlation coefficients &gt; 0.85. The ANN models trained with the NCEP data also show satisfactory accuracy (RMSE below 0.7 m; correlation &gt; 0.7) in predicting storm surge levels for hurricanes downscaled from future climate projections. Once trained, we use the ANN models to assess the sensitivity of storm surge levels to variations in hurricane characteristics and local geophysical features. Progressively stronger maximum wind speeds and larger outer radius sizes independently increase storm surge levels at all locations along the US East and Gulf Coasts. The response of storm surge levels to changes in hurricane translation speed, however, is found to be sensitive to coastal configuration, with increases in hurricane translation speed amplifying (reducing) storm surge levels in open ocean (semi-enclosed) regions.</t>
  </si>
  <si>
    <t>10.1007/s11111-022-00411-2</t>
  </si>
  <si>
    <t>https://www.scopus.com/inward/record.uri?eid=2-s2.0-85139721211&amp;doi=10.1007%2fs11111-022-00411-2&amp;partnerID=40&amp;md5=35ea198e6cbb1fc8d874a65b9757d31c</t>
  </si>
  <si>
    <t>Anthropogenic environmental changes are having complex effects on all aspects of the hydrological cycle. In estuarine areas, these factors are coalescing to increase saline contamination. Between 2006 and 2007, coastal Bangladesh experienced a sudden and dramatic increase in water salinity, with the saline front shifting inland by roughly 20km. We use this exceptional event to explore the impact of salinity on economic activity and agricultural production. Our results indicate that locations that experienced a sudden increase in water salinity incurred a 33% reduction in economic activity, as measured by nightlight intensity. This coincides with a decline in the cultivation of high-yielding rice varieties, which are not salt tolerant, as well as the removal of land from production. There is no robust evidence that changes in population drove these losses in economic activity. While sea level rise may be only one factor in this shift of the salinity front, our findings suggest that the future impacts of sea level rise have the potential to be quite large and may not be limited to coastline locations. © 2022, The Author(s), under exclusive licence to Springer Nature B.V.</t>
  </si>
  <si>
    <t>2-s2.0-85139721211"</t>
  </si>
  <si>
    <t>10.5194/nhess-22-3897-2022</t>
  </si>
  <si>
    <t>https://www.scopus.com/inward/record.uri?eid=2-s2.0-85145591502&amp;doi=10.5194%2fnhess-22-3897-2022&amp;partnerID=40&amp;md5=3fe532b40b2f6dc86348688055a2976f</t>
  </si>
  <si>
    <t>Sandy beaches and dune systems have high recreational and ecological value, and they offer protection against flooding during storms. At the same time, these systems are very vulnerable to storm impacts. Process-based numerical models are presently used to assess the morphological changes of dune and beach systems during storms. However, such models come with high computational costs, hindering their use in real-life applications which demand many simulations and/or involve a large spatial-temporal domain. Here we design a novel meta-model to predict dune erosion volume (DEV) at the Dutch coast, based on artificial neural networks (ANNs), trained with cases from process-based modeling. First, we reduce an initial database of 1/41400 observed sandy profiles along the Dutch coastline to 100 representative typological coastal profiles (TCPs). Next, we synthesize a set of plausible extreme storm events, which reproduces the probability distributions and statistical dependencies of offshore wave and water level records. We choose 100 of these events to simulate the dune response of the 100 TCPs using the process-based model XBeach, resulting in 10 000 cases. Using these cases as training data, we design a two-phase meta-model, comprised of a classifying ANN (which predicts the occurrence (or not) of erosion) and a regression ANN (which gives a DEV prediction). Validation against a benchmark dataset created with XBeach and a sparse set of available dune erosion observations shows high prediction skill with a skill score of 0.82. The meta-model can predict post-storm DEV 103-104 times faster (depending on the duration of the storm) than running XBeach. Hence, this model may be integrated in early warning systems or allow coastal engineers and managers to upscale storm forcing to dune response investigations to large coastal areas with relative ease. © 2022 Panagiotis Athanasiou et al.</t>
  </si>
  <si>
    <t>2-s2.0-85145591502"</t>
  </si>
  <si>
    <t>10.3390/ijgi11110568</t>
  </si>
  <si>
    <t>https://www.scopus.com/inward/record.uri?eid=2-s2.0-85149535324&amp;doi=10.3390%2fijgi11110568&amp;partnerID=40&amp;md5=77c637a04a0f9cf2ee6f48d27f419f36</t>
  </si>
  <si>
    <t>Buenaventura on the Colombian Pacific coast has experienced a wide range of threats, mainly due to the effects of coastal erosion and flooding. Globally, millions of people will experience increased vulnerability in the coming decades due to climate change. The change in the coastline (1986–2020) over time was analyzed with remote sensors and the Digital Shoreline Analysis System (DSAS) in conjunction with GIS. A total of 16 indicators were selected to quantitatively evaluate exposure, sensitivity, and adaptive capacity to construct a composite vulnerability index (COVI). The endpoint rate (EPR) of the change in the coastline was estimated. The results showed that 35% of the study area was stable, 18% of the coastline experienced erosion processes, and 47% experienced accretion. The COVI analysis revealed that coastal watersheds show great spatial heterogeneity</t>
  </si>
  <si>
    <t>10.1002/esp.5472</t>
  </si>
  <si>
    <t>https://www.scopus.com/inward/record.uri?eid=2-s2.0-85138686952&amp;doi=10.1002%2fesp.5472&amp;partnerID=40&amp;md5=e9b1a9de4120a9f472e62d5f724f23e9</t>
  </si>
  <si>
    <t>The lateral migration of river channels is an important control on the evolution of alluvial fans, deltas, and floodplains. Lateral migration consists of both gradual riverbank migration and abrupt shifts in location due to avulsions or cutoffs. Methods exist to measure bank migration, but abrupt shifts in position are rarely considered or are not emphasized. Here we describe a new method using Landsat-derived water occurrence images that primarily focuses on detecting when a channel has abruptly shifted position, either from avulsion or cutoff. The method does not assume any a priori model of channel geometry or evolution. Within a given area of interest, binary channel images created from the fluvial water occurrence record are stacked through time. Then a channel shift intensity, (Formula presented.), is created by estimating the number of possible ending times for fluvial water voxels (a point in three-dimensional space) in the stacked occurrence record. The number of possible end-times for fluvial water voxels within a given region of the occurrence record reveals the likelihood that a reach of a river underwent an abrupt channel shift during the observation period. We present the results of this analysis for a 194 481 km2 region of the Amazonian basin. Follow-up validation found three avulsions and 270 cutoffs within regions identified by this method. We show that areas above a threshold (Formula presented.) contain an avulsion or cutoff with high probability. This highlights the method's potential to detect and quantify abrupt channel shifts at the basin scale. The method also successfully distinguishes between abrupt channel movement and complex braiding behaviour. As this method is applicable to any binary water-masked time series images, future applications of this method have the potential to provide insight into the controls and spatial variance of avulsions and cutoffs across a variety of scales. © 2022 The Authors. Earth Surface Processes and Landforms published by John Wiley &amp; Sons Ltd.</t>
  </si>
  <si>
    <t>2-s2.0-85138686952"</t>
  </si>
  <si>
    <t>10.1016/j.scitotenv.2022.157603</t>
  </si>
  <si>
    <t>https://www.scopus.com/inward/record.uri?eid=2-s2.0-85138446348&amp;doi=10.1016%2fj.scitotenv.2022.157603&amp;partnerID=40&amp;md5=4b220c31f38c730a3b031af65a66d927</t>
  </si>
  <si>
    <t>In this paper we demonstrate a novel framework for assessing nature-based solutions (NBSs) in coastal zones using a new suite of numerical models that provide a virtual “replica” of the natural environment. We design experiments that use a Digital Twin strategy to establish the wave, sea level and current attenuation due to seagrass NBSs. This Digital Twin modelling framework allows us to answer “what if” scenario questions such as: (i) are indigenous seagrass meadows able to reduce the energy of storm surges, and if so how? (ii) what are the best seagrass types and their landscaping for optimal wave and current attenuation? An important result of the study is to show that the landscaping of seagrasses is an important design choice and that seagrass does not directly attenuate the sea level but the current amplitudes. This framework reveals the link between seagrass NBS and the components of the disruptive potential of storm surges (waves and sea level) and opens up new avenues for future studies. © 2022</t>
  </si>
  <si>
    <t>2-s2.0-85138446348"</t>
  </si>
  <si>
    <t>10.1007/s11852-022-00909-9</t>
  </si>
  <si>
    <t>https://www.scopus.com/inward/record.uri?eid=2-s2.0-85142386923&amp;doi=10.1007%2fs11852-022-00909-9&amp;partnerID=40&amp;md5=0eeef0ad0e2f309197d7d581e3cc83fc</t>
  </si>
  <si>
    <t>Due to climate change, coastal areas are becoming increasingly susceptible to more frequent and severe environmental catastrophes that endanger the health, safety, and way of life of coastal dwellers. Understanding the social perceptions of risk and hazard-related concerns can help in the development of adaptive capacity and associated management strategy preferences. This study employed structured questionnaires to obtain basic information on how the households of the Anlo Beach fishing community in the Western region of Ghana perceived and responded to coastal hazards. The respondents ranked coastal erosion and salinization first and second, ahead of seawater flooding and other hazards in terms of important risks in the study area. Responses illustrated high levels of knowledge and awareness about coastal hazards but low levels of trust in government and commitments in terms of taking personal mitigation measures. To varying degrees, respondent characteristics such as length of residency and occupancy status are positively and significantly associated with coastal hazard perception whereas the level of education was negative. Generally, the findings illustrated the need for better education and awareness campaigns about self-mitigation actions such as discontinuing beach sand utilization and exploiting mangroves as firewood, and embracing the restoration of mangrove ecosystems. More importantly, the government should reconsider her earlier shelved plan of relocating the entire community to a safer location. © 2022, The Author(s), under exclusive licence to Springer Nature B.V.</t>
  </si>
  <si>
    <t>2-s2.0-85142386923"</t>
  </si>
  <si>
    <t>10.1016/j.ecoleng.2022.106813</t>
  </si>
  <si>
    <t>https://www.scopus.com/inward/record.uri?eid=2-s2.0-85140797384&amp;doi=10.1016%2fj.ecoleng.2022.106813&amp;partnerID=40&amp;md5=f54cbd7811f53a578560e5c2745684a5</t>
  </si>
  <si>
    <t>Coastal wetlands are an effective natural and nature-based feature to mitigate coastal flood hazards. While the sheltering and attenuation offered by wetlands are recognized, the protection level varies based on wetland and storm characteristics. Here we focus on the effects of the spatial scales of the coastal wetlands (i.e., channel geometry, marsh elevation-gradient) and the temporal scales of storm forcing (i.e., storm surge amplitude and duration) on peak water level attenuation. The study was conducted by performing hydrodynamic simulations on an idealized marsh geometry. One hundred seventy-one hydrodynamic simulations were conducted by varying wetland features under variable hydrodynamic forcing. Increased tidal channel area enhances water flow across marshes by reducing the capacity of vegetated platforms to resist propagation of a storm surge. The level of surge attenuation and channel area shows a non-linear relationship. Storm scales also affect surge attenuation for a given channel geometry. Higher amplitudes and lower surge durations provide greater attenuation of peak water levels. The level of attenuation and surge scales also show a non-linear correlation. A multivariate scaling relationship was developed that successfully integrates the combined effects of channel geometry and surge scales on water level attenuation by salt marsh. This research provides guidance to engineers and coastal managers on salt marsh's flood hazard reduction benefits. © 2022 Elsevier B.V.</t>
  </si>
  <si>
    <t>2-s2.0-85140797384"</t>
  </si>
  <si>
    <t>10.1007/s12145-022-00852-1</t>
  </si>
  <si>
    <t>https://www.scopus.com/inward/record.uri?eid=2-s2.0-85135607050&amp;doi=10.1007%2fs12145-022-00852-1&amp;partnerID=40&amp;md5=c0ab7c2b5f6248b82d493a01a9044ebc</t>
  </si>
  <si>
    <t>In natural hazard modeling, underestimation is not acceptable, since it will produce unreliable and inadequate information for decision makers to work on during hazard mitigation planning. Including tsunami inundation modeling, result of the natural hazard models is highly sensitive to the accuracy of input data. High resolution elevation data, such as light detection and ranging (LiDAR) Digital Elevation Models (DEMs) can provide modeling results that are closer to the reality. However, gathering such high-resolution datasets is expensive, time consuming and is usually not open to public access. Moreover, required computational time with those high-resolution datasets is significantly long. Therefore, open-source DEMs such as, Advanced Land Observing Satellite (ALOS) World 3D (AW3D30), Advanced Spaceborne Thermal Emission and Reflection Radiometer Global Digital Elevation Model (ASTER GDEM) and Shuttle Radar Topography Mission (SRTM) are usually the first preferred data sets. This study aims to analyse the performances of AW3D30, ASTER GDEM, and SRTM for tsunami modeling by comparing them with high-resolution LiDAR DEM tsunami modeling results. For the selected test site of this study, among these three open-source DEMs, tsunami simulations performed with ASTER GDEM exhibits an underestimated coverage of tsunami inundation areas and the maximum flow depth values in those areas and should not be preferred. Whereas, the comparisons of the simulation results using SRTM and AW3D30 as input DEMs revealed that, inundated areas are not less than the LiDAR reference and their error is lower at land use based flow depth analysis. Therefore, AW3D30 and SRTM can be accepted to use in tsunami modeling for the test site of this study considering their limited accuracy and low resolutions, when there is no available higher resolution data with good accuracy or if a rapid hazard assessment is required. However, it should be noted that open-source DEMs may have substantial errors or inadequacy on other coastal areas with different settings. Therefore, it is advised to be cautious in the usage of open-source DEMs in tsunami inundation modeling. © 2022, The Author(s), under exclusive licence to Springer-Verlag GmbH Germany, part of Springer Nature.</t>
  </si>
  <si>
    <t>2-s2.0-85135607050"</t>
  </si>
  <si>
    <t>10.3390/atmos13111914</t>
  </si>
  <si>
    <t>https://www.scopus.com/inward/record.uri?eid=2-s2.0-85146599777&amp;doi=10.3390%2fatmos13111914&amp;partnerID=40&amp;md5=4cca82c235e5d1d3e2f4f8249f017db4</t>
  </si>
  <si>
    <t>In this study, the wave conditions in the Arabian Sea induced by tropical cyclone Kyarr (2019) have been simulated by employing the 3rd generation wave model MIKE 21 SW. The model was run from 24 October to 1 November 2019, a total of 8 days. The MIKE 21 SW model was forced by reanalyzed ERA5 wind data from the European Centre for Medium-Range Weather Forecasts (ECMWF). The results are compared with buoy data from the Indian National Centre for Ocean Information Services (INCOIS), which is located at 67.44° E, 18.50° N. In addition, the satellite altimeter data (CryoSat-2, SARAL and Jason-3 satellite altimeter data) was utilized for validation. Three wave parameters are considered for the validation: the significant wave height</t>
  </si>
  <si>
    <t>Basin Research</t>
  </si>
  <si>
    <t>10.1111/bre.12687</t>
  </si>
  <si>
    <t>https://www.scopus.com/inward/record.uri?eid=2-s2.0-85133501714&amp;doi=10.1111%2fbre.12687&amp;partnerID=40&amp;md5=36d5c7e42d4f855bfd488ec69803b795</t>
  </si>
  <si>
    <t>Tectonic and paleo-environmental reconstructions of rift evolution typically rely on the interpretation of sedimentary sequences, but this is rarely possible in early-stage rifts where sediment volumes are low. To overcome this challenge, we use geomorphology to investigate landscape evolution and the role of different forcing mechanisms during basin development. Here, we focus on the humid Middle Shire River basin, located within the zone of progressive interaction and linkage between the southern Malawi Rift and Shire Rift Zone, East Africa. We used a digital elevation model to map knickpoints and knickpoint morphologies in the Middle Shire River basin and examined the relationships with pre-rift and syn-rift structures within the rift interaction zone. The main axial stream, Shire River, descends steeply, 372 m over a 50 km distance, across exposed metamorphic basement along the rift floor, exhibiting a strongly disequilibrated longitudinal elevation profile with both ‘mobile’ and ‘fixed’ knickpoints. In particular, we identify two clusters of mobile knickpoints, which we interpret as associated with baselevel fall events at the downstream end of the exposed basement that triggered knickpoint migration through the fluvial network since at least the Mid. Pleistocene. We infer that after the integration of the axial stream across the Middle Shire Basin, the knickpoints migrate upstream in response to fault-related subsidence in the Shire Rift Zone. Conversely, the fixed knickpoints are interpreted to reflect local differential bedrock erodibility at lithologic contacts or basement-hosted fault scarps along the basin floor. The results suggest that Middle Shire basin opening, associated with rift linkage, is likely a recent event (at least Mid. Pleistocene) relative to the Late Oligocene activation of Cenozoic rifting in the East African Rift's Western Branch. These findings support the hypothesis that the Western Branch developed from the gradual propagation, linkage and coalescence of initially nucleated distinct rift basins. © 2022 International Association of Sedimentologists and European Association of Geoscientists and Engineers and John Wiley &amp; Sons Ltd.</t>
  </si>
  <si>
    <t>2-s2.0-85133501714"</t>
  </si>
  <si>
    <t>10.1029/2021EF002584</t>
  </si>
  <si>
    <t>https://www.scopus.com/inward/record.uri?eid=2-s2.0-85145098310&amp;doi=10.1029%2f2021EF002584&amp;partnerID=40&amp;md5=b67facf74ad5a164d8b7c14a4132c797</t>
  </si>
  <si>
    <t>Global coastal flood exposure (population and assets) has been growing since the beginning of the industrial age and is likely to continue to grow through 21st century. Three main drivers are responsible: (a) climate-related mean sea-level change, (b) vertical land movement contributing to relative sea-level rise, and (c) socio-economic development. This paper attributes growing coastal exposure and flood risk from 1860 to 2100 to these three drivers. For historic flood exposure (1860–2005) we find that the roughly six-fold increase in population exposure and 53-fold increase in asset exposure are almost completely explained by socio-economic development (&gt;97% for population and &gt;99% for assets). For future exposure (2005–2100), assuming a middle-of-the-road regionalized socio-economic scenario (SSP2) without coastal migration and sea-level rise according to RCP2.6 and RCP6.0, climate-change induced sea-level rise will become the most important driver for the growth in population exposure, while growth in asset exposure will still be mainly determined by socio-economic development. © 2022. The Authors.</t>
  </si>
  <si>
    <t>2-s2.0-85145098310"</t>
  </si>
  <si>
    <t>10.1038/s41598-022-15683-9</t>
  </si>
  <si>
    <t>https://www.scopus.com/inward/record.uri?eid=2-s2.0-85133530375&amp;doi=10.1038%2fs41598-022-15683-9&amp;partnerID=40&amp;md5=e51e007df082388507323ab7d8ae7c36</t>
  </si>
  <si>
    <t>Several studies investigated the dynamics of coastal areas, investigating some issues such as sea-level rise, floods, and water scarcity. Despite existing studies discussing coastal areas, there are limited studies investigating Asian coastal areas and their proposed solutions may not overcome extreme events. This study investigates the dynamics of the Pekalongan coastal area, Central Java, Indonesia. Despite efforts such as the development of dikes and groundwater pumping, people in Pekalongan have currently experienced more frequent floods and land subsidence that have led to larger inundated areas and people migration. Using the system archetypes, this study shows that the coastal area consists of renowned nexus elements (water, land, and food) and less recognized nexus elements (health and wellbeing). This means that changes in one nexus element may threaten other nexus elements, exacerbating problems in the observed system. For instance, unsustainable nexus actions such as overexploited groundwater tend to increase flooded areas, threatening people health, and inducing people migration. The system archetypes also show that the coastal area consists of Limits to Growth structures. As such, growth engines such as land-use change and groundwater pumping should be managed or restricted properly. Managing growth engines can prevent us from natural disasters such as floods and water scarcity. Likewise, as the system archetypes describe generic patterns and solutions, some findings of this study can be useful for the other coastal areas. © 2022, The Author(s).</t>
  </si>
  <si>
    <t>2-s2.0-85133530375"</t>
  </si>
  <si>
    <t>10.1186/s40623-022-01579-5</t>
  </si>
  <si>
    <t>https://www.scopus.com/inward/record.uri?eid=2-s2.0-85123473370&amp;doi=10.1186%2fs40623-022-01579-5&amp;partnerID=40&amp;md5=79e1575d6b8ba1654876bfd400b9e280</t>
  </si>
  <si>
    <t>For Japanese coastal communities along the Japan Sea, where the risk of earthquake-induced tsunamis is deemed lower than that along the Pacific Ocean, tsunami disaster mitigation strategies have not been sufficiently developed. This study estimated the tsunami inundation characteristics for three major Japanese coastal cities along the Japan Sea. Based on tsunami simulations for representative coastal areas, we aimed to identify common vulnerabilities, which included those suggested by previous studies and local governments, to develop disaster mitigation strategies. Comprehensive simulations for tsunami propagation and inundation were performed for coastal areas in Akita City, Sakata City, and Niigata City based on earthquake and tsunami source scenarios developed by the Japanese Government for the Japan Sea area. To demonstrate the effectiveness of the estimated inundation characteristics, tsunami inundation was simulated for each coastal area under varying tsunami source conditions (including excessive tsunami magnitude) with a high resolution of the topography and infrastructure. Natural sand dunes, ports with man-made breakwaters, and rivers with levees are typical topographical features found in urbanized and densely populated areas along the Japan Sea coastline. According to the simulated results, the dunes and port breakwaters contribute significantly to decreasing the total amount of tsunami inundation for the areas behind them. However, the presence of the breakwaters also increases the tsunami heights in the areas immediately beyond the ports. Additionally, even the areas protected by the dunes might be exposed to an inundation risk in which the tsunamis invade a river channel, causing it to overflow. These findings were common to the coastal areas, and could be generally applicable to tsunami inundation for all coastal areas along the Japan Sea. Based on these results, the enhancement of existing infrastructure such as breakwaters and river levees should be the priority measure within tsunami risk-mitigation strategies</t>
  </si>
  <si>
    <t>10.1016/j.catena.2022.106623</t>
  </si>
  <si>
    <t>https://www.scopus.com/inward/record.uri?eid=2-s2.0-85138051696&amp;doi=10.1016%2fj.catena.2022.106623&amp;partnerID=40&amp;md5=1f893d17b393a52bb9c4c5eefafaaa1e</t>
  </si>
  <si>
    <t>River flooding triggered by extreme rainfall events is a major natural hazard that frequently causes fatalities and damages in southeastern France. A 2000-year record of flooding from the Hérault River basin was reconstructed using magnetic susceptibility data from lagoon deposits, supported by documentary databases of floods in coastal river basins from Languedoc over the last centuries. Flooding was particularly important between 800 and 1350 cal CE, i.e. during the warm climatic conditions of the Medieval Climate Anomaly. Moreover, several periods of increased flooding occurred in the 2nd, 6th-7th, 16th, 18th and 20th centuries. Increased flooding was significantly correlated with higher air temperature in the northwestern Mediterranean and with higher sea surface temperature in the Gulf of Lions. The analysis of relationships between river flooding and atmospheric conditions shows that autumn flood events in Languedoc were generally more frequent during the positive phase of the East Atlantic pattern, which is associated with southerly to southeasterly winds in the Gulf of Lions. Besides, increased flooding could also have been controlled by forest decline and human activities after 500 cal CE. Between 1400 and 1800 cal CE, palaeobotanical data show an intensification of land use characterized by an expansion of grasslands and cultivated areas in the coastal lowlands east of the Hérault River. Forest clearings and the development of agriculture seem to have led to a relative increase in river flooding, especially in the late Middle Ages and early modern period. © 2022 Elsevier B.V.</t>
  </si>
  <si>
    <t>2-s2.0-85138051696"</t>
  </si>
  <si>
    <t>10.1007/s11069-022-05533-2</t>
  </si>
  <si>
    <t>https://www.scopus.com/inward/record.uri?eid=2-s2.0-85135560962&amp;doi=10.1007%2fs11069-022-05533-2&amp;partnerID=40&amp;md5=92482d3b4e6dd1f62f9bb4d6c261a0f7</t>
  </si>
  <si>
    <t>Many bays worldwide are susceptible to coastal hazards such as storm surges, river floods, and tsunamis. Because most previous studies have focused on one or two of the above-mentioned hazards, in this study, we assess coastal vulnerability based on all three hazards. To accommodate the increase in the number of cases in multihazard analysis, an efficient method based on an estimated overflow volume without computing for inundation is proposed. Subsequently, the method is validated via a comparison with inundation simulation. It is shown that when the free overflow is dominant, the result yielded by the method is consistent with that of the inundation simulation. Using Tokyo Bay as the study area, an efficient method is applied to multihazard vulnerability assessment. By comparing the overflow volume maps and maximum anomaly distribution along the coast for four types of hazards, we investigate the characteristics of different types of hazards and identify the differences between single and multiple hazards. Furthermore, we compare the differences between superposing and concurrent computation methods for multiple hazards. It is discovered that the linear superposing method tends to overestimate the total water elevation in coastal regions</t>
  </si>
  <si>
    <t>10.2112/JCOASTRES-D-22-00034.1</t>
  </si>
  <si>
    <t>https://www.scopus.com/inward/record.uri?eid=2-s2.0-85146905161&amp;doi=10.2112%2fJCOASTRES-D-22-00034.1&amp;partnerID=40&amp;md5=81cde20c81c71667e2f13b86fa74783f</t>
  </si>
  <si>
    <t>McNamara, G. and Vieira da Silva, G., 2023. The coastline paradox: A new perspective. Journal of Coastal Research, 39(1), 45-54. Charlotte (North Carolina), ISSN 0749-0208. The coastline paradox, which suggests that coastlines have indefinite lengths, is a widespread and misleading concept that has endured in scientific literature for over 50 years. This paper argues that the length of a coastline is real and finite. The measurement of coastlines allows for the quantification of coastline dynamics and engineering responses to these changes. The real difficulties in measuring sometimes complex coastal shapes have taken the appearance of an unreal impossibility. The paradox is resolved using three methods. The first examines definitions used to establish the features to which ""coastline""refers. The second applies these definitions to the measurement of real coastlines. Finally, a geometrical analysis is carried out to resolve the paradox mathematically. The purpose of this paper is to help resolve the paradox and reduce confusion surrounding the topic, which will be of direct use for coastal communities and planners to assess and respond to coastline changes and sea-level rise.  © 2023 Coastal Education and Research Foundation, Inc.</t>
  </si>
  <si>
    <t>2-s2.0-85146905161"</t>
  </si>
  <si>
    <t>10.3390/rs14235957</t>
  </si>
  <si>
    <t>https://www.scopus.com/inward/record.uri?eid=2-s2.0-85143824989&amp;doi=10.3390%2frs14235957&amp;partnerID=40&amp;md5=0670c8d0353e0ca2d5c82439b0469265</t>
  </si>
  <si>
    <t>Climate warming-induced glacier recession has resulted in the development and rapid expansion of glacial lakes in the Himalayan region. The increased melting has enhanced the susceptibility for Glacial Lake Outburst Floods (GLOFs) in the region. The catastrophic failure of potentially dangerous glacial lakes could be detrimental to human life and infrastructure in the adjacent low-lying areas. This study attempts to assess the GLOF hazard of Gangabal lake, located in the Upper Jhelum basin of Kashmir Himalaya, using the combined approaches of remote sensing, GIS, and dam break modeling. The parameters, such as area change, ice thickness, mass balance, and surface velocity of the Harmukh glacier, which feeds Gangabal lake, were also assessed using multitemporal satellite data, GlabTop-2, and the Cosi–Corr model. In the worst-case scenario, 100% volume (73 × 106 m3) of water was considered to be released from the lake with a breach formation time (bf) of 40 min, breach width (bw) of 60 m, and producing peak discharge of 16,601.03 m3/s. Our results reveal that the lake area has increased from 1.42 km2 in 1972 to 1.46 km2 in 1981, 1.58 km2 in 1992, 1.61 km2 in 2001, 1.64 km2 in 2010, and 1.66 km2 in 2020. The lake area experienced 17 ± 2% growth from 1972 to 2020 at an annual rate of 0.005 km2. The feeding glacier (Harmukh) contrarily indicated a significant area loss of 0.7 ± 0.03 km2 from 1990 (3.36 km2) to 2020 (2.9 km2). The glacier has a maximum, minimum, and average depth of 85, 7.3, and 23.46 m, respectively. In contrast, the average velocity was estimated to be 3.2 m/yr with a maximum of 7 m/yr. The results obtained from DEM differencing show an average ice thickness loss of 11.04 ± 4.8 m for Harmukh glacier at the rate of 0.92 ± 0.40 m/yr between 2000 and 2012. Assessment of GLOF propagation in the worst-case scenario (scenario-1) revealed that the maximum flood depth varies between 3.87 and 68 m, the maximum flow velocity between 4 and 75 m/s, and the maximum water surface elevation varies between 1548 and 3536 m. The resultant flood wave in the worst-case scenario will reach the nearest location (Naranaag temple) within 90 min after breach initiation with a maximum discharge of 12,896.52 m3 s−1 and maximum flood depth and velocity of 10.54 m and 10.05 m/s, respectively. After evaluation of GLOF impacts on surrounding areas, the area under each inundated landuse class was estimated through the LULC map generated for both scenarios 1 and 2. In scenario 1, the total potentially inundated area was estimated as 5.3 km2, which is somewhat larger than 3.46 km2 in scenario 2. We suggest a location-specific comprehensive investigation of Gangbal lake and Harmukh glacier by applying the advanced hazard and risk assessment models/methods for better predicting a probable future GLOF event. © 2022 by the authors.</t>
  </si>
  <si>
    <t>2-s2.0-85143824989"</t>
  </si>
  <si>
    <t>10.3390/rs14235990</t>
  </si>
  <si>
    <t>https://www.scopus.com/inward/record.uri?eid=2-s2.0-85143816695&amp;doi=10.3390%2frs14235990&amp;partnerID=40&amp;md5=8d39549b270ba2b6b7e620ae60f64c35</t>
  </si>
  <si>
    <t>Automatically detecting the wet/dry shoreline from remote sensing imagery has many benefits for beach management in coastal areas by enabling managers to take measures to protect wildlife during high water events. This paper proposes the use of a modified HED (Holistically-Nested Edge Detection) architecture to create a model for automatic feature identification of the wet/dry shoreline and to compute its elevation from the associated DSM (Digital Surface Model). The model is generalizable to several beaches in Texas and Florida. The data from the multiple beaches was collected using UAS (Uncrewed Aircraft Systems). UAS allow for the collection of high-resolution imagery and the creation of the DSMs that are essential for computing the elevations of the wet/dry shorelines. Another advantage of using UAS is the flexibility to choose locations and metocean conditions, allowing to collect a varied dataset necessary to calibrate a general model. To evaluate the performance and the generalization of the AI model, we trained the model on data from eight flights over four locations, tested it on the data from a ninth flight, and repeated it for all possible combinations. The AP and F1-Scores obtained show the success of the model’s prediction for the majority of cases, but the limitations of a pure computer vision assessment are discussed in the context of this coastal application. The method was also assessed more directly, where the average elevations of the labeled and AI predicted wet/dry shorelines were compared. The absolute differences between the two elevations were, on average, 2.1 cm, while the absolute difference of the elevations’ standard deviations for each wet/dry shoreline was 2.2 cm. The proposed method results in a generalizable model able to delineate the wet/dry shoreline in beach imagery for multiple flights at several locations in Texas and Florida and for a range of metocean conditions. © 2022 by the authors.</t>
  </si>
  <si>
    <t>2-s2.0-85143816695"</t>
  </si>
  <si>
    <t>10.1016/j.nbsj.2022.100022</t>
  </si>
  <si>
    <t>https://www.scopus.com/inward/record.uri?eid=2-s2.0-85149529585&amp;doi=10.1016%2fj.nbsj.2022.100022&amp;partnerID=40&amp;md5=da530e5af083e5f5bd80fadba5a7bc74</t>
  </si>
  <si>
    <t>Dikes are the conventional means of flood defence along rivers and estuaries. However, dikes gradually lead to the superelevation of waterbodies compared to the subsiding embanked areas, resulting in a rapidly increasing unstable situation under sea-level rise. Therefore, future flood management requires new, sustainable strategies that not only minimise flood risk, but also steer land-level rise. An example is a transitional polder, where a dike-protected area is temporarily reopened to the tide to capture sediment until it has risen well above mean sea-level, after which it could be returned to its original function. This study explores how the sequence of opening transitional polders affects sediment capture and large-scale estuary dynamics through 2D modelling in Delft3D. To this end, different opening sequences were tested along a large estuary, using the Western Scheldt (NL) as an example. Findings show land-level rise in all permutations. However, polders opened later in an opening sequence temporarily experience a lag in muddy sediment capture, most likely due to a deficit in fines. Opening more upstream located polders alone or at the start of an opening sequence generally causes a stronger reduction in mean tidal range than opening more downstream located polders. This is explained by increased friction due to (1) locally added intertidal width and (2) shallowing of the main channels because of increased flood dominance. An upstream-to-downstream opening sequence caused the greatest reduction in mean tidal range, but this is negligible compared to the increase in tidal range due to historic dredging within the estuary for navigational purposes. Further work is needed to determine how dredging, closure of transitional polders and storm surges may negate this benefit to flood safety. © 2022 The Author(s)</t>
  </si>
  <si>
    <t>2-s2.0-85149529585"</t>
  </si>
  <si>
    <t>Journal of Oceanography</t>
  </si>
  <si>
    <t>10.1007/s10872-022-00655-4</t>
  </si>
  <si>
    <t>https://www.scopus.com/inward/record.uri?eid=2-s2.0-85141662666&amp;doi=10.1007%2fs10872-022-00655-4&amp;partnerID=40&amp;md5=8ee1498c8f0f69e129cf26a9ed214d3a</t>
  </si>
  <si>
    <t>Unusually high sea level (UHSL) in early September 1971, which caused coastal flooding around the southern coasts of Japan despite no severe weather conditions, is examined using a coastal assimilation system with 2-km resolution. The observed duration of high sea-level anomalies (SLAs) for the UHSL was successfully represented by assimilation results. Through sensitivity experiments, we investigated the contribution of two factors, the wind and the Kuroshio effects, as suggested by previous research. The northeasterly winds associated with Typhoon 7123 induced coastal-trapped waves (CTWs) along the Kashima-nada Sea. The CTWs propagated clockwise along the coast at a speed of about 2.3 m/s and caused the sea level to increase by about 15 cm in Sagami and Tokyo Bays. A cold eddy associated with a Kuroshio meander was formed, and as a result, the warm Kuroshio water intruded into the Enshu-nada Sea due to the northward flow in the eastern flank of the eddy. The warm water intrusion significantly contributed to the duration of SLAs of about 30 cm around the Enshu-nada and Kumano-nada Seas. It was also shown that the high SLAs for the UHSL were quantitatively explained by the sum of the two factors. Thus, we conclude that the UHSL event was caused by the superposition of the wind-induced CTWs and the Kuroshio-induced warm water intrusions. © 2022, The Author(s), under exclusive licence to The Oceanographic Society of Japan.</t>
  </si>
  <si>
    <t>2-s2.0-85141662666"</t>
  </si>
  <si>
    <t>10.1007/s11852-022-00894-z</t>
  </si>
  <si>
    <t>https://www.scopus.com/inward/record.uri?eid=2-s2.0-85140621000&amp;doi=10.1007%2fs11852-022-00894-z&amp;partnerID=40&amp;md5=2581d0c4b783a20a439cfb14f1fdf0f3</t>
  </si>
  <si>
    <t>The Mahin mud coast of Nigeria, West Africa, has experienced fluctuations in coastline changes over decades, with retreat being the dominant process along the coast. Aside from the geotechnical characteristics of the terrain, placing it vulnerable to sediment loss from the impact of ocean waves, steady sea level rise is also responsible for its recession and accretion at different locations. Because of the severe retreat and repetitive flooding cases reported in the area, this study investigated the hydrodynamics nearshore and under some potential sea levels. The coast was divided into three sectors. A numerical model was set up using MIKE 21/3 coupled (hydrodynamic and spectral wave) model to present the area’s first sea level assessment and prediction simulations. Results revealed that the central sector has the highest water levels and ranges during the simulated period and the highest water levels after sea level rise projections. In addition, the rate of increase in sea level is highest in the western and eastern sectors, respectively, where they closely border the central sector. Nevertheless, the coast’s elevation and slope analysis indicated that the eastern sector is the most vulnerable to sea level rise. The study presents details of factors that influence the region’s morphology and amplify the risks of its hydrodynamic processes, particularly during the spring tide. Hence, this study captures the events along the coast in order to point out the areas of future risk. © 2022, The Author(s), under exclusive licence to Springer Nature B.V.</t>
  </si>
  <si>
    <t>2-s2.0-85140621000"</t>
  </si>
  <si>
    <t>10.1038/s41598-022-12122-7</t>
  </si>
  <si>
    <t>https://www.scopus.com/inward/record.uri?eid=2-s2.0-85130102093&amp;doi=10.1038%2fs41598-022-12122-7&amp;partnerID=40&amp;md5=a1397320aca37618ca809844f968b07b</t>
  </si>
  <si>
    <t>Reliable predictions of future inundation extent within estuaries require a precise evaluation of future extreme sea levels and the application of accurate numerical models that account for the physical processes driving estuarine hydrodynamics. In this study, a methodology that integrates the estimation of local extreme sea levels with high-resolution numerical modeling was applied to assess the future inundation extent in five estuarine systems located on the Portuguese Coast. The main findings obtained were compared with available results from the popular bathtub approach, that disregards the physical processes driving estuarine hydrodynamics and therefore provide imprecise predictions of inundation extent and associated socio-economic impacts. The inundation extent is revealed to be highly dependent on the extreme sea levels and on the estuarine geomorphology, which controls the propagating long-wave. As the long-wave height is highly attenuated within estuaries that have adjacent low-lying areas, restricted inlets, or extensive tidal flats, the results of this study revealed that the extent of inundation is considerably smaller than that obtained by the bathtub approach. The uncertainties associated with mean sea level rise and the estuarine geomorphological evolution constitute the greatest difficulty in assessing the extent of flooding, posing major challenges to the efficient and sustainable management of estuaries. © 2022, The Author(s).</t>
  </si>
  <si>
    <t>2-s2.0-85130102093"</t>
  </si>
  <si>
    <t>10.1016/j.quaint.2021.12.008</t>
  </si>
  <si>
    <t>https://www.scopus.com/inward/record.uri?eid=2-s2.0-85121322342&amp;doi=10.1016%2fj.quaint.2021.12.008&amp;partnerID=40&amp;md5=cb8b6272664b4233e045baba283e3744</t>
  </si>
  <si>
    <t>Important evidence related to sea-level fluctuation, human evolution and dispersal that took place onshore during the Late Pleistocene and Holocene eras, are currently found underwater due to the sea-level rise. In this study, we present submarine relative paleo sea-level indicators found offshore the Lebanese coastline, at large from the prominent ancient city of Byblos. Two different submarine erosional terrace sequences were identified at depths ranging from −40 to −25m (“distant” sequence) and −11 to 0m (“nearshore” sequence) below present sea level, by using a combination of high-resolution geophysical means and terrain data analysis techniques. In the absence of datings, a model that uses relative sea-level curves for different uplift rates and examines the terraces' formation for various cliff retreat rates (derived from literature and on-field GPS measurements) was built. This model indicates the most possible time frames of the submarine terraces’ (STs) formation. The “nearshore” terrace sequence is suggested to have originally been formed during Marine Isotope Stage 5a (MIS5a) sea-level highstand, while it was possibly re-flattened during the first MIS1 sea-level slowdown (8–6 ka BP). The “distant” sequence formation is placed between the MIS4 to MIS3 transition (∼62–50 ka BP), and during MIS3 sea-level highstands within 45–35 ka BP. It was also found that a long-term uplift rate of 0.28–0.37 mm/a and cliff retreat rate of 0.03–0.09 m/a best fit our data and existing onshore relative sea-level indicators. The formation of the STs at this time was further supported by chronologically intercurrent uplifting events that facilitated their formation and preservation. Finally, our model supports recent ice-sheet reconstructions related to higher MIS3 values since sea-level curves that were tested for this scenario (eustatically reaching up to −37/−38m depth), proved more successful in the formation of the “distant” sequence. © 2021 Elsevier Ltd and INQUA</t>
  </si>
  <si>
    <t>2-s2.0-85121322342"</t>
  </si>
  <si>
    <t>10.3389/frwa.2022.1058883</t>
  </si>
  <si>
    <t>https://www.scopus.com/inward/record.uri?eid=2-s2.0-85143749516&amp;doi=10.3389%2ffrwa.2022.1058883&amp;partnerID=40&amp;md5=86f11bb2f5cb09dc4dacf8b6d38c9cba</t>
  </si>
  <si>
    <t>Introduction: This paper explores the scalability of PCSWMM's Low Impact Development (LID) modeling tools within the urban stormwater computer model. Methods: The scalability is assessed for a variety of spatial and temporal scales and for event (50-year return storm) and continuous inputs (daily rainfall for an 11 month period), and with a focus on bioretention cells. The model is calibrated for a moderate to large scale, semi-urban watershed on Vancouver Island, British Columbia, Canada. Sensitivity analysis and specialized metrics are used to verify internal model processes at a variety of scales. Results: With regard to spatial scaling, changes in flow path length and slope derived from Digital Elevation Models were the most impactful spatial information when modeling flood event and the model's surface layer was the dominant contributor to peak flowrate and volume mitigation by the bioretention cell. However, when modeling the continuous rainfall inputs, storage layer related parameters dominated model outputs. Aside from the soil layer's depth, soil layer parameters such as hydraulic conductivity, showed negligible influence on response to time series rainfall. Parameters that are kept static by the model such as vegetation cover, hydraulic conductivity and storage void ratio (but are naturally dynamic), were tested for their impact on response if allowed to change seasonally or with excessive loading. Runoff coefficients were greatly impacted by storage layer parameter dynamics with very little impact from vegetation. For event simulations, the berm height in the surface layer was the dominant player in reducing peak flow as well as total volume. An analysis to help illustrate sensitivity across spatial scales is proposed. Discussion: The Spatial Dynamic Sensitivity Analysis shows that parameter sensitivity changes dynamically as LID implementation percentage changes. In particular, the clogging factor, which is a parameter associated with the storage layer, was highly influential for time series rainfall analysis. The LID model concepts in PCSWM seem appropriate for events because the surface layer dominates the response for very large storms. For smaller storms, continuous time series, and larger spatial scales, the model could be revised to better represent soil layer dynamics and vegetation cover, which were both currently inconsequential to the model's output. Copyright © 2022 Zhang and Valeo.</t>
  </si>
  <si>
    <t>2-s2.0-85143749516"</t>
  </si>
  <si>
    <t>10.1038/s41598-022-12038-2</t>
  </si>
  <si>
    <t>https://www.scopus.com/inward/record.uri?eid=2-s2.0-85130234035&amp;doi=10.1038%2fs41598-022-12038-2&amp;partnerID=40&amp;md5=d4807b010853f0733cdb229df220e0c5</t>
  </si>
  <si>
    <t>Wave-induced inundation in coastal zones is a serious problem for residents. Accurate prediction of wave run-up height is a complex phenomenon in coastal engineering. In this study, several machine learning (ML) models are developed to simulate wave run-up height. The developed methods are based on optimization techniques employing the group method of data handling (GMDH). The invasive weed optimization (IWO), firefly algorithm (FA), teaching–learning-based optimization (TLBO), harmony search (HS), and differential evolution (DE) meta-heuristic optimization algorithms are embedded with the GMDH to yield better feasible optimization. Preliminary results indicate that the developed ML models are robust tools for modeling the wave run-up height. All ML models’ accuracies are higher than empirical relations. The obtained results show that employing heuristic methods enhances the accuracy of the standard GMDH model. As such, the FA, IWO, DE, TLBO, and HS improve the RMSE criterion of the standard GMDH by the rate of 47.5%, 44.7%, 24.1%, 41.1%, and 34.3%, respectively. The GMDH-FA and GMDH-IWO are recommended for applications in coastal engineering. © 2022, The Author(s).</t>
  </si>
  <si>
    <t>2-s2.0-85130234035"</t>
  </si>
  <si>
    <t>10.1029/2022EF003061</t>
  </si>
  <si>
    <t>https://www.scopus.com/inward/record.uri?eid=2-s2.0-85145228742&amp;doi=10.1029%2f2022EF003061&amp;partnerID=40&amp;md5=adbdb50822f3889d6719fb1cc3d37afb</t>
  </si>
  <si>
    <t>Sea-level rise and associated flood hazards pose severe risks to the millions of people globally living in coastal zones. Models representing coastal adaptation and impacts are important tools to inform the design of strategies to manage these risks. Representing the often deep uncertainties influencing these risks poses nontrivial challenges. A common uncertainty characterization approach is to use a few benchmark cases to represent the range and relative probabilities of the set of possible outcomes. This has been done in coastal adaptation studies, for example, by using low, moderate, and high percentiles of an input of interest, like sea-level changes. A key consideration is how this simplified characterization of uncertainty influences the distributions of estimated coastal impacts. Here, we show that using only a few benchmark percentiles to represent uncertainty in future sea-level change can lead to overconfident projections and underestimate high-end risks as compared to using full ensembles for sea-level change and socioeconomic parametric uncertainties. When uncertainty in future sea level is characterized by low, moderate, and high percentiles of global mean sea-level rise, estimates of high-end (95th percentile) damages are underestimated by between 18% (SSP1-2.6) and 46% (SSP5-8.5). Additionally, using the 5th and 95th percentiles of sea-level scenarios underestimates the 5%–95% width of the distribution of adaptation costs by a factor ranging from about two to four, depending on SSP-RCP pathway. The resulting underestimation of the uncertainty range in adaptation costs can bias adaptation and mitigation decision-making. © 2022 The Authors.</t>
  </si>
  <si>
    <t>2-s2.0-85145228742"</t>
  </si>
  <si>
    <t>10.1016/j.jag.2022.103096</t>
  </si>
  <si>
    <t>https://www.scopus.com/inward/record.uri?eid=2-s2.0-85141767126&amp;doi=10.1016%2fj.jag.2022.103096&amp;partnerID=40&amp;md5=cd6e54dbf5aac063104ed7e496c3fcfd</t>
  </si>
  <si>
    <t>Secondary lahars, generated after volcanic eruptions, may pose significant threats to life and infrastructure. Secondary lahars typically develop from ash deposits and other volcanic debris that remobilize downstream via intense rainfall. The lahar inundation zone after eruptions must be predicted to minimize the impact. This prediction can be modeled based on digital elevation models (DEMs) and two parameters associated with lahar simulations: the lahar starting point (LSP), which indicates the potential locations at which a lahar flow may initiate, and supplied lahar volume (SLV), which is the lahar volume corresponding to each LSP. These parameters are typically determined by assumptions based on past lahar events, which may be unrealistic and often misinterpreted in the inundation prediction. To address this problem, this paper proposes an automated method to estimate the LSP and SLV based on pre-and post-eruption DEMs generated by unmanned aerial vehicle (UAV) images and simulate the inundation zone using the LAHARZ model. The study site is located in the southeast region of Mount Agung (Indonesia), and the objective is to mitigate the potential secondary lahar hazard after the 2017–2019 eruption crisis. Results show that the parameter estimations using the high-resolution UAV DEM and LAHARZ produce a realistic lahar simulation, with a satisfactory similarity of 82%, as verified against the lahar footprint. Moreover, we compare the results with those obtained using TerraSAR-X DEM and demonstrate the importance of using a detailed UAV DEM to avoid underestimating the lahar runout and ensure that the simulated inundation zones mimic real lahars. © 2022 The Author(s)</t>
  </si>
  <si>
    <t>2-s2.0-85141767126"</t>
  </si>
  <si>
    <t>10.1029/2022EF002751</t>
  </si>
  <si>
    <t>https://www.scopus.com/inward/record.uri?eid=2-s2.0-85143286560&amp;doi=10.1029%2f2022EF002751&amp;partnerID=40&amp;md5=f0ed40e56ef5c1f8ab0017e96bbaa24b</t>
  </si>
  <si>
    <t>Sea level rise (SLR) is a long-lasting consequence of climate change because global anthropogenic warming takes centuries to millennia to equilibrate for the deep ocean and ice sheets. SLR projections based on climate models support policy analysis, risk assessment and adaptation planning today, despite their large uncertainties. The central range of the SLR distribution is estimated by process-based models. However, risk-averse practitioners often require information about plausible future conditions that lie in the tails of the SLR distribution, which are poorly defined by existing models. Here, a community effort combining scientists and practitioners builds on a framework of discussing physical evidence to quantify high-end global SLR for practitioners. The approach is complementary to the IPCC AR6 report and provides further physically plausible high-end scenarios. High-end estimates for the different SLR components are developed for two climate scenarios at two timescales. For global warming of +2°C in 2100 (RCP2.6/SSP1-2.6) relative to pre-industrial values our high-end global SLR estimates are up to 0.9 m in 2100 and 2.5 m in 2300. Similarly, for a (RCP8.5/SSP5-8.5), we estimate up to 1.6 m in 2100 and up to 10.4 m in 2300. The large and growing differences between the scenarios beyond 2100 emphasize the long-term benefits of mitigation. However, even a modest 2°C warming may cause multi-meter SLR on centennial time scales with profound consequences for coastal areas. Earlier high-end assessments focused on instability mechanisms in Antarctica, while here we emphasize the importance of the timing of ice shelf collapse around Antarctica. This is highly uncertain due to low understanding of the driving processes. Hence both process understanding and emission scenario control high-end SLR. © 2022 The Authors. Earth's Future published by Wiley Periodicals LLC on behalf of American Geophysical Union.</t>
  </si>
  <si>
    <t>2-s2.0-85143286560"</t>
  </si>
  <si>
    <t>10.1016/j.ejrh.2022.101247</t>
  </si>
  <si>
    <t>https://www.scopus.com/inward/record.uri?eid=2-s2.0-85142910207&amp;doi=10.1016%2fj.ejrh.2022.101247&amp;partnerID=40&amp;md5=710586fa22e72e9a816e3d926d1d01f2</t>
  </si>
  <si>
    <t>Study Region: Licungo basin (Mozambique) Study Focus: The Licungo basin (23,263 km2) suffers frequent severe flooding due to tropical storms, in a country that is among the world's most vulnerable in terms of exposure to weather-related hazards and climate change. We propose a methodology for the estimation of the population exposed to flooding at the catchment scale in data-scarce regions, combining satellite imagery with integrated high-resolution hydrological-hydraulic modelling. All the input data needed are retrieved from freely-available global satellite products. The numerical model is also freeware. The methodology is therefore replicable worldwide. An estimate of the flood extent and exposed population during Tropical Storm Ana (January 2022) is presented as a case study. New Hydrological Insights for the Region: Current freely-available satellite products in combination with high-resolution hydrological-hydraulic models can be used to estimate the population exposed to flooding in the whole catchment. This estimate is more realistic than the one obtained using satellite imagery alone, since satellite images are very rarely taken at the time of maximum flooding. Using the proposed methodology, we estimate that over 273,000 people (out of 1.5 million) were exposed to flooding in the Licungo basin during Tropical Storm Ana. This represents 18% of the basin population and is 8 times larger than the estimate obtained using only the available satellite images. © 2022</t>
  </si>
  <si>
    <t>2-s2.0-85142910207"</t>
  </si>
  <si>
    <t>10.1371/journal.pone.0278215</t>
  </si>
  <si>
    <t>https://www.scopus.com/inward/record.uri?eid=2-s2.0-85142940072&amp;doi=10.1371%2fjournal.pone.0278215&amp;partnerID=40&amp;md5=f01dd805f520fde6e03337d3c8c90569</t>
  </si>
  <si>
    <t>Salt marshes are ecologically and economically important features of coastal environments that are vulnerable to sea level rise, the rate of which has accelerated in recent decades along the southeastern US Atlantic coast. Increased flooding frequency and duration across the marsh platform is predicted to impact vegetation community structure and overall marsh persistence, but the effect of changing inundation patterns on biogeochemical processes in marsh sediments remains largely unexplored. As part of a long-term monitoring effort to assess how marshes are responding to sea level rise in North Inlet estuary (South Carolina, USA), we collected data on porewater nutrient concentrations from a series of permanent monitoring plots across multiple transects spanning the marsh elevation gradient during the growing season from 2009 to 2019. Additionally, we calculated time inundated for each plot using local water level data and high-resolution elevation measurements to assess the change in time flooded at each plot. Our results indicate that both NH4 and PO4 nutrient concentrations have increased in most permanent plots over the 11-year study period and that nutrient concentrations are higher with increasing proximity to the creek. Spatial patterns in nutrient increases through time are coincident with considerable increases in tidal inundation observed over the marsh platform. Across plots located in the low marsh, porewater NH4 and PO4 concentrations have risen at average rates of 8.96 μM/year and 0.86 μM/year, respectively, and have reached rates as high as 27.25 μM/year and 3.13 μM/year. We suggest that increased inundation time due to rising sea level has altered biogeochemical conditions influencing nutrient availability in marsh porewater, resulting in increases that likely have relevance for larger scale nutrient cycles as well as marsh ecosystem stability and function. Copyright: © 2022 Krask et al. This is an open access article distributed under the terms of the Creative Commons Attribution License, which permits unrestricted use, distribution, and reproduction in any medium, provided the original author and source are credited.</t>
  </si>
  <si>
    <t>2-s2.0-85142940072"</t>
  </si>
  <si>
    <t>10.1016/j.quaint.2022.01.003</t>
  </si>
  <si>
    <t>https://www.scopus.com/inward/record.uri?eid=2-s2.0-85122423007&amp;doi=10.1016%2fj.quaint.2022.01.003&amp;partnerID=40&amp;md5=a859d0470aba454c7eeddf0ccce666cd</t>
  </si>
  <si>
    <t>Predictive modeling of submerged archaeological sites requires accurate sea-level predictions in order to reconstruct coastal paleogeography and associated geographic features that may have influenced the locations of occupation sites such as rivers and embayments. Earlier reconstructions of the paleogeography of parts of the western U.S. coast used an assumption of eustatic sea level, but this neglects the large spatial variations in relative sea level (RSL) associated with glacial isostatic adjustment (GIA) and tectonics. Subsequent work using a one-dimensional (1-D) solid Earth model showed that reconstructions that accounted for GIA result in significant differences from those based on eustatic sea level. However, these analyses neglected the complex three-dimensional (3-D) solid Earth structure associated with the Cascadia subduction zone that has also strongly influenced RSL along the Oregon-Washington (OR-WA) coast, requiring that the paleogeographic reconstructions must also account for this effect. Here we use RSL predictions from a 3-D solid Earth model that have been validated by RSL data to update previous paleogeographic reconstructions of the OR-WA coast for the last 12 kyr based on a 1-D solid Earth model. The large differences in the spatial variations in RSL on the OR-WA continental shelves predicted by the 3-D model relative to eustatic and 1-D models demonstrate that accurate reconstructions of coastal paleogeography for predictive modeling of submerged archaeological sites need to account for 3-D viscoelastic Earth structure in areas of complex tectonics. © 2022 Elsevier Ltd and INQUA</t>
  </si>
  <si>
    <t>2-s2.0-85122423007"</t>
  </si>
  <si>
    <t>10.1038/s41598-022-18109-8</t>
  </si>
  <si>
    <t>https://www.scopus.com/inward/record.uri?eid=2-s2.0-85136702016&amp;doi=10.1038%2fs41598-022-18109-8&amp;partnerID=40&amp;md5=6d471777eac48be53fe0eda3c2052736</t>
  </si>
  <si>
    <t>Atoll islands face increasing coastal risks (coastal erosion and marine flooding) due to climate change, especially sea-level rise. To face increasing coastal risks, various adaptation options are considered by atoll countries and territories, including in particular hard protection (preferred option to date), Nature-based Solutions (increasingly used) and island raising (considered a longer-term solution and a potential alternative to international migration, e.g. in the Maldives). Internal relocation within the same atoll island or atoll, which refers to long-term community movement from one threatened island area or island to a safer island area or island, has previously been disregarded by scholars as a potentially relevant climate adaptation strategy. However, in low-lying coastal areas, it offers real potential to address the dual context of increasing climate risks and the shrinking of the solution space. This paper assesses the potential of internal relocation for atolls by applying to Rangiroa Atoll, French Polynesia, Central Pacific, a two-fold assessment framework questioning its physical relevance (are some islands high enough to host settlements in the future?) and its societal feasibility (are the political-institutional and socio-economic conditions in place? Are people willing to relocate?). The findings show that internal relocation is both relevant and feasible on Rangiroa Atoll and should therefore serve as a pillar to develop robust in situ adaptation pathways in this atoll. © 2022, The Author(s).</t>
  </si>
  <si>
    <t>2-s2.0-85136702016"</t>
  </si>
  <si>
    <t>International Journal of Sediment Research</t>
  </si>
  <si>
    <t>10.1016/j.ijsrc.2022.07.004</t>
  </si>
  <si>
    <t>https://www.scopus.com/inward/record.uri?eid=2-s2.0-85137618728&amp;doi=10.1016%2fj.ijsrc.2022.07.004&amp;partnerID=40&amp;md5=5b7906a95ef2b99569576099837423ea</t>
  </si>
  <si>
    <t>A macrotidal estuary with mountain streams (MEMS) is characterized by rapidly rising and falling flood peaks and large tidal ranges and is a typical estuary type with strong flow dynamics that is found worldwide. Understanding the morphodynamic evolution of MEMSs has great significance for river management. The roles of the mountain stream river flood process and macrotides on the morphology evolution still needs further quantitative study. Taking the Oujiang Estuary as an example, the evolution mechanisms of bifurcated reaches of a MEMS are studied by analyzing the hydrologic and topographic data and using a two-dimensional numerical model for flow-sediment transport. The results show that (1) under the combined actions of runoff and macrotides, sediment transport is active and morphological evolution is intensive, the main branch and subbranch historically switch frequently, and erosion generally occurs in wet years, while deposition occurs in dry years. (2) The river flood process of mountain streams causes rapid erosion, which rises and falls rapidly with a kurtosis index (K) of approximately 2.9. There is a logarithmic relation between the sediment transport load and K. The volume of sediment transport will be 40% larger than the river flood process with K = 1.2 as for the Yangtze River. (3) Macrotides with large tidal ranges could enhance the discharge asymmetry (ψ). When the ψ is greater than 1, the side branches are dominated by flood tides. Although the current study is site specific, the results are expected to provide a valuable reference for sustainable management in similar estuaries. © 2022 International Research and Training Centre on Erosion and Sedimentation/the World Association for Sedimentation and Erosion Research</t>
  </si>
  <si>
    <t>2-s2.0-85137618728"</t>
  </si>
  <si>
    <t>10.1007/s10346-022-01912-9</t>
  </si>
  <si>
    <t>https://www.scopus.com/inward/record.uri?eid=2-s2.0-85136049691&amp;doi=10.1007%2fs10346-022-01912-9&amp;partnerID=40&amp;md5=7a6ad37a9b72aad2e45bbba8edcb232f</t>
  </si>
  <si>
    <t>Changes in climatic patterns, manifested as intensified cyclones and torrential rainfalls in a warming world will inevitably impact the frequency of landslides. One such climatic extreme, Cyclone Idai (March 2019), caused significant havoc across southeastern Africa, including Mozambique, Malawi, and eastern Zimbabwe, by triggering thousands of landslides and widespread concurrent flooding, both of which resulted in substantial loss of life. The study was conducted in the Chimanimani District of eastern Zimbabwe to understand the impact of Cyclone Idai on landslide initiation, quantify the volume of mobilized hillslope material during the event, and compare the event-triggered material release against the annual erosional yield across the study area using machine learning and remote sensing techniques. We evaluated satellite imagery of various resolutions, namely, PlanetScope (3m/px), RapidEye (5m/px), and Sentinel-2 (10m/px) and three machine learning algorithms: artificial neural network (ANN), random forest (RF), and support vector machine (SVM) to identify landslides and compared the efficacy of the models. A total of nine predictor variables derived from the satellite imagery and a 30-m ASTER Global Digital Elevation Model were employed to identify landslides and differentiate them from concurrent hydrological flooding. The models classified the study area into three classes: (i) landslides, (ii) flooding, and (iii) unaffected area. The RF model using PlanetScope satellite data attained the highest prediction accuracy of 97.88%, whereas the accuracy of other machine learning model-satellite data combinations ranged between 94.58 and 97.27%. Subsequently, landslide size thresholds were applied on the initially mapped landslides to eliminate noise and uncertainty from the data before estimating the final Cyclone Idai event-triggered landslide volume. A probability density function, which corresponds to a logarithmic plot of non-cumulative landslide frequency against the mapped landslide area, was employed to calculate landslide size thresholds using divergence and rollover point cutoff values. Finally, a landslide area-to-volume power-law scaling relationship was exploited to derive landslide volumes in the study area that ranged between 6.8 × 10 6 to 14.7 × 10 6 m3 and 9.0 × 10 6 to 19.6 × 10 6 m3 for divergence and rollover point thresholds, respectively, across the different combinations of machine learning models and satellite sensors. The estimated landslide volume indicates hillslope material liberated by Cyclone Idai was 269 to 345 times greater than the estimated annual average background denudation of the study area computed from a topography-based local erosion model. © 2022, Springer-Verlag GmbH Germany, part of Springer Nature.</t>
  </si>
  <si>
    <t>2-s2.0-85136049691"</t>
  </si>
  <si>
    <t>Baltica</t>
  </si>
  <si>
    <t>10.5200/baltica.2022.2.2</t>
  </si>
  <si>
    <t>https://www.scopus.com/inward/record.uri?eid=2-s2.0-85144716859&amp;doi=10.5200%2fbaltica.2022.2.2&amp;partnerID=40&amp;md5=3956bad952dba7f401449e9d4fc86518</t>
  </si>
  <si>
    <t>The article overviews the indirect methods employed in assessing the intensity of geodynamic proc-esses. These methods involve using and analysing various spatial topographic and thematic databases, includ-ing the databases of ortho-photo images, bogs and peatlands, CORINE land cover, crop fields, forest cadastre, flood-prone areas, the geomorphologic database, the database of relief cadastre as well as that of reclamation status and wet soils. In this study, the intensity of geodynamic processes was estimated using mathematical models, which include a number of factors behind surface transformation (accumulation/degradation) process-es, i.e., the origin of the terrain, its morphographic and morphometric indicators, lithology, soil cover, the degree of sediment and soil wetness, and natural vegetation cover. In addition, the impact of the factors inhibiting surface erosion (ratio of clay and sand particles in the surface layer, slope inclination, humus content in soil, binary nature of soil-forming sediments) was evaluated. The cartographic analysis results were compared with the data obtained from the terrain investigation in key areas. The surface analysis based on the spatial distribution of geomorphological relief types, their roughness, land cover, forest, soil types, reclamation and soaked lands shows that weak deflation (up to 1 mm / year, 1214.8 km²), weak erosion (up to 1 mm / year, 367.1 km²) and medium biogenic accumulation (1–2 mm / year, 223.5 km²) are taking place in the Coastal Lowland. © Baltica 2022.</t>
  </si>
  <si>
    <t>2-s2.0-85144716859"</t>
  </si>
  <si>
    <t>10.1016/j.ancene.2022.100350</t>
  </si>
  <si>
    <t>https://www.scopus.com/inward/record.uri?eid=2-s2.0-85141468022&amp;doi=10.1016%2fj.ancene.2022.100350&amp;partnerID=40&amp;md5=7c276fe5aabb1315208c6a2ae8bc2646</t>
  </si>
  <si>
    <t>Climate change, land subsidence, and coastal population growth are increasing coastal flood risks and changing land uses. Large-scale levee systems protect many urban areas from flooding, but much less is known about how rural coasts respond to sea level rise and increasing flood risks. This study examined previously unreported, small-scale earthen levees that have been constructed for centuries by individual landowners in rural, low-lying portions of the Chesapeake Bay region in the USA. Analysis of aerial imagery, digital elevation models, and field measurements revealed that levees are constructed from inorganic silt loam sediment consistent with adjacent terrestrial soils. They extend above Highest Astronomical Tide, and are today surrounded by marsh or low-lying terrestrial vegetation. Although preliminary measurements revealed inconsistent effects of levees on soil salinity or soil organic content, the landward side of levees are generally lower in elevation than the seaward side. They are also characterized by less flood tolerant vegetation and shallower organic-rich soils. These results suggest that small-scale levees may have historically impeded wetland development, though their effects today are unclear. This work highlights a historical approach to rural flood defense and suggests that, in some cases, the impacts of small levees are observable long after coastal retreat and levee abandonment. They are therefore part of the evolving human-landscape system for potential management into the future. © 2022 Elsevier Ltd</t>
  </si>
  <si>
    <t>2-s2.0-85141468022"</t>
  </si>
  <si>
    <t>10.1007/s11852-022-00910-2</t>
  </si>
  <si>
    <t>https://www.scopus.com/inward/record.uri?eid=2-s2.0-85142266677&amp;doi=10.1007%2fs11852-022-00910-2&amp;partnerID=40&amp;md5=757b969df30e99653d385a7cd42fe3b0</t>
  </si>
  <si>
    <t>The Sundarban delta region, a unique coastal ecosystem is highly vulnerable to climate change threats such as sea level rise, cyclonic storms, floods, tidal surges and coastal erosion. Extreme poverty and hunger, limited livelihood options and economic backwardness lead to miserable life for the rural poor in this estuarine and coastal environment. Agriculture is the main economic activity in this region with low productivity and high exposure to climate change. To overcome these challenges, farmers are practicing various strategies such as adoption of integrated farming, organic farming, diversified and floating agriculture, crop rotation, salt resistance varieties, indigenous seed banks and rainwater harvesting to promote climate resilient agriculture (CRA). In this context, an attempt has been made in this paper to analyse the challenges and opportunities of CRA in the Indian Sundarban delta. This study is mainly based on primary data collected from Sagar, Gosaba and Patharpratima C.D. Blocks in this delta and 60 households from each C.D. Block, altogether 180 households have been surveyed. The SWOT-AHP has been applied to analyse the scope for promoting CRA in the study area. This study has found that the overall scores of positive factors (i.e. strengths and opportunities) are considerably higher than the negative factors (i.e. weaknesses and threats) for promoting CRA. An effective policy to strengthen CRA, particularly focusing on integrated farming, organic farming and rainwater harvesting in the study area is needed to sustain agriculture, rural livelihoods as well as management of Sundarban coastal ecosystem. © 2022, The Author(s), under exclusive licence to Springer Nature B.V.</t>
  </si>
  <si>
    <t>2-s2.0-85142266677"</t>
  </si>
  <si>
    <t>Advances in Geosciences</t>
  </si>
  <si>
    <t>10.5194/adgeo-58-93-2022</t>
  </si>
  <si>
    <t>https://www.scopus.com/inward/record.uri?eid=2-s2.0-85145612157&amp;doi=10.5194%2fadgeo-58-93-2022&amp;partnerID=40&amp;md5=72bdf7f860e78b7dbbf20477fadfe766</t>
  </si>
  <si>
    <t>This paper aims to assess potential environmental impacts associated with commercial-scale application of in situ coal conversion in a target area in Hungary. The site is an environmentally protected forested area. Parametric numerical modelling techniques were employed using a discrete element method (DEM) to evaluate the surface subsidence and fault activation during mining processes. The Mohr-Coulomb elastic-plastic material model adopted to simulate rock formations. Zero-thickness interfaces with friction and cohesive characteristics were employed to simulate geological faults. A sensitivity study on rock formations and fault properties was conducted to address the importance of geological parameters that have an impact on surface subsidence as well as fault activation, which could in turn result in pollutant migration from the deep coal seams to the surface. The analysis of the results demonstrated that surface subsidence is affected by the average Young's modulus of the geological strata, whereby the activation of the faults is influenced by the friction angle between faults. Also, it was found that shallower seams are more likely to produce surface subsidence</t>
  </si>
  <si>
    <t>10.3390/cli10110181</t>
  </si>
  <si>
    <t>https://www.scopus.com/inward/record.uri?eid=2-s2.0-85149319658&amp;doi=10.3390%2fcli10110181&amp;partnerID=40&amp;md5=3d911f61a03390fc499363ebe5247d9e</t>
  </si>
  <si>
    <t>Frequent flooding has been a significant problem in Freetown, causing loss of lives and properties. The situation is worse for coastal residents, who are more vulnerable and exposed to the impacts. The government has made commitments to strengthen resilience and adaptive capacity by 2030. However, there is currently insufficient information to comprehend the coastal residents of Portee and Rokupa’s capacity to adapt to the yearly flooding to which they are subjected. This study aims to assess the adaptive capacity of 204 slum households selected by purposive sampling and using the local adaptive capacity framework. The results show that the widespread adaptive concerns are unflood-proofed housing</t>
  </si>
  <si>
    <t>10.1016/j.heliyon.2022.e12270</t>
  </si>
  <si>
    <t>https://www.scopus.com/inward/record.uri?eid=2-s2.0-85144771681&amp;doi=10.1016%2fj.heliyon.2022.e12270&amp;partnerID=40&amp;md5=f2e8f263dca6c6a7cb715041604897db</t>
  </si>
  <si>
    <t>The Pasur River estuary (PRE), the largest estuary in the Sundarbans mangrove area, provides vital fishery resources and supports millions of livelihoods in the southwestern coastal region of Bangladesh. This study focused on the tidal and run-off effects on the outwelling of nutrients from the Sundarbans mangrove creeks to the PRE. Spatial and temporal variations of nutrient and chlorophyll-a concentrations were assessed by water sampling at 11 stations in the study area from January to December 2019. Dissolved inorganic nutrients and chlorophyll-a were analyzed by standard methods using a spectrophotometer. In the tidal mangrove creeks, dissolved inorganic nitrogen, phosphate, and silica concentrations were significantly higher (p &lt; 0.05) during the spring tide than those during the neap tide, suggesting that these nutrients were flushed from the mangrove area by the inundation and tidal mixing of the spring tide. In general, chlorophyll-a (mean ± SD) concentrations in the PRE and the tidal mangrove creeks were 5.62 ± 1.30 μg/L and 9.03 ± 0.59 μg/L in the wet season, respectively. During the dry season, the chlorophyll-a decreased to 4.37 μg/L ± 0.68 and 4.94 ± 1.52 μg/L in the PRE and the tidal mangrove creek, respectively. The amount of nutrients outwelled from the mangrove creeks to the estuary was 1.53 ± 0.67 mg/L DIP, 0.001 ± 0.0004 mg/L DIN, and 1.38 ± 0.48 mg/L dissolved silica. DIP, silica, and chlorophyll-a concentrations were significantly higher (p &lt; 0.05) during the spring tide compared to the neap tide, but salinity was not significantly (p &gt; 0.05) different between the two tidal levels. This study showed that the mangrove creeks formed an important link in transporting nutrients from the mangrove forest to the estuary. © 2022 The Author(s)</t>
  </si>
  <si>
    <t>2-s2.0-85144771681"</t>
  </si>
  <si>
    <t>Ecological Economics</t>
  </si>
  <si>
    <t>10.1016/j.ecolecon.2022.107588</t>
  </si>
  <si>
    <t>https://www.scopus.com/inward/record.uri?eid=2-s2.0-85138104697&amp;doi=10.1016%2fj.ecolecon.2022.107588&amp;partnerID=40&amp;md5=8debb05dae97614988a08038e1994b17</t>
  </si>
  <si>
    <t>By 2050 about 70% of the world's population is expected to live in cities. Cities offer spatial economic advantages that boost agglomeration forces and innovation, fostering further concentration of economic activities. For historic reasons urban centers cluster along coasts, which are prone to climate-induced flooding and sea level rise. To explore trade-offs between agglomeration economies and hazards increasing with climate change, we develop an evolutionary agent-based model with heterogeneous boundedly-rational agents who learn and adapt to a changing environment. The model combines migration decision of both households and firms between safe Inland and hazard-prone Coastal regions with endogenous technological learning and economic growth. Flood damages affect Coastal firms hitting their labour productivity, capital stock and inventories. We find that the model is able to replicate a rich set of micro- and macro-empirical regularities concerning economic and spatial dynamics. Without climate-induced shocks, the model shows how lower transport costs favour the Coastal region fueling the self-reinforcing and path-dependent agglomeration processes. We then introduce five scenarios of floods characterized by different frequency and severity to study the complex interplay of hazards with agglomeration patterns affecting the performance of the overall economy. We find that when shocks are mild or infrequent, they negatively affect the economic performance of the economy. If strong flood hazards hit frequently the Coastal region before agglomeration forces trigger high levels of the waterfront urbanization, firms and households can timely adapt and migrate landwards, thus averting the adverse impacts of climate shocks on the whole economy. Conversely, in the presence of climate tipping points where the frequency and magnitude of flood hazards abruptly intensifies, we find that economic activities remain trapped in the hazard-prone region, generating lock-ins and leading to a harsh downturn of the overall economy. © 2022 The Author(s)</t>
  </si>
  <si>
    <t>2-s2.0-85138104697"</t>
  </si>
  <si>
    <t>10.1038/s41598-022-12189-2</t>
  </si>
  <si>
    <t>https://www.scopus.com/inward/record.uri?eid=2-s2.0-85130402683&amp;doi=10.1038%2fs41598-022-12189-2&amp;partnerID=40&amp;md5=5af2168be6465951aa6b78da0c4b602e</t>
  </si>
  <si>
    <t>Typhoon Maysak (Julian in the Philippines) was a powerful tropical cyclone that strongly impacted coastal regions of the Sea of Japan on 2–4 September 2020. Destructive winds, violent storm waves, and intense rainfall occurred in Japan, on the Korean Peninsula, and in Far-Eastern Russia. Devastating coastal floods caused severe damage to coastal infrastructure and to ships and boats anchored in harbours and were responsible for numerous deaths. Our study indicates that the main reason for the destructive floods was the superposition of storm surge, extreme seiches (meteorological tsunamis), and surf beats. At various sites, different types of sea level oscillations prevailed depending on the atmospheric forcing, local topographic properties, and resonant shelf/coastal zone features. The principal forcing factors of these oscillations were atmospheric pressure and wind stress, but the exact generation mechanism of each specific type of oscillation was strongly site dependent. The uniqueness of the sea level response at each site is the main challenge in our understanding of the generation process and to the mitigation of the hazardous consequences of possible future events. © 2022, The Author(s).</t>
  </si>
  <si>
    <t>2-s2.0-85130402683"</t>
  </si>
  <si>
    <t>10.5194/nhess-22-4063-2022</t>
  </si>
  <si>
    <t>https://www.scopus.com/inward/record.uri?eid=2-s2.0-85145615036&amp;doi=10.5194%2fnhess-22-4063-2022&amp;partnerID=40&amp;md5=b7ee459e2fd53f32722c635f34c62163</t>
  </si>
  <si>
    <t>Barrier islands in tropical regions are prone to coastal flooding and erosion during hurricane events. The Yucatán coast, characterized by karstic geology and the presence of barrier islands, was impacted by Hurricane Gamma and Hurricane Delta in October 2020. Inner shelf, coastal, and inland observations were acquired simultaneously near a coastal community (Sisal, Yucatán) located within 150 km of the hurricanes' tracks. In the study area, Gamma moved slowly and induced heavy rain, mixing in the shelf sea, and strong winds (&gt;20 m s−1). Similar wind and wave conditions were observed during the passage of Hurricane Delta; however, a higher storm surge was measured due to wind setup and the drop (&lt;1000 mbar) in atmospheric pressure. Beach morphology changes, based on GPS measurements conducted before and after the passage of the storms, show alongshore gradients ascribed to the presence of coastal structures and macrophyte wracks on the beach face. Urban flooding occurred mainly on the back barrier associated with heavy inland rain and the coastal aquifer's confinement, preventing rapid infiltration. Two different modeling systems, aimed at providing coastal flooding early warning and coastal hazard assessment, presented difficulties in forecasting the coastal hydrodynamic response during these seaward-traveling events, regardless of the grid resolution, which might be ascribed to a lack of terrestrial processes and uncertainties in the bathymetry and boundary conditions. Compound flooding plays an important role in this region and must be incorporated in future modeling efforts.</t>
  </si>
  <si>
    <t>10.1016/j.jag.2022.103085</t>
  </si>
  <si>
    <t>https://www.scopus.com/inward/record.uri?eid=2-s2.0-85141440247&amp;doi=10.1016%2fj.jag.2022.103085&amp;partnerID=40&amp;md5=2e9a5257627f23afeb5a230ced0bb189</t>
  </si>
  <si>
    <t>The characteristics of glacial lakes are a precursor to glacier retreat, ice mass loss, velocity, and potential risk of Glacial Lake Outburst Floods (GLOF). The current state of the art for glacial lake mapping, especially in a high mountainous region, is limited to manual or semi-automated threshold-based methods. Here, we propose a fully automated novel approach for glacial lake mapping using a Deep Convolutional Neural Network (DCNN) and remote sensing data originating from various sources. A combination of these multisource remote sensing data (i.e., multispectral, thermal, microwave, and a Digital Elevation Model) is fed to the fully connected DCNN. The DCNN architecture, namely GLNet, is designed by choosing an optimum number and size of convolutional layers, filters, and other hyperparameters. Our proposed GLNet is trained on 660 images covering twelve sites spread across diverse climatic and topographic regions of the Himalaya. The robustness of the model is tested over three sites in the Eastern Himalaya and one site in the Western Himalaya. The classification results outperform the existing state-of-the-art datasets by achieving 0.98 accuracy, 0.95 precision, 0.95 recall, and 0.95 F- score over the test data. The results over test sites (F-score test site1: 0.91, test site 2: 0.80, test site3: 0.97, and test site4: 0.70) showed promising results and spatiotemporal transferability of the proposed method. The coefficient of determination (R2) between GLNet predicted lake boundaries and reference lake boundaries exhibits excellent results (0.90). The study provides proof of concept for automated glacial mapping for large geographical regions via integrated capabilities of deep convolutional neural networks and multisource remote sensing data. © 2022 The Authors</t>
  </si>
  <si>
    <t>2-s2.0-85141440247"</t>
  </si>
  <si>
    <t>10.3390/geohazards3040025</t>
  </si>
  <si>
    <t>https://www.scopus.com/inward/record.uri?eid=2-s2.0-85168797097&amp;doi=10.3390%2fgeohazards3040025&amp;partnerID=40&amp;md5=157608951d323c93e10c2c976f40c6a9</t>
  </si>
  <si>
    <t>The role of the Manning roughness coefficient in modifying a tsunami time series of flow depth inundation was studied in Iquique, Chile, using a single synthetic earthquake scenario. A high-resolution digital surface model was used as a reference configuration, and several bare land models using constant roughness were tested with different grid resolutions. As previously reported, increasing the Manning n value beyond the standard values is essential to reproduce mean statistics such as the inundated area extent and maximum flow depth. The arrival time showed to be less sensitive to changes in the Manning n value, at least in terms of the magnitude of the error. However, increasing the Manning n value too much leads to a critical change in the characteristics of the flow, which departs from its bore-like structure to a more gradual and persistent inundation. It was found that it is possible to find a Manning n value that resembles most features of the reference flow using less resolution in the numerical grids. This allows us to speed up inundation tsunami modeling, which could be useful when multiple inundation simulations are required. © 2022 by the authors.</t>
  </si>
  <si>
    <t>2-s2.0-85168797097"</t>
  </si>
  <si>
    <t>10.1016/j.uclim.2022.101332</t>
  </si>
  <si>
    <t>https://www.scopus.com/inward/record.uri?eid=2-s2.0-85141292753&amp;doi=10.1016%2fj.uclim.2022.101332&amp;partnerID=40&amp;md5=b293c63d39508a5e8e851b3b8ee73a55</t>
  </si>
  <si>
    <t>The Majalaya area is a vital part of the Bandung Metropolitan Area economy, exemplifying an urbanized area prone to annual flooding in Indonesia. Even though multiple flood events occur yearly, Majalaya's floods have not received much attention. This study aims to simulate the 22 February 2018 flood event that caused massive damage to properties and the surrounding environment. The study used gauged and satellite precipitation measurements, stream flow records, Indonesian National DEM (DEMNAS), Light Detection and Ranging (LiDAR), and primarily surveyed topographic terrain data for flood modeling using HEC-HMS and HEC-RAS. The modeled flood extents were compared with the crowdsourced flood extent of a recent large flood event recorded by the local community. The observed and modeled hydrographs were very similar, with a Nash-Sutcliffe Efficiency (NSE) of 0.88 and a root-mean-square error (RMSE) of 11.93. The disparities between the simulated and observed flood extend were identified, including the limitation of modeling, alteration of flow characteristics due to trash clogging, and the quality of crowdsourced flood records. Based on the flood simulation, the study identifies recommendations to manage the flood risk: increasing river conveyance, creating a large retention basin, and creating a designated floodway, while avenues for further studies are recommended. © 2022 Elsevier B.V.</t>
  </si>
  <si>
    <t>2-s2.0-85141292753"</t>
  </si>
  <si>
    <t>10.3390/rs14246185</t>
  </si>
  <si>
    <t>https://www.scopus.com/inward/record.uri?eid=2-s2.0-85144611928&amp;doi=10.3390%2frs14246185&amp;partnerID=40&amp;md5=e5f52af05c28e0bada45f21a2402f578</t>
  </si>
  <si>
    <t>Novel data-acquisition technologies have revolutionized the study of natural systems, allowing the massive collection of information in situ and remotely. Merging these technologies improves the understanding of complex hydrological interactions, such as those of wetland–aquifer systems, and facilitates their conservation and management. This paper presents the combination of UAV technology with water level dataloggers for the study of a coastal temporary wetland linked to an underlying sandy aquifer and influenced by the tidal regime. Wetland morphology was defined using UAV imagery and SfM algorithms during the dry period. The DTM (6.9 cm resolution) was used to generate a flood model, which was subsequently validated with an orthophoto from a wet period. This information was combined with water stage records at 10-min intervals from a network of dataloggers to infer the water balance of the wetland and the transfers to the aquifer. Inflows into the pond were around 6200 m3 (40% direct precipitation over the pond, 60% surface runoff). Outputs equalled the inputs (41% direct evaporation from water surface, 59% transfers into the aquifer). The proposed methodology has demonstrated its suitability to unravel complex wetland–aquifer interactions and to provide reliable estimations of the elements of the water balance. © 2022 by the authors.</t>
  </si>
  <si>
    <t>2-s2.0-85144611928"</t>
  </si>
  <si>
    <t>10.1016/j.geomorph.2022.108461</t>
  </si>
  <si>
    <t>https://www.scopus.com/inward/record.uri?eid=2-s2.0-85139241623&amp;doi=10.1016%2fj.geomorph.2022.108461&amp;partnerID=40&amp;md5=9fad4fcaad2d9653d7d1c193a2ca5d59</t>
  </si>
  <si>
    <t>Since medieval times, North Frisia (Schleswig-Holstein, Germany) has experienced large-scale natural and man-made geomorphological changes. First, Frisian settlers turned the coastal marshes and fenlands into arable land but also increased the region's vulnerability to flooding. Then major storm surges drowned wide areas in 1362 CE and 1634 CE and many (geo-)archives that could provide knowledge about medieval man-environment interactions and the overall appearance of the coastal landscape at that time were irretrievably lost. To better understand the natural palaeogeographical evolution and human intervention with the coastal environment, our research focused on the Trendermarsch polder (Nordstrand), that is one of few sites still reflecting the cultivated marsh landscape of the 13th to 14th cent. AD. Fieldwork comprised DEM analysis, geophysical prospection by electrical resistivity tomography (ERT), seismic reflection measurements, Direct Push (DP)-EC logging and coring to obtain high-resolution stratigraphic data. Sedimentary, geochemical and microfaunal palaeoenvironmental parameter (PEP) analyses of sediment samples allowed to calibrate geophysical and DP-EC results. Radiocarbon dating, archaeological age estimations and historical reports provided a geochronological framework. Results confirm the 12th cent. AD age of the Trendermarsch polder but also reveal distinct phases of channel incisions, that are likely related to extreme events. These tidal channels appeared to be a distinct gateway for storm surges and considerably influenced medieval to early modern land reclamation and cultivation measures. The Trendermarsch therefore sets an impressive example for the interplay of natural processes and man-made geomorphological changes and their consequences for a coastal landscape. © 2022 Elsevier B.V.</t>
  </si>
  <si>
    <t>2-s2.0-85139241623"</t>
  </si>
  <si>
    <t>Journal of People, Plants, and Environment</t>
  </si>
  <si>
    <t>10.11628/ksppe.2022.25.6.607</t>
  </si>
  <si>
    <t>https://www.scopus.com/inward/record.uri?eid=2-s2.0-85146514090&amp;doi=10.11628%2fksppe.2022.25.6.607&amp;partnerID=40&amp;md5=78a75e1bd5f5d85302337c24a9a9628a</t>
  </si>
  <si>
    <t>Background and objective: For countries vulnerable to climate change as Vietnam, indigenous knowledge (IK) might assist in revealing the values of local people's adaptations to environmental stresses and potentially support decision-making. Despite IK can provide the adaptive capacity of local people's activities within environmental contexts, but it is rapidly vanishing. This study aimed to describe the documentation of IK associated with climate change adaptation of farmers in the Vietnam Mekong Delta (VMD). Methods: We focused on collecting and establishing online access to IK documents through collaboration between IK holders, public sector, collecting institutions, and researchers in the five agro-ecological zones of the VMD. An online IK database for storing IK documents has been designed and implemented based on the web application schema. Results: Through interviews, we gathered IK from farming practices that are well-adapted to climate risks such as floods, droughts, and saltwater intrusions as well as traditional knowledge being used to forecast weather, flood, and saltwater intrusion. The database for storing IK documents has been successfully deployed using free and open-source software. The database currently contains more than 260 IK documents, with their location on agro-ecological zones displayed on a web-based map. Conclusion: We have captured and provided an online access to IK on climate change adaptation of the farmers in the VMD. This research is expected as an initial strategy for long-term sustainable development of the agriculture system in this region. © 2022 by the Society for People, Plants, and Environment.</t>
  </si>
  <si>
    <t>2-s2.0-85146514090"</t>
  </si>
  <si>
    <t>Minerals</t>
  </si>
  <si>
    <t>10.3390/min12111409</t>
  </si>
  <si>
    <t>https://www.scopus.com/inward/record.uri?eid=2-s2.0-85149541528&amp;doi=10.3390%2fmin12111409&amp;partnerID=40&amp;md5=0aae6d5fb823dcfd7f494e1579c38d22</t>
  </si>
  <si>
    <t>The Triassic Jiucaiyuan Formation is a vital oil and gas exploration target in the eastern part of the Junggar Basin. In this work, cores, thin sections, particle sizes, and conventional physical properties were analyzed in order to understand the sedimentary characteristics and depositional model of the Jiucaiyuan Formation in the Beisantai Uplift and to clarify the factors controlling reservoir development. The results demonstrate that the Jiucaiyuan Formation can be divided into seven lithofacies, namely massive bedding gravel, massive bedding sandstone, trough bedding sandstone, plane bedding sandstone, wavy bedding sandstone, parallel bedding siltstone, and massive bedding mudstone. Braided river delta facies dominate the Jiucaiyuan Formation. Nine main subtypes of facies were observed: flood plain, braided channel above lake level, natural levees above lake level, braided channel under lake level, interdistributary bays, natural levees under lake level, mouth bars, prodelta mud, and beach bar. The braided channel under lake level, mouth bar, and beach bar reservoirs exhibited the best physical properties, with average porosities of 16.54%, 19.83%, and 20.41%, respectively, and average permeabilities of 3.43 mD, 9.91 mD, and 12.98 mD, respectively. The physical properties of reservoirs in the study area are mainly controlled by sedimentation. Braided channels under lake level, mouth bars, and beach bars are favorable facies for the development of high-quality reservoirs. The results of this study are expected to serve as a theoretical basis for further exploration and development of oil and gas in the study area. © 2022 by the authors.</t>
  </si>
  <si>
    <t>2-s2.0-85149541528"</t>
  </si>
  <si>
    <t>10.1038/s41598-022-18881-7</t>
  </si>
  <si>
    <t>https://www.scopus.com/inward/record.uri?eid=2-s2.0-85137867459&amp;doi=10.1038%2fs41598-022-18881-7&amp;partnerID=40&amp;md5=b801b4a4d64dffe34abcdef1dcaf9896</t>
  </si>
  <si>
    <t>Saltmarshes are important natural ecosystems along many temperate (and other) coastlines. They stabilize sediments and act as biofilters for a range of industrial pollutants and, potentially, microplastics. Accumulation of microplastics along estuarine coastlines may be enhanced by the presence of saltmarsh species, as they offer better particle trapping efficiency than adjacent intertidal mudflats under prevailing flood and ebb tidal currents. However, the trapping efficiency of entire saltmarsh systems under varying flow conditions has not been widely assessed. While the effects of saltmarsh systems on water flow, and on sediment transport and trapping, have been relatively well studied, little is known about the contributions of saltmarsh halophytes, resident organisms and the associated saltmarsh sediments to the trapping of microplastics. To address this, a series of flume experiments were undertaken to examine transport and accumulation of Bakelite particles (~ 500 µm) and PVC nurdles (~ 5 mm) as model plastics in sub-sampled saltmarsh and intertidal mudflat monoliths. The results showed that saltmarsh systems influenced the hydrodynamics within and above the canopy, enhancing turbulence and shear stresses. With increasing flow velocities (≤ 0.51 m s−1), negligible quantities (2 × 10−4 mg L−1) of sediments and Bakelite particles were eroded and resuspended. The algal biogenic roughness from the mudflat, and the vegetative roughness from the Spartina plants on the saltmarsh, inhibited the transportation of the microplastics within the tested systems. Resident burrowing crabs (Carcinus maenas) promoted the burial, release and transport of microplastics. The results of this study provide evidence of the contributory roles of saltmarsh systems in the sequestration of microplastics and sediment stabilization. Estuarine saltmarsh systems can act as sinks for microplastics with enhanced burial from burrowing crabs under favourable flow conditions. © 2022, The Author(s).</t>
  </si>
  <si>
    <t>2-s2.0-85137867459"</t>
  </si>
  <si>
    <t>Proceedings of the ACM on Human-Computer Interaction</t>
  </si>
  <si>
    <t>10.1145/3555107</t>
  </si>
  <si>
    <t>https://www.scopus.com/inward/record.uri?eid=2-s2.0-85146341577&amp;doi=10.1145%2f3555107&amp;partnerID=40&amp;md5=85d9a2b70e13efe2499f04a5e8614815</t>
  </si>
  <si>
    <t>Before urban flooding actually happens, weather forecasts with varying degrees of precision are available to emergency managers. In the aftermath of the event, authoritative information including Earth Observation (EO) data can be used to estimate precisely the flood extent, possibly after several hours. This study aims to determine how social media information can reduce the inherent uncertainty of the information in the immediate aftermath of an urban flood event. Specifically, the study investigates how to collect relevant social media images and to interpolate such data in order to create a map. The premise of the study is that social media platforms, when combined with digital surface models, can provide control points for creating a reliable near real-time estimate of the flood extent. In the study, we compared a flood extent map derived from social media with that derived from authoritative altimetry data during one of the worst floods to hit Venice, which occurred in November 2019. The results of the experiments show a good overall accuracy using several digital surface models. Given the global coverage of such models and the low resources required, we think the methodology proposed could be beneficial for emergency managers. Specifically, we describe how a flood extent map can be made available within 24 h, or even less, after urban flooding strikes a densely inhabited area, where data generated by the public are available.  © 2022 Owner/Author.</t>
  </si>
  <si>
    <t>2-s2.0-85146341577"</t>
  </si>
  <si>
    <t>Acque Sotterranee - Italian Journal of Groundwater</t>
  </si>
  <si>
    <t>10.7343/as-2022-590</t>
  </si>
  <si>
    <t>https://www.scopus.com/inward/record.uri?eid=2-s2.0-85144900128&amp;doi=10.7343%2fas-2022-590&amp;partnerID=40&amp;md5=da62cabf2ec4adf056e2f237c650cf8a</t>
  </si>
  <si>
    <t>This paper proposes a preliminary and large-scale survey methodology to identify areas suitable for in-depth analysis for the application of Sustainable Drainage Systems and Managed Aquifer Recharge. These techniques are frequently applied to increase the natural infiltration capacity of water into the ground and their effectiveness depends on the local hydrogeological and morphological characteristics. The study area is the city of Rome where the aim is to mitigate the problems related to rainwater which, in case of extreme events, struggles to infiltrate into the ground, overloads the undersized drainage systems, and floods the urban space.The proposed method involves GIS geospatial analysis of the permeability of outcropping lithologies, the digital elevation model, and the piezometric levels of the aquifers. To identify the suitable zones, areas characterised by high permeability and a piezometric level that would confer a volumetric capacity to possibly store even large quantities of water, without triggering possible problems of water table rise, were identified. Data were divided into classes and indexed to compare and overlap them. Furthermore, the final result was compared with the urban flooding phenomena and the soil permeability map of Rome. The results of the performed analysis show that the preliminary suitable conditions to apply SuDS and MAR in Rome are widespread. The geological setting of the city is characterised by permeable lithologies in many places with an effective infiltration potential that would allow rainwater to infiltrate the subsoil and reach the first available aquifer. © 2022 by the authors.</t>
  </si>
  <si>
    <t>2-s2.0-85144900128"</t>
  </si>
  <si>
    <t>10.1142/S1793431122410020</t>
  </si>
  <si>
    <t>https://www.scopus.com/inward/record.uri?eid=2-s2.0-85139006022&amp;doi=10.1142%2fS1793431122410020&amp;partnerID=40&amp;md5=1f768b260c88afba8a1ed4a05fa06c59</t>
  </si>
  <si>
    <t>Large coral boulders are usually deposited in coastal regions due to high-energy inundation events, such as tsunamis or storms. The study on physical mechanisms is an important issue in hydrodynamics and sedimentology. In this study, the dam break induced the transportation, and the initial movements of a boulder are simulated on a flatbed in a laboratory experiment using a microelectromechanical system (MEMS) and image analysis. The scaled-down modeled boulder made the three-dimensional reconstruction rebuild the shape and surface texture of a realistic boulder. The MEMS integrated with the modeled boulder autonomously measures the signals and numerically calculates corresponding postures and transportation in three submerged conditions of the modeled boulder in the hydrodynamic experiment. Experimental results show that the boulder transportation process is a typical two-dimensional general planar motion, which includes sliding along the transported direction and swaying around the z-axis. Rolling and saltation are not dominant modes in the experiment. The results show that a complete transportation includes a variable speed movement in the initial motion, acceleration-deceleration to the uniform motion, and boulder stopping in the destination. The transported velocities of the modeled boulder are smaller than wave celerities. The maximum/minimum velocities and displacements occur in the partially and fully submerged conditions, respectively. The adjustment of the boulder's posture is completed in the initial motion, and then the boulder almost keeps the same posture to move forward to the end. Moreover, the boulder is not driven when the nondimensional water depth is close to the critical condition.  © 2022 World Scientific Publishing Company.</t>
  </si>
  <si>
    <t>2-s2.0-85139006022"</t>
  </si>
  <si>
    <t>10.1007/s42489-022-00116-4</t>
  </si>
  <si>
    <t>https://www.scopus.com/inward/record.uri?eid=2-s2.0-85136535465&amp;doi=10.1007%2fs42489-022-00116-4&amp;partnerID=40&amp;md5=ed6480047250f2cfd1c149cc24607f9e</t>
  </si>
  <si>
    <t>The Sindh River is one of the most important water sources in Jammu and Kashmir, India. It is the chief Jhelum tributary flowing in the Kashmir Valley, with a significant impact to the country’s economy, production of hydroelectric power and irrigation for farming. This study aims to access the applicability, competence and aptness of Hydrologic modeling system (HEC-HMS) for forecasting flood in the River Sindh of Kashmir Valley, India. HEC-GeoHMS which is an extension ArcView GIS tool was used for processing digital elevation model (DEM) by terrain pre-processing, and basin processing. Historical observed data (1992–2018), collected from irrigation and flood control department Kashmir, was used for calibration and validation of model. Four peak flow years were selected for calibration (1995 and 1998) and validation (2014 and 2017). The competence of the model was assessed by relating the observed data with the simulation data of the chosen flood occasions. Performance indicator values, i.e., (Peak flow) Percentage error in Peak Flow (PEPF), Model Efficiency (ME), and correlation coefficient (R2)were all within the acceptable range. The efficiency of the calibrated and validated training model is 0.94–0.95, and 0.96–0.98, respectively, which is acceptable. Also, a strong relation was found between observed and simulated values of peak discharge with R2 ranging between 0.95–0.98 for calibration and validation periods. The overall result shows interest in applying a hydrological model for flood risk assessment of Sindh River, where the peak discharge simulation results are consistent with historical observation data. © 2022, Deutsche Gesellschaft für Kartographie e.V.</t>
  </si>
  <si>
    <t>2-s2.0-85136535465"</t>
  </si>
  <si>
    <t>10.3390/urbansci6040076</t>
  </si>
  <si>
    <t>https://www.scopus.com/inward/record.uri?eid=2-s2.0-85176457386&amp;doi=10.3390%2furbansci6040076&amp;partnerID=40&amp;md5=ee348401cc277ea1c21021b98049f230</t>
  </si>
  <si>
    <t>How just are risk responses that worsen vulnerability in the long term? Should the urban poor be left with self-reliance when facing hazards in the Anthropocene? This research investigates urban development and vulnerability in the Anthropocene. While it is known that informal settlements face greater hazards than most urbanized areas, there are different landscapes of risk. The analysis explores divergent risk-response strategies among households according to their residents’ risk perception and response capacity in two different landscapes of an urban delta using logit regression models. These models evaluate the associations between 14 response options to floods and control for factors of income, age, number of residents in the household, location, access to vehicles, and self-identified ethnicity. This study uses data from the Living with Floods Survey by the World Bank to investigate risk responses to the 2015 flood in the Jacuí River delta. The analysis considers a large sample of households (n = 1451) in informal settlements. The results show the intense influence of income on location choice and response capacity. We also found that income is a more robust social descriptor of response capacity than age or ethnicity. Risk perception proved limited in determining response strategies and can be associated with resignation to losses from floods. We argue that these results suggest trade-offs between short- and long-term responses to hazards in informal settlements in coastal and delta regions, which link adaptive behavior to environmental justice. © 2022 by the authors.</t>
  </si>
  <si>
    <t>2-s2.0-85176457386"</t>
  </si>
  <si>
    <t>10.3389/fenvs.2022.987246</t>
  </si>
  <si>
    <t>https://www.scopus.com/inward/record.uri?eid=2-s2.0-85142120552&amp;doi=10.3389%2ffenvs.2022.987246&amp;partnerID=40&amp;md5=34611173df95f6f716a49c0d85154476</t>
  </si>
  <si>
    <t>As a symptom of accelerated sea level rise and historic impacts to tidal hydrology from agricultural and mosquito control activities, coastal marshes in the Northeastern U.S. are experiencing conversion to open water through edge loss, widening and headward erosion of tidal channels, and the formation and expansion of interior ponds. These interior ponds often form in high elevation marsh, confounding the notion applied in predictive modeling that salt marshes convert to open water when elevation falls below a critical surface inundation threshold. The installation of tidal channel extension features, or runnels, is a technique that has been implemented to reduce water levels and permit vegetation reestablishment in drowning coastal marshes, although there are limited data available to recommend its advisability. We report on 5 years of vegetation and hydrologic monitoring of two locations where a total of 600-m of shallow (0.15–0.30-m in diameter and depth) runnels were installed in 2015 and 2016 to enhance drainage, in the Pettaquamscutt River Estuary, in southern Rhode Island, United States. Results from this Before-After Control-Impact (BACI) designed study found that runnel installation successfully promoted plant recolonization, although runnels did not consistently promote increases in high marsh species presence or diversity. Runnels reduced the groundwater table (by 0.07–0.12 m), and at one location, the groundwater table experienced a 2-fold increase in the fraction of the in-channel tidal range that was observed in the marsh water table. We suggest that restoration of tidal hydrology through runnel installation holds promise as a tool to encourage revegetation and extend the lifespan of drowning coastal marshes where interior ponds are expanding. In addition, our study highlights the importance of considering the rising groundwater table as an important factor in marsh drowning due to expanding interior ponds found on the marsh platform. Copyright © 2022 Watson, Ferguson, Champlin, White, Ernst, Sylla, Wilburn and Wigand.</t>
  </si>
  <si>
    <t>2-s2.0-85142120552"</t>
  </si>
  <si>
    <t>10.1186/s40623-022-01607-4</t>
  </si>
  <si>
    <t>https://www.scopus.com/inward/record.uri?eid=2-s2.0-85128238216&amp;doi=10.1186%2fs40623-022-01607-4&amp;partnerID=40&amp;md5=8046a4174648ad7f93b394e141d18753</t>
  </si>
  <si>
    <t>Large earthquakes around Japan occur not only in the Pacific Ocean but also in the Sea of Japan, and cause both damage from the earthquake itself and from the ensuing tsunami to the coastal areas. Recently, offshore active fault surveys were conducted in the Sea of Japan by the Integrated Research Project on Seismic and Tsunami Hazards around the Sea of Japan (JSPJ), and their fault models (length, width, strike, dip, and slip angles) have been obtained. We examined the causative faults of M7 or larger earthquakes in the Sea of Japan during the twentieth century, comprising events of 1940, 1964, 1983, and 1993, using seismic and tsunami data. The 1940 off Shakotan Peninsula earthquake (MJMA 7.5) appears to have been caused by the offshore active faults MS01, MS02, ST01, and ST02 as modeled by the JSPJ. The 1993 off the southwest coast of Hokkaido earthquake (MJMA 7.8) likely occurred on the offshore active faults OK03a, OK03b, and OK05, while the 1983 Central Sea of Japan earthquake (MJMA 7.7) probably related to MMS01, MMS04, and MGM01. For these earthquakes, the observed tsunami waveforms were basically reproduced by tsunami numerical simulation from the offshore active faults with the slip amounts obtained by the scaling relation with three stages between seismic moment and source area for inland earthquakes. However, the observed tsunami runup heights along the coast were not reproduced at certain locations, possibly because of the coarse bathymetry data used for the simulation. The 1983 west off Aomori (MJMA 7.1) and the 1964 off Oga Peninsula (MJMA 6.9) earthquakes showed multiple faults near the source area that could be used to reproduce the observed tsunami waveforms</t>
  </si>
  <si>
    <t>10.1007/s41207-022-00332-4</t>
  </si>
  <si>
    <t>https://www.scopus.com/inward/record.uri?eid=2-s2.0-85141468120&amp;doi=10.1007%2fs41207-022-00332-4&amp;partnerID=40&amp;md5=f0c607b5d91f881694f056e81355ffde</t>
  </si>
  <si>
    <t>Today’s remote sensing data and technologies offer the capability to effectively monitor diverse and challenging environments around the world, such as coastal river and riparian zones. Coastal riparian zones and river deltas usually demonstrate extreme coastline changes in terms of the extent of water coverage of inland territories due to flood events, low and high tides, the climate, specific environmental characteristics, etc. In this paper, we exploit freely available multispectral time series data for previous decades, utilizing Landsat missions in order to develop an open-source-based image processing pipeline for the extraction of the actual yearly average coastline status of riparian river delta areas. The latter present significant temporal coastline changes between years, semesters, and months. Average mean maps are generated and then compared to several temporal levels in order to distinguish long-term significant changes and ecosystem threats. Additionally, a custom long short-term memory (LSTM) neural network is deployed to forecast the evolution of the coastline by exploiting the average value for each pixel across all available images as a training sample and producing a forecast output for the next period. The network achieves accuracy scores of 89.77% over 'non-water' depicting pixels and 84.26% over 'water' depicting pixels, for regions that present frequent changes between land and water coverage over time. The predicted map presents high statistical agreement with the respective average map generated in two different validation approaches, with kappa coefficients of 85.9% and 91.4%, respectively. © 2022, The Author(s).</t>
  </si>
  <si>
    <t>2-s2.0-85141468120"</t>
  </si>
  <si>
    <t>10.3389/fenvs.2022.1033579</t>
  </si>
  <si>
    <t>https://www.scopus.com/inward/record.uri?eid=2-s2.0-85143436665&amp;doi=10.3389%2ffenvs.2022.1033579&amp;partnerID=40&amp;md5=edb64cf4c6ad109a2d1632715653a3bb</t>
  </si>
  <si>
    <t>The impacts of natural disasters are often disproportionally borne by poor or otherwise marginalized groups. However, while disaster risk modelling studies have made progress in quantifying the exposure of populations, limited advances have been made in determining the socioeconomic characteristics of these exposed populations. Here, we generate synthetic structural and socioeconomic microdata for around 9.5 million persons for six districts in Bangladesh as vector points using a combination of spatial microsimulation techniques and dasymetric modelling. We overlay the dataset with satellite-derived flood extents of Cyclone Fani, affecting the region in 2019, quantifying the number of exposed households, their socioeconomic characteristics, and the exposure bias of certain household variables. We demonstrate how combining various modelling techniques could provide novel insights into the exposure of poor and vulnerable groups, which could help inform the emergency response after extreme events as well targeting adaptation options to those most in need of them. Copyright © 2022 Rubinyi, Verschuur, Goldblatt, Gussenbauer, Kowarik, Mannix, Bottoms and Hall.</t>
  </si>
  <si>
    <t>2-s2.0-85143436665"</t>
  </si>
  <si>
    <t>10.1029/2022EF003097</t>
  </si>
  <si>
    <t>https://www.scopus.com/inward/record.uri?eid=2-s2.0-85145093749&amp;doi=10.1029%2f2022EF003097&amp;partnerID=40&amp;md5=151f45922ad3c911f9775da53f594e77</t>
  </si>
  <si>
    <t>Accurate delineation of compound flood hazard requires joint simulation of rainfall-runoff and storm surges within high-resolution flood models, which may be computationally expensive. There is a need for supplementing physical models with efficient, probabilistic methodologies for compound flood hazard assessment that can be applied under a range of climate and environment conditions. Here we propose an extension to the joint probability optimal sampling method (JPM-OS), which has been widely used for storm surge assessment, and apply it for rainfall-surge compound hazard assessment under climate change at the catchment-scale. We utilize thousands of synthetic tropical cyclones (TCs) and physics-based models to characterize storm surge and rainfall hazards at the coast. Then we implement a Bayesian quadrature optimization approach (JPM-OS-BQ) to select a small number (∼100) of storms, which are simulated within a high-resolution flood model to characterize the compound flood hazard. We show that the limited JPM-OS-BQ simulations can capture historical flood return levels within 0.25 m compared to a high-fidelity Monte Carlo approach. We find that the combined impact of 2100 sea-level rise (SLR) and TC climatology changes on flood hazard change in the Cape Fear Estuary, NC will increase the 100-year flood extent by 27% and increase inundation volume by 62%. Moreover, we show that probabilistic incorporation of SLR in the JPM-OS-BQ framework leads to different 100-year flood maps compared to using a single mean SLR projection. Our framework can be applied to catchments across the United States Atlantic and Gulf coasts under a variety of climate and environment scenarios. © 2022 The Authors.</t>
  </si>
  <si>
    <t>2-s2.0-85145093749"</t>
  </si>
  <si>
    <t>10.1038/s41598-022-26159-1</t>
  </si>
  <si>
    <t>https://www.scopus.com/inward/record.uri?eid=2-s2.0-85144801891&amp;doi=10.1038%2fs41598-022-26159-1&amp;partnerID=40&amp;md5=7a401e4e6d154a73a66ad62ba417f745</t>
  </si>
  <si>
    <t>InSAR-based deformation analysis and the geomorphic hypsometric integral (HI) technique are powerful tools for assessing the susceptibility and comparison of seismic sites to earthquakes. Therefore, this paper mainly focuses on surface deformation analysis associated with the Mw 5.0 earthquake (2019) in Mach and Quetta, Balochistan, Pakistan. Sentinel-1 IW data was used to perform PS-InSAR time series analysis. SRTM DEM of 30 m spatial resolution was utilized for the geomorphic Hypsometry Integral (HI) method. The obtained results of the Interferogram indicate the changes in velocity and vertical displacement during pre-seismic, co-seismic, and post-seismic activity. Integral values were calculated using Hypsometry curves delineating the future probability and comparison of vulnerable seismological sites in Mach, Quetta, Ghazaband, Chamman and surroundings of Balochistan region. The combined results of HI and PS-InSAR revealed that Mach and Quetta regions are in between two lines known as the mature stages. Class 1_moderate (0.35 ≤ HI ≤ 0.52)</t>
  </si>
  <si>
    <t>10.1038/s41598-022-20597-7</t>
  </si>
  <si>
    <t>https://www.scopus.com/inward/record.uri?eid=2-s2.0-85143549824&amp;doi=10.1038%2fs41598-022-20597-7&amp;partnerID=40&amp;md5=b8d2013c50965f9ee4b5175bcbcf80c6</t>
  </si>
  <si>
    <t>The Mekong River Delta (MRD) is an essential agricultural area for the worldwide rice supply. Floods and droughts triggered by El Niño southern oscillation (ENSO) have been threatening sustenance in the MRD. Sustainable food supplies require understanding the response of the MRD hydrology to the changing ENSO behaviour in recent decades. Here, we reconstructed the annual rainfall maxima in the MRD using the oceanic paleoclimate proxy from coral skeletons and compared them with ENSO indexes. Annual minima of coral-based seawater oxygen isotope (δ18Osw) correlated with annual rainfall maxima, which allowed to extend rainfall data from 1924 to the recent. The annual rainfall maxima based on δ18Osw negatively correlated with the central Pacific El Niño index. This suggested that La Niña and central Pacific El Niño events lead to heavy and light rainy seasons. The heavy rainy season had more serious impacts in recent decades, which likely increases the flood risk. In contrast, the frequency and rainfall amount of the light rainy season has not changed significantly, although a catastrophic drought has hit the MRD. Our finding concludes that the impact of the ENSO event on MRD hydrology is inconsistent in the past century. © 2022, The Author(s).</t>
  </si>
  <si>
    <t>2-s2.0-85143549824"</t>
  </si>
  <si>
    <t>10.1029/2022EF003031</t>
  </si>
  <si>
    <t>https://www.scopus.com/inward/record.uri?eid=2-s2.0-85145219974&amp;doi=10.1029%2f2022EF003031&amp;partnerID=40&amp;md5=6ec55c258ea6d9dba2e44f63d4aba5aa</t>
  </si>
  <si>
    <t>Risk mitigation policies (like dike rising) are essential to address increasing coastal flood risks due to global warming. Furthermore, the optimal level of risk mitigation policy should be determined by public preferences for risk reduction. However, it is difficult to reveal public preferences for coastal flood risk reduction because projections of coastal flood risks inevitably involve uncertainty. This study aims to estimate household preference for coastal flood reduction under ambiguity and multiple projections of coastal flood risks. By coupling storm surge inundation simulations and stated preference experiments with decision models, we estimate the expected loss reduction, risk premium, and ambiguity premium for coastal flood risk mitigation policies. The study shows that ignoring the ambiguity premium causes significant undervaluation of coastal flood risk mitigation. © 2022 The Authors. Earth's Future published by Wiley Periodicals LLC on behalf of American Geophysical Union.</t>
  </si>
  <si>
    <t>2-s2.0-85145219974"</t>
  </si>
  <si>
    <t>10.3390/urbansci6040065</t>
  </si>
  <si>
    <t>https://www.scopus.com/inward/record.uri?eid=2-s2.0-85168281854&amp;doi=10.3390%2furbansci6040065&amp;partnerID=40&amp;md5=51be542e5564c49cefae3a99c8fe97f2</t>
  </si>
  <si>
    <t>Coastal zones are experiencing rapid urbanization at unprecedented rates. At the same time, coastal cities are the most prone to climate-related vulnerability, including impacts of sea-level rise and climate-related coastal hazards under the present and projected future climate. Decision making about coastal urban climate adaptation can be informed by coastal climate services based on modeling tools. We develop a two-period coastal urban adaptation model in which two periods—the present and the future—are distinguished. In the model, a city agent anticipates sea-level rise and related coastal flood hazards with adverse impacts in the future period that, through damages, will reduce the urban income. However, the magnitude of future sea-level rise and induced damages are characterized by uncertainty. The urban planning agent has to make an investment decision under uncertainty: whether to invest in climate adaptation (in the form of construction of coastal protection) or not, and if so, how much. The decision making of the urban agent is derived from intertemporal maximization of expected time-discounted consumption. An exact solution in the closed form is derived for an analytically tractable particular case, for which it is shown that investment decisions depend discontinuously on the value of a single non-dimensional model indicator. When this indicator exceeds a certain threshold value, the urban agent discontinuously switches from the ‘business-as-usual’ (BaU) strategy when no adaptation investment is taken to a proactive adaptation. The role of coastal climate services in informing the decision making on adaptation strategies is discussed. © 2022 by the authors.</t>
  </si>
  <si>
    <t>2-s2.0-85168281854"</t>
  </si>
  <si>
    <t>10.2112/JCOASTRES-D-22TM-00001.1</t>
  </si>
  <si>
    <t>https://www.scopus.com/inward/record.uri?eid=2-s2.0-85146842665&amp;doi=10.2112%2fJCOASTRES-D-22TM-00001.1&amp;partnerID=40&amp;md5=1f14d93e326bec7e601468b3c63b3421</t>
  </si>
  <si>
    <t>Typhoons Maysak and Haishen, the ninth and tenth typhoons of 2020, ravaged the Korean Peninsula within an interval of only 4 to 5 days. In the vicinity of the peninsula, these two typhoons exhibited unusual northward movement paths as they made landfall on the south coast of Korea and exited off the east coast. The storm waves caused by these typhoons damaged a number of structures along the east and south coasts, particularly by overtopping and flooding. In this study, storm waves were estimated by applying the wind fields caused by Typhoons Maysak and Haishen in the thirdgeneration wave model Simulation WAves Nearshore (SWAN), and results were verified through a comparison with wave observation data. The storm wave characteristics were analyzed mainly based on the east and south coasts, which were damaged by high waves that accompanied the typhoons. In addition, the deep-water design wave specifications around the Korean Peninsula revised in 2019 were compared with the storm waves that occurred during Typhoons Maysak and Haishen as calculated by the SWAN model. Consequently, during the onslaughts of Typhoons Maysak and Haishen, storm waves corresponding to more than 90% of the deep-water design wave heights for the 50 year return period were estimated at grid points on the East Sea and Ulleungdo Island of Korea.</t>
  </si>
  <si>
    <t>10.1007/s13201-022-01767-4</t>
  </si>
  <si>
    <t>https://www.scopus.com/inward/record.uri?eid=2-s2.0-85140887304&amp;doi=10.1007%2fs13201-022-01767-4&amp;partnerID=40&amp;md5=b014349969d1d56c0e28143329a36ee9</t>
  </si>
  <si>
    <t>The constant deficiency of water modality will increase the incidence of complaint, predominantly for unguarded people in undeveloped republics, where practical doses and substitutes are not enthusiastically available. Many wetland-reliant on types in many percentages of the ecosphere are in degeneration</t>
  </si>
  <si>
    <t>10.1016/j.ejrs.2022.11.003</t>
  </si>
  <si>
    <t>https://www.scopus.com/inward/record.uri?eid=2-s2.0-85142532559&amp;doi=10.1016%2fj.ejrs.2022.11.003&amp;partnerID=40&amp;md5=d8ea5902edb06ac2371a46b4c408baf1</t>
  </si>
  <si>
    <t>Floods are potentially devastating natural hazards that can threaten human life and ecosystems. The serious impact caused by floods is the reason for the urgent need to provide an appropriate flood susceptibility map (FSM). Floods can be triggered by various meteorological events, such as storms in coastal areas. On 14 March 2019, Cyclone Idai produced massive and severe flooding inundation in the coastal city of Beira, Mozambique. The extensive flood damage in Beira necessitated providing an accurate FSM and analyzing the factors associated with flooding. This study integrated the data of synthetic aperture radar (SAR), geographic information system (GIS), and two deep learning models, namely, the group method of data handling (GMDH) and convolutional neural network (CNN), to generate a precise FSM. We compared the performance of CNN and GMDH models in generating the FSMs for a case study of the March 2019 flood in the Beira Area, Mozambique. The result showed that the models produced a similar pattern of FSM, where the areas near the river, having a lower slope and lower altitude, have a higher flood risk. The FSM generated by CNN and GMDH models were compared to find a better model for flood risk assessment. The prediction performance of CNN model (AUC = 0.90 and RMSE = 0.022) was better than the result of GMDH model (AUC = 0.87 and RMSE = 0.089). The study should be used to mitigate the flood disaster and reduce flood risk in the future. © 2022 National Authority of Remote Sensing &amp; Space Science</t>
  </si>
  <si>
    <t>2-s2.0-85142532559"</t>
  </si>
  <si>
    <t>10.3390/rs14246197</t>
  </si>
  <si>
    <t>https://www.scopus.com/inward/record.uri?eid=2-s2.0-85144818017&amp;doi=10.3390%2frs14246197&amp;partnerID=40&amp;md5=df80ba345530165bb6e886029da6df71</t>
  </si>
  <si>
    <t>The Amazon Macrotidal Mangrove Coast contains the most extensive and continuous mangrove belt globally, occupying an area of ~6500 km2 and accounting for 4.2% of global mangroves. The tallest and densest mangrove forests in the Amazon occur on the Bragança Peninsula. However, road construction that occurred in 1973 caused significant mangrove degradation in the area. A spatial-temporal analysis (1986–2019) based on optical, Synthetic Aperture Radar (SAR), drone images, and altimetric data obtained by photogrammetry and validated by a topographic survey were carried out to understand how the construction of a road led to the death of mangroves. The topographic data suggested that this road altered the hydrodynamical flow, damming tidal waters. This process killed at least 4.3 km2 of mangrove trees. Nevertheless, due to natural mangrove recolonization, the area exhibiting degraded mangrove health decreased to ~2.8 km2 in 2003 and ~0.73 km2 in 2019. Climatic extreme events such as “El Niño” and “La Niña” had ephemeral control over the mangrove degradation/regeneration. In contrast, the relative sea-level rise during the last several decades caused long-term mangrove recolonization, expanding mangrove areas from lower to higher tidal flats. Permanently flooded depressions in the study area, created by the altered hydrodynamical flow due to the road, are unlikely to be recolonized by mangroves unless connections are re-established between these depressions with drainage on the Caeté estuary through pipes or bridges to prevent water accumulation between the road and depressions. To minimize impacts on mangroves, this road should have initially been designed to cross mangrove areas on the highest tidal flats and to skirt the channel headwaters to avoid interruption of regular tidal flow. © 2022 by the authors.</t>
  </si>
  <si>
    <t>2-s2.0-85144818017"</t>
  </si>
  <si>
    <t>10.1186/s12302-022-00639-7</t>
  </si>
  <si>
    <t>https://www.scopus.com/inward/record.uri?eid=2-s2.0-85133437057&amp;doi=10.1186%2fs12302-022-00639-7&amp;partnerID=40&amp;md5=40a5d30c131477508e39faba0d217d6b</t>
  </si>
  <si>
    <t>Background: Flood events increase the risk of sediment erosion and hence the release of particle-bound pollutants besides other processes that can be observed during such events like transportation, lateral distribution and other. Macropollutants, such as acids, salts, nutrients, and natural organic matter, are usually diluted by flooding, while the effect of floods on micropollutants is still unclear. To fill this gap, Qingshui Stream, a tributary of the Jialing River in the city of Chongqing that suffered 75,000 m3·s−1 flood in August 2020 was selected in the current study to clarify effects of flood-induced pollution transportation. 14 surface water samples and 14 sediment samples were collected to analyze the occurrence of micropollutants (including 21 organochlorine pesticides (OCPs), 34 organophosphorus pesticides (OPPs) and 3 estrogenic compounds) before, during and after the flood. Finally, the environmental risks were evaluated by risk quotient (RQ). Results: The concentrations of total phosphorus (TP), total nitrogen (TN), chemical oxygen demand (COD) in the surface water decreased from upstream to downstream, and the amounts were diluted by flooding from 0.08 to 0.05 mg·L−1 for TP, from 0.06 to 0.02 mg·L−1 for TN and from 132 to 27 mg·L−1 for COD, respectively. The concentration of estrogenic compound was up to 90 ng·g−1, which was reduced to be lower than the limit of detection during flood. Alpha-endosulfan, delta-BHC, mirex, dichlorvos, phosdrin, thionazine, tetraethyl pyrophosphate, diazinon, methyl parathion, malathion, chlorpyrifos, famphur, and EPN were diluted by flooding, i.e., the concentration of delta-BHC reduced from 6.67 to 0.09 ng·g−1</t>
  </si>
  <si>
    <t>10.13189/eer.2022.100615</t>
  </si>
  <si>
    <t>https://www.scopus.com/inward/record.uri?eid=2-s2.0-85145313039&amp;doi=10.13189%2feer.2022.100615&amp;partnerID=40&amp;md5=21af81303636b9568c4394a9ba181888</t>
  </si>
  <si>
    <t>The study focused on Geospatial mapping of areas at risk to flooding along Sokoto-rima river basin, Sokoto Nigeria. Five Local Government Areas were considered for this study. Natural factors causing flood in the river basin such as: soil type, precipitation, land use, slope, drainage density, and elevation were considered. Landsat 7ETM+ of 30m resolution, ASTER Global Digital Elevation Model, Global Positioning System and Precipitation Data were the methods and materials used for the study. The weightage generated for the factors through Analytical Hierarchical Process (AHP), revealed that precipitation has more effect on the flood with a total of 34%. The analysis further revealed that slope had 30%, elevation 18%, soil type 4%, drainage density 9% while land use land cover had 5% in that order. Flood vulnerability was evaluated in five classes that are: less vulnerable (1.25%), vulnerable (20.04%), more vulnerable (63.04%), very vulnerable (11.32%) and highly vulnerable (4.35%). The reclassification results further revealed that water body is less vulnerable to flood with a weight of 3, agriculture and wet land areas are highly vulnerable with a weight of 20, built-up areas are extremely vulnerable with a weight of 42, forested areas are very vulnerable with a weight of 10, while bare land surfaces are more vulnerable with a weight of 5. Vulnerability map of the study area and a percentage area of each vulnerability class was produced as the final result. This will assist decision makers in the implementation of preventive or rescue work on the menace posed by the disaster. © 2022 by authors, all rights reserved.</t>
  </si>
  <si>
    <t>2-s2.0-85145313039"</t>
  </si>
  <si>
    <t>Journal of Asian Earth Sciences: X</t>
  </si>
  <si>
    <t>10.1016/j.jaesx.2022.100115</t>
  </si>
  <si>
    <t>https://www.scopus.com/inward/record.uri?eid=2-s2.0-85135712938&amp;doi=10.1016%2fj.jaesx.2022.100115&amp;partnerID=40&amp;md5=eaa4d2593067a43cb95f8142bfbafdc6</t>
  </si>
  <si>
    <t>Assam region is mainly formed by the deposit and erosion process of the Brahmaputra River. The frequency of seismic events results in landform deformation, which highly influences the drainage basin pattern and causes drainage anomalies, having a subsequent effect on the flood distribution pattern. In the present study, morphometric parameters and geomorphic indices for the Assam region are derived from SRTM DEM data of 30 m resolution using GIS to characterize the tectonic activity, which in turn influences the drainage pattern. The indices are classified into three tectonic activity classes, and the average of the classes is combined to generate the indices of relative active tectonics (IRAT). The four classes of IRAT are defined for the study area as (i) very high</t>
  </si>
  <si>
    <t>10.1038/s43247-022-00428-3</t>
  </si>
  <si>
    <t>https://www.scopus.com/inward/record.uri?eid=2-s2.0-85130458290&amp;doi=10.1038%2fs43247-022-00428-3&amp;partnerID=40&amp;md5=71b32cfc3464f5149cb66c96b2cc6f9f</t>
  </si>
  <si>
    <t>During the last deglaciation substantial volumes of meltwater from the decaying Laurentide Ice Sheet were supplied to the Arctic, Gulf of Mexico and North Atlantic along different drainage routes, sometimes as catastrophic flood events. These events are suggested to have impacted global climate, for example initiating the Younger Dryas cold period. Here we analyze the authigenic Pb isotopic composition of sediments in front of the Arctic Mackenzie Delta, a sensitive tracer for elevated freshwater runoff of the retreating Laurentide Ice Sheet. Our data reveal continuous meltwater supply to the Arctic along the Mackenzie River since the onset of the Bølling–Allerød. The strongest Lake Agassiz outflow event is observed at the end of the Bølling–Allerød close to the onset of the Younger Dryas. In context of deglacial North American runoff records from the southern and eastern outlets, our findings provide a detailed reconstruction of the deglacial drainage chronology of the disintegrating Laurentide Ice Sheet. © 2022, The Author(s).</t>
  </si>
  <si>
    <t>2-s2.0-85130458290"</t>
  </si>
  <si>
    <t>10.1007/s12524-022-01610-y</t>
  </si>
  <si>
    <t>https://www.scopus.com/inward/record.uri?eid=2-s2.0-85140370879&amp;doi=10.1007%2fs12524-022-01610-y&amp;partnerID=40&amp;md5=04588ebdff0c3f750137a3709043f188</t>
  </si>
  <si>
    <t>Flood is the most ubiquitous environmental hazard on the earth perhaps because rivers are the most dominant geomorphic agent in the present geological epoch. The actual process of flooding is the outcome of a complex set of control factors where nature and humans play a conjoint role. Unpredictable climate change with its weather phenomena increases the chances of disastrous events like floods, so it is a need to undertake in depth study using advanced techniques like GIS and remote sensing with accurate methods, including appropriate basin factors. The present study has identified the flood hazard zones of the Kasari River catchment, located in the Kolhapur District of Maharashtra. Remote sensing (RS) and geographic information system (GIS) techniques have been used for the attempted research work. Analytic hierarchy process (AHP) and weighted overlay analysis are the multi-criteria decision-making tools that have been used for preparing the flood hazard zone map of the Kasari River basin. A number of popular approaches to flood hazard mapping use DEMs, discharge data, and flood frequency data such as remote sensing, GIS, and hydrological data. As a phenomenon, flood is complex—caused by a multiplicity of factors—thus, this often overlooks its multidimensionality. This study used a multi-criteria decision-making tool, such as AHP, which has the added advantage of analyzing a large number of input parameters and their comparative analysis</t>
  </si>
  <si>
    <t>10.1038/s41597-022-01223-7</t>
  </si>
  <si>
    <t>https://www.scopus.com/inward/record.uri?eid=2-s2.0-85128138530&amp;doi=10.1038%2fs41597-022-01223-7&amp;partnerID=40&amp;md5=0b4b6d9ff8e6146acb2312fe825641e1</t>
  </si>
  <si>
    <t>London is one of the world’s most important coastal cities and is located around the Thames Estuary, United Kingdom (UK). Quantifying changes in sea levels in the Thames Estuary over the 20th century and early part of the 21st century is vital to inform future management of flood risk in London. However, there are currently relatively few long, digital records of sea level available in the Thames. Here we present a new extensive sea level dataset that we have digitised from historical hand-written tabulated ledgers of high and low water, from the Port of London Authority (PLA). We captured 463 years of data, from across 15 tide gauge sites, for the period 1911 to 1995. When these historical datasets are combined with digital records available from the PLA since 1995, the sea level time-series span the 111-year period from 1911 to 2021. This new dataset will be of great importance for ongoing monitoring of mean sea-level rise, and changes in tidal range and extreme sea levels in the Thames Estuary. © 2022, The Author(s).</t>
  </si>
  <si>
    <t>2-s2.0-85128138530"</t>
  </si>
  <si>
    <t>10.1007/s10669-022-09842-6</t>
  </si>
  <si>
    <t>https://www.scopus.com/inward/record.uri?eid=2-s2.0-85124403790&amp;doi=10.1007%2fs10669-022-09842-6&amp;partnerID=40&amp;md5=5e6c407c40de44b6be4babe5600531f3</t>
  </si>
  <si>
    <t>The rate of future global sea-level rise will likely increase due to elevated ocean temperatures and land-ice loss. Coastal properties are expected to become more prone to coastal flooding in coming decades due to relative sea-level rise caused by both global and local factors. Translating sea-level rise projections into lost physical and economic value is critical for companies, governments, and regulators. We use probability distributions of local sea-level rise projections, National Oceanic and Atmospheric Administration (NOAA) coastal digital elevation models, and CoreLogic housing data to estimate the timing of future sea-level rise inundation and a range of housing market impairments in four U.S. coastal metros (Atlantic City, NJ</t>
  </si>
  <si>
    <t>10.3390/rs14236179</t>
  </si>
  <si>
    <t>https://www.scopus.com/inward/record.uri?eid=2-s2.0-85143848725&amp;doi=10.3390%2frs14236179&amp;partnerID=40&amp;md5=cc18f10595a8fb81bda83d875003dcfb</t>
  </si>
  <si>
    <t>The Peninsular Malaysia Geodetic Vertical Datum 2000 (PMGVD2000) inherited several deficiencies due to offsets between local datums used, levelling error propagations, land subsidence, sea level rise, and sea level slopes along the southern half of the Malacca Strait on the west coast and the South China Sea in the east coast of the Peninsular relative to the Port Klang (PTK) datum point. To cater for a more reliable elevation-based assessment of both sea level rise and coastal flooding exposure, a new epoch-based height reference system PMGVD2022 has been developed. We have undertaken the processing of more than 30 years of sea level data from twelve tide gauge (TG) stations along the Peninsular Malaysia coast for the determination of the relative mean sea level (RMSL) at epoch 2022.0 with their respective trends and incorporates the quantification of the local vertical land motion (VLM) impact. PMGVD2022 is based on a new gravimetric geoid (PMGeoid2022) fitted to the RMSL at PTK. The orthometric height is realised through the GNSS levelling concept H = hGNSS–Nfit_PTK–NRMDT, where NRMDT is a constant offset due to the relative mean dynamic ocean topography (RMDT) between the fitted geoid at PTK and the local MSL datums along the Peninsular Malaysia coast. PMGVD2022 will become a single height reference system with absolute accuracies of better than ±3 cm and ±10 cm across most of the land/coastal area and the continental shelf of Peninsular Malaysia, respectively. © 2022 by the authors.</t>
  </si>
  <si>
    <t>2-s2.0-85143848725"</t>
  </si>
  <si>
    <t>10.1016/j.pdisas.2022.100261</t>
  </si>
  <si>
    <t>https://www.scopus.com/inward/record.uri?eid=2-s2.0-85141459544&amp;doi=10.1016%2fj.pdisas.2022.100261&amp;partnerID=40&amp;md5=1e6d546a711a703e3e81b3885af6309a</t>
  </si>
  <si>
    <t>This study developed a geo-spatial framework for assessing multi-hazard threat on the Bangladesh coast, integrating environmental hazards (EH), geo-environmental attributes (GA), and anthropogenic modifications (AM) based on their potential contribution to overall threat. For this purpose, a fuzzy logic based analytical technique was integrated with geospatial mapping. Thematic layers were prepared for twenty-three theoretically important factors representing the three components of threat. The spatial variations of threat and its components were delineated through spatial overlaying of the respective layers in a GIS environment. The final threat map revealed 32% (5338 km2) and 4% (646 km2) of the area of the western deltaic coast, which encompassed &gt;50–60% of the areas of Khulna, Bagerhat, and Satkhira districts, was under high and very high threat, respectively, owing primarily to frequent cyclones, salinity ingression, and subsidence, and secondarily to the low elevation of the coast, high astronomical tide, shallow bathymetry, excessive groundwater extraction, and polder construction. High and very high threat zones within the central estuarine coast corresponded to 27% (4518 km2) and 16% (2618 km2) of the area, including most of Bhola, Barguna, and Patuakhali districts, which was attributable to the effects of coastal erosion, sea-level rise, flooding and the ancillary effects of strong wave action, high river discharge, deforestation, and land transformation. Around 14% (948 km2) and 3% (164 km2) of the eastern cliff coast, comprising the southwestern part of the Coxsbazar district, was found to be under high and very high threat, respectively, due to the direct effects of sea-level rise, storm surge, erosion, and indirect effects of closeness to the shoreline, alluvial composition of the beach, tourism, and pollution from industries. The outcomes of this study could guide the coastal managers of Bangladesh in prioritizing actions aimed at disaster risk reduction and sustainable development of this region. © 2022 The Authors</t>
  </si>
  <si>
    <t>2-s2.0-85141459544"</t>
  </si>
  <si>
    <t>10.1038/s41598-022-06231-6</t>
  </si>
  <si>
    <t>https://www.scopus.com/inward/record.uri?eid=2-s2.0-85124262888&amp;doi=10.1038%2fs41598-022-06231-6&amp;partnerID=40&amp;md5=51a5e3f462fedc1db1447c4d5ffcf957</t>
  </si>
  <si>
    <t>Mangrove ecosystems play an important role in global carbon budget, however, the quantitative relationships between environmental drivers and productivity in these forests remain poorly understood. This study presented a remote sensing (RS)-based productivity model to estimate the light use efficiency (LUE) and gross primary production (GPP) of mangrove forests in China. Firstly, LUE model considered the effects of tidal inundation and therefore involved sea surface temperature (SST) and salinity as environmental scalars. Secondly, the downscaling effect of photosynthetic active radiation (PAR) on the mangrove LUE was quantified according to different PAR values. Thirdly, the maximum LUE varied with temperature and was therefore determined based on the response of daytime net ecosystem exchange and PAR at different temperatures. Lastly, GPP was estimated by combining the LUE model with the fraction of absorbed photosynthetically active radiation from Sentinel-2 images. The results showed that the LUE model developed for mangrove forests has higher overall accuracy (RMSE = 0.0051, R2 = 0.64) than the terrestrial model (RMSE = 0.0220, R2 = 0.24). The main environmental stressor for the photosynthesis of mangrove forests in China was PAR. The estimated GPP was, in general, in agreement with the in-situ measurement from the two carbon flux towers. Compared to the MODIS GPP product, the derived GPP had higher accuracy, with RMSE improving from 39.09 to 19.05 g C/m2/8 days in 2012, and from 33.76 to 19.51 g C/m2/8 days in 2015. The spatiotemporal distributions of the mangrove GPP revealed that GPP was most strongly controlled by environmental conditions, especially temperature and PAR, as well as the distribution of mangroves. These results demonstrate the potential of the RS-based productivity model for scaling up GPP in mangrove forests, a key to explore the carbon cycle of mangrove ecosystems at national and global scales. © 2022, The Author(s).</t>
  </si>
  <si>
    <t>2-s2.0-85124262888"</t>
  </si>
  <si>
    <t>10.5194/nhess-22-4087-2022</t>
  </si>
  <si>
    <t>https://www.scopus.com/inward/record.uri?eid=2-s2.0-85145577080&amp;doi=10.5194%2fnhess-22-4087-2022&amp;partnerID=40&amp;md5=b816aba8b3e389d3eb79b33699835909</t>
  </si>
  <si>
    <t>Flood-protection levees have been built along rivers and coastlines globally. Current datasets, however, are generally confined to territorial boundaries (national datasets) and are not always easily accessible, posing limitations for hydrologic models and assessments of flood hazard. Here, we bridge this knowledge gap by collecting and standardizing global flood-protection levee data for river deltas into the open-source global river delta levee data environment, openDELvE. In openDELvE, we aggregate levee data from national databases, reports, maps, and satellite imagery. The database identifies the river delta land areas that the levees have been designed to protect. Where data are available, we record the extent and design specifications of the levees themselves (e.g., levee height, crest width, construction material) in a harmonized format. The 1657 polygons of openDELvE contain 19 248 km of levees and 44 733.505 km2 of leveed area. For the 153 deltas included in openDELvE, 17 % of the land area is confined by flood-protection levees. Around 26 % of delta population lives within the 17 % of delta area that is protected, making leveed areas densely populated. openDELvE data can help improve flood exposure assessments, many of which currently do not account for flood-protection levees. We find that current flood hazard assessments that do not include levees may exaggerate the delta flood exposure by 33 % on average, but up to 100 % for some deltas. The openDELvE is made public on an interactive platform (https://www.opendelve.eu/, 1 October 2022), which includes a community-driven revision tool to encourage inclusion of new levee data and continuous improvement and refinement of open-source levee data. © 2022 Jaap H. Nienhuis et al.</t>
  </si>
  <si>
    <t>2-s2.0-85145577080"</t>
  </si>
  <si>
    <t>10.1016/j.cliser.2022.100332</t>
  </si>
  <si>
    <t>https://www.scopus.com/inward/record.uri?eid=2-s2.0-85140305488&amp;doi=10.1016%2fj.cliser.2022.100332&amp;partnerID=40&amp;md5=4af7644e88f4e4547e23c748a302e38c</t>
  </si>
  <si>
    <t>The threat of climate change caused sea-level rise in coastal areas and the associated consequences for human development are extremely high. Governments and land managers around the world are developing sea-level rise adaptation strategies and physical plans. In this context, the urgency for climate services, meaning the provision of climate information to meet the decision-making needs of users is emerging as a priority. We used a constructivist grounded theory approach to develop an assessment framework and answer the question is there alignment between supplied climate service written guidance materials and the demands of local practitioners working to address sea-level rise in their communities. This framework is highly flexible and compares guidance resources with local actions. We applied this framework in three areas – adaptation barriers, planning processes, and sea-level rise actions – to written climate service materials in California to test its viability and develop policy and theory relevant insights. Through this work we found significant integration of the existing climate services in practice in coastal California. We gained important insights into how climate services can better meet the needs of local practitioners (e.g. by deepening their focus on policy relevant materials). We found that the strategic comparison of different climate change adaptation actions needs more guidance materials. We also found that more explicit support is needed to overcome key policy and legal barriers. We uncovered the fact that newer theories, such as those that create a typology to compare physical sea-level rise adaption strategies have not infiltrated current planning practice and more support is needed to help make the bridge possible. These additional services are essential to ensure the effectiveness of existing resources. © 2022 The Authors</t>
  </si>
  <si>
    <t>2-s2.0-85140305488"</t>
  </si>
  <si>
    <t>10.1038/s43247-021-00338-w</t>
  </si>
  <si>
    <t>https://www.scopus.com/inward/record.uri?eid=2-s2.0-85130478435&amp;doi=10.1038%2fs43247-021-00338-w&amp;partnerID=40&amp;md5=7b82f0dae42d1f3ac3d26ab50079e877</t>
  </si>
  <si>
    <t>Sea-level rise is expected to outpace the capacity of coral reefs to grow and maintain their wave protection function, exacerbating coastal flooding and erosion of adjacent shorelines and threatening coastal communities. Here we present a new method that yields highly-resolved direct measurements of contemporary reef accretion on a Maldivian atoll reef rim, the critical zone that induces wave breaking. Results incorporate the suite of physical and ecological processes that contribute to reef accumulation and show growth rates vary from 6.6 ± 12.5 mm.y−1 on the reef crest, and up to 3.1 ± 10.2 mm.y−1, and −0.5 ± 1.8 mm.yr−1 on the outer and central reef flat respectively. If these short-term results are maintained over decades, the reef crest could keep pace with current sea-level rise. Findings highlight the need to resolve contemporary reef accretion at the critical wave dissipation zone to improve predictions of future reef growth, and re-evaluate exposure of adjacent shorelines to coastal hazards. © 2022, The Author(s).</t>
  </si>
  <si>
    <t>2-s2.0-85130478435"</t>
  </si>
  <si>
    <t>10.1016/j.ejrs.2022.08.003</t>
  </si>
  <si>
    <t>https://www.scopus.com/inward/record.uri?eid=2-s2.0-85137094488&amp;doi=10.1016%2fj.ejrs.2022.08.003&amp;partnerID=40&amp;md5=a4983aa3dc8ae1f72dcb5a2c4172a948</t>
  </si>
  <si>
    <t>Several Areas within Osogbo, the capital city of Osun State in Nigeria, have suffered severely from incessant flood occurrences, which necessitated flood vulnerability mapping. This research aimed to map out flood vulnerable areas within Osogbo Metropolis using geospatial techniques to facilitate fitting planning and proffer lasting solutions to the frequent damage that humans and their properties suffer from flooding within the city. Satellite data of Osogbo Metropolis were processed and analyzed in a GIS environment for flood vulnerable zones mapping. Eight (8) flood causative factors were combined in this study using Analytic Hierarchy Process (AHP). The factors are Stream Proximity (SP), Drainage Density (DD), Elevation, Slope, Stream Power Index (SPI), Topographic Wetness Index (TWI), Normalized Difference Vegetation Index (NDVI), and Land Use/Land Cover (LULC). Results revealed that approximately 24% of the total area of study falls within the high flood vulnerable zones, while 21% and 55% fall within the moderate and low flood vulnerable zones, respectively. A close agreement between the flood vulnerable zones and previous flood incidences across the study area established the accuracy of the methodology. This study's established flood vulnerable zones will guide the respective policymakers during discussions on preventing flood disasters within the Osogbo metropolis. © 2022 National Authority of Remote Sensing &amp; Space Science</t>
  </si>
  <si>
    <t>2-s2.0-85137094488"</t>
  </si>
  <si>
    <t>Ekologia Bratislava</t>
  </si>
  <si>
    <t>10.2478/eko-2022-0038</t>
  </si>
  <si>
    <t>https://www.scopus.com/inward/record.uri?eid=2-s2.0-85145694690&amp;doi=10.2478%2feko-2022-0038&amp;partnerID=40&amp;md5=f4462a984432fbdc4652f607ed7728f1</t>
  </si>
  <si>
    <t>In Algeria, the mountainous zones represent 11% of agricultural land of the country and are home to 25% of the population. The economic development and the associated urbanization have led to environmental degradation in the Traras Mountains, which are part of the Atlas Mountains. With the aim to evaluate the degradation consequences of this region, we focused on the evolution of land use and land cover over 36 years (1984-2020). Accordingly, we used Landsat and Google Earth Pro images, topographic and ecological inventory maps, as well terrain truth</t>
  </si>
  <si>
    <t>10.1007/s11852-022-00916-w</t>
  </si>
  <si>
    <t>https://www.scopus.com/inward/record.uri?eid=2-s2.0-85145217306&amp;doi=10.1007%2fs11852-022-00916-w&amp;partnerID=40&amp;md5=949e0c425a62d1703702044d3ebf830b</t>
  </si>
  <si>
    <t>The assessment of flash flood hazards in the coastal zone of Ras Ghareb City (RGC), Red Sea, Egypt, was accomplished through the use of GIS tools and the spatial multi-criteria approach. The presented work aims to assess, integrate, and generate potential flash flood hazard maps. The analytic hierarchy process was utilized to calculate weights of hazard and vulnerability of flash flood controlling factors and their parameters such as topographical, geological, and hydrological factors. In addition, the risk degree of each specific basin and its sub-basins is estimated by combining standardized parameter values. Despite its location in an arid region, the basin may receive a large amount of rainwater, which can cause flash floods at the basin's outlet. Recently, flash flooding took place in the coastal region of RGC in October 2016 and September 2020, resulting in the loss of many human lives and catastrophic effects on local infrastructure and surrounding environments. According to reports from Hurghada, Red Sea Governorate, the RGC experienced exceptional flooding that exceeded 120 million cubic meters as a result of 51 mm of rainfall. Based on the remote sensing satellite data such as Aster Digital Elevation Model (GDEM) and the GIS tools, the basin and sub-basin drainage patterns were delineated and compared with reference topographical map sheets of a scale of 1: 50,000. The sub-basins have been isolated and morphometrically studied to determine vulnerability to flash flooding. In addition, the flash flood threat model was developed using geoprocessing tools provided by ArcGIS software to incorporate all contributing factors spatially. The flash flood risk in the Ras Ghareb (RG) basins and their sub-basins has been identified and classified into three classes (high, medium, and low hazard degree). High and moderate flood-risk basins require comprehensive studies to introduce measures to protect certain areas from flood danger. Finally, the GIS and the spatial multi-criteria analyses were effective ways to carry out a flash flood management system in order to support the decision-makers by recommendations to conserve and mitigate the possible flash flood hazards in the study areas. © 2022, The Author(s).</t>
  </si>
  <si>
    <t>2-s2.0-85145217306"</t>
  </si>
  <si>
    <t>10.1016/j.quaint.2021.09.013</t>
  </si>
  <si>
    <t>https://www.scopus.com/inward/record.uri?eid=2-s2.0-85115958452&amp;doi=10.1016%2fj.quaint.2021.09.013&amp;partnerID=40&amp;md5=cf7c54ecc059be1435312ffec18ea61f</t>
  </si>
  <si>
    <t>South-eastern Sicily is one of the most seismically active areas of the Mediterranean Sea, marked by a high level of crustal seismicity, causing major earthquakes (up to Mw ∼7). As a consequence, this area is prone to earthquake-generated tsunamis, which affected the Ionian coast of Sicily in historical times. These tsunamis left geomorphic and sedimentary imprints, such as large boulders or high-energy deposits, along the coasts. One of these was reported by previous works along the coast of Ognina, a small residential area located 20 km south of Siracusa. The deposits ﬁll the back edge of a ria incised into Miocene limestones, are composed of three main stratigraphic units and were attributed to several tsunami and storm events that occurred along the coasts of south-eastern Sicily since the IV century Common Era (CE). Here, we use numerical models to simulate the impact of these extreme marine events, at the time of their occurrence, along the Ognina coastal sector, with the aim to: i) better define the tsunamigenic sources responsible for the events found in the deposits, ii) verify if some units could be related to a storm event, iii) investigate constrains on the paleogeography of the studied area at the time of tsunami and storm occurrence. We reconstructed the morphology of ancient local landscapes using geological and historical information, together with a detailed topographic and geoelectrical survey. We implemented a modelling chain (composed of Delft Dashboard, Delft 3d-FLOW and XBeach) to simulate the tsunami and storm wave propagation upon the ancient landscapes. Our results demonstrate that the use of advanced modeling tools, combined with in situ geological evidence and geophysical survey, has the potential to support the attribution of coastal geomorphic imprints to specific tsunami or storm events, the better definition of the paleo-landscapes, and the identification of the most likely tsunamigenic sources. This last aspect plays a fundamental role in providing more reliable characteristics of the tsunami propagation as well as in the assessing of potential tsunami hazard and related coastal impacts. © 2021 Elsevier Ltd and INQUA</t>
  </si>
  <si>
    <t>2-s2.0-85115958452"</t>
  </si>
  <si>
    <t>10.3390/min12101299</t>
  </si>
  <si>
    <t>https://www.scopus.com/inward/record.uri?eid=2-s2.0-85140881094&amp;doi=10.3390%2fmin12101299&amp;partnerID=40&amp;md5=8510640861f348095e2c8e336fbc2c8b</t>
  </si>
  <si>
    <t>The Carboniferous–Triassic period was an important stage of global sea–land transformation, with coal formation in the Carboniferous, biological extinction at the end of the Permian, and global drought in the Triassic. The MS-1 well in the Mosuowan High of the Junggar Basin is the deepest well drilled in Northwestern China. In this paper, we investigate the sedimentary environment and climate evolution of the Mosuowan area in the central Junggar Basin during the Late Carboniferous–Early Permian by the petrothermal, lipid biomarker, and isotopic composition of mud shale core samples, and explore the tectonic–climatic events and Central Asian orogenic belt evolution driving the sedimentary environment. The study shows that the organic matter from the Upper Carboniferous to the Lower Permian is at a mature stage, but biomarkers maintained the primary information although the organic matter was subjected to thermal evolution. In the late Carboniferous period (Tamugan Formation), the study area was a closed remnant sea with a relatively humid climate, triggering lush terrestrial vegetation and high organic carbon content in the sediments, which had the potential to evolve into natural gas. During the Xiazijie Formation of the Middle Permian, tectonic activity shifted to the subsidence period, and the salinity of the water decreased after a large input of fresh water. The lake basin area expanded, and the content of aquatic organisms continued to increase. As the Lower Permian stratigraphy is missing, this sea–land transition seems to jump. The low and upper Urho Formations of the Middle–Upper Permian are a deltaic foreland deposit, and geochemical indicators show an overall lake retreat process with a continuous increase in organic matter content of terrestrial origin. The lithologic assemblage of the Triassic Baikouquan Formation is braided river deltaic sedimentation with migration of deposition centers of the lake basin. In conclusion, the Late Carboniferous–Early Permian period was influenced by global changes, Paleo-Asian Ocean subduction, and continental splicing, which resulted in a continuous increase in terrestrial organic matter, water desalination, and oxidation-rich sediments in the Mosuowan region, but the P–T biological mass extinction event was not recorded. © 2022 by the authors.</t>
  </si>
  <si>
    <t>2-s2.0-85140881094"</t>
  </si>
  <si>
    <t>10.1016/j.envsci.2022.08.019</t>
  </si>
  <si>
    <t>https://www.scopus.com/inward/record.uri?eid=2-s2.0-85138811675&amp;doi=10.1016%2fj.envsci.2022.08.019&amp;partnerID=40&amp;md5=37ed1bcec34afdeee2e2149ce87fb8e9</t>
  </si>
  <si>
    <t>Coastal resilience strategies are vital for managing the impacts of climatic shocks and stresses that bedevils coastal zones globally. Coastal strategies that reflect indigenous knowledge and practices as well as local adaptation efforts are productive in promoting resilience to coastal erosion at the local level. However, there has been less common research in conventional literature on how national level strategies impact adaptation measures by local governance institutions and coastal dwellers in addressing coastal erosion. Using an explorative qualitative case study of selected coastal communities in Ghana, the paper contributes to this gap by assessing how national level strategies impact adaptation to coastal erosion at the local level. It also examines the institutional and community perception of coastal erosion, its causes and impacts. Findings indicate that all the coastal dwellers in the study communities are aware of coastal erosion with most of the community interviewees attributing the phenomenon to sea-level rise as the main driver of coastal erosion. Also, interviews with local government authorities and state agencies found that the national level coastal erosion adaptation strategies to a large extent do not promote local innovation in addressing climatic shocks and stresses of coastal communities. The paper contributes to contemporary debates in indigenous knowledge in climate change mitigation and adaptation by multilevel governance towards coastal resilience by recommending a collaborative effort between coastal communities and the District Assemblies in promoting indigenous knowledge in climate change adaptation and the preparation of coastal management plans that incorporates indigenous knowledge in adaptation to coastal erosion. © 2022 Elsevier Ltd</t>
  </si>
  <si>
    <t>2-s2.0-85138811675"</t>
  </si>
  <si>
    <t>10.3389/fenvs.2022.1045482</t>
  </si>
  <si>
    <t>https://www.scopus.com/inward/record.uri?eid=2-s2.0-85141998349&amp;doi=10.3389%2ffenvs.2022.1045482&amp;partnerID=40&amp;md5=ef565711e9cf86cfa7b264212ba0b643</t>
  </si>
  <si>
    <t>Solid wastes deposited in the coastal zone that date from an era of lax environmental regulations continue to pose significant challenges for regulators and coastal managers worldwide. The increasing risk of contaminant release from these legacy disposal sites, due to a range of factors including rising sea levels, associated saline intrusion, and greater hydrological extremes, have been highlighted by many researchers. Given this widespread challenge, and the often-limited remedial funds available, there is a pressing need for the development of new advanced site prioritization protocols to limit potential pollution risks to sensitive ecological or human receptors. This paper presents a multi-criteria decision analysis that integrates the principles of Conceptual Site Models (Source-Pathway-Receptor) at a national scale in England and Wales to identify legacy waste sites where occurrence of pollutant linkages are most likely. A suite of spatial data has been integrated in order to score potential risks associated with waste type (Source), likelihood of pollutant release relating to current and future flood and erosion climate projections, alongside current management infrastructure (Pathway), and proximity to sensitive ecological features or proxies of human use in coastal areas (Receptors). Of the 30,281 legacy waste deposits identified in England and Wales, 3,219 were located within the coastal zone, with coastal areas containing a density of legacy wastes (by area) 10.5 times higher than inland areas. Of these, 669 were identified as priority sites in locations without existing coastal defences or flood management infrastructure, with 2550 sites identified in protected areas where contaminant transfer risks could still be apparent. The majority (63%) of the priority sites have either undefined source terms, or are classified as mixed wastes. Mining and industrial wastes were also notable waste categories, and displayed strong regional distributions in the former mining areas of north-east and south-west of England, south Wales, and post-industrial estuaries. The large-scale screening process presented here could be used by environmental managers as a foundation to direct more high-resolution site assessment and remedial work at priority sites, and can be used as a tool by governments for directing funding to problematic sites. List of Acronyms. Copyright © 2022 Riley, Amezaga, Burke, Byrne, Cooper, Crane, Comber, Gandy, Hudson-Edwards, Jennings, Lewis, Lofts, MacDonald, Malcolm, Mayes, Onnis, Olszewska, Spears and Jarvis.</t>
  </si>
  <si>
    <t>2-s2.0-85141998349"</t>
  </si>
  <si>
    <t>10.1007/s11069-022-05432-6</t>
  </si>
  <si>
    <t>https://www.scopus.com/inward/record.uri?eid=2-s2.0-85131797089&amp;doi=10.1007%2fs11069-022-05432-6&amp;partnerID=40&amp;md5=d7d6f13c1428b3c1621e21a4888b9e40</t>
  </si>
  <si>
    <t>An increase in the global mean sea level is predicted during the twenty-first century, as a consequence of global average rising temperature projections. In addition, changes in the strength of atmospheric cyclonic storms may alter the development of storm surges, exacerbating the risks to coastal communities. Based on the fact that the interest and range of papers on this topic are growing, this study aims to present the status of the global scientific production on studies that have correlated climate change and the impact of storm surges on the coastal zone leading to erosion and flooding (inundation) via a bibliometric analysis. We analyzed 429 papers published in journals between January 1991 and February 2021 from the Scopus database. Through the VOSviewer and Bibliometrix R package, we describe the most relevant countries, affiliations, journals, authors, and keywords. Our results demonstrate that there has been an exponential growth in the research topic and that authors from the USA and the United Kingdom are the most prolific. Among the 1454 authors found, ten researchers published at least five papers on the topic and obtained at least 453 citations in the period. The most represented journals were the Journal of Coastal Research, Climatic Change, and Natural Hazards. We also found and discuss the lack of standardization in the choice of keywords, of which climate change, storm surge, and sea-level rise are the most frequent. Finally, we have written a guide to facilitate the authors’ bibliographic review. © 2022, The Author(s), under exclusive licence to Springer Nature B.V.</t>
  </si>
  <si>
    <t>2-s2.0-85131797089"</t>
  </si>
  <si>
    <t>10.1007/s11852-022-00895-y</t>
  </si>
  <si>
    <t>https://www.scopus.com/inward/record.uri?eid=2-s2.0-85139224640&amp;doi=10.1007%2fs11852-022-00895-y&amp;partnerID=40&amp;md5=beca3af0090fa8fd0b73e98a78519bc5</t>
  </si>
  <si>
    <t>The aim of this study was to analyze the influence of tidal flat reclamations on storm surges in the West Korean Bay during the Typhoon Bavi (2020). The simulation results have shown that during the typhoon, there were some changes in wave characteristics by the tidal flat reclamation at the measuring points along the natural coastal areas where the dikes would not be constructed. The significant wave height (Swh), peak wave period (Tp) and wave power (Wp) at most of measuring points were increased after each reclamation stage, for example, with the largest increase of 36.17% in the maximum Swh value at the measuring point S7 after the reclamation stage 2. Furthermore, the wave characteristics at seaward side of dikes were significantly increased as the reclamation plans were implemented. After the stage 1, the maximum Swh values increased by 23.95%, 29.72% and 15.79% for the regions A, B and C, respectively, while 55.34% and 62.39% for the regions A and B after the stage 2, respectively. The results have also shown that the Swh and Wp during the typhoon became smaller and more closely related to the tides as the water depth at measuring points decreased. It can be concluded that the wave impacts during storm events would become more severe, especially in front of dikes, as the reclamation projects are implemented in the West Korean Bay. © 2022, The Author(s), under exclusive licence to Springer Nature B.V.</t>
  </si>
  <si>
    <t>2-s2.0-85139224640"</t>
  </si>
  <si>
    <t>International Journal of Environmental Research</t>
  </si>
  <si>
    <t>10.1007/s41742-022-00461-2</t>
  </si>
  <si>
    <t>https://www.scopus.com/inward/record.uri?eid=2-s2.0-85137579590&amp;doi=10.1007%2fs41742-022-00461-2&amp;partnerID=40&amp;md5=a31553b4b74b04be1d1ba15ea5a54cd8</t>
  </si>
  <si>
    <t>Abstract: Efforts to restore and reclaim coastal wetlands have led to the evolution of invasive alien plant species and coastal defenses across significant parts of the globe. Synergistic stresses on coastal environments are intensifying due to the implementation of invasive alien plant species (IAPS) and the rapid expansion of coastal protection. Combined with sea-level rise and other projected climate change impacts, coastal habitats are expected to face much greater pressures and habitat degradation. The lack of more extended timescale studies on IAPS and the insufficient knowledge about the ecological impacts of coastal armoring suggest that life cycle assessment (LCA) is still underutilized within the coastal environment. We examine quantitative methods for cause-effect evaluation of three major biodiversity loss drivers: biodiversity/habitat loss, greenhouse gases GHG warming and nutrient enrichment/eutrophication, which are pertinent to IAPS, and coastal armoring in wetlands. Though there has been a scarce application of LCA to measure anthropogenic impacts on coastal ecosystems, our analysis shows that impact indicators can be enhanced for all known drivers but at varying levels of cause-effect pathway coverage, ambiguity, and spatial coverage. Modeling methods for predicting the spatial distribution and severity of human-driven actions in the coastal environment are well developed. Such procedures could be deployed to create spatially explicit LCA fate factors. We emphasize unique research paradigms to make LCA a more thorough and rigorous environmental impact assessment tool by incorporating coastal biodiversity loss, especially IAPS and habitat loss, in a consistent manner. Stakeholder participation in coastal ecosystem management may help ameliorate budgetary concerns and enhance wetland restoration practices and implementations. Graphical abstract: [Figure not available: see fulltext.] © 2022, University of Tehran.</t>
  </si>
  <si>
    <t>2-s2.0-85137579590"</t>
  </si>
  <si>
    <t>10.1139/cjes-2021-0127</t>
  </si>
  <si>
    <t>https://www.scopus.com/inward/record.uri?eid=2-s2.0-85142231019&amp;doi=10.1139%2fcjes-2021-0127&amp;partnerID=40&amp;md5=c9e6f669597822f6b7d5d7c9659969f5</t>
  </si>
  <si>
    <t>The Mackenzie Delta is an extensive river-mouth depocentre, the second largest delta on the Arctic Ocean, and lies in the zone of continuous permafrost. We report the first measurements of natural consolidation subsidence in a high-latitude delta with ice-bonded sediments. Several years of episodic GPS records on a network of 15 stable monuments throughout the central and outer delta reveal downward motion between 1.5 6 0.7 and 5.3 6 1.1 mm/year relative to a nearby monument on bedrock. Additional shallow subsidence results from loss of near-surface excess ice with deeper seasonal thaw in a warming climate. Isostatic adjustment is a third component of subsidence, captured in the NAD83v70VG crustal velocity model. Sedimentation rates over much of the outer delta are less than the rate of subsidence combined with rising sea level. Scenarios for future inundation are evaluated using interpolated IPCC AR5 projections, NAD83v70VG, and a LiDAR DEM with realistic consolidation, thaw subsidence, and sedimentation rates, on time scales of 40 and 90 years. These reveal increases in area flooded at mean water level from 33% in 2010 to 65% or as much as 85% in 2100, depending on the emissions scenario, driving delta-front retreat and removing a large proportion of avian nesting habitat. The three com-ponents of subsidence together increase the relative sea-level rise by a factor of two to eight, depending on the scenario. Consolidation subsidence may also contribute to rising low-flow water levels in the central delta, increasing river-lake con-nectivity, with negative impacts on aquatic biodiversity and productivity. © 2022 Her Majesty the Queen in Right of Canada, as represented by the Minister of Natural Resources.</t>
  </si>
  <si>
    <t>2-s2.0-85142231019"</t>
  </si>
  <si>
    <t>10.1016/j.geomorph.2022.108427</t>
  </si>
  <si>
    <t>https://www.scopus.com/inward/record.uri?eid=2-s2.0-85137025011&amp;doi=10.1016%2fj.geomorph.2022.108427&amp;partnerID=40&amp;md5=afdbec4229c96d79d901bf48313812d3</t>
  </si>
  <si>
    <t>Marine and subaerial erosion of volcanic ocean islands form coastal cliffs and shore platforms, particularly during stable sea levels. Posterosional lava flows can spill over these coastal cliffs and fill the platforms, leading to the progradation of lava deltas. This work aims to analyze this volcanic rocky coast setting at the island scale and to assess the volcanic constructional and erosive degradational effects on the coast at the scale of one volcanic edifice. El Hierro Island, Canary Islands, exemplifies a rocky coast with an active sea-cliff profile, reflecting its early evolutionary stage as a young ocean volcanic island with no fringing reef. The occurrence of a contemporary insular shelf formed during the Holocene sea-level highstand (&lt;7 ka) allows constraining the ages of those eruptions forming lava deltas affecting this geomorphological landform. A detailed bathymetry around the island allowed us to distinguish 17 eruptions fulfilling this criterion. The Montaña del Tesoro, which occurred about 1050 years BP, is one of these eruptions and was selected as a case study for morphometric modeling integrating subaerial and submarine data at the scale of a volcanic edifice. This eruption was a Strombolian basaltic volcanic event that produced a scoria cone, pyroclastic fall deposits, and lava flows that reached the ocean in the eastern rift zone of El Hierro island. We combine field-based observations with topographic and bathymetric data analysis to reconstruct the pre- and post-eruption Digital Elevation Models (DEMs) and, comparing with present-day DEM, to analyze morphometrically the influence of volcanism on the coastal landscape's development. The resulting landform complexity required the discretization of the lava field according to the coastline evolution and lava front sectors, and the subaerial or submarine lava placement. The pyroclastic materials' total erupted bulk volume (12,829,578 m3) corresponds to a volcanic eruption index (VEI) of 3. This event was primarily effusive. From a dense rock equivalent (DRE) volume of 25,615,424 m3, 87 % flowed as lava, 10 % formed the cinder cone, and 3 % the tephra fall deposits. We quantitatively demonstrate that dominant degradation occurs in the lava field, mainly disturbed by marine erosion. Marine erosion removed 9 % of the erupted volume of lava flows against 1 % by fluvial erosion. This work provides methods and results of great interest with different implications in oceanic volcanic islands, among which we can mention coastal planning (e.g., rock coast evolution) and volcanic risk assessment (e.g., the importance of Holocene sea-level rise on the development of shore platforms facilitating the progradation of lava deltas). © 2022 The Author(s)</t>
  </si>
  <si>
    <t>2-s2.0-85137025011"</t>
  </si>
  <si>
    <t>10.1016/j.jafrearsci.2022.104628</t>
  </si>
  <si>
    <t>https://www.scopus.com/inward/record.uri?eid=2-s2.0-85133416241&amp;doi=10.1016%2fj.jafrearsci.2022.104628&amp;partnerID=40&amp;md5=6274e2afe9d463aa4d63de76cb6ac051</t>
  </si>
  <si>
    <t>Lagos is the old capital and largest port city in Nigeria. There are increased ecological and environmental problems around this coastal area with fast-growing industrialization and a population of 14 million in 2020. In this study, we utilized satellite images to study the shoreline evolution of Lagos Lagoon Barrier coast, Nigeria from 1973 to 2019. The Lagos Lagoon Barrier coast is divided into three sections: Section I (Marginal Lagos), section II (Eko Atlantic City), and section III (Lekki peninsula). Section I coast was stable compared to other sections with around 77% of the section experiencing erosion with the averaging rate of −1.73 m/yr, and the remaining 23% accreting at the rate of +0.57 m/yr throughout the study period. Around 92% of Section II was eroded at the rate of −3.59 m/yr, and 8% of this section accreting at the rate of +4.46 m/yr from 1973 to 2008, with a serious erosion rate of −11.79 m/yr from 1986 to 1999. After the Eko Atlantic City project from 2008 to 2019, Section II experienced advancement up to +92.16 m/yr (53%) and a retreat of up to −6.50 m/yr (47%). Along section III, erosion dominates with around 90% of this section being eroded at the averaging rate of −3.55 m/yr with only 10% accreting at the averaging rate of +1.10 m/yr for the study period. Along the westernmost edge of section III, intense erosion up to +7.10 m/yr dominates and continues eastward of Victoria Island from 2012 to 2019. Furthermore, we recorded shoreline erosion up to −11 m/yr along the Ibeju-Lekki axis and Lagos Free Trade Zone (eastern fringe of section III) from 1999 to 2012. Extrapolating the responsible factors for the shoreline fluctuations along the Lagos Lagoon Barrier coast, this study has identified a combined impact of sea-level rise, limited sediment supplied by longshore current from adjacent rivers due to construction of dams along the several tributaries in the Bight of Benin, hard coastal engineering procedure such as the Eko Atlantic City (section II) and Lekki deep seaport projects, and intensified population along the coastline to have contributed to the erosion feature observed along the study area. Moreover, this study has revealed that Eko Atlantic City may have contributed to the eroding coast along section III. Our final deduction shows that section I is dominated by natural shoreline change patterns and therefore primarily responded to the effect of sea-level rise. Section III is influenced by both natural and human forces while section II is influenced by human intervention through coastal protection as a result of reverse-engineering the effect of climate change and sea-level rise. Conclusively, this study has recommended that current coastal management policies and plans in Lagos State need to be reconsidered and revised to ensure the sustainable use of the coastal zone. © 2022 Elsevier Ltd</t>
  </si>
  <si>
    <t>2-s2.0-85133416241"</t>
  </si>
  <si>
    <t>10.1016/j.scitotenv.2022.156310</t>
  </si>
  <si>
    <t>https://www.scopus.com/inward/record.uri?eid=2-s2.0-85131416584&amp;doi=10.1016%2fj.scitotenv.2022.156310&amp;partnerID=40&amp;md5=f081ba69924c17d24efc1b75bc4b0ca7</t>
  </si>
  <si>
    <t>More than 80% of sandy beaches in Taiwan have been experiencing a severe recession, although the sediment discharge of rivers in Taiwan is significantly higher than the world average producing almost 2% of global fluvial sediment discharge. This contradiction is primarily due to the widespread constructions of reservoirs and intensive anthropogenic activities in coastal regions. In addition, coasts are particularly vulnerable to hazards due to climate change, such as sea-level rise, as they are located at the transition zone of terrestrial and marine environments. Along with the fact that Taiwan is an island and is one of the most climate-vulnerable regions globally, coastal management and sustainability are nationally critical topics, especially considering the ongoing reformation and legislation of Taiwan's coastal conservation laws. As stated in the Sustainable Development Goals (SDGs) goal 14, accurate and continuous shoreline positions information is essential for coastal conservation. However, by reviewing previous global studies and projects commissioned by the Taiwanese government aiming at monitoring shoreline changes, they usually exhibit several limitations, such as limited band selections or conservative band ratio-derived water indices, relying on either manual digitization or simple thresholding methods, focusing on either artificial or smoothly shaped coasts, and using images acquired at considerably different tidal height levels. Therefore, in the present study, a subpixel shoreline extraction approach based on a sustainable cross-generation dataset and a robust edge detection algorithm is proposed. This approach is exemplified by the Zengwun River Estuary located in southwestern Taiwan—Taiwan's most critical coastal preservation region. By quantitatively analyzing the resultant time-series shoreline positions from 1999 to 2021, several hotspots of shoreline recession have been identified: an extreme erosional rate up to −69.4 m year−1 is revealed in the northern sand bank</t>
  </si>
  <si>
    <t>10.3390/rs14225779</t>
  </si>
  <si>
    <t>https://www.scopus.com/inward/record.uri?eid=2-s2.0-85142764248&amp;doi=10.3390%2frs14225779&amp;partnerID=40&amp;md5=b6bc261aa255a2c8bd07bc9a5b2c818e</t>
  </si>
  <si>
    <t>Fluvial floods in coastal areas are affected by tides and storm surges, while the impact is seldom quantified because the dynamics of seawater levels are often not represented in river routing models. This study established a model framework by coupling a surge model with a global hydrodynamic model at a higher spatiotemporal resolution than previous studies so that flood processes affected by seawater level fluctuation in small river basins can be investigated. Model implementation in Zhejiang Province, China, shows that the integration of dynamic seawater levels increases the stress of flooding along the Zhejiang coasts. The ocean effect varies in space, as it is much stronger in northern Zhejiang because of the lower landform and strong tidal amplification, while the mountainous rivers in southern Zhejiang are dominated by river flow regimes. Typhoon Lekima resulted in compound flood events (i.e., rainfall-induced riverine flood, tides, and surges), during which the maximum water level at the outlet of Qiantang River was 0.80 m in the default model settings with a constant downstream seawater level (i.e., 0 m), while it increased to 2.34 m (or 2.48 m) when tides (or tides and surges) were considered. The maximum increase due to tides and surges was 2.09 m and 1.45 m, respectively, while the maximum increase did not match the time of the flood peak. This mismatching indicates the need to consider different processes in physical models rather than linearly summing up different extreme water levels (i.e., river flood, tide, and surge) found in previous studies. The model framework integrating various flow processes will help to prevent risks of compound events in coastal cities in practical and future projections under different scenarios. © 2022 by the authors.</t>
  </si>
  <si>
    <t>2-s2.0-85142764248"</t>
  </si>
  <si>
    <t>Earth and Environmental Science Transactions of the Royal Society of Edinburgh</t>
  </si>
  <si>
    <t>10.1017/S175569102200010X</t>
  </si>
  <si>
    <t>https://www.scopus.com/inward/record.uri?eid=2-s2.0-85146528870&amp;doi=10.1017%2fS175569102200010X&amp;partnerID=40&amp;md5=6f1b7aebab59f435fee5b44032f68a81</t>
  </si>
  <si>
    <t>New 10Be exposure age dating and geomorphological mapping of emerged shoreline features in W Jura and NE Islay throw new light on the regional pattern of ice sheet deglaciation and late-glacial relative sea level change. We conclude that the oldest and highest emerged shorelines in this area were produced ~15.7-16.3 ka, shortly after ice sheet deglaciation ~16.5 ka. It is envisaged that the first incursion of marine waters into coastal areas took place close to a former ice sheet margin that oscillated in position across this part of the Scottish Inner Hebrides. The first evidence of late-glacial marine sedimentation following deglaciation consists of emerged marine terrace fragments and unvegetated gravel beach ridges, the former represented by a prominent glacio-isostatically tilted shoreline that declines in altitude NE to SW, from ~40 m above ordnance datum (OD) in NW Jura to ~19 m OD in central Islay. In W Jura, north of Loch Tarbert, spectacular staircases of up to 55 unvegetated gravel beach ridges were formed shortly after regional deglaciation, possibly within 1 ka. A preliminary estimate of the average rate of relative sea level lowering across W Jura between deglaciation and the Younger Dryas is in the order of ~7 mmyr-1. Geomorphological evidence from Shian Bay, W Jura, indicates a truncation of the late-glacial beach ridge staircases by a large 480-m-long beach ridge (the Colonsay Ridge) at ~14.9 ka, when former relative sea level was at ~18 m OD. This ridge may represent the product of either a stillstand in the progressive lowering of relative sea level during the late-glacial or a reversal. This raises the intriguing possibility of an association between ridge formation and the timing of the well-established global meltwater pulse 1A between ~14.65 and ~14.8 ka.  Copyright © The Author(s), 2022. Published by Cambridge University Press.</t>
  </si>
  <si>
    <t>2-s2.0-85146528870"</t>
  </si>
  <si>
    <t>10.3389/fenvs.2022.973192</t>
  </si>
  <si>
    <t>https://www.scopus.com/inward/record.uri?eid=2-s2.0-85141186544&amp;doi=10.3389%2ffenvs.2022.973192&amp;partnerID=40&amp;md5=2c9d89bd3af45e241a57e0a212faf2ef</t>
  </si>
  <si>
    <t>Synthetic Aperture Radar (SAR) is an indispensable source of data for mapping and monitoring flood hazards, thanks to its ability to image the Earth’s surface in all weather conditions and at all times. Through cloud computing platforms such as Google Earth Engine (GEE), SAR imagery can be used in near-real time for rapid flood mapping. This has facilitated the disaster response community to make informed decisions in flood hazard interventions and management plans. However, rapid urban flood mapping using SAR is challenging, due to the complex land cover configuration in urban environments, coupled with complicated backscattering mechanisms. Here, we propose a novel method to utilise SAR imagery and land use-land cover (LULC) products for rapid urban flood mapping. Our approach uses a Land Cover Product to segment the study area into LULC types and differentiate each type with respect to whether double bounce is expected to occur during the flooding events. The normalised difference index was derived using a multi-temporal SAR image stack, and the threshold segmentation method was adopted for flood mapping. In addition, DEM and Surface Water datasets were employed to refine the flood extraction results using a morphological correction approach. We assessed the method quantitatively using two use cases: the 2017 Houston and 2022 Coraki flood events. Based on fine spatial resolution optical imagery, the proposed method achieved an accuracy of 92.7% for the August 2017 Houston flood mapping task and 89% for the March 2022 Coraki flood mapping task, which not only represents at least 13% in accuracy compared to non-LCP based flood extraction method, but also provides strong capability for rapid flood mapping in urban settings. Copyright © 2022 Wang, Zhang and Atkinson.</t>
  </si>
  <si>
    <t>2-s2.0-85141186544"</t>
  </si>
  <si>
    <t>10.3390/geosciences12100357</t>
  </si>
  <si>
    <t>https://www.scopus.com/inward/record.uri?eid=2-s2.0-85140715986&amp;doi=10.3390%2fgeosciences12100357&amp;partnerID=40&amp;md5=732921ef4d9d731686b2f112492b5928</t>
  </si>
  <si>
    <t>A preliminary sediment budget for the sandy shores flanking the entrance to Western Port, a large bay in Australia, was formulated using a comparison between two Digital Surface Models (DSMs) with a 30-year interval and auxiliary shoreline data. The 1977 DSM was generated from ten aerial photographs using Structure-from-Motion (SfM) photogrammetry. Assessment of its accuracy obtained an RMSE of 0.48 m with most of the independent points overpredicting or underpredicting elevations by less than 0.5 m following manual point cloud cleaning. This technique created a 7.5 km2 surface with a Ground Sampling Distance of 34.3 cm between two coastal towns separated by a narrow channel. Comparison of the 1977 DSM to a second, light detection and ranging (LiDAR)-derived DSM from 2007 showed that a volume of ~200,000 m3 of sediment (above Mean Sea Level) was deposited at Newhaven Beach on Phillip Island, while, during the same period, ~40,000 m3 of sediment was lost from the mainland beaches of San Remo, on the eastern side of the channel. Shoreline positions extracted from aerial photographs taken in 1960 and a nautical chart published one century earlier indicate that the progradation experienced at Newhaven Beach has been possible due to provision of sediment via destabilisation of the vegetation covering the updrift Woolamai isthmus on the southeast coast of Phillip Island, whereas the retreat observed at San Remo Beach since 1960 can be attributed to the natural dynamics of the entrance, which appears to favour flood-dominance on the western side and ebb-dominance on the eastern side. While a more comprehensive balance of volumes entering and exiting the area would specifically benefit from volumetric assessments of the subaqueous part of the entrance, the general usefulness of quantifying coastal change using SfM and historical photographs is demonstrated. © 2022 by the authors.</t>
  </si>
  <si>
    <t>2-s2.0-85140715986"</t>
  </si>
  <si>
    <t>10.21163/GT_2022.172.08</t>
  </si>
  <si>
    <t>https://www.scopus.com/inward/record.uri?eid=2-s2.0-85141197290&amp;doi=10.21163%2fGT_2022.172.08&amp;partnerID=40&amp;md5=e7e72282f62d00c17f72183c5408b8de</t>
  </si>
  <si>
    <t>JATABEK (Jakarta, Tangerang, and Bekasi) is a significant area where massive developments are concentrated in the coastal region, becoming the center of industry. Due to the vulnerable coastal area, threats of hazards and disasters are undoubtedly avoided. Therefore, assessing coastal vulnerability is crucial to identifying the potency of coastal damages throughout the JATABEK coastal zone. This study examines six primary parameters (geomorphology, elevation and slope, land use, rigid structure, and coastline changes) to determine the coastal vulnerability in the study area using GIS-based and scoring assessments. The coastline change is quantified based on Modified Normalized Difference Water Index (MNDWI). The scored parameters are then analyzed using Coastal Vulnerability Index (CVI) to gain the distribution of vulnerability levels in the study area. Of particular concern, 42.27% of the JATABEK coastline is categorized as a less vulnerable area. In contrast, 31.59% and 11.45% of the coastal area are categorized as high and very high vulnerability, concentrated in the Bekasi Regency and a little part of Tangerang. The remnant categories are moderate (9.56%), and very low (1.73%) vulnerability observed in the Tangerang and eastern part of Jakarta Bay. The presence of permanent artificial structures, land elevation and slope, and land use changes are the most impactful factors determining coastal vulnerability in the study area. Therefore, mitigation efforts are crucial to stabilize the overwhelming abrasion and deal with tidal flooding events in the vulnerable areas. © 2022, Asociatia Geographia Technica. All rights reserved.</t>
  </si>
  <si>
    <t>2-s2.0-85141197290"</t>
  </si>
  <si>
    <t>10.3390/rs14194952</t>
  </si>
  <si>
    <t>https://www.scopus.com/inward/record.uri?eid=2-s2.0-85139946921&amp;doi=10.3390%2frs14194952&amp;partnerID=40&amp;md5=98174a71ae96356f6433bd3662f783fc</t>
  </si>
  <si>
    <t>With natural disasters continuing to become more prevalent in recent years, the need for effective disaster management efforts becomes even more critical. Specifically, flooding is an extremely common natural disaster which can cause significant damage to homes and other property. In this article, we look at an area in Hurley, Virginia which suffered a significant flood event in August 2021. A drone is used to capture aerial imagery of the area and reconstructed to produce 3-dimensional models, Digital Elevation Models, and stitched orthophotos for flood modeling and damage assessment. Pre-flood Digital Elevation Models and available weather data are used to perform simulations of the flood event using HEC-RAS software. These were validated with measured water height values and found to be very accurate. After this validation, simulations are performed using the Digital Elevation Models collected after the flood and we found that a similar rainfall event on the new terrain would cause even worse flooding, with water depths between 29% and 105% higher. These simulations could be used to guide recovery efforts as well as aid response efforts for any future events. Finally, we look at performing semantic segmentation on the collected aerial imagery to assess damage to property from the flood event. While our segmentation of debris needs more work, it has potential to help determine the extent of damage and aid disaster response. Based on our investigation, the combination of techniques presented in this article has significant potential to aid in preparation, response, and recovery efforts for natural disasters. © 2022 by the authors.</t>
  </si>
  <si>
    <t>2-s2.0-85139946921"</t>
  </si>
  <si>
    <t>10.1007/s00267-022-01705-9</t>
  </si>
  <si>
    <t>https://www.scopus.com/inward/record.uri?eid=2-s2.0-85137060153&amp;doi=10.1007%2fs00267-022-01705-9&amp;partnerID=40&amp;md5=bc08a688ed2427dc0a214e9e58bafcbf</t>
  </si>
  <si>
    <t>Throughout history, humans living in the coastal area constantly adapt to the natural environment and create a changing environment. The rapid coastal development occurred in the mid-19th century and peaks in the mid-20th century, which was a common process in most industrialized areas. With increasing population growth and urban sprawl, many coastal lowlands are unprecedently vulnerable to climate change impacts such as sea level rise, increasing extreme storm events, and coastal flooding. Under the influence of urban revitalization and conservation, the landward shoreline movement accelerated and coastal land shrank, accompanied by community retreat. This research focuses on the importance of incorporating an understanding of the changing coastal land-ocean interaction into adaptive management strategies by illustrating the relationship of land use change, social-economic development, and climate change. Typical coastal changes in Connecticut were selected: New Haven Harbor reflects a dramatic seaward land accretion under industrial and transportation development, New London downtown waterfront reveals a trend of building retreat under industrial and commercial transformation and coastal hazard, New London Ocean Beach indicates how overdeveloped coastal low-lying community fully retreat after a natural disaster, and Jordan Cove barrier island shows a highly dynamic coastal land change and proactive management strategy. The results reveal that to cope with a constantly changing shoreline and the challenges of climate change, a resilient management process must incorporate a cycle of learning, experimenting, and creating with the goal of developing new solutions that are able to deal with our ever-changing environment. © 2022, The Author(s).</t>
  </si>
  <si>
    <t>2-s2.0-85137060153"</t>
  </si>
  <si>
    <t>10.21163/GT_2022.172.12</t>
  </si>
  <si>
    <t>https://www.scopus.com/inward/record.uri?eid=2-s2.0-85141138637&amp;doi=10.21163%2fGT_2022.172.12&amp;partnerID=40&amp;md5=ed0cc9696ff57ae65ce336d610e35532</t>
  </si>
  <si>
    <t>Land subsidence is a phenomenon that can exacerbate the impacts of tidal floods in coastal areas, such as disrupting citizen activities, and submerging settlements and public facilities. Therefore, research on tidal floods and their relation to land subsidence was widely studied in coastal areas of Indonesia. However, this study has not yet been carried out in the Pontianak, a dense urban area located in the Kapuas River Delta, West Kalimantan Province. This study aims to analyze the impacts of land subsidence on tidal floods in the city for disaster mitigation and long-term urban planning. We calculated the land subsidence by applying the DInSAR technique to Sentinel-1A imagery. Then, tidal floods were simulated by integrating the DELFT3D hydrodynamic and HEC-RAS hydraulic models. The results showed that the output water level of the DELFT3D model has good agreement with the observation data, which the Nash Sutcliffe Model Efficiency Coefficient (NSE) is 0.83. Furthermore, the maximum land subsidence in Pontianak is ± 1.03 cm/year, where the highest subsidence (between 0.48-1.03 cm/year) covers about 28.54% of the total area. Our results showed that shallow inundated areas (water depth less than 0.5 meters) decreased by 23.6%, while deep inundated areas (water depth more than 0.5 meters) increased by 16.9% over the next 50-year. Overall, the depth of the tidal floods within Pontianak that occur in the future will increase by 0.03-0.4 meters and varied in across locations. These analysis results can guide the local water manager in designing a mitigation plan. © 2022, Asociatia Geographia Technica. All rights reserved.</t>
  </si>
  <si>
    <t>2-s2.0-85141138637"</t>
  </si>
  <si>
    <t>10.1007/s12594-022-2183-y</t>
  </si>
  <si>
    <t>https://www.scopus.com/inward/record.uri?eid=2-s2.0-85139744437&amp;doi=10.1007%2fs12594-022-2183-y&amp;partnerID=40&amp;md5=abb5500c58ee122e296f89362fdd8238</t>
  </si>
  <si>
    <t>In recorded history, the tsunami due to the Great Sumatra earthquake of 26th December 2004 has been the most devastating, causing the loss of over 230,000 lives besides extensive damage to most of the coastal provinces bordering the Indian Ocean. Realtime prediction of tsunami wave heights and resultant inundation of inland coastal areas are essential to safeguard the life and property of the coastal community. In the present work, a finite-element-based ADvanced CIRCulation (ADCIRC) model (widely used for storm surge simulations) is used to compute tsunami wave height and associated coastal inundation due to the 2004 event. The prime focus is on the Cuddalore coast along the east coast of India, which was heavily affected due to the tsunami. A grid resolution of around 50 m was used in the Cuddalore region to simulate the inundation in the area. Computed results are validated against the available observations. It is noticed that the model computations are in good agreement with the observations. Simulation results depict that because of its computational efficiency and accuracy, the ADCIRC can be used for near realtime prediction across the tsunami warning centers. © 2022, Geological Society of India, Bengaluru, India.</t>
  </si>
  <si>
    <t>2-s2.0-85139744437"</t>
  </si>
  <si>
    <t>Journal of Mathematical Sciences (United States)</t>
  </si>
  <si>
    <t>10.1007/s10958-022-06167-2</t>
  </si>
  <si>
    <t>https://www.scopus.com/inward/record.uri?eid=2-s2.0-85141711619&amp;doi=10.1007%2fs10958-022-06167-2&amp;partnerID=40&amp;md5=e54747c1891cb33fb6fbcffcc3069e92</t>
  </si>
  <si>
    <t>In this paper, we construct a mathematical model for estimating the mass of water flooding the coastline of a basin. The models of the relief of the bottom of the basin and the relief of the flooding part of the coastline are constructed by stochastic methods. The simulation is based on empirical data of measurements of depths of the basin and the study of level lines on maps of the coastal zone. The equations of the surface relief of the coastal zone are constructed by using empirical data from maps with level lines. © 2022, Springer Science+Business Media, LLC, part of Springer Nature.</t>
  </si>
  <si>
    <t>2-s2.0-85141711619"</t>
  </si>
  <si>
    <t>10.1007/s11069-022-05446-0</t>
  </si>
  <si>
    <t>https://www.scopus.com/inward/record.uri?eid=2-s2.0-85134333517&amp;doi=10.1007%2fs11069-022-05446-0&amp;partnerID=40&amp;md5=630832d6be32563ba51f78285353fc12</t>
  </si>
  <si>
    <t>Flooding from dam failure has disastrous downstream impacts resulting in loss of life, damage to buildings and infrastructure, and crop destruction. This study aims to evaluate the potential flood risks due to the hypothetical overtopping breach of the Valsamiotis dam and assess potential impacts on the downstream residential and rural areas. The analysis is based on seven peak discharge exceedance probability (EP) scenarios through a Monte Carlo approach derived by the McBreach software for a plausible range of breach parameters. The flood wave progression was simulated with the use of HEC-RAS 2D and a high-resolution digital elevation model. The overall inundated area ranged from 7.59 to 7.79 km2. Uncertainty of floodplain roughness was examined by considering a range of Manning’s roughness coefficient. Maximum flood depths and velocities were examined, and flood arrival times at various depths were analyzed to support flood risk mapping. The monetary losses of the affected buildings were estimated to vary from 20 to 37 million euros. The annual losses of crop yield were also considerable, ranging between 8.5 and 8.8 million euros. The breach formation time as well as the final bottom width of the breach are found the most critical parameters affecting the peak breach discharge. The results show that the nearby downstream villages are at high risk for all the scenarios. In particular, at Vatolakkos village the maximum depth values ranged from 4.8 to 8.6 m, which was achieved in 7–17 min after the dam breaking, whereas at Koufos village reached on average 2.1 m in 27–38 min, according to the EP scenarios. Moving downstream at the catchment outlet, Platanias coastal area is influenced to a lesser degree. An extensive area of fruit trees including oranges and avocados, of the order of 6.62–6.78 km2, is simulated as highly impacted. The range of probabilistic dam breaching and associated downstream inundation simulations is a comprehensive framework to quantify the uncertainty of flood risks due to dam breach. The results can facilitate decision-making toward management planning for civil protection, emergency action plans, and well-organized adaptation to risks related to life and property caused by possible dam failure. © 2022, The Author(s), under exclusive licence to Springer Nature B.V.</t>
  </si>
  <si>
    <t>2-s2.0-85134333517"</t>
  </si>
  <si>
    <t>10.1016/j.jhydrol.2022.128554</t>
  </si>
  <si>
    <t>https://www.scopus.com/inward/record.uri?eid=2-s2.0-85141304087&amp;doi=10.1016%2fj.jhydrol.2022.128554&amp;partnerID=40&amp;md5=4749a029ca85f808663d2f656b74db9c</t>
  </si>
  <si>
    <t>Rising sea levels increase coastal extreme events of inundation along the global coastlines. Existing hydrologic and groundwater models simulate inundation processes but simplify groundwater-surface water interactions, a key control on flood generation in coastal areas. Here we apply a coupled surface–subsurface hydrologic model to evaluate the sensitivity of shallow groundwater to sea-level rise across three watersheds in Southeast China. It was found that historical decrease of annual rainfall resulted in no changes in total water storage but lower streamflow. Sea-level rise can increase low flow and local groundwater inundation, without changes in total water storage. GIS analysis of elevation can give a first approximation of vulnerability to marine inundation. Our physics-based modeling approach helped capture the temporal dynamics of water table and improved process understanding on coastal flooding. This study provides a new insight to quantify the spatiotemporal dynamics of groundwater inundation and river floods across coastal watersheds. © 2022 Elsevier B.V.</t>
  </si>
  <si>
    <t>2-s2.0-85141304087"</t>
  </si>
  <si>
    <t>Geological Society Memoir</t>
  </si>
  <si>
    <t>10.1144/M58-2020-24</t>
  </si>
  <si>
    <t>https://www.scopus.com/inward/record.uri?eid=2-s2.0-85140120451&amp;doi=10.1144%2fM58-2020-24&amp;partnerID=40&amp;md5=8771b46be6b8db898532906c55fb7946</t>
  </si>
  <si>
    <t>This chapter discusses the factors that have led to an increasing interest in the human impact in geomorphology, and then discusses the literature that appeared between c. 1960 and 2000. These developments were in four main areas: (i) intellectual and policy-related</t>
  </si>
  <si>
    <t>10.1016/j.heliyon.2022.e11381</t>
  </si>
  <si>
    <t>https://www.scopus.com/inward/record.uri?eid=2-s2.0-85141525599&amp;doi=10.1016%2fj.heliyon.2022.e11381&amp;partnerID=40&amp;md5=c5e13ba9f924df93f4daf60e3489fb27</t>
  </si>
  <si>
    <t>The potential power from coastal tidal range is becoming better appreciated due to the need to mitigate global warming. Great Britain (GB) is ideally situated to exploit tidal power but currently has no operational systems. Historically, estuaries have been proposed as sites for barrages, but more recently coastal lagoons are favoured due to a lower environment impact. To contrast the differences between barrages and lagoons two potential schemes are analysed using the Lancaster 0-D Tidal Range Model. Both schemes were analysed with a range of turbine numbers and generator ratings. The schemes are compared in terms of energy generation, flood protection, navigation, and selected environmental impacts. The analysis indicates that the schemes are not categorically different, characterised by the shape and alignment of the impoundment. Barrages impoundments across estuaries are generally shorter than lagoons impounding similar volumes, with lower civil engineering costs. Whilst estuaries tend to have slightly higher tidal ranges, they also create unique ecological conditions with diverse natural ecosystems that are increasingly valued. The analysis shows that 2-way generation and pumping can match the full tidal range and help preserve inter-tidal areas. © 2022 The Author(s)</t>
  </si>
  <si>
    <t>2-s2.0-85141525599"</t>
  </si>
  <si>
    <t>10.1007/s10584-022-03453-5</t>
  </si>
  <si>
    <t>https://www.scopus.com/inward/record.uri?eid=2-s2.0-85140598000&amp;doi=10.1007%2fs10584-022-03453-5&amp;partnerID=40&amp;md5=d41ea1df31594d2188d9d4f47a06be61</t>
  </si>
  <si>
    <t>Climate change-exacerbated flooding has renewed interest in property buyouts as a pillar of managed retreat from coastal zones and floodplains in the United States. However, federal buyout programs are widely critiqued for being inaccessible and inequitable. To learn whether and how subnational buyout programs overcome these limitations, we examined five leading US state, county, and local buyout programs to see what they teach us about redesigning future federal policies. Our mixed-methods research used interviews and document analysis to develop case studies, juxtaposed subnational strategies against a review of critiques of federal buyouts, and focus group discussions with subnational buyout managers and experts to identify limitations of their programs. We find that subnational programs can be more inclusive and better respond to resident needs as compared to existing federal programs due to their access to dedicated, non-federal funding and their standing institutional status, which allows them to learn and evolve over time. Nevertheless, these programs lack coordination with and control over agencies that permit development and produce affordable housing. This gives buyout programs limited power in shaping the overall equity of who lives in floodplains and who has access to affordable, resilient housing after a buyout. Their experiences suggest federal programs can support managed retreat nationwide by increasing support for institutional and staff capacity at state and county levels, encouraging efforts to bridge institutional silos at subnational levels, and holistically mainstream climate considerations into regional floodplain development, affordable housing production, and flood risk mitigation. © 2022, The Author(s).</t>
  </si>
  <si>
    <t>2-s2.0-85140598000"</t>
  </si>
  <si>
    <t>10.1002/gj.4556</t>
  </si>
  <si>
    <t>https://www.scopus.com/inward/record.uri?eid=2-s2.0-85135872708&amp;doi=10.1002%2fgj.4556&amp;partnerID=40&amp;md5=a8d4c74588b73ace5b0aa5d04116de20</t>
  </si>
  <si>
    <t>Rifting initiation and development in Western Sundaland is spectacularly synchronous and diffuse spatially, with only one exception, the Malay Peninsula that appears as a large crustal horst, weakly deformed and thus isolated from the presently offshore stretched crust. Cenozoic stratigraphic records are limited onshore, with only isolated conglomeratic series that are keys to integrating the Malay Peninsula in the regional chronology of events. This study focuses on the Lawin and Chenderoh conglomeratic series, located in the Perak Valley, Peninsular Malaysia, that were previously interpreted as Late Tertiary to Quaternary in age, albeit without proper basin analysis and/or geochronological data. Through a GIS-based kinematic analysis, we investigate the deformation affecting the basement rocks, while a field-based study and palynomorph analysis were used to constrain the tectonic framework at the time of deposition of each conglomeratic series. Our findings reveal that the Lawin alluvial fan was deposited during an episode of E–W extension controlled by a N–S normal fault. The fan evolved from debris flow to sheet flooding depositional stages. The palynomorph study suggests a burial from the Pliocene onwards (&lt;5 Ma) but older series are suspected at depth. From the Oligocene Chenderoh shale unit, a Miocene age of the conglomeratic series is inferred. Chenderoh conglomerate is believed to have developed within pre-existing isolated depressions formed during regional transtensional events. Our study reveals that the Malay Peninsula was indeed affected by extension in the Late Palaeogene-Early Neogene, but with low rates of subsidence as compared to rapidly subsiding offshore basins. © 2022 John Wiley &amp; Sons Ltd.</t>
  </si>
  <si>
    <t>2-s2.0-85135872708"</t>
  </si>
  <si>
    <t>10.3390/rs14215445</t>
  </si>
  <si>
    <t>https://www.scopus.com/inward/record.uri?eid=2-s2.0-85141830934&amp;doi=10.3390%2frs14215445&amp;partnerID=40&amp;md5=bd776bdb48e7b5636cb474059e0c9313</t>
  </si>
  <si>
    <t>Floods are often associated with hurricanes making landfall. When tropical cyclones/hurricanes make landfall, they are usually accompanied by heavy rainfall and storm surges that inundate coastal areas. The worst natural disaster in the United States, in terms of loss of life and property damage, was caused by hurricane storm surges and their associated coastal flooding. To monitor coastal flooding in the areas affected by hurricanes, we used data from sensors aboard the operational Polar-orbiting and Geostationary Operational Environmental Satellites. This study aims to apply a downscaling model to recent severe coastal flooding events caused by hurricanes. To demonstrate how high-resolution 3D flood mapping can be made from moderate-resolution operational satellite observations, the downscaling model was applied to the catastrophic coastal flooding in Florida due to Hurricane Ian and in New Orleans due to Hurricanes Ida and Laura. The floodwater fraction data derived from the SNPP/NOAA-20 VIIRS (Visible Infrared Imaging Radiometer Suite) observations at the original 375 m resolution were input into the downscaling model to obtain 3D flooding information at 30 m resolution, including flooding extent, water surface level and water depth. Compared to a 2D flood extent map at the VIIRS’ original 375 m resolution, the downscaled 30 m floodwater depth maps, even when shown as 2D images, can provide more details about floodwater distribution, while 3D visualizations can demonstrate floodwater depth more clearly in relative to the terrain and provide a more direct perception of the inundation situations caused by hurricanes. The use of 3D visualization can help users clearly see floodwaters occurring over various types of terrain conditions, thus identifying a hazardous flood from non-hazardous flood types. Furthermore, 3D maps displaying floodwater depth may provide additional information for rescue efforts and damage assessments. The downscaling model can help enhance the capabilities of moderate-to-coarse resolution sensors, such as those used in operational weather satellites, flood detection and monitoring. © 2022 by the authors.</t>
  </si>
  <si>
    <t>2-s2.0-85141830934"</t>
  </si>
  <si>
    <t>10.5194/nhess-22-3167-2022</t>
  </si>
  <si>
    <t>https://www.scopus.com/inward/record.uri?eid=2-s2.0-85140750326&amp;doi=10.5194%2fnhess-22-3167-2022&amp;partnerID=40&amp;md5=caa0d844a0ac30714b015a1308bdc0f3</t>
  </si>
  <si>
    <t>Getting a deep insight into the role of coastal flooding drivers is of great interest for the planning of adaptation strategies for future climate conditions. Using global sensitivity analysis, we aim to measure the contributions of the offshore forcing conditions (wave-wind characteristics, still water level and sea level rise (SLR) projected up to 2200) to the occurrence of a flooding event at Gâvres town on the French Atlantic coast in a macrotidal environment. This procedure faces, however, two major difficulties, namely (1) the high computational time costs of the hydrodynamic numerical simulations and (2) the statistical dependence between the forcing conditions. By applying a Monte Carlo-based approach combined with multivariate extreme value analysis, our study proposes a procedure to overcome both difficulties by calculating sensitivity measures dedicated to dependent input variables (named Shapley effects) using Gaussian process (GP) metamodels. On this basis, our results show the increasing influence of SLR over time and a small-to-moderate contribution of wave-wind characteristics or even negligible importance in the very long term (beyond 2100). These results were discussed in relation to our modelling choices, in particular the climate change scenario, as well as the uncertainties of the estimation procedure (Monte Carlo sampling and GP error). © Author(s) 2022.</t>
  </si>
  <si>
    <t>2-s2.0-85140750326"</t>
  </si>
  <si>
    <t>10.3390/cli10100157</t>
  </si>
  <si>
    <t>https://www.scopus.com/inward/record.uri?eid=2-s2.0-85140620647&amp;doi=10.3390%2fcli10100157&amp;partnerID=40&amp;md5=eb13e1e7feb06260ce3964f013039549</t>
  </si>
  <si>
    <t>Stormwater management ponds (SMPs) protect coastal communities from flooding caused by heavy rainfall and runoff. If the SMPs are submerged under seawater during a tropical cyclone (TC) and its storm surge, their function will be compromised. Under climate change scenarios, this threat is exacerbated by sea level rise (SLR) and more extreme tropical cyclones. This study quantifies the impact of tropical cyclones and their storm surge and inundation on South Carolina SMPs under various SLR scenarios. A coupled hydrodynamic model calculates storm surge heights and their return periods using historical tropical cyclones. The surge decay coefficient method is used to calculate inundation areas caused by different return period storm surges under various SLR scenarios. According to the findings, stormwater management ponds will be aggravated by sea level rise and extreme storm surge. In South Carolina, the number of SMPs at risk of being inundated by tides and storm surges increases almost linearly with SLR, by 10 SMPs for every inch of SLR for TC storm surges with all return periods. Long Bay, Charleston, and Beaufort were identified as high-risk coastal areas. The findings of this study indicate where current SMPs need to be redesigned and where more SMPs are required. The modeling and analysis system used in this study can be employed to evaluate the effects of SLR and other types of climate change on SMP facilities in other regions. © 2022 by the authors.</t>
  </si>
  <si>
    <t>2-s2.0-85140620647"</t>
  </si>
  <si>
    <t>10.1016/j.ocemod.2022.102110</t>
  </si>
  <si>
    <t>https://www.scopus.com/inward/record.uri?eid=2-s2.0-85138454952&amp;doi=10.1016%2fj.ocemod.2022.102110&amp;partnerID=40&amp;md5=b6855328fa3491e09e924f39cb08723f</t>
  </si>
  <si>
    <t>Wind-generated surface waves breaking in the nearshore cause an increase in mean water levels, the wave setup, which can represent a significant fraction of storm surges developing both along open coasts and over sheltered areas such as coastal lagoons and estuaries. A common way to simulate the wave setup is to assume a balance between the barotropic gradient and the divergence of the depth-integrated wave-averaged momentum flux (radiation stress) associated with breaking waves in the surf zone. Field observations collected at several sandy beaches revealed that this depth-integrated approach could largely underestimate the wave setup close to the shoreline. The present study builds on Guérin et al. (2018) and further investigates how representing the depth-varying wave forcing in modelling systems can improve the prediction of wave setup across the surf zone. We use data collected during two major field campaigns at Duck, N.C., combined with simulations with SCHISM, a three-dimensional (3D) phase-averaged modelling system employing the vortex-force formalism to represent the effects of waves on currents. The ability of SCHISM to reproduce the surf zone circulation is first assessed with data collected during October 1994 (Duck94), which serve as a classical benchmark for 3D hydrostatic oceanic circulation models. The wave setup dynamics are then analysed during a storm event that occurred during SandyDuck. Consistent with the results of Guérin et al. (2018), we find that resolving the depth-varying nearshore circulation results in increased and improved wave setup predictions across the surf zone. At the shoreline, depth-integrated approaches based on the vortex-force formalism or the radiation stress concept underestimate the maximal wave setup by 10%–15% and 30% on the 1:14 foreshore slope, respectively. An analysis of the 3D cross-shore momentum balance reveals that the vertical mixing is the second most important contributor (10%–15% across the surf zone) to the simulated wave setup after the wave forces (80%–90%), followed by the vertical advection whose contribution increases with the beach slope (up to 10% at the shoreline). Simulations performed with a phase-resolving numerical model suggest that the largest discrepancies observed at the shoreline in past studies likely originate from swash-related processes, highlighting the difficulties to disentangle wave and swash processes on steep foreshores in the field. © 2022 Elsevier Ltd</t>
  </si>
  <si>
    <t>2-s2.0-85138454952"</t>
  </si>
  <si>
    <t>10.5194/tc-16-4553-2022</t>
  </si>
  <si>
    <t>https://www.scopus.com/inward/record.uri?eid=2-s2.0-85141968999&amp;doi=10.5194%2ftc-16-4553-2022&amp;partnerID=40&amp;md5=d2a768d40bdb79cabf2895f2da84c9cb</t>
  </si>
  <si>
    <t>Melt on the surface of Antarctic ice shelves can potentially lead to their disintegration, accelerating the flow of grounded ice to the ocean and raising global sea levels. However, the current understanding of the processes driving surface melt is incomplete, increasing uncertainty in predictions of ice shelf stability and thus of Antarctica's contribution to sea-level rise. Previous studies of surface melt in Antarctica have usually focused on either a process-level understanding of melt through energy-balance investigations or used metrics such as the annual number of melt days to quantify spatiotemporal variability in satellite observations of surface melt. Here, we help bridge the gap between work at these two scales. Using daily passive microwave observations from the AMSR-E and AMSR-2 sensors and the machine learning approach of a self-organising map, we identify nine representative spatial distributions (""patterns"") of surface melt on the Shackleton Ice Shelf in East Antarctica from 2002/03-2020/21. Combined with output from the RACMO2.3p3 regional climate model and surface topography from the REMA digital elevation model, our results point to a significant role for surface air temperatures in controlling the interannual variability in summer melt and also reveal the influence of localised controls on melt. In particular, prolonged melt along the grounding line shows the importance of katabatic winds and surface albedo. Our approach highlights the necessity of understanding both local and large-scale controls on surface melt and demonstrates that self-organising maps can be used to investigate the variability in surface melt on Antarctic ice shelves.  © 2022 Dominic Saunderson et al.</t>
  </si>
  <si>
    <t>2-s2.0-85141968999"</t>
  </si>
  <si>
    <t>10.1016/j.envsoft.2022.105503</t>
  </si>
  <si>
    <t>https://www.scopus.com/inward/record.uri?eid=2-s2.0-85137289559&amp;doi=10.1016%2fj.envsoft.2022.105503&amp;partnerID=40&amp;md5=4f131a5112b1c470e841e23351763eb5</t>
  </si>
  <si>
    <t>Coastal and riverine flooding is one of the most common environmental hazards that affect billions of people worldwide. A coupled hydrologic and coastal storm surge simulation is required to develop an improved understanding of the individual and collective mechanisms that can cause flooding within watersheds. These simulations are dependent on an accurate digital elevation model (DEM)</t>
  </si>
  <si>
    <t>10.3389/fenvs.2022.984395</t>
  </si>
  <si>
    <t>https://www.scopus.com/inward/record.uri?eid=2-s2.0-85140013050&amp;doi=10.3389%2ffenvs.2022.984395&amp;partnerID=40&amp;md5=598c09bbb44f45b990fba9ff0f31e787</t>
  </si>
  <si>
    <t>Tropical cyclone precipitation (TCP) can cause serious floods and urban waterlogs as well as cause various secondary disasters, such as landslides and debris flows, which negatively affect human lives and the sustainable development of the economy. This study applied the prewhitening Mann-Kendall test, empirical orthogonal function, and continuous wavelet transform to investigate the long-term trend, spatiotemporal pattern, and periodicity of TCP at monthly, interannual, and interdecadal timescales over China. The recurrence risks of extreme TCP were analyzed using the return period estimation model. The results showed that 1) TCP displayed a significant increasing trend, especially in eastern China, inland areas, and Guangxi Province. The TCP periodicities were 2.5 and 4.9 years across all of China. However, TCP cycles had large discrepancies in the time and frequency domains in different subregions. 2) Monthly TCP demonstrated a decreasing trend in May and an increasing trend from June to October in all of China. The TCP in northeastern China and southern China tended to decrease in July and August, respectively. 3) TCP demonstrated a decreasing tendency from the 1960s–1980s followed by a rebounding trend in the 1990s–2010s. In addition, TCP showed a dipole mode in the 1970s and 2000s. 4) There was an increasing recurrence risk of extreme TCP in the Yangtze River Delta, Hainan Province, southeastern Guangxi Province, and southwestern Guangdong Province. It is therefore necessary to improve forecasting of extreme TCP events to improve risk management and prevention capacity of natural disasters, especially in regions with high population and economy exposure. Copyright © 2022 Xu, Zhang, Hu, Guan, Jiang, Bao, Wei, Ma, Wei and Gao.</t>
  </si>
  <si>
    <t>2-s2.0-85140013050"</t>
  </si>
  <si>
    <t>10.1007/s11069-022-05435-3</t>
  </si>
  <si>
    <t>https://www.scopus.com/inward/record.uri?eid=2-s2.0-85133284890&amp;doi=10.1007%2fs11069-022-05435-3&amp;partnerID=40&amp;md5=9fec5210b1aa4d7fee41bd983c292d7f</t>
  </si>
  <si>
    <t>With a growing number of waterlogging events occurring in large cities, a better understanding and prediction of the urban flooding processes are essential in order to reduce their impacts. A two-dimensional hydrodynamic model was used to simulate a surface water flooding process due to a heavy rainstorm event in the urban area of Beijing. Through incorporating road networks over the large area, an enhanced digital elevation model was presented to describe overland flow through surface pathways and waterlogging forming along the main roads. Rainfall data obtained from a large number of rain gauge stations in Beijing City throughout the whole storm event were acquired. The model was capable of reproducing the hydrodynamic process at the city scale, and it was found that surface runoff generated quickly from the surrounding community areas to roads and accumulated in depression areas. Waterlogging sites reported in the media were extracted, with most of the sites being on roads and predicted reasonably. Waterlogging issues were found generally to be a local feature and closely associated with rainfall intensity. © 2022, The Author(s), under exclusive licence to Springer Nature B.V.</t>
  </si>
  <si>
    <t>2-s2.0-85133284890"</t>
  </si>
  <si>
    <t>10.1016/j.jsames.2022.103933</t>
  </si>
  <si>
    <t>https://www.scopus.com/inward/record.uri?eid=2-s2.0-85134579578&amp;doi=10.1016%2fj.jsames.2022.103933&amp;partnerID=40&amp;md5=8bfaa31bb99ef5c0539c6ac7d46162ed</t>
  </si>
  <si>
    <t>Isolated carbonate banks in stable tectonic settings are ideal for understanding the architecture of sedimentary systems and their response to flooding events. Within these environments, sea-level changes play a primary role in depositing sedimentary units during high sea levels and unconformities during sea-level drops. Microfacies analysis and geologic interpretation, combined with a High Resolution Digital Elevation Model from LiDAR data were used to reevaluate the sediment distribution pattern of Cozumel Island, proposing a new depositional model. The chronostratigraphic framework was established by correlating the exposure surfaces (caliches) of Cozumel with others in adjacent regions. The study of several sections around the island led to the identification of two lithostratigraphic units. Unit 1 comprises two coral reef facies associations (FAs 0 and 1), separated by the Caliche-0 layer. The upper limit of Unit 1 is represented by the Caliche 1 layer and the karst features developed during Marine Isotopic Stage (MIS) 6. Unit 2 was deposited over the ancient karst topography as the lower limit, with Caliche 2 as the upper limit. Unit 2 comprises three facies associations (FAs-2A, B, C), consistent with the protected, open lagoon and the facies of the platform margin, establishing atoll-like depositional conditions. Unit 2 developed during the last interglacial MIS 5e, whereas the Caliche 2 layer started to develop in a post-MIS 5e event during the sea-level drop. This exposed the previous depositional environments to meteoric diagenesis with the formation of the caliche layer. The Caliche 2 layer stabilized the landscape until the present day. Unit 2 correlates to certain morphostratigraphic and geomorphological structures (Terraces I, II, III) on the island. The emplacement of sand islands (FAs-2A), preexisting topography, relative sea-level variations, and sediment supply lead to the pattern and configuration of the depositional model. In addition, the evolution of Cozumel Island during the MIS 5e is similar to other Holocene atoll-like islands in the Caribbean region. © 2022</t>
  </si>
  <si>
    <t>2-s2.0-85134579578"</t>
  </si>
  <si>
    <t>10.1016/j.scitotenv.2022.156528</t>
  </si>
  <si>
    <t>https://www.scopus.com/inward/record.uri?eid=2-s2.0-85132761241&amp;doi=10.1016%2fj.scitotenv.2022.156528&amp;partnerID=40&amp;md5=4e7aa04ba52299539fd50b10a36cec0e</t>
  </si>
  <si>
    <t>The 15N natural abundance is an effective indicator of nitrogen dynamics in plants. The impact of different irrigation regimes as a function of varied soil clay contents on stable nitrogen isotope abundance (δ15N) in rice remains unknown. Therefore, the response of δ15N and nitrogen utilization efficiency (NUE) of rice to different combinations of alternate wetting and drying irrigation (AWD) and clay contents were investigated. The study included three AWD regimes, viz. I100, (100 % saturation, 30 mm flooded), I90 (90 % saturation, 30 mm flooded) and I70 (70 % saturation, 30 mm flooded), and three soil clay content treatments, viz. 40 % (S40), 50 % (S50), and 60 % (S60) clay content. Compared with I100, I90 and I70 with high clay content (S60) significantly increased the crack volumes and N leaching losses and reduced the total N accumulation and different forms of NUE of rice plants. The values of δ15N in above-ground organs and soil were greatly increased by I90 and I70 irrigation regimes compared to I100. An increasing trend of organs δ15N from root to shoot was found for all three irrigation regimes. Significant negative relationships were found between (i) N partial factor productivity (PFP) and grain 15N, (ii) PFP and leaf 15N, and (iii) N harvest index (NHI) and leaf 15N. These significant negative relationships might contribute to the increased N losses and changed N allocation under AWD with high clay contents. Hence, it is suggested that cracks should be taken into consideration in rice cultivation. Moreover, δ15N may serve as an effective indicator of NUE in rice grown under AWD irrigation with high clay contents as well as an indirect indicator for assessing the N loss in agro-ecosystems. © 2022 Elsevier B.V.</t>
  </si>
  <si>
    <t>2-s2.0-85132761241"</t>
  </si>
  <si>
    <t>10.1016/j.scitotenv.2022.156087</t>
  </si>
  <si>
    <t>https://www.scopus.com/inward/record.uri?eid=2-s2.0-85130556577&amp;doi=10.1016%2fj.scitotenv.2022.156087&amp;partnerID=40&amp;md5=35cfa88573e281050aca85fbbf17b2b5</t>
  </si>
  <si>
    <t>Sea-level rise has been threatening the terrestrial ecosystem functioning of coastal islands, of which the most important component is carbon (C) cycling. However, metagenomic and metabolomic evidence documenting salt intrusion effects on molecular biological processes of C cycling are still lacking. Here, we investigated microbial communities, metagenomic taxonomy and function, and metabolomic profiles in the marine-terrestrial transition zone of low- and high-tide, and low- and high-land areas based on distances of 0 m, 50 m, 100 m, and 200 m, respectively, to the water-land junction of Neilingding Island. Our results showed that soil salinity (EC) was the dominant driver controlling bacterial abundance and community composition and metagenomic taxonomy and function. The metabolomic profiling at the low-tide site was significantly different from that of other sites. The low-tide site had greater abundance of Proteobacteria and Bacteroidetes (1.6–3.7 fold), especially Gammaproteobacteria, but lower abundance (62–83%) of Acidobacteria and Chloroflexi, compared with other three sites. The metagenomic functional genes related to carbohydrate metabolism decreased at the low-tide site by 15.2%, including the metabolism of aminosugars, di- and oligo-saccharides, glycoside hydrolases, and monosaccharides, leading to significant decreases in 21 soil metabolites, such as monosaccharide (l-gulose), disaccharide (sucrose and turanose), and oligosaccharides (stachyose and maltotetraose). Our study demonstrates that elevated salinity due to sea-level rise may suppress C-cycling genes and their metabolites, therefore having negative impacts on microbial metabolism of organic matter. © 2022 Elsevier B.V.</t>
  </si>
  <si>
    <t>2-s2.0-85130556577"</t>
  </si>
  <si>
    <t>10.1016/j.jenvman.2022.115885</t>
  </si>
  <si>
    <t>https://www.scopus.com/inward/record.uri?eid=2-s2.0-85135880035&amp;doi=10.1016%2fj.jenvman.2022.115885&amp;partnerID=40&amp;md5=f97f206287852cf9ca52821d6c9edab6</t>
  </si>
  <si>
    <t>Lateral hydrological connectivity (LHC) is a key process in maintaining aquatic biodiversity in river floodplain ecosystems. However, the effects of LHC loss on aquatic biodiversity are rarely studied. Here, we evaluated, for the first time, the responses of multiple facets (i.e., taxonomic, functional and phylogenetic) of alpha and beta diversity of freshwater molluscs to the LHC loss in 23 floodplain lakes in the Yangtze River Basin in China. Our results showed that taxonomic and functional alpha diversities were all significantly higher in connected lakes (CLs) than in disconnected lakes (DLs), whereas phylogenetic alpha diversity (Δ+) was lower in CLs than in DLs. For beta diversity facets, taxonomic (Tβsor) and phylogenetic (Pβsor) dissimilarities were slightly more contributed by the turnover component or equally contributed by the turnover and nestedness-resultant components both in CLs and DLs. Instead, functional beta diversity (Fβsor), generally showing much lower values than Tβsor and Pβsor, was mainly contributed by the nestedness-resultant component (76.6–84.0%), especially in DLs. We found that only functional dissimilarities were significantly higher in DLs than CLs, indicating a high level of functional diversity loss without replacement of species possessing traits sensitive to hydrological disconnection (i.e., large body size, lamellibranch body form, filter feeding, ovoviviparity and burrowing habits). In general, lake area, hydrological connectivity, aquatic vegetation coverage and nutrient levels (TN and TP) played important roles in structuring variation in molluscan alpha and beta diversities, although the three diversity facets responded to different environmental factors. Our results suggest that loss of connectivity to the mainstem river has negative impacts on molluscan assemblages in floodplain lakes. More importantly, as taxonomic, functional and phylogenetic diversities responded somewhat differently to the loss of hydrological connectivity, all of these biodiversity facets should be better incorporated into aquatic biodiversity assessment and conservation programs in large river floodplains. © 2022 Elsevier Ltd</t>
  </si>
  <si>
    <t>2-s2.0-85135880035"</t>
  </si>
  <si>
    <t>10.5194/essd-14-4525-2022</t>
  </si>
  <si>
    <t>https://www.scopus.com/inward/record.uri?eid=2-s2.0-85141957587&amp;doi=10.5194%2fessd-14-4525-2022&amp;partnerID=40&amp;md5=85129f8eefdd77c116fc5a450b544267</t>
  </si>
  <si>
    <t xml:space="preserve">The geographic distribution of streams and rivers drives a multitude of patterns and processes in hydrology, geomorphology, geography, and ecology. Therefore, a hydrographic network that accurately delineates both small streams and large rivers, along with their topographic and topological properties, with equal precision would be indispensable in the earth sciences. Currently, available global hydrographies do not feature small headwater streams in great detail. However, these headwaters are vital because they are estimated to contribute to more than 70% of overall stream length. We aimed to fill this gap by using the MERIT Hydro digital elevation model at 3arcsec (~90m at the Equator) to derive a globally seamless, standardised hydrographic network, the ""Hydrography90m"", with corresponding stream topographic and topological information. A central feature of the network is the minimal upstream contributing area, i.e. flow accumulation, of 0.05km2 (or 5ha) to initiate a stream channel, which allowed us to extract headwater stream channels in great detail. By employing a suite of GRASS GIS hydrological modules, we calculated the range-wide upstream flow accumulation and flow direction to delineate a total of 1.6 million drainage basins and extracted globally a total of 726 million unique stream segments with their corresponding sub-catchments. In addition, we computed stream topographic variables comprising stream slope, gradient, length, and curvature attributes as well as stream topological variables to allow for network routing and various stream order classifications. We validated the spatial accuracy and flow accumulation of Hydrography90m against NHDPlus HR, an independent, national high-resolution hydrographic network dataset of the United States. Our validation shows that the newly developed Hydrography90m has the highest spatial precision and contains more headwater stream channels compared to three other global hydrographic datasets. This comprehensive approach provides a vital and long-overdue baseline for assessing actual streamflow in headwaters and opens new research avenues for high-resolution studies of surface water worldwide. Hydrography90m thus offers significant potential to facilitate the assessment of freshwater quantity and quality, inundation risk, biodiversity, conservation, and resource management objectives in a globally comprehensive and standardised manner. The Hydrography90m layers are available at 10.18728/igb-fred-762.1, and while they can be used directly in standard GIS applications, we recommend the seamless integration with hydrological modules in open-source QGIS and GRASS GIS software to further customise the data and derive optimal utility from it.  © Copyright: </t>
  </si>
  <si>
    <t>2-s2.0-85141957587"</t>
  </si>
  <si>
    <t>10.1017/aog.2023.43</t>
  </si>
  <si>
    <t>https://www.scopus.com/inward/record.uri?eid=2-s2.0-85169534844&amp;doi=10.1017%2faog.2023.43&amp;partnerID=40&amp;md5=f2c3df846f6de49bfe0a0e72c00e0eb3</t>
  </si>
  <si>
    <t>Glacier-bed characteristics that are poorly known and modeled are important in projected sea-level rise from ice-sheet changes under strong warming, especially in the Thwaites Glacier drainage of West Antarctica. Ocean warming may induce ice-shelf thinning or loss, or thinning of ice in estuarine zones, reducing backstress on grounded ice. Models indicate that, in response, more-nearly-plastic beds favor faster ice loss by causing larger flow acceleration, but more-nearly-viscous beds favor localized near-coastal thinning that could speed grounding-zone retreat into interior basins where marine-ice-sheet instability or cliff instability could develop and cause very rapid ice loss. Interpretation of available data indicates that the bed is spatially mosaicked, with both viscous and plastic regions. Flow against bedrock topography removes plastic lubricating tills, exposing bedrock that is eroded on up-glacier sides of obstacles to form moats with exposed bedrock tails extending downglacier adjacent to lee-side soft-till bedforms. Flow against topography also generates high-ice-pressure zones that prevent inflow of lubricating water over distances that scale with the obstacle size. Extending existing observations to sufficiently large regions, and developing models assimilating such data at the appropriate scale, present large, important research challenges that must be met to reliably project future forced sea-level rise.  Copyright © 2023 The Author(s).</t>
  </si>
  <si>
    <t>2-s2.0-85169534844"</t>
  </si>
  <si>
    <t>10.1016/j.quageo.2022.101376</t>
  </si>
  <si>
    <t>https://www.scopus.com/inward/record.uri?eid=2-s2.0-85136559268&amp;doi=10.1016%2fj.quageo.2022.101376&amp;partnerID=40&amp;md5=5522381eb203704ec9d8a5bba4fd05de</t>
  </si>
  <si>
    <t>We present a detailed luminescence chronology of the loess-palaeosol sequences in the Lower Volga region of Russia at the Leninsk site – an important palaeogeographic archive describing the climate and environmental conditions of regressive stages of the Caspian Sea. The chronology of these sediments has received very little attention compared to the under- and overlying marine deposits. The degree of bleaching was addressed by making use of the differential resetting rates of quartz and feldspar. Our results show that the quartz OSL and feldspar pIRIR50,290 signals were sufficiently bleached before deposition and uncertainties in bleaching have a negligible impact on the reliability of the luminescence ages. The combined quartz OSL and K-feldspar pIRIR50,290 chronology constrains the main stages of the Northern Caspian Lowland evolution during the Late Quaternary. During early MIS 5 (130–120 ka), the northern part of the Lower Volga was covered by a shallow brackish water estuary of the warm Late Khazarian Caspian Sea transgression. After ∼122 ka, the Volga incised the Northern Caspian Lowland surface following sea-level decrease and the start of subaerial conditions at Leninsk. Loess accumulation rate increased towards the end of MIS 5 and two palaeosols of presumably MIS 5с and MIS 5a age formed, exhibiting features evidencing a dry, cold climate, influenced by long seasonal flooding by the Volga River. Cryogenesis affecting the MIS 5a soil is a regional phenomenon and is dated to between ∼70 and 90 ka. The overlying thick Atelian loess unit formed during the cold periods of MIS 4 and MIS 3. Clear erosional features at the top of the Atelian loess are constrained by luminescence to ∼35 to ∼24 ka, allowing reconstruction of erosion of 150–200 cm of loess. © 2022 Elsevier B.V.</t>
  </si>
  <si>
    <t>2-s2.0-85136559268"</t>
  </si>
  <si>
    <t>10.3390/rs14194936</t>
  </si>
  <si>
    <t>https://www.scopus.com/inward/record.uri?eid=2-s2.0-85139971975&amp;doi=10.3390%2frs14194936&amp;partnerID=40&amp;md5=3bdb2a1cff15a6c5ba1e14b6737fa425</t>
  </si>
  <si>
    <t>Low-lying coastal zones are highly subject to coastal hazards as a result of sea-level rise enhanced by natural or anthropogenic land subsidence. A combined analysis using sea-level data and remote sensing techniques allows the estimation of the current rates of land subsidence and shoreline retreat, supporting the development of quantified relative sea-level projections and flood maps, which are appropriate for specific areas. This study focuses on the coastal plain of Tavoliere delle Puglie (Apulia, Southern Italy), facing the Adriatic Sea. In this area, land subsidence is mainly caused by long-term tectonic movements and sediment compaction driven by high anthropogenic pressure, such as groundwater exploitation and constructions of buildings. To assess the expected effects of relative sea-level rise for the next decades, we considered the following multidisciplinary source data: (i) sea-level-rise projections for different climatic scenarios, as reported in the Sixth Assessment Report of the Intergovernmental Panel on Climate Change, (ii) coastal topography from airborne and terrestrial LiDAR data, (iii) Vertical Land Movement (VLM) from the analysis of InSAR and GNSS data, and (iv) shoreline changes obtained from the analysis of orthophotos, historic maps, and satellite images. To assess the expected evolution of the coastal belt, the topographic data were corrected for VLM values, assuming that the rates of land subsidence will remain constant up to 2150. The sea-level-rise projections and expected flooded areas were estimated for the Shared Socioeconomic Pathways SSP1-2.6 and SSP5-8.5, corresponding to low and high greenhouse-gas concentrations, respectively. From our analysis, we estimate that in 2050, 2100, and 2150, up to 50.5 km2, 118.7 km2 and 147.7 km2 of the coast could be submerged, respectively, while beaches could retreat at rates of up to 5.8 m/yr. In this area, sea-level rise will be accelerated by natural and anthropogenic land subsidence at rates of up to −7.5 ± 1.7 mm/yr. Local infrastructure and residential areas are thus highly exposed to an increasing risk of severe inundation by storm surges and sea-level rise in the next decades. © 2022 by the authors.</t>
  </si>
  <si>
    <t>2-s2.0-85139971975"</t>
  </si>
  <si>
    <t>10.46717/igj.55.2C.5ms-2022-08-18</t>
  </si>
  <si>
    <t>https://www.scopus.com/inward/record.uri?eid=2-s2.0-85139123769&amp;doi=10.46717%2figj.55.2C.5ms-2022-08-18&amp;partnerID=40&amp;md5=4b00292658a273ce988f556dcb5e5835</t>
  </si>
  <si>
    <t>The morphology of the lesser Zab River is influenced, by the presence of two dams (Dokan dam and Dibbs dam) that regulates the natural seasonal flows, this will affect the study area infrastructure and it has varied impacts upon water management strategies. Therefore, this study aims to quantify the morphological changes of the river course in the downstream reaches of the Dokan dam using Remote Sensing and GIS techniques using the Digital Elevation Model (DEM 30x30m) for the period from 1980 to 2020. This study shows that the differences in discharge for a long time will affect the distribution of erosion and deposition along the downstream river channel. The river course has been changed slightly at the upper reach of the study area, and the overall change is towards the middle and the lower reaches of the river, showing a gradual increase in the channel length, increasing meandering index, and the formation of alluvium islands at the river meander. Implications of this study could help identify river changes and their influence on the design and planning of water management projects and infrastructure in the area beside the other risks that might arise in terms of hazards such as floods. © 2022, Union of Iraqi Geologists. All rights reserved.</t>
  </si>
  <si>
    <t>2-s2.0-85139123769"</t>
  </si>
  <si>
    <t>10.1007/s13157-022-01599-7</t>
  </si>
  <si>
    <t>https://www.scopus.com/inward/record.uri?eid=2-s2.0-85138249101&amp;doi=10.1007%2fs13157-022-01599-7&amp;partnerID=40&amp;md5=82c26ae93a319d17e3faae98a3f27c36</t>
  </si>
  <si>
    <t>The hydrological regime determines the structure and diversity of wetland vegetation, and it has been considered as the most relevant determinant for the plant communities in the Paraná River Delta. However, experimental validations explaining the causes of the distribution patterns are scarce. The objective of this article is to determine the effect of flood duration on wetland species germination. For that purpose, the seeds of four species from contrasting hydrogeomorphological environments, three ligneous species and one herbaceous species, were sowed. The 24 germination trays were watered weekly, and undergone four flood duration treatments: zero, one, seven and 13-day flood period every two weeks. We found that the longer the flood duration, the greater the reduction on germination for ligneous species, and the opposite was observed for the herbaceous species. The odds of germination in the longer duration treatment, versus control treatment, can be reduced up to 99% for ligneous species, and can be increased 900% for herbaceous species. Germination in the studied species performed as expected in their natural environments, although the ligneous species showed a broader niche, indicating that other mechanisms are also necessary to understand the distribution of these species. The results provide experimental evidence that flood duration impacts on germination and species composition of wetland species and provide tools for the prediction of anthropic impacts and the ecological restoration of wetlands. © 2022, The Author(s), under exclusive licence to Society of Wetland Scientists.</t>
  </si>
  <si>
    <t>2-s2.0-85138249101"</t>
  </si>
  <si>
    <t>10.3389/feart.2022.1016924</t>
  </si>
  <si>
    <t>https://www.scopus.com/inward/record.uri?eid=2-s2.0-85140655694&amp;doi=10.3389%2ffeart.2022.1016924&amp;partnerID=40&amp;md5=0e0d673ed7c6c90d0574c1f892125549</t>
  </si>
  <si>
    <t>Continental tight oil sandstone reservoirs are developed in the Cretaceous Quentou Formation in the Songliao Basin, China. At present, there is still a lack of research on the reservoir microstructures, reservoir physical properties, and the division scheme of reservoir types in the Quan 3 Member of the Quanzhou Formation. Therefore, in this paper, taking the Quan 3 Member in the Fuxin Uplift Belt of the Songliao Basin as an example, the microscopic pore structure characteristics of tight oil sandstones have been systematically studied, and the classification standard of tight sandstones has been formulated. Furthermore, the sweet spots of the main production layers are predicted. The results show that the I sandstone group in the Quan 3 Member in the study area belongs to shallow water delta facies. Feldspar lithic fine sandstones are developed in the target layer, and calcareous sandstone is locally developed. Moreover, the mian pore types of the target layer include dissolved intergranular and intragranular pores, followed by primary intergranular pores, while micro-fractures are occasionally seen. According to the mercury intrusion test results, the pore-throat structures of the reservoir in the Quan 3 Member are divided into four types: 1) small-pore medium-throat type (point bar and delta distributary channel), 2) small-pore micro-throat type (point bar), 3) small-pore micro-throat type (natural levee), 4) micro-pore micro-throat type (river floodplain and inter-tributary bay). The lower limits of the physical properties of the effective reservoirs in the Quan 3 Member has been determined: the porosity is 10% and the permeability is 0.1 mD. Finally, combined with the study of the mercury intrusion curves, the physical properties and the sedimentary facies, the classification standard of the Quan 3 Member reservoirs was formulated. For the I sandstone group, the sweet spots of the Type I reservoirs are mainly developed in the Fuyu Oilfield in the southeast areas. The sandstones in this area suffered less compaction, and primary and secondary pores suffered from late dissolution are mainly developed. Copyright © 2022 Zhang, Zhang, Wang, Yin, Wu and Yuan.</t>
  </si>
  <si>
    <t>2-s2.0-85140655694"</t>
  </si>
  <si>
    <t>10.1007/s10708-021-10460-z</t>
  </si>
  <si>
    <t>https://www.scopus.com/inward/record.uri?eid=2-s2.0-85108842724&amp;doi=10.1007%2fs10708-021-10460-z&amp;partnerID=40&amp;md5=51719a7160a5fbffbcbb66582dcb78fa</t>
  </si>
  <si>
    <t>Climate change-induced extreme weather events have been at their worst increase in the past decade (2010–2020) across Africa and globally. This has proved disruptive to global socio-economic activities. One of the challenges that has been faced in this regard is the increased coastal flooding of cities. This study examined the trends and impacts of coastal flooding in the Western Cape province of South Africa. Making use of archival climate data and primary data from key informants and field observations, it emerged that there is a statistically significant increase in the frequency of flooding and consequent human and economic losses from such in the coastal cities of the province. Flooding in urban areas of the Western Cape is a factor of human and natural factors ranging from extreme rainfall, usually caused by persistent cut off-lows, midlatitude cyclones, cold fronts and intense storms. Such floods become compounded by poor drainage caused by vegetative overgrowth on waterways and land pollution that can be traced to poor drainage maintenance. Clogging of waterways and drainage systems enhances the risk of flooding. Increased urbanisation, overpopulation in some areas and non-adherence to environmental laws results in both the affluent and poor settling on vulnerable ecosystems. These include coastal areas, estuaries, and waterways, and this worsens the risk of flooding. The study recommends a comprehensive approach to deal with factors that increase the risk of flooding as informed by the provisions of both the Sustainable Development Goals framework and the Sendai Framework for Disaster Risk Reduction 2015–2030 in a bid to de-risking human settlement in South Africa. © 2021, The Author(s), under exclusive licence to Springer Nature B.V.</t>
  </si>
  <si>
    <t>2-s2.0-85108842724"</t>
  </si>
  <si>
    <t>10.3390/rs14225721</t>
  </si>
  <si>
    <t>https://www.scopus.com/inward/record.uri?eid=2-s2.0-85142702637&amp;doi=10.3390%2frs14225721&amp;partnerID=40&amp;md5=d2a9d52c93c49242ac1dc667c699f466</t>
  </si>
  <si>
    <t>The annual flood and the alteration in hydrological regimes are the most vital concerns in the Vietnamese Mekong Delta (VMD). Although synthetic aperture radar (SAR) Sentinel-1 imagery is widely used for water management, only a few studies have used Sentinel-1 data for mapping surface water and monitoring flood events in the VMD. This study developed an algorithm to implement (i) automatic Otsu threshold on a series of Sentinel-1 images to extract surface water and (ii) time series analyses on the derived surface water maps to detect flood water extent in near-real-time (NRT). Specifically, only cross-polarized VH was selected after an assessment of different Sentinel-1 polarizations. The dynamic Otsu thresholding algorithm was applied to identify an optimal threshold for each pre-processed Sentinel-1 VH image to separate water from non-water pixels for producing a time series of surface water maps. The derived Sentinel-1 surface water maps were visually compared with the Sentinel-2 Full Resolution Browse (FRB) and statistically examined with the Sentinel-2 Multispectral Instrument (MSI) surface water maps, which were generated by applying the Otsu threshold on the normalized difference water index (NDWI) and modified normalized difference water index (MNDWI) images. The visual comparison showed a strong correspondence between the Sentinel-1 surface water maps and Sentinel-2 FRB images in three periods, including rice’s sowing season, flood period, and rice’s maturation stage. A good statistical agreement suggested that the performance of the dynamic Otsu thresholding algorithm on Sentinel-1 image time series to map surface water is effective in river areas (R2 = 0.97 and RMSE = 1.18%), while it is somewhat lower in paddy field areas (R2 = 0.88 and RMSE = 3.88%). Afterward, a flood mapping algorithm in NRT was developed by applying the change-detection-based time series analyses on the derived Sentinel-1 surface water maps. Every single pixel at the time (Formula presented.) is respectively referred to its state in the water/non-water and flooded/non-flooded maps at the previous time (Formula presented.) to be classified into a flooded or non-flooded pixel. The flood mapping algorithm enables updates at each time step to generate temporal flood maps in NRT for monitoring flood water extent in large-scale areas. This study provides a tool to rapidly generate surface water and flood maps to support water management and risk reduction in the VMD. The future improvement of the current algorithm is discussed. © 2022 by the authors.</t>
  </si>
  <si>
    <t>2-s2.0-85142702637"</t>
  </si>
  <si>
    <t>10.3389/fenvs.2022.964486</t>
  </si>
  <si>
    <t>https://www.scopus.com/inward/record.uri?eid=2-s2.0-85139259113&amp;doi=10.3389%2ffenvs.2022.964486&amp;partnerID=40&amp;md5=67731f9b70270693fb9675fec8d6cd53</t>
  </si>
  <si>
    <t>Organotin compounds (OTCs) are a category of persistent toxic substances with endocrine disrupting effects and may pose a risk to aquatic organisms and human health via water. This study collected 78 surface water samples from the drinking water source in the upper Yangtze River Estuary from July 2018 to November 2019. Out of the nine OTC targets, tributyltin (TBT), dimethyltin (DMT), trimethyltin (TMT), dibutyltin (DBT), and monobutyltin (MBT) were detected from more than 50% of the water samples, with cumulative concentrations of OTCs ranging from 42.5 ± 54.0 to 421 ± 176 ng Sn L−1. The composition and concentrations of OTCs in the stormy months were different from those in other months. The concentrations of OTCs with the ebbing tide exceeded those in the flooding tide and increased when the flooding tide transitioned to the ebbing tide. A pulsed trend in concentrations of OTCs in river water was evident due to the impact of rainfall runoff and tidal currents. Identified sources of OTCs included ship antifouling paints, agricultural pesticides, and plastic waste. TBT in water sources poses a low risk to human health and a risk to the ecosystem, particularly during the stormy months. Copyright © 2022 Dai, Chen, Li, Xia, Wang and Huang.</t>
  </si>
  <si>
    <t>2-s2.0-85139259113"</t>
  </si>
  <si>
    <t>10.1007/s13157-022-01591-1</t>
  </si>
  <si>
    <t>https://www.scopus.com/inward/record.uri?eid=2-s2.0-85137997673&amp;doi=10.1007%2fs13157-022-01591-1&amp;partnerID=40&amp;md5=ec07c03898830bee6f2065153bd30dab</t>
  </si>
  <si>
    <t>The wetlands of the Ganges delta have rendered complimentary habitats to a diverse range of water birds. But human intervention accompanied with some natural factors has deteriorated the quality of these habitats. Present study aims to assess the status of avifaunal habitability of 21 floodplain wetlands, interspersed over the lower part of the Ganges delta by using Avifaunal Habitability Index (AHI). Seven widely used Ecological Indicators namely Avifauna Density, Total numbers of Avifauna, Simpson Index of Species Dominance, Shannon-Weiner Diversity Index, Species Richness, Simpsons Reciprocal Index, and Shannon Evenness Index have been used to compute AHI. The result unveils that wetlands like Purbasthali (11.58), Chariganga (5.51), Char Chakundi–I (4.81) have granted higher avifaunal habitability while wetlands like Sudhakarpur (-4.23), Akandanga (-3.5), and Raibali (-3.29) have revealed perceptible degenerated situation. Spatial variation of the habitability status is examined by Wetland Threat Index (WTI) and size of the wetlands. One way ANOVA-Tukey’s post hoc test exhibits that wetlands with less threat (WTI &gt; 0.08) extends healthier habitats (p &lt; 0.001</t>
  </si>
  <si>
    <t>10.3390/atmos13111795</t>
  </si>
  <si>
    <t>https://www.scopus.com/inward/record.uri?eid=2-s2.0-85141569509&amp;doi=10.3390%2fatmos13111795&amp;partnerID=40&amp;md5=c523cf6e53eb8e85ea319fea8acc430a</t>
  </si>
  <si>
    <t>Coastal flooding compound events can be caused by climate-driven extremes of storm surges and waves. To assess the risk associated with these events in the context of climate variability, the bivariate extremes of skew surge (S) and significant wave height (HS) are modeled in a nonstationary framework using physical atmospheric/oceanic parameters as covariates (atmospheric pressure, wind speed and sea surface temperature). This bivariate nonstationary distribution is modeled using a threshold-based approach for the margins of S and HS and a dynamic copula for their dependence structure. Among the covariates considered, atmospheric pressure and related wind speed are primary forcings for the margins of S and HS, but temperature is the main positive forcing of their dependence. This latter relation implies an increasing risk of compound events of S and HS for the studied site in the context of increasing global temperature. © 2022 by the authors.</t>
  </si>
  <si>
    <t>2-s2.0-85141569509"</t>
  </si>
  <si>
    <t>10.1029/2022JB024471</t>
  </si>
  <si>
    <t>https://www.scopus.com/inward/record.uri?eid=2-s2.0-85141653311&amp;doi=10.1029%2f2022JB024471&amp;partnerID=40&amp;md5=debe090e85480e71d56ee19a540e65ee</t>
  </si>
  <si>
    <t>Following great subduction earthquakes, postseismic deformation of coastal areas shows consistent seaward motion but complex vertical deformation. Understanding both the horizontal and vertical components in the same geodynamic framework presents challenges. Here, by modeling short-term (a few years) postseismic viscoelastic relaxation (VER) and afterslip following synthetic and real subduction earthquakes, we demonstrate that the complexity of the vertical deformation can be explained in simple terms. Along a margin-normal profile, VER results in an up-down-up trisegment, long-wavelength pattern common to most megathrust earthquakes, including near-trench uplift, midway subsidence, and near-arc uplift, with locations controlled by coseismic fault slip. The magnitude of the first two segments is controlled mainly by oceanic mantle viscosity, and the third by mantle wedge viscosity. In contrast with VER, afterslip results in an up-down bimodal pattern of variable wavelengths specific to individual earthquakes. Its site-specific and heterogeneous nature is primarily responsible for the complexity in vertical deformation, but its effect can be adequately modeled using a simple elastic model. If the coast is near the megathrust rupture zone, variable combinations of the VER and afterslip effects lead to either uplift or subsidence. If the coast is in the near-arc segment of VER deformation, uplift usually occurs. Modeling the common VER process enables the identification of site-specific afterslip, which helps to understand the mechanism of afterslip in the context of the broad spectrum of fault slip behavior. Our results also have important implications to deciphering coastal paleoseismic records to constrain coseismic versus postseismic deformation of ancient earthquakes. © 2022. American Geophysical Union. All Rights Reserved.</t>
  </si>
  <si>
    <t>2-s2.0-85141653311"</t>
  </si>
  <si>
    <t>10.1016/j.jsames.2022.103982</t>
  </si>
  <si>
    <t>https://www.scopus.com/inward/record.uri?eid=2-s2.0-85136576674&amp;doi=10.1016%2fj.jsames.2022.103982&amp;partnerID=40&amp;md5=f663deaeebec1010f15064bb3cb52d1b</t>
  </si>
  <si>
    <t>The March 28, 1787 (M∼8.6) earthquake on the Pacific coast, was the biggest known in Mexico. There are testimonies of damage caused by the tsunami waves at several different points along the southwest coast. Even though there have been several tsunamis known to have impacted this region, there are scarce tsunami observations. In this study, we generate a suite of 350 potential ruptures that we explore as candidates for the 1787 San Sixto earthquake. We focus this study in three coastal areas: Salina Cruz, Huatulco and the Mazunte-Puerto Ángel segment of the Oaxacan coast. We will discuss results of the homogeneous and heterogeneous slip models as input for tsunami simulations. The results obtained for every particular town and possible tsunami effects such as resonance, wave energy focusing and prone inundation areas are discussed. The scope of this work is to greatly expand on previous tsunami modeling efforts as an important tool for studies of tsunami hazards for future events in order to increase resilience in coastal populations. © 2022 Elsevier Ltd</t>
  </si>
  <si>
    <t>2-s2.0-85136576674"</t>
  </si>
  <si>
    <t>Applied Vegetation Science</t>
  </si>
  <si>
    <t>10.1111/avsc.12698</t>
  </si>
  <si>
    <t>https://www.scopus.com/inward/record.uri?eid=2-s2.0-85145216015&amp;doi=10.1111%2favsc.12698&amp;partnerID=40&amp;md5=1549108d05aa6dde33de2c97c33d7591</t>
  </si>
  <si>
    <t>Aims: Wetlands are key ecosystems due to their economic, social and environmental contributions. Because of their highly productive habitats and their dependence on hydro-meteorologic regimes, they are threatened worldwide by land use and climate change. In most wetlands, intensification of productive activities has been mostly accompanied by the implementation of a water management infrastructure, disrupting water and nutrient dynamics. Our aim was to analyze whether intensification of livestock raising erodes the structure and function of plant communities, as well as the quality and fertility of soils in wetlands. Location: Non-insular portion of the Lower Delta of the Paraná River, Argentina. Methods: Plant communities were characterized on the basis of their floristic composition, structural and functional diversity. Soil samples were also collected to assess soil fertility, texture and quality. Generalized mixed linear models were used to contrast these attributes across livestock management practices characterized by differing water management infrastructure (polders and channelizations) and livestock type (bovine, bubaline). Results: Remarkably fertile hydromorphic soils supported a structurally rich and functionally diverse species composition. Nevertheless, most dominant populations were terrestrial, perennial, invasive species, partially adapted to conditions of temporary flooding. Polderized livestock fields exhibited not only the lowest quality, least fertile, most compacted soils, but also lower species richness and diversity, as well as the lowest values in all non-redundant components of functional diversity. Channelized livestock fields exhibited lower species richness and taxonomic diversity as well as reduced soil quality and fertility, yet an overall increase in most non-redundant components of functional diversity. Conclusions: Promoting the loss of native flora, water management infrastructure impairs the sustainability of anthropic activities and thwarts biodiversity conservation efforts. Traditional and sustainable practices that embrace the periodicity of the flood pulse are required to preserve the taxonomic and functional diversity of plant communities, as well as the quality and fertility of soils. © 2022 International Association for Vegetation Science.</t>
  </si>
  <si>
    <t>2-s2.0-85145216015"</t>
  </si>
  <si>
    <t>Advanced Engineering Informatics</t>
  </si>
  <si>
    <t>10.1016/j.aei.2022.101730</t>
  </si>
  <si>
    <t>https://www.scopus.com/inward/record.uri?eid=2-s2.0-85137178396&amp;doi=10.1016%2fj.aei.2022.101730&amp;partnerID=40&amp;md5=b841d30e0d42284d90ee9b16d2744759</t>
  </si>
  <si>
    <t>The number and intensity of flood events have been on the rise in many regions of the world. In some parts of the U.S., for example, almost all residential properties, transportation networks, and major infrastructure (e.g., hospitals, airports, power stations) are at risk of failure caused by floods. The vulnerability to flooding, particularly in coastal areas and among marginalized populations is expected to increase as the climate continues to change, thus necessitating more effective flood management practices that consider various data modalities and innovative approaches to monitor and communicate flood risk. Research points to the importance of reliable information about the movement of floodwater as a critical decision-making parameter in flood evacuation and emergency response. Existing flood mapping systems, however, rely on sparsely installed flood gauges that lack sufficient spatial granularity for precise characterization of flood risk in populated urban areas. In this paper, we introduce a floodwater depth estimation methodology that augments flood gauge data with user-contributed photos of flooded streets to reliably estimate the depth of floodwater and provide ad-hoc, risk-informed route optimization. The performance of the developed technique is evaluated in Houston, Texas, that experienced urban floods during the 2017 Hurricane Harvey. A subset of 20 user-contributed flood photos in combination with gauge readings taken at the same time is used to create a flood inundation map of the experiment area. Results show that augmenting flood gauge data with crowdsourced photos of flooded streets leads to shorter travel time and distance while avoiding flood-inundated areas. © 2022 Elsevier Ltd</t>
  </si>
  <si>
    <t>2-s2.0-85137178396"</t>
  </si>
  <si>
    <t>10.1016/j.catena.2022.106415</t>
  </si>
  <si>
    <t>https://www.scopus.com/inward/record.uri?eid=2-s2.0-85131929371&amp;doi=10.1016%2fj.catena.2022.106415&amp;partnerID=40&amp;md5=78aaeac8c1a3a03bcddd486192590fb1</t>
  </si>
  <si>
    <t>The paper deals with the problem of the impact of river erosion on the activity level and type of colluvial movement within landslides in two study regions (Foothills and Beskidy Mts.) in the Polish Outer Carpathians. The principal goal of the study was to investigate how landslides that remain in contact with river channels function and to identify primary colluvial movement types depending on hydrometeorological conditions. Five landslides were studied, with three of them found in the Rożnowskie Foothills and two in the Beskid Niski Mts. The research was performed using terrestrial laser scanning (TLS) in the period April 2014 to November 2017. Ten measurement series were acquired during the study period. A total of 9 DEM of Difference representations (DoDs) were produced that showed both quantitative and spatial changes in the studied landslides. It was determined, based on the DoDs produced, that landslides adjacent to river channels remained continuously active due to the influence of continuously occurring fluvial erosion, although the level of activity varied, as it depended on hydrometeorological conditions. Colluvial material was set in motion within the entire landslide during floods. The recording of spatial and quantitative changes in the body of each landslide allowed to identify two key types of colluvial movement occurring during floods: (i) movement starting at the bottom and subsequently activating parts at the top (landslides: Sękówka, Boczkówka, Żabno), (ii) motion propagating in top-to-bottom and in bottom-to-top directions (landslides: Bodaki, Leszczyny). Then again, in periods between floods, colluvial material was continuously removed from the toe of each landslide, which occurred in all the studied landslides. Colluvial material became activated during these periods through movement starting at the bottom and propagating to the top. The amount of colluvium removed by streams varied depending on hydrometeorological conditions. The colluvial material carried away from the studied landslides by streams during floods comprised 60% to 90% of the volume of material removed during the entire examined period. © 2022</t>
  </si>
  <si>
    <t>2-s2.0-85131929371"</t>
  </si>
  <si>
    <t>10.1007/s10708-022-10581-z</t>
  </si>
  <si>
    <t>https://www.scopus.com/inward/record.uri?eid=2-s2.0-85124289577&amp;doi=10.1007%2fs10708-022-10581-z&amp;partnerID=40&amp;md5=651c972d37b0f83e0436a773e3e3dced</t>
  </si>
  <si>
    <t>It is axiomatically true that urbanization in India's metropolises and large cities has been exacerbated since the beginning of the millennium, consuming the natural and semi-natural ecosystem on the outskirts of the city, resulting in a zone with a distinct climate known as urban climate. Such a climate—the result of a built-up environment is distinctly different from the natural climate as the paved surface and concrete skyscrapers not only destroy the natural ecosystem, it peculiarly induce a different kind of insolation, cooling and air drainage were lacking in green space, water bodies and open space cannot accommodate with environmental rhythm properly, resulting into the accumulation of heat, ecological derangement of subsurface soil which can easily be predicted by GIS analysis. This paper is an attempt to measure urban growth and its impact on the environment in the metropolitan city Kolkata. The use of satellite data and GIS techniques to detect urban expansion is a highly scientific strategy. Using geospatial techniques, the current study attempts to examine major urban changes in Kolkata and its surroundings from 1988 to 2021. Landsat 5 TM and Landsat 8 OLI temporal data are used to identify land-use change through unsupervised classification</t>
  </si>
  <si>
    <t>10.1007/s11069-022-05378-9</t>
  </si>
  <si>
    <t>https://www.scopus.com/inward/record.uri?eid=2-s2.0-85134321158&amp;doi=10.1007%2fs11069-022-05378-9&amp;partnerID=40&amp;md5=3610a3004000933d9aeb1a670670cb7b</t>
  </si>
  <si>
    <t>Whilst climate change has been regarded as a growing concern in recent years due the disruptive and detrimental effects experienced across the globe, one of its most compelling and threatening evidence is Sea Level Rise (SLR). This phenomenon is more prominent in Small Island Developing States (SIDS) and such islands are already facing escalating associated environmental threats, causing social and economic disruptions as well as insecurities. Amongst the SIDS, the coastal areas of Mauritius are considered among the most vulnerable to SLR, where statistics showed that between the years 1987 and 2007, an annual increase of 2.1 mm in the sea level has been observed around Mauritius. Although SLR has various associated impacts, limited work has been undertaken to assess the coastal vulnerability of the impacts of SLR for Mauritius and to compute the Coastal Vulnerability Index (CVI) of the island. Taking cognizance of this limitation, the purpose of this paper is to quantify, prioritize and critically assess the vulnerability of key impacts of sea level rise on the coastal areas of Mauritius following computation of a CVI. In this process, five key research questions are answered towards calculating the CVI of the island to eventually conceptualize a framework with the aim to reduce the adverse impacts of SLR on coastal zones of Mauritius. Findings of this study aim at the advancement of resilience and increased sustainability of coastal areas to the impacts of SLR. © 2022, The Author(s), under exclusive licence to Springer Nature B.V.</t>
  </si>
  <si>
    <t>2-s2.0-85134321158"</t>
  </si>
  <si>
    <t>10.3390/rs14215505</t>
  </si>
  <si>
    <t>https://www.scopus.com/inward/record.uri?eid=2-s2.0-85141849773&amp;doi=10.3390%2frs14215505&amp;partnerID=40&amp;md5=e668dfb01dca2d18d8740e721ae6004e</t>
  </si>
  <si>
    <t>As a result of urbanization and climate change, urban areas are increasingly vulnerable to flooding, which can have devastating effects on the loss of life and property. Remote sensing technology can provide practical help for urban flood disaster management. This research presents a review of urban flood-related remote sensing to identify research trends and gaps, and reveal new research opportunities. Based on the Preferred Reporting Items for Systematic Reviews and Meta-Analyses (PRISMA), the systematic literature search resulted in 347 documents classified as geography, disaster management application, and remote sensing data utilization. The main results include 1. most of the studies are located in high-income countries and territories and inland areas</t>
  </si>
  <si>
    <t>Integrated Environmental Assessment and Management</t>
  </si>
  <si>
    <t>10.1002/ieam.4620</t>
  </si>
  <si>
    <t>https://www.scopus.com/inward/record.uri?eid=2-s2.0-85130195129&amp;doi=10.1002%2fieam.4620&amp;partnerID=40&amp;md5=0af881550af3d6bbbe22e467826ffba5</t>
  </si>
  <si>
    <t>According to the latest projections of the Intergovernmental Panel on Climate Change, at the end of the century, coastal zones and low-lying ecosystems will be increasingly threatened by rising global mean sea levels. In order to support integrated coastal zone management and advance the basic “source–pathway–receptor–consequence” approach focused on traditional receptors (e.g., population, infrastructure, and economy), a novel risk framework is proposed able to evaluate potential risks of loss or degradation of ecosystem services (ESs) due to projected extreme sea level scenarios in the Italian coast. Three risk scenarios for the reference period (1969–2010) and future time frame up to 2050 under RCP4.5 and RCP8.5 are developed by integrating extreme water-level projections related to changing climate conditions, with vulnerability information about the topography, distance from coastlines, and presence of artificial protections. A risk assessment is then performed considering the potential effects of the spatial-temporal variability of inundations and land use on the supply level and spatial distribution of ESs. The results of the analysis are summarized into a spatially explicit risk index, useful to rank coastal areas more prone to ESs losses or degradation due to coastal inundation at the national scale. Overall, the Northern Adriatic coast is scored at high risk of ESs loss or degradation in the future scenario. Other small coastal strips with medium risk scores are the Eastern Puglia coast, Western Sardinia, and Tuscany's coast. The ESs Coastal Risk Index provides an easy-to-understand screening assessment that could support the prioritization of areas for coastal adaptation at the national scale. Moreover, this index allows the direct evaluation of the public value of ecosystems and supports more effective territorial planning and environmental management decisions. In particular, it could support the mainstreaming of ecosystem-based approaches (e.g., ecological engineering and green infrastructures) to mitigate the risks of climate change and extreme events while protecting ecosystems and biodiversity. Integr Environ Assess Manag 2022</t>
  </si>
  <si>
    <t>10.18178/ijesd.2022.13.5.1391</t>
  </si>
  <si>
    <t>https://www.scopus.com/inward/record.uri?eid=2-s2.0-85139199953&amp;doi=10.18178%2fijesd.2022.13.5.1391&amp;partnerID=40&amp;md5=310956bc7baf1300e31b7ce1697bb818</t>
  </si>
  <si>
    <t>Coastal areas have very important roles and benefits. Unfortunately, most of them in the world are experiencing the effects of climatic changes such as rising sea levels, increasing coastal erosion, and marine intrusion. Meanwhile, there have been many studies on coastal vulnerability from various aspects and perspectives. Therefore, it is necessary to study the trend on coastal vulnerability from past historical records of several decades ago and also from the aspects that have not been studied. This study aims to identify gaps and opportunities related to coastal vulnerability to provide solutions to sustainability themes in the future. Also, there is a need for this study since it is not monotonous and contains a novel element. The method used in this review article is Web of Science (WoS) as the database source, while VOSviewer is used to visualize and analyze the Bibliometric maps. WoS is a website that provides subscription-based access to multiple databases that provide comprehensive citation data for many different academic disciplines, while VOSviewer is a software tool for constructing and visualizing bibliometric networks. The analysis shows that for over 20 years, topics related to coastal vulnerability around the world are divided into four categories, each of which shows the most frequently occurring themes, namely climate change, coastal vulnerability, sea level, and vulnerability. Subsequently, there is a gap in coastal vulnerability, which is a topic on climate change that has been rarely studied in Indonesia since 2015. This bibliometric approach is used to identify key themes in each study or scope of knowledge that has been conducted so far, which is beneficialin determining novel future research. © 2022 International Journal of Environmental Science and Development. All rights reserved.</t>
  </si>
  <si>
    <t>2-s2.0-85139199953"</t>
  </si>
  <si>
    <t>10.1111/bre.12684</t>
  </si>
  <si>
    <t>https://www.scopus.com/inward/record.uri?eid=2-s2.0-85132160288&amp;doi=10.1111%2fbre.12684&amp;partnerID=40&amp;md5=655f1c6f6782076aa00e1d091d5eba0b</t>
  </si>
  <si>
    <t>The loss of land in coastal regions is an emerging topic across the scientific community, as many countries struggle to minimize the consequences of an accelerating relative sea-level rise. Various methods have been attempted to mitigate land loss, and river diversion for the Mississippi River Delta, which makes use of the natural river delta-building process, has been proposed and significantly examined. Prior delta-building models predicted possible ranges of new delta-building rates and verified the feasibility of reduction in land loss on the Louisiana coast by river diversion by only considering the delta topset and foreset deposition without incorporating the muddy bottomsets because sand was regarded as the main delta-building sediment, and mud was treated as washload. Since sand flux is significantly smaller than mud flux in most coastal rivers and muddy bottomsets are common in most deltas, it is critical to understand the depositional processes of mud in deltas. Here, we present the results of a coupled numerical modelling and flume experiment that includes a moving boundary at the foreset-bottomset break in addition to the shoreline. We find that bottomset aggradation can accelerate the shoreline progradation by decreasing the foreset length (i.e., depth at the delta front). We also apply our model to a field scale based on parameters taken from the Wax Lake Delta. When 10%–50% of the mud supplied to the delta is retained in the bottomset, the subaerial delta area increases by 4.4%–25.4% compared to that in a delta with no bottomset accumulation. Therefore, considering the bottomset in land-building modelling can provide more accurate predictions for a new land-building area by river diversion. © 2022 International Association of Sedimentologists and European Association of Geoscientists and Engineers and John Wiley &amp; Sons Ltd.</t>
  </si>
  <si>
    <t>2-s2.0-85132160288"</t>
  </si>
  <si>
    <t>10.1002/gj.4524</t>
  </si>
  <si>
    <t>https://www.scopus.com/inward/record.uri?eid=2-s2.0-85131723262&amp;doi=10.1002%2fgj.4524&amp;partnerID=40&amp;md5=b47df7cc5a93f9460dac8a4777d981f5</t>
  </si>
  <si>
    <t>The spatially widely distributed and temporally protracted Santonian–Campanian stratigraphic records of the Sillakkudi Formation of the Ariyalur Group, Cauvery Basin, southern India represent an onland exposure of a Gilbert-type delta. Here, we present geochemical, mineralogical, and petrographic analyses of two composite stratigraphic sections, and evaluate the climatic, tectonic, and other factors that contributed to the spatio-emporal uniqueness of this formation. A range of low to intensive weathering, simultaneous exhumation/erosion, physical transport, and chemical weathering, prevalent at different parts of the source region and or the existence of multiple channels that drained varied source regions and hence varied lithologies at exhumation surfaces which in turn experienced seasonally varied flow conditions were interpreted. The prevalence of physical erosion during the initial stages of the deposition of the Sillakkudi Formation that progressed towards higher intensities of chemical weathering, in tune with the increase in atmospheric temperature and sea-level rise during the later stages of the formation, is evidenced. Occurrences of positive and negative Eu anomalies and a progression from active to passive tectonic setting of samples, concomitant with change from tectonic control to relative sea-level and the sediment influx controlled nature of deposition from Santonian–Campanian is recorded. Together, three sets of related factors namely, tectonics, increase of atmospheric temperature and sea-level rise operated independently, and the enforced transience of transformation of the source terrain from active to passive margin, the transformation of depositional setting from fluvial to estuarine/intertidal to open marine, and shifting of principal loci of deposition from onland to offshore, are documented. The causal link between the progressive increase of sea-level control over the depositional system during the Santonian–Campanian as recorded by this study could be due to the rise in atmospheric temperature that in turn might have been influenced by the movement of the Indian Plate from low latitudes towards the equatorial region. The second implication of the results is that the studies attempting to document tectonic setting, provenance, and weathering, with the help of geochemical discriminant diagrams, should also consider the spatial and temporal changes in the source area as well as depositional setting. © 2022 John Wiley &amp; Sons Ltd.</t>
  </si>
  <si>
    <t>2-s2.0-85131723262"</t>
  </si>
  <si>
    <t>10.1007/s13157-022-01603-0</t>
  </si>
  <si>
    <t>https://www.scopus.com/inward/record.uri?eid=2-s2.0-85139236437&amp;doi=10.1007%2fs13157-022-01603-0&amp;partnerID=40&amp;md5=733d0c12119263f84d954f481ec736e7</t>
  </si>
  <si>
    <t>The installation of shrimp and salt ponds has contributed to the devastation of several mangroves worldwide. In semiarid regions, where few mangroves are able to cope with the harsh environment, these forests are more vulnerable to human impacts. In Brazil, several aquaculture and salt ponds have been established over mangroves and salt flats (‘apicuns’) i.e. sandier natural areas contiguous to mangroves. These areas, often hypersaline, can be colonized by mangroves if tidal coverage increases, and should, therefore, be protected to ensure mangrove conservation against predicted sea level rise. To restore a mangrove stand in an abandoned saltworks (former ‘apicum’ area) in northeast Brazil, hydrological restoration measures were applied, which involved digging channels to restore estuarine water flux to planted and water-borne propagules. In two years, mangroves developed rapidly in the intervention area, after decades of slow monospecific Avicennia germinans recovery. Survival of planted Rhizophora mangle propagules was high, and naturally established Avicennia germinans and Laguncularia racemosa reached far higher densities and heights in channels with respect to the condition before channeling. These results provide valuated insight into mangrove expansion over salt flats by increasing tidal coverage from ongoing rising sea levels. Associated with ecological changes after mangrove rehabilitation and driven by the return of plant and faunal key groups, ecological interactions like facilitation, herbivory and bioturbation increased in the restored area. Our results shed light on the processes related to forest recovery of degraded littoral areas, and contribute to improving the restoration and management of mangrove forests in semiarid coasts. © 2022, The Author(s), under exclusive licence to Society of Wetland Scientists.</t>
  </si>
  <si>
    <t>2-s2.0-85139236437"</t>
  </si>
  <si>
    <t>Conservation Science and Practice</t>
  </si>
  <si>
    <t>10.1111/csp2.12802</t>
  </si>
  <si>
    <t>https://www.scopus.com/inward/record.uri?eid=2-s2.0-85137209431&amp;doi=10.1111%2fcsp2.12802&amp;partnerID=40&amp;md5=d24108bcda0f5dbdcbc81fc7424d725d</t>
  </si>
  <si>
    <t>Rockland habitat in South Florida, USA, is a threatened ecosystem that has been lost, fragmented, or degraded because of urbanization or other anthropogenic disturbance. Furthermore, low-lying islands and coastal areas are experiencing sea level rise (SLR) and an increased frequency and intensity of tidal flooding, putting rockland habitats there at increasing risk of ecological change. We evaluated changes in the extent of rockland habitat under various scenarios of future SLR, tidal flooding, and human development for two endemic state-listed threatened species of snakes, the Rim Rock Crowned Snake (Tantilla oolitica) and the Key Ring-necked Snake (Diadophis punctatus acricus). Both snakes are restricted to South Florida. We used recent and historical species' records to determine each species' habitat range. We then estimated the extent of future habitat loss due to SLR and continued human development, as well as degradation of the remaining habitat. We also asked whether the future potential drivers of habitat loss and degradation differ between the two species and across their habitat ranges. We predicted that saltwater intrusion could negatively affect rocklands by 2050, resulting in degradation of 80% of the existing habitat because of an anticipated 42 cm of SLR. Moreover, our model suggests short-term stochastic events such as storm surge and high tides may increasingly saturate the root zone of rockland vegetation before complete inundation. Under the extreme scenario, we predict most of the rockland habitat used by these two species of snakes may be inundated by 2080. Under the extreme SLR scenario, current rocklands are likely to convert to more halophytic habitat (mangrove or salt marsh wetland) within 50–60 years. Under the low scenario, 31% of rockland habitat may be lost due to human development by 2030. Therefore, mitigation actions may help to conserve specialist species within rockland habitat threatened by human activities and climate change. © 2022 The Authors. Conservation Science and Practice published by Wiley Periodicals LLC on behalf of Society for Conservation Biology.</t>
  </si>
  <si>
    <t>2-s2.0-85137209431"</t>
  </si>
  <si>
    <t>10.1016/j.jag.2022.103077</t>
  </si>
  <si>
    <t>https://www.scopus.com/inward/record.uri?eid=2-s2.0-85140463026&amp;doi=10.1016%2fj.jag.2022.103077&amp;partnerID=40&amp;md5=0a80e7c699f169f5419c4775e106bb97</t>
  </si>
  <si>
    <t>Extensive coastal deltas in the world are subsiding due to natural or anthropogenic activities. As the widest and youngest river delta in the world, serious coastal subsidence in the Yellow River Delta (YRD) has exacerbated the relative sea level rise (RSLR) and increased the risk of soil salinization and coastal flooding. However, there are rarely relevant studies that quantitatively separate the contributions from different driving factors to subsidence. In this work, we aim to provide a detailed and comprehensive analysis of coastal subsidence related to coastal brine pumping activities in YRD. We investigate the land deformation of the entire YRD by time series InSAR analysis (TS-InSAR) of Sentinel-1 images acquired between 2016 and 2021. The results reveal that fast subsiding funnels larger than 50 mm/yr are mainly distributed in the coastal brine mining clusters. We further used Principal Component Analysis (PCA) to extract the principal components and temporal patterns from the deformation time series. Taking geological data, precipitation, temperature, and human activities into consideration, we quantitatively separate the driving factors of coastal subsidence in sub-areas. We find that underground brine mining contributes to more than 94 % of the coastal subsidence of the YRD. In addition, precipitation is the most important natural factor that can affect the process of land subsidence in YRD, whereas other driving factors from soil consolidation, oil extraction and other activities are not noticeable. This study is expected to offer a cost-effective method for detecting and characterizing coastal subsidence in global sinking deltas, which will contribute to more accurate dynamic monitoring of coastal subsidence and a better understanding of land subsidence responses to anthropogenic activities. © 2022 The Author(s)</t>
  </si>
  <si>
    <t>2-s2.0-85140463026"</t>
  </si>
  <si>
    <t>10.5194/tc-16-4423-2022</t>
  </si>
  <si>
    <t>https://www.scopus.com/inward/record.uri?eid=2-s2.0-85141951588&amp;doi=10.5194%2ftc-16-4423-2022&amp;partnerID=40&amp;md5=f37c6ed8ba840e6e891a61627a17bbdf</t>
  </si>
  <si>
    <t>Sea level rise and coastal erosion have inundated large areas of Arctic permafrost. Submergence by warm and saline waters increases the rate of inundated permafrost thaw compared to sub-aerial thawing on land. Studying the contact between the unfrozen and frozen sediments below the seabed, also known as the ice-bearing permafrost table (IBPT), provides valuable information to understand the evolution of sub-aquatic permafrost, which is key to improving and understanding coastal erosion prediction models and potential greenhouse gas emissions. In this study, we use data from 2D electrical resistivity tomography (ERT) collected in the nearshore coastal zone of two Arctic regions that differ in their environmental conditions (e.g., seawater depth and resistivity) to image and study the subsea permafrost. The inversion of 2D ERT data sets is commonly performed using deterministic approaches that favor smoothed solutions, which are typically interpreted using a user-specified resistivity threshold to identify the IBPT position. In contrast, to target the IBPT position directly during inversion, we use a layer-based model parameterization and a global optimization approach to invert our ERT data. This approach results in ensembles of layered 2D model solutions, which we use to identify the IBPT and estimate the resistivity of the unfrozen and frozen sediments, including estimates of uncertainties. Additionally, we globally invert 1D synthetic resistivity data and perform sensitivity analyses to study, in a simpler way, the correlations and influences of our model parameters. The set of methods provided in this study may help to further exploit ERT data collected in such permafrost environments as well as for the design of future field experiments.  © 2022 Mauricio Arboleda-Zapata et al.</t>
  </si>
  <si>
    <t>2-s2.0-85141951588"</t>
  </si>
  <si>
    <t>10.1016/j.scitotenv.2022.156958</t>
  </si>
  <si>
    <t>https://www.scopus.com/inward/record.uri?eid=2-s2.0-85132894161&amp;doi=10.1016%2fj.scitotenv.2022.156958&amp;partnerID=40&amp;md5=4e4bda6d095819ad21af2ee450d72dca</t>
  </si>
  <si>
    <t>For sustainable food production in the Mekong Delta, greenhouse gas (GHG) emissions from rice cropping activities need to be reduced without sacrificing rice productivity. Each year, a substantial amount of straw is incorporated into paddy soils through triple rice cropping, which is characterized by a short cropping period and nearly year-round flooding, such that a large amount of methane is emitted. Exposing these soils to oxidative conditions by altering the cropping-period water regime might have the potential to reduce GHG emissions with increased rice yield. To test this potential, a split-plot experiment was conducted in a typical triple-cropped alluvial farmer's paddy in a central delta area over five years and 15 consecutive cropping seasons. The emissions observed from the continuously inundated paddies were 1.1–2.7 times greater than the reported emission factors for Vietnamese continuously inundated paddies. A significantly higher emission peak was detected at the beginning of the rice cropping and flooding fallow periods in continuously flooded (CF) paddies than in alternate wetting and drying (AWD) paddies, although the differences in field water level and soil moisture among the paddies were negligible. AWD reduced annual methane emissions (−51 %) and increased rice yield (+9 %), presumably through enhanced translocation of carbohydrates from leaves to panicles. The amount of GHGs emitted from straw use also decreased (11 %) under AWD management because the straw production rate was significantly lowered (9 %) by enhanced nutrient translocation. These results indicate that GHG emission reduction potentials in the Mekong Delta have been underestimated by previous studies, corroborate the necessity of additional long-term observations of triple rice cropping systems and demonstrate the need for a robust methodology for monitoring the permanence of AWD effects after policies promoting its widespread dissemination take effect. © 2022 Elsevier B.V.</t>
  </si>
  <si>
    <t>2-s2.0-85132894161"</t>
  </si>
  <si>
    <t>10.1007/s11069-022-05420-w</t>
  </si>
  <si>
    <t>https://www.scopus.com/inward/record.uri?eid=2-s2.0-85138901388&amp;doi=10.1007%2fs11069-022-05420-w&amp;partnerID=40&amp;md5=02556136cb0f01523dd5b2f83103f935</t>
  </si>
  <si>
    <t>Guinea-Bissau's coasts are considered highly vulnerable to coastal hazards, and this vulnerability is expected to increase under future climate change scenarios. Multi-hazards assessment studies have not been fully carried out to better understand the vulnerability index in the Northwestern Coastline of Guinea-Bissau. In this study, we coupled remote sensing data with the InVEST Model to develop a comprehensive coastal vulnerability index, establish the rate of sea-level rise, and determine the role of coastal habitats in protecting the shoreline from coastal hazards. The study area covered a coastline of 87 km that are classified in different levels of vulnerability. The results show that about 45 km of coastline are recorded in areas of high to very-high vulnerability index. 17 km are recorded in areas of moderate vulnerability, while 25 km are recorded in areas of low to very-low vulnerability index. The study concluded that, the very-high vulnerability index observed in Zone-B is mainly influenced by wind and wave exposure, as this zone is largely exposed to Atlantic Ocean. The low relief of less than 5 m and flat slope that vary between 0 and 5 degrees, made zone-A more vulnerable to storm surge and sea-level that rises by 8.79 mm/year, however, the coastal habitats of this zone play a vital role in protecting the shoreline from coastal hazards. The low vulnerability recorded in Zone-C is due to the relative high relief of above 10 m combined with coastal geomorphological structures and natural habitats. Zone-A and B, deserve special attention from the conservation bodies and coastal community. These findings can be a baseline to assist policymakers and coastal managers in sustainable coastal management and cost-effective mitigation plans for ecological restoration and conservation. © 2022, The Author(s), under exclusive licence to Springer Nature B.V.</t>
  </si>
  <si>
    <t>2-s2.0-85138901388"</t>
  </si>
  <si>
    <t>10.1016/j.advwatres.2022.104309</t>
  </si>
  <si>
    <t>https://www.scopus.com/inward/record.uri?eid=2-s2.0-85138184350&amp;doi=10.1016%2fj.advwatres.2022.104309&amp;partnerID=40&amp;md5=115618f51da2324427bfdd6702341969</t>
  </si>
  <si>
    <t>The study concerns the water level (WL) evolution in lagoons under the influence of tides and river fluxes. We derive new approximate analytical solutions of the Stigebrandt (1980) equations and apply them to the Nokoué Lagoon (Benin), a large tropical coastal lagoon fed by substantial river input. We show the solutions accurately predict the mean WL and tide amplitude. In particular the nonlinear combination of the spring-neap tidal cycle and river inflow gives rise to a strong fortnightly variation of the mean WL. The analytical solutions are used to explain this phenomenon. We also calculate the phase shift between the ocean and the lagoon tides and the asymmetry of the ebb and flood tide duration in the lagoon. The asymmetry first increases with the river flux but reduces above a critical flux before becoming symmetric again at river flood peaks. Finally, the analytical solutions are inverted to estimate the net river fluxes entering the Nokoué Lagoon, where no observations are available for rivers but for which we have high frequency observations of the lagoon water level for 2 years. The model is calibrated using few available flux observations in the channel connecting the lagoon to the ocean. Realistic river fluxes are estimated. We subsequently calculate the lagoon WL variations using the simplified model forced with the recalculated river fluxes and tidal forcing from an ocean tide model. The solution accurately represents the observations over the 2 year time period of the study. We conclude that this simple model is able to represent the complex interaction of tides and river fluxes, and its influence on the low frequency WL variations of coastal lagoons. © 2022 Elsevier Ltd</t>
  </si>
  <si>
    <t>2-s2.0-85138184350"</t>
  </si>
  <si>
    <t>10.1029/2022EA002286</t>
  </si>
  <si>
    <t>https://www.scopus.com/inward/record.uri?eid=2-s2.0-85142631901&amp;doi=10.1029%2f2022EA002286&amp;partnerID=40&amp;md5=d21659300d86996e93619e0c004bdfa6</t>
  </si>
  <si>
    <t>Evaluation of sea-level rise (SLR) impacts on coastal landforms and habitats is a persistent need for informing coastal planning and management, including policy decisions, particularly those that balance human interests and habitat protection throughout the coastal zone. Bayesian networks (BNs) are used to model barrier island change under different SLR scenarios that are relevant to management and policy decisions. BNs utilized here include a shoreline change model and two models of barrier island biogeomorphological evolution at different scales (50 and 5 m). These BNs were then linked to another BN to predict habitat availability for piping plovers (Charadrius melodus), a threatened shorebird reliant on beach habitats. We evaluated the performance of the two linked geomorphology BNs and further examined error rates by generating hindcasts of barrier island geomorphology and habitat availability for 2014 conditions. Geomorphology hindcasts revealed that model error declined with a greater number of known inputs, with error rates reaching 55% when multiple outputs were hindcast simultaneously. We also found that, although error in predictions of piping plover nest presence/absence increased when outputs from the geomorphology BNs were used as inputs in the piping plover habitat BN, the maximum error rate for piping plover habitat suitability in the fully-linked BNs was only 30%. Our findings suggest this approach may be useful for guiding scenario-based evaluations where known inputs can be used to constrain variables that produce higher uncertainty for morphological predictions. Overall, the approach demonstrates a way to assimilate data and model structures with uncertainty to produce forecasts to inform coastal planning and management. © 2022 The Authors. This article has been contributed to by U.S. Government employees and their work is in the public domain in the USA.</t>
  </si>
  <si>
    <t>2-s2.0-85142631901"</t>
  </si>
  <si>
    <t>10.5194/tc-16-3815-2022</t>
  </si>
  <si>
    <t>https://www.scopus.com/inward/record.uri?eid=2-s2.0-85140400028&amp;doi=10.5194%2ftc-16-3815-2022&amp;partnerID=40&amp;md5=d26d57a80e95a2d7e40efae5f319416c</t>
  </si>
  <si>
    <t>Regional climate models (RCMs) and reanalysis datasets provide valuable information for assessing the vulnerability of ice shelves to collapse over Antarctica, which is important for future global sea level rise estimates. Within this context, this paper examines variability in snowfall, near-surface air temperature and melt across products from the Met Office Unified Model (MetUM), Regional Atmospheric Climate Model (RACMO) and Modèle Atmosphérique Régional (MAR) RCMs, as well as the ERA-Interim and ERA5 reanalysis datasets. Seasonal and trend decomposition using LOESS (STL) is applied to split the monthly time series at each model grid cell into trend, seasonal and residual components. Significant systematic differences between outputs are shown for all variables in the mean and in the seasonal and residual standard deviations, occurring at both large and fine spatial scales across Antarctica. Results imply that differences in the atmospheric dynamics, parametrisation, tuning and surface schemes between models together contribute more significantly to large-scale variability than differences in the driving data, resolution, domain specification, ice sheet mask, digital elevation model and boundary conditions. Despite significant systematic differences, high temporal correlations are found for snowfall and near-surface air temperature across all products at fine spatial scales. For melt, only moderate correlation exists at fine spatial scales between different RCMs and low correlation between RCM and reanalysis outputs. Root mean square deviations (RMSDs) between all outputs in the monthly time series for each variable are shown to be significant at fine spatial scales relative to the magnitude of annual deviations. Correcting for systematic differences results in significant reductions in RMSDs, suggesting the importance of observations and further development of bias-correction techniques.  © Author(s) 2022.</t>
  </si>
  <si>
    <t>2-s2.0-85140400028"</t>
  </si>
  <si>
    <t>10.1016/j.envsoft.2022.105530</t>
  </si>
  <si>
    <t>https://www.scopus.com/inward/record.uri?eid=2-s2.0-85138335652&amp;doi=10.1016%2fj.envsoft.2022.105530&amp;partnerID=40&amp;md5=2ab9faf17db68bcfef2c5f124c443fb2</t>
  </si>
  <si>
    <t>This paper describes a simplified flood model based on cellular automata in order to be implemented in applications, which require the simulation of a great number of flood scenarios at regional scale. The model is based on a top-down evaluation of the flow process through the cells of the DEM. According to the conditions in a Moore Neighbourhood, the cells are classified in a dynamic process in four possible states with its own rules. To verify the quality of the results, an evaluation is carried out using the benchmarking tests and results shown in Neelz and Pender (2013). Besides, the 2D models HEC-RAS and Iber were used to evaluate quantitatively the efficiency of the model in terms of water depth and flood extent. From this, it is observed that the model produces very acceptable results especially where dynamic effects are less significant. © 2022 Elsevier Ltd</t>
  </si>
  <si>
    <t>2-s2.0-85138335652"</t>
  </si>
  <si>
    <t>10.1016/j.ijdrr.2022.103341</t>
  </si>
  <si>
    <t>https://www.scopus.com/inward/record.uri?eid=2-s2.0-85139848615&amp;doi=10.1016%2fj.ijdrr.2022.103341&amp;partnerID=40&amp;md5=56794e4387feddae252139083659584b</t>
  </si>
  <si>
    <t>The necessity to protect coastal regions from sea-level rise (SLR) and extreme events demands a rigorous assessment of coastal vulnerability. The intergovernmental panel for climate change (IPCC) predicts that climate change will severely impact the coastal region, river systems, and urban infrastructures. The changing climate is observed to be increasing the frequency and magnitude of extreme hydrometeorological conditions, such as storm surges that adversely affect coastal areas by flood inundation. This study emphasizes the need to use extreme events and socio-economic data to evaluate the Coastal Vulnerability Index (CVI) for planning and adaptation measures. Therefore, the present study utilizes spatially varying surge heights for improved estimation of the CVI, unlike the constant surge heights considered in the previous studies. For coastal adaptation measures, synthetic cyclones of different return periods, such as 20-, 50- and 100-year, are simulated using a hydrodynamic model to represent a range of risk and vulnerability in the estimated CVI. The proposed methodology for calculating the CVI is demonstrated by considering the Chennai coast in the state of Tamil Nadu, India. The use of spatial distribution of storm surges from hydrodynamic simulations makes the CVI more realistic. Such thorough assessments utilizing high-resolution CVI maps can help policymakers suggest appropriate measures for specific coastal zones, which are more devastatingly affected by shoreline erosion, SLR and storm surge. The vulnerability assessment indicates that great care is needed in the planning and adaptation of the coastal ecosystem to extreme events for the safety and well-being of coastal populations and infrastructures. © 2022 Elsevier Ltd</t>
  </si>
  <si>
    <t>2-s2.0-85139848615"</t>
  </si>
  <si>
    <t>10.1007/s11069-022-05475-9</t>
  </si>
  <si>
    <t>https://www.scopus.com/inward/record.uri?eid=2-s2.0-85134469762&amp;doi=10.1007%2fs11069-022-05475-9&amp;partnerID=40&amp;md5=66552c45237860ef5c6083d8252f5cf1</t>
  </si>
  <si>
    <t>The increasing unpredictable floods due to the effect of climate change across regions of Vietnam have threaten the country’s socio-economic development goals at local, regional and national scales. This paper employs indicator-based approach to calculate Flood Vulnerability Index and generates vulnerability maps that reflect the spatial distribution of flood vulnerability in the Central region of Vietnam, which is the hardest hit flood region and home to many sites of great cultural-historical value. Data were collected from Hoi An’s 2020 statistical yearbook, digital elevation model, land use map, open street map and from surveying experts and civil servants at the city level (representatives of the City People’s Committee, the Center for Cultural Heritage Management and Preservation of Hoi An) and at ward/commune level (representatives of 12 wards and communes). GIS techniques and analytical hierarchy process were applied to analysis the obtained data and generate three scenarios that reflect the impact of vulnerability’s components. The findings indicate that number of organizations in disaster prevention and historical site preservation, road density, the presence of historical sites, flood frequency and average elevation are the key factors affecting the city’s vulnerability to flood hazard in the area of cultural heritage. The empirical results in Hoi An also indicate the importance of the number of poor households as an necessary factor when considering the sensitivity to flood in developing countries. In addition, this study distinguishes the impact of vulnerability’s components by generating different scenarios which clearly proof that having more floods does not always mean high vulnerability and vice versa. More importantly, by looking into the reasons (either transportation, education or other indicators) that leads to the gap between Flood Vulnerability Index in different scenarios, the paper subsequently identifies measures for each locality, whereby the governmental investment budget can be prioritized effectively. © 2022, The Author(s), under exclusive licence to Springer Nature B.V.</t>
  </si>
  <si>
    <t>2-s2.0-85134469762"</t>
  </si>
  <si>
    <t>Journal of Atmospheric and Solar-Terrestrial Physics</t>
  </si>
  <si>
    <t>10.1016/j.jastp.2022.105932</t>
  </si>
  <si>
    <t>https://www.scopus.com/inward/record.uri?eid=2-s2.0-85135707995&amp;doi=10.1016%2fj.jastp.2022.105932&amp;partnerID=40&amp;md5=c1bdf28dc6c5e29afeeb3a3c3d148780</t>
  </si>
  <si>
    <t>The Arabian Peninsula (AP), the largest peninsula in the world, contains ‘hot spot’ areas for intensive dust storms. Dust sources outside the AP can also represent ‘hot spots’ that heavily impact the AP. This study explores the source and transport pathways of severe dust storm events over the AP over nine years (2010–2018) using MODIS Aqua and Terra satellites (0.25–0.5 km/pxl resolution) combined with the HYSPLIT model and synoptic meteorology. The study identified ten dust source ‘hot spots’ that affect the AP</t>
  </si>
  <si>
    <t>10.3390/rs14225903</t>
  </si>
  <si>
    <t>https://www.scopus.com/inward/record.uri?eid=2-s2.0-85142766057&amp;doi=10.3390%2frs14225903&amp;partnerID=40&amp;md5=310d8e18716b6892cebe55865c5e3cf9</t>
  </si>
  <si>
    <t>The aim of this study was to develop a robust methodology for evaluating the spatiotemporal dynamics of the inundation status in tropical wetlands with the currently available Global Navigation Satellite System-Reflectometry (GNSS-R) data by proposing a new quality control technique called the “precision index”. The methodology was applied over the Mekong Delta, one of the most important rice-production systems comprising aquaculture areas and natural wetlands (e.g., mangrove forests, peatlands). Cyclone Global Navigation Satellite System (CyGNSS) constellation data (August 2018–December 2021) were used to evaluate the spatiotemporal dynamics of the reflectivity Γ over the delta. First, the reflectivity Γ, shape and size of each specular footprint and the precision index were calibrated at each specular point and reprojected to a 0.0045° resolution (approximately equivalent to 500 m) grid at a daily temporal resolution (Lv. 2 product)</t>
  </si>
  <si>
    <t>10.1111/tgis.12995</t>
  </si>
  <si>
    <t>https://www.scopus.com/inward/record.uri?eid=2-s2.0-85140050352&amp;doi=10.1111%2ftgis.12995&amp;partnerID=40&amp;md5=caa61dc8b4560e95fb71594211e54e1b</t>
  </si>
  <si>
    <t>This study determines input data appropriateness for geographic information system-based enhanced bathtub model (eBTM) modeling of coastal inundation in an urban setting. Various tests were conducted concerning digital surface models (DSMs) to determine: (a) the highest appropriate resolution achievable from available LiDAR data and consider variations between derived sub-meter DSMs; (b) optimal DSM horizontal resolution for coastal inundation modeling based on “out-the-box” solutions; and (c) mechanisms to address the challenge presented by DSMs regarding overhanging structures for a study site in False Bay, South Africa. Results showed that while sub-meter DSMs are achievable, low point cloud densities may result in the misrepresentation of structures, which affects the inundation extents. High horizontal resolution DSMs are required for inundation modeling in an urban setting to account for narrow thoroughfares. Challenges posed by first return LiDAR depicting bridges as solid structures could be circumvented by modifying the input water source for the eBTM processing.</t>
  </si>
  <si>
    <t>10.3390/rs14194899</t>
  </si>
  <si>
    <t>https://www.scopus.com/inward/record.uri?eid=2-s2.0-85139961177&amp;doi=10.3390%2frs14194899&amp;partnerID=40&amp;md5=527eee4ab27d0ed3081d8b1f2ebb48e2</t>
  </si>
  <si>
    <t>There is a long history of coastal erosion caused by frequent storm surges in the coastal regions of Australia, which imposes great threats to communities and infrastructures alongside the beach. Old Bar Beach, New South Wales, Australia, is one such hotspot famous for its extreme coastal erosion. To apply remedial measures such as beach nourishment effectively and economically, estimating/reconstructing the subsurface hydrogeology over the coastal areas is essential. A geophysical tool such as a ground-penetrating radar (GPR) which works on the principle of reflecting electromagnetic (EM) waves, can be conveniently deployed to delineate the soil and rock profiling, water-table depth, bedrock depth, and the subsurface structural features. Here, DeepLabv3+ architecture based newly developed deep convolutional neural networks (DCNNs) were used to establish an inherent non-linear relationship between the GPR data and the EM wave velocity. The presented DCNNs have a lesser number of layers, a lesser number of trainable (learnable) parameters, a high convergence rate and, at the same time, achieve prediction accuracy comparable to that of well-established DeepLabv3+ networks, having high trainable parameters and a relatively low convergence rate. Here, firstly the DCNNs were trained and validated on small 1D datasets. Each dataset contains a 1D GPR trace and a corresponding EM velocity model. The DCNNs turned out to be quite promising in the 1D case, with training, validation, and testing accuracy of approximately 95%, 94%, and 95%, respectively. Secondly, 1D trained weights were applied to 2D synthetic GPR data for EM velocity prediction, and the accuracy of prediction achieved was approximately 95%. Seeing the excellent performance of the DCNNs in the 2D prediction case using 1D trained weights, a large amount of 1D synthetic datasets (approximately 1.2 million) were generated and gaussian noise was added to it to replicate the real field scenario. Thirdly, topographically corrected GPR data acquired over the Old Bar Beach were inverted using the DCNNs trained on 1.2 million 1D synthetic datasets to obtain the subsurface high-resolution, high-precision EM velocity, and (Formula presented.) distribution information to understand the hydrogeology over the beach. The findings presented in this paper agree well with the previous hydrogeological studies carried out using GPR. Our findings show that DCNNs, along with GPR, can be successfully used in coastal environments for the quick and accurate hydrogeological investigation required for the implementation of coastal erosion mitigation methods such as beach nourishment. © 2022 by the authors.</t>
  </si>
  <si>
    <t>2-s2.0-85139961177"</t>
  </si>
  <si>
    <t>10.3390/geosciences12100361</t>
  </si>
  <si>
    <t>https://www.scopus.com/inward/record.uri?eid=2-s2.0-85140752937&amp;doi=10.3390%2fgeosciences12100361&amp;partnerID=40&amp;md5=155f0a9da6ddacbb3fdbb514875f17d8</t>
  </si>
  <si>
    <t>The existence of high potential onshore and offshore active faults capable to trigger large earthquakes in the broader area of Thrace, Greece in correlation with the critical infrastructures constructed on the recent and Holocene sediments of Nestos river delta plain, was the motivation for this research. The goal of this study is twofold</t>
  </si>
  <si>
    <t>10.1016/j.accre.2022.06.002</t>
  </si>
  <si>
    <t>https://www.scopus.com/inward/record.uri?eid=2-s2.0-85133799670&amp;doi=10.1016%2fj.accre.2022.06.002&amp;partnerID=40&amp;md5=cd4cc76c4900f84b1ae08cfa746c5f22</t>
  </si>
  <si>
    <t>Climate change is causing sea-level rise, intense and frequent storm surge flooding, and significant shoreline erosion in Malaysian coastal areas. Consequently, coastal properties, infrastructure, and livelihoods are threatened. It has become apparent that adaptation at the household and community level is necessary to offset the adverse impacts of coastal hazards. The community needs to be made aware of the risks, acquire knowledge about adaptation options, and be empowered to take their own actions. Public perception and preference are therefore crucial for design and implementation of effective planning for climate change. Thus, this study assesses households' perception, adaptation measures and empirically estimates willingness to pay and preference for planned adaptation measures to guide policy instruments through public engagement. In Malaysia, ten highly vulnerable coastal areas in the Selangor coast were surveyed at the household level (n = 1016) through face-to-face interviews using a structured questionnaire. Regarding households’ perception and adaptation methods, most of the households in the highly exposed areas perceived less risk of inundation and sea-level rise threat and adopted less proactive adaptation and limited risk reduction behaviours during the extreme event. The study found that 66.9% of households were willing to pay for planned adaptation measures despite the limited income capabilities and in favour of moderate adaptation (23.9%). The binomial and ordinal regression results indicated that the probability of willingness to pay for planned adaptation measures significantly increases with age, prior exposure to coastal hazards, awareness, risk perception, community participation, being affected by property damage and loss of income due to extreme events. With increased monthly household income and access to telecommunication services, households will probably pay higher for better adaptation measures. A significant amount of perceived yearly adaptation benefits in the coastal districts revealed the economic value of extensive (22,969.50 MYR/5462.43 USD), moderate (21,853.20 MYR/5196.96 USD) and minimal adaptation measures (8022.90 MYR/1907.94 USD) that can be utilised to incentivise coastal adaptation plans. The findings suggest policies to incorporate social values to reduce vulnerability, enhance community resilience, and contribute to the knowledge gap of adaptation research in the coastal areas. © 2022 The Authors</t>
  </si>
  <si>
    <t>2-s2.0-85133799670"</t>
  </si>
  <si>
    <t>10.3390/rs14215592</t>
  </si>
  <si>
    <t>https://www.scopus.com/inward/record.uri?eid=2-s2.0-85141821345&amp;doi=10.3390%2frs14215592&amp;partnerID=40&amp;md5=bcababb0dbaf75ea0a5778c3e7afafdf</t>
  </si>
  <si>
    <t>Ice-rich permafrost in the Qinghai–Tibet Plateau (QTP), China, is becoming susceptible to thermokarst landforms, and the most dramatic among these terrain-altering landforms is retrogressive thaw slump (RTS). Concurrently, RTS development can in turn affect the eco-environment, and especially soil erosion and carbon emission, during their evolution. However, there are still a lack of quantitative methods and comprehensive studies on the deformation and volumetric change in RTS. The purpose of this study is to quantitatively assess the RTS evolution through a novel and feasible simulation framework of the GPU-based discrete element method (DEM) coupled with the finite difference method (FDM). Additionally, the simulation results were calibrated using the time series observation results from September 2021 to August 2022, using the combined methods of terrestrial laser scanning (TLS) and unmanned aerial vehicle (UAV). The results reveal that, over this time, thaw slump mobilized a total volume of 1335 m3 and approximately 1050 m3 moved to a displaced area. Additionally, the estimated soil erosion was about 211 m3. Meanwhile, the corresponding maximum ground subsidence and headwall retrogression were 1.9 m and 3.2 m, respectively. We also found that the amount of mass wasting in RTS development is highly related to the ground ice content. When the volumetric ice content exceeds 10%, there will be obvious mass wasting in the thaw slump development area. Furthermore, this work proposed that the coupled DEM-FDM method and field survey method of TLS-UAV can provide an effective pathway to simulate thaw-induced slope failure problems and complement the research limitations of small-scale RTSs using remote sensing methods. The results are meaningful for assessing the eco-environmental impacts on the QTP. © 2022 by the authors.</t>
  </si>
  <si>
    <t>2-s2.0-85141821345"</t>
  </si>
  <si>
    <t>10.3390/land11101649</t>
  </si>
  <si>
    <t>https://www.scopus.com/inward/record.uri?eid=2-s2.0-85140710231&amp;doi=10.3390%2fland11101649&amp;partnerID=40&amp;md5=41fb89a2d14c1d42cd56d4c5007e275d</t>
  </si>
  <si>
    <t>The Republic of Trinidad and Tobago is an archipelagic Small Island Developing State (SIDS), situated on the southern end of the chain of Caribbean islands. Several factors such as climate, topography, and hydrological characteristics increase its susceptibility and vulnerability to flooding which results in adverse socio-economic impacts. Many Caribbean islands, including Trinidad and Tobago lack a flood risk assessment tool which is essential for a proactive mitigation approach to floods, specifically in the Caribbean due to the incommensurate flooding events that occur because of the inherent characteristics of SIDS. This research focuses on the problem of flooding using susceptibility analysis, vulnerability analysis and risk assessment for the island of Trinidad, whilst also presenting a repeatable and appropriate methodology to assess these risks in regions that have similar characteristics to Trinidad. This is especially useful in Caribbean countries because of a lack of internal human capacity to support such efforts. Flood hazard indexes (FHI) and vulnerability indexes (VI) were generated for this study using subjective and objective weighting technique models to identify regions that are affected by flooding. These models were Analytical Hierarchy Process (AHP), Frequency Ratio (FR) and Shannon’s Entropy (SE). Comparative analyses of the three models were conducted to assess the efficacy and accuracy of each to determine which is most suitable. These were used to conduct a risk assessment to identify risks associated with each Regional Corporation of Trinidad. Results indicate that FR is the most accurate weighting technique model to assess flood susceptibility and risk assessment in Trinidad, with an Area Under the Curve (AUC) of 0.76 and 0.64 respectively. This study provides an understanding of the most appropriate weighting techniques that can be used in regions where there are challenges in accessing comprehensive data sets and limitations as it relates to access to advanced technology and technical expertise. The results also provide reasonably accurate outcomes that can assist in identifying priority areas where further quantitative assessments may be required and where mitigation and management efforts should be focused. This is critical for SIDS where vulnerability to flooding is high while access to financial and human resources is limited. © 2022 by the authors.</t>
  </si>
  <si>
    <t>2-s2.0-85140710231"</t>
  </si>
  <si>
    <t>10.1038/s41561-022-01041-x</t>
  </si>
  <si>
    <t>https://www.scopus.com/inward/record.uri?eid=2-s2.0-85139474853&amp;doi=10.1038%2fs41561-022-01041-x&amp;partnerID=40&amp;md5=08f2133bd08478b5b501b2df673f7686</t>
  </si>
  <si>
    <t>Coastal ecosystems represent a disproportionately large but vulnerable global carbon sink. Sea-level-driven tidal wetland degradation and upland forest mortality threaten coastal carbon pools, but responses of the broader coastal landscape to interacting facets of climate change remain poorly understood. Here, we use 36 years of satellite observations across the mid-Atlantic sea-level rise hotspot to show that climate change has actually increased the amount of carbon stored in the biomass of coastal ecosystems despite substantial areal loss. We find that sea-level-driven reductions in wetland and low-lying forest biomass were largely confined to areas less than 2 m above sea level, whereas the otherwise warmer and wetter climate led to an increase in the biomass of adjacent upland forests. Integrated across the entire coastal landscape, climate-driven upland greening offset sea-level-driven biomass losses, such that the net impact of climate change was to increase the amount of carbon stored in coastal vegetation. These results point to a fundamental decoupling between upland and wetland carbon trends that can only be understood by integrating observations across traditional ecosystem boundaries. This holistic approach may provide a template for quantifying carbon–climate feedbacks and other aspects of coastal change that extend beyond sea-level rise alone. © 2022, The Author(s), under exclusive licence to Springer Nature Limited.</t>
  </si>
  <si>
    <t>2-s2.0-85139474853"</t>
  </si>
  <si>
    <t>10.1029/2021JC018315</t>
  </si>
  <si>
    <t>https://www.scopus.com/inward/record.uri?eid=2-s2.0-85141664800&amp;doi=10.1029%2f2021JC018315&amp;partnerID=40&amp;md5=850c4d4557c4357531b58f71b4d6a998</t>
  </si>
  <si>
    <t>We report the results of an extensive experimental campaign dedicated to the analysis of turbulent dispersion owing to the circulations in tidal environments, characterized by a tidal inlet and a channel with lateral tidal flats. We focus on weakly-convergent and weakly-dissipative estuaries or tidal embankments, where the internal waters communicate with the open sea through an inlet mouth. Tides are reproduced as single or multiple harmonics waves. Particle Image Velocimetry is employed to measure two-dimensional surface velocity fields. Large-scale macro-vortices, generated by vortex shedding during the flood phase from the inlet barrier, tend to occupy the entire tidal flats width and are completely flushed out during the ebb phase. In all experiments, an intense residual current, with shape influenced by the large-scale flood vortices, is observed. The presence of large-scale vortices and of a residual current strongly influences the Lagrangian auto-correlation functions and the corresponding absolute dispersion time evolution. Looping auto-correlations are the signature of both periodic forcing and vortices, ultimately, leading to super diffusive regimes. An asymptotic Brownian regime is always found for the investigated range of parameters allowing for an estimate of the horizontal dispersion coefficients which turn out to decrease with the friction parameter and tend to be enhanced when the semi-diurnal constituents prevail. Finally, multiple particle statistics show multiple regimes depending on particle separations, compared to a typical injection length scale that seems to coincide with the inlet mouth dimension. © 2022. The Authors.</t>
  </si>
  <si>
    <t>2-s2.0-85141664800"</t>
  </si>
  <si>
    <t>10.3390/rs14215313</t>
  </si>
  <si>
    <t>https://www.scopus.com/inward/record.uri?eid=2-s2.0-85141878261&amp;doi=10.3390%2frs14215313&amp;partnerID=40&amp;md5=680f4923906fde2d78015f1c8609e7f3</t>
  </si>
  <si>
    <t>The Floodwater Depth Estimation Tool (FwDET) calculates water depth from a remote sensing-based inundation extent layer and a Digital Elevation Model (DEM). FwDET’s low data requirement and high computational efficiency allow rapid and large-scale calculation of floodwater depth. Local biases in FwDET predictions, often manifested as sharp transitions or stripes in the water depth raster, can be attributed to spatial or resolution mismatches between the inundation map and the DEM. To alleviate these artifacts, we are introducing a boundary cell smoothing and slope filtering procedure in version 2.1 of FwDET (FwDET2.1). We present an optimization analysis that quantifies the effect of differing parameterization on the resulting water depth map. We then present an extensive intercomparison analysis in which 16 DEMs are used as input for FwDET Google Earth Engine (FwDET-GEE) implementation. We compare FwDET2.1 to FwDET2.0 using a simulated flood and a large remote sensing derived flood map (Irrawaddy River in Myanmar). The results show that FwDET2.1 results are sensitive to the smoothing and filtering values for medium and coarse resolution DEMs, but much less sensitive when using a finer resolution DEM (e.g., 10 m NED). A combination of ten smoothing iterations and a slope threshold of 0.5% was found to be optimal for most DEMs. The accuracy of FwDET2.1 improved when using finer resolution DEMs except for the MERIT DEM (90 m), which was found to be superior to all the 30 m global DEMs used. © 2022 by the authors.</t>
  </si>
  <si>
    <t>2-s2.0-85141878261"</t>
  </si>
  <si>
    <t>10.3390/atmos13101634</t>
  </si>
  <si>
    <t>https://www.scopus.com/inward/record.uri?eid=2-s2.0-85140460933&amp;doi=10.3390%2fatmos13101634&amp;partnerID=40&amp;md5=ad54ee60bbc75a8d406318eb400d8121</t>
  </si>
  <si>
    <t>Negative storm surges in the Elbe estuary can affect shipping as well as shoreline infrastructure. The significant reduction of water level caused by strong offshore winds can lead to extreme low water events, which endanger waterfront structures. The current study analyses the large-scale meteorological conditions inducing such situations and possible future changes due to climate change. The analysis is based on tide gauge data from Cuxhaven, atmospheric reanalysis data and an objective weather classification approach. It is found that south-easterly wind directions in combination with strong gales favour extreme low water events at Cuxhaven. Furthermore, the analysis of a single model large ensemble of climate projections shows a significant decrease in the frequency of such conditions for the far future (2071–2100). Regarding future global mean sea level rise the simulation results of a sensitivity study indicate that water levels during such extreme events approximately follow the development of the mean sea level rise. Therefore, our study suggests that both meteorological conditions and mean sea levels in a warmer future climate will be less favourable for the occurrence of extreme low water events in the Elbe estuary. © 2022 by the authors.</t>
  </si>
  <si>
    <t>2-s2.0-85140460933"</t>
  </si>
  <si>
    <t>Urban Studies</t>
  </si>
  <si>
    <t>10.1177/00420980221083101</t>
  </si>
  <si>
    <t>https://www.scopus.com/inward/record.uri?eid=2-s2.0-85130030516&amp;doi=10.1177%2f00420980221083101&amp;partnerID=40&amp;md5=229030f6c4c94df96bf3431f04d616d2</t>
  </si>
  <si>
    <t>Excessive amounts of neighbourhood vacant land and abandoned structures can significantly lower community and outsider perceptions, and ultimately impact the mental health conditions of inhabitants. While depopulation, economic conditions and land use dynamics can all play a role in the amount of neighbourhood-scaled vacancies and structural abandonment, natural disaster events such as flooding can also exacerbate the ratio of vacant to non-vacant properties in cities and neighbourhoods through resultant building damage and resident relocations. Examinations on post-disaster mental health are limited, and even less is known about the extent of vacant and abandoned properties on mental health, especially within the disaster recovery context. Using survey responses (n=257) from Houston, TX, USA, from Hurricane Harvey stricken neighbourhoods, this study quantitatively examines how vacancy and abandonment are associated with mental health in disaster-effected communities. Post-traumatic stress disorder (PTSD) was measured using the PTSD Checklist for DSM-5 and health-related quality of life was measured using the Health-Related Quality of Life (HRQOL) scale. Vacancy rates and perceived vacancy were used to predict PTSD and HRQOL in generalised mixed linear models while adjusting for covariates. Findings indicate significant relationships between higher neighbourhood vacancy and elevated risks of PTSD and impaired HRQOL. Further, while the average rate of abandonment in Houston stayed relatively flat, it increased considerably in hurricane impacted communities until two years after Harvey. The outcomes of this study suggest a link between hazard mitigation-recovery and urban regeneration planning to prevent neighbourhood deterioration and improve mental health outcomes after disaster events. © Urban Studies Journal Limited 2022.</t>
  </si>
  <si>
    <t>2-s2.0-85130030516"</t>
  </si>
  <si>
    <t>10.3389/frwa.2022.949901</t>
  </si>
  <si>
    <t>https://www.scopus.com/inward/record.uri?eid=2-s2.0-85140091276&amp;doi=10.3389%2ffrwa.2022.949901&amp;partnerID=40&amp;md5=7b4b78d5ef5a879c85071c85aaf58519</t>
  </si>
  <si>
    <t>The Ecological Reserve (environmental flows) as defined under the South African National Water Act 36 of 1998 was designed to equitably manage water for river sustainability while maximizing economic and social welfare. We investigated the climate change impacts on the Ecological Reserve targets for a seasonal river in an agricultural catchment in the Western Cape region using the Habitat Flow Stressor Response method (which integrates hydrology, hydraulics, water quality, and ecological data) under projected climate scenarios (2041–2070). Current Ecological Reserve model outcomes for 3 sites on the Doring River were compared with the future hydrology using Global Circulation Models associated with four Representative Concentration Pathways (RCP 2.6–8.5). Climate predictions reflected reduced future flows, but the uncertainty band of predicted future flows overlapped with present day flows. Flood flashiness following heavy rains and the increased length of dry periods that are predicted would both contribute to increased erosion and geomorphological degradation, and further compromise biodiversity including the endangered fish populations and threaten both freshwater and estuarine ecosystems downstream. Salinity variation is predicted to increase in future leading to increased seasonal salinity stress and reduced use of abstracted water. We interrogate various options for mitigating the impacts including augmenting dry season flows, developing on-farm, catchment-scale, and strategic water resources management, and removing alien vegetation. Copyright © 2022 Tanner, Mantel, Paxton, Slaughter and Hughes.</t>
  </si>
  <si>
    <t>2-s2.0-85140091276"</t>
  </si>
  <si>
    <t>10.1016/j.scitotenv.2022.157075</t>
  </si>
  <si>
    <t>https://www.scopus.com/inward/record.uri?eid=2-s2.0-85133605678&amp;doi=10.1016%2fj.scitotenv.2022.157075&amp;partnerID=40&amp;md5=5fce94e45b9de8a409795d538111ac22</t>
  </si>
  <si>
    <t>Mangroves are coastal vegetation with high ecological and economic value that are mainly distributed in tropical and subtropical intertidal zones. In the past, they have been degraded by extensive deforestation for agricultural and aquatic land. In recent years, mangroves have been protected and sustainably used through considerable measures of conservation, restoration and afforestation, but the health trends of mangroves during this process are not clear. To identify the mangrove health conditions and dynamics, we investigated the spatial-temporal trends of global mangroves using the Moderate Resolution Imaging Spectroradiometer (MODIS) normalized difference vegetation index (NDVI) dataset during 2000–2018. The results illustrated that 1) Asian mangroves had the highest NDVI values, especially in Southeast Asia (0.80), while the average NDVI of African mangroves was the lowest (0.67). NDVI values higher than 0.80 were mainly located in Southeast Asia and South America, which accounted for 24.0 % and 7.1 % of the global mangrove area, respectively. 2) Globally, the proportion of mangrove forests that increased significantly (23.6 %, p value &lt; 0.05) was approximately twice as large as the significant decrease (10.7 %, p value &lt; 0.05). Asia, where mangroves are widespread, accounts for nearly half of the world's significant increase (10.8 %) and decrease (4.6 %). Generally, the annual average NDVI for global mangroves exhibited a slow increasing trend from 2000 to 2018 (p value = 0.13). 3) The global mangrove NDVI showed a positive correlation with precipitation (Rprep = 0.79, p value &lt; 0.01) and temperature (Rtemp = 0.37, p value &lt; 0.01), while it was inhibited by sea surface salinity (Rsss = −0.45, p value &lt; 0.01) on a scale of 1° of latitude. 4) The results of the overall growth trend of mangroves indicated that global mangrove conservation appeared to achieve initial success, but direct or potential factors, such as salinity stress, natural disasters, small-scale deforestation, construction of coastal facilities, and sea level rise, still threaten the survival of mangroves, leading to a decline in their health status. This study provides information on the health status of mangrove ecosystems and can assist in formulating subsequent conservation and management measures. © 2022 Elsevier B.V.</t>
  </si>
  <si>
    <t>2-s2.0-85133605678"</t>
  </si>
  <si>
    <t>10.1029/2022WR032031</t>
  </si>
  <si>
    <t>https://www.scopus.com/inward/record.uri?eid=2-s2.0-85142915143&amp;doi=10.1029%2f2022WR032031&amp;partnerID=40&amp;md5=223840c9bd8b224d4eb0d68f452e8d7f</t>
  </si>
  <si>
    <t>Simple models continue to be important for continental-scale floodwater depth mapping due to the prohibitively expensive cost of calibrating and applying hydrodynamic models. This paper investigates the accuracy of three simple models for floodwater depth estimation from remote sensing derived water extent and/or Digital Elevation Models (DEMs) in semiarid regions. The three models are Height Above Nearest Drainage (HAND</t>
  </si>
  <si>
    <t>10.1016/j.jhydrol.2022.128548</t>
  </si>
  <si>
    <t>https://www.scopus.com/inward/record.uri?eid=2-s2.0-85140469626&amp;doi=10.1016%2fj.jhydrol.2022.128548&amp;partnerID=40&amp;md5=46cad52cc4d4fee40dd056ceb63b000c</t>
  </si>
  <si>
    <t>An often-overlooked impact of rising sea levels is the concurrent rise in coastal groundwater tables, which can result in subsurface inundation of below-ground infrastructure. This is an important consideration for rural coastal communities, many of which rely on on-site wastewater treatment systems (OWTS). Subsurface inundation and flooding of OWTS leads to treatment performance issues, potentially resulting in enhanced contaminant transport to coastal groundwater resources and the ocean via submarine groundwater discharge. We use SEAWAT to develop a variable-density groundwater flow model for the groundwater system underlying a densely populated rural community on the north shore of Nova Scotia, Canada. We then impose various climate change scenarios (sea-level rise, changes in recharge) to evaluate the risk of OWTS inundation from rising groundwater. We find that under current conditions as many as 9 % of OWTS in this small but densely populated watershed are either inundated or completely flooded. This number that could grow to 27 % of OWTS for the climate change scenario with the highest recharge and sea-level rise. As a secondary objective, we track the location of the modeled saltwater-freshwater interface, and investigate the potential salinization of groundwater resources used for drinking water supply. The modeled interface moved landward by ≤ 20 m and proved to be less of a concern than OWTS inundation, except for shoreline dwellings. We also use the modelling results to develop adaptation recommendations for OWTS installation regulations. This research contributes to an increasing number of groundwater modelling studies focusing on the impacts of sea-level rise on coastal subsurface infrastructure and provides important insight for rural coastal communities. © 2022 Elsevier B.V.</t>
  </si>
  <si>
    <t>2-s2.0-85140469626"</t>
  </si>
  <si>
    <t>10.3390/rs14194711</t>
  </si>
  <si>
    <t>https://www.scopus.com/inward/record.uri?eid=2-s2.0-85139996246&amp;doi=10.3390%2frs14194711&amp;partnerID=40&amp;md5=39df30429dac14373340ed68609a35d0</t>
  </si>
  <si>
    <t>Surface subsidence caused by coal mining has become an important factor that affects and restricts the sustainable development of mining districts. It is necessary to use appropriate methods for effective subsidence monitoring. It is hard to monitor large gradient ground deformations with a high accuracy by using differential interferometric synthetic aperture radar (DInSAR) technology. Unmanned aerial vehicle (UAV) photogrammetry is limited in that it monitors the basin edge by subtracting two DEMs (digital elevation models). Therefore, in this paper we propose a combination of DInSAR and UAV photogrammetry to complement the two data advantages and to achieve a high-precision monitoring of mining subsidence areas. The subsidence of coal panel 81,403 in the Yangquan coal mine was obtained using DInSAR and UAV photogrammetry technologies. The appropriate fusion points were selected for the two datasets and the agreement between the fusion data and the leveling data was verified. The results indicated that the combination of DInSAR and UAV technology could monitor the settlement more accurately than the single use of DInSAR or UAV technology. © 2022 by the authors.</t>
  </si>
  <si>
    <t>2-s2.0-85139996246"</t>
  </si>
  <si>
    <t>10.1016/j.gr.2022.08.011</t>
  </si>
  <si>
    <t>https://www.scopus.com/inward/record.uri?eid=2-s2.0-85138084554&amp;doi=10.1016%2fj.gr.2022.08.011&amp;partnerID=40&amp;md5=2e24939932469a4b8f28fadf08fa0c1b</t>
  </si>
  <si>
    <t>Coalbed methane (CBM) recovery from coal seams can benefit low-carbon energy utilization and reduce greenhouse gas emissions. The Qinshui Basin, which evolved from the North China Craton Basin in the Late Paleozoic, provides abundant coal-bearing rocks and relatively stable geological conditions for CBM occurrence. To better understand CBM accumulation characteristics, various aspects of geological structure, magmatic activity, hydrodynamics, coal seam thickness, burial depth, and sedimentary characteristics of coal measures within the basin were comprehensively investigated, along with the CBM reservoir aspects of coal components, mechanical properties, pore-fracture characteristics, and gas contents. The results show that the coal-forming environment in the northern Qinshui Basin is dominated by river flood and delta plains, while the central Qinshui Basin mainly consists of delta front, inter-delta bay, and lacustrine facies. The southern part is primarily lacustrine facies with scarce delta front subfacies. In terms of ash yield, that of coal seam 3# in the center of the study area is significantly higher than that in the north and south because the center is closer to the provenance and carries a large amount of detritus during the flood season. The primary coal structure is well preserved, and the facies cleats are largely filled with dolomite and kaolinite, suggesting mineralized fluid activity after the development of the major fracture. The gas content is mainly controlled by geological structure and hydrogeological conditions. Interestingly, for the coal seams &gt; 1000 m away from the fault, the nature of the fault has no significant effect on the gas content. This study provides insights into the efficient exploration and exploitation of CBM in Qinshui Basin. © 2022 International Association for Gondwana Research</t>
  </si>
  <si>
    <t>2-s2.0-85138084554"</t>
  </si>
  <si>
    <t>10.3389/fenvs.2022.999788</t>
  </si>
  <si>
    <t>https://www.scopus.com/inward/record.uri?eid=2-s2.0-85139493906&amp;doi=10.3389%2ffenvs.2022.999788&amp;partnerID=40&amp;md5=9dfa8af4cc1c24e59739d5d49a29fb94</t>
  </si>
  <si>
    <t>This study reviews the global increase in atmospheric greenhouse gas (GHG) concentrations, including carbon dioxide (CO2), methane (CH4), and nitrous oxide (N2O), alongside the accelerated climatic change and its slow onset effects (or events) between 1992 and 2021. The establishment of the United Nations Framework Convention on Climate Change (UNFCCC) in 1992, and the simultaneous UN Earth Summit in Rio de Janeiro, generated the international efforts to tackle climatic change. Over the years, the UNFCCC-Conference of the Parties (COP) has led the efforts in climate change mitigation and adaptation, with many sequential meetings across the world. Three decades later, at the COP26 meeting in Glasgow in 2021, it is evident that climate change impacts have substantially worsened. Despite some uncertainties, it seems that over the last three decades, the climate change slow onset events, including 1) increasing temperatures, 2) glacial retreat, 3) sea level rise, 4) ocean acidification, 5) soil salinization, 6) land and forest degradation, 7) loss of biodiversity, and 8) desertification, have substantially exacerbated. Simultaneously, other (non-GHGs related) anthropogenic impacts, including habitat fragmentation, land-use and sea-use change and misuse, species overexploitation, environmental pollution, infrastructure constructions, and urbanization, have considerably increased. With the aim of achieving the Shared Socio-Economic Pathways 1.9 (SSP1-1.9) or SSP1-2.6 ultimate goals—keeping global warming in 2,100 below 1.5°C or 2.0°C, respectively, compared to preindustrial levels—it may still be possible to avoid climate change’s irreversible tipping points. To reach this target, policymaking must become more decisive and proactive, with continuous risks assessment, frequent monitoring of outcomes and their compatibility to goals, implementing practical legislation tools, and assigning specific financial instruments, aimed at effectively tackling climate change slow onset events and related environmental issues. Substantial efforts should be invested in boosting climate change mitigation, while simultaneously targeting effective climatic change adaptation measures and promoting environmental conservation and restoration. Relying on tools such as the UN Sustainable Development Goals (SDGs) will sustain provisioning, supporting, regulating, and cultural ecosystem services, thus improving water-, food-, environmental-, energy-, economic-, health-, and governance-security, while lessening the risks of social unrest, violent conflicts, mass migration, and other humanitarian catastrophes. Copyright © 2022 Stavi.</t>
  </si>
  <si>
    <t>2-s2.0-85139493906"</t>
  </si>
  <si>
    <t>10.2166/wcc.2022.224</t>
  </si>
  <si>
    <t>https://www.scopus.com/inward/record.uri?eid=2-s2.0-85140891908&amp;doi=10.2166%2fwcc.2022.224&amp;partnerID=40&amp;md5=17d3b72dc5217d50616617fdd2ad8da2</t>
  </si>
  <si>
    <t>Global climate change and rapid urbanization increase the risk of urban flooding, especially in China. Climate change and the ‘heat island effect’ have increased the frequency of extreme precipitation. Affected by the backwardness of drainage facilities and the lack of drainage capacity, many cities have experienced large-scale waterlogging in low-lying areas, and ocean-like phenomena appear in cities. The public infrastructure was damaged and caused a lot of economic losses. Therefore, it is important to investigate the adaptability of drainage systems to the future in a changing environment. The Sixth International Coupled Model Intercomparison Project (CMIP6) and Storm Water Management Model (SWMM) were used to quantify the impact of climate change on Beijing’s waterlogging under different rainstorm scenarios for the future 40 years. The quantile delta mapping method of daily precipitation based on frequency (DFQDM) is proposed to correct the daily precipitation of the climate model and which is proved to be feasible. After the annual precipitation and extreme precipitation index are corrected, percent bias (PBIAS) is significantly reduced. The PBIAS of the extreme precipitation index of the corrected model is all con-trolled within 6%. The corrected accuracy of CanESM5 is the best. The total flood volume (TFV) of the node increases with the aggravation of climate change. The TFV of SSP5-8.5 and SSP2-4.5 increased by 45.43 and 20.8% in the 100-year return period, respectively, and more than 94% of the conduits reached the maximum drainage capacity in different return periods. After the low impact development (LID) was installed, the improvement effect on the outflow with a smaller return period was significant, decreasing by about 50%. The LID can effec-tively reduce the overflow of the drainage system. The results of this study can provide suggestions for the reconstruction of the drainage system and the management of flood risk for Beijing in the future. © 2022 The Authors.</t>
  </si>
  <si>
    <t>2-s2.0-85140891908"</t>
  </si>
  <si>
    <t>10.1016/j.jhydrol.2022.128469</t>
  </si>
  <si>
    <t>https://www.scopus.com/inward/record.uri?eid=2-s2.0-85139008301&amp;doi=10.1016%2fj.jhydrol.2022.128469&amp;partnerID=40&amp;md5=3aef309149a6169a7a934ba0895c75ef</t>
  </si>
  <si>
    <t>Optimal operation of multi-purpose multi-reservoir dams is a challenging problem for dams’ stakeholders and decision-makers. Optimization algorithms are able to present reliable solutions for such complex problems. This study compared the capability of 20 state-of-the-art robust meta-heuristic algorithms for determining the optimal operating policy of Halilrood multi-reservoir system under the three competing operational objectives of water supply, flood control, and hydropower generation. Before that, the performance of the algorithms in solving two benchmark problems (the Schaffer problem and the MMF1 problem from the CEC suite) was evaluated. Four metrics of generational distance (GD), spacing (S), spread (Δ), and maximum spread (MS) were used to compare the algorithms’ performance in solving the benchmark problems. In addition, four reservoirs performance evaluation indicators of reliability (Rel), resiliency (Res), vulnerability (Vul), and sustainability index (SI) were used to ass the algorithms’ performance in solving the real-case Halilrood problem. The results showed that although the solving capability of each algorithm depends on the nature of the problem, some algorithms were always superior in solving all three problems (2 benchmark problems and one real case). For the Schaffer benchmark problem, the MOAHA algorithm with the performance metrics of (GD = 0.00095, S = 0.58155, Δ = 0.20375, MS = 4.0002) had the best Pareto front in terms of coverage and diversity, and so it was placed at the first rank. In this problem, the MOCryStAl algorithm with (GD = 0.00141, S = 0.48395, Δ = 1.49467, MS = 3.94799) placed at the lowest rank. For the MMF1 problem, the MOMA (GD = 0.00751, S = 0.07516, Δ = 0.29519, MS = 0.99826) followed by the MOAHA (GD = 0.00833, S = 0.07660, Δ = 0.17832, MS = 1.00) had the best performance, respectively, and the MOFA algorithms was the worst. For the Halilrood real-case problem, the MOGWO algorithm (with Rel = 83.41, Res = 67.57, Vul = 22.07 and SI = 76.01) followed by the MOAHA algorithm (Rel = 84.57, Res = 64.71, Vul = 33.60, and SI = 71.41) and the MOMA algorithm (Rel = 79.82, Res = 66.67, Vul = 21.65, and SI = 74.70) obtained the best ranks in terms of reservoir's performance evaluation indicators. They could successfully minimize all three objectives of the total deficit, the flood control and electricity generation indicating the highest performance of these algorithms in the optimization problem. The Pareto front obtained by these algorithms had better distribution and was closer to the origin of coordinates compared to the other utilized algorithms. They could favorably supply the total water demand in the Halilrood basin while increasing the hydropower energy generation up to the power plant capacity at the Jiroft dam. The results of this study can be applied to the optimal operation of any other multi-reservoir system with conflict in water demands. © 2022 Elsevier B.V.</t>
  </si>
  <si>
    <t>2-s2.0-85139008301"</t>
  </si>
  <si>
    <t>10.3389/feart.2022.991667</t>
  </si>
  <si>
    <t>https://www.scopus.com/inward/record.uri?eid=2-s2.0-85139915630&amp;doi=10.3389%2ffeart.2022.991667&amp;partnerID=40&amp;md5=711eeec676331fe5a2b859786dfcaa10</t>
  </si>
  <si>
    <t>Structural coastal protection interventions have been implemented worldwide to stabilize channels and shorelines in tidal inlets. Although these conventional “gray” interventions typically attain their goals, there is an increasing interest and need to consider nature-based or “green” interventions that also address system resilience and environmental impacts. For a better implementation of gray to green interventions in tidal inlets, their effectiveness and their effects on the velocity of these dynamic coastal systems need to be understood. The effects on flow velocity of gray to green coastal protection interventions for tidal inlets are assessed here by exploring six interventions intended to protect against erosion on the estuarine-side shoreline near the inlet. A field-calibrated numerical model with Willmott Skill scores rated as excellent for Oregon Inlet located in North Carolina, United States, is used to simulate tidal currents under present conditions and after implementing a seawall, a set of bendway weirs, a terminal groin extension, a dual-jetty system, a flood channel relocation, and an island restoration project. Comparisons of time series of flow velocities in the flood channel along an eroding, estuarine shoreline are used to identify the effectiveness of each coastal protection alternative at reducing erosive velocities. Geospatial difference maps are used to determine velocity changes caused by each alternative throughout the inlet system. With no coastal protection interventions, the velocities along the eroding shoreline exceeded an erosive threshold velocity (defined as 0.2 m/s) during 50% of the simulated period. Alternatives closer to the green side of the coastal protection intervention spectrum, such as channel relocation and island restoration, tend to display the most effectiveness at reducing flow velocities at the eroding shoreline while resulting in minimal inlet-wide hydrodynamic changes. On the other hand, gray alternatives either cause minimal (seawall and bendway weirs) or extreme (jetties) changes in velocities throughout the inlet system. This comparison of gray and green coastal protection interventions in tidal inlets serves as an example to contrast the effectiveness of different coastal protection alternatives at reducing erosive flow velocities and to inform alternative selection at other inlet systems. Copyright © 2022 Velasquez-Montoya, Wargula, Nangle, Sciaudone, Smyre and Tomiczek.</t>
  </si>
  <si>
    <t>2-s2.0-85139915630"</t>
  </si>
  <si>
    <t>10.1016/j.envsoft.2022.105532</t>
  </si>
  <si>
    <t>https://www.scopus.com/inward/record.uri?eid=2-s2.0-85138787365&amp;doi=10.1016%2fj.envsoft.2022.105532&amp;partnerID=40&amp;md5=a93c880f3e9f11beaca1f2fa437c1c4e</t>
  </si>
  <si>
    <t>Numerical prediction of coastal inundation can be complex due to the multiple physical processes involved and typically requires two-dimensional numerical model extents, particularly in areas with complex along-shore morphology. Such model domains often incur relatively high computational expense. Recent extreme inundation studies for Wellington, New Zealand, were executed using the numerical tool, XBeach. Here, the two-dimensional physical dynamics associated with multiple small embayments and both reef and sandy beach substrates, require large, high spatial resolution numerical model extents, informed by a multi-source elevation surface. XBGPU, is a translation of key XBeach features into code that permits GPU-based acceleration. The present study presents a comparison between XBeach and XBGPU for the same numerical model configuration and extents. Three model resolutions were employed, ranging from a typical desktop CPU based XBeach model resolution, to the highest resolution model that will require High Performance Computing (HPC) scale resources. Two CPU HPC facilities were used and five GPUs to investigate the scalability of both XBeach and XBGPU. The latter ranged from desktop grade units to GPUs associated with professional computing facilities. XBeach scalability is investigated by mean of the speed-up ratio, the time saving ratio and the computational efficiency. These are in reference to the computational speed of a model running on one CPU core. The XBGPU speed-up ratio is presented as a function of the slowest GPU. Direct comparisons between XBeach and XBGPU were achieved by using computational capacity as a metric. The results indicate that even a desktop grade GPU can compete with the computational efficiency of HPC-scale CPU facilities. Small model resolutions presented inefficient scaling on both high-performance CPUs and GPUs while the high-resolution model presented near linear scalability for the high-performance GPUs. Nevertheless, HPCs can be efficient to solve large computational problems if enough CPUs are employed. © 2022 Elsevier Ltd</t>
  </si>
  <si>
    <t>2-s2.0-85138787365"</t>
  </si>
  <si>
    <t>10.1029/2022WR032614</t>
  </si>
  <si>
    <t>https://www.scopus.com/inward/record.uri?eid=2-s2.0-85142316227&amp;doi=10.1029%2f2022WR032614&amp;partnerID=40&amp;md5=9e5a0df555949e00cd3e36c2d4a9ae71</t>
  </si>
  <si>
    <t>Low-elevation coastal areas are increasingly vulnerable to seawater flooding as sea levels rise and the frequency and intensity of large storms increase with climate change. Seawater flooding can lead to the salinization of fresh coastal aquifers by vertical saltwater intrusion (SWI). Vertical SWI is often overlooked in coastal zone threat assessments despite the risk it poses to critical freshwater resources and salt-intolerant ecosystems that sustain coastal populations. This review synthesizes field and modeling approaches for investigating vertical SWI and the practical and theoretical understanding of salinization and flushing processes obtained from prior studies. The synthesis explores complex vertical SWI dynamics that are influenced by density-dependent flow and oceanic, hydrologic, geologic, climatic, and anthropogenic forcings acting on coastal aquifers across spatial and temporal scales. Key knowledge gaps, management challenges, and research opportunities are identified to help advance our understanding of the vulnerability of fresh coastal groundwater. Past modeling studies often focus on idealized aquifer systems, and thus future work could consider more diverse geologic, climatic, and topographic environments. Concurrent field and modeling programs should be sustained over time to capture interactions between physical processes, repeated salinization and flushing events, and delayed aquifer responses. Finally, this review highlights the need for improved coordination and knowledge translation across disciplines (e.g., coastal engineering, hydrogeology, oceanography, social science) to gain a more holistic understanding of vertical SWI. There also needs to be more education of communities, policy makers, and managers to motivate societal action to address coastal groundwater vulnerability in a changing climate. © 2022 The Authors.</t>
  </si>
  <si>
    <t>2-s2.0-85142316227"</t>
  </si>
  <si>
    <t>10.1016/j.jenvman.2022.115830</t>
  </si>
  <si>
    <t>https://www.scopus.com/inward/record.uri?eid=2-s2.0-85135943726&amp;doi=10.1016%2fj.jenvman.2022.115830&amp;partnerID=40&amp;md5=f10db64cdc0cce68be4777a79416700b</t>
  </si>
  <si>
    <t>Due to their location in tropical latitudes, mangrove forests are susceptible to the impact of hurricanes and can be vastly damaged by their high-speed winds. Given the logistic difficulties regarding field surveys in mangroves, remote sensing approaches have been considered a reliable alternative. We quantified trends in damage and early signs of canopy recovery in a fringe Rhizophora mangle area of Marismas Nacionales, Mexico, following the landfall of Hurricane Willa in October 2018. We monitored (2016–2021) broad canopy defoliation using 21 vegetation indices (VI) from the Google Earth Engine tool (GEE). We also mapped a detailed canopy fragmentation and developed digital surface models (DSM) during five study periods (2018–2021) with a consumer-grade unmanned aerial vehicle (UAV) over an area of 100 ha. Based on optical data from the GEE time series, results indicated an abrupt decline in the overall mangrove canopy. The VARI index was the most reliable VI for the mangrove canopy classification from a standard RGB sensor. The impact of the hurricane caused an overall canopy defoliation of 79%. The series of UAV orthomosaics indicate a gradual recovery in the mangrove canopy, while the linear model predicts at least 8.5 years to reach pre-impact mangrove cover conditions. However, the sequence of DSM estimates that the vertical canopy configuration will require a longer time to achieve its original structure. © 2022 Elsevier Ltd</t>
  </si>
  <si>
    <t>2-s2.0-85135943726"</t>
  </si>
  <si>
    <t>10.5194/nhess-22-2359-2022</t>
  </si>
  <si>
    <t>https://www.scopus.com/inward/record.uri?eid=2-s2.0-85134612789&amp;doi=10.5194%2fnhess-22-2359-2022&amp;partnerID=40&amp;md5=18c35dfa9b78cf546187c07d3a780890</t>
  </si>
  <si>
    <t>Storm-surge-induced coastal inundation constitutes a substantial threat to lives and properties along the vast coastline of the Bengal delta. Some of the deadliest cyclones in history made landfall in the Bengal delta region claiming more than half a million lives over the last five decades. Complex hydrodynamics and observational constraints have hindered the understanding of the risk of storm surge flooding of this low-lying (less than 5m above mean sea level), densely populated (&gt;150 million) mega-delta. Here, we generated and analysed a storm surge database derived from a large ensemble of 3600 statistically and physically consistent synthetic storm events and a high-resolution storm surge modelling system. The storm surge modelling system is developed based on a custom high-accuracy regional bathymetry enabling us to estimate the surges with high confidence. From the storm surge dataset, we performed a robust probabilistic estimate of the storm surge extremes. Our ensemble estimate shows that there is a diverse range of water level extremes along the coast and the estuaries of the Bengal delta, with well-defined regional patterns. We confirm that the risk of inland storm surge flooding at a given return period is firmly controlled by the presence of coastal embankments and their height. We also conclude that about 10% of the coastal population is living under the exposure of a 50-year return period inundation under current climate scenarios. In the face of ongoing climate change, which is likely to worsen the future storm surge hazard, we expect our flood maps to provide relevant information for coastal infrastructure engineering, risk zoning, resource allocation, and future research planning. © Authors 2022.</t>
  </si>
  <si>
    <t>2-s2.0-85134612789"</t>
  </si>
  <si>
    <t>10.1007/s12524-022-01558-z</t>
  </si>
  <si>
    <t>https://www.scopus.com/inward/record.uri?eid=2-s2.0-85129881478&amp;doi=10.1007%2fs12524-022-01558-z&amp;partnerID=40&amp;md5=e896cfda52d2461df76c16a74ce3c5c8</t>
  </si>
  <si>
    <t>The present study on coastal zone of South 24 Parganas district of West Bengal is experiencing threat from several disasters like cyclones, storms, tsunami, flood and erosion. This area was greatly affected during 2004 Indian Ocean tsunami and during 2019 Fani cyclone. This study is focused on generating Multi-hazard vulnerability map, which is a blended, and combined overlay of multiple hazards those directly or indirectly affecting the coastal zone. Block-wise vulnerability level was estimated using the parameters historical storm surge height, future sea level rise, shoreline change rate and high-resolution coastal topography with the aid of Remote sensing and GIS tools. The assessment result revealed that 67% of the total district is experiencing the severe erosion. An area of totalling 2090 sq. km is found to fall under multi-hazard zone and threatening the coastal population due to several hazards. Multi-hazard vulnerability maps were further intervened at block level, and study found that Patharpratima block is coming under highly vulnerable zone (63% of total area), whereas Diamond Harbour-I block is least vulnerable (6% of total area). These hazard maps can aid as critical area-specific information during the disaster for quick evacuation and to prepare management strategy and also be used to evolve a new facility and for insurance purposes. © 2022, Indian Society of Remote Sensing.</t>
  </si>
  <si>
    <t>2-s2.0-85129881478"</t>
  </si>
  <si>
    <t>10.1073/pnas.2119333119</t>
  </si>
  <si>
    <t>https://www.scopus.com/inward/record.uri?eid=2-s2.0-85135008731&amp;doi=10.1073%2fpnas.2119333119&amp;partnerID=40&amp;md5=68a42f2b1327e8bfd3b5ef37e99ddca6</t>
  </si>
  <si>
    <t>River deltas are home to hundreds of millions of people worldwide and are in danger of sinking due to anthropogenic sea-level rise, land subsidence, and reduced sediment supply. Land loss is commonly forecast by averaging river sediment supply across the entire delta plain to assess whether deposition can keep pace with sea-level rise. However, land loss and deposition vary across the landscape because rivers periodically jump course, rerouting sediment to distinct subregions called delta lobes. Here, we developed a model to forecast land loss that resolves delta lobes and tested the model against a scaled laboratory experiment. Both the model and the experiment show that rivers build land on the active lobe, but the delta incurs gradual land loss on inactive lobes that are cut off from sediment after the river abandons course. The result is a band of terrain along the coast that is usually drowned but is nonetheless a sink for sediment when the lobe is active, leaving less of the total sediment supply available to maintain persistent dry land. Land loss is expected to be more extensive than predicted by classical delta-plain–averaged models. Estimates for eight large deltas worldwide suggest that roughly half of the riverine sediment supply is delivered to terrain that undergoes long periods of submergence. These results draw the sustainability of deltas further into question and provide a framework to plan engineered diversions at a pace that will mitigate land loss in the face of rising sea levels. Copyright © 2022 the Author(s).</t>
  </si>
  <si>
    <t>2-s2.0-85135008731"</t>
  </si>
  <si>
    <t>10.1029/2021WR031819</t>
  </si>
  <si>
    <t>https://www.scopus.com/inward/record.uri?eid=2-s2.0-85136862163&amp;doi=10.1029%2f2021WR031819&amp;partnerID=40&amp;md5=5d07eb644be094571dad54975f475487</t>
  </si>
  <si>
    <t>Continental-scale river hydrodynamic modeling helps to understand the global hydrological cycle, and model evaluation is essential for calibration and performance assessment. Although many models have been evaluated using several variables separately, methods for the integrated multivariable assessment have yet to be established. We proposed an integrated multivariable evaluation method and an overall basin skill score (OSK) metric, which integrates the sub-basin skill score, calculated by combining multiple variables' normalized Nash-Sutcliffe efficiency values. The sub-basin approach and OSK assess the model performance at the sub-basin and basin scales and overcome the observation-related limitations of different spatial dimensions. Evaluation of the CaMa-Flood global river model for the Amazon Basin considering three variables (discharge, water surface elevation, and flooded area) and two baseline topography data (Shuttle Radar Topography Mission (SRTM) and Multi-Error-Removed Improved-Terrain (MERIT) digital elevation models (DEMs)), shows that the proposed methodology can overcome the limitation of single-variable evaluation in identifying multiple best parameter sets due to low sensitivity. CaMa-Flood considering MERIT DEM achieves a single optimal parameter set with a maximum OSK of 0.57 compared with 0.52 for the SRTM DEM, and it shows the importance of accuracy of topography data for improvement in the performance of river hydrodynamic modeling. The proposed multivariable integrated evaluation with better topography data proved to help reduce equifinality and estimate the best parameter by maintaining the physical relationships among variables. © 2022 The Authors.</t>
  </si>
  <si>
    <t>2-s2.0-85136862163"</t>
  </si>
  <si>
    <t>10.1007/s10064-022-02809-6</t>
  </si>
  <si>
    <t>https://www.scopus.com/inward/record.uri?eid=2-s2.0-85133700758&amp;doi=10.1007%2fs10064-022-02809-6&amp;partnerID=40&amp;md5=a5fae5ef56383ad7d9b64c95ce600835</t>
  </si>
  <si>
    <t>Close to the city of Huelva, SW Spain, and near the Atlantic Ocean, there is a phosphogypsum (PG) stack that accumulates 100 Mt of wastes and extends over 1000 ha. The stack lies directly over estuarine unconsolidated sediments with no protective layer in between. Here, we evaluate for the first time the structural stability of the PG stack, monitoring the deformation suffered by the salt-marsh basement. Through the web-based Geohazard Exploitation Platform (GEP) of the European Space Agency (ESA), a specific differential SAR interferometry (DInSAR) algorithm known as Parallel Small Baseline Subset (P-SBAS) has been used to process 279 ESA Sentinel-1 images acquired between October 2016 and June 2021. Resulting displacement maps and time-series curves reveal vertical displacements of up to 16 cm/year. This vertical motion has been associated to subsidence. In parallel with subsidence, horizontal movements &gt; 2.5 cm/year have been also accounted and linked to talus destabilization. The analysis also demonstrates that the Huelva PG stack is vulnerable to adverse weather condition. The present study demonstrates that the InSAR-based methods are effective tools for monitoring the stability and ground motion of large waste stockpiles. © 2022, The Author(s).</t>
  </si>
  <si>
    <t>2-s2.0-85133700758"</t>
  </si>
  <si>
    <t>10.3389/fenvs.2022.948367</t>
  </si>
  <si>
    <t>https://www.scopus.com/inward/record.uri?eid=2-s2.0-85138515694&amp;doi=10.3389%2ffenvs.2022.948367&amp;partnerID=40&amp;md5=36b158bd70cad0d13183a7186b10c804</t>
  </si>
  <si>
    <t>Soil-geomorphological mapping is a reliable tool for analyzing the patterns of soil distribution in various parts of Earth’s surface. Cryogenic and watershed areas are the most dynamic landscapes with relatively rapid transformation under the influence of climate change and river activity. The soil-geomorphological map obtained by unmanned aerial vehicle (UAV) imaging, classical soil sections, geomorphological observation, and determination of the main chemical parameters of soils are presented. Mapping of the spatial distribution was performed using QGIS 3.22, SAGA GIS 7.9.1, and ArcGIS 10.6 software. The investigation of soil cover was performed according to WRB soil classification. From the obtained data, four types of soils were identified due to their position in the relief and chemical parameters. The dominant soil type is Folic Cryosol (Siltic) (41.1%) which is formed on the periglacial landscape of wet polygons on Samoylov Island. The application of high-resolution UAV imaging to construct soil-geomorphological maps is the most relevant method for analyzing soils formed in cryogenic, watershed, and mountainous landscapes. Based on SOC distribution, it was found that the highest SOC content corresponds to Holocene terrace (Cryosol and Histosol soil types), in areas that are not subject to the flooding process. According to the analysis of the chemical composition of soils, it was found that the main elements accumulating in the soil are SiO2, Al2O3, CaO, and K2O, which have a river origin. The soil-geomorphological maps can be used to analyze the reserves and contents of organic and inorganic components with high accuracy. Copyright © 2022 Polyakov, Kartoziia, Nizamutdinov, Wang and Abakumov.</t>
  </si>
  <si>
    <t>2-s2.0-85138515694"</t>
  </si>
  <si>
    <t>10.1016/j.jhydrol.2022.128250</t>
  </si>
  <si>
    <t>https://www.scopus.com/inward/record.uri?eid=2-s2.0-85135149172&amp;doi=10.1016%2fj.jhydrol.2022.128250&amp;partnerID=40&amp;md5=4cf31fb8338be2ea53ba11fc0a2d5231</t>
  </si>
  <si>
    <t>Coastal land reclamation can modify the original hydrological settings that control water salinity distribution. For low-permeability coastal lands reclaimed for agricultural use, there is an urgent need to understand the salinity distribution and evolution mechanism for a sustainable exploitation. In this study, electrical resistivity tomography (ERT) measurements at different temporal and spatial scales are combined with water stable isotope and hydrochemical analyses to investigate the distribution and evolution rules of underground salinity in a coastal reclamation zone of eastern China. The results show that the phreatic aquifer is dominated by highly saline water due to the flooding of seawater before reclamation. After being isolated from marine conditions, water salinity in the near-surface zone becomes highly variable caused by dilution effect of rainwater and salt accumulation effect driven by evaporation. Due to the low-permeability muddy flat geohydrological settings and intense evaporation, natural groundwater desalination is extremely slow and only temporarily occurs in the near-surface zone. After long-term reclamation for agricultural use, the leaching effect of freshwater input from not only precipitation but also crop farming dominates and accelerates the desalination of the upper phreatic aquifer, leading to a desalting rate of 1.6 ± 2.4 %/yr and an obvious downward migration of saline groundwater. Deeper confined aquifers are dominated by brackish or even fresh groundwater, which is minimally contaminated by upper saline water. Findings of this study provide a representative example of the salinity distribution and evolution characteristics in coastal agricultural lands reclaimed from low-permeability intertidal muddy flats. © 2022 Elsevier B.V.</t>
  </si>
  <si>
    <t>2-s2.0-85135149172"</t>
  </si>
  <si>
    <t>Progress in Planning</t>
  </si>
  <si>
    <t>10.1016/j.progress.2021.100626</t>
  </si>
  <si>
    <t>https://www.scopus.com/inward/record.uri?eid=2-s2.0-85120319116&amp;doi=10.1016%2fj.progress.2021.100626&amp;partnerID=40&amp;md5=4d495370db3de253f1e0cbce69a152a8</t>
  </si>
  <si>
    <t>In this paper I consider how international experience in the management of catastrophic natural disasters might be transferable across jurisdictions by comparing two study areas, the Tōhoku coastal region of northeast Japan, and the coastal area of southwest British Columbia (BC), Canada. I present a conceptual framework recognizing that good practice from one jurisdiction can be useful in improving disaster management planning in another. This framework also underscores that disaster management experience from overseas should be interpreted carefully, taking into account national and local conditions. Empirically, I re-examine the 2011 Great Japan Earthquake and the stricken Tōhoku region at the time of its tenth anniversary to see what lessons might be learned for disaster planning in southwest BC. Both study areas face exposure to hazards involving low probability/high impact mega-earthquakes and tsunami, and both have taken steps to reduce the vulnerability of coastal communities and infrastructure. In the case of the BC southwest coast this region is vulnerable to both a catastrophic magnitude 9 earthquake and tsunami resulting from the rupture of the Cascadia Subduction Zone (CSZ). When compared to Japan, however, BC lacks a history of major seismic events close to population centers and has little direct experience of planning for large earthquakes and tsunami events along its coastline. To help discern which particular features of Japan's planning for (and response to) the Great East Japan Earthquake might yield policy implications for BC, I use the four pillars of disaster management as analytical tools: (1) the mitigation of risk, (2) disaster preparedness, (3) the emergency response, and (4) post-disaster recovery. The study methodology involved extensive site visits to both the Tōhoku region of Japan and southwest BC, face-to-face interviews with disaster managers and first responders, a review of relevant policy documents and reports of the Great East Japan Earthquake, together with a review of current disaster management practice in BC. The results revealed interesting comparisons between the two jurisdictions, signaling that the Japanese system had moved to a ‘culture of preparedness’, whereas the BC system was still being modernized to focus on proactive disaster planning. There are many policy suggestions from the Japanese experience in 2011 that deserve consideration for adapting into BC earthquake and tsunami planning. These include the urgency of seismic retrofitting programs, the adoption of a pro-active approaches to triggering emergency recovery operations, advance coordination with construction companies to assist relief and recovery as well as advance planning for large-scale temporary housing programs. The challenges and policy missteps experienced in Japan's planning and response operations at the time of the Great East Japan Earthquake are also noted, such as an overreliance on sea walls to prevention tsunami inundation, together with deficient escape plans in some local communities. © 2021 Elsevier Ltd</t>
  </si>
  <si>
    <t>2-s2.0-85120319116"</t>
  </si>
  <si>
    <t>10.3390/rs14163986</t>
  </si>
  <si>
    <t>https://www.scopus.com/inward/record.uri?eid=2-s2.0-85137806671&amp;doi=10.3390%2frs14163986&amp;partnerID=40&amp;md5=7ce434f9adc39985170149cbcfcdb10b</t>
  </si>
  <si>
    <t>The Ili River Delta (IRD) is the largest delta in the arid zone of Central Asia. Since the 1970s, the entire delta system has undergone a series of changes due to climate change and the impoundment of the Kapchagay Reservoir upstream of the delta, triggering an ecological crisis. Wetlands play a crucial ecological role in biodiversity conservation. Most studies have mainly focused on the response of vegetation and soil microbial to ecological changes in the delta, ignoring the dynamic processes of wetlands changes. Hence, such changes in the IRD and the underlying mechanisms need to be investigated in depth. In this study, wetlands in the IRD from 1975 to 2020 were extracted based on Landsat images using the object-oriented method</t>
  </si>
  <si>
    <t>10.1007/s12601-022-00081-z</t>
  </si>
  <si>
    <t>https://www.scopus.com/inward/record.uri?eid=2-s2.0-85133602378&amp;doi=10.1007%2fs12601-022-00081-z&amp;partnerID=40&amp;md5=11d89932008872f1de6141cbbb2ad42a</t>
  </si>
  <si>
    <t>Long-term field monitoring of shoreline changes is time-consuming, expensive, and labor-intensive. Instead, satellite images can be used as an alternative method to collect field data. The time-series satellite images are available at any location in the world that can be processed with the Google Earth Engine cloud environment. This study primarily focuses on shoreline change detection and describing the coastal geomorphology of three urban beaches on the west coast of Sri Lanka. The study extended from 2015 to 2021 during which large-scale coastal development projects were carried out in the study area. The ‘CoastSat’ toolkit was used to extract the time-series of shoreline positions. Time-series shoreline position obtained through ‘CoastSat’ was compared with the field measurements carried out using the Global Navigation Satellite System technique with a horizontal accuracy of 7 mm. The results indicate that the average horizontal difference of shoreline positions obtained by ‘CoastSat’ and field observation was 7.5 ± 1 m in Agulana-Ratmalana on 19 August 2019, and was 8.3 ± 1 m in Kalutara on 29 July 2020. The extracted shoreline changes show erosion and deposition patterns affected by monsoon seasonality and anthropogenic events. The results further show that North of Mount Lavinia Beach was accreted from 18 to 27 m, while South of Mount Lavinia Beach was eroded from 12 to 17 m. Accretion was mainly due to sand nourishment in the area during the 1st quarter of 2020. Furthermore, Agulana-Ratmalana Beach predominantly accreted from 22 to 30 m, while the northernmost transect (AR1) had a steady-state beach condition. This was again due to nourished sand during the 1st quarter of 2020. In contrast, accretion and erosion trends in Kalutara Beach are mainly due to the breakup of the river mouth sand bar to control flooding by the artificial cutting open of the sand spit bar in 2017. The transect (KL2) near the broken sand spit bar at the north of Kalutara shows severe erosion (56 m), since northward longshore transport of sediment has stopped with the breakage of the sand spit bar. In contrast, Kalutara south transects show an accretion to steady-state condition due to the existing hard engineering structures. Consequently, the study suggests that the CoastSat: A Google Earth Engine-enabled Python toolkit can be used to extract shoreline positions and to detect medium-to-large-scale coastline changes with appropriate tidal corrections, when and where there are no long-term coastal field measurements available. This method could be adapted to any coastal area in the world for acceptable shoreline detection that would be very useful for planning and evaluating coastal management strategies. © 2022, The Author(s), under exclusive licence to Korea Institute of Ocean Science &amp; Technology (KIOST) and the Korean Society of Oceanography (KSO) and Springer Nature B.V.</t>
  </si>
  <si>
    <t>2-s2.0-85133602378"</t>
  </si>
  <si>
    <t>10.1007/s11356-022-19966-6</t>
  </si>
  <si>
    <t>https://www.scopus.com/inward/record.uri?eid=2-s2.0-85127554447&amp;doi=10.1007%2fs11356-022-19966-6&amp;partnerID=40&amp;md5=2ae13cde27d737a5f89b45508438a22b</t>
  </si>
  <si>
    <t>With high groundwater levels, coal–grain overlap areas (CGOAs) are vulnerable to subsidence and water logging during mining activities, thereby impacting crop yields adversely. Such damage requires full reports of disturbed boundaries for agricultural reimbursement and ongoing reclamation, but because direct measurements are difficult in such cases because of vast unreachable areas, it is necessary to be able to identify out-of-production boundaries (OBs) and reduced-production boundaries (RBs) in the corresponding region. In this study, an OB was extracted by setting a threshold via the characteristics of the cultivated-land elevation based on a digital surface model and a digital orthophoto map generated using an unmanned aerial vehicle (UAV). Meanwhile, the above-ground biomass (AGB), the soil plant analysis development (SPAD) value of chlorophyll contents, and leaf area index (LAI) were used to select the appropriate vegetation indices (VIs) to produce a reduced-production map (RM) based on power regression (PR), exponential regression (ER), multiple linear regression (MR), and random forest (RF) algorithms. Finally, an improved Otsu segmentation algorithm was used to extract mild and severe RBs. The results showed the following. (1) Crop growth heights in a typical ponding basin of the CGOA rendered a fast and efficient approach to distinguishing the OB. (2) In subsequent sample modeling, the red-edge microwave VI (MVIredge), the normalized difference VI (NDVI), and the red-edge modified simple ratio index (MSRredge) combined with RF were shown to be optimal estimators for AGB (R2 = 0.83, RMSE = 0.114 kg·m−2)</t>
  </si>
  <si>
    <t>10.3389/fclim.2022.798618</t>
  </si>
  <si>
    <t>https://www.scopus.com/inward/record.uri?eid=2-s2.0-85136790581&amp;doi=10.3389%2ffclim.2022.798618&amp;partnerID=40&amp;md5=8d5295d3f8c9ed697a0caeb9a1177ad1</t>
  </si>
  <si>
    <t>Risk-informed flood risk management requires a comprehensive and quantitative risk assessment, which often demands multiple (thousands of) river and flood model simulations. Performing such a large number of model simulations is a challenge, especially for large, complex river systems (e.g., Mekong) due to the associated computational and resource demands. This article presents an efficient probabilistic modeling approach that combines a simplified 1D hydrodynamic model for the entire Mekong Delta with a detailed 1D/2D coupled model and demonstrates its application at Can Tho city in the Mekong Delta. Probabilistic flood-hazard maps, ranging from 0.5 to 100 year return period events, are obtained for the urban center of Can Tho city under different future scenarios taking into account the impact of climate change forcing (river flow, sea-level rise, storm surge) and land subsidence. Results obtained under present conditions show that more than 12% of the study area is inundated by the present-day 100 year return period of water level. Future projections show that, if the present rate of land subsidence continues, by 2050 (under both RCP 4.5 and RCP 8.5 climate scenarios), the 0.5 and 100 year return period flood extents will increase by around 15- and 8-fold, respectively, relative to the present-day flood extent. However, without land subsidence, the projected increases in the 0.5 and 100 year return period flood extents by 2050 (under RCP 4.5 and RCP 8.5) are limited to between a doubling to tripling of the present-day flood extent. Therefore, adaptation measures that can reduce the rate of land subsidence (e.g., limiting groundwater extraction), would substantially mitigate future flood hazards in the study area. A combination of restricted groundwater extraction and the construction of a new and more efficient urban drainage network would facilitate even further reductions in the flood hazard. The projected 15-fold increase in flood extent projected by 2050 for the twice per year (0.5 year return period) flood event implies that the “do nothing” management approach is not a feasible option for Can Tho. Copyright © 2022 Ngo, Ranasinghe, Zevenbergen, Kirezci, Maheng, Radhakrishnan and Pathirana.</t>
  </si>
  <si>
    <t>2-s2.0-85136790581"</t>
  </si>
  <si>
    <t>10.1002/jeq2.20391</t>
  </si>
  <si>
    <t>https://www.scopus.com/inward/record.uri?eid=2-s2.0-85131382353&amp;doi=10.1002%2fjeq2.20391&amp;partnerID=40&amp;md5=98418c29f70910f10884023a5b05591f</t>
  </si>
  <si>
    <t>Alluvial riparian soils act as a filtration system, improving the environmental quality of downstream soils and waters. In areas affected by coal mining, alluvial soils also serve as a modern “sink” of fossil carbon (C). To date, little research has been done on ecosystem services provided by alluvial landscapes (i.e., river islands and tributary deltas) in the retention of coal in coal-mining regions. The objective of this study was to distinguish between and quantify geogenic and neogenetic C in alluvial soils of the North Branch of the Susquehanna River (NBSR). To investigate this, we compared five thermal analysis methods to quantify geogenic (coal) C in soils. Our results indicate that multivariate curve resolution of ramped thermal combustion data provided the most accurate estimate of coal content in soils. Our analysis found that NBSR alluvial soils have accumulated ∼375 Gg of anthropogenic, geogenic C (upper 1 m). In these soils, an average of ∼11% of soil mass is attributable to coal, yet ∼73% of the total soil C is attributable to geogenic C. These soil organic C stocks are substantially greater than locally mapped riparian soils unaffected by coal mining and are greater than regional organic soils (Histosols). Quantification of microbial decomposition of coal in alluvial soils and vulnerability to extreme flood events (potential remobilization) requires further investigation and will be important in determining the fate of this C sink. © 2022 The Authors. Journal of Environmental Quality © 2022 American Society of Agronomy, Crop Science Society of America, and Soil Science Society of America.</t>
  </si>
  <si>
    <t>2-s2.0-85131382353"</t>
  </si>
  <si>
    <t>10.1007/s11356-022-22134-5</t>
  </si>
  <si>
    <t>https://www.scopus.com/inward/record.uri?eid=2-s2.0-85135794057&amp;doi=10.1007%2fs11356-022-22134-5&amp;partnerID=40&amp;md5=b655c405a7c610fe2d47df0d3d8c5aa7</t>
  </si>
  <si>
    <t>As a global concern, the issue of groundwater salinization refers to the phenomenon of an increase in the overall chemical content over background levels in the groundwater. It involves a long-term process that could degrade groundwater quality and restrict its availability for drinking, irrigation and industry. For the effective protection and further research of groundwater resources, policy strongly depends on understanding the development, hotspots and trend directions of groundwater salinization research, which involves the degree, sources and processes of global groundwater salinization. However, such a comprehensive and systematic analysis has not been performed, and it is difficult to have a deeper understanding of groundwater salinization. The purpose of this paper is to analyze the knowledge structure, hot topics and trends in the field of groundwater salinization based on 6651 Web of Science (WoS) publications combined with CiteSpace for in-depth bibliometric and visual analysis. The results showed that 292 institutions in 125 countries have published articles in this field from 1970 to 2021. The USA was one of the most prolific contributors, with the largest number of publications and active institutions. Cooperation among authors has become frequent in recent years, and they tend to cooperate in groups. According to the analysis of co-occurrence keywords and co-cited articles, “water resources”, “sea level rise” and “variable density flow” were identified as three hot topics. A keyword burst analysis revealed the emerging trends of concerns about global climate change and the sustainable utilization of water resources. In addition, the possible opportunities and challenges were explored that may be faced in groundwater salinization research. The outcomes of this study are significant for future research on groundwater management and pollution control. Graphical abstract: [Figure not available: see fulltext.] © 2022, The Author(s), under exclusive licence to Springer-Verlag GmbH Germany, part of Springer Nature.</t>
  </si>
  <si>
    <t>2-s2.0-85135794057"</t>
  </si>
  <si>
    <t>10.1029/2022EF002705</t>
  </si>
  <si>
    <t>https://www.scopus.com/inward/record.uri?eid=2-s2.0-85139112086&amp;doi=10.1029%2f2022EF002705&amp;partnerID=40&amp;md5=97c71d08ca7a97641974b498c159a09d</t>
  </si>
  <si>
    <t>A hurricane event can often produce both intense rainfall and a storm tide that can cause a major compound flooding threat to coastlines. This paper examined applications of multivariate copula-based time series models using data observed during Hurricane Irma (2017) along the coastlines of Florida, Georgia, and South Carolina, United States. Multivariate time series models were developed using bivariate copulas wherein storm tide and rainfall data were modeled using LOWESS-based autoregressive moving average (ARMA). n samples of observed data were then synthesized using a Monte Carlo approach in which the empirical copula and the parametric estimate of the copula were obtained to approximate two-sided p-values using the Rosenblatt probability integral transform method. Analysis suggested that proper selection of the underlying LOWESS-based ARMA model was the crucial aspect for modeling compound flooding wherein Archimedean, Elliptical, and Extreme Value copulas all offered consistent flexibility in terms of dependence modeling. As a backdrop to compound flood probabilities, this research also outlined both theoretical and applied frameworks for the calculation of non-exceedance probabilities in a multidimensional environment using classical isofrequency probability assumptions for the “AND” (a bivariate joint probability) and Survival Kendall definitions. Random realizations from storm copulas combined with multivariate non-exceedance probability definitions ultimately showed there were periods of temporal yet cyclical high intensities that lasted 1–2 hr. Lastly, a discussion is presented on the broader application of the proposed methodology within the field of engineering design and risk management which may serve as a catalyst for the continued research in compound flooding. © 2022 The Authors. Earth's Future published by Wiley Periodicals LLC on behalf of American Geophysical Union.</t>
  </si>
  <si>
    <t>2-s2.0-85139112086"</t>
  </si>
  <si>
    <t>Archives of Computational Methods in Engineering</t>
  </si>
  <si>
    <t>10.1007/s11831-021-09686-4</t>
  </si>
  <si>
    <t>https://www.scopus.com/inward/record.uri?eid=2-s2.0-85122756112&amp;doi=10.1007%2fs11831-021-09686-4&amp;partnerID=40&amp;md5=02ca0503a959488e65ac0d85bbf6f075</t>
  </si>
  <si>
    <t>Geohazards, including the landslide, debris flow, rockfall, surface collapse, surface subsidence, and surface cracks, can bring great threats to human life and property. Generally, the defromation and failure of rock and soil masses can induce geohazards. To effectively predict and prevent geohazards, it is significant to capture the deformation and failure characteristics of rock and soil masses occurring in geohazards. Numerical modeling methods have been widely used to investigate the deformation and failure of rock and soil masses due to their low cost and convenience. Commonly, meshfree methods can be used to model the large deformation and failure characteristics of rock and soil masses without mesh-dependence. In this paper, we aim to provide a survey of related applications in modeling the deformation and failure of rock and soil masses occurring in common geohazards by using four frequently-used meshfree methods, including Smoothed Particle Hydrodynamics (SPH), Material Point Method (MPM), Discrete Element Method (DEM), and Discontinuous Deformation Analysis (DDA). Moreover, the capabilities, key issues, and outlook of the surveyed meshfree methods in the deformation and failure simulation of rock and soil masses are discussed. This paper provides a reference for geohazards prevention from the perspective of modeling the deformation and failure of rock and soil masses using meshfree methods. © 2021, The Author(s) under exclusive licence to International Center for Numerical Methods in Engineering (CIMNE).</t>
  </si>
  <si>
    <t>2-s2.0-85122756112"</t>
  </si>
  <si>
    <t>10.1007/s11069-022-05305-y</t>
  </si>
  <si>
    <t>https://www.scopus.com/inward/record.uri?eid=2-s2.0-85126762839&amp;doi=10.1007%2fs11069-022-05305-y&amp;partnerID=40&amp;md5=c4f315d967d65ae782d34a1d2e599974</t>
  </si>
  <si>
    <t>Despite the application of various methods to calculate uncertainty in flood vulnerability assessments, the challenge of uncertainty remains. The main purpose of this study was to establish the impact of uncertainty on flood risk anticipation. To this end, the real flood zone in Khuzestan region, southwestern Iran, was initially determined in 2019, and then compared with the 100-year flood, forecasted by competent authorities and modeled using the analytic hierarchy process (AHP) and the ArcGIS software. In this study, uncertainty in flood-induced vulnerability was also assessed via the AHP and the ArcGIS software to reveal its conformity with reality. Afterward, the digital elevation models (DEMs) and satellite imagery data coupled with the overlay of vulnerable/invulnerable areas were determined in the real flood. The results were subsequently compared with the 2019 real flood and the 100-year return, anticipated by the AHP-GIS model. The output revealed that 53% of the invulnerable areas had been inundated in total, leading to huge economic damage and surprising local people. Furthermore, the findings demonstrated that despite much effort, the applied models did not always correspond to reality. To predict the future and to minimize uncertainty, a scenario-based robust optimization approach or regret theory would be suggested to solve such problems. © 2022, The Author(s), under exclusive licence to Springer Nature B.V.</t>
  </si>
  <si>
    <t>2-s2.0-85126762839"</t>
  </si>
  <si>
    <t>10.3389/feart.2022.917069</t>
  </si>
  <si>
    <t>https://www.scopus.com/inward/record.uri?eid=2-s2.0-85134363427&amp;doi=10.3389%2ffeart.2022.917069&amp;partnerID=40&amp;md5=b125b0fee6da5cd8d82990855e90b625</t>
  </si>
  <si>
    <t>As a result of the fast growth of remote sensing and data assimilation technology, many global land use land cover (LULC) and climate reanalysis data sets have been used to advance our understanding of climate and environmental change. This paper investigates the precipitation variations of the Yangtze Delta Megalopolis by using precipitation reanalysis data under conditions of dynamic urban sprawl. Compared with current precipitation characteristic analyses, which are often based on a limited number of ground rainfall stations, the approach followed in this study comprises a grid-based statistical method using large sets of samples with a uniform distribution and a same representative grid area. This novel approach of dynamic sampling is applied in this study to overcome the temporal and spatial inconsistency of stationary sampling. This approach allows to examine the impact of urbanization on regional precipitation characteristics. The Yangtze Delta Megalopolis (YDM) region, one of the most developed regions in China, was selected as a case study to evaluate the impact of urbanization on subsequent precipitation features. The results reveal that the annual total precipitation (TP) and the maximum daily precipitation (MDP) in both urban and non-urban areas of the YDM region generally have increased during the past 30 years. Hence, the region has become increasingly humid. Extrema of annual MDP and TP show obvious spatial characteristics, in which most maxima are located in the southern part of YDM while minima are more concentrated in the northern part. This newly developed approach has potentials for application in studies where underlying surface features exhibit rapid alterations. The findings of this case study provide relevant information for planning and design of regional water resources management, flood risk management, and planning of the urban drainage system of the YDM region. Copyright © 2022 Liu, Fu, Zevenbergen, Yu and Kumar.</t>
  </si>
  <si>
    <t>2-s2.0-85134363427"</t>
  </si>
  <si>
    <t>10.1016/j.dib.2022.108469</t>
  </si>
  <si>
    <t>https://www.scopus.com/inward/record.uri?eid=2-s2.0-85134679494&amp;doi=10.1016%2fj.dib.2022.108469&amp;partnerID=40&amp;md5=c58060597ca4d95a744f420f7e52a42b</t>
  </si>
  <si>
    <t>This brief contains the data needed to calculate and assess the robustness of a water level – flood link (WAFL) in the Cambodian Mekong Delta, which was used to analyze changes in the long-term behavior of Monsoon inundations in the region. The data comprises the WAFL raster (.tif) files for two zones in the delta. Zone A is located on the right bank of the Bassac River, a distributary of the Mekong. Zone B is bracketed between the Mekong River and the Bassac River. The WAFL was calculated by linking water levels measured by the Mekong River Commission (MRC) at the hydrological station in Koh Khel, with inundation maps derived from Sentinel-1 and -2 images taken between 2017 and 2021. The final WAFL raster files provides a basis for estimating inundation extents using in-situ water levels. Furthermore, this brief includes data used for the assessment of WAFL, including in-situ water level data and the extents of natural vegetation in the case study area in 1990, 2000, 2010 and 2020. The former was collected using a differential pressure logger. The latter was calculated from historical Landsat image composites. Finally, raster files representing the incidence and duration of inundations in the case study area before and after the year 2008 are provided. These were calculated based on the WAFL and the MRC water levels. For each area, before- and after-images are available, as well as a raster representing the change between the two. To simplify visualization and geographical location, shapefiles (.shp) of the study area and the location of the in-situ logger are also provided. © 2022 The Authors</t>
  </si>
  <si>
    <t>2-s2.0-85134679494"</t>
  </si>
  <si>
    <t>10.3389/fenvs.2022.949339</t>
  </si>
  <si>
    <t>https://www.scopus.com/inward/record.uri?eid=2-s2.0-85136569604&amp;doi=10.3389%2ffenvs.2022.949339&amp;partnerID=40&amp;md5=02ed407608addeda3c0a9e0c177aee8c</t>
  </si>
  <si>
    <t>Exploitation of bitumen-rich deposits in the Alberta Oil Sands Region (AOSR) by large-scale mining and processing activities has generated widespread concern about the potential for dispersal of harmful contaminants to aquatic ecosystems via fluvial and atmospheric pathways. The release of mercury has received attention because it is a potent neurotoxin for wildlife and humans. However, knowledge of baseline mercury concentration prior to disturbance is required to evaluate the extent to which oil sands development has contributed mercury to aquatic ecosystems. Here, we use stratigraphic analysis of total mercury concentration ([THg]) in radiometrically dated sediment cores from nine floodplain lakes in the AOSR and downstream Peace-Athabasca Delta (PAD) and two upland lakes in the PAD region to establish pre-1900 baseline [THg] and evaluate if [THg] has become enriched via fluvial and atmospheric pathways since oil sands mining and processing began in 1967. Concentrations of THg in sediment cores from the study lakes range from 0.022–0.096 mg/kg (dry wt.) and are below the Canadian interim sediment quality guidelines for freshwater (0.17 mg/kg). Results demonstrate no enrichment of [THg] above pre-1900 baseline via fluvial pathways at floodplain lakes in the AOSR or PAD. Enrichment of [THg] was detected via atmospheric pathways at upland lakes in the PAD region, but this occurred prior to oil sands development and aligns with long-range transport of emissions from coal combustion and other anthropogenic sources across the northern hemisphere recognized in many other lake sediment records. The inventory of anthropogenic [THg] in the upland lakes in the AOSR is less than at the Experimental Lakes Area of northwestern Ontario (Canada), widely regarded as a “pristine” area. The absence of enrichment of [THg] in lake sediment via fluvial pathways is a critical finding for stakeholders, and we recommend that monitoring at the floodplain lakes be used to inform stewardship as oil sands operators prepare to discharge treated oil sands process waters directly into the Athabasca River upstream of the PAD. Copyright © 2022 Kay, Wiklund, Sun, Savage, Adams, MacDonald, Klemt, Brown, Hall and Wolfe.</t>
  </si>
  <si>
    <t>2-s2.0-85136569604"</t>
  </si>
  <si>
    <t>10.1007/s12040-022-01900-6</t>
  </si>
  <si>
    <t>https://www.scopus.com/inward/record.uri?eid=2-s2.0-85134543824&amp;doi=10.1007%2fs12040-022-01900-6&amp;partnerID=40&amp;md5=274f9d9c27b4701eab5071b80c5bb64b</t>
  </si>
  <si>
    <t>Abstract: In this paper, we observed the tectono-geomorphological changes along the Dawki Fault and adjoining areas of Sylhet, Bangladesh using multitemporal Landsat satellite imageries from 1980 to 2020. The 40 years time lapse images were used to derive geomorphometric such as sinuosity index (SI), hydraulic sinuosity index (HSI), topographic sinuosity index (TSI), and lineament, directional and lineament density (LD) change analyses. To support these changes, other important parameters, i.e., Bouguer gravity anomaly (BGA) and digital elevation model (DEM) were considered based on their data availability. The present research observed spatiotemporal patterns in these parameters using remote sensing and GIS techniques, where multiple software platforms (i.e., ENVI 5.3, PCI Geomatica Banff 2020, Rockworks 16, ArcGIS 10.8 and MS Excel 2019) were utilized for mapping and data visualization. The study results from multiple parameters such as prominent lineament changes towards NE–SW directions matched well with the Dawki and nearby Disang faults, BGA data variations based on multiple transects, and elevation changes confirmed the increasing intensity of tectonic activity in the study area. Moreover, the lineament distributions, their concentrations, CV, and CSD have also confirmed the present tectonic movements which are especially observed in central, southern and northeastern directions. Research highlights: Tectono-geomorphological changes of the Dawki Fault and adjoining areas of Sylhet, Bangladesh were investigated.Geomorphological river sinuosity such as SSI, HSI, and TSI were measured based on the multi-temporal Landsat satellite data.Among the river sinuosity indices, TSI values were dominated over the HSI indicating the presence of tectonic activity in the study area.The study observed the lineament density change and its directional movements and increased tectonic activity along the Dawki Fault and adjoining areas.The digital elevation model (DEM) supports the tectonic activities and the change results indicating the subsidence and upliftment across the study area. © 2022, Indian Academy of Sciences.</t>
  </si>
  <si>
    <t>2-s2.0-85134543824"</t>
  </si>
  <si>
    <t>10.1007/s11442-022-2025-2</t>
  </si>
  <si>
    <t>https://www.scopus.com/inward/record.uri?eid=2-s2.0-85137086498&amp;doi=10.1007%2fs11442-022-2025-2&amp;partnerID=40&amp;md5=8121aee0c37bfe21a5bd281126af36cd</t>
  </si>
  <si>
    <t>In tropical regions, mangrove forests are located in the inter-tidal areas between land and sea, and are at risk from both freshwater and seawater floods. Using satellite-derived Normalized Difference Vegetation Index (NDVI) products, this study compared the differences in resistance and resilience of mangrove ecosystems to freshwater and seawater floods in Southeast Asia, and analyzed the spatial characteristics of the stability of mangrove ecosystems under floods in representative areas. Results show that mangroves tended to have lower mean resistance (28.24 vs. 37.32) and higher mean resilience (3.74 vs. 3.56) under freshwater floods, compared to seawater floods. Their resistance increased with the distance from rivers, such that the resistance of coastal areas to freshwater and seawater floods was lower than that of inland areas. These areas with lower resistance showed higher resilience compared to those with higher resistance. Damaged mangroves hardly fully recovered to their normal NDVI levels one year after seawater floods, especially in coastal areas. Although the occurrence of seawater floods was relatively rare in the past, it is likely to increase under more-intense climate extremes in the future, and the threat to the survival of mangroves may also increase. Thus, it is essential to evaluate the stability of mangrove ecosystems under floods. © 2022, Science in China Press.</t>
  </si>
  <si>
    <t>2-s2.0-85137086498"</t>
  </si>
  <si>
    <t>Journal of Rural Studies</t>
  </si>
  <si>
    <t>10.1016/j.jrurstud.2022.06.008</t>
  </si>
  <si>
    <t>https://www.scopus.com/inward/record.uri?eid=2-s2.0-85133811033&amp;doi=10.1016%2fj.jrurstud.2022.06.008&amp;partnerID=40&amp;md5=4a791acbfb84002f7972d82161b5f6da</t>
  </si>
  <si>
    <t>The effects of climate change are likely to increase the frequency of flood, drought, and salinity events in the coastal areas of Bangladesh, posing many challenges for agrarian communities. Sustainable intensification in the form of improved agricultural management practices and new technologies may help farmers cope with stress and adapt to changing conditions. In this study, we explore how climate change perceptions of agricultural risk affect adaptation to climate change through technology adoption in a unique landscape: the polders of Bangladesh. In 2016, a survey was conducted in 1003 households living on these artificial, leveed islands facing the Bay of Bengal. We analyzed the responses from polder residents to construct a climate risk index which quantifies climate risk perception in this highly vulnerable agrarian landscape. We analyzed how polder demographics influence their perceptions about climatic change using seemingly unrelated regression (SUR). Further, by using three bivariate probit regression models, we estimated how the perception of climate risk drives the differential adoption of new agricultural technologies. Our findings show that farmers perceive polder agriculture as highly vulnerable to four environmental change factors: flooding, drought, salinity, and pest infestation. The SUR model suggests that farmer demographics, community group memberships, and access to different inputs and services strongly influence climatic risk perceptions. Findings also suggest that polder farmers with higher risk perceptions have a higher propensity to adopt both chemical and mechanical adaptation strategies. Cost, however, limits the ability of farmers to adopt improved technologies, suggesting an opportunity for institution-led approaches. © 2022 The Authors</t>
  </si>
  <si>
    <t>2-s2.0-85133811033"</t>
  </si>
  <si>
    <t>10.1007/s10040-022-02510-8</t>
  </si>
  <si>
    <t>https://www.scopus.com/inward/record.uri?eid=2-s2.0-85134671921&amp;doi=10.1007%2fs10040-022-02510-8&amp;partnerID=40&amp;md5=c571538a383a164301b944de690801b0</t>
  </si>
  <si>
    <t>Coastal groundwater flow is driven by an interplay between terrestrial and marine forcings. One of the distinguishing features in these settings is the formation of a freshwater lens due to the density difference between fresh and saline groundwater. The present study uses data collected on Sable Island, Canada—a remote sand island in the northwest Atlantic Ocean—to highlight the potential of exploiting freshwater lens geometry for calibration of numerical groundwater flow models in coastal settings. Three numerical three-dimensional variable-density groundwater flow models were constructed for different segments of the island, with only one model calibrated using the freshwater–saltwater interface derived from an electromagnetic geophysical survey. The other two (uncalibrated) models with the same parameterisation as the calibrated model successfully reproduced the interpreted interface depth and location of freshwater ponds at different parts of the island. The successful numerical model calibration, based solely on the geophysically derived interface depth, is enabled by the interface acting as an amplified version of the water table, which reduces the relative impact of the interpreted depth uncertainty. Furthermore, the freshwater–saltwater interface is far more inertial than the water table, making it less sensitive to short-term forcings. Such “noise-filtering” behaviour enables the use of the freshwater–saltwater interface for calibration even in dynamic settings where selection of representative groundwater heads is challenging. The completed models provide insights into island freshwater lens behaviour and highlight the role of periodic beach inundation and wave overheight in driving short-term water-table variability, despite their limited impact on the interface depth. © 2022, The Author(s), under exclusive licence to International Association of Hydrogeologists.</t>
  </si>
  <si>
    <t>2-s2.0-85134671921"</t>
  </si>
  <si>
    <t>10.1029/2022EF002655</t>
  </si>
  <si>
    <t>https://www.scopus.com/inward/record.uri?eid=2-s2.0-85137977591&amp;doi=10.1029%2f2022EF002655&amp;partnerID=40&amp;md5=42739825002549fdb4eca80ad4bc7bd8</t>
  </si>
  <si>
    <t>Compound flooding, caused by the simultaneous or successive occurrence of two or more flood mechanisms, is mainly associated with extreme precipitation, river overflows, and storm tides across coastal areas. The interdependencies between these components can increase the risks of flood impacts, threatening coastal communities and infrastructure systems. This study quantifies the corresponding multivariate hazard over Canada's coastal areas by characterizing the dependencies between multiple drivers of flooding based on the C-vine copula statistical approach. The joint return periods of compound flooding considering the AND, OR, and Kendall scenarios are estimated and the corresponding failure probabilities are assessed. Further, the compound hazard ratio (CHR) index is applied to quantify possible under- or overestimations of the flood hazards when individual drivers are assessed independently. Analyses are performed at 41 locations across the Atlantic, Pacific, and the Great Lakes coasts, and the uncertainties are quantified based on the Bayes theorem. Results show that at approximately 50% of locations (mostly at the Great Lakes), the flood hazard associated with the AND scenario increases considerably when the dependencies are characterized compared to the (unrealistic) independence scenario, indicating the potential for compound flooding in these regions. Besides, at more than half of the studied locations, the CHR index exceeds one highlighting the interrelationships between drivers of flooding. The results of this study provide a deeper understanding of the flood mechanisms and their interdependencies across Canada's coasts, which support the development of resilient structures and improved coastal flood management. © 2022 The Authors. Earth's Future published by Wiley Periodicals LLC on behalf of American Geophysical Union.</t>
  </si>
  <si>
    <t>2-s2.0-85137977591"</t>
  </si>
  <si>
    <t>10.1007/s11069-022-05308-9</t>
  </si>
  <si>
    <t>https://www.scopus.com/inward/record.uri?eid=2-s2.0-85126875864&amp;doi=10.1007%2fs11069-022-05308-9&amp;partnerID=40&amp;md5=8fb48414417bce1c083ada22171c96c6</t>
  </si>
  <si>
    <t>In this study, we present the first findings of the potential utility of miniaturized light and detection ranging (LiDAR) scanners mounted on unmanned aerial vehicles (UAVs) for improving urban flood modelling and assessments at the local scale. This is done by generating ultra-high spatial resolution digital terrain models (DTMs) featuring buildings and urban microtopographic structures that may affect floodwater pathways (DTMbs). The accuracy and level of detail of the flooded areas, simulated by a hydrologic screening model (Arc-Malstrøm), were vastly improved when DTMbs of 0.3 m resolution representing three urban sites surveyed by a UAV-LiDAR in Accra, Ghana, were used to supplement a 10 m resolution DTM covering the region’s entire catchment area. The generation of DTMbs necessitated the effective classification of UAV-LiDAR point clouds using a morphological and a triangulated irregular network method for hilly and flat landscapes, respectively. The UAV-LiDAR data enabled the identification of archways, boundary walls and bridges that were critical when predicting precise run-off courses that could not be projected using the coarser DTM only. Variations in a stream’s geometry due to a one-year time gap between the satellite-based and UAV-LiDAR data sets were also observed. The application of the coarser DTM produced an overestimate of water flows equal to 15% for sloping terrain and up to 62.5% for flat areas when compared to the respective run-offs simulated from the DTMbs. The application of UAV-LiDAR may enhance the effectiveness of urban planning by projecting precisely the locations, extents and run-offs of flooded areas in dynamic urban settings. © 2022, The Author(s).</t>
  </si>
  <si>
    <t>2-s2.0-85126875864"</t>
  </si>
  <si>
    <t>10.1007/s12594-022-2161-4</t>
  </si>
  <si>
    <t>https://www.scopus.com/inward/record.uri?eid=2-s2.0-85138240225&amp;doi=10.1007%2fs12594-022-2161-4&amp;partnerID=40&amp;md5=75e1076753cd9df7d153456f1058a047</t>
  </si>
  <si>
    <t>The coastal region is one of the most sensitive areas on earth. This region has a diversified ecosystem. Erosion and accretion are common natural phenomena that can be seen in this region. In some circumstances, these changes become hazardous to the coastal ecosystem. Natural processes such as rainfall, flood, cyclone, longshore drift, and tectonic shifts can trigger irregular coastal changes. Similarly, anthropogenic factors such as urbanization, unscientific land usage, mining, etc., enhance coastal dynamics and make larger changes. Hence identification of such region has great importance. Geospatial technology has brought various advanced methods for shoreline change studies. It has decreased the huge effort for getting an accurate result for a larger area. Landsat satellite imageries with 30 m spatial resolution have been used for studying the changes in the shoreline of Ramanathapuram for the years 2000, 2005, 2010, 2015 and 2020. In Geographic Information System (GIS) software, the Digital Shoreline Analysis System (DSAS) tool is added for shoreline change analysis. DSAS will build the baseline transects. The rate of shoreline change was calculated using the MATLAB feature runtime function for ArcGIS. Based on the DSAS output, the region of high erosion, low erosion, stable, and low accretion, high accretion zones have been identified on the shore. The results reveal that 5.1% of the shoreline, around 9.3 km is under high erosion, 11.5% of the shoreline, which is around 20.8 km, is under low erosion, 71% of the shoreline, around 128 km, is a stable region, 6.7% of shorelines, around 12 km, have low accretion, and 5.6% of shorelines, around 10.1 km, have high accretion. The coastal villages, namely, Mayakulam, Keelakakrai, Periapattinam, Mandapam, West-Pamban, and East-Rameswaram, have a high erosion with a maximum rate of change between 2.29 to 5.11 m/y. The coastal villages Ervadi, Kalimankund, Sattankonvalsai, South-Pamban and South-Rameswaram have high accretion with a maximum rate of change between 2.34 to 5.24 m/y. © 2022, Geological Society of India, Bengaluru, India.</t>
  </si>
  <si>
    <t>2-s2.0-85138240225"</t>
  </si>
  <si>
    <t>10.1016/j.jenvman.2022.115153</t>
  </si>
  <si>
    <t>https://www.scopus.com/inward/record.uri?eid=2-s2.0-85129415764&amp;doi=10.1016%2fj.jenvman.2022.115153&amp;partnerID=40&amp;md5=d3ccce0220a74f16658cfa4e4b158511</t>
  </si>
  <si>
    <t>Failure of water distribution and wastewater collection pipes can impact human health and environment due to potential contamination of water and soil in the surrounding areas, as well as service interruptions and road closures. This paper provides a quantitative assessment of projected shifts in failure rates of iron pipes due to saltwater intrusion and sea level rise in coastal areas. Probability of pipe failure depends on pipe characteristics, environmental parameters, and systems conditions. Analyses showed that saltwater intrusion and sea level rise can significantly affect the integrity of water and wastewater collection pipes due to potential changes in soil and groundwater characteristics that increase corrosion rates. Corrosion rate is intensified by increased conductivity of groundwater due to salinity. Coastal areas with subtropical climate have higher corrosion rates. The estimated lifetimes of ductile iron pipes are between 80 and 100 years. However, the actual service lifetimes can be significantly shorter. Pipes in subtropical areas corrode significantly faster than those in temperate climates. Presence of dissolved oxygen and chloride ion can significantly intensify the corrosion rates, shortening service times of iron pipes. Projections for pipe corrosion can help development of effective asset management strategies and for infrastructure maintenance planning in coastal areas that are vulnerable to sea level rise. © 2022 Elsevier Ltd</t>
  </si>
  <si>
    <t>2-s2.0-85129415764"</t>
  </si>
  <si>
    <t>10.1016/j.jag.2022.103010</t>
  </si>
  <si>
    <t>https://www.scopus.com/inward/record.uri?eid=2-s2.0-85137395839&amp;doi=10.1016%2fj.jag.2022.103010&amp;partnerID=40&amp;md5=435abd18cf681c166af06dfa894968eb</t>
  </si>
  <si>
    <t>Dynamic monitoring of floods is important for water resource management and disaster prevention. Obtaining multitemporal surface water distribution maps using remote sensing technology can help in elucidating the trends in water expansion so that measures can be quickly formulated. Sentinel-1 synthetic aperture radar (SAR) observation data are particularly suitable for this task because of their high spatial resolution and short revisit cycle, as well as its cloud-penetration ability. However, quickly and accurately mapping floods from a large number of SAR images remains challenging because of the enormous pressure on data acquisition and processing. Hence, in this study, we designed a new automatic SAR image flood mapping method based on the Google Earth Engine (GEE) cloud platform, which is an improvement over the Otsu method, and solves the problem of a higher segmentation threshold caused by images that do not meet the bimodal distribution hypothesis. In addition, to eliminate the omissions caused by salt-and-pepper noise and the misclassification caused mainly by low-backscattering-intensity vegetation and mountain shadows, we constructed an algorithm based on topological relationships and a DSM (Digital Surface Model) local search algorithm. The proposed method achieved an accuracy of 96.213% and 98.611% and F1 scores of 0.87254 and 0.89298 for plains and mountainous terrain, respectively. This method uses powerful computing resources and abundant datasets provided by the GEE cloud platform, and can be used for large-scale, long-term, and dynamic flood monitoring. © 2022</t>
  </si>
  <si>
    <t>2-s2.0-85137395839"</t>
  </si>
  <si>
    <t>10.3390/geosciences12080286</t>
  </si>
  <si>
    <t>https://www.scopus.com/inward/record.uri?eid=2-s2.0-85137517401&amp;doi=10.3390%2fgeosciences12080286&amp;partnerID=40&amp;md5=3f722437fe9aed31b2854ba2885ce86e</t>
  </si>
  <si>
    <t>In spite of the significant number of studies focused on the 1755 earthquake and tsunami, there are still many unknowns regarding this event in Lisbon, Portugal. Thus, in this research the authors compiled historical documents, including some that had never been analyzed, complemented with a field survey and tsunami numerical modeling at the historical civil parish of Santo Estevão, Lisbon. It was possible to identify 13 buildings, including three religious buildings and five palaces. Furthermore, the new data showed that contradicting the general idea, the earthquake caused significant damage to the selected territory because the number of households decreased by 52%. The number of residents decreased to about 51%, and in 1756, 1041 residents were still living in 297 temporary shelters. There were more than 44 dead and 1122 residents were unaccounted for. The fire did not hit the area, and the tsunami numerical model results were validated by the historical accounts and cartography, which indicate that the coastal area of the studied area was not significantly inundated by the tsunami. The consultation of historical documents that had never been analyzed by contemporary researchers provides a breakthrough in the knowledge of the event since it allowed a very detailed analysis of the disaster impact. © 2022 by the authors.</t>
  </si>
  <si>
    <t>2-s2.0-85137517401"</t>
  </si>
  <si>
    <t>Forecasting</t>
  </si>
  <si>
    <t>10.3390/forecast4030032</t>
  </si>
  <si>
    <t>https://www.scopus.com/inward/record.uri?eid=2-s2.0-85160910838&amp;doi=10.3390%2fforecast4030032&amp;partnerID=40&amp;md5=4aac4105d475b0aedfb3a7e3f5e9ac69</t>
  </si>
  <si>
    <t>Climate change has caused uncertainty in the hydrological pattern including weather change, precipitation fluctuations, and extreme temperature, thus triggering unforeseen natural tragedies such as hurricanes, flash flooding, heatwave and more. Because of these unanticipated events occurring all around the globe, the study of the influence of climate change on the alteration of flooding patterns has gained a lot of attention. This research study intends to provide an insight into how the future projected streamflow will affect the flooding-inundation extent by comparing the change in floodplain using both historical and future simulated scenarios. For the future projected data, the climate model Atmosphere/Ocean General Circulation Model (AOGCM) developed by Coupled Model Intercomparison Project Phase 6 (CMIP6) is used, which illustrates that the flood is increasing in considering climate models. Furthermore, a comparison of the existing flood inundation map by the Federal Emergency Management Agency (FEMA) study with the map generated by future projected streamflow data presents the entire inundation area in flood maps, implying the expansion area compared to FEMA needs to be considered in making emergency response plans. The effect of flooding in the inundation area from historical to future flow values, presented mathematically by a calculation of inundation extent percentage, infers that the considered watershed of Rock River is a flood-prone area. The goal is to provide insights on the importance of using the forecasted data for flood analysis and to offer the necessary background needed to strategize an emergency response plan for flood management. © 2022 by the authors.</t>
  </si>
  <si>
    <t>2-s2.0-85160910838"</t>
  </si>
  <si>
    <t>10.1007/s11852-022-00880-5</t>
  </si>
  <si>
    <t>https://www.scopus.com/inward/record.uri?eid=2-s2.0-85133217466&amp;doi=10.1007%2fs11852-022-00880-5&amp;partnerID=40&amp;md5=e908156a0c0358b57ed13934ba5b230f</t>
  </si>
  <si>
    <t>Coastal communities are directly affected by climate change-induced disasters. Apart from all other disasters, tidal inundation is common in coastal areas. As a damaging phenomenon, it massively influences the socioeconomic sectors in the coastal community. The main objective of this qualitative investigation is to know the adaptation practices of the coastal community in response to climate change-induced tidal inundation. This study used the PRISMA statement (Systematic Reviews and Meta-Analyses) method and selected 19 relevant publications. This systematic review identified four categories of adaptation practices that the coastal community practise in response to climate change-induced tidal inundation, e.g., traditional knowledge practices (three sub-categories), social and community practices (four sub-categories), mechanical practices (five sub-categories), and institutional responses (two sub-categories). Results will be useful to the coastal planners, policymakers, researchers and mass people. © 2022, The Author(s), under exclusive licence to Springer Nature B.V.</t>
  </si>
  <si>
    <t>2-s2.0-85133217466"</t>
  </si>
  <si>
    <t>10.1029/2022JF006621</t>
  </si>
  <si>
    <t>https://www.scopus.com/inward/record.uri?eid=2-s2.0-85136987004&amp;doi=10.1029%2f2022JF006621&amp;partnerID=40&amp;md5=9864bd7a21794814378000d6c44e4e25</t>
  </si>
  <si>
    <t>Although analytical and numerical models have been widely used to explore evolution and equilibrium morphology in tidal environments, less attention has been paid to examining the impact of initial bathymetry on the model outcomes. Here we use two-dimensional idealized models with contrasting initial bathymetries to study how the interactions between antecedent morphology and tidal exchange processes determine the establishment of an estuarine equilibrium bathymetry, and how these interactions mediate the morphodynamic response to rising sea levels. In all model runs with sandy beds, inter-tidal zones reach the equilibrium condition first and equilibrium profiles are similar for points close to mean seal level. However, key aspects like channel formation, residence time and energy dissipation do not evolve to the same state and are inherited from the initial bathymetry. This implies that responses to sea-level rise (SLR) are different as well. Conversely, in cases with mud and sand input at the boundaries, equilibrium occurs more quickly and the equilibrium bathymetry and channel formation are dominated by the boundary mud concentration. General implications of the study are that predictions of coastal response to changes such as SLR depend on initial bathymetric conditions. © 2022 The Authors.</t>
  </si>
  <si>
    <t>2-s2.0-85136987004"</t>
  </si>
  <si>
    <t>Sains Malaysiana</t>
  </si>
  <si>
    <t>10.17576/jsm-2022-5107-05</t>
  </si>
  <si>
    <t>https://www.scopus.com/inward/record.uri?eid=2-s2.0-85139007307&amp;doi=10.17576%2fjsm-2022-5107-05&amp;partnerID=40&amp;md5=7d0e124df955daa24f2fd1dbdedbd4bc</t>
  </si>
  <si>
    <t>Sea level change is one of the most certain results of global warming. Sea level change would increase erosion in coastal areas, result in intrusion into water supplies, inundate coastal marshes and other important habitats, and make the coastal property more vulnerable to erosion and flooding. This situation coincides with the massive socio-economic development of the coastal city areas. The coastal areas of the East Coast of Peninsular Malaysia are vulnerable to sea-level change, flooding, and extreme erosion events. The monthly Mean Sea Level (MSL) change was simulated by using two Artificial Neural Network (ANN) models, Feed Forward- Neural Network (FF-NN) and Nonlinear Autoregressive Exogenous- Neural Network (NARX-NN) models. Both models did well in recreating sea levels and their fluctuating patterns, according to the data. The NARX-NN model with architecture (5-6-1) and four lag options, on the other hand, got the greatest results. The findings of the model’s mean sea level rise simulation show that Kuala Terengganu would have a growing and upward trend of roughly 25.34 mm/year. This paper shows that the eastern coast of Malaysia is highly vulnerable to sea-level rise and therefore, requires sustainable adaptation policies and plans to manage the potential impacts. It recommends that various policies, which enable areas to be occupied for longer before the eventual retreat, could be adapted to accommodate vulnerable settlements on the eastern coast of Malaysia. © 2022 Penerbit Universiti Kebangsaan Malaysia. All rights reserved.</t>
  </si>
  <si>
    <t>2-s2.0-85139007307"</t>
  </si>
  <si>
    <t>Weather</t>
  </si>
  <si>
    <t>10.1002/wea.3746</t>
  </si>
  <si>
    <t>https://www.scopus.com/inward/record.uri?eid=2-s2.0-85089971111&amp;doi=10.1002%2fwea.3746&amp;partnerID=40&amp;md5=00353090b3d3a09f0b995ee62563dfe3</t>
  </si>
  <si>
    <t>This is the second paper of a two-part series about Super Typhoons Hato (1713) and Mangkhut (1822), which hit Hong Kong successively in 2017 and 2018, respectively, and necessitated the issuance of the highest tropical cyclone warning signal. While their maximum intensity and wind structure are analysed in Part I, this paper covers the challenges in forecasting and early warning of the storms. The actual and predicted tropical cyclone track, intensity and storm surge in Hong Kong and their associated storm surge risk are reviewed. Experience in early warning and disaster risk reduction is also shared in this paper. © 2020 The Authors. Weather published by John Wiley &amp; Sons Ltd on behalf of Royal Meteorological Society.</t>
  </si>
  <si>
    <t>2-s2.0-85089971111"</t>
  </si>
  <si>
    <t>Geosystems and Geoenvironment</t>
  </si>
  <si>
    <t>10.1016/j.geogeo.2022.100067</t>
  </si>
  <si>
    <t>https://www.scopus.com/inward/record.uri?eid=2-s2.0-85143692668&amp;doi=10.1016%2fj.geogeo.2022.100067&amp;partnerID=40&amp;md5=65dfd050ef96ebf5d0854737108c51cf</t>
  </si>
  <si>
    <t>Remotely acquired gravity data from satellite gravimetry is integrated into the study to investigate crustal deformation in the Niger Delta Basin. The Niger Delta Basin is a well-documented example of a passive margin delta that has gravitationally deformed. The gravity-driven deformation has not been fully understood, and new trends may be emerging. In this study, we assess and delineate structural deformation and sediment accumulation of the Agbada and Akata stratigraphic sequences within the basin's prograding clastic wedge. This was done through the integration of data from the Gravity Recovery and Climate Experiment (GRACE) mission, Landsat 8 satellite imagery, and the Advanced Land Observation Satellite (ALOS) World 3D-30 m (AW3D) DEM. The methodology workflow incorporated gravity modelling from GRACE data, lineament extraction from Landsat imagery, and drainage network analysis from the AW3D DEM. The Niger Delta Basin as seen on the gravity models depicts large-scale block faults with a well-defined graben structural topography. This eventually shows that the basin is dominated by growth faulting with differential subsidence. The predominant directions of the mapped lineaments are in the N-S and W-E directions. With over 18,500 lineaments, the W-E direction is marginally the dominant direction of the two predominant directions. Many linear structures such as shear zones and fractures which have different orientations and directions characterise the study area. Also present are the minor N-S fractures which are attributed to brittle deformation and sets of NE-SW and NW-SE trends, produced by transcurrent movements as the structural framework of the Nigerian basement complex are dominated by the NE-SW lineaments. However, the complexity in the structural geometry and thrusting sequences in the Niger Delta shows the patterns of growth structure and imbricate thrusting. The structural pattern also exhibits outward radial gravity spreading of dip-orientated, extensional structures that include delta slope radial grabens and tear faults. Radial spreading has likely increased the segmentation of Niger Delta regional depo-belts in the N-S direction. It is observed that most of the structural deformations in the basin are syn-formational, evolving at the same time as sediment deposition. © 2022</t>
  </si>
  <si>
    <t>2-s2.0-85143692668"</t>
  </si>
  <si>
    <t>Environment and Natural Resources Journal</t>
  </si>
  <si>
    <t>10.32526/ennrj/20/202200036</t>
  </si>
  <si>
    <t>https://www.scopus.com/inward/record.uri?eid=2-s2.0-85134735606&amp;doi=10.32526%2fennrj%2f20%2f202200036&amp;partnerID=40&amp;md5=43056dd1a45882d8c682f1838f7d6bad</t>
  </si>
  <si>
    <t>The study assessed the vulnerability of habitats and species to climate change in Lung Ngoc Hoang Nature Reserve (NR), Vietnam. The vulnerability assessment tools for habitat and species were developed by the International Union for Conservation of Nature (IUCN). Community members, NR managers and experts in the fields of environment, economic and rural development were involved in this study. The results showed that saltwater intrusion and inundation could cause serious threats to habitats (i.e., open water, Lung, agricultural and Melaleuca habitats) and freshwater species. The combined impacts of drought and high temperature potentially increase forest fires for the Melaleuca habitat and decrease the quantity and quality of open water habitats. The Melaleuca and Lung habitats have a high baseline conservation status, in which Melaleuca habitats are more vulnerable than Lung habitats. Conversely, open water and agricultural habitats are at low baseline conservation status, but open water habitats are more vulnerable. In addition, the proliferation of invasive alien species, encroachment on agricultural cultivation, and the degradation of water quality are also great threats to the NR. Key species, including Melaleuca cajuputi, Elaeocarpus hygrophilus, Chitala ornate, Channa micropeltes, were at low threat of climate change. However, C. ornate and C. micropeltes are seriously endangered by seawater intrusion, drought and poor water quality. The findings of this study can provide essential information for NR managers to formulate water management plans for the protection and management of the habitats and species in Lung Ngoc Hoang NR. © 2022, Faculty of Environment and Resource Studies,Mahidol University. All rights reserved.</t>
  </si>
  <si>
    <t>2-s2.0-85134735606"</t>
  </si>
  <si>
    <t>Journal of the Geographical Institute Jovan Cvijic SASA</t>
  </si>
  <si>
    <t>10.2298/IJGI2202133N</t>
  </si>
  <si>
    <t>https://www.scopus.com/inward/record.uri?eid=2-s2.0-85136176050&amp;doi=10.2298%2fIJGI2202133N&amp;partnerID=40&amp;md5=08ec7a64971f7737e31fea1649cac86a</t>
  </si>
  <si>
    <t>A debris flood is a hazardous hydrogeomorphic process that can change the topographic surface in a short time due to a high streamflow and a large volume of sediment transport. Large areas of the Eastern Rhodopes Mountains (Bulgaria) are susceptible to erosion, debris flows, and debris floods due to loose earth masses, rare vegetation, and alternating dry and wet periods with extreme rainfall. The study area is located in the lower part of the river Damdere catchment and covers the area around the check dam. Studying the geomorphic changes of the debris flood areas can provide information about the behavior of the event, and contribute to the development of mitigation measures. In the current research, the data are obtained using terrestrial laser scanning (TLS) during two campaigns (in October 2019 and August 2021). After processing the raw TLS data, two pairs of ground point clouds have been obtained— for the area immediately before the check dam and for the one after the dam. To evaluate the changes in the topographic surface, two approaches are applied: (1) measuring the distance between the successive point clouds (M3C2 algorithm) and (2) measuring the differences between the digital terrain models in geographic information system environment (DoD method). Both approaches have shown similar results and indicated active hydrogeomorphic processes. The relatively large volume of deposition after the check dam is an indicator for the decrease in the retaining capacity of the check dam, which is a prerequisite for the increase of a flood risk. © 2022, Geographical Institute ""Jovan Cviji"" of the Serbian Academy of Sciences and Arts. All rights reserved.</t>
  </si>
  <si>
    <t>2-s2.0-85136176050"</t>
  </si>
  <si>
    <t>10.1007/s10661-022-10306-2</t>
  </si>
  <si>
    <t>https://www.scopus.com/inward/record.uri?eid=2-s2.0-85135886097&amp;doi=10.1007%2fs10661-022-10306-2&amp;partnerID=40&amp;md5=4e5c99e71e8eafd71c4b397b4842c21b</t>
  </si>
  <si>
    <t>The earth is experiencing the impact of climate change due to global warming. Lake ecosystems are no exception and are expected to cope with the consequences of extreme climatic events (hereafter ECE), such as storms, floods, and droughts. These events have significant potential to alter the hydrological characteristics (HC) influencing the physical, chemical, and biological behavior of lake ecosystems. Considering such ecosystem’s high-value services and benefits, it is the need of the hour to monitor and evaluate the impact of ECE on lake ecosystems. The second-largest brackish water system in the world, Chilika Lake, situated at the shore of the Bay of Bengal (BoB), has encountered a total of 1306 tropical cyclonic storms in the last 131 years. Since most tropical cyclones lead to heavy floods, this could be devastating for the ecosystem and its services. Hence, in order to bridge the knowledge gap, the present study was carried out to understand its impact, based on the available field data of more than two decades (1999 to 2020) and historical records of ECE and HC since 1840 and 1915 respectively from the literature. The study revealed that the ECE attributed to short-term changes in HC which were reflected through an immediate change in trophic state index (TSI, indicator of lake health) and trophic switchover (net autotrophic to heterotrophic) between net sink and source of carbon dioxide (CO2) in specific regions. This study showed that both the ECE as well as a human intervention (opening of the new mouth) had an integrated role in the maintenance of HC within the lake as indicated by the variability of salinity level which is the lifeblood of the Chilika. Major ECE factors which controlled the salinity in Chilika were freshwater input through cyclone-induced flash flooding and seawater exchange through varying mouth conditions, i.e., opening of the new mouth, shifting, and widening of existing mouths due to cyclone impacts. The impact of the cyclone-induced flash flood was sustained for a couple of months to years depending on the magnitudes. As evidenced from the historical data available for ECEs, respective mouth variability, and salinity regime, ECE was found to maintain the salinity regime of the lake in the long run. Since the hydrological characteristics are found to be maintained through ECE as well as human intervention, the Chilika Lake recorded a substantial increase in fishery, seagrasses, Irrawaddy dolphins, migratory birds, and reduction in weed infestation. This study highlights the importance of historical data collection through a continuous systematic lake monitoring program which would enable understanding the ecosystem functioning and behavior with ECE-induced changing environmental conditions which is also a key component for formulating a sustainable management action plan for lake ecosystems around the globe. © 2022, The Author(s), under exclusive licence to Springer Nature Switzerland AG.</t>
  </si>
  <si>
    <t>2-s2.0-85135886097"</t>
  </si>
  <si>
    <t>10.3390/land11091473</t>
  </si>
  <si>
    <t>https://www.scopus.com/inward/record.uri?eid=2-s2.0-85138836820&amp;doi=10.3390%2fland11091473&amp;partnerID=40&amp;md5=5b47e32ecc895b0f2f2e08c58b9672cb</t>
  </si>
  <si>
    <t>Land subsidence (LS) increases flood vulnerability in coastal areas, coastal plains, and river deltas. The coastal plain of Tabasco (TCP) has been the scene of recurring floods, which caused economic and social damage. Hydrocarbon extraction is the main economic activity in the TCP and could be one of the causes of LS in this region. This study aimed to investigate the potential of differential SAR interferometric techniques for LS detection in the TCP. For this purpose, Sentinel-1 SLC descending and ascending images from the 2018–2019 period were used. Conventional DInSAR, together with the differential interferograms stacking (DIS) approach, was applied. The causes of interferometric coherence degradation were analyzed. In addition, Sentinel-1 GRD images were used for delimitation of areas recurrently affected by floods. Based on the results of the interferometric processing, several subsiding zones were detected. The results indicate subsidence rates of up to −6 cm/yr in the urban centers of Villahermosa, Paraíso, Comalcalco, and other localities. The results indicate the possibility of an influence of LS on the flood vulnerability of the area south of Villahermosa city. They also suggest a possible relationship between hydrocarbon extraction and surface deformation. © 2022 by the authors.</t>
  </si>
  <si>
    <t>2-s2.0-85138836820"</t>
  </si>
  <si>
    <t>10.1038/s41561-022-00980-9</t>
  </si>
  <si>
    <t>https://www.scopus.com/inward/record.uri?eid=2-s2.0-85133568216&amp;doi=10.1038%2fs41561-022-00980-9&amp;partnerID=40&amp;md5=7fa2670496f3f793954ad610cdecfd78</t>
  </si>
  <si>
    <t>The response of coastal barrier islands to relative sea-level rise (SLR) is a long-debated issue. Over centennial and longer periods, regional barrier retreat is generally proportional to the rate of relative SLR. However, over multi-decadal timescales, this simplification does not hold. Field observations along the USA East Coast indicate that barrier retreat rate has at most increased by ~45% in the last ~100 years, despite a concurrent ≥200% increase in SLR rate. Using a coastal evolution model, we explain this observation by considering disequilibrium dynamics—the lag in barrier behaviour with respect to SLR. Here we show that modern barrier retreat rate is not controlled by recent SLR (last decades), but rather by the baseline SLR of the past centuries. The cumulative effect of the baseline SLR is to establish a potential retreat, which is then realized by storms and tidal processes in the following centuries. When SLR accelerates, the potential for retreat is first realized through removal of geomorphic capital. After several centuries, barrier retreat accelerates proportionally to the increase in SLR. As such, we predict a committed coastal response: even if SLR remains at present rates, barrier retreat in response to SLR will accelerate by ~50% within a century. The lag dynamics identified here are probably general, and should be included in predictions of barrier-system response to climate change. © 2022, The Author(s), under exclusive licence to Springer Nature Limited.</t>
  </si>
  <si>
    <t>2-s2.0-85133568216"</t>
  </si>
  <si>
    <t>10.5194/nhess-22-2589-2022</t>
  </si>
  <si>
    <t>https://www.scopus.com/inward/record.uri?eid=2-s2.0-85136912359&amp;doi=10.5194%2fnhess-22-2589-2022&amp;partnerID=40&amp;md5=41d44accf4139fb5a14cca9092433264</t>
  </si>
  <si>
    <t>Transport networks in coastal, urban areas are extremely vulnerable to seismic events, with damage likely due to both ground motions and tsunami loading. Most existing models analyse the performance of structures under either earthquakes or tsunamis, as isolated events. This paper presents a numerical approach that captures the sequential earthquake-tsunami effects on transport infrastructure in a coastal area, taking into consideration the combined strains of the two events. Firstly, the dynamic cyclic loading is modelled, applied to the soil-structure system using a finite-difference approximation to determine the differential settlement, lateral displacement and liquefaction potential of the foundation. Next, using a finite-volume method approach, tsunami wave propagation and flooding potential are modelled. Finally, the hydrostatic and hydrodynamic loads corresponding to the wave elevation are applied to the post-earthquake state of the structure to obtain a second state of deformation. The sequential model is applied to an embankment in Manzanillo, Mexico, which is part of a main urban road</t>
  </si>
  <si>
    <t>10.3390/rs14153647</t>
  </si>
  <si>
    <t>https://www.scopus.com/inward/record.uri?eid=2-s2.0-85137119745&amp;doi=10.3390%2frs14153647&amp;partnerID=40&amp;md5=8f081441f7c4538e4b302f0fc19fcbbe</t>
  </si>
  <si>
    <t>On 26 August 2020, a devastating flash flood struck Charikar city, Parwan province, Afghanistan, causing building damage and killing hundreds of people. Rapid identification and frequent mapping of the flood-affected area are essential for post-disaster support and rapid response. In this study, we used Google Earth Engine to evaluate the performance of automatic detection of flood-inundated areas by using the spectral index technique based on the relative difference in the Normalized Difference Vegetation Index (rdNDVI) between pre- and post-event Sentinel-2 images. We found that rdNDVI was effective in detecting the land cover change from a flash flood event in a semi-arid region in Afghanistan and in providing a reasonable inundation map. The result of the rdNDVI-based flood detection was compared and assessed by visual interpretation of changes in the satellite images. The overall accuracy obtained from the confusion matrix was 88%, and the kappa coefficient was 0.75, indicating that the methodology is recommendable for rapid assessment and mapping of future flash flood events. We also evaluated the NDVIs’ changes over the course of two years after the event to monitor the recovery process of the affected area. Finally, we performed a digital elevation model-based flow simulation to discuss the applicability of the simulation in identifying hazardous areas for future flood events. © 2022 by the authors.</t>
  </si>
  <si>
    <t>2-s2.0-85137119745"</t>
  </si>
  <si>
    <t>10.1007/s11852-022-00865-4</t>
  </si>
  <si>
    <t>https://www.scopus.com/inward/record.uri?eid=2-s2.0-85134978735&amp;doi=10.1007%2fs11852-022-00865-4&amp;partnerID=40&amp;md5=36b4fe57c304055cac175dab1bc21366</t>
  </si>
  <si>
    <t>Climate change is very basic and appears on earth. Climate change has become an issue that must be faced by humans today and in the future. One of the impacts of climate change can be found in coastal areas. Tsunamis and tidal floods repeatedly occur in coastal areas. One of the efforts to overcome sea level rise that causes tsunamis, erosion, and tidal flooding is mangrove forests. This study aims to determine public awareness of the occurrence of tidal flooding and tsunami and to find an easy and inexpensive way to overcome it. This research is integrated using the partial least square (PLS) approach and the coastal vulnerability index (CVI) approach to mangrove forests. The results showed that the awareness and assessment of the community to carry out mangrove forest restoration to overcome disasters caused by climate change must be managed and handled with a co-management approach. © 2022, The Author(s).</t>
  </si>
  <si>
    <t>2-s2.0-85134978735"</t>
  </si>
  <si>
    <t>10.1371/journal.pone.0269741</t>
  </si>
  <si>
    <t>https://www.scopus.com/inward/record.uri?eid=2-s2.0-85135450141&amp;doi=10.1371%2fjournal.pone.0269741&amp;partnerID=40&amp;md5=6cdbfebb1e3ce4257a76524d016edc7a</t>
  </si>
  <si>
    <t>Current estimates of U.S. property at risk of coastal hazards and sea level rise (SLR) are staggering-evaluated at over a trillion U.S. dollars. Despite being enormous in the aggregate, potential losses due to SLR depend on mitigation, adaptation, and exposure and are highly uneven in their distribution across coastal cities. We provide the first analysis of how changes in exposure (how and when) have unfolded over more than a century of coastal urban development in the United States. We do so by leveraging new historical settlement layers from the Historical Settlement Data Compilation for the U.S. (HISDAC-US) to examine building patterns within and between the SLR zones of the conterminous United States since the early twentieth century. Our analysis reveals that SLR zones developed faster and continue to have higher structure density than non-coastal, urban, and inland areas. These patterns are particularly prominent in locations affected by hurricanes. However, density levels in historically less-developed coastal areas are now quickly converging on early settled SLR zones, many of which have reached building saturation. These ""saturation effects""suggest that adaptation polices targeting existing buildings and developed areas are likely to grow in importance relative to the protection of previously undeveloped land.  © 2022 Braswell et al. This is an open access article distributed under the terms of the Creative Commons Attribution License, which permits unrestricted use, distribution, and reproduction in any medium, provided the original author and source are credited.</t>
  </si>
  <si>
    <t>2-s2.0-85135450141"</t>
  </si>
  <si>
    <t>10.1016/j.earscirev.2022.104077</t>
  </si>
  <si>
    <t>https://www.scopus.com/inward/record.uri?eid=2-s2.0-85132720316&amp;doi=10.1016%2fj.earscirev.2022.104077&amp;partnerID=40&amp;md5=4cd8c88341370d146025bbd54787d968</t>
  </si>
  <si>
    <t>We here review in terms of tectono-magmatic setting and Quaternary landscape dynamics what is known about the provenance of Argentine dune fields and their fluvial feeder systems draining the Andean Cordillera. The detrital signatures of these eolian sediments were previously investigated based on either framework petrography and heavy minerals or detrital-zircon geochronology, and their peculiar volcaniclastic nature was long recognized. Compositional variability, however, was only broadly evaluated, and quantitative provenance analysis based on a systematic multimethod approach across the entire region was not carried out so far. For this reason, here we integrate original and previously obtained petrographic, heavy-mineral, and detrital-zircon geochronology data to present the first comprehensive provenance study of dune fields stretching for 1000 km across central Argentina from the Andean piedmont to the Atlantic Ocean. In dune fields along the Andean retroarc basin, sediment composition defines a steady northward decrease in volcanic detritus. This reflects active magmatism in the Southern Volcanic Zone and Payenia province (38°-34°S), in contrast with the ~600-km-long Pliocene-Quaternary magmatic gap in the Pampean flat-slab segment (33°-27°S), where sediment is derived from deeper-seated tectono-stratigraphic levels of the continental arc and uplifted blocks of retroarc-basin basement. In distal Pampean lowlands extending across the bulge and backbulge depozones, instead, sand dunes display notably homogeneous compositional signatures, indicating that detritus was mostly generated north of 34°S and transported by a paleo-Desaguadero trunk river that formed during southward-progressing diachronous uplift of the Sierras Pampeanas since the late Miocene. In contrast with huge African and Arabian deserts that contain multiply recycled quartzose to pure quartzose sand, even very fragile volcanic clasts, plagioclase feldspar, and unstable ferromagnesian minerals are widespread, testifying to largely first-cycle volcanic provenance and only minor effects of mechanical breakdown and chemical weathering in the Pampean Sand Sea. During the Late Pleistocene, after a first southward shift of the Desaguadero trunk river possibly induced by increased water and sediment discharge at the end of the penultimate glacial maximum, tectonic uplift eventually outpaced stream power during the last glacial period. Paleo-rivers were thus forced to shift farther southwards, leading to the formation of an integrated paleo-Desaguadero+Colorado drainage system. During the latest Pleistocene-early Holocene, such a large trunk river fostered the rapid progradation of a wide delta and littoral sand transport all along the shores of the Buenos Aires Province. Climate change and repeated waxing and waning of glaciers through the Quaternary have left a prominent mark on sediment distribution, dominated by fluvial processes during periods of high fluvial discharge but alternating with arid phases characterized by limited transport capacity and vegetation cover, extensive wind deflation of floodplains, and sand accumulation in the dune fields. © 2022 Elsevier B.V.</t>
  </si>
  <si>
    <t>2-s2.0-85132720316"</t>
  </si>
  <si>
    <t>10.1016/j.jafrearsci.2022.104580</t>
  </si>
  <si>
    <t>https://www.scopus.com/inward/record.uri?eid=2-s2.0-85129501062&amp;doi=10.1016%2fj.jafrearsci.2022.104580&amp;partnerID=40&amp;md5=bd83ff9a03bfda6c02fef369c966dea1</t>
  </si>
  <si>
    <t>The Northern Atlantic coastline of Morocco is potentially exposed to tsunamis, like that triggered by the large Lisbon event (November 1st, 1755), also known as the most destructive event in Moroccan history. In this work, we used MIRONE software to simulate tsunami phenomenon in the Southwest Iberian Margin region, combining a series of bathymetric and topographic grid layers with an initial water elevation generated using Mansinha's formulations and assuming an instantaneous seabed movement. For this investigation, we considered four scenarios, associated with four potential seismic sources for the 1755 earthquake located in the Gulf of Cadiz. Thus, for each scenario, we obtained a map showing the results of the simulation (distance traveled, wave displacement speed, evolution of wave heights from offshore to coastal areas and arrival travel times). These maps showed that cities like Mohammedia, Casablanca and El-Jadida, were important stakes that could be impacted by a tsunami originating from these sources. For these cities, we thus determined the traveling water columns and the inland distances that could be reached by this inundation. The results show that these cities are potentially threaten by maximum water elevation exceeding 20 m in some locations, with a worse scenario characterized by flow depth and inundation distance ranging from 6 m to 10, and 1.8 km–4.6 km, respectively. These results should also be useful for the authorities, emergency, and decision planners to develop tsunami protection and risk awareness among the coastal communities of Morocco. © 2022 Elsevier Ltd</t>
  </si>
  <si>
    <t>2-s2.0-85129501062"</t>
  </si>
  <si>
    <t>10.3390/rs14174409</t>
  </si>
  <si>
    <t>https://www.scopus.com/inward/record.uri?eid=2-s2.0-85137885455&amp;doi=10.3390%2frs14174409&amp;partnerID=40&amp;md5=c684ec7c0b0a9ade5c80853a12007b8c</t>
  </si>
  <si>
    <t>Coastal zones are considered to be highly vulnerable to the effects of climate change, such as erosion, flooding, and storms, including sea level rise (SLR). The effects of rising sea levels endanger several nations, including Indonesia, and it potentially affects the coastal population and natural environment. Quantification is needed to determine the degree of vulnerability experienced by a coast since measuring vulnerability is a fundamental phase towards effective risk reduction. Therefore, the main objective of this research is to identify how vulnerable the coastal zone of Bali Province by develop a Coastal Vulnerability Index (CVI) of areas exposed to the sea-level rise on regional scales using remote sensing and Geographic Information System (GIS) approaches. This study was conducted in Bali Province, Indonesia, which has a beach length of ~640 km, and six parameters were considered in the creation to measure the degree of coastal vulnerability by CVI: geomorphology, shoreline change rate, coastal elevation, sea-level change rate, tidal range, and significant wave height. The different vulnerability parameters were assigned ranks ranging from 1 to 5, with 1 indicating the lowest and 5 indicating the highest vulnerabilities. The study revealed that about 138 km (22%) of the mapped shoreline is classified as being at very high vulnerability and 164 km (26%) of shoreline is at high vulnerability. Of remaining shoreline, 168 km (26%) and 169 km (26%) are at moderate and low risk of coastal vulnerability, respectively. This study outcomes can provide an updated vulnerability map and valuable information for the Bali Province coast, aimed at increasing awareness among decision-makers and related stakeholders for development in mitigation and adaptation strategies. Additionally, the result may be utilized as basic data to build and implement appropriate coastal zone management. © 2022 by the authors.</t>
  </si>
  <si>
    <t>2-s2.0-85137885455"</t>
  </si>
  <si>
    <t>10.1111/bre.12668</t>
  </si>
  <si>
    <t>https://www.scopus.com/inward/record.uri?eid=2-s2.0-85128421375&amp;doi=10.1111%2fbre.12668&amp;partnerID=40&amp;md5=2bd3d87f27a37ac43adcd94c5d85aa8c</t>
  </si>
  <si>
    <t>Characterization of groundwater aquifers and hydrocarbon reservoirs requires an understanding of the distribution and connectivity of subsurface sandbodies. In deltaic environments, distributary channel networks serve as the primary conduits for water and sediment. Once these networks are buried and translated into the subsurface, the coarse-grained channel fills serve as primary conduits for subsurface fluids such as water, oil or gas. The temporal evolution of channels on the surface therefore plays a first-order role in the 3D permeability and connectivity of subsurface networks. Land surface imagery is more broadly available than topographic or subsurface data, and time-series imagery of river networks can hold useful information for constraining the shallow subsurface. However, these reconstructions require an understanding of the degree to which channel bathymetry and river kinematics affect connectivity of subsurface sandbodies. Here, we present a novel method for building synthetic cross sections using overhead images of an experimental delta. We use principal components analysis to extract river networks from surface imagery, then couple this with an inverse-CDF method to estimate channel bathymetry, to generate a time-series of synthetic delta topography. This synthetic topography is then transformed, accounting for deposition and subsidence, to produce synthetic stratigraphy that differentiates coarse-grained channel fill from overbank and offshore deposition. We find that large-scale subsurface architecture is relatively insensitive to details of channel bathymetry, but instead is primarily controlled by channel location and kinematics. We analyse the connectivity of sand bodies and the geometries of barriers to flow and find that periods of rapid sea-level rise have more variability in sand body connectivity. We also find that barrier width decreases downstream during all sea-level phases. Our method generates synthetic stratigraphy that closely resembles the large-scale architecture and 2-dimensional connectivity of the real stratigraphy built during the experiment it was based on. We anticipate that it will be broadly applicable to other experimental and field-scale scenarios. © 2022 The Authors. Basin Research published by International Association of Sedimentologists and European Association of Geoscientists and Engineers and John Wiley &amp; Sons Ltd.</t>
  </si>
  <si>
    <t>2-s2.0-85128421375"</t>
  </si>
  <si>
    <t>10.1089/env.2020.0075</t>
  </si>
  <si>
    <t>https://www.scopus.com/inward/record.uri?eid=2-s2.0-85137303208&amp;doi=10.1089%2fenv.2020.0075&amp;partnerID=40&amp;md5=0c4ce57f4b49cd089c900fd90b1259b9</t>
  </si>
  <si>
    <t>Reckless construction and overextraction of resources have placed tremendous stress on the Sultanate of Oman's coastal ecosystems at Al-Batinah. The rate of sea level rise (SLR) intensifies under the multiple effects of environmental and social pressure. A projected 2 m SLR, for example, would inundate 200 km2 of land and impact the Sultanate's entire socioeconomic growth cycle and coastal ecology. The coastal land-use impacts, calculated through Landsat satellite images and census data, are used to explain the effect of SLR on coastal land uses and ecosystems. The Sultanate of Oman's comprehensive coastal zone management (CZM) planning and practices have limitations when seeking to reduce the burden on coastal system-linked socioeconomic growth and environmental issues. The study documented in this article addresses the challenges of the Sultanate's CZM practices and proposes an integrated coastal zone sustainability management framework.  © Mary Ann Liebert, Inc.</t>
  </si>
  <si>
    <t>2-s2.0-85137303208"</t>
  </si>
  <si>
    <t>10.1016/j.rsase.2022.100795</t>
  </si>
  <si>
    <t>https://www.scopus.com/inward/record.uri?eid=2-s2.0-85132237799&amp;doi=10.1016%2fj.rsase.2022.100795&amp;partnerID=40&amp;md5=5a051ee0c74ba1a88b495f9a0a0bf149</t>
  </si>
  <si>
    <t>Remotely sensed elevation data obtained from high-resolution Digital Elevation Models (DEMs) is one of the main sources of data required for environmental modeling and remediation especially when it has to do with identification of erosion sites and flood-prone areas. The focus of this study is to evaluate four recently improved and freely available high-resolution elevation data obtained from the Advanced Land Observing Satellite World 3D Digital Surface Model version 2.1 (ALOS W3D30), TerraSAR-X add-on for Digital Elevation Measurements (TanDEM-X 90), Multi-Error-Removed Improved-Terrain (MERIT) DEM and EarthEnv-DEM90 in order to determine the most suitable DEM that could be used as an input data in a multi-criteria environmental modeling to identify erosion sites and flood-prone areas in data limited regions such as Southeastern Nigeria. Intensive performance evaluation of these four DEMs was rigorously carried out using statistical and surface analyses tools (Root-Mean-Square Error (RMSE), Land Use/Land Cover, slope, and contour maps). The obtained RMSE range from 5.49 m to 19.79 m depending on the surface of contact. Slope values range from 0.00 to 89.49° depicting the complexity and ruggedness of the terrain. Analyses of the obtained RMSE showed that EarthEnv-DEM90 is more accurate (in terms of RMSE value) than the other three DEMs but further terrain analyses using slope and contour maps generated from each of the DEMs revealed that ALOS W3D30 represent the topography of the terrain (terrain variation) better than the other three DEMs. This study demonstrates the importance of carrying out rigorous and intensive performance evaluation of DEMs using many terrain parameters or attributes in order to avoid large errors that may be contributed by the use of a DEM in applications such as environmental modeling and remediation. © 2022 Elsevier B.V.</t>
  </si>
  <si>
    <t>2-s2.0-85132237799"</t>
  </si>
  <si>
    <t>10.1016/j.gloplacha.2022.103923</t>
  </si>
  <si>
    <t>https://www.scopus.com/inward/record.uri?eid=2-s2.0-85136095632&amp;doi=10.1016%2fj.gloplacha.2022.103923&amp;partnerID=40&amp;md5=d5343f7bdfad02e02e24139853895bf7</t>
  </si>
  <si>
    <t>Owing to intense glacial retreat and melting, it is anticipated that numerous glacial lakes will be formed in the next few decades. However, their development and distribution patterns in the Tibetan Plateau and its surroundings still need to be elucidated. In this study, a published glacier ice thickness distribution dataset was employed to fully detect overdeepened glacier beds as potential glacial lakes. We selected and expanded four morphological metrics to determine the formation probability of potential glacial lakes: surface slope, break in slope, lake area, and position on the glacier. The results revealed that 15,826 potential glacial lakes with areas &gt;0.02 km2 exist in the Tibetan Plateau and its surroundings, covering an area of 2253.95 ± 1291.29 km2 with a water volume of 60.49 ± 28.94 km3 that would contribute to an equivalent sea level rise of 0.16 ± 0.08 mm. The experimental comparison and uncertainty assessment for the overdeepening processing showed that the different extraction methods and basic digital elevation models used could lead to non-negligible errors in the results (at least ±30%), which were ignored in previous studies, contributing to major divergences between the several current inventories of potential glacial lakes in the plateau. Notably, approximately 90% of the total area of the potential glacial lakes is concentrated in the lower half of the individual glaciers in the Tibetan Plateau and its surroundings. &gt;70% of the potential glacial lakes and contemporary glacial lakes in this region were found to be concentrated within the 4000–5800 m elevation range. Moreover, the study identified 5361 potential glacial lakes with high or very high exposure probabilities, and their distribution was mostly determined by regional glacier resources. However, the numbers and sizes of some potential glacial lakes that are found in the Karakoram region are considered to be exaggerated because of the presence of numerous surge-type glaciers, which have not been discussed in previous studies. These results can improve our understanding of future glacial lake formation and distribution in the Tibetan Plateau and its surroundings and have implications for further implementation of effective prevention, mitigation, and adaptation measures for glacial lake outburst floods and water security. © 2022 The Authors</t>
  </si>
  <si>
    <t>2-s2.0-85136095632"</t>
  </si>
  <si>
    <t>10.1117/1.JRS.16.034509</t>
  </si>
  <si>
    <t>https://www.scopus.com/inward/record.uri?eid=2-s2.0-85177190202&amp;doi=10.1117%2f1.JRS.16.034509&amp;partnerID=40&amp;md5=d51c7d4e78264acac058096842d248b1</t>
  </si>
  <si>
    <t>Coastal areas are constantly changing and are influenced by a variety of variables, including environmental, ecological, geological, and anthropological factors. The plethora of coastal change has created substantial challenges for coastal land infrastructures, animal habitat, vegetation conservation, and monitoring. It is important to track these changes, monitor, predict, and preserve the future of coastal areas. Shoreline mapping has mostly concentrated on two-dimensional (2D) distance changes along the coast due to the lack of coastal elevational data and the precise information required to construct the three-dimensional (3D) surface. Modern technology has covered the gaps by developing a range of sensors and algorithms for data analysis on 3D coastal erosion and accretion changes throughout the beach topography, which has become crucial. The ultimate goal is to develop a cost-effective mapping procedure for an area that includes a high-resolution mapping system that abstracts evidence of coastal areas for long-term 2D change rates from 1953 to 2020 and short-term 3D volumetric changes of sand erosion and accretion rates from 2018 to 2020. This would be accomplished through Unmanned Aircraft Systems Mapping, which employs digital photogrammetry principles including comprehensive geospatial information systems spatial data and linear regression analysis to investigate massive quantities of data. The feasibility of this methodology was applied to the Jupiter Inlet Lighthouse Outstanding Natural Area in Jupiter, Florida, a study coastal area that had receded almost 27 m in the last 67 years. The outcomes of a short-term coastal analysis quantify the amount of soil erosion and accretion that occurred along the shore over two years as a result of rising sea levels. The long-term change analysis indicates how much sand was eroded each year as a result of several variables affecting shoreline changes, which will help the land management team in developing new sustainable policies for future coastal environmental conservation.  © 2022 Society of Photo-Optical Instrumentation Engineers (SPIE).</t>
  </si>
  <si>
    <t>2-s2.0-85177190202"</t>
  </si>
  <si>
    <t>10.5194/nhess-22-2879-2022</t>
  </si>
  <si>
    <t>https://www.scopus.com/inward/record.uri?eid=2-s2.0-85140293597&amp;doi=10.5194%2fnhess-22-2879-2022&amp;partnerID=40&amp;md5=9c9f1e4b5ef7e1ad03a53953538c5ccd</t>
  </si>
  <si>
    <t>Nature-based solutions are increasingly suggested for mitigating coastal flood risks in the face of climate change. Managed realignment (MR), a coastal adaptation strategy that entails the landward realignment of coastal defences to restore coastal habitats (often salt marshes), plays a pivotal role in implementing nature-based solutions in the coastal zone. Across Europe, more than 130 sites have been implemented so far, often to harness their potential to mitigate coastal flood risks while restoring coastal habitats (ABPmer, 2021). However, local communities often oppose MR projects, not only because they are seen as returning hard-won land to the sea but also because their coastal protection function is less trusted than traditional hard engineering techniques. This scepticism has foundation. The proclaimed coastal protection function of MRs is based on a broad body of literature on the protective function of natural salt marshes. However, contrary to natural salt marshes, MRs are often semi-enclosed tidal basins with narrow breaches to the open sea/estuary. Recent studies indicate that MR-internal hydrodynamics may significantly reduce their coastal protection, depending on their engineering design. To successfully implement MR, a much-improved scientific knowledge base is needed, as well as a process for addressing community concerns and genuinely engaging stakeholders in decision-making beyond the usual obligatory consultancy approach. Here, we propose the co-production of scientific knowledge with local communities and stakeholders to optimize the success of coastal nature-based solutions and promote community acceptance. Copyright:  © 2022 Mark Schuerch et al.</t>
  </si>
  <si>
    <t>2-s2.0-85140293597"</t>
  </si>
  <si>
    <t>10.1007/s10661-022-10177-7</t>
  </si>
  <si>
    <t>https://www.scopus.com/inward/record.uri?eid=2-s2.0-85140095405&amp;doi=10.1007%2fs10661-022-10177-7&amp;partnerID=40&amp;md5=bfb02d742d4dd10dc014b5109df7899a</t>
  </si>
  <si>
    <t>Low-lying coastal environments are highly dynamic and sensitive to natural as well as anthropogenic perturbations. Climate change, sea level rise, storms and tsunamis are the natural phenomena that affect the deltaic coasts in Southeast Asia in general and Vietnam in particular. The effects of these phenomena can be exacerbated by human activities such as mangrove deforestation, aquaculture and infrastructure development. Conversely, the low-lying coastal areas are important in the economic development of Southeast Asian countries. In the Vietnamese Mekong Delta, coastal areas have been affected by a number of factors, such as climate change, sea level rise, aquaculture, pollution and tourism-related activities in recent decades. The present study investigated shoreline changes, expansion of aquaculture ponds, soil salinity changes and salinity intrusion in the river systems along the coastal areas of Ben Tre Province in the Vietnamese Mekong Delta between 1998 and 2020 using satellite imagery and field data. Variations in erosion and accretion were found to be not unique along the coast of Ben Tre. There was a rapid expansion of aquaculture ponds between 1998 and 2015 and a slight decline since then. Soil salinity has been increased between 1998 and 2020</t>
  </si>
  <si>
    <t>10.5194/npg-29-301-2022</t>
  </si>
  <si>
    <t>https://www.scopus.com/inward/record.uri?eid=2-s2.0-85135636527&amp;doi=10.5194%2fnpg-29-301-2022&amp;partnerID=40&amp;md5=8e6b7df85fe438dc49819b8c39696095</t>
  </si>
  <si>
    <t>Flood forecasting based on hydrodynamic modeling is an essential non-structural measure against compound flooding across the globe. With the risk increasing under climate change, all coastal areas are now in need of flood risk management strategies. Unfortunately, for local water management agencies in developing countries, building such a model is challenging due to the limited computational resources and the scarcity of observational data. We attempt to solve this issue by proposing an integrated hydrodynamic and machine learning (ML) approach to predict water level dynamics as a proxy for the risk of compound flooding in a data-scarce delta. As a case study, this integrated approach is implemented in Pontianak, the densest coastal urban area over the Kapuas River delta, Indonesia. Firstly, we build a hydrodynamic model to simulate several compound flooding scenarios. The outputs are then used to train the ML model. To obtain a robust ML model, we consider three ML algorithms, i.e., random forest (RF), multiple linear regression (MLR), and support vector machine (SVM). Our results show that the integrated scheme works well. The RF is the most accurate algorithm to model water level dynamics in the study area. Meanwhile, the ML model using the RF algorithm can predict 11 out of 17 compound flooding events during the implementation phase. It could be concluded that RF is the most appropriate algorithm to build a reliable ML model capable of estimating the river's water level dynamics within Pontianak, whose output can be used as a proxy for predicting compound flooding events in the city.  © 2022 Joko Sampurno et al.</t>
  </si>
  <si>
    <t>2-s2.0-85135636527"</t>
  </si>
  <si>
    <t>10.1029/2021JC018206</t>
  </si>
  <si>
    <t>https://www.scopus.com/inward/record.uri?eid=2-s2.0-85136983221&amp;doi=10.1029%2f2021JC018206&amp;partnerID=40&amp;md5=ac82a6bda3cce7ee79983f161bcc2c96</t>
  </si>
  <si>
    <t>Saltwater intrusion in the Changjiang Estuary occurs in winter and dry season, which may affect drinking water supply in Shanghai. An atypical saltwater intrusion event, observed under high river discharge (&gt;20,000 m3/s) in October 2018, coincided with the passage of super typhoon Kong-rey. The response of the estuarine salt field is reproduced here with a numerical model for analysis with a Eulerian framework. Model results show that saltwater intrusion was mainly due to the landward advection of salt (∼260 t/s), which was driven by the storm surge (∼0.4 m) and landward Ekman transport under typhoon winds. The sheared salt flux (∼145 t/s) significantly contributes to the total landward flux, especially when the surge recedes after the typhoon has passed. Northwesterly winds increased vertical shear and stratification during the event. The maximum saltwater intrusion occurred about a day after the typhoon passage, and the salinity at the freshwater reservoir intake exceeds the local drinking standard of 0.45 psu. A numerical experiment shows that if Kong-rey had passed during spring tide, the saltwater intrusion would have been weaker due to a stronger northward transport near the coast and a landward transport in the southern channels. © 2022. American Geophysical Union. All Rights Reserved.</t>
  </si>
  <si>
    <t>2-s2.0-85136983221"</t>
  </si>
  <si>
    <t>10.5327/Z2176-94781244</t>
  </si>
  <si>
    <t>https://www.scopus.com/inward/record.uri?eid=2-s2.0-85160629022&amp;doi=10.5327%2fZ2176-94781244&amp;partnerID=40&amp;md5=8033d8541699bd23e41e41a7a9bf6b35</t>
  </si>
  <si>
    <t>This study consists of determining the physical vulnerability of the region of São Miguel do Gostoso and Pedra Grande (in northeastern Brazil) before and after wind farm installation. To perform such an investigation, an analysis of the coastline vulnerability of the aforementioned area was conducted, considering changes occurred in the past 30 years and spatially presented separately. The Natural Vulnerability Index (NVI) and Environmental Vulnerability Index (EVI) were calculated through analysis using thematic maps of geomorphology, geology, soils, vegetation, and land use and occupation variables, with their dimensionality and subjectivity determined by the execution of the hierarchical analytical process (HAP) and principal component analysis (PCA). High and very high vulnerability together showed proportions between 18 and 30% in all NVI and EVI scenarios. The Coastal Vulnerability Index (CVI) was defined using two methodologies for the three scenarios of sea level rise established by the Intergovernmental Panel on Climate Change (IPCC): the first one includes six physical or hydrodynamic variables, and the second includes, beyond these, three more variables of anthropogenic action. In all of the applied scenarios, the medium and high vulnerabilities dominated all along the coastline, with the second method being the most optimistic. We can conclude that the installation of the wind farm complex contributed to the increase of the vulnerability of the local ecosystems regarding the three investigated indices</t>
  </si>
  <si>
    <t>10.3390/earth3030050</t>
  </si>
  <si>
    <t>https://www.scopus.com/inward/record.uri?eid=2-s2.0-85139971594&amp;doi=10.3390%2fearth3030050&amp;partnerID=40&amp;md5=6f143c89001d23031d0337ede5d2bf7b</t>
  </si>
  <si>
    <t>Information on the relationship between rainfall intensity, duration and accumulation frequency or return period (IDF) is commonly utilized in the design and management of urban drainage systems. Can Tho City, located in the Vietnamese Mekong Delta, is a city which has recently invested heavily in upgrading its stormwater drainage systems in the hope of preventing reoccurring flood events. Yet, much of these works were designed based on obsolete and outdated IDF rainfall curves. This paper presents an updated IDF curve for design rainfall for Can Tho City. For each duration and designated return period, a cumulative distribution function (CDF) was developed using the Pearson III, Log-Pearson III, and Log-Normal distribution functions. In order to choose the best IDF rainfall curve for Can Tho City, the CDF rainfall curve and empirical formulas used in Vietnam and Asia (Vietnamese standard 7957:2008, Department of Hydrology, Ministry of Transportation, Talbot, Kimijima, and Bermard) were compared. The goodness of fit between the IDF relationship generated by the frequency analysis (CDF curve), and that predicted by the IDF empirical formulas was assessed using the efficiency index (EI), and the root mean squared error (RMSE). The IDF built from Vietnam’s standard TCVN 7957:2008 with new parameters (A = 9594, C = 0.5, b = 26, n = 0.96) showed the best performance, with the highest values of EI (0.84 (Formula presented.) EI (Formula presented.) 0.93) and the lowest values of RMSE (2.5 (Formula presented.) RMSE (Formula presented.) 3.2), when compared to the other remnants. © 2022 by the authors.</t>
  </si>
  <si>
    <t>2-s2.0-85139971594"</t>
  </si>
  <si>
    <t>10.2112/JCOASTRES-D-22-00006.1</t>
  </si>
  <si>
    <t>https://www.scopus.com/inward/record.uri?eid=2-s2.0-85139439709&amp;doi=10.2112%2fJCOASTRES-D-22-00006.1&amp;partnerID=40&amp;md5=366fc11b62071b548f60d45f1005dfa7</t>
  </si>
  <si>
    <t>Prediction of the long-term shoreline change under the effect of natural and anthropogenic factors is a fundamental goal
for coastal managers. This paper presents a simple model for predicting the shoreline change for the Agadir and
Taghazout coasts, which consist of several sandy beaches, in the horizons 2050 and 2100; this coastal area plays a vital
economic role in this region. The anticipation of its protection against erosion is necessary in view of the effects of climate
change, and it will preserve its potential for tourism and urban development in the long term through the establishment
of the construction setback line. The approach proposed here combines the long-term extrapolations of historical
shoreline changes (1969–2020) in the future, and the estimate of the shoreline retreat due to sea level rise (SLR) by using
Bruun’s rule, using the severe RCP 8.5 scenario, and taking into account the contribution of vertical land movements.
The model used has been calibrated through incorporating a correction factor (F), calculated by comparing observed and
predicted data over a long period. The analysis of the predictions results provided in this work showing a potential risk of
erosion threatening all seaside tourist and urban infrastructures along this coast. The average retreat is estimated at 12
m by 2050 and 51 m by 2100.</t>
  </si>
  <si>
    <t>10.1029/2022JB024192</t>
  </si>
  <si>
    <t>https://www.scopus.com/inward/record.uri?eid=2-s2.0-85142107060&amp;doi=10.1029%2f2022JB024192&amp;partnerID=40&amp;md5=0ca39bbf86fb9a91ac10a1f548200689</t>
  </si>
  <si>
    <t>We investigate the relationship between the long-term (Quaternary) interplate coupling and the short-term geodetically derived interseismic coupling at the Central Ecuador subduction zone. At this nonaccretionary margin, the Cabo Pasado shelf promontory and coastal area are associated with two inter-plate geodetically locked patches. The deepest patch ruptured co-seismically during the Mw7.8-2016 Pedernales earthquake, while the shallowest underwent dominantly after-slip. Marine geophysical and chronostratigraphic data allow reconstructing the Quaternary tectonic evolution of the shelf promontory and substantiating variation of the long-term inter-plate coupling that led to the geodetically locked patches. Prior to ∼1.8 Ma, the outer-wedge inter-plate coupling was strong enough to activate trench-subparallel strike-slip faults. Then, between ∼1.8 and 0.79 Ma, shortening and uplift affected the shelf promontory, implying a locally increased inter-plate coupling. After a short, post-0.79 Ma period of subsidence, shortening and uplift resumed denoting a high inter-plate coupling that endured up to the present. The synchronicity of the structural evolution of the shelf promontory with the subduction chronology of two reliefs of the Carnegie Ridge crest suggests that the locked patches are caused by a geometrical resistance to subduction that propagates landward causing permanent deformation. In 2016, the deepest subducted relief localized stress accumulation and high seismic slip, while the shallowest relief, which is associated with a weakened outer-wedge, prevented updip rupture propagation. Thus, at nonaccretionary margins, active outer-wedge strike-slip faults might be considered a proxy of near-trench coupling, and subducted relief a cause of plate coupling but an obstacle to the tsunami genesis when the relief is shallow. © 2022. The Authors.</t>
  </si>
  <si>
    <t>2-s2.0-85142107060"</t>
  </si>
  <si>
    <t>Environmental Policy and Governance</t>
  </si>
  <si>
    <t>10.1002/eet.1980</t>
  </si>
  <si>
    <t>https://www.scopus.com/inward/record.uri?eid=2-s2.0-85126036377&amp;doi=10.1002%2feet.1980&amp;partnerID=40&amp;md5=1ea371be5ee593ae1fb09fb60e53ea9b</t>
  </si>
  <si>
    <t>The operations of large hydropower dams in the Mekong basin, while posing detrimental transboundary effects downstream, are not fully recognised in Vietnamese government policies, especially at the regional scale. This study adopts the concept of institutional fit to investigate policy gaps in addressing the transboundary water challenges characterised by falling floodwater flows and accelerating saltwater intrusion in the Vietnamese Mekong Delta. Based on interviews with key stakeholders (including central and provincial government officials, environmental experts, and academics) as well as desk reviews of policy documents, we argue that, while the transboundary water repercussions are increasingly evident on the ground, they are not adequately factored in water policies and strategic development planning for the delta. This study suggests that failure to incorporate co-evolving effects of climate change and Mekong-wide hydropower dynamics into local water governance will cause institutional constraints to tackle water stressors (too much or too little water) over the long term. Achieving institutional fit will therefore help align the national water policy framework with local development strategies and reduce policy-practice gaps at the delta scale. To this end, two key aspects need to be considered: first, how, and in which forms, innovative management decisions and water governance policies can be effectively undertaken towards securing the living delta and its resilience to present and future environmental risks</t>
  </si>
  <si>
    <t>10.5751/ES-13393-270340</t>
  </si>
  <si>
    <t>https://www.scopus.com/inward/record.uri?eid=2-s2.0-85139155290&amp;doi=10.5751%2fES-13393-270340&amp;partnerID=40&amp;md5=c6dd8ab9ae7497d863678393ffa31ba4</t>
  </si>
  <si>
    <t>Story-based futures serve an important role in climate change scenario development. Stories are particularly useful in exploring sea level rise possibilities, since we know many coastal areas are specifically vulnerable to accelerating rises in sea level. This discrete change in coastline is different from most other climate change impacts, and offers a clear basis for scientifically informed, future scenarios. We demonstrated this with a creative world-building effort set in Lagos, Nigeria in the year 2199. Further, we employed story-based scenario development, and created a learning-oriented serious game that allows users to experience a future Lagos in an open-ended, text-based adventure style. This collaborative process blended scientific research, story-telling, and artistic co-creation to iteratively construct the game “Lagos2199”. A pilot-use case of Lagos2199 is documented herein, with preliminary survey results from the student users. We present two core insights. First, we demonstrate how scientific projections regarding sea level rise can be leveraged as an entry point for world-building and scenario development of the future. Second, we show that such a scenario can be transformed into an immersive, story-based serious game to creatively communicate possible futures. Providing the next generation of citizens with fluency in both climate change impacts and how society will interact with such impacts is critical for providing adaptive capacity over the coming decades and centuries of accelerating global change. © 2022 by the author(s). Published here under license by the Resilience Alliance.</t>
  </si>
  <si>
    <t>2-s2.0-85139155290"</t>
  </si>
  <si>
    <t>Journal of Landscape Ecology(Czech Republic)</t>
  </si>
  <si>
    <t>10.2478/jlecol-2022-0009</t>
  </si>
  <si>
    <t>https://www.scopus.com/inward/record.uri?eid=2-s2.0-85145585126&amp;doi=10.2478%2fjlecol-2022-0009&amp;partnerID=40&amp;md5=14aa6ff5f572a200313df01ef8a3b97b</t>
  </si>
  <si>
    <t>Greater NOIDA evolved from 1991 with 101 villages to 2020 with 293 villages. This is an ideal case of rural to urban transformation in the immediate past. This transformation led to a decrease in recharging natural surfaces and an increase in impermeable surfaces. Along with the reduction in recharge areas, an increase in population has necessitated more and more extraction of groundwater resulting in an imbalance of water extraction and recharge. The result is depletion of groundwater levels in this area. The area is part of the wide Indo-Gangetic alluvium with sand, silt and clay layers resting on quartzite's of Delhi Super Group. Geomorphological map prepared using digital elevation models of the area shows older and younger alluvial plains and active flood plains of the river Hindan. Time series analysis of key land use land cover classes shows that recharge areas were reduced from 77 % to 30 % from 2005 to 2019 and impervious surfaces have increased from 19 % to 65 % for the same period. Aquifers of the area are both phreatic and semi-confined. The aquifer parameters estimated through step drawdown test and long duration aquifer performance test indicates that the average coefficient of transmissivity of the area is 1752 m2/day and the average coefficient of storage is 4.84 × 10-4. Discharge of the wells shows a yield of 8 to 16 lps for a drawdown of 3 to 6 m. An attempt has been made to know the behaviour of groundwater levels during the same period as that of land use land cover. The results indicate a 74 % depletion in groundwater levels with an average annual depletion of 21 %. An interrelationship between urban growth and groundwater levels has been established in this study. This analysis indicates that as agriculture declined water levels also depleted and have a positive correlation of 0.852. On the contrary, as the built-up increased water level has depleted hence have a negative relationship with a correlation coefficient of -0.851. To make it a sustainable resource, these overexploited aquifers need careful participatory management by communities, Scientists, and policymakers.  © 2022, Kumar A. et al.</t>
  </si>
  <si>
    <t>2-s2.0-85145585126"</t>
  </si>
  <si>
    <t>10.1007/s13412-022-00762-0</t>
  </si>
  <si>
    <t>https://www.scopus.com/inward/record.uri?eid=2-s2.0-85129569123&amp;doi=10.1007%2fs13412-022-00762-0&amp;partnerID=40&amp;md5=9bce1fd35cc432b19f717818ea874c4f</t>
  </si>
  <si>
    <t>The discussion of adaptation to climate change in coastal areas has focused on short-term risk reduction and climate-proofing, but there is growing recognition that—at some point in the future—relocation to less vulnerable geographical areas will become necessary for large numbers of residents in many coastal communities. Spontaneous relocations that occur after catastrophic events can entail high costs, both for those who resettle elsewhere and for the remaining community. Managed retreat attempts to reduce such costs, thereby facilitating the relocation process. Property buyouts, the most prominently discussed policy tool for managed retreat, present significant challenges in terms of equity, timing, finance, and scale. We discuss innovation in buyout policy that allows residents to remain in their homes as renters after being bought out. We develop the basic structure of such a policy and show the pathways through which it can help to finance buyouts, harmonize public and private decision-making, and manage the timing of community transition. We also recommend funding mechanisms and other details to overcome the substantial barriers to implementation. Although buyouts with rentbacks will require institutional innovation in order to serve as an effective policy framework, the policy has the potential to improve social, economic, and environmental outcomes from the eventual unfortunate but necessary migration away from coastal areas. © 2022, The Author(s).</t>
  </si>
  <si>
    <t>2-s2.0-85129569123"</t>
  </si>
  <si>
    <t>https://www.scopus.com/inward/record.uri?eid=2-s2.0-85140239288&amp;partnerID=40&amp;md5=c863b9d5c1d5340dc4ad10208a811d4d</t>
  </si>
  <si>
    <t>Typically, the stratigraphic record of syn-eruptive fluvial successions is a pyroclastic-rich one. It includes an alternation of braided channel deposits and sheet-like floodplain strata, in which the occurrence of paleosols with in situ trees and primary pyroclastic deposits is common. The participation of facies formed from sediment-laden flows is also a conspicuous feature in these successions. Nevertheless, the disturbances occurred in the chilean Blanco River in 2008, as a consequence of the large tephra influx from the Chaitén Volcano eruption, result in discrepancies with the mentioned conceptual background including the plan-view form and filling of channels, and lateral compositional changes along the river. These discrepancies would response to local conditions such as precipitation, vegetation, topography, and type and amount of available sediment. Furthermore, the connection between the Blanco River and the Pacific Ocean, adds an additional feature to syn-eruptive fluvial successions, represented by associated delta plain deposits composed of volcaniclastic sands. © 2022 Asociacion Argentina de Sedimentologia. All rights reserved.</t>
  </si>
  <si>
    <t>2-s2.0-85140239288"</t>
  </si>
  <si>
    <t>Economic Analysis and Policy</t>
  </si>
  <si>
    <t>10.1016/j.eap.2022.04.015</t>
  </si>
  <si>
    <t>https://www.scopus.com/inward/record.uri?eid=2-s2.0-85130813130&amp;doi=10.1016%2fj.eap.2022.04.015&amp;partnerID=40&amp;md5=01b4be60ec2f1434f327dd018b558199</t>
  </si>
  <si>
    <t>This paper examines public preferences for developing sponge parks using blue/green infrastructure in Can Tho city, the biggest and fast-growing city in the Vietnamese Mekong Delta. Particularly, the paper assesses the economic value associated with the provision of a set of ecosystem services (flood control, recreational activities, biodiversity) and ecosystem disservices (pest abundance) provided by blue/green infrastructure using a discrete choice experiment. Results indicated that flood control is the most highly valued ecosystem service, followed by recreation and biodiversity. Household willingness to pay for flood control-related benefits is higher than the willingness to pay for other ecosystem services and disservices. Results further suggest that overlooking the existence of ecosystem disservices generated by the installation of blue/green infrastructure measures, such as sponge parks, could lead to the overestimation of welfare effects. This is the first study to account for the value of potential ecosystem disservices associated with blue/green infrastructure in the context of developing countries. It is suggested that these policies should be designed in a way to strengthen cities’ resilience and deliver the conditions needed to improve human wellbeing, while minimising the effects of welfare-reducing elements. Future research conducting environmental valuation studies should integrate both ecosystem services and disservices in order to generate policy recommendations that improve local communities’ wellbeing. © 2022 Economic Society of Australia, Queensland</t>
  </si>
  <si>
    <t>2-s2.0-85130813130"</t>
  </si>
  <si>
    <t>10.3390/quat5030034</t>
  </si>
  <si>
    <t>https://www.scopus.com/inward/record.uri?eid=2-s2.0-85138737052&amp;doi=10.3390%2fquat5030034&amp;partnerID=40&amp;md5=673a84c0792fbf639f369ac0525279f5</t>
  </si>
  <si>
    <t>Event deposits in lake sediments provide invaluable chronicles of geodynamic and climatic natural hazards on multi-millennial timescales. Sediment archives are particularly useful for reconstructing high-impact, low-frequency events, which are rarely observed in instrumental or historical data. However, attributing a trigger mechanism to event deposits observed in lake sediments can be particularly challenging as different types of events can produce deposits with very similar lithological characteristics, such as turbidites. In this review paper, we summarize the state of the art on event deposits in paleolimnology. We start by describing the sedimentary facies typical of floods, glacial lake outburst floods, avalanches, hurricanes, earthquakes, tsunamis, volcanic eruptions, and spontaneous delta collapses. We then describe the most indicative methods that can be applied at the scale of lake basins (geophysical survey, multiple coring) and on sediment cores (sedimentology, inorganic and organic geochemistry, biotic approach). Finally, we provide recommendations on how to obtain accurate chronologies on sediment cores containing event deposits, and ultimately date the events. Accurately identifying and dating event deposits has the potential to improve hazard assessments, particularly in terms of the return periods, recurrence patterns, and maximum magnitudes, which is one of the main geological challenges for sustainable worldwide development. © 2022 by the authors.</t>
  </si>
  <si>
    <t>2-s2.0-85138737052"</t>
  </si>
  <si>
    <t>10.1016/j.jenvman.2022.115079</t>
  </si>
  <si>
    <t>https://www.scopus.com/inward/record.uri?eid=2-s2.0-85128291115&amp;doi=10.1016%2fj.jenvman.2022.115079&amp;partnerID=40&amp;md5=60462589ad5a938901b0d6dd95cf1254</t>
  </si>
  <si>
    <t>Microbial mats are complex microecosystems that have shown promise as possible green filters to remediate polluted seawater. This usage would possibly require changing the natural conditions under which these microbial mats prosper in order to maximize their contact with the water. Thus, it is necessary to evaluate the adaptation of the mats to different environmental conditions, while monitoring their short-term efficiency at nutrient removal. To that aim, epibenthic microbial mats collected from a tidal flat in the Bahía Blanca Estuary, were incubated under different flooding conditions (periodically exposed to the air or continuously flooded), with and without the addition of a high phosphorus concentration (5 mg PO43− L−1), and with and without the presence of penicillin. This last condition was added to understand the influence of penicillin-sensitive microbes on cyanobacteria and diatom communities and their importance for P remediation. The presence of high P concentrations as well as the continual flooding of the mats resulted in the decrease of the dominant cyanobacterium, Coleofasciculus (Microcoleus) chthonoplastes, giving rise to the dominance of other genera such as Arthrospira sp. Or Oscillatoria sp., depending on the presence or absence of the antibiotic, respectively. Water P removal was highly efficient (60–87%) when the mats were treated with the high-P water. However, microbial mat behavior changed from P sink to source when mats where incubated in seawater with no P addition, suggesting that mats can both function as P sinks and sources, depending on the condition of the water they come in contact with. © 2022 Elsevier Ltd</t>
  </si>
  <si>
    <t>2-s2.0-85128291115"</t>
  </si>
  <si>
    <t>10.1016/j.envsci.2022.03.023</t>
  </si>
  <si>
    <t>https://www.scopus.com/inward/record.uri?eid=2-s2.0-85128204109&amp;doi=10.1016%2fj.envsci.2022.03.023&amp;partnerID=40&amp;md5=01c2d141cd3cf1c386ac9e4aba50290c</t>
  </si>
  <si>
    <t>Vulnerability of small-scale fisheries (SSF) results from complex interactions amongst various threats and stressors, including biophysical risks, environmental variability, unstable political situations, and weak governance, to name a few. SSF vulnerability has become more evident, with increased severity, during the COVID-19 pandemic. Knowledge about what makes SSF vulnerable is limited, which impedes appropriate policy responses and intervention. As a first step to rectifying the situation, a classification approach is proposed to better describe and differentiate types of vulnerability to SSF and to guide data collection and dissemination about SSF vulnerability. The classification system is developed based on a narrative review of case studies worldwide, published in scientific journals in the past 20 years. The case studies cover SSF in diverse aquatic environments, including river, floodplain, reservoir, river delta, lake, atoll, estuaries, lagoon mangrove, coral reefs, seagrass ecosystem, islands, coastal and marine environment. Similar to the five pillars of sustainability, SSF vulnerability is associated with five main factors, i.e., biophysical, social, economic, technological, and governance. Knowledge about SSF vulnerability helps inform tailored management strategies and policies to reduce SSF marginalization and promote viability, aligning, therefore, with the goal of the Voluntary Guidelines for Securing Sustainable Small-Scale Fisheries. © 2022 Elsevier Ltd</t>
  </si>
  <si>
    <t>2-s2.0-85128204109"</t>
  </si>
  <si>
    <t>10.1029/2022WR032225</t>
  </si>
  <si>
    <t>https://www.scopus.com/inward/record.uri?eid=2-s2.0-85136989339&amp;doi=10.1029%2f2022WR032225&amp;partnerID=40&amp;md5=a8b37166b7753c4df4d10f2ec6a67ca8</t>
  </si>
  <si>
    <t>Around the world, wetland vulnerability to sea-level rise (SLR) depends on different factors including tidal regimes, topography, creeks and estuary geometry, sediment availability, vegetation type, etc. The Plum Island estuary (PIE) is a mesotidal wetland system on the east coast of the United States. This research applied a newly updated Hydro-MEM (integrated hydrodynamic-marsh) model to assess the impacts of intermediate-low (50 cm), intermediate (1 m), and intermediate-high (1.5 m) SLR on marsh evolution by the year 2100. Model advancements include capturing vegetation change, inorganic and below and aboveground organic matter portion of marsh platform accretion, and mudflat creation. Although the results indicate a low vulnerability marsh at the PIE, the vegetation changes from high to low marsh under all SLR scenarios (2%–22%), with the higher bounds belonging to higher rise scenarios. Lower SLR produces more productive marsh (13% gain in high productivity regions), whereas the highest SLR scenario causes increased tidal inundation, which leads to loss in productivity (12% change from high to low productivity regions), generation of mudflats (17% of the domain land), and marsh migration to higher lands. Sensitive nonlinear tidal flow changes, which may be increased or decreased with SLR as a result of mudflat creation, marsh migration, and bottom friction change, emphasize the importance of integrated modeling approaches that include dynamic marsh feedbacks in hydrodynamic modeling and varying hydrodynamic effects on the marsh system. © 2022 The Authors. This article has been contributed to by U.S. Government employees and their work is in the public domain in the USA.</t>
  </si>
  <si>
    <t>2-s2.0-85136989339"</t>
  </si>
  <si>
    <t>10.3390/cli10090132</t>
  </si>
  <si>
    <t>https://www.scopus.com/inward/record.uri?eid=2-s2.0-85138652691&amp;doi=10.3390%2fcli10090132&amp;partnerID=40&amp;md5=8752105173c1770d69184489e6f7e933</t>
  </si>
  <si>
    <t>Resilience of coastal communities is increasingly required to adjust to the effects of climate change and its coast-related threats. Climate change is a major global threat to the environment, economy, and health of urban coastal lowlands. Flooding risks from both rising sea levels and increases in the frequency and severity of storm surges are considered to be amongst the most threatening consequences associated with climate change. The aim of this study was to assess the levels of socio-economic preparedness of low-lying urbanized towns in Malta for the impacts of coastal flooding through the triangulation of stakeholders’ participation from three sectors: the business community, local councils, and specialized experts from the governmental and private sectors. The study also included field collection of elevation data for each locality to capture the businesses’ distribution in relation to their height above sea level along the urban waterfront. One-way analysis of variance and NVivo were used to test and compare the business owners’ responses and the experts’ feedback, respectively. The main findings from the business community suggest that there are no long-term contingency plans or strategies in place to address potential flooding impacts from rising sea levels and storm surges, and that the risks of driving owners out of business is high. From the feedback received by the local councils, it was observed that all of them significantly lack the physical and financial resources to effectively manage long-term coastal flooding within their locality, forcing them to completely rely on central government for any future needs caused by the impact of coastal flooding. From a central government perspective, it seems that all interviewed experts operate within a fragmented governance model, and mainly adhere to the set of responsibilities aligned with their respective roles within such a governance model. This evidence of governance disconnect requires more horizontal and vertical integration of cross-sectoral strategies to address coastal flooding, within the broader framework of integrated coastal zone management as established by the Mediterranean ICZM protocol. © 2022 by the authors.</t>
  </si>
  <si>
    <t>2-s2.0-85138652691"</t>
  </si>
  <si>
    <t>10.2112/JCOASTRES-D-21-00122.1</t>
  </si>
  <si>
    <t>https://www.scopus.com/inward/record.uri?eid=2-s2.0-85139176962&amp;doi=10.2112%2fJCOASTRES-D-21-00122.1&amp;partnerID=40&amp;md5=f5cb627d47935b66c4174f5268328522</t>
  </si>
  <si>
    <t>Sea-level rise due to climate change is influencing coastal areas globally, which represent an important food and recreational resource for humanity. Accordingly, coastal monitoring is of vital importance. Recently, coastal erosion monitoring has been performed using various methods related to structure-from-motion (SfM) photogrammetry. In coastal topography, sea cliffs can have high elevations and uneven surfaces, making them challenging to model using SfM photogrammetry when capturing images using a single device from one direction owing to occluded areas during the construction of a three-dimensional point cloud (3D PCD). Therefore, in this study, two types of cameras were used to construct an appropriate 3D PCD of sea cliffs. Sea cliffs were photographed by an unmanned aerial vehicle (UAV) and by terrestrial cameras, and the resulting 3D PCD was constructed using fusion and integration methods during image processing. Sea cliff monitoring was performed separately for mid- (9 mo) and short-term (pre- and posttyphoon) periods, during which geomorphological changes could be monitored using the multiscale model-to-model cloud comparison (M3C2) technique. The proposed method effectively reduced the occluded area while sufficiently detecting geomorphological changes in the sea cliffs. © 2022 Coastal Education Research Foundation Inc.. All rights reserved.</t>
  </si>
  <si>
    <t>2-s2.0-85139176962"</t>
  </si>
  <si>
    <t>10.2112/JCOASTRES-D-21-00138.1</t>
  </si>
  <si>
    <t>https://www.scopus.com/inward/record.uri?eid=2-s2.0-85139090310&amp;doi=10.2112%2fJCOASTRES-D-21-00138.1&amp;partnerID=40&amp;md5=a3078e250bc4738451acfe2030894c5a</t>
  </si>
  <si>
    <t>Understanding the short-term, particularly daily, siltation mechanism of a dredged trench is critical for immersed tunnel construction, as well as for offshore engineering and coastal management. This study explored the short-term siltation mechanism of the trial trench dredged for the Shenzhen-Zhongshan Link in the Pearl River Estuary, China. Monthly silting characteristics over a period of ~11 months indicate that the silting intensity during the flood season was much larger than during the dry season. Local suspended sediment concentrations (SSCs) also varied on a flood–dry seasonal cycle, which were impacted by the suspended load from the Pearl River. Daily silting characteristics indicate that the silting intensity during spring tides were higher than during neap and moderate tides and that the local SSCs and flow velocities also varied on a spring–neap tidal cycle, which was dominated by periodic variations in the astronomical tide. The flow velocity deceased substantially from the surface to the bottom of the trench, and flow circulation occurred at the bottom of the trench, which aided the silting process. Seasonal changes in the sediment load from the Pearl River were the dominant cause of the changes in suspended sediment around the trench, which produced seasonal siltation changes in the trench. Daily changes in trench siltation were directly caused by the amount of sediment that entered the trench, which was affected by changes in the flow velocity and bottom SSC around the trench during the neap–spring tidal cycle. Although the high-siltation intensity during the flood season was unhelpful, the low-siltation intensity during neap and moderate tides was helpful for the construction of immersed tunnel during the flood season. © 2022 Coastal Education Research Foundation Inc.. All rights reserved.</t>
  </si>
  <si>
    <t>2-s2.0-85139090310"</t>
  </si>
  <si>
    <t>10.1016/j.advwatres.2022.104255</t>
  </si>
  <si>
    <t>https://www.scopus.com/inward/record.uri?eid=2-s2.0-85134570166&amp;doi=10.1016%2fj.advwatres.2022.104255&amp;partnerID=40&amp;md5=9e6641a698f7912093818bcf57ad0e26</t>
  </si>
  <si>
    <t>Two-dimensional (2D) depth-averaged shallow water equations (SWE) are widely used to model unsteady free surface flows, such as flooding processes, including those due to dam-break or levee breach. However, the basic hypothesis of small bottom slopes may be far from satisfied in certain practical circumstances, both locally at geometric singularities and even in wide portions of the floodable area, such as in mountain regions. In these cases, the classic 2D SWE might provide inaccurate results, and the steep-slope shallow water equations (SSSWE), in which the restriction of small bottom slopes is relaxed, are a valid alternative modeling option. However, different 2D formulations of this set of equations can be found in the geophysical flow literature, in both global horizontally-oriented and local bottom-oriented coordinate systems. In this paper, a new SSSWE model is presented in which water depth is defined along the vertical direction and flow velocity is assumed parallel to the bottom surface. This choice of the dependent variables combines the advantages of considering the flow velocity parallel to the bottom, as can be expected in gradually varied shallow flow, and handling vertical water depths consistent with elevation data, usually available as digital terrain models. The pressure distribution is assumed linear along the vertical direction and flow curvature effects are neglected. A new formulation of the 2D depth-averaged SSSWE is derived, in which the two dynamic equations represent momentum balances along two spatial directions parallel to the bottom, whose horizontal projections are parallel to two fixed orthogonal coordinate directions. The analysis of the mathematical properties of the new SSSWE equations shows that they are strictly hyperbolic for wet bed conditions and reduce to the conventional 2D SWE when bottom slopes are small. Finally, it is shown that the SSSWE predict a slower flow compared with the conventional SWE in the theoretical case of a 1D dam-break on a frictionless channel with fixed slope. The capabilities of the proposed model are demonstrated in a companion paper on the basis of numerical and experimental tests. © 2022 Elsevier Ltd</t>
  </si>
  <si>
    <t>2-s2.0-85134570166"</t>
  </si>
  <si>
    <t>10.1016/j.enggeo.2022.106775</t>
  </si>
  <si>
    <t>https://www.scopus.com/inward/record.uri?eid=2-s2.0-85133419412&amp;doi=10.1016%2fj.enggeo.2022.106775&amp;partnerID=40&amp;md5=c49603de67abdd91e70536f05ac42fb3</t>
  </si>
  <si>
    <t>A NE-SW trending ground fissure that extends for 13 km was first discovered at Beijing Capital International Airport (BCIA) in 1985. There are many factors that influenced its formation mechanism, including the activity of the Shunyi-Liangxiang (SL) fault, land subsidence and human engineering activities. Fine-scale surface deformation at BCIA was obtained by interferometric synthetic aperture radar (InSAR), using 27 TerraSAR-X data with a 3 m resolution, to better understand the failure phenomenon and formation mechanism of the ground fissure. Spatially, the SL fault intersects runway 36R obliquely at the airport, and the fissure forms along the fault. A zone of subsidence was observed on the footwall (northwest side) of the SL fault</t>
  </si>
  <si>
    <t>10.1371/journal.pone.0273260</t>
  </si>
  <si>
    <t>https://www.scopus.com/inward/record.uri?eid=2-s2.0-85137691146&amp;doi=10.1371%2fjournal.pone.0273260&amp;partnerID=40&amp;md5=42a008245a8057c70668a98eb4ce79eb</t>
  </si>
  <si>
    <t>Eutrophic conditions in estuaries are a globally important stressor to coastal ecosystems and have been suggested as a driver of coastal salt marsh loss. Potential mechanisms in marshes include disturbance caused by macroalgae accumulations, enhanced soil sulfide levels linked to high labile carbon inputs, accelerated decomposition, and declines in belowground biomass that contribute to edge instability, erosion, and slumping. However, results of fertilization studies have been mixed, and it is unclear the extent to which local environmental conditions, such as soil composition and nutrient profiles, help shape the response of salt marshes to nutrient exposure. In this study, we characterized belowground productivity and decomposition, organic matter mineralization rates, soil respiration, microbial biomass, soil humification, carbon and nitrogen inventories, nitrogen isotope ratios, and porewater profiles at high and low marsh elevations across eight marshes in four estuaries in California and New York that have strong contrasts in nutrient inputs. The higher nutrient load marshes were characterized by faster carbon turnover, with higher belowground production and decomposition and greater carbon dioxide efflux than lower nutrient load marshes. These patterns were robust across marshes of the Atlantic and Pacific coasts that varied in plant species composition, soil flooding patterns, and soil texture. Although impacts of eutrophic conditions on carbon cycling appeared clear, it was ambiguous whether high nutrient loads are causing negative effects on long-term marsh sustainability in terms of studied metrics. While high nutrient exposure marshes had high rates of decomposition and soil respiration rates, high nutrient exposure was also associated with increased belowground production, and reduced levels of sulfides, which should lead to greater marsh sustainability. While this study does not resolve the extent to which nutrient loads are negatively affecting these salt marshes, we do highlight functional differences between Atlantic and Pacific wetlands which may be useful for understanding coastal marsh health and integrity.  © 2022 This is an open access article, free of all copyright, and may be freely reproduced, distributed, transmitted, modified, built upon, or otherwise used by anyone for any lawful purpose. The work is made available under the Creative Commons CC0 public domain dedication.</t>
  </si>
  <si>
    <t>2-s2.0-85137691146"</t>
  </si>
  <si>
    <t>Journal of Climate</t>
  </si>
  <si>
    <t>10.1175/JCLI-D-21-0436.1</t>
  </si>
  <si>
    <t>https://www.scopus.com/inward/record.uri?eid=2-s2.0-85137000213&amp;doi=10.1175%2fJCLI-D-21-0436.1&amp;partnerID=40&amp;md5=a9c741cd62eb8f9af243ae3f74dfa78b</t>
  </si>
  <si>
    <t>Possible thermodynamic effects of global warming on the landfalling typhoons that affect South China and their associated storm surges over Pearl River Delta region are investigated, using the Weather Research and Forecasting (WRF) Model and the Sea, Lake, and Overland Surges from Hurricanes (SLOSH) model based on the pseudo–global warming (PGW) technique. Twenty intense historical TCs that brought extreme storm surges to Hong Kong since the 1960s are selected and replicated by the 3-km WRF Model, with the outputs to drive the SLOSH model in storm surge simulation. The tracks, intensities, storm structure, and induced storm surges are well simulated. The PGW technique is then used to build a warmer background climate for the 20 selected TCs in the period of 2075–99 under the RCP8.5 scenario. To obtain a better adjusted warming environment, a pre-PGW adjustment method is developed. Comparing the same TCs in PGW experiments and historical runs, the TC lifetime peak (landfall) intensity can be intensified by about 9% 6 8% (12% 6 13%), with a ∼3% increase of TC peak intensity per degree of SST warming being inferred. The TCs are projected to be more compact, with the radius of maximum wind (RMW) reduced by ∼7% 6 10%. TC precipitation is also expected to increase, with the extreme precipitation within the eyewall strengthened by 22% 6 12%. All the above characters have passed the Student’s t test at 0.05 significance level. Finally, the projected induced storm surges near the Hong Kong waters are not significantly tested, although a weak storm surge height increase tendency is revealed. © 2022 American Meteorological Society.</t>
  </si>
  <si>
    <t>2-s2.0-85137000213"</t>
  </si>
  <si>
    <t>10.5194/os-18-1203-2022</t>
  </si>
  <si>
    <t>https://www.scopus.com/inward/record.uri?eid=2-s2.0-85136823731&amp;doi=10.5194%2fos-18-1203-2022&amp;partnerID=40&amp;md5=afe5bc41c54daf308b7b5f14faddcb6d</t>
  </si>
  <si>
    <t>We investigate here the effects of geometric properties (channel depth and cross-sectional convergence length), storm surge characteristics, friction, and river flow on the spatial and temporal variability of compound flooding along an idealized, meso-tidal coastal-plain estuary. An analytical model is developed that includes exponentially convergent geometry, tidal forcing, constant river flow, and a representation of storm surge as a combination of two sinusoidal waves. Nonlinear bed friction is treated using Chebyshev polynomials and trigonometric functions, and a multi-segment approach is used to increase accuracy. Model results show that river discharge increases the damping of surge amplitudes in an estuary, while increasing channel depth has the opposite effect. Sensitivity studies indicate that the impact of river flow on peak water level decreases as channel depth increases, while the influence of tide and surge increases in the landward portion of an estuary. Moreover, model results show less surge damping in deeper configurations and even amplification in some cases, while increased convergence length scale increases damping of surge waves with periods of 12-72h. For every modeled scenario, there is a point where river discharge effects on water level outweigh tide/surge effects. As a channel is deepened, this cross-over point moves progressively upstream. Thus, channel deepening may alter flood risk spatially along an estuary and reduce the length of a river estuary, within which fluvial flooding is dominant. © 2022 Ramin Familkhalili et al.</t>
  </si>
  <si>
    <t>2-s2.0-85136823731"</t>
  </si>
  <si>
    <t>10.1016/j.jenvman.2022.115492</t>
  </si>
  <si>
    <t>https://www.scopus.com/inward/record.uri?eid=2-s2.0-85132219869&amp;doi=10.1016%2fj.jenvman.2022.115492&amp;partnerID=40&amp;md5=935cf350086ef6e3b0e093dcaa88c5ed</t>
  </si>
  <si>
    <t>Digital Elevation Models (DEMs) play a significant role in hydraulic modeling and flood risk management. This study initially investigated the effect of Unmanned Aerial Vehicle (UAV) DEM resolutions, ranging from 1 m to 30 m, on flood characteristics, including the inundation area, mean flow depth, and mean flow velocity. Then, the errors of flood characteristics for global DEMs, comprising ALOS (30 m), ASTER (30 m), SRTM (30 m), and TDX (12 m) were quantified using UAV DEM measurements. For these purposes, the HEC-RAS 2D model in steady-state conditions was used to simulate the flood with return periods of 5- to 200 years along 20 km reach of Atrak River located in northeastern Iran. Results indicated when UAV DEM resolution decreased from 1 m to 30 m, inundation area and mean flow depth increased 17.0% (R2 = 0.94) and 10.2% (R2 = 0.96) respectively, while mean flow velocity decreased 16.8% (R2 = −0.94). Validation of the hydraulic modeling using the modified normalized difference water index demonstrated that the HEC-RAS 2D model in conjunction with UAV DEM simulates the flood with ⁓92% accuracy. Comparing the global DEMs with UAV DEM showed that the root mean square error (RMSE) values of the flow depth for ASTER, SRTM, ALOS, and TDX DEMs were 1.77, 1.12, 1.02, and 0.93 m, and the RMSE values of the flow velocity for the same DEMs were 0.81, 0.66, 0.55, and 0.47 m/s, respectively. Furthermore, TDX DEM with a 6.15% error in the inundation area was the nearest to UAV measurements. Overall, TDX DEM revealed a better performance in hydraulic modeling of the fluvial flood characteristics. Hence, it is recommended for environments where high-resolution topography data is scarce. The results of this study could potentially serve as a guideline for selecting global DEMs for hydraulic simulations. © 2022 Elsevier Ltd</t>
  </si>
  <si>
    <t>2-s2.0-85132219869"</t>
  </si>
  <si>
    <t>10.1016/j.ijdrr.2022.103122</t>
  </si>
  <si>
    <t>https://www.scopus.com/inward/record.uri?eid=2-s2.0-85132932774&amp;doi=10.1016%2fj.ijdrr.2022.103122&amp;partnerID=40&amp;md5=b325d1388dd72df0cd146fa8affef8cd</t>
  </si>
  <si>
    <t>The attractiveness of the coasts tends to increase their exposure to erosion and marine flooding risks. This exposure is exacerbated by the effects of climate change, in particular sea level rise. To contribute to strategic thinking on the vulnerability of coastal areas, it is essential to develop, share and collectively maintain relevant knowledge on risks. This article will present the thinking behind the setting up of a coastal risks observatory in Brittany, a region located in north-western France. It relies on a conceptual approach to systemic vulnerability based on four components: hazards, assets, management, and social representations. Hazards and assets underpin the notion of risk and tend to increase the vulnerability, management tends to mitigate it, and representations can play a part in increasing or decreasing it depending on the context. To understand and analyse this system of vulnerability, our approach is based on the generation of a set of 62 indicators combined into different types of indices. A web-GIS interface was developed to navigate through and map this system of vulnerability. The difficulties associated with this type of synthetic approach will be discussed, whether they are related to data availability, to the links between scientific research and operational territorial management requirements, or to an understanding of the dynamics of all of the vulnerability components and their interactions. Ultimately, the approach developed has been successful in mobilising scientific and operational stakeholders around the co-construction of a diagnosis of territories with regard to their vulnerability to coastal risks. © 2022</t>
  </si>
  <si>
    <t>2-s2.0-85132932774"</t>
  </si>
  <si>
    <t>Journal of King Saud University - Science</t>
  </si>
  <si>
    <t>10.1016/j.jksus.2022.102145</t>
  </si>
  <si>
    <t>https://www.scopus.com/inward/record.uri?eid=2-s2.0-85132356140&amp;doi=10.1016%2fj.jksus.2022.102145&amp;partnerID=40&amp;md5=853997c2de56d89e42c175424b1e8a42</t>
  </si>
  <si>
    <t>The coastal zone has been experiencing population growth and incomparable developments that are in discordance with the dynamic nature of the coastal system. The present study focused on the Groundwater Head (GWH) changes and upward land subsidence as a result of Sea Level Rise (SLR). Consequently, the numerical model of SEAWAT is applied to the Nile Delta Aquifer (NDA) at the outlet of the Nile Rosetta branch to simulate the (GWH) for the current situation and the future scenarios of SLR. It was estimated as 5.67, 14.51 and 26.71 cm at the years 2020, 2040 and 2060, respectively. The resulted of GWH are ranged between 0 to 0.40, 0 to 0.45 and 0 to 0.55 cm at the years 2020, 2040 and 2060 respectively. The GWH were then used to predict the future upward land subsidence by applying high least square linear regression analysis. An inverse relationship was found between the GWH and the upward land subsidence with correlation coefficients (r2 = 0.87). Where the hydraulic head increased as a result of sea level rise the rate of upward land subsidence decreased through the years 2020, 2040 and 2060 respectively. The geospatial mapping of the upward land subsidence shows a general increase to the northern part at the Rosetta Promontory, which has the highest thickness and accumulation rates of the Holocene deposits. © 2022 The Authors</t>
  </si>
  <si>
    <t>2-s2.0-85132356140"</t>
  </si>
  <si>
    <t>10.1134/S1875372822030052</t>
  </si>
  <si>
    <t>https://www.scopus.com/inward/record.uri?eid=2-s2.0-85143630857&amp;doi=10.1134%2fS1875372822030052&amp;partnerID=40&amp;md5=5dc3cd3034ef7e39213939f7ec911d36</t>
  </si>
  <si>
    <t>Abstract: It has been defined that the clear spatial differentiation in the Far East is characteristic of the manifestation of the continentality and oceanicity interaction: it is minimal in the central areas of the continents and oceans and maximal in the transboundary ones. It has been established that the probability of origin and development of the related anomalous processes and disasters was included in the relation of continentality and oceanicity. Many peculiarities of the dynamic of the geosystems and anomalous processes are clarified. For example, the number and intensity of anomalous processes increase: the frequency of storms and storm surges grows and the washway of the seashores and submarine nearshore slope, etc., intensifies. As a result, the strip of active interpenetation of the continentality and oceanicity, emphasized currently by the mottled alternation of the forms, processes, and formations (in the goltsy zone of the middle altitudes, the formation of rock glaciers and cryogenic sorting of grounds and ice blisters and more in the valleys of mountain rivers) that are “strange” in origin, becomes displaced to the east, to the coastal zone. The repetition frequency of the extreme processes and their effect on the geosystems in the continental margin of the Russian Far East have increased in recent decades. It has been established that the use of continentality and oceanicity characteristics allows us to determine the ecological risks and has the high potential of application in solving urgent problems. It has been stated that the selection of the sustainable nature management strategy in the areas under consideration should make allowance for the existing risks and environmental restrains determined by them. © 2022, Pleiades Publishing, Ltd.</t>
  </si>
  <si>
    <t>2-s2.0-85143630857"</t>
  </si>
  <si>
    <t>10.1016/j.nhres.2022.08.005</t>
  </si>
  <si>
    <t>https://www.scopus.com/inward/record.uri?eid=2-s2.0-85174863523&amp;doi=10.1016%2fj.nhres.2022.08.005&amp;partnerID=40&amp;md5=4230abe5252e8437440ac52f245ab734</t>
  </si>
  <si>
    <t>Under global warming, the risk level of storm surge disasters in coastal areas has substantially increased. Guangdong Province is among the provinces most affected by typhoon storm surges in China. The typhoon risk characteristics of this region play an important role in regional development and disaster prevention and mitigation. Based on the theory of disaster risk, this study constructs a risk assessment model based on the regional characteristics of Guangdong Province and an indicator system selected in previous work. It optimizes the model using a simulated annealing algorithm and the least squares method. The optimization model was used to assess the hazard, vulnerability, disaster resilience, and risk capability of cities in Guangdong Province from 2001 to 2014. The results indicate that the hazard is related to the typhoon landing area for a single typhoon storm surge disaster. The hazard in the typhoon landing areas is undoubtedly higher than in the regions far away from the typhoon, but their risk capability is not proportional to the risk level. For many years of average typhoon storm surge disasters, cities' hazard, vulnerability, and risk capability levels have increased from inland to coastal areas. The level of resilience is not related to the location but to the city's development indicators. Zhanjiang city has the highest risk level. © 2022 National Institute of Natural Hazards, Ministry of Emergency Management of China</t>
  </si>
  <si>
    <t>2-s2.0-85174863523"</t>
  </si>
  <si>
    <t>10.1016/j.rsase.2022.100798</t>
  </si>
  <si>
    <t>https://www.scopus.com/inward/record.uri?eid=2-s2.0-85132920796&amp;doi=10.1016%2fj.rsase.2022.100798&amp;partnerID=40&amp;md5=df8d40167f37673fab303e6139171a2c</t>
  </si>
  <si>
    <t>The intertidal mudflats that are exposed subaerially between the high and low tides have a complex morphology comprising ebb and flood tidal deltas, spits, shoals, and tidal sandbanks intervened with a network of meandering and branching tidal channels and inlets. The intertidal zones are highly transient and understanding their morphodynamics is critical to the ecology and economy of the region. Monitoring intertidal mudflat dynamics is imperative for sustainable development activities along coastal regions. The topography of intertidal mudflat is estimated for the eastern coast of the Gulf of Khambhat (north-western coast of India) using the waterline detection method from a series of satellite images. We have used Modified Normalized Difference Water Index and image threshold techniques to delineate waterlines from satellite images of high to low tidal conditions at different tidal heights. The waterlines are considered as elevation contours corresponding to tidal height during satellite observation, and a series of elevation contours delineated from satellite images of various tidal heights are then used to calculate the mudflat topography. The estimated topography is validated with the Differential Global Positioning System (DGPS), the Sound and navigation ranging (Sonar), and ICESat-2 ATL03 dataset observations, which results in R2 values of 0.97, 0.89, and 0.9, respectively, as well as RMSE values of 0.39 m, 0.33 m, and 0.49 m, respectively. The mudflat dynamics are studied by comparing the topographical changes estimated between the satellite images of 1998-99 and 2019. The major morphological changes are the landward shift of the low waterline, lateral migration of tidal bars, narrowing of the river mouth, as well as anthropogenic influences such as mudflat reclamation and impedance of long-shore sediment transport. The region with deposition of sediment above Mean Sea Level (MSL) has flattened the slope, making the mudflat stable and promoting mangroves expansion, while erosion has steepened the mudflats with loss of mangrove cover. These mudflats exhibit highly complex morphological changes mainly induced by sediment transport, two-way tidal currents, and fluvial fluxes. The estimated topography shall find its application in modeling coastal processes, identifying vulnerable coastal stretches, and site suitability for mangrove plantations. © 2022 Elsevier B.V.</t>
  </si>
  <si>
    <t>2-s2.0-85132920796"</t>
  </si>
  <si>
    <t>10.1007/s10661-022-10311-5</t>
  </si>
  <si>
    <t>https://www.scopus.com/inward/record.uri?eid=2-s2.0-85135200776&amp;doi=10.1007%2fs10661-022-10311-5&amp;partnerID=40&amp;md5=70f95e248d61b98928a05d1252abbe2a</t>
  </si>
  <si>
    <t>Land subsidence problems have become increasingly prominent. Traditional monitoring methods, such as level measurements, have high costs and low efficiency. Permanent scatterer interferometric synthetic aperture radar (PS-InSAR) has several advantages for land subsidence monitoring based on technological innovations. Aimed at resolving the key problems associated with PS-InSAR technology, the accuracy of three external digital elevations models (DEMs, namely, SRTM, ASTER GDEM, and PleiadesDEM) was analysed and compared. We found that the introduction of ground control points can significantly improve the elevation accuracy of DEMs. Herein, we introduce the specific processing steps and selection of the key parameters for IN-SAR data using the StaMPS software. We discuss the differences between IN-SAR technology and levelling measurements as well as the influence that the different external DEMs have on IN-SAR data. Based on 36 scenes of TerraSAR-X images, we obtained results for land deformation monitoring in Taiyuan City using PS-InSAR technology, which provided satisfactory monitoring results. © 2022, The Author(s), under exclusive licence to Springer Nature Switzerland AG.</t>
  </si>
  <si>
    <t>2-s2.0-85135200776"</t>
  </si>
  <si>
    <t>Indian Journal of Geo-Marine Sciences</t>
  </si>
  <si>
    <t>10.56042/ijms.v51i08.68866</t>
  </si>
  <si>
    <t>https://www.scopus.com/inward/record.uri?eid=2-s2.0-86000107231&amp;doi=10.56042%2fijms.v51i08.68866&amp;partnerID=40&amp;md5=e76223dbd969ade39d443beec00397cb</t>
  </si>
  <si>
    <t>This paper presents an overview of the Gaja – a very severe cyclonic storm that battered thousands of lives in Cauvery delta regions of Tamil Nadu. The cyclone originated from the Gulf of Thailand on 5th November 2018 and gradually turned into a very severe cyclonic storm that made a landfall at Tamil Nadu coast on 15th November 2018. Nagapattinam was one of the most affected coastal districts, which endured extensive damage due to coastal flood and wind-rose to about 120 kmph. The current study was focused on the impact assessments of the co-operative society members. The statistical chi-square distribution was calculated to substantiate the significant relationships between the physical attributes, socioeconomic conditions and level of vulnerability to the coastal communities affected by the cyclone. The major findings of the study reveals that the human vulnerability is highly significant to the physical attributes and socio-economic factors such as mean sea level, distance of house-holds from the shore-line, house type, income and education. The study suggests that the policy managers should proactively consider all the identified variables homogeneously to proficiently improvise the disaster management, preparedness</t>
  </si>
  <si>
    <t>10.3389/fenvs.2022.749950</t>
  </si>
  <si>
    <t>https://www.scopus.com/inward/record.uri?eid=2-s2.0-85129020637&amp;doi=10.3389%2ffenvs.2022.749950&amp;partnerID=40&amp;md5=cfe929a792b0ab3d0be5c499d056b482</t>
  </si>
  <si>
    <t>Intertidal wetlands such as mangrove and saltmarsh are increasingly susceptible to areal losses related to sea level rise. This exposure is potentially offset by processes that might enable wetlands to accrete in situ or migrate landward under sea level rise, and planning policies that might open new opportunities for migration. We present and demonstrate a method to predict intertidal wetland distribution in the present-day landscape using random forest classification models, and use these models to predict the intertidal wetland distribution in future landscapes under specified sea level scenarios. The method is demonstrably robust in predicting present-day intertidal wetland distribution, with moderate correlation or better between predicted and mapped wetland distributions occurring in nearly all estuaries and strong correlation or better occurring in more than half of the estuaries. Given the accuracy in predicting present-day wetland distribution the method is assumed to be informative in predicting potential future wetland distribution when combined with best available models of future sea level. The classification method uses a variety of hydro-geomorphological surrogates that are derived from digital elevation models, Quaternary geology or soils mapping and land use mapping, which is then constrained by a representation of the future sea level inside estuaries. It is anticipated that the outputs from applying the method would inform assessments of intertidal wetland vulnerability to sea level rise and guide planning for potential wetland migration pathways. Copyright © 2022 Hughes, Glasby, Hanslow, West and Wen.</t>
  </si>
  <si>
    <t>2-s2.0-85129020637"</t>
  </si>
  <si>
    <t>10.46717/igj.55.2A.2Ms-2022-07-18</t>
  </si>
  <si>
    <t>https://www.scopus.com/inward/record.uri?eid=2-s2.0-85138684830&amp;doi=10.46717%2figj.55.2A.2Ms-2022-07-18&amp;partnerID=40&amp;md5=42915b7511319df04e4f7cdc024cd503</t>
  </si>
  <si>
    <t>Nile Delta region in northern Egypt and the Nile River separates it into two branches in the west, at Rosetta, and in the east, at Damietta, before draining into the Mediterranean Sea. Nile Delta is the most valuable commercial, agricultural, and industrial supply as well as over 70% of the country’s industrial and economic operations. More than half of Egypt 100 million population live there. Due to the vital value of the Nile Delta, the crustal deformation study in the Nile Delta has become one of the most essential researche. Using precise and accurate geodetic data, such as the Global Navigation Satellite System has been applied in the current work to evaluate the rates of crustal movements, including regional and local velocities, as well as the assessment of deformation characteristics, such as rates of dilatation, maximum shear and principal strain component analysis. Bernese 5.2 software was used to process data between 2013 and 2020 for fourteen Global Navigation Satellite System permanent sites. The result shows that the Delta has different geodynamic behaviors related to its structural properties as well assuffering from heterogeneous crustal movement. The northeastern side of the Nile Delta may suffer from sinking under the Mediterranean Sea more than the northwestern side because of its high subsidence rates, Crustal movements and deformation parameters Show</t>
  </si>
  <si>
    <t>10.1016/j.ejrh.2022.101122</t>
  </si>
  <si>
    <t>https://www.scopus.com/inward/record.uri?eid=2-s2.0-85131411258&amp;doi=10.1016%2fj.ejrh.2022.101122&amp;partnerID=40&amp;md5=b302818e3839a1ca8a75f122b1b34835</t>
  </si>
  <si>
    <t>Study region: A mountain city in the coastal region of Southeast China. Study focus: This study elucidated the effect of digital elevation model (DEM) resolution on flood simulation errors and inundation depth distributions through building treatment methods and river channel definition. The optimal DEM resolution was evaluated to determine whether satisfactory inundation simulation could be achieved for urban flash flood simulation (UFFS) and fluvial overbank flood simulation (FOFS). New hydrological insights for the region: UFFS and FOFS presented opposite effects regarding inundation extent and the spatial distribution of inundation depth with coarsening DEM resolution. In UFFS, the inundation extent and inundation depth in low-lying areas of the flood propagation pathway were underestimated. This effect was attributed to the change of local flood pathway caused by different treatment of buildings at coarser DEM resolution. The simulation error was magnified considerably when the DEM resolution was greater than the building width and gaps. In FOFS, owing to the changed channel geometry at coarser resolution, the inundation extent and inundation depth were overestimated. Using a DEM resolution and computational cell size that are lower than the river width is recommended. This study illustrated that a regional-scale effect, dependent on regional flood propagation behaviour and the impact of land use and topography on the flood propagation pathway, could be observed by coarsening the DEM resolution of inundation simulations. © 2022 The Authors</t>
  </si>
  <si>
    <t>2-s2.0-85131411258"</t>
  </si>
  <si>
    <t>10.1016/j.envsci.2022.04.001</t>
  </si>
  <si>
    <t>https://www.scopus.com/inward/record.uri?eid=2-s2.0-85129462044&amp;doi=10.1016%2fj.envsci.2022.04.001&amp;partnerID=40&amp;md5=902fd20272f7519520f6507b178baedc</t>
  </si>
  <si>
    <t>Estuaries are globally important zones for urban, recreational and commercial activities as well as supporting a range of habitats and species of significant ecological importance. The role of estuaries is recognised by the legislative framework that has been developed to protect and manage these areas as well as those species and resources in adjoining habitats. However, estuaries worldwide are subject to a number of major threats, including increasing industrialisation and urbanisation, increasing resource scarcity notably for space and energy, and the impacts of climate change, sea-level rise and related increases in vulnerability and decreases in resilience. In addition to local pressures, climate change is now increasingly recognised as having a range of severe impacts on estuarine ecosystem functions and services, but current legislation and associated management may not necessarily be wholly appropriate to deal with these longer-term changes. Here we consider how the current legislation and management addresses the potential impacts of climate change on a large estuarine system. Alongside a set of recommendations, we emphasise that the implementation of governance instruments needs to be underpinned by continued monitoring, improved modelling and enhanced predictive capabilities and integration and collaboration across management levels. © 2022</t>
  </si>
  <si>
    <t>2-s2.0-85129462044"</t>
  </si>
  <si>
    <t>10.3390/hydrology9090159</t>
  </si>
  <si>
    <t>https://www.scopus.com/inward/record.uri?eid=2-s2.0-85138662943&amp;doi=10.3390%2fhydrology9090159&amp;partnerID=40&amp;md5=9bf2ad33a8e6dd3f5dc0d89b5de71478</t>
  </si>
  <si>
    <t>The Harvard Water Program is more than sixty years old. It was directed by an academic Steering Committee consisting of the professors of Government and Political Science, Planning, Economics, and Water Engineering. In 2022 we would add to the notional Steering Committee the professors of Ecology, Sociology and Water Law, calling it the augmented Harvard eutopian approach to the design and operation of Water Resource Systems. We use the Greek word ‘eu-topos’ to mean ‘a good place’, figuratively speaking, and ‘dys-topos’ its antonym, ‘not a good place’. By opposing eutopia and dystopia (latin forms) (Utopian literature begins with Thomas More’s (1478–1535) fictional socio-political satire “Utopia”, written in Latin and published in 1516: “Libellus vere aureus, nec minus salutaris quam festivus, de optimo rei publicae statu deque nova insula Utopia”. “A little, true book, not less beneficial than enjoyable, about how things should be in a state and about the new island Utopia” [Wikipedia translation]. He coined the word ‘utopia’ from the Greek ou-topos meaning ‘no place’ or ‘nowhere’. It was a pun-the almost identical Greek word eu-topos means ‘a good place’), we pass judgement on three Irish case studies, in whole and in part. The first case study deals with the dystopian measurement of the land phase of the hydrological cycle. The system components are distributed among many government departments that see little need to cooperate, leading to proposition 1: A call for a new Water Law. The second case study deals with a project to restore a 200 km2 polder landscape to its condition in 1957. The project came to the University with an hypothetical cause of the increased flooding and a tentative solution: dredge the Cashen estuary of its sand, speeding the flow of sluiced water to the sea, and the status quo ante would be restored. The first scientific innovation was the proof that restoration by dredging is impossible. Pumping is the only solution, but it raises disruptive questions that are not covered by Statute. The second important innovation was the discovery in the dynamic water balance, of large leakage into the polders, either around or between sluiced culverts, when the flap valves are nominally closed, impacting both their maintenance and minimization of pumping. Discussions on our findings ended in dystopian silence. Hence proposition 2: Moving towards eutopia may only be possible with a change in the Law. The third case study concerns the protection of Cork City from flooding: riverine, tidal and groundwater. The government’s “emerging solution” consists of major physical intervention in the city centre, driven hard against local opposition, as the only possible solution. Two hydro-electric reservoirs upstream were largely ignored as part of a solution because the relevant Statute did not mandate their use for flood control. The Supreme Court has recently overturned this interpretation of the governing Statute. A new theory of flood control with a cascade of reservoirs, dams and weirs is the scientific innovation here. Once more these findings have been greeted by government with dystopian silence. Hence proposition 3: Re-open the design process to find several much better solutions, approximating a eutopian water world. © 2022 by the author.</t>
  </si>
  <si>
    <t>2-s2.0-85138662943"</t>
  </si>
  <si>
    <t>10.1016/j.scitotenv.2022.155855</t>
  </si>
  <si>
    <t>https://www.scopus.com/inward/record.uri?eid=2-s2.0-85130333348&amp;doi=10.1016%2fj.scitotenv.2022.155855&amp;partnerID=40&amp;md5=f563a471a4e248aea60e659153463ace</t>
  </si>
  <si>
    <t>Although salinization is widely known to affect cycling of soil carbon (C) in tidal freshwater wetlands, the role of the presence or absence of plants in mediating the responses of soil organic carbon (SOC) mineralization to salinization is poorly understood. In this study, we translocated soils collected from a tidal freshwater wetland to sites with varying salinities along a subtropical estuarine gradient and established unplanted and planted (with the salt-tolerant plant Cyperus malaccensis Lam.) mesocosms at each site. We simultaneously investigated cumulative soil CO2 emissions, C-acquiring enzyme activities, availability of labile organic C (LOC), and structures of bacterial and fungal communities. Overall, in the planted mesocosm, the soil LOC content and the activities of β-1,4-glucosidase, cellobiohydrolase, phenol oxidase, and peroxidase increased with salinization. However, in the unplanted mesocosm, soil LOC content decreased with increasing salinity, whereas all the C-acquiring enzyme activities did not change. In addition, salinization favored the dominance of bacterial and fungal copiotrophs (e.g., γ-Proteobacteria, Bacteroidetes, Firmicutes, and Ascomycota) in the planted mesocosms. Contrarily, in the unplanted mesocosms salinization favored bacterial and fungal oligotrophs (e.g., α-Proteobacteria, Chloroflexi, Acidobacteria, and Basidiomycota). In both planted and unplanted mesocosms, cumulative soil CO2 emissions were affected by soil LOC content, activities of C-acquiring enzymes, and microbial C-use trophic strategies. Overall, cumulative soil CO2 emissions increased by 35% with increasing salinity in the planted mesocosm but decreased by 37% as salinity increased in the unplanted mesocosm. Our results demonstrate that the presence or absence of salt-tolerant plants can moderate the effect of salinity on SOC mineralization in tidal wetland soils. Future C prediction models should embed both planted and unplanted modules to accurately simulate cycling of soil C in tidal wetlands under sea level rise. © 2022 Elsevier B.V.</t>
  </si>
  <si>
    <t>2-s2.0-85130333348"</t>
  </si>
  <si>
    <t>10.1007/s13753-022-00421-6</t>
  </si>
  <si>
    <t>https://www.scopus.com/inward/record.uri?eid=2-s2.0-85133177391&amp;doi=10.1007%2fs13753-022-00421-6&amp;partnerID=40&amp;md5=f628187dd966d294460fa8031ae9c755</t>
  </si>
  <si>
    <t>Long-term flood risk adaptation and decision making are complex because the future is full of deep uncertainties. Flexibility and robustness can be used to deal with future uncertainty. This study developed an integrated modeling framework that extends previous studies to the spatial domain to assess the future flood risks and the cost and benefit of three adaptation measures for four types of buildings in Shanghai. Real options analysis (ROA) and dynamic adaptive policy pathways (DAPP) were integrated to develop a dynamic adaptation pathway and identify robust adaptation options. The results show that: (1) Sea level rise and land subsidence will significantly exacerbate the flood risks in Shanghai</t>
  </si>
  <si>
    <t>10.1016/j.jenvman.2022.115261</t>
  </si>
  <si>
    <t>https://www.scopus.com/inward/record.uri?eid=2-s2.0-85130338920&amp;doi=10.1016%2fj.jenvman.2022.115261&amp;partnerID=40&amp;md5=e93b4be5268c5520a7e714283dde252a</t>
  </si>
  <si>
    <t>Households living in the close vicinity of shoreline are constantly threatened by various climate change impacts. Community awareness towards climate change is a subject of considerable study as adequate knowledge is a preliminary step for adaptation decision making. An important question is how coastal communities perceive climatic variation, sea level rise and coastal hazard impacts and the socio-economic factors that affect their level of awareness. Thus, this research measures the level of awareness and the factors influencing it based on a household survey (n = 1016) that was conducted 10 critically eroded coastal areas in Selangor. Descriptive statistical analysis reveals that more than half of the households have high level of awareness about climatic variation and sea level, however, there is moderate awareness about the coastal hazard impacts such as human causalities and disease transmission. Even though households are more aware of direct coastal hazard impact such as damages to properties and disruption of daily activities. An independent sample T test indicates that respondents who are male, at working age, educated, involve in natural resource dependent occupations, and had prior exposure to extreme coastal hazards have higher levels of awareness. Research indicated about 55% of all sampled households reflected awareness of climate change, 60% households were aware of sea level rise and 47% households were aware of coastal hazard impact. This study recommends that households in Selangor coast need capacity building and climate change awareness initiatives which would assist household to build adaptive capacity, increase resilience and reduce vulnerability to climate change. © 2022 Elsevier Ltd</t>
  </si>
  <si>
    <t>2-s2.0-85130338920"</t>
  </si>
  <si>
    <t>10.1016/j.jafrearsci.2022.104576</t>
  </si>
  <si>
    <t>https://www.scopus.com/inward/record.uri?eid=2-s2.0-85129927825&amp;doi=10.1016%2fj.jafrearsci.2022.104576&amp;partnerID=40&amp;md5=0cb6e24f15980d609b642f79d314ac70</t>
  </si>
  <si>
    <t>Floods are natural risks with devastating consequences for the environment, people and the economy. Gabes Catchment is regularly devastated by floods owing to urban sprawl, population growth, unregulated municipal systems and indiscriminate land use. However, mitigation of flood impacts can be achieved via flood implementation forecasting systems. In this study, Analytical Network Process (ANP) and Artificial Neural Network (ANN) models were integrated into a Geographic Information System (GIS) to identify and classify flood-prone areas. A geographic information database was derived from the existing geological map, digital elevation model (DEM), precipitation and land-use data. The evaluation of different factors can affect the flood analysis. The ranked and normalized indicators were then weighted and classified with an ANP model to establish the training database. The normalized layers, combined with the training site maps, were then fed to a multilayer perceptron neural network (MLP) to yield a flood risk map. Using a field survey, historical flood data, and satellite imagery, 226 flood locations were identified and classified into 70% training data sets and 30% validation data. Results obtained from ANP and ANN showed that 10% and 14% of all areas were classified as high and very high flood susceptibility, respectively. The performance of both models was assessed using the operational characteristic of the ROC model. The Area Under the Curve ‘AUC’ of ANP and ANN models were 0.861 and 0.876, respectively. The obtained results show the similarity and comparability of the used methods. These results corroborate the perception of susceptibility in the population of the city of Gabes. The study outcomes are of great value to policy makers and state authorities in order to achieve greater awareness and adopt strategies for the preparation and management of the environment in the future for the city of Gabes. © 2022 Elsevier Ltd</t>
  </si>
  <si>
    <t>2-s2.0-85129927825"</t>
  </si>
  <si>
    <t>10.3389/frwa.2022.952810</t>
  </si>
  <si>
    <t>https://www.scopus.com/inward/record.uri?eid=2-s2.0-85137321925&amp;doi=10.3389%2ffrwa.2022.952810&amp;partnerID=40&amp;md5=0d7f82286038c66fb0ab0e0a2ac36065</t>
  </si>
  <si>
    <t>The Madeira is one of the major tributaries of the Amazon River and is characterized by a large alluvial floodplain throughout the stream continuum. This study aims to better assess the hydrological functioning of the Madeira Basin over its alluvial floodplains at both local and global scales. We used the semi-distributed hydrological Soil and Water Assessment Tool (SWAT) model to simulate water discharge at a daily time step and water resources for each hydrological compartment. A new hydraulic module for water routing was implemented in the SWAT model considering the floodplain either as a simple reservoir or as a continuum where the water can flow along with the floodplain network. Both water surface estimated by L-band passive microwaves (SWAF data) and digital elevation model—shuttle radar topography mission (DEM–SRTM data) were used to delineate the floodplain, as inputs for the model. On the global scale, the amount of water stored in the Madeira floodplain is between 810 ± 230 km3 per year when the floodplains are delimited with SWAF and 1,300 ± 350 km3 per year with the DEM floodplain delineation between 2008 and 2018. Spatial altimetry (Jason 2-3) data were also applied to alluvial areas to validate the water height dynamic in floodplains at a local scale. Results show that more than 60% of the alluvial validation points display a correlation above 0.40 ± 0.02 regardless of the floodplain delineation. This study permits us to better characterize the spatio-temporal storage dynamics of the Madeira floodplains at both local and global scales, and it underlines the importance of a precise floodplain delineation, before computing biogeochemical fluxes and sediment yield. Copyright © 2022 Guilhen, Parrens, Sauvage, Santini, Mercier, Al Bitar, Fabre, Martinez and Sànchez-Pérez.</t>
  </si>
  <si>
    <t>2-s2.0-85137321925"</t>
  </si>
  <si>
    <t>10.1016/j.geomorph.2022.108329</t>
  </si>
  <si>
    <t>https://www.scopus.com/inward/record.uri?eid=2-s2.0-85131602864&amp;doi=10.1016%2fj.geomorph.2022.108329&amp;partnerID=40&amp;md5=b3ca0a5e412e5050495360979487a429</t>
  </si>
  <si>
    <t>Analysis of four South Florida tide gauges, with records ranging from 27 to 116 yrs., indicate the average rate of sea-level rise has accelerated from 3.9 mm yr−1 (1900–2021) to 6.5 mm yr−1 (2000−2021), and 9.4 mm yr−1 over the past decade. Future rates are forecast to accelerate over the duration of this century. A predictive conceptual framework (model) was developed in which the resilience of South Florida mangrove plant communities is solely a function of the rate of sea-level rise and vertical sediment accumulation. The model was verified using historical (e.g., 1900–2021) and recent (e.g., 2000–2021) sediment accumulation rate data derived using three different methodological approaches. Results indicate by 2040–2050 South Florida mangrove plant communities, already subjected to the destabilizing effects of accelerating sea-level rise for decades, will begin a widespread conversion to estuarine conditions. This will initially trigger the formation and expansion of inundation ponds, as is already occurring in the study area. By the end of this century, most mangrove forested areas will be submerged. The loss of other coastal wetlands (e.g., brackish marsh) is also likely because their rates of sediment accumulation are lower than mangrove. The findings of this study are consistent with other resilience projections that have been conducted in South Florida and at the global scale. Several knowledge gaps were identified which must be filled to improve confidence in subsequent forecasts and the outcome of mitigation efforts undertaken to enhance resilience. These include the lack of (1) sediment accumulation data representative of transitional and freshwater wetlands, (2) a robust understanding of post-depositional processes (e.g., compaction) that can compromise resilience through shallow (~1 m) subsidence, and (3) recent sediment accumulation data necessary to determine how South Florida coastal wetlands have responded to a sustained acceleration in the rate of sea-level rise over the last decade. © 2022</t>
  </si>
  <si>
    <t>2-s2.0-85131602864"</t>
  </si>
  <si>
    <t>10.5194/nhess-22-2491-2022</t>
  </si>
  <si>
    <t>https://www.scopus.com/inward/record.uri?eid=2-s2.0-85135601566&amp;doi=10.5194%2fnhess-22-2491-2022&amp;partnerID=40&amp;md5=447c8426a8778d8ff889eda4df26ddf7</t>
  </si>
  <si>
    <t>When choosing an appropriate hydrodynamic model, there is always a compromise between accuracy and computational cost, with high-fidelity models being more expensive than low-fidelity ones. However, when assessing uncertainty, we can use a multifidelity approach to take advantage of the accuracy of high-fidelity models and the computational efficiency of low-fidelity models. Here, we apply the multilevel multifidelity Monte Carlo method (MLMF) to quantify uncertainty by computing statistical estimators of key output variables with respect to uncertain input data, using the high-fidelity hydrodynamic model XBeach and the lower-fidelity coastal flooding model SFINCS (Super-Fast INundation of CoastS). The multilevel aspect opens up the further advantageous possibility of applying each of these models at multiple resolutions. This work represents the first application of MLMF in the coastal zone and one of its first applications in any field. For both idealised and real-world test cases, MLMF can significantly reduce computational cost for the same accuracy compared to both the standard Monte Carlo method and to a multilevel approach utilising only a single model (the multilevel Monte Carlo method). In particular, here we demonstrate using the case of Myrtle Beach, South Carolina, USA, that this improvement in computational efficiency allows for in-depth uncertainty analysis to be conducted in the case of real-world coastal environments - a task that would previously have been practically unfeasible. Moreover, for the first time, we show how an inverse transform sampling technique can be used to accurately estimate the cumulative distribution function (CDF) of variables from the MLMF outputs. MLMF-based estimates of the expectations and the CDFs of the variables of interest are of significant value to decision makers when assessing uncertainty in predictions. © 2022 Mariana C. A. Clare et al.</t>
  </si>
  <si>
    <t>2-s2.0-85135601566"</t>
  </si>
  <si>
    <t>10.1016/j.scitotenv.2022.154813</t>
  </si>
  <si>
    <t>https://www.scopus.com/inward/record.uri?eid=2-s2.0-85127462873&amp;doi=10.1016%2fj.scitotenv.2022.154813&amp;partnerID=40&amp;md5=42643e090ad96adde071ac01309b2bda</t>
  </si>
  <si>
    <t>The risk of coastal storm flooding is deteriorating under global warming, especially for the heavily urbanized deltaic cities, like Shanghai. The Nature-Based Flood Defense (NBFD), as an eco-friendly design alternative for hard infrastructure against coastal flooding, is gaining attention. Nevertheless, the vulnerability of saltmarsh due to the biological instability, resulting in the uncertainties on coastal protection, is considered the bottleneck challenge that hinders the broad application of the NBFD concept. We argue that except for direct wave attenuations by the above-ground vegetation during storms, the gradual sediment trapping and consolidating during the non-storm period is a more crucial function of coastal saltmarsh, which mitigates storm waves by forming a broader and higher intertidal morphology. This benefit is an important value of saltmarsh-based coastal protection but is largely neglected in many NBFD studies. Taking Chongming Dongtan Shoal (CDS) as a case study, we demonstrated that over 2/3th wave attenuation during storms is contributed by the saltmarsh morphology, and less than 1/3th is from the saltmarsh vegetation. The relative contribution of the saltmarsh morphology on wave mitigation is even enhanced under the increasing storm grades from 100 yrs. to 5000 yrs. return levels. To promote this idea for broader application, the cost-benefit analysis of three artificial NBFD solutions (e.g., submerged breakwater, timber piles, and sand nourishment) are compared. We identified an optimal measure of the submerged breakwater for CDS, which minimizes the ecological impact and maximizes the cost-benefit. Moreover, the wave-free zone behind the breakwater increases the chance of vegetation establishment, helps suspended sediment trapping, hence fostering a beneficent cycle for saltmarsh restoration. In summary, ignoring the contribution of saltmarsh morphology on wave attenuation largely underestimated the benefits of vegetation-based coastal protection, which should be greatly emphasized to provide a solid basis for developing NBFD. © 2022 Elsevier B.V.</t>
  </si>
  <si>
    <t>2-s2.0-85127462873"</t>
  </si>
  <si>
    <t>10.1016/j.jsames.2022.103837</t>
  </si>
  <si>
    <t>https://www.scopus.com/inward/record.uri?eid=2-s2.0-85129911099&amp;doi=10.1016%2fj.jsames.2022.103837&amp;partnerID=40&amp;md5=7d67f2de243bc389d7cffd72b7cc61a7</t>
  </si>
  <si>
    <t>Sea level rise (SLR) is one of the most threatening consequences of climate change. Despite considerable attention being paid to its impact on coastal zones, the studies concerning insular ecosystems remain scarce, particularly in the South Atlantic. In addition, large uncertainties still exist regarding the SLR rates and how islands respond to them. In this study we selected Trindade Island (Brazil), which exhibits a great variety of geomorphological beach systems, to investigate how geomorphological controls (e.g., profile geometry, composition, and sediment budget) influence the coastal behavior under SLR scenarios. To quantify the contribution of the aforementioned parameters to the coastal response, a set of experiments was conducted using the Random Shoreface Translation Model. Overall, the simulation results indicated that most of the analyzed beaches experienced shoreline retreat under the projected SLR scenarios for both 2040 and 2100 (retreat values ranged from 0 to −12.5 m for 2040 and from −0.5 to −47.1 m for 2100). The shoreface slope and composition exerted a strong influence on the coastal response of Trindade, wherein smoother profiles exhibited larger shoreline displacements. When the lower shoreface primarily comprised sand rather than rock, the retreat rates declined by more than 90% under most scenarios. Moreover, we highlight from the two associated experiments, the following: 1) the hard structures in the surf zone (e.g., calcareous reefs and volcanic rock outcrops) act as natural barriers to coastal displacement</t>
  </si>
  <si>
    <t>10.3390/rs14092054</t>
  </si>
  <si>
    <t>https://www.scopus.com/inward/record.uri?eid=2-s2.0-85129619237&amp;doi=10.3390%2frs14092054&amp;partnerID=40&amp;md5=02fa8270a40c6e254cc27450519901fb</t>
  </si>
  <si>
    <t>This study employed remote sensing (optical and synthetic aperture radar) and data analysis techniques to quantify vertical ground displacements and assess their contribution to coastline erosion. To provide evidence from Pakistan, we selected the coast of Karachi—a mega-city located along the dynamic coastline of the Indus River Delta—which has been experiencing severe coastal erosion during the last few decades. Observations from the C-band Envisat/ASAR and Sentinel-1A sensors over the 2004–2010 and 2014–2016 periods, respectively, enabled us to study vertical ground displacements in the study area, providing a long-term assessment during 2004–2016. Results suggest that some areas along the Karachi coastline are subsiding at comparable rates to or even much higher than the relative sea-level rise (SLR, ~1.9 mm/yr), which may amplify the rates of relative SLR in coming years, along with accelerating coastal erosion. Various parts of the study area along the coast are unstable and undergoing displacement. Landsat images from 1989 to 2018 (10-year temporal resolution) were further used to examine the state of coastline erosion using three statistical approaches (i.e., End Point Rate (EPR), Linear Regression Rate (LRR), and Least Median of Squares (LMS)). While the erosion underlaid the majority of the eastern sections of the study area, the ground displacements were spatially heterogeneous across the study area and along the coastline. Erosion rates of ~2.4 m/yr spatially corresponded with ground displacement rates of up to ~−1.4 cm/yr, but not all the coastline segments with high annual mean erosion rates were associated with local mean subsidence. The causes of ground displacements and coastline erosion were analyzed, and results were interpreted by integrating spatial ancillary information. Results indicate that rapid urbanization, construction on reclaimed land, coastline erosion favoring seawater intrusion, failed drainage/sewerage networks, and soil liquefaction are contributing to the site-specific variations in the land displacement in Karachi. © 2022 by the authors. Licensee MDPI, Basel, Switzerland.</t>
  </si>
  <si>
    <t>2-s2.0-85129619237"</t>
  </si>
  <si>
    <t>10.1029/2021EF002581</t>
  </si>
  <si>
    <t>https://www.scopus.com/inward/record.uri?eid=2-s2.0-85130591030&amp;doi=10.1029%2f2021EF002581&amp;partnerID=40&amp;md5=c85417f35005f63f06b63e6e0ba92365</t>
  </si>
  <si>
    <t>Barrier islands predominate the Atlantic and Gulf coastlines of the USA, where population and infrastructure growth exceed national trends. Forward-looking models of barrier island dynamics often include feedbacks with real estate markets and management practices aimed at mitigating damage to buildings from natural hazards. However, such models thus far do not account for networks of infrastructure, such as roads, and how the functioning of infrastructure networks might influence management strategies. Understanding infrastructure networks on barrier islands is an essential step toward improved insight into the future dynamics of human-altered barriers. Here, we examine thresholds in the functioning of 72 US Atlantic and Gulf Coast barrier islands. We use digital elevation models to assign an elevation to each intersection in each road network. From each road network we sequentially remove intersections, starting from the lowest elevation. We use the maxima of the second giant connected component to identify a specific intersection—and corresponding elevation—at which functioning of the network fails, and we match the elevation of each critical intersection to local annual exceedance probabilities for extreme high-water levels. We find a range of failure thresholds for barrier island road network functioning, and also find that no single metric—absolute elevation, annual exceedance probability, or a quantitative metric of robustness—sufficiently ranks the susceptibility of barrier road networks to failure. Future work can incorporate thresholds for road network into forward-looking models of barrier island dynamics that include hazard-mitigation practices for protecting infrastructure. © 2022 The Authors.</t>
  </si>
  <si>
    <t>2-s2.0-85130591030"</t>
  </si>
  <si>
    <t>Natural Resources Forum</t>
  </si>
  <si>
    <t>10.1111/1477-8947.12250</t>
  </si>
  <si>
    <t>https://www.scopus.com/inward/record.uri?eid=2-s2.0-85128029270&amp;doi=10.1111%2f1477-8947.12250&amp;partnerID=40&amp;md5=d7f9f38d16f101f0b8d62389305ca18b</t>
  </si>
  <si>
    <t>The coastal zone of Bangladesh is suffering from a wide range of climate change-driven hazards. Limited attention has been given to these zones' food security assessment. Therefore, this study aims to assess the status of food security and its determinants among different groups of Bangladeshi coastal households. It also identifies their livelihood risks and coping strategies during stressed situations. Data were collected from 1350 households from coastal districts through a questionnaire survey. Food security was calculated and compared with the recommended average (2400 kcal/capita/day). A binary logit model was used to identify the determinants of food security among rural coastal households. Livelihood risks and coping mechanisms were recorded through open-ended questions. The findings of this study revealed that although on average, sampled households were food secure (2753 kcal/capita/day), 81% of landless households and 72% of marginal landholders within the sample appeared food insecure. Among various food items, rice supplied the greatest total daily calorie intake (1841.47 kcal), second was the edible oil (172.27 kcal). The regression model revealed that farm size, farm income, off-farm income, and crop production had positive impacts on households' food security. Floods, salinity, heavy rainfall, and reduction of land productivity were high risks to the large farm households, while heavy rainfall, floods, and salinity were high risks to the landless farm households. To cope with these risks, the majority of large farm households used their savings and sold livestock and poultry as coping strategies. The landless and marginal farmers were mostly helped by nongovernmental and government-run organizations, moved elsewhere to find work, sold their labor, and were involved in fishing. It was concluded that different groups of farmers face different challenges. Our findings indicate that in order to protect landless and marginal farmers, government should implement policies aimed at increasing crop production by means of prioritizing saline-tolerant crop varieties and the creation of more job opportunities. © 2022 United Nations.</t>
  </si>
  <si>
    <t>2-s2.0-85128029270"</t>
  </si>
  <si>
    <t>10.3390/rs14132960</t>
  </si>
  <si>
    <t>https://www.scopus.com/inward/record.uri?eid=2-s2.0-85133026020&amp;doi=10.3390%2frs14132960&amp;partnerID=40&amp;md5=3ab76993797912e230fc3a5d2d7cec57</t>
  </si>
  <si>
    <t>Lipari is the largest and most populated island in the Aeolian Archipelago, a UNESCO site, and a highly frequented touristic destination. As in many other insular settings, the low-lying coastal stretches in the E and NE sectors of Lipari are locally exposed to coastal erosion and flooding, enhanced by subsidence effects leading to local sea level rise. Most of these coastal sectors appear critical, being narrow and increasingly threatened by the risk of permanent inundation and beach disappearance. In this study, this setting is placed in the wider context of the decadal evolution of the main beaches, analysed through a multidisciplinary approach, which includes remote sensing techniques (aero-photogrammetry, unmanned aerial vehicle survey, and satellite data), offshore geophysical surveys (high-resolution multibeam bathymetry), and field observations. The results show a variable interaction in space and time between natural and anthropogenic factors in the long-and mid-term evolution of the studied coastal areas. Considering that part of the local economy at Lipari depends on beach tourism, proper future management is required in the view of natural risk reduction and in the light of future climate changes and related impacts. © 2022 by the authors. Licensee MDPI, Basel, Switzerland.</t>
  </si>
  <si>
    <t>2-s2.0-85133026020"</t>
  </si>
  <si>
    <t>10.1007/s11069-022-05232-y</t>
  </si>
  <si>
    <t>https://www.scopus.com/inward/record.uri?eid=2-s2.0-85124623164&amp;doi=10.1007%2fs11069-022-05232-y&amp;partnerID=40&amp;md5=5271e0250337a163ec42eb63146b658f</t>
  </si>
  <si>
    <t>The present study investigates the accelerating factors for extreme flash flood at Chamoli district of Uttarakhand on 7 February 2021. The Sentinel-2A and 2B satellite data have been used to depict changes in pre-flood (16th of January) i.e., 5 years of 2016 to 2021 to post-flood (10 February, 2021) situation over the study domain. Vegetation and snow-cover from 2016 to 2021 has been obtained using Normalized Difference Vegetation Index (NDVI) classification over study area. Normalized Difference Water Index (NDWI) is used to extract the pre and post-flood water pixels for flood inundation mapping. The Cartosat-1 digital elevation model (DEM) product is used for drainage pattern and stream order mapping. Correlation between the meteorological parameters such as snowfall, wind speed and wind direction of Nanda Gunti peak during the time of flood with the flood event is analysed. The overall results indicate heavy snowfall (4.22 mm/day) over Nanda Gunti hills followed by high wind speed (23 km/hr.) that might have led to initiation of avalanche/landslide, giving rise to massive flash flood and eroded approximately 0.0263 km3 volume of landmass along with snow cover. Further, the 5 years NDVI analysis shows decrease in vegetation near Rishiganga and Alaknanda, a higher order river streams, is also crucial factor for flood intensification that caused massive destruction within the study area. The work highlights the importance of mapping of intense events and underline factors to reduce the impact and losses in case of future events. © 2022, The Author(s), under exclusive licence to Springer Nature B.V.</t>
  </si>
  <si>
    <t>2-s2.0-85124623164"</t>
  </si>
  <si>
    <t>10.1029/2022GL098284</t>
  </si>
  <si>
    <t>https://www.scopus.com/inward/record.uri?eid=2-s2.0-85131304074&amp;doi=10.1029%2f2022GL098284&amp;partnerID=40&amp;md5=b8122b107b9e81b53bc1ec0d7234434a</t>
  </si>
  <si>
    <t>The dense populations that inhabit global coastlines have an uncertain future due to increased flooding, storms, and human modification. The channel networks of deltas and marshes that plumb these coastlines present diverse architectures, including well-studied dendritic topologies. However, the quasi-stable loops that exist in nearly all coastal networks have not yet been explained. We present a model for self-organizing networks inspired by vascular biophysics to show that loops emerge when the relative forcings between rivers and tides are comparable, resulting in interplay between hydrodynamic forcings at short time scales relative to network evolution. Using field data and satellite imaging, we confirm this control on 21 field networks. Our comparison provides compelling evidence that hydrodynamic fluctuations are capable of stabilizing loops in geophysical systems. © 2022. American Geophysical Union. All Rights Reserved.</t>
  </si>
  <si>
    <t>2-s2.0-85131304074"</t>
  </si>
  <si>
    <t>10.3390/quat5020024</t>
  </si>
  <si>
    <t>https://www.scopus.com/inward/record.uri?eid=2-s2.0-85129294514&amp;doi=10.3390%2fquat5020024&amp;partnerID=40&amp;md5=be3fbf2f490001a3cde1f02b549d5c99</t>
  </si>
  <si>
    <t>Significant evolutionary stages of Selinitsa Cave (SW Peloponnese, Greece) were revealed by 3D mapping, as well as geomorphological study of the cave and the nearby landscape. Four marine terraces were identified in the area of the coastal cave at 6, 10.7, 16.6, and 30–32 m above sea level (asl), with the terrace at 16.6 m representing Marine Isotope Stage (MIS) 5. The widest karstified space of Selinitsa Cave clusters between 15.73 and 18.05 m above sea level (asl), with the peak lying at 16.4 m asl, corresponding to the level where the phreatic/epiphreatic zone was stable for a sufficient period of time. A tidal notch at 16.4 m asl at the cave entrance is correlated to the marine terrace at 16.6 m. Both features correspond to the sea-level stand at which intense karstification occurred. The tidal notch bears a horizontal arrangement of Lithophaga borings at the vertex. Sedimentological investigation of the Selinitsa fine-grained deposit revealed the paleohydrologic regime of the cave. It is characterized by “slack-water” facies, indicating very low water flow speeds, whereas the thickness of the deposit points to stable hydrological conditions for prolonged periods. The cave sediment height of 18.8 m asl indicates a flooding level higher than sea level. The overlying Plattenkalk flysch is most probably the major source of detritus, and the predominance of authigenic dolomite (&gt;98% modal in the carbonate fraction) indicates a hyposaline environment related to mixing of sea water with percolating fresh water. The approach of this study shows the significance of 3D mapping, bio-geo-Relative Sea Level (RSL) indicators, and sedimentology in deciphering the paleogeographic evolution of coastal karstic systems and subsequently defining the paleoclimate regime of coastal areas in Greece and the eastern Mediterranean during the Late Quaternary. © 2022 by the authors. Licensee MDPI, Basel, Switzerland.</t>
  </si>
  <si>
    <t>2-s2.0-85129294514"</t>
  </si>
  <si>
    <t>10.1007/s11069-022-05275-1</t>
  </si>
  <si>
    <t>https://www.scopus.com/inward/record.uri?eid=2-s2.0-85125233825&amp;doi=10.1007%2fs11069-022-05275-1&amp;partnerID=40&amp;md5=725a99153296a59fa73b22b7b829412a</t>
  </si>
  <si>
    <t>The impacts of severe storms on the coastal zone, combined with rapid population growth in this area, have made coastal risk management an urgent need. However, integrated risk assessment can be a challenging task for many locations worldwide, as it normally requires the use of a large amount of data. The Coastal Risk Assessment Framework phase one (CRAF1) is a recently proposed analytical scheme based on empirical models and spatial analysis that combines different indicators to identify storm-induced hotspots. With a high degree of flexibility, the methodology was originally designed to be of broad use. Still, there is little information about the tool applicability in data scarcity conditions. In this study, we show that this approach can be applied, with some simplifications, on data-poor areas, allowing the identification of hotspots considering one or multiple hazards. Here, the coastal risk was assessed for erosion and coastal flooding events with return periods of 10 and 50 years on the Santa Catarina Central Coast. The study area is characterized by the occurrence of storm-induced impacts that historically cause disruption and damage to local communities. Although the components of risk have been assessed using various methods along this sector, to date, no integrated risk analysis has been presented in probabilistic terms. Predicted scenarios for the Santa Catarina Central Coast suggest that extreme episodes may cause several impacts, exposing urban settlements as well local road systems, especially in the municipalities of Tijucas and Florianópolis. The results show that the CRAF1 is an appropriate approach for a first-level risk analysis, even when implemented with poor data resolution, as it effectively points to some of the most vulnerable stretches detected in the study area. © 2022, The Author(s), under exclusive licence to Springer Nature B.V.</t>
  </si>
  <si>
    <t>2-s2.0-85125233825"</t>
  </si>
  <si>
    <t>10.1002/hyp.14587</t>
  </si>
  <si>
    <t>https://www.scopus.com/inward/record.uri?eid=2-s2.0-85130710677&amp;doi=10.1002%2fhyp.14587&amp;partnerID=40&amp;md5=c03bf0ee2bfb5bd44a85a62f8547a67b</t>
  </si>
  <si>
    <t>Salt marshes are hotspots of nutrient processing en route to sensitive coastal environments. Whilst our understanding of these systems has improved over the years, we still have limited knowledge of the spatiotemporal variability of critical biogeochemical drivers within salt marshes. Sea-level rise will continue to force change on salt marsh functioning, highlighting the urgency of filling this knowledge gap. Our study was conducted in a central California estuary experiencing extensive marsh drowning and relative sea-level rise, making it a model system for such an investigation. Here we instrumented three marsh positions subjected to different degrees of tidal inundation (6.7%, 8.9%, and 11.2% of the time for the upper, middle, and lower marsh positions, respectively), providing locations with varied biogeochemical characteristics and hydrological interactions at the site. We continuously monitored redox potential (Eh) at depths of 0.1, 0.3, and 0.5 m, subsurface water levels (WL), and temperature at 0.7 m depth at each marsh position. To understand how drivers of subsurface biogeochemical processes fluctuate across tidal cycles, we used wavelet analyses to explain the interactions between Eh and WL. We found that tidal forcing significantly affects key drivers of biogeochemical processes by imparting controls on Eh variability, likely driving subsurface hydro-biogeochemistry of the salt marsh. Wavelet coherence showed that the Eh-WL relationship is nonlinear, and their lead–lag relationship is variable. We found that precipitation events perturb Eh at depth over timescales of hours, even though WL shows relatively minimal change during events. This work highlights the importance of high frequency in situ measurements, such as Eh, to help explain factors that govern subsurface biogeochemistry and hydrological processes in salt marshes. © 2022 John Wiley &amp; Sons Ltd.</t>
  </si>
  <si>
    <t>2-s2.0-85130710677"</t>
  </si>
  <si>
    <t>https://www.scopus.com/inward/record.uri?eid=2-s2.0-85136078405&amp;partnerID=40&amp;md5=72ccc4ecea677dbf66e6a2b1db6bc126</t>
  </si>
  <si>
    <t>In India, Mumbai city faces the problem of recurrent urban floods. The Mumbai floods of 2005 highlighted the vulnerability of the city to increasing climate change threats. On its face, the causes of the 2005 floods were attributed to heavy rainfall and inadequate drainage system. However, various environmentalists argued that the deterioration of the natural ecosystem, such as the mangrove's destruction and Mithi river degradation, were crucial factors in causing the disaster. Also, few empirical studies showed that mangroves could have decreased the impact of 2005 floods by dissipating the incoming wave energy near the coastline. Hence, this paper aims to study mangroves' role in mitigating the urban flood risk in the H east ward (study area) of Mumbai. The study evaluates the landuse-landcover (LULC) changes in the hydrological processes over time. As the H/E ward lies in the Mithi river catchment area, we processed the digital elevation map (DEM) and used the soil conservation service-curve number (SCS-CN) and kinematic routing method to generate the peak discharge at the river sub-basins in hydrologic engineering centre- hydrologic modelling system (HEC-HMS) software. The river geometry is prepared in hydrologic engineering centre-river analysis system (HEC-RAS) software and flood hazard maps were prepared. We found that there has been an increase of 1.40% in the flood inundation area from 1973 to 2005. The maximum depth at the banks of Vakola Nala (location near mangrove) was 1.77 m in 1973 and it reaches 2.36 m for the landuse in 2005. The results highlight the need to restore mangroves around the coastline to mitigate the risk of urban floods. © 2022 - Kalpana Corporation.</t>
  </si>
  <si>
    <t>2-s2.0-85136078405"</t>
  </si>
  <si>
    <t>10.1002/gj.4449</t>
  </si>
  <si>
    <t>https://www.scopus.com/inward/record.uri?eid=2-s2.0-85129153007&amp;doi=10.1002%2fgj.4449&amp;partnerID=40&amp;md5=4182353a0f2db8be2ef8856b0c7e8faf</t>
  </si>
  <si>
    <t>The Western Cameroon Highland margin (WCHM) within the West African margin displays an uneven high relief. Its evolutionary model in vogue suggests the tectonic activity of the Cameroon Volcanic Line (CVL). An evident question in this regard is whether there is any geomorphometric evidence in support of what is this widespread view? We evaluate this question using field controls and geomorphometric indices of active tectonics derived for 13 main river basins with the help of digital elevation model (DEM)-30 m data. The WCHM is developed on Proterozoic granite-gneissic basement and the Cretaceous to Recent volcano-sedimentary cover and was affected by regional active tectonic features. It is marked by transient signs of different landscape evolutionary stages recorded by the relief and drainage network</t>
  </si>
  <si>
    <t>10.1016/j.ejrh.2022.101074</t>
  </si>
  <si>
    <t>https://www.scopus.com/inward/record.uri?eid=2-s2.0-85127493419&amp;doi=10.1016%2fj.ejrh.2022.101074&amp;partnerID=40&amp;md5=65c603a1d1c217db85da5bd418fe685d</t>
  </si>
  <si>
    <t>Study region: The lower reaches of the Yangtze River, China. Study focus: A novel framework for analysis and evaluation of surface water changes in the lower reaches of the Yangtze River was proposed in this study, which was carried out using the Google Earth Engine (GEE) cloud computing platform. The Sentinel-1A images of dry and wet seasons in the study area during 2016 and 2020 were initially synthesized based on the median value of the backscatter coefficient. Then, water extraction results were obtained from the combination of the Random Forest (RF) algorithm, digital elevation model (DEM), and mathematical morphology model according to preferred textural features. New hydrological insights for the region: Verification regions were selected to evaluate the performance of proposed framework</t>
  </si>
  <si>
    <t>10.1016/j.uclim.2022.101146</t>
  </si>
  <si>
    <t>https://www.scopus.com/inward/record.uri?eid=2-s2.0-85126525400&amp;doi=10.1016%2fj.uclim.2022.101146&amp;partnerID=40&amp;md5=00fa86ce227c2c7c43eaea80ced0105f</t>
  </si>
  <si>
    <t>Climate hazards and vulnerabilities in cities are multidimensional. Natural features determine heat, floods and wildfires. Social features determine vulnerability and resilience. This study examined multidimensional hazards, vulnerabilities, and resilience in Haifa, a socially diverse Mediterranean city. Spatial indices of heatwaves, floods, wildfires and social vulnerability were developed by Geographic Information Systems geoprocessing functions using Digital Elevation Model, land use and welfare data. An online survey assessing risk perceptions, sense of danger and community resilience was distributed to residents (N = 549), and geocoded using street identification. The results show that climate hazards and vulnerabilities vary within the city and reflect its geographical and social characteristics: lower regions are prone to heat and floods and elevated neighborhoods to wildfires. All zones and segments of the population are in certain danger, but climate hazards and vulnerabilities are heterogeneous and unequally distributed, with certain neighborhoods more exposed. The downtown area is most vulnerable in social features, yet its residents have higher resilience perceptions compared to uptown, where the main hazard is wildfires and the main vulnerability is aging. Implications for urban climate policy: local stressors should be mitigated at the neighborhood level by investing in suitable infrastructure and fostering community resilience. © 2022 The Authors</t>
  </si>
  <si>
    <t>2-s2.0-85126525400"</t>
  </si>
  <si>
    <t>10.2112/JCOASTRES-D-21-00097.1</t>
  </si>
  <si>
    <t>https://www.scopus.com/inward/record.uri?eid=2-s2.0-85133812118&amp;doi=10.2112%2fJCOASTRES-D-21-00097.1&amp;partnerID=40&amp;md5=c89e31b2718f793903bd38c2c70acf7c</t>
  </si>
  <si>
    <t>A GIS-based screening workflow is presented, providing first overviews of storm surge-induced inundation impacts along coastlines and where to consider mitigative action. The modeling is based on analysis of a hydro-conditioned digital terrain model (DTM) in Esri's ArcGIS Pro environment targeting undergraduate students, professional municipality planners, federal agencies, and more. Unlike existing commercial inundation modeling software, this application works in a simplified timeless setting on steady-state surge levels. This is accomplished only at the cost of not predicting when a specific targeted location is inundated. In return, fast computations are obtained. First, it is demonstrated how the DTM is turned into a hydro-conditioned terrain model, DHyMSea, protecting surges from entering land where sluices, high-water flaps, etc., are present. Second, the inundation screening is initiated for a user-defined number of sea levels. The outputs are individual raster layers for each level showing inundation extents and depths. Also, outputs are produced for each modeled level to back trace where the inundation came from. Third, a combined raster shows the minimum surge level to inundate any cell in the DHyMSea. Fourth, when considered where to raise protecting dikes, they can be digitized and have their elevation values stamped onto the DHyMSea. Finally, the inundation scenarios can be re-executed to evaluate the mitigation impact</t>
  </si>
  <si>
    <t>10.3389/fenvs.2022.880840</t>
  </si>
  <si>
    <t>https://www.scopus.com/inward/record.uri?eid=2-s2.0-85130601293&amp;doi=10.3389%2ffenvs.2022.880840&amp;partnerID=40&amp;md5=324df1cdc74c1a7b70d6dac978d7b372</t>
  </si>
  <si>
    <t>Recent studies have estimated annual flood loss at over two billion USD dollars in damage per year globally. This figure is likely to increase as populations grow, people move to flood prone areas, and flooding dynamics change. Digital Elevation Models are a primary input into many flood models</t>
  </si>
  <si>
    <t>10.1016/j.envsoft.2022.105398</t>
  </si>
  <si>
    <t>https://www.scopus.com/inward/record.uri?eid=2-s2.0-85128701739&amp;doi=10.1016%2fj.envsoft.2022.105398&amp;partnerID=40&amp;md5=e22c560e7210d47c7bef5ff13959477d</t>
  </si>
  <si>
    <t>Flood simulation with two-dimensional hydrodynamic models is subject to different sources of uncertainties in model configuration, boundary conditions, and model parametrization. HEC-RAS 2D is a widely used hydrodynamic model. Here, we assess the sensitivity of the HEC-RAS 2D to its configuration factors and parameters. We evaluate the impacts of different model configuration factors, including the floodplain and channel roughness coefficients, terrain and mesh size, as well as river boundary conditions on the dynamic of water levels, maximum water level, and flood extent, and determine the importance of these contributing factors for reliable flood inundation modeling using both variogram and variance-based analyses. For our case study, we found that depending on the perturbation scale, the performance measure, and the predicted output, the sensitivity to input factors changes. While for simulation of water level dynamics, the DEM and mesh resolutions are the most important factors, for flood extent mapping the floodplain roughness coefficient and the upstream boundary condition are the key factors. In addition, our analyses indicated that for a reliable simulation of maximum flood water level, modelers need to spend resources on the calibration of floodplain roughness coefficient while using fine DEM and mesh resolutions. Here, we also investigate the role of computational time interval and mesh resolution on the model's run time and accuracy. Our results suggested that reducing the computational time interval has minimum impact, as it increases the model run time without much improving the model accuracy. © 2022 Elsevier Ltd</t>
  </si>
  <si>
    <t>2-s2.0-85128701739"</t>
  </si>
  <si>
    <t>10.1016/j.pce.2022.103135</t>
  </si>
  <si>
    <t>https://www.scopus.com/inward/record.uri?eid=2-s2.0-85125810186&amp;doi=10.1016%2fj.pce.2022.103135&amp;partnerID=40&amp;md5=c2287a19251fce623aafcace4d1b48df</t>
  </si>
  <si>
    <t>Sea level rise (SLR) due to climate change is affecting the coastline, causing shoreline changes, the degradation of mangrove forests, and the destruction of coastal resources. This is the cause of a huge amount of mangrove degradation in many parts of the Ganges–Brahmaputra–Meghna delta. A total of 90% of people have been forced to migrate from the island due to extreme weather conditions. In this study, remote sensing (RS) and geographic information system (GIS) techniques were used for LULC change and shoreline shift analyses of Ghoramara Island. LULC classification was carried out using thirty years of Landsat datasets with intervals of ten years (1990 and 2000) and intervals of five years (2005, 2010, 2015, and 2020). The classification was conducted using a supervised classification method. The field survey data were used to validate the classification results. The total area was reduced from 608 ha (in 1990) to 375 ha (in 2020) due to the extreme weather conditions. Around 39% of the land area was found to be degraded due to shoreline changes. The LULC classes of built-up area, agricultural land, water bodies, and vegetation were found to have lost around 62.345 ha, 63.328 ha, 0.836 ha, and 113.241 ha, respectively, from the year 1990–2020. It was observed that the shoreline shifted towards the north-east, north-west, and southern directions in the last thirty years. This study identified the land use changes due to shoreline shifting and proposed the appropriate to achieve the sustainable development of Ghoramara Island. © 2022 Elsevier Ltd</t>
  </si>
  <si>
    <t>2-s2.0-85125810186"</t>
  </si>
  <si>
    <t>10.1016/j.enggeo.2022.106615</t>
  </si>
  <si>
    <t>https://www.scopus.com/inward/record.uri?eid=2-s2.0-85126562832&amp;doi=10.1016%2fj.enggeo.2022.106615&amp;partnerID=40&amp;md5=b6314b4da8a0ed5e1e21c2644309427c</t>
  </si>
  <si>
    <t>Shallow coastal areas are among the most inhabited areas and are valuable for biodiversity, recreation and the economy. Due to climate change and sea level rise, sustainable management of coastal areas involves extensive exploration, monitoring, and protection. Current high-resolution remote sensing methods for monitoring these areas include bathymetric LiDAR. Therefore, this study presents a novel methodological approach to assess the suitability of Airborne LiDAR Bathymetry for automatic classification and mapping of the seafloor. Nine classes of geomorphological bedforms and three classes of anthropogenic structures were identified. They were automatically mapped by Geographic Object-Based Image Analysis and machine learning supervised classifiers. The developed method was applied to six study sites and a 48 km submerged coastal zone in the Southern Baltic, achieving an overall accuracy of up to 94%. This study shows that calculation of the Multiresolution Index of Ridge Top Flatness (secondary feature) can be used to quickly and automatically determine sandbar crests and ridge tops. The methodical approach developed in this study can help evaluate and protect other shallow coastal environments and coastal protection structures. © 2022 The Authors</t>
  </si>
  <si>
    <t>2-s2.0-85126562832"</t>
  </si>
  <si>
    <t>10.1029/2022JC018496</t>
  </si>
  <si>
    <t>https://www.scopus.com/inward/record.uri?eid=2-s2.0-85135585458&amp;doi=10.1029%2f2022JC018496&amp;partnerID=40&amp;md5=ffdd5a047191110407f9b5c8fe5ffdf4</t>
  </si>
  <si>
    <t>Little is known about the effect of tidal changes on minor flooding in most lagoonal estuaries, often due to a paucity of historical records that predate landscape changes. In this contribution, we recover and apply archival tidal range data to show that the mean tidal range in Miami, Florida, has almost doubled since 1900, from 0.32 to 0.61 m today. A likely cause is the dredging of a ∼15 m deep, 150 m wide harbor entrance channel beginning in the early 20th century, which changed northern Biscayne Bay from a choked inlet system to one with a tidal range close to coastal conditions. To investigate the implications for high-tide flooding, we develop and validate a tidal-inference based methodology that leverages estimates of pre-1900 tidal range to obtain historical tidal predictions and constituents. Next, water level predictions that represent historical and modern water level variations are projected forward in time using different sea level rise scenarios. Results show that the historical increase in tidal range hastened the occurrence of present-day flooding, and that the total integrated number of days with high-tide floods in the 2020–2100 period will be approximately O(103) more under present day tides compared to pre-development conditions. These results suggest that tidal change may be a previously under-appreciated factor in the increasing prevalence of high-tide flooding in lagoonal estuaries, and our methods open the door to improving our understanding of other heavily-altered systems. © 2022. The Authors.</t>
  </si>
  <si>
    <t>2-s2.0-85135585458"</t>
  </si>
  <si>
    <t>10.1016/j.jaesx.2021.100077</t>
  </si>
  <si>
    <t>https://www.scopus.com/inward/record.uri?eid=2-s2.0-85121984047&amp;doi=10.1016%2fj.jaesx.2021.100077&amp;partnerID=40&amp;md5=7d32a70a2c25e129631ef78d0dcd1d25</t>
  </si>
  <si>
    <t>The imprint of geologic, climatic and anthropogenic memory as controls on geomorphic river diversity is assessed for twelve River Styles in the Sabarmati Catchment. Geologic controls are the primary determinant of river character and behavior in the hinterland and pediment landscape units, where headwater streams transition to partly confined valleys and gorges with distinct structural lineations in a rectangular drainage network. Climate memory imprints entrenched rivers that make up alluvial fan and alluvial plain landscape units of the mid-lower catchment, shaped by phases of sediment aggradation and subsequent incision in response to enhanced monsoonal rains around 10 ka. Terraces constrain channels within confined and partly confined valleys with occasional and discontinuous floodplains respectively. Laterally unconfined channels are only found in the lower parts of the catchment, immediately upstream of the estuary/delta. Limited space for adjustment, impacts of flow regulation and ephemeral conditions restrict the range of contemporary river morphodynamics, but ridges and swales and abandoned channels on floodplains indicate more dynamic conditions in the past. Impacts of anthropogenic memory are most pronounced in the stopbank-controlled, barrage- and dam-impacted reaches, especially in the cities of Gandhinagar and Ahmedabad. An explanation of controls upon geomorphic river diversity, including an assessment of the role of stream power, presents a coherent platform to develop geomorphologically-informed approaches to river management. © 2021</t>
  </si>
  <si>
    <t>2-s2.0-85121984047"</t>
  </si>
  <si>
    <t>10.1016/j.ecolmodel.2022.109975</t>
  </si>
  <si>
    <t>https://www.scopus.com/inward/record.uri?eid=2-s2.0-85129399633&amp;doi=10.1016%2fj.ecolmodel.2022.109975&amp;partnerID=40&amp;md5=e97c41eed196ece5868e61d940ef0390</t>
  </si>
  <si>
    <t>To assess the effect of sea level rise (SLR) on a 3,800-ha eelgrass meadow in Padilla Bay National Estuarine Research Reserve in Puget Sound, Washington, USA, we coupled the Marsh Equilibrium Model (MEM) with the Relative Elevation Model (REM), combining their respective strengths in simulating aboveground and belowground processes. We then modified the hybrid model to reflect an empirical relationship between eelgrass stem density and sediment accretion, making it the first model of its kind to do so. We used field data to initialize and calibrate the model, then simulated surface elevation change under various SLR and suspended sediment scenarios and tested it against a 12-year surface elevation table dataset from the site. 100-year simulations projected relative elevation loss along at least half of the elevation gradient for all SLR scenarios, and along the entire gradient for three SLR scenarios, with greater loss at higher elevations. The current suspended sediment concentration is thus insufficient for the entire eelgrass meadow to keep pace with SLR, with up to a four-fold increase required, however this presents a management conundrum in that the required sediment load may prevent eelgrass from meeting its light requirements. The main contributions of this study thus include: the novel combination of MEM and REM models, the inclusion of stem density as a factor controlling accretion, the use of a long-term data record for model initialization, calibration, and validation, and the finding that increasing sediment inputs to maintain the elevation of the habitat in the long term may be detrimental to eelgrass health in the short term. © 2022</t>
  </si>
  <si>
    <t>2-s2.0-85129399633"</t>
  </si>
  <si>
    <t>10.2112/JCOASTRES-D-21-00116.1</t>
  </si>
  <si>
    <t>https://www.scopus.com/inward/record.uri?eid=2-s2.0-85130641740&amp;doi=10.2112%2fJCOASTRES-D-21-00116.1&amp;partnerID=40&amp;md5=544288993fabd865a1a9a28de13dbc54</t>
  </si>
  <si>
    <t>Coastal regions mainly rely on sources of local fresh groundwater for domestic, irrigational, and industrial usages, which are vulnerable to high-risk of getting intruded by saltwater. Excessive pumping of fresh groundwater initiates advances of saltwater-freshwater interface inward due to hydraulic equilibrium and continuity. This introduces saline water intrusion into coastal aquifers. This is also caused by natural hazards like sea-level rise and storm-surge. The saltwater intrusion in coastal aquifers contaminates the freshwater storage, thereby emerging as a major environmental issue. To incorporate adequate coastal groundwater control and management techniques that are effective and conveniently implementable, understanding the phenomenon of saline water intrusion and the risk assessment is of utmost importance. Several scientific contributions including theoretical (analytical and numerical) solutions, experimental (laboratory and field) results, design recommendations, and risk analysis are available, indicating remarkable advances in the research area. The authors have attempted to summarize the significant contributions over the last few decades in each of these study aspects through extensive literature survey and critical analysis of the existing knowledge. It is observed that risk prevention and control methodologies such as qanat-well structure, shallow and deep wells might not be effective in many coastal areas as the complex intrusion process is yet to be understood clearly. Moreover, the high intensity coastal hazards that often occur due to climate change continue to make aquifers more vulnerable, adversely affecting the coastal groundwater management. The paper presents a critical overview of existing studies on saline water intrusion into coastal aquifers and associated risks and management techniques. Furthermore, adequate research directives with recommendations for future development are also provided.  © 2022 Coastal Education and Research Foundation, Inc.</t>
  </si>
  <si>
    <t>2-s2.0-85130641740"</t>
  </si>
  <si>
    <t>10.1016/j.ejrh.2022.101072</t>
  </si>
  <si>
    <t>https://www.scopus.com/inward/record.uri?eid=2-s2.0-85127666046&amp;doi=10.1016%2fj.ejrh.2022.101072&amp;partnerID=40&amp;md5=b830dacdf81194a13b8415ea035792fb</t>
  </si>
  <si>
    <t>Study Region Johor River Basin (JRB), Malaysia. Study Focus The study generates long time-series land use and land cover (LULC) change at 5- years interval using Google Earth Engine and investigate the LULC changes and river morphology changes of JRB. Intensity analysis on the LULC changes was conducted to highlight the transition between LULC. Targeted transition from natural to disturbed lands were detected, which impact the river morphology of the basin. River morphology changes were identified along Johor River, based on the centerline migration derived from Channel Migration Toolbox. New Hydrological Insights for the Region JRB has undergone high intensity LULC change over the past decades due to significant economic and population growth which impacted the river morphology. Channel migration analysis reported high river centerline migration (498609 m2 to 1853886 m2) of Johor River. Higher migration rate was identified at the estuary of the Johor River and several locations along the river. Specific locations with high channel migration were highlighted where human-induced changes are the factors to affect the morphology of the river. The proposed method is first applied in the region and the results enhance local and regional policies and decision making on food and water security, prevent extreme events such as floods, and further degradation of natural land. © 2022 The Authors</t>
  </si>
  <si>
    <t>2-s2.0-85127666046"</t>
  </si>
  <si>
    <t>10.1007/s11852-022-00862-7</t>
  </si>
  <si>
    <t>https://www.scopus.com/inward/record.uri?eid=2-s2.0-85128805318&amp;doi=10.1007%2fs11852-022-00862-7&amp;partnerID=40&amp;md5=2bfa8400abf193be019f0994d751d7c3</t>
  </si>
  <si>
    <t>Climate change-induced marine hazards are increasingly threatening coastal zones, with a two-fold increase in the last decade. In this study, we assessed coastal vulnerability using the multi-criteria decision making (MCDM) method in conjunction with geospatial applications. Data on five physical variables: geomorphology, coastal slope, shoreline change history, spring tide range and significant wave height were extracted from the optical and microwave remote sensing images, existing maps and GIS processing for the 78-km-long coastal zone of Kozhikode district, which was taken as a case study. Weighted analysis of these variables and their subunits was performed using the analytical hierarchical method. These data were then processed to calculate the coastal vulnerability index (CVI), which ranged between 0.06 and 0.44 for the study area with higher CVI values indicating higher risk of hazards. The coastal risk analysis made using the geometric interval classification of the entire range of CVI values indicated that more than a third of the Kozhikode coast is under high risk to coastal hazards. Our study demonstrated the importance of integrating geospatial and MCDM analysis for a robust coastal vulnerability assessment in determining the hazard proneness of different coastal segments. © 2022, The Author(s), under exclusive licence to Springer Nature B.V.</t>
  </si>
  <si>
    <t>2-s2.0-85128805318"</t>
  </si>
  <si>
    <t>10.1007/s10346-021-01842-y</t>
  </si>
  <si>
    <t>https://www.scopus.com/inward/record.uri?eid=2-s2.0-85124722195&amp;doi=10.1007%2fs10346-021-01842-y&amp;partnerID=40&amp;md5=50ef77823148da31b538697c97de7c89</t>
  </si>
  <si>
    <t>Based on field geological survey and unmanned aerial vehicle (UAV) photography, this paper studied the inherent causes, intrinsic mechanisms, and kinematic characteristics of a catastrophic landslide of dissolved and fractured rock slope in a mountainous area of Southwestern China. The discrete element method (DEM) model of representative volume element of fractured rock mass considering karst existence was developed with its micromechanical parameters calibrated from laboratory element tests. The coupled finite difference and discrete element methods (FDM-DEM) were then employed to simulate deformation and failure evolution and collapse development of the rock slope with both internal and externally triggering factors properly addressed. The kinematic characteristics of mobile collapse debris flow were analyzed, and the numerical simulation results were validated by laboratory physical model test. The results show that the internal causes were mainly manifested in slope structure, lithology combination, karst, and fracture development, among which the unfavorable interaction disintegrated rock masses. The primary external cause was the staged underground coal-mining operations underneath the collapsed body, which led to large cracks appearing at the back edges of the slope. The maximum velocity of mobile collapse debris was about 65 m/s with the maximum travel distance of more than 600 m. Numerical simulation results matched well with both field forensic investigation and laboratory physical model test results. The findings would help further understand the deformation and failure process of fractured rock slope subject to underground mining and provide technical reference for accurate assessment and proper mitigation of similar landslide disasters. © 2022, Springer-Verlag GmbH Germany, part of Springer Nature.</t>
  </si>
  <si>
    <t>2-s2.0-85124722195"</t>
  </si>
  <si>
    <t>10.5194/nhess-22-2145-2022</t>
  </si>
  <si>
    <t>https://www.scopus.com/inward/record.uri?eid=2-s2.0-85133429850&amp;doi=10.5194%2fnhess-22-2145-2022&amp;partnerID=40&amp;md5=9de83917dbf54f7cfed042af694b0f6c</t>
  </si>
  <si>
    <t>Multivariate coastal flooding is characterized by multiple flooding pathways (i.e., high offshore water levels, streamflow, energetic waves, precipitation) acting concurrently. This study explores the joint risks caused by the co-occurrence of high marine water levels and precipitation in a highly urbanized semi-arid, tidally dominated region. A novel structural function developed from the multivariate analysis is proposed to consider the implications of flood control infrastructure in multivariate coastal flood risk assessments. Univariate statistics are analyzed for individual sites and events. Conditional and joint probabilities are developed using a range of copulas, sampling methods, and hazard scenarios. The Nelsen, BB1, BB5, and Roch-Alegre were selected based on a Cramér-von Mises test and generally produced robust results across a range of sampling methods. The impacts of sampling are considered using annual maximum, annual coinciding, wet-season monthly maximum, and wet-season monthly coinciding sampling. Although annual maximum sampling is commonly used for characterizing multivariate events, this work suggests annual maximum sampling may substantially underestimate marine water levels for extreme events. Water level and precipitation combinations from wet-season monthly coinciding sampling benefit from a dramatic increase in data pairs and provide a range of physically realistic pairs. Wet-season monthly coinciding sampling may provide a more accurate multivariate flooding risk characterization for long return periods in semi-arid regions. Univariate, conditional, and bivariate results emphasize the importance of proper event definition as this significantly influences the associated event risks.  © 2022 Joseph T. D. Lucey.</t>
  </si>
  <si>
    <t>2-s2.0-85133429850"</t>
  </si>
  <si>
    <t>10.1785/0220210283</t>
  </si>
  <si>
    <t>https://www.scopus.com/inward/record.uri?eid=2-s2.0-85130079852&amp;doi=10.1785%2f0220210283&amp;partnerID=40&amp;md5=465bb571ef0a54a8f346ad2dba46f91e</t>
  </si>
  <si>
    <t>On 16 September 2015, the Mw 8.3 Illapel megathrust earthquake broke the subduction contact of the Nazca plate beneath the South American plate, causing unexpectedly high tsunami waves that strongly impacted the coast along the Coquimbo region in central northern Chile. Here, we report results from a postearthquake and tsunami survey, evidencing a complex coastal geological response driven by the near coast and near trench seismic patches that ruptured during this event. Systematically, high tsunami run-ups, up to 10 11 m a.s.l., were measured on the western coast of the Punta Lengua de Vaca Peninsula in front of the near trench rupture patch, whereas tsunami run-ups up to 5 6 m were measured close to the near coast rupture patch. Detailed measurements conducted in the Coquimbo area revealed tsunami run-ups systematically higher than 6 6.5mand up to 7.8 m. Field observations of bleached coralline algae supported by ulterior laboratory experiences were compared with geodetic measurements that evidenced complex and variable alongshore uplift-subsidence responses of the coast, suggesting a relative consistency with respect to its modern geomorphological configuration. From the analysis of pit dug in the Tongoy area, which was strongly impacted by this last tsunami, we evaluated distinctive sandy layers with benthic foraminifera tests interbedded between alluvial fine sediments, which we interpreted as paleotsunami events dated before 1108 77 C.E., shortly before 1346 50 C.E., and approximately 1473 37 C.E. In addition to the historical massive tsunamis that occurred in 1730, 1877, and 1922 C.E. in central and northern Chile,we interpreted prehistoric tsunamis revealed here as events triggered by large megathrust earthquake ruptures, evidencing the high exposition of these coasts to near fields as well as to distant tsunamis produced along the Chilean subduction margin but also in the pan-Pacific region. © 2022 Seismological Society of America. All rights reserved.</t>
  </si>
  <si>
    <t>2-s2.0-85130079852"</t>
  </si>
  <si>
    <t>10.1016/j.habitatint.2022.102554</t>
  </si>
  <si>
    <t>https://www.scopus.com/inward/record.uri?eid=2-s2.0-85127367210&amp;doi=10.1016%2fj.habitatint.2022.102554&amp;partnerID=40&amp;md5=ca644d4b9084004a80de540874c2d011</t>
  </si>
  <si>
    <t>A worldwide increase in flooding due to climate change and population growth in exposed areas is expected, especially in coastal areas</t>
  </si>
  <si>
    <t>10.1029/2021EF002580</t>
  </si>
  <si>
    <t>https://www.scopus.com/inward/record.uri?eid=2-s2.0-85135058617&amp;doi=10.1029%2f2021EF002580&amp;partnerID=40&amp;md5=505338ef46faacca4f4c07fc6fc6aa58</t>
  </si>
  <si>
    <t>Coastal settlements are experiencing the effects of climate change-induced sea-level rise, including a significant but often poorly-characterized impact on groundwater. The shallow water tables present in the built coastal environment contribute to an increased risk from natural hazards such as groundwater flooding and saltwater intrusion. Historical urban development was accompanied by impacts on shallow groundwater, and in the future subsurface environments, including underground infrastructure, will face additional pressure. This article reviews processes of the coastal groundwater zone and simulation tools used to evaluate possible impacts of sea-level rise. The benefits and limitations of the two main methods to assess coastal groundwater rise and contribution to flooding are discussed using studies and investigations up to 2021. The review addresses challenges associated with the simulation tools to evaluate changes in urban hydrogeology due to sea-level rise. The models reviewed do not specifically estimate groundwater contribution to land-surface flooding. We highlight a critical need for methodology comparisons between spatial interpolation and numerical tools that will guide future work. An adequate validation of assessment methods is required and will be supported by improved coastal groundwater monitoring networks focused on water quality, saltwater intrusion, and continuous groundwater levels records. From current monitoring practices, evidence for groundwater rise with rising sea level is not widely observed at present. New monitoring sites are recommended near the coastline and tidally influenced surface water bodies, to better evaluate the rise of the water table and impacts on infrastructure. © 2022 The Authors. Earth's Future published by Wiley Periodicals LLC on behalf of American Geophysical Union.</t>
  </si>
  <si>
    <t>2-s2.0-85135058617"</t>
  </si>
  <si>
    <t>10.1029/2021JC018029</t>
  </si>
  <si>
    <t>https://www.scopus.com/inward/record.uri?eid=2-s2.0-85133366595&amp;doi=10.1029%2f2021JC018029&amp;partnerID=40&amp;md5=a334ca7d2a1de433ab8d54a5857fee22</t>
  </si>
  <si>
    <t>The mechanisms controlling the formation of an estuarine turbidity maximum (ETM) in estuaries have been extensively investigated, but one aspect that has received much less scientific attention is the role of high suspended sediment concentrations in combination with tidal asymmetry in ETM formation. Particularly in highly turbid estuaries, sediment suspensions influence ETM development through a combination of horizontal sediment-induced density currents, a reduction in turbulent mixing, and water-bed exchange processes. In this study, we developed a schematic model resembling the Yangtze Estuary where the ETM is controlled by tidal pumping, estuarine circulation, and advection operating simultaneously. Model results suggest that high water slack tide asymmetry with Sediment-induced density effects (SedDE) favors landward migration of the ETM. In addition, without SedDE, stronger flood tidal dominance leads to more pronounced sediment trapping through tidal pumping. Depending on the type of tidal asymmetry, SedDE strengthen ETM growth by increasing estuarine circulation but may also lead to increased or reduced sediment concentration in the ETM due to enhanced or weakened landward tidal pumping, respectively. Higher near-bed sediment concentrations as a result of water-bed exchange processes, in turn, strengthen the effect of estuarine circulation but simultaneously strengthen the divergence of sediment by tidal pumping. Overall, the SedDE and higher near-bed sediment concentration, in combination with tidal asymmetry, play an important role in ETM formation and should be properly accounted for in studies on ETM dynamics in turbid estuaries. © 2022. American Geophysical Union. All Rights Reserved.</t>
  </si>
  <si>
    <t>2-s2.0-85133366595"</t>
  </si>
  <si>
    <t>10.1111/csp2.12696</t>
  </si>
  <si>
    <t>https://www.scopus.com/inward/record.uri?eid=2-s2.0-85128332713&amp;doi=10.1111%2fcsp2.12696&amp;partnerID=40&amp;md5=4bdee620535b673f65d483c2cb4ded72</t>
  </si>
  <si>
    <t>The challenge of conserving viable habitat while simultaneously predicting how land cover may geographically shift with future climate change has put pressure on ecologists and policy-makers to develop near-term (several years to a decade) ecological and geospatial predictions. This is particularly relevant for endangered species as ranges adjust to track a changing climate. The whooping crane is vulnerable to these changes, as the overwintering habitat of a small population is susceptible to climate impacts. This study mapped the historical spatial transformation of crane habitat in and around the Aransas National Wildlife Refuge. A time series of ecological niche models was developed to determine the biotic and abiotic factors correlated with crane presence and track how importance has changed over time. The results from the multitemporal models were used to predict areas along the US Gulf Coast where additional unoccupied habitat may be located for crane population expansion and model how the areas may degrade or change as sea levels rise through future climate change scenarios. Findings indicate that the percentage of emergent herbaceous wetland and water are the most important variables influencing crane presence. Sea level rise analysis indicates that potential habitat throughout the Texas–Louisiana Gulf Coast will be impacted considerably by climate change. The lack of large, continuous blocks of usable land cover could limit population expansion and future recovery efforts. However, the findings can help facilitate winter range expansion to accommodate the growing population by identifying additional areas to protect that could be used by the current wild population or experimental populations. © 2022 The Authors. Conservation Science and Practice published by Wiley Periodicals LLC on behalf of Society for Conservation Biology.</t>
  </si>
  <si>
    <t>2-s2.0-85128332713"</t>
  </si>
  <si>
    <t>10.1007/s12524-022-01525-8</t>
  </si>
  <si>
    <t>https://www.scopus.com/inward/record.uri?eid=2-s2.0-85126113090&amp;doi=10.1007%2fs12524-022-01525-8&amp;partnerID=40&amp;md5=c701392f5609894c86a5c7b624316941</t>
  </si>
  <si>
    <t>An accurate flood mapping is a non-structural measure that helps to reduce damages and minimizes losses. The availability of large-scale and good quality topographic input data is of great concern for such studies. The present study involves the integration of Cartosat-1 stereo image pairs (remotely sensed) and ground truth points (surveyed) to develop digital elevation model (DEM) for the Mahanadi delta in India. The integration was performed for two cases: (i) A single Cartosat-1 image at a time and (ii) Aggregation of Cartosat-1 images one after another. Both the cases involve different numbers of ground control points (GCPs) (to be integrated with Cartosat-1 images) to study the quality and suitability of DEMs for flood inundation modeling. The best one among the DEMs prepared for each Cartosat-1 image with different number of GCPs was further used for hydrodynamic modeling. The MIKE 11 model was calibrated for 2009 and validated for 2010 using cross-sections extracted from Cartosat-1 DEMs. Further, bathymetry for the MIKE 21 model was prepared using the best Cartosat-1 DEM. MIKE FLOOD model setup was prepared to simulate flood inundation for the year 2011. The results indicate that DEMs of reasonable quality can be generated by incorporating GCPs and rational polynomial coefficients. The areal extent of simulated flood using MIKE FLOOD is in reasonable agreement with the observed counterpart. © 2022, Indian Society of Remote Sensing.</t>
  </si>
  <si>
    <t>2-s2.0-85126113090"</t>
  </si>
  <si>
    <t>10.3390/rs14112693</t>
  </si>
  <si>
    <t>https://www.scopus.com/inward/record.uri?eid=2-s2.0-85131870387&amp;doi=10.3390%2frs14112693&amp;partnerID=40&amp;md5=cc9a6a13acea39d91efd568462e57fb2</t>
  </si>
  <si>
    <t>Shanghai Lingang New City, located in the southeast corner of Shanghai, was constructed by land reclamation from 2002 to 2005, in an area where the geological structure is prone to subsidence over time. Firstly, we explore the spatio-temporal pattern of ground subsidence and its mechanism using the Persistent Scatterers Interferometric Synthetic Aperture Radar (PSInSAR) technique by processing 50 scenes of Sentinel-1A images acquired from May 2016 to May 2018. In order to assess the accuracy of PSInSAR derived deformation, we collect the first-class leveling data at two benchmarks located in the study area</t>
  </si>
  <si>
    <t>10.1016/j.wace.2022.100453</t>
  </si>
  <si>
    <t>https://www.scopus.com/inward/record.uri?eid=2-s2.0-85129931798&amp;doi=10.1016%2fj.wace.2022.100453&amp;partnerID=40&amp;md5=df36e8123b728fc55c0544b6873e6de4</t>
  </si>
  <si>
    <t>It is widely accepted that climate change will cause sea level rise and increase the coastal flood hazard in many places. However, climate change also has significant implications for hurricane climatology. While the effect of climate change on hurricane frequency is inconclusive, there is a general consensus among climate scientists that hurricane intensity will increase over the coming decades. A number of studies indicate that hurricane size and translation speed may intensify with climate change as well. Each of these properties influences storm surge generation and propagation, and thus has significant implications for the coastal flood hazard, particularly in the densely populated northeast region of the U.S. As coastal populations grow, increasing the resilience of the built environment will become an increasingly necessary priority. Local, detailed, and comprehensive flood hazard assessment is a central aspect of such efforts. In this work, we integrate global climate data, statistical-deterministic hurricane modeling, physics-based numerical storm surge modeling, and extreme value analysis methods to comprehensively assess the present day and end of century flood hazard due to hurricanes for several coastal communities along the U.S. North Atlantic coastline. We find that by the end of the century, annual exceedance probabilities of the 100-year flood may increase by factors as great as 7 due to sea level rise, and on average projected changes to tropical cyclone climatology cause these probabilities to double. For truly effective long-term resilience efforts, coastal engineers, planners, and other stakeholders must account for climate change impacts to both sea level and tropical storm climatology. © 2022 The Author(s)</t>
  </si>
  <si>
    <t>2-s2.0-85129931798"</t>
  </si>
  <si>
    <t>10.1007/s10661-022-10048-1</t>
  </si>
  <si>
    <t>https://www.scopus.com/inward/record.uri?eid=2-s2.0-85128613135&amp;doi=10.1007%2fs10661-022-10048-1&amp;partnerID=40&amp;md5=79c9056c9eb6c0f490d5b01251bbed2e</t>
  </si>
  <si>
    <t>Understanding the spatial distribution of soil erodibility factor (K-factor) at the district scale is essential for managing water erosion risk. In this research, we performed to predict the low and high classes of K-factor in the northwest of Iran. Based on this, soil sampling was performed at 64 points using the grid sampling method with 1 km spacing. To calculate the K-factor, the distribution of particle size and organic carbon (OC) were determined. In addition, 21 terrain attributes were calculated by Digital Elevation Model (DEM) to add value to the soil data. Then, K-factor was modeled using Random Forest (RF) and Artificial Neural Network (ANN) models. In the next step, a non-linear Multiple Logistic Regression (NMLR) was used to obtain low and high classes of K-factor. The results showed that the performance of RF is superior to ANN with a high coefficient of determination [R2 = 0.85] and good accuracy [RMSE = 0.003 (Mg ha h/ha MJ mm)]. Therefore, the RF was employed for predicting the K-factor spatial distribution. Finally, using the NMLR model, the study area was divided into low and high classes of K-factor with good correlation [R2 Cox and Snell = 0.78, R2 Nagelkerke = 0.65]. The areas of these two classes were 60.4% for low class and 39.6% for the high class of K-factor. Based on these results, it was concluded that the resultant map of low and high classes of K-factor could be used by farmers and managers for managing soil water erosion risks in the study area. © 2022, The Author(s), under exclusive licence to Springer Nature Switzerland AG.</t>
  </si>
  <si>
    <t>2-s2.0-85128613135"</t>
  </si>
  <si>
    <t>10.5194/nhess-22-1863-2022</t>
  </si>
  <si>
    <t>https://www.scopus.com/inward/record.uri?eid=2-s2.0-85132263906&amp;doi=10.5194%2fnhess-22-1863-2022&amp;partnerID=40&amp;md5=b7d64511405391e1a13ac4931e597eef</t>
  </si>
  <si>
    <t>Deriving reliable estimates of design water levels and wave conditions resulting from tropical cyclones is a challenging problem of high relevance for, among other things, coastal and offshore engineering projects and risk assessment studies. Tropical cyclone geometry and wind speeds have been recorded for the past few decades only, thus resulting in poorly reliable estimates of the extremes, especially in regions characterized by a low number of past tropical cyclone events. In this paper, this challenge is overcome by using synthetic tropical cyclone tracks and wind fields generated by the open-source tool TCWiSE (Tropical Cyclone Wind Statistical Estimation Tool) to create thousands of realizations representative of 1000 years of tropical cyclone activity for the Bay of Bengal. Each of these realizations is used to force coupled storm surge and wave simulations by means of the processed-based Delft3D Flexible Mesh Suite. It is shown that the use of synthetic tracks provides reliable estimates of the statistics of the first-order hazard (i.e., wind speed) compared to the statistics derived for historical tropical cyclones. Based on estimated wind fields, second-order hazards (i.e., storm surge and waves) are computed that are generated by the first-order hazard of wind. The estimates of the extreme values derived for wind speed, wave height and storm surge are shown to converge within the 1000 years of simulated cyclone tracks. Comparing second-order hazard estimates based on historical and synthetic tracks shows that, for this case study, the use of historical tracks (a deterministic approach) leads to an underestimation of the mean computed storm surge of up to -30 %. Differences between the use of synthetic versus historical tracks are characterized by a large spatial variability along the Bay of Bengal, where regions with a lower probability of occurrence of tropical cyclones show the largest difference in predicted storm surge and wave heights. In addition, the use of historical tracks leads to much larger uncertainty bands in the estimation of both storm surges and wave heights, with confidence intervals being +80 % larger compared to those estimated by using synthetic tracks (probabilistic approach). Based on the same tropical cyclone realizations, the effect that changes in tropical cyclone frequency and intensity, possibly resulting from climate change, may have on modeled storm surge and wave heights was computed. As a proof of concept, an increase in tropical cyclone frequency of +25.6 % and wind intensity of +1.6 %, based on literature values and without accounting for uncertainties in future climate projection, was estimated to possibly result in an increase in storm surge and wave heights of +11 % and +9 %, respectively. This suggests that climate change could increase tropical-cyclone-induced coastal hazards more than just the actual increase in maximum wind speeds.  © 2022 Tim Willem Bart Leijnse et al.</t>
  </si>
  <si>
    <t>2-s2.0-85132263906"</t>
  </si>
  <si>
    <t>10.3390/land11050706</t>
  </si>
  <si>
    <t>https://www.scopus.com/inward/record.uri?eid=2-s2.0-85130286750&amp;doi=10.3390%2fland11050706&amp;partnerID=40&amp;md5=1aaa6d25e8ff3bfa63642ec5e2b8ce59</t>
  </si>
  <si>
    <t>Nested Delft 3D and Hydrus 1D models were applied to simulate variations in the hydrological process of tidal creeks, soil water, and salt transport in the soil profile of the reconstruction area in the Yellow River Delta under six gate dam scenarios. The results showed that the gate dam set up near the sea area was more conducive to reducing the variation range of water depth in the reconstruction area. The water depth changes in scenarios with 6 m gate valves were higher than those with 3 m sluice valves in the same gate dam location. The variations in surface water salinity, cumulative flooding time, flooding frequency, and cumulative infiltration in each scenario were similar to those for water depth. Rapid changes in soil water and salt content occurred in each scenario in periods without flooding. The fluctuation of soil salt content in different soil layers was contrary to the changes in soil water content. The overall difference in the soil salt contents and soil water content of the soil profile in scenarios with a gate dam near the sea was relatively larger than that of those with a gate dam near the shore. Obvious differences in both the soil water content and soil salt content between scenarios with 3 m and 6 m gate valves were not observed. Our results contribute to the understanding of the function of gate dams in controlling soil water and salt content in coastal wetlands. © 2022 by the authors. Licensee MDPI, Basel, Switzerland.</t>
  </si>
  <si>
    <t>2-s2.0-85130286750"</t>
  </si>
  <si>
    <t>10.1007/s10236-022-01512-0</t>
  </si>
  <si>
    <t>https://www.scopus.com/inward/record.uri?eid=2-s2.0-85129562228&amp;doi=10.1007%2fs10236-022-01512-0&amp;partnerID=40&amp;md5=416bdd719409cdaaafe1e270ec05e03d</t>
  </si>
  <si>
    <t>The climatic change has led to the sea-level rise (SLR), which is expected to continue based on the current industrial and human activities. Previous studies indicated that most of estuaries which are of great environmental and economic importance are likely to be affected by SLR. Thus, understanding the hydrodynamic behavior of estuaries under SLR is necessary. This study focuses on the Hudson–Raritan Estuary (HRE) which has been predicted to undergo relatively high SLR rates. The complex geometry of HRE including bays connected by tidal straits along with the multi-tidal inlets necessitates more investigation of the complex hydrodynamics in this region. Here, we studied the potential effect of the projected SLR scenarios to the year 2100 on salinity distribution and transport processes during the dry and wet seasons using the three-dimensional hydrodynamic model (EFDC). The model is validated by the field observations of water level, current velocity, salinity, and temperature distribution in the estuary. A comprehensive analysis of the current sea level (base) and the three projected scenarios of 0.35, 0.55, and 1.05 m rise revealed an increase of the average salt content and the stratification intensity as the water level rises in tributaries, with higher increase rates during the wet season. In addition, the results showed that the water exchange between different regions through tidal straits enhances under SLR scenarios. Furthermore, it was found that SLR amplifies the residual flows in tributaries and suppresses it along Ambrose and Raritan Bay Channels. Finally, our results showed that under SLR, the residence time increases in the tributaries due to changes in estuarine circulation. Conversely, the residence time decreases slightly in downstream of the estuary because of vertical mixing enhancement induced by decrease in stratification. The results provide beneficial information for understanding the response of transport process and circulation to SLR in the Hudson–Raritan Estuary. © 2022, Springer-Verlag GmbH Germany, part of Springer Nature.</t>
  </si>
  <si>
    <t>2-s2.0-85129562228"</t>
  </si>
  <si>
    <t>10.1007/s13412-021-00743-9</t>
  </si>
  <si>
    <t>https://www.scopus.com/inward/record.uri?eid=2-s2.0-85123126210&amp;doi=10.1007%2fs13412-021-00743-9&amp;partnerID=40&amp;md5=f225e47735fed9781fc543a59bef7646</t>
  </si>
  <si>
    <t>Coastal restoration is being undertaken globally to address and avoid the losses caused by rising relative sea levels and other forms of coastal ecosystem degradation. Restoration decision-making is increasingly considering its social impacts, but how social factors should be incorporated in decision-making is a matter of debate. Multi-criteria approaches are promoted for their ability to overcome problems associated with monetary valuation of nature. Louisiana’s coastal restoration program has been promoted as a good example of a multi-criteria approach. This article engages in a critical examination of the wetland restoration program contained in Louisiana’s 2017 Coastal Master Plan (CMP). The principles that underlie decision-making, and how these principles are deployed through decision tools and metrics, constitute an implicit utilitarianism. This utilitarianism, in spite of the use of multiple criteria, recreates problems commonly associated with monetary valuation, namely, it creates poor distributional outcomes and fails to account for non-economic values of nature. The study argues that these problems can be overcome with a systematic use of the capability approach. This would involve the development of an evaluative framework that prioritizes the freedoms of the worst-off, and translation of this framework into a series of metrics compatible with planning models and tools. The paper closes by outlining some challenges to achieving a capability approach in Louisiana’s CMP. © 2022, The Author(s).</t>
  </si>
  <si>
    <t>2-s2.0-85123126210"</t>
  </si>
  <si>
    <t>10.1007/s11069-022-05270-6</t>
  </si>
  <si>
    <t>https://www.scopus.com/inward/record.uri?eid=2-s2.0-85125055434&amp;doi=10.1007%2fs11069-022-05270-6&amp;partnerID=40&amp;md5=e36e6d797c9eb4fb9f8940e22c598180</t>
  </si>
  <si>
    <t>New methods allow the direct computation of flood inundation maps from lidar data, independently of discharge estimates, hydraulic analysis, or defined cross sections. One method projects the interpolated profile of measured flood levels onto surrounding topography, creating a smooth inundation surface that is entirely based on data and geometrical relationships. A second method computes inundation maps for any simple function that relates the water surface to the elevation of the channel bottom, exploiting their known, sub-parallel character. A final method theoretically combines the elevation of the channel bottom and the upstream catchment area for points along the thalweg, all defined by lidar data. Historical data from stream gauges can be incorporated to generate inundation maps for floods having different return periods. The conceptual simplicity and realism of these maps facilitate data-based planning. © 2022, The Author(s), under exclusive licence to Springer Nature B.V.</t>
  </si>
  <si>
    <t>2-s2.0-85125055434"</t>
  </si>
  <si>
    <t>10.3390/rs14102380</t>
  </si>
  <si>
    <t>https://www.scopus.com/inward/record.uri?eid=2-s2.0-85130643472&amp;doi=10.3390%2frs14102380&amp;partnerID=40&amp;md5=ddac0789da174cb14f79c68c65e2d787</t>
  </si>
  <si>
    <t>Soil salinity has a major impact on agricultural production. In a changing climate with rising sea-levels, low-lying coastal areas are increasingly inundated whereby saltwater gradually contaminates the soil. Drought prone areas may suffer from salinity due to high evapotranspiration rates in combination with the use of saline irrigation water. Salinity is difficult to monitor because soil moisture affects the soil’s spectral signature. We conducted Fourier-transform infrared spectroscopy on alluvial and sandy soil samples in the coastal estuary of the Red River Delta. The soils are contaminated with NaCl, Na2 CO3 and Na2 SO4 salts. In an experiment of salt contamination, we established that three ranges of the spectrum were strongly influenced by both salt and moisture content in the soil, at wavenumbers 3200–3400 cm−1 (2.9–3.1 µm)</t>
  </si>
  <si>
    <t>10.1029/2021JF006556</t>
  </si>
  <si>
    <t>https://www.scopus.com/inward/record.uri?eid=2-s2.0-85132876490&amp;doi=10.1029%2f2021JF006556&amp;partnerID=40&amp;md5=ca0c4daec8463316111978333288defa</t>
  </si>
  <si>
    <t>Reclamation of low-lying tidal flats and floodplains adjacent to present shorelines has been implemented worldwide for both coastal defense and development. While it is technically feasible to monitor the short-term impact of tidal flat embankments, it is challenging to identify long-term and cumulative morphodynamic impact, particularly considering centennial sea-level rise (SLR). In this study, we construct a process-based hydro-morphodynamic model for a schematized tidal basin and examine its morphodynamic evolution under the combined influence of SLR and tidal flat embankments. We see that rising sea levels lead to inundation of low-lying floodplains just above high water, creating new intertidal flats that mitigate the drowning impact of SLR. This mitigation effect is lost if the low-lying floodplains and tidal flats are reclaimed, preventing any shoreline migration under SLR. Removing a large portion of intertidal flats within the tidal basin induces significant changes in basin hypsometry and potentially, a reversal of flood/ebb dominance. The resulting hydro-morphodynamic impact of large-scale tidal flat embankment is more significant than SLR at a centennial time scale. This suggests a need for much greater management awareness regarding the cumulative impact of human activities. These findings imply that allowing lateral shoreline migration under SLR sustains tidal basin's inherent morphodynamic buffering capacity, whereas reclaiming tidal flats significantly alters hydro-morphodynamic adaptation at the decadal to centennial time scales. It highlights the importance of conserving low-lying floodplains and tidal flats in tide-dominated systems to counteract the drowning impact of SLR. © 2022. American Geophysical Union. All Rights Reserved.</t>
  </si>
  <si>
    <t>2-s2.0-85132876490"</t>
  </si>
  <si>
    <t>10.1016/j.cageo.2022.105097</t>
  </si>
  <si>
    <t>https://www.scopus.com/inward/record.uri?eid=2-s2.0-85127311598&amp;doi=10.1016%2fj.cageo.2022.105097&amp;partnerID=40&amp;md5=1004cbc47fa43eb21b49dc88b26015b5</t>
  </si>
  <si>
    <t>The prediction of hydrologic conditions in watersheds has manifold applications, ranging from flood disaster preparedness to water supply and environmental flow management. In watersheds with scarce or no flow data, it is difficult to make accurate hydrologic predictions. Past work has used similarity in single-valued properties of the terrain (for example, drainage area, mean slope) as the basis to relate flow conditions in gauged watersheds to the ungauged ones. The resulting predictions show modest accuracy and have a weak physical basis. In this study, we develop a physics-informed machine learning approach to extract features that represent the hydrologic dynamics — width function and hypsometric curve. These two geomorphometric measures are computed using functional forms fitted to estimates derived from digital elevation data. Furthermore, dynamically-similar groups are identified based on results from unsupervised clustering and divergence measures. Our approach paves the way towards a flexible and scalable machine learning approach that can be used to assess hydrologic similarity and improve prediction, one informed by physics of surface flow generation and transport in watersheds. A case study involving 72 sub-watersheds in the Narmada River Basin (India) is used to illustrate the new methodology. © 2022 Elsevier Ltd</t>
  </si>
  <si>
    <t>2-s2.0-85127311598"</t>
  </si>
  <si>
    <t>10.1007/s40710-022-00584-w</t>
  </si>
  <si>
    <t>https://www.scopus.com/inward/record.uri?eid=2-s2.0-85131309853&amp;doi=10.1007%2fs40710-022-00584-w&amp;partnerID=40&amp;md5=d2cc509cb656a84a1e81006692ea5357</t>
  </si>
  <si>
    <t>Assessment of the coastal erosion risk using the coastal sensitivity index (CSI) in the microtidal environment (Gulf of Gabes, Tunisia) shows that 78.6% of the coast is under low to moderate sensitivity. Moderate sensitivity class includes the sheltered zones and the stable sea cliffs. The highest sensitivity was recorded in sandy beaches (12.7%) where the drift actions amplify littoral fragility and flood risk. The CSI resulted from the combination of eight ranked variables: (a) geomorphology</t>
  </si>
  <si>
    <t>10.1007/s11069-022-05267-1</t>
  </si>
  <si>
    <t>https://www.scopus.com/inward/record.uri?eid=2-s2.0-85124750891&amp;doi=10.1007%2fs11069-022-05267-1&amp;partnerID=40&amp;md5=aa3f438a55d80cb6d22ac1f642d97209</t>
  </si>
  <si>
    <t>Flood modelling can provide useful information to support flood risk assessment and management. The accuracy of flood simulation results is highly dependent on the quality of input data. In particular, digital elevation models (DEMs) may directly influence the performance of flood predictions and improper representation of complex urban features including buildings and bridges may lead to incorrect prediction of flooding paths and extents, and consequently miscalculate flood risk. In this work, a geographic information system (GIS)-based correction method is proposed to make modifications in high-resolution DEMs by adding building complexes and removing unphysical representations of bridges for a more realistic description of flood paths in considering the flow connectivity in intensely urbanized areas and with the objective of obtaining more accurate flood simulation results. The proposed DEM correction method is applied to support large-scale urban flood modelling in Fuzhou City, China, using an established hydrodynamic flood model known as High-Performance Integrated hydrodynamic Modelling System (HiPIMS). Comparisons are made to the simulation results with and without the DEM improvements using the proposed correction method. The results demonstrate that correct representation of the artificial structures in the urban DEM can significantly improve the flood simulation results. © 2022, Crown.</t>
  </si>
  <si>
    <t>2-s2.0-85124750891"</t>
  </si>
  <si>
    <t>10.5194/essd-14-2445-2022</t>
  </si>
  <si>
    <t>https://www.scopus.com/inward/record.uri?eid=2-s2.0-85130977572&amp;doi=10.5194%2fessd-14-2445-2022&amp;partnerID=40&amp;md5=0af66d2b4d9e2917e4caf1187ee2a612</t>
  </si>
  <si>
    <t xml:space="preserve">Coastal mangroves, thriving at the interface between land and sea, provide robust flood risk reduction. Projected increases in the frequency and magnitude of climate impact drivers such as sea level rise and wind and wave climatology reinforce the need to optimize the design and functionality of coastal protection works to increase resilience. Doing so effectively requires a sound understanding of the local coastal system. However, data availability particularly at muddy coasts remains a pronounced problem. As such, this paper captures a unique dataset for the Guyana coastline and focuses on relations between vegetation (mangrove) density, wave attenuation rates and sediment characteristics. These processes were studied along a cross-shore transect with mangroves fringing the coastline of Guyana. The data are publicly available at the 4TU Centre for Research Data (4TU.ResearchData) via 10.4121/c.5715269 (Best et al., 2022) where the collection Advancing Resilience Measures for Vegetated Coastline (ARM4VEG), Guyana, comprises of six key datasets. Suspended sediment concentrations typically exceeded 1ĝ€¯gĝ€¯L-1 with a maximum of 60ĝ€¯gĝ€¯L-1, implying that we measured merely fluid-mud conditions across a 1ĝ€¯m depth. Time series of wind waves and fluid-mud density variations, recorded simultaneously with tide elevation and suspended sediment data, indicate that wave-fluid-mud interactions in the nearshore may be largely responsible for the accumulation of fine, muddy sediment along the coast. Sediment properties reveal a consolidated underlying bed layer. Vegetation coverage densities in the Avicennia-dominated forest were determined across the vertical with maximum values over the first 20ĝ€¯cm from the bed due to the roots and pneumatophores. Generalized total wave attenuation rates in the forest and along the mudflat were between 0.002-0.0032ĝ€¯m-1 and 0.0003-0.0004ĝ€¯m-1 respectively. Both the mangroves and the mudflats have a high wave-damping capacity. The wave attenuation in the mangroves is presumably dominated by energy losses due to vegetation drag, since wave attenuation due to bottom friction and viscous dissipation on the bare mudflats is significantly lower than wave dissipation inside the mangrove vegetation. Data collected corroborate the coastal defence function of mangroves by quantifying their contribution to wave attenuation and sediment trapping. The explicit linking of these properties to vegetation structure facilitates modelling studies investigating the mechanisms determining the coastal defence capacities of mangroves.  © Copyright: </t>
  </si>
  <si>
    <t>2-s2.0-85130977572"</t>
  </si>
  <si>
    <t>10.3390/land11060950</t>
  </si>
  <si>
    <t>https://www.scopus.com/inward/record.uri?eid=2-s2.0-85132887498&amp;doi=10.3390%2fland11060950&amp;partnerID=40&amp;md5=fdb7128a91730c9e19d639e6167663bc</t>
  </si>
  <si>
    <t>The low-lying coastal areas of the countries around the North Sea are exposed to flooding and the influence of sea level rise. The countries in the North Sea Region need to continue to adapt if the associated risk is to be well-managed into the future. In addition to reducing flood risk, adaptation measures can bring development opportunities for those same places. These opportunities, however, are unlikely to be achieved through a ‘defence only’ paradigm, and instead a new approach is needed that simultaneously reduces risk and promotes liveable places, ecosystem health and social well-being. The building blocks of this new approach are promoted here and are based on an adaptation process that is collaborative and takes a whole-system, long-term perspective. The approach developed through the Interreg funded project, C5a, brings together governments, practitioners and researchers from across the North Sea to share policies, practices and the emerging science of climate change adaptation and enabling sustainable development. The new approach reflects a Cloud to Coast management paradigm and emerged through a combination of knowledge exchange and peer-to-peer learning across seven case studies. Central to the case studies was a maturity analysis of existing capabilities across the North Sea countries and their ability to adopt the new approach. This paper presents the results of this analysis, including the common challenges that emerged and the methods and examples of good practice to overcome them. Building upon these findings, the paper concludes by presenting four priority policy directions to support the uptake of the Cloud to Coast approach. © 2022 by the authors. Licensee MDPI, Basel, Switzerland.</t>
  </si>
  <si>
    <t>2-s2.0-85132887498"</t>
  </si>
  <si>
    <t>10.3390/quat5020026</t>
  </si>
  <si>
    <t>https://www.scopus.com/inward/record.uri?eid=2-s2.0-85130151574&amp;doi=10.3390%2fquat5020026&amp;partnerID=40&amp;md5=6ad1fd7113937007d58a4aec37137e18</t>
  </si>
  <si>
    <t>The Kastrouli Late Bronze settlement in Phocis province, central Greece, has been proved to have been an important center in the periphery of the Mycenaean palaces. It was reused at least partially and was cultivated until the 20th century. The presence of a flat area off the Kastrouli hill and the seasonal flooding nowadays led to the present investigation, questioning the formation of an ancient lake or marsh/swamp. A methodological approach was applied combining the digital elevation model (DEM) and GIS of the wider and confined area, examining slopes between 0 and 5 degrees (0 and 8.75%), with electrical resistivity tomography (ERT) traverses of around 300 and 500 m, reaching a depth of 100 m. The ERT data were rapidly collected on profiles and provided a cross-sectional (2D) plot. It was found that, in the area, there is a basin with a length of 100 m and a depth of around 40–50 m. The sedimentation process over the millennia has filled the basin, with the upper 5–6 m surface layers of the area having a low resistivity. The presence of two natural sinkholes with apparent engineered hydraulic works is noted to conform to drainage and produce a habitable en-vironment, protecting the cultivated land and avoiding a swamp associated with health issues. © 2022 by the authors. Licensee MDPI, Basel, Switzerland.</t>
  </si>
  <si>
    <t>2-s2.0-85130151574"</t>
  </si>
  <si>
    <t>Acta Geotechnica</t>
  </si>
  <si>
    <t>10.1007/s11440-021-01387-3</t>
  </si>
  <si>
    <t>https://www.scopus.com/inward/record.uri?eid=2-s2.0-85118579440&amp;doi=10.1007%2fs11440-021-01387-3&amp;partnerID=40&amp;md5=b874a6f7c3ce4e3965ae5a66aad97c96</t>
  </si>
  <si>
    <t>Landslide tsunamis are complex fluid–solid coupling processes that often cause enormous catastrophes. In this study, the smooth particle hydrodynamics (SPH) and discrete element method (DEM) coupling algorithms are used to simulate the tsunami which was induced by the 1963 Vajont landslide, Italy. In order to simulate the failure process of the landslide, a DEM numerical model is constructed based on the geological structure of the landslide, and contact parameters for the DEM particles are inverted according to the laboratory tests. Based on the numerical results, the whole process of the tsunami by the Vajont landslide is reproduced in detail. Comparisons show that the simulated motion and accumulating characteristics of the landslide, the climb-up and peak overtopping flow of the tsunamis, and the load on the dam by the tsunamis agree well with the published results. The simulation also indicates that the right bank slope of Vajont Dam is the major spillway of the flood, thereby significantly reducing the flow directly over the dam, which is helpful to stabilize the dam</t>
  </si>
  <si>
    <t>10.1016/j.enggeo.2022.106620</t>
  </si>
  <si>
    <t>https://www.scopus.com/inward/record.uri?eid=2-s2.0-85126905410&amp;doi=10.1016%2fj.enggeo.2022.106620&amp;partnerID=40&amp;md5=326c03a495a2f520174386b9a633074c</t>
  </si>
  <si>
    <t>Erosive processes have long been considered an important control on landslide activity in coastal environments. Despite its importance and numerous coastal failures in recent years, there has been limited quantitative characterization of the feedbacks between coastal erosion and the commensurate advance of active landslides. Quantitatively understanding the role of erosion as a control on the advance of coastal landslides is imperative from both hazard assessment and geomorphic perspectives, particularly considering future projections of increased erosion from sea level rise. Using a three-dimensional slope stability model coupled with a mass-conserving finite difference analysis, we constrain landslide advance in response to erosion and evolving landslide geometry. We identified an inversely proportional relationship between landslide volume and magnitude of advance for a given level of toe retreat. Landslide aspect ratio and geometry may exert a second-order control on sensitivity of advance to coastal erosion. Further, in comparison to observed landslide advance of three well-characterized landslides in Oregon, the proposed relationships provide insights towards the relative importance of erosion versus other disturbances, such as groundwater rise. Our findings provide insight towards the dynamics of landslides in coastal environments to advance regional coastal landslide hazard and risk assessments. © 2022 Elsevier B.V.</t>
  </si>
  <si>
    <t>2-s2.0-85126905410"</t>
  </si>
  <si>
    <t>Technologies</t>
  </si>
  <si>
    <t>10.3390/technologies10030061</t>
  </si>
  <si>
    <t>https://www.scopus.com/inward/record.uri?eid=2-s2.0-85147753852&amp;doi=10.3390%2ftechnologies10030061&amp;partnerID=40&amp;md5=41f70be4da26b1c6e231d2b95fcc7733</t>
  </si>
  <si>
    <t>A digital elevation model (DEM) represents the topographic surface of the Earth and is an indispensable source of data in many applications, such as flood modeling, infrastructure design and land management. DEM data at high spatial resolution and high accuracy of elevation data are not only costly and time-consuming to acquire but also often confidential. In this paper, we explore a cost-effective approach to derive good quality DEM data by applying a multi-channel convolutional neural network (CNN) to enhance free resources of available DEM data. Shuttle Radar Topography Mission (SRTM) data, multi-spectral imaging Sentinel-2, as well as Google satellite imagery were used as inputs to the CNN model. The CNN model was first trained using high-quality reference DEM data in a dense urban city—Nice, France—then validated on another site in Nice and finally tested in the Orchard Road area (Singapore), which is also an equally dense urban area in Singapore. The CNN model not only shows an impressive reduction in the root mean square error (RMSE) of 50% at validation site in Nice and 30% at the test site in Singapore, but also results in much clearer profiles of the land surface than input SRTM data. A comparison between CNN performance and that of an earlier conducted study using artificial neural networks (ANN) was conducted as well. The comparison within this limited study shows that CNN yields a more accurate DEM. © 2022 by the authors.</t>
  </si>
  <si>
    <t>2-s2.0-85147753852"</t>
  </si>
  <si>
    <t>10.1142/S1793431122400012</t>
  </si>
  <si>
    <t>https://www.scopus.com/inward/record.uri?eid=2-s2.0-85129826540&amp;doi=10.1142%2fS1793431122400012&amp;partnerID=40&amp;md5=ea455b71ea8584d733881c0e4bc88dd4</t>
  </si>
  <si>
    <t>Tsunamis induced by megathrust in the Manila subduction zone impose alarming threats to the coastal cities in the northern South China Sea (SCS), and risk assessment of tsunami hazards in this region becomes demanding. One distinguishable geographic feature in this region is Dongsha Atoll, which is situated between the tsunami source zone and the China coastline. This study discusses the role of the Dongsha Atoll in modifying the tsunami impacts through numerical simulations of a group of synthetic tsunami events with Mw=9. Three types of representations for the Atoll in the numerical simulations are employed, specifically (i) the real topo-bathymetry of the Atoll is fully resolved (Model-1), (ii) the Atoll is removed (Model-2), and (iii) the Atoll is artificially represented by a cylinder (Model-3). The results show that without the Dongsha Atoll presence (Model-2), the tsunamis can induce a substantial increment of water level behind the Atoll and in the vicinity of the Pearl River Delta (PRD) region in China. While the results obtained by realistically modeling the Atoll (Model-1) show that a large amount of tsunami wave energy/momentum can be entrapped by the lagoon and slowly radiated to the ocean. The interactions between the tsunamis and the Atoll will lead to severe flooding on the Dongsha Island on the west bank of the Atoll. However, the peak water levels behind the Atoll and at the selected mainland coastal sites are reduced, indicating that the Dongsha Atoll can offer some degree of protection for the region in its behind. Meanwhile, a slightly smaller reduction of tsunami heights is reported in the simulations with the Atoll being represented by a cylinder (Model-3), implying that the reduction effects are sensitive to the representations of the Atoll. Therefore, the full model of the topo-bathymetry of the Dongsha Atoll is recommended for future tsunami risk assessments for both Dongsha Atoll and the mainland in the SCS region.  © 2022 World Scientific Publishing Company.</t>
  </si>
  <si>
    <t>2-s2.0-85129826540"</t>
  </si>
  <si>
    <t>10.3390/rs14143400</t>
  </si>
  <si>
    <t>https://www.scopus.com/inward/record.uri?eid=2-s2.0-85137265483&amp;doi=10.3390%2frs14143400&amp;partnerID=40&amp;md5=7b83b4ec76168d2b75667e6ba59ee198</t>
  </si>
  <si>
    <t>Salt marshes are highly valued coastal environments for different services: coastline protection, biodiversity, and blue carbon. They are vulnerable to climate changes, particularly to sea-level rise. For this reason, it is essential to project the evolution of marsh areas until the end of the century. This work presents a reduced complexity model to quantify salt marshes’ evolution in a sea-level rise (SLR) context through combining field and remote sensing data: SMRM (Simplified Marsh Response Model). SMRM is a two-dimensional rule-based model that requires four parameters: a digital terrain model (DTM), local tidal levels, a sea-level rise projection, and accretion rates. A MATLAB script completes the process, and the output is a GeoTIFF file. Two test areas were selected in Tróia sandspit (Setúbal, Portugal). Additionally, a sensitivity analysis for each parameter’s influence and a comparison with SLAMM (another rule-based model) were undertaken. The sensitivity analysis indicates that SLR is the most relevant parameter, followed by accretion rates. The comparison of SMRM with SLAMM shows quite similar results for both models. This new model application indicates that the studied salt marshes could be resilient to conservative sea-level rise scenarios but not to more severe sea-level rise projections. © 2022 by the authors.</t>
  </si>
  <si>
    <t>2-s2.0-85137265483"</t>
  </si>
  <si>
    <t>10.3389/fenvs.2022.829526</t>
  </si>
  <si>
    <t>https://www.scopus.com/inward/record.uri?eid=2-s2.0-85134162772&amp;doi=10.3389%2ffenvs.2022.829526&amp;partnerID=40&amp;md5=27f0af07143a8da3560f2064a8695c14</t>
  </si>
  <si>
    <t>Momentum for sustainable and climate resilience solutions for coastal protection are growing globally given the pressing need to prevent further loss of biodiversity and ecosystems while meeting the climate change adaptation and mitigation goals. Nature-Based Solutions (NbS) represent an opportunity to align environmental and resilience goals, at a time of strained budgets in a global context and when short-term needs may run counter to long-term goals. In Europe, NbS fit the mandates of major EU environmental and climate change policies by restoring biodiversity and enhancing climate-resilience and carbon sequestration. Previous studies have compiled scientific evidence about hydro-meteorological hazards for the use of NbS. However, their implementation at scale is still lacking. As the knowledge and experience with NbS for adaptation to natural hazards and climate change increases, it becomes more important to draw lessons learned and insights for replicating and scaling up NbS, especially in coastal areas where their implementation is still limited compared to other environments. This study analyzed NbS case studies across European coastal and estuarine areas to draw key lessons, understand better the current status of implementation, and identify key challenges and gaps. From a total of 59 NbS case studies associated with flooding, erosion and biodiversity loss, results show an increase in NbS implementation since 1990s, but most rapidly between 2005 and 2015. Most of the case studies are hybrid solutions employing wetlands, predominantly located in the United Kingdom (UK) and the Netherlands. Funding of NbS is largely from public sources, and rarely come from a single or a private source. Three-quarters of the case studies reported monitoring activities, but more than half did not disclose quantitative results related to effectiveness against flooding and/or erosion. The need to improve coastal defenses was indicated as the main motivation for NbS implementation over traditional structures, while sustainability was the most mentioned additional reason. Although a variety of co-benefits and lessons learned was identified, clearer descriptions and enhanced details of such information are required. There is a need for tools and strategies to expand knowledge sharing of lessons learned to enable further replication of successful cases in other areas. Copyright © 2022 Moraes, Reguero, Mazarrasa, Ricker and Juanes.</t>
  </si>
  <si>
    <t>2-s2.0-85134162772"</t>
  </si>
  <si>
    <t>10.1126/science.abq1166</t>
  </si>
  <si>
    <t>https://www.scopus.com/inward/record.uri?eid=2-s2.0-85130903200&amp;doi=10.1126%2fscience.abq1166&amp;partnerID=40&amp;md5=c49f543e37c3aa13c46b14a7a4105c00</t>
  </si>
  <si>
    <t>2-s2.0-85130903200"</t>
  </si>
  <si>
    <t>10.1016/j.uclim.2022.101212</t>
  </si>
  <si>
    <t>https://www.scopus.com/inward/record.uri?eid=2-s2.0-85132537180&amp;doi=10.1016%2fj.uclim.2022.101212&amp;partnerID=40&amp;md5=a4daec7d5652c9b12170fd4e9d2470d2</t>
  </si>
  <si>
    <t>Vulnerability of coastal areas to climate change impacts such as Sea Level Rise (SLR) is largely determined by exposure to coastal hazards and prevailing urban patterns, as different patterns imply varied sensitivity and vulnerability levels. The potential vulnerability of the Nile Delta to SLR impacts is expected to be influenced by projected coastal urban dynamics, which means varied exposure in the future. The paper in hand intends to examine the influence of urban dynamics on potential physical vulnerability to SLR. For this purpose, a four-step methodology was developed and applied, including acquiring remote sensing imageries and spatial data, which was employed for modeling LULC dynamics. Thereafter, current and potential vulnerability to SLR were assessed and changes in urban vulnerability due to LULC dynamics were valued. In this respect, it was found that urban dynamics would imply more exposure levels of urban centers in the study area to SLR impacts, which will increase their potential vulnerability by 2050 compared to current vulnerability. The value of increased vulnerability due to urban dynamic was estimated to be EGP 302 billion. This highlights the need to integrate climate change in spatial planning processes to reduce potential vulnerabilities and create more resilient urban areas. © 2022 Elsevier B.V.</t>
  </si>
  <si>
    <t>2-s2.0-85132537180"</t>
  </si>
  <si>
    <t>10.1016/j.jhydrol.2022.127684</t>
  </si>
  <si>
    <t>https://www.scopus.com/inward/record.uri?eid=2-s2.0-85126147552&amp;doi=10.1016%2fj.jhydrol.2022.127684&amp;partnerID=40&amp;md5=7921cd23c879ff23e12bf2862c8d3913</t>
  </si>
  <si>
    <t>The Darling River system in Australia is under pressure from water extraction and climate change. Management interventions such as environmental flow releases require understanding of water storage dynamics and the connectivity of floodplains and wetlands. Such knowledge can be gleaned from the long observational record of the Landsat series of satellite sensors and high (&lt;5 m) resolution digital elevation models derived from airborne light detection and ranging (LiDAR). Here, for the first time, we develop and demonstrate an approach to reconstruct 16-day floodplain water dynamics, including extent, depth, and volume for a long Landsat time series (1987 to present). Time series mapping of surface water extent at 5-m resolution was achieved by topographic downscaling of Landsat-derived surface water data. We propose a simple and effective algorithm to restore missing data in the images caused by, e.g., cloud and shadows, swath edges and the Landsat 7 Scan Line Corrector (SLC) failure, thereby increasing the number of useable images five-fold. The 5-m surface water extent maps clearly delineate the narrow river channel and the boundary of floodplain wetlands. They can capture the development, peak and retreat of flood events. By combining Landsat and airborne LiDAR observations, we produced time series of surface water depth mapping at 5-m resolution, accounting for the degree of hydraulic surface water connectivity. Based on these maps, we derived 16-day floodplain volume dynamics for 1987 to present. The correlation coefficient between upstream river flow records and floodplain volume time series was 0.88, indicating that the estimates were robust. The algorithms developed can be used for ongoing very high-resolution mapping to assist in managing human water use and environmental health in the Murray-Darling Basin. © 2022 Elsevier B.V.</t>
  </si>
  <si>
    <t>2-s2.0-85126147552"</t>
  </si>
  <si>
    <t>10.1029/2021JC017829</t>
  </si>
  <si>
    <t>https://www.scopus.com/inward/record.uri?eid=2-s2.0-85130509802&amp;doi=10.1029%2f2021JC017829&amp;partnerID=40&amp;md5=8345345719cc32dca8e35ab8894d4c14</t>
  </si>
  <si>
    <t>Estuarine dams are constructed for securing freshwater resources, flood control, and improving upstream navigability. However, their impact on estuarine currents, stratification, and sediment fluxes is not well understood. To develop a general understanding, an idealized modeling study was carried out using the COAWST modeling system. Idealized estuarine geometry was based on 10 estuaries with estuarine dams located near their mouth. Tide and river forcing were varied to produce strongly stratified, partially mixed, periodically stratified, and well-mixed estuaries. Each model ran for 1 year. Next, the models were subject to the construction of an estuarine dam and run for another year. Then, the predam and postdam conditions were compared. Results showed that estuarine dams can amplify the tidal range and reduce the tidal currents. The postdam estuaries tended to be salt wedge, strongly stratified, partially mixed, or periodically stratified types during freshwater discharge, but during no freshwater discharge they became fjord, bay, periodically stratified, or well-mixed types based on the estuarine parameter space. For all estuaries, the estuarine turbidity maximum moved seaward, and the suspended sediment concentrations tended to decrease. While the depth changes depended on the estuary type, the surficial sediment texture shifted to being muddier for all types. In terms of sediment flux mechanisms, the estuarine dam increased the seaward river runoff for cases with strong river, and increased the landward tidal pumping for cases with strong tides. This study is one of the first to generalize the effect of estuarine dams to a range of estuarine types. © 2022. American Geophysical Union. All Rights Reserved.</t>
  </si>
  <si>
    <t>2-s2.0-85130509802"</t>
  </si>
  <si>
    <t>Journal of Risk and Financial Management</t>
  </si>
  <si>
    <t>10.3390/jrfm15070278</t>
  </si>
  <si>
    <t>https://www.scopus.com/inward/record.uri?eid=2-s2.0-85133132983&amp;doi=10.3390%2fjrfm15070278&amp;partnerID=40&amp;md5=f0fa28ffd86dc5bbc169547f52c9bc78</t>
  </si>
  <si>
    <t>Agricultural production accounts for 64.2% of the Vietnam’s Mekong Delta. However, this sector has to face damage risks, especially from the natural disasters, such as flood, drought, severe soil salinity, pests, and erosion, which might factor into the farmers’ risk attitude and their decision-making relative to investment in production activities. This study analyzes the factors influencing the risk attitudes of the rice farmers, based on evidence from the Vietnamese Mekong Delta. The data were collected through face-to-face interviews and experimental games with 145 rice farmers. An ordered probit regression model was applied to estimate how the factors affected the rice farmers’ risk attitudes. The risk-neutral farmers comprised 53.72% of farmers in the survey, while 31.72% and 15.15% were risk-preferred and risk-averse farmers. The study results indicated that age, number of rice crops per year, household assets, income from rice production, and credit accessibility were the main factors affecting the farmers’ risk attitudes. The results suggest that the financial incentives’ policies to compensate for losses in uncertain conditions and increase the household income, diversification of income sources, and improving the accessibility of formal credit might be useful to increase farmers’ willingness to accept the risks of investing in better profitability projects and gaining a higher income. © 2022 by the authors. Licensee MDPI, Basel, Switzerland.</t>
  </si>
  <si>
    <t>2-s2.0-85133132983"</t>
  </si>
  <si>
    <t>10.1016/j.jhydrol.2022.127567</t>
  </si>
  <si>
    <t>https://www.scopus.com/inward/record.uri?eid=2-s2.0-85124808662&amp;doi=10.1016%2fj.jhydrol.2022.127567&amp;partnerID=40&amp;md5=9157cfcc176cfa99f1a3580a998ca027</t>
  </si>
  <si>
    <t>A generic framework is proposed to evaluate the relative discharge error made when ignoring stage-discharge hysteresis due to transient flow over large gauging station networks. The diagnosis is conducted using the Jones equation, a simple hydraulic concept relating discharge to stage and its time-gradient. The input data used for the method are the flow resistance coefficients, the temporal stage gradients, and the bed slopes. The hysteresis effect is quantified for each gauging station and mapped using the relative discharge error. The method was applied to 2618 gauging stations of France's national hydrometry network using data extracted from the national hydrological archive and from Digital Terrain Models. The diagnostic results highly depend on slope estimates used as inputs. Substantial hysteresis effects were found at stations with low bed slope combined with a fast flood regime. The application to France shows the difficulty of drawing a firm conclusion about stations prone to hysteresis due to the slope data uncertainty. This issue is not specific to France</t>
  </si>
  <si>
    <t>10.1016/j.ecoleng.2022.106603</t>
  </si>
  <si>
    <t>https://www.scopus.com/inward/record.uri?eid=2-s2.0-85125957092&amp;doi=10.1016%2fj.ecoleng.2022.106603&amp;partnerID=40&amp;md5=3ea6b91df6c2b9baac98416c385dc033</t>
  </si>
  <si>
    <t>Nature-based coastal defense using bivalve reefs provides a potentially self-sustaining approach for regions facing high coastal land loss, relative sea level rise and increasing frequency and intensity of storms. Success of such nature-based coastal defense depends on the reef-building species' life history, habitat requirements, and ability to thrive through short-term and longer-term environmental variation, yet few projects have reported on outcomes beyond the first few years. In coastal Louisiana, USA, Crassostrea virginica (oyster) is an ecosystem engineer, creating self-sustaining, vertically accreting reefs that also provide ecosystem services. Here, we examine the short (&lt; 3 years) and medium (&gt; 10 years) term outcomes of experimental reefs constructed in 2009 for nature-based coastal defense in a Louisiana, USA estuarine lake. Oyster reef density, demography, along with adjacent salt marsh, and shoreline movement were compared at six fringing shoreline reefs and paired reference sites over the first three years post-construction (2009–2011), and a decade later (2019–2020). Oyster density measured in 2019–2020 (&lt; 60 ind m−2) was less than 10% of density measured during 2009–2011 (&gt; 1000 ind m−2). This density difference largely reflected a lack of new recruits and small oysters (&lt; 75 mm shell height) in later samples, with adult oyster densities similar between 2011, 2019 and 2020. Lack of smaller oysters in recent sampling likely reflected the impact of multiple extended low salinity events in this region in recent years, including the record-breaking low salinity in 2019. No differences in shoreline characteristics were detected in marsh vegetation, soil properties or nutrient concentrations between reef and reference sites during early and later years. Similarly, shoreline erosion at both reef and reference sites immediately post-construction, and 10 years later, was high (~1 m y−1) indicating a lack of shoreline protection from these reefs. These findings highlight the need to consider both current and future conditions, including the effect of extreme years, when implementing nature-based coastal defense. On the other hand, the persistence of reproductive-sized oysters on the reef 10 years post creation, indicate reef resilience and potential for reef development and shoreline benefits, should better site conditions return in future years. Determining restoration success within variable and dynamic environments requires frequent monitoring which is required to understand responses to short and longer-term environmental variation. © 2022</t>
  </si>
  <si>
    <t>2-s2.0-85125957092"</t>
  </si>
  <si>
    <t>10.3389/fenvs.2022.880254</t>
  </si>
  <si>
    <t>https://www.scopus.com/inward/record.uri?eid=2-s2.0-85133910889&amp;doi=10.3389%2ffenvs.2022.880254&amp;partnerID=40&amp;md5=3d0f674c7966af3abdeecdb2a90b5458</t>
  </si>
  <si>
    <t>Climate change poses additional obstacles to poverty eradication and social justice. Rising temperatures, abnormal rainfall increases, storms, floods, and droughts have become more frequent and severe phenomena in Vietnam. This causes serious consequences for the livelihood security of the poor. Binh Chanh district (Ho Chi Minh City) is an area subject to severe risks of climate change in the Mekong River Delta, Vietnam. Here, the low-income groups are the most vulnerable because their adaptive capacity is still limited and low. This study uses the livelihood vulnerability index (LVI) to assess the level of vulnerability to climate change in households and communes in the Binh Chanh district. LVI includes three components: exposure (E), sensitivity (S), and adaptive capacity (AC) based on 23 indicators selected by reviewing the literature and consulting with experts. The article also conducted surveys with 931 households in 16 administrative communes in Binh Chanh for primary data. The research results showed that Tan Kien and An Phu Tay communes have the highest level of vulnerability since they are areas with mainly low-lying terrain and contiguous location rivers</t>
  </si>
  <si>
    <t>10.1111/gcb.16131</t>
  </si>
  <si>
    <t>https://www.scopus.com/inward/record.uri?eid=2-s2.0-85127161206&amp;doi=10.1111%2fgcb.16131&amp;partnerID=40&amp;md5=3fe706a501dfe243aca15c2af9f5a62f</t>
  </si>
  <si>
    <t>Southeast Asian peatlands, along with their various important ecosystem services, are mainly distributed in the coastal areas of Sumatra and Borneo. These ecosystems are threatened by coastal development, global warming and sea level rise (SLR). Despite receiving growing attention for their biodiversity and as massive carbon stores, there is still a lack of knowledge on how they initiated and evolved over time, and how they responded to past environmental change, that is, precipitation, sea level and early anthropogenic activities. To improve our understanding thereof, we conducted multi-proxy paleoecological studies in the Kampar Peninsula and Katingan peatlands in the coastal area of Riau and Central Kalimantan, Indonesia. The results indicate that the initiation timing and environment of both peatlands are very distinct, suggesting that peat could form under various vegetation as soon as there is sufficient moisture to limit organic matter decomposition. The past dynamics of both peatlands were mainly attributable to natural drivers, while anthropogenic activities were hardly relevant. Changes in precipitation and sea level led to shifts in peat swamp forest vegetation, peat accumulation rates and fire regimes at both sites. We infer that the simultaneous occurrence of El Niño-Southern Oscillation (ENSO) events and SLR resulted in synergistic effects which led to the occurrence of severe fires in a pristine coastal peatland ecosystem</t>
  </si>
  <si>
    <t>Journal of the Palaeontological Society of India</t>
  </si>
  <si>
    <t>10.1177/0971102320220112</t>
  </si>
  <si>
    <t>https://www.scopus.com/inward/record.uri?eid=2-s2.0-85169689958&amp;doi=10.1177%2f0971102320220112&amp;partnerID=40&amp;md5=fd1de806b9524593a7b9c194581950f8</t>
  </si>
  <si>
    <t>Ganga alluvial plains have attracted a diverse field of geoscientific research in the last few decades. Earlier studies were mostly focused on subsurface structure mapping using geophysical techniques followed by sedimentological and stratigraphic analyses of alluvial sediments of the Ganga Plains. Recent decades have witnessed the incorporation of hydrological data in geomorphic studies, which led to a new set of process-based studies and the application of physical models to understand the evolution and dynamics of fluvial systems in the alluvial plains. Novel methodologies, observed data of water and sediment fluxes, availability of high-resolution remote sensing datasets especially Digital Elevation Models (DEM) data for watershed modeling, and incorporation of hydrological and geomorphic models have resulted in new insights into this highly dynamic sediment dispersal system. Such quantitative understandings are essential to design scientific strategies for sustainable management of river systems, and flood hazards and to understanding river’s past and future through modeling approaches. Various hydro-geomorphic approaches, concepts, and applications have been initiated in the last two decades. We provide a systematic review of these advances and highlight the emergence of a new research area for geomorphic inquiry at a modern time scale with a major emphasis on the quantitative understanding of cause-effect relationships. Finally, a new set of research questions has been suggested with the prospect to define some of the necessary required research directions in the future studies of the Ganga Plains. © 2022, SAGE Publications Ltd. All rights reserved.</t>
  </si>
  <si>
    <t>2-s2.0-85169689958"</t>
  </si>
  <si>
    <t>10.3390/rs14102481</t>
  </si>
  <si>
    <t>https://www.scopus.com/inward/record.uri?eid=2-s2.0-85131079636&amp;doi=10.3390%2frs14102481&amp;partnerID=40&amp;md5=224f84a852d370001186ad089f0b0046</t>
  </si>
  <si>
    <t>Watercourses act like a magnet for human communities and were always a deciding factor when choosing settlements. The reverse of these services is a potential hazard in the form of flash flooding, for which human society has various management strategies. These strategies prove to be increasingly necessary in the context of increased anthropic pressure on the floodable areas. One of these strategies, Strategic Flood Management (SFM), a continuous cycle of planning, acting, moni-toring, reviewing and adapting, seems to have better chances to succeed than other previous strat-egies, in the context of the Digital-Era Governance (DEG). These derive, among others, from the technological and methodological advantages of DEG. Geographic Information Systems (GIS) and Unmanned Aerial Vehicles (UAV) stand out among the most revolutionary tools for data acquisi-tion and processing of data in the last decade, both in qualitative and quantitative terms. In this context, this study presents a hybrid risk assessment methodology for buildings in case of floods. The methodology is based on detailed information on the terrestrial surface—digital surface model (DSM) and measurements of the last historical flash flood level (occurred on 20 June 2012)—that enabled post-flood peak discharge estimation. Based on this methodology, two other parameters were calculated together with water height (depth): shear stress and velocity. These calculations enabled the modelling of the hazard and risk map, taking into account the objective value of build-ings. The two components were integrated in a portal available for the authorities and inhabitants. Both the methodology and the portal are perfectible, but the value of this material consists of the detailing and replicability potential of the data that can be made available to administration and local community. Conceptually, the following are relevant (a) the framing of the SFM concept in the DEG framework and (b) the possibility to highlight the involvement and contribution of the citizens in mapping the risks and their adaptation to climate changes. The subsequent version of the portal is thus improved by further contributions and the participatory approach of the citizens. © 2022 by the authors. Licensee MDPI, Basel, Switzerland.</t>
  </si>
  <si>
    <t>2-s2.0-85131079636"</t>
  </si>
  <si>
    <t>10.5194/os-18-881-2022</t>
  </si>
  <si>
    <t>https://www.scopus.com/inward/record.uri?eid=2-s2.0-85132440605&amp;doi=10.5194%2fos-18-881-2022&amp;partnerID=40&amp;md5=7afa37135060480064715abf2a474438</t>
  </si>
  <si>
    <t>Global tide and surge models play a major role in forecasting coastal flooding due to extreme events or climate change. The model performance is strongly affected by parameters such as bathymetry and bottom friction. In this study, we propose a method that estimates bathymetry globally and the bottom friction coefficient in shallow waters for a global tide and surge model (GTSMv4.1). However, the estimation effect is limited by the scarcity of available tide gauges. We propose complementing sparse tide gauges with tide time series generated using FES2014. The FES2014 dataset outperforms the GTSM in most areas and is used as observations for the deep ocean and some coastal areas, such as Hudson Bay and Labrador, where tide gauges are scarce but energy dissipation is large. The experiment is performed with a computation-and memory-efficient iterative parameter estimation scheme (time-POD-based coarse incremental parameter estimation</t>
  </si>
  <si>
    <t>10.1029/2022GL098422</t>
  </si>
  <si>
    <t>https://www.scopus.com/inward/record.uri?eid=2-s2.0-85132073001&amp;doi=10.1029%2f2022GL098422&amp;partnerID=40&amp;md5=377b3f1cdbf51058190bf9f984b5e4bb</t>
  </si>
  <si>
    <t>Tsunamis in the Mediterranean Sea have been increasingly investigated recently due to past destructive events. We present a novel operational approach for evaluating tsunami-induced inundation, based on a generalization of Green's law and a chain of intermediate and small-scale simulations. At the intermediate level, simulations with a linear solver are made to identify the distribution of a novel parameter, namely α, condensing all nearshore wave transformations other than shoaling. α represents a proxy for coastal susceptibility to the tsunami impact. Small-scale modeling of coastal flooding performed at locations for which a DTM is freely available, at the Esaro river estuary (Calabria) and in Bari (Apulia), yields inundation levels that compare well with those obtained via intermediate-scale modeling, with a saving in computational time of about 41%. This demonstrates the value of α to “scale” the offshore wave input and reduce computational effort to evaluate flooding at regional scale. © 2022 The Authors.</t>
  </si>
  <si>
    <t>2-s2.0-85132073001"</t>
  </si>
  <si>
    <t>10.26565/2410-7360-2022-56-01</t>
  </si>
  <si>
    <t>https://www.scopus.com/inward/record.uri?eid=2-s2.0-85203995126&amp;doi=10.26565%2f2410-7360-2022-56-01&amp;partnerID=40&amp;md5=38b2ded78188ca19c42dc86ee9a231c6</t>
  </si>
  <si>
    <t>The purpose of the article. The article is devoted to the study of one from forms of syndynamics in Late Pennsylvanian time, namely phytocoenogenesis. The study of the phytocoenogenesis of ancient plant communities, i.e., the formation of new types of palaeophytocoenoses, is based on the research of vegetation diversity that is reflected in the ecological-floristic classification of the Late Pennsylvanian phytocoenoses of the Donets Basin by the Brown-Blanquet method. Material and research methods. The phytocoenogenetic researches consisted of the analysis of the changes of the species and syntaxonomic composition of vegetation cover throughout the Late Pennsylvanian. The peculiarities and main factors of phytocoeno-genesis have been identified on the palaeosyntaxa in rank of the orders of the following vegetation types: wetland forests and woodlands of coastal lowlands, wetland forests and woodlands of deltaic plains, seasonally dry woodlands of river valleys and lagoon coasts. The palaeophytocoenotic data are based on the plant fossil assemblages from lacustrine, lacustrine-swamp, lacustrine-deltaic, floodplain-lacustrine, floodplain and lacustrine-lagoon deposits in more than 17 localities and 11 boreholes located within the Bakhmutska and Kalmius-Toretska troughs. Research results. Based on the analysis of the phytocoenogenetic processes (progressive and regressive development of plant communities) and the manifestations of phytocoenogenesis (formation of new communities and loss of old communities) in the development of the Late Pennsylvanian vegetation, three models of the formation of new communities and one model of the loss of communities from vegetation cover have been proposed. Each of the models reveals the relationship between the phytocoenogenetic processes and environmental changes. The evolution-progression model reflects the progressive development of palaeophytocoenoses that is expressed by the appearance of evolutionary new coenopopulations in the conditions of the expansion of landscape types (expanding biotopes). The migration-progression model conforms to the progressive development of palaeophytocoenoses as a result of the migration of plants from decreasing landscape types to expanding ones (expanding biotopes). The substitution-regression model is consistent with the regressive development of palaeophytocoenoses along with structure simplification and dominant substitution of plant communities due to the contraction of certain landscape types (decreasing biotopes). The elision-regression model of the loss of communities reflects the regressive development of palaeophytocoenoses that is expressed by the decrease in the number of coenopopulations and the number of individuals in remaining coenopopulations in the conditions of the contraction of some landscape types (decreasing biotopes). The scientific novelty. For the first time, the Late Pennsylvanian vegetation dynamics (syndynamic) have been studied. The proposed three models of the formation of new communities and one model of the loss of communities reveal the main directions in evolution of palaeophytocoenoses and give the first ideas about phytocoenogenesis in late Palaeozoic times. © Boyarina N. I., 2022.</t>
  </si>
  <si>
    <t>2-s2.0-85203995126"</t>
  </si>
  <si>
    <t>10.3390/rs14102459</t>
  </si>
  <si>
    <t>https://www.scopus.com/inward/record.uri?eid=2-s2.0-85130925519&amp;doi=10.3390%2frs14102459&amp;partnerID=40&amp;md5=bb4659f9e735a296d7e052deecc80fd8</t>
  </si>
  <si>
    <t>Coastal areas worldwide are the result of a weak balance between man and the natural environment. They are exposed to strong anthropogenic pressure and natural hazard events whose intensity has increased in recent decades. In this frame, the satellite and drone monitoring systems as well as field survey are key tools to learn about the factors responsible for coastal changes. Here we describe the formation and dismantling of a fan delta at Sfalassà Stream mouth, Calabria Region (Southern Italy) to shed light on the environmental drivers modelling this coast. The flood event of 2 November 2015 placed approximately 25,000 m3 of coarse sand and gravel sediments in a few hours forming a fan-shaped delta, while three main storm surges, occurring from November 2015 to January 2016, caused its dismantling. Sentinel 2 images and several photographs captured the gradual erosion of fan delta highlighting its complete dismantling in about 3 months. The eroded sediments only partially feed the neighbouring beaches, as they were rapidly funnelled several hundred metres seaward by submarine channels whose heads cut back up at depths &lt;10 m. This analysis showed that observing systems with high spatial and temporal resolution provide the proper knowledge to model the processes that characterise this transitional environment. They are fundamental tools for coastal zone management, which aims to ensure the sustainability of coastal zones by mitigating the effects of erosion and flooding. © 2022 by the authors. Licensee MDPI, Basel, Switzerland.</t>
  </si>
  <si>
    <t>2-s2.0-85130925519"</t>
  </si>
  <si>
    <t>10.3390/cli10060079</t>
  </si>
  <si>
    <t>https://www.scopus.com/inward/record.uri?eid=2-s2.0-85131549483&amp;doi=10.3390%2fcli10060079&amp;partnerID=40&amp;md5=8f1bbb21df184cdc57f4496e88defa0f</t>
  </si>
  <si>
    <t>Changing weather patterns, increasing frequency and intensity of natural hazards, and rising sea levels associated with global climate change have the potential to threaten cultural heritage sites worldwide. This is especially the case for maritime heritage sites located in the low-lying coastal and delta regions of Asia. Maritime heritage can reflect both highly localized cultural products based on the coupling of people and maritime environments and the historic footprints of complex maritime networks that connect people, ideas, and material over vast distances, creating unique cultural spheres. Furthermore, maritime heritage sites potentially serve as or contain records of how past societies have been impacted by and adapted to past environmental stress. Therefore, their degradation threatens local/regional/global cultural patrimony as well as evidence of human resilience and fragility in the face of environmental change. This makes a strong case for urgent preservation. However, the possible damage caused by climate change and the scale of vulnerable maritime heritage pose seemingly insurmountable challenges. In this paper, we present the ways in which maritime heritage sites across Asia are vulnerable to environmental stresses, such as changing sea levels, coastal erosion, flooding, and storm surges. Our objective is to draw upon our experience documenting endangered cultural heritage across South and Southeast Asia to illustrate that there are unique conceptual and practical characteristics of maritime heritage that complicate effective management and conservation efforts on the scale required to prevent massive loss by climate change. We conclude by stressing the need to reconceptualize debates about the custody and stewardship of maritime heritage and the urgency of employing a wide range of innovative preservation solutions to ensure maritime patrimony is not lost to the rising tides. © 2022 by the authors. Licensee MDPI, Basel, Switzerland.</t>
  </si>
  <si>
    <t>2-s2.0-85131549483"</t>
  </si>
  <si>
    <t>Geography Compass</t>
  </si>
  <si>
    <t>10.1111/gec3.12621</t>
  </si>
  <si>
    <t>https://www.scopus.com/inward/record.uri?eid=2-s2.0-85131013923&amp;doi=10.1111%2fgec3.12621&amp;partnerID=40&amp;md5=40f2dce406f815677338b72e59837d63</t>
  </si>
  <si>
    <t>In river deltas, human interference with regional and global socio-ecological systems has led to a plethora of gradual and more abrupt environmental changes that result in inundation, coastal and river bank erosion, land loss and, ultimately, displaced people. Often apolitically framed as protective, state-led transfer of people to new housing grounds, resettlement has become a common response to such displacements. In its process, existing arrangements of land tenure and occupancy and, at times more covertly, related arrangements of capital, labor and the social fabric become dislocated and reassembled. In line with emerging critical geographies of resettlement, this paper conceptualizes resettlement in river deltas against the background of environmental change as a highly political process with far-reaching environmental, economic, social and cultural implications. For this article is based on an in-depth review of both resettlement and political ecology literature, we first elucidate the concept of resettlement before providing a structured overview of categories and recent trends in resettlement literature. We then focus on river deltas that due to multi-scale environmental change are about to become hotspots of future resettlement. Building on identified gaps in resettlement literature, the article concludes with opening up three analytical strands of political ecology as entry points to resettlement studies, understood as critical geographic research into localized manifestations of environmental change in river deltas. Overall, our paper aims to initialize conceptual debate, grounded in a thorough review of recent case study literature on resettlement that is informed by political ecology. The review challenges positivist reductions of resettlement processes as technocratic-managerial tasks that so far have dominated scientific literature in this field and opens up new perspectives for critical research on resettlements in river deltas for human geographers. © 2022 The Authors. Geography Compass published by John Wiley &amp; Sons Ltd.</t>
  </si>
  <si>
    <t>2-s2.0-85131013923"</t>
  </si>
  <si>
    <t>10.1029/2021EF002638</t>
  </si>
  <si>
    <t>https://www.scopus.com/inward/record.uri?eid=2-s2.0-85130823904&amp;doi=10.1029%2f2021EF002638&amp;partnerID=40&amp;md5=69b72596e0db0ed66e9029b3e25239ef</t>
  </si>
  <si>
    <t>Floods in river deltas are driven by complex interactions between astronomical tides, sea levels, storm surges, wind waves, rainfall-runoff, and river discharge. Given the anticipated increase in compound flood hazards in river deltas in a warming climate, climate-informed regional to local extreme water levels (EWLs) is thus critical for decision-makers to evaluate flood hazards and take adaptation measures. We develop a simple yet computationally efficient stress test framework, which combines historical and projected climatological information and a state-of-the-art hydrodynamic model, to assess future compound coastal-fluvial flood hazards in river deltas. Our framework is applied in the world's largest single urban area, China's Pearl River Delta (PRD), which is also characterized by densely crossed river network. We find that extreme sea level is the dominant driver causing the compound coastal-fluvial flood in the PRD over the past 60 years. Meanwhile, there is large spatial heterogeneity of the individual and compound effects of the typhoon intensity, local sea-level rise, and riverine inflow on coastal-fluvial floods. In a plausible disruptive scenario (e.g., a 0.50 m sea-level rise combined with a 9% increase in typhoon intensity in a 2°C warming), the EWL will increase by 0.76 m on average. An additional 1.54 and 0.56 m increase in EWL will occur in the river network and near the river mouth, respectively, if coastal floods coincide with the upstream mean annual flood. Findings from our modeling framework provide important insights to guide adaptation planning in river deltas to withstand future compound floods under climate change. © 2022 The Authors.</t>
  </si>
  <si>
    <t>2-s2.0-85130823904"</t>
  </si>
  <si>
    <t>10.1016/j.ijdrr.2022.103065</t>
  </si>
  <si>
    <t>https://www.scopus.com/inward/record.uri?eid=2-s2.0-85130905248&amp;doi=10.1016%2fj.ijdrr.2022.103065&amp;partnerID=40&amp;md5=3d41457fba29c1a522ff0754a1aa18d1</t>
  </si>
  <si>
    <t>The 90.20 km coastal stretch extending from India's Subarnarekha estuary (Balasore District, Odisha) to the mouth of the Haldi River (Purba Medinipur, West Bengal) was evaluated. The evaluation was for vulnerability to climate extremes and variabilities (e.g. tropical cyclones, storm surges, and eustatic sea-level rise) resulting in coastal erosion, inundation, salinization and increased biophysical and socio-economic impacts. Coastal vulnerability mapping with respect to coastal hazards was applied to identify and implement risk reduction policies. In order to understand the spatial distribution of physical vulnerability along this coastal stretch, the Coastal Vulnerability Index (CVI) using Gornitz's CVI model and the Analytical Hierarchy Process (AHP) method were applied. These models were run in ArcGIS ver. 10.5 using six geological parameters viz., elevation, slope, bathymetry, coastal geomorphology, shoreline change, and coastal land use and four physical process variables viz. Mean sea level (MSL), mean tidal range, significant wave height, and storm surge height. Both of the models produced very good results. Based on Gornitz's CVI model, it was found that 13.56% of the coastline is highly vulnerable to these hazards, while the AHP model indicated 11.29% of the coast was at high vulnerability. When both models were simulated the same probable inundation extent of two different storm surge scenarios of wave height, viz. ≤ 3 m and≤5 m, the areas estimated to be affected by the surge were 255.22 and 779.59 sq. km, respectively. The coastal blocks of Nandigram-I, Contai-I, Deshopran, and Bhograi were identified as highly vulnerable due to landward erosion and inundation. The study inferred that the combined effect of cyclonic activities and storm surge along with high tide made the coast highly susceptible. This study could help coastal planners, decision-makers, and administrators to prepare a risk management plan for long-term coastal conservation and management. © 2022 Elsevier Ltd</t>
  </si>
  <si>
    <t>2-s2.0-85130905248"</t>
  </si>
  <si>
    <t>10.5194/essd-14-2895-2022</t>
  </si>
  <si>
    <t>https://www.scopus.com/inward/record.uri?eid=2-s2.0-85133445625&amp;doi=10.5194%2fessd-14-2895-2022&amp;partnerID=40&amp;md5=3d1913dfdafbccf66c00837b583fe480</t>
  </si>
  <si>
    <t>Abundant numbers of sites and studies exist in NW Europe that document the geographically and geomorphologically diverse coastal record from the Last Interglacial (Eemian, Ipswichian, Marine Isotope Stage 5e). This paper summarises a database of 146 known Last Interglacial sea-level data points from in and around the North Sea (35 entries in the Netherlands, 10 Belgium, 23 in Germany, 17 in Denmark, 9 in Britain) and the English Channel (24 entries for the British and 25 for the French side, 3 on the Channel Isles) believed to be a representative and fairly complete inventory and assessment from ∼80 published sites. The geographic distribution (∼1500 km SW-NE) across the near field of the Scandinavian and British ice sheets and the attention paid to relative and numeric age control are assets of the NW European database. The research history of Last Interglacial coastal environments and sea level for this area is long, methodically diverse and spread through regional literature in several languages. Our review and database compilation effort drew from the original regional literature and paid particular attention to distinguishing between sea-level index points (SLIPs) and marine and terrestrial limiting points. We also incorporated an updated quantification of background rates of basin subsidence for the central and eastern North Sea region, utilising revised mapping of the base Quaternary, to correct for significant basin subsidence in this depocentre. As a result of subsidence, lagoonal and estuarine Last Interglacial shorelines of the Netherlands and the German Bight are preserved below the surface. In contrast, Last Interglacial shorelines along the English Channel are encountered above modern sea level. This paper describes the dominant sea-level indicators from the region compliant with the WALIS database structure and referenced to original data sources (10.5281/zenodo.6478094, Cohen et al., 2021). The sea-level proxies are mostly obtained from locations with good lithostratigraphic, morphostratigraphic and biostratigraphical constraints. Most continental European sites have chronostratigraphic age control, notably through regional pollen association zones with duration estimates. In all regions, many SLIPs and limiting points have further independent age control from luminescence, uranium series, amino acid racemisation and electron spin resonance dating techniques. Main foreseen usage of this database for the near-field region of the European ice sheets is in glacial isostatic adjustment modelling and fingerprinting Last Interglacial ice sheet melt.  © 2022 Kim M. Cohen et al.</t>
  </si>
  <si>
    <t>2-s2.0-85133445625"</t>
  </si>
  <si>
    <t>10.3390/rs14143451</t>
  </si>
  <si>
    <t>https://www.scopus.com/inward/record.uri?eid=2-s2.0-85136430567&amp;doi=10.3390%2frs14143451&amp;partnerID=40&amp;md5=750c3d96be2636f561d46ae257dc2f5d</t>
  </si>
  <si>
    <t>The upward trend of metro flooding disasters inevitably brings new challenges to urban underground flood management. It is essential to evaluate the resilience of metro systems so that efficient flood disaster plans for preparation, emergency response, and timely mitigation may be developed. Traditional response solutions merged multiple sources of data and knowledge to support decision-making. An obvious drawback is that original data sources for evaluations are often stationary, inaccurate, and subjective, owing to the complexity and uncertainty of the metro station’s actual physical environment. Meanwhile, the flood propagation path inside the whole metro station network was prone to be neglected. This paper presents a comprehensive approach to analyzing the resilience of metro networks to solve these problems. Firstly, we designed a simplified weighted and directed metro network module containing six characteristics by a topological approach while considering the slope direction between sites. Subsequently, to estimate the devastating effects and details of the flood hazard on the metro system, a 100-year rainfall–flood scenario simulation was conducted using high-precision DEM and a grid hydrodynamic model to identify the initially above-ground inundated stations (nodes). We developed a dynamic node breakdown algorithm to calculate the inundation sequence of the nodes in the weighted and directed network of the metro. Finally, we analyzed the resilience of the metro network in terms of toughness strength and organization recovery capacity, respectively. The fuzzy best–worst method (FBWM) was developed to obtain the weight of each assessment metric and determine the toughness strength of each node and the entire network. The results were as follows. (1) A simplified three-dimensional metro network based on a complex system perspective was established through a topological approach to explore the resilience of urban subways. (2) A grid hydrodynamic model was developed to accurately and efficiently identify the initially flooded nodes, and a dynamic breakdown algorithm realistically performed the flooding process of the subway network. (3) The node toughness strength was obtained automatically by a nonlinear FBWM method under the constraint of the minimum error to sustain the resilience assessment of the metro network. The research has considerable implications for managing underground flooding and enhancing the resilience of the metro network. © 2022 by the authors.</t>
  </si>
  <si>
    <t>2-s2.0-85136430567"</t>
  </si>
  <si>
    <t>10.5194/nhess-22-1699-2022</t>
  </si>
  <si>
    <t>https://www.scopus.com/inward/record.uri?eid=2-s2.0-85131438426&amp;doi=10.5194%2fnhess-22-1699-2022&amp;partnerID=40&amp;md5=4a4e04d760f86850506beb39b61bd1f8</t>
  </si>
  <si>
    <t>Greenspaces within broader ecosystem-based disaster risk reduction (Eco-DRR) strategies provide multiple benefits to society, biodiversity, and addressing climate breakdown. In this study, we investigated urban growth, its intersection with hazards, and the availability of greenspace for disaster risk reduction (DRR) in the city of Quito, Ecuador, which experiences multiple hazards including landslides, floods, volcanoes, and earthquakes. We used satellite data to quantify urban sprawl and developed a workflow incorporating high-resolution digital elevation models (DEMs) to identify potential greenspaces for emergency refuge accommodation (DRR greenspace), for example, following an earthquake. Quito's historical urban growth totalled 1/4192km2 for 1986-2020 and was primarily on flatter land, in some cases crossed by steep ravines. By contrast, future projections indicate an increasing intersection between easterly urbanisation and steep areas of high landslide susceptibility. Therefore, a timely opportunity exists for future risk-informed planning. Our workflow identified 18.6km2 of DRR greenspaces, of which 16.3km2 intersected with potential sources of landslide and flood hazards, indicating that hazard events could impact potential ""safe spaces"". These spaces could mitigate future risk if designated as greenspaces and left undeveloped. DRR greenspace overlapped 7% (2.5km2) with municipality-designated greenspace. Similarly, 10% (1.7km2) of municipality-designated ""safe space""for use following an earthquake was classified as potentially DRR suitable in our analysis. For emergency refuge, currently designated greenspaces could accommodate 1/42%-14% (depending on space requirements) of Quito's population within 800m. This increases to 8%-40% considering all the potential DRR greenspace mapped in this study. Therefore, a gap exists between the provision of DRR and designated greenspace. Within Quito, we found a disparity between access to greenspaces across socio-economic groups, with lower income groups having less access and further to travel to designated greenspaces. Notably, the accessibility of greenspaces was high overall with 98% (2.3 million) of Quito's population within 800m of a designated greenspace, of which 88% (2.1 million) had access to potential DRR greenspaces. Our workflow demonstrates a citywide evaluation of DRR greenspace potential and provides the foundation upon which to evaluate these spaces with local stakeholders. Promoting equitable access to greenspaces, communicating their multiple benefits, and considering their use to restrict propagating development into hazardous areas are key themes that emerge for further investigation.  © 2022 C. Scott Watson et al.</t>
  </si>
  <si>
    <t>2-s2.0-85131438426"</t>
  </si>
  <si>
    <t>10.3390/rs14143442</t>
  </si>
  <si>
    <t>https://www.scopus.com/inward/record.uri?eid=2-s2.0-85137269267&amp;doi=10.3390%2frs14143442&amp;partnerID=40&amp;md5=1c8d6f984e9e82718d70054ed414d64e</t>
  </si>
  <si>
    <t>Mining developments in alpine coal mining areas result in slow or rapid ground subsidence, which can lead to melting and collapse of permafrost. This paper integrated unmanned aerial vehicle (UAV) images and satellite-based SAR interferometry images to monitor intensive surface mining subsidence during reclamation. Digital Surface Model (DSM) acquired from UAV images was first used to evaluate the changes of the reclamation scheme on the microtopography carried out by slope and the Digital Elevation Model (DEM) of difference (DoD). The monitoring results showed that the slope had been reduced from over 30 degrees to under 15 degrees after the terrain had been reshaped. The DoD map revealed the distribution of main extraction areas and landfill areas. To further monitor the surface subsidence after local terrain adjustment, the Permanent Scatterer Interferometry (PS-InSAR) method was used to reveal the surface subsidence characteristics of the mine site before and after reclamation. The maximum cumulative subsidence ranged from −772.3 to 1183 mm based on 21 Sentinel-1A images in three years. Within a year of terrain reshaping, uplift and subsidence still occurred at hills and pit side slopes, following the nearly equal subsidence rate. The experimental results showed that the slope reshaping and vegetation recovery had a limited impact on the reduction of the ground subsidence in a short period. Therefore, on this basis, a combination of UAV and PS-InSAR methods can be used to continue monitoring time series subsidence in alpine mines. © 2022 by the authors.</t>
  </si>
  <si>
    <t>2-s2.0-85137269267"</t>
  </si>
  <si>
    <t>10.1144/jgs2021-017</t>
  </si>
  <si>
    <t>https://www.scopus.com/inward/record.uri?eid=2-s2.0-85129484699&amp;doi=10.1144%2fjgs2021-017&amp;partnerID=40&amp;md5=1e81159b9daecc790c9612bcd610fe68</t>
  </si>
  <si>
    <t>Well-exposed fluvio-deltaic deposits of the Middle Jurassic Ravenscar Group (Yorkshire coast) provide a direct analogue for North Sea reservoirs, but previous studies were restricted to a few accessible bays. This study used lidar and drone photogrammetry to create near-continuous virtual outcrops, 21 km long and 30–150 m thick, in an area which is largely inaccessible. Remote sensing data were supplemented by 45 outcrop logs and data from 27 pre-existing, behind-outcrop boreholes to improve understanding of the geometries, architectures and stacking patterns of 10 distinct sandbody types</t>
  </si>
  <si>
    <t>Island Studies Journal</t>
  </si>
  <si>
    <t>10.24043/isj.151</t>
  </si>
  <si>
    <t>https://www.scopus.com/inward/record.uri?eid=2-s2.0-85130570630&amp;doi=10.24043%2fisj.151&amp;partnerID=40&amp;md5=ff46348458aa23e143c5f7d658e9736d</t>
  </si>
  <si>
    <t>In Vanuatu, a South Pacific island nation, the effects of climate change pose new challenges for low-lying coastal communities. This study explores how one village on Emau, an island offshore of capital island Efate, has developed several overlapping strategies to manage climate change impacts, including drought and sea level rise. Informants reveal their perceptions of changing environmental baselines and how socio-economic processes, including population growth, cultural loss, and limited access to cash incomes, have shaped the community’s response. Informants describe four climate adaptation strategies: 1) expanding access to cash income through seasonal or urban labor migration</t>
  </si>
  <si>
    <t>10.1016/j.ijdrr.2022.103085</t>
  </si>
  <si>
    <t>https://www.scopus.com/inward/record.uri?eid=2-s2.0-85132382700&amp;doi=10.1016%2fj.ijdrr.2022.103085&amp;partnerID=40&amp;md5=e307e3d3a49461dabf72008f458f46a3</t>
  </si>
  <si>
    <t>Using the Japan Disasters Digital Archive (JDA) as an example, the present study examines how geo-location functions in disaster digital archives may contribute to disaster risk awareness. It focuses on the sites affected by or representing lessons learned from the 2011 Great East Japan Earthquake (GEJE), such as the tsunami inundated coastal areas or museums. The study tests the thesis that geo-located data in digital archives can enhance disaster risk awareness by allowing its users to discover novel location-specific information. The Covid-19 pandemic drastically influenced the research design and the results. The research methods had to be changed from group-based field trips and in-person interviews to virtual research methods that participants could follow on their own. Although there is room for improvements in the JDA design and function, the research results suggest that options for visitors to retrieve information through digital archives on their own while visiting sites of their interest can contribute to their understanding of the history of these specific places and local risks. Promoting self-guided tours by giving access to disaster digital archives with a geolocation-function could also be used as a cost saving option for museums and visitors alike to explore disaster-affected areas, especially in times of a pandemic when visitors are discouraged from joining crowded tours. As a whole, this research aims to not only improve (disaster) digital archives but also to contribute to disaster education in general and offer a widened learning experience for visitors of disaster affected areas in particular. © 2022</t>
  </si>
  <si>
    <t>2-s2.0-85132382700"</t>
  </si>
  <si>
    <t>10.1007/s40710-022-00577-9</t>
  </si>
  <si>
    <t>https://www.scopus.com/inward/record.uri?eid=2-s2.0-85129273954&amp;doi=10.1007%2fs40710-022-00577-9&amp;partnerID=40&amp;md5=16ced0fe02d321c89c876327305dcdb4</t>
  </si>
  <si>
    <t>The objective of this paper is to identify and analyze relevant research of index-based methods for the evaluation of climate change vulnerability and resilience of coastal areas. We searched, retrieved, classified and reviewed papers on climate-change hazards, impacts, vulnerability and resilience of coastal water systems and relevant infrastructure. For this, Scopus, Science Direct, Thompson-Reuters Web of Science, Google Scholar, PubMed and other relevant databases were used. The analysis of the state-of-the-art presented in this paper acknowledges that using vulnerability and resilience indices in climate vulnerability research is effective, providing a solid, efficient and user-friendly framework. However, selection of index variables should be part of a holistic as well as dynamic approach to identify not only areas in danger, but also the level of social vulnerability. © 2022, The Author(s), under exclusive licence to Springer Nature Switzerland AG.</t>
  </si>
  <si>
    <t>2-s2.0-85129273954"</t>
  </si>
  <si>
    <t>10.1016/j.ijdrr.2022.102968</t>
  </si>
  <si>
    <t>https://www.scopus.com/inward/record.uri?eid=2-s2.0-85128534718&amp;doi=10.1016%2fj.ijdrr.2022.102968&amp;partnerID=40&amp;md5=8af7c58b3282f9ed65b4d384b5670631</t>
  </si>
  <si>
    <t>China suffers the most serious loss of life and property with the most floods in the world. In this study, a multi-criteria analysis model with the combined analytic hierarchy process and Entropy weight method (AHP-Entropy) was proposed to assess the long and short-term flood risk in Poyang Lake basin, and results were verified by several flood events that happened on July 2020. Considering multi-factors of flood risk, six flood hazard factors (namely, maximum three-day rainfall (RMAX3), annual average rainstorm frequency (RF), annual average rainstorm amount (ARA), drainage density (DD), slope, elevation (DEM)) and four flood vulnerability factors (namely, population density (PD), land use pattern (LUP), GDP, normalized difference vegetation index (NDVI)) were selected and weights of them were derived from the AHP-Entropy method. Results show that PD (0.168), RMAX3 (0.163), LUP (0.146), GDP (0.129), and RF (0.111) play a vital role in the results of flood risk assessment. Spatially, the long and short-term flood risk maps are shown to have similar characteristics with correlation coefficient of 0.9056. Areas with high risk and very high risk account for 19.6% of the total area in the long-term flood risk map and increased to 22.2% in the short-term flood risk map. Overall, the northeastern parts of the Poyang Lake basin are more prone to floods and the flood risk gradually decreases from the Poyang Lake towards the surrounding areas. Verification of the results with Sentinel-1 synthetic aperture radar data shows that the flood risk assessment model has an accuracy of more than 50% in very high risk zones for floods, and more than 90% for high and very high risk floods, which showed that the presented model is reliable in flood risk assessment. © 2022 Elsevier Ltd</t>
  </si>
  <si>
    <t>2-s2.0-85128534718"</t>
  </si>
  <si>
    <t>10.3390/geohazards3020018</t>
  </si>
  <si>
    <t>https://www.scopus.com/inward/record.uri?eid=2-s2.0-85151125609&amp;doi=10.3390%2fgeohazards3020018&amp;partnerID=40&amp;md5=e7dfd1f97a8ea0e36acf8a2f5ef1b17b</t>
  </si>
  <si>
    <t>Tsunami inundation estimates are of crucial importance to hazard and risk assessments. In the context of tsunami forecast, numerical simulations are becoming more feasible with the growth of computational power. Uncertainties regarding source determination within the first minutes after a tsunami generation might be a major concern in the issuing of an appropriate warning on the coast. However, it is also crucial to investigate differences emerging from the chosen algorithms for the tsunami simulations due to a dependency of the outcomes on the suitable model settings. In this study, we compare the tsunami inundation in three cities in central Chile (Coquimbo, Viña del Mar, and Valparaíso) using three different models (TsunAWI, Tsunami-HySEA, COMCOT) while varying the parameters such as bottom friction. TsunAWI operates on triangular meshes with variable resolution, whereas the other two codes use nested grids for the coastal area. As initial conditions of the experiments, three seismic sources (2010 (Formula presented.) 8.8 Maule, 2015 (Formula presented.) 8.3 Coquimbo, and 1730 (Formula presented.) 9.1 Valparaíso) are considered for the experiments. Inundation areas are determined with high-resolution topo-bathymetric datasets based on specific wetting and drying implementations of the numerical models. We compare each model’s results and sensitivities with respect to parameters such as bottom friction and bathymetry representation in the varying mesh geometries. The outcomes show consistent estimates for the nearshore wave amplitude of the leading wave crest based on identical seismic source models within the codes. However, with respect to inundation, we show high sensitivity to Manning values where a non-linear behaviour is difficult to predict. Differences between the relative decrease in inundation areas and the Manning n-range (0.015–0.060) are high (11–65%), with a strong dependency on the characterization of the local topo-bathymery in the Coquimbo and Valparaíso areas. Since simulations carried out with such models are used to generate hazard estimates and warning products in an early tsunami warning context, it is crucial to investigate differences that emerge from the chosen algorithms for the tsunami simulations. © 2022 by the authors.</t>
  </si>
  <si>
    <t>2-s2.0-85151125609"</t>
  </si>
  <si>
    <t>10.1007/s11852-022-00869-0</t>
  </si>
  <si>
    <t>https://www.scopus.com/inward/record.uri?eid=2-s2.0-85131122374&amp;doi=10.1007%2fs11852-022-00869-0&amp;partnerID=40&amp;md5=32801dc57aac6d7f731f0e5be371b762</t>
  </si>
  <si>
    <t>Mangrove vegetation plays a vital role in habitat and nursing ground for different organisms and prevents coastal erosion caused by storm surges, waves, and tidal action. In recent years the mangrove vegetation in Chattogram coast, Bangladesh, has been interrupted by infrastructure development, which causes gradual vegetation loss and destructing effect on the surrounding environment. Vegetation cover and Land surface temperature (LST) analysis of an area help learn about different environmental conditions, weather, and climate. It is also essential to monitor the rising temperature and global warming. Normalized Difference Built-up Index (NDBI) and Normalized Difference Vegetation Index (NDVI) analysis are efficient processes for monitoring urban expansion and vegetation of a geographical location. This study focused on those analyses to understand the influences of built-up area expansion and vegetation cover changes on the land surface temperature of the Salimpur. The outcome indicates that the vegetation of Salimpur mangrove slowly decreases opposite to the built-up expansion, and the land surface temperature continues to rise over the years. This study also found a strong positive correlation between NDBI and LST, and a negative correlation between NDVI and LST. Besides, the built-up areas significantly affect the vegetation cover of the Salimpur mangrove forest. The correlation between built-up areas and vegetation cover was strongly negative, which means an increase of NDBI decreases NDVI, and a reduction of NDBI increases NDVI. This study will help coastal planners to understand the local scenario and develop sustainable way of urban and vegetation management to balance the surface temperature. © 2022, The Author(s), under exclusive licence to Springer Nature B.V.</t>
  </si>
  <si>
    <t>2-s2.0-85131122374"</t>
  </si>
  <si>
    <t>10.1016/j.ocemod.2022.102031</t>
  </si>
  <si>
    <t>https://www.scopus.com/inward/record.uri?eid=2-s2.0-85131097618&amp;doi=10.1016%2fj.ocemod.2022.102031&amp;partnerID=40&amp;md5=979ea9d6296c3bc10be73109f55c0476</t>
  </si>
  <si>
    <t>Operational flood forecast systems are typically based on barotropic models in order to limit computational cost. In this study, a computationally efficient way of adding spatial and temporal variations of water density (henceforth “adding baroclinicity”) to a global barotropic forecast system is described and evaluated. The approach is illustrated using a global high-resolution (1/12°) model with an optimized vertical grid of nine ocean levels. Temperature (T) and salinity (S) for each layer are weakly nudged to forecast fields provided by a coarser resolution (1/4°), data-assimilative ocean model. This adds realistic baroclinic variability with periods exceeding about 15 d to the 1/12° model while allowing the higher frequency variability to evolve freely. The computational cost of running the new model is only 10% higher than the cost of running the two-dimensional barotropic version of the model that forms the basis of the present total water level (TWL) forecast system. The value of adding baroclinicity is demonstrated across the sea level frequency spectrum using hourly observations of TWL made between October 20, 2019 and February 28, 2021 by a global distribution of 211 tide gauges. Large improvements in the tidal residuals (TWL-tide) are shown for periods exceeding 15 d. This is consistent with the known importance of baroclinic processes to sea level variability in this frequency range. For periods between 10 h and 15 d, baroclinicity also improves the predictions of extreme residuals by up to 15 cm, with the largest improvements occurring on narrow shelves. In terms of extremes, adding baroclinicity improves predictions of the three largest positive tidal residuals for 2020 at 89% of the tide gauges with the largest improvements reaching 42 cm. Similar results were found for the three largest negative residuals for each tide gauge record. The importance of modeling baroclinically-modified coastal trapped waves is illustrated for the west coast of North and South America. © 2022</t>
  </si>
  <si>
    <t>2-s2.0-85131097618"</t>
  </si>
  <si>
    <t>10.1016/j.ocemod.2022.102035</t>
  </si>
  <si>
    <t>https://www.scopus.com/inward/record.uri?eid=2-s2.0-85131463628&amp;doi=10.1016%2fj.ocemod.2022.102035&amp;partnerID=40&amp;md5=87f5cecdd11bc480984995f07e9fdba2</t>
  </si>
  <si>
    <t>This study investigates interactions between waves, water levels and currents at the mouth of the second largest estuary in Europe (the Tagus Estuary, Portugal) under storm waves, combining field observations and a three-dimensional fully coupled wave-current modelling system. Tidal-induced water depth variations substantially modulate waves over the ebb shoal. During energetic conditions, low tide levels promote depth-limited wave breaking and energy transfer towards higher harmonics (triad interactions), which reduces wave heights and periods. Furthermore, for a given water level, tidal currents also influence wave propagation and drive strong modulations over shallow regions characterized by cross-channel current gradients. Flood currents change the mean wave direction by about 10–15° and tend to focus the wave energy flux towards coastal regions of the southern margin compared to a run without currents (20 to 30% increase of wave heights), while ebb currents reduce the wave heights. In addition, model results suggest that the saturation level associated with wave and current conditions at shallow locations may be close to the threshold where waves start to dissipate by whitecapping. At the peak of the storm, waves become a main driver of the circulation at the mouth scale, even in the 45-m deep main channel. Wave breaking acceleration over the ebb-shoal locally increases flood currents by 50 to 300% and reduces ebb currents by 20 to 50%. © 2022 Elsevier Ltd</t>
  </si>
  <si>
    <t>2-s2.0-85131463628"</t>
  </si>
  <si>
    <t>Andean Geology</t>
  </si>
  <si>
    <t>10.5027/andgeoV49n2-3416</t>
  </si>
  <si>
    <t>https://www.scopus.com/inward/record.uri?eid=2-s2.0-85133875215&amp;doi=10.5027%2fandgeoV49n2-3416&amp;partnerID=40&amp;md5=f4ed290f5018d653f08f339c8e5641ac</t>
  </si>
  <si>
    <t>The Patagonian Andes were affected by a range of geophysical drivers of landscape incision during the Last Glacial Interglacial Transition and Early Holocene. Deciphering drivers of river system response during this period is complex, and magnitudes and timescales of landscape change are poorly constrained. Herein, a remotely sensed time series of modern terrace formation is investigated from the Laguna del Viedma valley as a modern analogue of Late Quaternary landscape evolution in Patagonia. The aim of the research was to constrain the timing of terrace formation following lake level fall of the Laguna del Viedma over a 35 year period from 1985-2019. The objectives were to: 1) use satellite imagery from 1985-2019 to document glacier and lake changes in the study area</t>
  </si>
  <si>
    <t>10.1126/science.abm1215</t>
  </si>
  <si>
    <t>https://www.scopus.com/inward/record.uri?eid=2-s2.0-85130971288&amp;doi=10.1126%2fscience.abm1215&amp;partnerID=40&amp;md5=cf8c841cd3ef63b1b95baba0dd0e0993</t>
  </si>
  <si>
    <t>Rivers can abruptly shift pathways in rare events called avulsions, which cause devastating floods. The controls on avulsion locations are poorly understood as a result of sparse data on such features. We analyzed nearly 50 years of satellite imagery and documented 113 avulsions across the globe that indicate three distinct controls on avulsion location. Avulsions on fans coincide with valley-confinement change, whereas avulsions on deltas are primarily clustered within the backwater zone, indicating a control by spatial flow deceleration or acceleration during floods. However, 38% of avulsions on deltas occurred upstream of backwater effects. These events occurred in steep, sediment-rich rivers in tropical and desert environments. Our results indicate that avulsion location on deltas is set by the upstream extent of flood-driven erosion, which is typically limited to the backwater zone but can extend far upstream in steep, sediment-laden rivers. Our findings elucidate how avulsion hazards might respond to land use and climate change. © 2022 American Association for the Advancement of Science. All rights reserved.</t>
  </si>
  <si>
    <t>2-s2.0-85130971288"</t>
  </si>
  <si>
    <t>10.1007/s11069-022-05283-1</t>
  </si>
  <si>
    <t>https://www.scopus.com/inward/record.uri?eid=2-s2.0-85125458295&amp;doi=10.1007%2fs11069-022-05283-1&amp;partnerID=40&amp;md5=7617580bf1cf8c241c9b6aa733f4025b</t>
  </si>
  <si>
    <t>This study evaluated the efficiency of different Digital Elevation Models (DEMs), including ALOS-12.5 m, SRTM-30 m, SRTM-90 m, and ASTER-30 m v3 when being applied for the hydraulic simulation of flood inundation areas. HEC-RAS-2D model was employed to simulate inundation extent of a 400-year flood (Mar 17, 2019, with peak discharge ~ 547.92 m3/s) along 70 km reach of low-gradient Gorganrood River, northeastern Iran. Fit percentage indicator (FI) and BIAS percentage indicator (BI) were used to evaluate the results in comparison with the remotely sensed inundated area data. The results revealed that the accuracy and capability of the ALOS and SRTM-30 m were higher in simulation of flood extend area (FI ~ 52, BI ~ − 22) and in deriving peak discharge in downstream of the study reach (RMSE ~ 20%). The ASTER showed the worst performance in both floods extend area and peak discharge, despite dramatic improvements in the new version. The results of this study can be considered as a baseline for the selection of DEM sources for deriving flood inundation mapping. © 2022, The Author(s), under exclusive licence to Springer Nature B.V.</t>
  </si>
  <si>
    <t>2-s2.0-85125458295"</t>
  </si>
  <si>
    <t>10.1371/journal.pclm.0000044</t>
  </si>
  <si>
    <t>https://www.scopus.com/inward/record.uri?eid=2-s2.0-85150849074&amp;doi=10.1371%2fjournal.pclm.0000044&amp;partnerID=40&amp;md5=ff95029b231a84283b7d349efd93dcb8</t>
  </si>
  <si>
    <t>Coastal marshes and seagrass beds store millions of tons of carbon in their sediments and sequester carbon at higher per-area rates than most terrestrial ecosystems. There is substantial interest in this “blue carbon” as a carbon mitigation strategy, despite the major threat that sea level rise (SLR) poses to these habitats. Many projections of habitat and carbon change with SLR emphasize the potential for inland marsh migration and increased rates of marsh carbon sequestration, but do not consider carbon fluxes associated with habitat conversion. We integrated existing data and models to develop a spatial model for predicting habitat and carbon changes due to SLR in six mid-Atlantic U.S. states likely to face coastal habitat loss over the next century due to low tidal ranges and sediment supply. Our primary model projection, using an intermediate SLR scenario (1.2 m SLR by 2104), predicts loss of 83% of existing coastal marshes and 26% of existing seagrasses in the study area. In addition, 270,000 hectares of forest and forested wetlands in low-lying coastal areas will convert to coastal marshes. These SLR-driven habitat changes cause the study area to shift from a carbon sink to a source in our primary model projection. Given the many uncertainties about the habitat and carbon changes represented in our model, we also identified the parameters and assumptions that most strongly affected the model results to inform future research needs. These included: land availability for inland marsh migration, the baseline extent and location of coastal marshes, proportion of stored carbon emitted from lost habitats (coastal marsh sediments or terrestrial biomass carbon), and methane emissions from freshwater habitats. The study area switched from a net carbon sink to a net carbon source under SLR for all but three model runs</t>
  </si>
  <si>
    <t>10.1007/s10584-022-03364-5</t>
  </si>
  <si>
    <t>https://www.scopus.com/inward/record.uri?eid=2-s2.0-85130989632&amp;doi=10.1007%2fs10584-022-03364-5&amp;partnerID=40&amp;md5=43685f3a485ae527abca1253f3fd7367</t>
  </si>
  <si>
    <t>Assessing the impact of future climate on the severity of ice jam floods (IJFs) is an essential component of a flood mitigation strategy for many ice jam-prone northern communities. The general circulation model (GCM) outputs are used to derive hydrological conditions under future climate scenarios. Although GCMs are often downscaled to the point of interest, there can still be significant differences between modelled climate scenarios and historically observed climate scenarios. Therefore, the changes between the model simulated baseline and future scenarios are applied to observed baseline values to derive projected future values. In IJF modelling, such projected values are provided as input (boundary conditions) to assess the frequency and severity of future IJF events. Different methods can be used to calculate the climate change signal (difference between model-simulated future vs model-simulated historical conditions), and depending upon the method employed, results can vary. In this study, we evaluate the impact of using different delta change methods (i.e., absolute vs relative) to directly bias-correct the hydrological model output on the assessment of frequency and severity of IJFs under future climate. The method was tested in the Athabasca River at Fort McMurray in western Canada, an ice jam-prone location, to assess the IJF probabilities and intensities in the 2041–2070 period. Our results indicate that there is a notable difference in the projected frequency and severity of IJFs between absolute and relative delta change approaches, suggesting the methods should be carefully selected and results cautiously interpreted. © 2022, The Author(s), under exclusive licence to Springer Nature B.V.</t>
  </si>
  <si>
    <t>2-s2.0-85130989632"</t>
  </si>
  <si>
    <t>Water Policy</t>
  </si>
  <si>
    <t>10.2166/wp.2021.255</t>
  </si>
  <si>
    <t>https://www.scopus.com/inward/record.uri?eid=2-s2.0-85127305792&amp;doi=10.2166%2fwp.2021.255&amp;partnerID=40&amp;md5=8c1a50ef68ba804175fd5688c386c361</t>
  </si>
  <si>
    <t>Exploring whether society is sufficiently equipped and motivated to adopt planned interventions is vital for modern plan development trajectories. The Motivation and Ability (MOTA) framework offers a tool to assess the societal adoptability of plans by exploring stakeholders' motivations and abilities. It was originally developed to assess plan implementation feasibility for structural measures of flood management in the Mekong Delta. Further development is necessary before applying the tool in other contexts and for other types of planning interventions. Institutional measures like participatory water management (PWM) have long been recognized as essential elements for water management, but have so far also remained out of the reach of conventional planning assessment tools such as cost-benefit or cost-effectiveness analyses. This research, therefore, aims at extending the MOTA tool in the context of PWM reforms in Bangladesh. It does this by, first, further detailing the MOTA components and identifying indicators for quantification and, second, an expert validation and application of this framework for coastal communities in Bangladesh. Our results suggest that the MOTA framework is capable of informing policymakers and implementing agencies about how to enhance the stakeholders' motivation and ability to ensure an enduring implementation of PWM reforms. © 2022 IWA Publishing. All rights reserved.</t>
  </si>
  <si>
    <t>2-s2.0-85127305792"</t>
  </si>
  <si>
    <t>10.1016/j.dib.2022.108268</t>
  </si>
  <si>
    <t>https://www.scopus.com/inward/record.uri?eid=2-s2.0-85131240686&amp;doi=10.1016%2fj.dib.2022.108268&amp;partnerID=40&amp;md5=3e3080a5f6183fd18479b01e0c5b45f6</t>
  </si>
  <si>
    <t>This paper compiles the data associated with a research article published in STOTEN [1]. The data set represents figures, tables, and images illustrating the temporal and spatial distribution of land use and flood dynamics from 2000 to 2020 in the Vietnamese Mekong Delta (VMD). The MODIS imageries were freely accessed online via the NASA website [2] and processed to land use and flood maps based on the algorithms by Sakamoto et al. [3,4]. The MODIS products show a high validation with statistical data and radar satellites [1]. The datasets of flood map and land use, therefore, are available to scientists, engineers, and policy-makers in agricultural management associated with flood management in the VMD. They could be used for policy settings, household livelihood assessment as well as other economic analyses for the VMD region due to the change of land use and flooding dynamics. © 2022</t>
  </si>
  <si>
    <t>2-s2.0-85131240686"</t>
  </si>
  <si>
    <t>10.1016/j.jenvman.2022.114695</t>
  </si>
  <si>
    <t>https://www.scopus.com/inward/record.uri?eid=2-s2.0-85125775688&amp;doi=10.1016%2fj.jenvman.2022.114695&amp;partnerID=40&amp;md5=83b7df06c5b03a86e976451b29215e73</t>
  </si>
  <si>
    <t>Living shorelines are often better alternatives to stabilize shorelines and reduce dangerous erosion compared to traditional hard armoring practices such as bulkheads and seawalls. Increasing the use of living shorelines will require policy innovation and new approaches to shoreline management, however. Informed by a comparative legal analysis, this article identifies “policy levers” through four categories that demonstrate critical aspects of the human dimension in the estuarine management context that, to greater and lesser extents, promote or inhibit the implementation of living shorelines. Specifically, these categories include: erosion and flood control</t>
  </si>
  <si>
    <t>10.1016/j.uclim.2022.101164</t>
  </si>
  <si>
    <t>https://www.scopus.com/inward/record.uri?eid=2-s2.0-85127750539&amp;doi=10.1016%2fj.uclim.2022.101164&amp;partnerID=40&amp;md5=0ec0720f2bff3ba88ed50343da410ced</t>
  </si>
  <si>
    <t>In this paper, we present a study focused on the effect of sea level rise (SLR) on nuisance flooding due to groundwater (or groundwater flooding). A densely populated coastal urban area along a river estuary was selected for this work. We developed a three-dimensional (3D) shallow unconfined aquifer model of the site. We calibrated it with field measurements and used it to predict areas prone to groundwater flooding under different SLR scenarios. Results show that the water table is controlled by the river level as well as by aging infrastructure such as aging combined sewer and drinking water networks which drain and recharge the unconfined aquifer. Steady-state simulations run considering current river level scenarios show a very shallow aquifer throughout the area and simulations under different SLR scenarios predict that the water table starts to emerge from the ground in the low-lying parts of the site for 0.4 m of SLR. Overall, this work suggests that groundwater in coastal urban areas is regulated by anthropogenic and natural systems and is susceptible to climate change contributing to inundation together with marine flooding and intense precipitation. © 2022 Elsevier B.V.</t>
  </si>
  <si>
    <t>2-s2.0-85127750539"</t>
  </si>
  <si>
    <t>10.1007/s13157-022-01565-3</t>
  </si>
  <si>
    <t>https://www.scopus.com/inward/record.uri?eid=2-s2.0-85131314039&amp;doi=10.1007%2fs13157-022-01565-3&amp;partnerID=40&amp;md5=017f7aa768e6871a79a5772c8da6a5a3</t>
  </si>
  <si>
    <t>Accelerated sea-level rise and intensifying hurricanes highlight the need to better understand surface elevation change in coastal wetlands. We used the surface elevation table-marker horizon approach to measure surface elevation change in 14 coastal marshes along the northwestern Gulf of Mexico, within five National Wildlife Refuges in Texas (USA). During the 2014–2019 study period, the mean rate of surface elevation change was 1.96 ± 0.87 mm yr−1 (range: -1.57 to 8.37 mm yr−1). Vertical accretion rates varied due to landscape proximity relative to sediment inputs from Hurricane Harvey. At most sites, vertical accretion offset subsurface losses due to shallow subsidence. However, net elevation gains were often lower than recent relative sea-level rise rates, and much lower than rates expected under future sea-level rise. Because these marshes are not keeping pace with recent sea-level rise, it is unlikely that they will be able to adjust to future accelerations. Climate change threatens these Texas coastal wetlands and the ecological and economic services they provide. By characterizing the status and prospective loss of coastal marshes, our study reinforces the value of identifying local and landscape-level adaptation mechanisms that can enhance the ability of coastal marshes to adapt to threats posed by climate change. © 2022, This is a U.S. government work and not under copyright protection in the U.S.</t>
  </si>
  <si>
    <t>10.1007/s10113-022-01925-z</t>
  </si>
  <si>
    <t>https://www.scopus.com/inward/record.uri?eid=2-s2.0-85129735252&amp;doi=10.1007%2fs10113-022-01925-z&amp;partnerID=40&amp;md5=ce391b5fb97b931f910f3c4889207410</t>
  </si>
  <si>
    <t>Sea level rise (SLR) due to global climate change negatively impacts coastal zones, in particular wetland and mangrove ecosystems. Mangroves in the Mekong Delta (MD) in Vietnam provide critical ecosystem services in the region; however, escalated relative SLR is likely to affect all ecosystems in the region, with mangroves probably more vulnerable than others. Given the fact that documented information and studies on SLR impacts on mangroves are limited for the region, this study aims to investigate potential changes in mangrove distribution in response to future SLR scenarios in the coastal area in the south of the MD using the Sea Level Affects Marshes Model (SLAMM). Wetland maps for 2013 derived from Landsat 8 OLI sensor, digital elevation model (DEM), and localized site-specific parameters (i.e., subsidence/accretion, erosion, historic trend of SLR, and over-wash) were used as input for the SLAMM to simulate spatial distribution of mangroves under different relative SLR scenarios (i.e., RCP2.6, RCP4.5, RCP8.5, more extreme SLR), and surface elevation change (i.e., subsidence, stable, and accretion) scenarios by the year 2100. Simulation results show that the average annual mangrove losses are likely to be 0.54% and 0.22% for subsidence and stable scenarios, respectively. The findings demonstrate the considerable impacts of SLR on MD mangrove ecosystems and the strong influence of subsidence processes. Inundation was also identified as a main driver responsible for the mangrove loss by the end of this century. Our results are in agreement with findings of other studies at global scales and observed data at regional scales. The results also demonstrate the potential of the approach developed herein for simulating mangrove dynamics under future relative SLR scenarios in the region with acceptable accuracy. The findings from the present study are useful sources for development of proper strategies for minimizing the impacts of SLR on mangrove ecosystems and their vital associated services, to protect and conserve the mangrove ecosystems in the region.</t>
  </si>
  <si>
    <t>10.3390/atmos13060951</t>
  </si>
  <si>
    <t>https://www.scopus.com/inward/record.uri?eid=2-s2.0-85132173080&amp;doi=10.3390%2fatmos13060951&amp;partnerID=40&amp;md5=37e80aaa117ad627fa7670fc84ef64ad</t>
  </si>
  <si>
    <t>Inland waterways and their connections to marine transport systems constitute a substan-tial resource for the establishment of green infrastructures, flood prevention, and environmental conservation. However, these developments have numerous inherent environmental hazards such as water and air pollution, a loss of habitats, increased coastal erosion, the transfer of invasive species between connected watercourses and lakes, and the transport of pollutants through watercourses to coastal areas. Climate change may aggravate these environmental problems through changing temperatures, reduced precipitation, enhancing the adverse impact of excess nutrient dis-charge, and the entry of invasive species. In this study, we analyse the main European inland waterway corridors and their branches to assess the ecological viability of a pan-European inland waterway network. The environmental viability of such network depends on the right assessment of ecosystem services and protection of biodiversity. A model structure for landscape conservation, green infrastructure development, water replenishment, and ecosystem reconstruction is proposed, considering a sustainable combination of multimodal inland waterway and rail transport. © 2022 by the authors. Licensee MDPI, Basel, Switzerland.</t>
  </si>
  <si>
    <t>2-s2.0-85132173080"</t>
  </si>
  <si>
    <t>10.52939/ijg.v18i3.2197</t>
  </si>
  <si>
    <t>https://www.scopus.com/inward/record.uri?eid=2-s2.0-85132555923&amp;doi=10.52939%2fijg.v18i3.2197&amp;partnerID=40&amp;md5=c4c7787f7e1bb250f4ab421049f060b1</t>
  </si>
  <si>
    <t>This paper presents the impact of the ENSO incident in Thailand based on precipitation water vapor (PWV) data obtained from GPS measurements using GPS PWV data from 2007-2016 from 11 stations of the Public Works Department and town planning to determine the relationship between PWV and Sea Surface Temperature Anomalies (SSTa). It was found that between the La Niña and El Niño events, there was a moderate to severe correlation between PWV and SSTa at all stations, respectively, but was noted for SRTN and SOKA stations located near the southern coast of Thailand. The relationship turned out to be the opposite, that is, during the La Niña events there was a high correlation, but during the El Niño event, there was no correlation. Moreover, the correlation of all stations had the exact same negative. The study results concluded that the La Niña event directly affected PWV, especially in 2011. PWV declines would result in severe flooding and storms. El Niño also affected PWV, causing the rainy season to come later with less rain. © Geoinformatics International.</t>
  </si>
  <si>
    <t>2-s2.0-85132555923"</t>
  </si>
  <si>
    <t>10.1029/2021JF006535</t>
  </si>
  <si>
    <t>https://www.scopus.com/inward/record.uri?eid=2-s2.0-85127261241&amp;doi=10.1029%2f2021JF006535&amp;partnerID=40&amp;md5=2b45a358794f9b7d999edd94573d1fc6</t>
  </si>
  <si>
    <t>Topographic metrics are designed to quantify scale-relevant relationships between geometric properties of landscapes to reveal the processes shaping them. They have long been derived from topographic flow routing algorithms, initially developed for coarse Digital Elevation Models (DEMs), whose resolution (≥30 m) and poor precision did not resolve correctly flow patterns and channel flow width. Since high resolution and precision DEMs make the description of meter-scale flow patterns possible, new methods are required to analyze high resolution landforms structures such as hillslope-channel connections, channel width or floodplains. Here, we investigate the potential of 2D hydraulic simulations based on the shallow water equations to replace the classical slope versus drainage area analysis, to analyze river morphology and to identify floodplains. We apply the Floodos model to the 1 m resolution DEM of the Elder Creek catchment, California, from which we derive three hydro-geomorphic metrics accounting for the river geometry: a specific drainage area extended to channels, an effective flow width and the hydraulic slope. We analyze the Elder Creek catchment through what we call the hydraulic slope-area diagram allowing a better identification of hillslope-channel connections than the slope-area approach. The effective flow width is analyzed along the drainage network and is characterized by a power-law relationship consistent with previous observations. We derive metrics based on a multi-runoff approach to automatically identify floodplains and evaluate along-stream variations in hydraulic geometry. The hydro-geomorphic metrics offer a geomorphic analysis suitable for high resolution DEMs and opens up new perspectives in fluvial landscape analysis. © 2022. American Geophysical Union. All Rights Reserved.</t>
  </si>
  <si>
    <t>2-s2.0-85127261241"</t>
  </si>
  <si>
    <t>10.3390/rs14051126</t>
  </si>
  <si>
    <t>https://www.scopus.com/inward/record.uri?eid=2-s2.0-85125678409&amp;doi=10.3390%2frs14051126&amp;partnerID=40&amp;md5=e8372c48c078205f7e9eaa3416f429b9</t>
  </si>
  <si>
    <t>Nowadays, several methodologies, implemented for satellite or terrestrial surveys, reveal that daily and weekly site-positioning time series can exhibit linear trends plus seasonal oscillations. Such periodic components affect the evaluation of subsidence rates and, thus, they must be recognized and properly modelled. In this work, the periodic component of vertical land motion in Po Delta (Northern Italy) is estimated by a multi-component and multi-source procedure recently proposed by some of the authors for studying land subsidence in delta areas. First, land vertical motion data, acquired in the central part of the Po Delta over a six-year time interval, were compared with hydro-meteorological and climate datasets collected from nineteen stations distributed over the entire Delta. Then, four physically based models of the test site were implemented to verify the water pressure-and water mass-dependent processes inferred from the analytical phase. Modelling results show that the annual ground oscillation is better explained by soil moisture change, although river water mass variation gives a relevant contribution to land deformation, especially in the wet periods. Finally, to account for intra-annual processes, the joint contributions of all the inferred sources were treated as a nonlinear problem and solved applying the generalized reduced gradient method. The obtained combination is well supported by statistical parameters and provides the best agreement with the geodetic observations. © 2022 by the authors. Licensee MDPI, Basel, Switzerland.</t>
  </si>
  <si>
    <t>2-s2.0-85125678409"</t>
  </si>
  <si>
    <t>10.3390/land11030391</t>
  </si>
  <si>
    <t>https://www.scopus.com/inward/record.uri?eid=2-s2.0-85131448729&amp;doi=10.3390%2fland11030391&amp;partnerID=40&amp;md5=fe25d7dfae0fa4f89a24098284ee8f8a</t>
  </si>
  <si>
    <t>Owing to the recent intensification of the East Asian summer monsoon, the frequency of floods and dry spells, which commonly affect more than one billion people, is continuously increasing. Thus, understanding the causes of changes in the EASM is paramount. Land cover and land use change can perturb a regional climate system through biogeophysical and biogeochemical processes. However, due to the scarcity of temporally continuous land cover and land use maps, the impact of land cover and land use change on the EASM is still not thoroughly explored. In the present study, this limitation was addressed via the production of annual land cover and land use maps of the East Asian summer monsoon region covering a period of 34 years (1982–2015). This was achieved through a random forest classification of phenological information derived from the Advanced Very High-Resolution Radiometer Global Inventory Modeling and Mapping Studies Normalized Difference Vegetation Index dataset and terrain information from the Advanced Land Observing Satellite World 3D—30 m Digital Surface Model data. Nine ecological zones were involved in the random forest classification and the classified map in 2015 was validated using very high-resolution images obtained from Google Earth. The overall accuracy (73%) of the classification map surpasses the Moderate Resolution Imaging Spectroradiometer and Global Land Surface Satellite land cover products for the same year by ~7% and 4%, respectively. According to our classified maps, croplands and forests significantly increased in the East Asian summer monsoon region from 1982 to 2015. The dominant transition in these three decades was from croplands to forests. © 2022 by the authors. Licensee MDPI, Basel, Switzerland.</t>
  </si>
  <si>
    <t>2-s2.0-85131448729"</t>
  </si>
  <si>
    <t>10.1029/2021EF002436</t>
  </si>
  <si>
    <t>https://www.scopus.com/inward/record.uri?eid=2-s2.0-85128843544&amp;doi=10.1029%2f2021EF002436&amp;partnerID=40&amp;md5=e6e08a8c0761b842008417b87520472f</t>
  </si>
  <si>
    <t>Forecasting biogeomorphological conditions for barrier islands is critical for informing sea-level rise (SLR) planning, including management of coastal development and ecosystems. We combined five probabilistic models to predict SLR-driven changes and their implications on Fire Island, New York, by 2050. We predicted barrier island biogeomorphological conditions, dynamic landcover response, piping plover (Charadrius melodus) habitat availability, and probability of storm overwash under three scenarios of shoreline change (SLC) and compared results to observed 2014/2015 conditions. Scenarios assumed increasing rates of mean SLC from 0 to 4.71 m erosion per year. We observed uncertainty in several morphological predictions (e.g., beach width, dune height), suggesting decreasing confidence that Fire Island will evolve in response to SLR as it has in the past. Where most likely conditions could be determined, models predicted that Fire Island would become flatter, narrower, and more overwash-prone with increasing rates of SLC. Beach ecosystems were predicted to respond dynamically to SLR and migrate with the shoreline, while marshes lost the most area of any landcover type compared to 2014/2015 conditions. Such morphological changes may lead to increased flooding or breaching with coastal storms. However—although modest declines in piping plover habitat were observed with SLC—the dynamic response of beaches, flatter topography, and increased likelihood of overwash suggest storms could promote suitable conditions for nesting piping plovers above what our geomorphology models predict. Therefore, Fire Island may offer a conservation opportunity for coastal species that rely on early successional beach environments if natural overwash processes are encouraged. Published 2022. This article is a U.S. Government work and is in the public domain in the USA.</t>
  </si>
  <si>
    <t>2-s2.0-85128843544"</t>
  </si>
  <si>
    <t>10.5194/nhess-22-729-2022</t>
  </si>
  <si>
    <t>https://www.scopus.com/inward/record.uri?eid=2-s2.0-85126809331&amp;doi=10.5194%2fnhess-22-729-2022&amp;partnerID=40&amp;md5=7adb77de7a06023b769ceb21db5573df</t>
  </si>
  <si>
    <t>In the Ganges-Brahmaputra-Meghna delta, covering most of Bangladesh, more than 165 million people live in low-lying coasts facing major extreme climatic events, such as cyclones. This article reviews the current scientific literature publications (2007-2020) in order to define vulnerability in the context of coastal Bangladesh facing cyclonic flooding. Based on this review, a new metric, called the socio-spatial vulnerability index (SSVI), is defined as function of both the probability of the cyclonic flood hazard and the sensitivity of delta inhabitants. The main result shows that the districts of Shariatpur, Chandpur and Barisal situated in the tidal floodplain of the Ganges-Brahmaputra-Meghna delta are in the fourth quartile, i.e., highest category, the most vulnerable areas. These districts are very densely populated (from 870 up to 1400 inhabitants per square kilometer) and exposed to inundation hazards with a large number of vulnerability factors. Finally, the delta's mouth was identified as a very vulnerable area to cyclonic flooding as well. © 2022 Aurélia Bernard et al.</t>
  </si>
  <si>
    <t>2-s2.0-85126809331"</t>
  </si>
  <si>
    <t>10.1016/j.pdisas.2022.100223</t>
  </si>
  <si>
    <t>https://www.scopus.com/inward/record.uri?eid=2-s2.0-85126084254&amp;doi=10.1016%2fj.pdisas.2022.100223&amp;partnerID=40&amp;md5=ed7459dfb1f8291b09bb33ebce35babd</t>
  </si>
  <si>
    <t>The geo-climatic setting of the Odisha coast is prone to natural calamities like cyclones, storm surges, inundation, along with changing sea level, which indicates a higher level of coastal vulnerability. Climate-induced natural hazards are frequent on the Odisha coast, which leads to adverse impacts on life and property and intensive crop damage. The frequent natural hazards and sea-level rise (SLR) are accelerating the probable impact from severe storm surges and high waves in the future. The futuristic projection of the cyclone, storm surge, inundation and SLR has been estimated. Also, their probable impact on the coastal community has been portrayed. © 2022 The Authors</t>
  </si>
  <si>
    <t>2-s2.0-85126084254"</t>
  </si>
  <si>
    <t>10.1016/j.quaint.2021.05.015</t>
  </si>
  <si>
    <t>https://www.scopus.com/inward/record.uri?eid=2-s2.0-85109899394&amp;doi=10.1016%2fj.quaint.2021.05.015&amp;partnerID=40&amp;md5=d7764648a624b9fb5c8f78901e0dc14e</t>
  </si>
  <si>
    <t>High-energetic glacial lake-outburst floods are known both from ancient and current glacial environments. While a decrease in meltwater flow energy takes place, a proglacial bedform continuum is formed due to erosional and depositional processes</t>
  </si>
  <si>
    <t>10.3389/feart.2022.821188</t>
  </si>
  <si>
    <t>https://www.scopus.com/inward/record.uri?eid=2-s2.0-85128262386&amp;doi=10.3389%2ffeart.2022.821188&amp;partnerID=40&amp;md5=74d9ac8e71e986473857aa04b26091b5</t>
  </si>
  <si>
    <t>Submarine mass wasting events have damaged underwater structures and propagated waves that have inundated towns and affected human populations in nearby coastal areas. Susceptibility to submarine landslides can be pronounced in degrading cryospheric environments, where existing glaciers can provide high volumes of sediment, while cycles of glaciation and ice-loss can damage and destabilize slopes. Despite their contribution to potential tsunami hazard, submarine landslides can be difficult to study because of limited access and data collection in underwater environments. Here we present a method to quantify and map the submarine landslide susceptibility of sediment-covered slopes in Glacier Bay, Glacier Bay National Park and Preserve, Alaska, using multibeam-sonar bathymetric digital elevation models (DEMs) and historical maps of glacial extents over the last ∼250 years. After mapping an inventory of &gt;7,000 landslide scarps in submarine sediments, we filtered the inventory by size to account for limitations in DEM resolution and spatial scales relevant to tsunami hazards. We then assessed landslide concentration, accounting for the age of the initial exposure of submarine slopes by deglaciation. We found a positive correlation between landslide concentration and deglaciation age, which we interpreted as a mean landslide accumulation rate over the period of record. Local deviations from this rate indicated differences in susceptibility. Additionally, we accounted for some of the effect of material and morphometric properties by estimating the submarine bedrock-sediment distribution using a morphometric model and assessing the relationship between slope angle and landslide incidence. Finally, we supplemented our susceptibility assessment with a geomorphic component based on the propensity of active submarine fans and deltas to produce landslides. Thus, our map of submarine landslide susceptibility incorporates three components: age-adjusted landslide concentration, slope angle, and geomorphology. We find that areas of mapped high susceptibility correlate broadly with areas of high sediment input and availability, locations of fans and deltas, and steep sediment-covered glacially carved fjords and troughs. Areas of high submarine landslide susceptibility in Glacier Bay moderately correspond with locations of known high-hazard subaerial slopes, but more research on submarine and subaerial landslides in degrading cryospheric environments would be beneficial to better understand landslide and tsunami hazards. Copyright © 2022 Avdievitch and Coe.</t>
  </si>
  <si>
    <t>2-s2.0-85128262386"</t>
  </si>
  <si>
    <t>10.1016/j.margeo.2022.106770</t>
  </si>
  <si>
    <t>https://www.scopus.com/inward/record.uri?eid=2-s2.0-85126894846&amp;doi=10.1016%2fj.margeo.2022.106770&amp;partnerID=40&amp;md5=6ec120908a6044d5e2ae9a00ebb73df7</t>
  </si>
  <si>
    <t>Royal Hawaiian Beach in Waikīkī plays an essential role in Hawai‘i's tourism-based economy. To inform development of management policies, we conduct two years of weekly ground and aerial surveys (April 2018 to February 2020) to track change on this chronically eroding beach. We use multiple linear regressions, Self-Organizing Maps (a form of cluster analysis), remotely sensed nearshore sand fields, hydrodynamic modelling, and monitoring of key physical processes to identify the principal drivers of beach change. Our results show 12 months of subaerial accretion (+2400 ± 59 m3) followed by 10 months of erosion (−3090 ± 51 m3) for a net loss of 690 ± 51 m3, and document that interannual variations in beach width and volume overprint seasonal patterns. Notably, a seasonal signal is recorded in the topographic structure of the beach. We test the relationship of beach volume and width to variations in wind, water level, wave energy flux generated from southern hemisphere swell, and wave energy flux from locally generated trade-wind waves. We identify three beach segments and three nearshore sand fields that form a sand-sharing, source-sink network, yet operate quasi-independently. Our analysis reveals that individual beach segments and their adjacent sand fields experience coherent (simultaneous) gains and losses of sand, suggesting that alongshore sediment exchange is dominant over cross-shore exchange. The main drivers of beach change are variations in water level and wave energy flux. Beach volume and width both vary with nearshore sand cover, indicating that free exchange with nearshore sources is intrinsic to beach variability. Our results suggest that rising sea level and extreme El Niño-Southern Oscillation events will contribute to Royal Hawaiian Beach destabilization, which may amplify erosional events and increase the cost of future beach maintenance. © 2022</t>
  </si>
  <si>
    <t>2-s2.0-85126894846"</t>
  </si>
  <si>
    <t>10.3390/hydrology9040061</t>
  </si>
  <si>
    <t>https://www.scopus.com/inward/record.uri?eid=2-s2.0-85129088862&amp;doi=10.3390%2fhydrology9040061&amp;partnerID=40&amp;md5=df4ac2eb57c22ccd002c01d487b371cd</t>
  </si>
  <si>
    <t>The Ca Mau peninsula (CMP) is a key economic region in southern Vietnam. In recent decades, the high demand for water has increased the exploitation of groundwater, thus lowering the groundwater level and leading to risks of degradation, depletion, and land subsidence, as well as salinity intrusion in the groundwater of the whole Mekong Delta region. By using a finite element groundwater model with boundary expansion to the sea, we updated the latest data on hydrogeological profiles, groundwater levels, and exploitation. The basic model setup covers seven aquifers and seven aquitards. It is determined that the inflow along the coastline to the mainland is 39% of the total inflow. The exploitation of the study area in 2019 was 567,364 m3 /day. The most exploited aquifers are the upper-middle Pleistocene (qp2–3) and the middle Pliocene (n22), accounting for 63.7% and 24.6%, respectively</t>
  </si>
  <si>
    <t>10.1007/s11069-021-05163-0</t>
  </si>
  <si>
    <t>https://www.scopus.com/inward/record.uri?eid=2-s2.0-85122751464&amp;doi=10.1007%2fs11069-021-05163-0&amp;partnerID=40&amp;md5=eff314dcd2872ac3a5068471905d2f2c</t>
  </si>
  <si>
    <t>Southeast Florida (SF) is among the most vulnerable regions to sea-level rise in the United States of America. The consequences associated with sea-level rise (SLR) are already apparent, including coastal inundation and erosion. The Coral Gables Canal watershed is located in SF and can be considered representative of the effects of combined mean and extreme SLR. In this research, the effect of concurrent mean and extreme sea-level rise on coastal inundation in the Coral Gables Canal watershed is explored. A three-dimensional hydrodynamic model for Biscayne Bay and the Coral Gables Canal is presented. The model is used to estimate water surface elevations throughout the model domain, and map inundation due to an extreme water-level event (Irma Hurricane) occurring alongside mean SLR scenarios. A comparison of the inundation coverage calculated in this research to estimations made by several online tools shows that the online simulators underestimate flooding areas by 72% to 85%. This is a consequence of underpredicting maximum water surface elevations occurring under combined SLR in the Coral Gables Canal. The model predicts that under the NOAA Intermediate High SLR scenario (year 2100), 40% of the CGC watershed will be inundated (water depths &gt; 0.6 m), and 70% of the area will be flooded with water depths greater than 1.6 m in year 2120. Under the NOAA High SLR scenario at least 70% of the Coral Gables Canal watershed would be inundated in 2100 (water depths &gt; 1.0 m). In year 2120, 90% of inland sub-basins will be flooded (0.6 m &lt; depths &lt; 2.2 m). These results are significant for planning flooding/inundation risk management strategies. © 2021, The Author(s), under exclusive licence to Springer Nature B.V.</t>
  </si>
  <si>
    <t>2-s2.0-85122751464"</t>
  </si>
  <si>
    <t>10.1016/j.ocemod.2022.101947</t>
  </si>
  <si>
    <t>https://www.scopus.com/inward/record.uri?eid=2-s2.0-85124877501&amp;doi=10.1016%2fj.ocemod.2022.101947&amp;partnerID=40&amp;md5=b8cefa3266cf2dde70a2c435b4026aed</t>
  </si>
  <si>
    <t>The intensity of major tropical cyclones has increased during the past decade. Their effect is particularly acute in coastal areas where they cause extensive damage leading to an influx of debris, sediments and waste to the sea. However, most operational coastal ocean models do not represent heavy-wind transport processes correctly if the hydrodynamics is not coupled with the wind-generated waves. This may lead to significant errors in ocean simulations under tropical cyclone conditions. Here, we investigate current–wave interactions during a major hurricane and assess their impact on transport processes. We do that by coupling the unstructured-mesh coastal ocean model SLIM with the spectral wave model SWAN, and applying it to the Florida Reef Tract during Hurricane Irma (September 2017). We show that the coupled model successfully reproduces the wave behavior, the storm surge and the ocean currents during the passage of the hurricane. We then use the coupled and uncoupled wave–current model to simulate the transport of passive drifters. We show that the wave radiation stress gradient alone can lead to changes of up to 1 m/s in the modeled currents, which in turn leads to differences of up to 5 km in the position of drifting material over the duration of the hurricane. The Stokes drift however appears to cause deflections up to 4 times larger and hence dominates wave-induced transport. Wave–current interactions therefore strongly impact the transport of drifting material such as sediments and debris in the aftermath of a hurricane. They should thus be taken into account in order to correctly assess its overall impact. © 2022 Elsevier Ltd</t>
  </si>
  <si>
    <t>2-s2.0-85124877501"</t>
  </si>
  <si>
    <t>10.3390/cli10030045</t>
  </si>
  <si>
    <t>https://www.scopus.com/inward/record.uri?eid=2-s2.0-85127431692&amp;doi=10.3390%2fcli10030045&amp;partnerID=40&amp;md5=e36cab162e1c30a8ebda81334fa671cf</t>
  </si>
  <si>
    <t>The potential impacts of sea level in the study region are presented using the Integrated Procedure for Estimate Sea Level Impacts (IPESLI), made up of Landsat images, official databases, and design software for geographic information systems. IPESLI is useful in areas with little georeferenced and validated information. The sea level projections are based on the climate projections, which incorporate the possible attenuation of the ice sheet near the upper end of Antarctica. Flood risk statistics were used to simulate the frequency of extreme flooding across the planet. The IPESLI was calibrated using seven field visits to compare the height values generated by the digital elevation model against the in situ data. The inundation maps generated in the study can be used to find the most vulnerable areas and initiate decision making for coastal adaptation. The IPESLI procedure has the potential to contribute to the formation of a communication bridge between climate change science and policy makers. The projection is profound for all scenarios, but it is particularly devastating for the Acapulco Diamante area if we start with the worst future climate scenario (SSP5-RCP8.5). © 2022 by the authors. Licensee MDPI, Basel, Switzerland.</t>
  </si>
  <si>
    <t>2-s2.0-85127431692"</t>
  </si>
  <si>
    <t>10.3389/fenvs.2022.670397</t>
  </si>
  <si>
    <t>https://www.scopus.com/inward/record.uri?eid=2-s2.0-85128873905&amp;doi=10.3389%2ffenvs.2022.670397&amp;partnerID=40&amp;md5=0ab85564854276fa01f341af616470c8</t>
  </si>
  <si>
    <t>Half the population of China live in coastal zones where 70% of large cities are also located. Intensive human activities pose significant environmental and ecological hazards to these cities that are already vulnerable to natural hazards and climate change. The sustainable development of coastal cities is thus both a national and international issue. Rongcheng is a typical coastal city in east China. It is a national marine ranch demonstration area that is subjected to multi-stressors from human activities and climate change. The dominant economic sectors include aquaculture and fisheries, agriculture, shipping and tourism. A multitude of resulting pressures come mainly from intensified human activities, such as intensive aquaculture, overfishing, industrial pollutants, agricultural runoff, land reclamation and port expansion. In addition, Rongcheng is also facing exogenic pressures from extreme climate events such as intensified storms, storm surges, droughts and sea ice. A growing awareness of these problems brought together a trans-disciplinary group from local government, research institutions, local practitioners and coastal representatives to jointly explore and co-design adaptive coastal management options. In this transdisciplinary study, a social-ecological analysis based on a combination of the Systems Approach Framework and the Drivers-Pressures-States-Impacts-Responses framework was used to analyze and formulate an adaptive management plan for the sustainability of Rongcheng. More than 40 stakeholders including government, companies, civil society and institutions participated in the study through questionnaires and on-site meetings. A statistical analysis of the results identified urgent issues impeding the sustainable development of Rongcheng. The issues identified were poorly regulated aquaculture, loss of shoreline, and the decline of seagrass and cultural heritage. The study identified management options and measures, some of which were adopted by the local government in a co-designed management plan. The measures included upgrading of aquaculture industry, habitat conservation and restoration, and the development of cultural tourism. Another outcome was the increased knowledge exchange between stakeholders to inform management, policy, and decision making, as well as raised awareness of vulnerability to natural hazards and climate change. The success of this case study provides a reference for the adaptive management of other coastal cities and their sustainable development in a changing climate. Copyright © 2022 Tu, Ma, Li, Fu, You, Newton and Luo.</t>
  </si>
  <si>
    <t>2-s2.0-85128873905"</t>
  </si>
  <si>
    <t>10.1016/j.pdisas.2022.100235</t>
  </si>
  <si>
    <t>https://www.scopus.com/inward/record.uri?eid=2-s2.0-85130941106&amp;doi=10.1016%2fj.pdisas.2022.100235&amp;partnerID=40&amp;md5=581eb458ae426f117a316c18c734d1c3</t>
  </si>
  <si>
    <t>Flood is a hazard, but it is also essential for the local communities in the Mekong Delta, as it also provides nutrients for agriculture and resists saltwater intrusion. In recent years, changes in flood patterns have been observed in the Mekong Delta with erratic fluctuations in the flooded area, especially in the downstream provinces. It causes a lot of difficulties in flood monitoring and management in this area. Therefore, a robust assessment of flood shifting is essential in the Mekong Delta. This work addresses the development of a logical model based on Google Earth Engine (GEE) using Sentinel-1 synthetic aperture radar (SAR) data to assess floods in the downstream Mekong River basin. In the present study, the observed data of Tan Chau and Chau Doc hydrological stations have been used to test and prove the reliability of this application. The inundation scenario generated from this study showed a gradual shift in flooding patterns of the downstream provinces of the Mekong Delta. Overall, the flooded area is decreasing; however, the same is increasing in Bac Lieu province. This research will help to construct a professional support system to monitor the flood inundation in the Mekong Delta. They can give local authorities a big picture of inundation to decide on flood disaster preparedness, mitigation, and adaptation.</t>
  </si>
  <si>
    <t>10.3390/atmos13040591</t>
  </si>
  <si>
    <t>https://www.scopus.com/inward/record.uri?eid=2-s2.0-85128461112&amp;doi=10.3390%2fatmos13040591&amp;partnerID=40&amp;md5=45533041f89586231091eede6f297cfc</t>
  </si>
  <si>
    <t>The south coast of Korea is vulnerable to coastal disasters, such as storm surges, high waves, wave overtopping, and coastal flooding caused by typhoons. It is imperative to predict such disastrous events accurately in advance, which requires accurate meteorological forcing for coastal ocean modeling. In this study, to acquire accurate meteorological data as important forcing variables for the prediction of storm surges and waves, we examined the forecast performance and applicability of a next-generation global weather/climate prediction model, the Model for Prediction Across Scales (MPAS). We compared the modeled surface pressure and wind with observations on the south coast of Korea for three typhoons that damaged Korea in 2020—Bavi, Maysak, and Haishen—and investigated the accuracy of these observations with the MPAS prediction. Those meteorological forcing variables were then used in the tightly coupled tide-surge-wave model, Advanced CIRCulation (ADCIRC) and the Simulating Waves Nearshore (SWAN) for the simulation of a typhoon-induced storm surge and wave. We also performed the hindcast of the wave and storm surges using a parametric tropical cyclone model, the best-track-based Generalized Asymmetric Holland Model (GAHM) embedded in ADCIRC+SWAN, to better understand the forecast performance and applicability of MPAS. We compared the forecast results of the typhoon-induced wave and storm surges with their hindcast in terms of the time-series and statistical indices for both significant wave height and storm surge height and found that wave and storm surge prediction forced by MPAS forecast provides a comparable accuracy with the hindcast. Comparable results of MPAS forcing with that of hindcast using best track information are encouraging because ADCIRC+SWAN forced by MPAS forecast with an at most four-day lead time still provides a reasonable prediction of wave and storm surges. © 2022 by the authors. Licensee MDPI, Basel, Switzerland.</t>
  </si>
  <si>
    <t>2-s2.0-85128461112"</t>
  </si>
  <si>
    <t>10.1007/s11069-022-05208-y</t>
  </si>
  <si>
    <t>https://www.scopus.com/inward/record.uri?eid=2-s2.0-85124069589&amp;doi=10.1007%2fs11069-022-05208-y&amp;partnerID=40&amp;md5=b4ce1a17fc203b18dba30fafb34e8294</t>
  </si>
  <si>
    <t>This paper presents the use of tsunami evacuation drills within a coastal community in the Cascadia Subduction Zone (CSZ) to better understand evacuation behaviors and thus to improve tsunami evacuation preparedness and resilience. Evacuees’ spatial trajectory data were collected by Global Navigation Satellite System (GNSS) embedded in mobile devices. Based on the empirical trajectory data, probability functions were employed to model people’s walking speed during the evacuation drills. An Evacuation Hiking Function (EHF) was established to depict the speed–slope relationship and to inform evacuation modeling and planning. The regression analysis showed that evacuees’ speed was significantly negatively associated with slope, time spent during evacuation, rough terrain surface, walking at night, and distance to destination. We also demonstrated the impacts of milling time on mortality rate based on participants’ empirical evacuation behaviors and a state-of-the-art CSZ tsunami inundation model. Post-drill surveys revealed the importance of the drill as an educational and assessment tool. The results of this study can be used for public education, evacuation plan assessment, and evacuation simulation models. The drill procedures, designs, and the use of technology in data collection provide evidence-driven solutions to tsunami preparedness and inspire the use of drills in other types of natural disasters such as wildfires, hurricanes, volcanoes, and flooding. © 2022, The Author(s), under exclusive licence to Springer Nature B.V.</t>
  </si>
  <si>
    <t>2-s2.0-85124069589"</t>
  </si>
  <si>
    <t>10.1016/j.landurbplan.2022.104374</t>
  </si>
  <si>
    <t>https://www.scopus.com/inward/record.uri?eid=2-s2.0-85124584556&amp;doi=10.1016%2fj.landurbplan.2022.104374&amp;partnerID=40&amp;md5=6005cbba8d20111286557e49ae9659d7</t>
  </si>
  <si>
    <t>Coastal cities and their natural environments are vulnerable to the impacts of climate change, especially sea-level rise (SLR). Hard coastal defences play a key role in protecting at-risk urban coastal populations from flooding and erosion, but coastal ecosystems also play important roles in the overall sustainability and resilience of cities and urban centres by contributing to coastal protection. Conserving coastal ecosystems and maximising their resilience will ensure that urban coastal communities can continue to benefit from ecosystem services and improve their adaptive capacity to cope with adverse impacts in the future. Using the hyper-urbanised coast of Singapore as a case study, we modelled the resilience of coastal wetlands to SLR and integrated resilience in conservation planning. We found that the responses of coastal habitats to rising sea level vary across the modelling periods. While there is a slight net gain in the extent of mangrove forests and tidal flats by the end of the century due to potential habitat conversion, the existing habitats will experience a loss in coverage. Highly modified coastlines associated with urbanisation impede the ability of existing wetlands to migrate landward, which is a key mechanism for coastal habitats to cope with rising sea levels. Systematic conservation planning can identify sites that are potentially resilient to SLR and incorporate factors that influence an ecosystem's capability to respond to change. Crucially, the relatively slow rates of SLR and persistence of coastal wetlands during the earlier half of this century present an opportunity to introduce management interventions aimed at enhancing ecosystem resilience. © 2022 The Authors</t>
  </si>
  <si>
    <t>2-s2.0-85124584556"</t>
  </si>
  <si>
    <t>10.3390/min12040458</t>
  </si>
  <si>
    <t>https://www.scopus.com/inward/record.uri?eid=2-s2.0-85127647263&amp;doi=10.3390%2fmin12040458&amp;partnerID=40&amp;md5=28ef049af37b9b49684bd8827db2c7e3</t>
  </si>
  <si>
    <t>Repeated manure additions containing phosphorus (P) in excess of crop needs have led to many agricultural soils with high levels of soil P (i.e., legacy P), particularly in the Delmarva region (USA). Due to the potential for P release, it is important to gain a better understanding of the mechanisms of P desorption and solubilization. Agricultural soils with high legacy P were collected from the Delmarva Peninsula, and soil P pools were determined using a suite of wet chemical and spectroscopic techniques, including a modified Hedley sequential extraction and X-ray absorption near-edge structure (XANES) spectroscopy. Five different desorption solutions were used to investigate P removal efficiency to assess release mechanisms. The results indicate that sulfate can have a stronger competition for P desorption than silicate, especially in the ditch sample with 21% labile P and 44% P adsorbed to iron and aluminum (via Hedley extraction). Additionally, linear combination fitting results of the ditch sample indicate 10.5% organic P and 73.9% P associated with iron and aluminum. This is an important finding because sulfate is a prevalent ion in sea water, and many agricultural soils with high legacy P in the Delmarva coastal area are threatened by sea level rise and inundation. © 2022 by the authors. Licensee MDPI, Basel, Switzerland.</t>
  </si>
  <si>
    <t>2-s2.0-85127647263"</t>
  </si>
  <si>
    <t>10.1016/j.jhydrol.2022.127607</t>
  </si>
  <si>
    <t>https://www.scopus.com/inward/record.uri?eid=2-s2.0-85124678172&amp;doi=10.1016%2fj.jhydrol.2022.127607&amp;partnerID=40&amp;md5=d346a176d65548d1013ad200c97fcdb4</t>
  </si>
  <si>
    <t>Land subsidence (LS) due to the Sea Level Rise (SLR) and over-pumping was observed in many groundwater aquifers worldwide. The geotechnical properties and numerical simulation are considered a new integrative approach to investigate the LS hazard. This study investigates the environmental hazards related to LS in the quaternary sediments using laboratory and numerical modeling in the coastal aquifer of Nile delta, Egypt, due to SLR and over-pumping. Therefore, the geotechnical tests are conducted for the aquifer cap and classify the surficial soil as silty clay with moderately complex dispersive characteristics. In addition, hydraulic conductivity and one-dimensional consolidation of silty clay samples were analyzed to estimate the long-term settlement. Consequently, the groundwater head and drawdown were simulated for the current situation. Three proposed future scenarios are SLR and increased abstraction using the SEAWAT code. The results show that groundwater heads increased to 5.65, 14.50, and 26.70 cm for 2020, 2040, and 2060, respectively. Moreover, the estimated LS under the over-pumping scenario reached 7.60, 32.40, and 52.70 cm, with a maximum drawdown of 2.10, 9.70, and 15.10 m. SLR and over-pumping induce more inundation in the northern part due to SLR. The shoreline moves inland with a drawdown to 2, 9.50, and 14.80 m. Integration of measured and groundwater simulation settlements would provide appropriate information about the potential environmental hazards. Moreover, the future LS scenarios help stakeholders to make the right decision in developing effective measures in coastal aquifers to minimize the adverse impacts of LS on infrastructure waterways and human life. © 2022 Elsevier B.V.</t>
  </si>
  <si>
    <t>2-s2.0-85124678172"</t>
  </si>
  <si>
    <t>10.1038/s43017-022-00268-x</t>
  </si>
  <si>
    <t>https://www.scopus.com/inward/record.uri?eid=2-s2.0-85126292550&amp;doi=10.1038%2fs43017-022-00268-x&amp;partnerID=40&amp;md5=919d83dfad07d3aa94370028752ed0a8</t>
  </si>
  <si>
    <t>Arctic deltas form the critical interface between the Arctic landscape and the ocean. They filter freshwater, sediment, carbon and biochemical fluxes from approximately 14 million km2 of northern permafrost terrain. This Review highlights the unique controlling factors, seasonality and morphodynamic processes affecting Arctic deltas. Arctic deltas are ‘ice-dominated systems’ that are affected by land ice, permafrost and sea ice. They are strongly seasonal and are frozen for 7–9 months of the year. Permafrost limits channel migration. Arctic deltas experience ice jam floods, inducing biochemical exchange with thermokarst lakes. Transport under sea ice creates shallow prodelta ramps. Open-ocean conditions that promote marine reworking of river deposits are short-lived in the Arctic. A data compilation of Arctic deltas highlights that sediment and carbon fluxes are substantially lower than for lower-latitude deltas, with the exception of Greenlandic deltas. Arctic delta morphodynamics are also markedly subdued, with land–water conversion about eightfold less than in low-latitude deltas, probably owing to the unique ice processes occurring in Arctic deltas, which result in preferential floodplain and submarine sedimentation. Future trajectories of controlling factors indicate that Arctic deltas will transition away from being dominated by ice. The open-water season is expanding most rapidly, with wave energy predicted to increase threefold by 2100. Arctic deltas will thaw and experience increased wave influence, with poorly understood consequences for delta morphodynamics and carbon cycling. Process studies under transitional conditions are needed to develop predictive models further. © 2022, Springer Nature Limited.</t>
  </si>
  <si>
    <t>2-s2.0-85126292550"</t>
  </si>
  <si>
    <t>10.1029/2021JC018145</t>
  </si>
  <si>
    <t>https://www.scopus.com/inward/record.uri?eid=2-s2.0-85127296925&amp;doi=10.1029%2f2021JC018145&amp;partnerID=40&amp;md5=3b1b18d16d9e3a603375209eb67e75ba</t>
  </si>
  <si>
    <t>This article analyzes the variation of sea level trends along the Australian coast zone (0–100 km) using 16 yr (2002–2018) of tide gauge records, reprocessed Jason data and European Space Agency (ESA) Climate Change Initiative (CCI) sea level product. The reprocessed Jason data are first compared with tide gauge and 3-yr Sentinel-3A data. Then the empirical orthogonal function analysis demonstrates that local sea levels are not only significantly affected by the El Niño Southern Oscillation-related signals, but also moderately correlated with the Indian Ocean Dipole. A multivariate linear regression model with optimized noise model is thus built to reduce the impact of natural variability on the trend estimation. The results show that the geographical pattern of sea level rise from reprocessed Jason data and ESA CCI sea level product are highly consistent, with the rates decreasing from the northeast coast (6–8 mm yr−1) anticlockwise to the southeast coast (2–4 mm yr−1). The sea level trends from reprocessed Jason data are in good agreement with those from tide gauge records, though they are ∼1.5 mm yr−1 higher than those from the ESA CCI data product. The discrepancy between two altimeter datasets is acceptable considering the trend uncertainty (i.e., one standard deviation) from 20-Hz along-track points is at the level of 1–2 mm yr−1. It is also found that sea level trends decrease significantly from 5.8 ± 1.5 mm yr−1 offshore to 3.4 ± 1.2 mm yr−1 toward the southeast coasts. This may be because the continental slope precludes the propagation of sea levels from the East Australian Current dominated oceans to the coast. © 2022. American Geophysical Union. All Rights Reserved.</t>
  </si>
  <si>
    <t>2-s2.0-85127296925"</t>
  </si>
  <si>
    <t>10.1016/j.ecolecon.2022.107349</t>
  </si>
  <si>
    <t>https://www.scopus.com/inward/record.uri?eid=2-s2.0-85123105708&amp;doi=10.1016%2fj.ecolecon.2022.107349&amp;partnerID=40&amp;md5=b37635ba0ed51f5524dd5e92fd514777</t>
  </si>
  <si>
    <t>This paper examines the recreational use values associated with a coastal walking trail under threat from increased episodes of storm surges and coastal erosion, and the cost of alternative grey and nature based infrastructure options that could protect it. These options involve restoring an oyster reef bar that would act as a natural breakwater versus an impermeable revetment. The results of an on-site survey of users of the amenity and a negative binomial travel cost model demonstrate that the coastal trail has considerable recreational use value to local communities. In terms of a cost benefit analysis it was found that both protection options resulted in a positive net benefit over a 20 year time horizon but the nature based solution had a benefit cost ratio multiple times larger than the grey infrastructure alternative. The conclusions of the analysis remain valid under sensitivity analysis. The results suggest a compelling case for embedding nature based solutions in climate adaption and flood management planning for low lying coastal areas where recreational resources are under threat as it can be not only more cost effective but may also offer other ecosystem benefits to coastal communities. © 2022 The Authors</t>
  </si>
  <si>
    <t>2-s2.0-85123105708"</t>
  </si>
  <si>
    <t>Environment and Planning D: Society and Space</t>
  </si>
  <si>
    <t>10.1177/02637758211031565</t>
  </si>
  <si>
    <t>https://www.scopus.com/inward/record.uri?eid=2-s2.0-85110997785&amp;doi=10.1177%2f02637758211031565&amp;partnerID=40&amp;md5=917fcdd041578fe185c79ceb46ca79af</t>
  </si>
  <si>
    <t>In the wake of Hurricane Katrina, one of the axioms of a “just recovery” was to redevelop the city’s historic high ground. While the call to limit the city’s footprint problematized low-lying geographies, the majority of which were Black, it ignored Lakeview, a low-lying, predominantly white neighborhood devastated by Katrina. Despite its vulnerability to flooding, Lakeview has thrived in the years following Katrina. Property values are rising and public and private investments are rolling in. Lakeview’s unquestioned future and its (re)valorization in the wake of the storm speak to how racial regimes of property have informed the reconstruction of the city and to the role that urban planning plays in constructing and valorizing landscapes of whiteness. This paper interrogates the ongoing lives of whiteness, asking how whiteness operates as an invisible substrate within planning and property regimes. Utilizing the concept of sedimentation, it explores how planning takes part in concretizing racial formation processes and suggests that the project of sustaining white geographies lays bare deeper questions about the ways that planning enacts multi-scaled, racialized regimes of property. This article excavates the emergence of Lakeview from the backswamps of a delta city to examine the unquestioned valorizations of whiteness as a landscape. © The Author(s) 2021.</t>
  </si>
  <si>
    <t>2-s2.0-85110997785"</t>
  </si>
  <si>
    <t>10.3390/rs14071611</t>
  </si>
  <si>
    <t>https://www.scopus.com/inward/record.uri?eid=2-s2.0-85127879197&amp;doi=10.3390%2frs14071611&amp;partnerID=40&amp;md5=9aac905ee65c59cb486b50825f6af5c4</t>
  </si>
  <si>
    <t>Coastal areas concentrate a large portion of the country’s population around urban areas, which in subduction zones commonly are affected by drastic tectonic processes, such as the damage earthquakes have registered in recent decades. The seismic cycle of large earthquakes primarily controls changes in the coastal surface level in these zones. Therefore, quantifying temporal and spatial variations in land level after recent earthquakes is essential to understand shoreline variations better, and to assess their impacts on coastal urban areas. Here, we measure the coastal subsidence in central Chile using a multi-temporal differential interferometric synthetic aperture radar (MT-InSAR). This geographic zone corresponds to the northern limit of the 2010 Maule earthquake (Mw 8.8) rupture, an area affected by an aftershock of magnitude Mw 6.8 in 2019. The study is based on the exploitation of big data from SAR images of Sentinel-1 for comparison with data from continuous GNSS stations. We analyzed a coastline of ~300 km by SAR interferometry that provided high-resolution ground motion rates from between 2018 and 2021. Our results showed a wide range of subsidence rates at different scales, of analyses on a regional scale, and identified the area of subsidence on an urban scale. We identified an anomalous zone of subsidence of ~50 km, with a displacement &lt;−20 mm/year. We discuss these results in the context of the impact of recent earthquakes and analyze the consequences of coastal subsidence. Our results allow us to identify stability in urban areas and quantify the vertical movement of the coast along the entire seismic cycle, in addition to the vertical movement of coast lands. Our results have implications for the planning of coastal infrastructure along subduction coasts in Chile. © 2022 by the authors. Licensee MDPI, Basel, Switzerland.</t>
  </si>
  <si>
    <t>2-s2.0-85127879197"</t>
  </si>
  <si>
    <t>10.1016/j.jag.2022.102736</t>
  </si>
  <si>
    <t>https://www.scopus.com/inward/record.uri?eid=2-s2.0-85126597468&amp;doi=10.1016%2fj.jag.2022.102736&amp;partnerID=40&amp;md5=952ddb65b32ad86761cfad88438668a6</t>
  </si>
  <si>
    <t>The river beds of the Mekong Delta are some of the most intensively sand mined places in the world. However, sand mining budgets remain limited to rough and indirect estimates. Here, we provide a first systematic, field-based estimation of the Mekong Delta's sand mining budget. This budget overcomes the limitations of relying on officially declared statistics and bathymetric surveys of short channel reaches. We applied Sentinel-1 radar imagery to monitor the distribution of sand mining activities using boat metrics-driven mining intensity maps correlated with a field-based bathymetry difference map which were derived from two extensive bathymetric surveys conducted in 2014 and 2017. The two surveys cover ∼ 100 km in the Tiền River, reaching approximately 15% of the Mekong Delta. We then extrapolated the Tiền River findings to the broader Vietnamese Mekong Delta from 2015 to 2020 and measured a continuous increase of the extraction budget by ∼ 25% between 2015 (38 Mm3/yr) and 2020 (47 Mm3/yr). We estimated a total sand mining budget of 254 Mm3 during the 6-year study period with an average annual rate of ∼ 42 Mm3. Our field-based annual rates are higher than both official declarations provided and estimates from previous studies which implies that a substantial portion of the sand mining budget remains unaccounted for. Riverbed sand mining remains a key threat to the Mekong Delta as it contributes to a multitude of other environmental threats including dam construction effects on sedimentation, ongoing subsidence, sea level rise and recurring saltwater intrusion. This study offers a new approach that can be implemented elsewhere to allow for systematic monitoring and quantification of sand mining activities that are vital for assessing future projections on environmental impacts. © 2022 The Author(s)</t>
  </si>
  <si>
    <t>2-s2.0-85126597468"</t>
  </si>
  <si>
    <t>10.1007/s12594-022-1986-1</t>
  </si>
  <si>
    <t>https://www.scopus.com/inward/record.uri?eid=2-s2.0-85127273523&amp;doi=10.1007%2fs12594-022-1986-1&amp;partnerID=40&amp;md5=ea6d0abf4d10e0b0638bec54722fd25c</t>
  </si>
  <si>
    <t>Existence and expansion of glacial lakes from Sikkim Himalaya enhances the susceptibility of the region to glacial lake outburst floods (GLOF) causing destruction of infrastructures and loss of life in the downstream region. Apart from the expanding glacial lake, various topographic factors play important role in its susceptibility to GLOF. This study aims to find out the GLOF susceptibility of a relatively stable lake, Shako Cho in terms of areal expansion using different topographic parameters. The lake volume has been estimated using area-based scaling method. Using Sentinel-2A satellite imagery and ALOS- PALSAR digital elevation model, probable avalanche pathway, steep lakefront area (SLA) have been mapped. Estimating the potential lake lowering height from the digital elevation model, potential flood volume (PFV) has been quantified. A band-ratio method has been employed to extract the debris-cover around the glacial lake. This lake has a PFV of 45.478*106 m3 water. Sikkim being a hilly terrain, some of its glacial lakes are located in highly avalanche prone zone. Excessive snowfall often causes snow avalanche in those region. Thus a snow-avalanche triggered GLOF simulation in HEC-RAS 5.0.6, using 2D dam breach scenario has been performed to evaluate its impact on the downstream region. © 2022, Geological Society of India, Bengaluru, India.</t>
  </si>
  <si>
    <t>2-s2.0-85127273523"</t>
  </si>
  <si>
    <t>10.1016/j.ijdrr.2022.102905</t>
  </si>
  <si>
    <t>https://www.scopus.com/inward/record.uri?eid=2-s2.0-85126519170&amp;doi=10.1016%2fj.ijdrr.2022.102905&amp;partnerID=40&amp;md5=2a9ac4218e8d73fd478a4ceae21e42a7</t>
  </si>
  <si>
    <t>Bangladesh is as a low-lying country, susceptible to various Sea Level Rise (SLR) induced impacts. Previous studies have separately explored SLR effects on Bangladesh's coastal ecosystems and livelihoods, across multiple spatial and temporal scales. However, empirical studies acknowledging local population's perceptions on the causal factors to different SLR induced physiographic impacts, their effects at societal scale and ongoing adaptation to these impacts of SLR have not been able to establish a causal-linkage relationship between these impacts and their potential effects. Our study explores how SLR has already impacted the lives and livelihoods of coastal communities in Bangladesh and how these have been responded by adopting different adaptative measures. We applied a qualitative community-based multistage sampling procedure, using two Participatory Rural Appraisal (PRA) tools, namely Focus Group Discussions (FGDs) and Community Meetings (CM), to collect empirical data about SLR effects on livelihoods and implemented adaptation responses. Our study found that both man-made and natural causes are responsible for different physiographic impacts of SLR, and which seem to vary between place and context. Five major SLR induced impacts were identified by coastal communities, namely: salinity increase, rising water levels, land erosion, waterlogging and the emergence of char land. Salinity increase and land erosion are the two most severe impacts of SLR resulting in the largest economic losses to agriculture. Our results highlight how coastal communities in Bangladesh perceive the impacts of SLR and the benefits of different adaptation processes set in motion to protect them, via development projects and other local interventions. © 2022 Elsevier Ltd</t>
  </si>
  <si>
    <t>2-s2.0-85126519170"</t>
  </si>
  <si>
    <t>10.1007/s11356-021-17970-w</t>
  </si>
  <si>
    <t>https://www.scopus.com/inward/record.uri?eid=2-s2.0-85123258769&amp;doi=10.1007%2fs11356-021-17970-w&amp;partnerID=40&amp;md5=9969e74090cb4310885bbdd532724e4f</t>
  </si>
  <si>
    <t>In addition to global population growth due to migration from rural areas to urban areas, population density is constantly increasing in certain regions, thereby necessitating the introduction of new settlements in these regions. However, in the selection of settlement areas, no sufficient preliminary examinations have been conducted; consequently, various natural disasters may cause significant life and property losses. Herein, the most suitable settlement areas were determined using GIS (geographic information systems) in Canik District, where the population is continuously increasing. Therefore, this study aimed to incorporate a new perspective into studies on this subject. Within the scope of the study, landslide and flood risks, which are among the most important natural disasters in the region, were primarily evaluated, and high-risk areas were determined. Elevation, slope, aspect, curvature, lithology, topographic humidity index (TWI), and proximity to river parameters were used to produce flood susceptibility maps. A digital elevation model (DEM) of the study area was produced using contours on the 1/25,000 scaled topographic map. The elevation, slope, aspect, curvature, and TWI parameters were produced from the DEM using the relevant analysis routines of ArcGIS software. The raster map of each parameter was divided into 5 subclasses using the natural breaks classification method. In the reclassified raster maps, the most flood-sensitive or flood-prone subclasses were assigned a value of 5, and the least sensitive subclasses were assigned a value of 1. Then, the reclassified maps of the 7 parameters were collected using the “map algebra” function of ArcGIS 10.5 software, and the flood susceptibility index (FSI) map of the study area was obtained. The flood susceptibility map of the study area was obtained by dividing the FSI into 5 subclasses (very low, low, moderate, high, and very high) according to the natural breaks classification method. Thereafter, suitable and unsuitable areas in terms of biocomfort, which affects people’s health, peace, comfort, and psychology and is significant in terms of energy efficiency, were determined. At the last stage of the study, the most suitable settlement areas that were suitable in terms of both biocomfort and low levels of landslide and flood risks were determined. The calculated proportion of such areas to the total study area was only 2.1%. Therefore, because these areas were insufficient for the establishment of new settlements, areas that had low landslide and flood risks but were unsuitable for biocomfort were secondarily determined; the ratio of these areas was calculated as 56.8%. The remaining areas were inconvenient for the establishment of settlements due to the risk of landslides and floods; the ratio of these areas was calculated as 41.1%. This study is exemplary in that the priority for the selection of settlement areas was specified, and this method can be applied for selecting new settlements for each region considering different criteria. Due to the risk of landslides or flooding in the study area, the areas unsuitable for establishing a settlement covered approximately 41.1% of the total study area. The areas that had low flood and landslide risks but were suitable for biocomfort constituted only 2.1% of the study area. In approximately 56.8% of the study area, the risk of landslides or floods was low, and these areas were unsuitable in terms of biocomfort. Therefore, these areas were secondarily preferred as settlement areas. The most suitable areas for settlements constituted only 0.19% of the total study area, and these areas will not be able to meet the increasing demand for settlement area. Therefore, it is recommended to select areas that do not have the risk of landslides and floods but are unsuitable for biocomfort. This study reveals that grading should be performed in the selection of settlement areas. When choosing a settlement area in any region, possible natural disasters in the region should be identified first, and these disasters should be ordered in terms of their threat potential. Moreover, biocomfort areas suitable for settlements should be considered. In the next stages of settlement area selection, the criteria that affect the peace and comfort of people, such as distance to pollution sources, distance to noise sources, and proximity to natural areas, should also be evaluated. Thus, a priority order should be created for the selection of settlement areas using various other criteria.</t>
  </si>
  <si>
    <t>10.1111/1365-2664.14107</t>
  </si>
  <si>
    <t>https://www.scopus.com/inward/record.uri?eid=2-s2.0-85122507389&amp;doi=10.1111%2f1365-2664.14107&amp;partnerID=40&amp;md5=683a5ed31a4e6a576dbddc25c1828827</t>
  </si>
  <si>
    <t>Attempts to restore marine ecosystems are increasing, but the success of projects remains variable. For marine invertebrates, the establishment of self-sustaining populations requires a larval supply as well as conditions that permit recruitment. Abiotic and biotic conditions that determine recruitment can vary across environmental gradients and have opposing or reinforcing effects. We assessed how predation and tidal inundation influence recruitment of the reef-forming oyster, Saccostrea glomerata, at 15 sites, 5 estuaries and 8 degrees of latitude in eastern Australia. Oysters recruited to all 15 sites, but their density displayed spatially variable effects of tidal inundation and caging. Effects of tidal inundation and caging were weakest at the two lower-latitude estuaries where recruitment was low overall, average temperature and turbidity were high and dissolved oxygen low. At higher-latitude estuaries, where abiotic conditions were more favourable for recruitment, recruit density displayed tidal elevation gradients that were dependent on caging and time. Initially, recruit density decreased with tidal inundation (and exposure to finfish predators), in the uncaged but not the caged treatment. However, over time the elevation gradient disappeared, and recruitment and survival of oysters was greater in caged than uncaged treatments irrespective of elevation. Synthesis and applications. Our results suggest that both abiotic (i.e. temperature, turbidity and dissolved oxygen) and biotic (i.e. predation) factors can negatively influence oyster recruitment and, hence, restoration success. Consequently, oyster reef restoration projects should be planned to prioritise sites with low turbidity, high dissolved oxygen and low predation unless these stressors can be mitigated. Restoration projects that are designed with knowledge of local stressors are more likely to be successful. © 2021 British Ecological Society.</t>
  </si>
  <si>
    <t>2-s2.0-85122507389"</t>
  </si>
  <si>
    <t>10.1007/s11069-021-05105-w</t>
  </si>
  <si>
    <t>https://www.scopus.com/inward/record.uri?eid=2-s2.0-85119034531&amp;doi=10.1007%2fs11069-021-05105-w&amp;partnerID=40&amp;md5=b21bbb12140e93fd0bab206c3bfd09c5</t>
  </si>
  <si>
    <t>A numerical study based on FVCOM model was carried out to investigate the storm surge behavior induced by Typhoon Mangkhut in and around Lingdingyang Bay, Pearl River Estuary. Through elaborate calibration, the simulation results matched well with the measurements on the tidal-gauge stations. The validated Typhoon Mangkhut simulation was used as a case to study temporal–spatial behavior of the storm surge. Specifically, hourly spatial distribution of surge evolvement before the landfall of Typhoon Mangkhut and the time series of the surge from the twelve points in and around Lingdingyang Bay were analyzed. Beyond that, a series of artificial typhoons were designed through revising some parameters of the original typhoon including the landfall time, central pressure deficit, landfall location and moving direction, to study the influence caused by typhoon uncertainties. Results show that the influence of landfall time is dominated by the rule of tide–surge interaction, namely the lowest surge on the high tidal level and vice versa. The results also illustrate that the response of the surge to the same shift of the pressure deficit for a typhoon is uneven in space. The response of surge is more sensitive near shallow coastal regions than that in deep sea. Through investigating the surge in response to the track for the original typhoon, we find that a west shift of the track makes the ascending surge advanced and an east shift of the track makes the receding surge delayed in Lingdingyang Bay. A decrease of the angle between the coast and the direction of movement enlarges the maximum surge and an increase of the angle induces the opposite result. This study could improve our understanding about how uncertainties of a northwesterly moving typhoon would induce the storm surge response along the coastal regions such like Lingdingyang Bay, in Pearl River Estuary. © 2021, The Author(s), under exclusive licence to Springer Nature B.V.</t>
  </si>
  <si>
    <t>2-s2.0-85119034531"</t>
  </si>
  <si>
    <t>10.1016/j.scitotenv.2021.151918</t>
  </si>
  <si>
    <t>https://www.scopus.com/inward/record.uri?eid=2-s2.0-85120170560&amp;doi=10.1016%2fj.scitotenv.2021.151918&amp;partnerID=40&amp;md5=d8950a5d1e6d8ad45908eed7f9cbfd37</t>
  </si>
  <si>
    <t>This paper presents the first attempt to capture a comprehensive spatial view of land use change in the Vietnamese Mekong Delta (VMD) for a long period, i.e., from 2000 to 2020. It is aimed at monitoring holistically the land use change and flooding situation in the region, addressing the reasons for land use change, and assessing the impacts of land use change on hydraulic aspects and farmer livelihoods during the last 21 years. MODIS products, in particular, are used to study the dynamics of land use and floods after demonstrating high validation with statistical data and radar satellites, with R2 = 0.96 and R2 ≥ 0.97 for land use and flood maps, respectively. The results show that rice cultivation is the most dominant land use type, accounting for 40% to 46% of the delta area, while aquaculture accounts for 10% to 22%, respectively. The total rice cultivation area increased from 3764 thousand hectares (thous. ha) in 2001 to 4343 thous. ha in 2015 based on the intensive development of triple rice cropping in the upper zone, then decreased to 3963 thous. ha in 2020. In contrast, aquaculture areas are farmed mainly in the coastal area and remained relatively steady, increasing slightly from 619 thous. ha in 2001 to 856 thous. ha in 2020. The massive construction of dikes for triple rice cropping in the upper zone appears to cause a significant impact on the annual flooding regime. Land use policies have influenced the changes in land use patterns, flooding situations, and the livelihoods of local farmers. © 2021 Elsevier B.V.</t>
  </si>
  <si>
    <t>2-s2.0-85120170560"</t>
  </si>
  <si>
    <t>10.3389/feart.2022.839733</t>
  </si>
  <si>
    <t>https://www.scopus.com/inward/record.uri?eid=2-s2.0-85127983654&amp;doi=10.3389%2ffeart.2022.839733&amp;partnerID=40&amp;md5=60f72287cb91393478d3948acc6057c8</t>
  </si>
  <si>
    <t>The typhoon disaster chain is one of the leading climate risks in constructing the Guangdong–Hong Kong–Macau Greater Bay Area (GBA). In this study, the risks of the typhoon disaster chains including typhoon-induced gales, rainstorms, and storm surges in the GBA, as well as the comprehensive risk of typhoon disaster, are investigated at county level by comprehensively analyzing the hazard, exposure, and vulnerability. The results show that the high- and very-high-risk areas of typhoon–gale disaster chain are located in Zhuhai, Zhongshan, Foshan, Dongguan, central-southern Jiangmen, southern Shenzhen, and parts of Huizhou. The high- and very high-risk areas of typhoon–rainstorm disaster chain include Zhuhai, Zhongshan, Shenzhen, central-southern Foshan, northern Dongguan, central Jiangmen, and central Huizhou. Regarding the typhoon–storm surge disaster chain, the areas at high and very high risk are located in Zhuhai, eastern Zhongshan, and the coastal areas of the Pearl River Estuary. In addition, the comprehensive risk of typhoon disaster is very high in Zhuhai and high in Zhongshan, Jiangmen, Dongguan, and Shenzhen. By verifying the spatial correlation between typhoon disaster risk indexes and actual losses, it is found that the comprehensive risk index of typhoon disaster constructed in this study can better reflect the actual losses. Overall, the findings of this study can provide a scientific basis for typhoon disaster prevention and mitigation in the GBA, and it can also serve as a reference for typhoon disaster risk research in other areas. Copyright © 2022 Wang, Yin and Song.</t>
  </si>
  <si>
    <t>2-s2.0-85127983654"</t>
  </si>
  <si>
    <t>10.1029/2021JC017625</t>
  </si>
  <si>
    <t>https://www.scopus.com/inward/record.uri?eid=2-s2.0-85128767964&amp;doi=10.1029%2f2021JC017625&amp;partnerID=40&amp;md5=639a45dcaa31cb8e8f200ee4fd405609</t>
  </si>
  <si>
    <t>The Pearl River Delta represents a tide-influenced lowland delta where sand mining has deepened the distributary channels. This study sets out to investigate the impacts of channel deepening on peak water levels across the delta. Based on collected hydrological data before and after sediment mining and hydrodynamic modeling, three regions are identified where sand mining-induced changes in peak water levels have a different underlying cause. In the river-dominated regions, peak water levels have significantly decreased because of the sand excavation, and thus the associated flood risk was reduced. In a transition region, the sand mining practice has increased peak water levels. In the tide-dominated coastal region, the changes in peak water levels follow the rise in sea level and respond to human activities such as land reclamation. To understand the underlying mechanisms, the changes of subtidal friction governing tidal dynamics before and during sand mining are explored, and a simple linear regression model is used to predict subtidal water levels governing peak flood levels. Results from the hydrodynamic model and the linear regression models quantify exactly how the direct effect of channel bed lowering, river-tide interaction, tidal amplification, and sea level rise have contributed to peak water level change, which offers a new analysis framework that can be applied in other systems. © 2022. The Authors.</t>
  </si>
  <si>
    <t>2-s2.0-85128767964"</t>
  </si>
  <si>
    <t>10.5194/nhess-22-1419-2022</t>
  </si>
  <si>
    <t>https://www.scopus.com/inward/record.uri?eid=2-s2.0-85129158780&amp;doi=10.5194%2fnhess-22-1419-2022&amp;partnerID=40&amp;md5=6c7f6aa52f6971742e2be203627d9d12</t>
  </si>
  <si>
    <t>In the last decade, DEM-based classifiers based on height above nearest drainage (HAND) have been widely used for rapid flood hazard assessment, demonstrating satisfactory performance for inland floods. The main limitation is the high sensitivity of HAND to the topography, which degrades the accuracy of these methods in flat coastal regions. In addition, these methods are mostly used for a given return period and generate static hazard maps for past flood events. To cope with these two limitations, here we modify HAND, propose a composite hydrogeomorphic index, and develop hydrogeomorphic threshold operative curves for rapid real-time flood hazard assessment in coastal areas. We select the Savannah River delta as a test bed, calibrate the proposed hydrogeomorphic index on Hurricane Matthew, and validate the performance of the developed operative curves for Hurricane Irma. The hydrogeomorphic index is proposed as the multiplication of two normalized geomorphic features, HAND and distance to the nearest drainage. The calibration procedure tests different combinations of the weights of these two features and determines the most appropriate index for flood hazard mapping. Reference maps generated by a well-calibrated hydrodynamic model, the Delft3D FM model, are developed for different water level return periods. For each specific return period, a threshold of the proposed hydrogeomorphic index that provides the maximum fit with the relevant reference map is determined. The collection of hydrogeomorphic thresholds developed for different return periods is used to generate the operative curves. Validation results demonstrate that the total cells misclassified by the proposed hydrogeomorphic threshold operative curves (summation of overprediction and underprediction) are less than 20g% of the total area. The satisfactory accuracy of the validation results indicates the high efficiency of our proposed methodology for fast and reliable estimation of hazard areas for an upcoming coastal flood event, which can be beneficial for emergency responders and flood risk managers.  © 2022 Keighobad Jafarzadegan et al.</t>
  </si>
  <si>
    <t>2-s2.0-85129158780"</t>
  </si>
  <si>
    <t>10.1007/s11027-022-10002-z</t>
  </si>
  <si>
    <t>https://www.scopus.com/inward/record.uri?eid=2-s2.0-85126184967&amp;doi=10.1007%2fs11027-022-10002-z&amp;partnerID=40&amp;md5=c4ac93c7f6cbb4984a352dc3b01e4218</t>
  </si>
  <si>
    <t>For the Pacific Small Island Developing States (PSIDS), climate change will greatly exacerbate their vulnerability. The PSIDS have a high ranking in the Climate Risk Index and the World Risk Index. Financial losses due to climate-induced disasters, in terms of gross domestic product (GDP), are also high in the Pacific region. While climate risk insurance solutions could play a key role in the efficient distribution of recovery resources, there are many challenges to their successful implementation. Effective climate risk insurance products for the vulnerable sections of these societies are almost non-existent in this part of the world. Among the worst climate-induced disasters to affect the PSIDS are those related to cyclones and floods. These not only adversely impact the welfare of the households affected by these disasters, but they lower the long-term development potential of the countries involved. There is also evidence to suggest that climate-induced disasters are increasing in frequency and intensity over time due to climate change. It is against this background that an inquiry into the necessity for climate risk insurance products in the context of PSIDS should take place. This paper gives a comprehensive review of the literature addressing climate risk insurance as a risk mitigation or climate adaptation tool for managing the climate-induced financial vulnerabilities in the PSIDS. The paper explores the affordability of climate risk insurance, particularly among the vulnerable sections of society, and discusses the challenges of implementing an appropriate climate risk insurance model in the region. Finally, it examines recent climate risk insurance initiatives that have been attempted by multilateral agencies, such as the United Nations Development Programme (UNDP), the United Nations’ Pacific Financial Inclusion Practice (UNCDF), Pacific Insurance and Climate Adaptation Programme (PICAP), and respective local governments. © 2022, The Author(s), under exclusive licence to Springer Nature B.V.</t>
  </si>
  <si>
    <t>2-s2.0-85126184967"</t>
  </si>
  <si>
    <t>10.1007/s12145-021-00697-0</t>
  </si>
  <si>
    <t>https://www.scopus.com/inward/record.uri?eid=2-s2.0-85118652346&amp;doi=10.1007%2fs12145-021-00697-0&amp;partnerID=40&amp;md5=b06c46b3d64654626281fa0cc8350719</t>
  </si>
  <si>
    <t>Since the Ming Dynasty, the flood disaster has been one of the important natural disasters affecting our country. However, relatively few studies on the evolution law of flood disaster at large spatial–temporal scales have been reported. Based on the datasets of flood stations from 1470 to 2000, this paper quantitatively analyzes and discusses the spatial and temporal evolution pattrens of floods in China in the past 500 years by using regional gravity center model, wavelet analysis, Daniel index, and M–K test, and predicts the trend of flood disasters in the future. The results show that: (1) Since 1470, there has been an increasing trend of flood intensity index in China;(2) From 1470 to 2000, there were two high centers of flood disaster in 1560 and 1925, respectively, and one low center appeared in 1745; (3) Flood risk changes from easy occurrence in the eastern coastal area to uniform spatial distribution over the whole study region; (4) In the past 500 years, the graver center of flood disaster is located in Baokang County, Hubei Province, and the gravity center of flood disaster shows a trend of moving to northwest both at time scales of 50-year and 100 year; (5) The flood disaster in the studied area will still show an overall upward trend in the future.The research can provide decision support for the precise prevention and control of flood disasters in China.</t>
  </si>
  <si>
    <t>10.3390/rs14081888</t>
  </si>
  <si>
    <t>https://www.scopus.com/inward/record.uri?eid=2-s2.0-85129008555&amp;doi=10.3390%2frs14081888&amp;partnerID=40&amp;md5=1036f8e229f6e3eb4cdb64bce6bf4363</t>
  </si>
  <si>
    <t>Many coastal wetlands are under pressure due to climate change and the associated sea level rise (SLR). Many previous studies suggest that upslope lateral migration is the key adaptive mechanism for saline wetlands, such as mangroves and saltmarshes. However, few studies have explored the long-term fate of other wetland types, such as brackish swamps and freshwater forests. Using the current wetland map of a micro-tidal estuary, the Manning River in New South Wales, Australia, this study built a machine learning model based on the hydro-geomorphological settings of four broad wetland types. The model was then used to predict the future wetland distribution under three sea level rise scenarios. The predictions were compared to compute the persistence, net, swap, and total changes in the wetlands to investigate the loss and gain potential of different wetland classes. Our results for the study area show extensive gains by mangroves under low (0.5 m), moderate (1.0 m), and high (1.5 m) sea level rise scenarios, whereas the other wetland classes could suffer substantial losses. Our findings suggest that the accommodation spaces might only be beneficial to mangroves, and their availability to saltmarshes might be limited by coastal squeeze at saline–freshwater ecotones. Furthermore, the accommodation spaces for freshwater wetlands were also restrained by coastal squeeze at the wetland-upland ecotones. As sea level rises, coastal wetlands other than mangroves could be lost due to barriers at the transitional ecotones. In our study, these are largely manifested by slope impacts on hydrology at a higher sea level. Our approach provides a framework to systematically assess the vulnerability of all coastal wetland types. © 2022 by the authors. Licensee MDPI, Basel, Switzerland.</t>
  </si>
  <si>
    <t>2-s2.0-85129008555"</t>
  </si>
  <si>
    <t>10.1002/esp.5303</t>
  </si>
  <si>
    <t>https://www.scopus.com/inward/record.uri?eid=2-s2.0-85124569525&amp;doi=10.1002%2fesp.5303&amp;partnerID=40&amp;md5=d8443650809af1c7bb44550e3dff4749</t>
  </si>
  <si>
    <t>In the 1960s, earthen embankments, locally known as polders, were first constructed in the Ganges–Brahmaputra–Meghna (GBM) Delta with the intention of protecting agricultural lands from salinity</t>
  </si>
  <si>
    <t>10.3390/atmos13030404</t>
  </si>
  <si>
    <t>https://www.scopus.com/inward/record.uri?eid=2-s2.0-85127371676&amp;doi=10.3390%2fatmos13030404&amp;partnerID=40&amp;md5=ce321eaab2eb7bd45186c166964ea1b7</t>
  </si>
  <si>
    <t>This paper evaluates the contribution of waves to the total predicted storm surges in a Hurricane Irma hindcast, using ADCIRC+SWAN and ADCIRC models. The contribution of waves is quantified by subtracting the water levels hindcasted by ADCIRC from those hindcasted by AD-CIRC+SWAN, using OWI meteorological forcing in both models. Databases of water level time series, wave characteristic time series, and high-water marks are used to validate the model performance. Based on the application of our methodology to the coastline around Florida, a peninsula with unique geomorphic characteristics, we find that wave runup has the largest contribution to the total water levels on the south and northeast coasts. Waves increase the surge on the south and northeast coasts, due to large fetch and wave runups. On the west coast, the wave effect is not significant, due to limited fetch. However, significant wave heights become greater as the waves propagate into the deep inner gulf. The continental shelf on Florida’s west coast plays a critical role in decreasing the significant wave height and sheltering the coastal areas from large wave effects. Both models underpredict the high-water marks, but ADCIRC+SWAN reduces the underprediction and improves the parity with the observed data, although the scatter is slightly higher than that of ADCIRC. © 2022 by the authors. Licensee MDPI, Basel, Switzerland.</t>
  </si>
  <si>
    <t>2-s2.0-85127371676"</t>
  </si>
  <si>
    <t>10.3389/feart.2022.819526</t>
  </si>
  <si>
    <t>https://www.scopus.com/inward/record.uri?eid=2-s2.0-85127099943&amp;doi=10.3389%2ffeart.2022.819526&amp;partnerID=40&amp;md5=6c319dbf6f61fa8ab780122d95e7c976</t>
  </si>
  <si>
    <t>Glacial lake outburst floods (GLOFs) is one of the main natural disasters in alpine areas, which can cause extreme destruction to downstream settlements and infrastructures. A moraine-dammed lake named JiwenCo glacial lake (JGL) in the southeastern Qinghai-Tibetan Plateau failed on 26 June 2020, destroying many buildings, roads, bridges, and farmlands along the flow path. We reconstructed the process of this GLOF event by the Hydrological Engineering Center’s River Analysis System (HEC-RAS) and examined the JGL’s evolution (area, length, and volume) before its outburst, based on the measured cross sections and hydrological data, videos, and pictures taken by inhabitants, DEM data, and Landsat Thematic Mapper (TM)/Enhanced Thematic Mapper (ETM+)/Operational Land Imager (OLI) images. The result showed that area, length, and volume of the JGL increased by 0.20 ± 0.07 km2, 0.66 ± 0.03 km, and 0.03 ± 0.001 km3 from 1988 to 2020 (before the outburst), respectively. Approximately 0.05 km3 of water volume was discharged with the dropped water level of 15.63 m after the outburst. The peak flow was 534.4 m3/s at breach and increased to 1,408.11 m3/s at Zhongyu town. The difference between the simulated and measured peak flows in Zhongyu town was 41.88 m3/s (3.53%), showing the high accuracy of the modeling results. For villages along the river-channel, the highest velocity was found in Yiga village (14.23 m/s) and the lowest was in Gongwa village (1.22 m/s). The maximum depth was gradually increased as the river reached downstream, 8.03 m in Yiga village and 50.96 m in Duiba village. The combination of landslide, high temperature, and extremely heavy precipitation resulted in this GLOF disaster. An integrated disaster prevention and mitigation plan needs to be developed for susceptible areas such as Niduzangbo basin that experienced two GLOFs in recent 10 years. Copyright © 2022 Zhang, Yao, Duan and Wang.</t>
  </si>
  <si>
    <t>2-s2.0-85127099943"</t>
  </si>
  <si>
    <t>10.2112/JCOASTRES-D-21-00058.1</t>
  </si>
  <si>
    <t>https://www.scopus.com/inward/record.uri?eid=2-s2.0-85122684185&amp;doi=10.2112%2fJCOASTRES-D-21-00058.1&amp;partnerID=40&amp;md5=ea91a737ef2838fdc8d0015ff211bc88</t>
  </si>
  <si>
    <t xml:space="preserve">A spatiotemporal analysis of phytogenic mounds (nebkhas) of the pioneer dune building grass Leymus arenarius was assessed during primary succession on three coastal sand plains in Iceland. Extensive sand plains were formed on the study sites due to catastrophic glacial river floods associated with sub-glacial volcanic activities. Present and past spatial patterns of Leymus-nebkhas were examined by the use of satellite images and high resolution aerial photographs and confirmation through field work. The colonization patterns of the nebkhas were studied from the initial phases and up to a maximum period of 54 years on the sand plains Skeidararsandur, Myrdalssandur, and Skogarsandur. The hypothesis was that nebkhas would be clustered and nonrandom in early phases of the primary succession but would have random configurations at later stages. Average density of nebkhas was low within 10 years of colonization on Skeidararsandur (0.55-0.67 dunes ha-1) and the spatial configuration was found to be highly nonrandom (clumped). Following the initial colonization of L. arenarius, the increase of nebkha density with time followed a similar nonrandom pattern on Myrdalssandur with final average density of 6.12 nebkha ha-1. On Skogarsandur, the spatial configuration of nebkhas was random with final average density of 7.08 nebkha ha-1. Nonlinear cubic polynomial regression analysis showed a very strong relationship (R2 = 0.989) for the average density of nebkha for 60 years on Skogarsandur. On the coastal sand plains, the spatial configuration of nebkha was observed to progress with time from nonrandom towards random distribution. This study supports the view of deterministic spatiotemporal pattern of nebkhas during early primary succession on the coastal sand plains. The nebkha density was most likely a function of sand drift on the plains, significantly decreasing (R2 = 0.93) away from the sand source of the glacier river Jökulsa on Skogarsandur. The results are discussed in relation to ecological restoration.  © </t>
  </si>
  <si>
    <t>2-s2.0-85122684185"</t>
  </si>
  <si>
    <t>10.1016/j.envc.2022.100454</t>
  </si>
  <si>
    <t>https://www.scopus.com/inward/record.uri?eid=2-s2.0-85123380473&amp;doi=10.1016%2fj.envc.2022.100454&amp;partnerID=40&amp;md5=cdb5c8872209654cb141714c55161f9d</t>
  </si>
  <si>
    <t>The Vietnamese Mekong Delta (VMD) is one of the most important food baskets in Southeast Asia, contributing to more than half of the country's food production capacity and the majority of its rice exports. Constantly threatened by a multitude of environmental pressures, including climate change-induced sea-level rise, delta-wide land subsidence, sedimentation reduction and, more recently, riverbed mining, steps towards the sustainable development of the VMD is becoming increasingly vulnerable. In this paper, we examine the effect of hydrological alterations of agricultural landscape in the VMD, more specifically, the temporal trends of triple rice crop in the Long Xuyen Quadrangle (LXQ). Landsat satellite data was used to map active rice paddy sites across the three major rice cropping seasons and identify the temporal distribution of triple rice crop areas over the last 24 years (1995–2019). Results were interpreted alongside official statistical data on agriculture from Vietnam and corroborated with ground truth data points from the study site. Our results reveal a notable fall in Landsat-detected triple rice crop area between 2016 and 2019, corroborating with both literature and agricultural data indicating an increase in aquaculture areas. Here, we take note for the first time the underlying links between riverbed mining and agricultural shifts in the VMD, which could highlight important policy and management implications for the local government in order to ensure environmental sustainability and food security. We argue that a tighter and more effective regulation of riverbed mining practices in the region is both integral and necessary for the agricultural sustainability of the VMD. © 2022 The Authors</t>
  </si>
  <si>
    <t>2-s2.0-85123380473"</t>
  </si>
  <si>
    <t>10.1007/s11852-022-00854-7</t>
  </si>
  <si>
    <t>https://www.scopus.com/inward/record.uri?eid=2-s2.0-85126191785&amp;doi=10.1007%2fs11852-022-00854-7&amp;partnerID=40&amp;md5=d86f34625d88a9e7344bef1692244e95</t>
  </si>
  <si>
    <t>Climate-related disasters increasingly threaten over one-third of the global population, specifical communities within 100 km of coastal zones. Indonesia, the world’s largest archipelago with the second-longest coastline, faces tidal (Rob) flooding from high tides, land subsidence, and sea-level rise. This study assess fish farmers’ vulnerability to Rob flooding in Java’s Indramayu District. Our Social Vulnerability Index (SoVI)’s development involved 150 questionnaires, focus group discussion, and key-informant interviews between 16 and 20 October 2019. It found a high vulnerability, a SoVI score of + 1.76 comprising nine principal components (PCs): external support and government mitigation, local knowledge, income, expenditure, family size, seasonal-expenditure, education, experience, and ethnicity. Contributing to ‘vulnerability’ and ‘resilience’ concepts, it highlights community memory of repeated disasters and its impact on local adaptive capacity. Findings inform policymakers to address the PCs influencing vulnerability, including critically-needed livelihood support and early-warning systems relevant to the country’s 12,000 + coastal-villages and developing countries where over 90% of fishermen live. © 2022, The Author(s).</t>
  </si>
  <si>
    <t>2-s2.0-85126191785"</t>
  </si>
  <si>
    <t>10.5194/nhess-22-713-2022</t>
  </si>
  <si>
    <t>https://www.scopus.com/inward/record.uri?eid=2-s2.0-85126618566&amp;doi=10.5194%2fnhess-22-713-2022&amp;partnerID=40&amp;md5=0a0b1052f7ee8e5d53eb1ce58815ed13</t>
  </si>
  <si>
    <t>We investigate the role of morphodynamic changes in the flooding of a micro-tidal dissipative beach for both current and sea level rise scenarios. By considering beach morphodynamics and flood processes associated with highly energetic waves, the study allows one to evaluate threats to coastal zones. Coupling of SWAN and XBeach models is employed to propagate offshore wave conditions to the swash zone, estimating morphological changes and flooding associated with wave conditions during cold fronts and hurricanes that affected Cartagena de Indias (Colombia). The numerical models were calibrated from previous research in the study area. The results indicate that numerical modeling of flooding on microtidal dissipative beaches under extreme wave conditions should be approached by considering beach morphodynamics, because ignoring them can underestimate flooding by ∼ 15 %. Moreover, model results suggest that beach erosion and flooding are intensified by sea level rise, resulting in the most unfavorable condition when extreme events are contemporaneous with high tides. In this case, the increase in erosion and flooding is ∼ 69 % and ∼ 65 %, respectively, when compared with the present conditions of sea level.  Copyright © 2022 Jairo E. Cueto et al.</t>
  </si>
  <si>
    <t>2-s2.0-85126618566"</t>
  </si>
  <si>
    <t>10.1016/j.scitotenv.2021.152207</t>
  </si>
  <si>
    <t>https://www.scopus.com/inward/record.uri?eid=2-s2.0-85121526861&amp;doi=10.1016%2fj.scitotenv.2021.152207&amp;partnerID=40&amp;md5=f3274fdf529bb5b7668b694a0f9f0bbf</t>
  </si>
  <si>
    <t>Efforts on socio-hydrology science have been promoted to solve challenges faced by contemporary water management. This study aims to better understand the co-evolution of human-water systems in floodplains. Specifically, farmers' opinions on flooding, dike effects, and living conditions in different dike systems in the Vietnamese Mekong Delta floodplain are compared to explore possible connections between human perceptions and dike development processes by employing in-depth interviews of 7 officials and oral surveys of 100 farmers supported by a literature review. Local specific contexts have resulted in various dike systems. One mixed-low-dike-dominant, two mixed-high-dike-dominant, and one only-high-dike zones are found in the research area. High dikes have been operating in an ad hoc response to short-term demands in the mixed-dike zones while strictly following a provincial schedule in the only-high-dike zone. The Fisher-Freeman-Halton test was used to compare the farmers' opinions on diverse questions between the zones. Dike development processes are suggested to influence livelihood, transportation, perceived flood peak changes and perceived causes for declining fish stocks. Although it remains challenging to directly attribute these differences to the dike development processes themselves, a new interrelated dike-flood-livelihood feedback loop is proposed for floodplains. Insights obtained are expected to support decision makers formulating tailored climate change adaptation policies to the different socio-hydrological zones. Our findings also contribute to the current understanding of international scientific communities on the human-water system and provide materials to further develop socio-hydrological models that strengthen our predictive capability on how the complex system evolves in floodplains. © 2021 Elsevier B.V.</t>
  </si>
  <si>
    <t>2-s2.0-85121526861"</t>
  </si>
  <si>
    <t>10.1007/s11356-021-16924-6</t>
  </si>
  <si>
    <t>https://www.scopus.com/inward/record.uri?eid=2-s2.0-85117716681&amp;doi=10.1007%2fs11356-021-16924-6&amp;partnerID=40&amp;md5=98a9da24a8e980b6d83f80115b5faec7</t>
  </si>
  <si>
    <t>Groundwater resources have an important impact on the geo-environment and ecological environment. The exploitation of groundwater resources may induce geo-environmental issues and has a negative impact on the ecological environment. The assessment of groundwater sustainable development can provide reasonable suggestions for the management of groundwater resources in coastal cities. In this study, an assessment method for groundwater sustainable development based on the resource supply function, geo-environment stability function, and ecological environment function was provided. Considering the groundwater quantity and quality</t>
  </si>
  <si>
    <t>10.1177/26349817221080864</t>
  </si>
  <si>
    <t>https://www.scopus.com/inward/record.uri?eid=2-s2.0-85179732529&amp;doi=10.1177%2f26349817221080864&amp;partnerID=40&amp;md5=0f96e12efffb833a1fa18cd90cbf0978</t>
  </si>
  <si>
    <t>The growing vulnerability of societies to climate change constitutes a global concern. Artisanal fishers experience extreme vulnerability due to their exposure to multiple threats with severe consequences for their families and rural communities. Given that these risks subsist despite governmental mitigation measures in the coastal zone, we used a qualitative integrative approach to analyze the vulnerability of the fishers of Barra de Frontera in the southern Gulf of Mexico and their adaptation strategies to climate change. Through a literature review and semi-structured interviews with key local actors, fishers were found to have had to constantly adapt to (1) unfavorable environmental conditions caused by periodic floods and tropical storms</t>
  </si>
  <si>
    <t>10.1016/j.geomorph.2022.108157</t>
  </si>
  <si>
    <t>https://www.scopus.com/inward/record.uri?eid=2-s2.0-85124261470&amp;doi=10.1016%2fj.geomorph.2022.108157&amp;partnerID=40&amp;md5=2ad23581dc414336df5fc54fd6ff6bd1</t>
  </si>
  <si>
    <t>River confluences are key nodes in fluvial systems. Past studies on large river confluences were focused on the Paranà, Amazon, and Yangtze rivers, while the Yarlung Zangbo River (YZR), the longest plateau river in China, has not been investigated yet. This paper investigates a large multi-channel confluence between the YZR and one of its major tributaries, the anabranching Niyang River (NR). A remote-sensing study of this area demonstrated that the confluence planform is very stable compared with its upstream and downstream reaches that suffered from sandbar migration, meandering, and the development of a head-cut. A field survey using Acoustic Current Doppler Profiling (ADCP) was conducted at the confluence in June 2019, when the YZR and NR had discharges of about 1393 m3/s and 1299 m3/s in total, respectively. Although the discharge ratio of this confluence attained a value of 0.93, the existence of an estuary delta with a large area of floodplain largely weakened the impact of the NR on the dynamics of the YZR. The inflows of the multiple channels of the NR separated by the delta created an evident and long mixing interface and produced the left-side secondary cells in the YZR. In contrast, the curved riverbank played a more important role in the formation of deep scour holes, generating heterogeneity of the velocity distribution and the fast-mixing of flows. This study leads to an advancement in our current knowledge about multi-channel confluences. © 2022 Elsevier B.V.</t>
  </si>
  <si>
    <t>2-s2.0-85124261470"</t>
  </si>
  <si>
    <t>10.1007/s10668-021-01612-9</t>
  </si>
  <si>
    <t>https://www.scopus.com/inward/record.uri?eid=2-s2.0-85109029321&amp;doi=10.1007%2fs10668-021-01612-9&amp;partnerID=40&amp;md5=b6de35e77870004ec51e6567b206684d</t>
  </si>
  <si>
    <t>Indian Sundarbans Biosphere Reserve (SBR) comprising over 100 estuarine islands and shared by human habitation and mangrove forests is considered to be a potential area for coastal aquaculture. This study, using LANDSAT imageries of the last two decades (1999–2019), delineated the spatiotemporal expansion of aquaculture at the expense of agricultural land, mudflats, and some mangroves. It also estimated a futuristic land transformation to aquaculture using the Cellular Automata-Markov Chain model. From the geospatial analysis, it is observed that (1) the aquacultures are mostly located around 22° 30′N, i.e., far away from the saline seafront, (2) total aquaculture area has increased to nearly 5.82% of the entire SBR in 2019 from 3.59% in 1999 and, (3) cyclone Aila and its surge inundation have influenced in their expansion. This growth of aquaculture took place with the loss of 3.71% (10,536.67 ha) agricultural land, 3.87% (730.40 ha) mudflat, and 0.28% (623.23 ha) mangrove from 1999 to 2009, and 6.02% (13,471.50 ha) agricultural land, 9.98% (1583.64 ha) mudflat, and 0.18% (382.35 ha) mangrove during 2009–2019. According to the predictive modeling, ~ 6% of the present agriculture area is prognosticated to be converted to aquaculture by the next decade under a business-as-usual scenario. © 2021, The Author(s), under exclusive licence to Springer Nature B.V.</t>
  </si>
  <si>
    <t>2-s2.0-85109029321"</t>
  </si>
  <si>
    <t>10.5194/acp-22-3861-2022</t>
  </si>
  <si>
    <t>https://www.scopus.com/inward/record.uri?eid=2-s2.0-85127403437&amp;doi=10.5194%2facp-22-3861-2022&amp;partnerID=40&amp;md5=1e90a298b2c1af52a517f926e21b790c</t>
  </si>
  <si>
    <t>The peripheral circulation of typhoon forms sustained ozone episodes. However, how it impacts the day-to-day ozone pollution levels during the episodes has not been clearly studied, which is crucial for better prediction of the daily ozone variation. In this study, the analysis of ground observation, wind profile data, and model simulation is integrated. By analysing the wind profile radar observations, we found a weak wind deepening (WWD</t>
  </si>
  <si>
    <t>10.1029/2021JC018246</t>
  </si>
  <si>
    <t>https://www.scopus.com/inward/record.uri?eid=2-s2.0-85128810719&amp;doi=10.1029%2f2021JC018246&amp;partnerID=40&amp;md5=e87c4ca9a89c82b5f229e3411ae6bfe6</t>
  </si>
  <si>
    <t>Storm surge barriers are increasingly being considered as risk mitigation measures for coastal population centers. During non-storm periods, permanent barrier infrastructure reduces the flow cross-sectional area and affects tidal exchange. Effects of barrier structures on estuarine tidal and salinity dynamics have not been extensively examined, particularly for partially mixed estuaries. A nested, high-resolution model is used to characterize impacts of a potential storm surge barrier near the mouth of the Hudson River estuary. Maximum tidal velocities through barrier openings are more than double those in the base case. Landward of the barrier, tidal amplitude decreases on average by about 6% due to increased drag. The drag coefficient with the barrier is about 5 times greater than the base case due primarily to form drag from flow separation at barrier structures rather than increased bottom friction. The form drag scales with barrier geometry similar to previous studies of flow around headlands. Tidal water levels are reduced particularly during spring tides, such that marsh inundation frequency is reduced up to 25%. Strong tidal velocities through barrier openings enhance salinity mixing locally, but overall mixing in the estuary decreases due to reduced tidal velocities. Correspondingly, stratification decreases near the barrier and increases landward in the estuary. The salinity intrusion length increases by 5%–15% depending on discharge due to the decreased mixing and increased exchange flow. Exchange flow increases near the barrier due reflux into the lower layer with the increased mixing, which has the potential to increase estuarine residence times. © 2022. American Geophysical Union. All Rights Reserved.</t>
  </si>
  <si>
    <t>2-s2.0-85128810719"</t>
  </si>
  <si>
    <t>10.3390/atmos13030473</t>
  </si>
  <si>
    <t>https://www.scopus.com/inward/record.uri?eid=2-s2.0-85127423022&amp;doi=10.3390%2fatmos13030473&amp;partnerID=40&amp;md5=afe5ee3e52e94fbfbb8ffaf59dde9078</t>
  </si>
  <si>
    <t>In recent years, due to the influence of global warming, extreme weather events occur frequently, such as the continuous heavy precipitation, regional high temperature, super typhoon, etc. Tropical cyclones make frequent landfall, heavy rains and flood disasters caused by landfall typhoons have a huge impact, and typhoon rainstorms are often closely related to mesoscale and small-scale system activities. The application 2020 NCEP (National Centers for Environmental Prediction) final operational global analysis data and WRF (Weather Research and Forecasting model, version 3.9) mesoscale numerical prediction model successfully simulates the evolution characteristics of the mesoscale convective complex (MCC) that caused an extreme rainstorm in the Yangtze River delta region behind a northwards typhoon in this article. The results show that a meso-β-scale vortex existed in the mid-to upper troposphere in the region where the MCC occurred</t>
  </si>
  <si>
    <t>10.1029/2021EF002139</t>
  </si>
  <si>
    <t>https://www.scopus.com/inward/record.uri?eid=2-s2.0-85127332673&amp;doi=10.1029%2f2021EF002139&amp;partnerID=40&amp;md5=d4342cd27c7d3076fcd3c0811263e96e</t>
  </si>
  <si>
    <t>Stormwater infrastructure can manage precipitation-driven flooding when there are no obstructions to draining. Coastal areas increasingly experience recurrent flooding due to elevated water levels from storms or tides, but the inundation of coastal stormwater infrastructure by elevated water levels has not been broadly assessed. We conservatively estimated stormwater infrastructure inundation in municipalities along the Atlantic United States coast by using areas of high-tide flooding (HTF) on roads as a proxy. We also modeled stormwater infrastructure inundation in four North Carolina municipalities and measured infrastructure inundation in one of the modeled municipalities. Combining methodologies at different scales provides context and allows the scope of stormwater infrastructure inundation to be broadly estimated. We found 137 census-designated urban areas along the Atlantic coast with road area impacted by HTF, with a median percent of total road area subject to HTF of 0.16% (IQR: 0.02%–0.53%). Based on 2010 census block data, the median number of people per urban area that live in census blocks with HTF on roads was 1,622 (IQR: 366–5,779). In total, we estimate that over 2 million people live in census blocks where HTF occurs on roadways along the US Atlantic coast. Modeling results and water level measurements indicated that extensive inundation of underground stormwater infrastructure likely occurs at water levels within the mean tidal range. These results suggest that stormwater infrastructure inundation along the US Atlantic coast is likely widespread, affects a large number of people, occurs frequently, and increases the occurrence of urban flooding. © 2022 The Authors.</t>
  </si>
  <si>
    <t>2-s2.0-85127332673"</t>
  </si>
  <si>
    <t>10.1029/2021JD034927</t>
  </si>
  <si>
    <t>https://www.scopus.com/inward/record.uri?eid=2-s2.0-85128427236&amp;doi=10.1029%2f2021JD034927&amp;partnerID=40&amp;md5=6ce1fd0bdb34a90bbd66dfc33c7cf7da</t>
  </si>
  <si>
    <t>The meteorological impacts of intertidal land cover variation during summer and winter were simulated using the weather research and forecasting (WRF) meteorological model through two experiments: a TIDE experiment with time-varying land cover by tidal effects in the intertidal zone using a new modeling method used hourly surface boundary conditions obtained using ocean model and satellite data, and a CNTL experiment with fixed land cover in the intertidal zone using a typical WRF modeling method used to fix the surface boundary conditions. The results of the TIDE experiment were more consistent with the recorded observations, especially during high tides. During summer daytime, the sensible heat flux (SHF) became negative (downward exchanging process) in the intertidal zone due to a low sea surface temperature, which decreased the temperature and increased the water vapor mixing ratio in the intertidal zone and inland areas. The wind speeds in intertidal zones and inland areas increased due to strong sea winds at altitudes from 80 m to 1.5 km, thereby increasing the sea breeze intensity and resulting in meteorological changes in inland areas. During winter, land cover changes in the intertidal zone impacted fog formation. During nighttime high tides, the SHF became positive in the intertidal zone and the latent heat flux increased prior to fog formation. During flood tide, the relative humidity increased and wind speed decreased in the intertidal zone and coastal areas coincident with fog occurrence. Overall, meteorological changes due to tidal effects were more pronounced in the summer. © 2022. The Authors.</t>
  </si>
  <si>
    <t>2-s2.0-85128427236"</t>
  </si>
  <si>
    <t>Mausam</t>
  </si>
  <si>
    <t>10.54302/mausam.v73i2.5481</t>
  </si>
  <si>
    <t>https://www.scopus.com/inward/record.uri?eid=2-s2.0-85129532887&amp;doi=10.54302%2fmausam.v73i2.5481&amp;partnerID=40&amp;md5=b81161745182a3f4ebdd7922b400cc68</t>
  </si>
  <si>
    <t>In recent years, flooding has frequently occurred in the Ca Mau Peninsula, a low-lying coastal area (LCA) of the Mekong Delta, Vietnam, causing obstacles to many aspects of people's lives. Extreme rainfall is the key cause that led to the flooding of the area. The study, therefore, is to establish flood hazard mapping (FHM) for the Ca Mau Peninsula of Vietnam based on simulating the rainfall intensity-duration-frequency (IDF) model. To deploy the research, daily rainfall data sequence at six observation stations across the area for the 1984-2019 period (baseline) and future Representative Concentration Pathway (RCP) RCP4.5 and RCP8.5 scenarios correspond to 2050 timescale is used to simulate the rainfall intensity-duration-frequency model. The reliability of the flood hazard mapping was appraised by comparing the model results to the measured field and issued reports. The results state that intensities of extreme rainfall events (EREs) various durations with different return periods are all probably to increase over time 42.5 and 57.9% for RCP4.5 and RCP8.5 scenarios compared with baseline. In general, the highest intensity of rainfall occurs at a 50-year return period at all different rainfall intervals of the baseline as well as future scenarios. Results pointed out that the sub-areas of high flood hazard for the baseline and future scenarios coincide with the lowest locations of the western provinces and part of the northeastern provinces. © 2022, India Meteorological Department. All rights reserved.</t>
  </si>
  <si>
    <t>2-s2.0-85129532887"</t>
  </si>
  <si>
    <t>10.1007/s13280-021-01577-z</t>
  </si>
  <si>
    <t>https://www.scopus.com/inward/record.uri?eid=2-s2.0-85107807283&amp;doi=10.1007%2fs13280-021-01577-z&amp;partnerID=40&amp;md5=5715a974a79d1b00d31a4b7a2acf79c6</t>
  </si>
  <si>
    <t>Vietnam Mekong Delta (VMD), the country’s most important food basket, is constantly threatened by drought-infused salinity intrusion (SI). The SI disaster of 2020 is recognized as the worst in recent decades, hence inspiring this perspective article. The authors’ viewpoints on the disaster’s impacts and causes are presented. The arguments presented are mainly drawn from (i) up-to-date publications that report on the recent SI intensification in the VMD and (ii) the power spectral analysis results using water level data. We verified the intensifying SI in the VMD both in its frequency and magnitude and remarked on four of the key SI drivers: (i) upstream hydropower dams, (ii) land subsidence, (iii) the relative sea-level rise, and (iv) riverbed sand mining. Also, a non-exhaustive yet list of recommendable management implications to mitigate the negative effects of the SI is contributed. The mitigation measures must be realized at multiple scales, ranging from pursuing transboundary water diplomacy efforts to managing internal pressures via developing early warnings, restricting illegal sand mining activities, alleviating pressures on groundwater resources, and diversifying agriculture. © 2021, Royal Swedish Academy of Sciences.</t>
  </si>
  <si>
    <t>2-s2.0-85107807283"</t>
  </si>
  <si>
    <t>10.1029/2021JF006301</t>
  </si>
  <si>
    <t>https://www.scopus.com/inward/record.uri?eid=2-s2.0-85127235952&amp;doi=10.1029%2f2021JF006301&amp;partnerID=40&amp;md5=518301dbc28d3a8b14beebfc28c04060</t>
  </si>
  <si>
    <t>Mangrove forests are valuable coastal ecosystems that have been shown to persist on muddy intertidal flats through bio-morphodynamic feedbacks. However, the role of coastal conditions on mangrove behavior remains uncertain. This study conducts numerical experiments to systematically explore the effects of tidal range, small wind waves, sediment supply and coastal slope on mangrove development under sea-level rise (SLR). Our results show that mangroves in micro-tidal conditions are more vulnerable because of the gentler coastal equilibrium slope and the limited ability to capture sediment, which leads to substantial mangrove landward displacement even under slow SLR. Macro-tidal conditions with large sediment supply promote accretion along the profile and platform formation, reducing mangrove vulnerability for slow and medium SLR, but still cause rapid mangrove retreat under fast SLR. Small wind waves promote sediment accretion, and exert an extra bed shear stress that confines the mangrove forest to higher elevations with more favorable inundation regimes, offsetting SLR impacts. These processes also have important implications for the development of new landward habitats under SLR. In particular, our experiments show that landward habitat can be created even with limited sediment supply and thus without complete infilling of the available accommodation space. Nevertheless, new accommodation space may be filled over time with sediment originating from erosion of the lower coastal profile. Consistent with field data, model simulations indicate that sediment accretion within the forest can accelerate under SLR, but the timing and magnitude of accretion depend non-linearly on coastal conditions and distance from the mangrove seaward edge. © 2022. The Authors.</t>
  </si>
  <si>
    <t>2-s2.0-85127235952"</t>
  </si>
  <si>
    <t>10.1007/s11069-021-05184-9</t>
  </si>
  <si>
    <t>https://www.scopus.com/inward/record.uri?eid=2-s2.0-85123937450&amp;doi=10.1007%2fs11069-021-05184-9&amp;partnerID=40&amp;md5=45721dee724511ea3b68ff406729e923</t>
  </si>
  <si>
    <t>Rapid response and restoration after storm surge events are critical for the resilient development of coastal areas. Remote sensing has become a practical tool for postdisaster impact assessment since the modern satellite era. This paper presents the methodology and case review of damage detection using high-resolution satellite imagery for vulnerable targets with limited accessibility on land or water during China’s recent typhoon landfalls. Multiple sources of remotely sensed data are acquired and processed in a broad geographic scope. The study demonstrates how storm damage may be explicitly revealed by interpreting the texture difference or reflectance spectrum contrast for various target types, including flotation facilities, green vegetation, sandy coast and coastal protections. The damage state in the same area may show rapid variations in space due to local differences in the shielding effectiveness with respect to the storm track. The technical features, advantages, and drawbacks of remote sensing applications to marine disaster assessment are discussed from a future perspective. The study results provide a comprehensive reference to better integrate satellite observations into postdisaster surveys, vulnerability analyses, and risk predictions for coastal communities that will withstand future marine hazards. © 2021, The Author(s), under exclusive licence to Springer Nature B.V.</t>
  </si>
  <si>
    <t>2-s2.0-85123937450"</t>
  </si>
  <si>
    <t>10.3389/fenvs.2022.838126</t>
  </si>
  <si>
    <t>https://www.scopus.com/inward/record.uri?eid=2-s2.0-85128463047&amp;doi=10.3389%2ffenvs.2022.838126&amp;partnerID=40&amp;md5=0f0cbe24001c9dd0021e480f006fa607</t>
  </si>
  <si>
    <t>Global estimates see river deltas and estuaries contributing about equally to CO2 and CH4 emissions as lakes and reservoirs, despite a factor 6 smaller surface area. Assessing the horizontal gradients in dissolved gas concentrations from large river reaches to connecting canals and wetland lakes remains a challenge in many deltaic systems. To elucidate the processes affecting local CO2 and CH4 concentrations in the Romanian part of the Danube Delta, we mapped dissolved O2, N2, He and Ar using a portable gas-equilibration membrane-inlet mass spectrometer (GE-MIMS), along with CO2, CH4, water temperature and conductivity. We measured the concentrations along the aquatic continuum from a small houseboat during two campaigns, in spring and autumn, to capture different hydrological and plant growth conditions. Delta-scale concentration patterns were comparably stable across seasons. Small connecting channels were highly influenced by the riparian wetland, which was strongest in the eastern part of the biosphere reserve. These sites represented the delta’s CO2 and CH4 hotspots and showed clear signs of excess air, i.e., supersaturation of dissolved noble gases with respect to air-saturated water. As the adjacent wetland was permanently inundated, this signal was likely caused by root aeration of Phragmites australis, as opposed to traditional excess air formation via water table fluctuations in the unsaturated zone. The special vegetation setting with reed growing on floating peat coincided with the highest CO2 and CH4 concentrations (&gt;700 μmol/L CO2 and 13 μmol/L CH4, respectively) observed in an adjacent channel. Shallow lakes, on the other hand, were major sites of photosynthetic production with O2 oversaturation reaching up to 150% in spring. The observed deficit in non-reactive gases (He, Ar and N2) indicated that the lakes were affected by O2 ebullition from macrophytes. According to our estimations, this ebullitive flux decreased O2 concentrations by up to 2 mg/L. This study highlights the effect of plant-mediated gas transfer on dissolved gas concentrations and supports recent studies stressing the need to account for ebullitive gas exchange when assessing metabolism parameters from O2 in shallow, productive settings. Copyright © 2022 Maier, Canning, Brennwald, Teodoru and Wehrli.</t>
  </si>
  <si>
    <t>2-s2.0-85128463047"</t>
  </si>
  <si>
    <t>10.5194/nhess-22-967-2022</t>
  </si>
  <si>
    <t>https://www.scopus.com/inward/record.uri?eid=2-s2.0-85127423457&amp;doi=10.5194%2fnhess-22-967-2022&amp;partnerID=40&amp;md5=f4c9db7250634c41e459e6c67e677bdd</t>
  </si>
  <si>
    <t xml:space="preserve">Water infrastructure development is considered necessary to drive economic growth in the Mekong region of mainland Southeast Asia. Yet the current understanding of hydrological and flood pattern changes associated with infrastructural development still contains several knowledge gaps, such as the interactions between multiple drivers, which may have serious implications for water management, agricultural production, and ecosystem services. This research attempts to conduct a cumulative assessment of basin-wide hydropower dam construction and irrigation expansion, as well as climate change, implications on discharge, and flood changes in the Cambodian Mekong floodplain. These floodplains offer important livelihoods for a considerable part of the 6.4 million people living on them, as they are among the most productive ecosystems in the world - driven by the annual flood pulse. To assess the potential future impacts, we used an innovative combination of three models: Mekong basin-wide distributed hydrological model IWRM-VMod, with the Mekong delta 1D flood propagation model MIKE-11 and 2D flood duration and extent model IWRM-Sub enabling detail floodplain modelling. We then ran scenarios to approximate possible conditions expected by around 2050. Our results show that the monthly and seasonal hydrological regimes (discharges, water levels, and flood dynamics) will be subject to substantial alterations under future development scenarios. Projected climate change impacts are expected to decrease dry season flows and increase wet season flows, which is in opposition to the expected alterations under development scenarios that consider both hydropower and irrigation. The likely impact of decreasing water discharge in the early wet season (up to -30ĝ€¯%) will pose a critical challenge to rice production, whereas the likely increase in water discharge in the mid-dry season (up to +140ĝ€¯%) indicates improved water availability for coping with drought stresses and sustaining environmental flows. At the same time, these changes would have drastic impacts on total flood extent, which is projected to decline by around 20ĝ€¯%, having potentially negative impacts on floodplain productivity and aquaculture, whilst reducing the flood risk to more densely populated areas. Our findings demonstrate the substantial changes that planned infrastructural development will have on the area, potentially impacting important ecosystems and people's livelihoods, calling for actions to mitigate these changes as well as planning potential adaptation strategies.  © Copyright: </t>
  </si>
  <si>
    <t>2-s2.0-85127423457"</t>
  </si>
  <si>
    <t>10.1016/j.ecoleng.2021.106528</t>
  </si>
  <si>
    <t>https://www.scopus.com/inward/record.uri?eid=2-s2.0-85122485125&amp;doi=10.1016%2fj.ecoleng.2021.106528&amp;partnerID=40&amp;md5=29659bf40869f568893d6470fb30f6e3</t>
  </si>
  <si>
    <t>Saltmarshes are increasingly recognised an important asset in coastal management as they dissipate wave energy and thus reduce the potential for coastal flooding. The frontal surface area (FSA) and the drag coefficient (Cd) are parameters commonly used in wave attenuation models to express the resistance of vegetation structure to incident waves. The FSA of vegetation represents the vertical surface area facing incoming waves which is calculated as the product of height, diameter and density whereas Cd is often used as tunable parameter that represents the vegetation-wave interactions that relies on both vegetation properties and wave conditions. Despite their importance in numerical modelling, substantial uncertainty remains in obtaining these parameters in the field due to the time-intensive and relatively expensive nature of data collection. An alternative structural vegetation parameter that can be included in wave attenuation models is the leaf area index (LAI). The primary advantage of the LAI is that it can be readily derived from satellite imagery, and thus provides a low-cost, fast alternative to field data collection. However, to date, its incorporation in widely-used coastal engineering models is lacking. The aim of this paper is to verify the use of remote-sensed LAI in numerical wave models as an alternative to FSA. Here, the widely used XBeach model for simulating storm impacts on a range of coastal systems is applied to two open coast sites with extensive saltmarsh</t>
  </si>
  <si>
    <t>10.5194/nhess-22-813-2022</t>
  </si>
  <si>
    <t>https://www.scopus.com/inward/record.uri?eid=2-s2.0-85127320507&amp;doi=10.5194%2fnhess-22-813-2022&amp;partnerID=40&amp;md5=8fb7fd5a2a89d070b1f7366158adf3b7</t>
  </si>
  <si>
    <t>Both sea level variations and wind-generated waves affect coastal flooding risks. The correlation of these two phenomena complicates the estimates of their joint effect on the exceedance levels for the continuous water mass. In the northern Baltic Sea the seasonal occurrence of sea ice further influences the situation. We analysed this correlation with 28 years (1992-2019) of sea level data, and 4 years (2016-2019) of wave buoy measurements from a coastal location outside the City of Helsinki, Gulf of Finland in the Baltic Sea. The wave observations were complemented by 28 years of simulations with a parametric wave model. The sea levels and significant wave heights at this location show the strongest positive correlation (τ=0.5) for southwesterly winds, while for northeasterly winds the correlation is negative (-0.3). The results were qualitatively similar when only the open water period was considered, or when the ice season was included either with zero wave heights or hypothetical no-ice wave heights. We calculated the observed probability distribution of the sum of the sea level and the highest individual wave crest from the simultaneous time series. Compared to this, a probability distribution of the sum calculated by assuming that the two variables are independent underestimates the exceedance frequencies of high total water levels. We tested nine different copulas for their ability to account for the mutual dependence between the two variables. © 2022 Milla M. Johansson et al.</t>
  </si>
  <si>
    <t>2-s2.0-85127320507"</t>
  </si>
  <si>
    <t>10.3390/rs14071696</t>
  </si>
  <si>
    <t>https://www.scopus.com/inward/record.uri?eid=2-s2.0-85128163144&amp;doi=10.3390%2frs14071696&amp;partnerID=40&amp;md5=e4f2dad857e58f4bcb975c9a36f1fed9</t>
  </si>
  <si>
    <t>Intense atmospheric disturbances, which impact directly on the sea surface causing a significant increase in wave height and sometimes strong storm surges, have become increasingly frequent in recent years in the Mediterranean Sea, producing extreme concern in highly populated coastal areas, such as the Gulf of Naples (Western Mediterranean Sea, Central Tyrrhenian Sea). In this work, fifty-six months of wave parameters retrieved by an HF radar network are integrated with numerical outputs to analyze the seasonality of extreme events in the study area and to investigate the performance of HF radars while increasing their distances from the coast. The model employed is the MWM (Mediterranean Wind-Wave Model), providing a wind-wave dataset based on numerical models (the hindcast approach) and implemented in the study area with a 0.03◦ spatial resolution. The integration and comparison with the MWM dataset, carried out using wave parameters and spectral information, allowed us to analyze the availability and accuracy of HF sampling during the investigated period. The statistical comparisons highlight agreement between the model and the HF radars during episodes of sea storms. The results confirm the potential of HF radar systems as long-term monitoring observation platforms, and allow us to give further indications on the seasonality of sea storms under different meteorological conditions and on their energy content in semi-enclosed coastal areas, such as the Gulf of Naples. © 2022 by the authors. Licensee MDPI, Basel, Switzerland.</t>
  </si>
  <si>
    <t>2-s2.0-85128163144"</t>
  </si>
  <si>
    <t>10.1016/j.jhydrol.2021.127421</t>
  </si>
  <si>
    <t>https://www.scopus.com/inward/record.uri?eid=2-s2.0-85122947972&amp;doi=10.1016%2fj.jhydrol.2021.127421&amp;partnerID=40&amp;md5=c30ff90820773624109e442bb3b608b2</t>
  </si>
  <si>
    <t>This study investigated the frequency analysis of precipitation indices of maximum daily precipitation amount (Rx1day), maximum 5-day cumulative precipitation amount (Rx5day), and maximum length of consecutive dry days (CDD) using various bias-correction schemes over mainland Southeast Asia (MSEA). The bias-correction schemes were based on quantile delta mapping (QDM) with different strategies in selecting the data series, including monthly correction (MC), annual correction (AC), peak correction using annual raw data (PCRAW), and annual correction using extreme-index data series (ACEX). Two regional climate model (RCM) outputs from CORDEX-SEA and APHRODITE rainfall datasets were used as modelled and observed data for methodology verification. The study first compared four frequency analysis methods based on generalized extreme value (GEV), Gumbel (GB), Log-Pearson Type III (LP3), and Lognormal (LOGN) distributions, at 9 selected sites over MSEA, and found that LP3 was the best choice for frequency analysis for the study region. Then, the study compared the four bias-correction schemes at both individual sites and all grids over the entire MSEA and indicated that the PCRAW was the best performer in terms of bias-correction for frequency information. Finally, the study gave an ensembled projection of future extreme indices with 200-yr return based on seven CORDEX-SEA RCMs and suggested a general increasing trend of all indices over MSEA. The study explored the effect of uncertainty originated from adopting various bias-correction schemes in mapping future frequency of precipitation indices and is valuable in revealing the spatiotemporal distribution of precipitation extremes over large areas under climate change which is important for flood/drought risk assessment and adaptation planning. © 2022 Elsevier B.V.</t>
  </si>
  <si>
    <t>2-s2.0-85122947972"</t>
  </si>
  <si>
    <t>10.1007/s11069-021-05103-y</t>
  </si>
  <si>
    <t>https://www.scopus.com/inward/record.uri?eid=2-s2.0-85119044398&amp;doi=10.1007%2fs11069-021-05103-y&amp;partnerID=40&amp;md5=ef8474cc549ea44eb95d283c8c8a820a</t>
  </si>
  <si>
    <r>
      <t xml:space="preserve">Tsunami coastal hazard is modeled along the US East Coast (USEC), at a coarse regional (450 m) resolution, from coseismic sources located in the Açores Convergence Zone (ACZ) and the Puerto Rico Trench (PRT)/Caribbean Arc areas. While earlier work only considered probable maximum tsunamis, here we parameterize and simulate 18 coseismic sources, with magnitude M8-9 and return periods </t>
    </r>
    <r>
      <rPr>
        <sz val="11"/>
        <color theme="1"/>
        <rFont val="Aptos Narrow"/>
        <family val="2"/>
      </rPr>
      <t>~</t>
    </r>
    <r>
      <rPr>
        <sz val="11"/>
        <color theme="1"/>
        <rFont val="Aptos Narrow"/>
        <family val="2"/>
        <scheme val="minor"/>
      </rPr>
      <t>70–2000 year, using seismo-tectonic and historical data. The largest sources in the ACZ are repeats of the 1755 M8.6-9 Lisbon earthquake and tsunami; other sources are hypothetical. In the ACZ, due to the limited data on faults, each source is parameterized with a single fault plane, while in the PRT, coseismic sources are parameterized based on fault segmentation established during a 2019 USGS workshop of experts, using 10–26 SIFT subfault planes (Gica et al. in NOAA Tech. Memo., OAR PMEL-139, 2008). Tsunamis are simulated for each source using the fully nonlinear and dispersive model FUNWAVE-TVD, in two levels of nested grids. At the considered scales, dispersion is shown to affect tsunami propagation. Coastal hazard is quantified by four metrics computed at many save points (</t>
    </r>
    <r>
      <rPr>
        <sz val="11"/>
        <color theme="1"/>
        <rFont val="Aptos Narrow"/>
        <family val="2"/>
      </rPr>
      <t>~</t>
    </r>
    <r>
      <rPr>
        <sz val="11"/>
        <color theme="1"/>
        <rFont val="Aptos Narrow"/>
        <family val="2"/>
        <scheme val="minor"/>
      </rPr>
      <t>20–30 thousand) defined along the 5-m isobath (due to the coarse resolution), i.e., maximum (1) surface elevation, (2) current, (3) momentum force; and (4) travel time, representing flooding, navigation, structural, and evacuation hazards. Overall, the first three metrics are larger, the larger the source magnitude, and their alongshore variation shows similar patterns of higher/lower values, due to the shelf bathymetric control (refraction). The fourth metric mostly differs between sources from each area, but less so among sources from the same area; its inverse quantifies evacuation hazard. A 1–5 score is given to results for each metric, based on five intensity classes representing low, medium low, medium, high, and highest tsunami hazard. A novel tsunami intensity index is computed as a weighted average of these scores, allowing both a comparison among sources and a quantification of tsunami hazard as a function of their estimated return periods. In the most impacted areas of the USEC, the highest tsunami hazard in the 250–500-year return period range is commensurate with that posed by 100-year category 3–5 tropical cyclones, taking into account the larger current velocities and forces caused by tsunami waves. Results of this work could serve as a basis for a future regional Probabilistic Tsunami Hazard Analysis for the USEC, considering additional source types such as underwater landslides, volcanic flank collapse, and meteotsunamis, that were studied elsewhere.</t>
    </r>
  </si>
  <si>
    <t>10.3390/earth3010023</t>
  </si>
  <si>
    <t>https://www.scopus.com/inward/record.uri?eid=2-s2.0-85132750398&amp;doi=10.3390%2fearth3010023&amp;partnerID=40&amp;md5=a2b0b51e7ef3e2593252d4367184b375</t>
  </si>
  <si>
    <t>The coastal plains of Tamil Nadu, India, are prone to floods, the most common disaster experienced in this region almost every year. This research aims to identify flood risks in the coastal plain region of Tamil Nadu, delineated through a watershed approach with 5020 micro-administrative units covering an area of about 26,000 sq. km. A comprehensive flood risk assessment covering hazard, vulnerability, and exposure parameters was carried out using multiple datasets derived from field surveys, satellite data, and secondary data sources. The flood hazard layer was prepared on a probability scale (0–1) with the help of Sentinel-1 Synthetic Aperture Radar data coupled with GIS-based water rise modelling using Shuttle Radar Topography Mission Digital Elevation Model (SRTM-DEM) and reports of the District Disaster Management Plans of 13 coastal districts. In addition, the National Resources Conservation Service-Curve Number (NRCS-CN) method was adopted to estimate surface runoff potential for identifying low probability flood-prone regions. The vulnerability and exposure of the population to flood hazards were determined using census and household data-based indicators. The different categories of built-up areas were delineated and intersected with the flood hazard layer to estimate elements at flood risk. An exhaustive field survey was conducted at 514 locations of the study area, targeting deprived communities of all major settlements to validate the flood hazard layer and understand the public perceptions. The amalgamation of results shows that very high flood risk prevails in the northern parts of coastal Tamil Nadu, especially the stretch between Chennai and Cuddalore. In addition, to provide baseline datasets for the first time at micro-administrative units for the entire coastal plains of Tamil Nadu, the study offers a pragmatic methodology for determining location-specific flood risks for policy interventions. © 2022 by the authors.</t>
  </si>
  <si>
    <t>2-s2.0-85132750398"</t>
  </si>
  <si>
    <t>10.1111/tgis.12870</t>
  </si>
  <si>
    <t>https://www.scopus.com/inward/record.uri?eid=2-s2.0-85119275124&amp;doi=10.1111%2ftgis.12870&amp;partnerID=40&amp;md5=c3dee9c77dc19a7b432979a003375e9c</t>
  </si>
  <si>
    <t>A user-friendly high-resolution intermediate complexity dynamic and spatially distributed flow model is crucial in urban flood modeling. Planners and consultants need to improve the accuracy of floods and estimation of risks. A new flow model will serve as a rapid tool to improve identification of these. This article provides a detailed explanation of a model based on a multiple flow algorithm. Model testing was performed on selected urban and rural areas. Additionally, a sensitivity analysis is conducted to analyze functionality. The model includes basic hydrological processes and is therefore less complex than fully physical models. The data needed to set up and run the new model include spatially and temporally distributed basic geometric and hydrologic variables (i.e., digital elevation model, precipitation, infiltration, and surface roughness). The model is implemented using open-source coding and can easily be applied to any selected area. Outputs are water volumes, depths, and velocities at different modeling times. Using GIS, results can be visualized and utilized for further analyses. The test, applied in urban as well as rural areas, demonstrates its user-friendliness, and that the estimated distributed water depths and water velocity at any time step can be saved and visualized. © 2021 The Authors. Transactions in GIS published by John Wiley &amp; Sons Ltd.</t>
  </si>
  <si>
    <t>2-s2.0-85119275124"</t>
  </si>
  <si>
    <t>10.1007/s11069-021-05167-w</t>
  </si>
  <si>
    <t>https://www.scopus.com/inward/record.uri?eid=2-s2.0-85123106721&amp;doi=10.1007%2fs11069-021-05167-w&amp;partnerID=40&amp;md5=87e9ec5f0e264f9859d04bec5452cdf4</t>
  </si>
  <si>
    <t>This study is an effort of people-centric geo-spatial exposure and damage assessment of 2014-flood in Upper Indus Plain (UIP). Community-based disaster risk management (CBDRM) approach in integration with geo-spatial techniques is implemented to assess the nature and damages as well as community perception in reducing floods. In this regard, a semi-structured questionnaire was designed for micro-level detail investigation. A total of 422 households were surveyed in 22 flood-affected villages in eight districts forms the lower Chenab Basin using random sampling techniques. Secondary data regarding river discharge is collected from Regional Meteorological Centre, Lahore. Shuttle radar topographic mission (SRTM) Digital elevation model (DEM) having 30 m spatial resolution and Landsat satellite image of September 2014 with same resolution is acquired from open source geo-database of United States Geological Survey (USGS). Landsat satellite image is processed to extract the spatial extent of inundation. Watershed modeling approach is utilized to demarcate Chenab River Basin in a GIS environment. Buffer analysis and inverse distance weighted (IDW) technique of spatial interpolation are used to geo-visualize the spatial extent and depth of flood based on community perception. Analysis reveals that flood is one of the recurring phenomena in the Chenab Basin. The upper catchment areas of Chenab Basin are dominated by flash floods and low-lying areas are prone to riverine floods. The 2014-flood has caused estimated economic damage of 1409.295 million Pakistani Rupees (mPKR). Housing sector suffered the major losses of more than 1000mPKR followed by the agricultural sector. Based on spatial extent, vertical profile and damages the study region is categorized into upper and lower zones. The lower zone is most affected in terms of extent, depth and damages. This study can assist the decision-makers and disaster managers in designing location-specific flood risk reduction. © 2021, The Author(s), under exclusive licence to Springer Nature B.V.</t>
  </si>
  <si>
    <t>2-s2.0-85123106721"</t>
  </si>
  <si>
    <t>10.1016/j.ijdrr.2022.102833</t>
  </si>
  <si>
    <t>https://www.scopus.com/inward/record.uri?eid=2-s2.0-85123979365&amp;doi=10.1016%2fj.ijdrr.2022.102833&amp;partnerID=40&amp;md5=c3bb86d2deede9a10c35f807f44c32e4</t>
  </si>
  <si>
    <t>Floods are the most recurring, widespread, disastrous, and frequent natural hazards in the world. This paper aims to understand vulnerability among ethnic groups living in areas prone to floods because of historical development and implementation of laws and policies. I use the Tana River County in Kenya as a case study to answer the question: what role have economic development policies, laws, and their implementation played in the propagation of drivers of vulnerability through history? I apply the Integrated Approach to Natural Hazards by establishing the previous and current influence of economic development policies on physical, structural, and social dimensions of floods among the region's vulnerable inhabitants. Vulnerability to floods is the long-term culmination of enacted economic development policies and laws that can be ascertained through a review of historical records. To explore the historical narrative of Tana River County, I searched through archived county-specific historical records. To determine the present narrative, I collected data from inhabitants of purposively sampled villages of Tana Delta Sub-County using focus group discussions and I administered key informant interviews to government and non-governmental organizations located in Tana River County. I report that the implementation and institution of economic development policy and legal frameworks under both colonial and post-colonial governments have directly influenced physical, structural, and social dimensions of floods by both increasing vulnerability and producing new forms of vulnerability for floodplain inhabitants. This understanding is vital to local, national, and regional administrators involved in development and implementation of current and future hazard management strategies. © 2022</t>
  </si>
  <si>
    <t>2-s2.0-85123979365"</t>
  </si>
  <si>
    <t>10.1007/s10584-022-03342-x</t>
  </si>
  <si>
    <t>https://www.scopus.com/inward/record.uri?eid=2-s2.0-85128599999&amp;doi=10.1007%2fs10584-022-03342-x&amp;partnerID=40&amp;md5=c403aa4c1001fc628e7cf1a54d8ed83b</t>
  </si>
  <si>
    <t>Storm-surge models are commonly used to assess the impacts of hurricanes and coastal storms in coastal areas. Including the impact of the projected future sea level rise (SLR) in these models is a necessary step for a realistic flood risk assessment. Commonly, SLR is superimposed linearly on the simulated water elevation. This approach, while efficient, may lead to inaccuracies. Furthermore, developing a new model with updated data (e.g., boundary conditions, bathymetry) that include the effects of SLR (i.e., nonlinear approach) is time consuming. We compare the linear and nonlinear approaches to include the effect of SLR in predicting maximum water/flood elevations (MWE) as a result of storm surge. After a simplified theoretical analysis, a number of idealized cases based on the typical coastal bodies of water are modeled to assess the impact of SLR on MWE using the linear superposition and nonlinear approaches. Additionally, two case studies are carried out: Narragansett Bay, RI, and Long Island Sound, CT (USA). Results show that for the idealized cases with variable depth, in general, the linear superposition of SLR to MWE is conservative (i.e., predicts a larger flood elevation) relative to the nonlinear approach. However, if a constant depth is considered, results are not consistent (i.e., linear superposition can overestimate or underestimate MWE, and the results depended on the geometry). The simulated MWE from the Narragansett Bay simulation confirms the outcome of idealized cases showing that linear assumption is conservative up to 10% relative to the nonlinear approach. For this study, Hurricane Sandy and a synthetic storm from the US Army Corps of Engineers North Atlantic Comprehensive Coastal Study (NACCS) dataset are simulated. Long Island Sound model results are also consistent with the idealized case. In general, based on the results of the idealized and real case studies, a discrepancy of up to 10% between the linear and nonlinear approaches is expected in estimation of MWE which can be under- or over-estimation of flood elevation, depending on the geometry. © 2022, The Author(s), under exclusive licence to Springer Nature B.V.</t>
  </si>
  <si>
    <t>2-s2.0-85128599999"</t>
  </si>
  <si>
    <t>10.1007/s11001-022-09468-y</t>
  </si>
  <si>
    <t>https://www.scopus.com/inward/record.uri?eid=2-s2.0-85125457219&amp;doi=10.1007%2fs11001-022-09468-y&amp;partnerID=40&amp;md5=27ade673b580a8b60cf5f5bfc9dc23ae</t>
  </si>
  <si>
    <t>The study investigates sea-level measurements observed from 12 tide gauge sites over the Indian coastal area during the last two decades. Initially, the rise of sea-level (slope) and acceleration is estimated by fitting the linear and parabolic equations in the recorded data from tide gauge measurements. The estimated results showed the abrupt change of relative sea-level measurements at the distinct site depends upon the tide gauge site locations. To accurately analyse the regional coastal sea level pattern, the tide gauge time series data are decomposed in sine and cosine functions at different frequencies followed by the spectral analysis. Analysis of the results confirmed that the tide gauges peaks do not occur at the fixed period at each tide gauge site, instead they repeat with varying time periods. The spectrum peaks width fluctuate at distinct sites and the general pattern of frequency spectrum does not follow a unique model. Such type of characteristic variation with the time is possibly because of the effective variables, which affects the steadiness of sea-level changes. The study concludes that the experimental results from the Indian coastal region must be included during the comparison of global data sets and other contemporary oceanic models. © 2022, The Author(s), under exclusive licence to Springer Nature B.V.</t>
  </si>
  <si>
    <t>2-s2.0-85125457219"</t>
  </si>
  <si>
    <t>10.1007/s11069-022-05215-z</t>
  </si>
  <si>
    <t>https://www.scopus.com/inward/record.uri?eid=2-s2.0-85123241112&amp;doi=10.1007%2fs11069-022-05215-z&amp;partnerID=40&amp;md5=6af5c93e5088506ccd2291942d98fb38</t>
  </si>
  <si>
    <t>This study examines the uncertainties associated with a rapid flood inundation mapping approach based on height above the nearest drainage (HAND) model's parameters, inputs, reference, and computing procedure. The effects of changing the drainage threshold, water depth, and horizontal resolution were studied in two Iowan regions of around 100 km2. To assess the uncertainty from rasterized inundation extent maps used as the reference, a regional and community-level evaluation with three distinct water depth estimates was performed for a five-county region in Iowa. An inner zone approach was utilized to demonstrate the uncertainties around the computational boundary of regions. The results reveal that the HAND model's performance depends on the research area's morphological characteristics, even though they are not directly input into the calculation. A good parameter set for one site does not ensure good performance for another. Moreover, the findings suggest that the DEM's resolution should be carefully chosen, as overgeneralization reduces the reliability of forecasts. Finally, the HAND model relies on drainage accumulation to build the simulation network; therefore, the calculation around the region border can introduce uncertainty. The findings of this study provide guidelines for effective model setup, adjustments, and performance improvement for non-rating-curve-based HAND.</t>
  </si>
  <si>
    <t>10.1007/s11069-021-05189-4</t>
  </si>
  <si>
    <t>https://www.scopus.com/inward/record.uri?eid=2-s2.0-85123059885&amp;doi=10.1007%2fs11069-021-05189-4&amp;partnerID=40&amp;md5=82f114d3a9b2e0f1437f5f1d72e751f2</t>
  </si>
  <si>
    <t>An effective risk assessment and response to flood disasters will help ensure the sustainable development of a region. A perfect flood disaster assessment index system should consider the interactions between indexes. The Choquet integral method can effectively solve the problems of index interactions and information overlap and can be used to aggregate relevant decision criteria and express the preferences of decision makers, making it a useful supplement to traditional indicator integration methods. A flood disaster risk assessment model based on the Choquet integral was constructed by considering the meteorological factors, geographical conditions, economic development, population status, medical conditions, education level, and crop sowing in the Yangtze River Delta region (including Shanghai, Jiangsu, Zhejiang, and Anhui) from 2006 to 2017. The model quantified the interaction between the evaluation indexes, taking the minimum information redundancy as the goal; subsequently, a flood disaster risk assessment was performed. The results showed that the meteorological conditions, geographical factors, exposure, and vulnerability have negative interactions with emergency and recovery capabilities. Because of the influence of the first three criteria, the information contained in the criteria for emergency and recovery capabilities is weakened or underestimated. Anhui Province was the largest flood disaster risk area in the Yangtze River Delta region from 2006 to 2017. Zhejiang Province ranked second, and Jiangsu Province and Shanghai City ranked third and fourth, respectively. The assessment results can provide a useful reference for flood disaster risk management in the Yangtze River Delta region.</t>
  </si>
  <si>
    <t>10.1016/j.geomorph.2022.108148</t>
  </si>
  <si>
    <t>https://www.scopus.com/inward/record.uri?eid=2-s2.0-85124210665&amp;doi=10.1016%2fj.geomorph.2022.108148&amp;partnerID=40&amp;md5=3786cf1bdb3099496e03c0c05f85420d</t>
  </si>
  <si>
    <t>Hurricanes have serious impacts on human lives and infrastructure, especially as a result of flooding caused by storm surge and precipitation. To better prepare coastal populations for future hurricanes due to an increasingly warming world, a better understanding of hurricane storm surge is key. Southwest Florida is particularly vulnerable to hurricane storm surge where most of the coastline is within 2.5 m of sea level and population is on the rise (2.5% between 2019 and 2020 in Lee County). This study presents a geologic record of intense hurricane strikes from Sanibel Island dating back to approximately ca. 1920. Based on sedimentary proxies such as grain size, organics, moisture content, and calcium carbonate, three tempestites were identified in cores from the Sanibel Island Marsh. Radiometric dating constrained Tempestite 1 as Hurricane Donna (1960) and Tempestites 2 and 3 as the 1926 Great Miami Hurricane and the Tampa Bay hurricane of 1921. Of the eight intense hurricanes (category 3–5) taking place between ~1920–2016, only three hurricanes were recorded in the geologic record. Tempestites 1, 2, and 3 were deposited by intense, large radius storms with significant storm surge, which would indicate that at least three storms made significant impact on the Southwest Florida region between ~1920–1960. Since 1960 no storms have breached the Sanibel Island barrier. It is important for the public to recognize that even though this region has not experienced significant storm surge in the last ~60 years, several hurricanes occurring between 1920 and 1960 produced storms surges greater than ~10 ft. that were able to breach a major barrier island (Sanibel Island). Human-induced climate change is predicted to increase storminess and sea level rise in Southwest Florida with concomitant risk for future storm surge. © 2022</t>
  </si>
  <si>
    <t>2-s2.0-85124210665"</t>
  </si>
  <si>
    <t>10.1016/j.jhydrol.2022.127477</t>
  </si>
  <si>
    <t>https://www.scopus.com/inward/record.uri?eid=2-s2.0-85123443246&amp;doi=10.1016%2fj.jhydrol.2022.127477&amp;partnerID=40&amp;md5=fd74d9fc97e1d088b6ef4f09d69de2a6</t>
  </si>
  <si>
    <t>Multi-hazard risk assessment may provide comprehensive analysis of the impact of multiple hazards but still needs to resolve major challenges in three aspects: (1) proper consideration of hazard inter-dependency, (2) physically based modelling of hazard interactions, and (3) fully quantitative risk assessment to show the probability of loss. Compound flooding is a typical multi-hazard problem that involves the concurrence of multiple hazard drivers, e.g. heavy rainfall, extreme river flow, and storm surge. These hazard drivers may result from the same weather system and are thus statistically inter-dependent, physically overlayed and interacted in the same region. This paper aims to address the mentioned challenges and develop an integrated assessment framework to quantify compound flood risk. The framework is constructed based on the three typical components in disaster risk assessment, i.e. hazard, vulnerability and exposure analysis. In hazard analysis, joint probability and return period distributions of the three hazard drivers of compound flooding are estimated using Copula functions with hazard dependency analysis, which are then used to generate random multi-hazard events to drive a 2D high-performance hydrodynamic model to produce probabilistic inundation maps and frequency-inundation curves. Vulnerability and exposure analysis provides damage functions of the elements at risk, which are used to quantify multi-hazard risk with the frequency-inundation curves. The framework is applied in the Greater London and its downstream Thames estuary to demonstrate its capability to analyse hazard interactions and inter-dependencies to produce fully quantitative risk assessment results such as risk curves quantifying the probability of loss and risk maps illustrating the annual expected loss of residential buildings. © 2022 Elsevier B.V.</t>
  </si>
  <si>
    <t>2-s2.0-85123443246"</t>
  </si>
  <si>
    <t>10.3390/rs14061450</t>
  </si>
  <si>
    <t>https://www.scopus.com/inward/record.uri?eid=2-s2.0-85127091810&amp;doi=10.3390%2frs14061450&amp;partnerID=40&amp;md5=ad74a6671c0f9dd6bfddf8e5e25fa5d5</t>
  </si>
  <si>
    <t>In August 2017, Hurricane Harvey was one of the most destructive storms to make landfall in the Houston area, causing loss of life and property. Temporal and spatial changes in the depth of floodwater and the extent of inundation form an essential part of flood studies. This work estimates the flood extent and depth from LiDAR DEM (light detection and ranging digital elevation model) using data from the Synthetic Aperture Radar (SAR)–Unmanned Aerial Vehicle Synthetic Aperture Radar (UAVSAR) and satellite sensor—Sentinel-1. The flood extent showed a decrease between 29–30 August and 5 September 2017. The flood depths estimated using the DEM were compared with the USGS gauge data and showed a correlation (R2 ) greater than 0.88. The use of Sentinel-1 and UAVSAR resulted in a daily temporal repeat, which helped to document the changes in the flood area and the water depth. These observations are significant for efficient disaster management and to assist relief organizations by providing spatially precise information for the affected areas. © 2022 by the authors. Licensee MDPI, Basel, Switzerland.</t>
  </si>
  <si>
    <t>2-s2.0-85127091810"</t>
  </si>
  <si>
    <t>10.18814/epiiugs/2021/021014</t>
  </si>
  <si>
    <t>https://www.scopus.com/inward/record.uri?eid=2-s2.0-85126331842&amp;doi=10.18814%2fepiiugs%2f2021%2f021014&amp;partnerID=40&amp;md5=4a13841639abfbd6dd3efe32a1894ce9</t>
  </si>
  <si>
    <t>The awareness on the importance that land subsidence plays on coastal processes at the regional scale is increased over the last two decades, and it clearly appears that land subsidence can contribute primarily to the relative sea level rise affecting coastal zones. Jakarta is one of the cities mostly affected by the combination of sea-level rise and land subsidence. In this paper, the activities carried out in Jakarta under the umbrella of the IGCP Project 663 were presented, and the possible measures and best practices mitigating land subsidence for the research associates and potential stakeholders were provided, with which can serve as inspiration for authorities and communities facing land subsidence. Meanwhile, major achievements of IGCP 663 in Jakarta were summarized and introduced, including dissemination session, scientific session and field trips. Specifically, major advances on coastal subsidence studies regarding the effect of relative sea level rise, subsidence mapping, monitoring and simulation, as well as the support of policy making are highlighted and summarized. © 2022 International Union of Geological Sciences. All rights reserved.</t>
  </si>
  <si>
    <t>2-s2.0-85126331842"</t>
  </si>
  <si>
    <t>10.1007/s41324-022-00431-y</t>
  </si>
  <si>
    <t>https://www.scopus.com/inward/record.uri?eid=2-s2.0-85123865939&amp;doi=10.1007%2fs41324-022-00431-y&amp;partnerID=40&amp;md5=a0c6f6b9692f77a7045d8d47826759c1</t>
  </si>
  <si>
    <t>One of the consequences of climate change is sea level rise (SLR). Near the coast SLR varies at different locations due to the contributions from regional/local climatic and non-climatic factors. Vertical land motion (VLM) can affect the accuracy of sea level observations from tide gauges (TG) that may exacerbate coastal area inundation/flooding. This study investigated the viability of Permanent Scatterer Interferometric Synthetic Aperture Radar (PSInSAR) to quantify the rate of VLM at the TG sites. Measurements from TG co-located GNSS receivers provide the actual VLM rates and ground truth for PSInSAR-derived rates. Based on the results from the 9 study sites, almost all except one are subsiding. Both PSInSAR and GNSS solutions showed the same trend with rates that correlate at 0.89. Analysis from 20 Active GNSS stations showed 95% of the sites are undergoing land subsidence. This should be a cause of concern for communities near the coastal areas. © 2022, Korean Spatial Information Society.</t>
  </si>
  <si>
    <t>2-s2.0-85123865939"</t>
  </si>
  <si>
    <t>10.1007/s11001-021-09463-9</t>
  </si>
  <si>
    <t>https://www.scopus.com/inward/record.uri?eid=2-s2.0-85122727123&amp;doi=10.1007%2fs11001-021-09463-9&amp;partnerID=40&amp;md5=d2a0f067c25b21bdba3adbe2ee38fe12</t>
  </si>
  <si>
    <t>Coastal dynamics are the result of several processes controlling the balance between sediment input and output over time. The beach system is not always able to maintain a neutral coastal balance due to natural and anthropogenic causes. We present an integrated marine geology, geomorphological and sea-level rise analysis in the coastal sector between Torre delle Ciavole and Capo Calavà (North-Eastern Sicily, Italy).This sector is characterized by high uplift rates and frequent seismicity (mainly generated by the very active Vulcano-Tindari Fault System), promoting the development of mass-wasting processes in the coastal and offshore sectors. A main erosive feature observed in the area is the head of the Gioiosa Marea submarine canyon, located at some meters of depth, few hundred meters far the coastline. The main morphological features of the canyon were reconstructed through the analysis of high-resolution multibeam data, indicating that the canyon is active, as also testified by the comparison of time-lapse aerial photos. Due to this active setting, the study area is exposed to multiple geohazards, among which we deal with: (1) retrogressive instability at the head of the Gioiosa Marea submarine canyon, (2) coastal erosion favored by the downlope funnelling of littoral drift at the canyon head, (3) flooding scenario at 2100 using the IPCC (Intergovernmental Panel on Climate Change) and Rahmstorf sea-level projections. The consequences associated with these geohazards are amplified by the strong anthropization pressures occurring along in this sector. Our results provide key insights regarding the future scenarios of this coastal sector, revealing the effects of the retrogressive activity associated with the canyon head on the coastal strip. We also present the first management tool for the application of forecasting studies by local administrations. © 2022, The Author(s), under exclusive licence to Springer Nature B.V.</t>
  </si>
  <si>
    <t>2-s2.0-85122727123"</t>
  </si>
  <si>
    <t>10.1007/s10668-021-01710-8</t>
  </si>
  <si>
    <t>https://www.scopus.com/inward/record.uri?eid=2-s2.0-85113429337&amp;doi=10.1007%2fs10668-021-01710-8&amp;partnerID=40&amp;md5=1f5225a65c7d1de0abcf2a2a359cded4</t>
  </si>
  <si>
    <t>Floodplain wetlands have considerable ecological and economic significance. The study area, consisting of the Bhagirathi–Jalangi Floodplain (BJF), is endowed with numerous wetlands. Based on the tentative time of origin and wetland index map, the investigation selects eight major riparian wetlands and their surroundings from the meander belt of the rivers Bhagirathi and Jalangi. The study primarily emphasizes on periodic mapping for areal change detection and identification of emerging issues between 1955 and 2018. The data used for the present research includes Topographical maps, Landsat imagery, Google maps, Sentinel 2B imagery of different time periods and some ancient maps which depict the old courses of river Bhagirathi and Jalangi. By using geospatial techniques and field investigation, the study reveals that from 1955 to 2018, wetlands have been shrinking rapidly. It is found from the investigation that total wetland area has reduced by about 39.60% due to land reclamation and wetland transformation. The land use change detection depicts that agricultural expansion, which has increased up to 35%, is the dominant control factor for wetland decay. More than 87% of the selected wetlands have experienced area loss. Among the selected wetlands, 25% have lost more than 90% of their areal extent during the stipulated study period. Normalized Difference Vegetation Index (NDVI) and Normalized Difference Water Index (NDWI) are the two indices used for measuring the concentration of aquatic plants. Geospatial analysis suggests that the NDVI value is higher in pre-monsoon season in comparison with post-monsoon. High NDVI value which is ≥ 0.51 covers more than 81% of the wetland surface area. In contrast, low NDWI value (≤ 0.20), covering more than 60% of the wetland surface area, is found in 75% of the selected wetlands. The study finally concludes that due to accelerated anthropogenic intervention floodplain wetlands in the BJF require special attention to ensure future sustainability. Graphic abstract: [Figure not available: see fulltext.] © 2021, The Author(s), under exclusive licence to Springer Nature B.V.</t>
  </si>
  <si>
    <t>2-s2.0-85113429337"</t>
  </si>
  <si>
    <t>10.15625/2615-9783/16961</t>
  </si>
  <si>
    <t>https://www.scopus.com/inward/record.uri?eid=2-s2.0-85126757107&amp;doi=10.15625%2f2615-9783%2f16961&amp;partnerID=40&amp;md5=a5cfd2de44c2cc1f03e49a538ee37750</t>
  </si>
  <si>
    <t>The Hai Phong coastal area (Northwest of the Vietnam East Sea) is prosperous and densely populated, but it is also a place that is considered likely to be severely affected by sea-level rise. Based on the tide gauge measurement data at Hon Dau station during 1960-2020, the sea-level rise trends were analyzed and linked to the El Niño Southern Oscillation (ENSO). The analyses were carried out separately for the whole period (1960-2020) and for the last 19 years (2002-2020) by the Mann-Kendall test and Sen’s slope estimator. The Empirical Mode Decomposition method was used to identify the role of ENSO on the water level variability. The results showed a significant sea-level rise trend with a 95% confidence level. The average annual rates of sea-level were 3.56 mm/year and 7.78 mm/year over the periods 1960-2020 and 2002-2020, respectively, indicating a sea-level rise of about 21.4 cm over 60 years and a significant acceleration in sea-level rise recently (14.7 cm over the last 19 years). Sea-level that rose during El Niño events and declined during La Niña, related to ENSO with cycles of 2 and 6.1 years. From 1960 to 2020, ENSO events took four months to impact the sea-level in the Hai Phong coastal area, causing sea-level variability within-3.7 to 7.2 cm over 1972-2020. © 2022, Publishing House of Natural Science and Technology, VAST. All rights reserved.</t>
  </si>
  <si>
    <t>2-s2.0-85126757107"</t>
  </si>
  <si>
    <t>10.3390/atmos13040609</t>
  </si>
  <si>
    <t>https://www.scopus.com/inward/record.uri?eid=2-s2.0-85129012344&amp;doi=10.3390%2fatmos13040609&amp;partnerID=40&amp;md5=7726ef3ef25206a58a6c772ed33e562c</t>
  </si>
  <si>
    <t>This study analyzed the spatiotemporal variation characteristics of extreme maximum temperature events (EMTEs) in East China in the last 60 years and investigated the relationship between EMTEs and atmospheric circulation. The arithmetic mean, linear trend, and the Mann–Kendall test were applied to daily maximum temperature (DMT) data (1961–2020) from 345 meteorological observation stations with complete observation records in East China to compile four characteristic indexes of EMTEs: intensity, consecutive days, first days, and last days. The analysis of these indexes revealed the following: (1) The annual number of days with a DMT ≥ 35◦C increased at the rate of 1.45 d/decade (p ≤ 0.05)</t>
  </si>
  <si>
    <t>10.1016/j.ecoleng.2021.106539</t>
  </si>
  <si>
    <t>https://www.scopus.com/inward/record.uri?eid=2-s2.0-85123028183&amp;doi=10.1016%2fj.ecoleng.2021.106539&amp;partnerID=40&amp;md5=21b2d3a6651abafaef5fccad995fb8e2</t>
  </si>
  <si>
    <t>A major challenge for the modern river and coastal management is a holistic design approach in order to integrate flood and erosion protection combined with ecological restoration. Nowadays, a lot of EU regulations request nature-based engineering solutions such as soil and water bioengineering techniques (SWBE). In contrast to conventional ‘hard’ civil engineering structures, the idea of SWBE structures is the use of biological components in the engineering structure to not just consider a technical function, but also ecological and aesthetic values. While SWBE techniques are applied worldwide and well established as an engineering discipline, there is a high demand on the further development specifically in terms of ecology. The use of plants in river engineering projects requires the right choice of species depending on the techniques used and the environmental conditions. Furthermore, a right harvest, storage and implementation of the plants is significant. Their use also requires the quantification of the hydraulic and sedimentological impact of riparian vegetation on the one hand and on the other hand to know the impact of SWBE structures on the aquatic and terrestrial habitats. Different ecological, vegetational and phytosociological criterias are available and discussed in terms of assessment of SWBE structures. All these criteria can be helpful to develop a framework supporting stakeholders to define objectives, design, implementation work and to assess the post-construction lifetime phase, which is most relevant for SWBE structures. From a wider point of view, when looking at the multitaxonomic diversity in both terrestrial and aquatic habitats, it has been shown that SWBE techniques could enhance global riparian habitat quality by allowing a greater richness and density of pioneer tree species. The use of phytosociology has become more important for the application of SWBE structures as nature-based vegetation composition. Specific challenges arise for river managers and practitioners with invasive alien species and climate change forcing us to redefine what is meant by ‘non-native’ species. Therefore, using a local and historical phytosociological typology to define the reference to be achieved could become increasingly misleading. By analyzing the ecological value of SWBE structures, another aspect must be considered from an ecological point of view. The possible negative impacts on ecosystems caused by SWBE measures, during the period of construction (e.g., emissions, energy consumption, intervention in nature) should be taken into consideration. A popular methodology to provide the possibility of achieving a better understanding of environmental burdens and to assess the potential environmental impact of products or services is environmental life cycle assessment (LCA). We are faced with the problems of climate change which means that we have to optimize our civil engineering (including SWBE) construction activities in terms of positive effects, for example urban heat islands or carbon storage and also any potential negative effects, for example emission of greenhouse gases or energy demand. We must critically examine our model of the SWBE approach, the application of SWBE techniques does not automatically mean an ecological improvement. SWBE systems are dynamic and always different, depending on their field of application. A harmonization of strategies and goals needs to be developed in order to support coherent measures aimed at improving the ecological status of river bodies, coastal areas and at the same time, guaranteeing hydraulic safety and adequate protection of human activities from hydromorphological hazards (flooding, floodplain erosion, failure of river and coastal-related infrastructures). © 2022 Elsevier B.V.</t>
  </si>
  <si>
    <t>2-s2.0-85123028183"</t>
  </si>
  <si>
    <t>10.3390/ijgi11040225</t>
  </si>
  <si>
    <t>https://www.scopus.com/inward/record.uri?eid=2-s2.0-85128189917&amp;doi=10.3390%2fijgi11040225&amp;partnerID=40&amp;md5=7ea0e0edabab8b1b0ab35e4621c62a94</t>
  </si>
  <si>
    <t>The increased exposure to coastal flooding in low-lying coastal areas is one of the consequences of sea-level rise (SLR) induced by climate changes. The coastal zone of Guinea-Bissau contains significant areas of low elevation and is home to most of the population and economic activity, making it already vulnerable to coastal flooding, especially during spring tides and storm surges (SS). Coastal flooding will tend to intensify with the expected SLR in the coming decades. This study aimed at quantifying and mapping the area exposed to the coastal flooding hazard using SLR scenarios by the years 2041, 2083, and 2100. The study analyzes and discusses the application of a the simple “bathtub” model coupled with a high-precision global digital elevation models (TanDEM-X DEM) to areas where no other data are available. Therefore, three coastal hazards hotspots of Guinea-Bissau: Bissau, Bubaque, and Suzana, were used as case study. At each site, the area potentially exposed to coastal flooding was evaluated in a geographic information systems (GIS) environment, by estimating the Total Water Levels for each SLR scenario. For all areas, land exposed to coastal flooding hazard increases significantly and progressively with increasing SLR scenarios. Bissau and Suzana, where housing, infrastructure, and agricultural land are low-lying, presented the greatest flood exposure, while Bubaque, where housing and infrastructure are located in relatively high-lying land and rain-fed agriculture is practiced, present lesser flood exposure. The methodology presented is simple to use but powerful in identifying potentially vulnerable places to coastal flooding hazard, and its results can aid low developed countries to assess their exposure to coastal risks, thus supporting risk awareness and mitigation measures. © 2022 by the authors. Licensee MDPI, Basel, Switzerland.</t>
  </si>
  <si>
    <t>2-s2.0-85128189917"</t>
  </si>
  <si>
    <t>10.1016/j.dib.2022.107946</t>
  </si>
  <si>
    <t>https://www.scopus.com/inward/record.uri?eid=2-s2.0-85126147377&amp;doi=10.1016%2fj.dib.2022.107946&amp;partnerID=40&amp;md5=116a2eaa00ebf30dd0a4e85138df3f0b</t>
  </si>
  <si>
    <t>Palynology-based multivariate datasets including geological, ecological, and geochemical data identified the relative importance of the underlying drivers of critical stressors to coastal wetlands by identifying and distinguishing between fluvial flooding, saline water intrusion, delta switching, and the landward migration of coastal plants. A sediment core was retrieved using a vibracorer from an intermediate marsh in Lake Salvador, Louisiana, USA. X-ray Fluorescence (XRF) quantified fluvial and marine elemental concentrations (Cl, Sr, Ca, Mn, K, Ti, Fe, Zn, Zr, Br). Palynology-based agglomerate hierarchical analysis of thirty-two pollen taxa was employed to define ecological clusters. The implementation of multivariate principal component analysis (PCA) to geochemical and ecological variables inferred the source of sedimentary material by correlating four taxonomic groups (floodplain trees, upland trees, tidal freshwater herbs, and inland herbs) to specific geochemical signatures and facilitated the testing of potential correlations between geo- and hydrological-conditions and the six ecosystems (interdistributary, delta-plain, deltaic lake, bottomland and swamp forests, freshwater marsh, and intermediate marsh) depicted in each PCA biplot. The PCA scores quantified the relative importance of multiple variables. The squared cosine function, which demonstrates the relative importance of a variable for a given observation, was used to estimate the representation of each variable on the principal component biplots. Multivariate statistical datasets can be valuable to any scientist working across the spectrum of environmental and planetary science fields as a means of identifying the relative importance of diverse background parameters in controlling ecological and environmental conditions. This methodology is applicable across both natural and social sciences as a means of distinguishing natural and anthropogenic impacts. © 2022 The Author(s)</t>
  </si>
  <si>
    <t>2-s2.0-85126147377"</t>
  </si>
  <si>
    <t>Cold Regions Science and Technology</t>
  </si>
  <si>
    <t>10.1016/j.coldregions.2022.103482</t>
  </si>
  <si>
    <t>https://www.scopus.com/inward/record.uri?eid=2-s2.0-85122639813&amp;doi=10.1016%2fj.coldregions.2022.103482&amp;partnerID=40&amp;md5=0b8b11487ab0e4e3b97a46ec02e46b44</t>
  </si>
  <si>
    <t>Thawing permafrost around oil wells in the circum-Arctic region incurs local subsidence and causes damage to the energy extraction infrastructure. This study aims to investigate the mechanical properties of thawed permafrost for analyzing the interaction between the oil wells and surrounding permafrost during thaw settlement. This article describes a series of drained triaxial tests on permafrost samples extracted from boreholes up to 170 m deep from the Kuparuk River Delta of the North Slope of Alaska. Factors, including soil type, ice content, depth, and orientation, were considered during specimen preparation. Testing results, including the stress-strain relationship, initial modulus, secant stiffness modulus at 50% of the peak stress and its corresponding strain, were obtained. The shear strength parameters, including the total-stress cohesion and friction angle, were analyzed, and their variation with depth was discussed. The impacts of confining pressure, ice content, and dry density on the initial modulus, and secant stiffness modulus at 50% of the peak stress and the corresponding strain were analyzed, and their prediction models were proposed. It is found that both the elastic moduli and shear strength parameters such as the friction angle of thawed permafrost do not follow the trend observed at typical unfrozen soil sites, where soil stiffness and shear strength parameters generally increase with increasing depth. The friction angle of silt and sand specimens at deeper depths is relatively low, indicating that the deep permafrost is not consolidated. Strong anisotropy exists in the failure stress and elastic moduli of clayey permafrost due to its fabric and geological history. The results shed light on the mechanical properties of thawed unconsolidated deep permafrost. They could be used to analyze soil-oil well casing or soil-foundation interaction during thaw subsidence in permafrost. © 2022 Elsevier B.V.</t>
  </si>
  <si>
    <t>2-s2.0-85122639813"</t>
  </si>
  <si>
    <t>10.1038/s41586-022-04426-5</t>
  </si>
  <si>
    <t>https://www.scopus.com/inward/record.uri?eid=2-s2.0-85127253194&amp;doi=10.1038%2fs41586-022-04426-5&amp;partnerID=40&amp;md5=bc8ade132ae62aec7cb9371b9dc11590</t>
  </si>
  <si>
    <t>Coastal communities across the world are already feeling the disastrous impacts of climate change through variations in extreme sea levels1. These variations reflect the combined effect of sea-level rise and changes in storm surge activity. Understanding the relative importance of these two factors in altering the likelihood of extreme events is crucial to the success of coastal adaptation measures. Existing analyses of tide gauge records2–10 agree that sea-level rise has been a considerable driver of trends in sea-level extremes since at least 1960. However, the contribution from changes in storminess remains unclear, owing to the difficulty of inferring this contribution from sparse data and the consequent inconclusive results that have accumulated in the literature11,12. Here we analyse tide gauge observations using spatial Bayesian methods13 to show that, contrary to current thought, trends in surge extremes and sea-level rise both made comparable contributions to the overall change in extreme sea levels in Europe since 1960. We determine that the trend pattern of surge extremes reflects the contributions from a dominant north–south dipole associated with internal climate variability and a single-sign positive pattern related to anthropogenic forcing. Our results demonstrate that both external and internal influences can considerably affect the likelihood of surge extremes over periods as long as 60 years, suggesting that the current coastal planning practice of assuming stationary surge extremes1,14 might be inadequate. © 2022, The Author(s), under exclusive licence to Springer Nature Limited.</t>
  </si>
  <si>
    <t>2-s2.0-85127253194"</t>
  </si>
  <si>
    <t>10.1016/j.scitotenv.2021.152586</t>
  </si>
  <si>
    <t>https://www.scopus.com/inward/record.uri?eid=2-s2.0-85121902311&amp;doi=10.1016%2fj.scitotenv.2021.152586&amp;partnerID=40&amp;md5=27315c6dae47f80ea760c923ae1d4bea</t>
  </si>
  <si>
    <t>Assessing and mapping ecosystem services (ES) became an integral part of coastal and marine management practices. Hence, quantitative and validated approaches are lacking, especially to address future conditions. The objective of this study is to apply further existing and develop new methodological frameworks to quantitatively assess and map the current and future supply of 3 ES in the coastal zone of Lithuania: coastal flood protection, nutrient regulation, and maintenance of nursery conditions. For coastal flood ES modelling, 2 time periods (1990 and 2018) and 4 scenarios (A0, A1 A2, A3 - based on future socio-economic changes in Lithuania) were analysed. The coastal flood protection ES model was validated (r2 = 0.30) using tree cover density. The results showed spatial differences among the analysed periods but no statistical differences. High supply areas are located in the southern coastal area, while the central part displays a low supply. For nutrient regulation and maintenance of nursery conditions, 7 time periods were analysed: a historical period and 6 scenarios based on Representative Concentration Pathway 4.5 and 8.5 and 3 Shared Socioeconomic Pathways. The nutrient regulation ES model was validated (r2 = 0.85) using in situ nutrient. Statistical differences were observed for this ES, but a similar spatial distribution of high and low supply areas. A decrease in the supply was observed comparing the historical period and future scenarios. Maintenance of nursery conditions was validated (r2 = 0.72) based on the protection status of the coastal zone. Results show no statistical differences and similar spatial patterns among the periods. Rocky and sandbank areas show a high supply for this ES. Limitations of our work are mainly related to the resolution of the utilised indicators. Nevertheless, the information obtained from our models can support spatial planning and decision-making processes. © 2021 Elsevier B.V.</t>
  </si>
  <si>
    <t>2-s2.0-85121902311"</t>
  </si>
  <si>
    <t>10.1016/j.advwatres.2022.104147</t>
  </si>
  <si>
    <t>https://www.scopus.com/inward/record.uri?eid=2-s2.0-85124591570&amp;doi=10.1016%2fj.advwatres.2022.104147&amp;partnerID=40&amp;md5=8a10ce42c6ce021d6a01bd4cb0d8f54e</t>
  </si>
  <si>
    <t>Surface ponding is often used in combination with subsurface drainage systems to leach excessive salts from the saline soils of reclaimed coastal areas. However, soils that are not immediately proximal to subsurface drains are typically subjected to reduced leaching efficiency (LE). This study evaluates an approach for increasing the LE through the use of a low-permeability surface mulch (LPSM) above the drain. Sand tank experiments and 2D numerical simulations were conducted to examine the effectiveness of LPSM configurations under continuous surface flooding. The results show that the addition of a LPSM leads to more spatially uniform, accelerated salt leaching towards subsurface drains. As a result, base case leaching periods and freshwater application rates were reduced by up to ∼60% and ∼80%, respectively. The sensitivity analysis based on field-scale models revealed optimal values (i.e., leading to maximum LE) of the LPSM hydraulic conductivity and length. Moreover, an approximate method is applied to estimate the leaching period, and to thereby assist in the design of drainage-LPSM schemes. We conclude that the addition of a LPSM is an effective strategy to enhance salt leaching under surface ponding, adding to existing methods for ameliorating saline soils. © 2022</t>
  </si>
  <si>
    <t>2-s2.0-85124591570"</t>
  </si>
  <si>
    <t>10.3390/rs14051132</t>
  </si>
  <si>
    <t>https://www.scopus.com/inward/record.uri?eid=2-s2.0-85125618481&amp;doi=10.3390%2frs14051132&amp;partnerID=40&amp;md5=715861e59e1c4514c27b1739947c1ca3</t>
  </si>
  <si>
    <t>Advancing understanding of the complexities and expansive spatial scales of river ecology can be enhanced through the application of remote sensing. We obtained satellite (Quickbird) and airborne (LIDAR, hyperspectral, multispectral, and thermal) imagery data of an alluvial gravel-bed river floodplain in western Montana to quantify both riparian and aquatic habitats and processes. LIDAR data provided a detailed bare earth DEM and vegetation canopy DEM. We classified river hydraulics and aquatic habitats using a combination of the satellite multispectral, airborne hyper-spectral, and LIDAR data coupled with spatially-explicit acoustic Doppler velocity profile data of water depth and velocity. Velocity, depth, and Froude classifications were aggregated into similar hydraulic zones of river habitat classes. Thermal imagery data were coupled with field measurements of temperature and radon gas tracer to identify patterns of water exchange between the alluvial aquifer and the surface. We found a high complexity of aquatic surface temperatures and radon tracer linked to groundwater discharge from the alluvial aquifer. Airborne hyperspectral data were used to identify “hot spots” of periphyton production, which coincided with the complex nature of groundwater–surface water exchange. Airborne hyperspectral data provided differentiation of vegetation patches by dominant species. When the hyperspectral data were coupled to LIDAR first return metrics, we were able to determine vegetation canopy height and relative vegetation patch age classes. The integration of these various remote sensing sources allowed us to characterize the distribution and abundance of floodplain aquatic and riparian species and model processes of change through space and time. © 2022 by the authors. Licensee MDPI, Basel, Switzerland.</t>
  </si>
  <si>
    <t>2-s2.0-85125618481"</t>
  </si>
  <si>
    <t>10.1016/j.jag.2022.102756</t>
  </si>
  <si>
    <t>https://www.scopus.com/inward/record.uri?eid=2-s2.0-85126961853&amp;doi=10.1016%2fj.jag.2022.102756&amp;partnerID=40&amp;md5=45fda74dca15b9968b6f2a880ef72f84</t>
  </si>
  <si>
    <t>We assess about 20 years of onshore and offshore subsidence along a sector of the Upper Adriatic Sea (Italy) coastal areas affected by natural soil compaction and intense anthropogenic activities such as aquifers exploitation and hydrocarbons extraction. Our approach is based on the synergistic use of independent remote sensing and in-situ geodetic data to detect and spatially characterise the deformation pattern by cross-validating the different available measurements. We collect extensive datasets from i) SAR images provided by Envisat, Cosmo-SkyMed and Sentinel-1 missions, ii) GNSS measurements from continuous stations managed by public institutions, local authorities and private companies and iii) Leveling surveys. The cross-validation analysis shows good agreement among all the independent datasets, thus providing a reliable assessment of the ongoing deformation. We detect an onshore and offshore subsidence peak of about −1/-1.5 cm/yr in the proximity of the coastline, close to Lido di Dante and Fiumi Uniti villages, and at the present offshore platform. The outcomes highlight how the integration of different remote sensing and in situ geodetic techniques is successful to retrieve deformation history in time and space in complex areas, where different natural and anthropogenic sources concur to the overall deformation pattern. Moreover, such approach provides a robust support to modelling studies for hazard assessment in both inland and shoreline areas. © 2022</t>
  </si>
  <si>
    <t>2-s2.0-85126961853"</t>
  </si>
  <si>
    <t>10.1029/2021WR031432</t>
  </si>
  <si>
    <t>https://www.scopus.com/inward/record.uri?eid=2-s2.0-85130998988&amp;doi=10.1029%2f2021WR031432&amp;partnerID=40&amp;md5=ad898cc92858aa56f947891a0f7a28d5</t>
  </si>
  <si>
    <t>The intensification of extreme precipitation in a warming climate is expected to increase flood risk. In order to support flood resilience efforts, it is important to anticipate and quantify potential changes in design standards under future climate conditions. This study assessed how extreme precipitation is expected to change over the 21st century in relation to current National Oceanic and Atmospheric Administration (NOAA) Atlas 14 design standards over the contiguous United States (CONUS). We used the Community Earth System Model Version 2 large ensemble (CESM2-LE) simulations from the Coupled Model Intercomparison Project Phase 6 and incorporated future changes into flood engineering design standard with a spatially distributed quantile delta mapping method. Relative changes in extreme daily precipitation were computed for multiple average recurrence intervals (ARIs) up to 100-year and different planning horizons (2020, 2040, 2060, 2080, and 2100). The results indicated an intensification of extreme precipitation by approximately 10%–40% in northern regions and 20%–80% in southern regions by 2100. The current 100-year ARI with 24-hr duration from NOAA Atlas 14 is projected to become the 50-year ARI in the Northern Great Plains, less than the 25-year ARI in Southwest areas, and approximately the 25-year ARI in the other regions by 2100. While a nationwide consensus is still needed, this work presents a possible methodology for incorporating climate uncertainty in engineering design. A comparison across major metropolitan areas also illustrates regional variability in projected changes relative to NOAA Atlas 14, suggesting a need for varied local-scale responses. © 2022. The Authors.</t>
  </si>
  <si>
    <t>2-s2.0-85130998988"</t>
  </si>
  <si>
    <t>Journal of Asian Security and International Affairs</t>
  </si>
  <si>
    <t>10.1177/23477970221076746</t>
  </si>
  <si>
    <t>https://www.scopus.com/inward/record.uri?eid=2-s2.0-85125783452&amp;doi=10.1177%2f23477970221076746&amp;partnerID=40&amp;md5=6c99f44523706fac2fdb3ff1f0e052df</t>
  </si>
  <si>
    <t>Freshwater resource management is one of the important challenges of the twenty-first century. It becomes more complicated when the river crosses a political boundary. A country can implement water resource management policies to promote more sustainable growth and development within its borders. However, it is not easy to enforce policies in the case of a transboundary river. Mekong River basin is crucial for freshwater resources and other activities like fishing, agricultural production, transportation, diverse biodiversity, hydropower generation, and so on. In addition, the basin supports the livelihoods of more than 60 million people. The massive expansion in the development of hydroelectric plants in the upper reaches of the Mekong has had a significant impact on the basin’s ecology during the previous decade. Hydropower dams are trapping the nutrients carrying sediment load and preventing it from reaching the floodplains. China’s increasing hydropower activities is a significant concern for downstream countries. Its policies are not transparent with lower Mekong basin (LMB) nations. To limit China’s influence, the USA is also attempting to engage with the basin countries. In such a situation, effective sub-regional cooperation for the sustainable development of the Mekong basin is crucial, where all stakeholders’ interests are considered. © 2022 SAGE Publications.</t>
  </si>
  <si>
    <t>2-s2.0-85125783452"</t>
  </si>
  <si>
    <t>Journal of New England Water Environment Association</t>
  </si>
  <si>
    <t>https://www.scopus.com/inward/record.uri?eid=2-s2.0-85218347224&amp;partnerID=40&amp;md5=f193cc2a41c2eec46b0bab8cffae0b09</t>
  </si>
  <si>
    <t>I In October 2012 Hurricane Sandy caused record storm surge flooding in coastal areas of Fairfield, Connecticut, and widespread damage throughout the town. Portions of the town's wastewater treatment plant (WWTP), located directly adjacent to a low-lying coastal salt marsh, were submerged and substantially damaged due to the storm. Consequently, the WWTP's influent did not receive full treatment for more than a week. The town used emergency funding through the U.S. Department of Housing and Urban Development and the Connecticut Department of Housing to design and construct a flood control structure and pump station to protect the WWTP and surrounding critical town facilities from a 100-year flood. This article provides an overview of the project, discusses the design process and challenges, and highlights the risks to wastewater facilities in similar coastal environments. © 2022 New England Water Environment Association. All rights reserved.</t>
  </si>
  <si>
    <t>2-s2.0-85218347224"</t>
  </si>
  <si>
    <t>10.1007/s13753-022-00403-8</t>
  </si>
  <si>
    <t>https://www.scopus.com/inward/record.uri?eid=2-s2.0-85126487760&amp;doi=10.1007%2fs13753-022-00403-8&amp;partnerID=40&amp;md5=a203815db6d3ee27d622102d29ac22eb</t>
  </si>
  <si>
    <t>Estuaries are usually affected by compound flooding triggers that cause diverse territorial damages. While fluvial flood risk assessment frameworks are well established in the literature, integrated management instruments that deal with estuarine flood risk remain incomplete and often lacking. This research presents a methodology to extract relevant information from multiple sources post-event and a database building process that is applied to two contrasting estuaries (the Tagus River estuary in Portugal, and the Shannon River estuary in Ireland) in the Western European coastal area. Overall, a total of 274 documents were analyzed and the information was stored in two databases. Multiple correspondence analysis was applied to extract the most informative and relevant estuarine flood indicators. An integrated estuarine flood risk assessment framework is presented and discussed based on the extracted indicators. The framework is driven by two distinct dimensions (oceanic and hydrographic) and revealed the transversal position of triggers of estuarine floods, reflecting the compounding effects usually present in these areas. The results also highlight two levels of flood risk mostly based on damage typology. © 2022, The Author(s).</t>
  </si>
  <si>
    <t>2-s2.0-85126487760"</t>
  </si>
  <si>
    <t>10.1016/j.enggeo.2022.106540</t>
  </si>
  <si>
    <t>https://www.scopus.com/inward/record.uri?eid=2-s2.0-85123891235&amp;doi=10.1016%2fj.enggeo.2022.106540&amp;partnerID=40&amp;md5=e7ad65a1426f968c14fe4f6be9b41cb7</t>
  </si>
  <si>
    <t>Land subsidence is a global phenomenon that derives from natural processes such as auto-compaction and tectonic activity, as well as anthropogenic activities that are exemplified by withdrawal of water, oil or other fluids from the subsurface. Fluid withdrawal-induced subsidence has become a threat in densely populated zones such as coastal areas, especially in this era of growing climate change impacts when hydrological changes may not enable sufficient recharge of aquifers to replenish withdrawn water. It is important to estimate settlement for design of counter-measures: a challenge in areas of complex sedimentary history and geomedia stratification. Herein is presented the methodology and results of configuration of the Logistics Model using measured settlement data to predict future settlement in the coastal town of Tianjin, P.R. China with validation using continuous strata deformation data obtained through borehole distributed fiber-optic sensing. The cumulative subsidence over the October 2017-December 2019 period reached 56 mm with an estimated potential limit of 96 mm, leaving a balance of 42.0% of the total for attainment in the future. Subsidence of the area is estimated to reach the “stability subsidence stage” by 2050. In the G06 borehole depth range of 3.4–18.4 m which comprises clayey silty sand and silty fine sand, the measured deformation accounts for 58.5% of the total while the residual (future) deformation is 37.6% of that total. The depth ranges of 0–3.4 m (shallow stratum) and 18.4–38.4 m (deep stratum) constitute the “priority layer” because the strata are still in the “accelerated subsidence stage” that is characterized by high subsidence rate estimates for the future. Thus, the projected high subsidence rates of the two layers warrant the design and implementation of proactive countermeasures. © 2022 Elsevier B.V.</t>
  </si>
  <si>
    <t>2-s2.0-85123891235"</t>
  </si>
  <si>
    <t>10.1016/j.jhydrol.2022.127470</t>
  </si>
  <si>
    <t>https://www.scopus.com/inward/record.uri?eid=2-s2.0-85123034105&amp;doi=10.1016%2fj.jhydrol.2022.127470&amp;partnerID=40&amp;md5=8c06acabc07f42f7410de98755895330</t>
  </si>
  <si>
    <t>Empirical approaches such as the Height Above Nearest Drainage method in conjunction with Synthetic Rating Curves (HAND-SRC) have emerged as particularly appealing alternatives to the traditional flood mapping techniques due to their lower complexity and fewer data requirements. However, SRCs use Digital Elevation Model (DEM) derived reach averaged hydraulic properties and assume one dimensional steady state flow condition with normal depth. These implicit model assumptions may introduce errors in flood stage and extent estimates using the HAND-SRC approach. This study investigates the reliability of SRC across continental United States (CONUS) by comparing them to the United States Geological Survey's (USGS) gauge rating curves. Results from this comparison show that the implicit model assumptions used in the SRC-HAND approach add significant error in the SRC derivation. The accuracy of the SRC is found to be related to the stream characteristics, including the bathymetry area, slope of the main channel two-year flow and drainage area. Results also show that SRCs in coastal areas, characterized by low slopes and large drainage areas, have higher error and tend to overpredict the stage height in comparison to the USGS rating curves</t>
  </si>
  <si>
    <t>10.1130/G49468.1</t>
  </si>
  <si>
    <t>https://www.scopus.com/inward/record.uri?eid=2-s2.0-85127878620&amp;doi=10.1130%2fG49468.1&amp;partnerID=40&amp;md5=75d4aeb32555ad2d387e213fa8ebaed9</t>
  </si>
  <si>
    <t>Marine shelves are a ubiquitous feature of modern Earth, developed across a wide range of scales in many sedimentary basins and representing the flooded portion of basin-margin clinoform topsets. Analysis of 80 clinoforms from 10 basins spanning Cenozoic and Mesozoic icehouse, transitional, and greenhouse climate settings indicates that normalized mean greenhouse marine shelf width is 33% of normalized mean total measured clinoform topset length. The equivalent value for transitional settings is 43%, and 72% for icehouse marine shelves. These values demonstrate that greenhouse marine shelves were substantially narrower than icehouse equivalents, suggesting that narrower shelves with persistent shelf-edge deltas were a consequence of lower rates of accommodation change in greenhouse climate intervals that lacked the large ice sheets required to drive high-amplitude high-frequency glacio-eustasy. Because greenhouse climates have been the dominant mode through Earth history, narrow shelves have probably been the dominant form, and conceptual models based on modern relatively wide shelves may be poor predictors of paleogeography, sediment routing, and sediment partitioning throughout much of Earth history © 2022 The Authors. Gold Open Access: This paper is published under the terms of the CC-BY license</t>
  </si>
  <si>
    <t>2-s2.0-85127878620"</t>
  </si>
  <si>
    <t>10.1016/j.envc.2022.100460</t>
  </si>
  <si>
    <t>https://www.scopus.com/inward/record.uri?eid=2-s2.0-85123855212&amp;doi=10.1016%2fj.envc.2022.100460&amp;partnerID=40&amp;md5=06b65af124b225511e57efc438e199a8</t>
  </si>
  <si>
    <t>This study aimed at assessing the livelihoods of rice households in Nghe An province of Vietnam. The study was undertaken through household surveys of 396 households in three districts of this province. In this study, the livelihood vulnerability index (LVI) was used for investigating the level of vulnerability to climate change of rice households in Nghe An province, pairwise correlation matrix and beta regression were used for examining the factors affecting the level of vulnerability climate stresses. Overall, the computed LVI showed that respondents were slightly vulnerable to climate change, indicating that households in the study area still had capacities to cope with the change. The beta regression analysis showed that floods, droughts, cold spells, irrigation, institutional factors, and socio-demographic factors were the major factors significantly affecting rice households’ vulnerability in Nghe An province. The findings suggest the need to strengthen the social network between farmers, agricultural cooperatives, and local governments to enhance farmers’ capacity to cope with climate-induced issues, especially floods and droughts in the coastal area. Findings also imply the need to provide farmers with input subsidies, effective irrigation systems, training, and consultant services to reduce households’ vulnerability. Furthermore, this study also highlights the need to promote official financial services with low interest rates in adopting adaptation strategies for sustainable development of the whole region. © 2022 The Author(s)</t>
  </si>
  <si>
    <t>2-s2.0-85123855212"</t>
  </si>
  <si>
    <t>10.1080/15481603.2022.2134561</t>
  </si>
  <si>
    <t>https://www.scopus.com/inward/record.uri?eid=2-s2.0-85144626030&amp;doi=10.1080%2f15481603.2022.2134561&amp;partnerID=40&amp;md5=204ba4d8079a0cd102a7543104bc19b2</t>
  </si>
  <si>
    <t>Wide-area ground motion monitoring is nowadays achievable via advanced Differential Interferometry SAR (A-DInSAR) techniques which benefit from the availability of large sets of Copernicus Sentinel-1 images. However, it is of primary importance to implement automated solutions aimed at performing integrated analysis of large amounts of interferometric data. To effectively detect high-displacement areas and classify ground motion sources, here we explore the feasibility of a machine learning-based approach. This is achieved by applying the random forest (RF) technique to large-scale deformation maps spanning 2015–2018. Focusing on the northern part of Italy, we train the model to identify landslide, subsidence, and mining-related ground motion with which to construct a balanced training dataset. The presence of noisy signals and other sources of deformation is also tackled within the model construction. The proposed approach relies on the use of explanatory variables extracted from the A-DInSAR datasets and from freely accessible informative layers such as Digital Elevation Model (DEM), land cover maps, and geohazard inventories. In general, the model performance is very promising as we achieved an overall accuracy of 0.97, a true positive rate of 0.94 and an F1-Score of 0.93. The obtained outcomes demonstrate that such transferable and automated approach may constitute an asset for stakeholders in the framework of geohazards risk management. © 2022 The Author(s). Published by Informa UK Limited, trading as Taylor &amp; Francis Group.</t>
  </si>
  <si>
    <t>2-s2.0-85144626030"</t>
  </si>
  <si>
    <t>10.1016/j.crm.2022.100453</t>
  </si>
  <si>
    <t>https://www.scopus.com/inward/record.uri?eid=2-s2.0-85135718629&amp;doi=10.1016%2fj.crm.2022.100453&amp;partnerID=40&amp;md5=609fc05b626352a8bcef75e6d5d7017f</t>
  </si>
  <si>
    <t>Indonesian coastal cities are faced with a double imperative to urbanize quickly and to adapt to climate-related disasters. These disasters include droughts, storms, regular floods, tidal waves, and water pollution. This article investigates how ten small- and medium-sized coastal cities in Indonesia are developing resilience strategies to cope with disaster risks. It approaches their level of exposure, the current impacts of climate change, and the existing, local resilience strategies or response. It identifies key discussion points related to the implementation and the feasibility of these strategies. We argue in this article that the priorities are severalfold, and that local governments are increasingly faced with trade-offs when selecting specific interventions and neighborhoods or districts to prioritize to the detriment of others. The current coping strategies seem insufficient to reduce, respond to, and recover from climate-related impacts as well as address the question of vulnerabilities. The population in the coastal areas and in informal settlements, mainly the poor population, is more directly exposed to these climate-related hazards. The local research highlights the difficulties of multi-stakeholder cooperation, the inevitable trade-offs or difficult choices, and the lack of adequate instruments in climate adaptation. Finally, this article calls for more specific timely research on climate adaptation in cities. © 2022 The Author(s)</t>
  </si>
  <si>
    <t>2-s2.0-85135718629"</t>
  </si>
  <si>
    <t>10.1111/1752-1688.12983</t>
  </si>
  <si>
    <t>https://www.scopus.com/inward/record.uri?eid=2-s2.0-85122674720&amp;doi=10.1111%2f1752-1688.12983&amp;partnerID=40&amp;md5=bc8aa520ec9b177eb1672aeffc3a939d</t>
  </si>
  <si>
    <t>Vulnerability of coastal regions to extreme events motivates an operational coupled inland-coastal modeling strategy focusing on the coastal transition zone (CTZ), an area between the coast and upland river. To tackle this challenge, we propose a top-down framework for investigating the contribution of different processes to the hydrodynamics of CTZs with various geometrical shapes, different physical properties, and under several forcing conditions. We further propose a novel method, called tidal vanishing point (TVP), for delineating the extent of CTZs through the upland. We demonstrate the applicability of our framework over the United States East and Gulf coasts. We categorize CTZs in the region into three classes, namely, without estuary (direct river–coast connection), triangular-, and trapezoidal-shaped estuary. The results show that although semidiurnal tidal constituents are dominant in most cases, diurnal tidal constituents become more prevalent in the river segment as the discharge increases. Also, decreasing the bed roughness value promotes more significant changes in the results than increasing it by the same value. Additionally, the estuary promotes tidal energy attenuation and consequently decreases the reach of tidal signals through the upland. The proposed framework is generic and extensible to any coastal region. © 2022 American Water Resources Association.</t>
  </si>
  <si>
    <t>2-s2.0-85122674720"</t>
  </si>
  <si>
    <t>10.1080/1573062X.2022.2103002</t>
  </si>
  <si>
    <t>https://www.scopus.com/inward/record.uri?eid=2-s2.0-85134622194&amp;doi=10.1080%2f1573062X.2022.2103002&amp;partnerID=40&amp;md5=ac466686f14badae2d24cad9a6714529</t>
  </si>
  <si>
    <t>The flash flood in the town of Mandra, Attica, in 2017 that had a return period equal to approximately T = 150 years was one of the most disastrous floods in Greece. Four years later, flood protection works designed for T = 50 years were built. In this work, we pose the research question ‘How would this disastrous flood have behaved if flood protection works were built?’ To answer this question, we employed the HEC-RAS 1D/2D model, over a detailed DSM, that we calibrated with field measurements to simulate the flood of 2017. We derived the following conclusions: (1) Flooding of the main streets still occurs with 15–25% lower flow velocities and 19–29% lower water depths. (2) The total extent of the inundation areas is reduced by 17%. (3) Works delay flood arrival by approximately 1.5 hour, thus providing the opportunity for an Early Warning System to respond more effectively. © 2022 Informa UK Limited, trading as Taylor &amp; Francis Group.</t>
  </si>
  <si>
    <t>2-s2.0-85134622194"</t>
  </si>
  <si>
    <t>10.1029/2021GL097108</t>
  </si>
  <si>
    <t>https://www.scopus.com/inward/record.uri?eid=2-s2.0-85125810222&amp;doi=10.1029%2f2021GL097108&amp;partnerID=40&amp;md5=943caf704a7c80561ea849fbc73caa7c</t>
  </si>
  <si>
    <t>High surface temperatures are important in Antarctica because of their role in ice melt and sea level rise. We investigate a high temperature event in December 1989 that gave record temperatures in coastal East Antarctica between 60° and 100°E. The high temperatures were associated with a pool of warm lower tropospheric air with December temperature anomalies of &gt;14°C that developed in two stages over the Amery Ice Shelf. First, there was near-record poleward warm advection within an atmospheric river. Second, synoptically driven downslope flow from the interior reached unprecedented December strength over a large area, leading to strong descent and further warming in the coastal region. The coastal easterly winds were unusually deep and strong, and the warm pool was advected westwards, giving a short period of high temperatures at coastal locations, including a surface temperature of 9.3°C at Mawson, the second highest in its 66-year record. © 2022. The Authors.</t>
  </si>
  <si>
    <t>2-s2.0-85125810222"</t>
  </si>
  <si>
    <t>10.1504/ijhst.2022.126435</t>
  </si>
  <si>
    <t>https://www.scopus.com/inward/record.uri?eid=2-s2.0-85142484632&amp;doi=10.1504%2fijhst.2022.126435&amp;partnerID=40&amp;md5=01cad46098ce4f235bff6b435113e82d</t>
  </si>
  <si>
    <t>Flood is disastrous for developing countries, its assessment is important for flood risk management. The present case describes the formation of a hydrodynamic model for flood mitigation studies. The 1D hydrodynamic model is generated for Sabarmati River from Chiloda Bridge to Vasana barrage. The 1D river geometry has been generated using Cartoset-1 DEM of 10 m resolution. The boundary condition for upstream and downstream has been fixed and the model is simulated under the unsteady flow conditions. As an outcome, the discharge, water surface elevation, velocity and flow area have been derived. Afterwards, the simulated flow and stages at the known section are compared with the observed data and show a significant correlation. The present case shows the application of HEC-RAS and HEC-GeoRAS open-source software in the prediction of river stages, hence applicable for flood mitigation and management in developing countries under a scarcity of data, fund and skilled human resources. Copyright © 2022 Inderscience Enterprises Ltd.</t>
  </si>
  <si>
    <t>2-s2.0-85142484632"</t>
  </si>
  <si>
    <t>Urban Affairs Review</t>
  </si>
  <si>
    <t>10.1177/1078087420980526</t>
  </si>
  <si>
    <t>https://www.scopus.com/inward/record.uri?eid=2-s2.0-85097999772&amp;doi=10.1177%2f1078087420980526&amp;partnerID=40&amp;md5=951e120b8745ed5bcf2bc42544300993</t>
  </si>
  <si>
    <t>Climate change and sea level rise present significant risks to coastal governments’ fiscal and service solvency. Current lack of focus on climate change by the U.S. federal and some state governments pressures coastal governments to develop tractable solutions to manage localized risks. This research integrates adaptive governance and capital planning literatures to develop an adaptive risk management framework. Heeding the call for research of coastal county actions to plan for and respond to climate change, we conduct content analysis of planning documents, financial reports, meeting minutes, media reports, and other documentation of all coastal counties in Florida to quantify government efforts to address climate change. Risk management practices are hierarchically categorized by focus area, risk type, and tactic and placed within the adaptive risk management process framework. A well-functioning adaptive risk management process can redefine vague climate change risks into knowable, tractable problems to address. © The Author(s) 2020.</t>
  </si>
  <si>
    <t>2-s2.0-85097999772"</t>
  </si>
  <si>
    <t>10.3390/atmos13020194</t>
  </si>
  <si>
    <t>https://www.scopus.com/inward/record.uri?eid=2-s2.0-85124071552&amp;doi=10.3390%2fatmos13020194&amp;partnerID=40&amp;md5=c96e71040512f4c649cdace15bb5f2c4</t>
  </si>
  <si>
    <t>Extreme weather events have increased significantly in the past decades due to global warming. As a robust forecast and monitoring tool of extreme weather events, regional climate models have been widely applied on local scales. This study presented a simulation of an extreme precipitation event in the Southeastern Coastal Region of China (SEC), where floods, typhoons, and mountain torrents occur frequently using the Weather Research and Forecast model (WRF) driven by GEFS (The Global Ensemble Forecast System) ensemble members (one control run and 20 ensemble members) from 01 UTC 14 June to 18 UTC 16 June 2010. The observations of hourly precipitation records from 68 meteorological stations in the SEC were applied to validate the WRF ensemble simulations with respect to 3-hourly cumulative precipitation (3hP), 6-hourly cumulative precipitation (6hP) and total cumulative precipitation (TCP). The results showed that all WRF 20 ensemble outputs could capture the extreme precipitation events fairly well with the Pearson correlation coefficient ranging from 0.01 to 0.82 and 0.16 to 0.89 for 3 and 6hP, respectively. The normalized root mean square error was comparable between the control run and 20 ensembles for 3hP (0.67 vs. 0.63) and 6hP (0.51 vs. 0.53). In general, WRF underestimated the observations for TCP. The control run (En00) modeled 28.1% less precipitation, while the 20 ensembles modeled 3.9% to 55.5% less precipitation than observations. The ensemble member 12 (En12) showed the best TCP simulation with the smallest bias. The average of 20 ensembles simulated 31.7% less precipitation than observations. The total precipitation was not captured by WRF with a significant bias that ranged from −203.1 to 112.3 mm. The storm centers were generally not captured by WRF in this case study. WRF ensembles underestimated the observation in the central Fujian Province while overestimated in the northern and southern Fujian Province. Although the average of ensembles can reduce the uncertainty to a certain extent, the individual ensemble (e.g., En12) may be more reliable on local scales. © 2022 by the authors. Licensee MDPI, Basel, Switzerland.</t>
  </si>
  <si>
    <t>2-s2.0-85124071552"</t>
  </si>
  <si>
    <t>10.5194/nhess-22-1-2022</t>
  </si>
  <si>
    <t>https://www.scopus.com/inward/record.uri?eid=2-s2.0-85122707188&amp;doi=10.5194%2fnhess-22-1-2022&amp;partnerID=40&amp;md5=0e204d7bae1ced8bea635d2460d8b7c3</t>
  </si>
  <si>
    <t>Many coastlines around the world are protected by dikes with shallow foreshores (e.g. salt marshes and mudflats) that attenuate storm waves and are expected to reduce the likelihood and volume of waves overtopping the dikes behind them. However, most of the studies to date that assessed their effectiveness have excluded the influence of infragravity (IG) waves, which often dominate in shallow water. Here, we propose a modular and adaptable framework to estimate the probability of coastal dike failure by overtopping waves (Pf). The influence of IG waves on overtopping is included using an empirical approach, which is first validated against observations made during two recent storms (2015 and 2017). The framework is then applied to compare the Pf values of the dikes along the Dutch Wadden Sea coast with and without the influence of IG waves. Findings show that including IG waves results in 1.1 to 1.6 times higher Pf values, suggesting that safety is overestimated when they are neglected. This increase is attributed to the influence of the IG waves on the design wave period and, to a lesser extent, the wave height at the dike toe. The spatial variation in this effect, observed for the case considered, highlights its dependence on local conditions-with IG waves showing greater influence at locations with larger offshore waves, such as those behind tidal inlets, and shallower water depths. Finally, the change in Pf due to the IG waves varied significantly depending on the empirical wave overtopping model selected, emphasizing the importance of tools developed specifically for shallow foreshore environments. ©</t>
  </si>
  <si>
    <t>2-s2.0-85122707188"</t>
  </si>
  <si>
    <t>10.12912/27197050/152161</t>
  </si>
  <si>
    <t>https://www.scopus.com/inward/record.uri?eid=2-s2.0-85134828997&amp;doi=10.12912%2f27197050%2f152161&amp;partnerID=40&amp;md5=81715ab15a9e78890e2c647326362726</t>
  </si>
  <si>
    <t>This study attempts to describe the physical characteristics of the Issen basin (western High Atlas of Morocco) in order to highlight the factors affecting water flow and volume that may increase water erosion risk. By using ALOS-DEM of moderate spatial resolution (12.5 m) and GIS platform, it was possible to provide a joint set of morphometric indices of the study area. The obtained results reveal that the relief of the study basin is of mountainous symptom indicating its maturity. The contrasting topography (625 m to 3528 m), with a specific unevenness of the order of 612 m, highlights a strong relief. 94% of the watershed area has a slope of over 3%. The mean elongation of the basin is 1.74, with a fairly long water concentration time of about 7.5 hours and an average drainage density of 0.85 km-1. The tectonics, lithology, and external geodynamics characterstics indicate a strongly contrasted morphology characterizing the Issen basin. Overall, these morphometric characteristics can increase the shallow water flows and sediments mobilized by the Issen Wadi, which can increase the soil loss and flooding risks in the basin. © 2022, Polskie Towarzystwo Inzynierii Ekologicznej (PTIE). All rights reserved.</t>
  </si>
  <si>
    <t>2-s2.0-85134828997"</t>
  </si>
  <si>
    <t>10.5194/nhess-22-665-2022</t>
  </si>
  <si>
    <t>https://www.scopus.com/inward/record.uri?eid=2-s2.0-85134159711&amp;doi=10.5194%2fnhess-22-665-2022&amp;partnerID=40&amp;md5=cd6ca745153dcf80947a59eb77dc4b49</t>
  </si>
  <si>
    <t>The co-occurrence of storm tide and rainstorm during tropical cyclones (TCs) can lead to compound flooding in low-lying coastal regions. The assessment of TC compound flood risk can provide vital insight for research on coastal flooding prevention. This study investigates TC compound flooding by constructing a storm surge model and overland flooding model using Delft3D Flexible Mesh (DFM), illustrating the serious consequences from the perspective of storm tide. Based on the probability distribution of storm tide, this study regards TC1415 as the 100-year event, TC6311 as the 50-year event, TC8616 as the 25-year event, TC8007 as the 10-year event, and TC7109 as the 5-year event. The results indicate that the coastal area is a major floodplain, primarily due to storm tide, with the inundation severity positively correlated with the height of the storm tide. For 100-year TC event, the inundation area with a depth above 1.0 m increases by approximately 2.5 times when compared with 5-year TC event. Comparing singledriven flood (storm tide flooding and rainstorm inundation) and compound flood hazards shows that simply accumulating every single-driven flood hazard to define the compound flood hazard may cause underestimation. © Author(s) 2022.</t>
  </si>
  <si>
    <t>2-s2.0-85134159711"</t>
  </si>
  <si>
    <t>10.3390/rs14040896</t>
  </si>
  <si>
    <t>https://www.scopus.com/inward/record.uri?eid=2-s2.0-85125791456&amp;doi=10.3390%2frs14040896&amp;partnerID=40&amp;md5=99ffaa148f3e5f8d483638d30a4ab97c</t>
  </si>
  <si>
    <t>Coastal areas serve as a vital interface between the land and sea or ocean and host about 40% of the world’s population, providing significant social, economic, and ecological functions. Meanwhile, the sea-level rise caused by climate change, along with coastal erosion and accretion, alters coastal landscapes profoundly, threatening coastal sustainability. For instance, the Mississippi River Delta in Louisiana is one of the most vulnerable coastal areas. It faces severe long-term land loss that has disrupted the regional ecosystem balance during the past few decades. There is an urgent need to understand the land loss mechanism in coastal Louisiana and identify areas prone to land loss in the future. This study modeled the current and predicted the future land loss and identified natural-human variables in the Louisiana Coastal Zone (LCZ) using remote sensing and machine-learning approaches. First, we analyzed the temporal and spatial land loss patterns from 2001 to 2016 in the study area. Second, logistic regression, extreme gradient boosting (XGBoost), and random forest models with 15 human and natural variables were carried out during each five-year and the fifteen-year period to delineate the short- and long-term land loss mechanisms. Finally, we simulated the land-loss probability in 2031 using the optimal model. The results indicate that land loss patterns in different parts change through time at an overall decelerating speed. The oil and gas well density and subsidence rate were the most significant land loss drivers during 2001-2016. The simulation shows that a total area of 180 km2 of land has over a 50% probability of turning to water from 2016 to 2031. This research offers valuable information for decision-makers and local communities to prepare for future land cover changes, reduce potential risks, and efficiently manage the land restoration in coastal Louisiana. © 2022 by the authors. Licensee MDPI, Basel, Switzerland.</t>
  </si>
  <si>
    <t>2-s2.0-85125791456"</t>
  </si>
  <si>
    <t>10.26471/cjees/2022/017/224</t>
  </si>
  <si>
    <t>https://www.scopus.com/inward/record.uri?eid=2-s2.0-85138583674&amp;doi=10.26471%2fcjees%2f2022%2f017%2f224&amp;partnerID=40&amp;md5=a13ff462d03b15463caf0fede1180d1f</t>
  </si>
  <si>
    <t>Torrential floods are one of the most common and destructive natural hazards that cause great material damage and numerous environmental problems. This article is focused on presentation of a new methodological approach to mapping torrential flood risk that could potentially be applied to other torrential rivers in Bosnia and Herzegovina. A hybrid digital terrain model was developed using geodetic surveys of cross-sections of river channels and river valleys and the existing digital terrain model. This was a basis for hydraulic modelling in HEC-RAS software. Hydrological modelling determined flood flows of 100 and 500-year return periods, ranging from 23m³/s to 88m³/s. Hydraulic modelling determined depths, velocities and extent of flooding for different return periods, values of erosion and sediment accumulation, and shear stresses along the Rebrovački Brook. Maximum velocities of 100-year flood flows range up to 11.07m/s and up to 12.41m/s for 500-year flood flow. Depth of 100-year flood flows range up to 3.96m and 4.67m for 500-year flood flow. For 100-year return period the flood extent is 34.53ha, while for 500-year return period it is 46.11ha. Shear stresses of the Rebrovački Brook for 100-year flood flows range to a maximum of 3,482N/m², while they are maximum 5,348N/m² for 500-year return period. Maximum values of erosion and sediment accumulation of 100-year flood flow for the Rebrovački Brook are 0.59m for erosion and 1.50m for sediment accumulation, while for 500-year return period they are 3.50m for erosion and 1.66m for sediment accumulation. During the preparation of the flood hazard maps, a new formula was proposed which determined the flood hazard rating of the Rebrovački Brook for 100 and 500-year floods. The resulting maximum hazard ratings of 68.90 for 100-year flood and 69.28 for 500-year flood are several times higher than the values obtained on alluvial rivers. The flood risk factors for the categories of population and economy in the Rebrovački Brook basin were determined on the basis of the obtained flood hazard rating and corrected weighted factors for the calculation of flood risk. Risk maps for floods of different return periods of the Rebrovački Brook showed that most of the floodplain is currently in a zone of negligible or low risk. However, given the current trend of city expansion and relocation of economic activities from the centre to the suburbs, this is slowly changing to high and extreme risk. The proposed methodology for developing torrential flood hazard and risk map, tested in several other basins in Bosnia and Herzegovina, gave acceptable outcomes according to the validation results, and also provides a good basis for numerous studies and projects in flood risk management, environmental protection, spatial planning, and other areas of human action. © 2022, Carpathian Journal of Earth and Environmental Sciences. All Rights Reserved.</t>
  </si>
  <si>
    <t>2-s2.0-85138583674"</t>
  </si>
  <si>
    <t>10.3390/rs14040987</t>
  </si>
  <si>
    <t>https://www.scopus.com/inward/record.uri?eid=2-s2.0-85124958393&amp;doi=10.3390%2frs14040987&amp;partnerID=40&amp;md5=e237eb7c026342cc2769c380c1104ae9</t>
  </si>
  <si>
    <t>Newly collected morphobathymetric and seismic reflection data from the Valli di Co-macchio coastal lagoons, south of the Po River delta (Northeast Italy), combined with historical, remote sensing, and geodetic data highlight a complex geological evolution during the Holocene, strongly affected by anthropic control. All data allowed us to define the present-day depositional environment of the lagoons and reconstruct their recent (late Pleistocene/Holocene) geo-history. We focused on the effects of the anthropic impacts in modifying the pristine environments created by the Holocene transgression along the Adriatic Sea coast, at the mouth of a major river. They include land reclamation works, artificial damming, channel excavations, fluvial diversions, and a recent (last decades) increase in subsidence rate due to gas and water withdrawals. Despite the development of economic activities, which promoted occupation and exploitation of this area in the last millennia, the post-Glacial evolution of the lagoons shows the important role of inherited morphological features, such as sand ridges and barriers. This complex and relatively well-documented evolution makes the Comacchio lagoons a unique example of deep connections between natural processes and long-term human controls, offering insights into the management policies of these important and delicate environments challenged by global changes. © 2022 by the authors. Licensee MDPI, Basel, Switzerland.</t>
  </si>
  <si>
    <t>2-s2.0-85124958393"</t>
  </si>
  <si>
    <t>10.1016/j.jenvman.2021.114212</t>
  </si>
  <si>
    <t>https://www.scopus.com/inward/record.uri?eid=2-s2.0-85121276974&amp;doi=10.1016%2fj.jenvman.2021.114212&amp;partnerID=40&amp;md5=fe4e2ce15843bc5dcfb0c4f3dc9f67d4</t>
  </si>
  <si>
    <t>The purpose of this study was to understand preferences for different coastal flood protection measures and the factors that influence such preferences, to inform management and policy. The Discrete Choice Experiment applied to Wales residents revealed that there is willingness-to-pay for coastal flood protection, especially through Nature-based Solutions (NbS) including expanding saltmarsh area and increasing saltmarsh with high vegetation. The preference for NbS provides evidence for including specific coastal area targets in financial schemes initially aimed at other benefits from natural habitats, such as habitat creation for biodiversity. This joint action will maximise the benefits from NbS and ensure integrated and concerted efforts across, often disjointed, sectors. There were also high levels of heterogeneity for preferences in different groups of people. For instance, results support that direct flood experience and damage severity can give rise to behavioural intentions that support mitigation and adaptation measures. Findings also highlight how crucial environmental education and direct contact with the object of study are for securing support and buy-in for flood protection measures. This work is original in that it considers the different types of management for a habitat as NbS and the heterogeneity of preferences within a population. Results are significant in providing a basis for future NbS developments and in supporting flood risk policy and management. © 2021 Elsevier Ltd</t>
  </si>
  <si>
    <t>2-s2.0-85121276974"</t>
  </si>
  <si>
    <t>10.1007/s11069-021-05030-y</t>
  </si>
  <si>
    <t>https://www.scopus.com/inward/record.uri?eid=2-s2.0-85115203072&amp;doi=10.1007%2fs11069-021-05030-y&amp;partnerID=40&amp;md5=9156f0c11bcb0e754274c0b50a226301</t>
  </si>
  <si>
    <t>Frequent typhoons significantly affect many coastal cities via intensive rainstorms, tidal surges and strong wind. Natural factors induced by human disturbance such as climate change and sea-level rise come alongside anthropogenic factors such as rapid urbanisation and land use/land cover change, leading to detrimental consequences such as urban floods. This short communication offers various lessons learnt by Ningbo municipality from two strong typhoons that hit the city directly, namely Fitow in 2013 and In-Fa in 2021. On the one hand, usage of “Big Data” and “Social Media” for better “Preparation” and “Prevention” reduced flood impacts noticeably. On the other hand, implementation of “Flood Insurance” sped up the “Recovery” processes. The successful “Preparation”, “Response” and “Recovery” helped Ningbo to enhance its flood resilience, and thus to reduce or avoid substantial impacts of injuries, household damages and the associated economic loss. These three key terms should be heeded in typhoon/flood governance in which various stakeholders are involved, and be incorporated into the city’s long-term strategic development plans to merge with the climate actions towards the 2030s and beyond. This will be vitally important in reducing climatic hazards and improving coastal flood resilience under the future climatic uncertainties in Asian coastal cities. © 2021, The Author(s), under exclusive licence to Springer Nature B.V.</t>
  </si>
  <si>
    <t>2-s2.0-85115203072"</t>
  </si>
  <si>
    <t>10.26848/rbgf.v15.6.p3189-3201</t>
  </si>
  <si>
    <t>https://www.scopus.com/inward/record.uri?eid=2-s2.0-85143646582&amp;doi=10.26848%2frbgf.v15.6.p3189-3201&amp;partnerID=40&amp;md5=d9fcc5667581ffa0e088f135f3cd0f3b</t>
  </si>
  <si>
    <t>This study aims to analyze in an integrated way the application of morphometric indices elaborated in geographic information systems and aspects of environmental management of water resources for the Micro Watershed of Garças River, located in the state of Rondônia. It used images with Digital Elevation Models (DEM) obtained by TOPODATA and Landsat 8 images obtained by INPE (the Brazilian Institute for Space Research). Subsequently, with the aid of the QGIS 2.18.0 software, the watershed was delimited, the NDVI and the slope were calculated and, based on initial data, morphometric characteristics were calculated. The watershed has an area of 1621.101 km², perimeter of 438.661 km and length of 82.04 km, with altimetry ranging from 77.8 to 177.8 meters, and form factor of 0.24, which characterizes a rectangular shape, indicating that the basin has a low propensity for floods. NDVI ranged from 0.187 to 0.49, and it has a coverage area of native vegetation superior to that of anthropized areas. Thus, the watershed morphometric study, together with data on use and occupation, provide essential elements for the planning of actions to be carried out in the watershed. © 2022, Universidade Federal de Pernambuco. All rights reserved.</t>
  </si>
  <si>
    <t>2-s2.0-85143646582"</t>
  </si>
  <si>
    <t>10.1016/j.pce.2021.103075</t>
  </si>
  <si>
    <t>https://www.scopus.com/inward/record.uri?eid=2-s2.0-85120418147&amp;doi=10.1016%2fj.pce.2021.103075&amp;partnerID=40&amp;md5=37cd11e15638d608bbd262a703404fdd</t>
  </si>
  <si>
    <t>Extreme weather event simulation in coastal urban areas is more complex and difficult due to their special geography and climate characteristics, different kinds of land uses, close-packed buildings, and large amounts of flood control works and drainage systems. Urban Flood Simulation Model (UFSM) was integrated in this study to simulate the extreme weather events in the Pudong flood protection area (Shanghai, China). The model is established based on two-dimensional unsteady flow theory and nonstructural and irregular mesh technique. A method based on one-dimensional unsteady flow theory is proposed to deal with small-scale river and road. The calculation of the pumping stations, the water gates is indicated based on the real scheduling discipline. The extreme weather event scenarios (typhoon+rainstorm+ astronomical high tide + upstream flood) are simulated. The results show that the flood risk is higher in the coastal area and the upstream of the Huangpu Rive, and UFSM is a suitable method for simulating the flood inundation of coastal urban areas. © 2021</t>
  </si>
  <si>
    <t>2-s2.0-85120418147"</t>
  </si>
  <si>
    <t>10.1175/JCLI-D-21-0379.1</t>
  </si>
  <si>
    <t>https://www.scopus.com/inward/record.uri?eid=2-s2.0-85123413790&amp;doi=10.1175%2fJCLI-D-21-0379.1&amp;partnerID=40&amp;md5=37f500fd75e16662ad5dbe317fdc01f6</t>
  </si>
  <si>
    <t>Many mountain regions around the world are exposed to enhanced warming when compared to their surroundings, threatening key environmental services provided by mountains. Here we investigate this effect, known as elevation-dependent warming (EDW), in the Andes of Ecuador, using observations and simulations with the Weather Research and Forecasting (WRF) Model. EDW is discernible in observations of mean and maximum temperature in the Andes of Ecuador, but large uncertainties remain due to considerable data gaps in both space and time. WRF simulations of present-day (1986-2005) and future climate (RCP4.5 and RCP8.5 for 2041-60) reveal a very distinct EDW signal, with different rates of warming on the eastern and western slopes. This EDWeffect is the combined result of multiple feedback mechanisms that operate on different spatial scales. Enhanced upper-tropospheric warming projects onto surface temperature on both sides of the Andes. In addition, changes in the zonal mean midtropospheric circulation lead to enhanced subsidence and warming over the western slopes at high elevation. The increased subsidence also induces drying, reduces cloudiness, and results in enhanced net surface radiation receipts, further contributing to stronger warming. Finally, the highest elevations are also affected by the snowalbedo feedback, due to significant reductions in snow cover by the middle of the twenty-first century. While these feedbacks are more pronounced in the high-emission scenario RCP8.5, our results indicate that high elevations in Ecuador will continue to warm at enhanced rates in the twenty-first century, regardless of emission scenario. © 2022 American Meteorological Society. All rights reserved.</t>
  </si>
  <si>
    <t>2-s2.0-85123413790"</t>
  </si>
  <si>
    <t>10.4102/JAMBA.V14I1.1322</t>
  </si>
  <si>
    <t>https://www.scopus.com/inward/record.uri?eid=2-s2.0-85147696234&amp;doi=10.4102%2fJAMBA.V14I1.1322&amp;partnerID=40&amp;md5=436d7eb291682c605f3c95dee3dcd9ca</t>
  </si>
  <si>
    <t>On 12–15 July 2021, Western Germany was hit by devastating floods that resulted in the deaths of an estimated 180 people (Fekete &amp; Sandholz 2021</t>
  </si>
  <si>
    <t>10.3390/cli10020020</t>
  </si>
  <si>
    <t>https://www.scopus.com/inward/record.uri?eid=2-s2.0-85124387387&amp;doi=10.3390%2fcli10020020&amp;partnerID=40&amp;md5=0c906777481550fba89f22f9cf04a243</t>
  </si>
  <si>
    <t>Bangladesh, a flat densely populated country in a dynamic delta, is vulnerable to recurring flood disasters. Various types of structural and non-structural flood risk reduction interventions have been implemented over the years to safeguard the people and assets. In that context, the present study assesses the community perception about the implications of such diverse interventions on community resilience, in three reasonably proximate settlements, with varying characteristics: the Type 1 settlement has a flood protection embankment; the Type 2 settlement has no flood risk reduction intervention, and the Type 3 settlement has non-structural interventions. Through a mixed-method assessment in selected settlements, the study results reveal both positive and negative implications of these interventions on local communities. While the embankment has contributed towards enhancing infrastructural resilience in the Type 1 settlement, it still reportedly does not provide complete flood safety. On the other hand, the non-structural measures are reported to have increased community competencies in the Type 3 settlement, but the long-term sustainability of these traits is uncertain. Furthermore, the study results uncover “connectedness among local communities” as an inherent characteristic in all three locations, whereas flood risk reduction interventions are stated to be partly associated with social tension and the marginalization of certain socio-economic groups.</t>
  </si>
  <si>
    <t>10.1111/gcb.15974</t>
  </si>
  <si>
    <t>https://www.scopus.com/inward/record.uri?eid=2-s2.0-85119298575&amp;doi=10.1111%2fgcb.15974&amp;partnerID=40&amp;md5=6bcf975e185d6ff5aec9cc94e73eeb05</t>
  </si>
  <si>
    <t>Reliable partitioning of micrometeorologically measured evapotranspiration (ET) into evaporation (E) and transpiration (T) would greatly enhance our understanding of the water cycle and its response to climate change related shifts in local-to-regional climate conditions and rising global levels of vapor pressure deficit (VPD). While some methods on ET partitioning have been developed, their underlying assumptions make them difficult to apply more generally, especially in sites with large contributions of E. Here, we report a novel ET partitioning method using artificial neural networks (ANNs) in combination with a range of environmental input variables to predict daytime E from nighttime ET measurements. The study uses eddy covariance data from four restored wetlands in the Sacramento-San Joaquin Delta, California, USA, as well as leaf-level T data for validation. The four wetlands vary in their vegetation make-up and structure, representing a range of ET conditions. The ANNs were built with increasing complexity by adding the input variable that resulted in the next highest average value of model testing R2 across all sites. The order of variable inclusion (and importance) was: VPD &gt; gap-filled sensible heat flux (H_gf) &gt; air temperature (Tair) &gt; friction velocity (u∗) &gt; other variables. The model using VPD, H_gf, Tair, and u∗ showed the best performance during validation with independent data and had a mean testing R2 value of 0.853 (averaged across all sites, range from 0.728 to 0.910). In comparison to other methods, our ANN method generated T/ET partitioning results which were more consistent with CO2 exchange data especially for more heterogeneous sites with large E contributions. Our method improves the understanding of T/ET partitioning. While it may be particularly suited to flooded ecosystems, it can also improve T/ET partitioning in other systems, increasing our knowledge of the global water cycle and ecosystem functioning. © 2021 John Wiley &amp; Sons Ltd.</t>
  </si>
  <si>
    <t>2-s2.0-85119298575"</t>
  </si>
  <si>
    <t>10.1016/j.catena.2021.105809</t>
  </si>
  <si>
    <t>https://www.scopus.com/inward/record.uri?eid=2-s2.0-85117724107&amp;doi=10.1016%2fj.catena.2021.105809&amp;partnerID=40&amp;md5=e1ea9d50967874d6654a417df64a6450</t>
  </si>
  <si>
    <t>Sea level rise–induced salinization is projected to influence the decomposition of soil carbon (C) in tidal wetlands. Despite evidence showing that microbial metabolism can determine the fate of soil C decomposition, the response of microbial metabolism to salinization in tidal wetlands remains largely unknown. Microbial metabolism is impacted by the microbial metabolic limitation and carbon use efficiency (CUE), which can provide mechanistic insights into soil C decomposition. Here, we measured microbial metabolic limitation, microbial CUE, and extracellular enzyme activities along an estuarine salinity gradient ranging from freshwater (0.1 ± 0.1 mg g−1) to oligohaline (2.1 ± 0.5 mg g−1) in a tidal wetland. Overall, microorganisms were limited by phosphorus (P) in the tidal wetlands, where salinization increased microbial P limitation by 34%. The enhanced microbial P limitation was attributed to increases in soil C:P and belowground biomass, as well as decreases in root C:P with increasing salinity. Microbial CUE decreased from 0.38 to 0.33 as salinity increased, while microbial P limitation was negatively correlated with microbial CUE, representing the trade-off between the two. Furthermore, microbial P limitation was positively associated with C-, nitrogen (N)-, and P-acquiring extracellular enzyme activities, while all these enzyme activities were negatively correlated with microbial CUE. These results illustrate that to balance microbial P limitation with salinization, microorganisms transfer more energy from the microbial CUE to extracellular enzyme production, and this was the mechanism underlying the trade-off. Microorganisms were also limited by C in the tidal wetlands. However, as the increasing belowground biomass alleviated microbial C limitation with salinization, no relationship was observed between microbial C limitation and CUE. Future C and nutrient models aimed to simulate tidal wetland ecosystem responses to salinization will benefit from the inclusion of trade-off between microbial CUE and microbial P limitation for more accurate prediction. © 2021 Elsevier B.V.</t>
  </si>
  <si>
    <t>2-s2.0-85117724107"</t>
  </si>
  <si>
    <t>10.46717/igj.55.2F.14ms-2022-12-29</t>
  </si>
  <si>
    <t>https://www.scopus.com/inward/record.uri?eid=2-s2.0-85145467681&amp;doi=10.46717%2figj.55.2F.14ms-2022-12-29&amp;partnerID=40&amp;md5=8c1b19c8a598a89e992ecf94f08e1cf5</t>
  </si>
  <si>
    <t>The detailed geomorphological study and mapping were done for Erbil Masterplan layout 2030, in order to be useful in planning urban development and various land uses to be in harmony with the instant expansion of Erbil city. The geomorphological map was constructed a scale1:320000 according to the basic geomorphic processes</t>
  </si>
  <si>
    <t>Journal of Geography (Chigaku Zasshi)</t>
  </si>
  <si>
    <t>10.5026/jgeography.131.317</t>
  </si>
  <si>
    <t>https://www.scopus.com/inward/record.uri?eid=2-s2.0-85134511069&amp;doi=10.5026%2fjgeography.131.317&amp;partnerID=40&amp;md5=49f4746f2e8e1f97216d79c859554447</t>
  </si>
  <si>
    <t>Ata welded ignimbrite (110 ka) lies beneath Ito non-welded ignimbrite and Osumi pumice fall deposit (30 ka) in the Kimotsuki Plain, southern Kyushu. Previous geomorphological studies of the Kimotsuki Plain focused on landform development after deposition of Ito ignimbrite. Landform development of Kimotsuki Plain since the last interglacial, especially until just before deposition of the Osumi pumice fall, is reconstructed using geological data collected from outcrop observations and borehole records. The basal-surface of the Osumi pumice fall deposit obtained shows that Ata welded ignimbrite had been dissected by the Kimotsuki River and its tributaries in response to the last glacial sea-level drop before the Osumi pumice fall was deposited. Longitudinal profiles along the Kushira River in 110 ka and 30 ka indicate recession of the Tanida waterfall, which formed at the edge of the Ata welded ignimbrite plateau. These profile changes imply that the Tanida waterfall retreated 2.4-6.0 km upstream between 110 ka and 30 ka. The Kushira formation, Marine oxygen Isotope Stages(MIS) 5e marine deposits under Ata welded ignimbrite, was found below the present sea-level at multiple locations in the Kimotsuki Plain. This vertical distribution of the Kushira formation indicates that the Kimotsuki Plain has been in a tectonically stable or subsidence area since the MIS 5e, in contrast with the Onejime and Natsui areas, which have been tectonically uplifting. The depositions of the two ignimbrites had significant impacts on filling the Paleo-Shibushi Bay(Sea) and the development of the Kimotsuki Plain under sea-level lowering during the last glacial period. The top-surface of basement rocks is more than -120 m below sea level at the floors of paleo valleys, even though it is adjacent to mountains composed of the basement. Further investigation of lower alluvium and its basal-surface is required for an understanding of valley incision and delta evolution of the Kimotsuki Lowland after deposition of the Ito pyroclastic flow. © 2022. All Rights Reserved.</t>
  </si>
  <si>
    <t>2-s2.0-85134511069"</t>
  </si>
  <si>
    <t>10.1002/gj.4365</t>
  </si>
  <si>
    <t>https://www.scopus.com/inward/record.uri?eid=2-s2.0-85121686596&amp;doi=10.1002%2fgj.4365&amp;partnerID=40&amp;md5=ae329512f551792824176ed71ec173a4</t>
  </si>
  <si>
    <t>Floods are known to be one of the greatest disasters in documented human history. In the Indian subcontinent, the Ganga-Brahmaputra plains annually accommodate monsoon-driven flooding of the Brahmaputra River and its tributaries, causing widespread flood inundation and geomorphic changes. In the present study, we present flood inundation maps of Assam and suggest a possible geomorphic explanation for the frequent flood inundation areas. We have used a novel SAR (Synthetic Aperture Radar)-based approach for a comprehensive flood inundation mapping of Assam. The Google Earth Engine (GEE), a cloud-based data computing and analysis platform, is used to access and analyse the Sentinel SAR 1 GRD datasets for 30 events from 2018 to 2020. The Sentinel-2 imagery, WWF Hydrosheds, 90 m DEM (SRTM), and JRC Global Surface Water Dataset are also used to conduct the flood inundation mapping for 80,236 (1 × 1 km) grids in Assam and morphometric analysis in the lower Brahmaputra River Basin. We also carried out detailed mapping and geomorphic analysis on channel and sediment bar area and channel width in 100 (6.25 km wide) grids on the Brahmaputra River in Assam. Our results suggest that high flood inundation areas are well scattered in Assam, and Lakhimpur, Nagaon, Sibsagar, Sonitpur, and Barpeta are the most affected districts from 2018 to 2020. We also observe that the geomorphology can act as primary control over the frequent flood inundation in highlighted areas in Assam. On a basin scale, we recognize a low correlation between the stream power index, topographic wetness index, plan curvature, slope, and flood inundated areas, mainly due to the coarse resolution of the digital elevation model. In a braided river system like the Brahmaputra River, the channel and bar area and channel width are well correlated during flood events. Finally, the channel sinuosity also controls channel and bar area and width during regular and influential flood events. © 2021 John Wiley &amp; Sons Ltd.</t>
  </si>
  <si>
    <t>2-s2.0-85121686596"</t>
  </si>
  <si>
    <t>10.1111/1752-1688.12952</t>
  </si>
  <si>
    <t>https://www.scopus.com/inward/record.uri?eid=2-s2.0-85110056182&amp;doi=10.1111%2f1752-1688.12952&amp;partnerID=40&amp;md5=b6d426d20065cf253e16287d3364df46</t>
  </si>
  <si>
    <t>Hydrodynamic models play a key role in simulating total water level (TWL), that is, a combination of river flow, tide, surge, wind and wave-induced water level, and representing flood inundation dynamics in coastal areas. An appropriate selection of two-dimensional (2D) models that integrate riverine and estuarine interactions with ocean dynamics is crucial to generate accurate TWL predictions and assist stakeholders and federal agencies in decision making and flood emergency responses. In this study, we compare the performance of two widely used hydrodynamic models (e.g., 2D HEC-RAS and Delft3D-Flexible Mesh [FM]) with respect to their ability of predicting TWL in Delaware Bay, United States. Based on a previously established model configuration, we simulate Hurricane Sandy and Isabel that affected the Bay and led to considerable damages and economic losses. We then evaluate model capabilities with tidal analysis, compare observed vs. simulated TWL and analyze spatiotemporal variations of TWL through scenario-based simulations. Our results suggest that atmospheric forcing input in Delft3D-FM significantly improves TWL predictions as compared to those of 2D HEC-RAS. Furthermore, model simulations with Delft3D-FM can be faster than 2D HEC-RAS by a factor of 6–10. Despite these advantages, 2D HEC-RAS (version 5.07) is a noncommercial software easier to implement and can be a simpler alternative for modeling extreme events when atmospheric forcing is not relevant in the model domain. © 2022 American Water Resources Association.</t>
  </si>
  <si>
    <t>2-s2.0-85110056182"</t>
  </si>
  <si>
    <t>Jurnal Ekonomi Malaysia</t>
  </si>
  <si>
    <t>10.17576/JEM-2022-5601-06</t>
  </si>
  <si>
    <t>https://www.scopus.com/inward/record.uri?eid=2-s2.0-85134406191&amp;doi=10.17576%2fJEM-2022-5601-06&amp;partnerID=40&amp;md5=1766b875c5b65b5b182ab20d49869e9a</t>
  </si>
  <si>
    <t>This paper provides an up-to-date and comprehensive systematic literature review (SLR) of the existing research on long-term electricity decarbonization which is dominated by the global scenarios of Integrated Assessment Models. The aim is to synthesize and extend current understanding on the existing supply-side solutions and demand-side technological options despite the broader range of co-benefits and the latter’s lesser risk. We achieve this by adopting a two-step systematic literature review approach to analyse and review SLR datasets consisting of 103 empirical studies conducted in Asia, Europe, and North America countries in economics and environmental economics from 1994 to 2018 and published in Web of Science and Scopus indexed journals. We find that demand-side policy studies are predominantly carried out in Asia, Europe, and North America. The US contributes more than one-quarter of the studies reviewed, most of which were published after US withdrawal from the Paris Agreement. Three types of Demand-Side Management (DSM) are identified namely energy efficiency, energy conservation, and demand response policies. The corresponding policy instruments can be categorised into six basic categories. We further found that these instruments are not always implemented for emissions reduction. In addition, energy-saving is found to be the reason for DSM implementation. The findings suggest that demand-side solutions through policies need to be fully exploited to achieve carbon emission targets from the electricity sector or energy sector in general. © 2022 Penerbit Universiti Kebangsaan Malaysia. All rights reserved.</t>
  </si>
  <si>
    <t>2-s2.0-85134406191"</t>
  </si>
  <si>
    <t>10.3389/frwa.2021.801299</t>
  </si>
  <si>
    <t>https://www.scopus.com/inward/record.uri?eid=2-s2.0-85125199567&amp;doi=10.3389%2ffrwa.2021.801299&amp;partnerID=40&amp;md5=144281477f90f5d09ad7b22b93f5d954</t>
  </si>
  <si>
    <t>The quaternary hydrogeologic system of the South Bengal Basin in India with low natural topographic gradients, such as deltas and floodplains, is complex. This research elaborates the hydrogeologic system in and around the twin megacities of Kolkata and Howrah located on this complex delta of the South Bengal Basin and the rapid urbanization pattern during the past 30 years to understand the past, present (2016), and future (2030) behavior of the aquifer system and the advective flow paths of contaminants (wastewater, arsenic, and heavy metals) through hydrogeological simulations and field data. The groundwater model has been calibrated and validated by using the observed and simulated head. The root mean square error of the model is 1.07 m. The built-up area has increased from 142 to 243 km2 between 1985 and 2016, resulting in over-pumping of groundwater. About 93% of the available groundwater is abstracted, and as a result, the piezometric surface is declining at a rate of 13–37 cm/year and the groundwater trough in Kolkata is expanding at the rate of 8.60 km2/year. At places, the confined aquifer is behaving as an unconfined one, increasing the threat of land subsidence. The water quality is deteriorating in parts of Kolkata city where the groundwater is contaminated with wastewater, arsenic, and heavy metals, particularly in boroughs VIII and X. Contaminants from industrial sites may reach the strainer depth (100–120 m bgl) of pumping wells within a period of 20–25 years. The maximum simulated drawdown with respect to the predevelopment head is 22 m. If over-pumping continues, then simulation indicates that the head may drop by another 1.94–2.20 m by 2030. All this may endanger the health and well-being of millions of people living in the area in the near future. Copyright © 2022 Sikdar, Banerjee and Chakraborty.</t>
  </si>
  <si>
    <t>2-s2.0-85125199567"</t>
  </si>
  <si>
    <t>10.3389/fclim.2022.719109</t>
  </si>
  <si>
    <t>https://www.scopus.com/inward/record.uri?eid=2-s2.0-85123781259&amp;doi=10.3389%2ffclim.2022.719109&amp;partnerID=40&amp;md5=661817950367f03be1c92200dcf5bd38</t>
  </si>
  <si>
    <t>Rising sea levels, extreme weather events, and unsustainable coastal zone development pose serious threats to growing coastal communities. Human actions, such as shoreline development and hardening in at-risk areas, can damage nearshore ecosystems and exacerbate existing risks to coastal populations. A comprehensive understanding of shoreline changes in response to development, storm events, and sea-level rise is needed to effectively mitigate coastal hazards and promote adaptive and resilient coastlines. To determine whether human modification of shorelines can be accurately quantified and assessed over time, we evaluated past and present shoreline mapping and classification efforts in the United States. We coupled a review of available US shoreline data with a survey of coastal planners and managers involved with US state shoreline mapping programs. Using these data, we estimated the current extent of shoreline modification along the Atlantic, Pacific, and Gulf US coasts. However, we found that quantifying shoreline modifications over time nationally—or even within a single state—is currently infeasible due to changes in shoreline resolution associated with advances in shoreline mapping methodologies and a lack of regularly updated shoreline maps. State-level analysis from surveys revealed that 20 US coastal states have undertaken shoreline mapping projects, with sixteen tracking shoreline type and/or condition. However, of the 36 shoreline maps and databases identified, only half (18) were updated regularly or had planned updates. Lacking shoreline change data, coastal communities risk accepting increasingly degraded coastal zones and making poor management decisions based on shifted baselines. Thus, we recommend increasing the scale and funding for several ongoing innovative shoreline mapping efforts. These efforts are particularly focused on improving and standardizing shoreline mapping techniques, as well as establishing accurate baselines for shoreline conditions in the United States. Without accurate baselines and regular, consistent updates to shoreline data, managers cannot manage shorelines in a way that effectively mitigates coastal hazards while also promoting socio-ecological resilience in a changing climate. Copyright © 2022 Correll-Brown, Wellman, Eulie, Scyphers, Smith, Polk and Gittman.</t>
  </si>
  <si>
    <t>2-s2.0-85123781259"</t>
  </si>
  <si>
    <t>10.3390/rs14030440</t>
  </si>
  <si>
    <t>https://www.scopus.com/inward/record.uri?eid=2-s2.0-85123014783&amp;doi=10.3390%2frs14030440&amp;partnerID=40&amp;md5=b6de2b7811b00eae5b4b4d61f1c93b89</t>
  </si>
  <si>
    <t>In this article, the local spatial correlation of multiple remote sensing datasets, such as those from Sentinel-1, Sentinel-2, and digital surface models (DSMs), are linked to machine learning (ML) regression algorithms for flash floodwater depth retrieval. Edge detection filters are applied to remote sensing images to extract features that are used as independent features by ML algorithms to estimate flood depths. Data of dependent variables were obtained from the Hydrologic Engineering Center’s River Analysis System (HEC-RAS 2D) simulation model, as applied to the New Cairo, Egypt, post-flash flood event from 24–26 April 2018. Gradient boosting regression (GBR), random forest regression (RFR), linear regression (LR), extreme gradient boosting regression (XGBR), multilayer perceptron neural network regression (MLPR), k-nearest neighbors regression (KNR), and support vector regression (SVR) were used to estimate floodwater depths</t>
  </si>
  <si>
    <t>10.1007/s11069-021-05007-x</t>
  </si>
  <si>
    <t>https://www.scopus.com/inward/record.uri?eid=2-s2.0-85114173058&amp;doi=10.1007%2fs11069-021-05007-x&amp;partnerID=40&amp;md5=e851b3f4cd2c293966810f2c3e90885c</t>
  </si>
  <si>
    <t>Meteotsunamis pose a unique threat to coastal communities and often lead to damage of coastal infrastructure, deluge of nearby property, and loss of life and injury. The Great Lakes are a known hot-spot of meteotsunami activity and serve as an important region for investigation of essential hydrodynamic processes and model forecast requirements in meteotsunami-induced coastal flooding. For this work, we developed an advanced hydrodynamic model and evaluate key model attributes and dynamic processes, including: (1) coastal model grid resolution and wetting and drying process in low-lying zones, (2) coastal infrastructure, including breakwaters and associated submerging and overtopping processes, (3) annual/seasonal (ambient) water level change, and (4) wind wave-current coupling. Numerical experiments are designed to evaluate the importance of these attributes to meteotsunami modeling, including a “representative storm” scenario in the context of regional climate change in which a meteotsunami wave is generated under high ambient lake-level conditions with a preferable wind direction and speed for wind-wave growth. Results demonstrate that accurate representation of coastal topography and fully resolving associated hydrodynamic processes are critical to forecasting the realistic hazards associated with meteotsunami events. As most of existing coastal forecast systems generally do not resolve many of these features due to insufficient model grid resolution or lack of essential model attributes, this work shows that calibrating or assessing existing forecast models against coastal water level gauges alone may result in underestimating the meteotsunami hazard, particularly when gauging stations are sparse and located behind harbor breakwaters or inside estuaries, which represent dampened or otherwise unrepresentative pictures of meteotsunami intensity. This work is the first hydrodynamic modeling of meteotsunami-induced coastal flooding for the Great Lakes, and serves as a template to guide where resources may be most beneficial in forecast system development and implementation. © 2021, The Author(s).</t>
  </si>
  <si>
    <t>2-s2.0-85114173058"</t>
  </si>
  <si>
    <t>10.1016/j.jrmge.2021.11.001</t>
  </si>
  <si>
    <t>https://www.scopus.com/inward/record.uri?eid=2-s2.0-85121815585&amp;doi=10.1016%2fj.jrmge.2021.11.001&amp;partnerID=40&amp;md5=05596014f9fa643fe8c9814348894f37</t>
  </si>
  <si>
    <t>Surface subsidence induced by underground mining is a typical serious geohazard. Numerical approaches such as the discrete element method (DEM) and finite difference method (FDM) have been widely used to model and analyze mining-induced surface subsidence. However, the DEM is typically computationally expensive, and is not capable of analyzing large-scale problems, while the mesh distortion may occur in the FDM modeling of largely deformed surface subsidence. To address the above problems, this paper presents a geometrically and locally adaptive remeshing method for the FDM modeling of largely deformed surface subsidence induced by underground mining. The essential ideas behind the proposed method are as follows: (i) Geometrical features of elements (i.e. the mesh quality), rather than the calculation errors, are employed as the indicator for determining whether to conduct the remeshing</t>
  </si>
  <si>
    <t>10.5194/tc-16-197-2022</t>
  </si>
  <si>
    <t>https://www.scopus.com/inward/record.uri?eid=2-s2.0-85123795099&amp;doi=10.5194%2ftc-16-197-2022&amp;partnerID=40&amp;md5=45e1d6f06fecb6f0e62c8e16015b77d6</t>
  </si>
  <si>
    <t>Accurate estimates of regional ice thickness, which are generally produced by ice-thickness inversion models, are crucial for assessments of available freshwater resources and sea level rise. A digital elevation model (DEM) derived from surface topography of glaciers is a primary data source for such models. However, the scarce in situ measurements of glacier surface elevation limit the evaluation of DEM uncertainty. Hence the influence of DEM uncertainty on ice-thickness modeling remains unclear over the glacierized area of the Tibetan Plateau (TP). Here, we examine the performance of six widely used and mainly global-scale DEMs: AW3D30 (ALOS - Advanced Land Observing Satellite - World 3D - 30m</t>
  </si>
  <si>
    <t>Western Indian Ocean Journal of Marine Science</t>
  </si>
  <si>
    <t>10.4314/wiojms.si2022.1.4</t>
  </si>
  <si>
    <t>https://www.scopus.com/inward/record.uri?eid=2-s2.0-85159659526&amp;doi=10.4314%2fwiojms.si2022.1.4&amp;partnerID=40&amp;md5=29b6c3a1709e662720cc618eabd00ba1</t>
  </si>
  <si>
    <t>Coastal communities in the Tana estuary, Kenya, rely on a variety of economic sectors linked to ecosystem ser-vices, including small-scale fisheries (SSF), commercial prawn fisheries, and tourism. Despite its environmental and social importance, the estuary has been negatively impacted by overexploitation, pollution, and climate change. As a result, developing integrated management approaches for this area is a priority. The integrated approach to ecosystem services (ES) evaluation has widespread support because it emphasizes people’s views of ecological value to human well-being and aims to provide a solution to the rapid depletion of our planet’s natural resources. This study applied mixed methods to understand the perspectives of the communities on ES. It was hypothesized that perceptions of ES differ across communities with different socioeconomic characteristics, and this hypothesis was tested in two communities (Ozi and Kipini) that share the same ecosystem but have different socioeconomic characteristics. Kipini is an area near the ocean, whereas Ozi is a rural area further upstream. Differences were noted in the valuation of cultural services, while there were similarities in provisioning and regulating services. Mangroves, other trees, and river systems were considered to have higher ES provision than the ocean, floodplains, and settlement areas. The Ozi community ranked the ocean higher than the Kipini community, even though Ozi was located further upstream from the ocean</t>
  </si>
  <si>
    <t>Modeling the potential for tsunami inundation at tourist sites is required as a disaster mitigation effort. Spatial modeling through the application of Geographical Information System (GIS) is a method that can be used to assess the potential for inundation and the impact of a tsunami. This study aims to obtain a spatial description of the potential distribution of tsunami inundation in the tourist area of Panjang beach, Bengkulu City. Appropriate input parameters were derived from Digital Elevation Model (DEM) data, and satellite remote sensing and field data were analyzed through GIS. The slope parameter is derived from DEMNAS data belonging to the Geospatial Information Agency (BIG), land use is generated from open street map (OSM), and coastline distance created from vector map of the study area. The simulation of the tsunami height on the coastline using a scenario of 10 meters causes the land in the Panjang beach area to be inundated with an area of 1.4 – 3.5 km2 with a range of 415 – 765 meters from the coastline. The map of potential tsunami inundation resulting from spatial modeling provides the same inundation pattern as the tsunami inundation map issued by BNPB. The extent and range of the tsunami inundation are directly proportional to the height of the tsunami on the coastline, the higher the tsunami on the coastline, the wider the tsunami inundation, and the farther the tsunami range on the land. The results of this study can be used as initial information for the management of coastal areas as tourist sites related to disaster mitigation. © 2022, Tsunami Society. All rights reserved.</t>
  </si>
  <si>
    <t>2-s2.0-85136600535"</t>
  </si>
  <si>
    <t>10.1029/2021GL093656</t>
  </si>
  <si>
    <t>https://www.scopus.com/inward/record.uri?eid=2-s2.0-85123797715&amp;doi=10.1029%2f2021GL093656&amp;partnerID=40&amp;md5=38a19b75fe84e433808981cd60537aa5</t>
  </si>
  <si>
    <t>Understanding how deltas respond to changing sea level is crucial as deltas provide important ecosystems, are inhabited by ∼500 million people, and are nexuses of food, energy and economic activity. The response of delta distributary channels to sea-level rise depends on the geomorphic controls on delta morphology and their scaling relationships. Our data from 105 deltas globally show strong scaling between the upstream distances to slope breaks and to avulsion nodes, and confirm the previously known scaling between backwater and avulsion lengths. The break in slope is proposed to be the principal control on delta development, along with other proposed secondary controls. We identify and discuss the implications of this slope break-avulsion length scaling, leading to a conceptual model of delta morphology and sedimentology. This model suggests how deltas may respond to future sea level rise and guides interpretation of deltaic deposits in the rock record. © 2021. American Geophysical Union. All Rights Reserved.</t>
  </si>
  <si>
    <t>2-s2.0-85123797715"</t>
  </si>
  <si>
    <t>10.3389/fenvs.2021.690011</t>
  </si>
  <si>
    <t>https://www.scopus.com/inward/record.uri?eid=2-s2.0-85125092831&amp;doi=10.3389%2ffenvs.2021.690011&amp;partnerID=40&amp;md5=24f39aeee17a43430d3ed85353882680</t>
  </si>
  <si>
    <t>Global change processes such as sea level rise and the increasing frequency of severe storms threaten many coastlines around the world and trigger the need for interventions to make these often densely-populated areas safer. Mangroves could be implemented in Nature-Based Flood Defense, provided that we know how to conserve and restore these ecosystems at those locations where they are most needed. In this study, we investigate how best to restore mangroves along an aquaculture coast that is subject to land-subsidence, comparing two common mangrove restoration methods: 1) mangrove restoration by planting and 2) Ecological Mangrove Restoration (EMR)</t>
  </si>
  <si>
    <t>10.1029/2021EF002483</t>
  </si>
  <si>
    <t>https://www.scopus.com/inward/record.uri?eid=2-s2.0-85125150923&amp;doi=10.1029%2f2021EF002483&amp;partnerID=40&amp;md5=3630af18c20985236d5065dd7fc7369c</t>
  </si>
  <si>
    <t>Using the new Australian National Collection of Homogenized Observations of Relative Sea Level (ANCHORS) dataset, we assess trends in Australian relative sea levels over recent decades and subsequent coastal flooding impacts. We estimate a gauge average rate of mean sea level rise over the 1966–2019 period of 1.94 mm/yr with local variations around the Australian continent. Simultaneously, the frequency of coastal flooding impacts has increased at many major Australian cities including Sydney, Melbourne, Brisbane, Adelaide, and Perth. We find that this increase is not because storm surges are getting larger or more frequent, but because tides are reaching higher levels as they rise and fall about higher mean sea levels. This demonstrates that a major shift in the processes that lead to coastal flooding is underway, arising directly from global mean sea level rise, and is consistent with findings from the United States. This suggests that new perspectives on extreme sea levels are required, so research can be more impact-based and meet the needs of policymakers planning for these impacts. Considering extreme sea levels more broadly, we show that the seasonality of extreme sea levels is closely linked to the monthly variability in the heights of the highest tides. This framework provides a holistic assessment of coastal flood risk in Australia, based on established impact-based methodologies. © 2022 The Authors.</t>
  </si>
  <si>
    <t>2-s2.0-85125150923"</t>
  </si>
  <si>
    <t>10.5194/gh-77-21-2022</t>
  </si>
  <si>
    <t>https://www.scopus.com/inward/record.uri?eid=2-s2.0-85122976046&amp;doi=10.5194%2fgh-77-21-2022&amp;partnerID=40&amp;md5=2164f66c105a887fe2cc8b6fc61ad092</t>
  </si>
  <si>
    <t>As a contribution to the knowledge of historical rockslides, this research focuses on the historical reconstruction, field mapping, and simulation of the expansion, through numerical modelling, of the 30 September 1513 Monte Crenone rock avalanche. Earth observation in 2-D and 3-D, as well as direct in situ field mapping, allowed the detachment zone and the perimeter and volume of the accumulation to be determined. Thanks to the reconstruction of the post-event digital elevation model based on historical topographic maps and the numerical modelling with the RAMMS::DEBRISFLOW software, the dynamics and runout of the rock avalanche were calibrated and reconstructed. The reconstruction of the runout model allowed confirmation of the historical data concerning this event, particularly the damming of the valley floor and the lake formation up to an elevation of 390gmga.s.l., which generated an enormous flood by dam breaching on 20 May 1515, known as the ""Buzza di Biasca"".  © 2022 Alessandro De Pedrini et al.</t>
  </si>
  <si>
    <t>2-s2.0-85122976046"</t>
  </si>
  <si>
    <t>10.1080/08920753.2022.2107858</t>
  </si>
  <si>
    <t>https://www.scopus.com/inward/record.uri?eid=2-s2.0-85136959257&amp;doi=10.1080%2f08920753.2022.2107858&amp;partnerID=40&amp;md5=f9294638909775c77e808f1fd109a185</t>
  </si>
  <si>
    <t>The coastal zone of mainland Portugal is characterized by its morpho-sedimentary diversity such as estuaries, lagoons, barrier islands, beaches, dunes and cliffs. The high population density and the multiplicity of land use, occupation and activities, makes it an area of great national strategic value. This transforms the coastal zone into a multi-hazard zone, where the occurrences related to coastal flooding and overtopping stand out. In the present work, a multidimensional methodology called Coastal Territorial Vulnerability Index (CTVI) was developed and applied in three selected areas with a historical record of coastal impacts, to analyze, evaluate and interpret the local vulnerability. The methodology considers four components of coastal territorial vulnerability: morphology, land value, buildings and public areas characteristics. These four components are combined to calculate the CTVI. The results highlight the differences for the analyzed areas, allowing the differentiation of natural and artificial areas. In the natural areas a moderate CTVI predominates, while in the latter, a high and very high CTVI stands out. The results contribute to the development of a comprehensive coastal flood risk assessment and forecasting the impacts. © 2022 The Author(s). Published with license by Taylor &amp; Francis Group, LLC.</t>
  </si>
  <si>
    <t>2-s2.0-85136959257"</t>
  </si>
  <si>
    <t>Environmental Policy and Law</t>
  </si>
  <si>
    <t>10.3233/EPL-219036</t>
  </si>
  <si>
    <t>https://www.scopus.com/inward/record.uri?eid=2-s2.0-85134475278&amp;doi=10.3233%2fEPL-219036&amp;partnerID=40&amp;md5=af8c4fe82804d457d0600105fa0c898e</t>
  </si>
  <si>
    <t>Wetland ecosystems, freshwater, coastal and coral reefs, are important ecosystems as they provide many ecological services and ensure livelihood of people. The increase in carbon dioxide and global temperatures change in precipitation patterns, and acidification of oceans can adversely affect these ecosystems. It is expected that increase in temperature in lakes, reservoirs and coastal seas will affect flora, fauna and fisheries. The increase in sea level can erode shorelines and coastal habitats. Coral reefs can degrade due to increase in temperature, sea level rise and acidification. The ecological services provided by these ecosystems have economic value and thus any loss of these habitats can affect livelihood of communities. The global watershed and coastal management approaches such as the 1971 Ramsar Convention and 2030 Sustainable Development Goals (SDGs) provide key tools to protect these ecosystems. A robust global wetland information repository system needs to be developed for providing necessary data to effectively model climate change impacts at local and regional levels. The knowledge about climate risks to wetlands, integrated with effective governance at national, regional and global levels along with informed people, are key elements for protection and sustainable future of wetlands. It is in this global context and decisions of the successive Ramsar Conference of Parties (COP), within the limits of time and space, this study has sought to examine the climatic risks to the wetland's ecosystems. The data and the situation in the Indian sub-continent have been used as an example for the purpose. We need to look for concrete ideas and solutions to address the challenge of climate change risks to the wetland ecosystem at the juncture of Stockholm+50 (2022) and beyond.  © 2022 - IOS Press. All rights reserved.</t>
  </si>
  <si>
    <t>2-s2.0-85134475278"</t>
  </si>
  <si>
    <t>10.3389/feart.2022.802157</t>
  </si>
  <si>
    <t>https://www.scopus.com/inward/record.uri?eid=2-s2.0-85125645367&amp;doi=10.3389%2ffeart.2022.802157&amp;partnerID=40&amp;md5=1c9cc411461f39804679294704a5eba0</t>
  </si>
  <si>
    <t>Permafrost degradation is one of the most pressing issues in the modern cryosphere related to climate change. Most attention is paid to the degradation of the top of the active permafrost associated with contemporary climate. This is the most popular issue because in the subsurface part of it there is usually the greatest accumulation of ground ice in direct relation to the changes taking place. The melting of ground ice is the cause of the greatest changes related to subsidence and other mass-wasting processes. The degradation of the subsurface permafrost layer is also responsible for the increased emission of CO2 and methane. However, this is not a fully comprehensive look at the issue of permafrost degradation, because depending on its thickness, changes in its thermal properties may occur more or less intensively throughout its entire profile, also reaching the base of permafrost. These changes can degrade permafrost throughout its profile. The article presents the basic principles of permafrost degradation in its overall approach. Both the melting of the ground ice and the thermal degradation of permafrost, as manifested in an increase in its temperature in part or all of the permafrost profile, are discussed. However, special attention is paid to the degradation characteristics from the permafrost base. In the case of moderately thick and warm permafrost in the zone of its sporadic and discontinuous occurrence, this type of degradation may particularly contribute to its disappearance, and surficial consequences of such degradation may be more serious than we expect on the basis of available research and data now. A special case of such degradation is the permafrost located in the coastal zone in the vicinity of the Hornsund Spitsbergen, where a multidirectional thermal impact is noted, also causing similar degradation of permafrost: from the top, side and bottom. Especially the degradation of permafrost from the permafrost base upwards is an entirely new issue in considering the evolution of permafrost due to climate change. Due to the difficulties in its detection, this process may contribute to the threats that are difficult to estimate in the areas of discontinuous and sporadic permafrost. Copyright © 2022 Dobiński and Kasprzak.</t>
  </si>
  <si>
    <t>2-s2.0-85125645367"</t>
  </si>
  <si>
    <t>10.4102/jamba.v14i1.1172</t>
  </si>
  <si>
    <t>https://www.scopus.com/inward/record.uri?eid=2-s2.0-85147744706&amp;doi=10.4102%2fjamba.v14i1.1172&amp;partnerID=40&amp;md5=ee94ea686884047be1afdacc93aee6e2</t>
  </si>
  <si>
    <t>Cities face frequent flood disasters with devastating impact on lives and property. Geospatial analysis using high elevation points can help to map out emergency evacuation centres for decision making on flood risk management. This research maps and analyses flood emergency evacuation centres in Accra. The objectives of this research were to map out flood hazard and vulnerable settlements, analyse the spatial distribution and identify the optimal locations for flood emergency evacuation sites. The data for this study comprises digital elevation models, stream networks, settlement data, flood risk zone maps of the study site and existing documents on flood disaster risk of the study area. This study adopted the weighted linear combination method to estimate site suitability for emergency evacuation sites. ArcGIS 10.6 was used to analyse the data. The research found that the optimal locations for potential evacuation centres are unevenly distributed between 300 m and 400 m above sea level, most which are in the north-eastern and north-western parts of Accra. The results can contribute to research, policy and decision-making on flood risk management in Accra and other localities with similar conditions. The research further contributes to literature on flood risk management and geographic information system. Contribution: This research is useful as mapping could increase awareness of evacuation sites to speed up rapid response to immediate impacts of flood events. The findings of the study will facilitate future decisions for demarcating potential flood emergency evacuation sites. The overall aim of this study is to contribute to literature, policy, spatial analysis and the practice of flood risk management in the study area. The research findings can also be applied to other flood-prone areas with similar contexts as the study site. © 2022. The Authors. Licensee: AOSIS. This work is licensed under the Creative Commons Attribution License.</t>
  </si>
  <si>
    <t>2-s2.0-85147744706"</t>
  </si>
  <si>
    <t>Zeitschrift fur Geomorphologie</t>
  </si>
  <si>
    <t>10.1127/zfg/2021/0730</t>
  </si>
  <si>
    <t>https://www.scopus.com/inward/record.uri?eid=2-s2.0-85123712504&amp;doi=10.1127%2fzfg%2f2021%2f0730&amp;partnerID=40&amp;md5=09df832eb5fd7d6e9710da0e048b8cb9</t>
  </si>
  <si>
    <t>Low-lying coastal areas around the world are threatened by climate change-induced hazards such as long-term mean sea-level rise and extreme sea-level events. The eustatic sea-level is rising rapidly due to global warming, whereas storm surges are expected to become more frequent and intense, which necessitate the identification and protection of sensitive sections of coastline. This paper deals with the classification of the coasts of Zakynthos Island, located in the Ionian Sea, according to their sensitivity to both coastal erosion and flooding, caused by climate change-induced hazards, with the assessment of the Coastal Sensitivity Index (CSI). CSI allows six physical variables to be related in a quantifiable manner. The variables include geology-geomorphology, coastal slope, rate of long-term shoreline erosion or accretion, relative sea-level change rate, mean wave height and mean tidal range. The produced CSI map for the studied coastline indicates that nearly 14.1 km, (corresponding to 7.4% of the entire coastline of the island) is characterized as highly and very highly sensitive primarily due to the low regional coastal slope and the presence of highly erodible sandy and coble beaches. The coasts of high and very high CSI values host socio-economically important land uses (discontinuous urban areas, touristically developed beaches, sport and leisure facilities and agricultural activities). Furthermore, about 25% of the coastline of the Zakynthos Natura 2000 protected area is highly and very highly sensitive to climate change exacerbated coastal hazards. © 2021 Gebr. Borntraeger Verlagsbuchhandlung, Stuttgart, Germany.</t>
  </si>
  <si>
    <t>2-s2.0-85123712504"</t>
  </si>
  <si>
    <t>Acta Applicandae Mathematicae</t>
  </si>
  <si>
    <t>10.1007/s10440-022-00464-3</t>
  </si>
  <si>
    <t>https://www.scopus.com/inward/record.uri?eid=2-s2.0-85122955915&amp;doi=10.1007%2fs10440-022-00464-3&amp;partnerID=40&amp;md5=e06707187163fe59a788cedaecc97835</t>
  </si>
  <si>
    <t>This paper studies the Riemann problem for a class of non-strictly hyperbolic systems of conservation laws modeling polymer flooding in enhanced oil recovery. The Riemann solutions contain two kinds. One consists of two contact discontinuities and a vacuum state, the other involves the delta shock wave. The generalized Rankine-Hugoniot relations and entropy condition are proposed to solve delta shock wave. Besides, by the vanishing viscosity approach, the stability of the Riemann solution involving the delta shock wave is proved. © 2022, The Author(s), under exclusive licence to Springer Nature B.V.</t>
  </si>
  <si>
    <t>2-s2.0-85122955915"</t>
  </si>
  <si>
    <t>Boletin de la Sociedad Geologica Mexicana</t>
  </si>
  <si>
    <t>10.18268/BSGM2022v74n3a080822</t>
  </si>
  <si>
    <t>https://www.scopus.com/inward/record.uri?eid=2-s2.0-85142298959&amp;doi=10.18268%2fBSGM2022v74n3a080822&amp;partnerID=40&amp;md5=ffe39911254caf03eb05f61988d06848</t>
  </si>
  <si>
    <t>This research compares results of micromorphological case studies conducted on four early medieval archaeological sites with differentiated spatialization of human impacts and a varied craft production located in different background environments: humid climate, subzone of mixed forests, floodplain of the Dnieper River (Gnezdovo site)</t>
  </si>
  <si>
    <t>10.3390/rs14030444</t>
  </si>
  <si>
    <t>https://www.scopus.com/inward/record.uri?eid=2-s2.0-85122975191&amp;doi=10.3390%2frs14030444&amp;partnerID=40&amp;md5=6d6129396c83f7729408bfbece01c412</t>
  </si>
  <si>
    <t>Permafrost thaw resulting from climate warming is threatening to release carbon from high latitude peatlands. The aim of this research was to determine subsidence rates linked to permafrost thaw in sub-Arctic peatlands in Sweden using historical orthophotographic (orthophotos), Unoccupied Aerial Vehicle (UAV), and Interferometric Synthetic Aperture Radar (InSAR) data. The orthophotos showed that the permafrost palsa on the study sites have been contracting in their areal extent, with the greatest rates of loss between 2002 and 2008. The surface motion estimated from differential digital elevation models from the UAV data showed high levels of subsidence (maxi-mum of −25 cm between 2017 and 2020) around the edges of the raised palsa plateaus. The InSAR data analysis showed that raised palsa areas had the greatest subsidence rates, with maximum subsidence rates of 1.5 cm between 2017 and 2020</t>
  </si>
  <si>
    <t>European Journal of Development Research</t>
  </si>
  <si>
    <t>10.1057/s41287-021-00371-7</t>
  </si>
  <si>
    <t>https://www.scopus.com/inward/record.uri?eid=2-s2.0-85101341571&amp;doi=10.1057%2fs41287-021-00371-7&amp;partnerID=40&amp;md5=eccf8908a58e3a87dc271874626af90b</t>
  </si>
  <si>
    <t>This study analyzed the effects of climate change on rice farmers’ livelihoods vulnerability by using primary data elicited from 405 rice farming households in Can Tho, Dong Thap, and Tien Giang provinces in the Mekong Delta Region (MDR) of Vietnam. The Livelihood Vulnerability Index (LVI) showed that Can Tho province was the most vulnerable to climate change, followed by Dong Thap and Tien Giang provinces. In particular, the social index sub-indicator showed high vulnerability. The beta regression analysis identified seventeen significant factors influencing the susceptibility of rice farming households in the study area, such as weather information, flood occurrence, drought occurrence, access to extension services, access to credit, and cooperative membership as well as demographic variables and livelihoods related factors. The LVI result suggests the need for the government to consider raising the priority on households in Can Tho province through adaptation support to improve the resilience and adaptive capacity, especially by enhancing the social network in this area to stimulate support from local authorities and farmer groups. The regression results imply that extension services should provide adequate and timely weather information to equip the farmers to be more prepared for climatic shocks. Moreover, credit facilities with low interest rates should be made available, especially to those who are members of agricultural cooperatives. © 2021, European Association of Development Research and Training Institutes (EADI).</t>
  </si>
  <si>
    <t>2-s2.0-85101341571"</t>
  </si>
  <si>
    <t>10.5194/tc-16-451-2022</t>
  </si>
  <si>
    <t>https://www.scopus.com/inward/record.uri?eid=2-s2.0-85124823957&amp;doi=10.5194%2ftc-16-451-2022&amp;partnerID=40&amp;md5=36070b3c17288bc1a3bb31742c0d3122</t>
  </si>
  <si>
    <t>Increasing melt of ice sheets at their floating or vertical interfaces with the ocean is a major driver of marine ice sheet retreat and sea level rise. However, the extent to which warm, salty seawater may drive melting under the grounded portions of ice sheets is still not well understood. Previous work has explored the possibility that dense seawater intrudes beneath relatively light subglacial freshwater discharge, similar to the ""salt wedge""observed in many estuarine systems. In this study, we develop a generalized theory of layered seawater intrusion under grounded ice, including where subglacial hydrology occurs as a macroporous water sheet over impermeable beds or as microporous Darcy flow through permeable till. Using predictions from this theory, we show that seawater intrusion over flat or reverse-sloping impermeable beds may feasibly occur up to tens of kilometers upstream of a glacier terminus or grounding line. On the other hand, seawater is unlikely to intrude more than tens of meters through permeable till. Simulations using the Ice-sheet and Sea-level System Model (ISSM) show that even just a few hundred meters of basal melt caused by seawater intrusion upstream of marine ice sheet grounding lines can cause projections of marine ice sheet volume loss to be 10%-50% higher. Kilometers of intrusion-induced basal melt can cause projected ice sheet volume loss to more than double. These results suggest that further observational, experimental and numerical investigations are needed to determine the conditions under which seawater intrusion occurs and whether it will indeed drive rapid marine ice sheet retreat and sea level rise in the future. © 2022 The Author(s).</t>
  </si>
  <si>
    <t>2-s2.0-85124823957"</t>
  </si>
  <si>
    <t>10.3390/atmos13020311</t>
  </si>
  <si>
    <t>https://www.scopus.com/inward/record.uri?eid=2-s2.0-85124801426&amp;doi=10.3390%2fatmos13020311&amp;partnerID=40&amp;md5=3622ad8bbb137556d1ce773cd75ca27d</t>
  </si>
  <si>
    <t>Storm surges and waves are key climate-driven parameters affecting the design and operation of ports and other infrastructure on the coast. Reliable predictions of future storm surges and waves are not yet available for the west coast of Canada, and this data gap hinders effective climate risk assessment, planning and adaptation. This paper presents numerical simulations of storm surges and waves in British Columbia coastal waters under a future climate (Representative Concentration Pathway) scenario (RCP8.5). The numerical models were first forced by wind and surface pressure fields from the ERA-5 global reanalysis, and calibrated and validated using historical wave and water level records. The models were then driven by atmospheric data from four regional climate models (RCMs) to investigate potential changes in the frequency and magnitude of storm surges and extreme waves over the 21st century. The model outputs were analyzed to determine the potential impacts of climate change on storm surges and wave effects at key ports and transportation assets in western Canada. The study is the first of its kind to utilize unstructured, computational models to simulate storm surges and waves for the entire western Canada coastal region, while maintaining the high spatial resolution in coastal sub-basins needed to capture local dynamic responses. © 2022 by the authors. Licensee MDPI, Basel, Switzerland.</t>
  </si>
  <si>
    <t>2-s2.0-85124801426"</t>
  </si>
  <si>
    <t>10.15244/pjoes/152029</t>
  </si>
  <si>
    <t>https://www.scopus.com/inward/record.uri?eid=2-s2.0-85143525149&amp;doi=10.15244%2fpjoes%2f152029&amp;partnerID=40&amp;md5=5470ff50e6e2e80fa1c3fa17abf1c947</t>
  </si>
  <si>
    <t>In the mitigation strategies of climate change, improving soil carbon storage is considered as one of the main tasks to enhance agricultural sustainability and sequester atmospheric carbon dioxide. Agricultural patterns have been changing significantly and causing many impacts on soil organic carbon (SOC) storage in the upper Vietnamese Mekong Delta (VMD). Therefore, this study aims to evaluate how typical agricultural pattern changes are affecting SOC by estimating the SOC stock and identifying the correlation with soil physic-chemical properties. Soil samples were collected in both depths of 0-20 cm and 20-50 cm and analyzed physic-chemical properties such as soil texture, bulk density, pHKCl, EC and SOC. In topsoil layers, the SOC stock of the wetland forest was the highest in the opened depression of floodplain (24.42±1.38 kg C m-2</t>
  </si>
  <si>
    <t>10.1080/15481603.2022.2134620</t>
  </si>
  <si>
    <t>https://www.scopus.com/inward/record.uri?eid=2-s2.0-85140402708&amp;doi=10.1080%2f15481603.2022.2134620&amp;partnerID=40&amp;md5=b78840e2819628b7215a72fe38b0c6f2</t>
  </si>
  <si>
    <t>Accurate and frequent mapping of transient wetland inundation in the boreal region is critical for monitoring the ecological and societal functions of wetlands. Satellite Synthetic Aperture Radar (SAR) has long been used to map wetlands due to its sensitivity to surface inundation and ability to penetrate clouds, darkness, and certain vegetation canopies. Here, we track boreal wetland inundation by developing a two-step modified decision-tree algorithm implemented in Google Earth Engine using Sentinel-1 C-band SAR and Sentinel-2 Multispectral Instrument (MSI) time-series data as inputs. This approach incorporates temporal as well as spatial characteristics of SAR backscatter and is evaluated for the Peace-Athabasca Delta, Alberta (PAD), and Yukon Flats, Alaska (YF) from May 2017 to October 2019. Within these two boreal study areas, we map spatiotemporal patterns in wetland inundation classes of Open Water (OW), Floating Plants (FP), Emergent Plants (EP), and Flooded Vegetation (FV). Temporal variability, frequency, and maximum extents of transient wetland inundation are quantified. Retrieved inundation estimates are compared with in-situ field mapping obtained during the NASA Arctic-Boreal Vulnerability Experiment (ABoVE), and a multi-temporal Landsat-derived surface water map. Over the 2017–2019 study period, we find that fractional inundation area ranged from 18.0% to 19.0% in the PAD, and from 10.7% to 12.1% in the YF. Transient wetland inundation covered ~595 km2 of the PAD, comprising ~9.1% of its landscape, and ~102 km2 of the YF, comprising ~3.6%. The implications of these findings for wetland function monitoring, and estimating landscape-scale methane emissions are discussed, together with limitations and uncertainties of our approach. We conclude that time series of Sentinel-1 C-band SAR backscatter, screened with Sentinel-2 MSI optical imagery and validated by field measurements, offer a valuable tool for tracking transient boreal wetland inundation. © 2022 The Author(s). Published by Informa UK Limited, trading as Taylor &amp; Francis Group.</t>
  </si>
  <si>
    <t>2-s2.0-85140402708"</t>
  </si>
  <si>
    <t>10.1016/j.scitotenv.2021.150777</t>
  </si>
  <si>
    <t>https://www.scopus.com/inward/record.uri?eid=2-s2.0-85116703308&amp;doi=10.1016%2fj.scitotenv.2021.150777&amp;partnerID=40&amp;md5=3bf7c3c6094a48a911d6850fc405a2d7</t>
  </si>
  <si>
    <t>In a changing climate and in social context, tools and databases with high spatiotemporal resolution are needed for increasing the knowledge on the relationship between meteorological events and flood impacts; hence, analysis of high-resolution spatiotemporal databases with detailed information on the frequency, intensity, and impact of floods is necessary. However, the methodological nature of flood databases hinders relating specific flood events to the weather events that cause them; hence, methodologies for classifying flood cases according to the synoptic patterns that generate them are also necessary.
Knowing which synoptic patterns are likely to generate risk situations allows for a probabilistic approach with high spatial resolution regarding the timing of occurrence, affected area, and expected damage from floods. To achieve these objectives, we use the SMC-Flood Database, a high-resolution spatiotemporal flood database covering the 1960–2015 period for all municipalities along the Spanish Mediterranean coast. To relate floods with the synoptic conditions that generated them, we used a multivariate analysis method on the corrected daily anomalies of the surface pressure fields, 850 hPa temperature, and 500 hPa geopotential height, all of which were obtained from the 20th Century Reanalysis Project V2.
Results show that 12 atmospheric synoptic patterns can statistically explain the 3608 flood cases that occurred in the study area between 1960 and 2015. These flood cases were classified into 847 atmospherically induced flood events. These results reduce the uncertainty during decision making because of the classification of potential risk situations. The Mediterranean Basin is a region where floods have serious socioeconomic impacts; hence, this work helps improving prevention measures and providing information for policymakers, mainly regarding land use planning and early warning systems.</t>
  </si>
  <si>
    <t>10.1016/j.geomorph.2021.108026</t>
  </si>
  <si>
    <t>https://www.scopus.com/inward/record.uri?eid=2-s2.0-85118643297&amp;doi=10.1016%2fj.geomorph.2021.108026&amp;partnerID=40&amp;md5=a34ec0c5b13ffb6d61e6c560ea667bc5</t>
  </si>
  <si>
    <t>In September 2018 Hurricane Florence had severe impacts on the lower Neuse River and Neuse estuary, North Carolina, despite the fact that it was a minor storm in terms of traditional indicators of storm intensity. The storm was consistent with recent trends and predictions of tropical cyclone activity driven by Anthropocene climate warming. However, its impacts in the Neuse area were also conditioned by idiosyncratic aspects of the geographic setting and the synoptic situation. Geomorphic changes examined here include erosion of estuarine shoreline bluffs, geomorphic transformations of small freshwater swamps, and effects on the river and floodplain upstream of the estuary. The shoreline changes caused by Florence were unique with respect to previous tropical cyclones and ongoing episodic erosion, due to the extraordinarily high and unusually long duration of storm surge. Transformations of the “ravine swamps”—mainly associated with deposition of &gt;0.6 m of sand on organic muck and open water surfaces—were similarly unprecedented. Despite high river discharges (third highest on record) and the high storm surge, fluvial impacts in the lower river and fluvial-estuarine transition zone were minimal. This is attributable to the morphology of the channel-floodplain system, adapted to Holocene sea-level rise and preserved by wetlands protection programs. The large area of the storm, slow forward movement, and extreme rainfall of Florence are likely indicative of a “new normal” with respect to tropical cyclones in the region. However, the geomorphic impacts in the lower Neuse were largely determined by particulars of the Neuse estuary and Florence's storm track. An exception is the limited impacts on the lower fluvial portion of the river and the fluvial-estuarine transition zone, where there exists a complex mosaic of channels and flowing wetlands capable of accommodating extreme discharges. © 2021 Elsevier B.V.</t>
  </si>
  <si>
    <t>2-s2.0-85118643297"</t>
  </si>
  <si>
    <t>10.1007/s11069-021-05008-w</t>
  </si>
  <si>
    <t>https://www.scopus.com/inward/record.uri?eid=2-s2.0-85113835786&amp;doi=10.1007%2fs11069-021-05008-w&amp;partnerID=40&amp;md5=6cc8c311c7b6ca36abf92a2cab8f74f3</t>
  </si>
  <si>
    <t>The tropical cyclones are very destructive during landfall, generating high wind speeds, heavy intensive rainfall, and severe storm surges with huge coastal inundations that have massive socioeconomic and ecological catastrophic effects on human beings and the economic well-being. The sizable ecological effects of cyclonic storms cannot be ignored because of the uncertainty of impact, intensity induced by a warming ocean, and sea level rise. The Super Cyclonic Storm Amphan which falls under the category five classifications under the scheme of the India Meteorological Department (IMD), on the basis the maximum sustained wind speeds gusting up to 168 km/h affected parts of West Bengal and Odisha in India, and south-west Bangladesh between May 16 and 20, 2020. In this work, we have focused on the coastal districts of Kendrapada, Bhadrak, Balasore in Odisha, Purba Medinipur, and South Twenty-Four Parganas in West Bengal, India and, Khulna, Barisal division of Bangladesh that have been seriously affected by the Super Cyclonic Storm Amphan. The objective of the study is to analyze the eco-physical assessment of tropical cyclone Amphan using geospatial technology. Therefore, shoreline change detection and enhance vegetation index have been used in this research work to systematically analyze the eco-physical impact parameters of Cyclonic Storm Amphan using ortho-rectified Landsat 8/OLI imagery and MODIS dataset of USGS with high spatial resolutions of 30–500 m. The result highlights that about 60.33% of the total transects of the study area was eroded, but only 24.99% of the total transects experienced accretion, and 14.68% of the total transects depicted stability. The scientific study will benefit coastal managers and policymakers in formulating action plans for coastal zone management, natural resilience, and sustainable future development. © 2021, The Author(s), under exclusive licence to Springer Nature B.V.</t>
  </si>
  <si>
    <t>2-s2.0-85113835786"</t>
  </si>
  <si>
    <t>10.46717/igj.55.2D.3ms-2022-10-19</t>
  </si>
  <si>
    <t>https://www.scopus.com/inward/record.uri?eid=2-s2.0-85140889850&amp;doi=10.46717%2figj.55.2D.3ms-2022-10-19&amp;partnerID=40&amp;md5=2c617ee2dab27072a6d17450a0947e9d</t>
  </si>
  <si>
    <t>The Egyptian Nile Delta is one of the world's most vital regions owing to its great agricultural, industrial, and economic value. Almost half of Egypt's population resides in this region, which has experienced significant land subsidence during the past decade. The present study evaluates the land deformation rate based on Sentinel-1A C-band synthetic aperture radar imagery on the western part of the Nile Delta. Due to the impact of the earthquake event in crete at magnitude of approximately 6.2 Mw on 19 October 2021, 6 scenes were selected to know the differential interferogram and vertical deformations. In our case study, Sentinel Application Platform processing techniques are applied to 6 Sentinel-1A images on 10 September, 4 October 2021, 13-25 October 2021 and 04-21 November 2021 before and after the occurrence of the earthquake, respectively. Our results show that some places in the western part of Nile Delta region experienced low–medium ground movement. To mitigate the seismic and kinetic effects in the western part of Delta, the construction of large factories near residential areas is discouraged. Moreover, urban expansion should be managed in these regions, and excessive groundwater extraction should be avoided in the arid regions near the western part of Nile delta. © 2022, Union of Iraqi Geologists. All rights reserved.</t>
  </si>
  <si>
    <t>2-s2.0-85140889850"</t>
  </si>
  <si>
    <t>10.1016/j.scitotenv.2021.150772</t>
  </si>
  <si>
    <t>https://www.scopus.com/inward/record.uri?eid=2-s2.0-85116696002&amp;doi=10.1016%2fj.scitotenv.2021.150772&amp;partnerID=40&amp;md5=f2bdc8b9ec6340c1a30bd432819a7c56</t>
  </si>
  <si>
    <t>The flood storage of lakes and reservoirs plays an important role in flood regulation and control in floodplains. However, the flood storage capacity of lakes and reservoirs is ineffectively quantified at the basin scale due to the limited access to in-situ data and poor quality of optical satellite images in flooding seasons. To address this, taking a typical floodplain basin (the Poyang Lake basin) in the Yangtze as a study case, radar satellite data combined with measured bathymetry and digital elevation model data were utilized to reconstruct the time series of the water inundation area and water storage change of all lakes and reservoirs larger than 1 km2 during the once-in-a-generation flood event that occurred in 2020 (termed as the 2020 flood event hereafter). Results show that the flood storage capacity of Poyang Lake can reach the maximum at 12.18 Gt, and that for other lakes and reservoirs within the basin is approximately 2.95 Gt. It indicates a total flood-storage capacity of 15.13 Gt for the basin-scale lakes and reservoirs, approximately accounting for 45.02% of the terrestrial water storage change of the basin. The storage capacity of Poyang Lake was approximately four times larger than the entirety of other lakes and reservoirs in the basin despite that its maximum water inundation area is in the proportion of 2.58 times other water bodies. This finding indicates that the Poyang Lake provided the dominant contribution to flood storage among all the lakes and reservoirs in the basin. This study introduced a remote sensing approach to quantify the flood storage capacity of basin-scale lakes and reservoirs at high spatial and temporal resolutions during the flood event, which could fill the insufficiently-quantified knowledge about dynamics of lakes and reservoirs in areas lacking full-covered in-situ data records. This study also helps to offer a quantitative basis to improve flood forecasting and control for the public authority, stakeholders, and decision-makers. © 2021 Elsevier B.V.</t>
  </si>
  <si>
    <t>2-s2.0-85116696002"</t>
  </si>
  <si>
    <t>10.26471/cjees/2022/017/216</t>
  </si>
  <si>
    <t>https://www.scopus.com/inward/record.uri?eid=2-s2.0-85138591646&amp;doi=10.26471%2fcjees%2f2022%2f017%2f216&amp;partnerID=40&amp;md5=7151991cfdbdef1da8831ad84721d8e7</t>
  </si>
  <si>
    <t>Soil organic carbon (SOC) sequestration generally occurs in wet ecosystems such as river flood plains and deltas. This paper deals with the carbon sequestration stock in the Danube Delta soils for various depths as based on the existing soil maps and updated materials and discusses about greenhouse gas emissions in order to enable evaluation of future evolution and possible scenarios in the light of global warming. Histosols represent about 28% of the Delta area and contribute with over 55% to the total SOC pool of this ecosystem. The histic subtypes of the Subaquatic Fluvisols, Gleysols and Arenosols also contribute much more to the total SOC pool than the non-histic subtypes. The large and significant SOC differences between mineral and organic soils is a strong reason for preservation of Histosolsʼ area and for renaturation of some less fertile soils from the lowest parts of Danube Delta in order to increase SOC and decrease atmospheric C. Only about 14.5% from the total Danube Delta area was taken for farming, mainly in its western part, where mineral soils or subtypes of organic soils occur. Histosols are especially situated in the maritime, eastern parts of the Delta ecosystem. In cropland areas the soil depth that is mobilized by plowing, disking or other works and from where the plants uptake water and nutrients is at least 0.5 m, and for some crops even from 1.0 m or below. The present paper deals with various soil depths for SOC referenced values, facilitating their use in specific estimation models. Policy makers, decision makers and opinion-formers should promote preservation of the natural landscape of the Delta under the best possible conditions to contribute to an increase in SOC stock. Maintaining the natural SOC stock at the present-day level and enhancing new organic C deposition in the renatured parts of Delta soils could contribute to global warming mitigation in the future. If global warming continues at the present rate or higher rates, the soil water regime will change reflecting the dynamics of sea level rising. This event will most probably accelerate peat formation and increase Histosol area in the lowest landforms across the Delta. Future research is needed for characteristic stationary sites specifically in the cropland area of the Danube Delta to deepen our knowledge regarding the dynamics of SOC. © 2022, Carpathian Journal of Earth and Environmental Sciences. All Rights Reserved.</t>
  </si>
  <si>
    <t>2-s2.0-85138591646"</t>
  </si>
  <si>
    <t>https://www.scopus.com/inward/record.uri?eid=2-s2.0-85137774716&amp;partnerID=40&amp;md5=263a75783a6234733ba4c7e02f3ae2c3</t>
  </si>
  <si>
    <t>The coast is where the land meets the sea or ocean. Many civilizations were formed near the coastline. Many stakeholders such as the local communities, fishing and tourist activities along the coast need to be protected. This study attempts to protect the Ennore coast, situated North of Chennai city on the East coast of Tamil Nadu by assessing the vulnerability and recommends suitable protective measures. Extensive experimental programme is conducted along Ennore coastline over a stretch of 2.8 km, within this stretch four locations are considered to collect the samples. Three samples are collected from foreshore, berm and backshore of these locations. Dry sieve analysis and specific gravity tests are conducted as per BIS procedure. From the test results, the quantity of sediment transport is determined using VanRijn formula. Based on the tests and observations it is inferred that the area is vulnerable to erosion. From the Google Earth Pro images, it is evident that the rate of variation of the shoreline is 1250 mm/yr as a result of seawater inundation towards the land. This study also suggests that, for sustainable environment, construction of shorter groynes is suitable to prevent erosion, wear and tear occurring at toe of groynes. © 2022, Scibulcom Ltd.. All rights reserved.</t>
  </si>
  <si>
    <t>2-s2.0-85137774716"</t>
  </si>
  <si>
    <t>10.1080/10106049.2022.2096702</t>
  </si>
  <si>
    <t>https://www.scopus.com/inward/record.uri?eid=2-s2.0-85133672396&amp;doi=10.1080%2f10106049.2022.2096702&amp;partnerID=40&amp;md5=0fd7b9633ea4373ee0136768cce83ed9</t>
  </si>
  <si>
    <t>Flooding is one of the most challenging and important natural disasters to predict, it is becoming more frequent and more intense. The study area is badly damaged by devastating flood in 2015. We assessed the flood susceptibility to northern coastal area of Tamil Nadu using various machine learning algorithms such as Gradient Boosting Machine (GBM), XGBoost (XGB), Rotation Forest (RTF), Support Vector Machine (SVM), and Naive Bayes (NB). Google Earth Engine (GEE) is used to demarcate flooded areas using Sentinel-l and other multi-source geospatial data to generate influential factors. Recursive Feature Elimination (RFE) removes weak factors in this study. The flood susceptibility resultant map is classified into five classes: very low, low, moderate, high, and very high. The GBM algorithm attained high classification accuracy with an area under the curve (AUC) value of 92%. The study area is urbanized and vulnerable identifying flood inundation useful for effective planning and implementation. © 2022 Informa UK Limited, trading as Taylor &amp; Francis Group.</t>
  </si>
  <si>
    <t>2-s2.0-85133672396"</t>
  </si>
  <si>
    <t>10.3390/rs14030637</t>
  </si>
  <si>
    <t>https://www.scopus.com/inward/record.uri?eid=2-s2.0-85123843685&amp;doi=10.3390%2frs14030637&amp;partnerID=40&amp;md5=dc73db2c3a87681240c86b6a2f94e426</t>
  </si>
  <si>
    <t>Chinese coastal topography has changed significantly over the last two decades due to human actions such as the development of extensive land reclamation projects. Newly-reclaimed lands typically have low elevations (&lt;10 m) and often experience severe ground subsidence. These conditions, combined with the more frequent occurrence of extreme sea-level events amplified by global climate change, lead to an increased risk of flooding of coastal regions. This work focuses on twelve Chinese coastal areas that underwent significant changes from 2000 to 2015 in their environments, correlated to relevant land reclamation projects. First, the ground changes between 2000 and 2015 were roughly computed by comparing the TanDEM-X and the Shuttle Radar Topography Mission (SRTM) digital elevation models of the investigated areas. These results indicate that six of the analyzed coastal zones have reclaimed more than 200 km2 of new lands from 2000 to 2015, with five of them in northern China. Second, we focused specifically on the city of Shanghai, and characterized the risk of flood in this area. To this purpose, two independent sets of synthetic aperture radar (SAR) data collected at the X-and C-band through the COSMO-SkyMed (CSK) and the European Copernicus Sentinel-1 (S-1) sensors were exploited. We assumed that the still extreme seawater depth is chi-square distributed, and estimated the probability of waves overtopping the coast. We also evaluated the impact on the territory of potential extreme flood events by counting the number of very-coherent objects (at most anthropic, such as buildings and public infrastructures) that could be seriously affected by a flood. To forecast possible inundation patterns, we used the LISFLOOD-FP hydrodynamic model. Assuming that an extreme event destroyed a given sector of the coastline, we finally computed the extent of the flooded areas and quantified its impact in terms of coherent structures potentially damaged by the inundation. Experimental results showed that two coastline segments located in the southern districts of Shanghai, where the seawalls height is lower, had the highest probability of wave overtopping and the most significant density of coherent objects potentially subjected to severe flood impacts. © 2022 by the authors. Licensee MDPI, Basel, Switzerland.</t>
  </si>
  <si>
    <t>2-s2.0-85123843685"</t>
  </si>
  <si>
    <t>IEEE Journal on Multiscale and Multiphysics Computational Techniques</t>
  </si>
  <si>
    <t>10.1109/JMMCT.2022.3215804</t>
  </si>
  <si>
    <t>https://www.scopus.com/inward/record.uri?eid=2-s2.0-85140715382&amp;doi=10.1109%2fJMMCT.2022.3215804&amp;partnerID=40&amp;md5=c5318d981427b68469032ca4b379bb4d</t>
  </si>
  <si>
    <t>Seawall engineering is essential in preventing typhoon storm surge disasters in coastal areas. Usually, the engineering measure of throwing the stone to form a riprap layer is adopted to enhance seawall stability and anti-erosion property. Determining the thickness of the riprap layer is an essential step in the evaluation of engineering measurement, and the key is to determine the burial depth of the bottom boundary of the riprap. A seawall is taken as the research object. The propagation process of the electromagnetic wave in the seawall is simulated by the finite difference time domain (FDTD) method, the propagation law and profile response characteristics of the electromagnetic wave are obtained, and the method's feasibility is confirmed theoretically. Further field test and drilling detection results are used to calibrate the electromagnetic wave velocity, and the top and bottom interface of the riprap layer is divided, which provides a basis for the measurement of the riprap body.  © 2016 IEEE.</t>
  </si>
  <si>
    <t>2-s2.0-85140715382"</t>
  </si>
  <si>
    <t>10.1016/j.geomorph.2021.108053</t>
  </si>
  <si>
    <t>https://www.scopus.com/inward/record.uri?eid=2-s2.0-85120857182&amp;doi=10.1016%2fj.geomorph.2021.108053&amp;partnerID=40&amp;md5=5a6a69ffda672bfd01857ef204b66b0c</t>
  </si>
  <si>
    <t>Sediment budgets and morphological channel adjustments are closely related to changes in stream power. In ephemeral channels, whose geomorphic response depends on the magnitude and frequency of hydrological events isolated in time, such relationships are often difficult to establish. This study sought to quantitatively relate morphological adjustments to stream power along different reference channel reaches for the period 2018–2020 in the Azohía Rambla, a Mediterranean gravel-bed ephemeral stream in southeastern Spain. Very high resolution digital terrain models (VHR DTM) (at 1 to 2.5 cm pixel size), combined with ortophotographs and 3D point clouds, generated via SfM photogrammetry and terrestrial laser scanning (TLS) for pre- and post-event stages, together with ground-based surveys were used to estimate the spatial variability of morphological sediment budgets and to assess channel bed mobility and changes in net sediment flux during the study period in two spatial scenarios: reference channel reaches (RCRs) and pilot bed survey areas (PBSAs). The hydraulic variables (flow velocity, Froude number, shear stress, mean stream power and energy gradient, among other) were estimated using a 1D hydrodynamic model calibrated with field information. The high resolution maps allowed a spatially-explicit analysis of stream power and transport efficiency in accordance with the areas of erosion and deposition in each RCR. The incision and bed armoring processes showed different trends according to the stream power (ω), cumulative excess energy (εc), and relative bed stability (RBS). The greatest morphological adjustments at the event scale coincided with ω values above 300 W m−2, εc higher than 3 MJ, and RBS below 0.5. The relationships between the mean stream power gradient at peak flood discharges and the changes in bed elevation verified the bed aggradation (an average surface raising of 0.17 to 0.22 m for δω/δs of −6.2 to −14.5 W m−2 m−1) during the major flood and bed scour (average surface lowering of 0.16 to 0.19 m for δω/δs of 5.8 to 10.6 W m−2 m−1) in the moderated events at the bankfull and sub-bankfull stages. Furthermore, this study contributes new relevant data to the scarce existing literature on the relationships between stream power and morphosedimentary adjustments in a fluvial system highly sensitive and resilient to climate change, as is the case of ephemeral gravel-bed channels. © 2021 Elsevier B.V.</t>
  </si>
  <si>
    <t>2-s2.0-85120857182"</t>
  </si>
  <si>
    <t>World Development</t>
  </si>
  <si>
    <t>10.1016/j.worlddev.2021.105707</t>
  </si>
  <si>
    <t>https://www.scopus.com/inward/record.uri?eid=2-s2.0-85117187545&amp;doi=10.1016%2fj.worlddev.2021.105707&amp;partnerID=40&amp;md5=e54233508afd477872cdfcdbd4608965</t>
  </si>
  <si>
    <t>Linkages among climate change–related environmental stress, public assistance, and the spatial pattern of population change are assessed for neighboring coastal areas of India and Bangladesh. Environmental stress is measured using historical cyclone impacts, salinization, and land loss from erosion. Household migration decisions are based on current and expected future income streams in different locations. Rising environmental damage raises costs, but it may also induce increased public assistance that moderates or neutralizes those costs, diminishing migration incentives, even in areas hard-hit by climate change. Econometric estimates for the Sundarbans region shared by India and Bangladesh suggest that endogenous public assistance strongly dampens the migration response to rising environmental stress in both countries, though the assistance response and migration dampening are lower in Bangladesh. A broader analysis for the coastal region from India's Odisha State to eastern Bangladesh finds that present and past cyclone impacts are highly significant for explaining coastal population changes, although responses are lower in India because of lower environmental stress and greater public-assistance intensity. A counterfactual simulation suggests that, as a result of cyclones since 1970, the affected regions are 8–10% less populous in Bangladesh but only 2% less populous in India. The paper's findings motivate a discussion of the implications for alternative policy regimes as land erosion increases, and sea-level rise and salinization continue with climate change. After comparing the efficiency and equity of regimes that provide universal damage compensation or leave coastal households to fend for themselves, the paper suggests an alternative approach that focuses public resources on compensation for households that choose to relocate as the coastal threat mounts. © 2021</t>
  </si>
  <si>
    <t>2-s2.0-85117187545"</t>
  </si>
  <si>
    <t>Pennsylvania Geographer</t>
  </si>
  <si>
    <t>https://www.scopus.com/inward/record.uri?eid=2-s2.0-85213874243&amp;partnerID=40&amp;md5=0d9ca5a006cf524d152fac83f7c1bed9</t>
  </si>
  <si>
    <t>Sea level has been rising since the end of the last glacial maximum</t>
  </si>
  <si>
    <t>10.18520/cs/v123/i8/1050-1053</t>
  </si>
  <si>
    <t>https://www.scopus.com/inward/record.uri?eid=2-s2.0-85141777301&amp;doi=10.18520%2fcs%2fv123%2fi8%2f1050-1053&amp;partnerID=40&amp;md5=9e9b5af82b513ee7c4651dd6d6484a04</t>
  </si>
  <si>
    <t>Sea level measurements from tide-gauges, installed in harbours along the Indian coast by the Survey of India, are used to illustrate the differences in high tides during spring tides that occurred during lunar perigee and apo-gee (closest and farthest position of the moon in its ellip-tical orbit around the earth) in January and August 1974 respectively. The difference in maximum tidal heights between 9 January and 4 August of the year for Mumbai tidal record is about 87 cm, whereas for Chennai, Visa-khapatnam and Paradip, the differences vary between 20 and 25 cm. Kochi record shows a difference of about 13 cm, whereas the difference in predicted high tides at Bhavnagar is more than 1 m. Similar results are found for March and April 1980 during spring tides close to perigee and apogee respectively. Perigean spring tides can cause flooding in low-lying coastal areas along the northern parts of the Indian coast, which will get enhan-ced in future with mean sea-level rise due to global war-ming. © 2022, Current Science. All Rights Reserved.</t>
  </si>
  <si>
    <t>2-s2.0-85141777301"</t>
  </si>
  <si>
    <t>10.1016/j.dib.2021.107707</t>
  </si>
  <si>
    <t>https://www.scopus.com/inward/record.uri?eid=2-s2.0-85121221149&amp;doi=10.1016%2fj.dib.2021.107707&amp;partnerID=40&amp;md5=942c4c01d0e1e48f512c070b720ab77d</t>
  </si>
  <si>
    <t>Several gravity cores and vibro-cores were recovered from selected sites in the inner sector of Ría de Ferrol, NW Iberia (Muñoz Sobrino et al., 2021) [1]. These sediment cores were obtained during the surveys ECOMER-2014 and ECOMER-2015, developed from 2014 to 2015 on-board the R/V Mytilus (Consejo Superior de Investigación Científica) and the Amarradores Mil (Amarradores del Puerto y Ría de Ferrol, S.L.), respectively. Sedimentary and other multiproxy data presented here belong to four selected sediment cores located in the innermost part of the study area. Two were recovered using a gravity corer and another two using a vibro-corer. The depth of the cores and samples obtained is referred to the NMMA (the mean sea level in Alicante), which is the Spanish orthometric datum. One half of each core was subjected to non-destructive analysis using an ITRAX core scanner providing X-ray fluorescence (XRF) elemental data. Particle size distribution was characterised by laser diffraction. For radiocarbon dating, well-preserved articulated valves, small remains of wood and very organic bulk sediment from one location free of biogenic gas were selected. Palynological analyses were performed on selected sections of the sediment. All samples were spiked with Lycopodium spores for absolute palynomorph estimation and analysed using 400x and 600x magnifications. The ratio of dinoflagellate cyst concentrations to pollen, fern spore and dinoflagellate cyst concentrations (D/P ratio, ranging between 0 and 1) was calculated for each sample to show the temporal variation. Combined seismic, lithological, elemental, chronological and palynological data enable reconstructing the environmental changes that occurred during the local marine transgression. Besides, the combination of evidence identified may also be applied to other areas or periods in order to perform local reconstructions of changing coastal ecosystems. This type of high-resolution spatial-temporal reconstructions of past changes in estuarine environments may be a valuable tool for modelling, predicting and managing the changes and threats linked to the global warming and sea-level rise associated. © 2021</t>
  </si>
  <si>
    <t>2-s2.0-85121221149"</t>
  </si>
  <si>
    <t>International Journal of Climate Change: Impacts and Responses</t>
  </si>
  <si>
    <t>10.18848/1835-7156/CGP/v15i01/33-46</t>
  </si>
  <si>
    <t>https://www.scopus.com/inward/record.uri?eid=2-s2.0-85138649207&amp;doi=10.18848%2f1835-7156%2fCGP%2fv15i01%2f33-46&amp;partnerID=40&amp;md5=5981b4b8872d12c3cd9cd09992c73cf0</t>
  </si>
  <si>
    <t>In the context of international globalization and integration, there are both opportunities and challenges in the development of the Mekong Delta since this region is sensitive to changes in nature. The magnitude of climate change, sea-level rises, saltwater intrusion, and coastal erosion is more significant than forecasts suggested, leading to extreme weather events and affecting human lives. The negative impacts of climate change have caused serious damage to the livelihoods of households, especially for the Khmer ethnic people. The present study was conducted in the Mekong Delta, Vietnam. A total of 426 respondents were surveyed through structured questionnaires in Soc Trang, Tra Vinh, and Kien Giang provinces. The data were analyzed using the Livelihood Vulnerability Index (LVI) with equal weighting and unequal weighting through principal component analysis (PCA). Based on the results, the livelihood vulnerability of Khmer households due to climate change in the Mekong Delta can be categorized as vulnerable or moderate. Depending on the LVI or the LVI by the Intergovernmental Panel on Climate Change (LVI-IPCC) approach and the calculation method used, the level of vulnerability was found to vary among localities. Typically, Khmer households in Kien Giang had the highest level of LVI vulnerability when using equal weights, whereas Tra Vinh had the highest level of LVI vulnerability and was classified as very vulnerable when using equal weight. In addition, the results using PCA weights showed that livelihood strategies, well-being, and environmental shocks are important contributors to the livelihood vulnerability of Khmer households. Our findings suggest that government policies should involve local organizations and enterprises to improve the living standards and sustainable livelihoods of Khmer households. © Common Ground Research Networks, Nguyen Thi Thuy Loan, Diep Thanh Tung, All Rights Reserved.</t>
  </si>
  <si>
    <t>2-s2.0-85138649207"</t>
  </si>
  <si>
    <t>Scottish Geographical Journal</t>
  </si>
  <si>
    <t>10.1080/14702541.2022.2110610</t>
  </si>
  <si>
    <t>https://www.scopus.com/inward/record.uri?eid=2-s2.0-85135860778&amp;doi=10.1080%2f14702541.2022.2110610&amp;partnerID=40&amp;md5=dd259024fa7a89d3d850b2596618eef9</t>
  </si>
  <si>
    <t>The question of whether culturally-grounded stories (myths and legends) have any value in understanding past environmental changes is uncertain. Focused on stories that plausibly recall movements of the land-sea interface in Scotland in postglacial times, this paper summarises details of 11 stories that refer to submergence and 7 stories that refer to emergence. Most submergence stories are confined to the Outer Hebrides and include those recalling when it was possible to walk between places that are now islands. Emergence stories come from around the Scottish coast and include some from the Inner Hebrides. The agreement in direction of movement (submergence or emergence) with models of postglacial landscape change is almost perfect. By comparing submergence/emergence magnitudes to histories of relative sea-level change from glacial-isostatic adjustment models, it is possible to estimate ages for all the submergence stories to at least 2107­-8695 years BP and all the emergence stories to 674-7120 years BP. Land-uplift rates calculated from emergence stories agree with those from palaeo-shoreline analysis. As is becoming increasingly clear for other places to which ancient culturally-grounded stories about environmental change refer, these Scottish stories likely represent residues of millennia-old observations of coastal change. This study should encourage further investigations of ancient Scottish narratives. © 2022 Royal Scottish Geographical Society.</t>
  </si>
  <si>
    <t>2-s2.0-85135860778"</t>
  </si>
  <si>
    <t>10.1111/tgis.12854</t>
  </si>
  <si>
    <t>https://www.scopus.com/inward/record.uri?eid=2-s2.0-85117037440&amp;doi=10.1111%2ftgis.12854&amp;partnerID=40&amp;md5=e741756ec4723cf3c56566b96ffc39a6</t>
  </si>
  <si>
    <t>Archival spatial data sources (maps and aerial photographs) allow reconstruction and 3D visualization of landscapes that have been altered by human activity. This article is dedicated to the reconstruction of the 300 km-long pre-dam valley of the Vltava River (Czech Republic, Europe) inundated by nine reservoirs built between 1930 and 1992. We used methods based on archival aerial photographs and old maps to reconstruct pre-dam georelief, which is exceptional because the total area subject to the reconstruction is 1,670 km2. We found that old maps are preferred for terrain reconstruction. The map series “State Map Derived 1:5,000” released between 1950 and 1959 was chosen as the most suitable data source for the pre-dam valley reconstruction because this map series covers the entire area of interest with elevation information. Based on the processed maps, more than 26,000 km of contour lines were derived by semi-automatic vectorization. The resulting pre-dam digital elevation model (DEM) was created using a combination of interpolation techniques. We demonstrated that the methods used for georelief reconstruction under standard conditions should be used carefully while working with such large areas. Geostatistical analysis was performed to verify the accuracy of the resulting DEM. The differences between the model and LiDAR surveyed data were analyzed from three points of view: spatial autocorrelation, normality, and elevation stability. We tested several 3D printing methods for producing a realistic 3D model with a texture applied. The computer numerical control (CNC) milling method was chosen to produce 3D models of the three reservoirs at scales of 1:8,000 and 1:6,000. © 2021 John Wiley &amp; Sons Ltd.</t>
  </si>
  <si>
    <t>2-s2.0-85117037440"</t>
  </si>
  <si>
    <t>10.1109/JSTARS.2022.3189226</t>
  </si>
  <si>
    <t>https://www.scopus.com/inward/record.uri?eid=2-s2.0-85134219975&amp;doi=10.1109%2fJSTARS.2022.3189226&amp;partnerID=40&amp;md5=3554ff567489ace06c0893352b32b937</t>
  </si>
  <si>
    <t>Lidar-derived digital elevation models (DEMs) are crucial for modeling salt marsh evolution, forecasting inundation depth, frequency, and duration, and simulating sea level rise. Advances in lidar acquisition and data processing techniques have led to increased accuracy</t>
  </si>
  <si>
    <t>Geologie en Mijnbouw/Netherlands Journal of Geosciences</t>
  </si>
  <si>
    <t>10.1017/njg.2022.2</t>
  </si>
  <si>
    <t>https://www.scopus.com/inward/record.uri?eid=2-s2.0-85125696533&amp;doi=10.1017%2fnjg.2022.2&amp;partnerID=40&amp;md5=0f317774b8b297863a7a83198537add7</t>
  </si>
  <si>
    <t>This paper presents a geoarcheological study on potential canal subsections present in the Roman-age Vecht branch of the Rhine-Meuse delta (the Netherlands).The first Roman canals in this delta were dug around 12 BC by Drusus, but their location has been the subject of debate since the 16th century, with various hypotheses proposed. Based on actual palaeogeographical knowledge of the Rhine-Meuse delta, the Utrechtse Vecht hypothesis is considered the most plausible. Within the study area, in the northern part of the Vecht system, natural sections of this river may alternate with possible artificial reaches, created at the time of Drusus. Such artificial canals, being part of an otherwise natural channel belt system, can widen and deepen overtime, eroding all or most of the recognizable features associated with their original construction. As study area was chosen a relatively straight section of the Vecht between two former lakes. Two approaches were used. The first approach centred upon mapping channel morphology and recording sediment stratigraphy of the river deposits through detailed auger coring. Results corroborated the hypothesis of an originally straight feature (landform), confirming that it might have started life as a dug course, but not providing preserved archaeological remains of this stage. The second approach was chronological, whereby a programme of 14C dating was undertaken to refine the understanding of the origin and development of this reach of the Vecht, allowing earlier chronological investigations to be further contextualised and reassessed. A significant challenge to understand age control and floodplain evolution is the degradation of the top of the clayey peat that was observed below the levee deposits</t>
  </si>
  <si>
    <t>Facets</t>
  </si>
  <si>
    <t>10.1139/facets-2022-0121</t>
  </si>
  <si>
    <t>https://www.scopus.com/inward/record.uri?eid=2-s2.0-85141101826&amp;doi=10.1139%2ffacets-2022-0121&amp;partnerID=40&amp;md5=b26c555c668fc4158c2c4e1bf8b689f0</t>
  </si>
  <si>
    <t>Communities in coastal areas of Canada, including the Great Lakes, face a number of challenges, including increased water level variability and extreme weather events, causing flooding and localized erosion. To effectively respond to these coastal risks requires structured, deliberative approaches with the aim of fostering resilience and contributing to sustainability. A collaborative engagement process was used to explore community challenges. This included a project launch, key informant interviews, meetings, focus groups (agriculture, tourism, youth), and on-line methods (shoreline residents). Participatory social network analysis and theory of change were used for overall sense-making. As a result, community members identified six impact pathways moving forward with climate action: partnerships and collaboration</t>
  </si>
  <si>
    <t>https://www.scopus.com/inward/record.uri?eid=2-s2.0-85213849834&amp;partnerID=40&amp;md5=3df16acd7931f7f46acc5565fe73efcf</t>
  </si>
  <si>
    <t>Santa is a low-lying community situated along the lower Abra River and its delta off the coast of Ilocos Sur province in the northwest Philippines. Both the town and the river are subjected to heavy rains and flooding due to tropical cyclones that traverse the country. Based on historical records, Santa has changed its location multiple times, in relation to river morphology changes and/or associated floods. Using historical maps, satellite images, archival documents, and interviews, this study seeks to re-analyze and integrate these data to make a river-town geonarrative and create countermapped outputs that represent the “new folklife” geonarratives using GIS. Based on the outcome, a “confluence” prevails between the river’s natural behavior and people’s socio-cultural experiences, economic needs, and Disaster Risk Reduction and Management (DRRM) practices. The convergence of both lifeworlds influences the “long-ago,” the “ongoing,” and the “yet to come” river-tales that depict the “new folklife” geonarratives of a Philippine fluvialscape. © 2022, Pennsylvania Geographical Society. All rights reserved.</t>
  </si>
  <si>
    <t>2-s2.0-85213849834"</t>
  </si>
  <si>
    <t>10.3390/rs14041005</t>
  </si>
  <si>
    <t>https://www.scopus.com/inward/record.uri?eid=2-s2.0-85125010505&amp;doi=10.3390%2frs14041005&amp;partnerID=40&amp;md5=8c08444f04a097e758698cc972775827</t>
  </si>
  <si>
    <t>Intertidal bars are common features of sandy beaches in meso-and macro-tidal environments, yet their behaviour under storm impact and subsequent recovery remain poorly documented. Intensive surveys provide valuable information</t>
  </si>
  <si>
    <t>10.5194/nhess-22-97-2022</t>
  </si>
  <si>
    <t>https://www.scopus.com/inward/record.uri?eid=2-s2.0-85123761135&amp;doi=10.5194%2fnhess-22-97-2022&amp;partnerID=40&amp;md5=c2e633cbdc35321a3bff27c90240f0e5</t>
  </si>
  <si>
    <t>Storm surges represent a major threat to many low-lying coastal areas in the world. In the aftermath of an extreme event, the extent to which the event was unusual and the potential contribution of climate change in shaping the event are often debated. Commonly analyzes that allow for such assessments are not available right away but are only provided with often considerable time delay. To address this gap, a new tool was developed and applied to storm surges along the German North Sea and Baltic Sea coasts. The tool integrates real-time measurements with long-term statistics to put ongoing extremes or the course of a storm surge season into a climatological perspective in near real time. The approach and the concept of the tool are described and discussed. To illustrate the capabilities, several exemplary cases from the storm surge seasons 2018/2019 and 2019/2020 are discussed. It is concluded that the tool provides support in the near-real-time assessment and evaluation of storm surge extremes. It is further argued that the concept is transferable to other regions and/or coastal hazards. Copyright:  © 2022 Xin Liu et al.</t>
  </si>
  <si>
    <t>2-s2.0-85123761135"</t>
  </si>
  <si>
    <t>Advances in Meteorology</t>
  </si>
  <si>
    <t>10.1155/2022/9693303</t>
  </si>
  <si>
    <t>https://www.scopus.com/inward/record.uri?eid=2-s2.0-85140838323&amp;doi=10.1155%2f2022%2f9693303&amp;partnerID=40&amp;md5=8e9799b150e8fd67bcba19be93b64acb</t>
  </si>
  <si>
    <t>Mangroves are an essential plant community in coastal ecosystems. While the importance of mangrove ecosystems is well acknowledged, climate change is expected to have a considerable negative impact on them, especially in terms of temperature, precipitation, sea level rise (SLR), ocean currents, and increasing storminess. Sri Lanka ranks near the bottom of the list of countries researching this problem, even though the scientific community's interest in examining the variation in mangrove health in response to climate change has gained significant attention. Consequently, this study illustrates how the leaf area index, a measure of mangrove health, fluctuates in response to varying precipitation, particularly during droughts in Sri Lanka's Kadolkele mangrove forest. The measurements of the normalized difference vegetation index (NDVI) were used to produce the leaf area index (LAI), which was then combined with the standard precipitation index (SPI) to estimate the health of the mangroves. The climate scenario, RCP8.5, was used to forecast future SPI (2021-2100), and LAI was modeled under the observed (1991-2019) and expected (2021-2100) drought events. The study reveals that the forecasted drought intensities modeled using the RCP8.5 scenario have no significant variations on LAI, even though some severe and extreme drought conditions exist. Nevertheless, the health of the mangrove ecosystem is predicted to deteriorate under drought conditions and rebound when drought intensity decreases. The extreme drought state (-2.05) was identified in 2064</t>
  </si>
  <si>
    <t>Utrecht Law Review</t>
  </si>
  <si>
    <t>10.36633/ulr.803</t>
  </si>
  <si>
    <t>https://www.scopus.com/inward/record.uri?eid=2-s2.0-85159190041&amp;doi=10.36633%2fulr.803&amp;partnerID=40&amp;md5=6221c0a4193bfc3f977c8a0840007c34</t>
  </si>
  <si>
    <t>Many deltas are increasingly threatened by environmental change, including climate change-induced sea-level rise, land subsidence and reduced sediment delivery. Dealing with these challenges is a pressing necessity because deltas are home to many people and are important centres for economic and agricultural development. Successfully adapting to climate change requires a social-ecological system (SES) perspective, emphasising that social and ecological components of deltas are intertwined. Various modes of governance have been suggested to deal with uncertainty associated with environmental change in SESs, such as adaptive governance. Adaptive governance underlines the need for governance systems to be flexible enough to adapt to variable degrees of uncertainty in SESs. In this paper, we analyse the Dutch Delta Programme (DDP) and the Mekong Delta Plan (MDP) to explore their strengths and limitations relating to nine principles for adaptive governance proposed by DeCaro and others. We evaluate the suitability of this framework for the Rhine and Mekong deltas and contribute to the current understanding of delta governance in light of climate change. Most of the principles outlined by DeCaro and others are present in the DDP and MDP. However, adaptive governance is context dependent. The Rhine and Mekong deltas display different obstacles to adaptive governance, some of which are not sufficiently emphasised in this academic adaptive governance framework. Instead of relying on one framework as a blueprint for adaptive governance, using principles from different frameworks depending on the case may be the best approach for addressing environmental challenges in deltas © 2022 The Author(s). This is an open-access article distributed under the terms of the Creative Commons Attribution 4.0 International License (CC-BY 4.0), which permits unrestricted use, distribution, and reproduction in any medium, provided the original author and source are credited. See http://creativecommons.org/licenses/by/4.0/</t>
  </si>
  <si>
    <t>2-s2.0-85159190041"</t>
  </si>
  <si>
    <t>10.1080/27669645.2022.2095715</t>
  </si>
  <si>
    <t>https://www.scopus.com/inward/record.uri?eid=2-s2.0-85134170338&amp;doi=10.1080%2f27669645.2022.2095715&amp;partnerID=40&amp;md5=3303c35103ddbecc40643f247b16972a</t>
  </si>
  <si>
    <t>Predicting coastal sea level rise during the 21st century is essential for risk assessments. It is, therefore, a central theme for numerous studies in predicting sea level rise at coastal regions using historical tide gauge measurements. However, these investigations rarely investigated if such an extrapolation of sea level rise at a coastal region is viable without evidence. This study proposes a broadly framed three-tier statistical validation approach for kinematic models that use tide gauge measurements in sea level predictions. It consists of a concurrent (contemporaneous) validation, retrospective (hindcast) validation and prospective (forecast) validation. The modus operandi for each stage is exemplified using sea level measurements at Brest tide gauge station since 1800. The proposed three-tiered validation process provide statistical information about the predictions to be made at this station. © 2022 The Author(s). Published by Informa UK Limited, trading as Taylor &amp; Francis Group.</t>
  </si>
  <si>
    <t>2-s2.0-85134170338"</t>
  </si>
  <si>
    <t>10.1029/2021GL096813</t>
  </si>
  <si>
    <t>https://www.scopus.com/inward/record.uri?eid=2-s2.0-85123800388&amp;doi=10.1029%2f2021GL096813&amp;partnerID=40&amp;md5=44ccf45cfc7f5e0125ccb425ab3c3453</t>
  </si>
  <si>
    <t>Acquiring accurate and timely datasets on tidal flat topography is fundamental for studies, management, and policy-making in coastal zones. In this study, we report a fusion method of freely accessed and global-scale Sentinel-2 (imagery) and Ice,Cloud, and Land Elevation Satellite-2 (ICESat-2) (laser altimetry) datasets for deriving tidal flat topography. The basic idea is to construct a model on characterizing the specific relationship between the elevations of the tidal flat (from ICESat-2 data) and corresponding inundation frequencies (from Sentinel-2 time-series). The proposed method was validated for the largest tidal flat on the Chinese continental shelf with a root mean square error of 0.23 m. We highlight that this method solely relies on satellite data and does not require any in-situ data because ICESat-2 provides dense and accurate along-track points as valuable prior elevation information, which enhance the ability to obtain tidal flat topography in many coastal regions even in the absence of local in-situ data. © 2022. American Geophysical Union. All Rights Reserved.</t>
  </si>
  <si>
    <t>2-s2.0-85123800388"</t>
  </si>
  <si>
    <t>10.1109/JSTARS.2022.3195744</t>
  </si>
  <si>
    <t>https://www.scopus.com/inward/record.uri?eid=2-s2.0-85139183549&amp;doi=10.1109%2fJSTARS.2022.3195744&amp;partnerID=40&amp;md5=174c2fc1b2951750ff1690fa7c930789</t>
  </si>
  <si>
    <t>Tidal flats are internationally protected areas because of their environmental, geological, and economic value. Nevertheless, these are areas where casualties are common among visitors. To ensure the safety of visitors, efforts must be made to understand the geomorphologic characteristics of tidal flats. It is necessary to use three-dimensional (3-D) topographic data to clearly determine when an exposed tidal flat rapidly disappears as a result of periodic tidal fluctuations. Digital elevation models (DEMs) created using unmanned aerial vehicle (UAV) imaging and commercial photogrammetric software to measure tidal flats are produced using ground control points (GCPs). It is difficult to conduct field surveys and readings of image coordinates that correspond to these because tidal flat areas are difficult to access. The distribution of GCPs affects the accuracy of a DEM because the entire test region cannot be covered during a survey. Without GCPs, the DEM generated with the UAV images and photogrammetric software using the structure from the motion technique probably has nonlinear distortion such as a bowl shape. This article proposes a practical method of least-squares 3-D surface matching with a polynomial model (LS3D-PM) to correct a distorted DEM. For this LS3D-PM matching, a global TanDEM-X DEM was used instead of a field survey to collect the GCPs in a tidal flat. Practical testing was conducted using the proposed method. The root-mean-square error with respect to the height decreased from approximately 1.0 to 0.1 m, and the bowl-effect error was eliminated. With the DEM corrected using the proposed method and the classified orthoimages, the exposed tidal flat changes due to seawater invasion were estimated at different times during flood tide. This method has nontrivial technical values for quick and relatively precise DEM generations at a low cost compared to that of other techniques, particularly in emergency situations such as tsunamis, landslides, and earthquakes. © 2008-2012 IEEE.</t>
  </si>
  <si>
    <t>2-s2.0-85139183549"</t>
  </si>
  <si>
    <t>10.1016/j.geomorph.2021.108075</t>
  </si>
  <si>
    <t>https://www.scopus.com/inward/record.uri?eid=2-s2.0-85122080502&amp;doi=10.1016%2fj.geomorph.2021.108075&amp;partnerID=40&amp;md5=0eebd613a4db973a281a5f566bc60afb</t>
  </si>
  <si>
    <t>The Yangtze River Delta (YRD) and Mississippi River Delta (MRD) are two of the largest deltas in the world. Despite similar forcing conditions of fluvial sediment reduction and relative sea-level rise, there are significant differences in deltaic change caused by hydrodynamics and human activities. In this review, we compare the morphological changes of the two deltas at multiple spatial and temporal scales and identify the lessons learned from past engineering and management strategies. While the YRD has seen an increase of subaerial land of ~1500 km2 since 1950, the MRD has lost approximately 5000 km2 of land since the early 1930s. Extensive land reclamation and coastal shoreline embankment in the YRD have led to land gain at the expense of tidal wetland shrinkage. In contrast, flood control, waterway transportation, and petroleum industry in the MRD have resulted in levee construction and canal building, which together with subsidence and sea-level rise, have led to significant wetland loss in the MRD. The tidal forcing in the YRD is much stronger than that in the MRD, which has played a role in redistributing subaqueous sediment back into the delta plain, offsetting the negative effect of fluvial sediment reduction. In contrast with continuous population increase on the YRD, wetland loss and exposure to flooding hazards have resulted in population loss on the MRD. These comparative analyses reveal that nature and human interventions have acted together in shaping the modern deltaic morphology. Using the Driver-Pressure-State-Impact-Response (DPSIR) analysis framework, we propose a conceptual model to provide holistic understanding of the natural-human coupled delta system and management strategies, which could yield broad implications for coping with the future challenges in global deltas. © 2021 Elsevier B.V.</t>
  </si>
  <si>
    <t>2-s2.0-85122080502"</t>
  </si>
  <si>
    <t>10.1029/2021JC017964</t>
  </si>
  <si>
    <t>https://www.scopus.com/inward/record.uri?eid=2-s2.0-85125149472&amp;doi=10.1029%2f2021JC017964&amp;partnerID=40&amp;md5=8a13fc26cc7171007b01ad83a39e12d8</t>
  </si>
  <si>
    <t>Medicanes, for Mediterranean hurricanes, are mesoscale cyclones with morphological and physical characteristics similar to tropical cyclones. Although less intense, smaller, and rarer than their Atlantic counterparts, medicanes are very hazardous events threatening islands and continental coasts within the Mediterranean Sea. The latest strong episode, Medicane Ianos (September 2020), resulted in severe damages in Greece and several casualties. This work investigates the oceanic response to these extreme events along the Mediterranean coasts under present-day and future (late 21st century) climate conditions. To this end, a coupled hydrodynamic-wave model is used to simulate both storm surges and wind-waves generation and propagation in the Mediterranean Sea at high resolution (∼2 km) along the coastlines. A data set of thousands of medicanes synthetically generated from 20 global climate models and two atmospheric reanalyses is used to derive the atmospheric forcing fields. Regional coastal hazards assessment is performed for the present and future climates. For the first period, highest medicane-induced waves are found in the central and the southwest part of the western Mediterranean, while greatest storm surges are found in the Adriatic Sea and regions characterized by wide and gently sloping continental shelves. Results obtained for future changes show amplitudes generally smaller than the associated uncertainty due to limited agreement among models (especially for coastal elevation). Though, model consensus is reached (60–75%) and relative intensity change is significant (10–20%) at some locations (e.g., 1 m increase of medicane-induced significant wave height on average for south coasts of Sicilia). © 2022. The Authors.</t>
  </si>
  <si>
    <t>2-s2.0-85125149472"</t>
  </si>
  <si>
    <t>Town and Regional Planning</t>
  </si>
  <si>
    <t>10.18820/2415-0495/trp81i1.5</t>
  </si>
  <si>
    <t>https://www.scopus.com/inward/record.uri?eid=2-s2.0-85143966085&amp;doi=10.18820%2f2415-0495%2ftrp81i1.5&amp;partnerID=40&amp;md5=66515a47fb2620c4f490b2a1d5f7bd23</t>
  </si>
  <si>
    <t>This article sought to review the literature on the effectiveness of the disaster preparedness plans in two provinces that were struck by climate-induced disasters in South Africa in 2022. Making use of a qualitative desktop study, the effects of urbanisation and infrastructure development on the deadly disasters of April 2022 were examined, using thematic analyses. The review reveals a complex combination of the causes of disaster in both KwaZulu-Natal and the Eastern Cape, which included unplanned urbanisation; ineffective warning systems; inadequate infrastructure, and houses being built on floodplains, in wetland, and in coastal areas. The lack of climate knowledge among government officials and communities prone to climate-induced disasters was considered to have led to the severe devastating effects of the April 2022 disasters. These challenges were compounded by the failure of municipal officials to harness learnings from the rich indigenous knowledge systems of the vulnerable groups and to reverse impacts of the disasters. The article summarises the causes, challenges, impacts, and solutions that can be considered to plan for disaster preparedness.</t>
  </si>
  <si>
    <t>10.1111/bre.12609</t>
  </si>
  <si>
    <t>https://www.scopus.com/inward/record.uri?eid=2-s2.0-85114872808&amp;doi=10.1111%2fbre.12609&amp;partnerID=40&amp;md5=9a2705ccdd6af0cebadffa8e8b2dcd15</t>
  </si>
  <si>
    <t>The interaction between sedimentary wedge dynamics and paleo-fracture zones is investigated offshore western Niger Delta lobe (WNDL) to reconstruct the evolution of the delta from the Cretaceous to present. This was achieved through detailed regional seismic interpretation, calibrated with well data. Our results suggest that high sedimentation rates in the WNDL since the Serravallian–Tortonian triggered the migration of the ‘Oligocene-Tortonian extensional zone’ and gravity spreading seawards (from a present-day onshore to a present-day offshore position), with extensional, translational and contractional deformation. An additional increase in sedimentation rate since the early Pliocene, further accelerated gravity spreading and the development of the present-day contractional front. A five-stage tectono-stratigraphic evolution of the offshore WNDL from the late Cretaceous to present is proposed. Paleo-topographies formed by the Charcot and Chain Fracture Zones exerted depositional control on the stratigraphic architecture of the offshore WNDL from the Cretaceous to Serravallian. Differential subsidence on both sides of the relict Charcot and Chain transform faults is responsible for the segmentation of gravity-driven deformation of the eastern and western Niger Delta lobes. In addition, a comparison of the stratigraphic architecture of the eastern Niger Delta lobe (ENDL) and WNDL demonstrates a similar overall progradation and sediment bypass to the deep basin during the Pliocene. During the Pleistocene, the two lobes show a distinct evolution and architecture: the ENDL shows an overall retrogradation and sediment sequestration on the shelf, whereas the WNDL displays an overall progradation and sediment bypass. This study documents long-term and large-scale control of delta dynamics and paleo-topography on gravity-driven deformation of the offshore eastern and western Niger Delta lobes, and similar analysis could be applied in the reconstruction of other passive margin basins. © 2021 International Association of Sedimentologists and European Association of Geoscientists and Engineers and John Wiley &amp; Sons Ltd</t>
  </si>
  <si>
    <t>2-s2.0-85114872808"</t>
  </si>
  <si>
    <t>10.3133/ofr20221121</t>
  </si>
  <si>
    <t>https://www.scopus.com/inward/record.uri?eid=2-s2.0-85149001882&amp;doi=10.3133%2fofr20221121&amp;partnerID=40&amp;md5=8e3a50668fae6fdafd212592dd12eced</t>
  </si>
  <si>
    <t>Terrestrial sediment discharging from watersheds off West Maui, Hawaiʻi, has been documented as a primary stressor to local coral reefs, causing coral reef health to decline. The U.S. Geological Survey acquired and analyzed physical oceanographic and sedimentologic field data off the coast of West Maui to calibrate and validate physics-based, numerical hydrodynamic and sediment transport models of the study area developed by Deltares. These models simulated terrestrial sediment transport and dispersal from West Maui watersheds into coastal waters and how terrestrial sediment affects nearby coral reefs under different oceanographic forcing and watershed restoration scenarios. Wave energy and near-bed turbidity are positively correlated in the field observations, illustrating a process not captured by the model simulations in which sediment already deposited on the seabed is resuspended by wave action and subsequently transported by prevailing currents. In the model simulations, large waves during flood events led to a decrease in suspended-sediment concentrations. Notably, however, the model results only consider sediment entering coastal waters from five stream sources and do not simulate sediment already present on the seabed. The model simulations project that the Honokeana and Māhinahina coral reefs would experience the greatest reduction in sediment impacts from theoretical watershed restoration. Additionally, when large waves coincide with flood events, post-storm sedimentation generally decreases in the nearshore region, but increases in the region offshore of the reefs. The measured and modeled sediment dynamics demonstrate a demarcation between the coral reefs sheltered within embayments (Honolua reef) or behind points (Wahikuli reef) and those along the relatively open coastline between Kapalua and Kāʻanapali (Kapalua, Honokeana, Māhinahina, and Honokōwai reefs). The sheltered sites are affected by terrestrial sediment from single stream mouths, where most sediment is delivered within hours of a flood (rain) event. Once this sediment enters the nearshore, it settles out and remains within the reef area for a prolonged period owing to a lack of wave or current-driven bed shear stress. Thus, the primary effect of sediment on the reefs within these sheltered areas is sedimentation. In contrast, coral reefs along the unsheltered (or “open”) section of coastline (between Kapalua and Kāʻanapali) are more exposed to waves and terrestrial sediment from multiple stream sources. At these reefs, fine-grained terrestrial sediment can rarely settle but instead remains in suspension. Thus, even long after a flood event has occurred, these sites chronically experience light attenuation from suspended sediment. These analyses underscore the importance of under-standing how coastal ocean waves and circulation can lead to different sediment dynamics and stressors for coral reefs along the same region of the West Maui coastline. These differing factors indicate that the most effective watershed restoration and mitigation strategies may vary among the different coral reefs and streams. An important next step is to determine how the science of this study can support management goals for these coral reefs: what are target reductions of sedimentation, suspended-sediment concentrations, or the resulting light attenuation? Then, using the coupled hydrodynamic-sediment model, we can examine which watershed restoration scenarios in each stream will best achieve those targets. © 2022, US Geological Survey. All rights reserved.</t>
  </si>
  <si>
    <t>2-s2.0-85149001882"</t>
  </si>
  <si>
    <t>10.1016/j.margeo.2021.106709</t>
  </si>
  <si>
    <t>https://www.scopus.com/inward/record.uri?eid=2-s2.0-85122593010&amp;doi=10.1016%2fj.margeo.2021.106709&amp;partnerID=40&amp;md5=af385ad0e2052155288d7d3cfc005476</t>
  </si>
  <si>
    <t>Globally, communities, ecosystems, and assets situated within the coastal zone will likely experience increased risk in the future owing to chronic and acute pressures associated with climate change and accompanying sea level rise. Gravel barrier islands represent an intermediate pathway between seaward hazards and vulnerable landward receptors and possess inherent morpho-sedimentary characteristics which allow coastal risk reduction functions. If gravel barriers are to be usefully and reliably integrated into broader coastal risk management strategies, there is a need to understand the extent to which these landforms are likely to remain resilient under future environmental conditions. Using the Blakeney Point Barrier System, southern North Sea, this study investigates the resilience of gravel barrier landforms to storm surge conditions under future sea level rise scenarios. Resilience is assessed through reference to barrier resistance, susceptibility to state change, persistence, and continued functional performance. Numerical modelling reveals that variable pre-surge barrier morphologies result in a spectrum of episodic resilience trajectories along the barrier frontage. This study also considers the role of humans in altering landscape resilience, demonstrating that previously managed barrier sections (through reprofiling to steepen and heighten the barrier) are more vulnerable to severe morphological change, and associated landward overtopping volume, compared to unmanaged barrier sections. This said, under moderate to high sea level rise, even unmanaged barrier sections failed to demonstrate resilience to storm surge forcing. Such insights help temper our expectations regarding the coastal erosion and flood risk reduction functions of gravel barriers in the face of global environmental change. © 2021</t>
  </si>
  <si>
    <t>2-s2.0-85122593010"</t>
  </si>
  <si>
    <t>Journal of Geodetic Science</t>
  </si>
  <si>
    <t>10.1515/jogs-2022-0143</t>
  </si>
  <si>
    <t>https://www.scopus.com/inward/record.uri?eid=2-s2.0-85146010603&amp;doi=10.1515%2fjogs-2022-0143&amp;partnerID=40&amp;md5=66bd22c08bacc7fbf6782b1f1cc3d313</t>
  </si>
  <si>
    <t>Airborne gravimetry is an efficient and reliable method to obtain information on the gravity field, fundamental to gravity field modelling, geoid determination, and flood risk mapping. In evaluation and utilization of gravity estimates, two measures are of fundamental importance, namely the accuracy and spatial resolution. These measures are related to one another through the filtering required to suppress observational noise. As strapdown inertial measurement units (IMUs) are increasingly deployed for airborne gravity surveys, the Kalman filter estimation method is routinely used for gravity determination. Since filtering is not applied directly to the observations in Kalman filtering, it is not straightforward to associate the derived gravity estimates with a measure of spatial resolution. This investigation presents a method for deriving spatial resolution by evaluating the transfer function formed after applying a delta function to the observed accelerations. The method is applied to Kalman-filter-derived gravity estimates from an airborne strapdown IMU system, yielding a full-wavelength spatial resolution of 5.5 km at an accuracy of 0.6 mGal. These results are consistent with a comparison with upward continued terrestrial gravity observations. © 2022 the author(s), published by De Gruyter. License.</t>
  </si>
  <si>
    <t>2-s2.0-85146010603"</t>
  </si>
  <si>
    <t>10.3390/rs14040914</t>
  </si>
  <si>
    <t>https://www.scopus.com/inward/record.uri?eid=2-s2.0-85124955946&amp;doi=10.3390%2frs14040914&amp;partnerID=40&amp;md5=47d42b15531bd6bd16e80b12a53b5239</t>
  </si>
  <si>
    <t>In the last five years, the urban development of the city of Limassol has rapidly increased in the sectors of industry, trade, real estate, and many others. This exponentially increased urban development arises several concerns about the aggravation of potential land subsidence in the Limassol coastal front. Forty six Copernicus Sentinel-1 acquisitions from 2017 to 2021 have been processed and analyzed using the Sentinel Application Platform (SNAP) and the Stanford Method for Persistent Scatterers (StaMPS). A case study for the identification and analysis of the persistent scatterers (PS) in pixels in a series of interferograms and the quantity of the land displacements in the line of sight of the Limassol coastal front is presented in this research, with subsidence rates up to about (−5 to 4 mm/year). For the validation of the detected deformation, accurate ground-based geodetic measurements along the coastal area were used. Concordantly, considering that there is a significant number of skyscrapers planned or currently under construction, this study attempts a preliminary assessment of the impact these structures will pose on the coastal front of the area of Limassol. © 2022 by the authors. Licensee MDPI, Basel, Switzerland.</t>
  </si>
  <si>
    <t>2-s2.0-85124955946"</t>
  </si>
  <si>
    <t>10.4102/JAMBA.V14I1.1258</t>
  </si>
  <si>
    <t>https://www.scopus.com/inward/record.uri?eid=2-s2.0-85147687631&amp;doi=10.4102%2fJAMBA.V14I1.1258&amp;partnerID=40&amp;md5=f470291265e0f0fbda7387b241fdd163</t>
  </si>
  <si>
    <t>Flood risk reduction in Indonesia is primarily still focused on structural measures with limited research assessing community adaptation strategies. The response and adaptation strategies carried out by the community have been recognized as playing an important role in planning future mitigation actions. Community adaptation strategies are key factors in disaster risk reduction. This study aimed to determine the responses and adaptation strategies to manage tidal floods by the coastal community of Langsa City. An in-depth interview with village heads and officials, youth leaders and the community was performed to generate data. The results showed that the local community ignored the dangers of tidal floods and disregarded them as life-threatening. Furthermore, they carried out adaptations, such as raising the house level using wood materials and building dams along the coastline autonomously without government intervention. The adaptations were carried out through communal work referred to as ‘gotong royong’ (mutual cooperation). Contribution: These findings highlight the importance of ‘gotong royong’ as social capital in disaster risk reduction and government attention to conduct integrated coastal area management. © 2022. The Authors. Licensee: AOSIS. This work is licensed under the Creative Commons Attribution License.</t>
  </si>
  <si>
    <t>2-s2.0-85147687631"</t>
  </si>
  <si>
    <t>10.1080/15481603.2022.2143670</t>
  </si>
  <si>
    <t>https://www.scopus.com/inward/record.uri?eid=2-s2.0-85142276057&amp;doi=10.1080%2f15481603.2022.2143670&amp;partnerID=40&amp;md5=fdd9908a24660542dec53a7bcb475525</t>
  </si>
  <si>
    <t>Satellite remote sensing is a highly valuable data source useful in the monitoring of surface water dynamics and an essential tool in flood risk management although several factors can interfere with the detection of water features. This study explores an approach that integrates satellite optical images and DEM-based hydrogeomorphic features to enhance real‐time identification of river flooding. Spectral indices, namely MNDWI and the combination of NDWI/NDTI, were taken from Sentinel-2 images and used to detect flooded areas, while DEMs were used to identify areas more exposed to river flooding using the Geomorphic Flood Index. The integration/overlapping of these layers allowed us to refine the final map with a significant detection improvement compared to those based exclusively on the segmentation of a spectral index. The proposed integrated approach was tested in five areas of the Piave river (Northern Italy) where a flooding event caused by the Vaia storm took place in October 2018. Results have been evaluated against reference maps produced manually in five selected areas, demonstrating good capabilities of the proposed procedure (mean accuracy 0.90), significantly reducing false alarms (Matthews Correlation Coefficient improvements among 0.02–0.43 in 4 out of 5 areas). The key advantages of such a procedure are the rapid application and the free and easy availability of the data that, in turn, allow for the investigation of large areas in the aftermath of an event. © 2022 The Author(s). Published by Informa UK Limited, trading as Taylor &amp; Francis Group.</t>
  </si>
  <si>
    <t>2-s2.0-85142276057"</t>
  </si>
  <si>
    <t>10.3389/feart.2021.756936</t>
  </si>
  <si>
    <t>https://www.scopus.com/inward/record.uri?eid=2-s2.0-85125073320&amp;doi=10.3389%2ffeart.2021.756936&amp;partnerID=40&amp;md5=b994e1f62ba490c509613c733c549c53</t>
  </si>
  <si>
    <t>Coastlines are subject to multiple developments related to land use planning and the effects of climate change. These developments generally lead to an increase in the risk of coastal flooding. This article focuses on systems to protect against this hazard, and presents a bibliographical analysis on methods and operational tools to strengthen their resilience. This analysis is carried out by considering that a system of protection is a component of the territory to which it provides protection and that it is therefore necessary to study in depth the relations between this system and the various components of the territory (the natural environment, the built environment and the social and institutional environment). Based on this hypothesis, the concepts of risk and resilience applied to floods are specified and the protection and adaptation strategies commonly used in recent decades are described. This retrospective on concepts and strategies leads us to structure the state-of-the-art analysis on methods and operational tools in relation to two issues: 1) understanding risks</t>
  </si>
  <si>
    <t>10.3390/rs14040949</t>
  </si>
  <si>
    <t>https://www.scopus.com/inward/record.uri?eid=2-s2.0-85124959186&amp;doi=10.3390%2frs14040949&amp;partnerID=40&amp;md5=0647c517d533d7a903e5cb9e1ae43ac5</t>
  </si>
  <si>
    <t>Frequent ice avalanche events are being reported across the globe in recent years. On the 7 February 2021, a flash flood triggered by a rock-ice avalanche with an unusually long runout distance, caused significant damage of life and property in the Tapovan region of the Indian Himalaya. Using multi-temporal satellite datasets, digital terrain models (DTMs) and simulations, here we report the pre-event and during-event flow characteristics of two large-scale avalanches within a 5-year interval at the slope failure site. Prior to both the events, we observed short-term and long-term changes in surface velocity (SV) with maximum SVs increasing up to over 5 times the normal values. We further simulated the events to understand their mechanical characteristics leading to long runouts. In addition to its massive volume, the extraordinary magnitude of the 2021 event can partly be attributed to the possible remobilisation and entrainment of the colluvial deposits from previous ice and snow avalanches. The anomalous SVs should be explored further for their suitability as a possible remotely observable precursor of ice avalanches from hanging glaciers. This sequence of events highlights that there is a need to take into account the antecedent conditions, while making a holistic assessment of the hazard. © 2022 by the authors. Licensee MDPI, Basel, Switzerland.</t>
  </si>
  <si>
    <t>2-s2.0-85124959186"</t>
  </si>
  <si>
    <t>10.1016/j.ijdrr.2021.102741</t>
  </si>
  <si>
    <t>https://www.scopus.com/inward/record.uri?eid=2-s2.0-85122013719&amp;doi=10.1016%2fj.ijdrr.2021.102741&amp;partnerID=40&amp;md5=ca213d586560a36602b24210539e23a5</t>
  </si>
  <si>
    <t>Factors that often make coastal areas prone to high-cost flood damage include its low-lying topography, tropical and subtropical climates, miles of coastline exposed to hurricane and storm surge hazards, and older housing stock. In this study, we sought to develop a platform that can be used by various stakeholders to re-evaluate and reframe community risk through the use of mobile LiDAR technology to create a current 3D digital elevation model of all homes, businesses, and infrastructure in shoreline communities within the current 100-year floodplain in one county in New Jersey. An innovative strategy for extracting property elevation information from mobile LiDAR and mobile imagery was developed utilizing a web-based approach. Unlike traditional elevation extraction approaches that require field surveys, the proposed method does not require an onsite inspection from certified surveyors, which is often computationally expensive but the key method to current elevation certificate generation. Thus, the proposed approach makes it possible to obtain accurate structure elevation and realize the elevation extraction for large-scale community areas. Results indicate that overall, 96.5% of building diagrams identified with our method have the same value as the original elevation certificate documents. For the estimation of elevation certificate C2a elevation, the estimated error is between 0.082 ft (0.025 m) and 0.104 ft (0.032 m) at the 95% confidence level. Similarly, the C2b elevation had an estimated error between 0.133 ft (0.040 m) and 0.136 ft (0.041 m) at the 95% confidence level. © 2021</t>
  </si>
  <si>
    <t>2-s2.0-85122013719"</t>
  </si>
  <si>
    <t>10.3389/frwa.2022.834132</t>
  </si>
  <si>
    <t>https://www.scopus.com/inward/record.uri?eid=2-s2.0-85127061172&amp;doi=10.3389%2ffrwa.2022.834132&amp;partnerID=40&amp;md5=04132cd3bc6a2ffc1355dab7d5f450e0</t>
  </si>
  <si>
    <t>Outburst floods released by failing barrier dams are likely to be catastrophic, posing high risk to downstream areas. However, emergent forecasting of the breaching process is still challenging due to the complex mechanisms as well as the lack of adequate data. During October and November 2018, four tremendous barrier lakes formed and breached on the Jinsha River and the Yarlung Zangbo River, China. In this paper, we present numerical simulations for three of these events (October 17 and October 29 at Jiala Village, Yarlung Zangbo</t>
  </si>
  <si>
    <t>10.1007/s11069-021-05024-w</t>
  </si>
  <si>
    <t>https://www.scopus.com/inward/record.uri?eid=2-s2.0-85114677246&amp;doi=10.1007%2fs11069-021-05024-w&amp;partnerID=40&amp;md5=e62900f566f1421380fe700a57310b2a</t>
  </si>
  <si>
    <t>Many coastal cities in developing countries are at the risk of flooding due to a progressive increase in the built-up areas and poor management of storm water. The flooding situation in coastal cities gets accentuated further due to climate-induced natural disasters such as cyclones and climate change-induced sea-level rise that adversely impact the city's natural drainage potential. This study developed a composite urban flood risk index consisting of three sub-indices and 20 key natural, physical, social, and economic influencing variables for a coastal city (i.e., Cuttack) in eastern India, the intensity of storm run-off being one among the many. The intensity–duration–frequency curve developed shows that the city can experience floods with a peak discharge of 1320 cubic metre per second every alternate year for a rainfall intensity of 2-h duration. The urban flood risk index computed for all the city wards shows that out of the 59 wards, only one ward has low flood risk (index value &lt; 0.40) and 20 wards are at high risk (index value 0.55 and above) from the urban flood. Thereafter, factors leading to high risk due to urban floods were identified and the institutional capacities available with the urban utility for fighting floods analysed. © 2021, The Author(s), under exclusive licence to Springer Nature B.V.</t>
  </si>
  <si>
    <t>2-s2.0-85114677246"</t>
  </si>
  <si>
    <t>Journal of the Meteorological Society of Japan</t>
  </si>
  <si>
    <t>10.2151/jmsj.2022-034</t>
  </si>
  <si>
    <t>https://www.scopus.com/inward/record.uri?eid=2-s2.0-85135062585&amp;doi=10.2151%2fjmsj.2022-034&amp;partnerID=40&amp;md5=d4122cc3737999766b0af0213ae2228e</t>
  </si>
  <si>
    <t>The maximum storm surges caused by Typhoon Jebi (2018) were examined using a storm surge model and using track ensemble simulations based on a meteorological model and a parametric tropical cyclone (TC) model. The storm surge at Osaka Port was estimated more accurately by the meteorological model than the parametric TC model. The differences between both models were due to a “wind setup effect”, where the topography en-hanced surface winds over Osaka Bay. The typhoon-track ensemble simulations demonstrated that the maximum storm surge was dependent on the perturbation of the track of Typhoon Jebi along the entire coast of the Japanese Islands, including the main island, Kyushu, and Shikoku. Open shallow bays had maximum storm surges exceed-ing 2.50 m. In coastal areas where larger maximum storm surges were estimated, the longitudinally perturbed “worst-case course” appeared 0.4 – 0.8° west or east of the “hit course”, indicating that the wind setup effect was an important factor in the maximum storm surge. The distance of the worst-case course from the hit course was almost the same as the radius of the maximum wind of Typhoon Jebi. Although the models had similar worst-case courses for each coastal area, the meteorological model estimated a slightly higher simulated maximum storm surge than the parametric TC model. For the main island, Kyushu, and Shikoku, approximately 6 % of the maximum storm surges exceeded 2.00 m. Although these values may differ for other typhoons and sampling points, it is important to estimate the maximum storm surges and worst-case courses at all coastal areas, including regions where storm surges by typhoons are unknown yet they occurred, because this will provide important information enabling effective disaster prevention and risk management. © The Author(s) 2022.</t>
  </si>
  <si>
    <t>2-s2.0-85135062585"</t>
  </si>
  <si>
    <t>10.5194/esurf-10-65-2022</t>
  </si>
  <si>
    <t>https://www.scopus.com/inward/record.uri?eid=2-s2.0-85123788934&amp;doi=10.5194%2fesurf-10-65-2022&amp;partnerID=40&amp;md5=a06957acb8a8b9d51de7b173fa812ea1</t>
  </si>
  <si>
    <t>Researchers have extensively investigated the back-barrier islands morphodynamics using numerical methods. However, the influence of rocky mouth islands, which may be submerged by sea-level rise, has been rarely explored. Using the Dongshan Bay in southern China as a reference, this study numerically explores the long-term morphodynamic effect of geological constraints (e.g. rocky islands) for back-barrier basins. Model results indicate that the spatial configuration of mouth islands can considerably affect the morphological development of tidal basins. The presence of mouth islands narrows the inlet cross-sectional area, increasing flow velocity and residual current, resulting in more sediment suspension and transport. Meanwhile, mouth islands tend to increase erosion in the tidal basin and sedimentation in the ebb-delta area. Furthermore, the spatial distribution of mouth islands can also affect tidal basin evolution: the basin-side mouth islands tend to cause more basin erosion with higher tidal currents and more sediment transport. In contrast, the delta-side ones may increase relative sediment deposition in the basin. Finally, larger tidal prisms are observed with more mouth islands and with basin-side mouth islands, suggesting that the number and location of islands can affect the relationship between the tidal prism and inlet cross-sectional area. This modelling study furthers the understanding of barrier basin morphodynamics affected by rocky mouth islands and informs management strategies under a changing environment. Copyright:  © 2022 Yizhang Wei et al.</t>
  </si>
  <si>
    <t>2-s2.0-85123788934"</t>
  </si>
  <si>
    <t>10.1071/ES22023</t>
  </si>
  <si>
    <t>https://www.scopus.com/inward/record.uri?eid=2-s2.0-85164336073&amp;doi=10.1071%2fES22023&amp;partnerID=40&amp;md5=52bfb63db244322d751ed4d388fc071c</t>
  </si>
  <si>
    <t xml:space="preserve">Sea level rise is increasing the frequency of coastal flooding globally, and low-lying communities are particularly vulnerable. We present an assessment of historical and projected changes in coastal flooding in 11 Pacific small-island nations, using tide gauge data from the Australian Bureau of Meteorology. We derive impact-, event- and percentile-based thresholds to calculate historical exceedance frequencies. Projections of future exceedance frequencies are then made using the recent suite of Shared Socioeconomic Pathways (SSPs) emission scenarios (Sixth Assessment Report). We find that exceedances of the percentile thresholds have increased in the last decade at all locations, with sites seeing exceedances in months where exceedances were previously rare or unseen in the sea level record. In the future, daily threshold exceedances occur after 50-115 cm of sea level rise, depending on location. Such levels are currently projected to be reached between 2080 and 2130 according to high emissions scenario SSP5-8.5. Low emissions scenario, SSP1-1.9, shows sea level rise resulting in 25-75 days of exceedances by 2050 for the 11 locations. This increased frequency of coastal flooding highlights the changing nature of coastal flood risk in the Pacific, with extreme weather and wave events being increasingly unnecessary for inundation to occur. Further, this work highlights how underlying increases in coastal flooding frequency pose a growing risk of exacerbating inundation associated with extreme weather or waves. Better flood monitoring and reporting will improve the accuracy of impact thresholds, strengthening the relevance of the results presented here for coastal emergency and planning managers.  © 2022 The Author(s) (or their employer(s)). Published by CSIRO Publishing on behalf of BoM. This is an open access article distributed under the Creative Commons Attribution- NonCommercial-NoDerivatives 4.0 International License (CC BY-NC-ND) </t>
  </si>
  <si>
    <t>2-s2.0-85164336073"</t>
  </si>
  <si>
    <t>10.1080/15715124.2021.1901728</t>
  </si>
  <si>
    <t>https://www.scopus.com/inward/record.uri?eid=2-s2.0-85104883753&amp;doi=10.1080%2f15715124.2021.1901728&amp;partnerID=40&amp;md5=e22a7e47948c9dab5e71b48c5c048327</t>
  </si>
  <si>
    <t>Proper placement of dams along a river entails a lot of studies including the impact of the upstream dam on downstream dams and lands. In case of inaccurate placement of the dams, the flood arisen from the failure of the upstream dam break leads to the breakage of downstream dams. In this research, the reservoir volumes of two successive dams were optimized to evaluate the stability of the downstream dam and present a decision basis for dams’ safety. To this end, the two successive dams of Vahdat located at the upstream of the Zhave dam, in the Sirvan basin, Kurdistan province, Iran were investigated. The HEC-RAS model was applied to the simulation of the upstream dam failure and the routing of the following flood up to the downstream dam reservoir. The digital elevation model, DEM, concerning the study area was derived. After converting DEM to Triangulated Irregular Networks, TIN, the required parameters and the lines pertaining to the cross sections were drawn on the river via ArcMap software. The cross sections were modified by field surveys, and the Manning coefficient was measured for different zones. By inputting the input hydrographs as well as the data related to the dam side wall and sluice gates, several likely scenarios were defined and performed in HEC-RAS. The scenarios were taken into account based on different volumes of water in the reservoirs along with piping and overtopping for the dam breaks. The results showed that in most situations, the upstream dam failure yields the downstream dam break. The maximum height of water in the reservoir so that it will not lead to overtopping breakage due to the upstream dam failure was 1295 m above sea level which was equivalent to 6.43 × 107 m3. In case of upstream dam failure, the water volume of the downstream dam exceeds the above-mentioned critical values, the latter would likely undergo the breakage. © 2021 International Association for Hydro-Environment Engineering and Research.</t>
  </si>
  <si>
    <t>2-s2.0-85104883753"</t>
  </si>
  <si>
    <t>10.1080/17565529.2021.2022449</t>
  </si>
  <si>
    <t>https://www.scopus.com/inward/record.uri?eid=2-s2.0-85123406286&amp;doi=10.1080%2f17565529.2021.2022449&amp;partnerID=40&amp;md5=dbe0d933e624b9bbd5a94a18289a6478</t>
  </si>
  <si>
    <t>Mangroves are increasingly recognized for their role in supporting adaptation to climate change and variability. However, knowledge about how climate change and variability affect mangrove ecosystem services (MES) and their role in supporting coastal communities to adaption is limited in Tanzania. We used participatory rural appraisal methods and field observations to explore local communities' perceptions of climate change and variability, and ecosystem-based adaptation (EbA) strategies in the mangroves of the Rufiji Delta, Tanzania. Decrease in rainfall, increased temperatures, coastal flooding, and the incidence of sea level rise were identified as key variables associated with a changing climate in the delta. Perceived climatic stresses included damaged fish breeding sites, altered climate regulation and a decrease in coastal protection and flood control. Decline in crop, fish and honey production were perceived as the main impacts on community livelihoods, although there were significant differences across occupational groups. Dependence on MES in times of shocks, such as when agriculture production fails, switching of occupation, crop diversification, fishing in deep waters and migration to other areas provided potential adaptation options. Although the reported perceptions related to climate change or variability are not explicit, they both have negative consequences to mangrove dependent communities' livelihoods. © 2022 The Author(s). Published by Informa UK Limited, trading as Taylor &amp; Francis Group.</t>
  </si>
  <si>
    <t>2-s2.0-85123406286"</t>
  </si>
  <si>
    <t>10.2112/JCOASTRES-D-20-00108.1</t>
  </si>
  <si>
    <t>https://www.scopus.com/inward/record.uri?eid=2-s2.0-85122661524&amp;doi=10.2112%2fJCOASTRES-D-20-00108.1&amp;partnerID=40&amp;md5=a599bcabac3f7cfd25ee94017bb0fb9c</t>
  </si>
  <si>
    <t>The hurricanes on the Colombian continental coast have been lower in intensity and number than in other areas of the Caribbean Sea. Thus, given the lack of knowledge about the hurricane parameters in this area, the protocols to deal with a hurricane emergency on the Columbian continental coast are not clear. This work analyzes the meteo-marine parameters caused in Colombia by the passage of Hurricane Matthew to establish a baseline of knowledge. Further progress in understanding the effects the hurricane may have had on several coastal areas, particularly in the areas of hydrology, morphological changes, storm surge, and flood, is expected in future work. The results show that the most significant meteo-marine parameter was the swell generated by the hurricane</t>
  </si>
  <si>
    <t>10.1016/j.jhydrol.2021.127238</t>
  </si>
  <si>
    <t>https://www.scopus.com/inward/record.uri?eid=2-s2.0-85120506975&amp;doi=10.1016%2fj.jhydrol.2021.127238&amp;partnerID=40&amp;md5=eed9dd63f5d53a5d24e3871f10a98bb9</t>
  </si>
  <si>
    <t>Groundwater-surface water interactions and associated water management issues are complicated by the risk of salinization along coastlines. Groundwater pumping can be a driving factor of streamflow depletion and allow for increased stream saltwater intrusion. In this study, we develop an analytical framework combining two analytical approaches to calculate the length of saltwater intrusion at high slack water and the stream depletion rate due to groundwater pumping. We test this framework using data from the Savannah River in southeastern U.S and use it to explore saltwater intrusion in the surface water system. The analytical approach produces an accurate estimate of the position of the salt front at approximately 56 km inland. Current pumping rates decrease streamflow by less than 1%, resulting in an increase in the saltwater intrusion length of 100 m. Increased groundwater pumping scenarios, however, show a risk of extending the saltwater intrusion length up to 4 km inland. In these cases, effects from pumping-induced saltwater intrusion would equal or exceed the impacts of sea-level rise or geomorphic change. Salinity is a critical factor in the ecological balance of this estuarine ecosystem and this analytical approach allows for investigation of hypothetical groundwater development in the region. We show, for the first time, the direct link between groundwater pumping and coastal stream salinity that should be an important management consideration all along developed coastlines. © 2021 Elsevier B.V.</t>
  </si>
  <si>
    <t>2-s2.0-85120506975"</t>
  </si>
  <si>
    <t>10.1080/17538947.2022.2041116</t>
  </si>
  <si>
    <t>https://www.scopus.com/inward/record.uri?eid=2-s2.0-85126183976&amp;doi=10.1080%2f17538947.2022.2041116&amp;partnerID=40&amp;md5=52d22d351454e08668ca4474a743276c</t>
  </si>
  <si>
    <t>Dam failures occur worldwide and can be economically and ecologically devastating. Communicating the scale of these risks to the general public and decision-makers is imperative. Two-dimensional (2D) dam failure hydraulic models inform owners and floodplain managers of flood regimes but have limitations when shared with non-specialists. This study addresses these limitations by constructing a 3D Virtual Reality (VR) environment to display the 1976 Teton Dam disaster case study using a pipeline composed of (1) 2D hydraulic model data (extrapolated into 3D), (2) a 3D reconstructed dam, and (3) a terrain model processed from UAS (Uncrewed Airborne System) imagery using Structure from Motion photogrammetry. This study validates the VR environment pipeline on the Oculus Quest 2 VR Headset with the criteria: immersion fidelity, movement, immersive soundscape, and agreement with historical observations and terrain. Through this VR environment, we develop an effective method to share historical events and, with future work, improve hazard awareness</t>
  </si>
  <si>
    <t xml:space="preserve"> 1D: one-dimensional</t>
  </si>
  <si>
    <t>10.1016/j.advwatres.2021.104088</t>
  </si>
  <si>
    <t>https://www.scopus.com/inward/record.uri?eid=2-s2.0-85122532755&amp;doi=10.1016%2fj.advwatres.2021.104088&amp;partnerID=40&amp;md5=1034e623435f5d4e3c4773405f4eb937</t>
  </si>
  <si>
    <t>The propagation of tides and riverine floodwater in coastal wetlands is controlled by subtle topographic differences and a thick vegetation canopy. High-resolution numerical models have been used in recent years to simulate fluxes across wetlands. However, these models are based on sparse field data that can lead to unreliable results. Here, we utilize high spatial-resolution, rapid repeat interferometric data from the Uninhabited Aerial Vehicle Synthetic Aperture Radar (UAVSAR) to provide a synoptic measurement of sub-canopy water-level change resulting from tide propagation into wetlands. These data are used to constrain crucial model parameters and improve the performance and realism of simulations of the Wax Lake wetlands in coastal Louisiana (USA). A sensitivity analysis shows that the boundary condition of river discharge should be calibrated first, followed by iterative correction of terrain elevation specified originally by a Digital Terrain Model derived from LiDAR measurements. The calibration of bed friction becomes important only with the boundary and topography calibrated. With the model parameters calibrated, the overall Nash-Sutcliffe model efficiency for water-level change increases from 0.15 to 0.53 with the RMSE reduced by 26%. In areas with dense wetland grasses, the LiDAR signal is unable to reach the soil surface, but the L-band UAVSAR instrument detects changes in water levels that can be used to infer the true ground elevation. The high spatial resolution and repeat-acquisition frequency (minutes to hours) observations provided by UAVSAR represent a groundbreaking opportunity for a deeper understanding of the complex hydrodynamics of coastal wetlands. © 2021 Elsevier Ltd</t>
  </si>
  <si>
    <t>2-s2.0-85122532755"</t>
  </si>
  <si>
    <t>10.1016/j.scitotenv.2021.149928</t>
  </si>
  <si>
    <t>https://www.scopus.com/inward/record.uri?eid=2-s2.0-85113726352&amp;doi=10.1016%2fj.scitotenv.2021.149928&amp;partnerID=40&amp;md5=5f578a6a6ac55369eadf5cdc92c76a70</t>
  </si>
  <si>
    <t>Climate change in recent decades led to the remarkable expansions for most lakes in endorheic basins of the Tibetan Plateau (TP). Enlarged lake inundation areas may pose adverse effects and potential threats on the local human living environment, especially for high-risk villages adjacent to rapidly expanding lakes. Taking a rapidly expanding lake, Angzi Co in the central TP as a study case, we investigated the flooding risk of lake growth on the local living environment and proposed an optimized solution of village relocation selection on the basis of satellite and unmanned aerial vehicle (UAV) remote sensing. The detection of spatiotemporal variations of Angzi Co using optical and altimetric satellite observations revealed a significant area and water level increase by 81.28 km2 and 5.78 m, respectively, from 2000 to 2020. We also assessed the vertical accuracy of multi-source digital elevation model (DEM) products using Ice, Cloud, and Land Elevation Satellite-2 (ICESat-2) altimetry data and further examined the flooding risk and potential influences of lake expansion on adjacent settlements (Guozha Village). Results indicated that UAV-DEM achieves excellent advantages in depicting details of lake shoreline variations and simulating potential submergence regions, followed by Advanced Land Observing Satellite World 3D DEM (AW3D DEM). Moreover, assuming that Angzi Co maintains the water level at a growth rate of 0.29 m/a (the average change rate during 2000–2020), the village will be submerged in approximate 10 years based on our assessment. Furthermore, we designed an optimal relocation site southwest of Guozha Village and approximately 3 km away based on the GIS-MVDA method and field investigations. An initial remote sensing-based approach for assessing the flooding risk from dramatic lake expansions in the TP and optimizing the village relocation site was proposed in this study to provide an essential scientific reference for formulating risk mitigation solutions under future climate change scenarios. © 2021 Elsevier B.V.</t>
  </si>
  <si>
    <t>2-s2.0-85113726352"</t>
  </si>
  <si>
    <t>10.1002/geo2.105</t>
  </si>
  <si>
    <t>https://www.scopus.com/inward/record.uri?eid=2-s2.0-85132893932&amp;doi=10.1002%2fgeo2.105&amp;partnerID=40&amp;md5=198e5f9e78da5293a4fef89c1c007521</t>
  </si>
  <si>
    <t>Floods are one of the most devastating weather-related hazards that are affecting millions of people over the world every year. In some poor resource areas such as Mbire District in Zimbabwe, the floods are difficult to anticipate and prepare for. Hence the need for spatial modelling of the past flood events for effective response and management. This study modelled the flood extent and depth based on data from household surveys, transect walks and a digital elevation model (DEM). A sample of 304 households was used, with 70% for calibration and 30% for validation of the flood extent. Twenty-four flood depth measurements obtained from transect walks were used to validate the modelled flood depths based on a linear regression model. The flood depth of the worst most recent flood (January 2015) at each household was combined with altitude from the DEM using the sum function, and the inverse distance weighting was applied to model the worst flood depth. The flood extent was considered as those areas where flood depth was higher than the DEM. Approximately 24% of the area was covered by floods. The modelled flood extent agreed reasonably well with what was reported during the survey (probability of detection 0.93 and accuracy level about 0.8). Most of the areas in the wards experienced flood depths greater than 2 m, especially along the major rivers. Such areas are dangerous for people, animals and properties such as boreholes, houses, schools and clinics located on the floodplain. These results can be used for planning purposes in preparing and responding to stages of the flood management cycle. However, there is a need for further research to improve the performance and applicability of the methodology applied in this study in other settings. The information, practices and views in this article are those of the author(s) and do not necessarily reflect the opinion of the Royal Geographical Society (with IBG). © 2022 The Authors. Geo: Geography and Environment published by the Royal Geographical Society (with the Institute of British Geographers) and John Wiley &amp; Sons Ltd.</t>
  </si>
  <si>
    <t>2-s2.0-85132893932"</t>
  </si>
  <si>
    <t>10.3390/land11010036</t>
  </si>
  <si>
    <t>https://www.scopus.com/inward/record.uri?eid=2-s2.0-85121861320&amp;doi=10.3390%2fland11010036&amp;partnerID=40&amp;md5=fdfef4742ed94ec560e6bf08a88571e0</t>
  </si>
  <si>
    <t>In recent years, Taiwan has established a sound flood control foundation in terms of river management. Due to climate change and land development, surface runoff has increased. In addition, the functions of flood control engineering facilities have their limits. Surface runoff cannot be fully absorbed by rivers, and frequent floods still occur in some areas. According to the characteristics of water flowing along the terrain to low-lying land, the terrain features can be used to find out the hot areas prone to flooding and the appropriate location of flood storage space for improving flooding. On the basis of the natural terrain environment, the disaster risk framework is used to manage environmental complexity, and to carry out research on flood warning and governance decision-making systems, so that human beings can coexist with the uncertainty of flood risk. In this study, the Zhuoshuixi Basin was used as the sample area, the SCS-CN method was used to analyze the excess runoff, and the risk concept was used to establish a flood evaluation model. In addition, through the changes in land use, the SCS-CN method estimates the difference of potential maximum retention, quantifies the variation of excess rainfall in each watershed division, and uses the digital elevation model to calculate the depression site to analyze the relationship between the difference of potential maximum retention and the depression space of the watershed. The results show that the adaptation strategy for high-risk flooded areas should be strengthened, and areas with large water storage space and a small potential maximum retention difference can be the best location for offsite compensation. © 2021 by the authors. Licensee MDPI, Basel, Switzerland.</t>
  </si>
  <si>
    <t>2-s2.0-85121861320"</t>
  </si>
  <si>
    <t>10.1080/08920753.2022.2022973</t>
  </si>
  <si>
    <t>https://www.scopus.com/inward/record.uri?eid=2-s2.0-85122723031&amp;doi=10.1080%2f08920753.2022.2022973&amp;partnerID=40&amp;md5=c5bf66d051f10c7025b973cfff4eba8f</t>
  </si>
  <si>
    <t>Viet Nam is seriously affected by natural disasters including storms and storm surges. Assessing disaster risks, particularly storm surges for coastal provinces, thus, provides not only scientific evidence but also supports policymaking in natural disaster prevention and control. Given this importance, this study assesses the risks of storm surges in Vietnamese coastal provinces. The results show that the coastal areas of Quang Ninh, Thanh Hoa, Nghe An, Ha Tinh, Quang Tri and Hue face the highest risk of storm surges. On the contrary, other provinces including Da Nang, Quang Nam, Binh Dinh, Phu Yen, and Ba Ria- Vung Tau face the lowest risk of storm surges. The results provide useful information for better natural disaster preparedness in Viet Nam, namely planning and zoning of future development as well as supporting early warning efforts. © 2022 Taylor &amp; Francis Group, LLC.</t>
  </si>
  <si>
    <t>2-s2.0-85122723031"</t>
  </si>
  <si>
    <t>10.1007/s11027-021-09978-x</t>
  </si>
  <si>
    <t>https://www.scopus.com/inward/record.uri?eid=2-s2.0-85121460747&amp;doi=10.1007%2fs11027-021-09978-x&amp;partnerID=40&amp;md5=51c65ce2368ff8318af001b9837d4562</t>
  </si>
  <si>
    <t>While it is known that the threat of climatic stresses induces rural smallholders to diversify their livelihood strategies, a consensus has not been reached as to what type of stress induces which strategy, especially in the Mekong Delta Region (MDR) of Vietnam. Primary data were obtained from randomly selected 405 households producing rice (Oryza sativa L.) in three provinces in the MDR. Simpson’s diversity index was used to assess the level of diversification, multivariate probit regression was utilized to examine the factors affecting farmers’ adoption of livelihood strategies, and tobit regression was employed to examine the factors influencing the extent of farmers’ diversification. The index showed relatively low levels of livelihood diversification in the study area. The results of the multivariate probit regression analysis of four livelihood strategies indicated that farmers who were exposed to drought or flood were more likely to cultivate conventional rice varieties than newer cultivars, likely because the newer varieties accessible in the study areas were of the resource-using type that were high-yielding under favorable conditions but susceptible to environmental stresses. Furthermore, those prone to salinity intrusion tended to engage in off-farm income opportunities. In addition, the results of the tobit regression analysis exhibited significant effects of asset endowment, extension services, public transport availability, agricultural inputs, and cooperative membership on the extent of livelihood diversification. To enhance rural livelihoods in the MDR, intervention programs should ensure to provide the resource-saving type of improved varieties as well as promote off-farm employment in salt-affected areas. © 2021, The Author(s), under exclusive licence to Springer Nature B.V.</t>
  </si>
  <si>
    <t>2-s2.0-85121460747"</t>
  </si>
  <si>
    <t>10.1080/02723646.2020.1839213</t>
  </si>
  <si>
    <t>https://www.scopus.com/inward/record.uri?eid=2-s2.0-85095752372&amp;doi=10.1080%2f02723646.2020.1839213&amp;partnerID=40&amp;md5=d1a670c69346025ae2837aeef4658fa4</t>
  </si>
  <si>
    <t>Glacial lake outburst floods (GLOFs) pose an increasing hazard to communities living downstream of glaciated areas of the Northern Patagonia Icefield (NPI). The proliferation of GLOF events poses a growing hazard to human development and infrastructure which is rapidly expanding into formerly isolated areas. The outlet glaciers on the eastern flank of the NPI, in particular, have experienced an increase in the frequency of GLOFs, threatening downstream communities with the potential for future events. Using a satellite-derived DEM and UAV imagery, we evaluated flood parameters of a 16 March 1989 GLOF event in the Valle Soler. Calculated flood volume was in excess of 140 × 106 m3 while the peak discharge was approximately 20,000 m3/s. This newly calculated flood discharge value distinguishes this event as the largest recorded glacial moraine outburst flood in the literature and is significantly larger than previous estimates (1,800–2,000 m3/s) for this incident. © 2020 Informa UK Limited, trading as Taylor &amp; Francis Group.</t>
  </si>
  <si>
    <t>2-s2.0-85095752372"</t>
  </si>
  <si>
    <t>World Review of Science, Technology and Sustainable Development</t>
  </si>
  <si>
    <t>10.1504/WRSTSD.2022.121303</t>
  </si>
  <si>
    <t>https://www.scopus.com/inward/record.uri?eid=2-s2.0-85127083927&amp;doi=10.1504%2fWRSTSD.2022.121303&amp;partnerID=40&amp;md5=6a3ef59c69d937d64a4fe2e51975f2ef</t>
  </si>
  <si>
    <t>Rural coastal areas in northern Central Java suffer from tidal flood caused by sea level rise and land subsidence. People not only lose their properties as tidal flood submerges houses and lands but many of their livelihoods become unsustainable. To understand the extent of tidal flood impact to livelihood of rural coastal communities and their livelihoods, this paper aims to measure the level of rural livelihood resilience through multiple dimensional analysis. Drawing from various sources including livelihood resilience index (LRI) and resilience radar, the four dimensions that consist of social, economic, environment, and physical-infrastructure are adapted to express the level of livelihood resilience in the study area. The results indicate the tidal flood severity of two study areas caused different composition of contributing dimensions to livelihood resilience even though the score values showing insignificant gap. The findings also acknowledged that environment dimension is an important factor for building livelihood resilience for coastal community regardless of the disaster exposure. It comes as effect of coastal community inclination to depend their livelihood on the land resource and its supporting ecosystem. Copyright © 2022 Inderscience Enterprises Ltd.</t>
  </si>
  <si>
    <t>2-s2.0-85127083927"</t>
  </si>
  <si>
    <t>10.1080/27669645.2022.2045697</t>
  </si>
  <si>
    <t>https://www.scopus.com/inward/record.uri?eid=2-s2.0-85131684152&amp;doi=10.1080%2f27669645.2022.2045697&amp;partnerID=40&amp;md5=d017d2d31166662283d25fcca3d2042b</t>
  </si>
  <si>
    <t>The unambiguous detection of a uniform sea level acceleration at a tide gauge station is important under an increasingly warmer Earth for the long-term coastal risk assessments. Although the timescales needed for detecting mean sea level trends at tide gauges were well investigated in the past, very few studies addressed the same issue for the sea level accelerations in depth. In this study, we demonstrate that the ability to discern a uniform sea level acceleration at a tide gauge station depends on its magnitude, systematic and random sea level variations, the degree of autocorrelation of the random variations, the length of its historical record and the desired statistical significance level of its estimate. We offer a formulary to estimate the required minimum record lengths needed to detect a statistically significant prospective uniform acceleration at a coastal or Island tide gauge station based on the retrospective analyses of its sea level record. To demonstrate its effectiveness, the minimum record lengths required to detect statistically significant prospective uniform accelerations were calculated at 19 globally distributed tide gauge stations with long records. © 2022 The Author(s). Published by Informa UK Limited, trading as Taylor &amp; Francis Group.</t>
  </si>
  <si>
    <t>2-s2.0-85131684152"</t>
  </si>
  <si>
    <t>10.1007/s12524-021-01458-8</t>
  </si>
  <si>
    <t>https://www.scopus.com/inward/record.uri?eid=2-s2.0-85119987479&amp;doi=10.1007%2fs12524-021-01458-8&amp;partnerID=40&amp;md5=7aca14a5bc1509a283ba2feddd44a2fd</t>
  </si>
  <si>
    <t>Assessment and forecasting of exposures, vulnerability and risks due to natural forces are important for the survival and adaptation of local communities. This research intends to understand the risk and impact associated with sea level rise and tidal amplitude on a coastal island located in the cyclogenesis area of the Bay of Bengal. Three scenarios were developed based on tidal amplitudes of 2 m, 4 m and 6 m, respectively, relative to the observed tide heights during extreme events. Land use analysis indicated a severe loss of natural vegetation in the last century, i.e. from 103 to 9 km2 with an increase in cultivated spaces by 69 km2, and in the last 8 years, post-cyclone Aila built-up spaces have increased by 4.7 km2 (2012–2020). Local topography derived from stereo satellite data and the N8 connectivity bathtub model was used to determine flood inundations for various surge amplitudes. Analysis indicates the rising sea levels would inundate additional 275 ha of coastal lands, and built-up spaces would increase by 17.8 km2 by 2050. Exposure assessment illustrates that during severe cyclonic events and super cyclonic events, tides engulf 27–187.7 km2 landmass in the current era (2020), while by 2050, the cumulative effect of the surge and sea level rise would lead to exposure of 35.7–203.8 km2 of the landscape. Risk assessment shows that during a less intense severe cyclonic event, 19.5 ha (2020) and 36.8 ha (2050) of built-up areas towards the east coast would be under high risk, whereas in extremely severe events, the built-up spaces under high risk would increase to 127 ha (2020) and 166 ha (2050) across the island. The analysis shows the importance of forecasting exposures and risks due to the variations in climate and landscapes. The frequency and intensity of low pressures cyclones in the cyclogenesis area are increasing with time. © 2021, Indian Society of Remote Sensing.</t>
  </si>
  <si>
    <t>2-s2.0-85119987479"</t>
  </si>
  <si>
    <t>10.1080/17445647.2022.2071649</t>
  </si>
  <si>
    <t>https://www.scopus.com/inward/record.uri?eid=2-s2.0-85132674057&amp;doi=10.1080%2f17445647.2022.2071649&amp;partnerID=40&amp;md5=b86d01679544fd1ea6cf6c1f7dfb97ee</t>
  </si>
  <si>
    <t>Mapping methods to represent the interplay between environmental changes and prehistoric communities were investigated through a case study of the Mediterranean Iberia coastal landscape in the context of Holocene sea-level rise. We developed a four-dimension GIS-based analysis of the environmental evolution based on primary data acquisition (fieldwork, laboratory analyses) and spatial modeling of paleo-Digital Elevation Models (paleoDEMs). Five paleoDEMs were computed, representing key stages of the morphogenetic evolution between 9000 and 7000 years ago. Second, each paleoDEM was used as input in a Site-Catchment Analysis (a 1- and 2-hour walking distance from the archeological sites). Finally, we provide a bird-view visualization of the landscape evolution, centered on the perspective of an individual located at the archeological sites. By shifting the focus to the human scale, this GIS-assisted mapping allows refining assessments of the impact of environmental changes on settlement and subsistence patterns during the Mesolithic and Early Neolithic periods. © 2022 The Author(s). Published by Informa UK Limited, trading as Taylor &amp; Francis Group on behalf of Journal of Maps.</t>
  </si>
  <si>
    <t>2-s2.0-85132674057"</t>
  </si>
  <si>
    <t>10.1080/02626667.2022.2053129</t>
  </si>
  <si>
    <t>https://www.scopus.com/inward/record.uri?eid=2-s2.0-85130009241&amp;doi=10.1080%2f02626667.2022.2053129&amp;partnerID=40&amp;md5=07472ea412d0a57dc9111d047de21649</t>
  </si>
  <si>
    <t>Topographic LIDAR can be used to estimate elevation values for dry areas down to the river water level during the extraction of river cross-sections (XS). However, LIDAR cannot accurately predict the submerged topography, which causes uncertainty in river XS area estimation. This uncertainty affects the channel water level and flood inundation depth estimation in in situ sparse data. Therefore, an alternative approach is presented to estimate unknown submerged topography (UST) using topographic LIDAR. The one dimension/two dimension Hydrologic Engineering Center River Analysis System (1D/2D HEC-RAS) model is used to simulate the estimated river XS with the help of in situ river water level and flow data which is later validated using in situ data. The results show that the proposed approach accurately estimates water level (error &gt;0.5 m), channel flow areas, and floodplain water depths. Notably, the extent of the estimated floodplain overflow by UST models was in 94% agreement with the real XS. © 2022 IAHS.</t>
  </si>
  <si>
    <t>2-s2.0-85130009241"</t>
  </si>
  <si>
    <t>Earth Interactions</t>
  </si>
  <si>
    <t>10.1175/EI-D-21-0013.1</t>
  </si>
  <si>
    <t>https://www.scopus.com/inward/record.uri?eid=2-s2.0-85127684894&amp;doi=10.1175%2fEI-D-21-0013.1&amp;partnerID=40&amp;md5=9346b2ef01d59d8eba9b8d01c9baa89d</t>
  </si>
  <si>
    <t>Like many coastal communities throughout the mid-Atlantic region, relative sea level rise and accelerating instances of coastal nuisance flooding are having a tangible negative impact on economic activity and infrastructure in Annapolis, Maryland. The drivers of coastal nuisance flooding, in general, are a superposition of global, regional, and local influences that occur across spatial and temporal scales that determine water levels relative to a coastal datum. Most of the research to date related to coastal flooding has been focused on high-impact episodic events, decomposing the global and regional drivers of sea level rise, or assessing seasonal-to-interannual trends. In this study, we focus specifically on the role of short-duration (hours) meteorological wind forcing on water level anomalies in Annapolis. Annapolis is an ideal location to study these processes because of the orientation of the coast relative to the prevailing wind directions and the long record of reliable data observations. Our results suggest that 3-, 6-, 9-, and 12-h sustained wind forcing significantly influences water level anomalies in Annapolis. Sustained wind forcing out of the northeast, east, southeast, and south is associated with positive water level anomalies, and sustained wind forcing out of the northwest and north is associated with negative water level anomalies. While these observational results suggest a relationship between sustained wind forcing and water level anomalies, a more robust approach is needed to account for other meteorological variables and drivers that occur across a variety of spatial and temporal scales. © 2022 American Meteorological Society.</t>
  </si>
  <si>
    <t>2-s2.0-85127684894"</t>
  </si>
  <si>
    <t>10.1080/08920753.2022.2006873</t>
  </si>
  <si>
    <t>https://www.scopus.com/inward/record.uri?eid=2-s2.0-85121606382&amp;doi=10.1080%2f08920753.2022.2006873&amp;partnerID=40&amp;md5=97b7192e97a1ef49c902fc460c373d01</t>
  </si>
  <si>
    <t>Over the centuries, the coastal zones of the world have attracted agents of political expansion and instrumental maritime (e.g., fishing, shipping, boat building) industries seeking profit, and also great numbers of the general public seeking a place for residence, relaxation, outdoor recreation, tourism and other forms of play. The impressive amenities of the coastal zone are the economic value of natural resources and the social value of a sublime biophysical and human ecology. In the United States, the Coastal Zone Management Act of 1972 created a mandate for special area management plans to balance protection of the coasts with provisions that allow residence, visitation, and industry. This mandate is also found in the California Coastal Act of 1974 which created the California Coastal Commission. In the time since the passage of these acts, the cultural and policy spaces of California’s coast have changed dramatically. It is, however, an open question as to whether the Coastal Commission—and the many governmental entities with which it interacts—have succeeded or failed in their mandates. Whatever the conclusion drawn, this speculative essay suggests that climate change-induced future sea level rise will render the historic coastal management institutions and approaches obsolete. The future will be very different—ecologically, culturally, economically and politically. Coastal zone practitioners will be forced to reconfigure and expand their mandates and toolkit. We encourage a recognition that the challenge before them will be a new and very different one. It will call for an adaptation of the coastal management profession and the reorientation of the training and education of the next generation of coastal leaders in the public, private and civil society sectors. This should entail an expansion of disciplinary expertise to address human dimensions topics that include planned retreat, population and infrastructure relocation, social equity and environmental justice and be intimately informed by science and stakeholder engagement. © 2021 Taylor &amp; Francis Group, LLC.</t>
  </si>
  <si>
    <t>2-s2.0-85121606382"</t>
  </si>
  <si>
    <t>Wiley Interdisciplinary Reviews: Climate Change</t>
  </si>
  <si>
    <t>10.1002/wcc.747</t>
  </si>
  <si>
    <t>https://www.scopus.com/inward/record.uri?eid=2-s2.0-85118919705&amp;doi=10.1002%2fwcc.747&amp;partnerID=40&amp;md5=58605b80aa24af1a497829715219ecba</t>
  </si>
  <si>
    <t>Sea-level rise (SLR) threatens millions of people living in coastal areas through permanent inundation and other SLR-related hazards. Migration is one way for people to adapt to these coastal changes, but presents an enormous policy challenge given the number of people affected. Knowledge about the relationship between SLR-related hazards and migration is therefore important to allow for anticipatory policymaking. In recent years, an increasing number of empirical studies have investigated, using survey or census data, how SLR-related hazards including flooding, salinization, and erosion together with non-environmental factors influence migration behavior. In this article, we provide a systematic literature review of this empirical work. Our review findings indicate that flooding is not necessarily associated with increased migration. Severe flood events even tend to decrease long-term migration in developing countries, although more research is needed to better understand the underpinnings of this finding. Salinization and erosion do generally lead to migration, but the number of studies is sparse. Several non-environmental factors including wealth and place attachment influence migration alongside SLR-related hazards. Based on the review, we propose a research agenda by outlining knowledge gaps and promising avenues for future research on this topic. Promising research avenues include using behavioral experiments to investigate migration behavior under future SLR scenarios, studying migration among other adaptation strategies, and complementing empirical research with dynamic migration modeling. We conclude that more empirical research on the SLR-migration nexus is needed to properly understand and anticipate the complex dynamics of migration under SLR, and to design adequate policy responses. This article is categorized under:. Climate Economics &lt; Aggregation Techniques for Impacts and Mitigation Costs Vulnerability and Adaptation to Climate Change &lt; Learning from Cases and Analogies Assessing Impacts of Climate Change &lt; Evaluating Future Impacts of Climate Change. © 2021 The Authors. WIREs Climate Change published by Wiley Periodicals LLC.</t>
  </si>
  <si>
    <t>2-s2.0-85118919705"</t>
  </si>
  <si>
    <t>New Zealand Journal of Geology and Geophysics</t>
  </si>
  <si>
    <t>10.1080/00288306.2020.1865414</t>
  </si>
  <si>
    <t>https://www.scopus.com/inward/record.uri?eid=2-s2.0-85099018062&amp;doi=10.1080%2f00288306.2020.1865414&amp;partnerID=40&amp;md5=77e9a87a1b4eafc05abb945b27202bd0</t>
  </si>
  <si>
    <t>Overseas, relict deep-seated coastal landslides have attracted significant analysis because of potential hazards caused by sea level rise and climate change. Despite the rapid growth in the Auckland region, regional coastal landslide hazards are poorly understood. We investigated the geomorphology and material properties of Ohuka coastal landslide on the southwestern coastline of the Auckland region, to better understand the failure mechanism. The site is formed on weak Neogene sediments of varying lithological properties, with very low angles of dip, exposed on both the seaward (west) and landward (east) flanks of Ohuka Hill. Displacement appears to have been rotational, along a low-angled basal shear surface, the Koheroa Clay Seam. The surface geomorphology consists of discontinuous uphill-facing scarplets indictive of rotational slump blocks, along the basal shear surface. However, the preservation of slump block surface topography is hindered due to the lack of a thick, strong caprock, and high annual rainfall (1400 mm), and erosion. The proposed failure mechanism and general geometry is consistent with correlations between graben width and depth to failure plane reported from bedding-controlled coastal landslides formed on low dip angles in southern England. This provides important context, given the paucity of New Zealand bedding-controlled coastal landslide case studies. © 2021 The Royal Society of New Zealand.</t>
  </si>
  <si>
    <t>2-s2.0-85099018062"</t>
  </si>
  <si>
    <t>Local Environment</t>
  </si>
  <si>
    <t>10.1080/13549839.2022.2068139</t>
  </si>
  <si>
    <t>https://www.scopus.com/inward/record.uri?eid=2-s2.0-85130156005&amp;doi=10.1080%2f13549839.2022.2068139&amp;partnerID=40&amp;md5=2a5ad5b532177cfa2298b0e0143b991b</t>
  </si>
  <si>
    <t>Coastal agriculture and livelihoods worldwide are highly vulnerable to changing climates, and Bangladesh is no exception due to its geophysical location. This paper examines rice farmers’ vulnerability, adaptation strategies, and adaptation barriers to managing climate change impacts in the coastal region of Bangladesh. Survey data were collected from 220 randomly selected rice farmers located across two coastal districts of Bangladesh. A multinomial logit model was applied to analyze determinants of adaptation strategies of rice farmers. The results reveal that flood is the main risk to vulnerability, followed by cyclones and storms surges and saline intrusion. The main adaptation strategies are cultivating flood and salinity tolerant rice varieties, direct seeding of rice, supplementary irrigation, cultivation of non-rice crops that have shorter growth duration, and rearing of livestock, poultry, and duck. The econometric analysis shows that factors such as household head's education, household income, farm size, access to information, and extension services significantly influence the choice of adaptation strategies of the rice farmers. We recommend to increase investment in research, training of farmers, and targeted extension services to disseminate climate-smart technologies and information for minimising vulnerability of the farmers. © 2022 Informa UK Limited, trading as Taylor &amp; Francis Group.</t>
  </si>
  <si>
    <t>2-s2.0-85130156005"</t>
  </si>
  <si>
    <t>10.12912/27197050/150310</t>
  </si>
  <si>
    <t>https://www.scopus.com/inward/record.uri?eid=2-s2.0-85132837615&amp;doi=10.12912%2f27197050%2f150310&amp;partnerID=40&amp;md5=42daaf80f42948805e469a70dbc18c07</t>
  </si>
  <si>
    <t>The Al-Hoceima region is threatened by tsunami hazard because of its location in the coastal area of the Mediterranean Sea, besides the shallow seismically active region south of the Alboran Sea. Therefore, the current study presents a novel model to map coastal flooding potential zones due to tsunami wave run-up in Nekor bay using three natural parameters (distance from coastline, altitude and slope) in a geographic information system (GIS) environment. Furthermore, the coastal flooding simulation using 4 scénarios (1, 2, 3, 4m) based on the run-up elevation according to tsunami wave elevation (TWE) literature of the study area is used to confirm the DAS model result, and to estimate the potential impacts. The result of the DAS model revealed that 1 km from the coast to the Nekor plain is the most exposed to the impact of tsunamis generated south of the Alboran Sea. The coastal flooding simulation confirmed the DAS result, and the damage estimation of the urban area and the agriculture was respectively 2 and 98% for run-up 1 m, 3% and 97% for run-up 2m, 4% and 96% for run-up 3m, and for the worst case scenario of 4 m was 3% and 97%. Therefore, the results obtained show that the major potential impact of coastal flooding in Nekor plain is the salinization of agricultural land. Finally, we propose a sustainable solution utilizing a controlled forest along the coast to reduce future tsunami impacts on Nekor bay. © 2022, Polskie Towarzystwo Inzynierii Ekologicznej (PTIE). All rights reserved.</t>
  </si>
  <si>
    <t>2-s2.0-85132837615"</t>
  </si>
  <si>
    <t>Housing and Society</t>
  </si>
  <si>
    <t>10.1080/08882746.2021.1978041</t>
  </si>
  <si>
    <t>https://www.scopus.com/inward/record.uri?eid=2-s2.0-85115118486&amp;doi=10.1080%2f08882746.2021.1978041&amp;partnerID=40&amp;md5=0957ea56e9d560eb321f04fb16f971c9</t>
  </si>
  <si>
    <t>Water in deltaic settlements is generally treated as a hazard or threat to vulnerable communities. This study aims to explore the social and spatial practices of three communities in Cai Rang, in Can Tho City, Mekong Delta, Vietnam. The aim is to discuss how “living with flooding” can inform a water urbanism perspective that might be useful to planners and designers in other deltaic environments. A mixed method approach is used to uncover how households, clusters of households and communities cope with flooding twice a day during the wet season. Findings show that local residents occupy housing types and clusters that suggest a high degree of resilience to changing water levels, especially flooding. This work has implications for architecture, landscape architecture and urban design as it demonstrates how a low income waterfront community can work together to maintain water-related activities while accommodating changes in river and tidal flows. © 2021 Housing Education and Research Association.</t>
  </si>
  <si>
    <t>2-s2.0-85115118486"</t>
  </si>
  <si>
    <t>10.1080/17477891.2021.1988502</t>
  </si>
  <si>
    <t>https://www.scopus.com/inward/record.uri?eid=2-s2.0-85117176477&amp;doi=10.1080%2f17477891.2021.1988502&amp;partnerID=40&amp;md5=aa7ff441b16dd7ee252ecb4c89ae3ca7</t>
  </si>
  <si>
    <t>Manufacturing firms in flood prone areas (FPAs) are a vital component of flood exposure, driving the non-stationarity of flood risks. This paper explores the spatiotemporal patterns of manufacturing firms in the FPAs of Yangtze Delta in China during 1998-2013. It is found that the number of firms in the FPAs increases remarkably by 44,385, with an annual growth rate of 10.2%. Established firms are located much closer to water bodies, mainly agglomerating along the coasts, the Yangtze River, and around the Taihu Lake. Several vulnerable sectors, including chemical feedstock and chemical manufacturing, computer and communication equipment, maintain a high growth and share in the FPAs. The small and medium-sized enterprises (SMEs) with less flood coping capabilities increase rapidly. The main drivers of firm expansion in the FPAs include policy promotion, agglomeration benefit and levee effect. Exposed firms show a high spatial co-locality with industrial parks and an upward trend similar to the length of levees, suggesting that government policies and flood defense strategies encourage flood exposure. The increase in exposed firms is positively correlated with the rise of flood losses in industrial sectors. Besides defense strategies, more attention should be paid to enhancing flood resilience at regional and firm levels. © 2021 Informa UK Limited, trading as Taylor &amp; Francis Group.</t>
  </si>
  <si>
    <t>2-s2.0-85117176477"</t>
  </si>
  <si>
    <t>Geology Today</t>
  </si>
  <si>
    <t>10.1111/gto.12377</t>
  </si>
  <si>
    <t>https://www.scopus.com/inward/record.uri?eid=2-s2.0-85124427521&amp;doi=10.1111%2fgto.12377&amp;partnerID=40&amp;md5=c0fa72408bb78f98bea0db8b6805696a</t>
  </si>
  <si>
    <t>The elevation of the mountains in Norway is geologically young. Much of the present-day land surface was buried below a thick cover of relatively young sediments in the early Miocene, 23 Ma, when Scandinavia started to be uplifted. Big river systems eroded deeply into the rising landscape and transported sand and gravel from Norway and Sweden to Denmark where the detritus was deposited in a large delta. In Norway, the erosion formed an extensive plain near sea level that included the present-day mountain plateau of Hardangervidda and extended across a thick pile of sediments that covered the present-day coastal areas of Norway. Hardangervidda was uplifted to its present elevation of about 1200 m after a second phase of uplift that began about 5 Ma, in the early Pliocene. The hard bedrock of Hardangervidda has preserved this part of the plain as an elevated plateau, but the part of the plain that extended across the sediments has been eroded away, exposing the underlying basement rocks. That re-exposed basement surface was shaped in the Jurassic when the climate was warm and humid. The basement rocks were weathered where rainwater seeped into fracture zones. Erosion of the weathered rocks has left a terrain of fracture valleys and hilly relief that contrasts with the sub-horizontal plain of Hardangervidda. This weathered landscape is today exposed on the slope between the west coast and Hardangervidda. While the elevation of the mountains is young, today's landscape has a long history. © John Wiley &amp; Sons Ltd, The Geologists' Association &amp; The Geological Society of London</t>
  </si>
  <si>
    <t>2-s2.0-85124427521"</t>
  </si>
  <si>
    <t>10.1080/08920753.2022.2037387</t>
  </si>
  <si>
    <t>https://www.scopus.com/inward/record.uri?eid=2-s2.0-85125108359&amp;doi=10.1080%2f08920753.2022.2037387&amp;partnerID=40&amp;md5=5bc2b1468dcc4e971b5e66291491d45f</t>
  </si>
  <si>
    <t>Tidal gates have been in operation for centuries to block salt water from penetrating landscapes, while storm gates are relatively new. Storm gates block just severe storm surges while normally remaining open to allow salt water to move freely back and forth with the tides. This study evaluates the cost and flood benefits (averted flood damage) of storm gates on non-navigable coastal rivers and creeks. The study finds that only a fraction of coastal rivers should have storm gates. But selected storm gates are highly effective with long term benefits that are three times their cost. In the right place, storm gates can protect vulnerable low-lying developed areas from coastal flooding with a minimal environmental footprint. © 2022 Taylor &amp; Francis Group, LLC.</t>
  </si>
  <si>
    <t>2-s2.0-85125108359"</t>
  </si>
  <si>
    <t>10.1016/j.rsase.2021.100680</t>
  </si>
  <si>
    <t>https://www.scopus.com/inward/record.uri?eid=2-s2.0-85121213947&amp;doi=10.1016%2fj.rsase.2021.100680&amp;partnerID=40&amp;md5=070e7256aadb95d686a3920a2d6f537a</t>
  </si>
  <si>
    <t>In the era of climate change, coastal areas are more susceptible to global warming-related problems like increasing atmospheric and sea surface temperature, increasing frequencies of cyclones, sea-level rise, etc. In these circumstances, vulnerability analysis in coastal regions is of utmost importance to mitigate the impact of multiple hazards and protect coastal resources. Mangroves act effectively as a bio-shield to protect the coast and its hinterland. However, mangroves are themselves under threat due to natural and anthropogenic causes. The study is an attempt to analyze vulnerability along the coastal region of West Bengal, where eight dynamic parameters, viz., geomorphology, rate of shoreline change, sea level rise, regional elevation, coastal slope, bathymetry, mean tidal range, and mangrove density were classified and ranked to calculate grid-wise coastal vulnerability index (CVI) and mangrove vulnerability index (MVI) using geospatial techniques. Based on the index scores, the entire coastal area was divided into five vulnerable zones. The result shows 32.94% of coastal grids and 41.33% of mangrove grids along the coast are under high to very highly vulnerable zone. The result also highlights that mangrove-dominated islands, viz. Thakuran Reserve Forest (RF), Bulchery Island, Dulibhasani RF, Dalhousie Island, Bhangaduni, and Gosaba RF are under severe threat. The vulnerability maps created in this study would be a valuable guide to coastal planners for the sustainable management of the coastal mangrove ecosystem. © 2021 Elsevier B.V.</t>
  </si>
  <si>
    <t>2-s2.0-85121213947"</t>
  </si>
  <si>
    <t>10.1080/10106049.2022.2046868</t>
  </si>
  <si>
    <t>https://www.scopus.com/inward/record.uri?eid=2-s2.0-85126527040&amp;doi=10.1080%2f10106049.2022.2046868&amp;partnerID=40&amp;md5=69b193dc51e6d2ad2ec0f39e031cdf22</t>
  </si>
  <si>
    <t>This study is the first to demonstrate the interlinkages between several flash flood mitigation strategies and sustainable development goals (SDGs) by understanding the basins' morphometric characteristics. The basins' features were described by eighteen morphometric parameters, covering the watershed geometry, drainage network, and relief. The flash flood hazard degree (FFHD) was significantly (p &lt; 0.05) correlated with texture ratio (R 2=0.712), surface slope (R 2=0.705), relief (R 2=0.690), basin area (R 2=0.666), ruggedness number (R 2=0.615), and sinuosity index (R 2=0.551). These parameters were used to define the sustainability of flash flood management actions, viz., protecting water bodies and livestock, harvesting freshwater from rainfall, restoring water-related ecosystems, implementing safe working areas, and applying hydro-electrical facilities for energy generation. Essential non-structural and structural measures were suggested to mitigate flood damages. The proposed mitigation measures showed high relationships with the environmental, economic, and social pillars of sustainability, reducing the negative impacts of flash floods on the fulfilment of SDGs. © 2022 Informa UK Limited, trading as Taylor &amp; Francis Group.</t>
  </si>
  <si>
    <t>2-s2.0-85126527040"</t>
  </si>
  <si>
    <t>10.1016/j.landurbplan.2021.104258</t>
  </si>
  <si>
    <t>https://www.scopus.com/inward/record.uri?eid=2-s2.0-85117240720&amp;doi=10.1016%2fj.landurbplan.2021.104258&amp;partnerID=40&amp;md5=7726d2a533f2539880053b80b1ed2d27</t>
  </si>
  <si>
    <t>Clarifying the spatial and temporal changes in the ecosystem services (ES) supply and demand helps in providing comprehensive supporting information for ecological governance decisions. However, spatial mismatches of the ES supply and demand changes are often overlooked, thereby resulting in the lack of targeted decision-making. In this study, the spatiotemporal variations of ES supply and demand in Guangdong Province during 2000-2015 were quantitatively analyzed at watershed scale. Ecological zoning was conducted on the basis of the temporal changes of ES supply and demand. Spatial correlation of ES supply and demand changes in different zones was further explored. The results showed that, the changes of ES supply and demand showed obvious spatial heterogeneity. The changes in the Pearl River Delta were significant, with ES supply decreasing and ES demand increasing. The ES supply changes were significantly affected by the ES demand changes. All of the ES supply would be significantly affected in the “high supply change–high demand change” zone</t>
  </si>
  <si>
    <t>10.18848/1835-7156/CGP/v14i02/65-80</t>
  </si>
  <si>
    <t>https://www.scopus.com/inward/record.uri?eid=2-s2.0-85131290304&amp;doi=10.18848%2f1835-7156%2fCGP%2fv14i02%2f65-80&amp;partnerID=40&amp;md5=dadb909fc5212691b6389e54c1e03302</t>
  </si>
  <si>
    <t>Sea-Level Rise (SLR) combines slow- and rapid-onset climatic events and produces both environmental-induced migration and forced displacement. The coastal areas of Bangladesh and of the U.S. state of Louisiana are vulnerable to coastal or tidal flooding, saltwater intrusion, and other climatic events, which might worsen because of SLR. These coasts are facing adversity with persistent resolve due to the displacement of people from the coast due to SLR. On the basis of a systematic literature review of secondary sources, this study found that national, federal, or local governments are implementing several structural and non-structural resilience-oriented practices to keep people in their existing place. The study emphasizes that flood insurance is a resilience tool to protect residents and to help them in their existing location, but it requires adequate implementation. The study found that both structural and non-structural resilience practices with the necessary policy measures; political will; maintenance of the status quo with proper implementation of policies, plans, and programs; integration of resilience-oriented practices with relevant plans, policies, and programs; local people participation in the policymaking and implementation processes can avert people from migrating from sea-level-rise-induced impacts in both studied areas. Restoring both delta regions and giving importance to socioeconomic, ecological, and cultural aspects will be a win-win approach.</t>
  </si>
  <si>
    <t>10.1080/10106049.2022.2082548</t>
  </si>
  <si>
    <t>https://www.scopus.com/inward/record.uri?eid=2-s2.0-85131834387&amp;doi=10.1080%2f10106049.2022.2082548&amp;partnerID=40&amp;md5=cf8863bac8adbc21696e56bb4208ac9e</t>
  </si>
  <si>
    <t>This article aims to assess flood hazard in the Oued Laou basin. It is a catchment on the Mediterranean coast (Northern part of Morocco) potentially periled by flash floods and accelerated development of anthropogenic activities. In this study, two complementary methodologies were applied; the first one introduces a new topographic wetness index (TWI-Ks) that aims to identify flood prone-areas executed on the basin scale. Then were validated using sentinel-1 images. The second one is a two-dimensional (2D) hydrodynamic model applied on a locale scale (plain of Oued Laou), to describe and calculate the flood parameters and mapping flow indicators based on a high grid resolution (DTM) generated using Arial photogrammetry. The results highlight that the new approach of TWI-Ks model provides more reliable results than the classic TWI in terms of delineating areas at potential risk. Even though, both of them provide reliable susceptibility mapping. The analyses of the 200-year flood event simulated by 2D hydrodynamic HEC-RAS model, revealed that the flood inundation extent consequently affected almost all floodplain assets. Especially, crop fields and road N16, as tends to present danger even on buildings as a result.</t>
  </si>
  <si>
    <t>10.1080/08920753.2022.2078174</t>
  </si>
  <si>
    <t>https://www.scopus.com/inward/record.uri?eid=2-s2.0-85131671695&amp;doi=10.1080%2f08920753.2022.2078174&amp;partnerID=40&amp;md5=7ce7e4c2efd43559e1109244f3988be1</t>
  </si>
  <si>
    <t>Salt marshes are an integral part of coastal ecosystems that are changing rapidly with sea level rise (SLR). Because marshes provide important ecosystem services, such as carbon sequestration and shoreline protection, it is critical to understand how their economic benefit values are likely to be affected by SLR. Such change, however, depends on the capacity of marshes to adapt to flooding by migrating inland. This study provides the economic value of changes in carbon and non-carbon benefits using predicted changes in salt marsh coverage in Narragansett Bay, Rhode Island under three SLR scenarios and two marsh adaptation conditions. We apply regional carbon prices and a value function transfer approach to value other salt marsh service values. Results indicate an average annual value of $1,863/acre for carbon and $2,537/acre for non-carbon ecosystem services. This yields a mean discounted value of $592 million (M) (+14% compared to no change) over 90 years. We discuss alternative management strategies to enhance marshes’ capacity to migrate inland, which may accrue as much as $659 M. © 2022 Taylor &amp; Francis Group, LLC.</t>
  </si>
  <si>
    <t>2-s2.0-85131671695"</t>
  </si>
  <si>
    <t>10.1016/j.pdisas.2022.100216</t>
  </si>
  <si>
    <t>https://www.scopus.com/inward/record.uri?eid=2-s2.0-85125869110&amp;doi=10.1016%2fj.pdisas.2022.100216&amp;partnerID=40&amp;md5=b6a67275dfc434f780c51f779a2a46fd</t>
  </si>
  <si>
    <t>Cyclones and their associated wind and water hazards result in the largest number of fatalities. Coastal inundations due to cyclonic storm surges are an increasing threat to the lives and livelihoods of people in low-lying, highly populated coastal areas. Understanding hazards and the probability and intensity of of their occurrence are essential for determining the risk to life and infrastructure, as it allows the relevant agencies to plan for and respond to disasters. This paper developes a synthetic cyclone modelling (Category 4) to understand probable maximum impacts of a tropical cyclone and its cascading and compounding hazards in the Cox's Bazar area in Bangladesh. These models are used to develop contingency plans and strategies for disaster response. The probabilistic cyclone hazard modelling provides scenarios based hazards information that could benefit humanitarian agencies and future infrastructure risk assessments. © 2022 The Authors</t>
  </si>
  <si>
    <t>2-s2.0-85125869110"</t>
  </si>
  <si>
    <t>10.1080/10106049.2022.2082553</t>
  </si>
  <si>
    <t>https://www.scopus.com/inward/record.uri?eid=2-s2.0-85131945883&amp;doi=10.1080%2f10106049.2022.2082553&amp;partnerID=40&amp;md5=8ddf2de431fbeb08b0a660336d6174eb</t>
  </si>
  <si>
    <t>The article presents an assessment of water level fluctuations in eight lakes located in the Bory Tucholskie National Park (Poland). Mann-Kendall and Sen tests were applied to analyze the extent and direction of lake water level changes. For the purpose of detection of shoreline active zones, digital lake bottom models were developed based on bathymetric measurements. They were integrated with catchment digital terrain model, developed based on data from Airborne Laser Scanning. In analysed period, water levels in the majority of lakes showed a decreasing tendency, as a result of climate change. An increasing tendency was only observed for two lakes caused by the activity of beavers (castor fiber). The study permitted the identification of active shoreline zones with long-term exposure to drying and flooding. These zones are of the highest importance from the point of view of the functioning of water and water-dependent ecosystems, particularly protected species. © 2022 Informa UK Limited, trading as Taylor &amp; Francis Group.</t>
  </si>
  <si>
    <t>2-s2.0-85131945883"</t>
  </si>
  <si>
    <t>10.1080/08920753.2022.2006872</t>
  </si>
  <si>
    <t>https://www.scopus.com/inward/record.uri?eid=2-s2.0-85120610824&amp;doi=10.1080%2f08920753.2022.2006872&amp;partnerID=40&amp;md5=d004cf24ca0be817c50af5e5d22db5d8</t>
  </si>
  <si>
    <t>2-s2.0-85120610824"</t>
  </si>
  <si>
    <t>10.1007/s10668-021-01488-9</t>
  </si>
  <si>
    <t>https://www.scopus.com/inward/record.uri?eid=2-s2.0-85105871219&amp;doi=10.1007%2fs10668-021-01488-9&amp;partnerID=40&amp;md5=f3a31ad3d117ba4fed5e82ef3780d92f</t>
  </si>
  <si>
    <t>The north-western Mediterranean coast of Egypt, including the study area from El Hammam to EL Alamein, is a hub for economic and coastal tourism development. Coastal tourism is recognized as a driving force for the economic development and sustainability in Egypt, however, it is an environment and climate-dependent industry. This study explores the potential impacts of climate change (CC) and the sea-level rise (SLR) on coastal tourism in El Hammam—EL Alamein area. The adopted methodological framework for this study comprises the assessment of the vulnerability of the area and the coastal tourism to climate change and sea-level rise via the development of a digital elevation model (DEM) and inundation models, besides the assessment of the temperature change employing the tourism climate index (TCI). The (DEM) and inundation models demonstrate the vulnerability of the eastern sector of the study area to the projected (SLR) following the Intergovernmental Panel on Climate Change Representative Concentration Pathway (RCP 2.6 &amp; 8.5) scenarios. Consequently, 34 to 36 coastal resorts will be inundated (about 46.5% and 49.3%) from the existing 74 resorts; and most likely the area will experience the following: (a) regression of the shoreline and beach erosion, (b) damage of the coastal infrastructure, (c) devalue of the coastal tourism destination, and (d) decline of revenues. The tourism climate index revealed that the area at present ranges from very good to ideal, in terms of tourism climatic suitability, however, it will experience in the future a shift in the peak seasons from the summer months to the autumn and spring seasons. Assessment of the existing adaptive measures in the area indicates their inadequacy to face the future (CC) and (SLR) and other natural risks such as storms and tsunamis. Actions for adaptation and protection measures to minimize the projected adverse impact of (CC) are proposed to ensure the coastal development and tourism sustainability of the area.</t>
  </si>
  <si>
    <t>10.1080/10106049.2021.1899298</t>
  </si>
  <si>
    <t>https://www.scopus.com/inward/record.uri?eid=2-s2.0-85102935727&amp;doi=10.1080%2f10106049.2021.1899298&amp;partnerID=40&amp;md5=3f4733fce010660b603eb47b13f47eaf</t>
  </si>
  <si>
    <t>Flooding is the most widespread and frequent natural disaster in developing countries. Until recent years, determining flood extent and inundation depth were undertaken using hydrodynamic models but have pertinence constraints in data-scarce regions. This has given the new potential to characterize floods (e.g., inundation, depth, duration) at a large-scale using a geomorphic approach. The SAR data was employed to derive flood extent and the 12.5 m resolution DEM-based geomorphic method was applied to determine inundation depth in flooded domains of Kosi River Basin (KRB) in North Bihar (India) to characterize 2017 floods. The total inundated area in flooded domains over KRB was estimated at 4,108.2 km2 (20.88%). Most of the area (2,750 km2, 14%) of flooded domains over land had a water depth of 0.1 to 1 m. The geomorphic approach is appropriate for characterizing floods over large-scale and data-sparse basins like KRB and afforded a new horizon for flood risk assessment on flood vulnerable areas. © 2021 Informa UK Limited, trading as Taylor &amp; Francis Group.</t>
  </si>
  <si>
    <t>2-s2.0-85102935727"</t>
  </si>
  <si>
    <t>10.1007/s11069-021-04987-0</t>
  </si>
  <si>
    <t>https://www.scopus.com/inward/record.uri?eid=2-s2.0-85113335212&amp;doi=10.1007%2fs11069-021-04987-0&amp;partnerID=40&amp;md5=ec74957f2012066357cd942c637847fb</t>
  </si>
  <si>
    <t>Hurricanes and tropical storms pose a significant threat to developed coastal regions around the world. In the United States, hurricanes cause billions of dollars in damage each year and many deaths. Climate change will continue to exacerbate damage, increasing the duration of hurricane season, creating stronger storms, and increasing coastal vulnerability to storms along the Gulf of Mexico and the Atlantic seaboard. Most of the mortality and economic damage from hurricanes is caused specifically by storm surge flooding; the phenomenon wherein a hurricane’s heavy winds push large amounts of sea water onto land. Predicting the damage that will result from a hurricane is a challenging problem. Hurricanes are difficult to forecast, with their projected track, strength, and size constantly changing. Even when the models are accurate and forecasters are confident in a given storm’s track, predicting community impacts, including economic damage, remains difficult. The purpose of this paper is to present a geocomputational method to improve community damage estimates with a storm surge property damage index. Florida is used as a case study. The results suggest that large variations exist in community vulnerability throughout the state. The developed geocomputational framework presented in this paper is generalizable to any region vulnerable to tropical storms—helping urban planners, insurance companies, and policymakers improve efforts to reduce coastal vulnerabilities.</t>
  </si>
  <si>
    <t>Planning Theory and Practice</t>
  </si>
  <si>
    <t>10.1080/14649357.2022.2034921</t>
  </si>
  <si>
    <t>https://www.scopus.com/inward/record.uri?eid=2-s2.0-85126037215&amp;doi=10.1080%2f14649357.2022.2034921&amp;partnerID=40&amp;md5=38e5efd11535a9439abd63f21dccd975</t>
  </si>
  <si>
    <t>Around the world, deltaic and coastal regions like the Netherlands are facing challenges from climate, change such as sea-level rise as well as more frequent and extreme natural events. Since 2009, the Dutch government has tried to mitigate flood vulnerability by deploying a balanced mix of flood protection measures, resilient spatial planning and crisis management (Multi-Layer Safety). However, recent evaluations have concluded that resilient spatial planning is (too) limitedly applied in practice. This article aims to understand the barriers and opportunities for resilient spatial planning in flood risk management by comparing two cases where resilient spatial planning was opted for: Dordrecht and the IJssel-Vecht Delta. The study suggests a large gap between the wide array of possible measures, and those that are actually realized in practice. Three physical-spatial barriers were identified: maximum flood depths, lack of space, and rigidity of the existing built environment. Additionally, institutional-organizational barriers were found, including: a false, low or non-existent safety perception or risk awareness, and therefore a lack of urgency to act</t>
  </si>
  <si>
    <t>10.1016/j.rsase.2022.100697</t>
  </si>
  <si>
    <t>https://www.scopus.com/inward/record.uri?eid=2-s2.0-85122793892&amp;doi=10.1016%2fj.rsase.2022.100697&amp;partnerID=40&amp;md5=bcda7cf7d20576070fc4e4730bc0e6f9</t>
  </si>
  <si>
    <t>Flood events cause substantial damage to infrastructure and disrupt livelihoods. Timely monitoring of flood extent helps authorities identify severe impacts and plan relief operations. Remote sensing through satellite imagery is an effective method to identify flooded areas. However, critical contextual information about the severity of structural damage or urgent needs of affected population cannot be obtained from remote sensing alone. On the other hand, social sensing through microblogging sites can potentially provide useful information directly from eyewitnesses and affected people. Therefore, this paper explores the integration of remote sensing and social sensing data to derive informed flood extent maps. For this purpose, we employ state-of-the-art deep learning methods to process heterogeneous data obtained from four case-study areas, including two urban regions from Somalia and India and two coastal regions from Italy and The Bahamas. On the remote sensing side, we observe that deep learning models perform generally better than Otsu in flood water prediction. For example, for highly urban areas from Somalia and India, U-Net achieves better F1-scores (0.471 and 0.310, respectively) than Otsu (0.297 and 0.251, respectively). Similarly, for coastal areas, FCN yields a better F1-score for Italy (0.128) than Otsu (0.083) while FCN and Otsu perform on par for The Bahamas (0.102 and 0.105, respectively). Then, on the social sensing side, we add two data layers representing relevant tweet text and images posted from the case-study regions to highlight different ways these heterogeneous data sources complement each other. Our extensive analyses reveal several valuable insights. In particular, we identify three types of signals: (i) confirmatory signals from both sources, which puts greater confidence that a specific region is flooded, (ii) complementary signals that provide different contextual information including needs and requests, disaster impact or damage reports and situational information, and (iii) novel signals when both data sources do not overlap and provide unique information. © 2022 The Authors</t>
  </si>
  <si>
    <t>2-s2.0-85122793892"</t>
  </si>
  <si>
    <t>Water International</t>
  </si>
  <si>
    <t>10.1080/02508060.2022.2043015</t>
  </si>
  <si>
    <t>https://www.scopus.com/inward/record.uri?eid=2-s2.0-85127375527&amp;doi=10.1080%2f02508060.2022.2043015&amp;partnerID=40&amp;md5=769af5c76d0ae0d2231d65c5ed34f3ae</t>
  </si>
  <si>
    <t>Based on a qualitative case study in An Giang province, Vietnam, we mapped the understanding of the ‘Living with Floods’ (LWF) concept and the implementation of three projects to explain the effectiveness of water governance in Vietnam. We have demonstrated how perceptions on the LWF concept differ per government level and the limits of water governance effectiveness. Diverging perceptions undermine the effectiveness of water governance. A framework and a list of indicators are proposed to measure the effectiveness of floodwater governance. Integrating local and social aspects in LWF policies and vertical coordination may help align short-term benefits with long-term adaptation. © 2022 The Author(s). Published by Informa UK Limited, trading as Taylor &amp; Francis Group.</t>
  </si>
  <si>
    <t>2-s2.0-85127375527"</t>
  </si>
  <si>
    <t>10.1080/10807039.2022.2052262</t>
  </si>
  <si>
    <t>https://www.scopus.com/inward/record.uri?eid=2-s2.0-85126828844&amp;doi=10.1080%2f10807039.2022.2052262&amp;partnerID=40&amp;md5=f235fac5fd106722985074c3210784b0</t>
  </si>
  <si>
    <t>Vietnam is a densely populated country, with the majority of its impoverished people living in rural areas. These people lack facilities and means of self-protection against risks, especially natural disasters related to climate change. Therefore, it is necessary to study the livelihood vulnerability under climate change in rural regions of Vietnam. The study was based on the original Livelihood Vulnerability Index (LVI) and LVI-IPCC (the Intergovernmental Panel on Climate Change) combined with the use of dataset from the Vietnam Access to Resources Household Survey (VARHS) in 2018. by using the dataset from the Vietnam Access to Resources Household Survey (VARHS) in 2018. The database is composed of 1,852 rural households in 12 provinces in Vietnam and considers socio-demographic profile, livelihood, health, food, social networks, water status, natural disasters, and climate variability. The results show that the North Central and South Central Coasts are the most vulnerable regions, with a lower LVI score (0.261) but higher LVI-IPCC score (0.012)</t>
  </si>
  <si>
    <t>10.1016/j.crm.2022.100425</t>
  </si>
  <si>
    <t>https://www.scopus.com/inward/record.uri?eid=2-s2.0-85127118493&amp;doi=10.1016%2fj.crm.2022.100425&amp;partnerID=40&amp;md5=e1f72ad37e846262757009e71ad2a25b</t>
  </si>
  <si>
    <t>Sea-level rise (SLR) and coastal flooding in low-lying rural coastal areas will significantly impact residents’ daily lives. The need to understand who may be affected and when is widely acknowledged in order to enable inclusive and cost-effective adaptation planning. Presently, planning resources generally focus on housing impacts</t>
  </si>
  <si>
    <t>10.3390/hydrology9010006</t>
  </si>
  <si>
    <t>https://www.scopus.com/inward/record.uri?eid=2-s2.0-85121850873&amp;doi=10.3390%2fhydrology9010006&amp;partnerID=40&amp;md5=b02faa106aec80491746a5ed05a73788</t>
  </si>
  <si>
    <t>In arid areas, flashflood water management is a major concern due to arid climate ambiguity. The examining and derivation of intensity–duration–frequency (IDF) curves in an urban arid area under a variety of terrain patterns and climatic changes is anticipated. Several flood events have been reported in the Al-Lith region of western Saudi Arabia that took away many lives and caused disruption in services and trade. To find and examine the extremities and IDF curves, daily rainfall data from 1966 to 2018 is used. The IDF curves are created for a variety of return periods and climate scenarios in three terrain variabilities. This research examines various distributions to estimate the maximum rainfall for several metrological stations with varying return periods and terrain conditions. Three main zones are identified based on ground elevation variability and IDF distributions from upstream in the eastern mountainous area to downstream in the western coastal area. These IDF curves can be used to identify vulnerable hotspot areas in arid areas such as the Wadi AL-Lith, and flood mitigation steps can be suggested to minimize flood risk. © 2021 by the authors. Licensee MDPI, Basel, Switzerland.</t>
  </si>
  <si>
    <t>2-s2.0-85121850873"</t>
  </si>
  <si>
    <t>Mobile Information Systems</t>
  </si>
  <si>
    <t>10.1155/2022/8075611</t>
  </si>
  <si>
    <t>https://www.scopus.com/inward/record.uri?eid=2-s2.0-85131363517&amp;doi=10.1155%2f2022%2f8075611&amp;partnerID=40&amp;md5=f8c4e3a302b9996d16d42d0996382f6d</t>
  </si>
  <si>
    <t>The extraction of underground mineral sources has a significant negative impact on the local environment, results in land surface subsidence. As far as subsidence monitoring technology is concerned, leveling is the most accurate. However, leveling can only obtain discrete point data but not the whole area information of the subsidence basin. In this study, Differential Interferometric Synthetic Aperture Radar (D-InSAR) combined with Unmanned Aerial Vehicle (UAV) technology is used to study the subsidence characteristics of the whole working panel. In this analysis, the Huainan mining area is tested as a research area</t>
  </si>
  <si>
    <t>10.1016/j.ocemod.2021.101929</t>
  </si>
  <si>
    <t>https://www.scopus.com/inward/record.uri?eid=2-s2.0-85122534071&amp;doi=10.1016%2fj.ocemod.2021.101929&amp;partnerID=40&amp;md5=e98bc0f6934da8c73fb476528e4754ba</t>
  </si>
  <si>
    <t>The degradation of coastal ecosystems in recent years, combined with more intense storms and greater sea levels associated with climate change, are likely to increase vulnerability to coastal flooding along reef-lined coasts. Therefore, there is a need to accurately predict extreme water levels to identify areas with high vulnerability and implement mitigation measures. Runup parameterisations allow a rapid assessment of coastal vulnerability at a regional to global scale, however these formulations are primarily developed for beaches. Hydrodynamic forcing and reef geometry are key parameters for the estimation of coastal flooding in reef environments. The present study aims to develop runup parameterisations for an idealised 2DV reef-lined coast profile using a widely validated nonlinear non-hydrostatic numerical model (SWASH). The numerical model is employed to simulate different combinations of wave conditions, water levels, and reef geometries. A machine learning (ML) approach, in the form of genetic programming, is used to identify the most suitable predictors for wave runup based on the numerical results. Analysis of runup results suggests that runup parameterisations can be improved for reef environments by incorporating the crest elevation, lagoon width, reef flat depth, and forereef slope. A dimensional and non-dimensional parameterisation that include reef geometry are presented. Further research efforts should be devoted to incorporate the effects of bed roughness and three-dimensional processes in this framework that were not taken into account in the present work. © 2021 Elsevier Ltd</t>
  </si>
  <si>
    <t>2-s2.0-85122534071"</t>
  </si>
  <si>
    <t>10.3390/ijgi11010032</t>
  </si>
  <si>
    <t>https://www.scopus.com/inward/record.uri?eid=2-s2.0-85123286936&amp;doi=10.3390%2fijgi11010032&amp;partnerID=40&amp;md5=f443f900297c22b4e2417108aed5258d</t>
  </si>
  <si>
    <t>Estimating surface elevation changes in mangrove forests requires a technique to filter the mangrove canopy and quantify the changes underneath. Hence, this study estimates surface elevation changes underneath the mangrove canopy through vegetation filtering and Difference of DEM (DoD) techniques using two epochs of unmanned aerial vehicle (UAV) data carried out during 2016 and 2017. A novel filtering algorithm named Surface estimation from Nearest Elevation and Repetitive Lowering (SNERL) is used to estimate the elevation height underneath the mangrove canopy. Consequently, DoD technique is used to quantify the elevation change rates at the ground surface, which comprise erosion, accretion, and sedimentation. The significant findings showed that region of interest (ROI) 5 experienced the highest volumetric accretion (surface raising) at 0.566 cm3 . The most increased erosion (surface lowering) was identified at ROI 8 at −2.469 cm3 . In contrast, for vertical change average rates, ROI 6 experienced the highest vertical accretion (surface raising) at 1.281 m. In comparison, the most increased vertical erosion (surface lowering) was spotted at ROI 3 at −0.568 m. The change detection map and the rates of surface elevation changes at Kilim River enabled authorities to understand the situation thoroughly and indicate the future situation, including its interaction with sea-level rise impacts. © 2021 by the authors. Licensee MDPI, Basel, Switzerland.</t>
  </si>
  <si>
    <t>2-s2.0-85123286936"</t>
  </si>
  <si>
    <t>10.1080/08920753.2022.2022971</t>
  </si>
  <si>
    <t>https://www.scopus.com/inward/record.uri?eid=2-s2.0-85122856307&amp;doi=10.1080%2f08920753.2022.2022971&amp;partnerID=40&amp;md5=7012eeed1231c8d5d697b2e68029494f</t>
  </si>
  <si>
    <t>Coastal vulnerability and its physical, economic and social consequences at national and international scales is of high scientific, political and policy interest. Anthropogenic climate change and coastal erosion threaten the very fabric of a society. Indications, that coastal hazards are impacting diverse coastal areas severely across the world, and it is no longer a vague future threat that can’t be ignored. Rising eustatic sea levels synthesized by the growing frequency and scale of coastal hazards like storm surges, coastal erosion and coastal landslides threaten low-lying and unprotected coastal areas in the United Kingdom even if they have coastal defenses. However, there is still significant uncertainty about the degree of vulnerability along different coastal stretches, particularly in England. To fill this uncertainty, the current study estimated the coastal vulnerability of the coastal erosion hotspot Camber, England, by establishing a coastal vulnerability index. This index was developed by compounding various existing parameters and termed as Erosion Coastal Vulnerability Index (ECVI). Results illustrate that 67% of coastal area fall between high and very high vulnerability categories, and current coastal defenses are not strong enough to tackle the severe coastal erosion in Camber. Within the evaluation, thematic maps were generated to enable the intensity of the vulnerability for different coastal stretches to be identified. The evaluated vulnerable hotspot should be treated urgently by regional and national policy organizations to ameliorate the impacts of coastal erosion and other associated risks. Without action, the hotspot is likely to encounter unprecedented new vulnerabilities, disasters and humanitarian catastrophes. The current study results allow for a local, regional and national comparison that may help to evaluate changes in coastal erosion vulnerability. © 2022 The Author(s). Published with license by Taylor &amp; Francis Group, LLC.</t>
  </si>
  <si>
    <t>2-s2.0-85122856307"</t>
  </si>
  <si>
    <t>10.1080/24694452.2022.2047593</t>
  </si>
  <si>
    <t>https://www.scopus.com/inward/record.uri?eid=2-s2.0-85130294579&amp;doi=10.1080%2f24694452.2022.2047593&amp;partnerID=40&amp;md5=9e02669feccb836cb0a55203e61efca3</t>
  </si>
  <si>
    <t>Coastal marshes provide essential ecosystem services related to biodiversity, water quality, and protection from erosion. As increasing rates of relative sea-level rise affect many coastal marsh systems, a thorough understanding of marsh responses to sea-level change, particularly the migration of marsh–upland boundaries, becomes essential. The goal of this study was to determine precise elevation thresholds associated with coastal marsh, the marsh–upland ecotone, and upland plant communities along Mississippi’s Gulf of Mexico coast (diurnal, microtidal). Elevations (NAVD88) were measured using survey-grade Global Navigation Satellite System solutions integrated with high-precision leveling. Plant species were sampled at approximately 1-m intervals along each of thirty-three transects extending from intermediate marsh through the marsh–upland ecotone. Elevation thresholds associated with plant community change were determined based on relevant quartiles of the data. Probabilities of occurrence of each plant community type were computed for elevations at the centimeter scale. Results indicated transitions from marsh to ecotone and ecotone to upland at elevations of approximately 0.40 m and 0.60 m, respectively. Understanding the precise nature of these centimeter-scale dependencies of marsh vegetation on coastal elevation will facilitate spatial modeling of marsh transgression in response to sea-level rise, subsidence, changes in sediment flux, and land use change. © 2022 The Author(s). Published with license by Taylor &amp; Francis Group, LLC.</t>
  </si>
  <si>
    <t>2-s2.0-85130294579"</t>
  </si>
  <si>
    <t>10.3390/rs14020421</t>
  </si>
  <si>
    <t>https://www.scopus.com/inward/record.uri?eid=2-s2.0-85122987510&amp;doi=10.3390%2frs14020421&amp;partnerID=40&amp;md5=32d43e906446e09a731a39642abf44d1</t>
  </si>
  <si>
    <t>Coal mine surface subsidence detection determines the damage degree of coal mining, which is of great importance for the mitigation of hazards and property loss. Therefore, it is very important to detect deformation during coal mining. Currently, there are many methods used to detect deformations in coal mining areas. However, with most of them, the accuracy is difficult to guarantee in mountainous areas, especially for shallow seam mining, which has the characteristics of active, rapid, and high-intensity surface subsidence. In response to these problems, we made a digital subsidence model (DSuM) for deformation detection in coal mining areas based on airborne light detection and ranging (LiDAR). First, the entire point cloud of the study area was obtained by coarse to fine registration. Second, noise points were removed by multi-scale morphological filtering, and the progressive triangulation filtering classification (PTFC) algorithm was used to obtain the ground point cloud. Third, the DEM was generated from the clean ground point cloud, and an accurate DSuM was obtained through multiple periods of DEM difference calculations. Then, data mining was conducted based on the DSuM to obtain parameters such as the maximum surface subsidence value, a subsidence contour map, the subsidence area, and the subsidence boundary angle. Finally, the accuracy of the DSuM was analyzed through a comparison with ground checkpoints (GCPs). The results show that the proposed method can achieve centimeter-level accuracy, which makes the data a good reference for mining safety considerations and subsequent restoration of the ecological environment. © 2022 by the authors. Licensee MDPI, Basel, Switzerland.</t>
  </si>
  <si>
    <t>2-s2.0-85122987510"</t>
  </si>
  <si>
    <t>10.1080/10106049.2021.1886335</t>
  </si>
  <si>
    <t>https://www.scopus.com/inward/record.uri?eid=2-s2.0-85100975285&amp;doi=10.1080%2f10106049.2021.1886335&amp;partnerID=40&amp;md5=4dda7bc6648adb95b59b365a3e67da95</t>
  </si>
  <si>
    <t>Main aim of the paper is to emphasise the advantage of 1 D and 2 D hydrodynamic models coupling in simulating flood inundations using high resolution Digital Terrain Models. The developed flood early warning model was calibrated and validated thoroughly at critical locations using historic observed discharge data and point rainfall data of about 350 stations. The flood inundation simulation model was prepared using flexible mesh approach and compared with the satellite imagery of Radarsat2. 1 D hydrodynamic model was integrated with 2 D hydrodynamic model by standard links for seamless hydrodynamic modelling. It is found that computational time has reduced drastically due to integration of 1 D and 2 D hydrodynamic models. Web-enabled spatial flood early warning system is developed to disseminate flood advisories in real-time. Computed peak discharge is found to be more than 87% accurate with forecast lead time of 52 hours when compared with field measurements subsequently. © 2021 Informa UK Limited, trading as Taylor &amp; Francis Group.</t>
  </si>
  <si>
    <t>2-s2.0-85100975285"</t>
  </si>
  <si>
    <t>10.1007/s13157-021-01519-1</t>
  </si>
  <si>
    <t>https://www.scopus.com/inward/record.uri?eid=2-s2.0-85122305835&amp;doi=10.1007%2fs13157-021-01519-1&amp;partnerID=40&amp;md5=3172cd5628623be17e209b4ea6a972b6</t>
  </si>
  <si>
    <t>Hydrologic processes in tidal wetlands are important regulators controlling the growth and productivity of salt marsh plants. Understanding hydrodynamic and hydrological processes is therefore critical to sustaining ecosystem functions and productivity in tidal wetlands. We used remote sensing and geographic information system to determine the spatial distributions of Suaeda heteroptera and Phragmites australis plants on the tidal-flats of Liao River Estuary (LRE), China. Next, hydrodynamic modelling was performed to characterize the water levels and tidal currents in these wetland waters. After extensive calibration and validation against field data, we proposed a 2D circulation structure for the LRE that can be used to calculate the hydrological parameters in different areas of the tidal wetlands. The simulation results showed that the hydrological characteristics of the tidal wetlands were primarily dependent on local topography and water level. The prevalent plant community in the LRE, dominated by Suaeda heteroptera, was abundant across a large range of flood times (0.79 ~ 3.22 h/day), inundation frequencies (11 ~ 52 times/month), and max flooding depths (0.42 ~ 0.81 m). However, certain hydrological conditions did appear to limit the spatial distributions of wetland plant communities. These findings have provided detailed methods of a novel approach to quantitatively assess habitat status in tidal-flat wetlands. © 2021, The Author(s), under exclusive licence to Society of Wetland Scientists.</t>
  </si>
  <si>
    <t>2-s2.0-85122305835"</t>
  </si>
  <si>
    <t>10.1080/02723646.2021.1936790</t>
  </si>
  <si>
    <t>https://www.scopus.com/inward/record.uri?eid=2-s2.0-85108589392&amp;doi=10.1080%2f02723646.2021.1936790&amp;partnerID=40&amp;md5=460d1207d1dbcca445e65c08ca7c6ee4</t>
  </si>
  <si>
    <t>Dune systems in Atlantic Canada are relatively small given a relatively low sediment supply. The dunes are built primarily of reworked sediments as relative sea level (RSL) has risen. The foredune (at least) is reworked several times a decade by extreme weather events and many are transgressing on a decadal scale as a result of normal geomorphic processes. The key drivers shaping the dunes are, however, changing over time with climate change.The rate of RSL rise is accelerating, which will almost certainly mean an acceleration of dune transgression rates. As well, there is some evidence that storms are becoming more frequent and sea ice is diminishing, meaning more frequent reactivation. Predicting how dunes will respond to changes in the key controlling variables on an annual or decadal scale is challenging. Examination of how the dunes evolve on a decadal to century scale, however, suggests that the dunes in Atlantic Canada should continue to exist. Thus, we advocate using a dune management approach that focuses on minimizing human impacts and allowing natural processes to continue unimpeded. The highest priority for managing our coastal dunes should be to provide them with sufficient accommodation space into which they can transgress naturally. © 2021 Informa UK Limited, trading as Taylor &amp; Francis Group.</t>
  </si>
  <si>
    <t>2-s2.0-85108589392"</t>
  </si>
  <si>
    <t>10.1029/2021JF006300</t>
  </si>
  <si>
    <t>https://www.scopus.com/inward/record.uri?eid=2-s2.0-85123706011&amp;doi=10.1029%2f2021JF006300&amp;partnerID=40&amp;md5=55b6d648f508a4c8ec9a198ef92a9a55</t>
  </si>
  <si>
    <t>Deltaic river networks naturally reorganize as interconnected channels move to redistribute water, sediment, and nutrients across the delta plain. Network change is documented in decades of satellite imagery and laboratory experiments, but our ability to measure and understand channel movements is limited: existing methods are difficult to employ efficiently and struggle to distinguish between gradual movements (channel migration) and abrupt shifts in river course (channel avulsions). Here, we present a method to extract channel migration from plan-view imagery using particle image velocimetry (PIV). Although originally designed to track particles moving in a fluid, PIV can be adapted to track channels moving on the delta surface, based on input estimates of channel width, migration timescale, and maps of the wet-dry interface. Results for a delta experiment show that PIV-derived vector fields accurately capture channel-bank movements, as compared to manually drawn maps and an independent image-registration technique. Unlike other methods, PIV targets the process of channel migration, excluding changes associated with channel avulsions and overbank flow. PIV-derived migration rates from the experiment span an order of magnitude and are reduced under lower sediment supply and during sea-level rise, supporting recent models. Together, results indicate that PIV offers a fast and reliable way to measure channel migration in river networks, that channel migration rates under non-cohesive conditions can displace channels a distance comparable to their width in the time needed to aggrade ∼10% of the channel depth, and that migration direction is ∼60% orthogonal to mean flow direction and ∼40% flow-parallel overall. © 2021. American Geophysical Union. All Rights Reserved.</t>
  </si>
  <si>
    <t>2-s2.0-85123706011"</t>
  </si>
  <si>
    <t>10.1016/j.crm.2022.100432</t>
  </si>
  <si>
    <t>https://www.scopus.com/inward/record.uri?eid=2-s2.0-85129909514&amp;doi=10.1016%2fj.crm.2022.100432&amp;partnerID=40&amp;md5=d1f6754ec701d855d918b6f5ad0ad19c</t>
  </si>
  <si>
    <t>Small island developing states (SIDS) are recognized as being among the most vulnerable countries to climate change—many are highly exposed and sensitive to, inter alia, sea-level rise and increased intensity storms, yet often lack the human and financial resources needed for successful and/or effective adaptation. The international community has responded to SIDS’ precarious situation, in part, by establishing a suite of multilateral funding mechanisms to help finance costly adaptation projects and programs. However, to date, there has been a mismatch between the level of international climate finance mobilized and the scale of adaptation that is needed in SIDS. This paper reviews the relevant academic and policy literatures to provide a system-wide diagnosis of the institutional and conceptual problems plaguing adaptation-specific multilateral climate funds, which are often addressed in isolation. We show that, following the establishment of the Global Environment Facility, many multilateral climate funds have been rife with administrative issues, creating barriers to access for particularly vulnerable countries. The funding that SIDS do receive is often insufficient to meet the costs of adaptation, and funding allocations are demonstrably skewed amongst SIDS and amongst types of adaptation projects and programs funded. In concluding, we propose reorienting multilateral adaptation finance towards resilience as a means of improving the governance of international adaptation finance and increasing access for SIDS and other particularly vulnerable countries. © 2022</t>
  </si>
  <si>
    <t>2-s2.0-85129909514"</t>
  </si>
  <si>
    <t>10.1080/10106049.2021.2019836</t>
  </si>
  <si>
    <t>https://www.scopus.com/inward/record.uri?eid=2-s2.0-85121849782&amp;doi=10.1080%2f10106049.2021.2019836&amp;partnerID=40&amp;md5=78bc4118923bf145d71900e748414880</t>
  </si>
  <si>
    <t>Ghaggar river basin of northern India has been experiencing flash floods many times during the last three decades despite locating in semi-arid/arid regions. Identification of the flood risk zone of a basin is essential where the availability of flood-related data is limited. The present study proposed the graph theory to identify the flood risk zone using spatial database of the digital elevation model, land use and land cover, soil cover, population, rainfall, drainage density, distance from roads, rivers, and flood shelters. Further, the results obtained from graph theory were compared with the results obtained by Analytical Hierarchy Process. It is observed that graph theory can also identify the flood risk zone of a basin precisely with acceptable accuracy. Around 94.1% of the study area is observed to have a high flood risk using Analytical Hierarchy Process, whereas 100% area is observed to have a high flood risk using graph theory. © 2021 Informa UK Limited, trading as Taylor &amp; Francis Group.</t>
  </si>
  <si>
    <t>2-s2.0-85121849782"</t>
  </si>
  <si>
    <t>10.1029/2021JF006369</t>
  </si>
  <si>
    <t>https://www.scopus.com/inward/record.uri?eid=2-s2.0-85123722122&amp;doi=10.1029%2f2021JF006369&amp;partnerID=40&amp;md5=87edc6bd1ea3120d70f55aa7b3b98507</t>
  </si>
  <si>
    <t>Glacier surging is a dynamic instability that affects the flow of some glaciers, modifying the glacier area, surface velocity, and surface elevation. It is also among the major causes of ice dams and glacier lake floods. Previous studies have shown that in the West Kunlun Mountains| (WKM) where a cluster of surge-type glaciers had been found, the glaciers were relatively stable in recent years. Nevertheless, the surge cycle and its impact on glacier changes on a regional scale are poorly understood. In this study, we updated the surge-type glacier inventory of the WKM using the detailed changes in glacier length, surface velocity, and surface elevation during the 1972–2020 period using 78 Landsat optical images, 86 Sentinel-1 synthetic aperture radar (SAR) images, and three digital elevation models of the WKM. The updated results show that among the 423 glaciers in the WKM, 10 are confirmed as surge-type glaciers, three are likely surge-type glaciers, and five are possible surge-type glaciers. Furthermore, these 18 glaciers account for 63% of the total glacier area. During the period analyzed, there were marked changes in the lengths, areas and surface elevations of all surge-type glaciers, while those of the non-surge-type glaciers were relatively stable. These results appear to indicate that the observed regional trends of glaciers in the WKM recently may be related to the existence of surge-type glaciers. Furthermore, the surge-type glacier underwent advance after accelerating for 3–4 years, which could be used to forecast when glacier termini may advance and avoid the possible catastrophic damages. © 2021. American Geophysical Union. All Rights Reserved.</t>
  </si>
  <si>
    <t>2-s2.0-85123722122"</t>
  </si>
  <si>
    <t>10.1007/s10668-021-01492-z</t>
  </si>
  <si>
    <t>https://www.scopus.com/inward/record.uri?eid=2-s2.0-85105955289&amp;doi=10.1007%2fs10668-021-01492-z&amp;partnerID=40&amp;md5=52ab181eca07b9d8aadca9b3e57603e1</t>
  </si>
  <si>
    <t>Global climate has undergone unprecedented changes due to several natural- and human-induced factors. The present study sought to assess the impacts of climate hazards on coastal livelihoods, specifically in Ningo-Prampram district in the Greater Accra region, Ghana. The research uses participatory rural appraisal (PRA) and the analytic hierarchical process (AHP) tools to ascertain the major climatic and non-climatic events, along with their impacts. Findings revealed coastal inundation and submersion were the major stressors that triggered dysfunctions of residents’ livelihoods. Impacts from these stressors constituted decline in household income, collapse of buildings along the beach, and saltwater intrusion rendering farmlands unproductive causing reduced crop yield. Cabbage and chilli farms that are no longer arable have been sold to estate developers. Sea level rise has resulted in the submersion of coastal lands (1 km–2 km land residual inland). Residents undertake temporal evacuations with financial assistance from local financial institutions. Minor interventions like the growing of mangroves and coconut trees have been initiated to somewhat serve as defence mechanisms. However, residents have continuously harvested these plants along the coast with no plans for afforestation, re-afforestation and other sea defence mechanisms. This leaves the area highly vulnerable, hence, the present study attempted to bridge this paucity of knowledge to inform the decision of relevant stakeholders in prioritizing climate-related issues that affect livelihoods in the area. © 2021, The Author(s), under exclusive licence to Springer Nature B.V.</t>
  </si>
  <si>
    <t>2-s2.0-85105955289"</t>
  </si>
  <si>
    <t>10.3390/rs14020246</t>
  </si>
  <si>
    <t>https://www.scopus.com/inward/record.uri?eid=2-s2.0-85122311393&amp;doi=10.3390%2frs14020246&amp;partnerID=40&amp;md5=5f8d416d1bf2ba23db1aa3ead447fd4c</t>
  </si>
  <si>
    <t>The synthetic aperture radar (SAR) imagery has been widely applied for flooding mapping based on change detection approaches. However, errors in the mapping result are expected since not all land-cover changes are flood-induced, and those changes are sensitive to SAR data, such as crop growth or harvest over agricultural lands, clearance of forested areas, and/or modifications on the urban landscape. This study, therefore, incorporated historical SAR images to boost the detection of flood-induced changes during extreme weather events, using the Long Short-Term Memory (LSTM) method. Additionally, to incorporate the spatial signatures for the change detection, we applied a deep learning-based spatiotemporal simulation framework, Convolutional Long Short-Term Memory (ConvLSTM), for simulating a synthetic image using Sentinel One intensity time series. This synthetic image will be prepared in advance of flood events, and then it can be used to detect flood areas using change detection when the post-image is available. Practically, significant divergence between the synthetic image and post-image is expected over inundated zones, which can be mapped by applying thresholds to the Delta image (synthetic image minus post-image). We trained and tested our model on three events from Australia, Brazil, and Mozambique. The generated Flood Proxy Maps were compared against reference data derived from Sentinel Two and Planet Labs optical data. To corroborate the effectiveness of the proposed methods, we also generated Delta products for two baseline models (closest post-image minus pre-image and historical mean minus post-image) and two LSTM architectures: normal LSTM and ConvLSTM. Results show that thresholding of ConvLSTM Delta yielded the highest Cohen’s Kappa coefficients in all study cases: 0.92 for Australia, 0.78 for Mozambique, and 0.68 for Brazil. Lower Kappa values obtained in the Mozambique case can be subject to the topographic effect on SAR imagery. These results still confirm the benefits in terms of classification accuracy that convolutional operations provide in time series analysis of satellite data employing spatially correlated information in a deep learning framework. © 2022 by the authors. Licensee MDPI, Basel, Switzerland.</t>
  </si>
  <si>
    <t>2-s2.0-85122311393"</t>
  </si>
  <si>
    <t>10.48129/KJS.V49I1.11145</t>
  </si>
  <si>
    <t>https://www.scopus.com/inward/record.uri?eid=2-s2.0-85122143051&amp;doi=10.48129%2fKJS.V49I1.11145&amp;partnerID=40&amp;md5=3874e5ef623b7bc81681b8fd08fea44f</t>
  </si>
  <si>
    <t>In this contribution, the nonlinear fractional arctic sea ice model is given, and the solution of the model was obtained using a new proposed modified Adomian decomposition method. The result is compared with the integer-order model, and we observed that a model with fractional order gives a better result. We also observed that the effect of climate change on arctic sea ice could lead to a large-scale sea ice melting with sea-level rise for several meters, which could pose a major threat to low-lying island nations and coastal areas. © 2022 University of Kuwait. All rights reserved.</t>
  </si>
  <si>
    <t>2-s2.0-85122143051"</t>
  </si>
  <si>
    <t>10.3390/atmos13010095</t>
  </si>
  <si>
    <t>https://www.scopus.com/inward/record.uri?eid=2-s2.0-85122677614&amp;doi=10.3390%2fatmos13010095&amp;partnerID=40&amp;md5=8d41b142f4f44e5585e982c9fa1ec5af</t>
  </si>
  <si>
    <t>This paper provides an Extreme Value Analysis (EVA) of the hourly water level record at Fort Denison dating back to 1915 to understand the statistical likelihood of the combination of high predicted tides and the more dynamic influences that can drive ocean water levels higher at the coast. The analysis is based on the Peaks-Over-Threshold (POT) method using a fitted Generalised Pareto Distribution (GPD) function to estimate extreme hourly heights above mean sea level. The analysis highlights the impact of the 1974 East Coast Low event and rarity of the associated measured water level above mean sea level at Sydney, with an estimated return period exceeding 1000 years. Extreme hourly predictions are integrated with future projections of sea level rise to provide estimates of relevant still water levels at 2050, 2070 and 2100 for a range of return periods (1 to 1000 years) for use in coastal zone management, design, and sea level rise adaptation planning along the NSW coastline. The analytical procedures described provide a step-by-step guide for practitioners on how to develop similar baseline information from any long tide gauge record and the associated limitations and key sensitivities that must be understood and appreciated in applying EVA. © 2022 by the author. Licensee MDPI, Basel, Switzerland.</t>
  </si>
  <si>
    <t>2-s2.0-85122677614"</t>
  </si>
  <si>
    <t>Society and Natural Resources</t>
  </si>
  <si>
    <t>10.1080/08941920.2022.2056668</t>
  </si>
  <si>
    <t>https://www.scopus.com/inward/record.uri?eid=2-s2.0-85128016819&amp;doi=10.1080%2f08941920.2022.2056668&amp;partnerID=40&amp;md5=539901b833a3aa3f9bc9bebbbc05410c</t>
  </si>
  <si>
    <t>Participatory approaches to natural resource research, such as citizen science (CS), have become increasingly popular as they foster direct and indirect public input and engagement that can lead to the acquisition of place-specific scientific information needed to address local conservation research and management objectives. Understanding how differing degrees of participant engagement are experienced by those involved and the feasibility of experimental designs (i.e., with random assignment and control groups) to vary and measure such engagement are important and lacking. In this study, we report on an exploratory CS project measuring storm surge in three coastal estuaries, providing lessons learned about the design and sustainment of a quasi-experimental, place-based, co-created CS effort. Drawing from surveys, interviews, and field notes, we discuss methodological and ethical issues related to implementing an experimental design as well instances in which researcher-citizen scientist expectations regarding engagement were (mis)aligned and impacted participant experiences and project success. KEY INSIGHTS Place-based, natural resource focused, citizen science projects require high engagement on behalf of project facilitators and may be particularly challenging for practitioners who have university appointments and/or are working in small teams with limited funding sources. Carrying out an experimental design within place-based citizen science initiatives raises practical concerns related to getting research off the ground as well as ethical concerns surrounding participants’ engagement preferences. Practitioners must prioritize making space for negotiations and ongoing conversations about expectations for engagement, on behalf of the project facilitators and citizen scientists, at various stages of the project. © 2022 Taylor &amp; Francis Group, LLC.</t>
  </si>
  <si>
    <t>2-s2.0-85128016819"</t>
  </si>
  <si>
    <t>10.1016/j.jenvman.2021.113801</t>
  </si>
  <si>
    <t>https://www.scopus.com/inward/record.uri?eid=2-s2.0-85115920778&amp;doi=10.1016%2fj.jenvman.2021.113801&amp;partnerID=40&amp;md5=9491fc2e30fbc2a56cb7bb6ccf36b739</t>
  </si>
  <si>
    <t>Indigenous communities are often on the front-lines of climate change, and for tribes such as the Pointe-au-Chien Indian Tribe (PACIT) that make their homes and livelihoods in the dynamic landscapes of Coastal Louisiana (USA), sea-level rise, subsidence, and land loss are very real reminders of why they must continue to hone their adaptive capacity that has evolved over many generations and continues to evolve as the pace of change quickens. PACIT members have an inherited wisdom about their surrounding environment and continue to build on that body of observational knowledge that is passed from generation to generation to sustain themselves in this dynamic landscape. This knowledge is woven through their culture and is sometimes referred to as traditional ecological knowledge (TEK). The PACIT and other Indigenous communities around the world are using creative strategies to adapt to the impacts of climate change that include partnering with researchers to combine their TEK with science in approaches to enhance strategies dealing with climate change impacts, mitigation, and adaptation. Tribes and other Indigenous communities often have a strong connection to place that helps to inspire innovative ideas to promote greater sustainability of vulnerable ecosystems and the communities that depend on them, but not the institutional support to implement them. Overcoming this barrier requires a better understanding of their perception of the issues and what they prioritize in sustaining their cultures and the ecosystems on which they depend. Better inclusion of their knowledge into applied research is necessary to support these communities in their efforts to make sure their knowledge is recognized, understood, and valued in environmental management applications. The primary goal for this study was to develop a decision-support tool that aids the PACIT in assessing local ecological change and associated risks to the Tribe's resilience. Using remote sensing datasets and geographic information systems (GIS) processes to represent aspects of the Tribe's TEK to achieve this goal, we developed methods for producing interactive maps that reflect local perceptions of landscape features within the Tribe's ecosystem-dependent livelihood base that contribute most to the community's physical vulnerability to coastal hazards. This case study is offered to consider how Indigenous communities like the PACIT are shaping their own coastal hazards mitigation planning efforts in line with their unique needs, cultural practices, and values. The results of this study can provide relevant insight to applied environmental scientists and others working with Indigenous communities that are facing similar circumstances around the world. © 2021 Elsevier Ltd</t>
  </si>
  <si>
    <t>2-s2.0-85115920778"</t>
  </si>
  <si>
    <t>Geofluids</t>
  </si>
  <si>
    <t>10.1155/2022/3339264</t>
  </si>
  <si>
    <t>https://www.scopus.com/inward/record.uri?eid=2-s2.0-85129951001&amp;doi=10.1155%2f2022%2f3339264&amp;partnerID=40&amp;md5=43b16e028ee96d3899800eccd50e0fa6</t>
  </si>
  <si>
    <t>Sliding structure refers to the process and result of rock deformation caused by the continuous downward sliding and cutting of the upper stratum under the influence of gravity. In the process of tectonic formation, the strata go through two times of sliding to the south and then sliding to the north after the over thrusting and overstretching, so that the strata of the overthrusting and underthrusting strata are opposite to the inclination of the overthrusting and underthrusting strata, forming the anticlinal tectonic zone. Nowadays, under the conventional geological mining conditions, the underwater mining technology and surface subsidence laws are quite mature, but the fracture zone and surface movement characteristics of the sliding structure and the antioverturning mining are still rarely studied. This paper analyzes the dam damage in the mining process and discusses the three-dimensional reconstruction of laser scanning and the acquisition method of settlement information. The three-dimensional laser scanning technology is compared with the traditional monitoring technology. The deformation characteristics of surface structures above 25091 working face are revealed. The 3D laser point cloud shows that the uneven sinking of the dam is obvious and is associated with the uneven damage of the dam mass. The actual observation at the site shows that the uneven settlement of the dam on the surface was noticeable during the 25091 working face retraction. The damage on the east side of the dam was more serious and was accompanied by the generation of cracks running east-west. The DEM model of part of the surface and dam above the 25091 working face was obtained by 3D laser scanning technology. The model was analyzed to obtain information on surface subsidence. The study reveals that the uneven subsidence condition of the dam is apparent, with the overall characteristics of large subsidence on the east side of the dam and small subsidence on the west side of the dam. The displacement of the maximum surface subsidence point reflects the special phenomenon of overburden fracture and surface movement under the influence of overburden reverse inclination.  © 2022 Changsheng Song and Shuang Gong.</t>
  </si>
  <si>
    <t>2-s2.0-85129951001"</t>
  </si>
  <si>
    <t>10.1504/ijhst.2022.119263</t>
  </si>
  <si>
    <t>https://www.scopus.com/inward/record.uri?eid=2-s2.0-85120783431&amp;doi=10.1504%2fijhst.2022.119263&amp;partnerID=40&amp;md5=a5f0677038f5bdf7eaa66f1c68f92b98</t>
  </si>
  <si>
    <t>Flooding is a natural catastrophe that can lead to major disasters and hence it becomes necessary to develop precautionary measures to minimise flood impacts. The present study is a comparative analysis of three globally available DEMs in flood modelling. This research demonstrates the usefulness of the SRTM in 1D hydrodynamic flood modelling using HEC-RAS mapper on the River Purna at Navsari city, Gujarat, India. Additionally, other DEMs like ALOS PALSAR, and Cartosat-1 are used to make a comparative analysis. The outcomes of these models are compared with the observed data; the R2 values for ALOS PALSAR, Cartosat 1, and SRTM are 0.9677, 0.9342, and 0.9914, respectively, which shows that SRTM provides the best match with the observed values. The approach presented in this study gives the applicability of the DEMs for flood modelling in the data-scarce region, which will be helpful for decision-makers to take precautionary measures and to predict the severity caused by an event.</t>
  </si>
  <si>
    <t>CMES - Computer Modeling in Engineering and Sciences</t>
  </si>
  <si>
    <t>10.32604/cmes.2022.018699</t>
  </si>
  <si>
    <t>https://www.scopus.com/inward/record.uri?eid=2-s2.0-85128325811&amp;doi=10.32604%2fcmes.2022.018699&amp;partnerID=40&amp;md5=65d0bf4f80f7c99c43acca70b12f7e75</t>
  </si>
  <si>
    <t>Water level predictions in the river, lake and delta play an important role in flood management. Every year Mekong River delta of Vietnam is experiencing flood due to heavy monsoon rains and high tides. Land subsidence may also aggravate flooding problems in this area. Therefore, accurate predictions of water levels in this region are very important to forewarn the people and authorities for taking timely adequate remedial measures to prevent losses of life and property. There are so many methods available to predict the water levels based on historical data but nowadays Machine Learning (ML) methods are considered the best tool for accurate prediction. In this study, we have used surface water level data of 18 water level measurement stations of the Mekong River delta from 2000 to 2018 to build novel time-series Bagging based hybrid ML models namely: Bagging (RF), Bagging (SOM) and Bagging (M5P) to predict historical water levels in the study area. Performances of the Bagging-based hybrid models were compared with Reduced Error Pruning Trees (REPT), which is a benchmark ML model. The data of 19 years period was divided into 70:30 ratio for the modeling. The data of the period 1/2000 to 5/2013 (which is about 70% of total data) was used for the training and for the period 5/2013 to 12/2018 (which is about 30% of total data) was used for testing (validating) the models. Performance of the models was evaluated using standard statistical measures: Coefficient of Determination (R2), Root Mean Square Error (RMSE) and Mean Absolute Error (MAE). Results show that the performance of all the developed models is good (R2 &gt; 0.9) for the prediction of water levels in the study area. However, the Bagging-based hybrid models are slightly better than another model such as REPT. Thus, these Bagging-based hybrid time series models can be used for predicting water levels at Mekong data. © 2022 Tech Science Press. All rights reserved.</t>
  </si>
  <si>
    <t>2-s2.0-85128325811"</t>
  </si>
  <si>
    <t>10.22146/ijg.66500</t>
  </si>
  <si>
    <t>https://www.scopus.com/inward/record.uri?eid=2-s2.0-85132238359&amp;doi=10.22146%2fijg.66500&amp;partnerID=40&amp;md5=a2164202ef935b2f488c4da573f5c7ff</t>
  </si>
  <si>
    <t>Ten years after rehabilitating and reconstructing some coastal areas of Banda Ache struck by the tsunami, and the city is currently repopulated, with most of its open land and community ponds converted into settlements. This rise in population needs to be controlled to minimize damages and casualties, assuming the tsunami hits again. Presently, the Banda Aceh City spatial plan for 2029 does not have a clear concept of tsunami mitigation, specifically in the spatial pattern of coastal areas. Therefore, this research aims to remap the vulnerability level of the Banda Aceh City coastal area from the tsunami hazard and determine alternative strategies based on the tsunami level in achieving safe, comfortable, productive, and sustainable spatial planning goals. This starts by analyzing the wave height generated by the earthquake that triggered this natural disaster and mapping the spatial distribution of the area and the tsunami's inundation height. The results showed that the proportionate regions prone to Level-2 tsunami were worse than the 2004 disaster based on the water level markers built in the city. The spatial planning strategies for the coastal area of Banda Aceh City are carried out by determining the level of tsunami-prone and the potential of the area's resources through a new approach of the multi-layer tsunami defence systems by combining sea dike, greenbelt, silvo-fishery, and the elevated road. © 2022 Faculty of Geography UGM and The Indonesian Geographers Association.</t>
  </si>
  <si>
    <t>2-s2.0-85132238359"</t>
  </si>
  <si>
    <t>10.1016/j.uclim.2021.101060</t>
  </si>
  <si>
    <t>https://www.scopus.com/inward/record.uri?eid=2-s2.0-85121594522&amp;doi=10.1016%2fj.uclim.2021.101060&amp;partnerID=40&amp;md5=90ff049e82a275db659670819b19aead</t>
  </si>
  <si>
    <t>The impact of climate change on the management and planning of coastal urban areas has become a worldwide issue and has been the subject of several studies in recent decades. Climate change projection in the design phase of urban planning allows building capacity for urban adaptation and avoids future economic costs. Many coastal communities still keep reactive adaptation responses due to a lack of knowledge about how to incorporate this information in planning. In this sense, this paper presents a modelling framework to guide the incorporation of climate projections in the planning and management of coastal areas. The framework was applied in a coastal city of Brazil, where high environmental vulnerability and constantly coastal flooding are observed. The results indicate that there is no significant difference between the emission scenarios, in the short and medium-term, for precipitation projections and runoff peak flow. Extreme rainfall projections give differences up to 21% between the historical series and the projection for 2100. For the sea level projection, the extent of flooded areas induced by the worst emission scenario until the end of the century will reach 10% of the total municipally area (characterized by ecologically sensitive areas). In general, the framework provides preliminary information that can be used to improve spatial planning in a local context. Given the several simplified assumptions, the results should be used with caution, serving as a baseline for future planning efforts in the search for resilient cities. © 2021 Elsevier B.V.</t>
  </si>
  <si>
    <t>2-s2.0-85121594522"</t>
  </si>
  <si>
    <t>10.1016/j.geomorph.2021.108005</t>
  </si>
  <si>
    <t>https://www.scopus.com/inward/record.uri?eid=2-s2.0-85118106546&amp;doi=10.1016%2fj.geomorph.2021.108005&amp;partnerID=40&amp;md5=84e8312b62692ee396176f3d0ebdf4b5</t>
  </si>
  <si>
    <t>The glaciated areas of the Himalaya often experience mass movement, glacial lake outburst flood and other associated hazards, posing threat to the communities and infrastructure in the downstream areas. A large debris flow occurred during July 16–19, 2017 near the present snout of the Gangotri Glacier in the Garhwal Himalaya, India resulting in significant geomorphological changes in the vicinity. The present study assesses the applicability of multi-source remote sensing data from satellites, unmanned aerial vehicle (UAV) and terrestrial laser scanner (TLS) along with process-based modelling to understand and quantify glacier snout dynamics and morphological changes around Gangotri Glacier in the Garhwal Himalaya of India. We show that retreat rates of Gangotri Glacier snout along the lateral flowlines are (left flowline 29.6 m year−1</t>
  </si>
  <si>
    <t>10.1080/19475705.2022.2066573</t>
  </si>
  <si>
    <t>https://www.scopus.com/inward/record.uri?eid=2-s2.0-85130634959&amp;doi=10.1080%2f19475705.2022.2066573&amp;partnerID=40&amp;md5=48f67769dcf0b78cc67efdf607c7bb0b</t>
  </si>
  <si>
    <t>Coastal vulnerability is a spatial concept that can contributes to decision-making processes in managing the coast. Our study aims to compare and evaluate the coastal vulnerability index (CVI) and the weighted CVI (CVIw) along the Subang Regency coastline in northern part of Java Island-Indonesia. We use coastal parameters: coastal relief, morphology, shoreline change, tidal range, sea-level change, wave height, land subsidence, and land use. Then, vulnerability maps are prepared to highlight areas with low, medium, high, and very high vulnerability. The vulnerability parameters map showed that shoreline change, land subsidence, and land use are influencing the vulnerability more than other parameters. The CVIw appears to be more favourable to assess the Subang Coast vulnerability, in which the very high vulnerability (43%) is dominant compared to the CVI (21%). This will require urgent protective action from the coast managers. Both CVI and CVIw have a 21% of very high risk in the same areas (Mayangan, Legon Wetan, and Pangarengan Villages), and these areas need protection from the coastal land loss. Meanwhile, the authority has plans for aquaculture in the area, and we suggest that it should be planned thoroughly to ensure that the practice does not destruct the coasts any further. © 2022 The Author(s). Published by Informa UK Limited, trading as Taylor &amp; Francis Group.</t>
  </si>
  <si>
    <t>2-s2.0-85130634959"</t>
  </si>
  <si>
    <t>10.3390/ijgi11010061</t>
  </si>
  <si>
    <t>https://www.scopus.com/inward/record.uri?eid=2-s2.0-85123254239&amp;doi=10.3390%2fijgi11010061&amp;partnerID=40&amp;md5=dc3c1d0a61bdb1a963dd1bbfa3356db8</t>
  </si>
  <si>
    <t>The present study provides information about the evolution of the Sperchios River deltaic area over the last 6500 years. Coastal changes, due to natural phenomena and anthropogenic activities, were analyzed utilizing a variety of geospatial data such as historic records, topographic maps, aerial photos, and satellite images, covering a period from 4500 BC to 2020. A qualitative approach for the period, from 4500 BC to 1852, and a quantitative analysis, from 1852 to the present day, were employed. Considering their scale and overall quality, the data were processed and georeferenced in detail based on the very high-resolution orthophoto datasets of the area. Then, the multitemporal shorelines were delineated in a geographical information system platform. Two different methods were utilized for the estimation of the shoreline changes and trends, namely the coastal change area method and the cross-section analysis, by implementing the digital shoreline analysis system with two statistical approaches, the end point rate and the linear regression rate. Significant river flow and coastline changes were observed with the overall increase in the delta area throughout the study period reaching 135 km2 (mean annual growth of 0.02 km2/yr) and the higher accretion rates to be detected during the periods 1805–1852, 1908–1945 and 1960–1986, especially at the central and north part of the gulf. During the last three decades, the coastline has remained relatively stable with a decreasing tendency, which, along with the expected sea-level rise due to climate change, can infer significant threats for the coastal zone in the near future. © 2022 by the author. Licensee MDPI, Basel, Switzerland.</t>
  </si>
  <si>
    <t>2-s2.0-85123254239"</t>
  </si>
  <si>
    <t>10.1111/csp2.593</t>
  </si>
  <si>
    <t>https://www.scopus.com/inward/record.uri?eid=2-s2.0-85122163661&amp;doi=10.1111%2fcsp2.593&amp;partnerID=40&amp;md5=347f538deb21fecf5143649a3a184435</t>
  </si>
  <si>
    <t>This article considers how “rolling covenants” (i.e., covenants on land title that can operate in a “rolling” geographic area to keep pace with sea-level rise) can be used to permit productive use of land in the short term, while ensuring land use can shift over time to allow for coastal ecosystem migration in the medium to long term. We use Australia as a case study, and through analysis of legislation and a series of semistructured interviews, we demonstrate how land title-based covenants can be used to give legal effect to “rolling covenant” arrangements where land is subject to existing use and occupation. We then consider practical issues associated with drafting a rolling covenant arrangement, including an analysis of the types of events or scenarios that could be used as a basis for land use changing (e.g., projected sea-level rise, actual ecosystem migration), and the advantages and disadvantages of each. We conclude that rolling covenants are a viable option for land management in the coastal zone, especially in circumstances where funding sources are available to incentivize uptake. Rolling covenants may provide opportunities for coastal wetlands to be maintained and even enhanced in cover, thereby delivering important ecosystem services (e.g., blue carbon) into the future. © 2021 The Authors. Conservation Science and Practice published by Wiley Periodicals LLC on behalf of Society for Conservation Biology.</t>
  </si>
  <si>
    <t>2-s2.0-85122163661"</t>
  </si>
  <si>
    <t>10.1029/2021WR030085</t>
  </si>
  <si>
    <t>https://www.scopus.com/inward/record.uri?eid=2-s2.0-85123628478&amp;doi=10.1029%2f2021WR030085&amp;partnerID=40&amp;md5=d1ebc5270a02b8041cac09cbcdee5abf</t>
  </si>
  <si>
    <t>Land subsidence in the south Yangtze River delta area did not cease when the ground water table has risen during the last 20 years. This issue was generally interpreted as a result of the slow release of excess pore water pressure in the aquitards and the creep of soil. Recent distributed strain monitoring data in boreholes shows a great compressive strain in the aquitard above the main exploited aquifer. In laboratory tests, such great compressive strain also is observed in the clay layer during the draining of the underlying sand layer. Furthermore, a negative pore water pressure is observed in the clay layer, which significantly correlates with the change of the compressive strain. An improved discrete element model was used to simulate the deformation of soil layers under the effect of the negative pressure. The simulation results coincide with the tests, and the negative pressure enhances the compression of aquitard. Due to the effect of the negative pore water pressure, aquitards may be compressed during the draining and recharging cycles in the south Yangtze River delta area. © 2021. American Geophysical Union. All Rights Reserved.</t>
  </si>
  <si>
    <t>2-s2.0-85123628478"</t>
  </si>
  <si>
    <t>10.1002/qj.4236</t>
  </si>
  <si>
    <t>https://www.scopus.com/inward/record.uri?eid=2-s2.0-85122685228&amp;doi=10.1002%2fqj.4236&amp;partnerID=40&amp;md5=16dcb85b076c0a54717597c130583e39</t>
  </si>
  <si>
    <t>Extreme precipitation events (EPEs) can have devastating consequences, such as floods and landslides, posing a great threat to society and economy. Predicting such events long in advance can support the mitigation of negative impacts. Here, we focus on EPEs over the Mediterranean, a region that is frequently affected by such hazards. Previous work identified strong connections between localized EPEs and large-scale atmospheric flow patterns, affecting weather over the entire Mediterranean. We analyse the predictive skill of these patterns in the European Centre for Medium-Range Weather Forecasts (ECMWF) extended range forecasts and assess if and where these patterns can be used for indirect predictions of EPEs, using the Brier skill score. The results show that the ECMWF model provides skilful predictions of the Mediterranean patterns up to 2 weeks in advance. Moreover, using the forecasted patterns for indirect predictability of EPEs outperforms the reference score up to ∼10 days lead time for many locations. For high orography locations or coastal areas in particular, like parts of western Turkey, western Balkans, Iberian Peninsula, and Morocco, this limit extends to 11–14 days lead time. This study demonstrates that the connections between localized EPEs and large-scale patterns over the Mediterranean extend the forecasting horizon of the model by over 3 days in many locations, in comparison with forecasting based on the predicted precipitation. Thus, it is beneficial to use the predicted patterns rather than the predicted precipitation at longer lead times for EPE forecasting. The model's performance is also assessed from a user perspective, showing that the EPE forecasting based on the patterns increases the economic benefits at medium/extended range lead times. Such information could support higher confidence in the decision-making of various users</t>
  </si>
  <si>
    <t>10.1080/10106049.2022.2082559</t>
  </si>
  <si>
    <t>https://www.scopus.com/inward/record.uri?eid=2-s2.0-85131662796&amp;doi=10.1080%2f10106049.2022.2082559&amp;partnerID=40&amp;md5=61b6dc0f0917758f71ce33b17cfb24f4</t>
  </si>
  <si>
    <t>The applicability of remotely sensed data and geographic information systems (GIS) for catchment area characterization are found of enormous utility in soil and water management. Morphometric parameters were evaluated using Digital Elevation Model to characterize the hydrological behaviour. The catchment is seventh order with sub-dendritic to sub-parallel pattern and high drainage density upstream. Youthful geomorphic stage, fine drainage texture and high runoff probability eventually influence the low lying areas. High relief and steep surface gradient makes faster surface water circulation with less water-table recharge resulting into more surface flow towards low lying areas to be severely affected by this extra amount of unusual water. Heavy rainfall and maximization of first-order streams in uplands triggers the likelihood of sudden flash-floods in the downstream areas. The stream order of the catchment is primarily regulated by the lithological and physiographical setting of the locale. The area of study under observation is designated as the seventh order catchment with the calculated drainage density value being as 3.077 km/km2. The changing stream length proportion from lower to higher order explains that the area is yet to reach the phase of geomorphic maturity. The elongation ratio (Re) of Pohru catchment is 0.75, which indicates steep ground slope and high relief. The drainage texture of the Pohru catchment is 34.171 indicating very fine drainage texture, resulting by the impact of various geomorphological processes of the area. To minimize the catchment degradation and future risk, proper treatment should be given to the low lying areas where drainage density is naturally low and death of streams is more common due to human intervention. © 2022 Informa UK Limited, trading as Taylor &amp; Francis Group.</t>
  </si>
  <si>
    <t>2-s2.0-85131662796"</t>
  </si>
  <si>
    <t>10.5194/essd-13-5747-2021</t>
  </si>
  <si>
    <t>https://www.scopus.com/inward/record.uri?eid=2-s2.0-85121593787&amp;doi=10.5194%2fessd-13-5747-2021&amp;partnerID=40&amp;md5=297c76bf43782680b238c3d98333c9fe</t>
  </si>
  <si>
    <t>The accurate estimation of population living in the low-elevation coastal zone (LECZ) - and at heightened risk from sea level rise - is critically important for policymakers and risk managers worldwide. This characterization of potential exposure depends on robust representations not only of coastal elevation and spatial population data but also of settlements along the urban-rural continuum. The empirical basis for LECZ estimation has improved considerably in the 13 years since it was first estimated that 10% of the world's population - and an even greater share of the urban population - lived in the LECZ (McGranahan et al., 2007a). Those estimates were constrained in several ways, not only most notably by a single 10m LECZ but also by a dichotomous urban-rural proxy and population from a single source. This paper updates those initial estimates with newer, improved inputs and provides a range of estimates, along with sensitivity analyses that reveal the importance of understanding the strengths and weaknesses of the underlying data. We estimate that between 750 million and nearly 1.1 billion persons globally, in 2015, live in the ≤10m LECZ, with the variation depending on the elevation and population data sources used. The variations are considerably greater at more disaggregated levels, when finer elevation bands (e.g., the ≤5m LECZ) or differing delineations between urban, quasi-urban and rural populations are considered. Despite these variations, there is general agreement that the LECZ is disproportionately home to urban dwellers and that the urban population in the LECZ has grown more than urban areas outside the LECZ since 1990. We describe the main results across these new elevation, population and urban-proxy data sources in order to guide future research and improvements to characterizing risk in low-elevation coastal zones (10.7927/d1x1-d702, CIESIN and CIDR, 2021). Copyright © 2021 Kytt MacManus et al.</t>
  </si>
  <si>
    <t>2-s2.0-85121593787"</t>
  </si>
  <si>
    <t>10.1016/j.pdisas.2021.100201</t>
  </si>
  <si>
    <t>https://www.scopus.com/inward/record.uri?eid=2-s2.0-85122632011&amp;doi=10.1016%2fj.pdisas.2021.100201&amp;partnerID=40&amp;md5=16c0924fe05464cdb27137b27f00ce03</t>
  </si>
  <si>
    <t>For the policy makers, risk-based planning to minimize future climatic risk needs decision on investment priority. This is particularly important where there are resource constraints, and in cases where the decisions depend on socio-political reality of the region. For the policy makers, it is also extremely important to know how a system will behave if investment is made on any specific adaptation in any specific location to minimize climatic risk in the region. To answer these questions, an Adaptation Model is developed in this study to compute adaptation deficiency for a location that will minimize climatic risk in that location. In this methodology, a system approach is followed by applying non-linear programming. The non-linear programming system is formulated by defining future climatic risk as the objective function where the risk is a non-linear function of hazard, exposure, vulnerability, where vulnerability is a linear combination of sensitivity and adaptive capacity. The system is restricted by seven constraints composed of different combinations of hazard, exposure, sensitivity and adaptive capacity. The model can be applied in any part of the world, for any climatic hazard, and for any time domain. In this study, the model is applied in Bangladesh coastal zone to compute adaptation deficiency required to be filled to minimize mid-century storm surge risk in the identified hotspots. The results show that out of 20 identified storm surge risk hotspots in Bangladesh coastal zone, cyclone shelter has the maximum adaptation deficiency in 10 hotspots followed by plantation in 8 hotspots. The output from the model can be used by the policy makers to decide on the most appropriate investment options for risk-based planning that will minimize future risks in the identified hotspots. The model shows the risk limit below which risk cannot be reduced. Any investment attempt on adaptation to reduce the risk beyond this limit will disrupt the system equilibrium and will make this investment a surplus. © 2021 The Authors</t>
  </si>
  <si>
    <t>2-s2.0-85122632011"</t>
  </si>
  <si>
    <t>Journal of Hydrology X</t>
  </si>
  <si>
    <t>10.1016/j.hydroa.2021.100106</t>
  </si>
  <si>
    <t>https://www.scopus.com/inward/record.uri?eid=2-s2.0-85123005794&amp;doi=10.1016%2fj.hydroa.2021.100106&amp;partnerID=40&amp;md5=18deb03a7d2ae105005d423c122054ca</t>
  </si>
  <si>
    <t>Increasing river floods and infrastructure development in many parts of the world have created an urgent need for accurate high-resolution flood hazard mapping for more efficient flood risk management. Mapping accuracy hinges on the quality of the underlying Digital Terrain Model (DTM) and other spatial datasets. This article presents a processing strategy to ensure consistent adaption of countrywide spatial datasets to the requirements of hydraulic modelling. The suggested methods are automatized to a large extent and include (i) automatic fitting of river axis positions to the DTM, (ii) detection of culverts and obstacles in the river channel (iii) Smooth elimination of obstacles by interpolation along the river axes (iv) geometric detection of water-land borders and the top edge of embankments for (v) integration of the submerged river bed geometry into the DTM. The processing chain is applied to a river network (33880 km) and a DTM from Airborne Laser Scanning (ALS) with 1 m spatial resolution covering the entire territory of Austria (∼84000 km2). Thus, countrywide consistency of data and methods is achieved along with high local relevance. Semi-automatic validation and extensive manual checks demonstrate that processing significantly improves the DTM with respect to topographic and hydraulic consistency. However, some open issues of automatic processing remain, e.g. in case of long underground river reaches. © 2021 The Author(s)</t>
  </si>
  <si>
    <t>2-s2.0-85123005794"</t>
  </si>
  <si>
    <t>10.3389/feart.2021.698660</t>
  </si>
  <si>
    <t>https://www.scopus.com/inward/record.uri?eid=2-s2.0-85121628748&amp;doi=10.3389%2ffeart.2021.698660&amp;partnerID=40&amp;md5=a6af488e472e3d17ce608a1135b84085</t>
  </si>
  <si>
    <t>The southern Beaufort coastline in Canada experiences significant storm surge events that are thought to play an important role in coastal erosion and influence permafrost dynamics. Unfortunately, many of these events have not been documented with tide gauge records. In this paper, we evaluate coastal driftwood accumulations as a proxy for estimating maximum storm surge heights and the history of these events. We use historical air photos and data derived from Unoccupied Aerial Vehicle (UAV) imagery to resurvey four coastal stranded driftwood study sites that were first appraised in 1985–86 and assess two new regional sites in the Mackenzie Delta. Maximum storm surge heights were found to be similar to observations carried out in the 1980s, however, we refine the elevations with more accuracy and reference these to a vertical datum appropriate for incorporating into sea level hazard assessments. Detailed mapping, historical air photo comparisons and the UAV acquired imagery at a site close to Tuktoyaktuk demonstrate that the highest storm surge at this site (1.98 m CGVD2013) occurred in association with a severe storm in 1970. This event shifted driftwood and floated material slightly upslope from an older event thought to occur in 1944 that reached 1.85 m (CGVD2013) elevation. The quality and accuracy of the high-resolution Digital Surface Model (DSM) and orthophoto derived from Structure from Motion (SfM) processing of the UAV photographs allowed mapping of four distinct stratigraphic units within the driftwood piles. Based on variations in anthropogenic debris composition, weathering characteristics and history of movement on aerial photographs, we conclude that no storm surge events at Tuktoyaktuk have exceeded ∼1.3 m (CGVD2013) since 1970. While there has been some speculation that ongoing climate change may lead to more frequent large magnitude storm surges along the Beaufort coast, our study and available tide gauge measurements, suggest that while moderate elevation storm surges may be more frequent in the past several decades, they have not approached the magnitude of the 1970 event. Copyright © 2021 MacLeod and Dallimore.</t>
  </si>
  <si>
    <t>2-s2.0-85121628748"</t>
  </si>
  <si>
    <t>10.1038/s43247-021-00204-9</t>
  </si>
  <si>
    <t>https://www.scopus.com/inward/record.uri?eid=2-s2.0-85125137734&amp;doi=10.1038%2fs43247-021-00204-9&amp;partnerID=40&amp;md5=30f1cb92ff6c23dcdf51fdb2fa7d2a63</t>
  </si>
  <si>
    <t>Storm surges that occur along low-lying, densely populated coastlines can leave devastating societal, economical, and ecological impacts. To protect coastal communities from flooding, return periods of storm tides, defined as the combination of the surge and tide, must be accurately evaluated. Here we present storm tide return periods using a novel integration of two modelling techniques. For surges induced by extratropical cyclones, we use a 38-year time series based on the ERA5 climate reanalysis. For surges induced by tropical cyclones, we use synthetic tropical cyclones from the STORM dataset representing 10,000 years under current climate conditions. Tropical and extratropical cyclone surge levels are probabilistically combined with tidal levels, and return periods are computed empirically. We estimate that 78 million people are exposed to a 1 in 1000-year flood caused by extratropical cyclones, which more than doubles to 192 M people when taking tropical cyclones into account. Our results show that previous studies have underestimated the global exposure to low-probability coastal flooding by 31%. © 2021, The Author(s).</t>
  </si>
  <si>
    <t>2-s2.0-85125137734"</t>
  </si>
  <si>
    <t>10.1016/j.enggeo.2021.106362</t>
  </si>
  <si>
    <t>https://www.scopus.com/inward/record.uri?eid=2-s2.0-85116020399&amp;doi=10.1016%2fj.enggeo.2021.106362&amp;partnerID=40&amp;md5=02a37889c93ec03b35de104a51a2086c</t>
  </si>
  <si>
    <t>Dike failure due to piping – concentrated flow of seepage water underneath the dike during periods of high flood water levels – has been recognized as a major component of flood risk. Simulation models to predict piping in risk assessments require detailed information on subsurface characteristics such as sediment grain size and thickness of overburden layers. Quantitative local determination of these characteristics poses a major challenge in natural environments with a heterogeneous substrate. Geological knowledge on the natural genesis and resulting structure of the subsurface may provide useful information on the spatial variability of substrate characteristics. When correctly implemented, available subsurface geological information can provide for a-priori identification of dike sections of which the subsurface is susceptible to piping (strategic to new data collection), and a-posteriori screening of new collected field data (identifying unexpected values). In these two ways it has potential to reduce the uncertainty in parameter estimates for calculations that determine the potential occurrence of piping at a specific site. Here we describe a framework for using geological subsurface information for these assessments. Based on existing digital geological mapping products and knowledge of the geological development of the Rhine-Meuse delta, we first compiled a map that distinguishes primary hydrologically relevant units: upper main aquifer sands (pre-deltaic subunits), topped by the deltaic wedge aquitard that is dissected by channel belt sand bodies (deltaic subunits). We then used these spatial divisions in an analysis of digital borehole data (&gt;130.000 locations, UU-LLG dataset), to provide quantitative information on grain sizes of the very top of sand bodies and non-sand overburden thicknesses, split per subunit and summarized for sub regions (lower delta, central delta, upper delta, delta rim sectors). This framework enables us to demonstrate to what extent the median grain size of the top of sand deposits varies within the delta. We quantitatively determined (1) a delta-scale longitudinal downstream fining trend due to drops in specific stream power through changes in gradient and substrate erodibility, (2) pulsed variations associated with local uptake and reworking of pre-deltaic sediments within channel belts. Although tailored for the Rhine-Meuse delta, utilizing geological knowledge as a substantiation for grouping of subsurface data underneath local dike sections can be transposed for such applications in delta regions elsewhere. This regionalization of the delta plain can greatly help streamline data acquisition, anticipating growing availability of medium to high density subsurface datasets in increasingly urbanized deltas with managed rivers around the world. © 2021 The Author(s)</t>
  </si>
  <si>
    <t>2-s2.0-85116020399"</t>
  </si>
  <si>
    <t>10.1016/j.cacint.2021.100074</t>
  </si>
  <si>
    <t>https://www.scopus.com/inward/record.uri?eid=2-s2.0-85122705976&amp;doi=10.1016%2fj.cacint.2021.100074&amp;partnerID=40&amp;md5=ce941811874dbbfd92c206e4962d1536</t>
  </si>
  <si>
    <t>This study seeks to investigate how stormwater drainage systems in coastal cities respond to climate change in terms of simultaneous sea level rise and rainfall. 7.5 years of recorded rainfall and sea level data in the city of Trelleborg in Sweden were used to generate projections of future climate events based on the emission scenario RCP8.5. Twelve scenarios were formulated to represent rain and sea level in today's (reference)- and future climate. Future rainfall was computed using regional climate model data together with the Delta Change Method. Sea-related data was represented with two variables, namely an average sea level and storm surges. The average sea level was calculated to reflect seasonal variation using a second-order Fourier analysis whilst raw gauge data was used to capture the storm surges. The two sea variables were then scaled to represent future projections of sea level rise and storm surges in the study area. The performance of the drainage system was simulated with MIKE Urban 1D model and the results were expressed through two indicators, number of flooded nodes and flood frequency. The results of this study reveal a tipping point is likely to be found between years 2075 and 2100, after which storm surges become a major driver for overwhelmed drainage system. It was also found that pluvial floods may become more likely and frequent during winters as time progresses. This has a great implication when deciding on adaptation measures. © 2021 The Author(s)</t>
  </si>
  <si>
    <t>2-s2.0-85122705976"</t>
  </si>
  <si>
    <t>10.5194/nhess-21-3809-2021</t>
  </si>
  <si>
    <t>https://www.scopus.com/inward/record.uri?eid=2-s2.0-85122039851&amp;doi=10.5194%2fnhess-21-3809-2021&amp;partnerID=40&amp;md5=ccaf99271b4f6dc7c69b9889204b0e4b</t>
  </si>
  <si>
    <t>Destructive marine storms bring large waves and unusually high surges of water to coastal areas, resulting in significant damages and economic loss. This study analyses the characteristics of a destructive marine storm on the strongly inhabited coastal area of Gulf of Naples, along the Italian coasts of the Tyrrhenian Sea. This is highly vulnerable to marine storms due to the accelerated relative sea level rise trend and the increased anthropogenic impact on the coastal area. The marine storm, which occurred on 28 December 2020, was analyzed through an unstructured wind-wave coupled model that takes into account the main marine weather components of the coastal setup. The model, validated with in situ data, allowed the establishment of threshold values for the most significant marine and atmospheric parameters (i.e., wind intensity and duration) beyond which an event can produce destructive effects. Finally, a first assessment of the return period of this event was evaluated using local press reports on damage to urban furniture and port infrastructures.  © 2021 Gaia Mattei et al.</t>
  </si>
  <si>
    <t>2-s2.0-85122039851"</t>
  </si>
  <si>
    <t>10.2166/wp.2021.232</t>
  </si>
  <si>
    <t>https://www.scopus.com/inward/record.uri?eid=2-s2.0-85122314218&amp;doi=10.2166%2fwp.2021.232&amp;partnerID=40&amp;md5=01f5e348c9df88c7f1e8865708d5b680</t>
  </si>
  <si>
    <t>The Asia-Pacific region is extremely vulnerable to climate variability and change. This reflects high exposure to hydroclimatic hazards such as tropical cyclones, floods, droughts, and heatwaves. Rapidly growing cities and low-lying coastal zones/estuaries also face threats from sea level rise and storm surges. However, climate model projections remain very uncertain about most of these risks, so water infrastructure and operations need to consider a range of plausible futures. Against this background, the Asian Development Bank (ADB) has been developing frameworks, tools, and capacities in climate risk and adaptation assessment and management. Project teams are often operating in data-scarce situations and under significant time constraints, so the emphasis has been on creating pragmatic guidance and training resources. This paper charts the transition of climate risk management (CRM) within the ADB from a predominantly scenario-led to decision-led approach to adaptation. Examples are given of light-touch procedures for screening climate risks, strengthening the transparency and rigour of scenario analysis, raising awareness of a broad range of adaptation options, streamlining identification of CRM options, and embedding allowances for climate change in detailed engineering designs. Such practical innovations would benefit communities of practice beyond the Asia-Pacific region. © 2021 The Authors.</t>
  </si>
  <si>
    <t>2-s2.0-85122314218"</t>
  </si>
  <si>
    <t>Global Nest Journal</t>
  </si>
  <si>
    <t>10.30955/gnj.003333</t>
  </si>
  <si>
    <t>https://www.scopus.com/inward/record.uri?eid=2-s2.0-85126124521&amp;doi=10.30955%2fgnj.003333&amp;partnerID=40&amp;md5=9abfed69667870c7d0ff2ade40c6965d</t>
  </si>
  <si>
    <t>Field investigations were conducted to study the seasonal variation of hydrodynamics and sediment transport in Indus River Estuary (IRE), Pakistan. The data of water levels, currents, salinity, and suspended sediment concentration (SSC) were collected hourly covering both wet and dry seasons. Tidal amplitudes were higher near the mouth than those at the middle and upper estuary. The ebb phase lasted longer than that of the flood during the wet season. The asymmetric tidal pattern with higher ebb velocity was observed during the wet season. A slight difference in current velocity was found during the dry season. The flood currents were higher at middle estuary than those in wet season. During the wet season, salinity variation within a tidal cycle slightly increased from the upper estuary to the mouth. Salinity was substantially higher during the dry season than the wet season at all three stations, with the absence of the flood-ebb variation, showing a strong saltwater intrusion. The suspended sediment concentration data revealed that the sediments were mainly brought into the estuary by freshwater discharge during the wet season. Sediment re-suspension process persists during the dry season, due to the tidal currents. A stronger saltwater intrusion occurred in the dry season due to weak river discharge. An estuarine turbidity maximum zone was formed near station-2 due to the combined effects of tides, river discharge and saltwater intrusion. Overall, field observations have shown a significant spatial and temporal variation in flood/ebb and wet/dry seasons for hydrodynamics and sediment transport in IRE. © 2021 Global NEST.</t>
  </si>
  <si>
    <t>2-s2.0-85126124521"</t>
  </si>
  <si>
    <t>Jurnal Pendidikan IPA Indonesia</t>
  </si>
  <si>
    <t>10.15294/jpii.v10i4.32174</t>
  </si>
  <si>
    <t>https://www.scopus.com/inward/record.uri?eid=2-s2.0-85126047792&amp;doi=10.15294%2fjpii.v10i4.32174&amp;partnerID=40&amp;md5=fa884118fbd8aed6e595a7bcf2fd41a0</t>
  </si>
  <si>
    <t>Milkfish cultivation becomes the main livelihood of farmers in coastal areas. However, the land for milkfish cultivation is shrinking due to land use for settlements, industries, and sea-level rise. A Stick-net cage is an aquaculture solution in limited space for an inland fishpond. It can be placed in seashore areas while maintaining the quality of the aquatic environment and nutrient circulation. This study aims to analyze water compatibility in the stick-net cage areas for supporting sustainable aquaculture activities. An exploratory observational study was conducted in Tanjung Mas Village, Semarang, Central Java, Indonesia. Ten sampling areas were determined purposively by considering the point locations toward household wastewater and industrial outfalls. Based on these criteria, the ten stations used as sample areas were divided into industrial outfall areas (1st – 5th station) and areas close to the open sea (6th – 10th station). Physical parameters in the sampling areas, including temperature, water-current, turbidity, and clearness, met seawater standards for milkfish cultivation. Chemical indicators, such as NH4 and P in water, were very high, which may be caused by domestic and industrial waste contamination and increased organic fermentation activity on the seabed. However, the existing stick-net cages have exceeded the capacity of the coastal water areas. In general, the physicochemical parameters in the Tanjung Mas water area are suitable for milkfish cultivation. However, it is necessary to reduce the amount of pond density to give growth space for milkfish. In addition, wastewater management and treatment plants should be built up to reduce water contamination. © 2021 Science Education Study Program FMIPA UNNES Semarang.</t>
  </si>
  <si>
    <t>2-s2.0-85126047792"</t>
  </si>
  <si>
    <t>10.1016/j.pdisas.2021.100208</t>
  </si>
  <si>
    <t>https://www.scopus.com/inward/record.uri?eid=2-s2.0-85122637861&amp;doi=10.1016%2fj.pdisas.2021.100208&amp;partnerID=40&amp;md5=0983b7061988472755d939f9eebeae56</t>
  </si>
  <si>
    <t>A community level field survey is conducted in the coastal zone of Bangladesh to assess the effectiveness of five selected planned adaptations against storm surge in micro scale which are already proved effective in macro scale. The five selected planned adaptations are: cyclone shelter, plantation, paka &amp; semi-paka house, loan, and communication infrastructure. The selected study area is well-known for storm surge hazard. The study site and sample size are selected by using Probability Proportional to Size (PPS) and cluster sampling methods. Semi-structured household questionnaire, Focus Group Discussion (FGD), and Key Informative Interviews (KII) were conducted for understanding community perceptions on adaptations. Effectiveness of planned adaptations are assessed by applying an Index developed by using five-point Likert scale. Barriers against the adaptations are assessed by probabilistic analysis and represented by Venn diagram. Interrelationships among the adaptations are assessed through causal relation network. The study results show a mismatch of effectiveness of planned adaptations between the macro scale and micro scale. It is found that cyclone shelter, paka &amp; semi-paka house, loan, and communication infrastructure do not exhibit a similar level of effectiveness in micro scale as these are expected to be effective in macro scale. Among the five selected planned adaptations, plantation is the only adaption which is found to be effective in both micro scale and macro scale because of its high economic return for the community. The reasons for the mismatch of this effectiveness between macro scale and micro scale are – barriers and causal relation for these adaptations in micro scale are not considered in macro scale. A comprehensive analysis is recommended to ensure a similar level of effectiveness of an adaptation both in macro scale and in micro scale. © 2021 The Author(s)</t>
  </si>
  <si>
    <t>2-s2.0-85122637861"</t>
  </si>
  <si>
    <t>10.5194/hess-25-6203-2021</t>
  </si>
  <si>
    <t>https://www.scopus.com/inward/record.uri?eid=2-s2.0-85120860980&amp;doi=10.5194%2fhess-25-6203-2021&amp;partnerID=40&amp;md5=d1abb849748ca99a68e531cef1d00906</t>
  </si>
  <si>
    <t xml:space="preserve">Flooding is of particular concern in low-lying coastal zones that are prone to flooding impacts from multiple drivers, such as oceanographic (storm surge and wave), fluvial (excessive river discharge), and/or pluvial (surface runoff). In this study, we analyse, for the first time, the compound flooding potential along the contiguous United States (CONUS) coastline from all flooding drivers, using observations and reanalysis data sets. We assess the overall dependence from observations by using Kendall's rank correlation coefficient (τ) and tail (extremal) dependence (χ). Geographically, we find the highest dependence between different drivers at locations in the Gulf of Mexico, southeastern, and southwestern coasts. Regarding different driver combinations, the highest dependence exists between surge-waves, followed by surge-precipitation, surge-discharge, waves-precipitation, and waves-discharge. We also perform a seasonal dependence analysis (tropical vs. extra-Tropical season), where we find higher dependence between drivers during the tropical season along the Gulf and parts of the East Coast and stronger dependence during the extra-Tropical season on the West Coast. Finally, we compare the dependence structure of different combinations of flooding drivers, using observations and reanalysis data, and use the Kullback-Leibler (KL) divergence to assess significance in the differences of the tail dependence structure. We find, for example, that models underestimate the tail dependence between surge-discharge on the East and West coasts and overestimate tail dependence between surge-precipitation on the East Coast, while they underestimate it on the West Coast. The comprehensive analysis presented here provides new insights on where the compound flooding potential is relatively higher, which variable combinations are most likely to lead to compounding effects, during which time of the year (tropical versus extra-Tropical season) compound flooding is more likely to occur, and how well reanalysis data capture the dependence structure between the different flooding drivers.  © Copyright: </t>
  </si>
  <si>
    <t>2-s2.0-85120860980"</t>
  </si>
  <si>
    <t>10.1016/j.cacint.2021.100073</t>
  </si>
  <si>
    <t>https://www.scopus.com/inward/record.uri?eid=2-s2.0-85122664432&amp;doi=10.1016%2fj.cacint.2021.100073&amp;partnerID=40&amp;md5=239c04bdacff79b703446906b714a1f7</t>
  </si>
  <si>
    <t>Constraining uncertainty in the global carbon cycle requires valid assessment of both surface and stored carbon in marine and coastal ecosystems (Blue Carbon) as well as terrestrial carbon (forests, peatlands, and soils) [Pendleton et al., 2012]. Quantifying the global carbon stock of coastal salt marshes, potentially the most efficient carbon-burying ecosystems in the world per area, is a key area of further research in both of these fields Pendleton et al., 2012. One of the largest challenges is that despite the fact that salt marshes often sequester carbon several meters deep, nearly all estimates of salt marsh carbon stocks consider only the upper 1 m of sediment (Windham-Myers et al., 2015) [54]. This is particularly concerning because coastal wetlands are increasingly at risk due to climate change, sea level rise, and anthropogenic disturbance and destruction (Deegan et al., 2012) [15]. Using full-depth measurements from marsh cores, we estimate the carbon stock of five salt marshes in the highly urbanized estuary of Jamaica Bay, New York and argue that partial-depth measurements can underestimate carbon stocks. These estimates use calculated carbon content and probe depth data of these marshes collected between 2000 and 2019, applying this data across the full area of the marsh obtained from satellite imagery. Carbon density measurements are then multiplied by the full-depth volume of the marshes to create an estimate of total carbon stock. In addition to calculating present-day estimates, we compare our carbon stock estimates to historical Jamaica Bay imagery to calculate historical carbon stocks and carbon loss. The carbon stock estimates presented here show a 95% carbon stock loss between 1885 and 2019 in Jamaica Bay and highlight the severe underestimation of carbon stocks without full-depth calculations. These findings have important implications for disappearing salt marshes with regard to the global carbon cycle and the incorporation of belowground carbon into global climate models. The findings are increasingly relevant for advocacy efforts aiming to conserve these marshes with sea level rise. © 2021</t>
  </si>
  <si>
    <t>2-s2.0-85122664432"</t>
  </si>
  <si>
    <t>10.1016/j.scitotenv.2021.149606</t>
  </si>
  <si>
    <t>https://www.scopus.com/inward/record.uri?eid=2-s2.0-85112836776&amp;doi=10.1016%2fj.scitotenv.2021.149606&amp;partnerID=40&amp;md5=8bcf81b6a6cab30287b6ec4bf682b754</t>
  </si>
  <si>
    <t>Storm surges caused by tropical cyclones (TCs) are one of the costliest threats to coastal communities in southern China. Numerical surge models remain computationally challenging when used to simulate the large number of TC events required for probabilistic hazard assessments at regional scale. The present study demonstrates the applicability of a simple 1D steady-state storm surge representation for such regional scale hazard assessment. The surge setups from wind shear stress and barometric pressure difference are calculated with the meteorological forcing derived from parametric wind models and TC track information. Being computationally efficient, the surge model results do not require further empirical coefficients derived from correlation against observed data as compared to the previous statistical and semi-empirical surge estimations. Using the Pearl River Delta (PRD) region in China as a case study, the root-mean-square errors between the estimated and reported peak storm surges along the PRD coastline are 0.37 m and 0.45 m using two different TC best track inputs, respectively, covering 118 observed surge records from 39 historical TC events. Probabilistic surge hazard maps are further developed for the PRD coastline using the two TC best track datasets covering 1951–2018 as inputs. The mean surge heights along the coastline are in the range of 1.5–3.2 m and 2.0–3.5 m under 100-year and 200-year return periods, respectively. Areas in the west and near the estuary outlet are more prone to higher surge levels due to more frequent TCs affecting the areas historically. Differences in TC characteristics exist between the two best track datasets, which gives rise to localised difference in surge heights along the PRD coastline. The maximum differences in the 100-year and 200-year return period surge levels from the two best track datasets are 0.51 m and 0.64 m, respectively. © 2021 Elsevier B.V.</t>
  </si>
  <si>
    <t>2-s2.0-85112836776"</t>
  </si>
  <si>
    <t>10.1029/2021EF002280</t>
  </si>
  <si>
    <t>https://www.scopus.com/inward/record.uri?eid=2-s2.0-85121616784&amp;doi=10.1029%2f2021EF002280&amp;partnerID=40&amp;md5=914b434801c193c09a73bc34c0484fdb</t>
  </si>
  <si>
    <t>In this study, an iterative factorial multimodel Bayesian copula (IFMBC) framework was developed for revealing uncertainties in risk inferences of compound extremes under the consideration of diverse model structures and parameter sets. Particularly, an iterative factorial analysis (IFA) method would be advanced in IFMBC to track the dominant contributors to the imprecise predictions of multi-hazard risks. The developed IFMBC framework was applied for the risk assessment of compound floods at two estuarine systems (i.e., Washington and Philadelphia) in US. The results indicate that the most likely compound events, under predefined return periods, exhibit noticeable uncertainties. Those uncertainties also present multiple hotspots which may be attributed to different impacts from different factors. By applying the IFA method, the results suggest the copula structure would likely be ranked as one of the top 2 impact factors for predictions of failure probabilities (FPs) in the scenarios of AND, and Kendall, with its contributions higher than 30% for FP in Kendall (more than 40% at Washington) and more than 25% for FP in Kendall (larger than 40% at Philadelphia). In comparison, the copula structure may not pose a visible effect on the predictive uncertainty for FP in OR, with its contribution possibly less than 5% under long-term service time periods. However, the marginal distributions would have higher effects on FP in OR than the effects on the other two FPs. Particularly, the marginal distribution for the extreme variable with high skewness and kurtosis values tends to be ranked as one of the most significant impact factors for FP in OR. Also, the overall impacts from parametric uncertainties in both marginal and dependence models cannot be neglected for the predictions of all three FPs with their contributions probably larger than 20% under a short service time period. Compared with the traditional multilevel factorial analysis, the IFA method can provide more reliable characterization for uncertainty contributors in multi-hazard risk analyses, since the traditional method seems to significantly overestimate the contributions from parameter uncertainties. © 2021 The Authors. Earth's Future published by Wiley Periodicals LLC on behalf of American Geophysical Union.</t>
  </si>
  <si>
    <t>2-s2.0-85121616784"</t>
  </si>
  <si>
    <t>10.1029/2021EF002285</t>
  </si>
  <si>
    <t>https://www.scopus.com/inward/record.uri?eid=2-s2.0-85121597014&amp;doi=10.1029%2f2021EF002285&amp;partnerID=40&amp;md5=a499568332163d86d5a05e20be0b3b4b</t>
  </si>
  <si>
    <t>Numerical models for tides, storm surge, and wave runup have demonstrated ability to accurately define spatially varying flood surfaces. However these models are typically too computationally expensive to dynamically simulate the full parameter space of future oceanographic, atmospheric, and hydrologic conditions that will constructively compound in the nearshore to cause both extreme event and nuisance flooding during the 21st century. A surrogate modeling framework of waves, winds, and tides is developed in this study to efficiently predict spatially varying nearshore and estuarine water levels contingent on any combination of offshore forcing conditions. The surrogate models are coupled with a time-dependent stochastic climate emulator that provides efficient downscaling for hypothetical iterations of offshore conditions. Together, the hybrid statistical-dynamical framework can assess present day and future coastal flood risk, including the chronological characteristics of individual flood and wave-induced dune overtopping events and their changes into the future. The framework is demonstrated at Naval Base Coronado in San Diego, CA, utilizing the regional Coastal Storm Modeling System (CoSMoS</t>
  </si>
  <si>
    <t>International Journal of Geoheritage and Parks</t>
  </si>
  <si>
    <t>10.1016/j.ijgeop.2021.11.007</t>
  </si>
  <si>
    <t>https://www.scopus.com/inward/record.uri?eid=2-s2.0-85121650845&amp;doi=10.1016%2fj.ijgeop.2021.11.007&amp;partnerID=40&amp;md5=6b39515bf8d5edaaef6c97721f145c19</t>
  </si>
  <si>
    <t>In geoparks and other natural protected areas, a geodiversity inventory is essential for the identification, characterization, quantification, and management of geoheritage. The protection and preservation of geosites is essential for the sustainable development of geotourism. In this sense, geomorphological diversity is a significant component of a geodiversity inventory. In evaluating geomorphological diversity, one of the most ubiquitous key landforms that configurate the landscape are closed depressions. Closed depressions occur extensively across scales, lithologies, climates and a variety of origin processes. The unprecedented availability of digital elevation models with high spatial resolution has expanded the possibilities for the mapping and morphometric analysis of closed depressions in geodiversity studies. Until recently, the identification of closed depressions was based on topographical maps, aerial photographs and field work, all of which have inherent limitations such as the observable spatial resolution, difficulty in accessing some areas, coverage of large areas and the quantification of mapped depressions. The digital format of elevation models now provides the basis for a numerical approach to accurately identify and delineate closed depressions using the simple methodology of pit removal (i.e., pit filling) together with a map algebra operation. The result is a raster map of terrain depressions in which each pixel shows the depth of the depression with respect to the lowest altitude of its rim. Morphometric analyses of these raster maps of closed depressions are then straightforward. Closed depressions are scale-invariant, and their sizes range from millimetres or centimetres for a solution pan to hundreds of kilometres for a tectonic basin. Closed depressions are ubiquitous in all terrains and are not confined to karst terrains in which closed depressions are the most distinctive feature at the metric scale. This paper demonstrates the use of a digital elevation model for automatically mapping closed depressions. The resulting map of closed depressions can be directly integrated into a geomorphological map to evaluate geomorphological diversity. In addition, this paper reviews the rich realm of closed depressions that have been found in all types of lithologies, at all scales and for a wide range of genetic processes: dissolution, subsidence, collapse, meteorite impact, explosive volcanism, suffusion, ice melting, erosion, weathering, landslides and tectonic processes. The detailed identification, delineation and bathymetry of closed terrain depressions can be used in the management of geodiversity and in evaluating geoheritage and geosites and will contribute to the sustainable development of geotourim. © 2021 Elsevier B.V.</t>
  </si>
  <si>
    <t>2-s2.0-85121650845"</t>
  </si>
  <si>
    <t>10.1016/j.nbsj.2021.100005</t>
  </si>
  <si>
    <t>https://www.scopus.com/inward/record.uri?eid=2-s2.0-85123585120&amp;doi=10.1016%2fj.nbsj.2021.100005&amp;partnerID=40&amp;md5=1e94fa6abcf15dafcb6443812c15bac1</t>
  </si>
  <si>
    <t>Constructed salt marshes as a Nature-Based Solution for coastal defense offer additional benefits over conventional engineering, but project realization is often hampered by practical and governmental obstacles. We assessed the execution of a local-scale salt marsh construction project as a Nature-Based Solution (NBS) with respect to the regional-scale Social-Ecological System (SES) in an explicitly linked NBS-SES framework. A local municipality came up with various plans to develop its waterfront but these proved unrealizable without wider stakeholder participation. Crucial for success was that the local initiative was turned into an NBS integrating livability, biodiversity and flood safety, and that it was linked to the governance systems and actors in a regional SES. The chosen NBS consists of a city beach and two salt marshes, a salt marsh park that is open to the public and a pioneer salt marsh that is only accessible for research. The pioneer salt marsh was constructed by raising the seabed to around mean high tide with sand obtained from a capital dredging project. It was used as a large-scale natural experiment in salt marsh construction. To test the effect of enrichment with silt and clay on initial salt marsh development, six hectare-scale compartments were created in which mud was mixed with sand in the top 1.0 m of the bed to three mud contents of on average 8%, 25% and 48%. Heavy machinery was needed to mix mud through the upper meter of the sandy bed. Mixing mud was softening the sediment causing the machines to sink into the 48% mud enriched bed. To test whether seeding with a pioneer plant species accelerates salt marsh development, fragments of Salicornia procumbens plants were seeded in half of three compartments. Field observations between November 2018 to September 2020 showed that seeding of Salicornia plant fragments resulted in significant differences in vegetation cover and species richness in the first growing season. Mud content showed significant positive effects on vegetation cover and species richness in the two monitored growing seasons, where the compartments with on average 7–9% mud had the lowest vegetation cover and species numbers. When constructing a salt marsh by raising sand and mixing mud, a mud content of 25% is practically feasible and results in high vegetation cover and species richness. © 2021 The Author(s)</t>
  </si>
  <si>
    <t>2-s2.0-85123585120"</t>
  </si>
  <si>
    <t>10.3390/rs13234934</t>
  </si>
  <si>
    <t>https://www.scopus.com/inward/record.uri?eid=2-s2.0-85121700621&amp;doi=10.3390%2frs13234934&amp;partnerID=40&amp;md5=56d3cf1b7f661d11a395bb39c4c31f5f</t>
  </si>
  <si>
    <t>In this study, an alternative solution for flood risk management in complex cross-border regions is presented. In these cases, due to different flood risk management legislative approaches, there is a lack of joint cooperation between the involved countries. As a main consequence, LiDAR-derived digital elevation models and accurate flood hazard maps obtained by means of hydrological and hydraulic modeling are missing or are incomplete. This is also the case for the Prut River, which acts as a natural boundary between European Union (EU) member Romania and non-EU countries Ukraine and Republic of Moldova. Here, flood hazard maps were developed under the European Floods Directive (2007/60/EC) only for the Romanian territory and only for the 1% exceeding probability (respectively floods that can occur once every 100 years). For this reason, in order to improve the flood hazard management in the area and consider all cross-border territories, a fully remote sensing approach was considered. Using open-source SAR Sentinel-1 and Sentinel-2 data characterized by an improved temporal resolution, we managed to capture the maximum spatial extent of a flood event that took place in the aforementioned river sector (middle Prut River course) during the 24 and 27 June 2020. Moreover, by means of flood frequency analysis, the development of a transboundary flood hazard map with an assigned probability, specific to the maximum flow rate recorded during the event, was realized. © 2021 by the authors. Licensee MDPI, Basel, Switzerland.</t>
  </si>
  <si>
    <t>2-s2.0-85121700621"</t>
  </si>
  <si>
    <t>10.3390/geosciences11120506</t>
  </si>
  <si>
    <t>https://www.scopus.com/inward/record.uri?eid=2-s2.0-85121636380&amp;doi=10.3390%2fgeosciences11120506&amp;partnerID=40&amp;md5=c03b8f72c5cd641d742341b639e410c1</t>
  </si>
  <si>
    <t>Coastal depositional environments are the site of complex interactions between continental and marine processes. Barrier islands are highly dynamic coastal systems, typical of these transitional environments, and are affected by sea level changes and the accumulation of transgressive deposits with the landwards migration of the coast. The offshore of Marzamemi (Syracuse Province, Sicily), in the south-eastern portion of the Hyblean foreland, represents an excellent site for the study of transgressive deposits and their connection with the sea-level changes. The available dataset consisted of new high-resolution bathymetry (Multibeam), whose description and interpretation through a Digital Elevation Model (DEM) was integrated with a grid of eighteen seismic profiles (SPARKER). In the investigated bathymetric range, from about −5 m to −60 m, a sensibly different morphological setting between the northern and southern sectors was evident. Within the whole study area, three bathymetric contours (−45 m, −35 m and −20 m) were identified and assumed as the markers of the main locations of the paleo-coastlines during the recent changes in the sea level. Along the northern sector, three submerged barrier-lagoon systems developed on a calcarenite substratum, marking important steps of the Late Quaternary sea-level rise. They coexisted with numerous karst forms (poljes and dolines). In the southern sector the transgressive environmental evolution was significantly different and submerged lagoons did not form. Here the outcropping calcarenite substratum was affected by the development of paleo-rivers and karsts structures, a tract in common along with many Mediterranean carbonate coastal areas. © 2021 by the authors. Licensee MDPI, Basel, Switzerland.</t>
  </si>
  <si>
    <t>2-s2.0-85121636380"</t>
  </si>
  <si>
    <t>10.3389/feart.2021.748107</t>
  </si>
  <si>
    <t>https://www.scopus.com/inward/record.uri?eid=2-s2.0-85122282814&amp;doi=10.3389%2ffeart.2021.748107&amp;partnerID=40&amp;md5=79aa999f058b42c49a9cb1e2db80559c</t>
  </si>
  <si>
    <t>Glaciers across the Himalayan arc are showing varying signs of recession. Glaciers in the eastern and western parts of the Himalayan arc are retreating more rapidly as compared to other regions. This differential retreat is often attributed to climatic, topographic, and geologic influences. The glaciers in the Trans-Himalayan region of Ladakh are believed to be relatively stable as compared to other parts of the western Himalaya. The present study ascertained the area changes and frontal retreat of 87 glaciers in the Pangong Region between 1990 and 2019 using satellite data. The geodetic mass changes were also assessed using SRTM and TanDEM-X digital elevation models of 2000 and 2012 respectively. Besides, the glacier outlines were delineated manually and compared with existing regional and global glacier inventories that are available over the region. The GlabTop model was used to simulate the glacier-bed overdeepenings of four glaciers that are associated with a proglacial lake. The study also analyzed the impact of topographic influences and varying debris cover on glacier recession. This analysis indicated deglaciation of 6.7 ± 0.1% (0.23% a−1) from 1990 to 2019 over the Pangong Region with clean-ice glaciers showing a higher retreat (8.4 ± 0.28%) compared to the debris-covered glaciers (5.7 ± 0.14%). However, the overall recession is lower compared to other parts of northwestern Himalayas. The glacier recession showed a positive correlation with mean glacier slope (r = 0.3) and debris cover (r = 0.1) with bigger size glaciers having retreated at a lesser pace compared to smaller ones. This underpins the need for in-situ data about debris thickness to precisely ascertain the role of debris on glacier recession in the Trans-Himalayan Ladakh where debris thickness data is absent. The mean glacier elevation did not indicate any influence on glacier recession. From 2000 to 12, the glaciers lost an ice mass amounting to 0.33 ± 0.05 m we. per year. The formation of four new proglacial lakes, although small (&lt;6 ha), need to be monitored using remote sensing data while the infrastructure development activities should not be permitted given glacial lake outburst flood risk. Copyright © 2021 Majeed, Rashid, Najar and Gul.</t>
  </si>
  <si>
    <t>2-s2.0-85122282814"</t>
  </si>
  <si>
    <t>10.1071/ES21004</t>
  </si>
  <si>
    <t>https://www.scopus.com/inward/record.uri?eid=2-s2.0-85121898291&amp;doi=10.1071%2fES21004&amp;partnerID=40&amp;md5=4367dc7c5cc776eb4994fe86c27ab3ff</t>
  </si>
  <si>
    <t>The coastal area of Java has become a centre of new economic growth. The southern coast of Java, which is directly adjacent to the tropical Indian Ocean, is very vulnerable to sea level rise caused by climate change. Information on variability and trends in sea level are therefore very important for adaptation and disaster mitigation efforts. This research was conducted to determine the variability and trend of sea level in the southern sea of Java. Data used were from satellite altimeter from 1993 to 2018 and tide gauges from 2007 to 2015. The rate of sea level rise was analysed using linear regression. The results showed that the sea level variability in the southern waters of Java was influenced by the Asian-Australian monsoon, eddy currents and the Indian Ocean Dipole (IOD). During June-November, there was a very significant decrease in sea level, especially in the south of East Java and Central Java, which was caused by upwelling and eddy currents. When there was a positive phase of IOD and an El Niño event, sea level decreased</t>
  </si>
  <si>
    <t>10.1038/s43247-021-00259-8</t>
  </si>
  <si>
    <t>https://www.scopus.com/inward/record.uri?eid=2-s2.0-85130260210&amp;doi=10.1038%2fs43247-021-00259-8&amp;partnerID=40&amp;md5=71f31fa8efeac9977597ed229c157b3e</t>
  </si>
  <si>
    <t>Rapid intensification of near-landfall tropical cyclones is very difficult to predict, and yet has far-reaching consequences due to their disastrous impact to the coastal areas. The focus for improving predictions of rapid intensification has so far been on environmental conditions. Here we use the Coupled-Ocean-Atmosphere-Wave-Sediment Transport Modeling System to simulate tropical cyclones making landfall in South China: Nida (2016), Hato (2107) and Mangkhut (2018). Two smaller storms (Hato and Nida) undergo intensification, which is induced by the storms themselves through their extensive subsidence ahead of the storms, leading to clear skies and strong solar heating of the near-shore sea water over a shallow continental shelf. This heating provides latent heat to the storms, and subsequently intensification occurs. In contrast, such heating does not occur in the larger storm (Mangkhut) due to its widespread cloud cover. This results imply that to improve the prediction of tropical cyclone intensity changes prior to landfall, it is necessary to correctly simulate the short-term evolution of near-shore ocean conditions. © 2021, The Author(s).</t>
  </si>
  <si>
    <t>2-s2.0-85130260210"</t>
  </si>
  <si>
    <t>10.1007/s41651-021-00089-4</t>
  </si>
  <si>
    <t>https://www.scopus.com/inward/record.uri?eid=2-s2.0-85117304217&amp;doi=10.1007%2fs41651-021-00089-4&amp;partnerID=40&amp;md5=ff4c30dadc0c1f11754f03a12914ed92</t>
  </si>
  <si>
    <t>Accurate watershed delineation and drainage system extraction are critical aspects for the hydrological and geomorphological models. However, high-resolution digital elevation models (DEMs) are often not accessible without cost. This reason leads to assessing low-resolution open-source products that are freely accessible. Watershed morphology evaluation is very important for flood control and recovery planning and understanding basin hydrology. In this study, the Rel River Basin has been selected as the study area in northern Gujarat, India. DEM reliability is a significant element of such a study. The accuracy of DEM highly affects the accuracy of mapping the catchment area. This analysis has been therefore directed to compare various morphological watershed parameters depicted by the open-source DEMs, i.e., Advanced Spaceborne Thermal Emission and Reflection Radiometer (ASTER), Shuttle Radar Topography Mission (SRTM), and Cartosat and Advanced Land Observing Satellite (ALOS). A new approach has been introduced in this study to combine four DEMs (ALOS, SRTM, Cartosat, and ASTER) by averaging the pixels to enhance the accuracy of the calculated topography known as Average DEM. This study compares various open-source DEMs and newly generated Average DEM with digitized topographic data using morphometric parameters. Percentage error is used to compute the accuracy of the open-source DEMs and the Average DEM for every morphometric parameter. While comparing the open-source DEMs and Average DEM with the Survey of India (SOI) toposheet using mean percentage error (MPE) and the mean absolute percentage error (MAPE), Average DEM exhibited the least error. Hence, Average DEM has been considered more appropriate to derive the morphological characteristics for the Rel River Basin. © 2021, The Author(s), under exclusive licence to Springer Nature Switzerland AG.</t>
  </si>
  <si>
    <t>2-s2.0-85117304217"</t>
  </si>
  <si>
    <t>10.3389/frwa.2021.778344</t>
  </si>
  <si>
    <t>https://www.scopus.com/inward/record.uri?eid=2-s2.0-85119825370&amp;doi=10.3389%2ffrwa.2021.778344&amp;partnerID=40&amp;md5=4fb29e17787fba9e317d564065e1071b</t>
  </si>
  <si>
    <t>Rare earth elements (REE) and Nd isotope compositions of surface and groundwaters from the Indian River Lagoon in Florida were measured to investigate the influence of submarine groundwater discharge (SGD) on these parameters in coastal waters. The Nd flux of the terrestrial component of SGD is around 0.7±0.03 μmol Nd/day per m of shoreline across the nearshore seepage face of the subterranean estuary. This translates to a terrestrial SGD Nd flux of 4±0.2 mmol/day for the entire 5,880 m long shoreline of the studied portion of the lagoon. The Nd flux from bioirrigation across the nearshore seepage face is 1±0.05 μmol Nd/day per m of shoreline, or 6±0.3 mmol/day for the entire shoreline. The combination of these two SGD fluxes is the same as the local, effective river water flux of Nd to the lagoon of 12.7±5.3 mmol/day. Using a similar approach, the marine-sourced SGD flux of Nd is 31.4±1.6 μmol Nd/day per m of shoreline, or 184±9.2 mmol/day for the investigated portion of the lagoon, which is 45 times higher than the terrestrial SGD Nd flux. Terrestrial-sourced SGD has an εNd(0) value of −5±0.42, which is similar to carbonate rocks (i.e., Ocala Limestone) from the Upper Floridan Aquifer (−5.6), but more radiogenic than the recirculated marine SGD, for which εNd(0) is −7±0.24. Marine SGD has a Nd isotope composition that is identical to the εNd(0) of Fe(III) oxide/oxyhydroxide coated sands of the surficial aquifer (−7.15±0.24 and −6.98±0.36). These secondary Fe(III) oxides/oxyhydroxides formed during subaerial weathering when sea level was substantially lower during the last glacial maximum. Subsequent flooding of these surficial sands by rising sea level followed by reductive dissolution of the Fe(III) oxide/oxyhydroxide coatings can explain the Nd isotope composition of the marine SGD component. Surficial waters of the Indian River Lagoon have an εNd(0) of −6.47±0.32, and are a mixture of terrestrial and marine SGD components, as well as the local rivers (−8.63 and −8.14). Nonetheless, the chief Nd source is marine SGD that has reacted with Fe(III) oxide/oxyhydroxide coatings on the surficial aquifer sands of the subterranean estuary. Copyright © 2021 Chevis, Mohajerin, Yang, Cable, Rasbury, Hemming, Burdige, Martin, White and Johannesson.</t>
  </si>
  <si>
    <t>2-s2.0-85119825370"</t>
  </si>
  <si>
    <t>Transactions of the Institute of Measurement and Control</t>
  </si>
  <si>
    <t>10.1177/01423312211042781</t>
  </si>
  <si>
    <t>https://www.scopus.com/inward/record.uri?eid=2-s2.0-85114874527&amp;doi=10.1177%2f01423312211042781&amp;partnerID=40&amp;md5=996d26df4ed62dc8bbf1263f9b0ef45e</t>
  </si>
  <si>
    <t>Generally, power systems experience a variety of disturbances that can result in low frequency electromechanical oscillations. These low frequency oscillations (LFOs) take place among the rotors of synchronous generators connected to the power system. These oscillations may sustain and grow to cause system separation if no adequate damping is provided. Power system stabilizers (PSSs) are one of the alternative devices used to solve this rotor oscillation problem. The major limitation of using PSSs at the excitation system of synchronous machine is that the conventional PSS is a permanent parameter type operating under a particular system operating condition, and its parameters are acquired through trial and error. An efficient way of operating the PSS has been by designing the PSS parameters using a powerful optimization procedure. However, designing PSS damping controller is a cumbersome task as it needs a comprehensive test system modeling and a heavy computational burden on the system. In this research, a novel, model-free neuro-fuzzy controller (NFC) is designed as the LFOs’ damping controller to substitute the traditional PSS system making the power system simple without complications in PSS design and parameter optimization. The proposed controller application implements the LFOs’ control without a linearized mathematical model of the system, as such it makes the system less complex and bulky. Single machine infinite bus (SMIB) test system was simulated in SIMULINK domain with the PSSs and with the proposed controller to compare the NFC effectiveness. The simulation outcome for the eigenvalue study with NFC stabilizer yields steady eigenvalues that enhanced the damping status of the system greater than 0.1 with decreased overshoots and time to rise via the proposed NFC process than with the conventional FFA-PSS. Similarly, the generator transient reaction also presents the ω and δ based on the time to settle was improved by 64.66% and 28.78%, respectively, via the proposed NFC process than with the conventional FFA-PSS. Finally, the conventional PSS was found to be complicated in its design, parameter optimization and less effective than the proposed controller for the LFOs’ control. © The Author(s) 2021.</t>
  </si>
  <si>
    <t>2-s2.0-85114874527"</t>
  </si>
  <si>
    <t>10.1002/esp.5224</t>
  </si>
  <si>
    <t>https://www.scopus.com/inward/record.uri?eid=2-s2.0-85114456074&amp;doi=10.1002%2fesp.5224&amp;partnerID=40&amp;md5=adf9830caf02e68242d445c631dcce12</t>
  </si>
  <si>
    <t>In-stream mining is a common aggregate mining practice around the world. However, the impacts of such practice are not always taken into account when the mines are established, and the environmental cost of in-stream aggregate mining is generally not assessed. The purpose of this study was to evaluate the impacts of aggregate mining conducted in La Puerta River (Tafí valley, Northwest Argentina), a dry-pit in-stream mine, by considering the geomorphological, geoarchaeological, and human effects. Multitemporal analysis of the area using remote sensors (aerial photographs and satellite images 1970–2020), high-resolution drone digital elevation models and orthomosaics (2018–2019), and an intensive survey demonstrated that the mining area grew exponentially between 2002 and 2020 under unregulated mining. As a result, this practice exerts great environmental impact, including channel section alterations and destabilization of riverbanks, soil loss, river profile changes, and the formation of lag deposits of discarded materials, thus increasing environmental hazard under unpredictable flows. Finally, this is a highly touristic area that has suffered substantial landscape degradation and irreversible archaeological damage. © 2021 John Wiley &amp; Sons Ltd.</t>
  </si>
  <si>
    <t>2-s2.0-85114456074"</t>
  </si>
  <si>
    <t>10.1007/s11356-021-15154-0</t>
  </si>
  <si>
    <t>https://www.scopus.com/inward/record.uri?eid=2-s2.0-85109291232&amp;doi=10.1007%2fs11356-021-15154-0&amp;partnerID=40&amp;md5=367edf08671460c684b3a06f9965652b</t>
  </si>
  <si>
    <t>Ice masses and snow of Hunza River Basin (HRB) are an important primary source of fresh water and lifeline for downstream inhabitants. Changing climatic conditions seriously put an impact on these available ice and snow masses. These glaciers may affect downstream population by glacial lake outburst floods (GLOF) and surge events due to climatic variation. So, monitoring of these glaciers and available ice masses is important. This research delivers an approach for dynamics of major glaciers of the Hunza River Basin. We delineated 27 major glaciers of HRB and examined their status by using Landsat (OLI, ETM+, ETM, TM), digital elevation model (DEM) over the period of 1990–2018. In 1990, the total area covered by these glaciers is about 2589.75 ± 86 km2 and about 2565.12 ± 68km2 in 2018. Our results revealed that from 2009 to 2015, glacier coverage of HRB advanced with a mean annual advance rate of 2.22 ± 0.1 km2 a-1. Conversely, from 1994 to 1999, the strongest reduction in glacier area with a mean rate of − 3.126 ± 0.3 km2 a-1 is recorded. The glaciers of HRB are relatively stable compared to Hindukush, Himalayan, and Tibetan Plateau region of the world. The steep slope glacier’s retreat rate is more than that of gentle slope glaciers, and the glaciers below an elevation of 5000 m above sea level change significantly. Based on climate data from 1995 to 2018, HRB shows a decreasing trend in temperature and increasing precipitation. The glacier area’s overall retreat is due to an increase in summer temperature while the glacier advancement is induced possibly by winter and autumn precipitation. © 2021, The Author(s), under exclusive licence to Springer-Verlag GmbH Germany, part of Springer Nature.</t>
  </si>
  <si>
    <t>2-s2.0-85109291232"</t>
  </si>
  <si>
    <t>10.3390/atmos12111429</t>
  </si>
  <si>
    <t>https://www.scopus.com/inward/record.uri?eid=2-s2.0-85118489919&amp;doi=10.3390%2fatmos12111429&amp;partnerID=40&amp;md5=a2986ff42d7541558772c655632bc94d</t>
  </si>
  <si>
    <t>Severe thunderstorms are often accompanied by strong vertical air currents, temporary wind gusts, and heavy rainfall. The development of this atmospheric phenomenon over tropical shallow water zones, such as bays, can lead to intensification of atmospheric disturbances and produce a small-scale storm surge. Here, the storm surge that occurred on 19 March 2017 in the Persian Gulf coastal area has been investigated. Air temperature, precipitation, mean sea level pres-sure, wave height, wind direction, wind speed, geopotential height, zonal components, meridional winds, vertical velocity, relative humidity, and specific humidity obtained from the European Centre for Medium-Range Weather Forecasts (ECMWF) and Global Forecast System (FNL) were used to implement the Weather Research and Forecasting (WRF) model. The results showed that the main cause of the storm surge was the occurrence of a supercell thunderstorm over the Persian Gulf. The formation of this destructive phenomenon resulted from a downburst under Cumulonimbus cloud and high-velocity air subsidence, after collision with the sea surface coinciding with the high tide. This caused a severe, yet temporary, gust, which in turn caused the creation of the four waves of 3.1 m height along the coast of Bandar Dayyer. © 2021 by the authors. Licensee MDPI, Basel, Switzerland.</t>
  </si>
  <si>
    <t>2-s2.0-85118489919"</t>
  </si>
  <si>
    <t>10.3390/rs13245069</t>
  </si>
  <si>
    <t>https://www.scopus.com/inward/record.uri?eid=2-s2.0-85121392688&amp;doi=10.3390%2frs13245069&amp;partnerID=40&amp;md5=16d78acb553f3db182f9fdace74fb7cb</t>
  </si>
  <si>
    <t>The interferometric synthetic aperture radar (InSAR) data set, acquired by the TanDEM-X (TerraSAR-X add-on for Digital Elevation Measurement) mission (TDM), represents a unique data source to derive geo-information products at a global scale. The complete Earth’s landmasses have been surveyed at least twice during the mission bistatic operation, which started at the end of 2010. Examples of the delivered global products are the TanDEM-X digital elevation model (DEM) (at a final independent posting of 12 m × 12 m) or the TanDEM-X global Forest/Non-Forest (FNF) map. The need for a reliable water product from TanDEM-X data was dictated by the limited accuracy and difficulty of use of the TDX Water Indication Mask (WAM), delivered as by-product of the global DEM, which jeopardizes its use for scientific applications, as well. Similarly as it has been done for the generation of the FNF map</t>
  </si>
  <si>
    <t>Future Generation Computer Systems</t>
  </si>
  <si>
    <t>10.1016/j.future.2021.05.008</t>
  </si>
  <si>
    <t>https://www.scopus.com/inward/record.uri?eid=2-s2.0-85106505224&amp;doi=10.1016%2fj.future.2021.05.008&amp;partnerID=40&amp;md5=60897c3ef5ba385513634f2069dfc23c</t>
  </si>
  <si>
    <t>The intensification of extreme events, storm surges and coastal flooding in a climate change scenario increasingly influences human processes, especially in coastal areas where sea-based activities are concentrated. Predicting sea level near the coasts, with a high accuracy and in a reasonable amount of time, becomes a strategic task. Despite the developments of complex numerical codes for high-resolution ocean modeling, the task of making forecasts in areas at the intersection between land and sea remains challenging. In this respect, the use of machine learning techniques can represent an interesting alternative to be investigated and evaluated by numerical modelers. This article presents the application of the Long-Short Term Memory (LSTM) neural network to the problem of short-term sea level forecasting in the Southern Adriatic Northern Ionian (SANI) domain in the Mediterranean sea. The proposed multi-model architecture based on LSTM networks has been trained to predict mean sea levels three days ahead, for different coastal locations. Predictions were compared with the observation data collected through the tide-gauge devices as well as with the forecasts produced by the Southern Adriatic Northern Ionian Forecasting System (SANIFS) developed at the Euro-Mediterranean Center on Climate Change (CMCC), which provides short-term daily updated forecasts in the Mediterranean basin. Experimental results demonstrate that the multi-model architecture is able to bridge information far in time and to produce predictions with a much higher accuracy than SANIFS forecasts. © 2021</t>
  </si>
  <si>
    <t>2-s2.0-85106505224"</t>
  </si>
  <si>
    <t>10.5194/gmd-14-6813-2021</t>
  </si>
  <si>
    <t>https://www.scopus.com/inward/record.uri?eid=2-s2.0-85119169825&amp;doi=10.5194%2fgmd-14-6813-2021&amp;partnerID=40&amp;md5=6669c685fcda32f177081a0515102211</t>
  </si>
  <si>
    <t>Over the past decade, there has been appreciable progress towards modeling the water, energy, and carbon cycles at field scales (10-100 m) over continental to global extents in Earth system models (ESMs). One such approach, named HydroBlocks, accomplishes this task while maintaining computational efficiency via Hydrologic Response Units (HRUs), more commonly known as ""tiles""in ESMs. In HydroBlocks, these HRUs are learned via a hierarchical clustering approach from available global high-resolution environmental data. However, until now there has yet to be a river routing approach that is able to leverage HydroBlocks' approach to modeling field-scale heterogeneity</t>
  </si>
  <si>
    <t>10.1016/j.jhydrol.2021.126813</t>
  </si>
  <si>
    <t>https://www.scopus.com/inward/record.uri?eid=2-s2.0-85113679542&amp;doi=10.1016%2fj.jhydrol.2021.126813&amp;partnerID=40&amp;md5=168a7b0f82c2fd4bf9fd92df1259063b</t>
  </si>
  <si>
    <t>Groundwater level (GWL) of coastal aquifers are strongly influenced by the ocean tide at sub-daily to seasonal scale. Similarly, GWL are influenced by storm induced ocean wave surge lasting few hours to a day. There has not been a detailed study on the conjunctive impact of such tidal and storm waves on coastal groundwater and its vulnerability. Through our coastal and field-laboratory observations at one of the world's most extreme climate affected regions, the Ganges river mega-delta, we delineate the influence of ocean wave surge impacts on the shallow (&lt;24 m below ground level [m bgl]) and deep (115 m bgl) aquifers GWL. Our study on the multi-layered delta-front aquifers, adjoining the tropical BoB shows that the high-temporal resolution GWL fluctuation due to wave surges are instantaneous, rapid and synchronous at all depths of the aquifers. The potential rise of ocean waves caused by tropical cyclone Bulbul (November 2019) significantly increases the GWL, both in shallow and deeper aquifer. Using multivariate statistics and machine learning techniques, we have attempted to quantify the rise of GWL during each of the ocean wave surge event. The model shows good predictability for deeper groundwater, however it is unable to quantify the shallower GWL of each of the ocean wave surge during storm events. Such phenomenon indicates aquifer vulnerability, thereby posing an emerging threat to drinking water availability to millions of groundwater-dependent inhabitants in coastal areas, globally, which may rapidly intensify with increasing rates of tropical cyclones and sea level rise in recent times and impending future. © 2021 Elsevier B.V.</t>
  </si>
  <si>
    <t>2-s2.0-85113679542"</t>
  </si>
  <si>
    <t>10.1016/j.margeo.2021.106667</t>
  </si>
  <si>
    <t>https://www.scopus.com/inward/record.uri?eid=2-s2.0-85118658461&amp;doi=10.1016%2fj.margeo.2021.106667&amp;partnerID=40&amp;md5=49cabbe6743a2c8e1cf278aa79982154</t>
  </si>
  <si>
    <t>Coastal dune systems provide vital natural barriers against storm impacts and coastal inundation. In times of rising sea levels and uncertainty over increasing storminess, it is critical that dune erosion is adequately understood and actively monitored. This study investigates the severe erosion of the climbing dune system at Crantock, an exposed macro-tidal beach in north Cornwall, UK, that before 2013 showed relative stability. In contrast to regional consistency in beach recovery across north Cornwall since the major storms of 2013/14, Crantock beach and dune system have shown an acceleration in erosion. This has resulted in dramatic cut-back of the front of the climbing dune system since 2016, despite the reduced frequency of severe storm events since 2013/14. The decoupled nature and emergent response of Crantock's dune system are explained by the shifting channel of the River Gannel, which has its outflow over the beach. Intertidal bar movement during the recovery from the 2013/14 storm sequence, alongside an ongoing deterioration of the training wall that pinned the River Gannel to the East Pentire cliffs to the north of the beach, has led to a southward avulsion of the river that has since lowered the elevation of the beach in front of the dunes. XBeach modelling suggests that the increased dune erosion can be attributed to a lowering of the beach profile and steepening of the dune face, indicating that the river avulsion has triggered a step-change in the dune equilibrium and the onset of dramatic erosional events. © 2021 Elsevier B.V.</t>
  </si>
  <si>
    <t>2-s2.0-85118658461"</t>
  </si>
  <si>
    <t>10.1007/s11069-021-04899-z</t>
  </si>
  <si>
    <t>https://www.scopus.com/inward/record.uri?eid=2-s2.0-85110479655&amp;doi=10.1007%2fs11069-021-04899-z&amp;partnerID=40&amp;md5=c0363feb0e6182d4268535030b4c7f65</t>
  </si>
  <si>
    <t>A 2D local inertial equations model coupled with a 1D hydraulic model was established to simulate flood dispatching in river and flood detention areas. A simplified first-order accuracy finite volume method (FVM) solution was applied to the 2D model, and the source-type linking method was used at the coupling zones. The coupled model was calibrated by the historical flood process in the Daqing River basin, satisfactory agreements were obtained at the gauge points, and the flood arrival time was consistent with the recorded data. A flood dispatching simulation in the scenario of joint control of multiple gates was then performed. The operation sequence of the corresponding gates and the flood routing in each sub-basin were consistent with the dispatch rules. The convergence analysis based on the grid scale and convective acceleration terms was presented. The results indicated that a refined grid-scale yields better accuracy of the numerical solution, but this improvement is constrained by the resolution of the digital elevation model (DEM). In the lower range of Fr, the results of the hydraulic variables and the flood behaviours obtained by the local inertial equations model are identical to those of the full shallow-water equations (SWEs) model, which suggests that the approximation based on neglecting the convective acceleration terms is reasonable for the practical case of low velocity combined with an insignificant depth gradient. © 2021, The Author(s), under exclusive licence to Springer Nature B.V.</t>
  </si>
  <si>
    <t>2-s2.0-85110479655"</t>
  </si>
  <si>
    <t>10.1038/s43247-021-00208-5</t>
  </si>
  <si>
    <t>https://www.scopus.com/inward/record.uri?eid=2-s2.0-85121456763&amp;doi=10.1038%2fs43247-021-00208-5&amp;partnerID=40&amp;md5=203b41b8f15c80db5f44b1721b8ccd3d</t>
  </si>
  <si>
    <t>Rising temperatures, rapid urbanization and soaring demand for natural resources threaten deltas worldwide and make them vulnerable to rising seas, subsidence, droughts, floods, and salt intrusion. However, climate change projections in deltas often address climate-driven stressors in isolation and disregard parallel anthropogenic processes, leading to insufficient socio-political drive. Here, using a combination of process-based numerical models that integrate both climatic and anthropogenic environmental stressors, we project salt intrusion within the Mekong mega-Delta, in the next three decades. We assess the relative effects of various drivers and show that anthropogenic forces such as groundwater extraction-induced subsidence and riverbed level incisions due to sediment starvation can increase the salinity-affected areas by 10–27% compared to the present-day situation, while future sea level rise adds another 6–19% increase. These projections provide crucial input for adaptation policy development in the Mekong Delta and the methodology inspires future systemic studies of environmental changes in other deltas. © 2021, The Author(s).</t>
  </si>
  <si>
    <t>2-s2.0-85121456763"</t>
  </si>
  <si>
    <t>Journal of Structural Geology</t>
  </si>
  <si>
    <t>10.1016/j.jsg.2021.104442</t>
  </si>
  <si>
    <t>https://www.scopus.com/inward/record.uri?eid=2-s2.0-85114386568&amp;doi=10.1016%2fj.jsg.2021.104442&amp;partnerID=40&amp;md5=ec91a4b07fb9a137eda1d12734a05296</t>
  </si>
  <si>
    <t>Stepovers in strike-slip fault systems play important roles in controlling the propagation of earthquake ruptures, depending partially on the competition between the stepover width and the coseismic slip gradient approaching the step. The 1920 Mw 7.9 Haiyuan earthquake is the most recent major earthquake that has occurred along the Haiyuan fault. The earthquake rupture broke through multiple stepovers along the fault and finally ended at the 4 km-wide Jingtai pull-apart basin (releasing stepover) at the western end. To understand the process of this termination of the Haiyuan earthquake rupture, we conducted detailed mapping of the surface rupture geometry, coseismic slip measurement and slip gradient calculation in the vicinity of the endpoint based on the 0.2 m-resolution SfM-derived DEM along the 20 km section east of the Jingtai pull-apart basin. Combining coseismic slip measurements from this study and published slip data from fieldwork in the 1980s, we calculated slip gradients of 84–160 cm/km as the rupture approached the Jingtai releasing stepover. These values are high for the 4 km-wide Jingtai releasing stepover compared to those from a dataset of worldwide historical earthquakes compiled by Elliott et al. (2009). The high values imply that the rupture could have a relatively high likelihood of breaching through the Jingtai releasing stepover. Alternatively, the slip gradient may be overestimated. Detailed mapping and field investigation, however, show that the rupture may extend ~1.86 km farther west of the end location indicated in previous studies. We acquired the new slip gradient with lower value of 50–82 cm/km, which is still considerably high compared to dataset of Elliott et al. (2009). We speculate that the slip gradient could be larger variation along the stepover boundary to stop fault slip in different geologic setting. Another factor control slip termination is related to fault properties. Creep along the southern boundary fault of the Jingtai stepover, a velocity-strengthening region, may also have played a role in stopping the rupture at this location. Our observations further indicate that the increasing LOS velocity of InSAR data within the Jingtai stepover is probably related to fault behavior rather than a nontectonic signal of subsidence. © 2021 Elsevier Ltd</t>
  </si>
  <si>
    <t>2-s2.0-85114386568"</t>
  </si>
  <si>
    <t>10.1038/s41598-021-87460-z</t>
  </si>
  <si>
    <t>https://www.scopus.com/inward/record.uri?eid=2-s2.0-85104035231&amp;doi=10.1038%2fs41598-021-87460-z&amp;partnerID=40&amp;md5=0808a505c9aa61f2f47f4d50ae0445e1</t>
  </si>
  <si>
    <t>All ocean basins have been experiencing significant warming and rising sea levels in recent decades. There are, however, important regional differences, resulting from distinct processes at different timescales (temperature-driven changes being a major contributor on multi-year timescales). In view of this complexity, it deems essential to move towards more sophisticated data-driven techniques as well as diagnostic and prognostic prediction models to interpret observations of ocean warming and sea level variations at local or regional sea basins. In this context, we present a machine learning approach that exploits key ocean temperature estimates (as proxies for the regional thermosteric sea level component) to model coastal sea level variability and associated uncertainty across a range of timescales (from months to several years). Our findings also demonstrate the utility of machine learning to estimate the possible tendency of near-future regional sea levels. When compared to actual sea-level records, our models perform particularly well in the coastal areas most influenced by internal climate variability. Yet, the models are widely applicable to evaluate the patterns of rising and falling sea levels across many places around the globe. Thus, our approach is a promising tool to model and anticipate sea level changes in the coming (1–3) years, which is crucial for near-term decision making and strategic planning about coastal protection measures. © 2021, The Author(s).</t>
  </si>
  <si>
    <t>2-s2.0-85104035231"</t>
  </si>
  <si>
    <t>10.3390/rs13234761</t>
  </si>
  <si>
    <t>https://www.scopus.com/inward/record.uri?eid=2-s2.0-85120359237&amp;doi=10.3390%2frs13234761&amp;partnerID=40&amp;md5=2a110d2977315db17a8588bcc883ba47</t>
  </si>
  <si>
    <t>Iran is among the driest countries in the world, where many natural hazards, such as floods, frequently occur. This study introduces a straightforward flood hazard assessment approach using remote sensing datasets and Geographic Information Systems (GIS) environment in an area located in the western part of Iran. Multiple GIS and remote sensing datasets, including Digital Elevation Model (DEM), slope, rainfall, distance from the main rivers, Topographic Wetness Index (TWI), Land Use/Land Cover (LULC) maps, soil type map, Normalized Difference Vegetation Index (NDVI), and erosion rate were initially produced. Then, all datasets were converted into fuzzy values using a linear fuzzy membership function. Subsequently, the Analytical Hierarchy Process (AHP) technique was applied to determine the weight of each dataset, and the relevant weight values were then multiplied to fuzzy values. Finally, all the processed parameters were integrated using a fuzzy analysis to produce the flood hazard map with five classes of susceptible zones. The bi-temporal Sentinel-1 Synthetic Aperture Radar (SAR) images, acquired before and on the day of the flood event, were used to evaluate the accuracy of the produced flood hazard map. The results indicated that 95.16% of the actual flooded areas were classified as very high and high flood hazard classes, demonstrating the high potential of this approach for flood hazard mapping. © 2021 by the authors. Licensee MDPI, Basel, Switzerland.</t>
  </si>
  <si>
    <t>2-s2.0-85120359237"</t>
  </si>
  <si>
    <t>10.1007/s11356-021-16588-2</t>
  </si>
  <si>
    <t>https://www.scopus.com/inward/record.uri?eid=2-s2.0-85115156828&amp;doi=10.1007%2fs11356-021-16588-2&amp;partnerID=40&amp;md5=0b48da32e3aeb79d2378e17055224085</t>
  </si>
  <si>
    <t>The tropical island of Sri Lanka, with a land area of 65,610 km2 and 1340 km of coastline, is highly vulnerable to impacts of climate change, with detrimental effects on agriculture, water resources, human health, coastal zones, infrastructure, industry, and biodiversity. A general increase in temperature and precipitation patterns, rising sea levels, and increase in weather-related natural disasters, such as floods and droughts, have been traced over the years. Bryophytes (liverworts, mosses, hornworts) occupy a pivotal position in the land plant evolution and form a unique part of the vegetation. Many taxa of bryophytes exhibit observable, distinct adaptations in response to changes in environmental conditions quickly. Bryophytes can be used to monitor climate change in two ways</t>
  </si>
  <si>
    <t>10.46717/igj.54.2D.11Ms-2021-10-30</t>
  </si>
  <si>
    <t>https://www.scopus.com/inward/record.uri?eid=2-s2.0-85120066174&amp;doi=10.46717%2figj.54.2D.11Ms-2021-10-30&amp;partnerID=40&amp;md5=f0c27599e7b4caa746dc30dd29528022</t>
  </si>
  <si>
    <t>Modern technologies are used for watershed management to cope with drought risks in arid and semi-arid regions. The study aimed to conduct a morphometric analysis and know potential groundwater recharge areas in the eastern region of Wasit Province. Remote sensing and GIS data were used for morphometric analysis. The morphometric analysis results adopted the Digital Elevation Model. The results of the analysis were verified by matching the results with what exists in reality. The area of the first basin was 1482.017, as it is the largest basin from the area, with a percent of 51.228% of the total area of all basins. The percentage of first-degree flows reached 83.37% in the first basin, 74.14% percent in the second basin, 75.51% in the third basin, and 75.75% in the fourth basin from all streams in each basin. The bifurcation rate (3.135-4.233), Stream frequency range values (0.543-0.332), drainage texture coarse, low drainage density that ranged between 0.986-1.14 km/km2 elongation ratio ranging from 0.348-0.624 form factor (0.095-0.316). The basins' circularity (0.105-0.238) relief value (951-112) m infiltration number value (0.369-0.535). All basins have a longitudinal shape and lead to the formation of floods and rapid currents, which exposes the region to rapid seasonal floods and the creation of flash floods that cause soil erosion and analyses the drainage intensity results. It was low, and this is an indication that the ground has high permeability. The flow frequency results indicate that the area is semi-arid and exposed to small amounts of rain and coarse drainage texture by comparing the result parameters from morphometric analysis results for each basin. The potential recharge areas of groundwater in the study area can be known, n as the analysis results showed that recharge potential occurs in all basins. The highest groundwater recharge is possible in the third basin and the lowest in the first basin. Morphometric analysis was performed by ARC-GIS(Arc-map10.4). © 2021, Union of Iraqi Geoogists. All rights reserved.</t>
  </si>
  <si>
    <t>2-s2.0-85120066174"</t>
  </si>
  <si>
    <t>10.3390/rs13224563</t>
  </si>
  <si>
    <t>https://www.scopus.com/inward/record.uri?eid=2-s2.0-85119338786&amp;doi=10.3390%2frs13224563&amp;partnerID=40&amp;md5=081296a14743fe2d0b3840a0b7eb75a3</t>
  </si>
  <si>
    <t>In recent years, noticeable subsidence depressions have occurred along the coastal zone of the Yellow River Delta. Consistent with these changes, dramatic human modifications within the coastal zone stand out, and the coastline is altered from an undisturbed natural area to an artificial coastline. However, very few studies have attempted to quantitatively analyze the relationship between subsidence depression and human activities. Here, the subsidence characteristics of the different land-use types in the Yellow River Delta are examined, and their spatiotemporal trends are quantified using a long-term satellite-observed time series of 30 years (1984–2017) regarding the land use map in combination with the InSAR-derived vertical ground deformations during three typical periods (P1: 1992–2000, P2: 2007–2010, and P3: 2016–2017). Noticeably, the highest subsidence rates were observed in areas where substantial human activities were observed, such as the subsidence in the salt fields ranging from 13 mm/year to 32 mm/year to 453 mm/year, respectively. Moreover, through the land-use prediction of Land Change Modeler (LCM), it is found that the salt field area will be further expanded in the future. The ecological vulnerability of the Yellow River Delta coastal zone should receive more attention in the future in terms of planning environmental protection strategies. © 2021 by the authors. Licensee MDPI, Basel, Switzerland.</t>
  </si>
  <si>
    <t>2-s2.0-85119338786"</t>
  </si>
  <si>
    <t>10.1038/s41598-021-88119-5</t>
  </si>
  <si>
    <t>https://www.scopus.com/inward/record.uri?eid=2-s2.0-85105768619&amp;doi=10.1038%2fs41598-021-88119-5&amp;partnerID=40&amp;md5=50d56321627a52480d031184ca37afd0</t>
  </si>
  <si>
    <t>Mangrove swamps are extremely productive ecosystems providing many ecological services in coastal regions. The hydrodynamic interactions of mangrove roots and water flow have been proposed as a key element to mitigate erosion. Several studies reveal that precise prediction of the morphological evolution of coastal areas, in the face of global warming and the consequent sea-level rise, requires an understanding of interactions between root porosity (the fraction of the volume of void space over the total volume), water flows, and sediment transport. Water flows around the mangrove prop roots create a complex energetic process that mixes up sediments and generates a depositional region posterior to the roots. In this work, we investigated the boundary layer behind permeable arrays of cylinders (patch) that represent the mangrove roots to explore the impact of patch porosity on the onset of sediment transport. The flow measurements were performed in a vertical plane along the water depth downstream of the mangrove root models. A high-resolution Particle Image Velocimetry (PIV) was used in a flume to observe the impact of porosity on the mean flow, velocity derivatives, skin friction coefficient, and production of turbulent kinetic energy for Reynolds number of 2500 (based on patch diameter length-scale). Here, we proposed a predictive model for critical velocity for incipient motion that takes into account the mangrove roots porosity and the near-bed turbulence effect. It is found that the patch with the ϕ= 47 % porosity, has the maximum critical velocity over which the sediment transport initiates. We found the optimum porosity has the minimum sediment erosion and creates negative vorticity sources near the bed that increases the critical velocity. This signifies an optimum porosity for the onset of sediment transport consistent with the porosity of mangroves in nature. The phenomenological model is elucidated based on an analysis of the vorticity evolution equation for viscous incompressible flows. For the optimum porous patch, a sink of vorticity was formed which yielded to lower the near-bed turbulence and vorticity. The minimum velocity fluctuations were sufficient to initiate the boundary layer transition, however, the viscous dissipation dominated the turbulence production to obstruct the sediment transport. This work identified the pivotal role of mangrove root porosity in sediment transport in terms of velocity and its derivatives in wall-bounded flows. Our work also provides insight into the sediment transport and erosion processes that govern the evolution of the shapes of shorelines. © 2021, The Author(s).</t>
  </si>
  <si>
    <t>2-s2.0-85105768619"</t>
  </si>
  <si>
    <t>10.1016/j.ejrh.2021.100954</t>
  </si>
  <si>
    <t>https://www.scopus.com/inward/record.uri?eid=2-s2.0-85118512216&amp;doi=10.1016%2fj.ejrh.2021.100954&amp;partnerID=40&amp;md5=55de20f29ee4f99c872d9c9da5c21b49</t>
  </si>
  <si>
    <t>Study region: Peace-Athabasca Delta (PAD), northeastern Alberta. Study focus: Potential for downstream delivery of contaminants via Athabasca River floodwaters to lakes of the PAD has raised local to international concern. Here, we quantify enrichment of eight metals (Be, Cd, Cr, Cu, Ni, Pb, V, Zn) in aquatic biota, relative to sediment-based pre-industrial baselines, via analysis of biofilm-sediment mixtures accrued on artificial substrate samplers deployed during summers of 2017 and 2018 in &gt; 40 lakes. Widespread flooding in the southern portion of the delta in spring 2018 allows for assessment of metal enrichment by Athabasca River floodwaters. New hydrological insights: River floodwaters are not implicated as a pathway of metal enrichment to biofilm-sediment mixtures in PAD lakes from upstream sources. MANOVA tests revealed no significant difference in residual concentrations of all eight metals in lakes that did not flood versus lakes that flooded during one or both study years. Also, no enrichment was detected for concentrations of biologically inert metals (Be, Cr, Pb) and those related to oil-sands development (Ni, V). Enrichment of Cd, Cu, and Zn at non-flooded lakes, however, suggests uptake of biologically active metals complicates comparisons of organic-rich biofilm-sediment mixtures to sediment-derived baselines for these metals. Results demonstrate that this novel approach could be adopted for lake monitoring within the federal Action Plan. © 2021 The Authors</t>
  </si>
  <si>
    <t>2-s2.0-85118512216"</t>
  </si>
  <si>
    <t>10.1002/nsg.12174</t>
  </si>
  <si>
    <t>https://www.scopus.com/inward/record.uri?eid=2-s2.0-85113389328&amp;doi=10.1002%2fnsg.12174&amp;partnerID=40&amp;md5=c8c3235b1ec4bf0153d6eaef31a4662c</t>
  </si>
  <si>
    <t>Over the last three decades, multicomponent geophysical prospection has given a new perspective in the domain of inland archaeological prospection. However, the complexity and constantly evolving environmental regime encountered in the transition zones has so far limited the implementation of these technological advancements towards the understanding of the past dynamics in littoral and ultra-shallow offshore environments. The main objective of this work is to appropriately adapt, test and validate the efficiency of diverse geophysical mapping and imaging methods for reconstructing the ancient built environment below a relatively thin water layer. The submerged prehistoric site of Lambayanna in Greece was used as an ‘open laboratory’ to explore in situ the resolving capabilities and limitations of marine three-dimensional electrical resistivity tomography and multisensor magnetic gradiometry, as well as terrestrial ground-penetrating radar. The geophysical mapping covered more than 4.4 hectares of the shallow marine and coastal part of the site with high spatial resolution. The data processing followed a specific flowchart to enhance the signal and the subsequent integrated analysis showed a number of candidate targets buried below the seabed, providing strong indications to support the hypothesis for the existence of an ancient submerged man-made environment in the bay. The results demonstrate the complementary nature of applying multiple geophysical methods to under-explored shallow offshore archaeological contexts in order to provide useful information for understanding the complex archaeological sites around the Mediterranean. The successful transfer of established geophysical methods into the ultra-shallow aquatic environment comprises the major innovative aspect of this work. Thus, in view of climate change and the risks related to future sea-level rise and erosion of low-level coastal areas, the proposed research model can be integrated into a wider strategic framework for the sustainable management of coastal cultural resources. © 2021 European Association of Geoscientists &amp; Engineers</t>
  </si>
  <si>
    <t>2-s2.0-85113389328"</t>
  </si>
  <si>
    <t>10.5194/nhess-21-3353-2021</t>
  </si>
  <si>
    <t>https://www.scopus.com/inward/record.uri?eid=2-s2.0-85119120162&amp;doi=10.5194%2fnhess-21-3353-2021&amp;partnerID=40&amp;md5=54d60c756de1704efb6d92809a896544</t>
  </si>
  <si>
    <t>Previous studies on tidal flood mapping are mostly through continental- and/or global-scale approaches. Moreover, the few works on local-scale perception are concentrated in Europe, Asia, and North America. Here, we present a case study approaching a tidal flood risk mapping application in the face of climate change scenarios in a region with a strong environmental and social appeal. The study site is an estuarine cut in the Brazilian semi-arid region, covering part of two state conservation units, which has been suffering severe consequences from tidal flooding in recent years. In this case study, we used high-geodetic-precision data (lidar DEM), together with robust tidal return period statistics and data from current sea level rise scenarios. We found that approximately 327.60 km2 of the estuary is under tidal flood risk and in need of mitigation measures. This case study can serve as a basis for future management actions, as well as a model for applying risk mapping in other coastal areas. © Author(s) 2021.</t>
  </si>
  <si>
    <t>2-s2.0-85119120162"</t>
  </si>
  <si>
    <t>10.1007/s42797-021-00041-1</t>
  </si>
  <si>
    <t>https://www.scopus.com/inward/record.uri?eid=2-s2.0-85118510837&amp;doi=10.1007%2fs42797-021-00041-1&amp;partnerID=40&amp;md5=f91a84921d0ad34613eed889b6fc627a</t>
  </si>
  <si>
    <t>Rapid urbanization process, climate change, earth movement and geomorphological structure change were courses environmental degradation. Population pressure also one of the issuing factors for deforestation or vegetation degradation in a particular region. Gradually Indian forest and vegetated area were damaged due to those reasons. Greenhouse Gas (GHG), Soil moisture, soil erosion, oxygen level, slope stability and landslide are controlled by vegetation. In India, there were many types of the forest region. Remote sensing is a wide area of application improving accuracy result in various sectors. These include global forest loss, earth surface change, climate change scenario, water resource and many more. After super cyclone ‘Alia’, the Ganga delta is mostly affected the huge flood inundation and vegetation loses are identified. Google Earth Engine (GEE) is a cloud-based platform to detect earth observation using high spatial satellite data with planetary-scale analysis capabilities. Multi-year Synthetic Aperture Radar (SAR) Sentinel-1 C-band GRD data was used to identify vegetation damaged area. Time series analysis of Sentinel-1 Copernicus imagery was used available on Google Earth Engine (GEE). Dual polarization intensity Sentinel-1 C-band data and algorithm were used to detect the time series analysis between 2015/2017 and 2017/2020 year. Resulting total vegetation degradation mean are 1.5759 (2015/2017 data), −0.4840 (2017/2020) and standard deviation are 2.8503 (2015/2017 data), 2.2387 (2017/2020 data). The big-data are covering total areal vegetation degradation in Google Earth Engine (GEE). Southern parts of Ganga-delta are facing huge change in some decades, also effected in the mangrove forest. © The Author(s), under exclusive licence to Springer Nature Switzerland AG 2021.</t>
  </si>
  <si>
    <t>2-s2.0-85118510837"</t>
  </si>
  <si>
    <t>10.1029/2021GL094437</t>
  </si>
  <si>
    <t>https://www.scopus.com/inward/record.uri?eid=2-s2.0-85118313886&amp;doi=10.1029%2f2021GL094437&amp;partnerID=40&amp;md5=6fcad853969c8e338e748760005ed765</t>
  </si>
  <si>
    <t>Understanding how thermokarst lakes on arctic river deltas will respond to rapid warming is critical for projecting how carbon storage and fluxes will change in those vulnerable environments. Yet, this understanding is currently limited partly due to the complexity of disentangling significant interannual variability from the longer-term surface water signatures on the landscape, using the short summertime window of optical spaceborne observations. Here, we rigorously separate perennial lakes from ephemeral wetlands on 12 arctic deltas and report distinct size distributions and climate trends for the two waterbodies. Namely, we find a lognormal distribution for lakes and a power-law distribution for wetlands, consistent with a simple proportionate growth model and inundated topography, respectively. Furthermore, while no trend with temperature is found for wetlands, a statistically significant decreasing trend of mean lake size with warmer temperatures is found, attributed to colder deltas having deeper and thicker permafrost preserving larger lakes. © 2021. The Authors.</t>
  </si>
  <si>
    <t>2-s2.0-85118313886"</t>
  </si>
  <si>
    <t>10.3390/rs13234906</t>
  </si>
  <si>
    <t>https://www.scopus.com/inward/record.uri?eid=2-s2.0-85120530788&amp;doi=10.3390%2frs13234906&amp;partnerID=40&amp;md5=d1823038f17d0266e103310eac3345cd</t>
  </si>
  <si>
    <t>We present a software package for the supervised classification of images useful for cover-type mapping of freshwater habitat (e.g., water surface, gravel bars, vegetation). The software allows the user to select a representative subset of pixels within a specific area of interest in the image that the user has identified as a cover-type habitat of interest. We developed a graphical user interface (GUI) that allows the user to select single pixels using a dot, line, or group of pixels within a defined polygon that appears to the user to have a spectral similarity. Histogram plots for each band of the selected ground-truth subset aid the user in determining whether to accept or reject it as input data for the classification processes. A statistical model, or classifier, is then built using this pixel subset to assign every pixel in the image to a best-fit group based on reflectance or spectral similarity. Ideally, a classifier incorporates both spectral and spatial information. In our software, we implement quadratic discriminant analysis (QDA) for spectral classification and choose three spatial methods—mode filtering, probability label relaxation, and Markov random fields—to incorporate spatial context after computation of the spectral type. This multi-step interactive process makes the software quantitatively robust, broadly applicable, and easily usable for cover-type mapping of rivers, their floodplains, wetlands often components of these functionally linked freshwater systems. Indeed, this supervised classification approach is helpful for a wide range of cover-type mapping applications in freshwater systems but also estuarine and coastal systems as well. However, it can also aid many other applications, specifically for automatic and quantitative extraction of pixels that represent the water surface area of rivers and floodplains. © 2021 by the authors. Licensee MDPI, Basel, Switzerland.</t>
  </si>
  <si>
    <t>2-s2.0-85120530788"</t>
  </si>
  <si>
    <t>10.1038/s41598-021-00390-8</t>
  </si>
  <si>
    <t>https://www.scopus.com/inward/record.uri?eid=2-s2.0-85117892112&amp;doi=10.1038%2fs41598-021-00390-8&amp;partnerID=40&amp;md5=d789d013cc21ee8231dfac707a92749c</t>
  </si>
  <si>
    <t>The purpose of this research was to study the presence of potential pathogenic bacteria in the seawater and air in five coastal towns (Hel, Puck, Gdynia, Sopot, Gdańsk-Brzeźno) as well as the enrichment of bacteria from the seawater into the coastal air after an emergency discharge of sewage into the Bay of Gdańsk. A total of 594 samples of air and seawater were collected in the coastal zone between spring and summer (between 2014 and 2018). Air samples were collected using the impact method with a SAS Super ISO 100. The multivariate analysis, conducted using contingency tables, showed a statistically significant variation between the concentration of coliforms, psychrophilic and mesophilic bacteria in the seawater microlayer and air in 2018, after an emergency discharge of sewage into the Bay of Gdańsk, compared to 2014–2017. Moreover, we detected a marine aerosol enrichment in psychrophilic, mesophilic bacteria, coliforms and Escherichia coli. We also showed a statistically significant relationship between the total concentration of bacteria and humidity, air temperature, speed and wind direction. This increased concentration of bacteria in the seawater and coastal air, and the high factor of air enrichment with bacteria maybe associated with the emergency discharge of wastewater into the Bay of Gdańsk. Therefore, it is suggested that in the event of a malfunction of a sewage treatment plant, as well as after floods or sudden rainfall, the public should be informed about the sanitary and epidemiological status of the coastal waters and be recommended to limit their use of coastal leisure areas. © 2021, The Author(s).</t>
  </si>
  <si>
    <t>2-s2.0-85117892112"</t>
  </si>
  <si>
    <t>10.1016/j.envc.2021.100401</t>
  </si>
  <si>
    <t>https://www.scopus.com/inward/record.uri?eid=2-s2.0-85120308974&amp;doi=10.1016%2fj.envc.2021.100401&amp;partnerID=40&amp;md5=541e33e4b2991e346252e2c19f742c1c</t>
  </si>
  <si>
    <t>A dam is a structure constructed across river which stores water and supplies water for various purposes. Though the dams have many benefits, there is always a threat of dam break floods which are devastating in nature. Hence it becomes essential to analyze and simulate dam failure scenarios to understand the severity of dam break flood and identify areas under threat which helps in land use planning and developing emergency response plans. This study attempts to carry out dam break/breach analysis for the Hidkal dam using a one-dimensional hydraulic model called Hydraulic Engineering Center's River Analysis System (HEC-RAS). HEC-GeoRAS tool is used to extract river geometry data from the Cartosat-1 digital elevation model (DEM) and to generate the inundation map to identify the areas affected. The study involves the prediction of breach parameters, breach flood hydrograph, peak flow, flood arrival time, and generation of inundation maps. The dam break model is simulated for unsteady flow conditions using Probable Maximum Flood (PMF) corresponding to piping and overtopping failure scenarios. HEC-RAS tool is utilized to determine the breach outflow hydrograph and hydraulic conditions at critical downstream locations. Further, the breach outflow hydrographs are routed using dynamic flood wave routing. Further HEC-RAS model is simulated for breach parameters derived from five different empirical methods, and the results are compared. A sensitivity analysis is also carried out to know the variation of peak flow and maximum stage with respect to the breach parameters. The immediate downstream of the dam experience a peak flow of 72,085.45 m3/s and 78,454.82 m3/s and the corresponding inundation area of 75.224 km2 and 79.205 km2 due to piping failure and overtopping failure, respectively. Around twenty village located on the downstream of dam location gets affected due to flood produced by dam break. The analysis shows that overtopping failure is more severe than failure due to piping. The study shall further help authorities concerned to develop an emergency response plan and flood mitigation measures. © 2021 The Author(s)</t>
  </si>
  <si>
    <t>2-s2.0-85120308974"</t>
  </si>
  <si>
    <t>10.1016/j.heliyon.2021.e08345</t>
  </si>
  <si>
    <t>https://www.scopus.com/inward/record.uri?eid=2-s2.0-85119284444&amp;doi=10.1016%2fj.heliyon.2021.e08345&amp;partnerID=40&amp;md5=c2bbc79e03233846bdd7782fca2a1a80</t>
  </si>
  <si>
    <t>Digital elevation models (DEMs) are the primary form of satellite data used to design and analyze the hydrology and hydraulic behavior of watersheds for water resource development. The primary objective of this study is to conduct morphometric parameter analysis using SRTM30m, ASTER30m, and ALOS30m data to determine the impact of identical DEM resolution and DEM sources on the Tena watershed by computing the basic and derived parameters. In this study I used data from two sources for morphometric parameter analysis with ArcGIS software. The results indicate that the DEM sources did not provide similar results for all parameters: ASTER30m was the maximum output for almost all parameters, followed by SRTM30m and ALOS30m. The findings of this study suggest that ASTER30m is the most suitable data source for flood risk assessment, soil erosion, sediment, streamflow, and other watershed modelling, while ALOS30m is best suited for peak discharge analysis. All of the used DEM sources were suitable for computing watershed shape parameters. In general, the resolution of DEMs impacts the hydrological and hydraulic study of any watershed, with resulting effects on decision-making for watershed management and development. © 2021 The Author(s)</t>
  </si>
  <si>
    <t>2-s2.0-85119284444"</t>
  </si>
  <si>
    <t>10.1016/j.landurbplan.2021.104224</t>
  </si>
  <si>
    <t>https://www.scopus.com/inward/record.uri?eid=2-s2.0-85113696988&amp;doi=10.1016%2fj.landurbplan.2021.104224&amp;partnerID=40&amp;md5=235d174f522898fc57702de536261995</t>
  </si>
  <si>
    <t>Flooding poses a grave threat to property and the safety of human communities. Urban planning efforts and guidance can have an important influence on the vulnerability of development in hazardous areas. This study is the first to use Hierarchical Linear Modeling (HLM) to investigate the influence of local planning capacity and other contextual factors on the integration of hazard mitigation policies and building of resilience across community 'networks of plans' in six US coastal cities. Findings indicate significant variation across cities regarding plan integration to enhance resilience. Communities with larger proportions of renters and lower socioeconomic status are shown to be less likely to incorporate hazard mitigation policies in local plans, controlling for community planning capacity. We also find evidence that communities with prior hazard experience are more likely to have resilience-focused plans, even in physically vulnerable neighborhoods which, in the absence of recent hazards, are actually less likely to receive positive policy attention. The study concludes by discussing the results and offering recommendations to inform more effective approaches as practitioners reevaluate their plans and work to foster more coordinated mitigation efforts across local networks of plans. © 2021 Elsevier B.V.</t>
  </si>
  <si>
    <t>2-s2.0-85113696988"</t>
  </si>
  <si>
    <t>10.1007/s11001-021-09460-y</t>
  </si>
  <si>
    <t>https://www.scopus.com/inward/record.uri?eid=2-s2.0-85120727983&amp;doi=10.1007%2fs11001-021-09460-y&amp;partnerID=40&amp;md5=544a9f7362973abd913a5e5dff0acfe4</t>
  </si>
  <si>
    <t>This study investigates the real-time sea-level measurement from six tide gauge stations in the coastal area of Japan. Initially, the six co-located global navigation satellite station sites vertical velocity has been observed followed by estimation of the relative tide gauge velocities. The results showed that the estimated relative sea-level changes abruptly at different sites depending on the location of tide gauge stations. To accurately analyse the regional tide gauge patterns at each site, a continuous wavelet transforms based on Morse wavelet as a default transformation has been applied. Analysis showed that the peaks of tide gauges have not occurred at a static time at each site, rather they were repeating with the variation of time. The width of the spectrum peaks varied with different sites and the overall spectrum frequency was not unique. These characteristics variation with time may be due to the variables that affect the stability of the sea level measurements. Finally, the kernel extreme learning machine (KELM) approach based on variational mode decomposition is used to reconstruct the tide gauge measurements. The correlation coefficients between observed and reconstructed data sets are very high varying from 0.91 to 0.96. The estimated root mean square error between two data sets is varying from 0.04 to 0.06 m at the entire region. This means that the KELM reconstructed tide gauge showed good agreement with the observed tidal waveforms. Thus, it can be concluded that the proposed techniques can be implemented for effective real-time sea-level monitoring changes with the available data. © 2021, The Author(s), under exclusive licence to Springer Nature B.V.</t>
  </si>
  <si>
    <t>2-s2.0-85120727983"</t>
  </si>
  <si>
    <t>10.1029/2021JC017730</t>
  </si>
  <si>
    <t>https://www.scopus.com/inward/record.uri?eid=2-s2.0-85118295126&amp;doi=10.1029%2f2021JC017730&amp;partnerID=40&amp;md5=2e63218de07537865c259d704b95f868</t>
  </si>
  <si>
    <t>Quantifying the nature and patterns of sea level rise (SLR) is a critical challenge for the sustainability and resilience of coastal zones. Studies of SLR typically consider time-averaged mean sea level (MSL) trends, however, coastal flooding is more sensitive to extended water level (EWL), which includes time-variable components such as tides and seasonal variability. Here, we describe a new way to determine long-term trends of peak extended water levels (PEWL) considering combined monthly averaged MSL and tidal range and their changes in linear rates and variability, which are compared to trends in mean extended water levels (MEWL) over moving 20-year time windows at long-period tide gauges over two epochs: century-scale, and half-century-scale. Results show that a majority of locations exhibit different PEWL trends than MEWL trends in both epochs, and this difference has intensified in the past 50 years. There are strong regional coherencies observed: positive PEWL trends along western boundaries of basins (US Atlantic Coast, Japan, and Australia), and negative PEWL trends in most of Europe and the US Pacific Coast. Strong correlations to the Atlantic Multidecadal Oscillation and the Pacific Decadal Oscillation are also observed at many locations. Significant contributions from changes in tidal range and/or variability highlights the importance of considering multiple components of the water level spectrum beyond MSL. Our results are further analyzed in the context of IPCC projections to demonstrate that increased rates of PEWL may have additional implications for future flood levels at locations which have large projected increases in SLR. © 2021. American Geophysical Union. All Rights Reserved.</t>
  </si>
  <si>
    <t>2-s2.0-85118295126"</t>
  </si>
  <si>
    <t>10.1007/s13753-021-00377-z</t>
  </si>
  <si>
    <t>https://www.scopus.com/inward/record.uri?eid=2-s2.0-85118658288&amp;doi=10.1007%2fs13753-021-00377-z&amp;partnerID=40&amp;md5=0173d51ddd502cee053b950ab3faa35b</t>
  </si>
  <si>
    <t>Digital Elevation Models (DEMs) play a critical role in hydrologic and hydraulic modeling. Flood inundation mapping is highly dependent on the accuracy of DEMs. Various vertical differences exist among open access DEMs as they use various observation satellites and algorithms. The problem is particularly acute in small, flat coastal cities. Thus, it is necessary to assess the differences of the input of DEMs in flood simulation and to reduce anomalous errors of DEMs. In this study, we first conducted urban flood simulation in the Huangpu River Basin in Shanghai by using the LISFLOOD-FP hydrodynamic model and six open-access DEMs (SRTM, MERIT, CoastalDEM, GDEM, NASADEM, and AW3D30), and analyzed the differences in the results of the flood inundation simulations. Then, we processed the DEMs by using two statistically based methods and compared the results with those using the original DEMs. The results show that: (1) the flood inundation mappings using the six original DEMs are significantly different under the same simulation conditions—this indicates that only using a single DEM dataset may lead to bias of flood mapping and is not adequate for high confidence analysis of exposure and flood management</t>
  </si>
  <si>
    <t>10.1016/j.envc.2021.100383</t>
  </si>
  <si>
    <t>https://www.scopus.com/inward/record.uri?eid=2-s2.0-85120336353&amp;doi=10.1016%2fj.envc.2021.100383&amp;partnerID=40&amp;md5=e3ea4795370ddc7523e36aa702b9018a</t>
  </si>
  <si>
    <t>Climate change is forcing coastal communities to adapt to rising sea levels and increased storm activity. Living shorelines are a new adaptation to reduce the resulting erosion and inundation. Living shorelines use a variety of salt-tolerant plants and other natural material to absorb the increased wave energy and sea levels along the coast while supporting an enlarged coastal habitat for a variety of plants and animals, improving coastal resiliency. In 2019 the coastal city of Salem Massachusetts (USA) received a grant of $216,550 to build a living shoreline (approximately 240 by 11.75 m) in a barren cove along its coastline. Drone technology was used to monitor the erosion and accretion of the new living shoreline. A dji Phantom 4 Pro with a normal color camera was flown in 2018 (before the living shoreline was established), 2019 (just after the living shoreline was created) and in 2020 (after almost 18 months of wave and tidal activity to the living shoreline). Each drone flight created three products: an orthographic mosaic, a Digital Terrain Model (DTM) and a Digital Surface Model (DSM). A ground survey was used to georeference the 2020 image and then the 2020 image was used to georeference the 2019 and 2018 images. The 2019 DTM minus the 2018 DTM accurately estimated the amount of fill used for the living shoreline within 3% of the actual amount of fill used. The 2020 DTM minus the 2019 DTM showed that 14.7% of the surface area of the living shoreline experienced erosion (24.35 m3) and 52.0% of the surface area experienced accretion (117.74 m3). Living shorelines can be widely used to protect coastal biodiversity and to adapt to rising seas and storm activity, providing a soft barrier instead of a hard barrier like sea walls. © 2021 The Author(s)</t>
  </si>
  <si>
    <t>2-s2.0-85120336353"</t>
  </si>
  <si>
    <t>10.1038/s41598-021-02603-6</t>
  </si>
  <si>
    <t>https://www.scopus.com/inward/record.uri?eid=2-s2.0-85120178960&amp;doi=10.1038%2fs41598-021-02603-6&amp;partnerID=40&amp;md5=22dcad62c974c338d73b1341f2dcbf1b</t>
  </si>
  <si>
    <t>To establish effective water quality monitoring strategies in estuaries, it is imperative to identify and understand the main drivers for the variation of water quality parameters. The tidal effect is an important factor of the daily and fortnightly variability in several estuaries. However, the extent of that influence on the different physicochemical and biological parameters is still overlooked in some estuarine systems, such as the Sado Estuary, a mesotidal estuary located on the west coast of Portugal. The main objective of this study was to determine how the water quality parameters of the Sado Estuary varied with the fortnightly and the semidiurnal tidal variation. To achieve this goal, sampling campaigns were conducted in May/18, Nov/18 and Jun/19, under neap and spring tidal conditions, with data collection over the tidal cycle. Results were observed to be significantly influenced by the tidal variation, in a large area of the estuary. Flood seemed to mitigate possible effects of nutrient enrichment in the water column. Additionally, significant differences were also observed when considering the different sampling stations. Temperature, Suspended Particulate Matter (SPM) and nutrients showed the highest values at low water. Lastly, the implications of the tidal variability in the evaluation of the water quality according to Water Framework Directive were also discussed, highlighting the importance of studying short-time scale variations and the worst-case scenario to ensure water quality is maintained. These findings are relevant for the implementation of regional management plans and to promote sustainable development. © 2021, The Author(s).</t>
  </si>
  <si>
    <t>2-s2.0-85120178960"</t>
  </si>
  <si>
    <t>10.3390/rs13244960</t>
  </si>
  <si>
    <t>https://www.scopus.com/inward/record.uri?eid=2-s2.0-85120975668&amp;doi=10.3390%2frs13244960&amp;partnerID=40&amp;md5=e1f7ae59062ef2ea0c1dafec23e4b040</t>
  </si>
  <si>
    <t>Wetland loss and subsequent reduction of wetland ecosystem services in the Great Lakes region has been driven, in part, by changing landcover and increasing urbanization. With landcover change data, digital elevation models (DEM), and self-organizing maps (SOM), this study explores changing landcover and the flood mitigation attributes of wetland areas over a 15-year period in Toronto and Chicago. The results of this analysis show that (1) in the city of Toronto SOM clusters, the landcover change correlations with wetland volume and wetland area range between −0.1 to −0.5, indicating that a more intense landcover change tends to be correlated with small shallow wetlands, (2) in the city of Chicago SOM clusters, the landcover change correlations with wetland area range between −0.1 to −0.7, the landcover change correlations with wetland volume per area range between −0.1 to 0.8, and the landcover change correlations with elevation range between −0.2 to −0.6, indicating that more intense landcover change tends to be correlated with spatially small wetlands that have a relatively high water-storage capacity per area and are located at lower elevations. In both cities, the smallest SOM clusters represent wetland areas where increased landcover change is correlated with wetland areas that have high flood mitigation potential. This study aims to offer a new perspective on changing urban landscapes and urban wetland ecosystem services in Toronto and Chicago. © 2021 by the authors. Licensee MDPI, Basel, Switzerland.</t>
  </si>
  <si>
    <t>2-s2.0-85120975668"</t>
  </si>
  <si>
    <t>10.1038/s41598-021-88476-1</t>
  </si>
  <si>
    <t>https://www.scopus.com/inward/record.uri?eid=2-s2.0-85105197983&amp;doi=10.1038%2fs41598-021-88476-1&amp;partnerID=40&amp;md5=a518f5bc042e79a152d71b775d12d3de</t>
  </si>
  <si>
    <t>On the morning of September 26, 2007, a heavy precipitation event (HPE) affected the Venice lagoon and the neighbouring coastal zone of the Adriatic Sea, with 6-h accumulated rainfall summing up to about 360 mm in the area between the Venetian mainland, Padua and Chioggia. The event was triggered and maintained by the uplift over a convergence line between northeasterly flow from the Alps and southeasterly winds from the Adriatic Sea. Hindcast modelling experiments, using standalone atmospheric models, failed to capture the spatial distribution, maximum intensity and timing of the HPE. Here we analyze the event by means of an atmosphere-wave-ocean coupled numerical approach. The combined use of convection permitting models with grid spacing of 1 km, high-resolution sea surface temperature (SST) fields, and the consistent treatment of marine boundary layer fluxes in all the numerical model components are crucial to provide a realistic simulation of the event. Inaccurate representations of the SST affect the wind magnitude and, through this, the intensity, location and time evolution of the convergence zone, thus affecting the HPE prediction. © 2021, The Author(s).</t>
  </si>
  <si>
    <t>2-s2.0-85105197983"</t>
  </si>
  <si>
    <t>10.1007/s41748-021-00246-1</t>
  </si>
  <si>
    <t>https://www.scopus.com/inward/record.uri?eid=2-s2.0-85113148168&amp;doi=10.1007%2fs41748-021-00246-1&amp;partnerID=40&amp;md5=5c88b324c811660ce579fe1dfbc157ff</t>
  </si>
  <si>
    <t>Global warming and the associated sea level rise is a major environmental issue at present time. The sea level rise is expected to change the demography of the coastal areas due to submergence of land area and thereby cause the migration of population to the inland areas. This paper presents a mathematical model to investigate the effect of global warming and the associated sea level rise on the dynamics of the coastal population. The proposed model is comprised of a set of differential equations which capture the dynamical relationship between seven variables, namely the mass of melting polar ice sheets and glaciers, the seawater level, the land area submerged due to increase in seawater level, the densities of the non-coastal and coastal populations, the carbon dioxide (CO 2) concentration, and the average surface temperature. The model is analyzed qualitatively to study the long-term behavior of the variables of the system. The sufficient conditions under which surface temperature, seawater level, and other model variables settle to the equilibrium levels are derived. The time evolution of surface temperature, seawater level, and coastal population is shown in different carbon dioxide emission scenarios. The sensitivity analysis is carried out to determine the effect of perturbations in the key parameters on the dynamics of the state variables. It is found that the changes in the parameters defining the emission and removal rates of CO 2, and the declination rate of carrying capacity of the coastal population due to an increase in submerged area, significantly influence the coastal population dynamics. The study suggests that the policies aiming to limit the impact of sea level rise on coastal population must focus on mitigation of carbon dioxide emissions. © 2021, King Abdulaziz University and Springer Nature Switzerland AG.</t>
  </si>
  <si>
    <t>2-s2.0-85113148168"</t>
  </si>
  <si>
    <t>10.1007/s12517-021-08610-1</t>
  </si>
  <si>
    <t>https://www.scopus.com/inward/record.uri?eid=2-s2.0-85118256735&amp;doi=10.1007%2fs12517-021-08610-1&amp;partnerID=40&amp;md5=30082e764c69d4f4f59b449a6edc072c</t>
  </si>
  <si>
    <t>Floods constitute one of the most devastating and destructive natural forces in the world. They have a considerable impact on the economy and can result in significant loss of life. Several strategies, including studies by advanced data analysis methods, have been adopted to curb this phenomenon and ultimately limit the accompanying damage. In this study, four supervised models based on machine learning (ML) algorithms were used to map flood vulnerability in the Souss watershed located in southern Morocco. They include random forest, x-gradient boost, k-nearest neighbors and artificial neural network. Thirteen predisposing factors including aspect, curvature, digital elevation model (DEM), distance to rivers, drainage density, flow accumulation, flow direction, geology, land use, rainfall, slope, soil type, and topographic wetness index (TWI) were selected as inputs to achieve this. Four different models were developed for each ML algorithm based on variable selection and one-hot encoding. Overall, all the models of the four algorithms have an AUC score above 80% for the testing data, which means that they all performed very well. The ranking of the ML algorithms used by considering only the most efficient model of each algorithm is as follows: KNN (98.6%), RF (98.1%), XGB (97.2%), and NNET (95.9%). Finally, all the models were overlaid to identify points of agreement or disagreement. This study provides evidence of ML models being successful in mapping flood vulnerability. These findings can be beneficial, serving as an important resource in mitigating the impacts of floods in the highlighted vulnerable areas presented in the flood vulnerability maps. © 2021, Saudi Society for Geosciences.</t>
  </si>
  <si>
    <t>2-s2.0-85118256735"</t>
  </si>
  <si>
    <t>10.1007/s13412-020-00642-5</t>
  </si>
  <si>
    <t>https://www.scopus.com/inward/record.uri?eid=2-s2.0-85096504748&amp;doi=10.1007%2fs13412-020-00642-5&amp;partnerID=40&amp;md5=49eb28a69988a90e1fc753e59a74d5e8</t>
  </si>
  <si>
    <t>Understanding public perceptions of sea level rise (SLR) is essential for effective risk communication in coastal areas. Using cross-sectional data from a representative survey of 1042 Louisiana residents, we measured the role of sociodemographic factors (age, gender, education, income, race, and political affiliation), contextual factors (distance to coast, geographic vulnerability, perceived extreme weather, home ownership, and presence of children in the household), media measures (local television, local newspaper, and satisfaction with media coverage), and perceived causes of coastal land loss (natural erosion from waves, hurricane activity, oil and gas industry activity, and U.S. Army Corps of Engineers activity) on SLR risk salience. Ordinal logistic analysis showed perceived extreme weather and geographic vulnerability to be strong and positive predictors of SLR risk salience. Implications for risk communication are discussed. © 2020, AESS.</t>
  </si>
  <si>
    <t>2-s2.0-85096504748"</t>
  </si>
  <si>
    <t>10.3390/rs13224695</t>
  </si>
  <si>
    <t>https://www.scopus.com/inward/record.uri?eid=2-s2.0-85119907216&amp;doi=10.3390%2frs13224695&amp;partnerID=40&amp;md5=399f868a3c6e82ce76d0e49757f234d8</t>
  </si>
  <si>
    <t>Due to the remote location and the extreme climate, monitoring stations in Arctic rivers such as Lena in Siberia have been decreasing through time. Every year, after a long harsh winter, the accumulated snow on the Lena watershed melts, leading to the major annual spring flood event causing heavy transport of sediments, organic carbon, and trace metals, both into as well as within the delta. This study aims to analyze the hydrodynamic processes of the spring flood taking place every year in the Lena Delta. Thus, a combination of remote sensing techniques and hydrodynamic modeling methodologies is used to overcome limitations caused by missing ground-truth data. As a test site for this feasibility study, the outlet of the Lena River to its delta was selected. Lena Delta is an extensive wetland spanning from northeast Siberia into the Arctic Ocean. Spaceborne Synthetic Aperture Radar (SAR) data of the TerraSAR-X/TanDEM-X satellite mission served as input for the hydrodynamic modeling software HEC-RAS. The model resulted in inundation areas, flood depths, and flow velocities. The model accuracy assessed by comparing the multi-temporal modeled inundation areas with the satellite-derived inundation areas ranged between 65 and 95%, with kappa coefficients ranging between 0.78 and 0.97, showing moderate to almost perfect levels of agreement between the two inundation boundaries. Modeling results of high flow discharges show a better agreement with the satellite-derived inundation areas compared to that of lower flow discharges. Overall, the remote-sensing-based hydrodynamic modeling succeeded in indicating the increase and decrease in the inundation areas, flood depths, and flow velocities during the annual flood events. © 2021 by the authors. Licensee MDPI, Basel, Switzerland.</t>
  </si>
  <si>
    <t>2-s2.0-85119907216"</t>
  </si>
  <si>
    <t>10.3390/rs13234759</t>
  </si>
  <si>
    <t>https://www.scopus.com/inward/record.uri?eid=2-s2.0-85120341824&amp;doi=10.3390%2frs13234759&amp;partnerID=40&amp;md5=f2a82ec231b375a79a672b9169ea3e07</t>
  </si>
  <si>
    <t>Deep learning is a promising method for image classification, including satellite images acquired by various sensors. However, the synergistic use of geospatial data for water body extraction from Sentinel-1 data using deep learning and the applicability of existing deep learning models have not been thoroughly tested for operational flood monitoring. Here, we present a novel water body extraction model based on a deep neural network that exploits Sentinel-1 data and flood-related geospatial datasets. For the model, the U-Net was customised and optimised to utilise Sentinel-1 data and other flood-related geospatial data, including digital elevation model (DEM), Slope, Aspect, Profile Curvature (PC), Topographic Wetness Index (TWI), Terrain Ruggedness Index (TRI), and Buffer for the Southeast Asia region. Testing and validation of the water body extraction model was applied to three Sentinel-1 images for Vietnam, Myanmar, and Bangladesh. By segmenting 384 Sentinel-1 images, model performance and segmentation accuracy for all of the 128 cases that the combination of stacked layers had determined were evaluated following the types of combined input layers. Of the 128 cases, 31 cases showed improvement in Overall Accuracy (OA), and 19 cases showed improvement in both averaged intersection over union (IOU) and F1 score for the three Sentinel-1 images segmented for water body extraction. The averaged OA, IOU, and F1 scores of the ‘Sentinel-1 VV’ band are 95.77, 80.35, and 88.85, respectively, whereas those of ‘band combination VV, Slope, PC, and TRI’ are 96.73, 85.42, and 92.08, showing improvement by exploiting geospatial data. Such improvement was further verified with water body extraction results for the Chindwin river basin, and quantitative analysis of ‘band combination VV, Slope, PC, and TRI’ showed an improvement of the F1 score by 7.68 percent compared to the segmentation output of the ‘Sentinel-1 VV’ band. Through this research, it was demonstrated that the accuracy of deep learning-based water body extraction from Sentinel-1 images can be improved up to 7.68 percent by employing geospatial data. To the best of our knowledge, this is the first work of research that demonstrates the synergistic use of geospatial data in deep learning-based water body extraction over wide areas. It is anticipated that the results of this research could be a valuable reference when deep neural networks are applied for satellite image segmentation for operational flood monitoring and when geospatial layers are employed to improve the accuracy of deep learning-based image segmentation. © 2021 by the authors. Licensee MDPI, Basel, Switzerland.</t>
  </si>
  <si>
    <t>2-s2.0-85120341824"</t>
  </si>
  <si>
    <t>10.1007/s00024-020-02616-8</t>
  </si>
  <si>
    <t>https://www.scopus.com/inward/record.uri?eid=2-s2.0-85095938566&amp;doi=10.1007%2fs00024-020-02616-8&amp;partnerID=40&amp;md5=d213f8cd5aa2b1ef890156342fff421a</t>
  </si>
  <si>
    <t>On June 23, 2001 at 15:33 local time (20:33 UTC), a strong earthquake of magnitude Mw 8.2 shook the southern region of Peru, causing considerable material damage and the loss of 74 human lives. The epicenter was located in the sea near the city of Atico (Arequipa). As a coseismic effect, a local tsunami was generated, which after 15 min, caused the flood and destruction of the beach resorts of Camana and resulted in the death of 25 people and 62 missing persons. Another coseismic effect was the subsidence of the coastal zones in the source region, evidenced by geodetic observations. We have conducted a joint inversion of tsunami and geodetic data with a fault plane of variable dip to obtain the slip distribution. The main asperity (slip = 12.6 m) was located offshore Camana, this explains the great damage in this city. The seismic moment was calculated in 2.72 × 10 21 Nm and the corresponding moment magnitude was Mw 8.2. The subfaults near the trench have a null slip, therefore there is a high potential for the generation of a tsunamigenic earthquake in the updip of the fault plane near the trench. © 2020, Springer Nature Switzerland AG.</t>
  </si>
  <si>
    <t>2-s2.0-85095938566"</t>
  </si>
  <si>
    <t>10.3389/fenvs.2021.764218</t>
  </si>
  <si>
    <t>https://www.scopus.com/inward/record.uri?eid=2-s2.0-85120481383&amp;doi=10.3389%2ffenvs.2021.764218&amp;partnerID=40&amp;md5=71c831c7164301441663c225ee5f5286</t>
  </si>
  <si>
    <t>Estuaries host unique biodiversity and deliver a range of ecosystem services at the interface between catchment and the ocean. They are also among the most degraded ecosystems on Earth. Freshwater flow regimes drive ecological processes contributing to their biodiversity and economic value, but have been modified extensively in many systems by upstream water use. Knowledge of freshwater flow requirements for estuaries (environmental flows or E-flows) lags behind that of rivers and their floodplains. Generalising estuarine E-flows is further complicated by responses that appear to be specific to each system. Here we critically review the E-flow requirements of estuaries to 1) identify the key ecosystem processes (hydrodynamics, salinity regulation, sediment dynamics, nutrient cycling and trophic transfer, and connectivity) modulated by freshwater flow regimes, 2) identify key drivers (rainfall, runoff, temperature, sea level rise and direct anthropogenic) that generate changes to the magnitude, quality and timing of flows, and 3) propose mitigation strategies (e.g., modification of dam operations and habitat restoration) to buffer against the risks of altered freshwater flows and build resilience to direct and indirect anthropogenic disturbances. These strategies support re-establishment of the natural characteristics of freshwater flow regimes which are foundational to healthy estuarine ecosystems. Copyright © 2021 Chilton, Hamilton, Nagelkerken, Cook, Hipsey, Reid, Sheaves, Waltham and Brookes.</t>
  </si>
  <si>
    <t>2-s2.0-85120481383"</t>
  </si>
  <si>
    <t>10.1038/s43017-021-00213-4</t>
  </si>
  <si>
    <t>https://www.scopus.com/inward/record.uri?eid=2-s2.0-85116373581&amp;doi=10.1038%2fs43017-021-00213-4&amp;partnerID=40&amp;md5=f02c83e76a9a4237af7e8b7f8010db84</t>
  </si>
  <si>
    <t>More than 70% of large deltas are under threat from rising sea levels, subsidence and anthropogenic interferences, including the Ganges–Brahmaputra–Meghna (GBM) delta, the Earth’s largest and most populous delta system. The dynamic geomorphology of this delta is often overlooked in assessments of its vulnerability; consequently, development plans and previous management investments have been undermined by unanticipated geomorphic responses. In this Review, we describe GBM delta dynamics, examining these changes through the Drivers–Pressures–States–Impacts–Responses framework. Since the early Holocene, the GBM delta has evolved in response to a combination of tectonics, geology, changing river discharge and sea level rise, but the dynamics observed today are driven by a complex interplay of anthropogenic interferences and natural background processes. Contemporary geomorphic processes such as shoreline change, channel migration, sedimentation and subsidence can increase flooding and erosion, impacting biodiversity, ground and water contamination and local community livelihoods. Continued human disturbances to the GBM delta, such as curtailing sediment supplies, modifying channels and changing land use, could have a more direct influence on the future geomorphic balance of the delta than anthropogenic climate change and sea level rise. In order to contribute to long-term delta sustainability, adaptation responses must therefore be informed by an understanding of geomorphic processes, requiring increased transdisciplinary research on future delta dynamics at centennial timescales and collaboration across all governing bodies and stakeholders.</t>
  </si>
  <si>
    <t>10.1016/j.heliyon.2021.e08330</t>
  </si>
  <si>
    <t>https://www.scopus.com/inward/record.uri?eid=2-s2.0-85118942262&amp;doi=10.1016%2fj.heliyon.2021.e08330&amp;partnerID=40&amp;md5=0ee09a590c1a8f0c047ec4259166f1db</t>
  </si>
  <si>
    <t>Coastline alterations severely impact the socio-economic conditions of populations living in coastal regions. Climate changes, together with land subsidence considerations, have increased recently according to high-accuracy fixed tide gauges and land subsidence sensors. In addition, networks of measurement devices are spread throughout the oceans, seas, and coastal areas to capture ongoing changes and to predict future impacts. However, some of these devices still require the in-situ extraction of data for postprocessing. This increases the cost, wastes time, and increases the probability of human errors leading to inaccurate results. This study presents a developed approach to remotely access the Trimble NetR9 GPS receiver device that is fixed at the Coastal Research Institute station in the city of Rosetta in Egypt. This will ease the remote retrieval of the station data for its processing and interpretation. © 2021 The Authors</t>
  </si>
  <si>
    <t>2-s2.0-85118942262"</t>
  </si>
  <si>
    <t>10.1007/s11069-021-04895-3</t>
  </si>
  <si>
    <t>https://www.scopus.com/inward/record.uri?eid=2-s2.0-85110441244&amp;doi=10.1007%2fs11069-021-04895-3&amp;partnerID=40&amp;md5=8e0785a0367e5f15503d1265ba3d9f05</t>
  </si>
  <si>
    <t>We report here a four decades of shoreline changes and possible sea level rise (SLR) impact on land use/land cover (LULC) in Little Andaman Island by using remote sensing (RS) and Geographic Information System (GIS) techniques. A total of six remote sensing data sets covering years between 1976 and 2018 were used to understand the shoreline changes. Moreover, a Digital Shoreline Analysis System (DSAS) was used to estimate short- and long-term shoreline changes from ArcGIS environment. Besides, the island vulnerability due to SLR was studied through using digital elevation model (DEM). As a result of Sumatra earthquake (2004), the results were showed a significant variation in shoreline upliftment and subsidence. The land subsidence was noticed in the range of 1042–3077 ha with sea level rise between 1 and 5 m. Hence, we conclude that Little Andaman Island is vulnerable to SLR and overwhelm low-elevation coastal zone. © 2021, The Author(s), under exclusive licence to Springer Nature B.V.</t>
  </si>
  <si>
    <t>2-s2.0-85110441244"</t>
  </si>
  <si>
    <t>10.1007/s10584-021-03282-y</t>
  </si>
  <si>
    <t>https://www.scopus.com/inward/record.uri?eid=2-s2.0-85120914616&amp;doi=10.1007%2fs10584-021-03282-y&amp;partnerID=40&amp;md5=fe81bc7aacd3a497c97a9af73f6a3cc7</t>
  </si>
  <si>
    <t>Climate change poses significant challenges and impacts to coastal communities. In order to limit future coastal flood risk, adaptation is necessary. This study presents an integrated model to simulate storm surge inundation risk in Osaka Bay under climate change and provide a cost–benefit analysis of structure adaptation strategies to reduce risk. The results show that storm surge inundation risk will increase dramatically as combined impacts of sea level rise and intensified storm surges due to global warming. Without adaptation measures, the expected annual damage cost increases from 9.85 billion JPY to 69.17 billion JPY in Osaka Bay under the projected RCP8.5 scenario to 2100. We then explore the effectiveness of structural adaptation strategies. The results indicate that raising the height of existing dikes can reduce inundation risk effectively. The benefits and costs depend on the elevated height and the discount rate. Using cost–benefit analysis, we find that upgrading by 1 m the height of existing dikes is the most cost-effective strategy for Osaka Bay. The methodology developed in this paper provides a reference for Osaka Bay and other coastal regions when they make coastal flood risk management and adaptation strategies to respond to climate change. © 2021, The Author(s), under exclusive licence to Springer Nature B.V.</t>
  </si>
  <si>
    <t>2-s2.0-85120914616"</t>
  </si>
  <si>
    <t>10.2166/wcc.2021.202</t>
  </si>
  <si>
    <t>https://www.scopus.com/inward/record.uri?eid=2-s2.0-85120946213&amp;doi=10.2166%2fwcc.2021.202&amp;partnerID=40&amp;md5=720bca49e54d34f820fb4c8f27f72078</t>
  </si>
  <si>
    <t>Sea level rise is a worldwide concern as a high percentage of the population is located in coastal areas. The focus of this study is the impact of sea level rise in the Guadiana Estuary, an estuary in the Iberian Peninsula formed at the interface of the Guadiana River and the Gulf of Cadiz. Estuaries will be impacted by sea level rise as these transitional environments host highly diverse and complex marine ecosystems. The major consequences of sea level rise are the intrusion of salt from the sea into fresh water and an increase in flooding area. As the physical, chemical, and biological components of estuaries are sensitive to changes in salinity, the purpose of this study is to further evaluate salt intrusion in the Guadiana Estuary caused by sea level rise. Hydrodynamics of the Guadiana Estuary were simulated in a two-dimensional numerical model with the MOHID water modeling system. A previously developed hydrodynamic model was implemented to further examine changes in salinity distribution in the estuary in response to sea level rise. Varying tidal amplitudes, freshwater discharge from the Guadiana River and bathymetries of the estuary were incorporated in the model to fully evaluate the impacts of sea level rise on salinity distribution and flooding areas of the estuary. Results show an overall increase in salinity and land inundation in the estuary in response to sea level rise. © 2021 The Authors.</t>
  </si>
  <si>
    <t>2-s2.0-85120946213"</t>
  </si>
  <si>
    <t>10.1016/j.gloenvcha.2021.102370</t>
  </si>
  <si>
    <t>https://www.scopus.com/inward/record.uri?eid=2-s2.0-85117162805&amp;doi=10.1016%2fj.gloenvcha.2021.102370&amp;partnerID=40&amp;md5=8b4c6fb648d33357492c89ef35da8f29</t>
  </si>
  <si>
    <t>Global wetlands and floodplains offer benefits and perils alike for human society. For example, humans rely on natural flood cycles for fisheries and agriculture, yet flooding also caused nearly one trillion USD in damage in the past 30 years and impacts millions of people every year. Looking forward, altered flow regimes or increased drought conditions are expected to affect the natural inundation cycle and its ecosystem services. The current and potential future impacts of flooding and drying events warrant increasing efforts to quantify our dependence and exposure within flooded areas, since any change from current inundation patterns is expected to have consequences for those who rely on regular flood occurrences. This paper provides a baseline global assessment of the dependence and exposure of human populations, urban areas, roads, and agriculture on current inundation patterns. The analysis uses a spatially explicit inundation map at ∼500 m resolution (GIEMS-D15) derived from satellite remote sensing to represent flooding extents and overlays it with current population and land use maps. We find that 35% of the analyzed population, or 2.0 billion people, live inside areas that are prone to inland flooding, which comprise only 12% of the land surface area (excluding marine coastal areas), confirming that population densities within inundation zones are about three-times above global average. Likewise, 35% of urban areas potentially experience regular, seasonal, or infrequent flooding. Agriculture shows a similar pattern with 24% of the world's cropland in areas of recurring inundation. Finally, we estimate that 18% of the global road network is exposed to inundation during high water periods. These global estimates demonstrate a preferential tendency of human populations, infrastructure, and agriculture to be co-located within inundation areas, making related anthropogenic activities highly susceptible to future changes in flood regimes. The results are intended to offer a suite of first-order estimates as partial input to more holistic risk and vulnerability assessments and to ultimately improve environmental planning and policy at large scales. © 2021 Elsevier Ltd</t>
  </si>
  <si>
    <t>2-s2.0-85117162805"</t>
  </si>
  <si>
    <t>10.1016/j.scitotenv.2021.148651</t>
  </si>
  <si>
    <t>https://www.scopus.com/inward/record.uri?eid=2-s2.0-85109197939&amp;doi=10.1016%2fj.scitotenv.2021.148651&amp;partnerID=40&amp;md5=b1442945fc50d38367dbb68e4f946c30</t>
  </si>
  <si>
    <t>Once a key factor behind Vietnam's successful Doi Moi (restoration) economic reforms, the rice-centered agriculture of the VMD is now confronted by the new pressure of climate change impacts, including the intensifying salinity intrusion (SI). The SI menace has partly triggered the delta-wide emergence of new adaptive livelihood models across the VMD, including the prawn rice rotational crop (PRRC) that is arguably the most prominent. Research on the SI-driving factors is rapidly increasing in numbers, yet little synthesis has been done. Likewise, several studies have investigated the economic benefits of PRRC</t>
  </si>
  <si>
    <t>10.1007/s00024-021-02734-x</t>
  </si>
  <si>
    <t>https://www.scopus.com/inward/record.uri?eid=2-s2.0-85105289542&amp;doi=10.1007%2fs00024-021-02734-x&amp;partnerID=40&amp;md5=a24514033a070cc6cb6187b8f9f42d27</t>
  </si>
  <si>
    <t>The 16 September 2015 MW8.3 Illapel Earthquake generated a tsunami that caused severe building and infrastructure damage in Coquimbo, Chile. Initial reports indicated numerous buildings, transport, energy, water and coastal protection structures sustained varying levels of damage in response to tsunami exposure. A digital ‘census style’ survey was carried out in Coquimbo to measure and record tsunami hazard characteristics and associated buildings and infrastructure network component damage. Flow depths measured from 655 watermarks ranged from 0.1 to 4.7 m, with a 1.47 m mean and 1.02 m standard deviation. Over 3000 damage samples were recorded for tsunami exposed buildings and infrastructure components. Damage levels for 545 buildings showed most sustained partial but repairable damage at tsunami flow depths up to 2 m. A further 2544 damage samples were collected for transport, energy, water infrastructure network components and coastal protection structures. We observed undamaged infrastructure components in high proportions and observed that complete component damage was often caused by secondary hazards (e.g. debris) or cascading impacts where seawall and stormwater culvert failures damaged co-located roads, pathways and utility poles. Future investigations of the hydrodynamic tsunami characteristics influencing infrastructure component fragility will support the analysis of physical damage to single components and cascading impacts across multiple infrastructure networks. © 2021, The Author(s), under exclusive licence to Springer Nature Switzerland AG.</t>
  </si>
  <si>
    <t>2-s2.0-85105289542"</t>
  </si>
  <si>
    <t>Vanderbilt Law Review</t>
  </si>
  <si>
    <t>https://www.scopus.com/inward/record.uri?eid=2-s2.0-85129312904&amp;partnerID=40&amp;md5=4fbf4a7677febad68e4cb712acea4df8</t>
  </si>
  <si>
    <t>Climate change and sea level rise threaten to increase the default risk of mortgages on homes in coastal areas. Faced with this reality, small coastal lenders have begun selling more climate-sensitive mortgages to Fannie Mae and Freddie Mac, thereby transferring the risk of climate-induced default off the lenders' books. Fannie Mae and Freddie Mac play a crucial role in supporting America's mortgage finance system by purchasing qualifying private home loans, packaging them into investable security pools, and guaranteeing timely payment of principal and interest to outside investors. Through selling mortgages to Fannie Mae and Freddie Mac, lenders can use their increased liquidity to fund additional mortgages. The effectiveness of this process, however, is dependent on Fannie Mae and Freddie Mac accepting high-quality loans that carry minimal risks of default. This Note argues that absent some form of intervention, small coastal lenders will likely continue offloading their climate-induced default risk until Fannie Mae and Freddie Mac become so overleveraged that they can no longer ensure a functioning secondary mortgage market and taxpayers are forced to bail them out-akin to the 2008 financial crisis. Further, this Note seeks to frame such harmful lending behavior as a general market failure, and, more specifically, as a variation of the Lemons Problem. Using familiar solutions to the Lemons Problem as guideposts, this Note attempts to curtail the asymmetrical offloading of climate-sensitive loans through a mixture of public and private mechanisms aimed at improving the ability of Fannie Mae and Freddie Mac to incorporate climate risks into loan purchasing decisions. © 2021 Vanderbilt Law Review. All rights reserved.</t>
  </si>
  <si>
    <t>2-s2.0-85129312904"</t>
  </si>
  <si>
    <t>10.1016/j.ejrs.2021.11.008</t>
  </si>
  <si>
    <t>https://www.scopus.com/inward/record.uri?eid=2-s2.0-85120442183&amp;doi=10.1016%2fj.ejrs.2021.11.008&amp;partnerID=40&amp;md5=d053731f50bf6b208f15cac6ef0b3ea7</t>
  </si>
  <si>
    <t>Wadi Naghamish is located at a distance of 20 km east of Matrouh City. It occupies an area of about 9000 ha. Wadi Naghamish suffers from seasonal floods that can remove the surface layers, cut off the natural cover, destroy the infrastructures, and cause many natural disasters as well as cause a great economic loss. The study aimed at evaluating soil erosion in Wadi Naghamish, Northwest Coast of Egypt using Revised Universal Soil Loss Equation (RUSLE) based integration soil chemical, physical properties, and topographic factors. Geomorphological units of Wadi Naghamish were identified based on the integration of sentinel 2 image and Digital Elevation Model (DEM). The Geomorphological units were classified into: Tableland 77%, Escarpment 1.3%, Basin 2.1%, Alluvial terraces 5.6%, Wadi 8.98%. Sandy beach 0.03% of the total area. The results indicated that soil erosion values were associated with the geomorphic feature of the study area where, the highest values were observed in Tableland unit, where it has average soil erosion ranging between 0.42 ± 0.21 to 55 ± 39 t h−1 y−1. Meanwhile the lowest values were observed in Wadi, alluvial terraces and Basin where, the overall average of soil erosion were 0.41 ± 0.23, 0.26 ± 0.09 and 0.19 ± 0.13 t h−1 y−1 sequentially. The highest values were found in the sloping areas where slope length value reaches 2.8 and the erodibility values ringing between 0.3 and 0.5 Mg h MJ−1 mm−1. Therefore, the study emphasized the importance of relying on scientific study in preparing an appropriate management plan including a suitable potential crop system, increasing the organic matter, and implementing a no-till or direct sowing system to preserve the soil from erosion. © 2021 National Authority of Remote Sensing &amp; Space Science</t>
  </si>
  <si>
    <t>2-s2.0-85120442183"</t>
  </si>
  <si>
    <t>Rivista Italiana di Paleontologia e Stratigrafia</t>
  </si>
  <si>
    <t>10.13130/2039-4942/16620</t>
  </si>
  <si>
    <t>https://www.scopus.com/inward/record.uri?eid=2-s2.0-85120313290&amp;doi=10.13130%2f2039-4942%2f16620&amp;partnerID=40&amp;md5=e03654293188c5becf377910597e65a8</t>
  </si>
  <si>
    <t>the depocenters of epicontinental basins usually comprise relatively continuous depositional records, and these can be used in the determination of sediment routing and paleogeographic changes via a set of various geophysical, sedimentological, biostratigraphic and geochronological approaches. although the margins of such basins will have a major role as constraints for that sediment routing, their depositional records are typically scarce and incomplete, posing a common challenge in terms of gaining information about them. the present study focuses on the upper Miocene succession present in the Malé Karpaty Mts., a pre-cenozoic horst dividing the vienna and Danube basins (central Europe). The data gained by facies analysis, biostratigraphy, shallow seismic survey, authigenic 10Be/9Be dating and correlation of archival borehole profiles reveals, that the succession under consideration represents a record of the lake Pannon transgression, which appeared in the study area at ~10.9–10.6 ma. The subaerially exposed granitic massif and middle miocene successions sourced a shoal water delta, which intercalated with wave-induced dunes and open lacustrine muds in brackish sublittoral to marginal littoral environments. the granitic massif was probably also exposed later, during the regression of lake Pannon at ~10.2–10.0 ma, as a result of the progradation of the paleo-Danube delta from the vienna Basin southeastwards. The depositional record of the regressive sequence was documented and dated in well-cores from the nearby Danube Basin margin. The documented scenario of transgression preceding the overall regression of the paleo-danube delta system by a relatively short period is characteristic of several other localities across the Pannonian Basin system, and may imply that the progradation of depositional system caused a base-level rise on account of sediment loading-induced subsidence. © 2021 Universita degli Studi di Milano. All rights reserved.</t>
  </si>
  <si>
    <t>2-s2.0-85120313290"</t>
  </si>
  <si>
    <t>10.1186/s40645-020-00398-0</t>
  </si>
  <si>
    <t>https://www.scopus.com/inward/record.uri?eid=2-s2.0-85098724139&amp;doi=10.1186%2fs40645-020-00398-0&amp;partnerID=40&amp;md5=a1dbc0eb8d3836b3d7c0c16fe7685b47</t>
  </si>
  <si>
    <t>This study aims to create a terrain classification of Japan that allows both geomorphological and geoengineering classifications coexist without large contradictions and to distinguish landform elements even in urban plains which include noise associated with digital elevation models (DEMs). Because Japan is susceptible to natural disasters, we designed the classification to reflect the ground vulnerability of both alluvial plains and mountains through the application of terrain classification data to landslide susceptibility and seismic zoning. We updated an existing DEM-based terrain classification method for application in the high-resolution 30 m DEM. We used topographic measurements that do not amplify manmade unevenness or noise, which are usually the main problems associated with the use of high-resolution DEMs with high vertical accuracies. We selected the height above the nearest drainage (HAND), slope gradient, surface texture, and local convexity as geometric signatures, which were devised so as not to detect noise. Segment polygon data of terrain units were derived from the raster data of slope and HAND. The polygon data were classified into 40 clusters using the attributes of slope, HAND, and surface texture</t>
  </si>
  <si>
    <t>10.2112/JCOASTRES-D-20-00174.1</t>
  </si>
  <si>
    <t>https://www.scopus.com/inward/record.uri?eid=2-s2.0-85118968781&amp;doi=10.2112%2fJCOASTRES-D-20-00174.1&amp;partnerID=40&amp;md5=bed77ebfa44edadc4b7fa0dd6a4f3a13</t>
  </si>
  <si>
    <t>Sandy beaches are valued for various ecosystem services but are increasingly imperiled by anthropogenic stressors. Sea-level rise (SLR), reductions to sand supply, hardening the position of the coastline, and the prevalence of human development along California’s coast combine to reduce the fundamental dynamism critical to the resilience of California’s beaches. If California continues with business as usual, many of its beaches will erode and eventually disappear. Coastal jurisdictions in California are planning for SLR. However, these coastal managers lack a
standardized regional assessment tool that compiles information on the current and likely future condition of sandy beaches. Without such a tool, these managers have limited ability to analyze the integrated impacts of historic decisions or future alternative management scenarios upon beach morphology, ecological functioning, economics, and social utility. This paper presents a study of the Beach Sustainability Assessment (BSA) decision support tool applied to 17 beaches spanning Santa Barbara, Ventura, and Los Angeles counties. In addition to scoring and grading
geomorphological, ecological functioning, and social utility components, the BSA provides a single, overall grade for each beach. To demonstrate the utility of the BSA, a scenario with 1 m of SLR and a 100-year storm was simulated to assess the changes to the overall grade and component grades. The BSA offers a cost-effective, standardized protocol to monitor the condition of California’s sandy beach ecosystems. The metrics support spatial and temporal comparisons on a regional scale, giving coastal managers and stakeholders the ability to assess real trade-offs among management solutions. Current BSA indices indicate that beaches in the Southern California Bight study area are already struggling,
with most urban beaches receiving Cs and Ds for ecological functioning. The SLR stressor test indicates that ecological functioning and social utility will continue to decline with increasing sea levels.</t>
  </si>
  <si>
    <t>10.1016/j.cities.2021.103369</t>
  </si>
  <si>
    <t>https://www.scopus.com/inward/record.uri?eid=2-s2.0-85111310309&amp;doi=10.1016%2fj.cities.2021.103369&amp;partnerID=40&amp;md5=37026b95494fb4979761ce4652097fd6</t>
  </si>
  <si>
    <t>Climate vulnerability assessments of coastal cities rarely include groundwater flooding induced by sea level rise. Unlike surface flooding from tides or storm surge, groundwater flooding is not prevented by seawalls. In cities where the underlying geology is relatively impermeable, groundwater can be drained and pumped over floodwalls as a defensive measure, as is done in the Netherlands. In areas where the underlying geology is highly permeable, managed retreat may be the only practical option. Considering the impacts of groundwater flooding is essential to improving urban vulnerability assessments and formulating realistic resilience strategies. © 2021 Elsevier Ltd</t>
  </si>
  <si>
    <t>2-s2.0-85111310309"</t>
  </si>
  <si>
    <t>10.1016/j.envc.2021.100233</t>
  </si>
  <si>
    <t>https://www.scopus.com/inward/record.uri?eid=2-s2.0-85112365084&amp;doi=10.1016%2fj.envc.2021.100233&amp;partnerID=40&amp;md5=9e3e90f94e0b12a5e18613e75842f5c3</t>
  </si>
  <si>
    <t>In Brazil, since 2013 the Southeast region has been dealing with recurrent hydric stress resulted from the prolongation of the dry season, whose tendency is to be more dramatic in the function of climate change. The situation is more critical in some areas, including Cordeirópolis, projecting a reduction of 50%–100% in water availability in the next 15 years, demanding urgency in water availability-use balance. Considering the significant presence of small Geographic Isolated Wetlands (GIW) in the region, it is crucial the recognition of the link between wetlands and hydrology in the catchment since these ecosystems store rainwater and can act as aquifer recharger zones. The objective of this study is to evaluate the effectiveness of non-invasive methods, such as UAV-mapping and DC resistivity, and low-invasive (in situ hydraulic conductivity) to unveil the hydrological ecosystem services of a GIW in terms of surface and groundwater. From the high-resolution orthomosaic and digital elevation model, three compartments were qualified and quantified</t>
  </si>
  <si>
    <t>10.1111/1365-2664.13977</t>
  </si>
  <si>
    <t>https://www.scopus.com/inward/record.uri?eid=2-s2.0-85111692152&amp;doi=10.1111%2f1365-2664.13977&amp;partnerID=40&amp;md5=9e3743b1ea7a4c317f8e496dda8ae01c</t>
  </si>
  <si>
    <t>Human interventions have had unintended consequences for the diverse functions of various ecosystems. Hydrological interventions have the potential to alter vegetated habitats in coastal nearshore ecosystems, but little is known about the impacts on organic carbon (Corg) sequestration, which plays an important role in climate change mitigation. We examined the effects of past human interventions through artificial inlet opening in a lagoonal seagrass meadow. The sediment profiles of geological and biogeochemical characteristics were measured to obtain the historical changes in the lagoon environment and Corg accumulation rates. Isotopic and elemental signatures and diatom assemblages showed that the interventions increased the duration of seawater exchanges and the extent of the seagrass meadow. Corg accumulation rates increased more than 1.9-fold after the intervention, resulting in additional Corg storage in the seagrass meadow during last 64 years. Synthesis and applications. Artificial opening of tidal inlet can potentially provide unintended ecological benefits, such as increased carbon sequestration in seagrass meadows. Hydrological interventions could be undertaken intentionally as a potential active intervention to sequester carbon, as well as control flood risk and provide other benefits to people in estuarine systems. Our results illustrate that physical factors such as improving salinity conditions and mineral particle supply have an impact on the feasibility of hydrological interventions for enhancing carbon sequestration. We propose that biogeochemical–physical coupled approach will help stakeholders to evaluate the ecological and social risks and synergies of implementing hydrological interventions. © 2021 The Authors. Journal of Applied Ecology published by John Wiley &amp; Sons Ltd on behalf of British Ecological Society</t>
  </si>
  <si>
    <t>2-s2.0-85111692152"</t>
  </si>
  <si>
    <t>10.1016/j.jag.2021.102413</t>
  </si>
  <si>
    <t>https://www.scopus.com/inward/record.uri?eid=2-s2.0-85118836888&amp;doi=10.1016%2fj.jag.2021.102413&amp;partnerID=40&amp;md5=e74615a40de18da716a3b0330ff8c285</t>
  </si>
  <si>
    <t>Human settlements are guided by the proximity or availability of a natural resource such as river or lake basins containing set of streams. The harmonious development of human activity and natural conditions along watershed areas needs close attention and in-depth study. In this paper, the urban agglomerations and ecological spaces in the Yangtze River Delta, China, the Chao Lake Basin and its surrounding watershed ecosystem is taken as research subject for its serious environmental degradation problems during social and economic development. This paper adopted an effective machine learning algorithm (kernel-ELM) to extract land use and land /cover information, and to analyze the land use/cover pattern evolution rules of the Chao Lake Basin with long term Landsat imagery. Subsequent studies were then carried out to demonstrate the flood-affected area and its ecological impact in the basin in 2020, to reveal the occupation on land cover types. The results indicate Conclusions are drawn from the experiment results: (1) There has been significant change in cultivated land, forest land and construction land out of six key land cover types with dynamic degree of −10.17%, 4.61, 67.04% respectively. (2) Algae bloom pollution was extracted from pattern classification results and it was up to 15% of the total water area by the year 2018. (3) The occupation on land use/cover types of the flood was revealed. The results prove effective application of remote sensing technology in environmental analysis and planning for data-driven evaluation of governing policy. This work serves as a scientific basis for environmental management and regional planning in the Chao Lake Basin and can be served as a basis and a reference for evaluating an ecological policy and its impact for other economic developing watershed human settlements with ecological issues. © 2021 The Author(s)</t>
  </si>
  <si>
    <t>2-s2.0-85118836888"</t>
  </si>
  <si>
    <t>10.1016/j.geomorph.2021.107913</t>
  </si>
  <si>
    <t>https://www.scopus.com/inward/record.uri?eid=2-s2.0-85114737300&amp;doi=10.1016%2fj.geomorph.2021.107913&amp;partnerID=40&amp;md5=5405351febbb5bb071e0ac4366f9079c</t>
  </si>
  <si>
    <t>Connecting geologically mapped data to numerical modelling can help in understanding river landscape evolution. This study focuses on flood-induced breaching of the coversand ridge in the IJssel valley floodplain (Rhine delta, the Netherlands). The development of the breach would explain why this river branch came into existence in early medieval times. Prior to the breaching, the coversand ridge formed a barrier for the Rhine River to discharge towards the north. A palaeoflood model was coupled to a local sediment transport model to predict sediment transport rates in two competing coversand ridge breaches. The results show that the breach at the current IJssel River location was expected to expand earlier and faster in time for various upstream discharge waves and initial breach dimensions. This provides quantitative argumentation for the IJssel river avulsion case to have been triggered by the breaching of the coversand ridge during a large palaeoflood. © 2021 The Authors</t>
  </si>
  <si>
    <t>2-s2.0-85114737300"</t>
  </si>
  <si>
    <t>10.1016/j.ecoleng.2021.106320</t>
  </si>
  <si>
    <t>https://www.scopus.com/inward/record.uri?eid=2-s2.0-85108448319&amp;doi=10.1016%2fj.ecoleng.2021.106320&amp;partnerID=40&amp;md5=271f612a47c0373a49a2a0a427f030a5</t>
  </si>
  <si>
    <t>Coastal areas are especially vulnerable to habitat loss, sea-level rise, and other climate change effects. Oyster-dominated eco-engineered reefs have been promoted as integral components of engineered habitats enhancing coastal resilience through provision of numerous ecological, morphological, and socio-economic services. However, the assessed ‘success’ of these eco-engineered oyster reefs remains variable across projects and locations, with their general efficacy in promoting coastal resilience, along with related services, often mixed at best. Understanding factors influencing the success of these eco-engineered habitats as valuable coastal management tools could greatly inform related future efforts. Here, we review past studies incorporating reef-building oysters for coastal resilience and enhanced ecosystem services. Our aims are to better understand their utility and limitations, along with critical knowledge gaps to better advance future applicability. Success depends largely on site selection, informed by physical, chemical and biological factors, and adjacent habitats and bottom types. Better understanding of oyster metapopulation dynamics, tolerance and adaptation to changing conditions, and interactions with adjacent habitats will help to better identify suitable locations, and design more effective eco-engineered reefs. These eco-engineered reefs provide a useful tool to assist in developing coastal resilience in the face of climate change and sea level rise. © 2021 Elsevier B.V.</t>
  </si>
  <si>
    <t>2-s2.0-85108448319"</t>
  </si>
  <si>
    <t>10.1016/j.ejrh.2021.100948</t>
  </si>
  <si>
    <t>https://www.scopus.com/inward/record.uri?eid=2-s2.0-85117571150&amp;doi=10.1016%2fj.ejrh.2021.100948&amp;partnerID=40&amp;md5=7aefff32ae75ae5c252667223f25e17c</t>
  </si>
  <si>
    <t>Study region: The Peace-Athabasca Delta, a Ramsar Wetland of International Importance in northeastern Alberta, is protected within Wood Buffalo National Park and contributes to its UNESCO World Heritage status yet is threatened by climate change and upstream energy projects. Study focus: Recent drawdown of the delta's abundant shallow lakes and rivers has deteriorated vital habitat for wildlife and impaired navigation routes. Here, we report continuous measurements at ~50 lakes during open-water seasons of 2018 and 2019 to improve understanding of hydrological processes causing lake-level variation. New hydrological insights for the region: Analyses reveal four patterns of lake-level variation attributable to influential hydrological processes, which provide the basis for a new lake classification scheme: 1) ‘Drawdown’ (≥15 cm decline) by evaporation and/or outflow after ice-jam floods, 2) ‘Stable’ lake levels (&lt;15 cm change) sustained by rainfall, 3) ‘Gradual Rise’ by inundation from the open-drainage network, and 4) ‘Rapid Rise’ by input of river floodwater. River flooding during the open-water season is an under-recognized recharge mechanism yet occurred extensively in the Athabasca sector and appears to be a common occurrence based on the Athabasca River hydrometric record. Lake-level loggers show strong ability to track shifts in hydrological processes, and can be integrated with other methods to decipher their causes and ecological consequences across water-rich landscapes. © 2021 The Authors</t>
  </si>
  <si>
    <t>2-s2.0-85117571150"</t>
  </si>
  <si>
    <t>10.1016/j.oneear.2021.09.016</t>
  </si>
  <si>
    <t>https://www.scopus.com/inward/record.uri?eid=2-s2.0-85120804920&amp;doi=10.1016%2fj.oneear.2021.09.016&amp;partnerID=40&amp;md5=917d633e90b4e667bd52863029199663</t>
  </si>
  <si>
    <t>Worldwide, a cocktail of climate change, urbanization, and population growth is increasing the vulnerability of coastal communities to flood risk. Recent experience in urban flood management from China's Greater Bay Area shows that building “prevention” and “preparedness” into urban development plans is essential for climate adaptation and resilience. © 2021 Elsevier Inc.</t>
  </si>
  <si>
    <t>2-s2.0-85120804920"</t>
  </si>
  <si>
    <t>10.1016/j.oneear.2021.09.004</t>
  </si>
  <si>
    <t>https://www.scopus.com/inward/record.uri?eid=2-s2.0-85123251829&amp;doi=10.1016%2fj.oneear.2021.09.004&amp;partnerID=40&amp;md5=82142822c13389d13da2b5e9c1c5d01f</t>
  </si>
  <si>
    <t>Relocating communities out of increasingly risk-prone areas is effective for adapting to climate change. Relocations are particularly relevant for small island regions, where sea-level-rise-induced retreat from the coast will be inevitable for some communities. However, relocations are contested because communities are generally reluctant to move, and decision-makers face high political risks. As a consequence, relocations mostly occur after extreme events. In such situations, existing rules can be undermined by politics and power, driving relocation policy and resulting in varying relocation outcomes. However, these political and policy dimensions of post-disaster relocations have received little attention. Here, we study the politics and power dynamics of two post-tsunami relocations in the Maldives. Using process tracing, we find that vested interests, rather than adaptation considerations, explain varying relocation outcomes. Our findings highlight the complex power structures inherent in post-disaster relocations, which explain why similar events and drivers did not produce similar outcomes. © 2021 Elsevier Inc.</t>
  </si>
  <si>
    <t>2-s2.0-85123251829"</t>
  </si>
  <si>
    <t>10.1007/s10668-021-01377-1</t>
  </si>
  <si>
    <t>https://www.scopus.com/inward/record.uri?eid=2-s2.0-85103673654&amp;doi=10.1007%2fs10668-021-01377-1&amp;partnerID=40&amp;md5=ef039d5bfcf8d7adc99277eb435863c8</t>
  </si>
  <si>
    <t>At present, flood is the most significant environmental problem in the entire world. In this work, flood susceptibility (FS) analysis has been done in the Dwarkeswar River basin of Bengal basin, India. Fourteen flood causative factors extracted from different datasets like DEM, satellite images, geology, soil and rainfall data have been considered to predict FS. Three heuristic models and one statistical model fuzzy Logic (FL), frequency ratio (FR), multi-criteria decision analysis (MCDA) and logistic regression (LR) have been used. The validating datasets are used to validate these models. The result shows that 68.71%, 68.7%, 60.56% and 48.51% area of the basin is under the moderate to very high FS by the MCDA, FR, FL and LR, respectively. The ROC curve with AUC analysis has shown that the accuracy level of the LR model (AUC = 0.916) is very much successful to predict the flood. The rest of the models like FL, MCDA and FR (AUC = 0.893, 0.857 and 0.835, respectively) have lesser accuracy than the LR model. The elevation was the most dominating factor with coefficient value of 19.078 in preparation of the FS according to the LR model. The outcome of this study can be implemented by local and state authority to minimize the flood hazard. © 2021, The Author(s), under exclusive licence to Springer Nature B.V.</t>
  </si>
  <si>
    <t>2-s2.0-85103673654"</t>
  </si>
  <si>
    <t>10.1029/2021JF006310</t>
  </si>
  <si>
    <t>https://www.scopus.com/inward/record.uri?eid=2-s2.0-85118242566&amp;doi=10.1029%2f2021JF006310&amp;partnerID=40&amp;md5=2131a7197c6aa034ee20c583d6cba9f4</t>
  </si>
  <si>
    <t>Overbank flooding is common along most rivers, and it influences the dispersal of sediment to floodplains. While variable discharge is a critical aspect of fluvial landscape evolution, it is typically modeled by simplifying the hydrograph to an equivalent steady discharge: the channel-forming discharge. However, for all formulations used to simplify hydrographs, many different inputs can produce the same channel-forming discharge. Here, we investigate how hydrographs with different flood intensities affect channel mobility, sediment accumulation patterns, and alluvial morphology using a suite of physical experiments where a fan delta grew by dispersing a cohesive sediment mixture into a basin. The experiments spanned three levels: no flooding, low-intensity flooding, and high-intensity flooding, while the time-averaged water and sediment discharge was equivalent between all flooding regimes. Across this gradient, channel mobility, alluvial morphology and sediment dispersal scaled non-monotonically with flooding intensity, and the data suggest that levee-building feedbacks are the cause. We found that flood intensity modulates the relative balance between sediment delivery to channel margins, which nourishes levee growth, and the intensity of overbank flow, which inhibits levee growth. When flooding was absent, levees experienced consistent overbank flow and sediment delivery, leading to moderate levee aggradation and sporadic levee breaches. In contrast, when low-intensity flooding was imposed, levees experienced enhanced sediment delivery by low-amplitude floods, but only intermittent scouring. A further increase in flood intensity generated intense overbank flows that inhibited levee growth altogether. These results imply the existence of an optimum levee-building condition, where flooding conditions stabilize channels through levee-building feedbacks. © 2021. American Geophysical Union. All Rights Reserved.</t>
  </si>
  <si>
    <t>2-s2.0-85118242566"</t>
  </si>
  <si>
    <t>10.3389/feart.2021.780343</t>
  </si>
  <si>
    <t>https://www.scopus.com/inward/record.uri?eid=2-s2.0-85121215951&amp;doi=10.3389%2ffeart.2021.780343&amp;partnerID=40&amp;md5=dc9c0169285b33981974b1ddf05057ac</t>
  </si>
  <si>
    <t>Greenhouse gas emissions from large-scale volcanism in the Central Atlantic Magmatic Province is considered to have caused the end-Triassic mass extinction (201.5 million years ago), but the impact on land plants has been debated. Here, abundance changes in spores and pollen record the devastating effects this volcanic induced climate crisis had on coastal and near-coastal lowland mire vegetation around the European epicontinental sea and the European Tethys margin. Combined stress from rising air temperatures and changing climate at the onset of the crisis was exacerbated by a rapidly rising sea-level resulting in fragmentation and destruction of coastal and near-coastal lowland mire habitats, causing mass rarity and extinctions primarily in gymnosperm trees and shrubs adapted to these environments. The devastation of these habitats was further amplified by a subsequent sea-level fall leaving pioneering opportunists and herbaceous survivors to colonize disturbed areas in an environment stressed by increased wildfire activity and enhanced soil erosion. The pioneering flora was severely decimated in a second mass rarity phase and ultimately extirpated. The second mass rarity phase occurred just prior to and at the onset of a prominent negative excursion in δ13Corg. A subsequent sea-level rise appears to have restored some of the near-coastal mire habitats allowing some of the plants to recover. The supraregional mass rarity during the end-Triassic crisis affected both previously dominant as well as rare plants and this resonates with ongoing and future climate change and attests to the vulnerability of coastal and lowland vegetation, especially rare plant species, to climatic and environmental disturbances, where rising sea-level threatens entire ecosystems. Copyright © 2021 Lindström.</t>
  </si>
  <si>
    <t>2-s2.0-85121215951"</t>
  </si>
  <si>
    <t>10.1016/j.rsase.2021.100654</t>
  </si>
  <si>
    <t>https://www.scopus.com/inward/record.uri?eid=2-s2.0-85118742473&amp;doi=10.1016%2fj.rsase.2021.100654&amp;partnerID=40&amp;md5=facc949f5031a29cdc44452a7ff2905e</t>
  </si>
  <si>
    <t>Forest detection in remote sensing data is essential for important applications such as detection of area desertification, flooding simulation, forest health analysis, or conversion of digital elevation models. Existing techniques have open issues: they do not generalize well to different scenarios, they lack accuracy, and they require human intervention for input data characterization. To address these issues, in this work, we developed various classification models by using a variety of Machine Learning techniques, namely Convolutional Neural Networks (CNN), Random Forest ensembles (RF), and Support Vector Machines (SVM). Different CNN architectures were created specifically for the forest detection problem, and alternative feature extraction mechanisms were developed to support RF and SVM for this task. All these models were trained with SRTM and Landsat-8 satellite data, and their hyperparameters were optimized. Their effectiveness was assessed by using the Forest/No-Forest masks provided by JAXA as ground truth. Additionally, these models were compared against the JAXA's mask itself using expert-labeled data as ground truth. The experiments show promising results in terms of accuracy and generalization while presenting a reduced dependency on human intervention for characterizing data in both training and classification phases. © 2021 Elsevier B.V.</t>
  </si>
  <si>
    <t>2-s2.0-85118742473"</t>
  </si>
  <si>
    <t>10.1016/j.rsase.2021.100626</t>
  </si>
  <si>
    <t>https://www.scopus.com/inward/record.uri?eid=2-s2.0-85122811663&amp;doi=10.1016%2fj.rsase.2021.100626&amp;partnerID=40&amp;md5=03d8781f02a0d739e04e8d2d5aee77ec</t>
  </si>
  <si>
    <t>To understand the consequences of unsustainable management practices and global change, analyzing the patterns of ecosystem functioning and land degradation is as important as quantifying the spatio-temporal patterns of land cover loss. This is particularly important for wetlands where loss and degradation are globally intensifying. In the Lower Delta of the Paraná River, Argentina, land use change has occurred in the context of cattle raising intensification, which involves water management infrastructure. However, when those changes specifically occurred and whether they permanently influenced the functional component of wetland ecosystems remain unanswered. We used a long-term (2001–2015) fused satellite-derived Normalized Difference Vegetation Index dataset to identify major shifts in vegetation activity trends using the Breaks for Additive Seasons and Trend algorithm. We assembled a set of hydro-climatic, environmental, and anthropogenic variables to study their association with the spatio-temporal patterns of vegetation activity trends. Our results show that browning-to-greening trends dominated throughout the study area. Concomitantly, the magnitude of breakpoints was mainly negative, which points towards rapid land degradation and biomass submersion or removal events. Breakpoints primarily occurred between 2007 and 2009 and were partially coincident with an extraordinary flood event and intentional fire outbreaks. Paranacito river flooding, precipitation, the synchronicity with temperature patterns, water management infrastructure and the occurrence of local land cover conversions were determining factors in the differentiation and characteristics of vegetation activity trends, shifts and breakpoints. Our results provide evidence that even though regional hydro-climatic patterns remain as main drivers of wetland vegetation dynamics, human influence and its negative effects increase in the context of adverse hydro-climatic scenarios. In this matter, we observed that the decouplement from the flood pulse promoted a post-disturbance recolonization of herbaceous vegetation. Consistently, the widespread browning-to-greening trend reversal does not necessarily relate to wetland vegetation recovery but instead, might have masked its extensive conversion to grasslands. © 2021 Elsevier B.V.</t>
  </si>
  <si>
    <t>2-s2.0-85122811663"</t>
  </si>
  <si>
    <t>10.1016/j.gloplacha.2021.103639</t>
  </si>
  <si>
    <t>https://www.scopus.com/inward/record.uri?eid=2-s2.0-85115169832&amp;doi=10.1016%2fj.gloplacha.2021.103639&amp;partnerID=40&amp;md5=f1629029b06c737a2fa6645369c4a85f</t>
  </si>
  <si>
    <t>Accurately constraining local variation in tidal water levels is the vital first step in managing the risk of coastal hazards associated with sea level rise (SLR). Here we show sub-regional patterns in delta tidal dynamics and coastal SLR along the northern Bay of Bengal based on long-term (1990 to 2017) in-situ measurement data. Seasonal trend decomposition combined with robust linear modelling are applied to determine rates of water level change, with an average rise in coastal extreme sea levels of 6.9 ± 2.1 mm yr−1 translating to increases of 5.1 ± 4.2 mm yr−1 in tidal water levels within the delta. Mean increases of 18.3 ± 4.1 mm yr−1 and 18.2 ± 6.8 mm yr−1 at high and low-tide respectively in tidally dominated rivers of southwest Bangladesh contrast with the fluvially active central and eastern sections of the delta where falling trends of −6.5 ± 2.3 mm yr−1 (high-tide) and −10.2 ± 3.1 mm yr−1 (low-tide) are recorded. Rapid changes in river level at individual sites can occur over periods of ca. 3 to 10 years, most likely resulting from short-term hydro-morphological changes. An acceleration of change in high-tides is indicated by a rise from the long term (1950 to 2018) rate of 4.4 ± 1.5 mm yr−1 to 5.9 ± 3.2 mm yr−1 between 1990 and 2017, leading to increased risk for the local population. At local and regional scales, the inland impact of SLR within the delta is observed to be strongly modulated, necessitating more detailed analysis of driving mechanisms at the site specific level. Our results can be used to aid development of adaptation strategies in Bangladesh and as a call for increased monitoring of hydro-morphological parameters within the Bengal delta and other large deltas in Asia and worldwide. © 2021 Elsevier B.V.</t>
  </si>
  <si>
    <t>2-s2.0-85115169832"</t>
  </si>
  <si>
    <t>10.1016/j.jhydrol.2021.126775</t>
  </si>
  <si>
    <t>https://www.scopus.com/inward/record.uri?eid=2-s2.0-85113750830&amp;doi=10.1016%2fj.jhydrol.2021.126775&amp;partnerID=40&amp;md5=4f98537d5b96618f65d63103ba9a1041</t>
  </si>
  <si>
    <t>Vegetation drag is a fundamental quantity directly affecting results for both long- and short-term coastal marsh and geomorphological studies. The vegetation drag in coastal marshland has been modeled by various two-dimensional (2D) and three-dimensional (3D) numerical parameterizations. 2D parameterizations treat coastal marshes as bottom roughness elements, while 3D parameterizations resolve the vertically-variable vegetation drag through the water column. However, differences in tidal propagation arising from different drag parameterizations within a single model are largely unknown, and clear guidance on parameterization selection is still missing. In this study, we implemented four vegetation drag parameterizations into the Model for Prediction Across Scales-Ocean (MPAS-O), which include 1) a 2D parameterization using land-cover type-determined Manning's n (2DLM)</t>
  </si>
  <si>
    <t>10.1016/j.jhydrol.2021.126916</t>
  </si>
  <si>
    <t>https://www.scopus.com/inward/record.uri?eid=2-s2.0-85115143965&amp;doi=10.1016%2fj.jhydrol.2021.126916&amp;partnerID=40&amp;md5=57c3a539e591586b2234af70f98b4eed</t>
  </si>
  <si>
    <t>Groundwater flooding (or infiltration) in sewer systems leads to significant negative consequences such as discharge of untreated sewage, reduction of system capacity, structural deterioration, and dilution of the wastewater stream delivered to a treatment plant causing malfunction. Cities with aging networks along coastal areas, where aquifers are shallow, are particularly vulnerable. Rehabilitation is necessary to mitigate the negative impact of infiltration but costly. Therefore, a prioritization strategy of intervention is required. This paper presents a decision-support model to identify the probability of infiltration into aging sewer when observations of infiltration and sewer conditions are sparse and time-limited. The model is based on logistic regression, where the variables are: material, soil, water table, and pipe size and shape. As a proof-of-concept, the method was applied to the city of Hoboken, NJ. Machine learning was used to calibrate, validate, and test the model using infiltration measurements, provided by the water authority. Upon calibration, model predictions agree well with the measurements with an accuracy of 82%. Sensitivity analysis of the model was carried out and shows that the most important parameter is the water table of the shallow aquifer. Overall, the proposed approach can be a valuable tool for strategic intervention of sewer repair and flood mitigation in urban areas. © 2021 Elsevier B.V.</t>
  </si>
  <si>
    <t>2-s2.0-85115143965"</t>
  </si>
  <si>
    <t>10.3389/feart.2021.771592</t>
  </si>
  <si>
    <t>https://www.scopus.com/inward/record.uri?eid=2-s2.0-85120488315&amp;doi=10.3389%2ffeart.2021.771592&amp;partnerID=40&amp;md5=cb39fd902c4125f44e402b8a95753c8d</t>
  </si>
  <si>
    <t>The southeast coastal region of China is susceptible to challenges related to extreme precipitation events</t>
  </si>
  <si>
    <t>10.1016/j.geomorph.2021.107923</t>
  </si>
  <si>
    <t>https://www.scopus.com/inward/record.uri?eid=2-s2.0-85114183727&amp;doi=10.1016%2fj.geomorph.2021.107923&amp;partnerID=40&amp;md5=efe0dbf43f6d85dcf1394011d5b061f2</t>
  </si>
  <si>
    <t>This is the first systematic investigation of two distinctive geomorphological features recorded in the central Luangwa River valley, Zambia. A series of low hills was found to be capped by thin (~1 m) gravel deposits containing stratified Stone Age artefacts. More widespread gravels occur on the margins of the Luangwa River floodplain lacking stratified artefacts. The previously unreported hilltop deposits are interpreted as remnants of a dissected land-surface, and the valley floor gravels as redeposited clasts from c. 20 m of down-cutting. Clast analysis and drainage basin size analysis support a hypothesis of gravel deposition by unconstrained debris flows from the distant Muchinga escarpment, or from an intermediate zone. Excavation of a perched deposit revealed a coarsely stratified Stone Age record indicating periodic emplacement of artefact-bearing gravels over an extended period. Deposition of these perched gravels continued into the Late Pleistocene (~77 ka), based on OSL dating, after which the current dissected landscape formed. We hypothesize further, based on a regional record of landscape instability and core data from Lake Malawi, that fan formation in the valley was linked to periods of extended aridity and reduced vegetation cover followed by episodic erosional events on the return to wetter conditions. We argue that the subsequent dissection of the land-surface is the end state of a sequence of responses to base-level changes and climate change. © 2021</t>
  </si>
  <si>
    <t>2-s2.0-85114183727"</t>
  </si>
  <si>
    <t>10.1007/s10708-020-10221-4</t>
  </si>
  <si>
    <t>https://www.scopus.com/inward/record.uri?eid=2-s2.0-85085330444&amp;doi=10.1007%2fs10708-020-10221-4&amp;partnerID=40&amp;md5=9d5e4e30cc1364f4ebe397eaa7ab1c31</t>
  </si>
  <si>
    <t>In March 2012, the Nigerian meteorological agency forecasted massive flooding for parts of the country, with the displacement of large parts of the population as a consequence. Delta State in southern Nigeria was earmarked as a region expected to be adversely affected by the anticipated flood. Despite the Nigerian Emergency Management Agency (NEMA)—which is tasked with disaster management—sending out early warnings, the flood wreaked devastating havoc in most rural communities in the Delta State. In this regard, this article seeks to highlight the reasons why indigenous farmers in the Delta State were adversely affected by the flood despite timely early warnings. Primary data were obtained from respondents in Igbide, Uzere, and Olomoro communities using group discussions and semi-structured interviews. Also, open-ended questionnaires were administered to agricultural extension officers in the aforementioned communities. Using systems thinking analysis, NEMA’s inability to utilize indigenous communication channels was a major factor that contributed to the failure of early warnings to trigger proactive behaviors. With increased flood episodes anticipated to become the new normal in southern Nigeria by 2050, this article conceptualizes a framework for communicating flood warnings to indigenous farmers in the Delta State by building on shortcomings of the 2012 flood warnings. In so doing, this article contributes to the discourse on effective ways of communicating weather warnings to indigenous farmers in developing countries. © 2020, Springer Nature B.V.</t>
  </si>
  <si>
    <t>2-s2.0-85085330444"</t>
  </si>
  <si>
    <t>10.1002/esp.5230</t>
  </si>
  <si>
    <t>https://www.scopus.com/inward/record.uri?eid=2-s2.0-85116158511&amp;doi=10.1002%2fesp.5230&amp;partnerID=40&amp;md5=3377fc3b21b625d9d289728d4201769b</t>
  </si>
  <si>
    <t>Floods play a critical role in geomorphic change, but whether peak magnitude, duration, volume, or frequency determines the resulting magnitude of erosion and deposition is a question often proposed in geomorphic effectiveness studies. This study investigated that question using digital elevation model differencing to compare and contrast three hydrologically distinct epochs of topographic change spanning 18 years in the 37-km gravel–cobble lower Yuba River in northern California, USA. Scour and fill were analysed by volume at segment and geomorphic reach scales. Each epoch's hydrology was characterized using 15-min and daily averaged flow to obtain distinct peak and recurrence, duration, and volume metrics. Epochs 1 (1999–2008) and 3 (2014–2017) were wetter than average with large floods reaching 3206 and 2466 m3/s, respectively, though of different flood durations. Epoch 2 (2008–2014) was a drought period with only four brief moderate floods (peak of 1245 m3/s). Total volumetric changes showed that major geomorphic response occurred primarily during large flood events</t>
  </si>
  <si>
    <t>10.1016/j.ejrs.2021.06.005</t>
  </si>
  <si>
    <t>https://www.scopus.com/inward/record.uri?eid=2-s2.0-85109099889&amp;doi=10.1016%2fj.ejrs.2021.06.005&amp;partnerID=40&amp;md5=b01e6ae9d15bfcdf150d8a069c0e7fc2</t>
  </si>
  <si>
    <t>Progress in GIS technology has facilitated the topographic position index (TPI)-based auto-classification of landform units. Multispectral satellite images, when used along with terrain analysis output, provide valuable information on structure, soil, land use land cover (LULC), hazards etc. The present work makes an endeavour to classify landforms using TPI and assess its distribution pattern across different LULC segments in the Kaljani River Basin of the Sub-Himalayan region. An attempt is also made to analyse the inundation pattern during the most recent major flood (2016) across the landform and LULC units. The Kaljani Basin is occupied by upper slopes, mountain tops and gorges in its upper (northern) part, while its lower (southern) part is characterised by wide valleys and plains. The areas occupied by gorges and midslope drainages in the hills, and wide valleys in the foothills, are comparatively more exposed to fluvial erosion, as found from the topographic wetness index (TWI). LULC classification reveals that the northern and central parts of the basin have plenty of vegetation cover. Land use units like fallows, farmlands and built-up areas are more common in the southern part of the basin. During the flood of 2016, three-fourth of the total inundation occurred in the wide valleys and plains. More than 90% of the inundated areas are found in the human-modified terrain, indicating its susceptibility to the flood hazard. © 2021 National Authority for Remote Sensing and Space Sciences</t>
  </si>
  <si>
    <t>2-s2.0-85109099889"</t>
  </si>
  <si>
    <t>10.21163/GT_2021.163.10</t>
  </si>
  <si>
    <t>https://www.scopus.com/inward/record.uri?eid=2-s2.0-85120943518&amp;doi=10.21163%2fGT_2021.163.10&amp;partnerID=40&amp;md5=aec173c318ad6082a64640bad18cc3e9</t>
  </si>
  <si>
    <t>The identification of land cover and land use is necessary to support the strategic management of coastal areas. The utilization of remote sensing technology such as synthetic aperture radar (SAR) data has been widely used for mapping the distribution of land cover and land use. This application includes the detection of aquaculture ponds in coastal areas due to SAR’s sensitivity to surface water content. In addition, multitemporal Sentinel-1 data helps to distinguish between ponds and rice fields that possess a visually similar appearance during the flooding stage. This study aims to explore the accuracy of the gray level of co-occurrence model (GCLM) textures of multitemporal Sentinel-1 data for aquaculture pond mapping in Brebes Regency, Central Java Province, Indonesia. In addition, single-date Sentinel-2 optical imagery was used to compare the results from Sentinel-1 data. The Sentinel-2 data has been identified using supervised classifications, e.g., maximum likelihood (ML), minimum distance (MD), random forest (RF), and K-nearest neighbor (KNN) algorithms, and the most accurate algorithm was selected to classify the Sentinel-1 data using GLCM textures. The results indicated that the Sentinel-1 imagery showed the best results using GLCM metrics from VH polarization with an accuracy value of 92.2% using the ML algorithm, while the best results from Sentinel-2 were also produced using ML, with an 88.4% overall accuracy. These results demonstrate that multitemporal Sentinel-1 data have higher accuracy than Sentinel-2 data when used for pond detection. This shows the potential of the combination of both sensors to increase the accuracy of aquaculture pond mapping. © 2021, Asociatia Geographia Technica. All rights reserved.</t>
  </si>
  <si>
    <t>2-s2.0-85120943518"</t>
  </si>
  <si>
    <t>10.1038/s41598-021-81742-2</t>
  </si>
  <si>
    <t>https://www.scopus.com/inward/record.uri?eid=2-s2.0-85100232177&amp;doi=10.1038%2fs41598-021-81742-2&amp;partnerID=40&amp;md5=41fd96e082544aaf57c13cc983e49c54</t>
  </si>
  <si>
    <t>Identifying ecologically fragile areas by assessing ecosystem vulnerability is an essential task in environmental conservation and management. Benin is considered a vulnerable area, and its coastal zone, which is subject to erosion and flooding effects, is particularly vulnerable. This study assessed terrestrial ecosystems in Benin by establishing a hybrid ecological vulnerability index (EVI) for 2016 that combined a composite model based on principal component analysis (PCA) with an additive model based on exposure, sensitivity and adaptation. Using inverse distance weighted (IDW) interpolation, point data were spatially distributed by their geographic significance. The results revealed that the composite system identified more stable and vulnerable areas than the additive system</t>
  </si>
  <si>
    <t>10.1038/s41598-021-00633-8</t>
  </si>
  <si>
    <t>https://www.scopus.com/inward/record.uri?eid=2-s2.0-85118574243&amp;doi=10.1038%2fs41598-021-00633-8&amp;partnerID=40&amp;md5=c3ec45183a5b110c90cccc446cc3e40a</t>
  </si>
  <si>
    <t>Freshwater, suspended sediment matter (SSM), and nutrients discharged from rivers into the ocean have large impacts on biological production. In particular, during floods, coastal areas are greatly stirred up and large amounts of nutrients are supplied to the sea surface. We investigate the biogeochemical impact of flooding river discharges containing a large amount of SSM by conducting numerical simulations for a specific flooding event of the Yura River, Japan. Parameters are varied over wide ranges of SSM properties and nutrient content in riverine water. Two qualitatively different regimes of the riverine plume, hypopycnal and hyperpycnal, appear within realistic parameter ranges. Compared with the reference case without SSM, the surface salinity (nutrients) within the riverine plume becomes lower (higher) in hypopycnal cases and higher (lower) in hyperpycnal cases within a few days after the flooding discharge. These results suggest the necessity of properly taking into account the effect of SSM in assessing the influence of high river discharges on coastal biogeochemistry. It is the case not only for the specific river and event we are dealing with but also for other flooding events and other rivers and connecting coastal seas. © 2021, The Author(s).</t>
  </si>
  <si>
    <t>2-s2.0-85118574243"</t>
  </si>
  <si>
    <t>10.1016/j.jhydrol.2021.126854</t>
  </si>
  <si>
    <t>https://www.scopus.com/inward/record.uri?eid=2-s2.0-85113972632&amp;doi=10.1016%2fj.jhydrol.2021.126854&amp;partnerID=40&amp;md5=8215410de0ff1447a03e6ea14da043dd</t>
  </si>
  <si>
    <t>In regions with lack of hydrological and hydraulic data, a spatial flood modeling and mapping is an opportunity for the urban authorities to predict the spatial distribution and the intensity of the flooding. It helps decision-makers to develop effective flood prevention and management plans. In this study, flood inventory data were prepared based on the historical and field surveys data by Sari municipality and regional water company of Mazandaran, Iran. The collected flood data accompanied with different variables (digital elevation model and slope have been considered as topographic variables, land use/land cover, precipitation, curve number, distance to river, distance to channel and depth to groundwater as environmental variables) were applied to novel hybridized model based on neural network and swarm intelligence-grey wolf algorithm (NN-SGW) to map flood-inundation. Several confusion matrix criteria were used for accuracy evaluation by cutoff-dependent and independent metrics (e.g., efficiency (E), positive predictive value (PPV), negative predictive value (NPV), area under the receiver operating characteristic curve (AUC)). The accuracy of the flood inundation map produced by the NN-SGW model was compared with that of maps produced by four state-of-the-art benchmark models: random forest (RF), logistic model tree (LMT), classification and regression trees (CART), and J48 decision tree (J48DT). The NN-SGW model outperformed all benchmark models in both training (E = 90.5%, PPV = 93.7%, NPV = 87.3%, AUC = 96.3%) and validation (E = 79.4%, PPV = 85.3%, NPV = 73.5%, AUC = 88.2%). As the NN-SGW model produced the most accurate flood-inundation map, it can be employed for robust flood contingency planning. Based on the obtained results from NN-SGW model, distance from channel, distance from river, and depth to groundwater were identified as the most important variables for spatial prediction of urban flood inundation. This work can serve as a basis for future studies seeking to predict flood susceptibility in urban areas using hybridized machine learning (ML) models and can also be applied in other urban areas where flood inundation presents a pressing challenge, and there are some problems regarding required model and availability of input data. © 2021 The Author(s)</t>
  </si>
  <si>
    <t>2-s2.0-85113972632"</t>
  </si>
  <si>
    <t>10.1029/2021JC017347</t>
  </si>
  <si>
    <t>https://www.scopus.com/inward/record.uri?eid=2-s2.0-85118304443&amp;doi=10.1029%2f2021JC017347&amp;partnerID=40&amp;md5=050530c8a1943e0e11c307f44d2e7fe3</t>
  </si>
  <si>
    <t>Global mean sea level (GMSL) has been rising since the last century, posing a serious challenge for the coastal areas. A variety of regression models have been utilized for determining GMSL rise over the past one hundred years, resulting in a large spread of sea level rise rates and multidecadal variations. In this study, we develop a new nonparametric noise model that is data-dependent and considers overfitting due to regression. The noise model is used to determine whether one regression model has significantly better skill than others over the period 1900–2010. The choices of background noise and GMSL reconstruction influence whether two sea level models can be statistically distinguished. With our new nonparametric noise spectra, the differences of model skills in explaining sea level variance are significant only in 34% of model comparisons. However, stepwise trends with three inflection points are significantly more skillful than the linear, quadratic, or exponential trend for most GMSL reconstructions, suggesting the importance of multidecadal variability of sea level rise in the twentieth century. Nevertheless, stepwise trend models cannot be distinguished from models with a long-term harmonic oscillation, indicating that the shape of multidecadal variability is not conclusive. The multidecadal variability is also significant in the steric and barystatic sea level contributions and is related to both natural and anthropogenic forcings. GMSL predictions based on regression fits in the twentieth century underestimate the sea level rise rate over the period 2011–2020 because the sea level acceleration in the recent decade (2011–2020) is not well represented. © 2021. American Geophysical Union. All Rights Reserved.</t>
  </si>
  <si>
    <t>2-s2.0-85118304443"</t>
  </si>
  <si>
    <t>10.3389/fclim.2021.734726</t>
  </si>
  <si>
    <t>https://www.scopus.com/inward/record.uri?eid=2-s2.0-85123316782&amp;doi=10.3389%2ffclim.2021.734726&amp;partnerID=40&amp;md5=76c661343c0eccbdeacaaa061979838a</t>
  </si>
  <si>
    <t>Climate change risk is rife with uncertainty. Increased frequency and intensity of flooding and drought and progressive sea-level rise, that compound and cascade and increase risk over time, pose particular difficulties for planning. The risks require institutional and governance frameworks that are tailored to such a dynamic environment. However, most planning frameworks and their practice focus on the societal need for certainty in space and time, to enable investment decisions to be made and activities to be undertaken with some stability. This means risk is framed in a static manner using time-bound planning methods, such as lines on maps and zoning, that lock in people and assets to areas of risk that are exposed to changing risk in time and space. The consequences are being increasingly revealed globally in deltas, inland low-lying areas and at the coast, and will increase unless planning practice becomes more adaptive and anticipates the risks early enough for adjustments to be made. Current decision-making frameworks in New Zealand have been revealed as inadequate for enabling changing and uncertain risks from climate change to be addressed. We discuss how practice under the existing planning framework has exposed people and assets to greater risk, and the challenges in the transition taking place in New Zealand toward an anticipatory adaptive approach. We chart the course of this transition and suggest how current law and practice can support and embed an adaptive direction within the institutional reforms underway for more effective climate risk management. Copyright © 2021 Lawrence, Allan and Clarke.</t>
  </si>
  <si>
    <t>2-s2.0-85123316782"</t>
  </si>
  <si>
    <t>10.5194/essd-13-5293-2021</t>
  </si>
  <si>
    <t>https://www.scopus.com/inward/record.uri?eid=2-s2.0-85119490544&amp;doi=10.5194%2fessd-13-5293-2021&amp;partnerID=40&amp;md5=d5c0e37cc576494e7f5cb515e4bd4606</t>
  </si>
  <si>
    <t>The polar regions experience widespread transformations, such that efficient methods are needed to monitor and understand Arctic landscape changes in response to climate warming and low-frequency, high-magnitude hydrological and geomorphological events. One example of such events, capable of causing serious landscape changes, is glacier lake outburst floods. On 6 August 2017, a flood event related to glacial lake outburst affected the Zackenberg River (NE Greenland). Here, we provided a very-high-resolution dataset representing unique time series of data captured immediately before (5 August 2017), during (6 August 2017), and after (8 August 2017) the flood. Our dataset covers a 2.1 km long distal section of the Zackenberg River. The available files comprise (1) unprocessed images captured using an unmanned aerial vehicle (UAV</t>
  </si>
  <si>
    <t>10.1186/s40645-020-00386-4</t>
  </si>
  <si>
    <t>https://www.scopus.com/inward/record.uri?eid=2-s2.0-85098713262&amp;doi=10.1186%2fs40645-020-00386-4&amp;partnerID=40&amp;md5=cff888c6173e1649fc4566cebe4b5247</t>
  </si>
  <si>
    <t>Climate change will have a significant impact on the water cycle and will lead to severe environmental problems and disasters in humid tropical river basins. Examples include river basins in Sumatra Island, Indonesia, where the coastal lowland areas are mostly composed of peatland that is a wetland environment initially sustained by flooding from rivers. Climate change may alter the frequency and magnitude of flood inundation in these lowland areas, disturbing the peatland environment and its carbon dynamics and damaging agricultural plantations. Consequently, projecting the extent of inundation due to future flooding events is considered important for river basin management. Using dynamically downscaled climate data obtained by the Non-Hydrostatic Regional Climate Model (NHRCM), the Rainfall-Runoff-Inundation (RRI) model was applied to the Batanghari River Basin (42,960 km2) in Sumatra Island, Indonesia, to project the extent of flood inundation in the latter part of the twenty-first century. In order to obtain reasonable estimates of the extent of future flood inundation, this study compared two bias correction methods: a Quantile Mapping (QM) method and a combination of QM and Variance Scaling (VS) methods. The results showed that the bias correction obtained by the QM method improved the simulated flow duration curve (FDC) obtained from the RRI model, which facilitated comparison with the simulated FDC using reference rainfall data. However, the high spatial variability observed in daily and 15-day rainfall data remained as the spatial variation bias, and this could not be resolved by simple QM bias correction alone. Consequently, the simulated extreme variables, such as annual maximum flood inundation volume, were overestimated compared to the reference data. By introducing QM-VS bias correction, the cumulative density functions of annual maximum discharge and inundation volumes were improved. The findings also showed that flooding will increase in this region</t>
  </si>
  <si>
    <t>10.1038/s41598-021-93221-9</t>
  </si>
  <si>
    <t>https://www.scopus.com/inward/record.uri?eid=2-s2.0-85109372118&amp;doi=10.1038%2fs41598-021-93221-9&amp;partnerID=40&amp;md5=7facd3604578ac0c0a9e4ca9107aa3ed</t>
  </si>
  <si>
    <t>Sandy coastlines adjacent to tidal inlets are highly dynamic and widespread landforms, where large changes are expected due to climatic and anthropogenic influences. To adequately assess these important changes, both oceanic (e.g., sea-level rise) and terrestrial (e.g., fluvial sediment supply) processes that govern the local sediment budget must be considered. Here, we present novel projections of shoreline change adjacent to 41 tidal inlets around the world, using a probabilistic, reduced complexity, system-based model that considers catchment-estuary-coastal systems in a holistic way. Under the RCP 8.5 scenario, retreat dominates (90% of cases) over the twenty-first century, with projections exceeding 100 m of retreat in two-thirds of cases. However, the remaining systems are projected to accrete under the same scenario, reflecting fluvial influence. This diverse range of response compared to earlier methods implies that erosion hazards at inlet-interrupted coasts have been inadequately characterised to date. The methods used here need to be applied widely to support evidence-based coastal adaptation. © 2021, The Author(s).</t>
  </si>
  <si>
    <t>2-s2.0-85109372118"</t>
  </si>
  <si>
    <t>10.1007/s12517-021-08504-2</t>
  </si>
  <si>
    <t>https://www.scopus.com/inward/record.uri?eid=2-s2.0-85117685909&amp;doi=10.1007%2fs12517-021-08504-2&amp;partnerID=40&amp;md5=2f4d53e1031b2df6d9ddc56bfd50da6c</t>
  </si>
  <si>
    <t>Flood assessment is an important decision-making activity which helps the decision maker to reduce the flood catastrophe in flood prone area. However, flood assessment requires massive datasets, i.e., river morphology, river cross-sections, flood hydrograph, high-resolution digital elevation model (DEM), land use/land cover (LULC), drainage map, soil map, slope map, rainfall, observed high flood level, severe flood hazard map, zone or ward maps, etc., for developing and validating a model for flood emergency planning. In addition, collection of these datasets and availability of datasets for modeling work are a great challenge in developing country. To overcome this limitation and developing the hydrodynamic model under the optimum number of datasets, a case study is executed over Sabarmati River, Ahmedabad city. HEC-RAS 5 is an open-source hydrodynamic model which is applied to develop a flood inundation, water surface elevation, and velocity of flood for flood 2006. The model is simulated under the unsteady flow conditions. The simulated results are overlay on Google Earth Image and flood inundation areas are clearly identified. The river roughness between the Chiloda Bridge, Gandhinagar and Vasana Barrage, Ahmedabad, India is identified and validated using NS and RMSE statistics method. Overall, the executed approach presents the case of development of hydrodynamic model and preparation of decision-making system under the scarce datasets for flood assessment. © 2021, Saudi Society for Geosciences.</t>
  </si>
  <si>
    <t>2-s2.0-85117685909"</t>
  </si>
  <si>
    <t>10.1016/j.envc.2021.100306</t>
  </si>
  <si>
    <t>https://www.scopus.com/inward/record.uri?eid=2-s2.0-85120865456&amp;doi=10.1016%2fj.envc.2021.100306&amp;partnerID=40&amp;md5=a38863a7b6568e17cdb186879ad08a53</t>
  </si>
  <si>
    <t>Mangrove forests in many parts of the world are declining at an alarming rate, which intensifies vulnerability in coastal ecosystems. An area like coastal West Bengal, including the Sundarban delta, where the world's largest mangrove populations have flourished, has a substantial negative impact of anthropogenic pressure since the early 15–16th century. Frequent coastal hazards, sea-level rise, and ever-increasing anthropogenic pressure have complicated the growth and regeneration of mangroves. In this study, an attempt has been made to map the patches of mangrove available in the coastal region of West Bengal along with their spatio-temporal, zonal pattern of change and probable reasons for those changes. The study approaches have been achieved by the analysis of Landsat data using several buffer zones from the coastline during 1989–2018 through geospatial techniques. The result indicates that despite a reduction of mangrove populations in the pre-and post-colonial era, overall mangrove areas have a marginally positive growth of about 0.47% (68.06 sq. km) of the total area during the assessment period. Although the mangrove area along the shoreline is decreasing faster, many new mangrove patches have appeared towards the mainland. Simultaneously, mangrove areas are encroached in the northern periphery of Sundarban Biosphere Reserve to convert them into settlements, agriculture, and aquaculture. This study could help to protect mangrove populations and implement appropriate conservation measures. © 2021 The Author(s)</t>
  </si>
  <si>
    <t>2-s2.0-85120865456"</t>
  </si>
  <si>
    <t>10.1007/s11069-021-04917-0</t>
  </si>
  <si>
    <t>https://www.scopus.com/inward/record.uri?eid=2-s2.0-85113231592&amp;doi=10.1007%2fs11069-021-04917-0&amp;partnerID=40&amp;md5=f68487fe32a1f344462f576316d422de</t>
  </si>
  <si>
    <t>Overwash is one of the most prominent hazards affecting coastal zones, and the associated consequences are expected to increase because of both sea-level rise and intensification of coastal occupation. This study used a 23-year data set of wave heights and tide-surge levels to define return periods of overwash potential for current and future sea-level conditions, namely 2055 and 2100, at two sites from South Portugal. A relevant intensification of both frequency and magnitude of the overwash is expected to occur by mid-century if adaptation measures are not taken and further aggravated by 2100. Current overwash levels with a return period of 100-years can reach a return period lower than 20-years by 2055 and 10-years by 2100. However, these values are rather variable from site to site, highlighting the urgency to develop detailed local studies to identify climate change impacts along coastal sectors, based on validated equations and long-term time series. These could be easily carried by replicating and adapting the here proposed methodology to sandy coasts worldwide. Understating the impact that climate change (namely sea-level rise) may have at the local level is key to contribute to effective management plans that include adaptation measures to minimize risks associated with coastal floods. © 2021, The Author(s), under exclusive licence to Springer Nature B.V.</t>
  </si>
  <si>
    <t>2-s2.0-85113231592"</t>
  </si>
  <si>
    <t>10.1007/s12524-021-01424-4</t>
  </si>
  <si>
    <t>https://www.scopus.com/inward/record.uri?eid=2-s2.0-85114370854&amp;doi=10.1007%2fs12524-021-01424-4&amp;partnerID=40&amp;md5=a0b0f4cf90493f43e08a560849019001</t>
  </si>
  <si>
    <t>Shoreline change analysis is examined for around 140 km coastal belt between Paradip port in the southern and Dhamra port in the northeastern parts of Odisha using DSAS 5.0. The study area is reported of being through the severe landward movement of the sea. To examine this, multispectral satellite images obtained from 1973 to 2020 are taken into account. The vector data generated are fed into the DSAS application to figure out the rate of changes in the position of the shoreline. DSAS suggested statistical methods, i.e. Shoreline Change Envelope, Net Shoreline Movement, End Point Rate, Linear Regression Rate, and Weighted Linear Regression, are used for calculating the rate of change in shoreline positions. Also with the help of “beta forecasting”, the future shoreline positions for the period between the years 2030 and 2040 are forecasted. The mean change rate, average seaward gain, and average landward gain are found to be 1.236, 10.10, and 12.42 m/year, respectively. The highest seaward movement is measured as 1843.06 m and the highest landward movement is at 1547.5 m in the study area. The shoreline position is shifted up in an average of 286.03 m in 2/3rd (67.3%) cases of transects, where the maximum shift is 1843.06 m and the minimum being 11.58 m. The beta forecasting result is validated by collating satellite image Landsat 8 (acquired on 25.12.2020) and forecasted shoreline 2020. The results indicated that the shoreline has shifted up to 2 km from 1971 to 2019 atleast 2/3rd positions. This is such a serious concern and alerts with a strong warning of rapid shoreline changes. It further emphasizes the need for conservation and management of this coastal belt to protect coastal biodiversity. © 2021, Indian Society of Remote Sensing.</t>
  </si>
  <si>
    <t>2-s2.0-85114370854"</t>
  </si>
  <si>
    <t>10.1016/j.ejrs.2021.09.004</t>
  </si>
  <si>
    <t>https://www.scopus.com/inward/record.uri?eid=2-s2.0-85118779265&amp;doi=10.1016%2fj.ejrs.2021.09.004&amp;partnerID=40&amp;md5=114258a03b117f7f02a6b5f85343fb66</t>
  </si>
  <si>
    <t>A quantitative analysis of the shoreline migration pattern at various timescales is important to understand the coastal ecosystem and interaction behaviour between sea and land. The sea-level rise due to polar ice and glacier melting has directly affected the coastal environment. The present study attempts to analyze the potential migration characteristics of Jambudwip Island of the Sundarban biosphere in the Bay of Bengal. GIS, Remote Sensing and Statistical analyses have been utilized for this observation. Digital Shoreline Analysis System (DSAS) was used to assess the shoreline change over time span. Moreover, Linear Regression Rate (LRR) and End Point Rate (EPR) were used for statistical analysis to measure the rate of change of shoreline during 2011, 2013, 2015, and 2017. NDVI and single-band threshold method (IR band) has been applied on the Landsat-7 and OLI data to identify the shoreline position. The result showed that the Western part of the island was the most erosive zone and Eastern part is the most accretive zone. Overall, the maximum rate of erosion was 49.08 m/yr and accretion 122.4 m/yr. In consequence, shoreline length has also been changed between 2011and 2017, from approximately 11879.91m to 10374.42 m. © 2021 National Authority for Remote Sensing and Space Sciences</t>
  </si>
  <si>
    <t>2-s2.0-85118779265"</t>
  </si>
  <si>
    <t>10.1007/s00367-021-00715-6</t>
  </si>
  <si>
    <t>https://www.scopus.com/inward/record.uri?eid=2-s2.0-85114511991&amp;doi=10.1007%2fs00367-021-00715-6&amp;partnerID=40&amp;md5=fd547f127bf3c4245e1ddf982c4c32f9</t>
  </si>
  <si>
    <t>Sea-level rise represents a severe hazard for populations living within low-elevation coastal zones and is already largely affecting coastal communities worldwide. As sea level continues to rise following unabated greenhouse gas emissions, the exposure of coastal communities to inundation and erosion will increase exponentially. These impacts will be further magnified under extreme storm conditions. In this paper, we focus on one of the most valuable coastal real estate markets globally (Palm Beach, FL). We use XBeach, an open-source hydro and morphodynamic model, to assess the impact of a major tropical cyclone (Hurricane Matthew, 2016) under three different sea-level scenarios. The first scenario (modern sea level) serves as a baseline against which other model runs are evaluated. The other two runs use different 2100 sea-level projections, localized to the study site: (i) IPCC RCP 8.5 (0.83 m by 2100) and (ii) same as (i), but including enhanced Antarctic ice loss (1.62 m by 2100). Our results show that the effective doubling of future sea level under heightened Antarctic ice loss amplifies flow velocity and wave height, leading to a 46% increase in eroded beach volume and the overtopping of coastal protection structures. This further exacerbates the vulnerability of coastal properties on the island, leading to significant increases in parcel inundation. © 2021, The Author(s).</t>
  </si>
  <si>
    <t>2-s2.0-85114511991"</t>
  </si>
  <si>
    <t>10.1007/s42797-021-00044-y</t>
  </si>
  <si>
    <t>https://www.scopus.com/inward/record.uri?eid=2-s2.0-85125877799&amp;doi=10.1007%2fs42797-021-00044-y&amp;partnerID=40&amp;md5=85e2c2dada2078182aeefcd4dd7f0314</t>
  </si>
  <si>
    <t>Tropical cyclones have become more frequent as a result of climate change and the associated temperature rise in the ocean surface, wreaking havoc on both natural and man-made elements. The most recent storm, Yaas, has had a wide-spread impact on coastal areas, with high-intensity wind, rainfall, and, most significantly, inundation in Odisha and West Bengal coastal region. Yaas formed over east central Bay of Bengal as a depression and gradually intensified to VSCS and finally made landfall near Balasore of Odisha coast, with a wind speed of 130–140 km/h. on 26th May, 2021. The present study is, therefore, aimed to characterize the cyclone Yaas and to investigate the expansion of cyclonic inundation in different sector of coastal West Bengal. Several space-borne data sets were employed in this study, including GPM data to illustrate precipitation variability, Sentinel-1 images for inundation mapping, and Sentinel-2 data to determine MNDWI for both pre- and post-cyclonic periods. The results show that during this cyclonic period, hundreds of km2 of land in West Bengal, including blocks of South 24 parganas, East Medinipur and North 24 parganas such as Sagar (37.10 km2), Namkhana (78.12 km2), Pathar Pratima (58.74 km2), Ramnagar I (15.24 km2) and II (19.62 km2), Khejuri (22.27 km2), and other blocks were inundated by cyclonic surge and about a total of 1195 mm of rainfall. Eventually, people have lost their homes, properties have damaged, and many agricultural fields have become barren by salt water accumulation. © The Author(s), under exclusive licence to Springer Nature Switzerland AG 2021.</t>
  </si>
  <si>
    <t>2-s2.0-85125877799"</t>
  </si>
  <si>
    <t>10.3390/rs13214319</t>
  </si>
  <si>
    <t>https://www.scopus.com/inward/record.uri?eid=2-s2.0-85120313853&amp;doi=10.3390%2frs13214319&amp;partnerID=40&amp;md5=7c65a4b453be637895a6548e8fbb3f03</t>
  </si>
  <si>
    <t>Rising sea levels pose one of the greatest threats to coastal zones. However, sea-level changes near the coast, particularly absolute sea-level changes, have been less well monitored than those in the open ocean. In this study, we aim to investigate the potential of Global Navigation Satellite Systems Interferometric Reflectometry (GNSS-IR) to measure coastal absolute sea-level changes and tie on-land (coastal GNSS) and offshore (satellite altimetry) observations into the same framework. We choose three coastal GNSS stations, one each in regions of subsidence, uplift and stable vertical land motions, to derive both relative sea levels and sea surface heights (SSH) above the satellite altimetry reference ellipsoid from 2008 to 2020. Our results show that the accuracy of daily mean sea levels from GNSS-IR is &lt;1.5 cm compared with co-located tide-gauge records, and amplitudes of annual cycle and linear trends estimated from GNSS-IR measurements and tide-gauge data agree within uncertainty. We also find that the de-seasoned and de-trended SSH time series from GNSS-IR and collocated satellite altimetry are highly correlated and the estimated annual amplitudes and linear trends statistically agree well, indicating that GNSS-IR has the potential to monitor coastal absolute sea-level changes and provide valuable information for coastal sea-level and climate studies. © 2021 by the authors.</t>
  </si>
  <si>
    <t>2-s2.0-85120313853"</t>
  </si>
  <si>
    <t>10.3390/hydrology8040143</t>
  </si>
  <si>
    <t>https://www.scopus.com/inward/record.uri?eid=2-s2.0-85116552084&amp;doi=10.3390%2fhydrology8040143&amp;partnerID=40&amp;md5=5bf0009d95b5470f196c6541849f5cb7</t>
  </si>
  <si>
    <t>Hydrologic/hydraulic models for flood risk assessment, forecasting and hindcasting have been greatly supported by the rising availability of increasingly accurate and high-resolution Earth Observation (EO) data. EO-based topographic and hydrologic open geo data are, nowadays, available on large scales. Data Assimilation (DA) models allow Early Warning Systems (EWS) to produce accurate and timely flood predictions. DA-based EWS generally use river flow real-time observations and 1D hydraulic models to identify potential inundation hot spots. Detailed high-resolution 2D hydraulic modeling is usually not used in EWS for the computational burden and the numerical complexity of injecting multiple spatially distributed sources of flow observations. In recent times, DEM-based hydrogeomorphic models demonstrated their ability in characterizing river basin hydrologic forcing and floodplain domains providing data-parsimonious opportunities for data-scarce regions. This work investigates the use of hydrogeomorphic floodplain terrain processing for optimizing the ability of DA-based EWSs in using diverse distributed flow observations. A flood forecasting framework with novel applications of hydrogeomorphic floodplain processing is conceptualized for empowering flood EWSs in preliminarily identifying the computational domain for hydraulic modeling, rapid flood detection using satellite images, and filtering geotagged crowdsourced data for flood monitoring. The proposed flood forecasting framework supports the development of an integrated geomorphic-hydrologic/hydraulic modeling chain for a DA that values multiple sources of observation. This work investigates the value of floodplain hydrogeomorphic models to tackle the major challenges of DA for EWS with specific regard to the computational efficiency issues and the lack of data in ungauged river basins towards an improved flood forecasting able to use advanced hydrodynamic modeling and to inject all available sources of observations including flood phenomena captures by citizens. © 2021 by the authors. Licensee MDPI, Basel, Switzerland.</t>
  </si>
  <si>
    <t>2-s2.0-85116552084"</t>
  </si>
  <si>
    <t>10.1016/j.ijdrr.2021.102592</t>
  </si>
  <si>
    <t>https://www.scopus.com/inward/record.uri?eid=2-s2.0-85115329997&amp;doi=10.1016%2fj.ijdrr.2021.102592&amp;partnerID=40&amp;md5=0c03cb501df54eb5e2c09b302048ff97</t>
  </si>
  <si>
    <t>The participatory approach to Disaster Risk Management (DRM) considers socio-economic factors and facilitates the incorporation of local and indigenous knowledge into management plans while offering an opportunity to all resource users to have an input. Caribbean WaterNet/Cap-Net UNDP, Global Water Partnership-Caribbean (GWP-C), and the Faculty of Food and Agriculture, The University of the West Indies (FFA, UWI) conducted a series of regional training of trainers’ workshops in Integrated Urban Flood Risk Management and Drought Risk Management to build regional capacity in this approach. The trainings took place over two years in six (6) Caribbean Small Island Developing States (SIDS). Over 150 persons from a range of sectors relevant to water resource management participated and contributed. The workshop gathered information on sectoral impacts, potential mitigation measures and challenges of hydro-climatic hazards. Capacity building and knowledge transfer was evaluated at two stages</t>
  </si>
  <si>
    <t>10.3390/rs13244957</t>
  </si>
  <si>
    <t>https://www.scopus.com/inward/record.uri?eid=2-s2.0-85120956558&amp;doi=10.3390%2frs13244957&amp;partnerID=40&amp;md5=d9cf97afe7729a0335396618ccd544b0</t>
  </si>
  <si>
    <t>The Indian Sundarbans, together with Bangladesh, comprise the largest mangrove forest in the world. Reclamation of the mangroves in this region ceased in the 1930s. However, they are still subject to adverse environmental influences, such as sediment starvation due to migration of the main river channels in the Ganges–Brahmaputra delta over the last few centuries, cyclone landfall, wave action from the Bay of Bengal—changing hydrology due to upstream water diversion—and the pervasive effects of relative sea-level rise. This study builds on earlier work to assess changes from 2000 to 2020 in mangrove extent, genus composition, and mangrove ‘health’ indicators, using various vegetation indices derived from Landsat and MODIS satellite imagery by performing maximum likelihood supervised classification. We show that about 110 km2 of mangroves disappeared within the reserve forest due to erosion, and 81 km2 were gained within the inhabited part of Sundarbans Biosphere Reserve (SBR) through plantation and regeneration. The gains are all outside the contiguous mangroves. However, they partially compensate for the losses of the contiguous mangroves in terms of carbon. Genus composition, analyzed by amalgamating data from published literature and ground-truthing surveys, shows change towards more salt-tolerant genus accompanied by a reduction in the prevalence of freshwater-loving Heiritiera, Nypa, and Sonneratia assemblages. Health indicators, such as the enhanced vegetation index (EVI) and normalized differential vegetation index (NDVI), show a monotonic trend of deterioration over the last two decades, which is more pronounced in the sea-facing parts of the mangrove forests. An increase in salinity, a temperature rise, and rainfall reduction in the pre-monsoon and the post-monsoon periods appear to have led to such degradation. Collectively, these results show a decline in mangrove area and health, which poses an existential threat to the Indian Sundarbans in the long term, especially under scenarios of climate change and sea-level rise. Given its unique values, the policy process should acknowledge and address these threats. © 2021 by the authors. Licensee MDPI, Basel, Switzerland.</t>
  </si>
  <si>
    <t>2-s2.0-85120956558"</t>
  </si>
  <si>
    <t>10.1007/s11625-021-01036-4</t>
  </si>
  <si>
    <t>https://www.scopus.com/inward/record.uri?eid=2-s2.0-85116492770&amp;doi=10.1007%2fs11625-021-01036-4&amp;partnerID=40&amp;md5=bc0400315156d124896132d91872a02f</t>
  </si>
  <si>
    <t>Pakistan is home to a wide range of geographical landscapes, each of which faces different climate change impacts and challenges. This article presents findings from a National Geographic Society funded project, which employed a people-centered, narratives-based approach to study climate impacts and adaptation strategies of people in 19 rural study sites in four provinces of Pakistan (N = 108). The study looked at six climate-related stressors—changes in weather patterns, floods, Glacial Lake Outburst Floods, drought, heat waves, and sea-level rise—in the coastal areas of Sindh, the desert of Thar, the plains of Punjab, and the mountains of Hunza, Gilgit, and Chitral. Speaking to people at these frontlines of climate change revealed much about climate suffering and trauma. Not only is the suffering induced by losses and damages to property and livelihood, but climate impacts also take a heavy toll on people’s psycho-social wellbeing, particularly when they are displaced from their homes. The findings further demonstrate that people try to adapt in various ways, for instance by altering their agricultural practices, but they face severe barriers to effective adaptation action. Understanding people’s perceptions of climate change and incorporating their recommendations in adaptation planning can help policy-makers develop a more participatory, inclusive, and holistic climate resilience framework for the future. © 2021, The Author(s).</t>
  </si>
  <si>
    <t>2-s2.0-85116492770"</t>
  </si>
  <si>
    <t>10.3390/land10080853</t>
  </si>
  <si>
    <t>https://www.scopus.com/inward/record.uri?eid=2-s2.0-85113751303&amp;doi=10.3390%2fland10080853&amp;partnerID=40&amp;md5=dfadbc9e957738df9d614b4c4601f1a8</t>
  </si>
  <si>
    <t>Coastal areas are often subject to the severe consequences of flooding from intense storms or hurricanes. Increases in coastal development have amplified both flooding intensity and negative impacts for coastal communities. Reductions in pervious land cover and replacement with impervious ones have reduced the amount of ecosystem services. This research examines the services provided by nature-based solutions by applying outputs from Co$ting Nature models into suitability models to quantify ecosystem services along the Texas Coast. Results show that only around 13% of the Houston-Galveston coastal area has relatively high NBS, and nearly ¼ of the area shows relatively low NBS. The majority of the areas lie in the middle, which, due to increases in development, are at particular risk for becoming areas offering low NBS in the future if not treated. Such vulnerability assessment informs future implementation strategies for NBS in coastal communities to protect people and property from flooding. © 2021 by the authors. Licensee MDPI, Basel, Switzerland.</t>
  </si>
  <si>
    <t>2-s2.0-85113751303"</t>
  </si>
  <si>
    <t>10.1016/j.geomorph.2021.107767</t>
  </si>
  <si>
    <t>https://www.scopus.com/inward/record.uri?eid=2-s2.0-85107629412&amp;doi=10.1016%2fj.geomorph.2021.107767&amp;partnerID=40&amp;md5=c80aa77c65e3fb38c25aab880a77858a</t>
  </si>
  <si>
    <t>Coastal dunes are sensitive to both anthropic and natural processes of erosion. In this study, we analyse the geomorphic changes in 15 dune-fringed coastlines of Asturias (NW Spain) for the period 1992 to 2014 to determine specific drivers of erosion. Coastline migration patterns were obtained using geospatial analysis of vertical aerial images and field surveys. The annual and maximum wave energy, maximum significant wave height, duration and number of storm events were determined for each climatic year by using available wave data from both recorded buoy data (1997–2014) and the WAM numerical model (1956–2015). The study shows that since 2006, coastline retreat has significantly accelerated along the Asturias coast. In particular, severe erosion of sandy beaches and dunes occurred in 2013/14, reaching up to 40 m of coastline retreat and destroying numerous ports and seafront promenades. Increased frequency of unusually strong storm waves, with significant wave height (Hs) exceeding 9 m, together with an unusual 5° westward variation from the mode in offshore wave approach direction during these storms, appear to be the main catalysts in heightened erosion capacity of storm waves in the 2013/14 period. This resulted in the removal of small dune areas and a severe recession in the easternmost part of the largest (natural) dune fields in the region. Under these stormy periods, foredunes and climbing dunes developed notably pronounced escarpments and blowouts, with sand subsequently relocated into the foreshore and backshore zones. This study demonstrated that increased frequency in powerful storm events (Hs &gt; 9 m) and an alteration in storm approach direction, can lead to significantly enhanced erosion of dune coastlines, even along those that are modally-attuned to high energy events. © 2021 Elsevier B.V.</t>
  </si>
  <si>
    <t>2-s2.0-85107629412"</t>
  </si>
  <si>
    <t>10.1007/s12517-021-08357-9</t>
  </si>
  <si>
    <t>https://www.scopus.com/inward/record.uri?eid=2-s2.0-85115187841&amp;doi=10.1007%2fs12517-021-08357-9&amp;partnerID=40&amp;md5=d90e25335e59dbb55ba1757b2aef850f</t>
  </si>
  <si>
    <t>Tsunami evacuation is a short process that must be carried out in minutes. Determining the evacuation routes and safe areas is equally important in tsunami evacuation planning. It can be established from least cost distance (LCD) anisotropic model. We use the coastal of Drini, Gunungkidul, Java, Indonesia, as the study area, which is located in a tropical coastal karst region, with a typical karst cone formation. The topographic condition of the karst cone could be an ideal location for tsunami vertical evacuation (TVE). High-resolution orthomosaic images and digital elevation model (DEM) generated from the structure from motion (SfM) process were used as the main data. The tsunami inundation model was calculated based on neighboring operations using raster calculator from the elevation value in the DEM. Land cover identification from high-scale orthomosaic images showed the variation in speed conservation values (SCVs). The slope value was also used as a surface cost that will affect the travel time to the TVE shelters. The results of the model show that TVE is the main alternative in tsunami evacuation planning beside horizontal evacuation. They provide an evaluation of the location of the assembly points and evacuation routes provided by the government, which have been considered ineffective because of the inappropriate model. The results of the study provide an overview of determining the evacuation routes and shelters. Optimum locations can minimize travel time, provide adequate capacity, and be safe from inundation. © 2021, Saudi Society for Geosciences.</t>
  </si>
  <si>
    <t>2-s2.0-85115187841"</t>
  </si>
  <si>
    <t>10.1029/2020JC016869</t>
  </si>
  <si>
    <t>https://www.scopus.com/inward/record.uri?eid=2-s2.0-85115741484&amp;doi=10.1029%2f2020JC016869&amp;partnerID=40&amp;md5=141a14939937a87590cd29600fdc2434</t>
  </si>
  <si>
    <t>Joint effects of the dynamic sea-level rise projected changes in the large-scale atmosphere/ocean circulation, and wave climate on hurricane-induced extreme water levels in the Caribbean region are assessed. We use the 2D-depth integrated ADCIRC + SWAN wave-ocean model, baroclinically coupled to an ocean-eddying version of the Community Earth System Model, to compare impacts of the September 2017 hurricanes with projected impacts of similar hypothetical tropical storms occurring in the future. The model predicts only minor changes in the hurricane-induced extreme water levels for those Caribbean islands which were severely devastated by the 2017 tropical storms (Irma and Maria). That is, provided that the hurricane intensity remains at the present-day level, the global mean sea-level rise is the main future coastal flood risk factor. © 2021. American Geophysical Union. All Rights Reserved.</t>
  </si>
  <si>
    <t>2-s2.0-85115741484"</t>
  </si>
  <si>
    <t>10.5194/acp-21-11857-2021</t>
  </si>
  <si>
    <t>https://www.scopus.com/inward/record.uri?eid=2-s2.0-85112731847&amp;doi=10.5194%2facp-21-11857-2021&amp;partnerID=40&amp;md5=cd5d02d19beb9ccdc9f492ed07afdfc3</t>
  </si>
  <si>
    <t>The western Mediterranean Sea area is frequently affected in autumn by heavy precipitation events (HPEs). These severe meteorological episodes, characterized by strong offshore low-level winds and heavy rain in a short period of time, can lead to severe flooding and wave-submersion events. This study aims to progress towards an integrated short-range forecast system via coupled modeling for a better representation of the processes at the air-sea interface. In order to identify and quantify the coupling impacts, coupled ocean-atmosphere-wave simulations were performed for a HPE that occurred between 12 and 14 October 2016 in the south of France. The experiment using the coupled AROME-NEMO-WaveWatchIII system was notably compared to atmosphere-only, coupled atmosphere-wave and ocean-atmosphere simulations. The results showed that the HPE fine-scale forecast is sensitive to both couplings: the interactive coupling with the ocean leads to significant changes in the heat and moisture supply of the HPE that intensify the convective systems, while coupling with a wave model mainly leads to changes in the low-level dynamics, affecting the location of the convergence that triggers convection over the sea. Result analysis of this first case study with the AROME-NEMO-WaveWatchIII system does not clearly show major changes in the forecasts with coupling and highlights some attention points to follow (ocean initialization notably). Nonetheless, it illustrates the higher realism and potential benefits of kilometer-scale coupled numerical weather prediction systems, in particular in the case of severe weather events over the sea and/or in coastal areas, and shows their affordability to confidently progress towards operational coupled forecasts. © Author(s) 2021.</t>
  </si>
  <si>
    <t>2-s2.0-85112731847"</t>
  </si>
  <si>
    <t>10.3390/geosciences11100420</t>
  </si>
  <si>
    <t>https://www.scopus.com/inward/record.uri?eid=2-s2.0-85117363147&amp;doi=10.3390%2fgeosciences11100420&amp;partnerID=40&amp;md5=10bc6cbd408ec23469f528ba266165ef</t>
  </si>
  <si>
    <t>Tidal flood risk threatens coastal urban areas and their agriculture and aquaculture, including salt farming. There is, therefore, an urgency to map and portray risk to reduce casualties and loss. In the floodplain of Cirebon, West Java, where salt farming dominates the landscape, this type of flooding has frequently occurred and disrupted the local economy. Based on two recorded events in 2016 and 2018 as benchmarks, this paper formulates an innovative approach to analyze tidal flood risk in salt farming areas. Our study considers the fundamental concepts of hazard and vulnerability, then uses selective parameters for evaluation in an Analytical Hierarchical Process (AHP)-based Geographic Information System. The analytical process includes weighting criteria judged by experts and uses the resulting values to define the spatial characteristics of each salt par-cel. Our high-resolution simulations show that the two flood events in 2016 and 2018 affected almost all salt production areas, particularly in the eastern, middle, and western parts of the Cirebon flood-plain, although to very different degrees. The study also uses a physical-based approach to validate these results. The damage estimates show a strong positive correlation for economic loss (r = 0.81, r = 0.84). Finally, the study suggests that our multi-methods approach to assessing tidal flood risk should be considered in disaster mitigation planning and integrated coastal zone management in salt farming areas. © 2021 by the authors. Licensee MDPI, Basel, Switzerland.</t>
  </si>
  <si>
    <t>2-s2.0-85117363147"</t>
  </si>
  <si>
    <t>10.3389/fclim.2021.609688</t>
  </si>
  <si>
    <t>https://www.scopus.com/inward/record.uri?eid=2-s2.0-85114728344&amp;doi=10.3389%2ffclim.2021.609688&amp;partnerID=40&amp;md5=c07d438a0fc7562c136c027e31ca9014</t>
  </si>
  <si>
    <t>In this study, a parallel extension of the Coastal and Estuarine Storm Tide (CEST) model is developed and applied to simulate the storm surge tide at South Florida induced by hurricane Irma occurred in 2017. An improvement is also made to the existing advection algorithm in CEST. This is achieved through the introduction of high-order, monotone Semi-Lagrangian advection. Distributed memory parallelization is developed via the Message Passing Interface (MPI) library. The parallel CEST model can therefore be run efficiently on machines ranging from multicore laptops to massively High Performance Computing (HPC) system. The principle advantage of being able to run the CEST model on multiple cores is that relatively low run-time is possible for real world storm surge simulations on grids with high resolution, especially in the locality where the hurricane makes landfall. The computational time is critical for storm surge model forecast to finish simulations in 30 min, and results are available to users before the arrival of the next advisory. In this study, simulation of hurricane Irma induced storm surge was approximately 22 min for 4 day simulation, with the results validated by field measurements. Further efficiency analysis reveals that the parallel CEST model can achieve linear speedup when the number of processors is not very large. Copyright © 2021 Li, Chen, Kelly and Zhang.</t>
  </si>
  <si>
    <t>2-s2.0-85114728344"</t>
  </si>
  <si>
    <t>10.31035/cg2021060</t>
  </si>
  <si>
    <t>https://www.scopus.com/inward/record.uri?eid=2-s2.0-85119362127&amp;doi=10.31035%2fcg2021060&amp;partnerID=40&amp;md5=1d4f3a5fa67269ea3f0d1b2c8f35495b</t>
  </si>
  <si>
    <t>The Luanhe River Delta is located in the center of the Circum-Bohai Sea Economic Zone. It enjoys rapid economic and social development while suffering relatively water scarcity. The overexploitation of groundwater in the Luanhe River Delta in recent years has caused the continuous drop of groundwater level and serious environmental and geological problems. This study systematically analyzes the evolution characteristics of the population, economy, and groundwater exploitation in the Luanhe River Delta and summarizes the change patterns of the groundwater flow regime in different aquifers in the Luanhe River Delta according to previous water resource assessment data as well as the latest groundwater survey results. Through comparison of major source/sink terms and groundwater resources, the study reveals the impacts of human activities on the groundwater resources and ecological environment in the study area over the past 30 years from 1990 to 2020. The results are as follows. The average annual drop rate of shallow groundwater and the deep groundwater in the centers of depression cones is 0.4 m and 1.64 m, respectively in the Luanhe River Delta in the past 30 years. The depression cones of shallow and deep groundwater in the study area cover an area of 545.32 km2 and 548.79 km2, respectively, accounting for more than 10% of the total area of the Luanhe River Delta. Overexploitation of groundwater has further aggravated land subsidence. As a result, two large-scale subsidence centers have formed, with a maximum subsidence rate of up to 120 mm/a. The drop of groundwater level has induced some ecological problems in the Luanhe River Delta area, such as the zero flow and water quality deterioration of rivers and continuous shrinkage of natural wetlands and water. Meanwhile, the proportion of natural wetland area to the total wetland area has been decreased from 99% to 8% and the water area from 1776 km2 to 263 km2. These results will provide data for groundwater overexploitation control, land subsidence prevention, and ecological restoration in plains and provide services for water resources management and national land space planning. © 2021 China Geology Editorial Office. © 2021 Editorial Office of China Geology. Publishing services by Elsevier B.V. on behalf of KeAi Communications Co. Ltd.</t>
  </si>
  <si>
    <t>2-s2.0-85119362127"</t>
  </si>
  <si>
    <t>10.1007/s12145-021-00647-w</t>
  </si>
  <si>
    <t>https://www.scopus.com/inward/record.uri?eid=2-s2.0-85112217234&amp;doi=10.1007%2fs12145-021-00647-w&amp;partnerID=40&amp;md5=ddc8b904530c2984042e13ba9ffbf025</t>
  </si>
  <si>
    <t>Urban flood models that use Digital Elevation Models (DEMs) to simulate extent and depth of flood inundation rely on the accuracy of DEMs for predicting flood events. Despite recent advances in developing vegetation corrected DEMs, the effect of building height and density errors in global DEMs in urban areas are still poorly understood, and their correction remains a challenge. In this research we developed a methodology for building error correction that can be applied to any other case study, where building density data and a local reference DEM data are available. This methodology was applied to Nairobi, Kenya using six global DEMs (SRTM, MERIT, ALOS, NASADEM, TanDEM-X 12 m, and TanDEM-X 90 m DEM). Our results show building error at highest building density varying between 1.25 m and 5.07 m for the DEMs used, with the MERIT DEM showing the smallest vertical height error from the reference DEM. The six DEMs were corrected by deriving a linear relationship between building density and DEM error. Our findings show that the removal of building density error resulted in the improvement of the vertical height accuracy of the global DEMs of up to 45% for MERIT and 40% for ALOS. This methodology was also applied to the Central Business District (CBD) area of Nairobi, characterized by taller buildings and high building density. The error parameters in the CBD area resulted to be between 15 to 45% higher than those of the Nairobi city wide area for the six global DEMs, thus providing further insights into the contribution of building heights to errors in global DEMs. Building height data is still unavailable on a global scale and our results show that global DEMs can be usefully corrected for building density errors in urban areas, even where specific building height data are not available. © 2021, The Author(s).</t>
  </si>
  <si>
    <t>2-s2.0-85112217234"</t>
  </si>
  <si>
    <t>10.1134/S0097807821040023</t>
  </si>
  <si>
    <t>https://www.scopus.com/inward/record.uri?eid=2-s2.0-85114856262&amp;doi=10.1134%2fS0097807821040023&amp;partnerID=40&amp;md5=03e2329b114d69d731ed7a9752bedfa2</t>
  </si>
  <si>
    <t>Abstract: Detail 3D digital elevation model with a high-accuracy efficient software for 2D-modeling STREAM 2D CUDA and actual data on high-water marks and the dynamics of water level variations during a flood in 2019 on the Iya R. near Tulun Town were used to evaluate the maximal water flow rate and to plot the hydrograph of extreme flood near Tulun Town. The calculated complex dynamics of the inundation of the town located in a diked river bend showed a good agreement with observation data. © 2021, Pleiades Publishing, Ltd.</t>
  </si>
  <si>
    <t>2-s2.0-85114856262"</t>
  </si>
  <si>
    <t>10.3390/rs13163123</t>
  </si>
  <si>
    <t>https://www.scopus.com/inward/record.uri?eid=2-s2.0-85112545708&amp;doi=10.3390%2frs13163123&amp;partnerID=40&amp;md5=67649f8367acfbcae0747084a84f495d</t>
  </si>
  <si>
    <t>Pearl River Delta (PRD), as one of the most densely populated regions in the world, is facing both natural changes (e.g., sea level rise) and human-induced changes (e.g., dredging for navigation and land reclamation). Bathymetric information is thus important for the protection and management of the estuarine environment, but little effort has been made to comprehensively evaluate the performance of different methods and datasets. In this study, two linear regression models—the linear band model and the log-transformed band ratio model, and two non-linear regression models—the support vector regression model and the random forest regression model—were applied to Landsat 8 (L8) and Sentinel-2 (S2) imagery for bathymetry mapping in 2019 and 2020. Results suggested that a priori area clustering based on spectral features using the K-means algorithm improved estimation accuracy. The random forest regression model performed best, and the three-band combinations outperformed two-band combinations in all models. When the non-linear models were applied with three-band combination (red, green, blue) to L8 and S2 imagery, the Root Mean Square Error (Mean Absolute Error) decreased by 23.10% (35.53%), and the coefficient of determination (Kling-Gupta efficiency) increased by 0.08 (0.09) on average, compared to those using the linear regression models. Despite the differences in spatial resolution and band wavelength, L8 and S2 performed similarly in bathymetry estimation. This study quantified the relative performance of different models and may shed light on the potential combination of multiple data sources for more timely and accurate bathymetry mapping. © 2021 by the authors. Licensee MDPI, Basel, Switzerland. This article is an open access article distributed under the terms and conditions of the Creative Commons Attribution (CC BY) license (https:// creativecommons.org/licenses/by/ 4.0/).</t>
  </si>
  <si>
    <t>2-s2.0-85112545708"</t>
  </si>
  <si>
    <t>10.1007/s11069-021-04817-3</t>
  </si>
  <si>
    <t>https://www.scopus.com/inward/record.uri?eid=2-s2.0-85107437039&amp;doi=10.1007%2fs11069-021-04817-3&amp;partnerID=40&amp;md5=6e5c8a3fb2ad236d586708798d16bda4</t>
  </si>
  <si>
    <t>Floods are the most frequent natural disaster and pose a very challenging threat to many cities worldwide. Understanding the flood dynamic is essential for developing strategies to reduce its risk and damages, thus ensuring the cities’ protection. This study evaluated the Capibaribe River basin's hydrological response to extreme events and its impact on the city of Recife, in the northeast of Brazil. The CAWM IV and HEC-HMS models were coupled with a high-resolution 2D HEC-RAS model to simulate the flood events of 1975 and 2011 in Recife. CAWM IV is a newly developed hydrological model that presented very promising results for the data-scarce watersheds of the Brazilian semiarid region. For the 2D hydrodynamic modeling, 1-m LiDAR DEM was used. A reservoir operation model was also applied to assess the effect of the basin's main reservoirs on the water system upstream from Recife. Lastly, the 2011 flood event was simulated under the scenario of an absence of this reservoir system. The strategy used to address flooding simulation in an urban area proved to be satisfactory. Of the events simulated with CAWM IV, 60% have at least a satisfactory adjustment with NSEsqrtQ coefficients greater than 0.36 in 95% of cases. With the reservoir operation model, it was possible to calculate the peak flow of the events of 1975 and 2011 as being 2574 and 731 m3/s, respectively. The 2D HEC-RAS model presented a measure of fit of approximately 0.7. The study showed that the reservoir system was responsible for reducing flood extent by 70.3% in the 2011 event, but even with this system, this event still caused a flood covering an area of 6.01 km2. The results indicate that although the reservoirs prevent severe flooding in the lower course of the Capibaribe River, Recife is still vulnerable to flooding. © 2021, The Author(s), under exclusive licence to Springer Nature B.V.</t>
  </si>
  <si>
    <t>2-s2.0-85107437039"</t>
  </si>
  <si>
    <t>10.1016/j.jsames.2021.103327</t>
  </si>
  <si>
    <t>https://www.scopus.com/inward/record.uri?eid=2-s2.0-85103090493&amp;doi=10.1016%2fj.jsames.2021.103327&amp;partnerID=40&amp;md5=1d91ed091cdaa3051c33cffcd23bec3a</t>
  </si>
  <si>
    <t>Richly fossiliferous upper Oligocene to lower Miocene Patagoniense marine deposits constitute a conspicuous feature of the sedimentary record of most basins in Patagonia. Patagoniense meaning and subdivisions have been confusing, and correlation and elucidation of factors controlling sedimentation in a region as extensive as Patagonia are still highly debated. Our revision of the distribution, correlation, stratigraphic arrangement, and timing of deposition, allows redefining the Patagoniense as a succession of widely distributed marine sediments accumulated in Patagonia from ~25 to 15 Ma, showing different timing of accumulation for each basin. It can also be conceived as a higher rank stratigraphic cycle of relative sea-level fluctuation, which comprises two medium rank stratigraphic cycles spanning 2–4 Myr each, in turn enclosing several lower rank cycles of less than 1 Myr. The late Oligocene (~25-23 Ma) medium rank cycle shows deposits restricted mostly to the coastal area of Tierra del Fuego and Santa Cruz provinces in the Austral-Magallanes Basin, which respond to a combination of global sea-level fluctuations and flexural subsidence. The overlying early Miocene (~22-15 Ma) medium rank cycle comprises sediments deposited over extensive areas of Patagonia with a maximum flooding at 20-19 Ma suggesting, in addition to tectonic subsidence in the Austral-Magallanes Basin, regional long-wavelength subsidence and a global sea level component for this episode. The timing and thickness of the regressive part of this cycle show differences for each basin, suggesting the action of local sedimentary controls such as differential rates of sediment supply. Further geochronological and stratigraphic studies are necessary, especially for the northern exposures, which will allow improving time-constrained paleogeographic reconstructions. © 2021 Elsevier Ltd</t>
  </si>
  <si>
    <t>2-s2.0-85103090493"</t>
  </si>
  <si>
    <t>10.1021/acs.estlett.1c00432</t>
  </si>
  <si>
    <t>https://www.scopus.com/inward/record.uri?eid=2-s2.0-85111513245&amp;doi=10.1021%2facs.estlett.1c00432&amp;partnerID=40&amp;md5=9489069260c8b39d827752edd77d1a55</t>
  </si>
  <si>
    <t xml:space="preserve">In coastal environments, sea level rise (SLR) will likely alter reactions between organic matter (OM) and iron (Fe) minerals. A molecular understanding of OM-Fe reactions in complex ionic matrices such as seawater is lacking. We investigated the temporal molecular composition and adsorption of coastal OM to ferrihydrite (Fh) over 24 h in low-ionic strength water (LIW) (I = 0.0009 M), mid-ionic strength water (MIW) (I = 0.003 M) (freshwater proxy), and high-ionic strength water (HIW) (I = 0.6 M) (seawater proxy). Adsorbed OM concentrations significantly (p &lt; 0.05) decreased in HIW (2.12 ± 0.03 mg C/g Fh), compared to those in MIW (3.24 ± 0.56 mg C/g Fh) and LIW (3.74 ± 0.36 mg C/g Fh). In combination with adsorbed ions in HIW (9-195 mg/g Fh) compared to adsorbed ions in MIW and LIW (0.02-0.9 mg/g Fh), an ionic strength threshold is evident. This threshold effect was reflected in the dynamic molecular composition of OM, characterized via Fourier transform ion cyclotron mass spectrometry. In LIW and MIW, rapid sequential adsorption of polycyclic aromatic and phenolic compounds occurred, followed by increasing adsorption of highly unsaturated compounds. Conversely, OM in HIW did not exhibit observable selective adsorption. Overall, limited OM adsorption and indiscriminate fractionation as a result of SLR will likely impact carbon cycling.  © </t>
  </si>
  <si>
    <t>2-s2.0-85111513245"</t>
  </si>
  <si>
    <t>10.5194/tc-15-4421-2021</t>
  </si>
  <si>
    <t>https://www.scopus.com/inward/record.uri?eid=2-s2.0-85115019859&amp;doi=10.5194%2ftc-15-4421-2021&amp;partnerID=40&amp;md5=70193b7ac52bc8b15caab18fbf68bb08</t>
  </si>
  <si>
    <t>The Antarctic Peninsula (AP) is one of the widely studied polar regions because of its sensitivity to climate change and potential contribution of its glaciers to global sea level rise. Precise digital elevation models (DEMs) at a high spatial resolution are much demanded for investigating the complex glacier system of the AP at fine scales. However, the two most recent circum-Antarctic DEMs, the 12 m TanDEM-X DEM (TDM DEM) from bistatic interferometric synthetic aperture radar (InSAR) data acquired between 2013 and 2014 and the Reference Elevation Model of Antarctica mosaic (REMA mosaic) at an 8 m spatial resolution derived from optical data acquired between 2011 and 2017 have specific individual limitations in this area. The TDM DEM has the advantage of good data consistency and few data voids (approx. 0.85 %), but there exist residual systematic elevation errors such as phase-unwrapping errors in the non-edited DEM version. The REMA mosaic has high absolute vertical accuracy, but on the AP it suffers from extended areas with data voids (approx. 8 %). To generate a consistent, gapless and high-resolution topography product of the AP, we fill the data voids in the TDM DEM with newly processed TDM raw DEM data acquired in austral winters of 2013 and 2014 and detect and correct the residual systematic elevation errors (i.e., elevation biases) in the TDM DEM with the support of the accurately calibrated REMA mosaic. Instead of a pixelwise replacement with REMA mosaic elevations, these provide reference values to correct the TDM elevation biases over entire regions detected through a path propagation algorithm. The procedure is applied iteratively to gradually correct the errors in the TDM DEM from a large to small scale. The proposed method maintains the characteristics of an InSAR-generated DEM and is minimally influenced by temporal or penetration differences between the TDM DEM and REMA mosaic. The performance of the correction is evaluated with laser altimetry data from Operation IceBridge and ICESat-2 missions. The overall root mean square error (RMSE) of the corrected TDM DEM has been reduced from more than 30 m to about 10 m which together with the improved absolute elevation accuracy indicates comparable values to the REMA mosaic. The generated high-resolution DEM depicts the up-to-date topography of the AP in detail and can be widely used for interferometric applications as well as for glaciological studies on individual glaciers or at regional scales.  © 2021 Yuting Dong et al.</t>
  </si>
  <si>
    <t>2-s2.0-85115019859"</t>
  </si>
  <si>
    <t>10.1007/s11069-021-04853-z</t>
  </si>
  <si>
    <t>https://www.scopus.com/inward/record.uri?eid=2-s2.0-85108630866&amp;doi=10.1007%2fs11069-021-04853-z&amp;partnerID=40&amp;md5=147bc35ad7016212eefbe8e0268fb837</t>
  </si>
  <si>
    <t>Climate change leads to sea level rise worldwide, as well as increases in the intensity and frequency of tropical cyclones (TCs). Storm surge induced by TC’s, together with spring tides, threatens to cause failure of flood defenses, resulting in massive flooding in low-lying coastal areas. However, limited research has been done on the combined effects of the increasing intensity of TCs and sea level rise on the characteristics of coastal flooding due to the failure of sea dikes. This paper investigates the spatial variation of coastal flooding due to the failure of sea dikes subject to past and future TC climatology and sea level rise, via a case study of a low-lying deltaic city- Shanghai, China. Using a hydrodynamic model and a spectral wave model, storm tide and wave parameters were calculated as input for an empirical model of overtopping discharge rate. The results show that the change of storm climatology together with relative sea level rise (RSLR) largely exacerbates the coastal hazard for Shanghai in the future, in which RSLR is likely to have a larger effect than the TC climatology change on future coastal flooding in Shanghai. In addition, the coastal flood hazard will increase to a large extent in terms of the flood water volume for each corresponding given return period. The approach developed in this paper can also be utilized to investigate future flood risk for other low-lying coastal regions. © 2021, The Author(s).</t>
  </si>
  <si>
    <t>2-s2.0-85108630866"</t>
  </si>
  <si>
    <t>10.2112/JCR-SI114-044.1</t>
  </si>
  <si>
    <t>https://www.scopus.com/inward/record.uri?eid=2-s2.0-85116898586&amp;doi=10.2112%2fJCR-SI114-044.1&amp;partnerID=40&amp;md5=159f5f3bdc5ced02fd8a311ef9cc1dfa</t>
  </si>
  <si>
    <t>The effects of high waves should be considered to accurately interpret storm surges occurring in coastal areas; however, the general theory is that the rise in water level due to radiation stress would have little impact on the west and south coasts of South Korea because waves tend to be considerably attenuated due to the topographic characteristics of the rias style coast. However, in a study by Mase et al. (2011), the storm surge owing to Typhoon Isewan was predicted; the results obtained indicated that the water level considerably rose due to the effects of waves even in Nagoya Bay, where high waves do not develop due to topographic characteristics. Therefore, the present study aimed to build a storm surge model for the southeastern coast (rias style) of South Korea and to examine the sensitivity of the wave to the rise in water level. By examining the typhoon, a rise in water level due to radiation stress was observed in some areas on the southeastern coast of South Korea. This result suggests the necessity of a storm surge analysis considering the effect of high waves even in areas where they do not develop due to topographic characteristics.</t>
  </si>
  <si>
    <t>10.2166/wcc.2021.322</t>
  </si>
  <si>
    <t>https://www.scopus.com/inward/record.uri?eid=2-s2.0-85111586989&amp;doi=10.2166%2fwcc.2021.322&amp;partnerID=40&amp;md5=13eaf0d6f8783d8a53b6d63bb360382b</t>
  </si>
  <si>
    <t>Wastewater treatment plants (WWTPs) are among the most important infrastructures, especially in coastal cities with a risk of flooding. During intense floods, runoff volume may exceed the capacity of a WWTP causing plant failures. This paper investigates the impacts of flooding on combined sewer overflows (CSOs) in a WWTP in New York City. The impacts of CSOs after flooding are classified into four categories of health, economic, social, and environmental factors. Different factors are defined to evaluate the impacts of CSOs using multi-criteria decision-making of Preference Ranking Organization Method For Enrichment Evaluation and fuzzy technique for order performance by similarity to ideal solution. Since volume and depth were found to be the most significant factors for the CSO impact assessment, the Gridded Surface Subsurface Hydrologic Analysis model was run to compute flood depth and CSO volume under three treatment plant failure scenarios considering the Hurricane Sandy information. Sensitivity analysis revealed that the Total Suspended Solids (TSS), Biochemical Oxygen Demand (BOD), and dissolved oxygen have the highest impacts on CSO. Uncertainty analysis was applied to investigate CSO impact variation. Results show that evaluating the impacts of CSOs in different aspects can help improve the efficiency of flood planning and management during storms. © 2021 The Authors.</t>
  </si>
  <si>
    <t>2-s2.0-85111586989"</t>
  </si>
  <si>
    <t>10.1016/j.scitotenv.2021.147644</t>
  </si>
  <si>
    <t>https://www.scopus.com/inward/record.uri?eid=2-s2.0-85106302756&amp;doi=10.1016%2fj.scitotenv.2021.147644&amp;partnerID=40&amp;md5=c2ddeb6857b2393a73f0b64301171e12</t>
  </si>
  <si>
    <t>Wetlands provide a broad range of ecosystem services, such as flood control, groundwater replenishment, and water purification. These services are particularly important in the Yellow River Delta, one of four estuarine deltas in China. The aim of this study was to examine the patterns and drivers forces of wetland landscape in the Yellow River Delta. We analyzed the spatio-temporal characteristics of land use change and dynamic landscape patterns changes between 1980 and 2018, divided into eight periods, from land use and remote sensing data. We also analyzed data for annual precipitation, annual temperature, annual evapotranspiration, digital elevation, slope, distance from the main river, built-up land, GDP, and population with principal component analysis, to identify the main drivers behind the changes in the wetland landscape. The results showed that, from 1980 to 2018, the total area of wetland decreased first and then increased the total area of wetland increased and was 1172.73 km2 greater in 2018 than it was in 1980, and the types of wetland in the Yellow River Delta changed frequently. From 1980 to 2005, the area of wetland decreased and the landscape dominance and degree of fragmentation were relatively high. From 2006 to 2018, as environmental policies were implemented and wetland protection became more important, the rate of development of wetland areas increased in a north–south direction, the proportion of landscape types became more balanced, and the spatial distribution homogenized. The main drivers of change in the wetland landscapes were GDP, population, precipitation, and temperature which were included 81.852% of the original information. The findings from this study provide us with an improved understanding of how land use and wetland landscapes changed from 1980 and 2018 and may have implications for the protection of wetland ecosystems, species diversity, and sustainable development. © 2021 Elsevier B.V.</t>
  </si>
  <si>
    <t>2-s2.0-85106302756"</t>
  </si>
  <si>
    <t>10.3389/fclim.2021.610062</t>
  </si>
  <si>
    <t>https://www.scopus.com/inward/record.uri?eid=2-s2.0-85120336658&amp;doi=10.3389%2ffclim.2021.610062&amp;partnerID=40&amp;md5=5dace273443a6756254c871458f1016b</t>
  </si>
  <si>
    <t>Coastal flooding poses the greatest threat to human life and is often the most common source of damage from coastal storms. From 1980 to 2020, the top 6, and 17 of the top 25, costliest natural disasters in the U.S. were caused by coastal storms, most of these tropical systems. The Delaware and Chesapeake Bays, two of the largest and most densely populated estuaries in the U.S. located in the Mid-Atlantic coastal region, have been significantly impacted by strong tropical cyclones in recent decades, notably Hurricanes Isabel (2003), Irene (2011), and Sandy (2012). Current scenarios of future climate project an increase in major hurricanes and the continued rise of sea levels, amplifying coastal flooding threat. We look at all North Atlantic tropical cyclones (TC) in the International Best Track Archive for Climate Stewardship (IBTrACS) database that came within 750 km of the Delmarva Peninsula from 1980 to 2019. For each TC, skew surge and storm tide are computed at 12 NOAA tide gauges throughout the two bays. Spatial variability of the detrended and normalized skew surge is investigated through cross-correlations, regional storm rankings, and comparison to storm tracks. We find Hurricanes Sandy (2012) and Isabel (2003) had the largest surge impact on the Delaware and Chesapeake Bay, respectively. Surge response to TCs in upper and lower bay regions are more similar across bays than to the opposing region in their own bay. TCs that impacted lower bay more than upper bay regions tended to stay offshore east of Delmarva, whereas TCs that impacted upper bay regions tended to stay to the west of Delmarva. Although tropical cyclones are multi-hazard weather events, there continues to be a need to improve storm surge forecasting and implement strategies to minimize the damage of coastal flooding. Results from this analysis can provide insight on the potential regional impacts of coastal flooding from tropical cyclones in the Mid-Atlantic. Copyright © 2021 Callahan, Leathers and Callahan.</t>
  </si>
  <si>
    <t>2-s2.0-85120336658"</t>
  </si>
  <si>
    <t>Natural Areas Journal</t>
  </si>
  <si>
    <t>10.3375/043.041.0303</t>
  </si>
  <si>
    <t>https://www.scopus.com/inward/record.uri?eid=2-s2.0-85112114064&amp;doi=10.3375%2f043.041.0303&amp;partnerID=40&amp;md5=250f2ce72caaab2434be6486ce8c472e</t>
  </si>
  <si>
    <t>Reed canarygrass (Phalaris arundinacea) is invasive in temperate freshwater wetlands throughout the United States and Canada and presents challenges to restoring tidal freshwater wetlands. Methods for the prevention or elimination of reed canarygrass in palustrine wetlands are generally well established, typically involving herbicide application, mechanical treatments, prolonged inundation, or establishment of competitive plant species. These methods are often not suitable for the unique conditions in tidal wetlands and alternative strategies remain poorly understood. Prolonging inundation of tidal wetlands requires a loss of habitat forming processes, connectivity, and other functions. Treatments such as mowing, discing, or fire are not feasible in the perpetually wet conditions of tidal wetlands. Restoration practitioners aiming to design self-sustaining wetlands in the lower Columbia River estuary and the U.S. Pacific Coast have found that reed canarygrass is widespread and quick to establish post-restoration creating a management burden and impacting restoration goals. Here we report the results of a comprehensive effort to develop methods for control in tidal wetlands through systematic review of the scientific literature, interviews with experienced practitioners, and field observations at nine Pacific Northwest sites. The review framework evaluated key environmental conditions affecting reed canarygrass, control methods, and practical considerations. Findings support an integrated long-term control strategy at the largest possible scale to establish effective and self-sustaining control. Appropriate and practical strategies for tidal freshwater wetlands include implementing control pre-restoration to suppress existing populations</t>
  </si>
  <si>
    <t>10.2112/JCR-SI114-053.1</t>
  </si>
  <si>
    <t>https://www.scopus.com/inward/record.uri?eid=2-s2.0-85116862302&amp;doi=10.2112%2fJCR-SI114-053.1&amp;partnerID=40&amp;md5=5bf5b9aafd4bec0230178e6f42e3adf5</t>
  </si>
  <si>
    <t>The rainfall-runoff simulation based on local conditions is crucial for flood monitoring and mitigation. Although numerous rainfall-runoff models were widely used, only few studies have been applied in coastal regions in South Korea. The major reasons are that model parameters are incorrectly determined, and the peak flooding is overestimated due to extreme rainfall events. In this study, a conceptual rainfall-runoff model, the Probability Distributed Model (PDM), was employed to simulate discharge with an incorporation of combined satellite-, model-, and ground-based soil moisture as an input data. The combined soil moisture data was generated using two renormalization strategies. In this study, we aimed to compare the performances of two optimization techniques associated in the PDM model, including a traditional non-linear and a newly metaheuristics algorithms, for the discharge prediction. The simulation was conducted in a coastal urban region, Hongseong, using the optimized parameter sets for flood events. The simulated results from the PDM model revealed that parameters obtained with the metaheuristics algorithm indicated a superior performance when comparing against the observed runoff data. Moreover, parameter sets obtained by the metaheuristics algorithm and non-linear technique showed significant differences. The method of this study can provide more improvements in rainfall-runoff simulation results for flood management.</t>
  </si>
  <si>
    <t>Research in Urbanism Series</t>
  </si>
  <si>
    <t>10.47982/rius.7.137</t>
  </si>
  <si>
    <t>https://www.scopus.com/inward/record.uri?eid=2-s2.0-85102470298&amp;doi=10.47982%2frius.7.137&amp;partnerID=40&amp;md5=d9c3ef8c61a24d2ba97fa05f98997519</t>
  </si>
  <si>
    <t>‘Building with Nature’ solutions seem like a logical alternative to technical solutions. Working with nature instead of against it might save civil engineering costs. But will it also generate additional civil engineering benefits? Typical engineering benefits are related to flood prevention, transportation and sand mining. Both technical and natural solutions can produce these benefits. Natural solutions, however, may produce additional ecosystem benefits. These are rarely accounted for in investment decisions about engineering projects. This is not surprising as there are no rules stating that and how these benefits should be calculated. The Netherlands is the first country in Europe to install a national guideline for monetising ecosystem benefits within cost-benefit analyses in the public sector. This article shows how this guideline provides a systematic approach to prevent both over- and under-estimations of ecosystem benefits. The key to this approach is to make a distinction between goods and services that directly generate welfare while linking those to conditional functions that indirectly generate welfare. This approach is applied to flood defence in the Scheldt estuary in Belgium. It resulted in benefit estimates that were large enough to compensate for the extra cost of natural solutions. Taking ecosystem benefits into account influenced the flood protection decision of the national government: the natural ‘inundation areas’-solution was preferred to the technical solution of ‘dyke heightening’. © 2021 TU Delft. All rights reserved.</t>
  </si>
  <si>
    <t>2-s2.0-85102470298"</t>
  </si>
  <si>
    <t>Journal of Indonesian Economy and Business</t>
  </si>
  <si>
    <t>10.22146/jieb.v36i3.1395</t>
  </si>
  <si>
    <t>https://www.scopus.com/inward/record.uri?eid=2-s2.0-85124581320&amp;doi=10.22146%2fjieb.v36i3.1395&amp;partnerID=40&amp;md5=3d738b7d5ac7bcc25d4296c3f24074f2</t>
  </si>
  <si>
    <t>Introduction/Main Objectives: This study estimates how much economic value will be lost from contact activities within the coastal areas in the research location. Background Problems: The area of Semarang City has flood and tidal problems, the damage to the mangrove forests in Semarang City began with the boom in shrimp farming between 1980 and 1990. Hopefully, this valuation can provide an overview of the current health of the ecosystem and become the basis for a mangrove management strategy in the future. Novelty: The novelty of this study is that it uses a sharper satellite (Image Pleades Resolution 0.5 m) to calculate the mangrove area in the research location. Research Methods: This research uses a total economic valuation, an estimation of the mangrove's carbon stock and heavy metals, the replacement cost to prevent tidal flooding, and the willingness to pay. Findings/Results: We find that the existing economic value in the study area is very large and should be preserved for conservation. Conclusion: The environment cannot produce something instantly, but it needs to be preserved as a balance to nature. © The author(s) 2019. This work, published by Disputatio [www.disputatio.eu], is an Open Access article distributed under the terms of the Creative Commons License [BY-NC-ND]. The copy, distribution and public communication of this work will be according to the copyright notice (https://disputatio.eu/info/copyright/). For inquiries and permissions, please email: (✉) boletin@disputatio.eu.</t>
  </si>
  <si>
    <t>2-s2.0-85124581320"</t>
  </si>
  <si>
    <t>10.3390/rs13163098</t>
  </si>
  <si>
    <t>https://www.scopus.com/inward/record.uri?eid=2-s2.0-85112254532&amp;doi=10.3390%2frs13163098&amp;partnerID=40&amp;md5=a8b768cd5b1dfb236bba002ca56f3c63</t>
  </si>
  <si>
    <t>In response to increasing Arctic temperatures, ice-rich permafrost landscapes are undergoing rapid changes. In permafrost lowlands, polygonal ice wedges are especially prone to degradation. Melting of ice wedges results in deepening troughs and the transition from low-centered to high-centered ice-wedge polygons. This process has important implications for surface hydrology, as the connectivity of such troughs determines the rate of drainage for these lowland landscapes. In this study, we present a comprehensive, modular, and highly automated workflow to extract, to represent, and to analyze remotely sensed ice-wedge polygonal trough networks as a graph (i.e., network structure). With computer vision methods, we efficiently extract the trough locations as well as their geomorphometric information on trough depth and width from high-resolution digital elevation models and link these data within the graph. Further, we present and discuss the benefits of graph analysis algorithms for characterizing the erosional development of such thaw-affected landscapes. Based on our graph analysis, we show how thaw subsidence has progressed between 2009 and 2019 following burning at the Anaktuvuk River fire scar in northern Alaska, USA. We observed a considerable increase in the number of discernible troughs within the study area, while simultaneously the number of disconnected networks decreased from 54 small networks in 2009 to only six considerably larger disconnected networks in 2019. On average, the width of the troughs has increased by 13.86%, while the average depth has slightly decreased by 10.31%. Overall, our new automated approach allows for monitoring ice-wedge dynamics in unprecedented spatial detail, while simultaneously reducing the data to quantifiable geometric measures and spatial relationships. © 2021 by the authors. Licensee MDPI, Basel, Switzerland.</t>
  </si>
  <si>
    <t>2-s2.0-85112254532"</t>
  </si>
  <si>
    <t>10.3389/fenvs.2021.663275</t>
  </si>
  <si>
    <t>https://www.scopus.com/inward/record.uri?eid=2-s2.0-85112752141&amp;doi=10.3389%2ffenvs.2021.663275&amp;partnerID=40&amp;md5=151ef7b51d34ae32b3872e9141fc1df8</t>
  </si>
  <si>
    <t>The world is urbanizing most rapidly in tropical to sub-temperate areas and in coastal zones. Climate change along with other global change forcings will diminish the opportunities for sustainability of cities, especially in coastal areas in low-income countries. Climate forcings include global temperature and heatwave increases that are expanding the equatorial tropical belt, sea-level rise, an increase in the frequency of the most intense tropical cyclones, both increases and decreases in freshwater inputs to coastal zones, and increasingly severe extreme precipitation events, droughts, freshwater shortages, heat waves, and wildfires. Current climate impacts are already strongly influencing natural and human systems. Because of proximity to several key warming variables such as sea-level rise and increasing frequency and intensity of heatwaves, coastal cities are a leading indicator of what may occur worldwide. Climate change alone will diminish the sustainability and resilience of coastal cities, especially in the tropical-subtropical belt, but combined with other global changes, this suite of forcings represents an existential threat, especially for coastal cities. Urbanization has coincided with orders of magnitude increases in per capita GDP, energy use and greenhouse gas emissions, which in turn has led to unprecedented demand for natural resources and degradation of natural systems and more expensive infrastructure to sustain the flows of these resources. Most resources to fuel cities are extracted from ex-urban areas far away from their point of final use. The urban transition over the last 200 years is a hallmark of the Anthropocene coinciding with large surges in use of energy, principally fossil fuels, population, consumption and economic growth, and environmental impacts such as natural system degradation and climate change. Fossil energy enabled and underwrote Anthropocene origins and fueled the dramatic expansion of modern urban systems. It will be difficult for renewable energy and other non-fossil energy sources to ramp up fast enough to fuel further urban growth and maintenance and reverse climate change all the while minimizing further environmental degradation. Given these trajectories, the future sustainability of cities and urbanization trends, especially in threatened areas like coastal zones in low-income countries in the tropical to sub-tropical belt, will likely diminish. Adaptation to climate change may be limited and challenging to implement, especially for low-income countries. © Copyright © 2021 Day, Gunn and Burger.</t>
  </si>
  <si>
    <t>2-s2.0-85112752141"</t>
  </si>
  <si>
    <t>10.1016/j.jenvman.2021.112948</t>
  </si>
  <si>
    <t>https://www.scopus.com/inward/record.uri?eid=2-s2.0-85108009528&amp;doi=10.1016%2fj.jenvman.2021.112948&amp;partnerID=40&amp;md5=c4029a53d9f2418c444b476d4fc81ce7</t>
  </si>
  <si>
    <t>Strategic location of coastal areas across the world causes them to be prone to disaster risks. In the global south, the Indian coast is one of the most susceptible to oceanic extreme events, such as cyclones, storm surge and high tides. This study provides an understanding of the risk experienced (currently as well as back in 2001) by the districts along the Indian coastline by developing a quantitative risk index. In the process, it attempts to make a novel contribution to the risk literature by following the definition of risk as a function of hazard, exposure and vulnerability as stated in the most recent (Fifth) assessment report of the Intergovernmental Panel on Climate Change (IPCC). Indicators of bio-physical hazards (such as cyclones, storm surge, tides and precipitation), and socio-economic contributors of vulnerability (such as infrastructure, technology, finance and social nets) and exposure (space), are combined to develop an overall risk index at a fine administrative scale of district-level over the entire coastline. Further, the study employs a multi-attribute decision-making (MADM) method, Technique for Order Preference by Similarity to Ideal Solution (TOPSIS), to combine the contributing indicators and generate indices on hazard, exposure and vulnerability. The product of these three components is thereafter defined as risk. The results suggest that most districts of the eastern coast have higher risk indices compared to those in the west, and the risk has increased since 2001. The higher risk can be attributed to the higher hazard indices in the eastern districts which are aggravated by their higher vulnerability index values. This study is the first effort made to map risk for the entire coastline of India — which in turn has resulted in a new cartographic product at a district-scale. Such assessments and maps have implications for environmental and risk-managers as they can help identify the regions needing adaptive interventions. © 2021 Elsevier Ltd</t>
  </si>
  <si>
    <t>2-s2.0-85108009528"</t>
  </si>
  <si>
    <t>10.5194/gmd-14-4909-2021</t>
  </si>
  <si>
    <t>https://www.scopus.com/inward/record.uri?eid=2-s2.0-85112289856&amp;doi=10.5194%2fgmd-14-4909-2021&amp;partnerID=40&amp;md5=ea5b06c1384a2d774952ee37b943d7ee</t>
  </si>
  <si>
    <t>The Antarctic coastal ocean impacts sea level rise, deep-ocean circulation, marine ecosystems, and the global carbon cycle. To better describe and understand these processes and their variability, it is necessary to combine the sparse available observations with the best-possible numerical descriptions of ocean circulation. In particular, high ice shelf melting rates in the Amundsen Sea have attracted many observational campaigns, and we now have some limited oceanographic data that capture seasonal and interannual variability during the past decade. One method to combine observations with numerical models that can maximize the information extracted from the sparse observations is the adjoint method, a.k.a. 4D-Var (4-dimensional variational assimilation), as developed and implemented for global ocean state estimation by the Estimating the Circulation and Climate of the Ocean (ECCO) project. Here, for the first time, we apply the adjoint-model estimation method to a regional configuration of the Amundsen and Bellingshausen seas, Antarctica, including explicit representation of sub-ice-shelf cavities. We utilize observations available during 2010-2014, including ship-based and seal-tagged CTD measurements, moorings, and satellite sea-ice concentration estimates. After 20 iterations of the adjoint-method minimization algorithm, the cost function, here defined as a sum of the weighted model-data difference, is reduced by 65g % relative to the baseline simulation by adjusting initial conditions, atmospheric forcing, and vertical diffusivity. The sea-ice and ocean components of the cost function are reduced by 59g % and 70g %, respectively. Major improvements include better representations of (1) Winter Water (WW) characteristics and (2) intrusions of modified Circumpolar Deep Water (mCDW) towards the Pine Island Glacier. Sensitivity experiments show that g1/440g % and g1/410g % of improvements in sea ice and ocean state, respectively, can be attributed to the adjustment of air temperature and wind. This study is a preliminary demonstration of adjoint-method optimization with explicit representation of ice shelf cavity circulation. Despite the 65g % cost reduction, substantial model-data discrepancies remain, in particular with annual and interannual variability observed by moorings in front of the Pine Island Ice Shelf. We list a series of possible causes for these residuals, including limitations of the model, the optimization methodology, and observational sampling. In particular, we hypothesize that residuals could be further reduced if the model could more accurately represent sea-ice concentration and coastal polynyas. © 2021 The Author(s).</t>
  </si>
  <si>
    <t>2-s2.0-85112289856"</t>
  </si>
  <si>
    <t>10.1007/s13201-021-01483-5</t>
  </si>
  <si>
    <t>https://www.scopus.com/inward/record.uri?eid=2-s2.0-85113145288&amp;doi=10.1007%2fs13201-021-01483-5&amp;partnerID=40&amp;md5=d2b2970e2bfcf5e7cd9e3241130c4e80</t>
  </si>
  <si>
    <t>Morphologic parameters of a watershed could help in segregating critical sub-watersheds for taking up conservation practices and mitigation interventions. Determination of critical watersheds or prioritization of sub-watersheds is inevitable for efficient and sustainable watershed management programs and allocation of its natural resources. The traditional methods of determination of morphologic parameters are time consuming, expensive and requires huge labor. However, the process becomes easier, cheaper and faster with the advent of Geographical Information System (GIS) and remote sensing technologies. In the present study, a combined approach of using toposheet, remotely sensed digital elevation model and morphometric ArcGIS toolbox has been adopted to determine morphometric parameters in Dudhnai river basin, a sub-basin of river Brahmaputra which is prone to both erosion and sedimentation. Seven sub-watersheds of Dudhnai have been prioritized by using the morphometric parameters and ranked them according to its vulnerability to soil erosion. The results of bifurcation ratio, drainage density, drainage intensity and constant of channel maintenance showed that Dudhnai watershed is a well-dissected watershed with less risk to flooding and soil erosion. However, significantly high values of infiltration number and ruggedness number obtained are indicative of very low infiltration which may result in high surface runoff and soil erosion. The study also revealed that channel erosion is stronger than sheet erosion in the basin. The prioritization of the sub-watersheds implied that Chil sub-watershed is the most susceptible sub-watershed that needs greater attention for soil and water conservation measures. The results of the present study could aid various stakeholders who are involved in the watershed development and management programs. © 2021, The Author(s).</t>
  </si>
  <si>
    <t>2-s2.0-85113145288"</t>
  </si>
  <si>
    <t>10.3390/rs13183632</t>
  </si>
  <si>
    <t>https://www.scopus.com/inward/record.uri?eid=2-s2.0-85115060976&amp;doi=10.3390%2frs13183632&amp;partnerID=40&amp;md5=3c783299295d94ad089f1c4947182e42</t>
  </si>
  <si>
    <t>Coastal areas have become increasingly vulnerable to groundwater salinization, especially in the last century, due to the combined effects of climate change and growing anthropization. In this study, a novel methodology named GALDIT-SUSI was applied in the floodplain of the Volturno River mouth for the current (2018) and future (2050) evaluation of seawater intrusion accounting for the expected subsidence and groundwater salinization rates. Several input variables such as digital surface model, land use classification, subsidence rate and drainage system have been mapped via remote sensing resources. The current assessment highlights how areas affected by salinization coincide with the semiperennial lagoons and inland depressed areas where paleosaline groundwaters are present. The future assessment (2050) shows a marked increase of salinization vulnerability in the coastal strip and in the most depressed areas. The results highlight that the main vulnerability driver is the Revelle index, while predicted subsidence and recharge rates will only slightly affect groundwater salinization. This case study indicates that GALDIT-SUSI is a reliable and easy-to-use tool for the assessment of groundwater salinization in many coastal regions of the world. © 2021 by the authors. Licensee MDPI, Basel, Switzerland.</t>
  </si>
  <si>
    <t>2-s2.0-85115060976"</t>
  </si>
  <si>
    <t>10.1016/j.geomorph.2021.107855</t>
  </si>
  <si>
    <t>https://www.scopus.com/inward/record.uri?eid=2-s2.0-85110460900&amp;doi=10.1016%2fj.geomorph.2021.107855&amp;partnerID=40&amp;md5=a36581d09cf26033b4612c98dd2c89d7</t>
  </si>
  <si>
    <t>Iran's glaciers are commonly debris-covered. Due to climate changes, the frequency of glacial hazards such as glacial lake outbursts floods is increasing, and consequently, the mass of Iran's glaciers is decreasing. Fieldwork in high-altitude mountains is difficult, thus, the dynamics of debris–covered glaciers and their associated driving factors are poorly studied. In this study, changes in the elevation and the surface flow speed of the largest and most dynamic debris-covered glacier in Iran (Alamkouh glacier) are evaluated during 2018 to 2020 for the first time. For this purpose, images from a high-resolution unmanned aerial vehicle (UAV) are used. Additionally, the spatial distribution of glacier ice thickness is estimated based on the principles of ice-flow and glacier surface velocity data. The distribution of ice thickness is evaluated with in-situ Ground Penetration Radar (GPR) data. The acquired high-resolution images from UAV are processed into a digital elevation model (with a spatial resolution of about 15 cm) and orthoimages (with a spatial resolution of about 8 cm), and glacier ice thickness change and surface flow velocity are derived. In order to estimate glacier surface velocity, a frequency cross-correlation model was applied using the COSI-Corr module. Our results show that the mean glacier ice thinning during the study period 2018–2020 is about −0.23 ± 0.03 m yr−1 and it reaches about −5 ± 0.65 m yr−1 at the terminus and accumulation areas. The observed variations in ice thinning are best explained by the existence of debris cover (and their corresponding insulating effects), the existence of ice cliffs, and their associated supraglacial lakes. We found that ice cliffs and supraglacial lakes show mass losses that can be an order of magnitude higher than average. Moreover, the mean surface velocity of Alamkouh glacier is about 1.1 ± 0.06 m yr−1 from 2018 to 2020 with considerable spatial variation in surface velocities. The maximum surface velocity (about 4.5 ± 0.27 m yr−1) belongs to its upper regions, and lower and marginal areas are nearly stagnant. The slow movement of the glacier, along with a continuous increase in debris and ice thinning, provides a suitable condition for supraglacial pond development, which decreases glacier mass. Total volume of glacier was estimated to be ~102 × 106 m3 in 2020, corresponding to an average ice thickness of ~31.3 ± 7.5 m. Moreover, the average ice thinning rate is 0.66% yr−1 in 2018 to 2020. According to this reduction rate, it is expected that more than 51.7% of the glacier will be lost by the end of the 21st century. © 2021 Elsevier B.V.</t>
  </si>
  <si>
    <t>2-s2.0-85110460900"</t>
  </si>
  <si>
    <t>10.3390/rs13163261</t>
  </si>
  <si>
    <t>https://www.scopus.com/inward/record.uri?eid=2-s2.0-85113343510&amp;doi=10.3390%2frs13163261&amp;partnerID=40&amp;md5=4160b2dc0174ff29c98fe6d5374a2abc</t>
  </si>
  <si>
    <t>InSAR (Interferometric Synthetic Aperture Radar) cloud computing and the subtraction of LiDAR (Light Detection and Ranging) DEMs (Digital Elevation Models) are innovative approaches to detect subsidence in karst areas. InSAR cloud computing allows for analyzing C-band Envisat and Sentinel S1 SAR images through web platforms to produce displacement maps of the Earth’s surface in an easy manner. The subtraction of serial LiDAR DEMs results in the same product but with a different level of accuracy and precision than InSAR maps. Here, we analyze the capability of these products to detect active sinkholes in the mantled evaporite karst of the Ebro Valley (NE Spain). We found that the capability of the displacement maps produced with open access, high-resolution airborne LiDAR DEMs was up to four times higher than InSAR displacement maps generated by the Geohazard Exploitation Platform (GEP). Differential LiDAR maps provide accurate information about the location, active sectors, maximum subsidence rate and growing trend of the most rapid and damaging sinkholes. Unfortunately, artifacts and the subsidence detection limit established at −4 cm/yr entailed important limitations in the precise mapping of the sinkhole edges and the detection of slow-moving sinkholes and small collapses. Although InSAR maps provided by GEP show a worse performance when identifying active sinkholes, in some cases they can serve as a complementary technique to overcome LiDAR limitations in urban areas. © 2021 by the authors. Licensee MDPI, Basel, Switzerland.</t>
  </si>
  <si>
    <t>2-s2.0-85113343510"</t>
  </si>
  <si>
    <t>10.3390/rs13193953</t>
  </si>
  <si>
    <t>https://www.scopus.com/inward/record.uri?eid=2-s2.0-85116475225&amp;doi=10.3390%2frs13193953&amp;partnerID=40&amp;md5=c6289d3c336c0d6751e39ad5f09b346e</t>
  </si>
  <si>
    <t>The ability to accurately classify land cover in periods before appropriate training and validation data exist is a critical step towards understanding subtle long-term impacts of climate change. These trends cannot be properly understood and distinguished from individual disturbance events or decadal cycles using only a decade or less of data. Understanding these long-term changes in low lying coastal areas, home to a huge proportion of the global population, is of particular importance. Relatively simple deep learning models that extract representative spatiotemporal patterns can lead to major improvements in temporal generalizability. To provide insight into major changes in low lying coastal areas, our study (1) developed a recurrent convolutional neural network that incorporates spectral, spatial, and temporal contexts for predicting land cover class, (2) evaluated this model across time and space and compared this model to conventional Random Forest and Support Vector Machine methods as well as other deep learning approaches, and (3) applied this model to classify land cover across 20 years of Landsat 5 data in the low-lying coastal plain of North Carolina, USA. We observed striking changes related to sea level rise that support evidence on a smaller scale of agricultural land and forests transitioning into wetlands and “ghost forests”. This work demonstrates that recurrent convolutional neural networks should be considered when a model is needed that can generalize across time and that they can help uncover important trends necessary for understanding and responding to climate change in vulnerable coastal regions. © 2021 by the authors. Licensee MDPI, Basel, Switzerland.</t>
  </si>
  <si>
    <t>2-s2.0-85116475225"</t>
  </si>
  <si>
    <t>10.1007/s11111-021-00378-6</t>
  </si>
  <si>
    <t>https://www.scopus.com/inward/record.uri?eid=2-s2.0-85102419248&amp;doi=10.1007%2fs11111-021-00378-6&amp;partnerID=40&amp;md5=dd05cf88d2981d220a9261b6c0fe4fe2</t>
  </si>
  <si>
    <t>As increasing global temperatures lead to sea level rise and associated impacts (e.g. flooding, erosion, saltwater intrusion), the relocation of people and assets away from sites of coastal risk has been viewed by some as a certainty. However, many people affected by emerging coastal changes remain in sites of residence. Here we examine the experiences of residents in three low-lying villages across two small island states: Dreketi and Karoko in Fiji, and Funafala in Tuvalu. Analysis of qualitative data from interviews shows that residents are concerned about local coastal changes, and largely attribute them to climate change. While some anticipate future relocation and retreat, and a few households have retreated short distances away from the coast, for now residents remain in and move to these sites to maintain livelihoods, practices, well-being, and sense of belonging. These are places that people value and plan to live in as long as possible. The contribution of this paper is to highlight the vernacular explanations of overlapping drivers of immobility and translocality in sites of coastal risk. It indicates the need to move away from the binaries of immobility/mobility and of trapped/voluntarily immobile populations and to examine the multiplicities of human (im)mobility. © 2021, The Author(s), under exclusive licence to Springer Nature B.V.</t>
  </si>
  <si>
    <t>2-s2.0-85102419248"</t>
  </si>
  <si>
    <t>10.1007/s11356-021-13680-5</t>
  </si>
  <si>
    <t>https://www.scopus.com/inward/record.uri?eid=2-s2.0-85106696703&amp;doi=10.1007%2fs11356-021-13680-5&amp;partnerID=40&amp;md5=912ff5e170345fc57834ab7a3297bfe7</t>
  </si>
  <si>
    <t>Seawater intrusion not only causes fresh water shortages in coastal areas, but also has a negative impact on regional economic and social development. Global climate change will affect precipitation, sea level, and many other factors, which will in turn affect the simulation and prediction results for seawater intrusion. By combining groundwater numerical simulation technology, an atmospheric circulation model, artificial intelligence methods, and simulation optimization methods, this study coupled a numerical simulation model of seawater intrusion with an optimization model to optimize the groundwater exploitation scheme in the study area under the condition of climate change. As a result, a groundwater exploitation scheme was obtained for a typical study area, which provided a scientific basis and a reference for the rational development of effective groundwater resource solutions. The results of this study can be described as follows. (1) By introducing the theory and method of deep learning from artificial intelligence, the problem of complex nonlinear mapping between the inputs and outputs of a three-dimensional variable-density seawater intrusion numerical simulation model under the condition of limited number of training samples is effectively solved, and the approximation accuracy of the surrogate model with respect to the simulation model is improved. (2) By solving the optimization model, a reasonable groundwater exploitation scheme was obtained, which provided a scientific basis for the rational development and efficient use of groundwater resources in the study area. © 2021, The Author(s), under exclusive licence to Springer-Verlag GmbH Germany, part of Springer Nature.</t>
  </si>
  <si>
    <t>2-s2.0-85106696703"</t>
  </si>
  <si>
    <t>10.1016/j.envc.2021.100146</t>
  </si>
  <si>
    <t>https://www.scopus.com/inward/record.uri?eid=2-s2.0-85120323748&amp;doi=10.1016%2fj.envc.2021.100146&amp;partnerID=40&amp;md5=1fafdb94b3b8a3b46f90d6a4fae798a3</t>
  </si>
  <si>
    <t>The main biofuel produced in Brazil is ethanol representing 16% of energy production in the national energy matrix, that is why sugarcane is one of the most important crops for Brazilian agriculture. The land conversion associated with the advancement of agriculture is often carried out inappropriately advancing over areas of high environmental sensitivity, such as natural small wetlands. The level of detail required to monitor subtle changes in their dynamics and landscape makes very high-resolution images (+ 10 cm/pixel resolution) acquired by unmanned aerial vehicles (UAVs) an excellent data. The objective of this research was to use UAV orthomosaics and digital elevation models to carry out seasonal monitoring, simulate the water flow in the areas of hydric-contribution and inland flooding, and validate the flooding simulations. The studied wetland located in the State of São Paulo (Paulista Peripheral Depression), showed a seasonal surface water storage capacity (28,067 m³) and a loss of approximately 12.27% of its total area between October 2019 and February 2020. The flooding simulations were validated with data observed by the imagery (variation of ± 3.27%.), being possible to be reapplied in several small ecosystems. © 2021 The Author(s)</t>
  </si>
  <si>
    <t>2-s2.0-85120323748"</t>
  </si>
  <si>
    <t>10.1016/j.ejrh.2021.100907</t>
  </si>
  <si>
    <t>https://www.scopus.com/inward/record.uri?eid=2-s2.0-85114923239&amp;doi=10.1016%2fj.ejrh.2021.100907&amp;partnerID=40&amp;md5=43cda7689c90e4e758404c609e5aafff</t>
  </si>
  <si>
    <t>Study region: South Korea (KR), Ulsan tidal river. Study focus: Climate change and urbanization pose a serious threat to rising water levels and flooding in the estuary region. In particular, tidal river, which is located in the estuary area, is impacted by many hydrological factors such as tide, wave height, and rainfall. This paper develops a new rating curve that can predict the water level of the tidal river. It also assesses the accuracy of the developed rating curve through the verification event. New hydrological insights: Tidal rivers show non-linear hydrological characteristics that are influenced by various hydrological factors. Thus, no rating curve has been developed for them. This study proposes a method to develop a rating curve that can estimate the water level by using the runoff from rainfall in a tidal river. To develop the rating curve, the water level at Ulsan station, Korea was decomposed into four components, which are tide, wave, noise and runoff component by using wavelet analysis, curve fitting, and a high pass filter. A distributed grid-based rainfall-runoff model (GRM) was applied to simulate the runoff. The simulated runoff and the water level components influenced by rainfall were used to develop a rating curve and estimate the water level from the simulated runoff. The results were then added to the other three components (tide, wave, noise) to calculate an integrated water level, which was compared with the observed water level at Ulsan station. With less than 10 % error during validation, the results are expected to contribute to the accurate prediction of water level of tidal river during flood season. © 2021 The Authors</t>
  </si>
  <si>
    <t>2-s2.0-85114923239"</t>
  </si>
  <si>
    <t>10.1111/1365-2664.13957</t>
  </si>
  <si>
    <t>https://www.scopus.com/inward/record.uri?eid=2-s2.0-85109387767&amp;doi=10.1111%2f1365-2664.13957&amp;partnerID=40&amp;md5=de7282328619aa5a49311e8578834f9f</t>
  </si>
  <si>
    <t>1. The effects of livestock grazing on grasslands have garnered much attention; however, little is known about how grazing affects ecosystems’ ability to simultaneously support multiple ecosystem functions (i.e. ecosystem multifunctionality, hereafter EMF) in coastal salt marshes.
2. To comprehensively evaluate the ecological effects of livestock grazing and tidal flooding on salt marshes, we conducted a grazing-exclusion experiment in the high and middle marsh zones of the Yangtze River Estuary, China.
3. Livestock grazing generally enhanced EMF in the salt marshes, with a stronger impact in the middle marshes than in the high ones. Although plant biomass, above-ground N of plants, soil organic C and sediment deposition rate decreased under grazing, activities of soil microbes and nematodes, soil N pool, N mineralization, decomposition and soil respiration increased.
4. Synthesis and applications. We suggest that tidal flooding and associated replenishment of sediments may mitigate the negative effects of grazing on plants and sedimentation and strengthen positive grazing impacts on nutrient cycling, consequently reinforcing the beneficial effects of livestock grazing on the salt marsh ecosystem multifunctionality. Our results provide a holistic framework of ecosystem-level responses to livestock grazing in salt marshes and highlight the regulatory role of external environmental factors such as tidal flooding. Although livestock grazing enhanced the overall EMF (represents the nutrient cycling rate) of salt marshes in our study, it was not necessarily desirable for ecosystem services. Integration of ecosystem function-multifunctionality and ecosystem service-multifunctionality of salt marshes need to be recommended in future multifunctionality studies.</t>
  </si>
  <si>
    <t>10.5194/nhess-21-2355-2021</t>
  </si>
  <si>
    <t>https://www.scopus.com/inward/record.uri?eid=2-s2.0-85112362498&amp;doi=10.5194%2fnhess-21-2355-2021&amp;partnerID=40&amp;md5=a06aa14a90766ef7b044ed100b0f1dab</t>
  </si>
  <si>
    <t xml:space="preserve">Piton de la Fournaise, situated on La Réunion island (France), is one of the most active hot spot basaltic shield volcanoes worldwide, experiencing at least two eruptions per year since the establishment of the volcanological observatory in 1979. Eruptions are typically fissure-fed and form extensive lava flow fields. About 95¯% of some g1/4¯250 historical events (since the first confidently dated eruption in 1708) have occurred inside an uninhabited horseshoe-shaped caldera (hereafter referred to as the Enclos), which is open to the ocean on its eastern side. Rarely (12 times since the 18th century), fissures have opened outside of the Enclos, where housing units, population centers, and infrastructure are at risk. In such a situation, lava flow hazard maps are a useful way of visualizing lava flow inundation probabilities over large areas. Here, we present the up-to-date lava flow hazard map for Piton de la Fournaise based on (i) vent distribution, (ii) lava flow recurrence times, (iii) statistics of lava flow lengths, and (iv) simulations of lava flow paths using the DOWNFLOW stochastic numerical model. The map of the entire volcano highlights the spatial distribution probability of future lava flow invasion for the medium to long term (years to decades). It shows that the most probable location for future lava flow is within the Enclos (where there are areas with up to 12¯% probability), a location visited by more than 100¯000 visitors every year. Outside of the Enclos, probabilities reach 0.5¯% along the active rift zones. Although lava flow hazard occurrence in inhabited areas is deemed to be very low (&lt;¯0.1¯%), it may be underestimated as our study is only based on post-18th century records and neglects older events. We also provide a series of lava flow hazard maps inside the Enclos, computed on a multi-temporal (i.e., regularly updated) topography. Although hazard distribution remains broadly the same over time, some changes are noticed throughout the analyzed periods due to improved digital elevation model (DEM) resolution, the high frequency of eruptions that constantly modifies the topography, and the lava flow dimensional characteristics and paths. The lava flow hazard map for Piton de la Fournaise presented here is reliable and trustworthy for long-term hazard assessment and land use planning and management. Specific hazard maps for short-term hazard assessment (e.g., for responding to volcanic crises) or considering the cycles of activity at the volcano and different event scenarios (i.e., events fed by different combinations of temporally evolving superficial and deep sources) are required for further assessment of affected areas in the future - especially by atypical but potentially extremely hazardous large-volume eruptions. At such an active site, our method supports the need for regular updates of DEMs and associated lava flow hazard maps if we are to be effective in keeping up to date with mitigation of the associated risks. © Copyright: </t>
  </si>
  <si>
    <t>2-s2.0-85112362498"</t>
  </si>
  <si>
    <t>10.3390/geosciences11100401</t>
  </si>
  <si>
    <t>https://www.scopus.com/inward/record.uri?eid=2-s2.0-85116048571&amp;doi=10.3390%2fgeosciences11100401&amp;partnerID=40&amp;md5=e1c8993ddff602fec62d46dac220b814</t>
  </si>
  <si>
    <t>Understanding Quaternary dynamics of delta-coastal plains across multiple glacial-interglacial cycles in the Milankovitch band (~100 kyrs) is crucial to achieve a robust evaluation of possible environmental response to future climate-change scenarios. In this work, we document the long-term bio-sedimentary record of core 204 S16 (~205 m long), which covers a wide portion of the post-MPR (Mid-Pleistocene Revolution) interval, taking advantage of the highly subsiding context of the SE Po Plain (NE Italy). Detailed facies characterization through an integrated sedimentological and meiofauna (benthic foraminifers and ostracods) approach allowed for the identification of a repetitive pattern of alluvial deposits alternating with four fossiliferous, paralic to shallow-marine units (Units 1–4). The transgressive surfaces identified at the base of these units mark major flooding events, forced by Holocene (Unit 4), Late Pleistocene (Unit 3) and Middle Pleistocene (Units 1, 2) interglacials. Distinct stratigraphic patterns typify the Middle Pleistocene interval, which includes coastal-marine (tidal inlet and bay) deposits. In contrast, lagoonal sediments record the maximum marine influence in the Late Pleistocene-Holocene succession. As a whole, the meiofauna tracks a regressive trend, with the deepest conditions recorded by the oldest Unit 1 (MIS 9/11 age?). © 2021 by the authors. Licensee MDPI, Basel, Switzerland.</t>
  </si>
  <si>
    <t>2-s2.0-85116048571"</t>
  </si>
  <si>
    <t>10.1007/s10113-021-01797-9</t>
  </si>
  <si>
    <t>https://www.scopus.com/inward/record.uri?eid=2-s2.0-85107926633&amp;doi=10.1007%2fs10113-021-01797-9&amp;partnerID=40&amp;md5=15daab58e3fae4d049994bb8c38392ae</t>
  </si>
  <si>
    <t>The Coastal Embankment Project (CEP), one of the largest engineering undertakings in Bangladesh, was commissioned in early 1960s with a view to reclaiming coastal land for enhancing agricultural production. The embankments constructed under the project are questioned for their wide-spread negative impacts on the biophysical and social environments. This research aims to articulate the role of the embankments in exposing the coastal communities to vulnerable situations. Three polders from the districts of Khulna and Satkhira were chosen for case studies. Review of project documents and in-depth interviews were adopted for data collection. Analysis of vulnerability reveals that the perspectives of vulnerability (hazards/perturbations/stressors) change over time and the elements of vulnerability (exposure, sensitivity and resilience) manifest in different ways as the embankments transform the coastal social-ecological settings. Findings also show that, despite the havocs the coastal embankments in the southwest of Bangladesh have been causing, the communities still consider them as a lifeline. The coastal embankments have brought a sense of permanence in the communities by creating a flood-free environment and by facilitating many secondary benefits. The communities’ perception of development is centred on the embankments and they believe that a stronger embankment system is vital for enhancement of their overall socio-economic development. This study is useful for understanding the vulnerability dynamics in the context of an ecologically sensitive deltaic plain for preventing development projects from becoming counterproductive. © 2021, The Author(s), under exclusive licence to Springer-Verlag GmbH Germany, part of Springer Nature.</t>
  </si>
  <si>
    <t>2-s2.0-85107926633"</t>
  </si>
  <si>
    <t>10.1016/j.scitotenv.2021.146927</t>
  </si>
  <si>
    <t>https://www.scopus.com/inward/record.uri?eid=2-s2.0-85103942479&amp;doi=10.1016%2fj.scitotenv.2021.146927&amp;partnerID=40&amp;md5=83d6a759488edee6b09f89ed4418e77c</t>
  </si>
  <si>
    <t>Compound flooding (CF), as a result of oceanic, hydrological, meteorological and anthropogenic drivers, is often studied with hydrodynamic models that combine either successive or concurrent processes to simulate inundation dynamics. In recent years, convolutional neural networks (CNNs) and data fusion (DF) techniques have emerged as effective alternatives for post-flood mapping and supported current efforts of complex physical and dynamical modeling. Yet, those techniques have not been explored for large-scale (regional) compound flood mapping. Here, we evaluate the performance of a CNN &amp; DF framework for generating CF maps along the southeast Atlantic coast of the U.S. as a result of Hurricane Matthew (October 2016). The framework fuses multispectral imagery from Landsat analysis ready data (ARD), dual-polarized synthetic aperture radar data (SAR), and coastal digital elevation models (DEMs) to produce flood maps at moderate (30 m) spatial resolution. The highest overall accuracy (97%) and f1-scores of permanent water/floodwater (99/100%) are achieved when ARD, SAR and DEM datasets are readily available and fused. Moreover, the resulting CF maps agree well (80%) with hindcast flood guidance maps of the Coastal Emergency Risk Assessment and can effectively match post-flood high water marks of the U.S. Geological Survey distributed in coastal counties. We ultimately evaluate the framework with different DF alternatives and highlight their usefulness for large-scale compound flood mapping as well as calibration of hydrodynamic models. The cost-effective approach proposed here enables efficient estimation of exposure to compound coastal flooding and is particularly useful in data scarce regions. © 2021 Elsevier B.V.</t>
  </si>
  <si>
    <t>2-s2.0-85103942479"</t>
  </si>
  <si>
    <t>10.1016/j.precamres.2021.106325</t>
  </si>
  <si>
    <t>https://www.scopus.com/inward/record.uri?eid=2-s2.0-85115309298&amp;doi=10.1016%2fj.precamres.2021.106325&amp;partnerID=40&amp;md5=5f35a779ccb08cf00151f33b995f4001</t>
  </si>
  <si>
    <t>The Moodies Group of the Paleoarchean Barberton Greenstone Belt (BGB; ca. 3.22 Ga) provides an exceptional window into Archaean sedimentary and magmatic processes interacting with microbial ecology. Its magmatic component, the Moodies Igneous Complex (MIC), has to date been largely overlooked. The MIC consists of several mafic-to-intermediate sills, peperitic dike stockworks, extensive basaltic lava flows, and various volcaniclastic deposits and tuffs, all of Moodies depositional age. Excellent outcrop exposures illustrate diverse and dynamic interactions between volcanic activities and shallow-water sedimentary processes; they constrain the conditions in which microbial communities thrived in estuarine and tidal environments: (1) When the Moodies Basaltic Lava flooded the basin, some lava fragments and pillows were reworked as boulder-sized conglomerate clasts and in gravelly sandstones while still plastic and presumably hot. (2) Aerodynamically shaped ejecta of mafic lava and common tephra shards in cross-bedded sandstones demonstrate explosive lava-water interactions. (3) Dacitic (lapilli) tuffs up to several m thick were eroded by estuarine channels and filled back-beach lagoons, modifying and smothering concurrent aqueous transport of epiclastic sediment. (4) The paleo-groundwater table and the MIC interacted vigorously by in situ fluidization of poorly to unconsolidated sediment. This led to entrainment of grains and sandstone xenoliths in mafic (sub-)volcanics, widespread peperite formation, and formation of lava-filled fractures and abundant quartz veins in surficially consolidated sandstones.
The proximity of numerous shallow intrusives, lavas, and volcanic tephra to the tidal-zone habitat of abundant benthic microbial mats provided microorganisms with readily accessible thermal and chemical energy. Heavy mineral lags in the estuaries, combined with potentially aggressive weathering of felsic to ultramafic volcanic rock, released ample nutrients as colloidally-bound transition metals and phosphorus. Drying-and-wetting cycles on tidal flats and coastal plains, the high porosity and permeability of the well-sorted quartzose sand in shallow water, the variably energetic current regime, and the anoxic, reducing-to-oxidizing chemistry of these habitats also benefitted microbial communities greatly.</t>
  </si>
  <si>
    <t>10.3389/feart.2021.715383</t>
  </si>
  <si>
    <t>https://www.scopus.com/inward/record.uri?eid=2-s2.0-85116973059&amp;doi=10.3389%2ffeart.2021.715383&amp;partnerID=40&amp;md5=a9c9afa26e63882758c693da4e68e551</t>
  </si>
  <si>
    <t>Coastal boulder deposits (CBD) are wave-emplaced supratidal accumulations that record extreme inundation on rocky coasts. They are poorly understood but are of growing importance as we seek to better understand the extremes of wave power on coastlines. The Aran Islands, Ireland, host CBD in varying settings ranging from sheer cliff tops to wide shore platforms, and at elevations to about 40 m above sea level. Deposits are known to be active during strong storm events and provide a unique opportunity to examine relationships between wave energy, setting, and CBD occurrence. We use topographic elevation (Z) and offshore 100-years significant wave height (Hs,100) to calculate a dimensionless elevation Z* = Z/Hs,100 at 25 m intervals all along the Atlantic-facing coasts of the Aran Islands, and record whether CBD were present or absent at each location. The data reveal universal CBD presence at locations with low dimensionless elevations and near-monotonic decreasing frequency of CBD occurrence as Z* increases. On the Aran Islands, CBD are restricted to locations with Z*&lt;3.13. For high elevation deposits it appears that unresolved local factors may be the major determinants in whether CBD will form. This approach can be applied at any CBD-bearing coastline and has the potential to change the way that we think about these deposits. Evaluation of dimensionless elevations at CBD locations around the world will help build broader understanding of the impact local shoreline conditions have on CBD formation. Determining these relationships contributes to the ongoing need to better understand interactions between extreme waves and rocky coasts. © Copyright © 2021 Van Blunk, Kennedy and Cox.</t>
  </si>
  <si>
    <t>2-s2.0-85116973059"</t>
  </si>
  <si>
    <t>10.3389/frwa.2021.705694</t>
  </si>
  <si>
    <t>https://www.scopus.com/inward/record.uri?eid=2-s2.0-85119681276&amp;doi=10.3389%2ffrwa.2021.705694&amp;partnerID=40&amp;md5=b03637215a357125c7f82b4bcc42ce3e</t>
  </si>
  <si>
    <t>Coastal zones receive upstream runoff and sediments, as well as the contaminants transported with sediments and flow. Constant urban growth in many coastal areas has raised an increasing concern about stream and floodplain contamination. This is a particularly challenging issue because fluvial hydraulics in the coastal zone is complex, due to the presence of backwater (BW) conditions which alter flow patterns and sediment transport regime. Polycyclic aromatic hydrocarbons (PAHs) are persistent organic pollutants that are widely distributed in urban areas and can be transported through stormwater runoff and by sediment facilitated transport. Even though this is a widespread problem in urban areas, the relationship between fluvial deposition and concentrations of PAHs is largely uninvestigated. To fill this gap, this paper investigates the correlation between PAHs concentration and sediment deposition in a backwater zone, using the lower Darby Creek, PA as a case study. A BW geomorphologic model was used to simulate the hydraulics of the flow in Darby Creek. The model identified locations of high and low shear stresses, erosion, and deposition of fluvial sediment. Twenty-eight core sediment samples, capturing a range of soil depths, were collected from the bed, the banks, and the floodplains of the creek and were analyzed for PAHs on a GC-MS. The results showed that PAHs concentrations were generally highest on depositional banks and were highly variable on the channel bed and in the floodplain. Further, PAH concentrations were more uniform across the cross section (bed, bank, and floodplain) at downstream sites compared to upstream. The results also showed that in erosional sites, unlike the depositional sites, there was little variation in PAHs concentration in the soil column. This analysis provides deeper insight into the transport and fate of PAHs in urban streams and floodplains, ultimately helping mitigate the impacts of pollutants on the environment. Copyright © 2021 Hosseiny, Cao, Smith and Xu.</t>
  </si>
  <si>
    <t>2-s2.0-85119681276"</t>
  </si>
  <si>
    <t>10.1016/j.pdisas.2021.100183</t>
  </si>
  <si>
    <t>https://www.scopus.com/inward/record.uri?eid=2-s2.0-85108167239&amp;doi=10.1016%2fj.pdisas.2021.100183&amp;partnerID=40&amp;md5=f0cd858091b8fee4ac6529f2dcf2b510</t>
  </si>
  <si>
    <t>Earthquakes and tsunamis are expected to occur within the next 30 years along Japan's Nankai Trough. Existing disaster prevention plans and calculated evacuation capacities in the coastal areas that would be affected do not account for physical distancing in the context of COVID-19. Therefore, we developed a tsunami evacuation placement model incorporating physical distance guidelines for infection control and living space per person into calculations of evacuation center accommodation capacities in Aki City, Kochi Prefecture. Using available administrative, population, and tsunami inundation data, we counted and mapped evacuation centers in the estimated inundated area within three zones constructed for smooth evacuation using the ArcGIS software Build Balanced Zones Tool. We calculated the space per evacuee using the Sphere handbook standard of 3.5 m2 or double the Sphere standard at 7 m2 plus the recommended physical distance of 11 m2 per person. We then compared the results with planned capacities. A total of 27 shelters are located in the area projected to be inundated at depths of 0.3–10 m, and their planned capacity, 2 m2 for each evacuee, would accommodate 32.9% of Aki's population and result in 9639 unaccommodated evacuees. Allotting 14.5 m2 (living space) or 18 m2 (living space plus space to maintain physical distancing) would reduce accommodation capacities to 57.1% and 28.6% (12,133 and 12,371 unaccommodated evacuees, respectively). Given these accommodation shortages, we recommend that evacuation centers are set aside for vulnerable people and that alternative evacuation sites such as parking lots and mountain campsites are preplanned. © 2021 The Authors</t>
  </si>
  <si>
    <t>2-s2.0-85108167239"</t>
  </si>
  <si>
    <t>10.1016/j.dib.2021.107336</t>
  </si>
  <si>
    <t>https://www.scopus.com/inward/record.uri?eid=2-s2.0-85107915513&amp;doi=10.1016%2fj.dib.2021.107336&amp;partnerID=40&amp;md5=5e6f5fc86a9baa706424082e8aa693d5</t>
  </si>
  <si>
    <t>This article contains data outlining the effects of increased storm intensity on estuarine salt marshes, previously evaluated in Pannozzo et al. (2021), using the Ribble Estuary, in North West England, as a case study. The hydrodynamic model Delft3D was used to simulate various surge height scenarios and evaluate the effects of increasing surge height on the sediment budget of the system. The data shows that an increase in storm intensity (i.e. surge height) promotes flood dominance and triggers a net import of sediment, positively contributing to the sediment budget of the marsh platform and the estuarine system. The timing of the storm surge relative to high or low tide, the duration of the surge and the presence of vegetation do not cause major changes in the sediment budget. This dataset could be used to evaluate how increased storm intensity might influence the sediment budget of estuaries in comparison to other types of coastal systems (e.g., bays) to illustrate how the response of salt marshes to increased storm intensity varies with a change in the hydrodynamics and sediment delivery dynamics of the system. © 2021</t>
  </si>
  <si>
    <t>2-s2.0-85107915513"</t>
  </si>
  <si>
    <t>10.3390/rs13173431</t>
  </si>
  <si>
    <t>https://www.scopus.com/inward/record.uri?eid=2-s2.0-85114108101&amp;doi=10.3390%2frs13173431&amp;partnerID=40&amp;md5=b633eaa24d3731f4ac17cabead9947bc</t>
  </si>
  <si>
    <t>Non‐climate‐related anthropogenic processes and frequently encountered natural hazards exacerbate the risk in coastal zones and megacities and amplify local vulnerability. Coastal risk is amplified by the combination of sea level rise (SLR) resulting from climate change, associated tidal evolution, and the local sinking of land resulting from anthropogenic and natural hazards. In this framework, the authors of this investigation have actively contributed to the joint European Space Agency (ESA) and the Chinese Ministry of Science and Technology (MOST) Dragon IV initiative through a project (ID. 32294) that was explicitly designed to address the issue of monitoring coastal and delta river regions through Earth Observation (EO) technologies. The project’s primary goals were to provide a complete characterization of the changes in target scenes over time and provide estimates of future regional sea level changes to derive submerged coastal areas and wave fields. Suggestions are also provided for implementing coastal protection measures in order to adapt and mitigate the multifactor coastal vulnerability. In order to achieve these tasks, well‐established remote sensing technologies based on the joint exploitation of multi‐spectral information gathered at different spectral wavelengths, the exploitation of advanced Differential Interferometric Synthetic Aperture Radar (DInSAR) techniques for the retrieval of ground deformations, the realization of geophysical analyses, and the use of satellite altimeters and tide gauge data have effectively been employed. The achieved results, which mainly focus on selected sensitive regions including the city of Shanghai, the Pearl River Delta in China, and the coastal city of Saint Petersburg in Europe, provide essential assets for planning present and future scientific activities devoted to monitoring such fragile environments. These analyses are crucial for assessing the factors that will amplify the vulnerability of low‐elevation coastal zones. © 2021 by the authors. Licensee MDPI, Basel, Switzerland.</t>
  </si>
  <si>
    <t>2-s2.0-85114108101"</t>
  </si>
  <si>
    <t>10.1007/s12517-021-08372-w</t>
  </si>
  <si>
    <t>https://www.scopus.com/inward/record.uri?eid=2-s2.0-85114891369&amp;doi=10.1007%2fs12517-021-08372-w&amp;partnerID=40&amp;md5=3ee312600282c6f0fb439607921948d9</t>
  </si>
  <si>
    <t>A setup of a two-dimensional hydrodynamic model based on Delft3D modeling system for the coastal waters of Jeddah is described. Sensitivity tests of both numerical and physical parameters defined in the model and validation of the numerical model are also described. The model was forced by major tidal constituents along the open boundary. The performance of the model was evaluated using available water level observations at four sites along Jeddah coast. The simulated tidal elevations showed a very good matching with the observed tidal elevations. The spring and neap tidal cycle are reproduced by the model with good degree. Statistical analysis showed that RMSD error ranges between 0.001 and 0.17 m, while the MAD values vary between 0.02 and 0.08 m. Comparison of simulated and observed amplitudes and phases of the main tidal components also showed a good agreement. The predicted tide-induced current flooding and ebbing features during spring and neap tides were analyzed. The model suggests that the flow in the region is weak where the strengths of the currents increase towards the shallow areas. © 2021, Saudi Society for Geosciences.</t>
  </si>
  <si>
    <t>2-s2.0-85114891369"</t>
  </si>
  <si>
    <t>10.2112/JCR-SI114-039.1</t>
  </si>
  <si>
    <t>https://www.scopus.com/inward/record.uri?eid=2-s2.0-85116939187&amp;doi=10.2112%2fJCR-SI114-039.1&amp;partnerID=40&amp;md5=70a4bdbff4809eefbeaf7bbcfe8b07cf</t>
  </si>
  <si>
    <t>Coconut Creek (Florida), ISSN 0749-0208. The increasing frequency of extreme wave heights has been observed in many parts of the world due to recent global warming. Especially, the variability of extreme wave heights in the summer season has increased during the last three decades over the coast of South Korea that is partially attributable to the increase of the climate variability, leading to the changes in frequency and intensity of the extreme wave heights. Further, coastal areas are particularly vulnerable to the increased climate variability, and the associated risk can be exacerbated by the rapid coastal development over South Korea. Most of the extreme wave heights in South Korea are largely caused by a typhoon during the summer season. Recent studies revealed that the typhoon frequency and intensity in the Asian monsoon region are modulated by Sea Surface Temperature (SST) during the summer season from May to November. Traditional frequency analysis methods do not consider the year to year shifts in wave heights risk distributions that are attributed to changes in climate variability that affect the causal structure of coastal inundation risk. In this perspective, a climate-informed nonstationary frequency analysis model is proposed to predict the extreme wave heights and explore the role of the SST in a Bayesian regression framework. The parameters of the nonstationary frequency model are obtained using a Markov Chain Monte Carlo algorithm. The proposed model shows strong potential for predicting the extreme wave heights by linking large-scale climate patterns, providing motivation for developing dynamic coastal flood risk management strategies. © 2021 Coastal Education Research Foundation Inc.. All rights reserved.</t>
  </si>
  <si>
    <t>2-s2.0-85116939187"</t>
  </si>
  <si>
    <t>10.1007/s11069-021-04843-1</t>
  </si>
  <si>
    <t>https://www.scopus.com/inward/record.uri?eid=2-s2.0-85108148335&amp;doi=10.1007%2fs11069-021-04843-1&amp;partnerID=40&amp;md5=06ca359d7ecffd1f6629bda1f925e726</t>
  </si>
  <si>
    <t>This paper presents an integrated approach to simulate flooding and inundation for small- and medium-sized coastal river basins where measured data are not available or scarce. By coupling the rainfall–runoff model, the one-dimensional and two-dimensional models, and the integration of these with global tide model, satellite precipitation products, and synthetic aperture radar imageries, a comprehensive flood modeling system for Tra Bong river basin selected as a case study was set up and operated. Particularly, in this study, the lumped conceptual model was transformed into the semi-distributed model to increase the parameter sets of donor basins for applying the physical similarity approach. The temporal downscaling technique was applied to disaggregate daily rainfall data using satellite-based precipitation products. To select an appropriate satellite-derived rainfall product, two high temporal-spatial resolution products (0.1 × 0.1 degrees and 1 h) including GSMaP_GNRT6 and CMORPH_CRT were examined at 1-day and 1-h resolutions by comparing with ground-measured rainfall. The CMORPH_CRT product showed better performance in terms of statistical errors such as Correlation Coefficient, Probability of Detection, False Alarm Ratio, and Critical Success Index. Land cover/land use, flood extent, and flood depths derived from Sentinel-1A imageries and a digital elevation model were employed to determine the surface roughness and validate the flood modeling. The results obtained from the modeling system were found to be in good agreement with collected data in terms of NSE (0.3–0.8), RMSE (0.19–0.94), RPE (− 213 to 0.7%), F1 (0.55), and F2 (0.37). Subsequently, various scenarios of flood frequency with 10-, 20-, 50-, and 100-year return periods under the probability analysis of extreme values were developed to create the flood hazard maps for the study area. The flood hazards were then investigated based on the flood intensity classification of depth, duration, and velocity. These hazard maps are significantly important for flood hazard assessments or flood risk assessments. This study demonstrated that applying advanced hydrodynamic models on computing flood inundation and flood hazard analysis in data-scarce and ungauged coastal river basins is completely feasible. This study provides an approach that can be used also for other ungauged river basins to better understand flooding and inundation through flood hazard mapping. © 2021, The Author(s).</t>
  </si>
  <si>
    <t>2-s2.0-85108148335"</t>
  </si>
  <si>
    <t>10.1371/journal.pone.0256606</t>
  </si>
  <si>
    <t>https://www.scopus.com/inward/record.uri?eid=2-s2.0-85113756078&amp;doi=10.1371%2fjournal.pone.0256606&amp;partnerID=40&amp;md5=882e95574953306bb86e9f958f6bc87b</t>
  </si>
  <si>
    <t>Threats to public health and environmental quality from septic systems are more prevalent in areas with poorly draining soils, high water tables, or frequent flooding. Significant research gaps exist in assessing these systems’ vulnerability and evaluating factors associated with higher rates of septic systems replacement and repair. We developed a novel GIS-based framework for assessing septic system vulnerability using a database of known septic system specifications and a modified Soil Topographic Index (STI) that incorporates seasonal high groundwater elevation to assess risks posed to septic systems in coastal Georgia. We tested the hypothesis that both the modified STI and septic system specifications such as tank capacity per bedroom and drainfield type would explain most of the variance in septic system repair and replacement using classification inference tree and generalized logistic regression models. Our modeling results indicate that drainfield type (level vs. mounded) is the most significant variable (p-value &lt; 0.001) in predicting septic systems functionality followed by septic tank capacity per bedroom (p-value &lt; 0.01). These show the importance of septic system design regulations such as a minimum requirement for horizontal separation distance between the bottom of trenches and seasonal water table, and adequate tank capacity design. However, for septic systems with a mounded drainfield and a larger tank capacity per bedroom, the modified STI representing hydrological characteristics of septic system location is a significant predictor of a high septic system repair and replacement rate. The methodology developed in this study can have important implications for managing existing septic systems and planning for future development in coastal areas, especially in an environment of rapid climatic change. © 2021 Hoghooghi et al. This is an open access article distributed under the terms of the Creative Commons Attribution License, which permits unrestricted use, distribution, and reproduction in any medium, provided the original author and source are credited.</t>
  </si>
  <si>
    <t>2-s2.0-85113756078"</t>
  </si>
  <si>
    <t>10.1007/s11069-021-04790-x</t>
  </si>
  <si>
    <t>https://www.scopus.com/inward/record.uri?eid=2-s2.0-85107357993&amp;doi=10.1007%2fs11069-021-04790-x&amp;partnerID=40&amp;md5=ef7ebbe94c789dccaab8bf9832af3712</t>
  </si>
  <si>
    <t>Waves overtop berms and seawalls along the shoreline of Imperial Beach (IB), CA when energetic winter swell and high tide coincide. These intermittent, few-hour long events flood low-lying areas and pose a growing inundation risk as sea levels rise. To support city flood response and management, an IB flood warning system was developed. Total water level (TWL) forecasts combine predictions of tides and sea-level anomalies with wave runup estimates based on incident wave forecasts and the nonlinear wave model SWASH. In contrast to widely used empirical runup formulas that rely on significant wave height and peak period, and use only a foreshore slope for bathymetry, the SWASH model incorporates spectral incident wave forcing and uses the cross-shore depth profile. TWL forecasts using a SWASH emulator demonstrate skill several days in advance. Observations set TWL thresholds for minor and moderate flooding. The specific wave and water level conditions that lead to flooding, and key contributors to TWL uncertainty, are identified. TWL forecast skill is reduced by errors in the incident wave forecast and the one-dimensional runup model, and lack of information of variable beach morphology (e.g., protective sand berms can erode during storms). Model errors are largest for the most extreme events. Without mitigation, projected sea-level rise will substantially increase the duration and severity of street flooding. Application of the warning system approach to other locations requires incident wave hindcasts and forecasts, numerical simulation of the runup associated with local storms and beach morphology, and model calibration with flood observations. © 2021, The Author(s).</t>
  </si>
  <si>
    <t>2-s2.0-85107357993"</t>
  </si>
  <si>
    <t>10.1016/j.jhydrol.2021.126470</t>
  </si>
  <si>
    <t>https://www.scopus.com/inward/record.uri?eid=2-s2.0-85108696917&amp;doi=10.1016%2fj.jhydrol.2021.126470&amp;partnerID=40&amp;md5=fbacfff999a0d6dcad971207d009bc7a</t>
  </si>
  <si>
    <t>China suffers frequent and severe floods that result in significant annual casualties and economic losses. However, as flood vulnerability and resilience varies in different regions and periods, it is vital that the temporal and spatial vulnerability and resilience characteristics are known to enable the government to make suitable arrangements for the distribution of relief funds and assist the regions to improve their disaster capabilities. Therefore, to reveal the relative vulnerability and resilience of the research object, this paper developed Chinese provincial scale flood vulnerability and resilience assessment models from an input-output perspective that accounted for socioeconomic, flood damage, flood driving and environmental factors. The Super-Efficiency Data Envelopment Analysis method was applied to the vulnerability assessment research and the Super-Efficiency Slacks-Based Measure Data Envelopment Analysis method was applied to the resilience assessment research. It was found that high vulnerability, high resilience provinces were mainly distributed in the eastern coastal areas, high vulnerability, low resilience provinces were mainly concentrated around the middle reaches of the Yangtze River, low vulnerability, high resilience provinces were mainly distributed in the western region, and low vulnerability, low resilience provinces were mainly in the southwest region. From 2012 to 2018, the relative flood vulnerability was “declining” in 36% of the provinces, even though they had been under pressure from rising GDP and population densities. It was also found that the annual precipitation as the driving factor had a significant impact on provincial flood vulnerabilities. The relative flood resilience from 2012 to 2018 was “rising-declining” in 39% of the provinces, had “almost no change” in 29%, and was rising in only 11%, which indicated that the relative flood resilience in many Chinese provinces still needs to be improved, with the recovery capacity of the power infrastructure in particular needing to be strengthened. Based on the spatiotemporal relative flood vulnerability and resilience variations in each province, some flood prevention and mitigation suggestions are given. © 2021 Elsevier B.V.</t>
  </si>
  <si>
    <t>2-s2.0-85108696917"</t>
  </si>
  <si>
    <t>10.1007/s12517-021-08538-6</t>
  </si>
  <si>
    <t>https://www.scopus.com/inward/record.uri?eid=2-s2.0-85117352611&amp;doi=10.1007%2fs12517-021-08538-6&amp;partnerID=40&amp;md5=86723d482b08409a23566a398e9b03b7</t>
  </si>
  <si>
    <t>Flood hydrodynamic study is an important technique to assess the flood hazards in a flood-prone area. Flood inundation, flood arrival time, flood velocity, and water surface elevation are important parameters to quantify the performance of the hydrodynamic model for flood assessment; however, the sensitivity of these parameters is purely dependent on flood boundary condition, Digital Elevation Model (DEM) resolution, roughness coefficient, and 2D cell size. Therefore, to identify the efficacy of boundary conditions on flood hydrodynamic studies, a present case is performed on the Purna River, Gujarat, India. The Purna River (urban coastal) flood is considered for modeling. The downstream boundary condition is replaced with tidal waves and identify the efficacy in flood parameters in the 2D hydrodynamic condition. The HEC-RAS model is simulated with and without tidal boundary conditions. The model is validated with observed flood heights. The calibration and validation have been performed to check the adequacy and consistency of the model. The model without tide effect unveiled a high R2 value (0.9707) and low RMSE and STD values (0.7045, 0.7251) respectively, demonstrating that the model without tide effect is more efficacious and performs better. The results are elaborated with the significance of tide a flood plain. The critical flood inundation assessment with tidal boundary is an important case study to understand the role of the tidal waves on 2D floods for coastal urban areas. This study could be useful for the decision maker to prepare an efficient flood assessment and resiliency plan for coastal urban flooding.</t>
  </si>
  <si>
    <t>10.1016/j.gca.2021.05.030</t>
  </si>
  <si>
    <t>https://www.scopus.com/inward/record.uri?eid=2-s2.0-85107785164&amp;doi=10.1016%2fj.gca.2021.05.030&amp;partnerID=40&amp;md5=f94ecd24802d8a75d011eb709ba3ceaf</t>
  </si>
  <si>
    <t>The isotopic composition of the detrital sediment record harbours a valuable proxy for estimating the composition of the erodible upper crust since the Archaean. Refractory elements such as titanium (Ti) and zirconium (Zr) can display systematic variations in their isotopic composition as a result of magmatic differentiation. Hence, the isotopic composition of such elements in detrital sediments could potentially be used to infer the average composition (e.g., SiO2 content) of their source region, even when elemental systematics are obfuscated by weathering and diagenetic processes. A key premise of this approach is that the isotopic composition of sediments remains unbiased relative to their protolith. To what extent isotopic fractionation can occur during sedimentary processes, notably the hydrodynamic sorting of heavy mineral assemblages with contrasting isotopic compositions, remains poorly understood. We investigate the effects of such processes on the Ti and Zr isotope composition of a suite of detrital sediments from the Eastern Mediterranean Sea (EMS). These sediments are binary mixtures of two main provenance components, Saharan dust and Nile sediment, with strongly contrasting mineralogical and geochemical signatures. The EMS sediments display clear evidence for hydrodynamic sorting of zircon, expressed as a large variation in Zr/Al2O3 and deviation of εHf relative to the terrestrial εNd-εHf array. Our new data, however, do not show pronounced Zr isotope variation resulting from either hydrodynamic sorting of zircon or sediment provenance. Although this agrees with theoretical models that predict negligible equilibrium zircon-melt Zr isotope fractionation, it contrasts with recent observations suggesting that kinetic Zr isotope fractionation might be a common feature in igneous rocks. For the EMS sediments, the negligible shift in Zr isotope composition through hydrodynamic sorting means that fine-grained samples accurately reflect the composition of their source. The nearly overlapping Zr isotope compositions of Sahara- and Nile-derived sediment, however, mean that Zr isotopes, in this case, have insufficient resolution to be a useful provenance proxy. Titanium behaves differently. A small but resolvable, systematic difference in Ti isotope composition is observed between the Sahara and Nile provenance components. Samples with a strong Saharan dust signature show some Ti isotope evidence for hydrodynamic sorting of oxides in tandem with zircon, but a much stronger effect is inferred for Nile sediment. Regression of the EMS sediment samples shows that the Ti isotope composition of the Nile-derived component is strongly fractionated compared to its protolith, the Ethiopian flood basalts. Whereas Ti in Nile sediment is carried in essentially unmodified concentration, and by inference isotope composition, from its sources to the delta, large-scale hydrodynamic sorting of Fe-Ti oxides occurs in the littoral cell. This process causes a decrease in TiO2/Al2O3 of the residual fine-grained sediment fraction and shifts its Ti isotope composition to heavier compositions. The potential of such an “oxide effect” in detrital sediments has implications for crustal evolution models that use Ti isotopes as a proxy for the proportion of felsic crust and can account for the observed scatter in the shale record. © 2021 Elsevier Ltd</t>
  </si>
  <si>
    <t>2-s2.0-85107785164"</t>
  </si>
  <si>
    <t>10.5194/nhess-21-2523-2021</t>
  </si>
  <si>
    <t>https://www.scopus.com/inward/record.uri?eid=2-s2.0-85113909148&amp;doi=10.5194%2fnhess-21-2523-2021&amp;partnerID=40&amp;md5=51a9dda118a25c049cd8afcb0d372d9e</t>
  </si>
  <si>
    <t>The Bay of Bengal is a well-known breeding ground to some of the deadliest cyclones in history. Despite recent advancements, the complex morphology and hydrodynamics of this large delta and the associated modelling complexity impede accurate storm surge forecasting in this highly vulnerable region. Here we present a proof of concept of a physically consistent and computationally efficient storm surge forecasting system tractable in real time with limited resources. With a state-of-the-art wave-coupled hydrodynamic numerical modelling system, we forecast the recent Supercyclone Amphan in real time. From the available observations, we assessed the quality of our modelling framework. We affirmed the evidence of the key ingredients needed for an efficient, real-time surge and inundation forecast along this active and complex coastal region. This article shows the proof of the maturity of our framework for operational implementation, which can particularly improve the quality of localized forecast for effective decision-making over the Bengal delta shorelines as well as over other similar cyclone-prone regions. © 2021 The Author(s).</t>
  </si>
  <si>
    <t>2-s2.0-85113909148"</t>
  </si>
  <si>
    <t>10.1016/j.geomorph.2021.107830</t>
  </si>
  <si>
    <t>https://www.scopus.com/inward/record.uri?eid=2-s2.0-85108644146&amp;doi=10.1016%2fj.geomorph.2021.107830&amp;partnerID=40&amp;md5=9e577b8dab3d3ba3661be7a628bdc4fa</t>
  </si>
  <si>
    <t>Despite their global abundance and high ecological and socio-economic significance, the dynamics of coastal inlets often remain poorly quantified at multi-decadal time scales. Here, we introduce InletTracker (https://github.com/VHeimhuber/InletTracker), a new tool that reconstructs the time-evolving state of dynamic coastal inlets over the last 30+ years from publicly available Landsat 5, 7 and 8 and Sentinel-2 satellite imagery. InletTracker is a Google Earth Engine enabled python toolkit that uses a novel least-cost pathfinding approach to trace inlets along and across the berm (i.e., barrier, bar), and then analyses the resulting transects to infer whether an inlet is open or closed. To evaluate the performance of InletTracker, we applied the tool at 12 intermittent coastal inlets with different maximum inlet widths (≤30-200 m), geomorphological setting and opening frequency located across Southeastern and Southwestern Australia. This exercise involved 6363 unique binary inlet state predictions (i.e., open vs. closed) that were validated against visually inferred inlet states (from the satellite imagery itself), on-ground observational records, and in-situ water levels from inside the inlets. InletTracker reproduced the visually inferred inlet states with an average accuracy across all sites of 89% for the combined Landsat and Sentinel-2 record (15-30 m resolution) and 94% for the Sentinel-2 record only (10 m resolution). Overall, we found good agreement between the predictions of the tool and the three independent validation datasets for all but the smallest sites. Our results demonstrate that InletTracker will enable coastal engineers, managers, and researchers to gain new insights into the dynamics and drivers of coastal inlets or similar shallow water landforms such as river mouths, tidal flats, floodplains, wetlands or delta channel networks. Further, the high spatial (i.e., 10 m) and temporal (i.e., 5-daily) resolution provided by Sentinel-2 makes InletTracker a viable option for near real-time monitoring of even relatively small inlets with a minimum channel width of around 10 m and frequent, short-duration, openings. © 2021 Elsevier B.V.</t>
  </si>
  <si>
    <t>2-s2.0-85108644146"</t>
  </si>
  <si>
    <t>10.1016/j.gca.2021.06.004</t>
  </si>
  <si>
    <t>https://www.scopus.com/inward/record.uri?eid=2-s2.0-85108663226&amp;doi=10.1016%2fj.gca.2021.06.004&amp;partnerID=40&amp;md5=1d8b5e314b281eb1694594336dc06c0b</t>
  </si>
  <si>
    <t>Climate change-triggered episodic and intensive flood events are increasing in frequency globally</t>
  </si>
  <si>
    <t>10.1016/j.wre.2021.100187</t>
  </si>
  <si>
    <t>https://www.scopus.com/inward/record.uri?eid=2-s2.0-85116666264&amp;doi=10.1016%2fj.wre.2021.100187&amp;partnerID=40&amp;md5=c5a0475cb02290d7b92b27675affd2f8</t>
  </si>
  <si>
    <t>The value and vulnerability of salt marshes has led to efforts to ensure their preservation, including the preservation of marsh transgression zones (uplands onto which marshes can migrate) and restrictions on shoreline armoring. Coastal armoring involves the placement of hardened structures such as revetments and bulkheads along the shoreline. These structures can prevent coastal marshes from migrating onto adjacent uplands as sea levels rise, thereby causing marsh loss over time. Hence, efficient targeting of efforts to ensure marsh sustainability requires an understanding of where and why coastal armoring is likely to occur. This article develops a random utility model that characterizes residential landowners’ shoreline armoring decisions for beachfront and non-beachfront residential property, focusing on whether armoring is influenced by features related to marsh migration. The model is illustrated using parcel-level data from Accomack County, Virginia with armoring observations on each parcel for two time periods, 2002 and 2013. Independent models for the two time periods suggest that landowners in the case study area do not tend to construct armoring in ways that impede marsh migration—all else equal armoring is less likely to occur in areas suitable for marsh migration. Rather, armoring appears to be motivated primarily by factors associated with shoreline erosion risk such as high wave energy. © 2021 Elsevier B.V.</t>
  </si>
  <si>
    <t>2-s2.0-85116666264"</t>
  </si>
  <si>
    <t>10.1007/s10584-021-03231-9</t>
  </si>
  <si>
    <t>https://www.scopus.com/inward/record.uri?eid=2-s2.0-85117585837&amp;doi=10.1007%2fs10584-021-03231-9&amp;partnerID=40&amp;md5=e891664c833bed1b08d5c79fc3e7437d</t>
  </si>
  <si>
    <t>Coastal areas are increasingly vulnerable to the effects of sea level rise, and the coastal Everglades is no exception. The Comprehensive Everglades Restoration Plan (CERP) was launched in 2000 to restore the natural flow regime to the freshwater marshes of the Everglades. However, sea level rise has been affecting coastal habitats with increasing water levels and residence times of both salinity and marine nutrients. Here, we combined empirical data of water levels and sea levels with modeled CERP restoration scenarios. Water levels and fresh-to-marine head differences (FMHDs) were used as primary indicators of the vulnerability of the Everglades coastal areas to sea level rise and evaluate the relative benefits of restoration to these habitats. Four model scenarios were considered: a simulation of existing conditions baseline (ECB), full CERP implementation (CERP0), Central Everglades Planning Project with the Everglades Agricultural Area Reservoir (CEPPP), and a simulation of the natural/pre-drainage system scenario (NSM). Results demonstrated the differential vulnerability of coastal areas to sea level rise. The CEPPP restoration scenario achieved at least 60% and 30% of the full CERP freshwater and FMHD benefits in Shark River Slough, the largest freshwater flow-way in ENP, and Taylor Slough, the smaller flow-way in southeastern ENP, respectively. Hence, integration of FMHD metric in restoration efforts is essential to ensure restoration benefits extend beyond the freshwater marshes and improve coastal habitats. © 2021, The Author(s), under exclusive licence to Springer Nature B.V.</t>
  </si>
  <si>
    <t>2-s2.0-85117585837"</t>
  </si>
  <si>
    <t>10.5194/acp-21-13443-2021</t>
  </si>
  <si>
    <t>https://www.scopus.com/inward/record.uri?eid=2-s2.0-85114821904&amp;doi=10.5194%2facp-21-13443-2021&amp;partnerID=40&amp;md5=502a018a03bb9428194eb13dc42c4ed7</t>
  </si>
  <si>
    <t>This study analyzed the nature, mechanisms and drivers for hot-And-polluted episodes (HPEs) in the Pearl River Delta, China. Numerical model simulations were conducted for the summer and autumn of 2009-2011. A total of eight HPEs were identified, mainly occurring in August and September. K-means clustering was applied to group the HPEs into three clusters based on their characteristics and mechanisms. We found three HPEs were driven by weak subsidence and convection induced by approaching tropical cyclones (TC-HPE) and two HPEs were controlled by calm (stagnant) conditions (ST-HPE) with low wind speed in the lower atmosphere, whereas the remaining three HPEs were driven by the combination (hybrid) of both aforementioned systems (HY-HPE). A positive synergistic effect between the HPE and urban heat island (UHI</t>
  </si>
  <si>
    <t>10.3390/rs13163219</t>
  </si>
  <si>
    <t>https://www.scopus.com/inward/record.uri?eid=2-s2.0-85112690856&amp;doi=10.3390%2frs13163219&amp;partnerID=40&amp;md5=b8cc633eea6f165589e9a111db157fea</t>
  </si>
  <si>
    <t>This study examines the response of a cold‐regions deltaic wetland ecosystem in northwestern Canada to two separate and differing seasonal wetting cycles. The goal of this paper was to examine the nature of reflected electromagnetic energy measured by earth observation (EO) satellites, and to assess whether seasonal wetland hydroperiod and episodic flooding events impact the information retrieved by the Sentinel‐2 sensors. The year 2018 represents a year characterized by a large spring freshet and ice‐jam flooding, while 2019 represents a year characterized more by summer open‐water flooding. We applied the Modified Normalized Difference Wetness Index (MNDWI) to address the effects of the wetting cycles. The response of the vegetative cover was tracked using the fraction of the absorbed photosynthetically active radiation (fAPAR) and the Leaf Area Index (LAI). All three indices were viewed through the lens of cover classes as derived through a previously published study by the authors. The study provides a framework for designing longer‐term studies where multiple intra‐ and inter‐annual hydrological cycles can be accessed via EO data. Future studies will enable the examination of lag times inherent in the response to the various water sources applied to spectral response and incorporate this EO approach into a monitoring framework. © 2021 by the authors. Licensee MDPI, Basel, Switzerland.</t>
  </si>
  <si>
    <t>2-s2.0-85112690856"</t>
  </si>
  <si>
    <t>10.1016/j.wace.2021.100346</t>
  </si>
  <si>
    <t>https://www.scopus.com/inward/record.uri?eid=2-s2.0-85110419322&amp;doi=10.1016%2fj.wace.2021.100346&amp;partnerID=40&amp;md5=6b4649aac6be69468cddf2a4807765c3</t>
  </si>
  <si>
    <t>West Africa exhibits decadal patterns in the behaviour of droughts and floods, creating challenges for effective water resources management. Proposed drivers of prolonged shifts in hydrological extremes include the impacts of land-cover change and climate variability in the region. However, while future land-degradation or land-use are highly unpredictable, recent studies suggest that prolonged periods of high-flows or increasing flood occurrences could be predicted by monitoring sea-surface temperature (SST) anomalies in the different ocean basins. In this study, we thus examine: i) what ocean basins would be the most suitable for future seamless flood-prediction systems</t>
  </si>
  <si>
    <t>10.1007/s11069-021-04868-6</t>
  </si>
  <si>
    <t>https://www.scopus.com/inward/record.uri?eid=2-s2.0-85115656487&amp;doi=10.1007%2fs11069-021-04868-6&amp;partnerID=40&amp;md5=27915c56599be3b8f82f9d5ebee6ed3a</t>
  </si>
  <si>
    <t>This study attempted to examine the complex impact of dynamic inundation process of extreme events on flood hazard assessment (FHA) for the affected urban settings around a local river in New York, USA. Using HEC-RAS 2D, LIDAR DEM, distributed values of surface roughness, and hourly discharges at both ends of the selected reach, we simulated the full inundation process of a 500-year storm event, constructed in terms of the existing largest storm event. We presented flooding status at three flooding moments and quantitatively described the temporal changes of inundation area, depth, and the associated stream power over the entire flood period. Then, we analyzed differences of inundated areas in four classes defined using traditional classification (TC) and process-based classification (PBC). The (static) former was based on the maximum inundation map, while the (dynamic) latter accounted for both inundation depth and duration. We showed that inundated areas in higher classes based on TC were much greater than those in similar classes based on PBC, indicating the significant impact of inundation duration on classification of flood hazard. Next, we investigated the impact of different land use/cover on the difference of inundated areas between the two types of classifications and found that it was complex and displayed no consistent trend from areas surrounding individual buildings (local scale) to large inundated areas (global scale). We emphasize the importance of considering the overall impact of the entire flood processes of an event on future FHA. © 2021, The Author(s), under exclusive licence to Springer Nature B.V.</t>
  </si>
  <si>
    <t>2-s2.0-85115656487"</t>
  </si>
  <si>
    <t>10.1029/2021JB021722</t>
  </si>
  <si>
    <t>https://www.scopus.com/inward/record.uri?eid=2-s2.0-85115804318&amp;doi=10.1029%2f2021JB021722&amp;partnerID=40&amp;md5=a84e9f2715d9e8b93dd45c0851dc4c5e</t>
  </si>
  <si>
    <t>Reservoir compaction, surface subsidence, and induced seismicity are often associated with prolonged hydrocarbon production. Recent experiments conducted on the Groningen gas field's Slochteren sandstone reservoir rock, at in-situ conditions, have shown that compaction involves both poroelastic strain and time independent, permanent strain, caused by consolidation and shear of clay films coating the sandstone grains, with grain failure occurring at higher stresses. To model compaction of the reservoir in space and time, numerical approaches, such as the Discrete Element Method (DEM), populated with realistic grain-scale mechanisms are needed. We developed a new particle-interaction law (contact model) for classic DEM to explicitly account for the experimentally observed mechanisms of nonlinear elasticity, intergranular clay film deformation, and grain breakage. It was calibrated against both hydrostatic and conventional triaxial compression experiments and validated against an independent set of pore pressure depletion experiments conducted under uniaxial strain conditions, using a range of sample porosities, grain size distributions, and clay contents. The model obtained was used to predict compaction of the Groningen reservoir. These results were compared with field measurements of in-situ compaction and matched favorably, within field measurement uncertainties. The new model allows systematic investigation of the effects of mineralogy, microstructure, boundary conditions, and loading path on compaction behavior of the reservoir. It also offers a means of generating a data bank suitable for developing generalized constitutive models and for predicting reservoir response to different scenarios of gas extraction, or of fluid injection for stabilization or storage purposes. © 2021. The Authors.</t>
  </si>
  <si>
    <t>2-s2.0-85115804318"</t>
  </si>
  <si>
    <t>10.1007/s11069-021-04739-0</t>
  </si>
  <si>
    <t>https://www.scopus.com/inward/record.uri?eid=2-s2.0-85104860969&amp;doi=10.1007%2fs11069-021-04739-0&amp;partnerID=40&amp;md5=a56ee105514eab6a54218c44bdedc416</t>
  </si>
  <si>
    <t>Flash flood disaster, with strong suddenness and tremendous destructiveness, is one of the most severe natural disasters in China that seriously threaten the lives and property safety of people and social development. Owing to the complex terrain and limited rainfall and runoff monitoring gauges, it is arduous to effectively prevent and control flash flood disasters in small-sized and medium-sized hilly watersheds. Identifying rainfall threshold, critical discharge and warning periods for flash flood, is critical in disaster prevention in such regions. This study adopted two approaches, the entropy-based decision approach and the hydrological model approach in calculating rainfall thresholds under different antecedent moisture condition (AMC). In particular, the entropy-based decision approach was improved, by using the Frank copula to calculate the multivariate joint distribution of the cumulative rainfall and the corresponding peak discharge. These two approaches were validated in a typical basin, located in the Pearl River Delta in South China that is characterized by frequently heavy rainfall and floods in the monsoon. Results showed that both approaches have the ability to quantify rainfall thresholds. Relatively, the Bayesian method exhibited higher rainfall thresholds, comparing to the other methods. In particular, for AMC I, the utility-entropy risk function method (with λ = 1) exhibited the best-applied practicable forecast lead time of 2.0 h</t>
  </si>
  <si>
    <t>10.1016/j.jhydrol.2021.126627</t>
  </si>
  <si>
    <t>https://www.scopus.com/inward/record.uri?eid=2-s2.0-85109454899&amp;doi=10.1016%2fj.jhydrol.2021.126627&amp;partnerID=40&amp;md5=e56e378f5f154b1625d5926b6a2c2829</t>
  </si>
  <si>
    <t>Flood drainage rights (FDR) refer to the rights of all regions in a watershed to drain floodwaters into river reaches under the permission of law. FDR is an important measure used to manage the flooding in various regions of China. This paper explores the problem of flood drainage conflicts caused by regional competition for FDR during flood disasters. We designed an FDR allocation indicator system based on the principles of fairness, efficiency, sustainable development, respect for historical context, and flood resilience strategy. We used the interval multi-objective allocation model based on the projection method to create an FDR pre-allocation plan, and iteratively improved it until it exceeded the standards of a harmonious diagnosis method, thereby obtaining a harmonious allocation plan. The Jiangsu section of the Sunan Canal in the Yangtze River Delta region of China was taken as an example, using data from 2009 to 2018, to study the suitability of our approach and compare it with other indicator systems. Our results showed that: (1) in the FDR pre-allocation, the proportions of FDR obtained by Suzhou, Zhenjiang, Wuxi, and Changzhou were 32.81%, 19.83%, 24.68%, and 22.69%, respectively. However, the FDR pre-allocation scheme did not pass the harmonious diagnosis and would have been objectionable to some regions. (2) After two rounds of harmonious adjustment, the model yielded a final scheme that would promote the harmonious development of the region and improve the acceptability of the FDR allocation plan. In the harmonious distribution of FDR, the proportions of FDR obtained by Suzhou, Zhenjiang, Wuxi, and Changzhou were changed to 29.18%, 20.03%, 28.10%, and 22.69%, respectively. (3) The allocation results based on our five-principle approach were the most harmonious of the tested plans. Our method is geared toward solving the problem of flood drainage conflicts between regions to ensure an orderly flood drainage situation, reduce flood losses, and promote the harmonious development of the entire watershed. As such, it provides a reference for governments and agencies involved in FDR management. © 2021 Elsevier B.V.</t>
  </si>
  <si>
    <t>2-s2.0-85109454899"</t>
  </si>
  <si>
    <t>10.2112/JCR-SI114-032.1</t>
  </si>
  <si>
    <t>https://www.scopus.com/inward/record.uri?eid=2-s2.0-85116930944&amp;doi=10.2112%2fJCR-SI114-032.1&amp;partnerID=40&amp;md5=ea0c37a85d08d156658964c1f9d32c9b</t>
  </si>
  <si>
    <t>Residential structures in the low-lying coastal region are often suffered from devastate coastal disasters, like storms and tsunamis. To minimize the loss and improve the resilience of a coastal community, it is crucial to understand structural damage and failure mechanism under extreme from extreme coastal events. Large-scale laboratory experiments of wood-framed residential houses were conducted to investigate the wave and surge effect on the structure and the structural failure mechanism. The tests were conducted by changing a surge level, wave period, and wave height condition, and measure hydro-kinematics and structural damage process. LIDAR scanning was conducted to collect the data of damage proportion on the structure during series of wave and surge conditions. A three-dimensional RANS model, olaFlow, was used to verify our numerical model, and applied to understand hydrodynamics near the structure. Three different wave breaking conditions, including non-breaking, breaking, and broken wave are tested and consequent wave induced forces on structure are compared for both undamaged structure and damaged structure conditions. The numerical model results showed a good agreement with the experimental results in water surface and velocity. The numerical results of wave induced force in damaged conditions showed 28~43% smaller than those in undamaged conditions. This finding highlight that the damage level of a structure could affect predicting wave load on the structure. © 2021 Coastal Education Research Foundation Inc.. All rights reserved.</t>
  </si>
  <si>
    <t>2-s2.0-85116930944"</t>
  </si>
  <si>
    <t>10.1007/s11069-021-04845-z</t>
  </si>
  <si>
    <t>https://www.scopus.com/inward/record.uri?eid=2-s2.0-85107753463&amp;doi=10.1007%2fs11069-021-04845-z&amp;partnerID=40&amp;md5=794d44095f0b55b25524e4b01e9be28e</t>
  </si>
  <si>
    <t>Warnings issued by meteorological or oceanographic agencies are a common means of allowing people to prepare for likely impactful events. Quantifying the relationships between ocean conditions and coastal impacts, such as shoreline change or flooding of coastal assets (e.g. flooded access points, overtopping of sea walls) is crucial for developing operational coastal hazard warnings. Existing studies have largely omitted empirical data, relying on modelling to estimate total water levels and impact potentials. It is well documented that site-specific conditions influence local morphodynamics and as such, detailed data related to the physical environment is a necessary component of these existing approaches. The capacity to collect these data is not always available, however, and so an alternative approach that does no rely on detailed modelling may be necessary in some instances to identify the conditions that lead to coastal impacts. We propose an alternative empirically based approach for isolating oceanic conditions that are conducive to impact along open coasts, using two case studies from Victoria, southeast Australia: Port Fairy and Inverloch. Oceanic conditions were defined using data obtained from a WAVEWATCH III (WW3) model hindcast, assessed against newly installed wave buoys, which evidenced variation in mean conditions between the two sites. We coupled impact-based data derived from citizen-science and social media to modelled and observational data, to identify the oceanic conditions that led to impacts. We found heterogeneity in the response of the case study locations to deviations from the local mean wave characteristics and still water levels. This paper demonstrates an approach through which impact-based thresholds for erosion could be developed for management applications and early warning systems. © 2021, The Author(s), under exclusive licence to Springer Nature B.V.</t>
  </si>
  <si>
    <t>2-s2.0-85107753463"</t>
  </si>
  <si>
    <t>10.1007/s11852-021-00835-2</t>
  </si>
  <si>
    <t>https://www.scopus.com/inward/record.uri?eid=2-s2.0-85113806932&amp;doi=10.1007%2fs11852-021-00835-2&amp;partnerID=40&amp;md5=ba0b5a48bb4a662f6d5881ffe6bb149d</t>
  </si>
  <si>
    <t>Coastal erosion along Sarawak shoreline is getting serious in recent years due to the impact of climate change and global warming. Strong waves had washed away the land along the shore or beach and thus threatens the infrastructures that were constructed along Sarawak shoreline. Department of Irrigation and Drainage had adopted many methods to protect the shoreline including seawalls, breakwaters, geotextile tubes, concrete mass Labuan blocks, amour rocks and etc. The cheapest and most economic protection method is using armour rock. Besides, amour rock was found to be strong, durable, long-lasting, able to absorb and dissipate the waves before hitting on the shore. However, appropriate size of amour rocks to protect the shore is unknown. Therefore, this research is carried out to determine the appropriate armour rocks sizes for protecting the shoreline against the waves along Sarawak shoreline. The design methodologies are including determination of tidal levels, design wind speed, wind set-up, wave period, sea level rise, wave set-up, breaker height and lastly design armour rock sizes range. Shoreline Protection Manual and Hudson’s formula were adopted in this research to determine the appropriate sizes range of armour rocks. The study area was subdivided into 7 regions. Results revealed that southern part of Sarawak shorelines requires larger armour rock sizes compared to the northern region. The nominal size ranges of armour rocks for regions 1 and 2 are found to be 2112 mm, 1734 mm for region 3, and 1173 mm for regions 4, 5, 6 and 7. Results also revealed that the required armour rock sizes increase with the increment of Mean High Water Spring, nearshore slope gradients and structure slope. Besides, results also concluded that smaller amours rocks is sufficient to react against smaller waves, while bigger waves required bigger rocks for protecting the shoreline. © 2021, The Author(s), under exclusive licence to Springer Nature B.V.</t>
  </si>
  <si>
    <t>2-s2.0-85113806932"</t>
  </si>
  <si>
    <t>10.1016/j.jenvman.2021.112810</t>
  </si>
  <si>
    <t>https://www.scopus.com/inward/record.uri?eid=2-s2.0-85106364637&amp;doi=10.1016%2fj.jenvman.2021.112810&amp;partnerID=40&amp;md5=3eaeab4e8f2da0c06de3a0f82496e5a1</t>
  </si>
  <si>
    <t>Integrating powerful machine learning models with flood risk assessment and determining the potential mechanism between risk and the driving factors are crucial for improving flood management. In this study, six machine learning models were utilized for flood risk assessment of the Pearl River Delta, in which the Gradient Boosting Decision Tree (GBDT), eXtreme Gradient Boosting (XGBoost), and Convolutional Neural Network (CNN) models were firstly applied in this field. Twelve indices were chosen and 2000 sample points were created for model training and testing. Hyperparameter optimization of the models was conducted to ensure fair comparisons. Due to uncertainty in the sample dataset, recorded inundation hot-spots were utilized to validate the rationality of the flood risk zoning maps. After determining the optimal model, the driving factors of different flood risk levels were investigated. Urban and rural areas and coastal and inland areas were also compared to determine the flood risk mechanism in different highest-risk areas. The results showed that the GBDT performed best and provided the most reasonable flood risk result among the six models. A comparison of the driving factors at different risk levels indicated that the disaster-inducing factor, disaster-breeding environment, and disaster-bearing body were not definitely becoming more serious as the flood risk increased. In the highest-risk areas, rural areas were featured by worse disaster-breeding environment than urban areas, and the disaster-inducing factors of coastal areas were more serious than those of inland areas. Moreover, the Digital Elevation Model (DEM), maximum 1-day precipitation (M1DP), and road density (RD) were the top three significant driving factors and contributed 52% to flood risk. This study not only expands the application of machine learning and deep learning methods for flood risk assessment, but also deepens our understanding of the potential mechanism of flood risk and provides insights into better flood risk management. © 2021 Elsevier Ltd</t>
  </si>
  <si>
    <t>2-s2.0-85106364637"</t>
  </si>
  <si>
    <t>10.1007/s10712-021-09660-6</t>
  </si>
  <si>
    <t>https://www.scopus.com/inward/record.uri?eid=2-s2.0-85115822525&amp;doi=10.1007%2fs10712-021-09660-6&amp;partnerID=40&amp;md5=25f0b23c186d837d1e1284371daf3c2f</t>
  </si>
  <si>
    <t>Abstract: Monitoring sources of environmental risks from rising groundwater levels and associated soil degradation is a substantial challenge in coastal regions of the world. The integration of remote sensing and subsurface data, followed by field geophysical surveys, provided an innovative approach for identifying sites susceptible to environmental risks from natural coastal interventions and anthropogenic activities. In this work, various remote sensing (Landsat-5–7-8 and ALOS/PALSAR-DEM), and subsurface (110 boreholes describing soil type, groundwater chemistry, and geotechnical clay plasticity) datasets were integrated in a geographic information system (GIS) environment to generate a site hazard susceptibility map (SHSM) for Suez city, Egypt, as an example of urban geohazard in coastal environments. Accordingly, the obtained very high susceptibility zone (2.95% of the area), located in the south-eastern regions, showed permanent wetlands since 1986, shallow groundwater level, and marine soil facies with thick clay layers. These conditions enhanced the risk of water salinity and swelling potentiality even without anthropogenic intervention. The constructed SHSM model was validated against the spatial distribution of affected infrastructures mapped by field observations and was found to provide accurate results. Additionally, the electrical resistivity tomography (ERT) profiles, collected over the vulnerable sites, revealed the presence of a buried paleo-sand channel extending from the Gulf of Suez and acting as a conduit for seawater inundation during winter seasons. These results highlight the significance of the proposed approach as a practical and cost-effective tool for coastal vulnerability mapping in order to better understand the complexity of multi-dimensions criteria for geohazard modelling. This holistic approach is an important phase to guide priorities of urban planning and would improve the analysis of coastal vulnerability and could be employed in other coastal cities worldwide. Article Highlights: Analysis of geomorphological, geological, hydrogeologic, and geotechnical elements in the coastal cities is required to understand the responses to natural and anthropogenic forcesAn integrative approach of Remote Sensing and geophysical datasets is proposed for assessing sites susceptible to geohazards from natural coastal interferences and anthropogenic activitiesThe reliability of the SHSM model is validated by field observations and Electrical Resistivity tomography (ERT) profiles in the very high susceptibility zone studiedThe results indicate that the proposed approach is a practical and cost-effective tool for coastal vulnerability mapping. © 2021, The Author(s), under exclusive licence to Springer Nature B.V.</t>
  </si>
  <si>
    <t>2-s2.0-85115822525"</t>
  </si>
  <si>
    <t>10.1007/s11069-021-04865-9</t>
  </si>
  <si>
    <t>https://www.scopus.com/inward/record.uri?eid=2-s2.0-85109287329&amp;doi=10.1007%2fs11069-021-04865-9&amp;partnerID=40&amp;md5=58e0c27e3197e3e4e3fe6fca46cb1c58</t>
  </si>
  <si>
    <t>The peri-urban interface (PUI) exhibits characteristic qualities of both urban and rural regions, and this complexity has meant that risk assessments and long-term planning for PUI are lagging, despite these areas representing new developing settlement frontiers. This study aims to address this knowledge gap by modifying an existing approach to quantify and assess flood risk. The risk triangle framework was used to map exposure, vulnerability and biophysical variables; however, in a novel application, the risk triangle framework was adapted by presuming that there is a variation in the degree of exposure, vulnerability and biophysical variables. Within Australia and globally, PUIs are often coastal, and flood risk associated with rainfall and coastal inundation poses considerable risk to communities in the PUI; these risks will be further exacerbated should projections of increasing frequency of extreme rainfall events and accelerating sea-level rise eventuate. An indicator-based approach using the risk triangle framework that maps flood hazard, exposure and vulnerability was used to integrate the biophysical and socio-economic flooding risk for communities in PUI of the St Georges Basin and Sussex Inlet catchments of south-eastern Australia. Integrating the flood risk triangle with future scenarios of demographic and climate change, and considering factors that contribute to PUI flood risk, facilitated the identification of planning strategies that would reduce the future rate of increase in flood risk. These planning strategies are useful for natural resource managers and land use planners across Australia and globally, who are tasked with balancing socio-economic prosperity for a changing population, whilst maintaining and enhancing ecosystem services and values. The indicator-based approach used in this study provides a cost-effective first-pass risk assessment and is a valuable tool for decision makers planning for flood risk across PUIs in NSW and globally.</t>
  </si>
  <si>
    <t>10.1007/s11069-021-04841-3</t>
  </si>
  <si>
    <t>https://www.scopus.com/inward/record.uri?eid=2-s2.0-85108144637&amp;doi=10.1007%2fs11069-021-04841-3&amp;partnerID=40&amp;md5=bdb34adb701cff6d963ee2f1b9dd493c</t>
  </si>
  <si>
    <t>Frequent flood is a concern for most of the coastal regions of India. The importance of flood maps in governing strategies for flood risk management is of prime importance. Flood inundation maps are considered dependable output generated from simulation results from hydraulic models in evaluating flood risks. In the present work, a continuous hydrologic-hydraulic model has been implemented for mapping the flood, caused by the Baitarani River of Odisha, India. A rainfall time-series data were fed into the hydrologic model and the runoff generated from the model was given as an input into the hydraulic model. The study was performed using the HEC-HMS model and the FLO-2D model to map the extent of flooding in the area. Shuttle Radar Topographic Mission (SRTM) 90 m Digital Elevation Model (DEM) data, Land use/Land cover map (LULC), soil texture data of the basin area were used to compute the topographic and hydraulic parameters. Flood inundation was simulated using the FLO-2D model and based on the flow depth, hazard zones were specified using the MAPPER tool of the hydraulic model. Bhadrak District was found to be the most hazard-prone district affected by the flood of the Baitarani River. The result of the study exhibited the hydraulic model as a utile tool for generating inundation maps. An approach for assessing the risk of flooding and proper management could help in mitigating the flood. The automated procedure for mapping and the details of the study can be used for planning flood disaster preparedness in the worst affected area. © 2021, The Author(s), under exclusive licence to Springer Nature B.V.</t>
  </si>
  <si>
    <t>2-s2.0-85108144637"</t>
  </si>
  <si>
    <t>10.1007/s12517-021-07991-7</t>
  </si>
  <si>
    <t>https://www.scopus.com/inward/record.uri?eid=2-s2.0-85112490669&amp;doi=10.1007%2fs12517-021-07991-7&amp;partnerID=40&amp;md5=5c50dc921777f00556608d22b94c84dc</t>
  </si>
  <si>
    <t>Morphometric analysis is vital to prioritize sub-watershed for flood hazard assessment in drainage basins for proper planning and management of natural resources for sustainable development. The present study was aimed to assess flash flood hazards and prioritize sub-watersheds in the Heliopolis basin, East Cairo, Egypt. Shuttle Radar Topographic Mission (SRTM) with 90 m resolution DEM has been used to generate drainage networks and delineation of sub-watersheds. This basin has been classified into ten sub-watersheds</t>
  </si>
  <si>
    <t>10.1016/j.geomorph.2021.107884</t>
  </si>
  <si>
    <t>https://www.scopus.com/inward/record.uri?eid=2-s2.0-85111989958&amp;doi=10.1016%2fj.geomorph.2021.107884&amp;partnerID=40&amp;md5=a92d0224a0531bf9546ddd6c66d0068d</t>
  </si>
  <si>
    <t>Sandy beaches in estuaries and bays (BEBs) are common landforms on the coasts of many major cities. They exist under a wide range of settings and their morphology is controlled by their distance from the estuary/bay entrance, exposure to different types of waves (e.g., ocean swells vs locally generated wind waves), proximity to flood-tide delta/shoals, and anthropogenic interventions (e.g., dredging, groynes). Both swell waves propagating into estuaries/bays and locally generated wind waves can erode BEBs. However, more understanding of BEB storm erosion and recovery over decadal timescales is needed, as they typically respond slower than open coast beaches. Here we present decadal shoreline behaviours of nine BEBs from two estuarine systems in SE Australia are presented in this study, using 76 years of aerial imagery (1941–2017). We quantify and compare decadal behaviour between beaches, developing a new typology of BEBs based on shoreline evolution. We identify four decadal behaviours: prograding, quasi-stable, retreating and storm relict – and assess the influence of flood-tide deltas, river mouths, distance from the ocean entrance, and anthropogenic interventions. Swell-exposed BEBs near the entrance are quasi-stable and recover after storms at rates comparable with open coast beaches (&lt;3 years). In contrast, BEBs further from the entrance and those with less swell exposure, have slower recovery timescales (3–15 years) and will only be quasi-stable if storms are sufficiently infrequent. Thus, long-term behaviour is controlled by storm return timescales. Prograding BEBs are typically far from the entrance, where fluvial and tidal processes dominate and erosion events due to wind waves are less pronounced. Whether BEBs recover (quasi-stable), partially recover between storms (retreating) or never recover (storm relict) relates to storm frequency, recovery rates and proximity to sediment sources and sinks (e.g., dredge sites, flood-tide deltas, tidal channels) and anthropogenic interventions. Findings will help to better understand and manage BEB shorelines in major cities. © 2021 Elsevier B.V.</t>
  </si>
  <si>
    <t>2-s2.0-85111989958"</t>
  </si>
  <si>
    <t>10.7480/rius.6.94</t>
  </si>
  <si>
    <t>https://www.scopus.com/inward/record.uri?eid=2-s2.0-85102360720&amp;doi=10.7480%2frius.6.94&amp;partnerID=40&amp;md5=6e8925fa6034fc78116068b117ebeebd</t>
  </si>
  <si>
    <t>Deltaic areas are among the most promising regions in the world. Their strategic location and superior quality of their soils are core factors supporting both human development and the rise of these regions as global economic hubs. At the same time, however, deltas are extremely vulnerable to multiple threats from both climate change and the rush to urbanization. These include an increased flood risk combined with the resulting loss of ecological and social-cultural values. The urbanization of deltas can be understood as a set of complex social-ecological systems (and subsystems), each with its own dynamics and speed of change. To ensure a more sustainable future for these areas, spatial strategies are needed to strengthen resilience, i.e. help the systems to cope with their vulnerabilities as well as enhance their capacity to overcome natural and artificial threats. In this article we elaborate a landscape-based regional design approach for the adaptive urban transformation of urbanizing deltas, taking the Pearl River Delta as a case study. Based on an assessment of the dynamics of change regarding the transformational cycles of natural and urban landscape elements, eco-dynamic regional design strategies are explored to reveal greater opportunities for the exploitation of natural and social-cultural factors within the processes of urban development. Furthermore, adaptive transformational perspectives are identified to ensure reduced flood risk and inclusive socio-ecological design. © 2021 TU Delft. All rights reserved.</t>
  </si>
  <si>
    <t>2-s2.0-85102360720"</t>
  </si>
  <si>
    <t>10.3390/geosciences11100400</t>
  </si>
  <si>
    <t>https://www.scopus.com/inward/record.uri?eid=2-s2.0-85116015966&amp;doi=10.3390%2fgeosciences11100400&amp;partnerID=40&amp;md5=6e559fc0badad11a3a975f9592b2d0c9</t>
  </si>
  <si>
    <t>The heterogeneity and anisotropy of fractured-rock aquifers, such as those in the Columbia River Basalt Province, present challenges for determining groundwater recharge. The entrance of recharge to the fractured-basalt and interbedded-sediment aquifer in the Palouse region of north-central Idaho is not well understood because of successive basalt flows that act as restrictive barriers. It was hypothesized that a primary recharge zone exists along the basin’s eastern margin at a mountain-front interface where eroded sediments form a more conductive zone for recharge. Potential source waters and groundwater were analyzed for δ18O and δ2H to discriminate recharge sources and pathways. Snowpack values ranged from −22 to −12‰for δ18O and from −160 to −90‰for δ2H and produced spring-time snowmelt ranging from −16.5 to −12‰ for δ18O and from −120 to −90‰ for δ2H. With the transition of snowmelt to spring-time ephemeral creeks, the isotope values compressed to −16 and −14‰ for δ18O and −110 and −105‰ for δ2H. A greater range of values was present for a perennial creek (−18 to −13.5‰ for δ18O and −125 to −98‰ for δ2H) and groundwater (−17.5 to −13‰ for δ18O and −132 to −105‰ for δ2H), which reflect a mixing of seasonal signals and the varying influence of vapor sources and sublimation/evaporation. Inverse modeling and the evaluation of matrix characteristics indicate conductive pathways associated with paleochannels and deeper pathways along the mountain-front interface. Depleted isotope signals indicate quicker infiltration and recharge pathways that were separate from, or had limited mixing with, more evaporated water that infiltrated after greater time/travel at the surface. © 2021 by the authors. Licensee MDPI, Basel, Switzerland.</t>
  </si>
  <si>
    <t>2-s2.0-85116015966"</t>
  </si>
  <si>
    <t>10.1016/j.jenvman.2021.112986</t>
  </si>
  <si>
    <t>https://www.scopus.com/inward/record.uri?eid=2-s2.0-85107268926&amp;doi=10.1016%2fj.jenvman.2021.112986&amp;partnerID=40&amp;md5=b119aa6a48063cd0be41a296f233cb51</t>
  </si>
  <si>
    <t>We present Flood-SHE, a data-driven, statistically-based procedure for the delineation of areas expected to be inundated by river floods. We applied Flood-SHE in the 23 River Basin Authorities (RBAs) in Italy using information on the presence or absence of inundations obtained from existing flood zonings as the dependent variable, and six hydro-morphometric variables computed from a 10 m × 10 m DEM as covariates. We trained 96 models for each RBA using 32 combinations of the hydro-morphometric covariates for the three return periods, for a total of 2208 models, which we validated using 32 model sets for each of the covariate combinations and return periods, for a total of 3072 validation models. In all the RBAs, Flood-SHE delineated accurately potentially inundated areas that matched closely the corresponding flood zonings defined by physically-based hydro-dynamic flood routing and inundation models. Flood-SHE delineated larger to much larger areas as potentially subject of being inundated than the physically-based models, depending on the quality of the flood information. Analysis of the sites with flood human consequences revealed that the new data-driven inundation zones are good predictors of flood risk to the population of Italy. Our experiment confirmed that a small number of hydro-morphometric terrain variables is sufficient to delineate accurate inundation zonings in a variety of physiographical settings, opening to the possibility of using Flood-SHE in other areas. We expect the new data-driven inundation zonings to be useful where flood zonings built on hydrological modelling are not available, and to decide where improved flood hazard zoning is needed. © 2021 The Authors</t>
  </si>
  <si>
    <t>2-s2.0-85107268926"</t>
  </si>
  <si>
    <t>10.1016/j.geomorph.2021.107841</t>
  </si>
  <si>
    <t>https://www.scopus.com/inward/record.uri?eid=2-s2.0-85109149672&amp;doi=10.1016%2fj.geomorph.2021.107841&amp;partnerID=40&amp;md5=f929aa28bc539b71d33d89511322f1cc</t>
  </si>
  <si>
    <t>River valleys are dynamic living ecosystems of utmost importance for flood attenuation that are shaped by inundation dynamics. Topographic and bathymetric surveys represent pivotal information for accurate and up-to-date floodplain studies. Both floodplain morphology as well as fluvial river cross section and thalweg profiles are required for inundation modelling and mapping. However, economic and technical limitations hinder their availability in some regions, resulting in challenges to build two dimensional (2D) flood wave routing simulations at proper accuracy and resolution. In this study, we assess the effectiveness of characterizing the fluvial morphology by means of geomorphic methods (GMs). Different GMs, used as surrogates of fluvial bathymetry, are tested and compared to a dataset of surveyed natural cross sections available for the Tiber River basin (Italy). Quantitative flood modelling performances are developed using a validated 150 m flood model, providing inundation extent and floodplain flow depths for the 200 years return period event. The ability (or inefficiency) of surrogating the lack of surveyed fluvial bathymetric data with GMs for supporting large scale hydraulic inundation modelling studies is assessed by testing the following 5 floodplain modelling configurations: (1) rectangular shaped cross section; (2) floodplain-based; (3) global river database; (4) linear regression bathymetric relationship; and (5) and a very coarse 700 grid resolution. In addition, two Global Flood Hazard Mapping (GFHM) products (hydrological, and hydrogeomorphic) were used as part of the large scale floodplain modelling evaluation framework. Results demonstrate that, once the fluvial channel flow area is preserved, all tested GM models produce consistent simulation of inundation depths and extents (Fit index ≥ 0.90). This work provides a quantitative assessment of the validity of the hypothesis stressing that the floodplain conveyance capacity is the driving principle of flood inundation dynamics under extreme flooding scenarios. Understanding the role of geomorphology during extreme magnitude floods may support the idea that under specific conditions, high resolution models and detailed topography/bathymetry are surplus to requirements. This work supports the application of geomorphic approaches over large riparian domains as a parsimonious solution for flood hazard mapping in data scarce regions for applications beyond flood mitigation and forecasting.</t>
  </si>
  <si>
    <t>10.1007/s12517-021-08341-3</t>
  </si>
  <si>
    <t>https://www.scopus.com/inward/record.uri?eid=2-s2.0-85115190631&amp;doi=10.1007%2fs12517-021-08341-3&amp;partnerID=40&amp;md5=9c8356fd40215af2cddfb397aaee305f</t>
  </si>
  <si>
    <t>Flash floods are among the most common natural hazards in Egypt. Wadi El-Darb, one of the vastest drainage catchment in the Eastern Desert of Egypt, is considerably subjected to severe flash flood events. The coastal city of Ras Gharib is located at the outlet of this Wadi, which consequently makes it susceptible to the flash flood hazard. Ras Gharib has a strategic importance to Egypt that it produces 65% of the petroleum requirement; therefore, the government seeks hard to protect the city. Using hydrological modeling approach was necessary, especially in case of the lack of hydrological and meteorological data in the region, to simulate the spatial extent, depth, and speed of the floodwater and then identify the sites at risk of flooding. The elevation data were extracted from digital elevation models (SRTM and ALOS PALSAR). The soil texture properties can be derived from Sentinel-1 radar images fused with geological data to produce the hybrid land cover map containing the rock types and their texture information. Sentinel-2 imagery was used to map the land use/land cover (LULC) in the downstream area of the basin. The results showed that the rainstorm with 51 mm of precipitation intensity would cause, at the outlet of the Wadi El-Darb basin, peak discharge rate of 852.73 m3/s, and the flash flood water can reach Ras Gharib city within 4 h, with an average flood depth of 1.69 m. Also, the flash flood impacts concentrated in the midtown covering about 2.93 km2, about 342 houses, 33.35 km of Ras Ghareb-Minya highway, and 55.9-km long of the internal road network were inundated. The hydrologic modeling results were validated using Jaccard coefficient (= 0.72), based on the integration of Sentinel-2 images along with aerial photos (captured post the flood), Google Earth images, and Open Street Map (OSM). Accordingly, this work provides the developing countries with a practical and quick technique to predict flash flood hazards in arid regions where data are scarce.</t>
  </si>
  <si>
    <t>Interpretation</t>
  </si>
  <si>
    <t>10.1190/INT-2020-0115.1</t>
  </si>
  <si>
    <t>https://www.scopus.com/inward/record.uri?eid=2-s2.0-85117414567&amp;doi=10.1190%2fINT-2020-0115.1&amp;partnerID=40&amp;md5=4c9ffdfd3ba482923f674794448d07f5</t>
  </si>
  <si>
    <t>Flash floods have led to disruptions of human activities and the destruction of properties particularly in the Nuweiba region of southeast Sinai. Despite the arid nature of Sinai, flash floods still pose a great hazard to the region. Using remote sensing characterization, geohazard models were developed to identify flash flood areas; delineate and discriminate morphological features, active channels areas, and soil physiography with a view to categorize risk areas exposed to flash floods hazards in a hazard map; and proffer measures for mitigation. The characterization was achieved using a workflow model developed from spatial data sets of the Shuttle Radar Topography Mission (SRTM) digital elevation model (DEM) and the red-green-blue (RGB) composites from Landsat bands 7 Enhanced Thematic Mapper (ETM+). The data were used to investigate and assess flash flood areas for morphological attributes, watershed basin characterization, and generation of false color composite from the Landsat 7 ETM+ 7, 4, and 2 RGB bands, and the principal component analysis band from a composite of 742 RGB. Multivariate analysis of generated raster layer attributes provided enhancements and attribute discrimination for delineating areas of active flood channels, upslope zones, and soil physiography discrimination from their spectral reflectance. The results are presented in an integrated approach of remote sensing with geographic information systems (GIS) and indicate that the soil types and geologic units contribute greatly toward activation of these flash floods, which is triggered by intense rainstorms. Components of the generated map attributes of SRTM DEM, gradient of DEM, and Landsat 7 ETM+ composite of 742 bands in GIS were used to generate a hazard map using spatial analysis to depict the nature and scale of the issues identified. Due to the flash flood vulnerabilities, the study area was classified into stable/low-, moderate-, and high-risk areas. Mitigation measures to control flash floods were proposed to enable adequate preparations to mitigate impending flash flood disasters.</t>
  </si>
  <si>
    <t>10.1007/s13201-021-01448-8</t>
  </si>
  <si>
    <t>https://www.scopus.com/inward/record.uri?eid=2-s2.0-85115190238&amp;doi=10.1007%2fs13201-021-01448-8&amp;partnerID=40&amp;md5=825ed84ef40feb545b50b61856a25db8</t>
  </si>
  <si>
    <t>Using data-driven models to predict floods in advance is one of the current effective methods and hot researches to reduce urban flood disasters. In order to improve the prediction accuracy, it is necessary to select the appropriate flood hazard factors and the number of training samples to construct the prediction model. In our current research, an artificial neural network (i.e., the back-propagation neural network, BPNN) model was developed to predict the flood depth in the next hour. A case study of the urban flood during six typhoons in Macau of China was conducted to prove the performance of the proposed model. The flood depth was collected as output; after analyzing their correlation to the flood typhoon optimum track, urban weather, tides, geographic height and water depth increment of the submerged area were used as input. As a result, four models trained with different sample numbers were developed for training and testing. The model performances were examined using average absolute error, root mean square error and the coefficient of determination. The results show that in this case study, the 30-min scale model provides reliable predictions and can provide useful decision support for the prevention and mitigation of flood disasters in coastal urban.</t>
  </si>
  <si>
    <t>10.1016/j.scitotenv.2021.146880</t>
  </si>
  <si>
    <t>https://www.scopus.com/inward/record.uri?eid=2-s2.0-85105253970&amp;doi=10.1016%2fj.scitotenv.2021.146880&amp;partnerID=40&amp;md5=aaa4f7eafe08e871d974d869285be406</t>
  </si>
  <si>
    <t>Resilience is widely seen as an important attribute of coastal systems and, as a concept, is increasingly prominent in policy documents. However, there are conflicting ideas on what constitutes resilience and its operationalisation as an overarching principle of coastal management remains limited. In this paper, we show how resilience to coastal flood and erosion hazard could be measured and applied within policy processes, using England as a case study. We define resilience pragmatically, integrating what is presently a disparate set of policy objectives for coastal areas. Our definition uses the concepts of resistance, recovery and adaptation, to consider how the economic, social and environmental dimensions of coastal systems respond to change. We develop a set of composite indicators for each dimension, grounded empirically with reference to national geospatial datasets. A prototype Coastal Resilience Model (CRM) has been developed, which combines the dimensions and generates a quantitative resilience index. We apply it to England's coastal hazard zone, capturing a range of different stakeholder perspectives using relative indicator weightings. The illustrative results demonstrate the practicality of formalising and quantifying resilience. To re-focus national policy around the stated desire of enhancing resilience to coastal flooding and erosion would require firm commitment from government to monitor progress towards resilience, requiring extension of the present risk-based approach, and a consensus methodology in which multiple (and sometimes conflicting) stakeholder values are explicitly considered. Such a transition may also challenge existing governance arrangements at national and local levels, requiring incentives for coastal managers to engage with and apply this new approach, more departmental integration and inter-agency cooperation. The proposed Coastal Resilience Model, with the tools to support planning and measure progress, has the potential to help enable this transition. © 2021 The Authors</t>
  </si>
  <si>
    <t>2-s2.0-85105253970"</t>
  </si>
  <si>
    <t>10.3390/atmos12091160</t>
  </si>
  <si>
    <t>https://www.scopus.com/inward/record.uri?eid=2-s2.0-85114667430&amp;doi=10.3390%2fatmos12091160&amp;partnerID=40&amp;md5=576a49815f8e05ce93935b129c3d6bc0</t>
  </si>
  <si>
    <t>Climate change poses a dire threat to the Mekong River Delta, an important supplier of shrimp and rice to global markets. The southernmost province, Ca Mau, is threatened by sea level rise and land subsidence. Little is known of the expected combined impact of these processes, or of the perceptions of farmers towards these threats. This study first projected the combined effects using the most accurate extant elevation data. Next, to assess perceptions, we interviewed 53 farmers from six communes within the province. We found that 43% of the province could be at risk of submersion by 2030, and 75% by 2050. The interviews revealed that the farmers were largely una-ware of the imminence of submersion and did not fully comprehend the nature and magnitude of the underlying processes. Constrained by the requirements of their developmental trajectory, they were focused on short term threats to their livelihood (weather, salinization, pollution). Conse-quently, far from adapting to the larger threats, they are engaged in practices, such as groundwater extraction for aquaculture, that are hastening the demise of the region. Their plight offers warnings to similar regions around the world. We hope that our findings can inform the development of future outreach programs. © 2021 by the authors. Licensee MDPI, Basel, Switzerland.</t>
  </si>
  <si>
    <t>2-s2.0-85114667430"</t>
  </si>
  <si>
    <t>10.1007/s10113-021-01791-1</t>
  </si>
  <si>
    <t>https://www.scopus.com/inward/record.uri?eid=2-s2.0-85107451677&amp;doi=10.1007%2fs10113-021-01791-1&amp;partnerID=40&amp;md5=921d74f5c3a10dbe65aea484d15cad46</t>
  </si>
  <si>
    <t>Barrier sandspits are biodiverse natural features that regulate the development of lagoon systems and are popular areas for human settlement. Despite many studies on barrier island dynamics, few have investigated the impacts of sea-level rise (SLR) on sandspits. In peri-urban settings, we hypothesised that shoreline environment change would be strongly dependent on contemporary land use decisions, whilst modern engineering capabilities also present new opportunities for working with nature. Our study site in Christchurch, New Zealand, included a unique example of SLR caused by tectonic subsidence and an associated managed retreat initiative. We used a novel scenario modelling approach to evaluate both shorelines simultaneously for 0.25m SLR increments and incorporating open coast sediment supply in 25-year periods. Our key questions addressed the potential impacts of shoreline change on open coast dune and estuarine-coast saltmarsh ecosystems and implications for the role of ‘nature-based’ climate change solutions. The results identify challenges for dune conservation, with a third of the dune system eliminated in the ‘1-m SLR in 100-year’ scenario. The associated exposure of urban areas to natural hazards such as extreme storms and tsunami will likely fuel demand for seawalls unless natural alternatives can be enabled. In contrast, the managed retreat initiative on the backshore presents an opportunity to restart saltmarsh accretion processes seaward of coastal defences with the potential to reverse decades of degradation. Considering both shorelines simultaneously highlights the existence of pinch-points from opposing forces that result in small land volumes above the tidal range. Societal adaptation is delicately poised between the paradigms of resisting or accommodating nature and challenged by the long perimeter and confined nature of the sandspit feature. The use of innovative policy measures in disaster recovery contexts, as highlighted here, may offer a beneficial framework for enabling nature-based solutions to climate change and natural hazards. © 2021, The Author(s), under exclusive licence to Springer-Verlag GmbH Germany, part of Springer Nature.</t>
  </si>
  <si>
    <t>2-s2.0-85107451677"</t>
  </si>
  <si>
    <t>10.46717/igj.54.2B.11Ms-2021-08-31</t>
  </si>
  <si>
    <t>https://www.scopus.com/inward/record.uri?eid=2-s2.0-85114735329&amp;doi=10.46717%2figj.54.2B.11Ms-2021-08-31&amp;partnerID=40&amp;md5=7ffc51be45b649fe7b30d52b43a0ba16</t>
  </si>
  <si>
    <t>During the Quaternary, an active basin in the shape of open lake originated along the Lesser Zab river at Altun Kupri area. The radial complex of fluvial deposit morphologically initiated by the coarse detritus material, that were transported by the Lesser Zab river and other surrounded valleys in a shape of delta towards the proximal part of coastal plain and the fine sediment to the distal part of it. The coarse one prograde along the fine gradually resulting in the accumulation of about 60 m thickness of continuous Pleistocene fluvial succession mostly of coarse grained sediments with minor sand, silt and clay intervals and some tongues and bands of calcareous mud. The bulk of basin fill is made of two depositional systems, the western and southwestern side was filled up by progradation delta systems, but the northern side was gradually filled up by fluvial sediment of Lesser Zab channel. The water impounded in this lake because of Awanah anticline as a ridge in front of the lake which is open with output channel that crosses the shallow gorge and the gorge became deeper and deeper gradually till the water drooped from the lake. There are several possibilities that this ring shape depression of Altun Kupri paleolake generated, first: the depression at Altun Kupri is formed as a result of dissolving lenses of Anhydrite and gypsum of the Fat’ha Formation beneath the northern limb of Awanah Anticline after the collapse of the cavity roof. second: the presence of ring shape cliffs of about 50m thick and depression is bounded by 8km in diameter of cross bedded conglomerates and sandstone and the third: the depression of Altun Kupri paleolake can be developed by meteoritic impact, with several sedimentological and structural evidence such as a delta distributary fan, and there was a hanging terrace at a high level along the gorge. © 2021, Union of Iraqi Geoogists. All rights reserved.</t>
  </si>
  <si>
    <t>2-s2.0-85114735329"</t>
  </si>
  <si>
    <t>10.2112/JCOASTRES-D-20-00093.1</t>
  </si>
  <si>
    <t>https://www.scopus.com/inward/record.uri?eid=2-s2.0-85114425791&amp;doi=10.2112%2fJCOASTRES-D-20-00093.1&amp;partnerID=40&amp;md5=d08f2d1b18c6435caca0ff4482bb5cd5</t>
  </si>
  <si>
    <t>Once prominent up the eastern coast of the United States, freshwater wetlands with Atlantic white cedar (AWC;
Chamaecyparis thyoides L. (B.S.P.)) are now vanishing due to saltwater intrusion and anthropogenic landscape
alterations. This study utilizes a historic, anthropogenic disturbance to provide insight into the AWC response to
salinization. A major straightening and dredging project in the 1920s, including 16 oxbow cuts, allowed brackish water to
move upstream in the St. Jones River in Dover, Delaware, leading to the die-off of an AWC swamp. The sampled AWC
experienced climate change, storms, hydrologic alterations, and sea-level rise. Annual ring width and suppression event
chronologies were developed from dead AWC and were compared to groupings of climate variables in the predisturbance
(1895–1920) and postdisturbance (1928–1958) periods. Results of the dendrochronological analysis indicate that the
AWC in this study died at an average age of 49.3 years, earlier than typically expected for such species. After the
straightening and dredging, the AWC experienced changes in growth response to temperature while suppression events
became positively correlated with elevated temperature (p = 0.024) and high precipitation (p = 0.019). The system also
showed signs of becoming more sensitive to storm events in the postdisturbance period.</t>
  </si>
  <si>
    <t>10.1007/s12517-021-08412-5</t>
  </si>
  <si>
    <t>https://www.scopus.com/inward/record.uri?eid=2-s2.0-85115657011&amp;doi=10.1007%2fs12517-021-08412-5&amp;partnerID=40&amp;md5=2069cf99ca95f51421bdaae76cab1465</t>
  </si>
  <si>
    <t>The Rapti River system in India was chosen for geomorphic classification and mapping based on form and process using modern techniques such as satellite remote sensing data, digital elevation model data, survey of India topographical maps, and GIS. High-resolution satellite remote sensing data and GIS have delivered extremely precise and complicated information about rivers, with a focus on fluvial geomorphic features/units. For form- and process-based geomorphic classification, more than 100 research articles were critically assessed. Various geomorphologists have attempted to map the river based on form and process</t>
  </si>
  <si>
    <t>10.1002/eap.2384</t>
  </si>
  <si>
    <t>https://www.scopus.com/inward/record.uri?eid=2-s2.0-85110580598&amp;doi=10.1002%2feap.2384&amp;partnerID=40&amp;md5=93e98d4203f3b775007c9b6318cfce0d</t>
  </si>
  <si>
    <t>Ecological forecasts are quantitative tools that can guide ecosystem management. The coemergence of extensive environmental monitoring and quantitative frameworks allows for widespread development and continued improvement of ecological forecasting systems. We use a relatively simple estuarine hypoxia model to demonstrate advances in addressing some of the most critical challenges and opportunities of contemporary ecological forecasting, including predictive accuracy, uncertainty characterization, and management relevance. We explore the impacts of different combinations of forecast metrics, drivers, and driver time windows on predictive performance. We also incorporate multiple sets of state-variable observations from different sources and separately quantify model prediction error and measurement uncertainty through a flexible Bayesian hierarchical framework. Results illustrate the benefits of (1) adopting forecast metrics and drivers that strike an optimal balance between predictability and relevance to management, (2) incorporating multiple data sources in the calibration data set to separate and propagate different sources of uncertainty, and (3) using the model in scenario mode to probabilistically evaluate the effects of alternative management decisions on future ecosystem state. In the Chesapeake Bay, the subject of this case study, we find that average summer or total annual hypoxia metrics are more predictable than monthly metrics and that measurement error represents an important source of uncertainty. Application of the model in scenario mode suggests that absent watershed management actions over the past decades, long-term average hypoxia would have increased by 7% compared to 1985. Conversely, the model projects that if management goals currently in place to restore the Bay are met, long-term average hypoxia would eventually decrease by 32% with respect to the mid-1980s. © 2021 The Authors. Ecological Applications published by Wiley Periodicals LLC on behalf of Ecological Society of America.</t>
  </si>
  <si>
    <t>2-s2.0-85110580598"</t>
  </si>
  <si>
    <t>10.5194/hess-25-4403-2021</t>
  </si>
  <si>
    <t>https://www.scopus.com/inward/record.uri?eid=2-s2.0-85113239914&amp;doi=10.5194%2fhess-25-4403-2021&amp;partnerID=40&amp;md5=e973f284911fea4f2b1aec72a4479416</t>
  </si>
  <si>
    <t>The interaction between storm surge and concurrent precipitation is poorly understood in many coastal regions. This paper investigates the potential compound effects from these two flooding drivers along the coast of China for the first time by using the most comprehensive records of storm surge and precipitation. Statistically significant dependence between flooding drivers exists at the majority of locations that are analysed, but the strength of the correlation varies spatially and temporally and depending on how extreme events are defined. In general, we find higher dependence at the south-eastern tide gauges (TGs) (latitude &lt; 30° N) compared to the northern TGs. Seasonal variations in the dependence are also evident. Overall there are more sites with significant dependence in the tropical cyclone (TC) season, especially in the summer. Accounting for past sea level rise further increases the dependence between flooding drivers, and future sea level rise will hence likely lead to an increase in the frequency of compound events. We also find notable differences in the meteorological patterns associated with events where both drivers are extreme versus events where only one driver is extreme. Events with both extreme drivers at south-eastern TG sites are caused by low-pressure systems with similar characteristics across locations, including high precipitable water content (PWC) and strong winds that generate high storm surge. Based on historical disaster damages records of Hong Kong, events with both extreme drivers account for the vast majority of damages and casualties, compared to univariate flooding events, where only one flooding driver occurred. Given the large coastal population and low capacity of drainage systems in many Chinese urban coastal areas, these findings highlight the necessity to incorporate compound flooding and its potential changes in a warming climate into risk assessments, urban planning, and the design of coastal infrastructure and flood defences. © 2021 Jiayi Fang et al.</t>
  </si>
  <si>
    <t>2-s2.0-85113239914"</t>
  </si>
  <si>
    <t>10.1177/0042098020951471</t>
  </si>
  <si>
    <t>https://www.scopus.com/inward/record.uri?eid=2-s2.0-85100190845&amp;doi=10.1177%2f0042098020951471&amp;partnerID=40&amp;md5=b8e6cb40c0db4440c97feee4e84b0633</t>
  </si>
  <si>
    <t>Although the cities in the Pearl River Delta (PRD) in China are amongst the world’s cities most exposed to flooding due to climate change, surprisingly little is done to address this problem. This article explores the barriers to the emergence of policies adapting to the growing flood risk in two PRD cities, Guangzhou and Shenzhen, underlining the importance of the Chinese territorial governance system for adaptive capacity at the local level. Focusing on institutions, ideas and interests as a heuristic device, the article contributes to the literature on urban climate adaptation and the nexus of spatial planning and flood risk management by exploring why and how the development of the adaptive capacity of cities is hampered, despite an urgent need for it. © Urban Studies Journal Limited 2021.</t>
  </si>
  <si>
    <t>2-s2.0-85100190845"</t>
  </si>
  <si>
    <t>10.2112/JCOASTRES-D-20-00094.1</t>
  </si>
  <si>
    <t>https://www.scopus.com/inward/record.uri?eid=2-s2.0-85114443066&amp;doi=10.2112%2fJCOASTRES-D-20-00094.1&amp;partnerID=40&amp;md5=4da25e806b6494e3eb633d89dd4d5428</t>
  </si>
  <si>
    <t>The tidal effect on coastal areas is one of the main factors affecting groundwater. The groundwater including the unconfined aquifer layer and confined underground water layer is the main hazard source in the construction of a shield tunnel in the sandy soil area of a subway. It is necessary to study the influence of shield tunneling on land subsidence when the tides affect the underground diving position in the coastal area. In this article, the surface deformation of a simulated shield tunnel at different water levels and different tunneling lengths in sandy soil environment is measured through a model test, and the relationship between land subsidence, tunnel deformation, and water level change is analyzed. The results show that the change in groundwater level caused by tide will directly affect the floating or subsidence of the shield tunnel. Finite element simulation analysis during the process is carried out, and the influence of rising underground water level on the structure of the shield tunnel in terms of displacement and deformation is studied in detail, revealing the influence law of rising underground water level on the shield tunnel structure. The numerical results are well validated with the experimental results. Therefore, the influence of tide should be considered in the construction of an inshore shield tunnel, and the construction time window should be selected reasonably according to the tidal law.</t>
  </si>
  <si>
    <t>10.1016/j.geomorph.2021.107825</t>
  </si>
  <si>
    <t>https://www.scopus.com/inward/record.uri?eid=2-s2.0-85107925506&amp;doi=10.1016%2fj.geomorph.2021.107825&amp;partnerID=40&amp;md5=b780ed18055755346025ec3f983a449b</t>
  </si>
  <si>
    <t>Salt marshes are important ecosystems but their resilience to sea-level rise and possible increases in storm intensity is largely uncertain. The current paradigm is that a positive sediment budget supports the survival and accretion of salt marshes while sediment deprivation causes marsh degradation. However, few studies have investigated the combined impact of sea-level rise and increased storm intensity on the sediment budget of a salt marsh. This study investigates marsh resilience under the combined impact of various storm surge (0 m, 0.25 m, 0.5 m, 1.0 m, 2.0 m, 3.0 m and 4.0 m) and sea-level (+0 m, +0.3 m, +0.5 m, +0.8 m and +1.0 m) scenarios by using a sediment budget approach and the hydrodynamic model Delft3D. The Ribble Estuary, North-West England, whose salt marshes have been anthropogenically restored and have a high economic and environmental value, has been chosen as test case. We conclude that storm surges can positively contribute to the resilience of the salt marsh and estuarine system by promoting flood dominance and by triggering a net import of sediment. Conversely, sea-level rise can threaten the stability of the marsh by promoting ebb dominance and triggering a net export of sediment. Our results suggest that storm surges have a general tendency to counteract the decrease in sediment budget caused by sea-level rise. The timing of the storm surge relative to high or low tide, the duration of the surge, the change in tidal range and vegetation presence can also cause minor changes in the sediment budget. © 2021 Elsevier B.V.</t>
  </si>
  <si>
    <t>2-s2.0-85107925506"</t>
  </si>
  <si>
    <t>10.1007/s12517-021-08249-y</t>
  </si>
  <si>
    <t>https://www.scopus.com/inward/record.uri?eid=2-s2.0-85113417019&amp;doi=10.1007%2fs12517-021-08249-y&amp;partnerID=40&amp;md5=7dca2260f91e0af1baa99f7137d2f980</t>
  </si>
  <si>
    <t>The spatial pattern and morphological characteristics of creek channels have been altered due to anthropogenic interferences such as the construction of embankment, erection of closures and unsystematic human encroachment on drainage channels of Gosaba Island. The saucer-like appearance of the island and the deterioration of drainage channels have adverse impacts on the estuarine environment. To address these issues, this study highlights the spatial pattern and morphological change of drainage channels and illustrates their negative impacts on Gosaba Island. In this study, US Army Toposheet of 1955, multi-temporal Landsat data from 1972 to 2017, ALOS-PALSAR DEM, high-resolution Google Earth images, and cadastral maps were incorporated in remote sensing and GIS environment to assess the drainage density, morphological characteristics of creeks, spatial risk of flood inundation, and proximity analysis of households along the drainage channels. Furthermore, the direction of surface slopes was measured by instrumental surveying, as well as collecting a variety of information about drainage congestion and the resulting problems during field surveys. The study revealed that channel decay, the morphological changes in creek characteristics, and embedded drainage systems are increasing the risk of flood inundation and waterlogging problems in the agricultural field, especially in times of natural calamity. For the future sustainability of Gosaba, the government must take control over the imprudent human interventions on the drainage system. © 2021, Saudi Society for Geosciences.</t>
  </si>
  <si>
    <t>2-s2.0-85113417019"</t>
  </si>
  <si>
    <t>10.2112/JCR-SI114-097.1</t>
  </si>
  <si>
    <t>https://www.scopus.com/inward/record.uri?eid=2-s2.0-85116881183&amp;doi=10.2112%2fJCR-SI114-097.1&amp;partnerID=40&amp;md5=8b9774d730e6628fdea79ee831362cae</t>
  </si>
  <si>
    <t>Coconut Creek (Florida), ISSN 0749-0208. This study aims to infer the possibility of inundation of coastal areas due to sea level rise caused by climate change. In addition, it seeks to present a necessary survey method and value calculation method to be reflected on the land value. To this end, GIS spatial analysis was performed using tidal observation data and flooding maps. The analysis of IPCC sea level rise assuming the worst-case scenario (Scenario 1) and the gradual-case scenario (Scenario 2) of the actual measurement data of the Busan Tide Observatory showed that 3.8%-5.5% of the total land in Haeundae-gu will be at risk of flooding within the next 100 years. Particularly, lands with a relatively high value at present are more vulnerable. If the method of calculating flood-prone areas presented in this study is introduced in the Government's Land Characteristic Evaluation and the standard land value for areas expected to be flooded is accurately assessed, then the economic loss and social confusion caused by future sea level rises can be prevented. © 2021 Coastal Education Research Foundation Inc.. All rights reserved.</t>
  </si>
  <si>
    <t>2-s2.0-85116881183"</t>
  </si>
  <si>
    <t>10.1016/j.envsci.2021.05.017</t>
  </si>
  <si>
    <t>https://www.scopus.com/inward/record.uri?eid=2-s2.0-85107264029&amp;doi=10.1016%2fj.envsci.2021.05.017&amp;partnerID=40&amp;md5=1f09c9e538b7b89d519b5107f42cd1d8</t>
  </si>
  <si>
    <t>Climate change will have a significant impact on coastal locations, affecting visitors’ and residents’ values and experiences. Yet, we know little about the ways visitors value the coast and how they may be affected by climate change impacts. There is a need for place-based studies, where residents and visitors are studied alongside one another to inform more comprehensive and socially-inclusive adaptation strategies. This study sought to understand the lived and landscape values that visitors and residents attribute to the natural reserves and beach of the Llobregat Delta in the densely built-up environment of Barcelona, Spain, as well as their concerns about the impacts of climate change. Results of our survey (n = 133) showed that residents and visitors alike highly valued the natural environment, biodiversity and therapeutic aspects. Residents placed more importance on the biodiversity, safety and sense of identity and pride that the area provides. Visitors were just as likely as residents to be concerned about the effects of climate change on the region. This concern reveals that visitors are key stakeholders with coastal place attachments that need to be integrated into future adaptation research and practice. © 2021 The Author(s)</t>
  </si>
  <si>
    <t>2-s2.0-85107264029"</t>
  </si>
  <si>
    <t>10.1007/s12517-021-08294-7</t>
  </si>
  <si>
    <t>https://www.scopus.com/inward/record.uri?eid=2-s2.0-85115676023&amp;doi=10.1007%2fs12517-021-08294-7&amp;partnerID=40&amp;md5=e60c38f32f24f88208faf002638bfe7a</t>
  </si>
  <si>
    <t>Pesticides’ contamination status was determined in water samples at the Bia, Tanoé, and Comoe Rivers’ mouths to understand their occurrences and the potential ecological and human health risks in Cote d’Ivoire, West Africa. A total of 26 out 30 pesticides measured including five organophosphates, eleven N-substituted ureas, nine triazines, and one carbamate, triazinone, pyrimidine, and two chloroacetanilides/organochlorines were detected in the three estuaries at concentrations far above international standards. The triazinone herbicides were the most frequently detected followed by pyrimidine rodenticides. Simazine herbicide showed the highest concentration of 120.7 μg/L in the rivers. The Tanoe River bordering Cote d’Ivoire and Ghana recorded more pesticide occurrences per water sample than the Bia and Comoe Rivers</t>
  </si>
  <si>
    <t>10.1016/j.worlddev.2021.105572</t>
  </si>
  <si>
    <t>https://www.scopus.com/inward/record.uri?eid=2-s2.0-85108693567&amp;doi=10.1016%2fj.worlddev.2021.105572&amp;partnerID=40&amp;md5=9bf3c014453b11280075198410989dfa</t>
  </si>
  <si>
    <t>By the 1980s, the Brazilian Amazon was already an urbanized forest. A large portion of its population was living in non-rural areas attracted by better service provisioning and economic opportunities in fast-developing urban centers. Located at the Amazon Estuary-Delta, Belém is the Amazon's largest metropolitan area, marked by informal urban expansion, and serving as an illustrative case of the opportunities and challenges with which urban populations deal in the region. Faced with significant pressures of absent infrastructure, high rates of poverty, precarious settlements, and ever more frequent flood events, already in the 1980s, Belém was home to the biggest urban reform project of its time in Latin America: The Macro-Drainage Project of the Una River Watershed. Costing over 300 million USD, the project was intended to have a multilevel governance system through which the Inter-American Development Bank and local government could coordinate project activities. Yet, due to the combination of poor infrastructure and changing rainfall patterns, about half a million people currently remain vulnerable to flood hazards and property damages. Our analysis uses a socio-legal approach to studying grassroots mobilization against the violation of social and environmental rights aggravated by floods. We also draw on Ostrom's concepts of action arena and action situation to examine collective action across political and legal arenas within which individuals, grassroots organizations, and the state negotiate/contest flood-related issues. Conducting archival and ethnographic research, we find a story of conflict and cooperation between the civil society and political and legal actors, which accounts for a mix of optimism and skepticism regarding the improvement in the livelihood of the urban poor affected by this developmental program. This interdisciplinary lens contributes to understanding the limits and potentials of collective action to address, whether through political and/or legal mobilization, urban inequalities and social vulnerability to environmental and climate change. © 2021 Elsevier Ltd</t>
  </si>
  <si>
    <t>2-s2.0-85108693567"</t>
  </si>
  <si>
    <t>10.1016/j.tcrr.2021.06.002</t>
  </si>
  <si>
    <t>https://www.scopus.com/inward/record.uri?eid=2-s2.0-85147704644&amp;doi=10.1016%2fj.tcrr.2021.06.002&amp;partnerID=40&amp;md5=5b83fb1fb9e7d45a2cf71607c24fab1d</t>
  </si>
  <si>
    <t>China experiences one of the most frequent flood disasters in the world. Establishing accurate and reliable flood prediction program is the key to deal with flood disasters. Nanshui Reservoir Basin, in southern China, belongs to subtropical monsoon climate, with more rain in spring, concentrated rainstorm in summer and typhoon storm in autumn. Floods at dam site are mostly small and medium-sized floods with steep rise and slow fall as typical mountain flood. In order to explore the applicability of Liuxihe model in flood prediction of Nanshui Reservoir, this paper builds up Liuxihe model for Nanshui Reservoir based on DEM, land use and soil type data, and selects a typical flood event to optimize the parameters using particle swarm optimization (PSO) algorithm and verifies the accuracy of the model by simulating the other floods. Liuxihe model established in this paper indicates a satisfactory performance for flood prediction for Nanshui Reservoir, which can meet the accuracy requirement of flood prediction. Finally, the effects of different river grading and PSO algorithm on flood prediction are discussed. The results show that the PSO algorithm can obviously improve the accuracy of the Liuxihe model for flood forecast in Nanshui Reservoir. The simulation based on four-level channel grading has better results than that based on three-level channel, which indicates increased peak flood value, delayed peak time and closer simulation to the measured value. © 2021 The Authors</t>
  </si>
  <si>
    <t>2-s2.0-85147704644"</t>
  </si>
  <si>
    <t>10.1016/j.jsames.2021.103261</t>
  </si>
  <si>
    <t>https://www.scopus.com/inward/record.uri?eid=2-s2.0-85103129018&amp;doi=10.1016%2fj.jsames.2021.103261&amp;partnerID=40&amp;md5=6c2e3c7d25ccdd5d711bef05b46a17ea</t>
  </si>
  <si>
    <t>We explore the coastal morphology along an uplifting 500 km-long coastal segment of the Central Andes, between the cities of Chala (Peru) and Arica (Chile). We use accurate DEM and field surveys to extract sequences of uplifted shorelines along the study area. In addition, we consider continental pediment surfaces that limit both the geographical and vertical extent of the marine landforms. We establish a chronology based on published dates for marine landforms and pediment surfaces. We expand this corpus with new 10Be data on uplifted shore platforms. The last 12 Ma are marked by three periods of coastal stability or subsidence dated ~12-11 Ma, ~8-7 Ma and ~5–2.5 Ma ago. The uplift that accumulated between these stability periods has been ~1000 m since 11 Ma</t>
  </si>
  <si>
    <t>10.1016/j.jvolgeores.2021.107272</t>
  </si>
  <si>
    <t>https://www.scopus.com/inward/record.uri?eid=2-s2.0-85105827467&amp;doi=10.1016%2fj.jvolgeores.2021.107272&amp;partnerID=40&amp;md5=8e93ec05682c880f6ab7f8c022d0cc76</t>
  </si>
  <si>
    <t>Topographic changes or ground surface deformation provide critical information regarding the fluid ascent paths that form in permeable fracture zones. This study combines surface displacement data using the small baseline subset-interferometric synthetic aperture radar (SBAS-InSAR) technique, lineament density, topographic elevation, and water type in geothermally active areas to detect highly permeable zones to assess geothermal resource potential. The Bandung Basin (2000 km2) with several geothermal fields, including Kamojang (KGF), Wayang Windu (WWGF), and Tangkuban Parahu (TPGF), is selected as a case study. An ALOS PALSAR dataset composed of 20 descending and 24 ascending orbital modes acquired in 2007–2011 is used for SBAS-InSAR together with a digital elevation model dataset from the Shuttle Radar Topography Mission (SRTM) for lineament analysis. Although interferograms are available in only half of the study area owing to low coherence, ordinary kriging is successfully applied to clarify the vertical and horizontal E-W displacement over the entire area. Both displacements are in agreement with the GPS data within a 95% confidence level. The detected uplift and subsidence depend on the activity and location of production and injection wells in KGF and WWGF, whereas topographic change in TPGF is dominated by magmatic activity. An important finding is the geologic structural control over topographic change, and in particular, that displacement tends to abruptly change near faults, and the displacement pattern becomes complicated in closely distributed fault zones. A weakly positive correlation between vertical displacement and lineament density is observed in water types classified as sulfate, chloride, and bicarbonate. The largest vertical displacement occurs in the sulfate water type, which shows advanced hydrothermal alteration, weakened rocks, and large topographic changes owing to natural and anthropogenic factors. © 2021 Elsevier B.V.</t>
  </si>
  <si>
    <t>2-s2.0-85105827467"</t>
  </si>
  <si>
    <t>10.3178/hrl.15.71</t>
  </si>
  <si>
    <t>https://www.scopus.com/inward/record.uri?eid=2-s2.0-85113638163&amp;doi=10.3178%2fhrl.15.71&amp;partnerID=40&amp;md5=2b0b69c4d8854eaa3ca003d75b11483d</t>
  </si>
  <si>
    <t>Simulating streamflow under both high-and low-flows is required for versatile eco-hydrological modeling. Typical streamflow simulators require hydrological data such as river geometry and observed river discharge/water level as upstream/downstream boundary conditions. However, these are not always available in data-sparse regions. Furthermore, because of the potential inaccuracy of digital elevation model (DEM) data around water surfaces, this data has not generally been utilized in streamflow simulations. Therefore, this study explores the potential applicability of DEM data to extract river cross-sections, focusing on the upstream Hiikawa River, Japan. A 1-D streamflow simulation was performed using river cross-sections extracted from a 5 m LiDAR DEM and the observed dam discharge from 2018 to 2020 as the upstream boundary condition. The simulated water depths with Manning’s roughness coefficients of 0.03 to 0.05 m–1/3 s reproduce the observation results with Nash-Sutcliffe coefficients of 0.91–0.97 for the whole period and 0.60–0.97 for a flood event. The accurate results for both low and high flows were considered to reflect the reasonable representations of the river cross-section. Finally, the velocity-based suitability index for Ayu (P. altivelis) was evaluated. We demonstrate applicability and several possible limitations of DEM data for eco-hydrological modeling of data-scarce rivers. © The Author(s) 2021. This article is distributed under the terms of the Creative Commons Attribution 4.0 International License (http://creativecommons.org/ licenses/by/4.0/), which permits unrestricted use, distribution, and reproduction in any medium, provided you give appropriate credit to the original author(s) and the source, provide a link to the Creative Commons license, and indicate if changes were made.</t>
  </si>
  <si>
    <t>2-s2.0-85113638163"</t>
  </si>
  <si>
    <t>10.1016/j.jhydrol.2021.126299</t>
  </si>
  <si>
    <t>https://www.scopus.com/inward/record.uri?eid=2-s2.0-85104368607&amp;doi=10.1016%2fj.jhydrol.2021.126299&amp;partnerID=40&amp;md5=13aa11bdacfdc5182065b89c228f8a1b</t>
  </si>
  <si>
    <t>A better understanding of the storm surge phenomenon is essential for coastal protection, future planning, and coastal ecosystem conservation. Using hourly sea level data from 15 tide gauges along the coastline of China the metrics, skew surge and residual water level, which are used to represent storm surges, are compared in this study. The relationship between residual water level, skew surge and predicted high tide were analyzed using two statistical measurements. The results showed that unlike the annual maximum residual water level, the annual maximum skew surge and the astronomical high tide tended to coincide more frequently (more than 50% of the annual maximum skew surges occurred at high tide). Thus, the skew surge was more suitable than the residual water level for use in risk-based coastal planning frameworks. Using the monthly maximum value and indices of the storm surge (storm surge number, duration and intensity), we compared the performances of skew surge and residual water level in expressing changes of storm surges. These two metrics can both capture changes in storm surge activities on seasonal, decadal and long-term scales, and correlation coefficients of storm surge intensity between residual water level and skew surge were greater than 0.80 at 11 tide gauges. At most tide gauges, the skew surge was significantly correlated with 4–5 nearby tide gauges while the residual water level was correlated with only 1–2 tide gauges, the skew surge may be a better metric for risk-based coastal planning frameworks if the interpolation method is used. The El Niño-Southern Oscillation (ENSO) can affect the storm surge frequency along the coastline of China. The effects of the ENSO were more obvious when the residual water level was selected. In conclusion, the skew surge can be selected for use in risk-based coastal planning frameworks, while the residual water level may be a better metric for capturing the relationship between storm surges and climate changes. © 2021 Elsevier B.V.</t>
  </si>
  <si>
    <t>2-s2.0-85104368607"</t>
  </si>
  <si>
    <t>10.1007/s13157-021-01472-z</t>
  </si>
  <si>
    <t>https://www.scopus.com/inward/record.uri?eid=2-s2.0-85108268809&amp;doi=10.1007%2fs13157-021-01472-z&amp;partnerID=40&amp;md5=db7e4ebfeaff271c982a4b821f220b23</t>
  </si>
  <si>
    <t>In the context of coastal marshland reduction due to sea level rise, we evaluated the value of fragmented reed beds located within agricultural polders for the conservation of habitats exploited by marshland passerines characterized by different ecological requirements. Although our study was carried out within sites sampled over different years, analyses of body condition and diet of birds during the breeding period, as well as the local daily survival rate and the body mass evolution of birds during the post-breeding period, reveal trends illustrating that fragmented reed beds within inland meadows can: (i) generate habitats that may be significantly exploited by species with a large ecological plasticity, such as the Reed Warbler that could benefit from edge effects of habitat fragmentation</t>
  </si>
  <si>
    <t>10.1029/2020JF005856</t>
  </si>
  <si>
    <t>https://www.scopus.com/inward/record.uri?eid=2-s2.0-85113393152&amp;doi=10.1029%2f2020JF005856&amp;partnerID=40&amp;md5=c0e2498c97d17f2c8298ad03b2097909</t>
  </si>
  <si>
    <t>Salt marshes are ecologically and physically essential habitats in coastal intertidal flats. In addition to providing nursery grounds for various wildlife, vegetation in marshes acts as a buffer zone that slows flooding waters. Extensive marsh platforms can also attenuate wave energy to protect coastal communities. Complex geometries make it challenging for models to capture the spatiotemporal variabilities in the transport of lateral water and sediment over tidal creek-marsh complexes. To study water exchange processes between tidal creeks and marshes, field observations were conducted within tidal creeks in the Chongming Dongtan Shoal of the Changjiang Estuary, an area dominated by Phragmites australis, Scirpus mariqueter, and Spartina alterniflora. A coupled wave-current-sediment-vegetation model that parameterized the three vegetation species was developed and applied to the tidal creek complex of Chongming Dongtan. Validated with the observational data, the modeling results were used to examine the influence of vegetation on flooding/draining processes within tidal creeks and mudflats. The model showed that vegetation not only modified the flow pattern at high tide in the high-elevation marsh but also significantly intensified the tidal flows in tidal creeks in the low-elevation regions. Both the observations and model detected significant transport of water and sediment from the marsh to tidal creeks, seaward sediment export over tidal cycles. The simulated salinity exhibited a considerable spatial gradient, matching well with the salt tolerances of the major vegetation types. This model can be potentially used to determine how future scenarios of hydrodynamics could affect vegetation zonation. © 2021. American Geophysical Union. All Rights Reserved.</t>
  </si>
  <si>
    <t>2-s2.0-85113393152"</t>
  </si>
  <si>
    <t>10.3390/land10060627</t>
  </si>
  <si>
    <t>https://www.scopus.com/inward/record.uri?eid=2-s2.0-85108726918&amp;doi=10.3390%2fland10060627&amp;partnerID=40&amp;md5=1136196d08c5a84d1ed7428fd53ba77e</t>
  </si>
  <si>
    <t>We analyzed the agricultural land-use changes in the coastal areas of Tien Hai district, Thai Binh province, in 2005, 2010, 2015, and 2020, using Landsat 5 and Landsat 8 data. We used the object-oriented classification method with the maximum likelihood algorithm to classify six types of land uses. The series of land-use maps we produced had an overall accuracy of more than 80%. We then conducted a spatial analysis of the 5-year land-use change using ArcGIS software. In addition, we surveyed 150 farm households using a structured questionnaire regarding the impacts of climate change on agricultural productivity and land uses, as well as farmers’ adaptation and responses. The results showed that from 2005 to 2020, cropland decreased, while aquaculture land and forest land increased. We observed that the most remarkable decreases were in the area of rice (485.58 ha), the area of perennial crops (109.7 ha), and the area of non-agricultural land (747.35 ha). The area of land used for aquaculture and forest increased by 566.88 ha and 772.60 ha, respectively. We found that the manifestations of climate change, such as extreme weather events, saltwater intrusion, drought, and floods, have had a profound impact on agricultural production and land uses in the district, especially for annual crops and aquaculture. The results provide useful information for state authorities to design land-management strategies and solutions that are economic and effective in adapting to climate change. © 2021 by the authors. Licensee MDPI, Basel, Switzerland.</t>
  </si>
  <si>
    <t>2-s2.0-85108726918"</t>
  </si>
  <si>
    <t>10.1016/j.cosust.2021.05.001</t>
  </si>
  <si>
    <t>https://www.scopus.com/inward/record.uri?eid=2-s2.0-85107312990&amp;doi=10.1016%2fj.cosust.2021.05.001&amp;partnerID=40&amp;md5=e3d3c45bdccdd64fc18c6d8a13cf575f</t>
  </si>
  <si>
    <t>Sea-level rise poses a significant threat to Small Island Developing States (SIDS) due to the concentration of people, assets, and infrastructure in coastal zones. This review assesses literature on key emerging topics in sea level rise including: the lasting impact of near-term mitigation on long-term sea-level rise</t>
  </si>
  <si>
    <t>10.1016/j.jenvman.2021.112514</t>
  </si>
  <si>
    <t>https://www.scopus.com/inward/record.uri?eid=2-s2.0-85103764856&amp;doi=10.1016%2fj.jenvman.2021.112514&amp;partnerID=40&amp;md5=82e807b1179a220d7add3fa853de0c88</t>
  </si>
  <si>
    <t>Storm surge is a natural disaster, often causing economic damage and loss of human life in the coastal communities. In recent decades, with more people attracted to coastal areas, the potential economic losses resulted from storm surges are increasing. Therefore, it is important to make risk assessments to identify areas at risk and design risk reduction strategies. However, the quantitative risk assessment of storm surge for coastal cities in China is often difficult due to the lack of adequate data regarding the building footprint and vulnerability curves. This paper aims to provide a methodology for conducting the quantitative risk assessment of storm surge, estimating direct tangible damage, by using Geographical Information System (GIS) techniques and open data. The proposed methodology was applied to a coastal area with a high concentration of petroleum industries in the Daya Bay zone. At first, five individual typhoon scenarios with different return periods (1000, 100, 50, 20, and 10 years) were defined. Then, the Advanced Circulation model and the Simulating Waves Nearshore model were utilized to simulate storm surge. The model outputs were imported into GIS software, transformed into inundation area and inundation depth. Subsequently, the building footprint data were extracted by the use of GIS techniques, including spatial analysis and image analysis. The layer containing building footprints was superimposed on the inundation area layer to identify and quantify the exposed elements to storm surge hazard. Combining the exposed elements with their related depth–damage functions, the quantitative risk assessment translates the spatial extent and depth of storm surge into the estimation of economic losses. The quantitative risk assessment and zonation maps for sub-zones in the study area can help local decision-makers to prioritize the sub-zones that are more likely to be affected by storm surge, make risk mitigation strategies, and develop long-term urban plans. © 2021 Elsevier Ltd</t>
  </si>
  <si>
    <t>2-s2.0-85103764856"</t>
  </si>
  <si>
    <t>10.1007/s00343-020-0249-5</t>
  </si>
  <si>
    <t>https://www.scopus.com/inward/record.uri?eid=2-s2.0-85097051647&amp;doi=10.1007%2fs00343-020-0249-5&amp;partnerID=40&amp;md5=342cf41d4d302cfc79e3f5776297cb1f</t>
  </si>
  <si>
    <t>The chlorophyll a (Chl a) is an important indicator of marine ecosystems. The spatiotemporal variation of the Chl a greatly affects the mariculture and marine ranching in coastal waters of the Shandong Peninsula. In the current study, the climatology and seasonal variability of surface Chl-a concentration around the Shandong Peninsula are investigated based on 16 years (December 2002-November 2018) of satellite observations. The results indicate that the annual mean Chl-a concentration is greater in the Bohai Sea than in the Yellow Sea and decreases from coastal waters to offshore waters. The highest Chl-a concentrations are found in Laizhou Bay (4.2`-8.0 mg/m3), Haizhou Bay (4.2`-5.9 mg/m3) and the northeast coast of the Shandong Peninsula (4.4`-5.0 mg/m3), resulting from the combined effects of the intense riverine input and long residence time caused by the concave shape of the coastline. The seasonal Chl-a concentration shows a significant spatial variation. The Chl-a concentrations in these three subregions generally exhibit an annual maximum in August/September, due to the combined effects of sea surface temperature, river discharge and sea surface wind. In the southeast coast region, however, the Chl-a concentration is lowest throughout the year and reaches a maximum in February with a minimum in July, forced by the seasonal evolution of the Yellow Sea Cold Water and monsoon winds. The interannual Chl-a concentration trends vary among regions and seasons. There are significant increasing trends over a large area around Haizhou Bay from winter to summer, which are mainly caused by the rising sea surface temperature and eutrophication. In other coastal areas, the Chl-a concentration shows decreasing trends, which are clearest in summer and induced by the weakening land rainfall. This study highlights the differences in the Chl-a dynamics among regions around the Shandong Peninsula and is helpful for further studies of coupled physical-ecological-human interactions at multiple scales. © 2021, Chinese Society for Oceanology and Limnology, Science Press and Springer-Verlag GmbH Germany, part of Springer Nature.</t>
  </si>
  <si>
    <t>2-s2.0-85097051647"</t>
  </si>
  <si>
    <t>Perspectives in Ecology and Conservation</t>
  </si>
  <si>
    <t>10.1016/j.pecon.2021.06.001</t>
  </si>
  <si>
    <t>https://www.scopus.com/inward/record.uri?eid=2-s2.0-85108967130&amp;doi=10.1016%2fj.pecon.2021.06.001&amp;partnerID=40&amp;md5=9cfaf92cb8fc3ffa06db8e10cca9ba0d</t>
  </si>
  <si>
    <t>Understanding the impacts on the Brazilian semi-arid coast, which is a drought-prone area (&gt;1000 km) in the tropical Atlantic, and how ecosystems survive and adapt to such extreme environments requires socioecological studies to create a theory for conservation. Here, we highlight five main ongoing changes in tropical semi-arid areas, namely (1) the decrease in rainfall rates due to climate change, which alters freshwater flows, alters water residence times, and promotes hypersalinity (&gt;37) in low-inflow estuaries</t>
  </si>
  <si>
    <t>10.1016/j.sciaf.2021.e00834</t>
  </si>
  <si>
    <t>https://www.scopus.com/inward/record.uri?eid=2-s2.0-85110673561&amp;doi=10.1016%2fj.sciaf.2021.e00834&amp;partnerID=40&amp;md5=7e9795e5b2811e99832fccbb687b6a61</t>
  </si>
  <si>
    <t>Flood occurs due to rapid population growth, land degradation, and climate change, and causes harmful damages to human beings and properties. This can be minimized by giving attention to flood risk measures. One of these measures is inundating flood hazard areas. Therefore, this study was conducted to map flood inundation areas along the Fetam River using GIS and HEC_RAS. Flood inundation mapping is used to define the zones which are more susceptible to flood along the river when the release of a stream surpasses the bank-full stage along the river. Using the past data on river banks and the release of earlier floods besides topographic data, maps were made to illustrate areas predictable to be covered with the flood for different releases. The flooded areas on Fetam River have been represented depending on 5% incidence peak flows for different reoccurrence eras using the HEC-RAS model, GIS for spatial data handling, and HEC-GeoRAS for interfacing among HEC-RAS and GIS. These critical floods were damaging the areas around Fetam River, which is hazardous to social and economic growth due to loss of lives and destruction of properties. Built-up areas and agricultural fields are located along the river banks and are highly susceptible to flooding. The inundated areas were particularly high from Abaya Kalo, Achigi, and Denbun kebeles for all return periods. These flooded areas along the side of the Fetam River are 27.31, 24.85, 20.47, 17.34, and 13.78 km2 for 100, 50, 25, 10, and 5 years return periods, respectively. Generally, this study discovered that flooded areas in the upstream and middle parts of Fetam River are high as related to the downstream parts. © 2021</t>
  </si>
  <si>
    <t>2-s2.0-85110673561"</t>
  </si>
  <si>
    <t>10.1007/s11625-021-00923-0</t>
  </si>
  <si>
    <t>https://www.scopus.com/inward/record.uri?eid=2-s2.0-85102051248&amp;doi=10.1007%2fs11625-021-00923-0&amp;partnerID=40&amp;md5=cc0c591d343fbd5720a1ba1ad59de1a8</t>
  </si>
  <si>
    <t>Zoning is an important tool to regulate the use of land and to characterize built form over land, and thus to facilitate urban sustainability. Availability of reliable data is crucial for monitoring land use zoning, which contributes directly to the success of the Sustainable Development Goals (SDGs) in general, and SDG Goal 11 for sustainable cities and communities in particular. However, obtaining this valuable information using traditional survey methods is both costly and time-consuming. Remote sensing technology overcomes these challenges and supports urban policymaking and planning processes. This study unveils a novel approach to developing a cost-effective method for identifying building types using Sentinel-2A, Visible Infrared Imaging Radiometer Suite (VIIRS)–based nighttime light (NTL) data, and TanDEM-X–based Digital Surface Model (DSM) data. A newly developed index for this study, the Normalized Difference Steel Structure Index (NDSSI), is useful for rapidly mapping industrial buildings with steel structures. The implementation status of Dhaka’s existing land use plan was evaluated by analyzing the spatial distribution of different types of building uses. This study classifies residential, commercial, and industrial buildings within Dhaka using building height, and nighttime light emission. The experimental results reveal that about 67% of commercial and 51% of industrial buildings within the Dhaka Metropolitan Area (DMA) do not comply with the land use zoning by the Detailed Area Plan (DAP). It also reveals that approximately 10% of commercial buildings, 9% of industrial buildings, and 6% of residential buildings have encroached upon conservation zones (such as open space, flood-prone zones, water bodies, and proposed areas for future road extension). A major constraint in the study was the low spatial resolution of the nighttime light dataset, which made it difficult to distinguish individual sources of light. Still, the methodological approaches proposed in this study are expected to promote reduced costs and efficacious decision-making in urban transformation and to help achieve SDG 11, especially in developing countries. © 2021, The Author(s), under exclusive licence to Springer Japan KK part of Springer Nature.</t>
  </si>
  <si>
    <t>2-s2.0-85102051248"</t>
  </si>
  <si>
    <t>10.1007/s11600-021-00582-w</t>
  </si>
  <si>
    <t>https://www.scopus.com/inward/record.uri?eid=2-s2.0-85106406780&amp;doi=10.1007%2fs11600-021-00582-w&amp;partnerID=40&amp;md5=afad9702147bb0cb782e978595c9b387</t>
  </si>
  <si>
    <t>The Mw 6.9 Samos earthquake occurred on 30 October 2020 11:51 offshore of the Samos island, west of the Kuşadası bay in the Aegean Sea. The earthquake caused destruction in villages of Greece and Turkey. The earthquake intensity reached a maximum of VII in İzmir–Bayraklı. A tsunami followed the shock and hit many villages around Samos and the Kuşadası bay. The Sığacık village of Izmir-Turkey suffered heavily from the tsunami. A post-event field survey in Sığacık has been conducted on 31 October 2020, and measurements of flow depth, run-up and limits of inundation were collected. The tsunami inundated the entire coastal area in Sığacık for at least 200 m inland. The maximum inundation has been observed NE of Sığacık. Sea water reached a distance of 391 ± 2 m. The maximum run-up is measured as 5.3 ± 0.3 m north of Sığacık. This is the highest value for the Samos tsunami measured along the Greek and Turkish coastal areas. The high run-up value is attributed to the elongated geometry of the Sığacık bay, the shallow seafloor, the low and flat land morphology in Sığacık and to the existence of four &gt; 70-m-long E–W trending channels. The tsunami left limited amount of clay to sand size sediments forming a layer of less than 2–3 cm in the depression areas in Sığacık. The limited amount of evidence remained from the tsunami of this Mw 6.9 earthquake in Sığacık (a location with significant inundation and the highest run-up value) signifies the difficulty of palaeo-tsunami surveys for the Aegean Sea region. © 2021, Institute of Geophysics, Polish Academy of Sciences &amp; Polish Academy of Sciences.</t>
  </si>
  <si>
    <t>2-s2.0-85106406780"</t>
  </si>
  <si>
    <t>10.1007/s12517-021-06863-4</t>
  </si>
  <si>
    <t>https://www.scopus.com/inward/record.uri?eid=2-s2.0-85109213232&amp;doi=10.1007%2fs12517-021-06863-4&amp;partnerID=40&amp;md5=fe568d737ff35fd43c21b5ccb2d8d33a</t>
  </si>
  <si>
    <t>Three decades (1974-2006) of hourly sea level records at Alexandria were used to calculate both surge elevations and astronomical tide. The tidal harmonic constituents were constructed using the WORLD TIDES program. Over the study period, the mean sea level (MSL) at Alexandria has increased by 8.09 cm giving a sea level rise (SLR) rate of 2.45 mm/year. The M2 constituent (principal lunar semidiurnal constituent) has the largest amplitude among other astronomical components, being 6.5 cm. Although the sea level rises, the rate of increase in high water (5.8 mm/year) is only 1.6 times the rise in the corresponding low water (3.5 mm/year). Results revealed that the extreme high water levels (coastal flooding) will occur with increasing frequency (i.e., with reducing return period) as a result of the mean SLR. Two extreme sea level years, 1987 and 1992, appeared during the 33 years of investigation. The annual maxima, also known as regional factor, α100 is 0.9 for positive surge along the Alexandria coast, which means that coastal structures along the coast of the City are in considerable risk with the return periods of positive surges. © 2021, Saudi Society for Geosciences.</t>
  </si>
  <si>
    <t>2-s2.0-85109213232"</t>
  </si>
  <si>
    <t>10.5194/essd-13-3263-2021</t>
  </si>
  <si>
    <t>https://www.scopus.com/inward/record.uri?eid=2-s2.0-85109475292&amp;doi=10.5194%2fessd-13-3263-2021&amp;partnerID=40&amp;md5=5bc043225f5e63450e2d438aab7a54da</t>
  </si>
  <si>
    <t xml:space="preserve">Topography is a fundamental input to hydrologic models critical for generating realistic streamflow networks as well as infiltration and groundwater flow. Although there exist several national topographic datasets for the United States, they may not be compatible with gridded models that require hydrologically consistent digital elevation models (DEMs). Here, we present a national topographic dataset developed to support gridded hydrologic simulations at 1km and 250m spatial resolution over the contiguous United States. The workflow is described step by step in two parts: (a) DEM processing using a Priority Flood algorithm to ensure hydrologically consistent drainage networks and (b) slope calculation and smoothing to improve drainage performance. The accuracy of the derived stream network is evaluated by comparing the derived drainage area to drainage areas reported by the national stream gage network. The slope smoothing steps are evaluated using the runoff simulations with an integrated hydrologic model. Our DEM product started from the National Water Model DEM to ensure our final datasets will be as consistent as possible with this existing national framework. Our analysis shows that the additional processing we provide improves the consistency of simulated drainage areas and the runoff simulations that simulate gridded overland flow (as opposed to a network routing scheme). The workflow uses an open-source R package, and all output datasets and processing scripts are available and fully documented. All of the output datasets and scripts for processing are published through CyVerse at 250m and 1km resolution. The DOI link for the dataset is 10.25739/e1ps-qy48 (Zhang and Condon, 2020).  © Copyright: </t>
  </si>
  <si>
    <t>2-s2.0-85109475292"</t>
  </si>
  <si>
    <t>10.1007/s10236-021-01462-z</t>
  </si>
  <si>
    <t>https://www.scopus.com/inward/record.uri?eid=2-s2.0-85105909370&amp;doi=10.1007%2fs10236-021-01462-z&amp;partnerID=40&amp;md5=8035e88b3924754ded054a9f6011594a</t>
  </si>
  <si>
    <t>Coastal communities around the Caribbean Sea are vulnerable to global warming impacts, partly because of constraints on their adaptive capacity. We use three climate models provided by the Coupled Model Intercomparison Project Phase 5 (CMIP5) under two representative concentration pathways scenario (RCP4.5 and RCP8.5) to assess the trends and spatial behavior of six atmospheric and ocean variables in the Caribbean Basin during the twenty-first century. Atmospheric results are reported from the model ensemble</t>
  </si>
  <si>
    <t>Social Change</t>
  </si>
  <si>
    <t>10.1177/0049085720924362</t>
  </si>
  <si>
    <t>https://www.scopus.com/inward/record.uri?eid=2-s2.0-85108603340&amp;doi=10.1177%2f0049085720924362&amp;partnerID=40&amp;md5=4dab7fc4eb327c124d1e20d3db370318</t>
  </si>
  <si>
    <t>This article attempts to examine the negative impact of climate change on agricultural livelihood and human social life. Natural climatic variations have always been a challenge for human sustenance as they are predicated on a host of factors that include natural, human-made and unbalanced environmental conditions. India too, with its geographic zones such as mountains, small islands, wetlands, coastal areas, deserts, semi-arid lands and plains is exposed to challenges of climatic change. The impact of climate is particularly severe on the livelihoods of the rural poor. For instance, people living near coastal regions are constantly prone to severe floods. This study specifically focusses on coastal Odisha and the impact of floods which have been triggered by climate change. The study, looking at the effect on crop production and socio-economic conditions, has followed a two-pronged approach––conducting a field survey and collecting data from secondary sources. © 2021 Council for Social Development.</t>
  </si>
  <si>
    <t>2-s2.0-85108603340"</t>
  </si>
  <si>
    <t>10.1007/s10346-021-01691-9</t>
  </si>
  <si>
    <t>https://www.scopus.com/inward/record.uri?eid=2-s2.0-85106027877&amp;doi=10.1007%2fs10346-021-01691-9&amp;partnerID=40&amp;md5=b559d701ca9108ada3a93e66d2f458c2</t>
  </si>
  <si>
    <t>A large debris flow triggered by a rock avalanche in the Raunthi glaciated valley resulted in flash floods in the Rishiganga and Dhauliganga rivers on 07 February 2021 in Uttarakhand, India. Hydel projects, houses, roads and bridges in the path of debris flow were damaged resulting in many deaths. We have used high-resolution satellite data (e.g. Pleiades, WorldView, Kompsat, Cartosat, Resourcesat, Planet) to study the source of flash floods and cause of the slope failure. Our detailed geological assessment, carried out using stereoscopic Pleiades images (50 cm), revealed rock avalanche as the main source of slope failure. The slope failure has exposed a ~197-m-high head scarp near the crown and is controlled by two sets of joints and a foliation that helped in the wedge type failure. The volume of failed mass (rock and ice) estimated by cut and fill method using digital elevation models (DEMs) is ~ 29.3 million m3. The rock and ice descended from a height of ~5474 m and then crashed onto the moraine and ice bridges present in the valley at ~3732 m after travelling ~2.9 km along a steep slope. The heat generated by friction during run out and conversion of potential energy to kinetic energy due to the crashing on valley floor melted snow and ice. The ice melt water along with enhanced snow melting due to high ambient temperature on that day got intermixed with debris and created a slush, which was mobilised as a channelised flash flood. Multi-temporal high-resolution satellite data analysis showed that the debris flow was initiated at ~10:08:45 h (IST), and it travelled with a velocity of ~10.6 m/s. The rock avalanche event lasted for ~50 min, and the crash impact created a severe air blast in the valley. The rock avalanche has also resulted in debris blocking the Raunthi gad valley. Estimated Morphological Obstruction Index (MOI) and Hydro-morphological Dam Stability Index (HDSI) indicate the debris dam to be in an unstable domain. © 2021, Springer-Verlag GmbH Germany, part of Springer Nature.</t>
  </si>
  <si>
    <t>2-s2.0-85106027877"</t>
  </si>
  <si>
    <t>10.1007/s12524-021-01331-8</t>
  </si>
  <si>
    <t>https://www.scopus.com/inward/record.uri?eid=2-s2.0-85101856426&amp;doi=10.1007%2fs12524-021-01331-8&amp;partnerID=40&amp;md5=513bb07ccd8224e8a7072940d129e8aa</t>
  </si>
  <si>
    <t>Natural disasters like flood are causing massive damages to natural and human resources, especially in coastal areas. In respect to social, economic and environmental perspective, flood is one of the most devastating disasters in Chennai for the recent days. Flood susceptibility mapping using frequency ratio model was done for the 88 micro watersheds of Adyar, Cooum and Kosasthalaiyar watersheds of Chennai Corporation area. Flood Susceptibility map was generated using frequency ratio model by considering ten different independent variables (landuse/land cover, elevation, slope, topographic wetness index, surface runoff, landform, lithology, distance from the main river, soil texture and soil drainage) through weighted-based bivariate probability values. In total, 123 historic flood reported locations were taken for this study from which 100 locations were used for susceptibility mapping and 23 locations were used for validation. Both the independent variables and historic flood locations were combined together to generate frequency ratio database for flood susceptibility mapping. The developed frequency ratio was varied from 0 to 27.11 and reclassified into five flood vulnerability zones namely, very low (less than 5.0), low (5.0 7.5), moderate (7.5–10.0), high (10.0–12.5) and very high susceptibility (more than 12.5). The result revealed that 10.48 and 38.93 percentage of the land have very high and high vulnerable class, respectively. The frequency ratio model validated using 23 flood locations, where 22 locations are presented in high and very high susceptibility class. This analysis exemplified that prediction was with success rate of 95.6%. The flood susceptibility analysis using this model will be very useful and efficient tool to the local government administrators, researchers and planners for devising flood mitigation plans. © 2021, Indian Society of Remote Sensing.</t>
  </si>
  <si>
    <t>2-s2.0-85101856426"</t>
  </si>
  <si>
    <t>10.1016/j.jhydrol.2021.126441</t>
  </si>
  <si>
    <t>https://www.scopus.com/inward/record.uri?eid=2-s2.0-85106320576&amp;doi=10.1016%2fj.jhydrol.2021.126441&amp;partnerID=40&amp;md5=d637002993afab317b2fa513e6a87295</t>
  </si>
  <si>
    <t>Land-ocean interaction plays an essential role in the transport fate of terrestrial matters in the coastal and shelf regions. Flood discharge from a mega river, containing massive water, sediment, and nutrient loads, could result in substantial and complex impacts on the physical and biogeochemical dynamics of coastal systems. In this study, field campaigns were conducted in a region from the Changjiang River Estuary to the East China Sea (ECS) before and after a significant flood. The impacts of the flood on physical and biogeochemical environments were assessed. The results revealed that the fluvial flood enhanced the offshore expansion of the low-salinity river plume and associated sediment/nutrient fronts. However, the area of elevated chlorophyll-a at the river mouth did not expand noticeably. A numerical model was applied to quantify the contribution of the Three Gorges Dam (TGD) to the spatial intensity and temporal duration of fluvial flood effects on estuary–shelf continuum. The results predicted a maximum of 2° latitudinal offshore displacement of the shelf water. Salinity and nitrate exhibited conservative expansions, with a longer relaxation time (~2 months) than chlorophyll-a and phosphate. After the TGD-regulated flow event ceased, salinity and nitrate effects persisted, but phosphate and chlorophyll-a recovered rapidly. The flood decreased the dissolved oxygen (DO) concentration around the river mouth and the offshore region, but not in the nearshore transient area. In contrast, the non-TGD regulation increased the regional DO concentration, which reduced the hypoxia risk. The TGD has become a crucial anthropogenic driver of environmental changes in the Changjiang Estuary-ECS continuum. © 2021 Elsevier B.V.</t>
  </si>
  <si>
    <t>2-s2.0-85106320576"</t>
  </si>
  <si>
    <t>10.1016/j.accre.2021.04.005</t>
  </si>
  <si>
    <t>https://www.scopus.com/inward/record.uri?eid=2-s2.0-85108197755&amp;doi=10.1016%2fj.accre.2021.04.005&amp;partnerID=40&amp;md5=bd0425f45fc719013a5dec93be0bb5db</t>
  </si>
  <si>
    <t>In recent decades, changes in temperature, wind, and rainfall patterns of Southeast Asia induced by climate warming in the Tibetan Plateau result in many environmental changes that have serious impacts on the lower reach of the Mekong River basin, a region already battling severe water-related environmental problems such as pollution, saltwater intrusion, and intensified flooding. In the densely populated Mekong Delta located at the mouth of the Mekong River basin in southern Vietnam, the hydrogeological systems have been transformed from an almost undisturbed to a human-impacted state and saltwater intrusion into surface water and groundwater systems has grown to be a detrimental issue recently, seriously threatening freshwater supply and degrading the eco-environment. In this article, the impacts of human activities and climate change (e.g., groundwater over-exploitation, relative sea-level rise, storm surge, changing precipitation and temperature regimes, uncontrolled drainage canals, operation of hydropower dams, and rapid development of aquaculture) on saltwater intrusion into groundwater systems in the Mekong Delta are briefly reviewed. Based on current status of research findings regarding saltwater intrusion and the subsequent groundwater quality degradation under the impacts of human activities and climate change, major knowledge gaps and challenges are identified and discussed, including thickness and permeability of the silt and clay aquitard, present-day highly heterogeneous 3D distribution of saline groundwater zones, dynamic variation of saltwater/freshwater transition zone, and the most effective and economical control measure. To bridge these gaps, future work should: 1) apply environmental isotope techniques in combination with borehole tests to gain detailed hydrogeological information regarding spatial variation of permeability and thickness of the silt and clay aquitard</t>
  </si>
  <si>
    <t>10.1007/s10236-021-01453-0</t>
  </si>
  <si>
    <t>https://www.scopus.com/inward/record.uri?eid=2-s2.0-85105475742&amp;doi=10.1007%2fs10236-021-01453-0&amp;partnerID=40&amp;md5=6be6d19f9efe09abd02d7b6faa866a99</t>
  </si>
  <si>
    <t>In this paper, we show that over the next few decades, the natural variability of mid-latitude storm systems is likely to be a more important driver of coastal extreme sea levels than either mean sea level rise or climatically induced changes to storminess. Due to their episodic nature, the variability of local sea level response, and our short observational record, understanding the natural variability of storm surges is at least as important as understanding projected long-term mean sea level changes due to global warming. Using the December 2013 North Atlantic Storm Xaver as a baseline, we used a meteorological forecast modification tool to create “grey swan” events, whilst maintaining key physical properties of the storm system. Here we define “grey swan” to mean an event which is expected on the grounds of natural variability but is not within the observational record. For each of these synthesised storm events, we simulated storm tides and waves in the North Sea using hydrodynamic models that are routinely used in operational forecasting systems. The grey swan storms produced storm surges that were consistently higher than those experienced during the December 2013 event at all analysed tide gauge locations along the UK east coast. The additional storm surge elevations obtained in our simulations are comparable to high-end projected mean sea level rises for the year 2100 for the European coastline. Our results indicate strongly that mid-latitude storms, capable of generating more extreme storm surges and waves than ever observed, are likely due to natural variability. We confirmed previous observations that more extreme storm surges in semi-enclosed basins can be caused by slowing down the speed of movement of the storm, and we provide a novel explanation in terms of slower storm propagation allowing the dynamical response to approach equilibrium. We did not find any significant changes to maximum wave heights at the coast, with changes largely confined to deeper water. Many other regions of the world experience storm surges driven by mid-latitude weather systems. Our approach could therefore be adopted more widely to identify physically plausible, low probability, potentially catastrophic coastal flood events and to assist with major incident planning. © 2021, The Author(s).</t>
  </si>
  <si>
    <t>2-s2.0-85105475742"</t>
  </si>
  <si>
    <t>10.1007/s10661-021-09179-8</t>
  </si>
  <si>
    <t>https://www.scopus.com/inward/record.uri?eid=2-s2.0-85107563141&amp;doi=10.1007%2fs10661-021-09179-8&amp;partnerID=40&amp;md5=9ae29a6b9ee5b81f6b2dde5bb1d94430</t>
  </si>
  <si>
    <t>The massive destruction and loss caused by the 2004 Sumatra–Andaman tsunami were attributed to the lack of knowledge on tsunami and low regional detection and communication systems for early warning in that region. This study aimed to identify locations at risk of impending tsunami from Andaman Sea for the safety of community and proper development planning at the coastal areas by providing an updated and revised inundation maps. The last study on this area was conducted several years ago which open the possibility to new findings. Generated by tsunami simulation models, the maps illustrate the extent and level of inundation to which the coastal community and infrastructure would be subjected. As a result of coastal changes and availability of better topographic data, the existing inundation maps for the coastal areas of northwest Peninsular Malaysia at risk to impending tsunami from the Andaman Sea are revised. This paper documented the computational setup leading to the generation of the revised inundation maps. The tsunami simulation model TUNA was used to simulate the generation, propagation, and subsequent run-up and inundation of tsunamis triggered by earthquakes of moment magnitudes (Mw) 8.5, 9.0, and 9.25 along the Sunda Trench. From the simulations, it was found that at Mw 9.25, Balik Pulau, Pulau Pinang would be subjected to inundation of as far as 3.47 km with 5.40-m-deep inundation at the highest section. © 2021, The Author(s), under exclusive licence to Springer Nature Switzerland AG.</t>
  </si>
  <si>
    <t>2-s2.0-85107563141"</t>
  </si>
  <si>
    <t>Journal of the Korean Physical Society</t>
  </si>
  <si>
    <t>10.1007/s40042-021-00128-9</t>
  </si>
  <si>
    <t>https://www.scopus.com/inward/record.uri?eid=2-s2.0-85109917857&amp;doi=10.1007%2fs40042-021-00128-9&amp;partnerID=40&amp;md5=b83d7ae33a74d446fea05cf2e3161d52</t>
  </si>
  <si>
    <t>A Korean demand survey indicates that the number of stations (1070) that the government currently plans to install does not satisfy the demand (1371) for charging stations. Therefore, this study aims to identify the planned 1070 stations’ proper locations across the nation and select the same number out of 1371 points by deciding the optimal number and locations required by the Korean government to implement their strategy. This strategy requires a proposed formula that estimates the deficit of each of the three groups in South Korea. In this study, the deficit is defined as the maximum number of electric charging stations that can be installed in a group. Here, the charging infrastructure location index (CILI), a combination of the charging demand ability indicator (CDI), user convenience indicator (UCI), and Ease of installation indicator (EI), was used, followed by the selection of charging points with higher values. The fuzzy analytic hierarchy process (AHP) and the survey results were applied to calculate each indicator’s weight. After analysis, the results show that a proper charging station location should include a high electric vehicle penetration rate, solid charging infrastructures secured in a given area, high road network density, and high traffic volumes in city centers. However, some cities are not considered proper sites for charging stations. For example, Sejong-si is currently under development, and Incheon-si has islands and coastal areas that cover half of its total surface area. Ulsan-si also shows unfavorable conditions for charging stations because the city, known for manufacturing automobiles, has low potential demand</t>
  </si>
  <si>
    <t>10.1016/j.gloplacha.2021.103529</t>
  </si>
  <si>
    <t>https://www.scopus.com/inward/record.uri?eid=2-s2.0-85107752424&amp;doi=10.1016%2fj.gloplacha.2021.103529&amp;partnerID=40&amp;md5=1bbae588aef17fe5473dcfbb7bd9635e</t>
  </si>
  <si>
    <t>As greenhouse warming is predicted to intensify the El Niño–Southern Oscillation (ENSO), it is key to understand relationships between the magnitudes and spatial distribution of ENSO events and associated extreme sea levels (ESLs). Current understanding is lacking for river deltas, where human societies and ecosystems are particularly vulnerable to coastal hazards. Using long-term tide gauge records, we report on ESLs during historical ENSO events of different magnitudes, spatial distribution and temporal evolution in the Guayas delta–Gulf of Guayaquil (Ecuador), the largest estuarine system on the Pacific coast of South America and a relevant hotspot for coastal hazards. Here, we found a landward amplification of sea level anomalies during Eastern Pacific El Niño events, with monthly mean values peaking from +43 cm at the open coast to +75 cm in the inner delta, producing among the highest ENSO driven ESLs ever documented. This landward amplification is shown to coincide with a sea-to-land gradient from a predominantly oceanic (thermosteric) to meteorological (fluvial) El Niño contribution to these ESLs, demonstrating the strong coupling between these two forcings of El Niño. Our findings highlight the strong exposure of coastal societies and ecosystems to ENSO driven ESLs and the pressing need for adaptation measures in face of continued global warming. © 2021 Elsevier B.V.</t>
  </si>
  <si>
    <t>2-s2.0-85107752424"</t>
  </si>
  <si>
    <t>10.1016/j.ijdrr.2021.102378</t>
  </si>
  <si>
    <t>https://www.scopus.com/inward/record.uri?eid=2-s2.0-85107647704&amp;doi=10.1016%2fj.ijdrr.2021.102378&amp;partnerID=40&amp;md5=a1ed578eee2ba6bfca42f8e8bdeac6d4</t>
  </si>
  <si>
    <t>The increasing vulnerability of coastal areas to climate change and hazards has the authorities seeking the best way to protect the population. Because it is essential for citizens to contribute to their own protection, it is increasingly necessary to take their knowledge and perceptions into account. Two studies have been conducted to identify the factors that could explain protective behavior regarding coastal erosion and flooding risks: a qualitative study using interviews with 32 inhabitants of municipalities exposed to coastal risks, and a quantitative study using questionnaires with 237 participants exposed to coastal erosion (N = 116) and coastal flooding (N = 121). Thematic content and statistical analysis (multiple linear regression) have been used. The results indicate that flooding is considered a personal risk with heightened involvement, and thus necessitates personal action for self-protection. Erosion appears to be a collective risk, impacting all inhabitants, as well as being slower and easier to anticipate. The physical characteristics of the phenomenon will thus determine the dynamics and functioning of social knowledge on risk assessment and on the motivation to protect oneself. © 2021 Elsevier Ltd</t>
  </si>
  <si>
    <t>2-s2.0-85107647704"</t>
  </si>
  <si>
    <t>10.1002/hyp.14171</t>
  </si>
  <si>
    <t>https://www.scopus.com/inward/record.uri?eid=2-s2.0-85111118715&amp;doi=10.1002%2fhyp.14171&amp;partnerID=40&amp;md5=5c85bed77b34a380377bc4b4a870d4f0</t>
  </si>
  <si>
    <t>Reservoirs of lowland floodplain rivers with eutrophic backgrounds cause variations in the hydrological and hydraulic conditions of estuaries and low-dam reservoir areas, which can promote planktonic algae to proliferate and algal bloom outbreaks. Understanding the ecological effects of variations in hydrological and hydraulic processes in lowland rivers is important for algal bloom control. In this study, the middle and lower reaches of the Han River, China, a typical regulated lowland river with a eutrophic background, are selected. Based on the effect of hydrological and hydraulic variability on algal blooms, a hydrological management strategy for river algal bloom control is proposed. The results showed that (a) differences in river morphology and background nutrient levels cause significant differences in the critical threshold flow velocities for algal bloom outbreaks between natural river and low-dam reservoir sections</t>
  </si>
  <si>
    <t>10.1029/2020EF001882</t>
  </si>
  <si>
    <t>https://www.scopus.com/inward/record.uri?eid=2-s2.0-85111599541&amp;doi=10.1029%2f2020EF001882&amp;partnerID=40&amp;md5=c66faad86beaa88a964eb2982a9513a5</t>
  </si>
  <si>
    <t>This study provides a literature-based comparative assessment of uncertainties and biases in global to world-regional scale assessments of current and future coastal flood risks, considering mean and extreme sea-level hazards, the propagation of these into the floodplain, people and coastal assets exposed, and their vulnerability. Globally, by far the largest bias is introduced by not considering human adaptation, which can lead to an overestimation of coastal flood risk in 2100 by up to factor 1300. But even when considering adaptation, uncertainties in how coastal societies will adapt to sea-level rise dominate with a factor of up to 27 all other uncertainties. Other large uncertainties that have been quantified globally are associated with socio-economic development (factors 2.3–5.8), digital elevation data (factors 1.2–3.8), ice sheet models (factor 1.6–3.8) and greenhouse gas emissions (factors 1.6–2.1). Local uncertainties that stand out but have not been quantified globally, relate to depth-damage functions, defense failure mechanisms, surge and wave heights in areas affected by tropical cyclones (in particular for large return periods), as well as nearshore interactions between mean sea-levels, storm surges, tides and waves. Advancing the state-of-the-art requires analyzing and reporting more comprehensively on underlying uncertainties, including those in data, methods and adaptation scenarios. Epistemic uncertainties in digital elevation, coastal protection levels and depth-damage functions would be best reduced through open community-based efforts, in which many scholars work together in collecting and validating these data. © 2021. The Authors.</t>
  </si>
  <si>
    <t>2-s2.0-85111599541"</t>
  </si>
  <si>
    <t>10.3389/feart.2021.626844</t>
  </si>
  <si>
    <t>https://www.scopus.com/inward/record.uri?eid=2-s2.0-85109355203&amp;doi=10.3389%2ffeart.2021.626844&amp;partnerID=40&amp;md5=22bc40f5cd99d1a82f5c3b0f1924c7d9</t>
  </si>
  <si>
    <t>Physics-based dynamic rupture models capture the variability of earthquake slip in space and time and can account for the structural complexity inherent to subduction zones. Here we link tsunami generation, propagation, and coastal inundation with 3D earthquake dynamic rupture (DR) models initialized using a 2D seismo-thermo-mechanical geodynamic (SC) model simulating both subduction dynamics and seismic cycles. We analyze a total of 15 subduction-initialized 3D dynamic rupture-tsunami scenarios in which the tsunami source arises from the time-dependent co-seismic seafloor displacements with flat bathymetry and inundation on a linearly sloping beach. We first vary the location of the hypocenter to generate 12 distinct unilateral and bilateral propagating earthquake scenarios. Large-scale fault topography leads to localized up- or downdip propagating supershear rupture depending on hypocentral depth. Albeit dynamic earthquakes differ (rupture speed, peak slip-rate, fault slip, bimaterial effects), the effects of hypocentral depth (25–40 km) on tsunami dynamics are negligible. Lateral hypocenter variations lead to small effects such as delayed wave arrival of up to 100 s and differences in tsunami amplitude of up to 0.4 m at the coast. We next analyse inundation on a coastline with complex topo-bathymetry which increases tsunami wave amplitudes up to ≈1.5 m compared to a linearly sloping beach. Motivated by structural heterogeneity in subduction zones, we analyse a scenario with increased Poisson's ratio of ν = 0.3 which results in close to double the amount of shallow fault slip, ≈1.5 m higher vertical seafloor displacement, and a difference of up to ≈1.5 m in coastal tsunami amplitudes. Lastly, we model a dynamic rupture “tsunami earthquake” with low rupture velocity and low peak slip rates but twice as high tsunami potential energy. We triple fracture energy which again doubles the amount of shallow fault slip, but also causes a 2 m higher vertical seafloor uplift and the highest coastal tsunami amplitude (≈7.5 m) and inundation area compared to all other scenarios. Our mechanically consistent analysis for a generic megathrust setting can provide building blocks toward using physics-based dynamic rupture modeling in Probabilistic Tsunami Hazard Analysis. © Copyright © 2021 Aniko Wirp, Gabriel, Schmeller, H. Madden, van Zelst, Krenz, van Dinther and Rannabauer.</t>
  </si>
  <si>
    <t>2-s2.0-85109355203"</t>
  </si>
  <si>
    <t>10.3390/geohazards2020004</t>
  </si>
  <si>
    <t>https://www.scopus.com/inward/record.uri?eid=2-s2.0-85119188674&amp;doi=10.3390%2fgeohazards2020004&amp;partnerID=40&amp;md5=a8c93d366f7e556b0b6b71088710ea28</t>
  </si>
  <si>
    <t>This study presents a scenario-based approach for identifying and comparing tsunami exposure across different sociopolitical scales. In Samoa, a country with a high threat to local tsunamis, we apply scenarios for the 2009 South Pacific tsunami inundation at different grid resolutions (50 and 10 m) to quantify building and road exposure at the national, district and village levels. We show that while the coarser 50 m model is adequate for use in the rapid identification of exposure at the national and district levels, it can overestimate exposure by up to three times more at the village level. Overestimation typically occurs in areas characterized by flat, low-lying, gentle-rising terrain. Overall, a 35% increase in buildings exposed to the 50 m model is observed compared with the 10 m scenario on southeast Upolu island. Similarly, a 31% increase in road exposure is observed for the 50 m scenario. These observations are discussed within the context of tsunami evacuation planning and logistics. Notwithstanding the variability in exposure, a precautionary approach leads us to conclude that while higher-resolution models are recommended where available data and/or financial resources permit, the absence of such datasets should not preclude the use of coarser hazard datasets in risk assessments. Finer-resolution models provide more credence in detailed local-level exposure evaluation. While the results of this study are specific to the Samoan context, the results can be applied to the multiscale assessment of tsunami risk exposure in similar hazard contexts. © 2021 by the authors.</t>
  </si>
  <si>
    <t>2-s2.0-85119188674"</t>
  </si>
  <si>
    <t>10.3390/rs13122281</t>
  </si>
  <si>
    <t>https://www.scopus.com/inward/record.uri?eid=2-s2.0-85108617818&amp;doi=10.3390%2frs13122281&amp;partnerID=40&amp;md5=8dc0eb25e484655aa7ef14bfb4fabdb9</t>
  </si>
  <si>
    <t>Land subsidence is a significant problem around the world that can increase the risk of flooding, damage to infrastructure, and economic loss. Hence, the continual monitoring of subsidence is important for early detection, mechanism understanding, countermeasure implementation, and deformation prediction. In this study, we used multiple-sensor observations from the Continuous Global Positioning System (CGPS), the small baseline subset (SBAS) algorithm, interferometric synthetic-aperture radar (InSAR), precise leveling, multi-layer compaction monitoring wells (MLCWs), and groundwater observation wells (GWs) to show the spatial and temporal details of land subsidence in the Choushui River alluvial fan (CRAF), Taiwan, from 1993 to 2019. The results showed that significant land subsidence has occurred along the coastal areas in the CRAF, and most of the inland subsidence areas have also experienced higher subsidence rates (&gt;30 mm/yr). The analysis of subsidence along the Taiwan High Speed Rail (THSR) revealed a newly formed subsidence center between Tuku and Yuanchang Townships in Yunlin, with high subsidence rates ranging from 30 to 70 mm/yr. We propose a map showing, for the first time, the distribution of deep compactions occurring below 300 m depth in the CRAF. © 2021 by the authors. Licensee MDPI, Basel, Switzerland.</t>
  </si>
  <si>
    <t>2-s2.0-85108617818"</t>
  </si>
  <si>
    <t>10.1016/j.geomorph.2021.107723</t>
  </si>
  <si>
    <t>https://www.scopus.com/inward/record.uri?eid=2-s2.0-85104942120&amp;doi=10.1016%2fj.geomorph.2021.107723&amp;partnerID=40&amp;md5=9a47befc64cbc27b5b8ea7ec400c32f5</t>
  </si>
  <si>
    <t>There is a common acceptance that the Anthropocene epoch is characterized by the increasing dominance of human activity as a driver of global terrestrial change. Geomorphology, with its historical roots in geology and geography, would seem to be ideally positioned as a geoscience to tackle the well documented, rapidly degrading health of that environment. However, the word ‘geomorphology’ is problematic outside the academy in a way that ‘landscape’ is not. A more explicit identification of geomorphology as a landscape science would encourage engagement by geomorphologists in one of the most urgent environmental questions of our time. If humanity is indeed the most important driver of environmental change, we propose that geomorphologists need to engage more seriously with the cognate landscape sciences, such as landscape architecture, anthropology and political ecology. In particular, there are landscapes that are more threatened than others and critical zones in landscapes that must be protected and enhanced with greater care than others. We argue that recasting geomorphology as not only a geoscience but also a landscape science would highlight issues of human well-being at different spatio-temporal scales and we illustrate this in three case studies from our respective countries: UK, Canada and Austria. As traditional geoscientists, we are not used to thinking of coastal flooding, permafrost degradation and snow depletion as centrally important to our science. But as landscape scientists the inclusion of these and all other components of the cryosphere's interaction with human wellbeing is entirely logical and the distinction between systemic and cumulative environmental responses provides a key to unravelling the variable contributions of local actors, managers and decision makers to environmental degradation. Decision making at zonal, regional and local scales are integral to the way in which geomorphic systems function. This argument clearly has wider application. It is up to geomorphology, acting as a landscape science, to provide the underpinning principles that identify landscape-changing actions as being unsustainable and in providing better-informed future pathways away from such actions. © 2021 Elsevier B.V.</t>
  </si>
  <si>
    <t>2-s2.0-85104942120"</t>
  </si>
  <si>
    <t>10.1073/pnas.2025961118</t>
  </si>
  <si>
    <t>https://www.scopus.com/inward/record.uri?eid=2-s2.0-85109817250&amp;doi=10.1073%2fpnas.2025961118&amp;partnerID=40&amp;md5=684a3153b814887556eb3ad562de7041</t>
  </si>
  <si>
    <t>Coastal communities rely on levees and seawalls as critical protection against sea-level rise; in the United States alone, $300 billion in shoreline armoring costs are forecast by 2100. However, despite the local flood risk reduction benefits, these structures can exacerbate flooding and associated damages along other parts of the shoreline—particularly in coastal bays and estuaries, where nearly 500 million people globally are at risk from sea-level rise. The magnitude and spatial distribution of the economic impact of this dynamic, however, are poorly understood. Here we combine hydrodynamic and economic models to assess the extent of both local and regional flooding and damages expected from a range of shoreline protection and sea-level rise scenarios in San Francisco Bay, California. We find that protection of individual shoreline segments (5 to 75 km) can increase flooding in other areas by as much as 36 million m3 and damages by $723 million for a single flood event and in some cases can even cause regional flood damages that exceed the local damages prevented from protection. We also demonstrate that strategic flooding of certain shoreline segments, such as those with gradually sloping baylands and space for water storage, can help alleviate flooding and damages along other stretches of the coastline. By matching the scale of the economic assessment to the scale of the threat, we reveal the previously uncounted costs associated with uncoordinated adaptation actions and demonstrate that a regional planning perspective is essential for reducing shared risk and wisely spending adaptation resources in coastal bays.</t>
  </si>
  <si>
    <t>10.1016/j.ijdrr.2021.102355</t>
  </si>
  <si>
    <t>https://www.scopus.com/inward/record.uri?eid=2-s2.0-85110457809&amp;doi=10.1016%2fj.ijdrr.2021.102355&amp;partnerID=40&amp;md5=bfa15254a8cd0096c05f3154590a935a</t>
  </si>
  <si>
    <t>Rapid urbanization and climate change have increased the risk of urban flooding, causing massive infrastructure and human losses. The concept of resilience proposes new solutions to manage flood disaster. An urban flood resilience evaluation framework considering the flood disaster cycle of actual historic flood event and objective physical-socio-economic status is necessary for future flood mitigation. This paper proposes a holistic evaluation framework for evaluating urban flood resilience with VIKOR and Grey Relational Analysis (GRA) method. The proposed framework consists of indicators of resistance, coping, recovery and adaptation capacity of resilience for three stages of the flood disaster cycle, namely pre, during and post-flood. The framework has been applied to Yangtze River Delta (YRD) consisting 27 cities in China. Following a rigorous analysis, the cities are ranked and mapped, among which Nanjing stands out to be the first, whereas the entire region presents a moderate level of urban flood resilience varying from city to city. The detailed comparison with sensitivity analysis of resilience at regional, provincial and city level suggests a better resilience in pre-flood stage than post-flood stage. Finally, practical recommendations to regional and local level are provided for further flood mitigation and resilience improvement. The proposed framework is generalizable and useful to develop flood related standards, establish benchmarks, perform evaluation at regional, provincial and city levels across China and other parts of the world. © 2021</t>
  </si>
  <si>
    <t>2-s2.0-85110457809"</t>
  </si>
  <si>
    <t>10.3390/land10060620</t>
  </si>
  <si>
    <t>https://www.scopus.com/inward/record.uri?eid=2-s2.0-85108727080&amp;doi=10.3390%2fland10060620&amp;partnerID=40&amp;md5=b45440726f1229e25d125ebd6c4800fe</t>
  </si>
  <si>
    <t>Flash floods represent one of the natural hazards that causes the greatest number of victims in the Mediterranean area. These processes occur by short and intense rainfall affecting limited areas of a few square kilometers, with rapid hydrological responses. Among the causes of the flood frequency increase in the last decades are the effects of the urban expansion in areas of fluvial pertinence and climatic change, namely the interaction between anthropogenic landforms and hydro-geomorphological dynamics. In this paper the authors show a comparison between flood events with very similar weather-hydrological characteristics and the ground effects occurred in coastal areas of three regions located at the top of a triangle in the Ligurian Sea, namely Liguria, Tuscany and Sardinia. With respect to the meteorological-hydrological hazard, it should be noted that the events analyzed occurred during autumn, in the conditions of a storm system triggered by cyclogenesis on the Genoa Gulf or by the extra-tropical cyclone Cleopatra. The “flash floods” damage recorded in the inhabited areas is due to the vulnerability of the elements at risk in the fluvio-coastal plains examined. There are numerous anthropogenic forcings that have influenced the hydro-geomorphological dynamics and that have led to an increase in risk conditions. © 2021 by the authors. Licensee MDPI, Basel, Switzerland.</t>
  </si>
  <si>
    <t>2-s2.0-85108727080"</t>
  </si>
  <si>
    <t>10.3390/CLI9060097</t>
  </si>
  <si>
    <t>https://www.scopus.com/inward/record.uri?eid=2-s2.0-85109938668&amp;doi=10.3390%2fCLI9060097&amp;partnerID=40&amp;md5=47d8658a36c4e41b5d9e293bdfcac635</t>
  </si>
  <si>
    <t>The main objective of this paper is to measure the level of household resilience to cyclone and storm surges in the coastal area of Bangladesh. We draw on four general disaster frameworks in terms of addressing household-level resilience to cyclones and storm surges. We use a composite indicator approach organized around four components: (1) household infrastructure (HI)</t>
  </si>
  <si>
    <t>10.1007/s13753-021-00355-5</t>
  </si>
  <si>
    <t>https://www.scopus.com/inward/record.uri?eid=2-s2.0-85107427677&amp;doi=10.1007%2fs13753-021-00355-5&amp;partnerID=40&amp;md5=6cf96b095244cf224b5c4e86201e3700</t>
  </si>
  <si>
    <t>The low-lying Pearl River Delta in South China is subject to severe flood threats due to watershed floods, sea level rise, and storm surges. It is still unknown to what extent and how far inland storm surges and sea level rise impact the extreme flood stages. This study investigated the coupling effect of flood discharge and storm surge on the extreme flood stages in the Pearl River Delta by using on site observations and simulations generated by the Hydrologic Engineering Center-River Analysis System model. The results show that flood discharges dominated the flood stages in the middle and upper Pearl River Delta, while the storm surges had maximum impact near the river mouth. The storm surges and flood stages showed a significant increase after 2002 in the Hengmen waterway. The design flood stages for the post-2002 period were 0.23–0.89 m higher than the pre-2002 ones at Hengmen at the six return periods from 5 to 200 years examined in this study. Their difference declined toward the upper waterway and reduced to zero about 23 km away from the Hengmen outlet. The coincidence of extreme flood discharges and storm surges further escalates the extreme flood stages in the lower 30 km of estuarine waterways. Our results quantify the severe threats due to sea level rise and intensified storm surges in the lower Pearl River Delta, and are significant for urban planning and designing and managing flood control facilities in the Pearl River Delta and in other coastal fluvial deltas. © 2021, The Author(s).</t>
  </si>
  <si>
    <t>2-s2.0-85107427677"</t>
  </si>
  <si>
    <t>10.1007/s11629-020-6513-5</t>
  </si>
  <si>
    <t>https://www.scopus.com/inward/record.uri?eid=2-s2.0-85112635739&amp;doi=10.1007%2fs11629-020-6513-5&amp;partnerID=40&amp;md5=1287694ff5a850cd7d783f711db7a14f</t>
  </si>
  <si>
    <t>On August 10, 2019, due to the effect of a rainstorm caused by Super Typhoon Lekima, a landslide occurred in Shanzao Village, China. It blocked the Shanzao stream, forming a barrier lake, and then the barrier lake burst. This is a rare natural disaster chain of typhoon-rainstorm-landslide-barrier lake-flooding. This study was built on field surveys, satellite image interpretation, the digital elevation model (DEM), engineering geological analysis and empirical regression. The purpose was to reveal the characteristics and causes of the landslide, the features and formation process of the barrier lake and the dam break flooding discharge. The results show that the volume of the landslide deposit is approximately 2.4 × 105 m3. The burst mode of the landslide dam is overtopping, which took only 22 minutes from the formation of the landslide dam to its overtopping. The dam-break peak flow was 1353 m3/s, and the average velocity was 2.8–3.0 m/s. This study shows that the strongly weathered rock and soil slope has low strength and high permeability under the condition of heavy rainfall, which reminds us the high risk of landslides and the importance of accurate early warning of landslides under heavy rainfalls in densely populated areas of Southeast China, as well as the severity of the disaster chain of typhoon-rainstorm-landslide-barrier lake-flooding. © 2021, Science Press, Institute of Mountain Hazards and Environment, CAS and Springer-Verlag GmbH Germany, part of Springer Nature.</t>
  </si>
  <si>
    <t>2-s2.0-85112635739"</t>
  </si>
  <si>
    <t>10.5194/hess-25-3595-2021</t>
  </si>
  <si>
    <t>https://www.scopus.com/inward/record.uri?eid=2-s2.0-85108655610&amp;doi=10.5194%2fhess-25-3595-2021&amp;partnerID=40&amp;md5=8e918b48e6e0bfe2fd182a1c69da9f2b</t>
  </si>
  <si>
    <t>The co-occurrence of (not necessarily extreme) precipitation and surge can lead to extreme inland water levels in coastal areas. In a previous work the positive dependence between the two meteorological drivers was demonstrated in a managed water system in the Netherlands by empirically investigating an 800-year time series of water levels, which were simulated via a physical-based hydrological model driven by a regional climate model large ensemble. In this study, we present an impact-focused multivariate statistical framework to model the dependence between these flooding drivers and the resulting return periods of inland water levels. This framework is applied to the same managed water system using the aforementioned large ensemble. Composite analysis is used to guide the selection of suitable predictors and to obtain an impact function that optimally describes the relationship between high inland water levels (the impact) and the explanatory predictors. This is complex due to the high degree of human management affecting the dynamics of the water level. Training the impact function with subsets of data uniformly distributed along the range of water levels plays a major role in obtaining an unbiased performance. The dependence structure between the defined predictors is modelled using two- and three-dimensional copulas. These are used to generate paired synthetic precipitation and surge events, transformed into inland water levels via the impact function. The compounding effects of surge and precipitation and the return water level estimates fairly well reproduce the earlier results from the empirical analysis of the same regional climate model ensemble. Regarding the return levels, this is quantified by a root-mean-square deviation of 0.02gm. The proposed framework is able to produce robust estimates of compound extreme water levels for a highly managed hydrological system. Even though the framework has only been applied and validated in one study area, it shows great potential to be transferred to other areas. In addition, we present a unique assessment of the uncertainty when using only 50 years of data (what is typically available from observations). Training the impact function with short records leads to a general underestimation of the return levels as water level extremes are not well sampled. Also, the marginal distributions of the 50-year time series of the surge show high variability. Moreover, compounding effects tend to be underestimated when using 50-year slices to estimate the dependence pattern between predictors. Overall, the internal variability of the climate system is identified as a major source of uncertainty in the multivariate statistical model.  © 2021 Víctor M. Santos et al.</t>
  </si>
  <si>
    <t>2-s2.0-85108655610"</t>
  </si>
  <si>
    <t>10.1038/s41558-021-01046-1</t>
  </si>
  <si>
    <t>https://www.scopus.com/inward/record.uri?eid=2-s2.0-85108321330&amp;doi=10.1038%2fs41558-021-01046-1&amp;partnerID=40&amp;md5=a00e445067aa48b9f1b03f98f6b81e35</t>
  </si>
  <si>
    <t>Understanding historical and projected coastal sea-level change is limited because the impact of large-scale ocean dynamics is not well constrained. Here, we use a global set of tide-gauge records over nine regions to analyse the relationship between coastal sea-level variability and open-ocean steric height, related to density fluctuations. Interannual-to-decadal sea-level variability follows open-ocean steric height variations along many coastlines. We extract their common modes of variability and reconstruct coastal sterodynamic sea level, which is due to ocean density and circulation changes, based on steric height observations. Our reconstruction, tested in Earth system models, explains up to 91% of coastal sea-level variability. Combined with barystatic components related to ocean mass change and vertical land motion, the reconstruction also permits closure of the coastal sea-level budget since 1960. We find ocean circulation has dominated coastal sea-level budgets over the past six decades, reinforcing its importance in near-term predictions and coastal planning. © 2021, The Author(s), under exclusive licence to Springer Nature Limited.</t>
  </si>
  <si>
    <t>2-s2.0-85108321330"</t>
  </si>
  <si>
    <t>10.3390/rs13142654</t>
  </si>
  <si>
    <t>https://www.scopus.com/inward/record.uri?eid=2-s2.0-85110741453&amp;doi=10.3390%2frs13142654&amp;partnerID=40&amp;md5=1a23415b5b72e31a258204b0b0ed0647</t>
  </si>
  <si>
    <t>Wave wash‐over poses a significant threat to sea turtle nests, with sustained exposure to waves potentially resulting in embryonic mortality and altered hatchling locomotor function, size, and sex ratios. Identifying where and under what conditions wave exposure becomes a problem, and deciding what action(s) to take (if any), is a common issue for sea turtle managers. To determine the exposure of sea turtle nests to waves and identify potential impacts to hatchling productivity, we integrated a geographic information system with remote sensing and wave runup modeling across 40 nesting beaches used by the Northern Gulf of Mexico Loggerhead Recovery Unit. Our models indicate that, on average, approximately 50% of the available beach area and 34% of nesting locations per nesting beach face a significant risk of wave exposure, particularly during tropical storms. Field data from beaches in the Florida Panhandle show that 42.3% of all nest locations re-ported wave exposure, which resulted in a 45% and 46% decline in hatching and emergence success, respectively, relative to their undisturbed counterparts. Historical nesting frequency at each beach and modeled exposure to waves were considered to identify priority locations with high nesting density which either experience low risk of wave exposure, as these are good candidates for protection as refugia for sustained hatchling production, or which have high wave exposure where efforts to reduce impacts are most warranted. Nine beaches in the eastern Florida Panhandle were identified as priority sites for future efforts such as habitat protection or research and development of management strategies. This modeling exercise offers a flexible approach for a threat assessment integration into research and management questions relevant to sea turtle conservation, as well as for other beach species and human uses of the coastal environment. © 2021 by the authors. Licensee MDPI, Basel, Switzerland.</t>
  </si>
  <si>
    <t>2-s2.0-85110741453"</t>
  </si>
  <si>
    <t>10.1016/j.scitotenv.2020.144650</t>
  </si>
  <si>
    <t>https://www.scopus.com/inward/record.uri?eid=2-s2.0-85100813134&amp;doi=10.1016%2fj.scitotenv.2020.144650&amp;partnerID=40&amp;md5=ab251b01e9609af8952d19888f244dfc</t>
  </si>
  <si>
    <t>Understanding how natural and human-induced drivers will contribute to rising vulnerability and risks in coastal areas requires a broader use of future projections capturing the spatio-temporal dynamics which drive changes in the different vulnerability dimensions, including the socio-demographic and economic spheres. To go beyond the traditional approaches for coastal vulnerability appraisal, a Multi-dimensional Coastal Vulnerability Index (MDim-CVI) - integrating a composite set of physical, environmental and socio-economic indicators - is proposed to rank Italian coastal provinces according to their relative vulnerability to extreme sea level scenarios, in 2050. Specifically, information on hazard-prone areas, potentially inundated by sea level rise and extreme water levels (under the RCP8.5 climate scenario) is combined with indicators of geomorphic vulnerability (e.g. elevation, distance from coastline, shoreline evolution trend) exposure, and adaptive capacity (e.g. sensible segments of the population, GDP, land use patterns). The methodology is applied to a reference timeframe, representing current climate and land use condition, and a future scenario for the year 2050, integrating both climate projections and data simulating potential evolution of the environmental and socio-economic systems. Results show that most vulnerable provinces are located in the North Adriatic, the Gargano area and other Southern parts of Italy, mostly due to the very high vulnerability scores reported by climate-related indicators (e.g. extreme sea level). The number of vulnerable provinces as well as the magnitude of vulnerability is expected to increase in the future due to the worsening of climate, environmental, and socio-economic conditions (e.g. land use variations and increase of the elderly population). These outcomes can timely inform integrated coastal zone management and support climate adaptation planning. © 2021 Elsevier B.V.</t>
  </si>
  <si>
    <t>2-s2.0-85100813134"</t>
  </si>
  <si>
    <t>10.1007/s10668-020-01089-y</t>
  </si>
  <si>
    <t>https://www.scopus.com/inward/record.uri?eid=2-s2.0-85096338434&amp;doi=10.1007%2fs10668-020-01089-y&amp;partnerID=40&amp;md5=8231ea6fffef287fea28c0b6523743f0</t>
  </si>
  <si>
    <t>Endowed with diverse ecological resources, the flood plain wetlands of the lower Gangetic delta not only serve the natural environment but also benefit the nearby human groups. Rapid Assessment of Wetland Ecosystem Services (RAWES) approach has been employed to assess the ecosystem services extended by Purbasthali Oxbow Lake. A total 37 ecosystem services, grouped into 4 major categories (10 provisioning, 9 regulating, 7 cultural and 11 supporting) have been identified that have directly or indirectly influenced the lifestyle of the native villagers. With the help of RAWES questionnaire and calculation spreadsheet numeric transformation of ecosystem services has been conducted by Ecosystem Service Index. The results unveil existence of spatial dynamics in ecosystem services and the wetland utilization pattern by the rural folks of five adjacent villages, namely Purbasthali, Chupi, Kashthashali, Ramchandrapur and Indrakpur. Subsequently, Kruskal–Wallis test reveals significant village-level variation in utilization pattern of the services (The p value is.0005. The result is significant at p &lt;.05). Priority of acceptance to diverse services generates the conflicts of interest to the wetland user groups bracketed in wetland-people association. A dual and contrasting societal perception have been emerged from a geographically resembling region due to the locational specialty and varying degrees of economic dependency of the villagers. The overall benefits of the wetland services in the life of the residents of Purbasthali, Chupi and Ramchandrapur have been reduced with the increasing distances from the wetlands, while Kasthashali and Indrakpur exhibit a contrasting situation with dissimilar perspectives. © 2020, Springer Nature B.V.</t>
  </si>
  <si>
    <t>2-s2.0-85096338434"</t>
  </si>
  <si>
    <t>10.3390/rs13132616</t>
  </si>
  <si>
    <t>https://www.scopus.com/inward/record.uri?eid=2-s2.0-85110185512&amp;doi=10.3390%2frs13132616&amp;partnerID=40&amp;md5=603950e7546df4c32df802c791fc83a2</t>
  </si>
  <si>
    <t>Vegetation heights derived from drone laser scanning (DLS), and structure from motion (SfM) photogrammetry at the Virginia Tech StREAM Lab were utilized to determine hydraulic roughness (Manning’s roughness coefficients). We determined hydraulic roughness at three spatial scales: reach, patch, and pixel. For the reach scale, one roughness value was set for the channel, and one value for the entire floodplain. For the patch scale, vegetation heights were used to classify the floodplain into grass, scrub, and small and large trees, with a single roughness value for each. The roughness values for the reach and patch methods were calibrated using a two-dimensional (2D) hydrodynamic model (HEC-RAS) and data from in situ velocity sensors. For the pixel method, we applied empirical equations that directly estimated roughness from vegetation height for each pixel of the raster (no calibration necessary). Model simulations incorporating these roughness datasets in 2D HEC-RAS were validated against water surface elevations (WSE) from seventeen groundwa-ter wells for seven high-flow events during the Fall of 2018 and 2019, and compared to marked flood extents. The reach method tended to overestimate while the pixel method tended to underestimate the flood extent. There were no visual differences between DLS and SfM within the pixel and patch methods when comparing flood extents. All model simulations were not significantly different with respect to the well WSEs (p &gt; 0.05). The pixel methods had the lowest WSE RMSEs (SfM: 0.136 m, DLS: 0.124 m). The other methods had RMSE values 0.01–0.02 m larger than the DLS pixel method. Models with DLS data also had lower WSE RMSEs by 0.01 m when compared to models utilizing SfM. This difference might not justify the increased cost of a DLS setup over SfM (~150,000 vs. ~2000 USD for this study), though our use of the DLS DEM to determine SfM vegetation heights might explain this minimal difference. We expect a poorer performance of the SfM-derived vegetation heights/roughness values if we were using a SfM DEM, although further work is needed. These results will help improve hydrodynamic modeling efforts, which are becoming increasingly im-portant for management and planning in response to climate change, specifically in regions were high flow events are increasing. © 2021 by the authors. Licensee MDPI, Basel, Switzerland.</t>
  </si>
  <si>
    <t>2-s2.0-85110185512"</t>
  </si>
  <si>
    <t>10.1002/hyp.14333</t>
  </si>
  <si>
    <t>https://www.scopus.com/inward/record.uri?eid=2-s2.0-85113543496&amp;doi=10.1002%2fhyp.14333&amp;partnerID=40&amp;md5=ad2a8a90279f1281c75fdac4771fe298</t>
  </si>
  <si>
    <t>Large-scale flood modelling approaches designed for regional to continental scales usually rely on relatively simple assumptions to represent the potentially highly complex river bathymetry at the watershed scale based on digital elevation models (DEMs) with a resolution in the range of 25–30 m. Here, high-resolution (1 m) LiDAR DEMs are employed to present a novel large-scale methodology using a more realistic estimation of bathymetry based on hydrogeomorphological GIS tools to extract water surface slope. The large-scale 1D/2D flood model LISFLOOD-FP is applied to validate the simulated flood levels using detailed water level data in four different watersheds in Quebec (Canada), including continuous profiles over extensive distances measured with the HydroBall technology. A GIS-automated procedure allows to obtain the average width required to run LISFLOOD-FP. The GIS-automated procedure to estimate bathymetry from LiDAR water surface data uses a hydraulic inverse problem based on discharge at the time of acquisition of LiDAR data. A tiling approach, allowing several small independent hydraulic simulations to cover an entire watershed, greatly improves processing time to simulate large watersheds with a 10-m resampled LiDAR DEM. Results show significant improvements to large-scale flood modelling at the watershed scale with standard deviation in the range of 0.30 m and an average fit of around 90%. The main advantage of the proposed approach is to avoid the need to collect expensive bathymetry data to efficiently and accurately simulate flood levels over extensive areas. © 2021 John Wiley &amp; Sons Ltd.</t>
  </si>
  <si>
    <t>2-s2.0-85113543496"</t>
  </si>
  <si>
    <t>10.1016/j.envsci.2021.04.009</t>
  </si>
  <si>
    <t>https://www.scopus.com/inward/record.uri?eid=2-s2.0-85105263962&amp;doi=10.1016%2fj.envsci.2021.04.009&amp;partnerID=40&amp;md5=69f9a40ed2994478c5dafbd7e1e886ac</t>
  </si>
  <si>
    <t>By the 2050s, more than 120 million people are predicted to settle in the Pearl River Delta (PRD), which covers large coastal cities such as Guangzhou, Shenzhen and Hong Kong. Cities in the PRD are vitally important to China in relation to their socio-economic contributions. From recent evidence, this strongly urbanized area is vulnerable to, and currently facing bigger incidences of, coastal and urban flooding. Flood risk is growing in low-lying coastal areas due to rapid urbanization and increasing flood hazards exacerbated by climate change. Frequent intensive rainstorms, sea-level rise, typhoons and surges threaten large populations and their economic assets, causing severe socio-economic and ecological impacts in the PRD cities. Current flood risk management (FRM) in the delta is still predominately focused on using traditional techno-fixes and infrastructure paradigms, lacking sufficient strategic planning and flood protection to develop adequate flood resilience. Recent urban floods, enhanced by storm surges and intensive rainstorms, have affected multiple PRD cities and drawn attention to flood risk as a major challenge in the PRD's coastal cities. This review encourages development of long-term FRM practices with provincial and municipal authorities working together more closely to develop better-integrated regional FRM strategies for the PRD. © 2021 Elsevier Ltd</t>
  </si>
  <si>
    <t>2-s2.0-85105263962"</t>
  </si>
  <si>
    <t>10.1038/s41558-021-01077-8</t>
  </si>
  <si>
    <t>https://www.scopus.com/inward/record.uri?eid=2-s2.0-85108423697&amp;doi=10.1038%2fs41558-021-01077-8&amp;partnerID=40&amp;md5=4901a8df30337f1edb845b6ccd90e06b</t>
  </si>
  <si>
    <t>Coastal locations around the United States, particularly along the Atlantic coast, are experiencing recurrent flooding at high tide. Continued sea-level rise (SLR) will exacerbate the issue where present, and many more locations will begin to experience recurrent high-tide flooding (HTF) in the coming decades. Here we use established SLR scenarios and flooding thresholds to demonstrate how the combined effects of SLR and nodal cycle modulations of tidal amplitude lead to acute inflections in projections of future HTF. The mid-2030s, in particular, may see the onset of rapid increases in the frequency of HTF in multiple US coastal regions. We also show how annual cycles and sea-level anomalies lead to extreme seasons or months during which many days of HTF cluster together. Clustering can lead to critical frequencies of HTF occurring during monthly or seasonal periods one to two decades prior to being expected on an annual basis. © 2021, The Author(s), under exclusive licence to Springer Nature Limited.</t>
  </si>
  <si>
    <t>2-s2.0-85108423697"</t>
  </si>
  <si>
    <t>10.3390/ijgi10070431</t>
  </si>
  <si>
    <t>https://www.scopus.com/inward/record.uri?eid=2-s2.0-85109388328&amp;doi=10.3390%2fijgi10070431&amp;partnerID=40&amp;md5=25f0d07d1eb442804ce24d99d4972f4e</t>
  </si>
  <si>
    <t>Digital elevation models (DEMs) are the cornerstone for hydrological and geomorpho-logical modeling. Herein, two Nile-tributary catchments (Wadi Al Rishrash and Wadi Atfeh) in Egypt are selected to examine the contribution of different DEMs to the accuracy of hydrological and geomorphological analyses in the hyper-arid Sahara. DEMs sources include: Advanced Land Observing Satellite-1 (ALOS) Phased Array type L-band Synthetic Aperture Radar (PALSAR) (12.5 m resolution), ALOS World 3D with 30 m resolution (AW3D30), Advanced Spaceborne Thermal Emission and Reflection Radiometer (ASTER DEM with 30 m resolution) and the Shuttle Radar Topography Mission (SRTM with 30 and 90 m resolution), in addition to topographic map-derived DEM (90 m resolution). Using a hypothetical uniformly-distributed 10 mm rainfall event, the estimated parameters, including: flow duration, time to peak and peak discharge rates, are almost similar for the different DEMs and thus technical aspects related to sources and resolutions of the datasets impose insignificant control on quantitative flash-flood analyses. Conversely, variations in geological and geomorphological characteristics of the catchments show more significant control on the hydrograph magnitudes as indicated by the different parameters of the two catchments. These findings indicate that understanding the geological and hydrological evolution of the catchment is essential for integrated management strategies of floods especially in the Saharan–Arabian deserts and in similar conditions of hyper-aridity and scarce in situ data worldwide. © 2021 by the authors. Licensee MDPI, Basel, Switzerland.</t>
  </si>
  <si>
    <t>2-s2.0-85109388328"</t>
  </si>
  <si>
    <t>10.1016/j.ejrh.2021.100842</t>
  </si>
  <si>
    <t>https://www.scopus.com/inward/record.uri?eid=2-s2.0-85107405136&amp;doi=10.1016%2fj.ejrh.2021.100842&amp;partnerID=40&amp;md5=655ee35132f603c7b6b6d832aa09b743</t>
  </si>
  <si>
    <t>Study region: Douala, Cameroon, West Africa. Study focus: Salinity of shallow coastal groundwater in Douala, Cameroon impairs its use for drinking and industrial purposes. Previous studies suggest that salinization is from tidal flooding from the Wouri Estuary. We aimed to test the tidal origin of groundwater salinization by conducting a time series investigation of water level and salinity, and assessed the stable water isotopes (δ¹⁸O and δD) and major cations (Ca²+ and Mg²+) in groundwater and adjacent estuarine tidal creek. During the time series measurements, we pumped groundwater for over 5 tidal cycles to induce flow into a test well. New hydrologic insights for the region: The time-series groundwater level mimicked water level changes in the estuary. However, the temporal salinity in groundwater did not correspond to tidal salinity changes of estuarine water, indicating that estuarine water did not intrude groundwater. The δ¹⁸O and δD of the groundwater and estuarine samples are collinear and fall along the local meteoric water line of Douala and had d-excesses of &gt;10, indicating a non-evaporated rain recharge of groundwater or lack of salinization by evapoconcentration. The salinity-δ¹⁸O relationship showed that the origin of salinity in the coastal groundwater aquifer is not from seawater intrusion. The Mg²+/Ca²+ ratios of &lt;1 in groundwater compared to 6–8 in estuarine water support the non-seawater origin of groundwater salinity. We conclude that the salinity of coastal groundwater in Douala is not affected by tide-induced salinization from the adjacent Wouri Estuary but by geogenic sources in the aquifer. © 2021 The Author(s)</t>
  </si>
  <si>
    <t>2-s2.0-85107405136"</t>
  </si>
  <si>
    <t>Proceedings of the Geologists' Association</t>
  </si>
  <si>
    <t>10.1016/j.pgeola.2021.02.005</t>
  </si>
  <si>
    <t>https://www.scopus.com/inward/record.uri?eid=2-s2.0-85107614827&amp;doi=10.1016%2fj.pgeola.2021.02.005&amp;partnerID=40&amp;md5=9f162555f43e31fbdff4d77c2918796f</t>
  </si>
  <si>
    <t>Centuries of coastal development has led to the loss of saltmarsh extent worldwide. As marshes are shrinking, scientific understanding of marsh expansion and erosion processes is growing. Coastal managers are also recognising the importance of marshes for flood protection, carbon sequestration, and pollutant filtering. Considerable effort is now being made to conserve saltmarshes. However, the rapid integration of science in policy remains an obstacle for ensuring successful conservation outcomes. This review explores how advances in the understanding of coastal dynamics, and the evolution of coastal management thinking, are shaping saltmarsh conservation policy in Great Britain. Saltmarsh management has shifted from reclamation, to protection, to restoration throughout the 20th and 21st centuries as calls for nature conservation grew and the importance of ecosystems in coastal erosion risk management became apparent. Studies have revealed that marshes cycle between expansion and erosion phases as part of their natural evolution, governed by processes acting across a range of spatial and temporal scales. Understanding which processes drive long-term marsh change provides an opportunity for coastal managers to undertake targeted intervention for positive conservation outcomes. The inherently dynamic nature of marshes also raises significant challenges in forecasting the long-term value provided by a given marsh. Challenges remain in the monitoring and management of sediment supply and transport, and the effective engagement with stakeholders during habitat protection and creation schemes, which are key to achieving marsh conservation goals. © 2021 Elsevier Ltd</t>
  </si>
  <si>
    <t>2-s2.0-85107614827"</t>
  </si>
  <si>
    <t>10.1007/s10666-020-09746-2</t>
  </si>
  <si>
    <t>https://www.scopus.com/inward/record.uri?eid=2-s2.0-85099923709&amp;doi=10.1007%2fs10666-020-09746-2&amp;partnerID=40&amp;md5=da163b98f98056fce74412f479dda558</t>
  </si>
  <si>
    <t>In deltaic areas, riverine and coastal waters interact; hence, these highly dynamic environments are particularly sensitive to climate change. This adds to existing anthropogenic pressures from irrigated agriculture, industrial infrastructure, urbanization, and touristic activities. The paper investigates the estimated future variations in the dynamics of surface and coastal water resources at a Mediterranean deltaic environment for the twenty-first century. Therefore, an Integrated Deltaic Risk Index (IDRI) is proposed as a vulnerability assessment tool to identify climate change impact (CCI) on the study area. For this purpose, three regional climate models (RCM) are used with representative concentration pathways (RCPs) 4.5 and 8.5 for short-term (2021–2050) and long-term (2071–2100) future periods. Extensive numerical modeling of river hydrology, storm surges, coastal inundation, water scarcity, and heat stress on irrigated agriculture is combined with available atmospheric data to estimate CCI on the Nestos river delta (Greece). The IDRI integrates modeling results about (i) freshwater availability covering agricultural demands for three water consumption scenarios, i.e., a reference (REF), a climate change (CC), and an extended irrigation (EXT) scenario, combining river discharges and hydropower dam operation; (ii) inundated coastal areas due to storm surges; and (iii) heat stress on cultivated crops. Sustainable practices on irrigated agriculture and established river basin management plans are also considered for the water demands under combinatory scenarios. The differentiations of model outputs driven by various RCM/RCP combinations are investigated. Increased deltaic vulnerability is found under the RCP8.5 scenario especially for the long-term future period. The projected IDRI demonstrates the need for integrated water resources management when compared with risk indexing of individual water processes in the study area.</t>
  </si>
  <si>
    <t>10.1016/j.jvolgeores.2021.107255</t>
  </si>
  <si>
    <t>https://www.scopus.com/inward/record.uri?eid=2-s2.0-85105698298&amp;doi=10.1016%2fj.jvolgeores.2021.107255&amp;partnerID=40&amp;md5=71b9470eda71e82726d2397439e62014</t>
  </si>
  <si>
    <t>Mount Agung (the highest volcano in Bali, Indonesia) began to erupt on November 21, 2017, after having been dormant for 53 years. More than 100,000 people were evacuated within the hazard zone between September 2017 (when the highest volcanic alert was issued) and early 2018. The eruptions continued until June 2019, accompanied by at least 110 explosions. During the eruptive crisis, the observation of the lava dome's emplacement was essential for mitigating the potential hazard. Details of the lava dome growth, including the volumetric changes and effusion rates, provide valuable information about potential eruption scenarios and lahar depositions. In this paper, the essential role of multi-temporal unmanned aerial vehicle (UAV) images in the monitoring of Mt. Agung's lava dome, and in determining the areas of potential lahar hazards during the crisis between 2017 and 2019 is described. A fixed-wing UAV was launched outside the hazard zone to photograph the lava dome on five occasions. Image enhancement, machine learning, and photogrammetry were combined to improve image quality, remove point clouds outliers, and generate digital terrain models (DTMs) and orthoimages. The analysis of the obtained DTMs and orthoimages resulted in qualitative and quantitative data highlighting the changes inside the crater and on the surrounding slopes. These results reveal that, from November 25 to December 16, 2017, the lava dome grew vertically by 126 m and reached a volume of 26.86 ± 0.64 × 106 m3. In addition, its surface experienced a maximal uplift of approximately 52 m until July 2019 with the emergence of a new dome with a volume estimated at 9.52 ± 0.086 × 106 m3. The difference between the DTMs of 2017 and 2019 reveals the total volume of erupted material (886,100 ± 8000 m3) that was deposited on the surrounding slopes. According to the lahar inundation simulation, the deposited material may cause dangerous lahars in 21 drainages, which extend in the north (N), north-east (N-E), south (S), south-east (S-E), and south-west (S-W) sectors of the volcano. This paper presents the use of UAV remote sensing for the production of high-spatial resolution DTMs, which can be used to both observe the emplacement of a lava dome, and to identify areas with potential lahar risk during a volcano crisis. © 2021 Elsevier B.V.</t>
  </si>
  <si>
    <t>2-s2.0-85105698298"</t>
  </si>
  <si>
    <t>10.1029/2020JF005950</t>
  </si>
  <si>
    <t>https://www.scopus.com/inward/record.uri?eid=2-s2.0-85108612078&amp;doi=10.1029%2f2020JF005950&amp;partnerID=40&amp;md5=6026f4aaa8b50b2f874ca29bbb0f985e</t>
  </si>
  <si>
    <t>Coastal rivers that build deltas undergo repeated avulsion events—that is, abrupt changes in river course—which we need to understand to predict land building and flood hazards in coastal landscapes. Climate change can impact water discharge, flood frequency, sediment supply, and sea level, all of which could impact avulsion location and frequency. Here we present results from quasi-2D morphodynamic simulations of repeated delta-lobe construction and avulsion to explore how avulsion location and frequency are affected by changes in relative sea level, sediment supply, and flood regime. Model results indicate that relative sea-level rise drives more frequent avulsions that occur at a distance from the shoreline set by backwater hydrodynamics. Reducing the sediment supply relative to transport capacity has little impact on deltaic avulsions, because, despite incision in the upstream trunk channel, deltas can still aggrade as a result of progradation. However, increasing the sediment supply relative to transport capacity can shift avulsions upstream of the backwater zone because aggradation in the trunk channel outpaces progradation-induced delta aggradation. Increasing frequency of overbank floods causes less frequent avulsions because floods scour the riverbed within the backwater zone, slowing net aggradation rates. Results provide a framework to assess upstream and downstream controls on avulsion patterns over glacial-interglacial cycles, and the impact of land use and anthropogenic climate change on deltas. © 2021. American Geophysical Union. All Rights Reserved.</t>
  </si>
  <si>
    <t>2-s2.0-85108612078"</t>
  </si>
  <si>
    <t>10.1029/2020WR029282</t>
  </si>
  <si>
    <t>https://www.scopus.com/inward/record.uri?eid=2-s2.0-85113385293&amp;doi=10.1029%2f2020WR029282&amp;partnerID=40&amp;md5=f1b475049ee9f484d7a5d301adda2cd4</t>
  </si>
  <si>
    <t>River deltas are densely populated regions of the world with vulnerable groundwater reserves. Contamination of these groundwater aquifers via saline water intrusion and pollutant transport is a growing threat due to both anthropogenic and climate changes. The arrangement and composition of subsurface sediment is known to have a significant impact on aquifer contamination</t>
  </si>
  <si>
    <t>Oceanography</t>
  </si>
  <si>
    <t>10.5670/OCEANOG.2021.215</t>
  </si>
  <si>
    <t>https://www.scopus.com/inward/record.uri?eid=2-s2.0-85121563896&amp;doi=10.5670%2fOCEANOG.2021.215&amp;partnerID=40&amp;md5=64e522a0e1cd520d3f01a04f17f35618</t>
  </si>
  <si>
    <t>Coastal ecosystems are rapidly changing due to human-caused global warming, rising sea level, changing circulation patterns, sea ice loss, and acidification that in turn alter the productivity and composition of marine biological communities. In addition, regional pressures associated with growing human populations and economies result in changes in infrastructure, land use, and other development</t>
  </si>
  <si>
    <t>10.1016/j.ocemod.2021.101820</t>
  </si>
  <si>
    <t>https://www.scopus.com/inward/record.uri?eid=2-s2.0-85108698564&amp;doi=10.1016%2fj.ocemod.2021.101820&amp;partnerID=40&amp;md5=c0f255e709cade05e7ee11fa40458258</t>
  </si>
  <si>
    <t>Storm surge and coastal flooding predictions can require high resolution of critical flow pathways and barriers, typically with simulations using grids/meshes with millions of cells/elements to represent a coastal region. However, the cost of this resolution can slow forecasts during a storm. To add resolution when and where it is needed, previous studies have used adaptive mesh methods, which update resolution at single or multiple cells but which require hierarchies of and thresholds for refinement, and nesting methods, which update resolution at subdomains but which require additional simulations. This research proposes a middle way, in which predictions from a coarse mesh are mapped, mid-simulation, onto a fine mesh with increased resolution near the storm's projected landfall location. The coarse and fine meshes are pre-developed, thus removing any refinement decisions during the simulation, the solution mapping uses a widely used framework, thus enabling an efficient interpolation, and the same simulation is continued, thus eliminating a separate full-domain simulation. For four historical storms, results show efficiency gains of up to 53 percent, with minimal accuracy losses relative to a static simulation. © 2021 Elsevier Ltd</t>
  </si>
  <si>
    <t>2-s2.0-85108698564"</t>
  </si>
  <si>
    <t>10.5194/nhess-21-1759-2021</t>
  </si>
  <si>
    <t>https://www.scopus.com/inward/record.uri?eid=2-s2.0-85107495627&amp;doi=10.5194%2fnhess-21-1759-2021&amp;partnerID=40&amp;md5=1ada1f99598864fd8c58879b16564d32</t>
  </si>
  <si>
    <t>The simultaneous rise of tropical-cyclone-induced flood waters across a large hazard management domain can stretch rescue and recovery efforts. Here we present a means to quantify the connectedness of maximum surge during a storm with geospatial statistics. Tide gauges throughout the extensive estuaries and barrier islands of North Carolina deployed and operating during hurricanes Matthew (n=82) and Florence (n=123) are used to compare the spatial compounding of surge for these two disasters. Moran's I&lt;/i&gt; showed the occurrence of maximum storm tide was more clustered for Matthew compared to Florence, and a semivariogram analysis produced a spatial range of similarly timed storm tide that was 4 times as large for Matthew than Florence. A more limited data set of fluvial flooding and precipitation in eastern North Carolina showed a consistent result-multivariate flood sources associated with Matthew were more concentrated in time as compared to Florence. Although Matthew and Florence were equally intense, they had very different tracks and speeds which influenced the timing of surge along the coast.  © 2021 Scott Curtis et al.</t>
  </si>
  <si>
    <t>2-s2.0-85107495627"</t>
  </si>
  <si>
    <t>10.3390/land10070752</t>
  </si>
  <si>
    <t>https://www.scopus.com/inward/record.uri?eid=2-s2.0-85111350162&amp;doi=10.3390%2fland10070752&amp;partnerID=40&amp;md5=fb939f6152b3440f0083b53e56f5adf6</t>
  </si>
  <si>
    <t>As coastal land use intensifies and sea levels rise, the fate of coastal forests becomes increasingly uncertain. Synergistic anthropogenic and natural pressures affect the extent and function of coastal forests, threatening valuable ecosystem services such as carbon sequestration and storage. Quantifying the drivers of coastal forest degradation is requisite to effective and targeted adaptation and management. However, disentangling the drivers and their relative contributions at a landscape scale is difficult, due to spatial dependencies and nonstationarity in the socio-spatial processes causing degradation. We used nonspatial and spatial regression approaches to quantify the relative contributions of sea level rise, natural disturbances, and land use activities on coastal forest degradation, as measured by decadal aboveground carbon declines. We measured aboveground carbon declines using time-series analysis of satellite and light detection and ranging (LiDAR) imagery between 2001 and 2014 in a low-lying coastal region experiencing synergistic natural and anthropogenic pressures. We used nonspatial (ordinary least squares regression–OLS) and spatial (geographically weighted regression–GWR) models to quantify relationships between drivers and aboveground carbon declines. Using locally specific parameter estimates from GWR, we predicted potential future carbon declines under sea level rise inundation scenarios. From both the spatial and nonspatial regression models, we found that land use activities and natural disturbances had the highest measures of relative importance (together representing 94% of the model’s explanatory power), explaining more variation in carbon declines than sea level rise metrics such as salinity and distance to the estuarine shoreline. However, through the spatial regression approach, we found spatial heterogeneity in the relative contributions to carbon declines, with sea level rise metrics contributing more to carbon declines closer to the shore. Overlaying our aboveground carbon maps with sea level rise inundation models we found associated losses in total aboveground carbon, measured in teragrams of carbon (TgC), ranged from 2.9 ± 0.1 TgC (for a 0.3 m rise in sea level) to 8.6 ± 0.3 TgC (1.8 m rise). Our predictions indicated that on the remaining non-inundated landscape, potential carbon declines increased from 29% to 32% between a 0.3 and 1.8 m rise in sea level. By accounting for spatial nonstationarity in our drivers, we provide information on site-specific relationships at a regional scale, allowing for more targeted management planning and intervention. Accordingly, our regional-scale assessment can inform policy, planning, and adaptation solutions for more effective and targeted management of valuable coastal forests. © 2021 by the authors. Licensee MDPI, Basel, Switzerland.</t>
  </si>
  <si>
    <t>2-s2.0-85111350162"</t>
  </si>
  <si>
    <t>Water Security</t>
  </si>
  <si>
    <t>10.1016/j.wasec.2021.100093</t>
  </si>
  <si>
    <t>https://www.scopus.com/inward/record.uri?eid=2-s2.0-85111896631&amp;doi=10.1016%2fj.wasec.2021.100093&amp;partnerID=40&amp;md5=7c6ff1445959e52ba480deeb80187b52</t>
  </si>
  <si>
    <t>The linkages between water security and global health vary in space and time. Just like water connects every aspect of life, geography relates everything to everything else. Therefore, in order to address challenges at the interface of water security and global health, the use and application of medical geography, a sub-discipline of geography, is helpful in research, policy and practice. Using different water security pathway classifications (diminished water supply or quality, increased water demand, and extreme flood events) and the United Nations Sustainable Development Goals and targets as a frame, this paper looks at water and health challenges from different angles and from a holistic perspective, while contextualizing them. Drawing on five practical examples, including water-related infectious disease exposure in watersheds in semi-arid Kenya, health system response in floodplains in Namibia, public health implications in a protracted emergency setting in arid Northeast Nigeria, water, sanitation and hygiene (WASH) monitoring in households, schools and healthcare facilities in Small Island Developing States in the South Pacific, and WASH-related challenges and disease exposures among marginalized ethnic minority populations in Europe, the applicability and usefulness of geography contextualizations in research, policy-makers and practitioners is presented. Moreover, cross-cutting topics and contextualizations, beyond water security and global health, including climate- and weather-related extreme events, inequality, health- and water-related education, risk perceptions and behaviour, and the cultural context, are highlighted to showcase the value of applying medical geography in understanding the key drivers, barriers and bottlenecks in complex situations</t>
  </si>
  <si>
    <t>10.3389/fclim.2021.591416</t>
  </si>
  <si>
    <t>https://www.scopus.com/inward/record.uri?eid=2-s2.0-85123063364&amp;doi=10.3389%2ffclim.2021.591416&amp;partnerID=40&amp;md5=d5001f5985ae49f450fcaef823f79cf6</t>
  </si>
  <si>
    <t>The assessment of psychosocial impacts related to coastal hazards (erosion, submersion) has so far been mainly qualitative. As cost-benefit analysis is gaining popularity among communities to assess adaptation options in the face of increasing coastal hazards, there is a need to develop quantitative indicators to improve the inclusion of human impacts in decision-making. The project therefore aimed to suggest quantitative indicators for a cost-benefit analysis in the Lower St. Lawrence region exposed to the waters of the estuary of the St. Lawrence River in eastern Quebec, Canada. A systematic survey of five municipalities was conducted in 2019 (n = 101). In general, the prevalence of mental health impacts was the double than that of physical health (30 vs. 14%)</t>
  </si>
  <si>
    <t>10.1029/2020EF001869</t>
  </si>
  <si>
    <t>https://www.scopus.com/inward/record.uri?eid=2-s2.0-85111337903&amp;doi=10.1029%2f2020EF001869&amp;partnerID=40&amp;md5=bf55bee29f7c6afb66529c2d73caca62</t>
  </si>
  <si>
    <t>Deltas and estuaries worldwide face the challenge of capturing sufficient sediment to keep up with relative sea-level rise. Knowledge about sediment pathways and fluxes is crucial to combat adverse effects on channel morphology, for example, erosion which enhances bank collapse and increasing tidal penetration. Here, we construct sediment budgets which quantify annual changes for the urbanized Rhine-Meuse Delta of the Netherlands, a typical urban delta experiences changing fluvial and coastal fluxes of sediment, engineering works and dredging and dumping activities. The delta shows a negative sediment budget (more outgoing than incoming sediment) since the 1980s, due to anthropogenic intervention. Following a large offshore port expansion, dredging in ports and harbors in the region has doubled in the past 5 years, likely due to the induced change in net sediment fluxes. In addition, the deeper navigation channels, ports, and harbors are now trapping siltier sediment, changing the sediment composition in the mouth. The removal of sediment by dredging is adverse to the necessity for sediment in heavily eroding branches. To allow for sustainable sediment management in the future and to cope with sea-level rise, further measurements are required to properly quantify the amount of incoming sediment at the boundaries of the system and the internal mechanisms of transport. The varied response of the branches has important consequences for navigation, ecology and flood safety and management of the sediment in the system. These effects will be of pivotal importance in coming decades with similar implications for many urbanized deltas worldwide. © 2021. The Authors. Earth's Future published by Wiley Periodicals LLC on behalf of American Geophysical Union.</t>
  </si>
  <si>
    <t>2-s2.0-85111337903"</t>
  </si>
  <si>
    <t>10.1016/j.rsase.2021.100601</t>
  </si>
  <si>
    <t>https://www.scopus.com/inward/record.uri?eid=2-s2.0-85111921517&amp;doi=10.1016%2fj.rsase.2021.100601&amp;partnerID=40&amp;md5=4de8de4235978c2a07941fbad1c46384</t>
  </si>
  <si>
    <t>The increasing number of pluvial floods due to extreme climatic events or poor maintenance of the drainage networks urge for assessing the performance of the urban drainage system (UDS). This paper presents a comprehensive evaluation of the UDS of Gurugram City, India. While the limited availability of sub-hourly precipitation and finer resolution geospatial data pose major challenges in the detailed analyses through Storm Water Management Model (SWMM), it was circumvented by utilizing the high-resolution remotely sensed datasets viz., IMERG (half-hourly precipitation data from 2000 to 2019), ALOS PALSAR (Digital Elevation Model) and Sentinel-2 (land use/land cover). Functional failure scenarios (i.e., the combinations of climate change and urbanization) were simulated to assess the impacts on the resilience of the UDS. The modelling results showed that individually, climate change would impose a more serious threat than urbanization, whereas their combinations would significantly hamper the resilience of the UDS. The structural failure (only single link-failure) scenarios were analyzed, and 11 out of 25 conduits were identified to be non-resilient. The study highlights the importance of the readily available remote sensing datasets, which fill the gap of non-availability of ground-based datasets at desirable resolutions, especially in developing countries. © 2021 Elsevier B.V.</t>
  </si>
  <si>
    <t>2-s2.0-85111921517"</t>
  </si>
  <si>
    <t>10.1016/j.gloplacha.2021.103522</t>
  </si>
  <si>
    <t>https://www.scopus.com/inward/record.uri?eid=2-s2.0-85107697953&amp;doi=10.1016%2fj.gloplacha.2021.103522&amp;partnerID=40&amp;md5=4bcfeab0ca1b60b9eda9ffbc1d1a22cb</t>
  </si>
  <si>
    <t>Tide gauge data and information from tide, surge and ocean models have been used to calculate and validate the Gumbel scale parameters of extreme sea level distributions along the world coastline. The inclusion of ocean model information is found to result in significantly improved correspondence between observed and modelled scale parameters to that obtained using tide and surge model information alone. The scale parameters so obtained are shown to be consistent with findings reported previously, such as in assessments of the Intergovernmental Panel on Climate Change. However, the considerably improved provision of scale parameters along the coast means that coastal planners, and others concerned with impacts of sea level rise, can now undertake more complete investigations of the likely increase in sea level exceedance frequencies. In addition, coastal engineers will have access to more reliable estimates of the ‘sea level allowances’ needed to design defences for protecting coastal populations. © 2021 Elsevier B.V.</t>
  </si>
  <si>
    <t>2-s2.0-85107697953"</t>
  </si>
  <si>
    <t>10.3390/geosciences11070300</t>
  </si>
  <si>
    <t>https://www.scopus.com/inward/record.uri?eid=2-s2.0-85111587639&amp;doi=10.3390%2fgeosciences11070300&amp;partnerID=40&amp;md5=61457eb7c012c98d45f30e3b3f185a3b</t>
  </si>
  <si>
    <t>To face and properly mitigate coastal changes at a local level, it is necessary to recognize and characterize the specific processes affecting a coastline. Some of these processes are local (e.g., sediment starvation), while others are regional (e.g., relative sea-level change) or global (e.g., eustatic sea-level rise). Long tide gauge records help establish sea-level trends for a region that accounts for global (eustatic, steric) and regional (isostatic) sea-level changes. Local sea-level changes are also the product of vertical land motion (VLM), varying depending on tectonic, sedimentological, and anthropogenic factors. We investigate the role of coastal land subsidence in the present-day dynamics of an abandoned delta in the Colombian Caribbean. Satellite images and synthetic aperture radar acquisitions are used to assess decadal-scale coastline changes and subsidence rates for the period 2007–2021. We found that subsidence rates are highly variable alongshore. Local subsidence rates of up to −1.0 cm/yr correspond with an area of erosion rates of up to −15 m/yr, but coastal erosion also occurs in sectors where subsidence was not detected. The results highlight that local coastline changes are influenced by multiple, interacting drivers, including sand supply, coastline orientation and engineering structures, and that subsidence alone does not explain the high rates of coastal erosion along the study area. By the end of the century, ongoing coastal erosion rates of up to −25 m/yr, annual rates of subsidence of about −1 cm/yr, and current trends of global sea-level rise are expected to increase flooding levels and jeopardize the existence of the deltaic barrier island. © 2021 by the authors. Licensee MDPI, Basel, Switzerland.</t>
  </si>
  <si>
    <t>2-s2.0-85111587639"</t>
  </si>
  <si>
    <t>10.1016/j.scitotenv.2021.146193</t>
  </si>
  <si>
    <t>https://www.scopus.com/inward/record.uri?eid=2-s2.0-85102334731&amp;doi=10.1016%2fj.scitotenv.2021.146193&amp;partnerID=40&amp;md5=4a944e2b480fcb85e2302a6dea7c6299</t>
  </si>
  <si>
    <t>This study presents a comprehensive review of the Land subsidence (LS) cases, as a worldwide environmental, geological, and global geohazard concern. Here, 290 case studies around the world mostly conducted in large metropolitan cities (e.g. Bangkok, Beijing, California, Houston, Mexico City, Shanghai, Jakarta, and Tokyo) in 41 countries were collected. The spatial distribution of LS characteristics (e.g. intensity, magnitude, and affected area), impacts, and influential factors are scrutinized. Worldwide attempts to remedy the crisis of LS were also investigated in this review. It is shown that the coastal plains and river deltaic regions are of high-frequent subsided areas around the world (~47% of 290 study areas). The spaceborne monitoring of LS is the more prevalent technique (~ 38% of total cases) compared to the ground-investigation (e.g. geological surveying, leveling, GPS, and modeling). Human-induced LS cases are 76.92% of all the LS cases around the world and groundwater extraction contributes 59.75% of these cases. Strong direct correlations with the exponential trend are observed between the average LS rate (LSavg) with groundwater withdrawal (R2 = 0.950) and groundwater level decline (R2 = 0.888). To understand the influential factors on LS occurrences, the relationship of LS rate with climate factors, hydrogeological characteristics of the aquifer, human-induced factors are investigated. Finally, we provide future research guidelines and implications that need to be expanded in order to better monitor and reduce the impact of the LS phenomenon. The outcomes of this study can be used to derive a framework helpful for interpreting the observed LS phenomena and for forecasting future situations to mitigate or control this geohazard. © 2021 Elsevier B.V.</t>
  </si>
  <si>
    <t>2-s2.0-85102334731"</t>
  </si>
  <si>
    <t>10.3389/fenvs.2021.642442</t>
  </si>
  <si>
    <t>https://www.scopus.com/inward/record.uri?eid=2-s2.0-85109816594&amp;doi=10.3389%2ffenvs.2021.642442&amp;partnerID=40&amp;md5=ee8e61bcc903c89023aaf2204b1a5127</t>
  </si>
  <si>
    <t>In recent decades, the invasion of saltmarsh plant Spartina alterniflora (S. alterniflora) over a large part of coastal wetlands in China, including the Yellow River Estuary (YRE) as a regional economic hub and global ecosystem services hotspot, has caused increasing concern because of its serious threats to native ecosystems. During the same period, local authorities have implemented a Water-Sediment Regulation Scheme (WSRS) in the Yellow River for flood mitigation and delta restoration purposes. The altered hydrological regime has resulted in unintended changes to estuarine ecosystem. However, the direct consequence of the WSRS on the expansion of S. alterniflora remains unclear. In this study, quantitative relationship between the inter- and intra-annual expansion patterns of S. alterniflora represented by relevant landscape metrics and indicators that quantify the concurrent variations of river and sediment discharges as the proxy of the WSRS impacts were analysed over the period of Year 2011–2018, and the analyses were performed on the YRE as a whole and on five different zones subdivided based on the invasion sequence. The results showed that there was no significant difference in the inter-annual area variation of S. alterniflora between the years with and without WSRS. Compared with the years without WSRS (2016–2017), the intra-annual (monthly) increment of the various landscape metrics [i.e., NP (number of patches), CA (class area), LPI (largest patch index) and AI (aggregation index] were found to be significantly higher in the initial stage of peak growing season (June-July) than in the mid- and late stages (July-September) in the years with WSRS (2011–2015, 2018) in the subregion located close to the south bank of YRE as the most prominent impact zone. In addition, F (mean flow), Ff (number of high flow pulses), Tf (Julian date of maximum flow) and D (duration of WSRS) were identified as the explanatory variables for the intra-annual vegetation landscape pattern changes, and their relative contributions to resultant changes were also assessed. Our results broaden the understanding of estuarine hydrological disturbance as a potential driver regulating the saltmarsh vegetation, and also have implications for S. alterniflora invasion control at estuaries under changing environment. © Copyright © 2021 Fu, Zheng, Gao, Wang, Ma, Sun, Sun and Shao.</t>
  </si>
  <si>
    <t>2-s2.0-85109816594"</t>
  </si>
  <si>
    <t>10.1371/journal.pone.0254701</t>
  </si>
  <si>
    <t>https://www.scopus.com/inward/record.uri?eid=2-s2.0-85112666209&amp;doi=10.1371%2fjournal.pone.0254701&amp;partnerID=40&amp;md5=9cb21e0a41be5efefa0952c4629fac46</t>
  </si>
  <si>
    <t>Land reclamation projects and the installation of drainage infrastructure has impacted coastal wetlands worldwide. By altering water levels and inundation extent, these activities have changed the viable ecosystems onsite and resulted in the proliferation of freshwater species. As more than 50% of tidal wetlands have been degraded globally over the last 100 years, the importance of this issue is increasingly being recognised and tidal wetland restoration projects are underway worldwide. However, there are currently limited sites where large-scale reintroduction of tidal flushing has been implemented with the explicit aim to foster the growth of a threatened ecosystem. In this study, the tidal restoration of an internationally recognised Ramsar listed wetland in eastern Australia is described to highlight how coastal saltmarsh can be targeted by mimicking inundation depths and hydroperiod across the 410-ha site. Coastal saltmarsh is particularly important to this site as it is part of the east Australasian flyway for migratory birds and the minimum saltmarsh extent, as listed within the Ramsar's limits of acceptable change, have been breached. To recreate coastal saltmarsh habitat onsite, water level and hydroperiod criteria were established based on similar vegetation patterns within the adjacent estuary. A calibrated 2D hydrodynamic model of the site was then used to test how the preferred inundation criteria could be applied to the largest possible restored wetland area. Once optimised, a synthetic tidal signal was implemented onsite via automated hydraulic controls. The onsite vegetation response over an 8- year period was assessed to highlight the ecosystem response to controlled tidal inundation and denoted substantial saltmarsh expansion during the period. The techniques applied onsite have successfully met the restoration targets and can be applied at similar sites worldwide, offsetting sea level rise impacts to natural inundation hydroperiod.  © 2021 Glamore et al. This is an open access article distributed under the terms of the Creative Commons Attribution License, which permits unrestricted use, distribution, and reproduction in any medium, provided the original author and source are credited.</t>
  </si>
  <si>
    <t>2-s2.0-85112666209"</t>
  </si>
  <si>
    <t>10.3389/fclim.2021.684035</t>
  </si>
  <si>
    <t>https://www.scopus.com/inward/record.uri?eid=2-s2.0-85123169610&amp;doi=10.3389%2ffclim.2021.684035&amp;partnerID=40&amp;md5=9b150125721b67b350cd5af1e66276a3</t>
  </si>
  <si>
    <t>Recent events worldwide demonstrate how coastal communities of integrated natural and human systems are exposed to hydrological and coastal flooding processes. Standard flood hazard assessment practices account independently for rainfall-runoff, tides, storm surge flooding and not the non-linear combination commonly defined as compound flooding. This research evaluates compound flood hazard zones for past, present, and future (c. 1890–2090) conditions of the Mississippi River Delta Plain (MRDP). The MRDP provides a low-gradient coastal land-margin representing similar landscapes around the world that are experiencing relative sea-level rise and serves as a warning beacon for our coastal settlements. A set of plausible synthetic storms and rainfall events, which account for antecedent rainfall-runoff, tropical cyclone-driven rainfall, and tropical cyclone-driven surge, are employed in a tide and surge hydrodynamic model that integrates rain over the mesh. This study demonstrates the evolution of the compound flood hazard zones from the 1890s, before major western settlement and alterations to the Mississippi River and deltaic system, to the present day and out to 2090. Furthermore, near-future projections of the compound flood hazard zones suggest that the coastal flood zone will suffer the most significant changes in coverage area due to a combination of increasing eustatic sea-level rise and alterations to the coastal land-margin during low flood events. Our results emphasize the need to establish evolution trends of compound flood hazard zones to enable more descriptive future projections under a changing climate. Such projections will aid policy-makers, stakeholders, and authorities as they pursue enhanced coastal resilience to compound flooding. Copyright © 2021 Santiago-Collazo, Bilskie, Bacopoulos and Hagen.</t>
  </si>
  <si>
    <t>2-s2.0-85123169610"</t>
  </si>
  <si>
    <t>10.5194/nhess-21-2245-2021</t>
  </si>
  <si>
    <t>https://www.scopus.com/inward/record.uri?eid=2-s2.0-85111711322&amp;doi=10.5194%2fnhess-21-2245-2021&amp;partnerID=40&amp;md5=d9dd3b90db20a4bd2bd3130fef792003</t>
  </si>
  <si>
    <t xml:space="preserve">In the Teskey Range of the Tien Shan (Kyrgyz Republic), five outburst flood disasters from short-lived glacial lakes in 2006, 2008, 2013, 2014, and 2019 caused severe damages in the downstream part. Short-lived glacial lakes in the Teskey Range grow rapidly and drain within a few months, due to closure and opening of an outlet ice tunnel in an ice-cored moraine complex at the glacier front. In addition to these factors, summer meltwater from the glacier can cause rapid growth. Outburst floods of this lake type are a major hazard in this region and differ from the moraine-dam failures common to the eastern Himalaya. To clarify how short-lived glacial lakes store and drain water over short periods, we use results from a field survey and satellite data to analyze the water level, area, volume, and discharge of Korumdu lake (2017-2019) as well as satellite data to monitor the appearance of 160 other short-lived lakes (2013-2018). Except in 2016, Korumdu lake appeared and drained within about 1 month during all the summers. Water level data recorded by a data logger and time-lapse camera images show that the lake appeared and expanded suddenly from July to August in 2017-2019. The timing of lake appearance indicates that the lake formed when an outlet ice tunnel (subsurface channel) drainage was blocked by depositions of an ice-debris mixture due to ice melting and not by freezing of stored water. For 2017, we used uncrewed aerial vehicle (UAV)-derived digital surface models (DSMs) and water levels, finding that the lake's volume reached 234ĝ€¯000ĝ€¯m3 within 29ĝ€¯d, and then the water discharged for 17ĝ€¯d at a maximum rate of 0.66ĝ€¯m3/s. This discharge rate is more than 20 times smaller than those found earlier (2006-2014) for four short-lived lakes of tunnel type in this region. We argue that this large variation in discharge rates is due to variation in the dimensions of the outlet ice tunnels. For the 160 other short-lived glacial lakes, we found that 117 formed during the ice-melt period from July to September. This timing and our findings for Korumdu lake show that these 117 lakes likely formed primarily because deposition of an ice-debris mixture blocked the outlet tunnel, though increased glacial melt would also have contributed. In the Teskey Range, the appearance of short-lived glacial lakes on the moraine complexes at glacier fronts is inevitable in summer when the melting rate is high. Similar behavior of short-lived lakes may occur in other mountain regions of Central Asia, such as the Tien Shan and Pamir Mountains, wherever ice-cored moraine complexes exist within mountain permafrost zone. Moreover, increasing temperatures may increase both tunnel size and lake-basin size (lake volume), leading to increased hazard potential from such lakes in the future. © Copyright: </t>
  </si>
  <si>
    <t>2-s2.0-85111711322"</t>
  </si>
  <si>
    <t>10.3390/rs13132485</t>
  </si>
  <si>
    <t>https://www.scopus.com/inward/record.uri?eid=2-s2.0-85109360796&amp;doi=10.3390%2frs13132485&amp;partnerID=40&amp;md5=850adaa3affd51a5d5a8cf8163353e32</t>
  </si>
  <si>
    <t>Maintenance of roadside ditches is important to avoid localized flooding and premature failure of pavements. Scheduling effective preventative maintenance requires a reasonably detailed mapping of the ditch profile to identify areas in need of excavation to remove long-term sediment accumulation. This study utilizes high-resolution, high-quality point clouds collected by mobile LiDAR mapping systems (MLMS) for mapping roadside ditches and performing hydrological analyses. The performance of alternative MLMS units, including an unmanned aerial vehicle, an unmanned ground vehicle, a portable backpack system along with its vehicle-mounted version, a medium-grade wheel-based system, and a high-grade wheel-based system, is evaluated. Point clouds from all the MLMS units are in agreement within the ±3 cm range for solid surfaces and ±7 cm range for vegetated areas along the vertical direction. The portable backpack system that could be carried by a surveyor or mounted on a vehicle is found to be the most cost-effective method for mapping roadside ditches, followed by the medium-grade wheel-based system. Furthermore, a framework for ditch line characterization is proposed and tested using datasets acquired by the medium-grade wheel-based and vehicle-mounted portable systems over a state highway. An existing ground-filtering approach—cloth simulation—is modified to handle variations in point density of mobile LiDAR data. Hydrological analyses, including flow direction and flow accumulation, are applied to extract the drainage network from the digital terrain model (DTM). Cross-sectional/longitudinal profiles of the ditch are automatically extracted from the LiDAR data and visualized in 3D point clouds and 2D images. The slope derived from the LiDAR data turned out to be very close to the highway cross slope design standards of 2% on driving lanes, 4% on shoulders, and a 6-by-1 slope for ditch lines. © 2021 by the authors. Licensee MDPI, Basel, Switzerland.</t>
  </si>
  <si>
    <t>2-s2.0-85109360796"</t>
  </si>
  <si>
    <t>10.1007/s12517-021-07780-2</t>
  </si>
  <si>
    <t>https://www.scopus.com/inward/record.uri?eid=2-s2.0-85111381751&amp;doi=10.1007%2fs12517-021-07780-2&amp;partnerID=40&amp;md5=87a9c088a57de9f3434cd5c3b0157cfd</t>
  </si>
  <si>
    <t>Climate change–induced disasters and anthropogenic influences are making the ecological environment vulnerable. Thus, assessment of ecological vulnerability and risk is essential for devising suitable adaptation and management strategies. The paper makes a concerted effort to analyze flood-induced ecological vulnerability and risk using site-specific parameters in Bhagirathi sub-basin of India. Analytical hierarchy process (AHP) was used to assign weightage to the selected parameters. Association of parameters with vulnerability was examined through multiple regression analysis. Findings revealed that most of the area in eastern, central, and deltaic sub-basin was found under high vulnerability and risk. Disturbance index, rainfall, temperature, SAVI, vegetation type, low biological richness, slope, and NDVI identified the potent factors for high vulnerability to flood, while high inundation was the prime determinant for very high flood risk in the study area. Evaluated findings may be helpful in prioritizing the areas for ecological restoration and conservation. © 2021, Saudi Society for Geosciences.</t>
  </si>
  <si>
    <t>2-s2.0-85111381751"</t>
  </si>
  <si>
    <t>10.1016/j.rsase.2021.100562</t>
  </si>
  <si>
    <t>https://www.scopus.com/inward/record.uri?eid=2-s2.0-85109492163&amp;doi=10.1016%2fj.rsase.2021.100562&amp;partnerID=40&amp;md5=e35b6de3b48b9c76ac609cf175176e5b</t>
  </si>
  <si>
    <t>The lack of monitoring and observational data is hampering the assessment of flash flood hazard in arid environments. This study forecasts and investigates flash floods hazards in Wadi Nisah basin in the central region of Saudi Arabia. An integrated approach of Geographic Information System (GIS), Remote Sensing (RS), and Watershed Modeling System (WMS) is presented to determine the flash flood hazards based on morphometric analysis along with rainfall runoff modeling. RS datasets including Shuttle Radar Topography Mission (SRTM) data for digital elevation model (DEM), and SPOT-5 satellite images for land cover mapping, in addition to meteorological data (represented in historical rainfall logs) are used. The study area is divided into 14 sub-basins according to the 5th stream order. The morphometric parameter's analysis clearly show that 42.3%–62% of the total region of Wadi Nisah is highly prone to flooding. Furthermore, medium- and low-hazard areas make up 2.1%–36.4% and 16.5%–55.6% of the total area, respectively. Rainfall-runoff modeling shows that the peak discharge values of sub-basin 14, covers 39.6% of the Wadi Nisah total area, making it greater than that of other sub-basins for each return period, ranging from 12.3 m3/s for a 5-year return period to 294.5 m3/s for a 100-year return period. Accordingly, sub-basin 14 poses more flood risk than other Wadi Nisah sub-basins, as confirmed by the morphometric ranking method analysis. © 2021 Elsevier B.V.</t>
  </si>
  <si>
    <t>2-s2.0-85109492163"</t>
  </si>
  <si>
    <t>Ecological Solutions and Evidence</t>
  </si>
  <si>
    <t>10.1002/2688-8319.12098</t>
  </si>
  <si>
    <t>https://www.scopus.com/inward/record.uri?eid=2-s2.0-85118559534&amp;doi=10.1002%2f2688-8319.12098&amp;partnerID=40&amp;md5=7ba221ab0a8f14eab6c68971ff90c132</t>
  </si>
  <si>
    <t>Ecosystems are increasingly managed to provide multiple benefits to humans, which often degrades their ecological integrity. This strongly applies to aquatic ecosystems, in which engineering can enhance flood protection, drinking water supply, fisheries and recreation. Although these activities typically increase ecosystem functionality to humans, they often impair key aspects of biodiversity and natural functioning. Classical restoration of such degrading freshwater ecosystems can lead to societal opposition, if returning to a former ecosystem state affects previously acquired ecosystem services. Innovative nature-based solutions are therefore needed that enhance natural values in ecosystems, without affecting existing services. We present a large-scale project aiming to increase the ecological integrity of a human-modified freshwater lake while maintaining its services to humans. The freshwater lake Markermeer in the Netherlands was formed by closing off an estuary for flood protection. The ecological integrity of this lake diminished over time, likely because a declining primary productivity impaired biodiversity at higher trophic levels. This decline is associated with a lack of gradual land–water transitions, strong resuspension of fine sediments, low nutrient availability and lack of dynamics typically to be expected in a natural temperate freshwater lake. Restoring the lake to its former marine state would conflict with current ecosystem services. A nature-based solution was initiated in 2016, consisting of constructing a five-island archipelago from the lake's own soft-sediments called the ‘Marker Wadden’. The project aims to increase the lake's primary production by creating gradual land–water transitions, more heterogeneity in water depths and decreasing turbidity by creating shelter and deep sinks reducing fine-sediment resuspension by the wind – thus introducing currently missing elements that are typical for natural lakes. We present the underlying ecological framework and first scientific results of this innovative ongoing project. Within 4 years, the Marker Wadden project shows how forward-looking sustainable development of lake ecosystems using a rewilding approach can enhance natural processes and attract birds and fish, without conflicting with existing ecosystem services. This inspires new directions for halting and reversing the degradation of other vital ecosystems worldwide. © 2021 The Authors. Ecological Solutions and Evidence published by John Wiley &amp; Sons Ltd on behalf of British Ecological Society.</t>
  </si>
  <si>
    <t>2-s2.0-85118559534"</t>
  </si>
  <si>
    <t>Hydrology Research</t>
  </si>
  <si>
    <t>10.2166/nh.2021.041</t>
  </si>
  <si>
    <t>https://www.scopus.com/inward/record.uri?eid=2-s2.0-85113535940&amp;doi=10.2166%2fnh.2021.041&amp;partnerID=40&amp;md5=53e5e0a3f65a9049fea713a37c402dc5</t>
  </si>
  <si>
    <t>Modified water regimes due to climate change are likely to be a major cause of freshwater ecosystem alteration. General Circulation Model (GCM)-related uncertainty in environmental flows at 12 gauging stations in the Upper Niger Basin and flooding within the Inner Niger Delta is assessed using the Ecological Risk due to the Flow Alteration method and a hydrological model forced with projections from 12 GCM groups for RCP 4.5 in the 2050s and 2080s. Risk varies between GCM groups and stations. It increases into the future and is larger for changes in low flows compared to high flows. For the ensemble mean, a small minority of GCM groups projects no risk for high flows in the 2050s (low risk otherwise). This reverses for the 2080s. For low flows, no risk is limited to three stations in the 2050s and one station in the 2080s, the other experience either low or medium risk. There is greater consistency in the risk of change in flood extent, especially in the dry season (medium risk for all groups and the ensemble mean). Some (low or medium) risk of change in peak annual inundation is projected for most groups. Changing flood patterns have implications for wetland ecology and ecosystem services. © 2021 The Authors</t>
  </si>
  <si>
    <t>2-s2.0-85113535940"</t>
  </si>
  <si>
    <t>10.1007/s10040-021-02344-w</t>
  </si>
  <si>
    <t>https://www.scopus.com/inward/record.uri?eid=2-s2.0-85104988236&amp;doi=10.1007%2fs10040-021-02344-w&amp;partnerID=40&amp;md5=6202e27fd47013ec5c6c7d70e9ea4a9d</t>
  </si>
  <si>
    <t>Saltwater intrusion (SWI) is a type of pollution that adversely affects the quality of groundwater in coastal aquifers. The Nile Delta aquifer (NDA) in Egypt contains a large amount of freshwater. Increasing abstraction from the aquifer and sea level rise have led to an increase in SWI, which has reached up to 100 km inland. Therefore, practical measures are required to prevent further SWI. This study aims to identify an optimal well system to manage the intrusion of saline water in NDA using a number of management systems, including pumping of brackish water, aquifer recharge, and abstraction of the freshwater. SEAWAT code is used to simulate SWI in the aquifer considering different scenarios of pumping and sea level rise. Four scenarios are used to control SWI, including: decreasing pumping from the aquifer, increasing recharge using treated waste water, increasing abstraction of brackish water for desalination, and a combination of these systems. The results showed that increasing recharge could lead to greater retardation of SWI (19.5%) than decreasing pumping (6.2%) and abstraction of brackish water (5.9%). However, a combined well system of pumping, recharge and abstraction is shown to be a more effective tool to control SWI in coastal aquifers, with retardation percentage of 21.3%. © 2021, Springer-Verlag GmbH Germany, part of Springer Nature.</t>
  </si>
  <si>
    <t>2-s2.0-85104988236"</t>
  </si>
  <si>
    <t>10.1016/j.ijdrr.2021.102283</t>
  </si>
  <si>
    <t>https://www.scopus.com/inward/record.uri?eid=2-s2.0-85105582557&amp;doi=10.1016%2fj.ijdrr.2021.102283&amp;partnerID=40&amp;md5=13c08f61a8b32b5c8e891f171f062ea6</t>
  </si>
  <si>
    <t>The construction of protective infrastructure such as seawalls and the designation of land-use and building regulation zones are commonly recommended strategies for tsunami and sea-level rise oriented mitigation in coastal areas. While the effectiveness of these strategies are undoubted, in regions where coastal tourism is the primary industry, the implementation of such strategies have been low due to fear of negative economic impact related to loss of coastal view and accessibility. Therefore, this paper examines the influence of coastal amenities to hotel room rates alongside other attributes through hedonic analysis. Specifically, it investigates whether rooms with coastal views, accessibility to beaches, and those located on higher elevations are priced higher than other rooms, in order to quantify the associated values of Japanese coastal areas where tourism is a key economic driver. Subsequently, it suggests the geographical market boundaries to guide the management and risk-mitigation of coastal areas. Findings reveal that: Semi-parametric Geographically Weighted Regression (S-GWR) results can accurately identify both stationary and non-stationary relationships present between the dependent and explanatory variables</t>
  </si>
  <si>
    <t>10.1111/tgis.12836</t>
  </si>
  <si>
    <t>https://www.scopus.com/inward/record.uri?eid=2-s2.0-85113531222&amp;doi=10.1111%2ftgis.12836&amp;partnerID=40&amp;md5=817ad55d9e87b6da591a1caf2d9511b4</t>
  </si>
  <si>
    <t>This study explores the potential for employing user-generated content (UGC) during severe flooding to discover and track urban flooding disaster hotspots in a timely manner. A flooding case in central China was selected for this study. Crawlers, natural language processing, and geographic visualization methods were used to extract flood-related UGC specific to severely flooded areas. Further, the quality of the geo-tagged content on the web was verified using scientific gauge data (e.g., water level, digital elevation model, and rainfall). Based on our findings, we were able to deduce that UGC on the web is valuable for identifying flooding hotspots. In fact, this approach offers substantial advantages for addressing the emerging needs of data acquisition for flood emergency management. Notably, the values of urban stakeholders that share their observations on the web can be mined rapidly through the integration of various approaches. Overall, the findings of our study can contribute to the efficient mining of web data sources and development of disaster hotspot mapping systems at an urban scale to improve flood management and mitigation. The limitations of UGC and our study's future direction are also discussed. © 2021 John Wiley &amp; Sons Ltd</t>
  </si>
  <si>
    <t>2-s2.0-85113531222"</t>
  </si>
  <si>
    <t>10.3390/land10080872</t>
  </si>
  <si>
    <t>https://www.scopus.com/inward/record.uri?eid=2-s2.0-85113493423&amp;doi=10.3390%2fland10080872&amp;partnerID=40&amp;md5=09d31d774a059b92446b2b7dac564ecb</t>
  </si>
  <si>
    <t>Land suitability assessment is fundamental in space control planning and land development because of its effects on land use and urban layout. Rainstorms and waterlogging have become one of the most common natural disasters in the coastal areas of China. As a result, the concept of an ecological sponge city was incorporated into the construction of cities in the future. Taking Shenzhen–Shantou special cooperation zone (SSCZ), we constructed a storm flooding model based on the SCS flow generation model and GIS to explore the spatial distribution characteristics of the flooding risk in a rainstorm of 100‐year lasting 1 h. Combined with population and economic indicators, a radial basis function (RBF) network was utilized to evaluate the environmental risk, the vulnerability of disaster‐bearing bodies, and the rain–flood resilience of sponge cities. The self‐organizing feature mapping (SOFM) model was used for cluster analysis. Spatial differences were found in the construction suitability of the study area. A suitable construction area (73.59% of the entire area) was located downtown. The construction of the artificial spongy body in the highest vulnerable area (3.25%) needs to be strengthened. The control construction area (3.3%) is located along the banks of the river, with relatively high risk and low resilience of flood control engineering. Ecological construction (19.85%) serves as the sponge body of ecological buffer. The factors of waterlogging, ecology, population, and economy could be integrated com-prehensively by applying neural network methods for urban planning and construction. © 2021 by the authors. Licensee MDPI, Basel, Switzerland.</t>
  </si>
  <si>
    <t>2-s2.0-85113493423"</t>
  </si>
  <si>
    <t>Monthly Weather Review</t>
  </si>
  <si>
    <t>10.1175/MWR-D-20-0241.1</t>
  </si>
  <si>
    <t>https://www.scopus.com/inward/record.uri?eid=2-s2.0-85111656986&amp;doi=10.1175%2fMWR-D-20-0241.1&amp;partnerID=40&amp;md5=86c332205f4fff9a9e3a76667d782fa0</t>
  </si>
  <si>
    <t>The second largest fire shelter deployment in U.S. history occurred in August 2003 during the Devil Fire, which was burning in a remote and rugged region of the San Francisco Bay Area, when relative humidity abruptly dropped in the middle of the night, causing rapid fire growth. Nocturnal drying events in the higher elevations along California's central coast are a unique phenomenon that poses a great risk to wildland firefighters. Single-digit relative humidity with dewpoints below -25°C is not uncommon during summer nights in this region. To provide the fire management community with knowledge of these hazardous conditions, an event criterion was established to develop a climatology of nocturnal drying and to investigate the synoptic patterns associated with these events. A lower-tropospheric source region of dry air was found over the northeastern Pacific Ocean corresponding to an area of maximum low-level divergence and associated subsidence. This dry air forms above a marine inversion and advects inland overnight with the marine layer and immerses higher-elevation terrain with warm and dry air. An average of 15-20 nocturnal drying events per year occur in elevations greater than 700m in the San Francisco Bay Area, and their characteristics are highly variable, making them a challenge to forecast.  © 2021 American Meteorological Society.</t>
  </si>
  <si>
    <t>2-s2.0-85111656986"</t>
  </si>
  <si>
    <t>10.3390/atmos12070895</t>
  </si>
  <si>
    <t>https://www.scopus.com/inward/record.uri?eid=2-s2.0-85110921610&amp;doi=10.3390%2fatmos12070895&amp;partnerID=40&amp;md5=f9ab1d8b3109e4515f70b582c6983b13</t>
  </si>
  <si>
    <t>Sea surface wind plays an essential role in the simulating and predicting ocean phenomena. However, it is difficult to obtain accurate data with uniform spatiotemporal scale. A high-resolution (10 km) sea surface wind hindcast around the Korean Peninsula (KP) is presented using the weather research and forecasting model focusing on wind speed. The hindcast data for 39 years (1979–2017) are obtained by performing a three-dimensional variational analysis data assimilation, using ERA-Interim as initial and boundary conditions. To evaluate the added value of the hindcasts, the ASCAT-L2 satellite-based gridded data (DASCAT) is employed and regarded as “True” during 2008–2017. Hindcast and DASCAT data are verified using buoy observations from 1997–2017. The added value of the hindcast compared to ERA-Interim is evaluated using a modified Brier skill score method and analyzed for seasonality and wind intensity. Hindcast data primarily adds value to the coastal areas of the KP, particularly over the Yellow Sea in the summer, the East Sea in the winter, and the Korean Strait in all seasons. In case of strong winds (10–25 m·s−1 ), the hindcast performed better in the East Sea area. The estimation of extreme wind speeds is performed based on the added value and 50-year and 100-year return periods are estimated using a Weibull distribution. The results of this study can provide a reference dataset for climate perspective storm surge and wave simulation studies. © 2021 by the authors. Licensee MDPI, Basel, Switzerland.</t>
  </si>
  <si>
    <t>2-s2.0-85110921610"</t>
  </si>
  <si>
    <t>10.3390/min11060657</t>
  </si>
  <si>
    <t>https://www.scopus.com/inward/record.uri?eid=2-s2.0-85108163520&amp;doi=10.3390%2fmin11060657&amp;partnerID=40&amp;md5=9e2c04fd75fad86dbf9c6905bd789494</t>
  </si>
  <si>
    <t>The successful development of shale gas and oil in North America has created considera-ble interest in shale. The analysis of genetic types, the sedimentary environment, and the mudstone development mechanism within sequences is critical for evaluating shale gas and oil exploration prospects, exploration favorable zones, and resource potential. This study focused on the shale of Shahejie Formation in Dongying Depression of Bohai Bay Basin. Shale lithofacies division, geochemical analysis, and well‐log analysis were performed for a sedimentary environment and its related elemental response characteristics’ identification. Based on the results, we concluded that the sedimentary environment of the lake basin evolved from the saltwater lake to the ambiguous lake and then the open lake to the delta. In response, we observed gradually decreasing Sr/Ba and Ca/Mg ratios and increasing Rb/Ca and Fe/Mn ratios during the whole process during the reduction of the salinity and the decrease in PH value and sediments’ transport distance. The relationship between ratio elements and high‐frequency sequences was initially established within the shale strata. Our results show that ratios of Sr/Ba and Ca/Mg ratios near the sequence boundary are relatively low, and ratios of Fe/Mn and Rb/Ca are relatively high, while ratios of Sr/Ba and Ca/Mg near the flooding surface are relatively high, and ratios of Fe/Mn and Rb/Ca are relatively low. Those features can be used as a marker for high‐frequency sequence division of shale strata. Our results provided a new theoretical basis and technical method for shale gas and oil exploration and development. © 2021 by the authors. Licensee MDPI, Basel, Switzerland.</t>
  </si>
  <si>
    <t>2-s2.0-85108163520"</t>
  </si>
  <si>
    <t>10.5194/essd-13-3297-2021</t>
  </si>
  <si>
    <t>https://www.scopus.com/inward/record.uri?eid=2-s2.0-85110059889&amp;doi=10.5194%2fessd-13-3297-2021&amp;partnerID=40&amp;md5=86feb83ec3e97e8e131db14a93ba8390</t>
  </si>
  <si>
    <t xml:space="preserve">Over the last decades, economic developments in the Vietnamese Mekong Delta have led to a sharp increase in groundwater pumping for domestic, agricultural and industrial use. This has resulted in alarming rates of land subsidence and groundwater salinization. Effective groundwater management, including strategies to work towards sustainable groundwater use, requires knowledge about the current groundwater salinity distribution, in particular the available volumes of fresh groundwater. At the moment, no comprehensive dataset of the spatial distribution of fresh groundwater is available. To create a 3D model of total dissolved solids (TDS), an existing geological model of the spatial distribution and thickness of the aquifers and aquitards is updated. Next, maps of drainable porosity for each aquifer are interpolated based on the sedimentological description of the borehole data. Measured TDS in groundwater, inferred TDS from resistivity measurements in boreholes and soft incomplete data (derived from measurements in boreholes and data from domestic wells) are combined in an indicator kriging routine to obtain the full probability distribution of TDS for each (x,y,z) location. This statistical distribution of TDS combined with drainable porosity yields estimates of the volume of fresh groundwater (TDSĝ€¯&lt;ĝ€¯1ĝ€¯gĝ€¯L-1) in each aquifer. Uncertainty estimates of these volumes follow from a Monte Carlo analysis (sequential indicator simulation). Results yield an estimated fresh groundwater volume for the Mekong Delta of 867 billion cubic metres with an uncertainty range of 830-900 billion cubic metres, which is somewhat higher than previous assessments of fresh groundwater volumes. The resulting dataset can for instance be used in groundwater flow and salt transport modelling as well as aquifer storage and recovery projects to support informed groundwater management decisions, e.g. to prevent further salinization of the Mekong Delta groundwater system and land subsidence, and is available at 10.5281/zenodo.4441776 (Gunnink et al., 2021).  © Copyright: </t>
  </si>
  <si>
    <t>2-s2.0-85110059889"</t>
  </si>
  <si>
    <t>Computers, Environment and Urban Systems</t>
  </si>
  <si>
    <t>10.1016/j.compenvurbsys.2021.101628</t>
  </si>
  <si>
    <t>https://www.scopus.com/inward/record.uri?eid=2-s2.0-85103680478&amp;doi=10.1016%2fj.compenvurbsys.2021.101628&amp;partnerID=40&amp;md5=a3554a0124686796a5d21dcb81254a82</t>
  </si>
  <si>
    <t>Many parts of the world experience severe episodes of flooding every year. In addition to the high cost of mitigation and damage to property, floods make roads impassable and hamper community evacuation, movement of goods and services, and rescue missions. Knowing the depth of floodwater is critical to the success of response and recovery operations that follow. However, flood mapping especially in urban areas using traditional methods such as remote sensing and digital elevation models (DEMs) yields large errors due to reshaped surface topography and microtopographic variations combined with vegetation bias. This paper presents a deep neural network approach to detect submerged stop signs in photos taken from flooded roads and intersections, coupled with Canny edge detection and probabilistic Hough transform to calculate pole length and estimate floodwater depth. Additionally, a tilt correction technique is implemented to address the problem of sideways tilt in visual analysis of submerged stop signs. An in-house dataset, named BluPix 2020.1 consisting of paired web-mined photos of submerged stop signs across 10 FEMA regions (for U.S. locations) and Canada is used to evaluate the models. Overall, pole length is estimated with an RMSE of 17.43 and 8.61 in. in pre- and post-flood photos, respectively, leading to a mean absolute error of 12.63 in. in floodwater depth estimation. Findings of this research are sought to equip jurisdictions, local governments, and citizens in flood-prone regions with a simple, reliable, and scalable solution that can provide (near-) real time estimation of floodwater depth in their surroundings. © 2021 Elsevier Ltd</t>
  </si>
  <si>
    <t>2-s2.0-85103680478"</t>
  </si>
  <si>
    <t>10.1016/j.sciaf.2021.e00787</t>
  </si>
  <si>
    <t>https://www.scopus.com/inward/record.uri?eid=2-s2.0-85110084361&amp;doi=10.1016%2fj.sciaf.2021.e00787&amp;partnerID=40&amp;md5=ac207eda5144d3f1e39f182ff81cbed2</t>
  </si>
  <si>
    <t>Lekki Peninsula, which is home to the nouveau riche, is one of the barrier islands of the barrier-lagoon system of the Lagos coastline. The peninsula has been undergoing rapid urbanization since 1980 in total disregard of its physical characteristics. This study assessed landscape dynamics in the peninsula from 1984 to 2014 and evaluated risks to development from potential storm surge flooding. The datasets included baseline data on geographical indicators/island characteristics, satellite imageries and ancillary data. Storm surge flooding hazards and areas at risk were assessed in a Planar GIS environment and with two-dimensional (2D) hydrodynamic simulation using the Cellular Automaton Evolutionary Slope and River (CAESAR) model. Results reveal that the Lekki Peninsula which was a green zone had grown from about 0.5% built-up area in 1984 to about 18% built-up area in 2014. This growth was due to urban expansion and occurred mostly in areas of ecological assets including mangroves, swamps and vegetation. The highest growth in built-up area occurred in Eti-Osa Local Government Area (LGA). Generally, the peninsula has a low-lying topography with 37% of its area lying between 0.5 m and 3 m while 63% is between 3 m and 5 m above mean sea level. Potential inundation simulation with the CAESAR model for selected storm surge levels reveal that at surge heights of 4 m and 5 m, 25% (mostly in Eti-Osa) and 37% respectively of the peninsula are flooded with the latter choking off Epe Expressway on both ends. Initial ingress of inundation occurred in Eti-Osa LGA. In comparison to Planar GIS water levels, the CAESAR model reflected more realistic flood extents. The base flood elevation (BFE) and design flood elevation (DFE) are recommended to improve the sustainability and resilience of future developments along with the recognition of natural processes in future policy and development of the peninsula. © 2021 The Author(s)</t>
  </si>
  <si>
    <t>2-s2.0-85110084361"</t>
  </si>
  <si>
    <t>10.5194/nhess-21-2021-2021</t>
  </si>
  <si>
    <t>https://www.scopus.com/inward/record.uri?eid=2-s2.0-85112119858&amp;doi=10.5194%2fnhess-21-2021-2021&amp;partnerID=40&amp;md5=ee832b8a5e8ce39343f713b0a50d3cfa</t>
  </si>
  <si>
    <t>In coastal regions, floods can arise through a combination of multiple drivers, including direct surface run-off, river discharge, storm surge, and waves. In this study, we analyse compound flood potential in Europe and environs caused by these four main flooding sources using state-of-the-art databases with coherent forcing (i.e. ERA5). First, we analyse the sensitivity of the compound flooding potential to several factors: (1) sampling method, (2) time window to select the concurrent event of the conditioned driver, (3) dependence metrics, and (4) wave-driven sea level definition. We observe higher correlation coefficients using annual maxima than peaks over threshold. Regarding the other factors, our results show similar spatial distributions of the compound flooding potential. Second, the dependence between the pairs of drivers using the Kendall rank correlation coefficient and the joint occurrence are synthesized for coherent patterns of compound flooding potential using a clustering technique. This quantitative multi-driver assessment not only distinguishes where overall compound flooding potential is the highest, but also discriminates which driver combinations are more likely to contribute to compound flooding. We identify that hotspots of compound flooding potential are located along the southern coast of the North Atlantic Ocean and the northern coast of the Mediterranean Sea. © Author(s) 2021.</t>
  </si>
  <si>
    <t>2-s2.0-85112119858"</t>
  </si>
  <si>
    <t>10.2112/JCOASTRES-D-20-00150.1</t>
  </si>
  <si>
    <t>https://www.scopus.com/inward/record.uri?eid=2-s2.0-85111345980&amp;doi=10.2112%2fJCOASTRES-D-20-00150.1&amp;partnerID=40&amp;md5=ab81ffed6bdacb719b65f2557cec0ba4</t>
  </si>
  <si>
    <t>Understanding of coastal geomorphology expands through collaborative social networks that are expressed through coauthorship. This technical communication examines the structure of coauthorship networks and research on barrier islands with a focus on nearshore bars, rip currents, swash, beach-dune interaction, foredunes, and the backbarrier. Coauthorship in coastal geomorphology is largely based on regional organizational networks and academic lineages, which may limit the cross-fertilization of ideas and techniques that would allow for an improved understanding of barrier island response to storms and sea-level rise. It is also argued that the lack of collaboration has an influence on field sampling strategies and the development of process-based models and machine learning algorithms to predict coastal barrier evolution that ultimately inform coastal management practices. © Coastal Education and Research Foundation, Inc. 2021.</t>
  </si>
  <si>
    <t>2-s2.0-85111345980"</t>
  </si>
  <si>
    <t>10.3389/feart.2021.668445</t>
  </si>
  <si>
    <t>https://www.scopus.com/inward/record.uri?eid=2-s2.0-85110395392&amp;doi=10.3389%2ffeart.2021.668445&amp;partnerID=40&amp;md5=6f22d349b7c4a9227eb21a4755d84be9</t>
  </si>
  <si>
    <t>Lithics and cut-marked mammal bones, excavated from the paleo-lake Marathousa 1 (MAR-1) sediments in the Megalopolis Basin, southern Greece, indicate traces of hominin activity occurring along a paleo-shoreline ca. 444,000 years (444 ka) ago. However, the local environment and climatic conditions promoting hominin activity in the area during the MIS12 glacial remain largely unknown. In order to reconstruct the paleo-environment including paleo-lake levels and governing paleo-climatic factors on a high temporal resolution, we analyzed a 6-meter-long sediment sequence from the archeological site MAR-1 and a Bayesian age model was computed for a better age constrain of the different sedimentary units. A multiproxy approach was applied using ostracods, sponge spicules, diatoms, grain sizes, total organic carbon, total inorganic carbon and conventional X-ray fluorescence analysis. The results from the site represent a protected region surrounded by high mountains under the constant influence of water, either as a shallow partly anoxic water body surrounded by reed belts (&gt;463–457 ka, &lt;434–427 ka), a riverine-lake deltaic system (∼457–448 ka), a floodplain (∼448–444 ka) or a seasonal freshwater pond (∼444–436 ka). The local changes of water levels resemble large trends and rhythms of regional records from the Mediterranean and appear to directly respond to sea surface temperature (SST) changes of the North Atlantic. In particular, when the SSTs are high, more moisture reaches the study area and vice versa. Additional water reaches MAR-1 through melting of the surrounding glaciers after brief warm phases during MIS12 in the Mediterranean realm, which leads to the formation of smaller fresh water ponds, where also the horizon of the excavated remains is placed. Such ponds, rich in ostracods and other microorganisms, provided mammals and humans valuable resources, such as potable water, a wide range of plant species and hunting opportunities. These deposits therefore bear a high archeological potential. The results from our study suggest that the Megalopolis Basin could have served as a refugium for hominins and other organisms due to its capacity to retain freshwater bodies during glacial and interglacial periods. © Copyright © 2021 Bludau, Papadopoulou, Iliopoulos, Weiss, Schnabel, Thompson, Tourloukis, Zachow, Kyrikou, Konidaris, Karkanas, Panagopoulou, Harvati and Junginger.</t>
  </si>
  <si>
    <t>2-s2.0-85110395392"</t>
  </si>
  <si>
    <t>10.5194/essd-13-3399-2021</t>
  </si>
  <si>
    <t>https://www.scopus.com/inward/record.uri?eid=2-s2.0-85110241342&amp;doi=10.5194%2fessd-13-3399-2021&amp;partnerID=40&amp;md5=53f77247bc892222fcd2c68df95e077b</t>
  </si>
  <si>
    <t>This paper presents the current state of knowledge of the Aotearoa New Zealand last interglacial (marine isotope stage 5, MIS 5, sensu lato) sea-level record compiled within the framework of the World Atlas of Last Interglacial Shorelines (WALIS) database. A total of 77 relative sea-level (RSL) indicators (direct, marine-limiting, and terrestrial-limiting points), commonly in association with marine terraces, were identified from over 120 studies reviewed. Extensive coastal deformation around New Zealand has prompted research focused on active tectonics, the scale of which overprints the sea-level record in most regions. The ranges of last interglacial palaeo-shoreline elevations are significant on both the North Island (276.8ĝ€¯±ĝ€¯10.0 to -94.2ĝ€¯±ĝ€¯10.6ĝ€¯ma.m.s.l., above mean sea level) and South Island (165.8ĝ€¯±ĝ€¯2.0 to -70.0ĝ€¯±ĝ€¯10.3ĝ€¯ma.m.s.l.) and have been used to estimate rates of vertical land movement</t>
  </si>
  <si>
    <t>10.3390/rs13112205</t>
  </si>
  <si>
    <t>https://www.scopus.com/inward/record.uri?eid=2-s2.0-85108235159&amp;doi=10.3390%2frs13112205&amp;partnerID=40&amp;md5=8e291475c6ef76377467827cfe808911</t>
  </si>
  <si>
    <t>Outburst floods resulting from giant landslide dams can cause devastating damage to hundreds or thousands of kilometres of a river. Accurate and timely delineation of flood inundated areas is essential for disaster assessment and mitigation. There have been significant advances in flood mapping using remote sensing images in recent years, but little attention has been devoted to outburst flood mapping. The short‐duration nature of these events and observation constraints from cloud cover have significantly challenged outburst flood mapping. This study used the outburst flood of the Baige landslide dam on the Jinsha River on 3 November 2018 as an example to propose a new flood mapping method that combines optical images from Sentinel‐2, synthetic aperture radar (SAR) images from Sentinel‐1 and a Digital Elevation Model (DEM). First, in the cloud‐free region, a comparison of four spectral indexes calculated from time series of Sentinel‐2 images indicated that the normalized difference vegetation index (NDVI) with the threshold of 0.15 provided the best separation flooded area. Subsequently, in the cloud‐covered region, an analysis of dualpolarization RGB false color composites images and backscattering coefficient differences of Sentinel‐1 SAR data were found an apparent response to ground roughness’s changes caused by the flood. We carried out the flood range prediction model based on the random forest algorithm. Training samples consisted of 13 feature vectors obtained from the Hue‐Saturation‐Value color space, backscattering coefficient differences/ratio, DEM data, and a label set from the flood range prepared from Sentinel‐2 images. Finally, a field investigation and confusion matrix tested the prediction accuracy of the end‐of‐flood map. The overall accuracy and Kappa coefficient were 92.3%, 0.89 respectively. The full extent of the outburst floods was successfully obtained within five days of its occurrence. The multi‐source data merging framework and the massive sample preparation method with SAR images proposed in this paper, provide a practical demonstration for similar machine learning applications using remote sensing. © 2021 by the authors. Licensee MDPI, Basel, Switzerland.</t>
  </si>
  <si>
    <t>2-s2.0-85108235159"</t>
  </si>
  <si>
    <t>10.1007/s11356-021-13155-7</t>
  </si>
  <si>
    <t>https://www.scopus.com/inward/record.uri?eid=2-s2.0-85102176883&amp;doi=10.1007%2fs11356-021-13155-7&amp;partnerID=40&amp;md5=534dd71c350a90b0d3fc11f61d3d0e25</t>
  </si>
  <si>
    <t>The information about different morphometric parameters of any watershed is necessary for better watershed management and planning. This study aimed to investigate morphometric characteristics, to assess the soil erosion risk, and to prioritize different sub-watersheds of the Koyna River basin, India, with two different approaches using geospatial technology. Different linear, shape, and relief parameters of the basin were estimated and analyzed. The linear and shape parameters indicated that the basin has less flood hazard. The relief parameters indicated that the basin has moderate roughness and unevenness. The parallel drainage pattern is dominant inside the basin due to the highly elongated nature of the basin. The bifurcation ratio (Rb) indicated lithological and geological variations inside the basin. Two different approaches namely morphometric analysis and empirical Revised Universal Soil Loss Equation (RUSLE) method were applied for prioritization of different sub-watersheds. Rainfall, soil, digital elevation model (DEM), and normalized difference vegetation index (NDVI) data were used for identifying erosion-prone zones with RUSLE analysis. Based on RUSLE analysis, the entire study area was divided into five soil erosion risk classes namely very slight (80.43 %), slight (14.94 %), moderate (3.21 %), severe (0.79 %), and very severe (0.63%), respectively. Most of the study area was found to be under a very slight soil erosion vulnerability class based on the RUSLE approach. The conservation practices should be carried out as per the priority ranking of different sub-watershed based on soil erosion rates. The results found in this study can surely assist in the implementation of soil conservation planning and management practices to reduce soil loss in the Koyna River basin of India. © 2021, The Author(s), under exclusive licence to Springer-Verlag GmbH Germany, part of Springer Nature.</t>
  </si>
  <si>
    <t>2-s2.0-85102176883"</t>
  </si>
  <si>
    <t>10.1007/s10668-020-01088-z</t>
  </si>
  <si>
    <t>https://www.scopus.com/inward/record.uri?eid=2-s2.0-85096098557&amp;doi=10.1007%2fs10668-020-01088-z&amp;partnerID=40&amp;md5=f6d794490a87cf91ad06eb83c8e49f89</t>
  </si>
  <si>
    <t>In some coastal areas, tidal ranges represent an important energy potential. This energy is harnessed through tidal power plants (TPPs), which cause environmental impacts during the construction and operation phases. The objective is to propose an environmental impact potential (EIP) index to be used as a tool to select suitable areas for the installation of TPPs. The EIP is based on a combination of geographic information systems and multicriteria analysis, which take into account the degrees of vulnerability of the following environmental variables: land use, geomorphology, geology, slope, pedology and vegetation. The results showed that the EIP values in most areas of the Amazon region coast decrease from north to south, and 15% of the areas had low EIP values because they are farther from estuaries, which are technically better for the implementation of TPPs. In the rest of the region, 82% of the areas have average EIP values, and 3% have high EIP values. These areas are near the mouth and are more susceptible to erosion and flooding. In this case, the environmental impact is greater in relation to those of areas with the greatest river influence. Thus, from an environmental point of view, the EIP index has proven to be a preliminary and simple application assessment tool for choosing the best area for TPP installation for the sustainable use of natural resources. © 2020, Springer Nature B.V.</t>
  </si>
  <si>
    <t>2-s2.0-85096098557"</t>
  </si>
  <si>
    <t>10.5194/nhess-21-1703-2021</t>
  </si>
  <si>
    <t>https://www.scopus.com/inward/record.uri?eid=2-s2.0-85107459821&amp;doi=10.5194%2fnhess-21-1703-2021&amp;partnerID=40&amp;md5=f18fce82d32bf6f1cf1fd4187d34c4f3</t>
  </si>
  <si>
    <t>We study the compound flooding processes that occurred in Hurricane Florence (2018), which was accompanied by heavy precipitation, using a 3D creek-to-ocean hydrodynamic model. We examine the important role played by barrier islands in the observed compound surges in the coastal watershed. Locally very high resolution is used in some watershed areas in order to resolve small features that turn out to be critical for capturing the observed high water marks locally. The wave effects are found to be significant near barrier islands and have contributed to some observed over-toppings and breaches. Results from sensitivity tests applying each of the three major forcing factors (oceanic, fluvial, and pluvial) separately are succinctly summarized in a &amp;quot</t>
  </si>
  <si>
    <t>10.3319/TAO.2021.04.02.01</t>
  </si>
  <si>
    <t>https://www.scopus.com/inward/record.uri?eid=2-s2.0-85117216603&amp;doi=10.3319%2fTAO.2021.04.02.01&amp;partnerID=40&amp;md5=c90ea66a8516090c7d85194dd8b64fc4</t>
  </si>
  <si>
    <t>Coastal areas are very vulnerable to disasters. One of the disasters that needs serious attention in coastal areas, including the coast of Jakarta, is coastal inundation. However, there is no integrated coastal inundation prediction system implemented in this area. This study aimed to build a model of coastal inundation by combining various factors, namely hydrodynamic model, wave model, and river model. The model used in this research is the integration of the Delft3D model, the WaveWatch III-SWAN model, and the SOBEK model. The results show that the simulation of the water level was in accordance with the observed data, from 30 November to 8 December 2017 during the supermoon period with a correlation accuracy of 0.9 and RMSE of 5.9 cm. However, the results of the simulation and astronomical tide prediction have a correlation of 0.81 and an RMSE is 13.6 cm. Therefore, it can be seen that the model is better than the astronomical tide prediction. The hydrodynamic model shows that Jakarta Bay has a water level range of 0.66 to 0.68 m during the supermoon period. The mapping of flood inundation areas show that the water level in the Tanjung Priok and Marunda in North Jakarta has a maximum inundation level of 50 to 100 cm with an inundation area of 272.17312 and 456.03653 m2. Meanwhile, our analysis for the Ancol and Kalibaru shows an inundation level of 0 to 30 cm with an inundation area of 388.04358 and 169.17656 m2. Our model provides better accuracy because it takes into account several important variables for modeling coastal inundation. Our early warning system proved to be accurate in providing coastal inundation prediction information for the North Jakarta area. © 2021 Chinese Geoscience Union. All rights reserved.</t>
  </si>
  <si>
    <t>2-s2.0-85117216603"</t>
  </si>
  <si>
    <t>10.1016/j.enggeo.2021.106188</t>
  </si>
  <si>
    <t>https://www.scopus.com/inward/record.uri?eid=2-s2.0-85105587313&amp;doi=10.1016%2fj.enggeo.2021.106188&amp;partnerID=40&amp;md5=4ab885a226edf82297bf9d565fc296dd</t>
  </si>
  <si>
    <t>Flexible barriers have been increasingly used worldwide for mitigating natural hazards involving various geophysical flows. The analysis and design of flexible barriers need to distinguish two major impact mechanisms, runup and pile-up, which remain poorly understood due to complicated interactions between the impacting flow and the deformable barrier. In this study, a unified computational approach based on coupled computational fluid dynamics and discrete element method (CFD-DEM) is employed to examine the impact mechanisms of a wide spectrum of geophysical flows against a deformable and permeable flexible barrier. We consider geophysical flows including rock avalanche, debris avalanche, debris flow, debris flood and mud flow, and a flexible barrier consisting of a barrier net, cables and brakes. The signatures of runup and pile-up mechanisms are thoroughly analyzed, in terms of flow features and barrier responses. The effects of Froude numbers (Fr = 0.46–7.40), solid volume concentrations (0.1–1), and fluid rheologies (Newtonian and non-Newtonian fluids) on the impact mechanism transitions are systematically examined. Two nondimensional indices, the static-peak load ratio of the barrier and the momentum reduction ratio of the flow, are proposed for identifying the transition of impact mechanism from pile-up to runup. The transition is found to occur with either an increase in Fr or solid volume concentration of the flow. Increased viscosity of the fluid in a solid-fluid mixture may result in a transition occurring at a higher Fr. This study helps gain insights into the two impact mechanisms and their transitions and may provide a useful reference for the future design of flexible barriers in mitigating hazardous geophysical flows. © 2021 Elsevier B.V.</t>
  </si>
  <si>
    <t>2-s2.0-85105587313"</t>
  </si>
  <si>
    <t>10.1117/1.JRS.15.032003</t>
  </si>
  <si>
    <t>https://www.scopus.com/inward/record.uri?eid=2-s2.0-85108231876&amp;doi=10.1117%2f1.JRS.15.032003&amp;partnerID=40&amp;md5=68464935627f709b9dc4e795dbb6ee0e</t>
  </si>
  <si>
    <t>Remote sensing using synthetic aperture radar (SAR) is an important tool for emergency flood incident management. At present, operational services are mainly aimed at flood mapping in rural areas, as mapping in urban areas is hampered by the complicated backscattering mechanisms occurring there. A method for detecting flooding at high resolution in urban areas that may contain dense housing is presented. This largely uses remotely sensed data sets that are readily available on a global basis, including open-access Sentinel-1 SAR data, the WorldDEM digital surface model (DSM), and open-access World Settlement Footprint data to identify urban areas. The method is a change detection technique that locally estimates flood levels in urban areas. It searches for increased SAR backscatter in the post-flood image due to double scattering between water (rather than unflooded ground) and adjacent buildings, and reduced SAR backscatter in areas away from high slopes. Areas of urban flooding are detected by comparing an interpolated flood level surface to the DSM. The method was tested on two flood events that occurred in the UK during the storms of Winter 2019-2020. High urban flood detection accuracies were achieved for the event in moderate density housing. The accuracy was reduced for the event in dense housing, when street widths became comparable to the DSM resolution, though it would still be useful for incident management. The method has potential for operational use for detecting urban flooding in near real-time on a global basis.  © The Authors. Published by SPIE under a Creative Commons Attribution 4.0 Unported License. Distribution or reproduction of this work in whole or in part requires full attribution of the original publication, including its DOI.</t>
  </si>
  <si>
    <t>2-s2.0-85108231876"</t>
  </si>
  <si>
    <t>10.3389/feart.2021.660359</t>
  </si>
  <si>
    <t>https://www.scopus.com/inward/record.uri?eid=2-s2.0-85112250150&amp;doi=10.3389%2ffeart.2021.660359&amp;partnerID=40&amp;md5=ffc8abf3619212e587a720b1996771b3</t>
  </si>
  <si>
    <t>Compound flood raised from the concurrent heavy precipitation and storm surge receives increasing attention because of its potential threat to coastal areas. Analyzing the past changes in the characteristics of compound flood events is critical to understand the changing flood risks associated with the combination of multiple drivers/hazards. Here, we examined the evolution of the compound flood days (defined as days of concurrent extreme precipitation and extreme storm surge exceeding the 90th percentiles) based on the observed precipitation and storm surge data across the globe. Results show that the annual number of compound flood days increased significantly by 1–4 per decade (α = 0.1) on the east coast of the US and northern Europe, while the annual number of compound flood days decreased significantly in southern Europe and Japan. The increasing trends in precipitation under extreme storm surge and storm surge under extreme precipitation were found extensively across the world except in Japan, suggesting that more intense precipitation appeared when extreme storm surges occurred, and higher storm surge emerged when extreme precipitation occurred. Comparatively, the global fractional contributions of storm surge (i.e., 65%) on changes in compound flood days were higher than that of precipitation (i.e., 35%), demonstrating that storm surge was more likely to dominate the changes in the number of compound flood days. This study presents the spatial and temporal characteristics of the compound flood events at the global scale, which helps better understanding the compound floods and provides scientific references for flood risk management and an indispensable foundation for further studies. © Copyright © 2021 Lai, Li, Li, Zhou, Zhang and Wu.</t>
  </si>
  <si>
    <t>2-s2.0-85112250150"</t>
  </si>
  <si>
    <t>10.26565/2410-7360-2021-54-02</t>
  </si>
  <si>
    <t>https://www.scopus.com/inward/record.uri?eid=2-s2.0-85213728242&amp;doi=10.26565%2f2410-7360-2021-54-02&amp;partnerID=40&amp;md5=78e6c3c5bdf50656f0feb25d481a4fd2</t>
  </si>
  <si>
    <t>Formulation of the problem. According long-term data analyses under the slides zone in Ukrainian part of the Azov sea sustainable processes had been marked. Landslides are most active in autumn and spring. The activation of landslides occurs under the influence of man-made and natural factors. The most significant factor is coastal abrasion. Review of previous publications. It was established that the air temperature and precipitation, the temperature and salinity of sea waters and the hydrometeorological regime of the coastal zone and the water balance of the Black and Azov seas as well depends on climatic changes. The rising of the sea level has intensi-fied over the past decades. These changes found a response in the coastal zone that reacted to them and ac-quired corresponding trends. Purpose is to determine the reasons for the formation of dynamically unstable sectors and the possibil-ity of protecting the shores on the Ukrainian coast in the Azov Sea, the subject is landslide processes, as the result of the abrasion of the shores, the object is the variability of the natural and anthropogenic conditions of the Ukrainian coast of the Azov Sea in the area of interaction between the sea and land. Methods. Analyses of images space and temporal dynamic of Earth remote sensing satellites by Digi-talGlobe, USGS LandLook and Sentinel were used and also retrospective long term of hydrometeorological data and standard statistical methods. Results. The places (areas) with pronounced coastal dynamic processes on the Ukrainian coast of the Azov Sea were identified, that require special attention: two in the Kherson region, five in the Zaporozhye region and four in Donetsk. In the coastal zone of the Azov Sea the rate of abrasion from 1 to 4 m per year (in exceptional cases up to 15 m per year) was marked. In a period of significant level rises, the flooding of ports, berths, the destruction of hydraulic engineering structures, storage facilities, and residential buildings is possible. Also, during the period of the significant decreasing of the sea level, the already limited depth of the approach channels decreases again, that disrupts the operation of the fleet. Conclusions. Investigations of the current state of the Ukrainian coastal zone of the Azov Sea, that is significant importance for the sustainable the economy development, the recreational region’s potential and the social level of the population. It has been established that in the eastern regions of the Azov coast of Ukraine there are a deficit of sediments and a high degree of variability of the abrasion form of the coastal-sea relief is noted, and an excess of sediments are formed in the western and northwestern regions. © 2021, V N Karazin Kharkiv National University. All rights reserved.</t>
  </si>
  <si>
    <t>2-s2.0-85213728242"</t>
  </si>
  <si>
    <t>Bulletin of Geophysics and Oceanography</t>
  </si>
  <si>
    <t>10.4430/bgta0356</t>
  </si>
  <si>
    <t>https://www.scopus.com/inward/record.uri?eid=2-s2.0-85108174758&amp;doi=10.4430%2fbgta0356&amp;partnerID=40&amp;md5=c75074c663895472b8f434137e0982b9</t>
  </si>
  <si>
    <t>During the last six decades, the Emilia-Romagna coastal plain underwent severe land lowering, as a consequence of groundwater pumping and gas production, that was pointed out as one of the main causes of beach erosion affecting extensively the coast. This paper aims to investigate the influence of gas fields exploitation on the beach erosion, through an analysis carried out in two critical sites: Reno River and Fiumi Uniti River deltas. The study is based on the comparison between the geomorphological evolution and the phases of the gas withdrawal. Main results highlight that, despite the gas exploitation cause subsidence, the strong coastal retreat has been much more dominated by morpho-dynamic processes associated with the decrease of river supply. © 2021-OGS.</t>
  </si>
  <si>
    <t>2-s2.0-85108174758"</t>
  </si>
  <si>
    <t>Analysis and Mathematical Physics</t>
  </si>
  <si>
    <t>10.1007/s13324-021-00502-7</t>
  </si>
  <si>
    <t>https://www.scopus.com/inward/record.uri?eid=2-s2.0-85101302289&amp;doi=10.1007%2fs13324-021-00502-7&amp;partnerID=40&amp;md5=e12f368aa78879eaba71466364771dd9</t>
  </si>
  <si>
    <t>Matsuzaki [M1] introduced the Teichmüller space T0α of diffeomorphisms of the unit circle with Hölder continuous derivatives and investigated its Schwarzian derivative model. This paper deals with the pre-Schwarzian derivative model T0α(1) of the Teichmüller space T0α. It is shown that T0α(1) is a connected open subset of B0α(Δ) and the pre-Bers projection is a holomorphic split submersion in T0α. © 2021, The Author(s), under exclusive licence to Springer Nature Switzerland AG part of Springer Nature.</t>
  </si>
  <si>
    <t>2-s2.0-85101302289"</t>
  </si>
  <si>
    <t>10.1002/wcc.706</t>
  </si>
  <si>
    <t>https://www.scopus.com/inward/record.uri?eid=2-s2.0-85102812491&amp;doi=10.1002%2fwcc.706&amp;partnerID=40&amp;md5=5793305a563d9d849eac8a5e80403504</t>
  </si>
  <si>
    <t>The release of new and updated sea-level rise (SLR) information, such as from the Intergovernmental Panel on Climate Change (IPCC) Assessment Reports, needs to be better anticipated in coastal risk and adaptation assessments. This requires risk and adaptation assessments to be regularly reviewed and updated as needed, reflecting the new information but retaining useful information from earlier assessments. In this paper, updated guidance on the types of SLR information available is presented, including for sea-level extremes. An intercomparison of the evolution of the headline projected ranges across all the IPCC reports show an increase from the fourth and fifth assessments to the most recent “Special Report on the Ocean and Cryosphere in a Changing Climate” assessment. IPCC reports have begun to highlight the importance of potential high-end sea-level response, mainly reflecting uncertainties in the Greenland/Antarctic ice sheet components, and how this might be considered in scenarios. The methods that are developed here are practical and consider coastal risk assessment, adaptation planning, and long-term decision-making to be an ongoing process and ensure that despite the large uncertainties, pragmatic adaptation decisions can be made. It is concluded that new sea-level information should not be seen as an automatic reason for abandoning existing assessments, but as an opportunity to review (i) the assessment's robustness in the light of new science and (ii) the utility of proactive adaptation and planning strategies, especially over the more uncertain longer term. This article is categorized under: Assessing Impacts of Climate Change &gt; Scenario Development and Application. © 2021 The Authors. WIREs Climate Change published by Wiley Periodicals LLC.</t>
  </si>
  <si>
    <t>2-s2.0-85102812491"</t>
  </si>
  <si>
    <t>10.1007/s11069-021-04573-4</t>
  </si>
  <si>
    <t>https://www.scopus.com/inward/record.uri?eid=2-s2.0-85100594780&amp;doi=10.1007%2fs11069-021-04573-4&amp;partnerID=40&amp;md5=213536eb6c70b3056e8bb77392c2065f</t>
  </si>
  <si>
    <t>Current climate changes have several consequences, such as rising sea levels. Today, the identification of coastal vulnerabilities worldwide is necessary to prevent impacts and drive action. The aim of the work was to estimate the vulnerable areas from a total rate of increase in sea level of 2.8 m and to identify the impacts of greater magnitude through the use of hierarchical analysis. The analytic hierarchy process method was used to list the most serious impacts. In addition, the simulation of the most vulnerable sites was carried out in a GIS environment using geoprocessing and a digital terrain model for the area of study. The Ilha Grande Bay region (southeastern Brazil) was chosen as a test area due to its economic, tourist and environmental importance. The main impacts are floods, coastal erosion and loss of coastal ecosystems. The most vulnerable areas are characterized as flat with low slopes, usually coastal plains occupied by environmental protection areas, urban centers and historical centers. The methodology proved to be effective in assessing and forecasting vulnerable areas and can be applied to several types of coastal areas. © 2021, The Author(s), under exclusive licence to Springer Nature B.V. part of Springer Nature.</t>
  </si>
  <si>
    <t>2-s2.0-85100594780"</t>
  </si>
  <si>
    <t>10.3390/rs13081424</t>
  </si>
  <si>
    <t>https://www.scopus.com/inward/record.uri?eid=2-s2.0-85104475661&amp;doi=10.3390%2frs13081424&amp;partnerID=40&amp;md5=e1944c1b79730747028989c2fb5a26f9</t>
  </si>
  <si>
    <t>Sea-level rise is a problem increasingly affecting coastal areas worldwide. The existence of free and open-source models to estimate the sea-level impact can contribute to improve coastal management. This study aims to develop and validate two different models to predict the sea-level rise impact supported by Google Earth Engine (GEE)—a cloud-based platform for planetary-scale environmental data analysis. The first model is a Bathtub Model based on the uncertainty of projections of the sea-level rise impact module of TerrSet—Geospatial Monitoring and Modeling System software. The validation process performed in the Rio Grande do Sul coastal plain (S Brazil) resulted in correlations from 0.75 to 1.00. The second model uses the Bruun rule formula implemented in GEE and can determine the coastline retreat of a profile by creatting a simple vector line from topo-bathymetric data. The model shows a very high correlation (0.97) with a classical Bruun rule study performed in the Aveiro coast (NW Portugal). Therefore, the achieved results disclose that the GEE platform is suitable to perform these analysis. The models developed have been openly shared, enabling the continuous improvement of the code by the scientific community. © 2021 by the authors. Licensee MDPI, Basel, Switzerland.</t>
  </si>
  <si>
    <t>2-s2.0-85104475661"</t>
  </si>
  <si>
    <t>10.1016/j.marpetgeo.2021.104901</t>
  </si>
  <si>
    <t>https://www.scopus.com/inward/record.uri?eid=2-s2.0-85100132825&amp;doi=10.1016%2fj.marpetgeo.2021.104901&amp;partnerID=40&amp;md5=ebb59ecb4a24e4c3235c4ff308096a9d</t>
  </si>
  <si>
    <t>The Qiongdongnan (QDN) and Pearl River Mouth (PRM) basins are two important Cenozoic petroliferous basins along the northern margin of the South China Sea (SCS). In this study, the geological and geochemical characteristics of the LS17-2 and LW3-1 gas fields, the respective largest gas field in the deepwater areas of the QDN and PRM basins, were investigated. The tectonic evolution of the two basins can be divided into four stages, including rift, rift-depression transition, post-rift thermal subsidence and neotectonic stages. During the early rifting period, strong crustal thinning in the deepwater areas led to the formation of the broad and deep sags where Eocene shallow lake and Oligocene transitional to neritic source rocks were developed whose organic matter was dominated by gas-prone type II2–III kerogens. The gases from the LS17-2 gas field in the QDN Basin are characterized by relatively heavy δ13C1 (−36.8 to −40.1‰) and δ13C2 (−23.5 to −26.2‰) values. The associated condensates contain high abundance of oleanane and low content of bicadinanes, showing close affinity to the Oligocene Yacheng source rocks. The large-scale Huangliu channel sandstones act as reservoirs with a massive mudstone cap of lower Yinggehai Formation. The diapiric faults provide the main pathways for the upward migration of gases into the shallow reservoirs. By contrast, the gases from the LW3-1 gas field in the PRM Basin have δ13C1 values similar to LS17-2 gases, while their δ13C2 values are relatively light (−28.4 to −29.6‰). Like the LS17-2 condensates, LW3-1 condensates also contain abundant oleanane. These features indicate that the gases/condensates could be derived from the lower Oligocene Enping and Eocene Wenchang shallow-lake source rocks. The Zhuhai delta and the Zhujiang submarine fan sandstones and thick marine mudstones of the upper Zhujiang Formation form the favorable “reservoir-cap” assemblage. The effective combination of faults and permeable sandbodies make up the main migration pathway. The anatomy of geological elements for the two large fields suggests that both the source rock facies and reservoirs have controlled the large-scale gas accumulation. This study provides new insights into the hydrocarbon accumulation models in the deepwater areas of two basins, and implies highly promising gas exploration potentials. © 2021 Elsevier Ltd</t>
  </si>
  <si>
    <t>2-s2.0-85100132825"</t>
  </si>
  <si>
    <t>10.1007/s11027-021-09953-6</t>
  </si>
  <si>
    <t>https://www.scopus.com/inward/record.uri?eid=2-s2.0-85106259341&amp;doi=10.1007%2fs11027-021-09953-6&amp;partnerID=40&amp;md5=3ebdcf8894e482518c860062ff210d1c</t>
  </si>
  <si>
    <t>Coastal cities are exposed to high risks due to climate change, as they are potentially affected by both rising sea levels and increasingly intense and frequent coastal storms. Socio-economic drivers also increase exposure to natural hazards, accelerate environmental degradation, and require adaptive governance structures to moderate negative impacts. Here, we use a social network analysis (SNA) combined with further qualitative information to identify barriers and enablers of adaptive governance in the Barcelona metropolitan area. By analyzing how climate change adaptation is mainstreamed between different administrative scales as well as different societal actors, we can determine the governance structures and external conditions that hamper or foster strategical adaptation plans from being used as operational adaptation tools. We identify a diverse set of stakeholders acting at different administrative levels (local to national), in public administration, science, civil society, and the tourism economy. The metropolitan administration acts as an important bridging organization by promoting climate change adaptation to different interest groups and by passing knowledge between actors. Nonetheless, national adaptation planning fails to take into account local experiences in coastal protection, which leads to an ineffective science policy interaction and limits adaptive management and learning opportunities. Overcoming this is difficult, however, as the effectiveness of local adaptation strategies in the Barcelona metropolitan area is very limited due to a strong centralization of power at the national level and a lack of polycentricity. Due to the high touristic pressure, the legal framework is currently oriented to primarily meet the demands of recreational use and tourism, prioritizing these aspects in daily management practice. Therefore, touristic and economic activities need to be aligned to adaptation efforts, to convert them from barriers into drivers for adaptation action. Our work strongly suggests that more effectively embedding adaptation planning and action into existing legal structures of coastal management would allow strategic adaptation plans to be an effective operational tool for local coastal governance. © 2021, The Author(s).</t>
  </si>
  <si>
    <t>2-s2.0-85106259341"</t>
  </si>
  <si>
    <t>10.3390/hydrology8020058</t>
  </si>
  <si>
    <t>https://www.scopus.com/inward/record.uri?eid=2-s2.0-85104139265&amp;doi=10.3390%2fhydrology8020058&amp;partnerID=40&amp;md5=02266f010aa00a478e7535c2a20cd5b1</t>
  </si>
  <si>
    <t>It has become necessary to estimate the quantities of runoff by knowing the amount of rainfall to calculate the required quantities of water storage in reservoirs and to determine the likelihood of flooding. The present study deals with the development of a hydrological model named Hydrologic Engineering Center (HEC-HMS), which uses Digital Elevation Models (DEM). This hydrological model was used by means of the Geospatial Hydrologic Modeling Extension (HEC-GeoHMS) and Geographical Information Systems (GIS) to identify the discharge of the Al-Adhaim River catchment and embankment dam in Iraq by simulated rainfall-runoff processes. The meteorological models were developed within the HEC-HMS from the recorded daily rainfall data for the hydrological years 2015 to 2018. The control specifications were defined for the specified period and one day time step. The Soil Conservation Service-Curve number (SCS-CN), SCS Unit Hydrograph and Muskingum methods were used for loss, transformation and routing calculations, respectively. The model was simulated for two years for calibration and one year for verification of the daily rainfall values. The results showed that both observed and simulated hydrographs were highly correlated. The model’s performance was evaluated by using a coefficient of determination of 90% for calibration and verification. The dam’s discharge for the considered period was successfully simulated but slightly overestimated. The results indicated that the model is suitable for hydrological simulations in the Al-Adhaim river catchment. © 2021 by the authors. Licensee MDPI, Basel, Switzerland.</t>
  </si>
  <si>
    <t>2-s2.0-85104139265"</t>
  </si>
  <si>
    <t>10.3390/rs13081488</t>
  </si>
  <si>
    <t>https://www.scopus.com/inward/record.uri?eid=2-s2.0-85104154543&amp;doi=10.3390%2frs13081488&amp;partnerID=40&amp;md5=a24b5098fa798f6c603e8344fedf26ac</t>
  </si>
  <si>
    <t>The Po River Delta (PRD, Northern Italy) has been historically affected by land subsidence due to natural processes and human activities, with strong impacts on the stability of the natural ecosystems and significant socio-economic consequences. This paper is aimed to highlight the spatial and temporal evolution of the land subsidence in the PRD area analyzing the geodetic observations acquired in the last decade. The analysis performed using a moving window approach on Continuous Global Navigation Satellite System (CGNSS) time-series indicates that the velocities, in the order of 6 mm/year, are not affected by significant changes in the analyzed period. Furthermore, the use of non-permanent sites belonging to a new GNSS network (measured in 2016 and 2018) integrated with InSAR data (from 2014 to 2017) allowed us to improve the spatial coverage of data points in the PRD area. The results suggest that the land subsidence velocities in the easternmost part of the area of interest are characterized by values greater than the ones located in the western sectors. In particular, the sites located on the sandy beach ridge in the western sector of the study area are characterized by values greater than −5 mm/year, while rates of about −10 mm/year or lower have been observed at the eastern sites located in the Po river mouths. The morphological analysis indicates that the land subsidence observed in the PRD area is mainly due to the compaction of the shallow layers characterized by organic-rich clay and fresh-water peat. © 2021 by the authors. Licensee MDPI, Basel, Switzerland.</t>
  </si>
  <si>
    <t>2-s2.0-85104154543"</t>
  </si>
  <si>
    <t>10.1007/s10584-021-03084-2</t>
  </si>
  <si>
    <t>https://www.scopus.com/inward/record.uri?eid=2-s2.0-85105283122&amp;doi=10.1007%2fs10584-021-03084-2&amp;partnerID=40&amp;md5=9019dba44d9656cd854b5e82eaa6e8fc</t>
  </si>
  <si>
    <t>Social adaptations to natural hazards in China were influenced by various social and economic factors including traditional cultures such as Feng Shui, also known as Chinese geomancy. This study examines not only the progressive processes and spatial distribution of the 1849 severe flood in Nanjing City but also subsequent countermeasures based on historical documents, maps, and digital elevation model (DEM) data. As an adaptation to extreme floods, a project that connects Xuanwu Lake to the Yangtze River was deeply debated to relieve the flood risk. Local elites and ordinary people of Nanjing City worried that the project may destroy the Feng Shui of the city, which may bring misfortune to local candidates in the Imperial Examinations, their future promotion, the prosperity of their families, and the development of the local society in the city. This indicates that, in the complicated traditional Chinese society, such traditional cultures may play an important role in determining social adaptations to climate change. However, these traditional cultural concepts may not lead to a consensus without specific institutional culture. Hence, in the complicated social background, the institutional culture was also fundamental to build social adaptations to climate change. The project that connects Xuanwu Lake to the Yangtze River was eventually completed in 1931, which shows that the cultural concepts are dynamic in a complicated traditional society and are continuously changed along with the influence of institutional changes, educational development, and the guidance of the media guidance. © 2021, The Author(s), under exclusive licence to Springer Nature B.V.</t>
  </si>
  <si>
    <t>2-s2.0-85105283122"</t>
  </si>
  <si>
    <t>10.1029/2020EF001939</t>
  </si>
  <si>
    <t>https://www.scopus.com/inward/record.uri?eid=2-s2.0-85106987629&amp;doi=10.1029%2f2020EF001939&amp;partnerID=40&amp;md5=62f832f8cad2f744a7ed68f5500c98a4</t>
  </si>
  <si>
    <t>The need for explicitly considering equity in climate change adaptation planning is increasingly being recognized. However, evaluations of adaptation often adopt an aggregated perspective, while disaggregation of results is important to learn about who benefits when and where. A typical example is adaptation of rice agriculture in the Vietnam Mekong Delta (VMD). Efforts focused on flood protection have mainly benefitted large-scale farmers while harming small-scale farmers. To investigate the distributional consequences of adaptation policies in the VMD, we assess both aggregate total output and equity indicators, as well as disaggregated impacts in terms of district-level farming profitability. Doing so requires an adequate representation of the multisectoral dynamics between the human and biophysical systems which influence farming profitability. We develop a spatially explicit integrated assessment model that couples inundation, sedimentation, soil fertility and nutrient dynamics, and behavioral land-use change and farming profitability calculation. We find that inter-district inequality responds in a non-linear way to climatic and socio-economic changes and choices of adaptation policies. The patterns of who wins and who loses could change substantially when a different policy is implemented or if a slightly different uncertain future materializes. We also find that there is no simple ranking of alternative adaptation policies, so one should make trade-offs based on agreed preferences. Accounting for equity implies exploring the distribution of outcomes over different groups over a range of uncertain futures. Only by accounting for multisectoral dynamics can planners anticipate the equity consequences of adaptation and prepare additional measures to aid the worse-off actors. © 2021. The Authors. Earth's Future published by Wiley Periodicals LLC on behalf of American Geophysical Union.</t>
  </si>
  <si>
    <t>2-s2.0-85106987629"</t>
  </si>
  <si>
    <t>10.1371/journal.pone.0228494</t>
  </si>
  <si>
    <t>https://www.scopus.com/inward/record.uri?eid=2-s2.0-85105822584&amp;doi=10.1371%2fjournal.pone.0228494&amp;partnerID=40&amp;md5=c3624dcfb695d5ba3103973d94dbd338</t>
  </si>
  <si>
    <t>Monitoring the status of natural and ecological resources is necessary for conservation and protection. Soil is one of the most important environmental resources in agricultural lands and natural resources. In this research study, we used Landsat 8 and Artificial Neural Network (ANN) to monitor soil salinity in Qom plain. The geographical location of 72 surface soil samples from 7 land types was determined by the Latin hypercube method, and the samples were taken to determine the electrical conductivity (EC). Thirty percent of the data was considered as a validation set and 70% as a test set. In addition to the Landsat 8 bands, we used spectral indices of salinity, vegetation, topography, and drainage (DEM, TWI, and TCI) because of their impacts on soil formation and development. We used ANN with different algorithms to model soil salinity. We found that the GFF algorithm is the best for soil salinity modeling. Also, the TWI topography index and SI5 salinity index and NDVI vegetation index had the most effect on the outputs of the selected model. It was also found that flood plains and lowlands had the highest levels of salinity accumulation.  © 2021 Habibi et al. This is an open access article distributed under the terms of the Creative Commons Attribution License, which permits unrestricted use, distribution, and reproduction in any medium, provided the original author and source are credited.</t>
  </si>
  <si>
    <t>2-s2.0-85105822584"</t>
  </si>
  <si>
    <t>10.1016/j.geomorph.2021.107617</t>
  </si>
  <si>
    <t>https://www.scopus.com/inward/record.uri?eid=2-s2.0-85099628225&amp;doi=10.1016%2fj.geomorph.2021.107617&amp;partnerID=40&amp;md5=58654addaee06897d9927ea5130dd078</t>
  </si>
  <si>
    <t>A total of 491 Landsat satellite images from 1973 to 2017 were used to study the evolution of two newborn subdeltas of the Mississippi-Atchafalaya system, the Wax Lake Delta (WLD) and the Atchafalaya Delta (AD). The exposed delta areas derived from the satellite images using an unsupervised classification method were applied to evaluate the long-term land growth and seasonal area variations in the WLD and AD, as well as their main influencing factors. The results show that the land growth rate of the WLD decreased relative to the mean sea level from 1.67 km2/year to 0.35 km2/year from 1983–1999 to 1999–2017, and the growth rate of the AD decreased from 1.51 km2/year to 0.80 km2/year from 1973–1999 to 1999–2017. The land building of the two subdeltas during the 1980s to 1999 was more efficient than that from 1999 to 2017. The significant decreases in the land growth rate and land building efficiency are attributed both to the increased impact from relative sea level rise and to the decrease in river sediment discharge, and the extension of the distributary channels, as well. The satellite-derived exposed areas of the WLD and AD show unique seasonal loops affected by the growth of vegetation during the warmer weather from April to June and the decay of vegetation mainly due to the cold fronts in December, which is different from the monotonic changes in the areas of other deltas, mainly driven by the rise and fall of water levels. A new method based on the correction between the exposed areas and water levels from December to April was used to estimate the vertical growth rates of the WLD and AD. After deducting the relative sea level rise rate, the net sediment deposition rates of the WLD and AD were estimated to be 20.8 and 24.2 mm/year, respectively. Approximately 72% and 62% of the sediments deposited in the WLD and AD were used to offset the effects of relative sea level rise when building deltaic lands from 1999 to 2017. This study not only improves our understanding of the growth of newborn subdeltas but also aids in assessing whether river course shifts and sediment diversions can restore deltas or deltaic wetlands that are at risk of drowning. © 2021 Elsevier B.V.</t>
  </si>
  <si>
    <t>2-s2.0-85099628225"</t>
  </si>
  <si>
    <t>10.3390/hydrology8020065</t>
  </si>
  <si>
    <t>https://www.scopus.com/inward/record.uri?eid=2-s2.0-85104107605&amp;doi=10.3390%2fhydrology8020065&amp;partnerID=40&amp;md5=e3cc2573ec6caea44d41f1fddb76c77a</t>
  </si>
  <si>
    <t>The height above nearest drainage (HAND) model is frequently used to calculate properties of the soil and predict flood inundation extents. HAND is extremely useful due to its lack of reliance on prior data, as only the digital elevation model (DEM) is needed. It is close to optimal, running in linear or linearithmic time in the number of cells depending on the values of the heights. It can predict watersheds and flood extent to a high degree of accuracy. We applied a client-side HAND model on the web to determine extent of flood inundation in several flood prone areas in Iowa, including the city of Cedar Rapids and Ames. We demonstrated that the HAND model was able to achieve inundation maps comparable to advanced hydrodynamic models (i.e., Federal Emergency Management Agency approved flood insurance rate maps) in Iowa, and would be helpful in the absence of detailed hydrological data. The HAND model is applicable in situations where a combination of accuracy and short runtime are needed, for example, in interactive flood mapping and supporting mitigation decisions, where users can add features to the landscape and see the predicted inundation. © 2021 by the authors. Licensee MDPI, Basel, Switzerland.</t>
  </si>
  <si>
    <t>2-s2.0-85104107605"</t>
  </si>
  <si>
    <t>10.3390/rs13091838</t>
  </si>
  <si>
    <t>https://www.scopus.com/inward/record.uri?eid=2-s2.0-85106503436&amp;doi=10.3390%2frs13091838&amp;partnerID=40&amp;md5=774f746d7d3d475069557588c8a043cf</t>
  </si>
  <si>
    <t>Recently, the Differential Interferometric Synthetic Aperture Radar (DInSAR) technique is widely used for quantifying the land surface deformation, which is very important to assess the potential impact on social and economic activities. Radar satellites operate in different wavelengths and each provides different levels of vertical displacement accuracy. In this study, the accuracies of Sentinel-1 (C-band) and ALOS/PALSAR-2 (L-band) were investigated in terms of estimating the land subsidence rate along the study area of Alexandria City, Egypt. A total of nine Sentinel-1 and 11 ALOS/PALSAR-2 scenes were used for such assessment. The small baseline subset (SBAS) processing scheme, which detects the land deformation with a high spatial and temporal coverage, was performed. The results show that the threshold coherence values of the generated interferograms from ALOS-2 data are highly concentrated between 0.2 and 0.3, while a higher threshold value of 0.4 shows no coherent pixels for about 80% of Alexandria’s urban area. However, the coherence values of Sentinel-1 interferograms ranged between 0.3 and 1, with most of the urban area in Alexandria showing coherent pixels at a 0.4 value. In addition, both data types produced different residual topography values of almost 0 m with a standard deviation of 13.5 m for Sentinel-1 and −20.5 m with a standard deviation of 33.24 m for ALOS-2 using the same digital elevation model (DEM) and wavelet number. Consequently, the final deformation was estimated using high coherent pixels with a threshold of 0.4 for Sentinel-1, which is comparable to a threshold of about 0.8 when using ALOS-2 data. The cumulative vertical displacement along the study area from 2017 to 2020 reached −60 mm with an average of −12.5 mm and mean displacement rate of −1.73 mm/year. Accordingly, the Alexandrian coastal plain and city center are found to be relatively stable, with land subsidence rates ranging from 0 to −5 mm/year. The maximum subsidence rate reached −20 mm/year and was found along the boundary of Mariout Lakes and former Abu Qir Lagoon. Finally, the affected buildings recorded during the field survey were plotted on the final land subsidence maps and show high consistency with the DInSAR results. For future developmental urban plans in Alexandria City, it is recommended to expand towards the western desert fringes instead of the south where the present-day ground lies on top of the former wetland areas. © 2021 by the authors. Licensee MDPI, Basel, Switzerland.</t>
  </si>
  <si>
    <t>2-s2.0-85106503436"</t>
  </si>
  <si>
    <t>10.1016/j.cosust.2020.10.015</t>
  </si>
  <si>
    <t>https://www.scopus.com/inward/record.uri?eid=2-s2.0-85099272392&amp;doi=10.1016%2fj.cosust.2020.10.015&amp;partnerID=40&amp;md5=8cecd29c6678ec7dbc2f34c035965a27</t>
  </si>
  <si>
    <t>Climate change has affected diverse spheres and its impact is being witnessed worldwide. Soil, the basis of human sustenance, is both directly and indirectly affected by climate change. Soil erosion, vegetation degradation and soil salinisation are becoming prevalent, causing a threat to future food security. Saline soils are found mainly in North and Central Asia, Africa and South America. Various factors such as excess irrigation and poor drainage, groundwater salinity, sea level rise and intrusion, irregular rainfall contribute to the process of soil salinisation. The key findings of this paper are as follows: Salt-affected soils cover an area of around 1060.1 Mha in the world and their area is gradually increasing due to the influence of climate change</t>
  </si>
  <si>
    <t>10.3390/rs13091823</t>
  </si>
  <si>
    <t>https://www.scopus.com/inward/record.uri?eid=2-s2.0-85105968207&amp;doi=10.3390%2frs13091823&amp;partnerID=40&amp;md5=ad66392ab605be59fbe12eb9bb790d1a</t>
  </si>
  <si>
    <t>This work capitalises on the morphodynamic study of a scraped artificial dune built on the sandy beach of Porto Garibaldi (Comacchio, Italy) as a barrier to protect the touristic facilities from sea storms during the winter season and contributes to understanding of the role of elevation data uncertainty and uniform thresholds for change detection (TCDs) on the interpretation of volume change estimations. This application relies on products derived from unmanned aerial vehicle (UAV) surveys and on the evaluation of the uncertainty associated with volume change estimations to interpret the case study morphodynamics under non-extreme sea and wind conditions. The analysis was performed by comparing UAV-derived digital elevation models (DEMs)—root mean squared error (RMSE) vs. global navigation satellite system (GNSS) &lt; 0.05 m—and orthophotos, considering the significance of the identified changes by applying a set of TCDs. In this case, a threshold of ~0.15 m was able to detect most of the morphological variations. The set of TCD ≤ 0.15 m was considered to discuss the significance of minor changes and the uncertainty of volume change calculations. During the analysed period (21 December 2016–20 January 2017), water levels and waves affected the front of the artificial dune by eroding the berm area</t>
  </si>
  <si>
    <t>10.1007/s11069-021-04635-7</t>
  </si>
  <si>
    <t>https://www.scopus.com/inward/record.uri?eid=2-s2.0-85101850290&amp;doi=10.1007%2fs11069-021-04635-7&amp;partnerID=40&amp;md5=a609d006cf3aedf0f806b21f2d6bd8e1</t>
  </si>
  <si>
    <t>Anomalous precipitation (more than 360 mm/d) caused severe flood inundation in the Kujukuri plain, Japan, on October 25, 2019. In this contribution, we employed a hydrological and hydraulic model to reproduce this flood and to examine the possible factors affecting the disaster. The simulated results showed consistent areal extents of inundation compared with the field investigation, suggesting potential application of numerical approaches for assessing the flood hazard. Details of the simulation results obtained from the flood on October 25, 2019, together with those on October 8, 2004 and October 15, 2013, revealed that the local geomorphological and geohydrological features significantly influenced the flood hazard. The low elevation lands located near the confluence zones of the rivers and enclosed by higher elevation terraces were found to be quite vulnerable to floods. Numerical simulation suggested that the study area showed both direct groundwater recharge from the inundated surface and indirect recharge from the stream leakage. Groundwater stored during the flood fed the river after the peaks of the precipitation, causing the delay of river water recession process in the stations situated inside the inundated areas. Our results showed that considering local geomorphological and geohydrological characteristics are crucial in evaluating flood hazard. © 2021, The Author(s), under exclusive licence to Springer Nature B.V. part of Springer Nature.</t>
  </si>
  <si>
    <t>2-s2.0-85101850290"</t>
  </si>
  <si>
    <t>10.3390/rs13081489</t>
  </si>
  <si>
    <t>https://www.scopus.com/inward/record.uri?eid=2-s2.0-85104111705&amp;doi=10.3390%2frs13081489&amp;partnerID=40&amp;md5=18f0355104d9d84a085554dd9443c573</t>
  </si>
  <si>
    <t>Over the Hahnöfer Nebenelbe, a part of the Elbe estuary near Hamburg, Germany, a combined aerial survey with an unmanned aerial system (UAV) and a gyrocopter was conducted to acquire information about the water surface temperatures. The water temperature in the estuary is important for biological processes and living conditions of riverine organisms. This study aimed to develop a workflow that allows for comparing and analysing surface temperatures acquired by two different remote sensing systems. The thermal infrared (TIR) datasets were compared with in situ measurements gathered during the data acquisition, where both TIR datasets showed a varying bias. Potential error sources regarding the absolute and relative accuracy were investigated and modelled based on the available measurements, including emissivity, atmosphere, skin effect at the water surface, camera flat field correction and calibration. The largest effects on the observed TIR water temperature had the camera calibration and the modelled atmospheric effects. After the correction steps, both datasets could be combined to create a multitemporal representation of the temperature pattern and profiles over the survey area’s wadden flats. © 2021 by the authors. Licensee MDPI, Basel, Switzerland.</t>
  </si>
  <si>
    <t>2-s2.0-85104111705"</t>
  </si>
  <si>
    <t>10.1016/j.scitotenv.2020.143144</t>
  </si>
  <si>
    <t>https://www.scopus.com/inward/record.uri?eid=2-s2.0-85094609866&amp;doi=10.1016%2fj.scitotenv.2020.143144&amp;partnerID=40&amp;md5=8842795b3677f7a7acac8ce104213e97</t>
  </si>
  <si>
    <t>Climate change and urbanization are converging to challenge the flood control in the Pearl River Delta (PRD) due to their adverse impacts on precipitation extremes and the urban areas environment. Previous studies have investigated temporal changes in flood risk with various single factor, few have considered the joint effects of climate change, urbanization and socio-economic development. Here, based on the representative concentration pathway (RCP) scenarios, we conducted a comprehensive assessment of future (2030–2050) flood risk over the PRD combined with a thorough investigation of climate change, urbanization and socio-economic development. Precipitation extremes were projected using the regional climate model RegCM4.6, and urbanization growth was projected based on the CA-Markov model. The economic and population development was estimated by the shared socio-economic pathways (SSPs). Flood risk mapping with different RCPs-urbanization-SSPs scenarios was developed for the PRD based on the set pair analyze theory. The results show that climate change and urbanization are expected to exacerbate flood risk in most parts of the PRD during the next few decades, concurrently with more intense extreme precipitation events. The high flood risk areas are projected mainly in the urban regions with unfavorable terrain and dense population. The highest flood risk areas are expected to increase by 8.72% and 19.80% under RCP4.5 and RCP8.5 scenarios, respectively. Reducing greenhouse gas emissions may effectively mitigate the flood risk over the PRD. This study highlight the links between flood risk and changing environment, suggesting that flood risk management and preventative actions should be included in regional adaptation strategies. © 2020 Elsevier B.V.</t>
  </si>
  <si>
    <t>2-s2.0-85094609866"</t>
  </si>
  <si>
    <t>10.5194/nhess-21-1087-2021</t>
  </si>
  <si>
    <t>https://www.scopus.com/inward/record.uri?eid=2-s2.0-85103286463&amp;doi=10.5194%2fnhess-21-1087-2021&amp;partnerID=40&amp;md5=ccc4bbcaca057ed9fe8ff287a310327b</t>
  </si>
  <si>
    <t>The ongoing phenomenon of climate change is leading to an upsurge in the number of extreme events. Territories must adapt to these modifications in order to protect their populations and the properties present in coastal areas. The adaptation of coastal areas also aims to make them more resilient to future events. In this article, we examine two strategies for adapting to coastal risks: holding the coastal line through hard constructions such as seawalls or ripraps and the managed retreat of activities and populations to a part of the territory not exposed to hazards. In France, these approaches are financed by a solidarity insurance system at the national level as well as local taxes. These solidarity systems aim to compensate the affected populations and finance implementation of the strategies chosen by local authorities. However, the French mainland coast generally attracts affluent residents, the price of land being higher than inland. This situation induces the presence of inequalities in these territories, inequalities which can be maintained or reinforced in the short and medium term when a defense strategy based on hard constructions is implemented. In such a trajectory, it appears that these territories would be less resilient in the long term because of the maintenance costs of the structures and the uncertainties relating to the hazards (submersion, rising sea levels, erosion). Conversely, with a managed-retreat strategy, inequalities would instead be done away with since property and populations would no longer be exposed to hazards, which would cost society less and would lead these territories towards greater resilience in the long term. Only one social group would be strongly impacted by this strategy in the short term when they are subjected to a managed retreat to another part of the territory. © 2021 Copernicus GmbH. All rights reserved.</t>
  </si>
  <si>
    <t>2-s2.0-85103286463"</t>
  </si>
  <si>
    <t>10.1007/s10708-019-10129-8</t>
  </si>
  <si>
    <t>https://www.scopus.com/inward/record.uri?eid=2-s2.0-85077171674&amp;doi=10.1007%2fs10708-019-10129-8&amp;partnerID=40&amp;md5=ff9d3dafbf370be2d8f7779790974931</t>
  </si>
  <si>
    <t>The extent of the subsidence and the consequents damage to most of the residential and populated areas of Iran have made this phenomenon one of the most important natural hazards after the earthquake. Accordingly, in this research to assess the land subsidence risk, a GIS fuzzy logic spatial modeling was applied. In this regard, four stages were performed. In stage 1, 14 factors affecting subsidence including aquifer thickness, bedrock depth, Debi zonation of pumping wells, transmissivity, specific yield, Groundwater drawdown in 20 year, soil type, slope, altitude based on DEM, erosion, annual rainfall, distance of fault, lithological units, and land use, were prepared based on the literature review. In stage 2, the parameters were standardized with the fuzzy membership functions. Moreover, in stage 3, for aggregation parameters, several fuzzy overlay operation models were used. Finally, to verification of the models, the statistical benchmarks based on observed land subsidence were used. Accordingly, the “GAMMA 0.8” fuzzy overlay model with the most abundance of rank 1, and the “SUM” fuzzy overlay model with the most abundance of rank 16 among the other models are introduced as the most consistent and the worst consistent models with observed land subsidence data, respectively. © 2019, Springer Nature B.V.</t>
  </si>
  <si>
    <t>2-s2.0-85077171674"</t>
  </si>
  <si>
    <t>10.3390/land10040350</t>
  </si>
  <si>
    <t>https://www.scopus.com/inward/record.uri?eid=2-s2.0-85104055116&amp;doi=10.3390%2fland10040350&amp;partnerID=40&amp;md5=03d677621fbe12bad3c9729e5ca7a2d7</t>
  </si>
  <si>
    <t>Climate change poses an acute threat to the Vietnamese Mekong Delta (VMD). To respond to this threat, the structure of the delta’s agriculture-based economy must transform, becoming more adaptive to changing conditions. One adaptive livelihood option is the use of flood-based farming systems in the upper VMD. The present study examines local perceptions of such a system in Dong Thap Province, a lowland, flood-affected area of the upper VMD. Specifically, we explored lotus farming as a potential flood-based adaptive livelihood model for the region. The study advances the current literature by using historical research, embedded in narrative analysis applying the social construction of technology (SCOT) lens. We collected data through in-depth interviews and field surveys to qualitatively analyze the emergence and status of lotus cultivation in the study area, zooming in on how local society evolved with expansion of this farming model. The findings suggest that as an innovative idea, lotus farming initially emerged due to unfavorable natural conditions, and then was developed as an attractive nature-based livelihood, and thus received increased attention. It has been accepted and modified over time according to the new interests of further stepped-in stakeholders. Our findings echo the social construction of technology perspective as we found lotus farming to be a technological artifact that did not develop on its own, by was driven by different interpretations and re-negotiation process. This made more room for stakeholders to shape and reshape it in a way that fits their interests. © 2021 by the authors.</t>
  </si>
  <si>
    <t>2-s2.0-85104055116"</t>
  </si>
  <si>
    <t>10.1007/s42797-021-00035-z</t>
  </si>
  <si>
    <t>https://www.scopus.com/inward/record.uri?eid=2-s2.0-85122074594&amp;doi=10.1007%2fs42797-021-00035-z&amp;partnerID=40&amp;md5=ec84ec670f81a08172670b7a653346fa</t>
  </si>
  <si>
    <t>Climate change is hammering the environment, socio-economic condition, vegetation degradation, earth surface change and over the land losses. In between 2019 and 2020, West Bengal people are facing three major cyclones like, Fani, Bulbul and the last was Amphan. Those natural disasters were affected in vegetation, hammering crop production, water quality change, life losses and affected in the ecosystem. 20th May 2020 Amphan was entering in West Bengal and occur several damaged. Seventy two people of West Bengal were lost their life and several months over the southern parts of West Bengal are facing huge land scarcity and salt-water intrusion on the mainland. Over 13.6 billion dollar was losses due to this cyclone. Google Earth Engine (GEE) is a cloud-based platform to detect earth observation using high spatial satellite data with planetary-scale analysis capabilities. C-band Sentinel-1A Synthetic Aperture Radar is used to identifying the flood inundation on Google Earth Engine (GEE). Landsat 8 OLI data is used for MNDWI calculation on this area. Pre-Amphan and during Amphan two satellite data are clearly showing the water increased area. The Coastal area like Sagar Island (154.254 Sq.km), Ghoramara Island, Mousuni Island, G-Plot, L-Block and some parts of riverside most affected by this cyclone. Kultali (187.254 Sq.km) followed by Kulpi (156.86 Sq.km), Namkhana (198.485 Sq.km) and Basanti (129.53 Sq.km) area under flooded during this cyclone. During COVID-19 pandemic, social distancing is the main problem on cyclone shelter house and relief camp. This area has faced those two disasters at the same time. © The Author(s), under exclusive licence to Springer Nature Switzerland AG 2021.</t>
  </si>
  <si>
    <t>2-s2.0-85122074594"</t>
  </si>
  <si>
    <t>10.1007/s11069-021-04609-9</t>
  </si>
  <si>
    <t>https://www.scopus.com/inward/record.uri?eid=2-s2.0-85100564693&amp;doi=10.1007%2fs11069-021-04609-9&amp;partnerID=40&amp;md5=26d97fc15d084e5281ad92cf3ea37fa0</t>
  </si>
  <si>
    <t>Deltas are in a constant state of flux owing to hazards such as flooding, sea erosion and human activities. Climate change will probably increase the incidence of coastal recession and flooding of deltas. Reducing the vulnerability of deltas/coastal zones requires comprehensive studies to plan appropriate adaptation policies. However, studies on the coastal hazards of Densu delta have been limited to a few localities and also of short-term periods of less than a decade. Owing to uncertainties of natural hazard processes long-time and cyclical analysis of coastal zones provides accurate data on the state of such physical forces and their impact on the landscape and human activities if habited. Accordingly, a holistic investigation of the hazards plaguing the deltaic coastline from a long-term perspective was undertaken to determine hazards plaguing the delta and investigate the causes and impacts on the livelihoods of residents, undertake a longer-term shoreline change analysis of the coastline, and have understanding on institutional management and coping strategies of residents to the hazards. Methods adopted for the study included interviews and focus group discussions, shoreline change analysis and field exploration. The study revealed that the Densu delta is plagued by floods and coastal recession which are affecting lives and properties. Several human and physical processes (e.g., sea-level rise, increasing rainfall, encroachment of reservations) were identified as drivers of these hazards. Government needs to resource local authorities and relevant statutory agencies to enable them effectively perform their roles regarding development planning in the locality to curb these hazards. © 2021, The Author(s), under exclusive licence to Springer Nature B.V. part of Springer Nature.</t>
  </si>
  <si>
    <t>2-s2.0-85100564693"</t>
  </si>
  <si>
    <t>10.1016/j.envc.2021.100028</t>
  </si>
  <si>
    <t>https://www.scopus.com/inward/record.uri?eid=2-s2.0-85105042353&amp;doi=10.1016%2fj.envc.2021.100028&amp;partnerID=40&amp;md5=3309f9e78b7e0c064df6b2e9733164fe</t>
  </si>
  <si>
    <t>Flood is one of the most imperious natural hazards that can cause economic damages to infrastructures and natural ecosystems. In view of the extensive mining activities in the Tarkwa area, there has been an increase in human intervention of natural water bodies via degradation of vegetation in the watershed area, inappropriate land-use change, soil erosion and expansion of paved surface area for settlement and industrialisation. This has increased the degree of flood susceptibility within the area, with major flood incidents recorded on a timely basis. In this study, a GIS-based approach was utilised to delineate flood-prone zone within the Tarkwa mining area using Digital Elevation Models (DEMs). A DEM-derived morphologic features including local slope and streamflow network were developed using ArcGIS. The flood susceptible map was generated by merging the slope map and the stream network maps. The results indicate that about 42.59% of the study area were highly prone to flooding. The areas susceptible to flooding were mainly made up of agricultural lands with high usage of chemical fertilizers for farming, which may leach into nearby rivers, streams, lakes and groundwater during flood occurrence. It is understood from this study that the mining areas within the Tarkwa Nsuaem municipality were less susceptible to flooding. The outcome of this study provides a simplified method of mapping and assessment of flood susceptible areas which can be used as a reference for flood risk management, prevention, and reduction of natural disasters in the study area. © 2021 The Author(s)</t>
  </si>
  <si>
    <t>2-s2.0-85105042353"</t>
  </si>
  <si>
    <t>10.5194/nhess-21-1473-2021</t>
  </si>
  <si>
    <t>https://www.scopus.com/inward/record.uri?eid=2-s2.0-85105800242&amp;doi=10.5194%2fnhess-21-1473-2021&amp;partnerID=40&amp;md5=58d5cef396f71c8e62ece8f85134c6f2</t>
  </si>
  <si>
    <t>Vietnam is a major rice producer, and much of the rice grown is concentrated in the Red River Delta (RRD) and the Mekong River Delta (MRD). While the two deltas are highly productive regions, they are vulnerable to natural hazards and the effects of human-induced environmental change. To show that the processes and issues affecting food security are reinforcing, interdependent and operating at multiple scales, we used a systems-thinking approach to represent the major linkages between anthropogenic land-use and natural hazards and elaborate on how the drivers and environmental processes interact and influence rice growing area, rice yield and rice quality in the two deltas. On a local scale, demand for aquaculture and alternative crops, urban expansion, dike development, sand mining and groundwater extraction decrease rice production in the two deltas. Regionally, upstream dam construction impacts rice production in the two deltas despite being distally situated. Separately, the localized natural hazards that have adversely affected rice production include droughts, floods and typhoons. Outbreaks of pests and diseases are also common. Climate-change-induced sea level rise is a global phenomenon that will affect agricultural productivity. Notably, anthropogenic developments meant to improve agricultural productivity or increase economic growth can create many unwanted environmental consequences such as an increase in flooding, saltwater intrusion and land subsidence, which in turn decreases rice production and quality. In addition, natural hazards may amplify the problems created by human activities. Our meta-analysis highlights the ways in which a systems-thinking approach can yield more nuanced perspectives to tackle ""wicked""and interrelated environmental challenges. Given that deltas worldwide are globally significant for food production and are highly stressed and degraded, a systems-thinking approach can be applied to provide a holistic and contextualized overview of the threats faced in each location.  © 2021 Author(s).</t>
  </si>
  <si>
    <t>2-s2.0-85105800242"</t>
  </si>
  <si>
    <t>10.1002/nsg.12144</t>
  </si>
  <si>
    <t>https://www.scopus.com/inward/record.uri?eid=2-s2.0-85100783166&amp;doi=10.1002%2fnsg.12144&amp;partnerID=40&amp;md5=f5ecdc5dc21d8b93eb34a12b234c24d2</t>
  </si>
  <si>
    <t>Seismic surveys were performed using a novel application of combined active and passive surface wave methods to evaluate the integrity of levees protecting islands in the Sacramento–San Joaquin Delta, California, USA, from flooding. Delta islands have been undergoing rapid subsidence during the past century due to farming practices that have led to the loss of a surficial peat layer. A large earthquake on any one of several active faults in the region could cause multiple levee failures and extensive flooding in the Delta. Surface wave surveys were carried out along the crest of levees using the active method (2D multichannel analysis of surface waves) and along the base of levees using the passive method (microtremor array method). This allowed 2D seismic S-wave velocity (VS) profiles to be prepared for each site by combining shallow data from the active survey along the crown of the levee with deeper data from a passive survey along the toe of the levee. TheseVS profiles reveal a low-velocity peat layer beneath the levee body that was confirmed by geotechnical borehole logs. Lateral variability of the levee was evaluated using average velocity to the base of the levee versus along-levee distance. © 2021 European Association of Geoscientists &amp; Engineers</t>
  </si>
  <si>
    <t>2-s2.0-85100783166"</t>
  </si>
  <si>
    <t>10.1029/2021GL092549</t>
  </si>
  <si>
    <t>https://www.scopus.com/inward/record.uri?eid=2-s2.0-85103180765&amp;doi=10.1029%2f2021GL092549&amp;partnerID=40&amp;md5=a759dd3e0f1112b4a81f1b1196731ed9</t>
  </si>
  <si>
    <t>Traditional univariate analysis on weather and climate extremes failed to consider temporally compounding events and the resulting cascading impacts. A case in point is a sequence of flood and heatwave within a week, which slows recovery and amplifies damages. We show that across China, floods and heatwaves seldom occurred serially within seven days in the past, but after 2000 the probability is five-to-ten times higher in southern, northwestern and northeastern sectors. It is the significant increase in heatwaves that alters the clustering of independent extremes, and facilitates the emergence of sequential extremes. Typhoon-participating sequential extremes have also increased significantly in frequency in both inland and coastal areas, with the fastest rate at around 200% decade−1 registered within the 30–35°N latitudinal band. The observed increases in sequential flood-heatwave events are discernibly stronger and more widespread than what would be expected from pure random variability, implying a detectable role of anthropogenic forcings. © 2021. American Geophysical Union. All Rights Reserved.</t>
  </si>
  <si>
    <t>2-s2.0-85103180765"</t>
  </si>
  <si>
    <t>10.1016/j.scitotenv.2020.142694</t>
  </si>
  <si>
    <t>https://www.scopus.com/inward/record.uri?eid=2-s2.0-85092633460&amp;doi=10.1016%2fj.scitotenv.2020.142694&amp;partnerID=40&amp;md5=b49b47eb8b8cec48f92637cfb9ff119a</t>
  </si>
  <si>
    <t>The environment of the Bohai Sea is under enormous pressure because of rapid economic and urban development associated with increased population inhabiting the coastal zone. Environmental threats to the coastal ecosystem were analyzed using 2006–2017 statistical/monitoring data from the State Oceanic Administration, China. The results showed that harmful algal blooms occurred a total of 104 times during the period of 2006–2017, for a cumulative area of more than 21,275 km2. The main environmental threats came from offshore oil and gas production in the form of hydrocarbon pollution during extraction, as well as from urban wastewater and sewage. Oil pollution, mainly generated from spills, offshore oil platforms and large number of vessels/ports, was found to cause very severe negative impacts on the environment. Another threat is from excessive groundwater exploitation which has resulted in seawater intrusion and soil salinization occurrence in more than 90% of coastal areas around the Bohai Sea. The maximum distance of intrusion by seawater and soil salinization was more than 40 and 32 km inland, respectively. Contamination by terrestrial pollutants was identified as another threat affecting the environment quality of the Bohai Sea. Approximately 840,000 t of pollutants were carried into the sea by major rivers annually for 2010–2017. The standard discharge rate of terrestrial-source sewage outlets did not exceed 50%</t>
  </si>
  <si>
    <t>10.5194/tc-15-1501-2021</t>
  </si>
  <si>
    <t>https://www.scopus.com/inward/record.uri?eid=2-s2.0-85103235446&amp;doi=10.5194%2ftc-15-1501-2021&amp;partnerID=40&amp;md5=2c96aee6b85c875812d8ba3f8f9d8871</t>
  </si>
  <si>
    <t>Mass loss from the Antarctic Ice Sheet is the main source of uncertainty in projections of future sea-level rise, with important implications for coastal regions worldwide. Central to ongoing and future changes is the marine ice sheet instability: once a critical threshold, or tipping point, is crossed, ice internal dynamics can drive a self-sustaining retreat committing a glacier to irreversible, rapid and substantial ice loss. This process might have already been triggered in the Amundsen Sea region, where Pine Island and Thwaites glaciers dominate the current mass loss from Antarctica, but modelling and observational techniques have not been able to establish this rigorously, leading to divergent views on the future mass loss of the West Antarctic Ice Sheet. Here, we aim at closing this knowledge gap by conducting a systematic investigation of the stability regime of Pine Island Glacier. To this end we show that early warning indicators in model simulations robustly detect the onset of the marine ice sheet instability. We are thereby able to identify three distinct tipping points in response to increases in ocean-induced melt. The third and final event, triggered by an ocean warming of approximately 1.2 C from the steady-state model configuration, leads to a retreat of the entire glacier that could initiate a collapse of the West Antarctic Ice Sheet. © 2021 BMJ Publishing Group. All rights reserved.</t>
  </si>
  <si>
    <t>2-s2.0-85103235446"</t>
  </si>
  <si>
    <t>Journal of Transport Geography</t>
  </si>
  <si>
    <t>10.1016/j.jtrangeo.2021.103077</t>
  </si>
  <si>
    <t>https://www.scopus.com/inward/record.uri?eid=2-s2.0-85106863309&amp;doi=10.1016%2fj.jtrangeo.2021.103077&amp;partnerID=40&amp;md5=825b3b46b9bd2db4a921ba98c17f9bb7</t>
  </si>
  <si>
    <t>Local government officials, including transportation planners, usually rely on two dimensional (2D) visualizations, including charts and maps, to convey future scenarios of sea level rise (SLR) to the public in coastal communities. Recent visualization applications allow for the use of immersive environments, such as virtual reality (VR) into the planning process. A comparison of the before and aftereffects of this quasi-experiment showed the power of VR as a tool to engage with the public in community planning. VR significantly increased participant comprehension to 2D maps and 80.3% of participants reported that the experience motivated them to become more engaged on the topic of SLR. The study also found evidence that the VR experience suppressed political bias for a segment of the population with respect to opinions on the severity of the threat of SLR. © 2021 Elsevier Ltd</t>
  </si>
  <si>
    <t>2-s2.0-85106863309"</t>
  </si>
  <si>
    <t>10.3389/fenvs.2021.647788</t>
  </si>
  <si>
    <t>https://www.scopus.com/inward/record.uri?eid=2-s2.0-85107834955&amp;doi=10.3389%2ffenvs.2021.647788&amp;partnerID=40&amp;md5=820321a3d5959d05ea154630ace9e356</t>
  </si>
  <si>
    <t>As urban risks associated with a changing climate continue to intensify, it is increasingly important to broaden our understanding of climate vulnerabilities in coastal cities and human adaptation to climate-related hazards. Coastal cities in small island developing states in the Caribbean stand to be among the most climate-impacted. This paper explores vulnerability to coastal hazards (sea-level rise, storm surges and flooding) in Barbados’ capital city and its urban corridor—Greater Bridgetown. Specifically, it is a qualitative survey of climate change vulnerabilities and human adaptation in the study domain that is underpinned by three research questions: 1) In what ways is Greater Bridgetown vulnerable to coastal hazards? 2) What are the human dimensions of this vulnerability? and 3) What are the associated human adaptations? We apply a four-component adaptive urban governance framework to explore the role of the city’s historical development, urban morphology, national-level institutions and relevant government and other stakeholder initiatives in shaping, reducing and/or increasing vulnerability to coastal hazards. The paper relates primarily to the governance dimension of the risk reduction framework articulated by the Intergovernmental Panel on Climate Change. In totality, a case is presented that highlights Greater Bridgetown’s capacity for coastal/urban resilience, but which cannot be maximized without institutional prioritization of vulnerability, increased stakeholder “buy-in” and participation, along with significant investment in adaptation and the protection of valuable coastal infrastructure. The findings are of relevance to human adaptation within coastal cities of small island developing states. © Copyright © 2021 Mycoo, Robinson, Nguyen, Nisbet and Tonkel.</t>
  </si>
  <si>
    <t>2-s2.0-85107834955"</t>
  </si>
  <si>
    <t>10.5194/hess-25-2821-2021</t>
  </si>
  <si>
    <t>https://www.scopus.com/inward/record.uri?eid=2-s2.0-85106979152&amp;doi=10.5194%2fhess-25-2821-2021&amp;partnerID=40&amp;md5=9ff6ca9179c64be56bcef0345ac7c12e</t>
  </si>
  <si>
    <t>The quantification of flood risk in estuarine regions relies on accurate estimation of flood probability, which is often challenging due to the rareness of hazardous flood events and their multi-causal (or ""compound"") nature. Failure to consider the compounding nature of estuarine floods can lead to significant underestimation of flood risk in these regions. This study provides a comparative review of alternative approaches for estuarine flood estimation-namely, traditional univariate flood frequency analysis applied to both observed historical data and simulated data, as well as multivariate frequency analysis applied to flood events. Three specific implementations of the above approaches are evaluated on a case study-the estuarine portion of Swan River in Western Australia-highlighting the advantages and disadvantages of each approach. The theoretical understanding of the three approaches, combined with findings from the case study, enable the generation of guidance on method selection for estuarine flood probability estimation, recognizing issues such as data availability, the complexity of the application/analysis process, the location of interest within the estuarine region, the computational demands, and whether or not future conditions need to be assessed.  © 2021 Wenyan Wu et al.</t>
  </si>
  <si>
    <t>2-s2.0-85106979152"</t>
  </si>
  <si>
    <t>10.3390/rs13071237</t>
  </si>
  <si>
    <t>https://www.scopus.com/inward/record.uri?eid=2-s2.0-85103541345&amp;doi=10.3390%2frs13071237&amp;partnerID=40&amp;md5=5bf8ce9c57407a0a309f5c7be60edd50</t>
  </si>
  <si>
    <t>Geophysical prospecting methods have been extensively used to outline buried antiquities in terrestrial sites. Despite the frequent application of these mapping and imaging approaches for the detection of archaeological relics in deep-water marine environments (e.g., shipwrecks), the aforementioned processes have minimal contribution when it comes to understanding the dynamics of the past in coastal and shallow aquatic archaeological sites. This work explores the possibilities of multicomponent geophysical techniques in revealing antiquities that have been submerged in diverse shallow coastal marine environments in the eastern Mediterranean. A group of four sites in Greece (Agioi Theodoroi, Olous, Lambayanna) and Cyprus (Pafos) spanning from prehistory to Roman times were chosen as test sites to validate the efficiency of electrical resistivity tomography, magnetic gradiometry, and ground penetrating radar methods. The comprehensive analysis of the geophysical data completed the picture for the hidden archeological elements in all the sites. The results manifest the significance and the potential of these methods for documenting and understanding the complex archaeological sites encountered in the Mediterranean. In view of climate change and the risks related to future sea level rise and erosion of low-level coastal areas, the results of this work could be integrated in a strategic framework to develop an effective interdisciplinary research model that can be applied to similar shallow water archaeological surveys, thus substantially contributing towards cultural resources management. © 2021 by the author. Licensee MDPI, Basel, Switzerland.</t>
  </si>
  <si>
    <t>2-s2.0-85103541345"</t>
  </si>
  <si>
    <t>10.1007/s11069-021-04665-1</t>
  </si>
  <si>
    <t>https://www.scopus.com/inward/record.uri?eid=2-s2.0-85102299656&amp;doi=10.1007%2fs11069-021-04665-1&amp;partnerID=40&amp;md5=3803983fded03bb8db4f063caf0ced00</t>
  </si>
  <si>
    <t>It has long been understood that New Zealand’s death toll from historical tsunamis stood at one person, drowned by the AD1868 Arica (Chile) tsunami when it inundated the Chatham Islands. The evidence for this assumption is reviewed together with other historically documented events that point to dozens of tsunami deaths in New Zealand in the historical period, possibly as high as 37. A brief introduction to the potentially rich data source provided by pūrākau (oral histories) indicates that there is a long record extending back several hundred years of catastrophic waves devastating coastal communities. More detailed research of both pūrākau and the historical record will undoubtedly reveal more tsunami-related deaths although it is not necessarily the number that is important, but rather that these data provide an enduring reminder of New Zealand’s exposure to the hazard. This is not only pertinent to New Zealand but to all Pacific Islands in general. Research has tended to focus on those countries affected by recent large tsunamis at the expense of those with potentially rich oral histories and poorly researched historical data. © 2021, The Author(s), under exclusive licence to Springer Nature B.V.</t>
  </si>
  <si>
    <t>2-s2.0-85102299656"</t>
  </si>
  <si>
    <t>10.5194/nhess-21-1101-2021</t>
  </si>
  <si>
    <t>https://www.scopus.com/inward/record.uri?eid=2-s2.0-85103318441&amp;doi=10.5194%2fnhess-21-1101-2021&amp;partnerID=40&amp;md5=e775f26fccdd21fb5a5a26414655d6fd</t>
  </si>
  <si>
    <t>Enhancing resilience is critical for coastal urban systems to cope with and minimize flood disaster risks. This issue is certainly more important in Africa, where the increase in flood frequency is a significant concern for many areas. In this context, urban planners need accurate approaches to set up a standard for measuring the resilience to floods. In Morocco, this issue is still not fully covered by the scientific community despite the obvious need for a new approach adapted to local conditions. This study applied a composite index and geographic-information-system approach to measure and map resilience to floods in three northern coastal municipalities. The approach is also based on a linear ranking of resilience parameters, offering a more optimal classification of spatial resilience variation. The results allowed us to identify specific areas with different resilience levels and revealed the relationship between urban dimensions and the flood resilience degree. This approach provides an efficient decision-support tool to facilitate flood risk management, especially in terms of prioritizing protective actions. © 2021 Author(s).</t>
  </si>
  <si>
    <t>2-s2.0-85103318441"</t>
  </si>
  <si>
    <t>10.1007/s13157-021-01443-4</t>
  </si>
  <si>
    <t>https://www.scopus.com/inward/record.uri?eid=2-s2.0-85104344802&amp;doi=10.1007%2fs13157-021-01443-4&amp;partnerID=40&amp;md5=3a448090b404c9559cc5e2ef22a8d1c7</t>
  </si>
  <si>
    <t>Coastal wetlands provide a series of ecosystem services, including flood risk reduction. However, the flood risk reduction from such a complex ecosystem is dependent on incoming extreme hurricane-driven hydrodynamic and wave conditions. This study develops a numerical modeling-based approach for investigating coastal wetlands exposure to storm surge and waves during hurricanes by combining maximum water depth (MWD) and significant wave height (MHs) model outputs with the National Wetland Inventory for the Albemarle-Pamlico Estuarine System. Results show that various hurricanes lead to similar bimodal and bidirectional spatiotemporal flood patterns as a function of the lagoon’s geometry and storm track, with most overland hydrodynamic extremes impacting western Pamlico Sound and the bayside-Outer Banks. Clear positive dependency between MWD and MHS were observed over most wetland classes, with significantly higher magnitudes over estuarine emergent vegetation. In contrast to MWD, sharp MHS attenuation was found as the water propagates inland, leading to high MWD but lower MHS eventually reaching palustrine woody vegetation hundreds of meters away from the coastline. Improved understanding of how storm surge dynamics move across the bays and through the different wetland types, demonstrates the importance of considering the bay-side flood impacts over the coastal vegetation. The spatially distributed MWD and MHS estimates, along with the temporal patterns identified through the use of the TMax, allow coastal managers and engineers to better understand where, when, and by how much, the estuarine APES wetlands are more likely to be exposed to high water depths and waves. © 2021, Society of Wetland Scientists.</t>
  </si>
  <si>
    <t>2-s2.0-85104344802"</t>
  </si>
  <si>
    <t>10.3390/rs13091790</t>
  </si>
  <si>
    <t>https://www.scopus.com/inward/record.uri?eid=2-s2.0-85105924093&amp;doi=10.3390%2frs13091790&amp;partnerID=40&amp;md5=6dc4501310f827938e8af754515fcac8</t>
  </si>
  <si>
    <t>The coastal area around the settlement of Stara Baška (Krk Island, NE channel zone of Adriatic Sea) is in a delicate geodynamic balance. The main causes are the geological structure, hydrological and hydrogeological conditions and the direct exposure of the coast to the waves and storm surges. In this paper, the effects of the expected sea level rise on the geological vulnerability of the coast are investigated. Detailed field research was conducted. The complex coastal morphology was surveyed using an Uncrewed Aerial Vehicle (UAV), and the UAV-derived data was used as a 3D point cloud and orthophoto for analysis. In the investigated coastal zone, more resistant Quaternary talus breccias predominate over more susceptible flysch rock mass. One major and two smaller landslides are in a creeping condition and pose a hazard to the surrounding homes. During storm surges, the pocket beaches are completely inundated due to the narrow beach width and waves reach the toe of the slopes. According to the expected sea level rise, coastal processes could become more intense and threaten the current coastal equilibrium. The vulnerability of a large part of the Stara Baška settlement will increase significantly. The conducted research showed the advantages of UAV-derived data for the study of complex rocky coasts and emphasized the need for repeatable UAV surveys. © 2021 by the authors. Licensee MDPI, Basel, Switzerland.</t>
  </si>
  <si>
    <t>2-s2.0-85105924093"</t>
  </si>
  <si>
    <t>10.1371/journal.pone.0249008</t>
  </si>
  <si>
    <t>https://www.scopus.com/inward/record.uri?eid=2-s2.0-85104872394&amp;doi=10.1371%2fjournal.pone.0249008&amp;partnerID=40&amp;md5=3bfe877e5f984933327d46e877c18f0d</t>
  </si>
  <si>
    <t>Coral reefs protect islands, coastal areas, and their inhabitants from storm waves and provide essential goods and services to millions of people worldwide. Yet contemporary rates of ocean warming and local disturbances are jeopardizing the reef-building capacity of coral reefs to keep up with rapid rates of sea-level rise. This study compared the reef-building capacity of shallow-water habitats at 142 sites across a potential thermal-stress gradient in the tropical Pacific Ocean. We sought to determine the extent to which habitat differences and environmental variables potentially affect rates of net carbonate production. In general, outer-exposed reefs and lagoonal-patch reefs had higher rates of net carbonate production than nearshore reefs. The study found that thermal anomalies, particularly the intensity of thermal-stress events, play a significant role in reducing net carbonate production—evident as a diminishing trend of net carbonate production from the western to the central tropical Pacific Ocean. The results also showed a latent spatial effect along the same gradient, not explained by thermal stress, suggesting that reefs in the western tropical Pacific Ocean are potentially enhanced by the proximity of reefs in the Coral Triangle—an effect that diminishes with increasing distance and isolation. Copyright: © 2021 van Woesik, Cacciapaglia. This is an open access article distributed under the terms of the Creative Commons Attribution License, which permits unrestricted use, distribution, and reproduction in any medium, provided the original author and source are credited.</t>
  </si>
  <si>
    <t>2-s2.0-85104872394"</t>
  </si>
  <si>
    <t>10.2112/JCOASTRES-D-20-00011.1</t>
  </si>
  <si>
    <t>https://www.scopus.com/inward/record.uri?eid=2-s2.0-85105466573&amp;doi=10.2112%2fJCOASTRES-D-20-00011.1&amp;partnerID=40&amp;md5=021ba164eb2e109da6798cd72b2d8571</t>
  </si>
  <si>
    <t>Coastal tourism is an important component of the global tourism industry, particularly for island nations where the tourism sector often exceeds 40% of gross domestic product. For African island and Indian Ocean island nations, the tourism sector's economic contribution has not received as much attention. This paper analyses the economic contribution of tourism to the economies of African island nations and analyzes tourism statistics from the World Travel and Tourism Council annual reports. Tourism is a major economic factor for the island nations and is concentrated in the coastal zone. The data indicates that islands with larger and more diversified economies performed better in terms of tourism receipts than did islands with less developed economies. The results show that the average per capita income on the islands is more than six-fold greater than the average for the African continent. To test the importance of the coastal zone, tourist infrastructure was mapped on two African island nations, Mauritius and the Seychelles. Given the predominance of tourist infrastructure in the coastal zone, and the importance of tourism to the economies of many of the African island nations, a rise in sea-level even of 0.5 to 1 meters poses a serious threat to the existence of these island nations.  © Coastal Education and Research Foundation, Inc. 2021.</t>
  </si>
  <si>
    <t>2-s2.0-85105466573"</t>
  </si>
  <si>
    <t>10.1016/j.catena.2021.105195</t>
  </si>
  <si>
    <t>https://www.scopus.com/inward/record.uri?eid=2-s2.0-85100377742&amp;doi=10.1016%2fj.catena.2021.105195&amp;partnerID=40&amp;md5=afbead05133373321928284b691d90b9</t>
  </si>
  <si>
    <t>Internal phosphorus (P) released from sediments, which has been verified to be affected by iron (Fe) and sulfur (S) reactions, strongly influences P cycling and water eutrophication. However, minimal research has been performed to determine how increased low-level salinity in estuarine tidal marshes affects P mobility and its coupled processes. Herein, in situ high-resolution distributions of labile P, Fe, and S in sediment-overlying water profiles were simultaneously measured along an estuarine freshwater-oligohaline gradient (Min River Estuary, China) utilizing newly developed diffusive gradients in thin films technique. Significant variations in the P, Fe, and S concentrations were observed with significantly higher sediment labile P concentrations in the freshwater-oligohaline transition. The observed labile P and Fe coupling confirmed the Fe redox-driven P release mechanism in the sediment, although this coupling was weakened in the freshwater-oligohaline transition. The diffusion flux results revealed that the sediments shifted from P “sink” to “source” with the transition from a freshwater to an oligohaline environment, probably caused by the release of Fe-bonded P stimulated by sulfate reduction. This study determined that increased salinity and the associated environmental responses alter the P remobilization capacity and internal P cycling by changing the sediment P pool and the P-Fe-S couplings across the sediment–water interface. Furthermore, saltwater intrusion into tidal freshwater wetlands caused by strong typhoons or sea-level rise may increase internal P release from sediments, which could have future implications. © 2021 Elsevier B.V.</t>
  </si>
  <si>
    <t>2-s2.0-85100377742"</t>
  </si>
  <si>
    <t>10.1016/j.jhydrol.2021.126200</t>
  </si>
  <si>
    <t>https://www.scopus.com/inward/record.uri?eid=2-s2.0-85102971220&amp;doi=10.1016%2fj.jhydrol.2021.126200&amp;partnerID=40&amp;md5=c5218f0fee7634742acfd162e4c42af2</t>
  </si>
  <si>
    <t>Ocean surge inundation occurs frequently in low-lying coastal areas worldwide. While studies have been conducted to examine aquifer salinization and recovery caused by ocean surge inundation, evaporation is predominantly overlooked. Based on numerical simulations considering variably saturated, density-dependent pore-water flow and salt transport, this study examines the combined effects of evaporation and ocean surge inundation on soil salinization in coastal unconfined aquifers. The results show that evaporation enhances soil salinization caused by ocean surge inundation. Due to evaporation-induced water uptake, the downward movement of salt is weakened and the salt from the ocean surge inundation is significantly trapped in the unsaturated zone. The pore-water salinity in the shallow soil layer is increased by soil evaporation, particularly in the low-elevation area with longer seawater inundation. The sensitive analysis shows that the evaporation-enhanced soil salinization is more remarkable for silt-loam and clay-loam aquifers rather than sandy-loam aquifers. A higher mean sea level favors salt trapping in the shallow soil layer of aquifers. These results demonstrate the importance of evaporation on soil salinization caused by ocean surge inundation, and that could be considered in future studies. © 2021 Elsevier B.V.</t>
  </si>
  <si>
    <t>2-s2.0-85102971220"</t>
  </si>
  <si>
    <t>10.1007/s11069-021-04598-9</t>
  </si>
  <si>
    <t>https://www.scopus.com/inward/record.uri?eid=2-s2.0-85100811199&amp;doi=10.1007%2fs11069-021-04598-9&amp;partnerID=40&amp;md5=c3e14af582df57fd75ccfed8a4d018f2</t>
  </si>
  <si>
    <t>This research mainly focuses on providing new occurrence probabilities of local abnormal sea level rise (SLR) events, i.e., typhoon-induced surge heights, in any given year for the formulation of coastal management and climate change response policies. The 50- and 100-year return period levels of the typhoon-induced surge height on the seas covering the Korean Peninsula are obtained by adopting extreme value analysis with the two most widely applied probability distributions: the generalized extreme value (GEV) and Weibull distributions. The extreme values used in the above extreme value analysis are obtained from the deterministic Sea, Lake, and Overland Surges from Hurricanes model after validation. The statistical estimation is validated by satisfying the hypothesis testing procedure with respect to the form of a probability distribution using chi-squared (Chi-S) and Kolmogorov–Smirnov (K–S) goodness-of-fit tests. The optimal curves consisting of a bird’s-eye view of the return period levels of the typhoon-induced surge heights are selected by evaluating the statistical performance indicators of the goodness-of-fit tests, namely the weighted sum χ2 and supremum Dn of the Chi-S and K–S goodness-of-fit tests, respectively. In this research, the GEV distribution-based fitting curves are selected as the best-fit curves. The increasing pattern of its inverse cumulative distribution function tends to capture the extreme values of the typhoon-induced surge height. Since the numerically obtained typhoon-induced surge heights were employed to visualize the return period levels of the typhoon-induced surges on the seas of Korea, this approach provides more detailed information for the management of SLR-related natural hazards to coastal populations. © 2021, The Author(s), under exclusive licence to Springer Nature B.V. part of Springer Nature.</t>
  </si>
  <si>
    <t>2-s2.0-85100811199"</t>
  </si>
  <si>
    <t>10.1134/S187537282102013X</t>
  </si>
  <si>
    <t>https://www.scopus.com/inward/record.uri?eid=2-s2.0-85114669027&amp;doi=10.1134%2fS187537282102013X&amp;partnerID=40&amp;md5=9be79ae835486a41a3c333930387006f</t>
  </si>
  <si>
    <t>Abstract: The soil diversity of the Central ecological zone of the Lake Baikal drainage basin within the Buryat Republic has been analyzed. The soil cover is formed by 38 soil types. The compiled updated soil map of the region includes 18 soil contours of the dominating, accompanying, and occurring soil types. The area assessment of soil resources has been performed. The revealed predominating effect of the vertical zonality on the soil spatial distribution is the most pronounced in high and mid-altitude mountains. The soil cover of high mountains is dominated by poorly formed soils (lithozems and petrozems (Regosol and Leptosol)) with accompanying soils, as well as gleyzems (Gleysols) with peat-gleyzems (Histic Gleysols) and peat-lithozems (Histic Regosol). More than half of the region is occupied by soils of the mid-altitude mountains with the complicated soil cover dominated by podburs (Ferric Umbric Podzols) and burozems, as well as by podzols, soddy-podzols (Folic Podzols), soddy-podburs (Ferric Folic Umbric Podzols), etc. Low mountains are mainly occupied by podzols and gley soddy-podzols (Folic Gleyic Podzols) with accompanying soddy-podzols (Folic Podzols) and soddy-podzolic-gley soils (Folic Gleyic Retisols). Soils of mountain depressions are mainly represented by gray metamorphic soils (metamorphic Folic Umbrisols), soddy-podburs (Ferric Folic Umbric Podzols) in combination with soddy-gray soils (Folic Umbrisols), as well as by humus psammozems (Mollic Arenosol). In floodplains, estuaries, and river deltas, various complexes of alluvial soils, that is, dark humus (Umbric Fluvisols), gley dark humus (Umbric Gleyic Fluvisols), stratified alluvial (Fluvisols), soddy-gley (Folic Gleyic Fluvisols), peat-gley (Histic Gleyic Fluvisols), etc., are formed. Peat eutrophic soils (Histosols) and peat-gleyzems (Histic Gleysols), as well as peat-gley soils (Folic Gleysols) and peat-cryozems (Histic Cryosols), occur on swamp massifs. Lakesides are mainly occupied by dark-humus gley (Gleyic Phaeozems) and peat eutrophic soils (Histosols). Saline soils are practically absent in the region. © 2021, Pleiades Publishing, Ltd.</t>
  </si>
  <si>
    <t>2-s2.0-85114669027"</t>
  </si>
  <si>
    <t>10.1007/s12594-021-1720-4</t>
  </si>
  <si>
    <t>https://www.scopus.com/inward/record.uri?eid=2-s2.0-85105818288&amp;doi=10.1007%2fs12594-021-1720-4&amp;partnerID=40&amp;md5=d7de0c99ff926e1dbe051f313eaf9000</t>
  </si>
  <si>
    <t>Water is extremely critical for human survival. It is therefore important to efficiently manage integrated water resources, which includes basins, watersheds, and wadies. In this study, the freely available data was used, which included a digital elevation model, soil and geological maps, satellite imageries, and daily precipitation records. Furthermore, remote sensing techniques and geographic information system were also integrated in this study. The linear and areal aspects, along with the longitudinal profile were also included, and the hydrologic soil groups (HSGs), land use/land cover (LULC), and curve number (CN) were identified for the main basin of the Riyadh capital. The morphometric analysis indicated that the total area of the main basin was 8500 km2, with 40 watersheds and the highest stream order as eighth. The drainage density of the main basin was 1.57 km/km2. Impermeable surface constituted most of the basin area, as group D was the most prevalently found HSG, constituting 71% of the total basin area. Additionally, the main basin had a highly steep slope, with varying elevations. Furthermore, four types of LULC were identified in the basin namely urban-based, barren land, cultivated land, and ways. The CN for every cell of the main basin ranged from 64 to 98, and the basin weighted CN was found to be 92. The potential direct runoff ranged from 10 to 59 mm. More than 70% of the total area was found to be vulnerable to high and very high runoffs (&gt; 35 mm). These values confirmed the occurrence of flood events, particularly in urban areas and cultivated lands. © 2021, Geol. Soc. India.</t>
  </si>
  <si>
    <t>2-s2.0-85105818288"</t>
  </si>
  <si>
    <t>10.1029/2021JD034604</t>
  </si>
  <si>
    <t>https://www.scopus.com/inward/record.uri?eid=2-s2.0-85104247788&amp;doi=10.1029%2f2021JD034604&amp;partnerID=40&amp;md5=9f4e78a407b881b68c7787c78869bb82</t>
  </si>
  <si>
    <t>Tropical Cyclone Precipitation (TCP) is one of the major triggers of flash flooding and landslide in eastern Mexico. We apply different statistical and machine learning techniques to study a 99 years TCP climatology in high resolution. Strong correlations exist between location variables and annual mean TCP, as well as between dynamic variables and event TCP. Topographic variables observe mixed signals with the elevation variances positively correlated with TCP. The Random Forest (RF) model is a powerful tool with excellent fitting and predicting skills for TCP variations. It has a very small out-of-sample cross-validation error and well captures the spatial variations of historical TCP events. Only three location variables are needed to construct the best model for the annual mean TCP while the best model needs 18 variables to explain the complex variations in the event TCP. The distance to the track is the most important variable for the event TCP model and many other factors contribute to the TCP collectively and nonlinearly, which can't be captured fully by the previous correlation analysis. They include translation characteristics of the storms, locations of the precipitation grid, and topography. Event TCP is generally larger in storms with slower translation speed and more variance in their tracks. While the lower coastal area generally has a higher probability of TCP, the higher inland has elevation variances that enhance less frequent but extreme TCP events. The RF algorithm is an efficient machine learning approach showing potentials for future Quantitative Precipitation Forecasting (QPF). © 2021. American Geophysical Union. All Rights Reserved.</t>
  </si>
  <si>
    <t>2-s2.0-85104247788"</t>
  </si>
  <si>
    <t>Elementa</t>
  </si>
  <si>
    <t>10.1525/elementa.2020.20.00048</t>
  </si>
  <si>
    <t>https://www.scopus.com/inward/record.uri?eid=2-s2.0-85117364463&amp;doi=10.1525%2felementa.2020.20.00048&amp;partnerID=40&amp;md5=6ede923a2c82f06fc7261a21e43dff1a</t>
  </si>
  <si>
    <t>Municipalities are key agents in the transition to sustainability, and yet we have poorly developed theories and practices for how to facilitate the use of climate information by local governments in adapting to climate change. Existing research suggests that climate information is more likely to lead to adaptation actions when it is coproduced by researchers and policy makers because doing so increases the likelihood that the content of information is credible, salient, and legitimate. In this study, we explored how the coproduction process facilitated or hindered use of information from two climate adaptation projects in coastal New Hampshire. Based on 17 interviews and document review, we found that, contrary to expectations, highly engaged coproduction of knowledge may not be necessary due, in part, to preexisting trust among New Hampshire coastal municipalities, technical service providers, and researchers. However, we found in small towns with limited capacity, even the best climate knowledge is unlikely to be used without ongoing context-specific implementation assistance. Our research provides both practical recommendations for those actively advancing climate adaptation, as well as contributions to the undertheorized third phase of transdisciplinary research in which knowledge is translated to action. © 2021 The Author(s). This is an open-access article distributed under the terms of the Creative Commons Attribution 4.0 International License (CC-BY 4.0), which permits unrestricted use, distribution, and reproduction in any medium, provided the original author and source are credited. See http://creativecommons.org/licenses/by/4.0/.</t>
  </si>
  <si>
    <t>2-s2.0-85117364463"</t>
  </si>
  <si>
    <t>10.1016/j.cliser.2021.100225</t>
  </si>
  <si>
    <t>https://www.scopus.com/inward/record.uri?eid=2-s2.0-85100050606&amp;doi=10.1016%2fj.cliser.2021.100225&amp;partnerID=40&amp;md5=3f480244c7a36ddffa18551c140a10b9</t>
  </si>
  <si>
    <t>Story maps offer the possibility to visualise scientific information and climate data in an accessible format and, as web-based tools, reach a large audience. However, the use of story maps in the context of climate services has not yet been widely explored or implemented. In this study we present a story map for communicating the potential impacts of flooding due to sea-level rise for the city of Flensburg, situated at the German Baltic Sea coast. The map is developed in the form of a web-based tool and includes background information on sea-level rise and coastal flooding as well as on coastal adaptation measures</t>
  </si>
  <si>
    <t>10.1016/j.pce.2021.103001</t>
  </si>
  <si>
    <t>https://www.scopus.com/inward/record.uri?eid=2-s2.0-85102073925&amp;doi=10.1016%2fj.pce.2021.103001&amp;partnerID=40&amp;md5=44054735f3ddd22e4446852bd61224cd</t>
  </si>
  <si>
    <t>A numerical model based on DELFT3D for tsunami generation and inundation is performed in newly developed tourism coast in Bali. It uses a hypothetical tsunami waves based on previous tsunami history and earthquake potential. The model is validated using a dam break model on the sloping beach to understand the influence of grid, roughness, and turbulence formulation. Grid dependency test is found to be important, especially on nearshore area where a wetting and drying process occurred. Finally, the tsunami hazard rating is calculated considering the flow velocities. Sensitivity test could help to determine model uncertainty to ensure better understanding on tsunami hazard. © 2021 Elsevier Ltd</t>
  </si>
  <si>
    <t>2-s2.0-85102073925"</t>
  </si>
  <si>
    <t>10.1007/s11069-021-04634-8</t>
  </si>
  <si>
    <t>https://www.scopus.com/inward/record.uri?eid=2-s2.0-85101369844&amp;doi=10.1007%2fs11069-021-04634-8&amp;partnerID=40&amp;md5=55ee77a34b6d6b19f6670808ad9c683d</t>
  </si>
  <si>
    <t>During coastal storms, forecasters and researchers use numerical models to predict the magnitude and extent of coastal flooding. These models must represent the large regions that may be affected by a storm, and thus, they can be computationally costly and may not use the highest geospatial resolution. However, predicted flood extents can be downscaled (by increasing resolution) as a post-processing step. Existing downscaling methods use either a static extrapolation of the flooding as a flat surface, or rely on subsequent simulations with nested, full-physics models at higher resolution. This research explores a middle way, in which the downscaling includes simplified physics to improve accuracy. Using results from a state-of-the-art model, we downscale its flood predictions with three methods: (1) static, in which the water surface elevations are extrapolated horizontally until they intersect the ground surface; (2) slopes, in which the gradient of the water surface is used; and (3) head loss, which accounts for energy losses due to land cover characteristics. The downscaling methods are then evaluated for forecasts and hindcasts of Hurricane Florence (2018), which caused widespread flooding in North Carolina. The static and slopes methods tend to over-estimate the flood extents. However, the head loss method generates a downscaled flooding extent that is a close match to the predictions from a higher-resolution, full-physics model. These results are encouraging for the use of these downscaling methods to support decision-making during coastal storms.</t>
  </si>
  <si>
    <t>10.1007/s10872-020-00575-1</t>
  </si>
  <si>
    <t>https://www.scopus.com/inward/record.uri?eid=2-s2.0-85095685909&amp;doi=10.1007%2fs10872-020-00575-1&amp;partnerID=40&amp;md5=5ed142f6d578f2a64241e562be6797ba</t>
  </si>
  <si>
    <t>Using a coastal assimilation model, generation mechanism of unusually high sea level (UHSL) at the south coast of Japan in September 2011 is investigated. Both model results and tide gauge observations indicate that sea level rise associated with the UHSL event occurred twice in the middle and end of September. The first one, which is localized around the eastern part of the Seto Inland Sea, is caused by a cyclonic circulation in the Kii Channel formed as a result of northward migration of the Kuroshio axis toward Cape Shionomisaki. The second sea level rise, which is the main contributor to this UHSL event, is observed in wide areas not only at the south coast of Japan, but also at the coast of the Japan Sea. It is brought about by a coastal trapped wave (CTW) induced as a result of a fluctuation of the Kuroshio path to the south of the Boso Peninsula. The CTW with positive SSH anomalies propagates westward along the south coast of Japan, and then goes into the coast of the Japan Sea. Sensitivity experiments and a modal characteristic analysis indicate that the CTW is mainly characterized by the first mode baroclinic Kelvin wave. The phase speed for the first mode is calculated at 2.96 m s- 1, which compares well with that estimated by tide gauge observations. © 2020, The Author(s).</t>
  </si>
  <si>
    <t>2-s2.0-85095685909"</t>
  </si>
  <si>
    <t>10.3390/rs13102006</t>
  </si>
  <si>
    <t>https://www.scopus.com/inward/record.uri?eid=2-s2.0-85106976376&amp;doi=10.3390%2frs13102006&amp;partnerID=40&amp;md5=f47512fe2fa6f050be9a3478f0b107a0</t>
  </si>
  <si>
    <t>The Interferometric Synthetic Aperture Radar (InSAR) technique has been widely used to obtain the ground surface deformation of geohazards (e.g., mining subsidence and landslides). As one of the inherent errors in the interferometric phase, the digital elevation model (DEM) error is usually estimated with the help of an a priori deformation model. However, it is difficult to determine an a priori deformation model that can fit the deformation time series well, leading to possible bias in the estimation of DEM error and the deformation time series. In this paper, we propose a method that can construct an adaptive deformation model, based on a set of predefined functions and the hypothesis testing theory in the framework of the small baseline subset InSAR (SBAS-InSAR) method. Since it is difficult to fit the deformation time series over a long time span by using only one function, the phase time series is first divided into several groups with overlapping regions. In each group, the hypothesis testing theory is employed to adaptively select the optimal deformation model from the predefined functions. The parameters of adaptive deformation models and the DEM error can be modeled with the phase time series and solved by a least square method. Simulations and real data experiments in the Pingchuan mining area, Gaunsu Province, China, demonstrate that, compared to the state-of-the-art deformation modeling strategy (e.g., the linear deformation model and the function group deformation model), the proposed method can significantly improve the accuracy of DEM error estimation and can benefit the estimation of deformation time series. © 2021 by the authors. Licensee MDPI, Basel, Switzerland.</t>
  </si>
  <si>
    <t>2-s2.0-85106976376"</t>
  </si>
  <si>
    <t>10.1029/2020EF001931</t>
  </si>
  <si>
    <t>https://www.scopus.com/inward/record.uri?eid=2-s2.0-85104987402&amp;doi=10.1029%2f2020EF001931&amp;partnerID=40&amp;md5=b237a5e9201111570110d8f58b3071fd</t>
  </si>
  <si>
    <t>Sea level rise (SLR) could have catastrophic consequences worldwide. More than 600 million people currently living in coastal areas may see their livelihood at risk and choose to migrate in the near future. Predicting when, how, and where people could migrate under environmental change is critical to devise effective policy initiatives and improve our preparedness. Here, we propose a modeling framework to predict the effect of SLR on migration patterns from easily accessible geographic and demographic data. The framework adapts the radiation model to capture unwillingness or inability to migrate of affected residents, as well as return migration and cascading effects in migration patterns. We apply the mathematical model to study internal migration in Bangladesh, where we predict a complex and counterintuitive landscape of migration patterns between districts. Our predictions indicate that the impact of SLR on 816,000 people by 2050 will trigger cascading effects in migration patterns throughout the entire country. The population of each of the 64 districts will change, leading to a total variation of 1.3 million people. Migration from inundated regions in the center will trigger non-trivial patterns, including a reduction in the population of the district of the capital Dhaka. © 2021. The Authors. Earth's Future published by Wiley Periodicals LLC on behalf of American Geophysical Union.</t>
  </si>
  <si>
    <t>2-s2.0-85104987402"</t>
  </si>
  <si>
    <t>10.5194/esurf-9-413-2021</t>
  </si>
  <si>
    <t>https://www.scopus.com/inward/record.uri?eid=2-s2.0-85106959631&amp;doi=10.5194%2fesurf-9-413-2021&amp;partnerID=40&amp;md5=3897c1632271a20432d4601a37f0862e</t>
  </si>
  <si>
    <t>Sea-level rise, saltwater intrusion, and wave erosion threaten coastal marshes, but the influence of salinity on marsh erodibility remains poorly understood. We measured the shear strength of marsh soils along a salinity and biodiversity gradient in the York River estuary in Virginia to assess the direct and indirect impacts of salinity on potential marsh erodibility. We found that soil shear strength was higher in monospecific salt marshes (5-36 kPa) than in biodiverse freshwater marshes (4-8 kPa), likely driven by differences in belowground biomass. However, we also found that shear strength at the marsh edge was controlled by sediment characteristics, rather than vegetation or salinity, suggesting that inherent relationships may be obscured in more dynamic environments. Our results indicate that York River freshwater marsh soils are weaker than salt marsh soils, and suggest that salinization of these freshwater marshes may lead to simultaneous losses in biodiversity and erodibility. Copyright © 2021 Megan N. Gillen et al.</t>
  </si>
  <si>
    <t>2-s2.0-85106959631"</t>
  </si>
  <si>
    <t>10.1016/j.jappgeo.2021.104318</t>
  </si>
  <si>
    <t>https://www.scopus.com/inward/record.uri?eid=2-s2.0-85103380954&amp;doi=10.1016%2fj.jappgeo.2021.104318&amp;partnerID=40&amp;md5=9d195b869cdda6e15549ff6b8da761a7</t>
  </si>
  <si>
    <t>Water resources are fundamental components of ecological life that must be maintained since they are at the risk of both pollution and depletion. Recently, one of the main factors threatening water resources is the groundwater salinization. In this study, electrical resistivity method via vertical electrical sounding (VES) technique and time-domain induced polarization (IP) method were applied on 34 points to show the electrical characteristic of the coastal area of Dikili district, NW İzmir, Turkey. Possible freshwater/seawater interface and the existence of the geothermal potential were successfully elucidated by a joint interpretation of the results inferred from both methods. Four different types of water resources were classified according to the apparent resistivity and chargeability values, which is freshwater (&lt;10 Ω.m and 10–620 msec.), saline water (&lt;0.6 Ω.m and 600 &gt; msec.), geothermal water (8–150 Ω.m and &gt; 14,000 msec.) and mixed water (0.5–60 Ω.m and 200–1600 msec.). To show the temporal and spatial change of the geo-electrical properties in the subsurface, geoelectrical sections obtained from 1D and 2D inversion of resistivity data were compared with those of an electrical resistivity survey conducted on 119 VES points in 1978 by the General Directorate of State Hydraulic Works (DSI in Turkish acronym). The results of this study highlight significant areas where the resistivity values are lower than &lt;0.6 Ωm as this implies evidence of presumable seawater intrusion (SWI), while previous resistivity values below 10 Ωm denote salt intrusion restricted in narrow areas. A comparison of the two resistivity sections indicates evidence of SWI into the fresh groundwater that spatially has been extended as 20 km2. We suggest streams that are cut by faults and anthropogenic effects, instead of rising sea level, likely govern the salinization in the district of Dikili during a short time period of 40 years. © 2021 Elsevier B.V.</t>
  </si>
  <si>
    <t>2-s2.0-85103380954"</t>
  </si>
  <si>
    <t>10.3389/fenvs.2021.616319</t>
  </si>
  <si>
    <t>https://www.scopus.com/inward/record.uri?eid=2-s2.0-85107045867&amp;doi=10.3389%2ffenvs.2021.616319&amp;partnerID=40&amp;md5=11acd0d0509a380678f7eb5a0e5ee443</t>
  </si>
  <si>
    <t>Coastal salt marshes, which provide valuable ecosystem services such as flood mitigation and carbon sequestration, are threatened by rising sea level. In response, these ecosystems migrate landward, converting available upland into salt marsh. In the coastal-plain surrounding Chesapeake Bay, United States, conversion of coastal forest to salt marsh is well-documented and may offset salt marsh loss due to sea level rise, sediment deficits, and wave erosion. Land slope at the marsh-forest boundary is an important factor determining migration likelihood, however, the standard method of using field measurements to assess slope across the marsh-forest boundary is impractical on the scale of an estuary. Therefore, we developed a general slope quantification method that uses high resolution elevation data and a repurposed shoreline analysis tool to determine slope along the marsh-forest boundary for the entire Chesapeake Bay coastal-plain and find that less than 3% of transects have a slope value less than 1%</t>
  </si>
  <si>
    <t>10.1029/2020EF001620</t>
  </si>
  <si>
    <t>https://www.scopus.com/inward/record.uri?eid=2-s2.0-85104949259&amp;doi=10.1029%2f2020EF001620&amp;partnerID=40&amp;md5=d53ec4a8eb212cec54db0f43de1f8de6</t>
  </si>
  <si>
    <t>Accurate prediction of coastal flooding requires a detailed understanding of all individual contributions to sea level variability and how they interact to trigger extreme sea level (ESL) events. In this study, we focus on the expansive (∼10,000 km) coastline of Western Australia, a region that experiences large latitudinal gradients in met-ocean sources of sea level variability, as a case study to investigate the mechanisms responsible for ESLs and trends over the past 54 years (1966–2019). Using long-term sea level records from tide gauges and satellite altimetry, we explore how different contributions to sea level variability at different time scales (from hourly to interannual) interact to generate ESLs. We observe that all individual, nontidal contributions to ESLs (i.e., atmospheric surge, seasonal and interannual variability) are of similar magnitude (of order 10 cm) along the entire coast and comparable to the tidal variations in the microtidal southwestern region. The results reveal the important role that seasonal and interannual sea level variability plays in generating ESLs, with these low-frequency contributions being relatively large compared to typical global values. With mean sea level having risen by ∼10 cm over this 54-year study period, sea level rise was also identified as making an increasingly significant contribution to observed increases in the frequency of ESLs. Overall, due to the comparatively large magnitude of low-frequency sea level contributions (seasonal and longer), the Western Australia coast provides a useful case study to investigate how sustained periods of elevated sea level will impact coastlines worldwide more broadly in the future. © 2021. The Authors. Earth's Future published by Wiley Periodicals LLC on behalf of American Geophysical Union.</t>
  </si>
  <si>
    <t>2-s2.0-85104949259"</t>
  </si>
  <si>
    <t>10.1016/j.jafrearsci.2021.104187</t>
  </si>
  <si>
    <t>https://www.scopus.com/inward/record.uri?eid=2-s2.0-85103083657&amp;doi=10.1016%2fj.jafrearsci.2021.104187&amp;partnerID=40&amp;md5=19f2fcfa5b8d912be9d08f4ab5584ba5</t>
  </si>
  <si>
    <t>The Inner Niger Delta (IND) is a complex hydraulic system where the flood dynamics and connectivity between water bodies is the main driver for ecosystem services and economic activities. Therefore, it is of pivotal importance that hydraulic models used to assess ecosystem services and socio-economic usages in the IND are capable of capturing both the inundation and connectivity dynamics. A particularity of the IND is that a strong hysteresis effect can be observed in the stage-discharge relationships at all hydrometric stations in the area. However, existing hydrodynamic models of the IND typically use a static stage-discharge relationship as the downstream boundary condition during both the rise and recession of the flood, which leads to potential inaccuracies when trying to predict the flood extent. This paper explores how the simulation results of the flood and connectivity dynamics in the IND can be improved by using a looped rating curve at the downstream model boundary. The looped rating curve is described using the dimensionless discharges and water levels (DLRC) method. The results show that simulation with DLRC improves the accuracy in predicting floodplain extent and connectivity dynamics between the Niger river system and an important lake in the IND. The improvement in water level predictions decreased steadily with the distance from the downstream boundary of the modelled area. © 2021 The Authors</t>
  </si>
  <si>
    <t>2-s2.0-85103083657"</t>
  </si>
  <si>
    <t>10.1007/s11069-021-04513-2</t>
  </si>
  <si>
    <t>https://www.scopus.com/inward/record.uri?eid=2-s2.0-85099809110&amp;doi=10.1007%2fs11069-021-04513-2&amp;partnerID=40&amp;md5=80d9897a7894b1d2add59112c496efe2</t>
  </si>
  <si>
    <t>Recife Metropolitan Region, in the northeast of Brazil, is formed by a coastal plain bounded by hills and by the Atlantic Ocean. Recife Metropolitan Region has about 4 million inhabitants and is the sixth most populous Brazilian metropolitan region. In the last 50 years, there has been an increase in groundwater exploitation causing a piezometric level lowering that reached 100 meters in some points. Consequently, soil subsidence has become a major concern. Geodetic methods have been used worldwide to monitor and quantify vertical deformation of soil in places with large groundwater withdrawal. This article describes the GNSS methodology used in the monitoring of soil subsidence due to groundwater exploitation. Three experiments were carried out to evaluate the most adequate methodology for monitoring soil subsidence applying GNSS receivers. Two of them were carried out, under the same conditions, with the GNSS antennas located at ground level with different baselines (short baseline in experiment 1 and long baseline in experiment 2). In the third experiment, GNSS receivers were installed in landmarks located at the top of four buildings. From these experiments, it was verified that, using GNSS technology, it is possible to detect the occurrence of vertical displacements of the order of 1 cm, in obstacle-free conditions, and a tracking time of at least two or three hours depending on the baseline. Using a known displacement, it was observed that the GNSS system was able to detect the variation of vertical displacement in the order of magnitude researched. © 2021, The Author(s), under exclusive licence to Springer Nature B.V. part of Springer Nature.</t>
  </si>
  <si>
    <t>2-s2.0-85099809110"</t>
  </si>
  <si>
    <t>10.3390/atmos12050537</t>
  </si>
  <si>
    <t>https://www.scopus.com/inward/record.uri?eid=2-s2.0-85105280451&amp;doi=10.3390%2fatmos12050537&amp;partnerID=40&amp;md5=adaf9727aa1f59bbdaf6b1363e86df97</t>
  </si>
  <si>
    <t>The Chinese government attaches great importance to climate change adaptation and has issued relevant strategies and policies. Overall, China’s action to adapt to climate change remains in its infancy, and relevant research needs to be further deepened. In this paper, we study the future adaptive countermeasures of Shenzhen city in the Pearl River Delta in terms of climate change, especially urban flood risk resilience. Based on the background investigation of urban flood risk in Shenzhen, this paper calculates the annual precipitation frequency of Shenzhen from 1953 to 2020, and uses the extreme precipitation index as a quantitative indicator to analyze the changes in historical precipitation and the impact of major flood disasters in Shenzhen city in previous decades. Based on the six kinds of model data of the scenario Model Inter-comparison Project (MIP) in the sixth phase of the Coupled Model Inter-comparison Project (CMIP6), uses the Taylor diagram and MR comprehensive evaluation method to evaluate the ability of different climate models to simulate extreme precipitation in Shenzhen, and the selected models are aggregated and averaged to predict the climate change trend of Shenzhen from 2020 to 2100. The prediction results show that Shenzhen will face more severe threats from rainstorms and floods in the future. Therefore, this paper proposes a resilience strategy for the city to cope with the threat of flood in the future, including constructing a smart water management system and promoting the development of a sponge city. Moreover, to a certain extent, it is necessary to realize risk transfer by promoting a flood insurance system. © 2021 by the authors. Licensee MDPI, Basel, Switzerland.</t>
  </si>
  <si>
    <t>2-s2.0-85105280451"</t>
  </si>
  <si>
    <t>10.2113/EEG-D-20-00006</t>
  </si>
  <si>
    <t>https://www.scopus.com/inward/record.uri?eid=2-s2.0-85106354705&amp;doi=10.2113%2fEEG-D-20-00006&amp;partnerID=40&amp;md5=26f2991e6fa0a41af0352db2eb01db95</t>
  </si>
  <si>
    <t>Regional-scale assessments for debris-flow and debris-flood propagation and avulsion on fans can be challenging. Geomorphological mapping based on aerial or satellite imagery requires substantial field verification effort. Surface evidence of past events may be obfuscated by development or obscured by repeat erosion or debris inundation, and trenching may be required to record the sedimentary architecture and date past events. This paper evaluates a methodology for debrisflow and debris-flood susceptibility mapping at regional scale based on a combination of digital elevation model (DEM) metrics to identify potential debris source zones and flow propagation modeling using the Flow-R code that is calibrated through comparison to mapped alluvial fans. The DEM metrics enable semi-automated identification and preliminary, process-based classification of streams prone to debris flow and debris flood. Flow-R is a susceptibility mapping tool that models potential flow inundation based on a combination of spreading and runout algorithms considering DEM topography and empirical propagation parameters. The methodology is first evaluated at locations where debris-flow and debrisflood hazards have been previously assessed based on field mapping and detailed numerical modeling. It is then applied over a 125,000 km2 area in southern British Columbia, Canada. The motivation for the application of this methodology is that it represents an objective and repeatable approach to susceptibility mapping, which can be integrated in a debris-flow and debris-flood risk prioritization framework at regional scale to support risk management decisions. © 2021 Geological Society of America. All rights reserved.</t>
  </si>
  <si>
    <t>2-s2.0-85106354705"</t>
  </si>
  <si>
    <t>10.1117/1.JRS.15.024505</t>
  </si>
  <si>
    <t>https://www.scopus.com/inward/record.uri?eid=2-s2.0-85109002871&amp;doi=10.1117%2f1.JRS.15.024505&amp;partnerID=40&amp;md5=eeed4d4dd264169e4537f4ac6a1613bb</t>
  </si>
  <si>
    <t>Surface subsidence and its secondary effects caused by underground coal mining continually threaten the safety and property of residents in mining areas. The commonly used total station and leveling approach is time-consuming and laborious, and the spatial range is limited. In this study, an FEIMA D2000 quadrotor unmanned aerial vehicle (UAV) was used to conduct 4-cm/pixel photogrammetry in four trial periods over a surface influence area (3.75 km2) of a working mine face. The performance comparison experiments from five point-cloud filtering algorithms in two sub-regions of the study area show that the ATIN algorithm provides the best filtering for this study area. Coal mining subsidence monitoring in mountainous area based on time-series UAV photogrammetry technology is proposed. Using this approach, the ATIN algorithm was used to filter the overall point cloud data in the study area to obtain the digital elevation model (DEM). The surface dynamic subsidence basin was determined with two phases of DEM subtraction. The results show that, compared with the measured leveling data in the field in the same period, the average root mean square error is 165 mm, and the maximum subsidence monitoring accuracy reaches 98%.  © 2021 Society of Photo-Optical Instrumentation Engineers (SPIE).</t>
  </si>
  <si>
    <t>2-s2.0-85109002871"</t>
  </si>
  <si>
    <t>10.1016/j.scitotenv.2020.142949</t>
  </si>
  <si>
    <t>https://www.scopus.com/inward/record.uri?eid=2-s2.0-85094855871&amp;doi=10.1016%2fj.scitotenv.2020.142949&amp;partnerID=40&amp;md5=3f9932de377ca4945b17742f01981e13</t>
  </si>
  <si>
    <t>Predicted sea level fluctuations and sea level rise with climate change will lead to inundation of coastal and estuarine soils. Coastal wetlands usually contain large amounts of organic matter, which can be potential sources of greenhouse gas emissions (GHGs; CO2, CH4, N2O) during decomposition, but there are limited studies on the effects of sea level variation on GHGs in coastal wetlands. We measured the effect of brackish water inundation and wetting and drying cycles on GHG emissions from coastal wetland soil cores that supported four different vegetation types: Apium gravedens (AG), Leptospermum lanigerum (LL), Phragmites australis (PA) and Paspalum distichum (PD) from the estuarine floodplain of the Aire River in south-western Victoria, Australia. Intact soil cores were incubated under either dry, flooded, or a 14 day wet-dry cycle treatments for a total of 56 days at a constant temperature of 23 °C. CO2, CH4, and N2O fluxes were investigated in closed chambers and measured with gas chromatography. In the dry treatment, a positive correlation was found between soil organic carbon (SOC) and CO2 flux, and between SOC and CH4 flux. Higher SOC is indicative of higher amounts of soil organic matter (SOM) which acts as a source of substrate for microbes to produce CO2 or CH4 emissions under aerobic or anaerobic conditions. The NO2− and NO3− concentrations were positively correlated with N2O emissions in the wet-dry cycle treatment. NO2− and NO3− provide a supply of substrate for denitrification. The flooded treatment decreased cumulative CO2 emissions by 34%, 25% and 14% at the LL, PA, PD sites, respectively, and decreased cumulative N2O emissions by 42%, 39% and 43% at the AG, LL and PA sites, compared to the dry treatment. The wet-dry cycle treatment and dry treatment decreased cumulative CH4 emissions for all vegetation types compared to the flooded treatment. The redox potential (Eh) was negatively correlated with CH4 flux and positively correlated N2O flux at all sites. This study highlights the significance of sea level fluctuations when estimating GHG flux from coastal and estuarine floodplains which are highly vulnerable to inundation, and the role of SOC and mineral N as important drivers affecting GHG flux.</t>
  </si>
  <si>
    <t>10.1029/2020JD033775</t>
  </si>
  <si>
    <t>https://www.scopus.com/inward/record.uri?eid=2-s2.0-85104248185&amp;doi=10.1029%2f2020JD033775&amp;partnerID=40&amp;md5=ca4515d024ebf3816dd98c778e5c50eb</t>
  </si>
  <si>
    <t>In this study, we evaluated the effect of land cover, atmospheric subsidence, and advection on the annual dynamics of atmospheric boundary layer (ABL) height from two contrasting sites. The first site is the Walker Branch forest, a deciduous forest of temperate climate, complex topography, and cloudy summers. The second site is the Sacramento-San Joaquin River Delta, a site of Mediterranean climate, flat terrain on a local scale, and clear summers. After testing a new algorithm to calculate ABL heights from 915 MHz radar wind profilers, we evaluated a hierarchy of three slab models to recreate the diurnal and annual patterns of ABL growth. We found that the lower ABL heights in the Delta, particularly during late summer, are driven by the combined effects of increased atmospheric subsidence and marine air advection. In both sites, the annual pattern of ABL height was strongly correlated to total daily incoming radiation, and in the Delta, the annual pattern of ABL height closely followed the seasonal patterns of sensible heat flux from a mosaic of different land covers. A land composite of latent and sensible heat fluxes obtained through a meso-network of eddy covariance measurements and the ECOsystem Spaceborne Thermal Radiometer Experiment on Space Station (ECOSTRESS) mission resulted in higher model skill, thus showing that land cover heterogeneity is an important driver of ABL growth. Model simulations show that in the Delta, restoring agricultural land to wetlands with large open water areas could result in a reduction of ABL height during those months with low subsidence and advection. © 2021. American Geophysical Union. All Rights Reserved.</t>
  </si>
  <si>
    <t>2-s2.0-85104248185"</t>
  </si>
  <si>
    <t>10.1002/hyp.14151</t>
  </si>
  <si>
    <t>https://www.scopus.com/inward/record.uri?eid=2-s2.0-85104980682&amp;doi=10.1002%2fhyp.14151&amp;partnerID=40&amp;md5=00c3a8d83c1edca37fcfe792b9b82cb7</t>
  </si>
  <si>
    <t>A common source of uncertainty in flood inundation forecasting is the hydrograph used. Given the role of sea-air-hydro-land chain processes on the water cycle, flood hydrographs in coastal areas can be indirectly affected by sea state. This study investigates sea-state effects on precipitation, discharge, and flood inundation forecasting implementing atmospheric, ocean wave, hydrological, and hydraulic-hydrodynamic coupled models. The Chemical Hydrological Atmospheric Ocean wave System (CHAOS) was used for coupled hydro-meteorological-wave simulations ‘accounting’ or ‘not accounting’ the impact of sea state on precipitation and, subsequently, on flood hydrograph. CHAOS includes the WRF-Hydro hydrological model and the WRF-ARW meteorological model two-way coupled with the WAM wave model through the OASIS3-MCT coupler. Subsequently, the 2D HEC-RAS hydraulic-hydrodynamic model was forced by the flood hydrographs and map the inundated areas. A flash flood event occurred on 15 November 2017 in Mandra, Attica, Greece, causing 24 fatalities, and damages was selected as case study. The calibration of models was performed exploiting historical flood records and previous studies. Human interventions such as hydraulic works and the urban areas were included in the hydraulic modelling geometry domain. The representation of the resistance caused by buildings was based on Unmanned Aerial System (UAS) data while the local elevation rise method was used in the urban-flood simulation. The flood extent results were assessed using the Critical Success Index (CSI), and CSI penalize. Integrating sea-state affected the forecast of precipitation and discharge peaks, causing up to +24% and from −8% to +36% differences, respectively, improving inundation forecast by 4.5% and flooding additional approximately 70 building blocks. The precipitation forcing time step was also highlighted as significant factor in such a small-scale flash flood. The integrated multidisciplinary methodological approach could be adopted in operational forecasting for civil protection applications facilitating the protection of socio-economic activities and human lives during similar future events. © 2021 John Wiley &amp; Sons Ltd.</t>
  </si>
  <si>
    <t>2-s2.0-85104980682"</t>
  </si>
  <si>
    <t>10.1038/s41558-021-00993-z</t>
  </si>
  <si>
    <t>https://www.scopus.com/inward/record.uri?eid=2-s2.0-85102376017&amp;doi=10.1038%2fs41558-021-00993-z&amp;partnerID=40&amp;md5=927335c570d7c8f3c4bec4d08ef4594d</t>
  </si>
  <si>
    <t>Climate-induced sea-level rise and vertical land movements, including natural and human-induced subsidence in sedimentary coastal lowlands, combine to change relative sea levels around the world’s coasts. Although this affects local rates of sea-level rise, assessments of the coastal impacts of subsidence are lacking on a global scale. Here, we quantify global-mean relative sea-level rise to be 2.5 mm yr−1 over the past two decades. However, as coastal inhabitants are preferentially located in subsiding locations, they experience an average relative sea-level rise up to four times faster at 7.8 to 9.9 mm yr−1. These results indicate that the impacts and adaptation needs are much higher than reported global sea-level rise measurements suggest. In particular, human-induced subsidence in and surrounding coastal cities can be rapidly reduced with appropriate policy for groundwater utilization and drainage. Such policy would offer substantial and rapid benefits to reduce growth of coastal flood exposure due to relative sea-level rise. © 2021, The Author(s), under exclusive licence to Springer Nature Limited.</t>
  </si>
  <si>
    <t>2-s2.0-85102376017"</t>
  </si>
  <si>
    <t>10.1016/j.wasec.2021.100084</t>
  </si>
  <si>
    <t>https://www.scopus.com/inward/record.uri?eid=2-s2.0-85101796918&amp;doi=10.1016%2fj.wasec.2021.100084&amp;partnerID=40&amp;md5=ce990e2fb3d7a45e4546250945e9c335</t>
  </si>
  <si>
    <t>Climate change and socio-economic development result in increasing flood risk which challenges flood risk management policy making and practice. Each situation, however, is different and calls for not only understanding the natural context, but also the socio-economic and cultural context. Only then Flood Risk Management strategies can be designed that are not only 1) fit for purpose but also 2) feasible for local implementation and 3) sustainable into the future. Flood consequences that are accepted in some cultures (fatalist), may not be acceptable in other cultures (controlist). This calls for considering the local normative context in order to understand current differences in policy and practice. More importantly, the design of strategic alternatives for Flood Risk Management into the future should consider this socio-economic and cultural context as well because not every society aims for the same goals in the same proportion, nor is equally willing or capable to implement and maintain sophisticated infrastructure and dedicated institutions. Based on literature on cultural theory and national cultures, we hypothesized that acknowledging socio-economic and cultural differences would allow to better appreciate the rationale of current flood risk management policies and practices in different parts of the world. By analysing cases related to Deltares projects abroad, we explored whether these factors explain the main differences observed. Based on this preliminary exploration, we propose a shortlist of factors to consider when designing future flood risk management strategies tailored to local socio-economic and cultural contexts. © 2021 The Authors</t>
  </si>
  <si>
    <t>2-s2.0-85101796918"</t>
  </si>
  <si>
    <t>10.3390/ijgi10040226</t>
  </si>
  <si>
    <t>https://www.scopus.com/inward/record.uri?eid=2-s2.0-85106492138&amp;doi=10.3390%2fijgi10040226&amp;partnerID=40&amp;md5=a2f04f3833e8a612b11dffb970b6c811</t>
  </si>
  <si>
    <t>The main purpose of this paper is to assess the land use and land cover (LULC) changes for thirty years, from 1990-2020, in the Dong Thap Muoi, a flooded land area of the Mekong River Delta of Vietnam using Google Earth Engine and random forest algorithm. The specific purposes are: (1) determine the main LULC classes and (2) compute and analyze the magnitude and rate of changes for these LULC classes. For the above purposes, 128 Landsat images, topographic maps, land use status maps, cadastral maps, and ancillary data were collected and utilized to derive the LULC maps using the random forest classification algorithm. The overall accuracy of the LULC maps for 1990, 2000, 2010, and 2020 are 88.9, 83.5, 87.1, and 85.6%, respectively. The result showed that the unused land was dominant in 1990 with 28.9 % of the total area, but it was primarily converted to the paddy, a new dominant LULC class in 2020 (45.1%). The forest was reduced significantly from 14.4% in 1990 to only 5.5% of the total area in 2020. Whereas at the same time, the built-up increased from 0.3% to 6.2% of the total area. This research may help the authorities design exploitation policies for the Dong Thap Muoi’s socio-economic development and develop a new, stable, and sustainable ecosystem, promoting the advantages of the region, early forming a diversified agricultural structure. © 2021 by the authors.</t>
  </si>
  <si>
    <t>2-s2.0-85106492138"</t>
  </si>
  <si>
    <t>10.1029/2020WR028516</t>
  </si>
  <si>
    <t>https://www.scopus.com/inward/record.uri?eid=2-s2.0-85105765549&amp;doi=10.1029%2f2020WR028516&amp;partnerID=40&amp;md5=63575f6f028a97ae8c0263b5965d4dba</t>
  </si>
  <si>
    <t>Accurate terrain representation is critical to estimating flood risk in urban areas. However, all current global elevation data sets can be regarded as digital surface models in urban areas as they contain building artifacts that cause artificial blocking of flow pathways. By taking surveyed terrain and LIDAR data as “truth,” the vertical error in three popular global DEMs (SRTM 1″, MERIT DEM, and TDM90) was analyzed in six European cities and an Asian city, with RMSE found to be 2.32–5.98 m. To increase the utility of global DEM data for flood modeling, a Random Forest model was developed to correct building artifacts in the MERIT DEM using factors from widely available public datasets, including satellite night-time lights, global population density, and OpenStreetMap buildings. The proposed correction reduced the vertical errors of MERIT by 15%–67%, despite not using data samples from the target city in training the model. When training data from the target city was included error reduction improved by between 57 and 76 percentage points. The resulting Urban Corrected MERIT DEM improved simulated inundation depth by 18% over original MERIT in a hydrodynamic model of flooding in the UK city of Carlisle, although it did not outperform TDM90 at this site. We conclude that the proposed method has the potential to generate a bare-earth global DEM in urban areas with improved terrain representation, although in data scarce regions this requires more complete OpenStreetMap building information. In the future, the method should be applied to TDM90. © 2021. The Authors.</t>
  </si>
  <si>
    <t>2-s2.0-85105765549"</t>
  </si>
  <si>
    <t>10.1007/s11069-021-04600-4</t>
  </si>
  <si>
    <t>https://www.scopus.com/inward/record.uri?eid=2-s2.0-85101462047&amp;doi=10.1007%2fs11069-021-04600-4&amp;partnerID=40&amp;md5=81134ea0917bef89b086728aba66950a</t>
  </si>
  <si>
    <t>Sea-level rise is causing coastal inundation events in estuaries, harbours, bays, and tidal rivers to happen more often as predictable daily high and low tides reach higher levels. This can lead to coastal inundation happening under benign weather conditions, as flood thresholds are exceeded due to tides alone without the influence of storm surges or other phenomena. As such, changes in frequency of this 'tide-only' inundation may be a useful metric to quantify the role that sea-level rise plays in modulating the risk of coastal inundation from high still water levels. Here we present a conceptual model for 'tide-only' inundation and propose a practical methodology to formulate tide-only inundation statistics: estimates, historical trends, and future projections. This enables this emerging natural hazard to be fully incorporated into new and existing coastal risk assessment frameworks and considered in coastal management and planning strategies at local and national levels. Further, it leads to a framework that can quantify the role that tides play in coastal flooding as sea levels rise. © 2021, Crown.</t>
  </si>
  <si>
    <t>2-s2.0-85101462047"</t>
  </si>
  <si>
    <t>10.1029/2020EF001965</t>
  </si>
  <si>
    <t>https://www.scopus.com/inward/record.uri?eid=2-s2.0-85107018767&amp;doi=10.1029%2f2020EF001965&amp;partnerID=40&amp;md5=499c39501accadd8ba49055b8fa4b1c9</t>
  </si>
  <si>
    <t>Rising mean and extreme sea-levels and induced increased coastal flooding are expected to lead to massive coastal migration if coasts are not protected. Using a wide range of sea-level rise (SLR) scenarios, socioeconomic pathways and discount rate assumptions, 21st century coastal migration is assessed at global scale assuming local cost-benefit optimal protection decisions for about 12,000 coastal segments with homogeneous coastal and socioeconomic characteristics. Costs considered include investment and maintenance cost for protection, migration cost in the case of no protection, and expected annual damage to assets by extreme sea-level events that over-top existing protection. Robust decisions in favor of protection over all scenarios are found for about 3% of the global coastline, covering 78% of global coastal population and 92% of global coastal floodplain assets. For the remaining 97% of global coastline cumulative 21st century land loss ranges from 60,000 to 415,000 km2 and coastal migration ranges from 17 to 72 million people. Big countries with long uninhabited coastlines suffer the biggest land losses. In absolute terms big countries in South and South-east Asia account for the highest coastal migration, while in relative terms small island nations suffer most. Global cost of 21st century SLR can be lowered by factor two to four if local cost-benefit decisions also consider, next to protection, coastal migration as an adaptation option. © 2021. The Authors. Earth's Future published by Wiley Periodicals LLC on behalf of American Geophysical Union.</t>
  </si>
  <si>
    <t>2-s2.0-85107018767"</t>
  </si>
  <si>
    <t>10.5194/essd-13-2275-2021</t>
  </si>
  <si>
    <t>https://www.scopus.com/inward/record.uri?eid=2-s2.0-85106911472&amp;doi=10.5194%2fessd-13-2275-2021&amp;partnerID=40&amp;md5=18109d2f853074a8bfb32e95ca7c56a4</t>
  </si>
  <si>
    <t>The characterization of estuarine hydrodynamics primarily depends on knowledge of the bathymetry and topography. Here, we present the first comprehensive, high-resolution dataset of the topography and bathymetry of the Amazon River estuary, the world s largest estuary. Our product is based on an innovative approach combining spaceborne remote sensing data, an extensive and processed river depth dataset, and auxiliary data. Our goal with this mapping is to promote the database usage in studies that require this information, such as hydrodynamic modeling or geomorphological assessments. Our twofold approach considered 500 000 sounding points digitized from 19 nautical charts for bathymetry estimation, in conjunction with a state-of-the-art topographic dataset based on remote sensing, encompassing intertidal flats, riverbanks, and adjacent floodplains. Finally, our estimate can be accessed in a unified 30m resolution regular grid referenced to the Earth Gravitational Model 2008 (EGM08), complemented both landward and seaward by land (Multi-Error-Removed Improved- Terrain digital elevation model, MERIT DEM) and ocean (General Bathymetric Chart of the Oceans version 2020, GEBCO2020) topographic data. Extensive validation against independent and spatially distributed data, from an airborne lidar survey, from ICESat-2 altimetric satellite data, and from various in situ surveys, shows a typical vertical accuracy of 7.2m (riverbed) and 1.2m (non-vegetated intertidal floodplains). The dataset is available at https://doi.org/10.17632/3g6b5ynrdb.2 (Fassoni-Andrade et al., 2021). © 2021 Copernicus GmbH. All rights reserved.</t>
  </si>
  <si>
    <t>2-s2.0-85106911472"</t>
  </si>
  <si>
    <t>10.1029/2021EF002055</t>
  </si>
  <si>
    <t>https://www.scopus.com/inward/record.uri?eid=2-s2.0-85106912164&amp;doi=10.1029%2f2021EF002055&amp;partnerID=40&amp;md5=f8cdc8b9771692ffb7b1af51f25e239e</t>
  </si>
  <si>
    <t>The cooccurrence of coastal and riverine flooding leads to compound events with substantial impacts on people and property in low-lying coastal areas. Climate change could increase the level of compound flood hazard through higher extreme sea levels and river flows. Here, a bivariate flood hazard assessment method is proposed to estimate compound coastal-riverine frequency under current and future climate conditions. A copula-based approach is used to estimate the joint return period (JRP) of compound floods by incorporating sea-level rise (SLR) and changes in peak river flows into the marginal distributions of flood drivers. Specifically, the changes in JRP of compound major coastal-riverine flooding defined based on simultaneous exceedances above major coastal and riverine thresholds, are explored by midcentury. Subsequently, the increase in the probability of occurrence of at least one compound major coastal-riverine flooding for a given period of time is quantified. The proposed compound flood hazard assessment is conducted at 26 paired tidal-riverine stations along the Contiguous United States coast with long-term data and defined flood thresholds. We show that the northeast Atlantic and the western part of the Gulf coasts are experiencing the highest compound major coastal-riverine flood probability under current conditions. However, future SLR scenarios show the highest frequency amplification along the southeast Atlantic coast. The impact of changes in peak river flows is found to be considerably less than that of SLR. Climate change impacts, especially SLR, may lead to more frequent compound events, which cannot be ignored for future adaptation responses in estuary regions. © 2021. The Authors. Earth's Future published by Wiley Periodicals LLC on behalf of American Geophysical Union.</t>
  </si>
  <si>
    <t>2-s2.0-85106912164"</t>
  </si>
  <si>
    <t>10.3390/rs13081436</t>
  </si>
  <si>
    <t>https://www.scopus.com/inward/record.uri?eid=2-s2.0-85104569730&amp;doi=10.3390%2frs13081436&amp;partnerID=40&amp;md5=909f72ef5cbec96317b1182b5eb4515a</t>
  </si>
  <si>
    <t>Coastal tidal flats are important ecological resources. As the dividing line between marine and terrestrial ecosystems, tidal flats provide a large number of ecosystem services. However, with the excessive development of coastal areas, tidal flat resources have been drastically reduced, leading to the deterioration of coastal ecosystems. There is an urgent need to acquire accurate information on the changes in tidal flat resources. This research proposes a tidal flat extraction model (RF-W model) that combines the random forest (RF) method and waterline method, which aims to improve the accuracy of tidal flat extraction. This method can effectively eliminate the shortcomings of the RF method in determining the lower boundary of tidal flats and those of the waterline method in distinguishing river channels and tidal flats. The tidal flat extraction of Qingdao Jiaozhou Bay in 2020 is performed as an example of the model. The results show that the user’s and producer’s accuracies of the RF-W model were both the highest, indicating that the improved model can accurately extract tidal flat information. Then, we used the RF-W model to extract tidal flat information for Jiaozhou Bay in seven periods (1990, 1995, 2000, 2005, 2010, 2015, and 2020) and to study the spatiotemporal changes in the tidal flats and influencing factors from 1990 to 2020. The tidal flat area of Jiaozhou Bay showed an overall downward trend before 2015, and the area decreased by 21.9 km2, with a reduction in the rate of approximately 1.1%/year. After 2015, the tidal flat area rebounded slightly. The overall change in Jiaozhou Bay showed reclamation and expansion toward the sea. The reduction in the sand content of the rivers entering the sea, reclamation and cultivation, and land development were the main factors contributing to the reduction in the tidal flat area in Jiaozhou Bay. In addition, sea level rise due to climate warming is a long-term potential factor. © 2021 by the authors. Licensee MDPI, Basel, Switzerland.</t>
  </si>
  <si>
    <t>2-s2.0-85104569730"</t>
  </si>
  <si>
    <t>10.1007/s11069-021-04663-3</t>
  </si>
  <si>
    <t>https://www.scopus.com/inward/record.uri?eid=2-s2.0-85102195132&amp;doi=10.1007%2fs11069-021-04663-3&amp;partnerID=40&amp;md5=44838dd6a28e2c80aac0c4caea8f99ef</t>
  </si>
  <si>
    <t>This study mainly aims to hindcast historical Typhoon Nepartak (2016) and to analyze tide–surge and wave interactions. To achieve this goal, a coupled tide–surge–wave model was built around the coast of Taiwan, and it was applied to simulate storm surges and waves during historical typhoon event. To demonstrate its capability, the coupled model was validated with observed water levels, wind speeds, atmospheric pressures, wave heights, and wave periods at different stations. Quantitatively, the model results reasonably reproduced the observed data. Furthermore, the model was utilized to explore the tide, surge, and wave interaction using historical Typhoon Nepartak (2016). The model results revealed that onshore wind enhanced the surge height, while offshore wind decreased the surge height. The atmospheric pressure consistently displayed a positive contribution to surge height. The wind-induced surge height contributing to the total surge height was 136.83% at Taichung Harbor, because the offshore wind mainly dominated the surge height compared to the effect of atmospheric pressure. The atmospheric pressure-induced surge heights contributing to the total surge height were 100.59%, 96.26%, and 99.74% at Kaohsiung Harbor, Hualien Harbor, and Taitung Fugang, respectively, as a result of the atmospheric pressure dominating the surge height. However, the contribution of the wave setup to the total surge height was minor. The path of typhoons at different time frames significantly affected the spatial distributions of surge height and wave height around the coast of Taiwan. The contributions of water level and current to wave height reached a maximum value of approximately 0.3 m at Suao, while the contributions at Penghu, Qigu, and Eluanbi were all less than 0.2 m. This signified that the influence of the water level and current on wave height was not negligible. © 2021, The Author(s), under exclusive licence to Springer Nature B.V.</t>
  </si>
  <si>
    <t>2-s2.0-85102195132"</t>
  </si>
  <si>
    <t>10.1016/j.geomorph.2021.107664</t>
  </si>
  <si>
    <t>https://www.scopus.com/inward/record.uri?eid=2-s2.0-85101903550&amp;doi=10.1016%2fj.geomorph.2021.107664&amp;partnerID=40&amp;md5=a19e39e8dc54487be12ce21cb1d70859</t>
  </si>
  <si>
    <t>Debris flows are natural hazards causing fatalities and damages to infrastructures every year. One of the current challenges is to improve the predictability of such events using simulation tools. In this direction, the paper aims to model debris-flow generation starting from the water component and then simulating the motion of the bulked solid-fluid mixture mass flow. The debris component is progressively increased through entrainment of the channel bed material. The simulation has been performed exploiting the tool r.avaflow, which implements a physically-based model (Pudasaini and Mergili, 2019) for the flow propagation and an empirical multi-phase model for the entrainment processes. The investigated study case occurred in the Northeastern Alps of Italy, near the town of Cortina d'Ampezzo (Veneto Region), during the summer of 2017. The debris flow was triggered by a heavy rainstorm that caused extreme surface runoff, leading to entrainment of sediment from the channel bed. The debris flow obstructed the bridge of a regional road and consequently flooded the adjacent areas. Different types of debris flow simulations are performed, testing four specific functions to compute the entrainment rate. The simulated results are then compared against field observations. The analysis considers the differences in volume and depth of entrainment and in the output hydrograph. We conclude that entrainment is correlated with the terrain slope, particularly if it is calculated on a smoothed digital elevation model, which dilutes a less significant local steepness. We calibrate a spatially distributed slope-dependent erosion coefficient that successfully reproduced the observed entrainment volumes. The outcomes highlight the great importance of simulating debris flow entrainment processes adopting a multiphase model, which resulted particularly suitable for an accurate reproduction of the investigated event. The results, corroborated by further verifications, can improve the reliability of challenging predictive simulations on debris flow erosion. © 2021</t>
  </si>
  <si>
    <t>2-s2.0-85101903550"</t>
  </si>
  <si>
    <t>10.1016/j.compenvurbsys.2021.101620</t>
  </si>
  <si>
    <t>https://www.scopus.com/inward/record.uri?eid=2-s2.0-85101792433&amp;doi=10.1016%2fj.compenvurbsys.2021.101620&amp;partnerID=40&amp;md5=5edd639379a7b1652948e3aa996b4acb</t>
  </si>
  <si>
    <t>Countries in Southeast Asia have been developing quickly from a predominantly rural to predominantly urban society, leading to a rapid increase in urban land. This increase in urban land has mainly occurred in river deltas and floodplains, exposing humans and human assets to flood hazard. Here we present an assessment of current and future flood risk in five countries of mainland Southeast Asia, using a new modeling approach that accounts for differences in urban land systems. To that effect we mapped urban land on a rural-urban gradient and projected urban development until the year 2040 in two contrasting scenarios. The urban expansion scenario mainly projects the development of new urban areas, while the intensification emphasizes an increase in the number of inhabitants in already existing urban areas. Subsequently, we assessed the expected annual damage due to flood risk, using country specific exposure values for different land-system classes along the rural-urban gradient, based on typical construction materials. Results indicate that expected annual flood damage will increase in all countries and in both scenarios, ranging from +8% in Thailand to +211% in Laos. We showed that preferable development pathways are context dependent. In Cambodia and Laos, the increase in flood risk was largest for the intensification scenario, while for Myanmar, Thailand and Vietnam, the increase in flood risk was largest in the urban expansion scenario. © 2021 The Author(s)</t>
  </si>
  <si>
    <t>2-s2.0-85101792433"</t>
  </si>
  <si>
    <t>Indian Journal of Geosciences</t>
  </si>
  <si>
    <t>https://www.scopus.com/inward/record.uri?eid=2-s2.0-85127390204&amp;partnerID=40&amp;md5=bd4a9ad7aa9d3e65a93c3e6936df9129</t>
  </si>
  <si>
    <t>The present study of Glacial Lake outburst Flood (GLOF) hazard assessment of Gepang Gath Pro-Glacial Lake is based on the field surveys and Satellite data (such as CORONA, LANDSAT, SENTINEL-2 and HMA DEM) interpretations and 1D flood simulation model. The field surveys were carried out during summer season of 2012 and 2013 and the lake was mapped using Differential Global Positioning System (DGPS) and total station. Integrated study of field and satellite data shows that the Gepang Gath glacier has receded 1248 m from 1971 to 2018, at an average rate of 24.22 m/year, resulting in the formation of a huge pro-glacial lake. It was observed that the lake area has increased from 0.144 km2 in 1971 to 0.93 km2 in 2018. But the rate of retreat and corresponding lake area expansion has increased during the last decade. The glacier receded 422 meters between 2011 and 2018 at an average rate of 60.28 m/year and its pro-glacial lake has expanded 0.23 km2 in area, at an average rate of 0.028 km2 per annum during the same time period. With an area of 93 hectares, holding a maximum water volume of around 31.3x106 m3 and with a potential peak discharge capacity between 32072.92 m3s-1 to 32413.70 m3s-1. Gepang Gath pro-glacial lake is potentially very critical as far GLOF hazard is concerned. A simulation of the GLOF by 1D steady state modeling using Hydrologic Engineering Centre–River Analysis System (HEC-RAS) (version: 5.0.4) software shows that the total flooded area would be 1.6 km2 while the active channel area is only 0.16 km2. In case of a GLOF event, Gepang Gath Lake would destroy part of the road and bridge of Leh-Manali highway, one building (downstream of the bridge), man-made pond and helipad. The highest flood depth and velocity at the mid-point of the bridge would be 13 m and 33 m/s, respectively. The results of this study may help policy makers and field engineers to protect existing public and private properties and to restrict future high-value land use in damage potential areas evaluation in the valley. © 2021 Geological Survey of India. All right reserved.</t>
  </si>
  <si>
    <t>2-s2.0-85127390204"</t>
  </si>
  <si>
    <t>10.1029/2021MS002463</t>
  </si>
  <si>
    <t>https://www.scopus.com/inward/record.uri?eid=2-s2.0-85106712794&amp;doi=10.1029%2f2021MS002463&amp;partnerID=40&amp;md5=582baf4d7c56d994509dcf09c206f053</t>
  </si>
  <si>
    <t>It is known that representing wetland dynamics in land surface modeling improves models' capacity to reproduce fluxes and land surface boundary conditions for atmospheric modeling in general circulation models. This study presents the development of the full coupling between the Noah-MP land surface model (LSM) and the Hydrological Modeling and Analysis Platform (HyMAP) flood model in the NASA Land Information System and its application over the Inner Niger Delta (IND), a well-known hot-spot of strong land surface-atmosphere interactions in West Africa. Here, we define two experiments at 0.02° spatial resolution over 2002–2018 to quantify the impacts of the proposed developments on simulating IND dynamics. One represents the one-way approach for simulating land surface and flooding processes (1-WAY), that is, Noah-MP neglects surface water availability, and the proposed two-way coupling (2-WAY), where Noah-MP takes surface water availability into account in the vertical water and energy balance. Results show that accounting for two-way interactions between Noah-MP and HyMAP over IND improves simulations of all selected hydrological variables. Compared to 1-WAY, evapotranspiration derived from 2-WAY over flooding zones doubles, increased by 0.8 mm/day, resulting in an additional water loss rate of ∼18,900 km3/year, ∼40% drop of wetland extent during wet seasons, and major improvement in simulated water level variability at multiple locations. Significant soil moisture increase and surface temperature drop were also observed. Wetland outflows decreased by 35%, resulting in a substantial Nash-Sutcliffe coefficient improvement, from −0.73 to 0.79. It is anticipated that future developments in water monitoring and water-related disaster warning systems will considerably benefit from these findings. © 2021. The Authors. Journal of Advances in Modeling Earth Systems published by Wiley Periodicals LLC on behalf of American Geophysical Union.</t>
  </si>
  <si>
    <t>2-s2.0-85106712794"</t>
  </si>
  <si>
    <t>10.1016/j.oneear.2021.02.011</t>
  </si>
  <si>
    <t>https://www.scopus.com/inward/record.uri?eid=2-s2.0-85102653607&amp;doi=10.1016%2fj.oneear.2021.02.011&amp;partnerID=40&amp;md5=3503d1bafec82a7af3f5186b896e28c5</t>
  </si>
  <si>
    <t>Coastal wetlands are well-known hotspots for carbon sequestration. However, they are vulnerable to sea-level rise, and there is concern that this important carbon sink may weaken under climate change. We synthesized 503 measurements of soil carbon accumulation rates from coastal wetlands across the United States and show that carbon accumulation rates are positively correlated with local rates of sea-level rise. We then examined the rapidly submerging Louisiana coast to investigate the balance between carbon loss in eroding marshes and carbon gain in surviving marshes. We find that carbon accumulation rates are generally fastest in portions of Louisiana where rates of sea-level rise and land loss are highest, allowing a net carbon sink to persist. Although erosion will eventually lead to net carbon loss, our results suggest a strong negative carbon-climate feedback for coastal marshes, where even submerging marshes sequester carbon at rates that increase with sea-level rise. © 2021 Elsevier Inc.</t>
  </si>
  <si>
    <t>10.1007/s41748-020-00173-7</t>
  </si>
  <si>
    <t>https://www.scopus.com/inward/record.uri?eid=2-s2.0-85089361758&amp;doi=10.1007%2fs41748-020-00173-7&amp;partnerID=40&amp;md5=f479b04850f3a355e86b637b68efdd27</t>
  </si>
  <si>
    <t>The present study intended to flood susceptibility modeling by using drainage morphometric investigations of the Megech River catchment, Lake Tana Basin, North Western Ethiopia. Drainage morphometric criterion study performs a critical aspect in recognizing the factual aspects of river catchment with concern to floods. In the present study, we depicted the Megech River catchment into four sub-watersheds, followed by clipping off the drainage grid by using ALOS-PALSAR (Advanced Land Observing Satellite-Phased Array-Type L-Band Synthetic Aperture Radar) digital elevation model, toposheets, and Landsat-8 Operational Land Imager coupled with the Geographic Information System (GIS) program. The drainage morphometric parameters, such as basic, linear, areal and relief, were calculated in the current research by using the standard formula. The morphometric parameters, such as bifurcation ratio, drainage density, length of overland flow and drainage frequency, have a direct connection with flood susceptibility. Hence, rank 1 assigned to the highest values of the above-mentioned parameters followed by second-rank to second-highest value and rank third given the lowest value of the above parameters. The morphometric parameters, such as circulatory ratio, form factor, elongation ratio, drainage texture and compactness coefficient, have a reverse relation with flood proneness. Hence, rank 1 assigned to the lowest values of those parameters, followed by rank two to the second-lowest value and rank three given to the highest value of the above parameters. The compound factor is computed by aggregating the assigned ranks of the morphometric drainage parameters mentioned above and then dividing by the number of morphometric criteria used for sub-watersheds prioritization. The results of the present study displayed sub-watershed 3 scored very high prioritization (Ist), including a compound factor value of 1.89, and sub-watershed 2 got the highest compound factor value of 3.11, and it scored the lowest rank (IVth). The found sub-watershed 3 in the current research area was acquired as a high-priority grade one, and it demands urgent flood regulation remedies for competent water budget devising and administration in the Megech catchment area. The current study demonstrates the capability of sub-watershedwise drainage morphometric investigations in the flood susceptibility analysis using toposheets, optical remote sensing data and digital elevation model associated with GIS tools. © 2020, King Abdulaziz University and Springer Nature Switzerland AG.</t>
  </si>
  <si>
    <t>2-s2.0-85089361758"</t>
  </si>
  <si>
    <t>10.3390/ijgi10040252</t>
  </si>
  <si>
    <t>https://www.scopus.com/inward/record.uri?eid=2-s2.0-85106469590&amp;doi=10.3390%2fijgi10040252&amp;partnerID=40&amp;md5=e05ac854bd0f0fe43795b25318e7dd41</t>
  </si>
  <si>
    <t>Floods are among the most common natural hazards around the world. Mapping and evaluating potential flood hazards are essential for flood risk management and mitigation strategies, particularly in coastal areas. Several factors play significant roles in flooding and recognizing the role of these flood-related factors may enhance flood disaster prediction and mitigation strategies. This study focuses on using Shannon’s entropy model to predict the role of seven factors in causing floods in the Governorate of Muscat, Sultanate of Oman, and mapping coastal flood-prone areas. The seven selected factors (including ground elevation, slope degree, hydrologic soil group (HSG), land use, distance from the coast, distance from the wadi, and distance from the road) were initially prepared and categorized into classes based on their contribution to flood occurrence. In the next step, the entropy model was used to determine the weight and contribution of each factor in overall susceptibility. Finally, results from the previous two steps were combined using ArcGIS software to produce the final coastal flood susceptibility index map that was categorized into five susceptibility zones. The result indicated that land use and HSG are the most causative factors of flooding in the area, and about 133.5 km2 of the extracted area is threatened by coastal floods. The outcomes of this study can provide decision-makers with essential information for identifying flood risks and enhancing adaptation and mitigation strategies. For future work, it is recommended to evaluate the reliability of the obtained result by comparing it with a real flooding event, such as flooding during cyclones Gonu and Phet. © 2021 by the authors.</t>
  </si>
  <si>
    <t>2-s2.0-85106469590"</t>
  </si>
  <si>
    <t>10.1007/s11069-021-04628-6</t>
  </si>
  <si>
    <t>https://www.scopus.com/inward/record.uri?eid=2-s2.0-85101261837&amp;doi=10.1007%2fs11069-021-04628-6&amp;partnerID=40&amp;md5=8d9f2488304088c99143cb739cd895c1</t>
  </si>
  <si>
    <t>Marine disasters pose a serious threat to economic and social development; therefore, understanding their occurrence rhythms is of great importance to disaster prevention and mitigation. As a major form of marine disaster in China, storm surges and rough seas are particularly worthy of attention. In this study, statistical data regarding storm surges and rough seas over the past 20 years were collected, and a visual approach was utilized to detect their scope, distribution, and temporal-spatial characteristics. Implementation of disaster prevention and mitigation was then discussed. The results revealed the following: (1) storm surges exhibited significant seasonality (occurring in summer and autumn), while rough sea occurrences occurred throughout the year. (2) The losses caused by storm surges showed clear regional differences. Specifically, the economic losses and death tolls in southern provinces were greater than in northern provinces, but they decreased significantly from 2000–2009 to 2010–2019. (3) The loss caused by rough seas also showed regional differences, with greater loss values in the southern provinces than northern provinces. The total loss has dropped significantly in recent years.</t>
  </si>
  <si>
    <t>10.3389/fenvs.2021.642906</t>
  </si>
  <si>
    <t>https://www.scopus.com/inward/record.uri?eid=2-s2.0-85104249939&amp;doi=10.3389%2ffenvs.2021.642906&amp;partnerID=40&amp;md5=65864004c704111b5ed1f7f69961a284</t>
  </si>
  <si>
    <t>Monitoring of environmental restoration is essential to communicate progress and improve outcomes of current and future projects, but is typically done in a very limited capacity due to budget and personnel constraints. Unoccupied aerial vehicles (UAVs) have been used in a variety of natural and human-influenced environments and have been found to be time- and cost-efficient, but have not yet been widely applied to restoration contexts. In this study, we evaluated the utility of UAVs as an innovative tool for monitoring tidal marsh restoration. We first optimized methods for creating high-resolution orthomosaics and Structure from Motion digital elevation models from UAV imagery by conducting experiments to determine an optimal density of ground control points (GCPs) and flight altitude for UAV monitoring of topography and new vegetation. We used elevation models and raw and classified orthomosaics before, during, and after construction of the restoration site to communicate with various audiences and inform adaptive management. We found that we could achieve 1.1 cm vertical accuracy in our elevation models using 2.1 GCPs per hectare at a flight altitude of 50 m. A lower flight altitude of 30 m was more ideal for capturing patchy early plant cover while still being efficient enough to cover the entire 25-hectare site. UAV products were valuable for several monitoring applications, including calculating the volume of soil moved during construction, tracking whether elevation targets were achieved, quantifying and examining the patterns of vegetation development, and monitoring topographic change including subsidence, erosion, and creek development. We found UAV monitoring advantageous for the ability to survey areas difficult to access on foot, capture spatial variation, tailor timing of data collection to research needs, and collect a large amount of accurate data rapidly at relatively low cost, though with some compromise in detail compared with field monitoring. In summary, we found that UAV data informed the planning, implementation and monitoring phases of a major landscape restoration project and could be valuable for restoration in many habitats. © Copyright © 2021 Haskins, Endris, Thomsen, Gerbl, Fountain and Wasson.</t>
  </si>
  <si>
    <t>2-s2.0-85104249939"</t>
  </si>
  <si>
    <t>10.1007/s10640-021-00547-z</t>
  </si>
  <si>
    <t>https://www.scopus.com/inward/record.uri?eid=2-s2.0-85102424629&amp;doi=10.1007%2fs10640-021-00547-z&amp;partnerID=40&amp;md5=bcd1a5cf3036eeef4c415de245b35368</t>
  </si>
  <si>
    <t>This paper presents a parsimonious model of a coastal locality’s adaptation to rising sea levels and uses the model to examine cost-minimizing policies involving two complementary approaches. One involves irreversible investment in sea walls and similar infrastructure. The other involves activities, such as beach scraping, that only provide temporary protection. Costs are minimized by delaying investment until the present value of the benefits from avoided inundation costs exceeds upfront investment costs by a margin that is economically significant. The premium, which can exceed 50% of investment costs, is higher when the sea level is rising more quickly. The ability to temporarily boost defenses is used aggressively: spending on temporary improvements immediately before investment is several times larger than its value immediately afterwards. Temporary improvements are made even when the marginal cost of increasing the effectiveness of defenses this way is significantly greater than the equivalent annual cost of permanently increasing effectiveness by investment. © 2021, The Author(s), under exclusive licence to Springer Nature B.V.</t>
  </si>
  <si>
    <t>2-s2.0-85102424629"</t>
  </si>
  <si>
    <t>10.1016/j.ocemod.2021.101802</t>
  </si>
  <si>
    <t>https://www.scopus.com/inward/record.uri?eid=2-s2.0-85105691632&amp;doi=10.1016%2fj.ocemod.2021.101802&amp;partnerID=40&amp;md5=04a31758357293d51da481a8adb54a18</t>
  </si>
  <si>
    <t>Climate change and increased coastal urbanization are causing low-lying coastlines to become increasingly susceptible to the threat of extreme water levels and coastal flooding. Robust decision-making on adaptation in the coastal zone, based on reliable ocean-modelling tools, is therefore crucially contingent on accurate assessments of current and future storm surge hazards. This accuracy relies considerably on the quality of the wind forcing used in the ocean models. In this paper, we use a high-resolution, regional 3D ocean model (HBM) covering the North Sea and Baltic Sea to simulate extreme water levels during three extreme storm surge events with different dynamics and patterns, in order to assess their impacts along Denmark's coastlines, which are of varying levels of complexity. We demonstrate that the model is able to reproduce the observed extreme high-water levels accurately, indicating that the system is well suited for producing simulations of present and future projections of extreme storm surges with high resulting impacts and damage potentials. Additionally, we quantify the level at which acknowledged deficiencies in the otherwise most suitable atmospheric forcing data set influence the results of the storm surge simulations. We found that reducing the temporal resolution of the forcing data – that is, replacing two out of every six time stamps with linearly interpolated values – is preferable to using the original forcing data set when recurring noise is present in these time stamps. As a result, for given storm surge events, and depending on the stage reached in the storm's evolution, mean absolute errors can be reduced by 4.5cm. This emphasizes the importance of considering such model fluctuations when coupling high-resolution atmosphere and ocean models. © 2021 The Authors</t>
  </si>
  <si>
    <t>2-s2.0-85105691632"</t>
  </si>
  <si>
    <t>Earth and Planetary Science Letters</t>
  </si>
  <si>
    <t>10.1016/j.epsl.2021.116786</t>
  </si>
  <si>
    <t>https://www.scopus.com/inward/record.uri?eid=2-s2.0-85100263992&amp;doi=10.1016%2fj.epsl.2021.116786&amp;partnerID=40&amp;md5=9f242d7773c67ccd275ffc5f4657d5b8</t>
  </si>
  <si>
    <t>River deltas grow through repeated stacking of sedimentary lobes, the location and size of which are determined by channel avulsions (relatively sudden changes in river course). We use a model coupling fluvial and coastal processes to explore avulsion dynamics under a range of wave energies and sea-level-rise rates and find that the primary control on avulsion location and delta lobe size in our model is the critical superelevation ratio (SER), the amount of channel aggradation relative to the surrounding floodplain that is required to trigger an avulsion. The preferred avulsion location arises because of geometric constraints – a preferential avulsion node occurs at the break in floodplain slope that develops as the river progrades and/or sea level rises. This concavity develops in our model because the river profile aggrades and erodes via linear diffusion, whereas the diffusion of the floodplain topography is limited to episodic crevasse splays. These results are in contrast to recent modeling work, which was motivated by laboratory experiments and assumes a union between river channel and floodplain aggradation rates, and where avulsion nodes are driven by backwater hydrodynamics. The preferred avulsion length in our model scales well with laboratory, field, and model results without including hydrodynamic backwater effects. This work suggests an alternative mechanism to explain avulsion locations on deltas where floodplain topography aggrades and/or diffuses more slowly than the river channel profile, and it points to the need to elucidate river channel and floodplain connectivity over large space and time scales, and how the connectivity varies from one type of delta to another. © 2021</t>
  </si>
  <si>
    <t>2-s2.0-85100263992"</t>
  </si>
  <si>
    <t>10.1016/j.coldregions.2021.103279</t>
  </si>
  <si>
    <t>https://www.scopus.com/inward/record.uri?eid=2-s2.0-85103987322&amp;doi=10.1016%2fj.coldregions.2021.103279&amp;partnerID=40&amp;md5=818f98a9f3ddaed6dea080fac422631c</t>
  </si>
  <si>
    <t>Major ice jams forming in lower reaches of the Peace River during spring breakup have been identified as the main agents of flooding and replenishment of perched basins of the Peace–Athabasca Delta, one of the world's largest inland freshwater deltas that supports a dynamic and valuable ecosystem. The paucity of ice jamming in the lower Peace River following construction of the Bennett Dam and the potential impacts of climate change have raised concerns regarding habitat degradation. One of the factors controlling ice-jam formation is the thickness of the winter ice cover, which may decrease in the future as a result of climatic warming, known to be most pronounced in northern parts of the globe and during the winter season. Using downscaled daily output from six Global Climate Models under two Representative Concentration Pathway scenarios, ice thickness is calculated for the years 1950 to 2100. Comparisons of monthly model-generated air temperatures and winter snowfall to historical data at nearby Fort Chipewyan indicate satisfactory agreement in terms of both magnitude and variability. Future projections show that under the highest emission scenario, average thickness decreases by about 0.2 m between the 1980s and the 2050s</t>
  </si>
  <si>
    <t>10.1016/j.wace.2021.100309</t>
  </si>
  <si>
    <t>https://www.scopus.com/inward/record.uri?eid=2-s2.0-85101819807&amp;doi=10.1016%2fj.wace.2021.100309&amp;partnerID=40&amp;md5=613314022ea5934a0ead65d445702696</t>
  </si>
  <si>
    <t>Climate change due to global warming is expected to have major impacts on phenomena such as tropical cyclones (TCs), Baiu, precipitation, and seasonal storms. Many natural disasters in East Asia are driven by TC (typhoon) activity in particular and their associated hazards are sensitive to local-scale characteristics. As such, it is critically important to numerically simulate TC activity (and other phenomenon) on local scales in order to properly assess climate change impacts on natural hazards in the region. In addition, projecting future changes of many TC-related hazards and/or their potential economic impacts can be challenging due to their low occurrence frequencies in any one particular area. With these views in mind, a collaborative research program was formed in Japan to project long-term changes in natural hazards in Japan and East Asia based on local-scale and large-ensemble numerical experiments. This paper reviews recent climate change impact assessments (written in both English and Japanese) from the program and summarizes the projected future changes in precipitation, river flooding, and coastal hazards, and their associated economic impacts. © 2021 The Author(s)</t>
  </si>
  <si>
    <t>2-s2.0-85101819807"</t>
  </si>
  <si>
    <t>10.3390/ijgi10040247</t>
  </si>
  <si>
    <t>https://www.scopus.com/inward/record.uri?eid=2-s2.0-85106467856&amp;doi=10.3390%2fijgi10040247&amp;partnerID=40&amp;md5=575fd7c7cb8618effdadf5c224a43bf2</t>
  </si>
  <si>
    <t>Basin geomorphology is a complete system of landforms and topographic features that play a crucial role in the basin-scale flood risk evaluation. Nepal is a country characterized by several rivers and under the influence of frequent floods. Therefore, identifying flood risk areas is of paramount importance. The East Rapti River, a tributary of the Ganga River, is one of the flood-affected basins, where two major cities are located, making it crucial to assess and mitigate flood risk in this river basin. A morphometric calculation was made based on the Shuttle Radar Topographic Mission (SRTM) 30-meter Digital Elevation Model (DEM) in the Geographic Information System (GIS) environment. The watershed, covering 3037.29 km2 of the area has 14 sub-basins (named as basin A up to N), where twenty morphometric parameters were used to identify flash flood potential sub-basins. The resulting flash flood potential maps were categorized into five classes ranging from very low to very high-risk. The result shows that the drainage density, topographic relief, and rainfall intensity have mainly contributed to flash floods in the study area. Hence, flood risk was analyzed pixel-wise based on slope, drainage density, and precipitation. Existing landcover types extracted from the potential risk area indicated that flash flood is more frequent along the major Tribhuvan Rajpath highway. The landcover data shows that human activities are highly concentrated along the west (Eastern part of Bharatpur) and the east (Hetauda) sections. The study concludes that the high human concentrated sub-basin “B” has been categorized as a high flood risk sub-basin</t>
  </si>
  <si>
    <t>10.1016/j.quaint.2020.10.074</t>
  </si>
  <si>
    <t>https://www.scopus.com/inward/record.uri?eid=2-s2.0-85096022203&amp;doi=10.1016%2fj.quaint.2020.10.074&amp;partnerID=40&amp;md5=e1c9d279e6c8d6fa5ade21842a369e4f</t>
  </si>
  <si>
    <t>The shell mounds on Brazil's northeast coast have received little scholarly attention, compared to the southern coastline and lower Amazon, due to their lower density and visibility. This article summarizes existing research on shell middens in northeast Brazil and presents recent findings from the Saco da Pedra coastal shell midden site. The breaching of an offshore sand bar resulted in inundation of more than half the area of the midden and fortuitously exposed the remnants of a shell workshop. This is the first recognized shell workshop associated with a shell midden in Brazilian territory. A better understanding of coastal dynamics and their impact on the destruction or visibility of shell middens opens up the possibility of new explanations for differences in coastal site distributions in space and time. Moreover, the site's technologically simple ceramic ware relates Saco da Pedra to Macro-Jê populations, ancient Amazonian shell mounds, and Tupinambá peoples at the nearby site Cunhambebe. © 2020 Elsevier Ltd and INQUA</t>
  </si>
  <si>
    <t>2-s2.0-85096022203"</t>
  </si>
  <si>
    <t>10.1016/j.envsoft.2021.105035</t>
  </si>
  <si>
    <t>https://www.scopus.com/inward/record.uri?eid=2-s2.0-85103428994&amp;doi=10.1016%2fj.envsoft.2021.105035&amp;partnerID=40&amp;md5=c8aab32b8127da27f7a549680507909e</t>
  </si>
  <si>
    <t>To mitigate the unavailability of accurate river channel terrain data for flood modeling, this work develops a new approach to construct channel terrain based on available global coarse digital elevation models (DEMs). Compared to other established methods, the approach constructs the river surface using the sparse cross-section data from available coarse DEMs and not measurements. For a 134 km river reach of the Yangtze River, the absolute percentage error of simulated peak discharge with the coarse DEMs is 76.77%, and the delay time of peak discharge is 13 h; however, with the reconstructed terrain data are 12.13% and 0 h. They are 9.70% and −1 h on a 382 km river reach. The simulation results show that the approach can be used to reliably predict the flood propagation process without fine terrain data. The proposed approach can be used to improve flood management in areas without fine river terrain data.</t>
  </si>
  <si>
    <t>10.1007/s41748-021-00221-w</t>
  </si>
  <si>
    <t>https://www.scopus.com/inward/record.uri?eid=2-s2.0-85105731191&amp;doi=10.1007%2fs41748-021-00221-w&amp;partnerID=40&amp;md5=bda9e9ab79123d2cf2806294cd97d1a3</t>
  </si>
  <si>
    <t>The north-eastern haor (wetland) area of Bangladesh is extremely vulnerable to flash flooding which damages crops, property, and infrastructures. The main objective of this research is to develop and test a methodology for delineation of flash flood hazard zones in the north-eastern haor (wetland) region of Bangladesh which would help to identify and prepare against the flash flood. After reviewing relevant literature, multiple indicators and indexes including slope, soil type, rainfall, land use land cover, drainage density, distance from the river, normalized difference vegetation index, topographic wetness index, and digital elevation model were used to assess the flood susceptibility in the study region. The Landsat 8 images and data from other secondary sources are used in AHP and GIS platforms to obtain the results. The findings show that among the seven haor districts, the susceptibility of flood hazard differs significantly. Significant areas from Brahmanbaria, Kishoreganj, Netrokona, Sunamganj district have been emerged as highly susceptible to flash flood hazard. About 756,970 ha areas were identified as high flood-prone areas. The other three haor districts such as Habiganj, Moulavibazar, and Sylhet are less susceptible to flash floods. About 255,587-ha areas were identified as low flood-prone. Model validity was tested through receiver operating characteristics (ROC) curve. In the ROC curve, the area under the curve (AUC) is 0.839 which means the model’s predictive power is 84%. Similarly, the Wilcoxon signed rank test and the Friedman test also show that the model is valid. Furthermore, the correlation analysis between flood hazard map and inundation map (based on 2017s flood) was also performed where a moderately good R2 value (0.72) was obtained which means the susceptibility map has delineated the flood-prone areas correctly in 73% of cases. In the changing scenario of climate, the risk of flash floods might increase even more. Therefore, the findings could help the policymakers and planners in developing a preparedness system that would limit the property loss and wealth in the north-eastern haor region of Bangladesh. © 2021, King Abdulaziz University and Springer Nature Switzerland AG.</t>
  </si>
  <si>
    <t>2-s2.0-85105731191"</t>
  </si>
  <si>
    <t>10.2112/JCOASTRES-D-20-00061.1</t>
  </si>
  <si>
    <t>https://www.scopus.com/inward/record.uri?eid=2-s2.0-85105445330&amp;doi=10.2112%2fJCOASTRES-D-20-00061.1&amp;partnerID=40&amp;md5=cf1a1fface909df49d1e4f31ff1fee4b</t>
  </si>
  <si>
    <t>The main contribution of this paper is a new interpretation of the geomorphological evolution of the North Patagonian coast surrounding the Golfo Nuevo from Mid-to-Late Pleistocene until present. The proposed model shows how continental and marine landforms evolved during the Late Quaternary. According to this, the Golfo Nuevo depression formed during the Middle Pleistocene (&gt;130 ka) above previous fluvial terraces, which are attributed to different stages of the Chubut river. Several pediment types and levels were also identified: (1) flanking pediment (level 1) associated with an ancient fluvial valley</t>
  </si>
  <si>
    <t>10.1007/s10113-021-01780-4</t>
  </si>
  <si>
    <t>https://www.scopus.com/inward/record.uri?eid=2-s2.0-85105797371&amp;doi=10.1007%2fs10113-021-01780-4&amp;partnerID=40&amp;md5=c0b400cada9be42e925b92fa8cb88de2</t>
  </si>
  <si>
    <t>The relocation and retreat of low-lying coastal communities are expected to increase in anticipation of, and response to, sea-level rise and subsequent coastal hazard risks. As such, there is burgeoning attention in research and policy surrounding relocation that is managed and supported through external sources. Yet there exists limited research into the ways Indigenous communities are autonomously retreating from emerging coastal hazard risk, despite long histories of mobility and inherent adaptive capacities. We contribute to this gap through qualitative data derived from two low-lying coastal iTaukei (Indigenous Fijian) communities that are exposed to coastal erosion, storm surges, and flooding events, alongside other socioeconomic pressures. We explore the approach of “generational retreat” which is emerging as a long-term relocation strategy employed by village residents. Generational retreat is a form of mobility whereby households, namely, younger generations, incrementally retreat in response to existing, emerging, and anticipated coastal changes while maintaining connections to place and village life. We show how communities are drawing on local processes and resources to direct autonomous adaptation pathways which are suited to local sociopolitical, cultural, and environmental contexts. We further explore opportunities for governments and external actors in supporting these locally conceived and driven forms of retreat as an adaptive and sustainable response to coastal change. © 2021, The Author(s), under exclusive licence to Springer-Verlag GmbH Germany, part of Springer Nature.</t>
  </si>
  <si>
    <t>2-s2.0-85105797371"</t>
  </si>
  <si>
    <t>10.1016/j.scitotenv.2021.145125</t>
  </si>
  <si>
    <t>https://www.scopus.com/inward/record.uri?eid=2-s2.0-85100110249&amp;doi=10.1016%2fj.scitotenv.2021.145125&amp;partnerID=40&amp;md5=4dec2abdb7ed29202d4357398f816430</t>
  </si>
  <si>
    <t>Coastal lowlands are of particular importance in providing food, shelter, and livelihoods for large populations; yet aggravating effects caused by human activities and climate change have exposed these areas to multiple challenges. Located in the southernmost part of the Lower Mekong Basin, the Vietnamese Mekong Delta (VMD) is adversely affected by upstream hydropower development, localised water-engineering systems (dykes), climatic factors, and sea level rise. This paper examines how these drivers shape the adaptation strategies of rural communities in the coastal areas. Using mixed sources of historical measured data, numerical modelling and qualitative data gathered in three coastal provinces (Ben Tre, Tra Vinh, and Soc Trang), we find that hydrological alterations are manipulated by various drivers with more immediate effects of the tidal systems and sea level rise in the Vietnamese East Sea. The study results suggest that while these impacts are not adequately addressed by delta-scale measures, a mixed policy approach including control and adaptation measures has been adopted to tackle saltwater intrusion on the local scale. The paper provides a holistic insight into the complex temporal-spatial dimensions of hydrological change which have distressed coastal agroecosystems and resource-dependent communities. The paper argues that while voicing concerns over transboundary hydropower impacts is essential, in situ collaborative efforts among salinity-affected jurisdictions are equally important in addressing high uncertainty and complexity of saltwater intrusion in the future.</t>
  </si>
  <si>
    <t>Environmental Engineering Science</t>
  </si>
  <si>
    <t>10.1089/ees.2020.0285</t>
  </si>
  <si>
    <t>https://www.scopus.com/inward/record.uri?eid=2-s2.0-85107381087&amp;doi=10.1089%2fees.2020.0285&amp;partnerID=40&amp;md5=b73ebdf36786ec77177772236881c848</t>
  </si>
  <si>
    <t>Consequences of climate inaction are already felt by many vulnerable populations, and adapting to these impacts is an increasingly important necessity for affected communities. This study assessed adaptation priority differences in the Philippines to determine if traditional climate change decision makers accurately represent the marginalized communities they serve. Specifically, this study gathered baseline data of climate change knowledge, compared resiliency priorities and proposed strategies between local government workers and village residents, and analyzed factors that contribute to identify differences. The study's target group (residents of small villages) has historically been marginalized in municipal environmental decision making. Data collected through focus group discussions and interviews demonstrated there was a statistical difference between local government officials who were more likely to propose abstract, systemic adaptation strategies to build social capacity (69% of government officials' proposed strategies), while village residents focused on physical infrastructure (59% of village residents' proposed strategies). A second study outcome was the identification of contributing factors in how Filipinos might propose climate change adaptation strategies: for example, education levels, social or economic class, accessibility to resources, sources of information, and past experience with hazards. The significance of this research is the evidence of climate change adaptation prioritization differences between the country's traditional decision-making group, the municipal government unit, and marginalized members of local villages. The differences show that local municipal government units in the Philippines may not be the most effective base group for bottom-up adaptation and support the need for effective collaboration and community engagement in future climate change planning.  © Copyright 2021, Mary Ann Liebert, Inc., publishers 2021.</t>
  </si>
  <si>
    <t>2-s2.0-85107381087"</t>
  </si>
  <si>
    <t>Frontiers in Robotics and AI</t>
  </si>
  <si>
    <t>10.3389/frobt.2021.548444</t>
  </si>
  <si>
    <t>https://www.scopus.com/inward/record.uri?eid=2-s2.0-85105576708&amp;doi=10.3389%2ffrobt.2021.548444&amp;partnerID=40&amp;md5=251f08f787896cf3d547f3cf1de04a02</t>
  </si>
  <si>
    <t>The continuous increase in population and human migration to urban and coastal areas leads to the expansion of built environments over natural habitats. Current infrastructure suffers from environmental changes and their impact on ecosystem services. Foundations are static anchoring structures dependent on soil compaction, which reduces water infiltration and increases flooding. Coastal infrastructure reduces wave action and landward erosion but alters natural habitat and sediment transport. On the other hand, root systems are multifunctional, resilient, biological structures that offer promising strategies for the design of civil and coastal infrastructure, such as adaptivity, multifunctionality, self-healing, mechanical and chemical soil attachment. Therefore, the biomimetic methodology is employed to abstract root strategies of interest for the design of building foundations and coastal infrastructures that prevent soil erosion, anchor structures, penetrate soils, and provide natural habitat. The strategies are described in a literature review on root biology, then these principles are abstracted from their biological context to show their potential for engineering transfer. After a review of current and developing technologies in both application fields, the abstracted strategies are translated into conceptual designs for foundation and coastal engineering. In addition to presenting the potential of root-inspired designs for both fields, this paper also showcases the main steps of the biomimetic methodology from the study of a biological system to the development of conceptual technical designs. In this way the paper also contributes to the development of a more strategic intersection between biology and engineering and provides a framework for further research and development projects. © Copyright © 2021 Stachew, Houette and Gruber.</t>
  </si>
  <si>
    <t>2-s2.0-85105576708"</t>
  </si>
  <si>
    <t>10.1016/j.cosust.2021.02.010</t>
  </si>
  <si>
    <t>https://www.scopus.com/inward/record.uri?eid=2-s2.0-85102613638&amp;doi=10.1016%2fj.cosust.2021.02.010&amp;partnerID=40&amp;md5=9d270582216fe82a3b9c41a728cce241</t>
  </si>
  <si>
    <t>Sea level rise and land subsidence — induced flooding are projected to have severe impacts on highly populated Asian deltaic cities. These cities are already suffering from frequent floods, though few comparative analyses have been conducted on the similarities and differences of their adaptation approaches. Thus, this study aims to investigate the current adaptation pathways of Asian deltaic cities to flooding induced by slow onset events such as urbanization-induced land subsidence and sea level rise, by looking at Tokyo, Jakarta, Manila, and Ho Chi Minh City as case studies. Evidence from them shows that an engineering approach towards flooding adaptation is shaping the future of Asian deltaic cities. However, emerging challenges question the sustainability of this approach. Recommendations on how to improve current adaptation pathways and direction for future research are also provided. © 2021 Elsevier B.V.</t>
  </si>
  <si>
    <t>2-s2.0-85102613638"</t>
  </si>
  <si>
    <t>10.3389/fenvs.2021.670914</t>
  </si>
  <si>
    <t>https://www.scopus.com/inward/record.uri?eid=2-s2.0-85107034694&amp;doi=10.3389%2ffenvs.2021.670914&amp;partnerID=40&amp;md5=95cfe725d65b71bdc28969db744d84ff</t>
  </si>
  <si>
    <t>Subsurface mixing of seawater and terrestrial-borne meteoric waters on carbonate landscapes creates karst subterranean estuaries, an area of the coastal aquifer with poorly understood carbon cycling, ecosystem functioning, and impact on submarine groundwater discharge. Caves in karst platforms facilitate water and material exchange between the marine and terrestrial environments, and their internal sedimentation patterns document long-term environmental change. Sediment records from a flooded coastal cave in Cozumel Island (Mexico) document decreasing terrestrial organic matter (OM) deposition within the karst subterranean estuary over the last ∼1,000 years, with older sediment likely exported out of the cave by intense storm events. While stable carbon isotopic values (δ13Corg ranging from −22.5 to −27.1‰) and C:N ratios (ranging from 9.9 to 18.9) indicate that mangrove and other terrestrial detritus surrounding an inland sinkhole are the primarily sedimentary OM supply, an upcore decrease in bulk OM and enrichment of δ13Corg values are observed. These patterns suggest that a reduction in the local mangrove habitat decreased the terrestrial particulate OM input to the cave over time. The benthic foraminiferal community in basal core sediment have higher proportions of infaunal taxa (i.e., Bolivina) and Ammonia, and assemblages shift to increased miliolids and less infaunal taxa at the core-top sediment. The combined results suggest that a decrease in terrestrial OM through time had a concomitant impact on benthic meiofaunal habitats, potentially by impacting dissolved oxygen availability at the microhabitat scale or resource partitioning by foraminifera. The evidence presented here indicates that landscape and watershed level changes can impact ecosystem functioning within adjacent subterranean estuaries. © Copyright © 2021 Brankovits, Little, Winkler, Tamalavage, Mejía-Ortíz, Maupin, Yáñez-Mendoza and van Hengstum.</t>
  </si>
  <si>
    <t>2-s2.0-85107034694"</t>
  </si>
  <si>
    <t>10.1016/j.envdev.2020.100556</t>
  </si>
  <si>
    <t>https://www.scopus.com/inward/record.uri?eid=2-s2.0-85090238129&amp;doi=10.1016%2fj.envdev.2020.100556&amp;partnerID=40&amp;md5=4c4a1d0e50587a51713d614b909cec4b</t>
  </si>
  <si>
    <t>This study examines the direct and indirect impacts of climate change to the tourism sector on the islands of New Providence and adjacent Paradise Island in the Bahamas. The assessment was carried out by conducting a geospatial analysis of tourism establishments at risk using Geographic Information Systems (GIS). We combined the geospatial analysis with publicly available databases to assess the integrated climate-related impacts pertaining to a Small Island Developing State (SIDS) economy. Our study estimated that many tourism properties currently lie in a storm surge zone and the extent of properties at risk increases with a future scenario of a 1 m rise in sea level. While sea level rise (SLR) by itself only threatens a small number of properties, when combined with weak (Category 1), moderate (Category 3) and strong (Category 5) storms the resulting coastal flooding impacts 34%, 69%, and 83% of the tourism infrastructure (hotels and resorts), respectively. In addition to flooding, properties are also susceptible to coastal erosion with 28% of the total hotels and resorts on the two islands being situated within 0–50 m and 60% of the tourism infrastructure within 0–100 m of the coastline. Considering the economic importance of the sector, the potential impacts on the tourism infrastructure will cause significant losses in revenue and employment for the two islands. Furthermore, the majority of the tourism on these islands is beach-based and visitor expenditures will decline due to their vulnerability. These losses will have far-reaching social-economic consequences for the Bahamas. Our findings reveal a need for integrated coastal zone management that incorporates tourism management strategies with adaptation measures to deal with climate change. © 2020 Elsevier B.V.</t>
  </si>
  <si>
    <t>2-s2.0-85090238129"</t>
  </si>
  <si>
    <t>Zeitschrift der Deutschen Gesellschaft fur Geowissenschaften</t>
  </si>
  <si>
    <t>10.1127/zdgg/2021/0252</t>
  </si>
  <si>
    <t>https://www.scopus.com/inward/record.uri?eid=2-s2.0-85107516975&amp;doi=10.1127%2fzdgg%2f2021%2f0252&amp;partnerID=40&amp;md5=b68250d85300d88cf8044fc2d665fa9a</t>
  </si>
  <si>
    <t>A series of mainly sedimentological studies from the last 100 years have been re-examined and integrated with new fieldwork, in order to redefine the palaeogeography of the Rhenish Slate Mountain region during the Early Devonian. Existing interpretations were classified using a clastic coast model and interpolated to create palaeodepositional maps. These maps show the evolution of the Rheno-Hercynian Basin from the Lower Pragian through to the Upper Emsian. During the Pragian and the Early Emsian, deposition in the Rheno-Hercynian Basin was mainly influenced by the development of the Siegenian Delta, a major fluvial-dominated depositional environment, as well as by the varying subsidence rates in the different sub-basins. With the end of rifting in the basin, the depositional setting changed dramatically from one characterised by relatively shallow shelf conditions, with related deeper sub-basins, to an archipelago-like shallow marine environment. © 2021 E. Schweizerbart’sche Verlagsbuchhandlung, Stuttgart, Germany.</t>
  </si>
  <si>
    <t>2-s2.0-85107516975"</t>
  </si>
  <si>
    <t>10.1007/s10668-020-00682-5</t>
  </si>
  <si>
    <t>https://www.scopus.com/inward/record.uri?eid=2-s2.0-85082851563&amp;doi=10.1007%2fs10668-020-00682-5&amp;partnerID=40&amp;md5=7b831f8cabe055f898031a700ca21ebe</t>
  </si>
  <si>
    <t>Climate variability and continual occurrence of cyclones, flood and storm surge have greater implications on fragile ecosystem of Indian Sundarban Biosphere Reserve (SBR). Centurial meteorological data were used to assess the climate variability in the Reserve. Multivariate principal component analysis was performed to identify the consistency among the conditioning parameters of climate. Cyclones, severe cyclone, storm surge height, salinity intrusion, pH and surface water temperature were assessed to figure out the overall consequences of climate variability. Field investigation from 570 households from coastal and inland blocks (administrative division of the district) was carried out to reaffirm the variability in climatic conditions and its environmental, economic and social consequences in SBR. Study revealed wide spatiotemporal variation in temperature and rainfall. Rise in sea level, flood and high storm surge height and salinity intrusion were inducing vulnerability in the coastal blocks. Communities in Gosaba, Kultali, Kakdwip, Sagar, Patharpratima and Namkhana blocks largely showed high level of agreement for climate variability. Hence, the study calls for effective adaptation and mitigation strategies. © 2020, Springer Nature B.V.</t>
  </si>
  <si>
    <t>2-s2.0-85082851563"</t>
  </si>
  <si>
    <t>10.1016/j.ejrh.2020.100746</t>
  </si>
  <si>
    <t>https://www.scopus.com/inward/record.uri?eid=2-s2.0-85097913878&amp;doi=10.1016%2fj.ejrh.2020.100746&amp;partnerID=40&amp;md5=fa1c01e723c400746116ef12f89d5dcf</t>
  </si>
  <si>
    <t>Study Region: Vietnamese Mekong Delta. Study focus: This study investigates the trends of groundwater levels (GWLs), the memory effect of alluvial aquifers, and the response times between surface water and groundwater across the Vietnamese Mekong Delta (VMD). Trend analysis, auto- and cross-correlation, and time-series decomposition were applied within a moving window approach to examine non-stationary behavior. New hydrological insights: Our study revealed an effective connection between the shallowest aquifer unit (Holocene) and surface water, and a high potential for shallow groundwater recharge. However, low-permeable aquicludes separating the aquifers behave as low-pass filters that reduce the high-frequency signals in the GWL variations, and limit the recharge to the deep groundwater. Declining GWLs (0.01−0.55 m/year) were detected for all aquifers throughout the 22 years of observation, indicating that the groundwater abstraction exceeds groundwater recharge. Stronger declining trends were detected for deeper groundwater. The dynamic trend analysis indicates that the decrease of GWLs accelerated continuously. The groundwater memory effect varied according to the geographical location, being shorter in shallow aquifers and flood-prone areas and longer in deep aquifers and coastal areas. Variation of the response time between the river and alluvial aquifers was controlled by groundwater depth and season. The response time was shorter during the flood season, indicating that the bulk of groundwater recharge occurred in the late flood season, particularly in the deep aquifers. © 2020 The Author(s)</t>
  </si>
  <si>
    <t>2-s2.0-85097913878"</t>
  </si>
  <si>
    <t>10.1016/j.ijdrr.2021.102111</t>
  </si>
  <si>
    <t>https://www.scopus.com/inward/record.uri?eid=2-s2.0-85100704685&amp;doi=10.1016%2fj.ijdrr.2021.102111&amp;partnerID=40&amp;md5=d74069fc73aca94dda4f5b7da0af3f8c</t>
  </si>
  <si>
    <t>Lokoja, the capital of Kogi State, Nigeria, experiences seasonal flooding with devastating consequences on the people and the natural and built environments. In contrast with developed countries, researchers and flood managers in Nigeria have largely ignored Participatory Geographic Information System, which integrates the perceptions and experiences of the people affected by flood events with technical, conventional methods, as a flood management strategy, with flood managers employing a reactive, top-bottom post-flood strategy of relief and rescue. This study employed PGIS to conduct a vulnerability assessment in Lokoja as a pre-flood strategy that involves the communities. Datasets utilized include Landsat imageries, DEM, and soil samples. Spatial multi-criteria evaluation using the analytical hierarchy process was employed to analyze flood parameters determined through community participation to evaluate vulnerability while consistency ratio was also calculated to ensure that the comparison of criteria made was consistent. Results revealed that elevation is the most important factor, and land use, among other parameters of flood vulnerability. Out of a total area of 6, 258 Ha, 4, 445 Ha are highly vulnerable and 1, 815 Ha being moderately vulnerable. Comparison consistency ratio was determined to be 0.08 which is acceptable. Based on the results, this study concludes that the perception of affected communities can complement conventional flood research for a more effective response and mitigation strategy. The research therefore recommends the integration of geospatial techniques and participatory approaches for flood vulnerability studies for a proactive, bottom-up approach to flood management. © 2021 Elsevier Ltd</t>
  </si>
  <si>
    <t>2-s2.0-85100704685"</t>
  </si>
  <si>
    <t>10.1111/gwat.13041</t>
  </si>
  <si>
    <t>https://www.scopus.com/inward/record.uri?eid=2-s2.0-85090472052&amp;doi=10.1111%2fgwat.13041&amp;partnerID=40&amp;md5=7a278fe25bdf4e85590adac532178532</t>
  </si>
  <si>
    <t>Predicting and mapping high water table elevation in coastal landscapes is critical for both science application projects like inundation risk analysis and engineering projects like pond design and maintenance. Previous studies of water table mapping focused on the application of geostatistical methods, which cannot predict values beyond an observation spatial domain or generate an ideal pattern for regions with sparse measurements. In this study, we evaluated the multiple linear regression (MLR) and support vector machine (SVM) techniques for high water table prediction and mapping using fine spatial resolution lidar-derived Digital Elevation Model (DEM) data, and designed an application protocol of these two techniques for high water table mapping in a coastal landscape where groundwater, tide, and surface water are related. Testing results showed that SVM largely improved the high water table prediction with a mean absolute error (MAE) of 1.22 feet and root mean square error (RMSE) of 2.22 feet compared to the application of the ordinary Kriging method which could not generate a reasonable water table. MLR was also promising with a MAE of around 2 feet and RMSE of around 3 feet. The study suggests that both MLR and SVM are valuable alternatives to estimate high water table elevation in Florida. Fine resolution lidar DEMs are beneficial for high water table prediction and mapping. © 2020 National Ground Water Association</t>
  </si>
  <si>
    <t>2-s2.0-85090472052"</t>
  </si>
  <si>
    <t>10.1007/s11852-020-00788-y</t>
  </si>
  <si>
    <t>https://www.scopus.com/inward/record.uri?eid=2-s2.0-85098946775&amp;doi=10.1007%2fs11852-020-00788-y&amp;partnerID=40&amp;md5=53c23c4ecb88ff512b4a3146eebe06c3</t>
  </si>
  <si>
    <t>Tropical cyclone associated storm surges and their disastrous influences are becoming a major concern amongst the worldwide coastal community. The detailed risk modelling study seems an urgent need to support the storm surge mitigation actions. Using a Geographic Information System (GIS) based risk model, this study attempted to obtain both present and future storm surge wave heights in the Cox’s Bazar Sadar Upazilla in Bangladesh. Linear storm surge model setup was done for the different return periods includes 5, 10, 20, 50, and 100 years. Also, to assess climate change effects, a 0.34 m sea-level rise in 2050 was tested using the regional scale surge models. The simulated storm surge model provided a time series dataset for the risk model and obtained risk maps comprised of the relationship among risk zone and the return periods. With the present inundation depth trend, the acquired risk maps of 50 and 100 year return period showed that 10.13% and 36.4% of the study area belongs to very high-risk zone respectively. Conversely, for future inundation depth conditions 30.83% and 49.9% of the study area would be within a very high-risk zone in 50 and 100 year return period respectively. This is envisaged that a detailed historical inundation dataset could enrich the adopted approach considering both present and future storm surge risk modelling for the Decision Support System (DSS). Also, this approach might be adopted for other identical coastal environments to aid mitigation programs and strategies. © 2021, The Author(s), under exclusive licence to Springer Nature B.V. part of Springer Nature.</t>
  </si>
  <si>
    <t>2-s2.0-85098946775"</t>
  </si>
  <si>
    <t>10.5194/nhess-21-439-2021</t>
  </si>
  <si>
    <t>https://www.scopus.com/inward/record.uri?eid=2-s2.0-85100692800&amp;doi=10.5194%2fnhess-21-439-2021&amp;partnerID=40&amp;md5=f7773d2ec0f1d91fd4066dae6d5c42fa</t>
  </si>
  <si>
    <t>Storm surge is one of the most destructive marine disasters to life and property for Chinese coastal regions, especially for Guangdong Province. In Huizhou city, Guangdong Province, due to the high concentrations of chemical and petroleum industries and the high population density, the low-lying coastal area is susceptible to the storm surge. Therefore, a comprehensive risk assessment of storm surge over the coastal area of Huizhou can delimit zones that could be affected to reduce disaster losses. In this paper, typhoon intensity for the minimum central pressure of 880, 910, 920, 930, and 940 hPa (corresponding to a 1000-, 100-, 50-, 20-, and 10-year return period) scenarios was designed to cover possible situations. The Jelesnianski method and the Advanced Circulation (ADCIRC) model coupled with the Simulating Waves Nearshore (SWAN) model were utilized to simulate inundation extents and depths of storm surge over the computational domain under these representative scenarios. Subsequently, the output data from the coupled simulation model (ADCIRC-SWAN) were imported to the geographic information system (GIS) software to conduct the hazard assessment for each of the designed scenarios. Then, the vulnerability assessment was made based on the dataset of land cover types in the coastal region. Consequently, the potential storm surge risk maps for the designed scenarios were produced by combining hazard assessment and vulnerability assessment with the risk matrix approach. The risk maps indicate that due to the protection given by storm surge barriers, only a small proportion of the petrochemical industrial zone and the densely populated communities in the coastal areas were at risk of storm surge for the scenarios of 10- A nd 20-year return period typhoon intensity. Moreover, some parts of the exposed zone and densely populated communities were subject to high and very high risk when typhoon intensities were set to a 50-or a 100-year return period. Besides, the scenario with the most intense typhoon (1000-year return period) induced a very high risk to the coastal area of Huizhou. Accordingly, the risk maps can help decision-makers to develop risk response plans and evacuation strategies in coastal communities with a high population density to minimize civilian casualties. The risk analysis can also be utilized to identify the risk zones with the high concentration of chemical and petroleum industries to reduce economic losses and prevent environmental damage caused by the chemical pollutants and oil spills from petroleum facilities and infrastructures that could be affected by storm surge. © 2021 Georg Thieme Verlag. All rights reserved.</t>
  </si>
  <si>
    <t>2-s2.0-85100692800"</t>
  </si>
  <si>
    <t>10.1007/s12517-021-06497-6</t>
  </si>
  <si>
    <t>https://www.scopus.com/inward/record.uri?eid=2-s2.0-85099902636&amp;doi=10.1007%2fs12517-021-06497-6&amp;partnerID=40&amp;md5=36038a47ccb4803d77c033c9f544592f</t>
  </si>
  <si>
    <t>Nile Delta, one of the most populated deltas around the world, is suffering from subsidence due to the natural compaction of its sediment. Land subsidence has a great impact on the infrastructure, economic, and social. This study investigatesthe evaluation of the land subsidence in Nile Delta using GNSS measurements. Eight stations of GNSS points through period 2013–2015 distributed around Nile Delta and the Northern part of Egypt are utilized using differential GPS with nine IGS stations by GAMIT/GLOBK V. 10.61. The main objective is to monitor the spatiotemporal variations of land surface within the Nile Delta by time series analysis of the ellipsoidal height. The northern part of Egypt can be divided into three major parts; the western part shows subsidence rate of 2 mm/year downward; Nile Deltaof 2.5 to 10 mm/year downward from west to east and the eastern part shows an uplift.</t>
  </si>
  <si>
    <t>Ecosystem Transformation</t>
  </si>
  <si>
    <t>10.23859/estr-210126</t>
  </si>
  <si>
    <t>https://www.scopus.com/inward/record.uri?eid=2-s2.0-85151252099&amp;doi=10.23859%2festr-210126&amp;partnerID=40&amp;md5=6dc10fec584e1c13de25871e177e6cc0</t>
  </si>
  <si>
    <t>A comparative study of the floristic diversity of small rivers is of great importance in the assessment of their environmental state, which allows assessing the degree of pollution of the environment. The floristic diversity of the estuaries of the small rivers Korozhechna, Latka, Il’d’, and Chesnava, has been studied with special attention to the ecological groups and biological peculiarities of certain species. All the studied rivers flow into the Rybinsk Reservoir and have different morphology of the studied estuaries. The largest number of species has been recorded for the Chesnava River, the lowest, for the Il’d’ River. The representatives of families Poaceae, Cyperaceae, and Juncaceae evidence on the active overgrowing of shallow waters and periodically flooded coasts. Most of the species can grow on various soils, they are typical for water bodies with an oscillating water level and weak flow. The species-to-genus ratio, which is inversely proportional to the diversity of ecological conditions, is the highest in the Korozhechna River and the smallest in the Chesnava and Latka rivers. On the rivers Hydrophytes and hygrophytes dominated in the Korozhechna and Latka rivers</t>
  </si>
  <si>
    <t>10.1016/j.quaint.2020.04.047</t>
  </si>
  <si>
    <t>https://www.scopus.com/inward/record.uri?eid=2-s2.0-85087483941&amp;doi=10.1016%2fj.quaint.2020.04.047&amp;partnerID=40&amp;md5=ce58dc1a56a82e2406deee6a032a15a9</t>
  </si>
  <si>
    <t>Predicting the occurrence and spatial patterns of rainfall induced flash floods is still a challenge. Instant genesis and typically smaller areal coverage of the flash floods are the major impediments to their forecasting. Analysis of the morphometric parameters provides useful insight on hydrological response of the drainage basins to high intensity rainfall events. This information is valuable for understanding the flash flood potential of the drainage basins and for evading the destructions caused by the hazard. Here, we use eighteen morphometric parameters that influence the runoff volume, flow velocity, and inundation depth scenario of a flash flood. The analysis has been carried out for simulating the relative flash flood susceptibility of thirteen watersheds (B1 to B13) of variable sizes in southeastern Bangladesh. The morphometric parameters were derived from Digital Elevation Model (DEM) using Geographic Information System (GIS). The evaluated basin parameters include: area (A), perimeter (P), length (Lb), stream order (Su), stream number (Nu), stream length (Lu), stream frequency (Fs), drainage density (Dd), texture ratio (Rt), bifurcation ratio (Rb), basin relief (Hr), relief ratio (Rr), ruggedness number (Rn), time of concentration (Tc), infiltration number (If), and form factor (F). Two relative flash flood susceptibility scenarios were generated: (i) general watershed level, and (ii) more precise pixel level status. The watershed level comparison reveals that B4 and B6 watersheds constituting 72.61% of the total area are ‘very high’ susceptible, whereas the susceptibility of the other watersheds has been found as ‘high’ [B5 (6.95%)], ‘moderate’ [B8 and B13 (8.63%)], ‘low’ [B2, B10, B11 (4.64%)], and ‘very low’ [B1, B3, B7, B9, and B12 (7.18%)]. The derived watershed susceptibility map was subsequently integrated with two spatial analysis algorithms i.e., topographic wetness index (TWI) and topographic position index (TPI) through overlay analysis. The integration helped to understand the combined role of the general watershed morphometry and the in situ topography for determining the flash flood susceptibility of each spot (30 m × 30 m) within all the selected watersheds. The quantitative analysis and characterization of the watersheds from the perspective of flash flood hazard in this investigation is expected to be useful for implementing the site-specific mitigation measures and alleviating the effects of the hydrological hazard in the study area. © 2020 Elsevier Ltd and INQUA</t>
  </si>
  <si>
    <t>2-s2.0-85087483941"</t>
  </si>
  <si>
    <t>Acta Geologica Sinica (English Edition)</t>
  </si>
  <si>
    <t>10.1111/1755-6724.14621</t>
  </si>
  <si>
    <t>https://www.scopus.com/inward/record.uri?eid=2-s2.0-85101235475&amp;doi=10.1111%2f1755-6724.14621&amp;partnerID=40&amp;md5=a136aed049da438746cf5cf09c6fa9f7</t>
  </si>
  <si>
    <t>Deepwater oil and gas exploration has become a global hotspot in recent years and the study of the deep waters of marginal seas is an important frontier research area. The South China Sea (SCS) is a typical marginal sea that includes Paleo SCS and New SCS tectonic cycles. The latter includes continental marginal rifting, intercontinental oceanic expansion and oceanic shrinking, which controlled the evolution of basins, and the generation, migration and accumulation of hydrocarbons in the deepwater basins on the continental margin of the northern SCS. In the Paleogene, the basins rifted along the margin of the continent and were filled mainly with sediments in marine-continental transitional environments. In the Neogene–Quaternary, due to thermal subsidence, neritic-abyssal facies sediments from the passive continental margin of the SCS mainly filled the basins. The source rocks include mainly Oligocene coal-bearing deltaic and marine mudstones, which were heated by multiple events with high geothermal temperature and terrestrial heat flow, resulting in the generation of gas and oil. The faults, diapirs and sandstones controlled the migration of hydrocarbons that accumulated principally in a large canyon channel, a continental deepwater fan, and a shelf-margin delta. © 2021 Geological Society of China</t>
  </si>
  <si>
    <t>2-s2.0-85101235475"</t>
  </si>
  <si>
    <t>10.1029/2020JC016964</t>
  </si>
  <si>
    <t>https://www.scopus.com/inward/record.uri?eid=2-s2.0-85101758547&amp;doi=10.1029%2f2020JC016964&amp;partnerID=40&amp;md5=1f5d8c73bdee38bcf6883b69fa4f61b3</t>
  </si>
  <si>
    <t>Climate change in the mid-to-late Holocene transition is very important for predicting future climate trends and understanding the relationship between abrupt climate change and the development of past human civilization. In this study, Sr/Ca ratios and δ18O records with the annual resolution extracted from four fossil corals that were growing during the Middle Bronze Age Cold Epoch (MBACE) were used to reconstruct sea surface temperature (SST) and seawater δ18O (δ18Osw) in the South China Sea (SCS) during the mid-to-late Holocene transition. The results indicate that the SCS experienced a rapid cooling and wetting event during the period of ∼3,500–3,800 years BP (before present year 1950). Specifically, the average SST and δ18Osw declined rapidly by ∼3°C and ∼0.65‰, respectively, over an interval of ∼100 years from ∼3,850 years BP to ∼3,750 years BP. This rapid climate change pattern recorded in coral archives broadly agrees with those in foraminiferal and stalagmite records from adjacent land and ocean areas. Consistent with other records from the North Atlantic, this cold event in the Asia-Western Pacific region that occurred during the MBACE and was originally identified in the North Atlantic and European regions should have occurred at the global scale, which might be caused by changes in the Asian summer monsoon linked with solar irradiance and/or the North Atlantic climate. In addition, this rapid climate change might support the occurrence and timing of the outburst flood event during the Xia Dynasty and might have led to the fall of the Xia Dynasty. © 2020. American Geophysical Union. All Rights Reserved.</t>
  </si>
  <si>
    <t>2-s2.0-85101758547"</t>
  </si>
  <si>
    <t>10.1016/j.geomorph.2020.107483</t>
  </si>
  <si>
    <t>https://www.scopus.com/inward/record.uri?eid=2-s2.0-85096163948&amp;doi=10.1016%2fj.geomorph.2020.107483&amp;partnerID=40&amp;md5=3a9b1e10a3e3254c467c6e4b10ced736</t>
  </si>
  <si>
    <t>Since the introduction of direct push sensing, and more specifically, cone penetration testing, in prehistoric paleolandscape mapping, applications have been limited to mapping relatively thick and lithologically contrasting sedimentary units in fluvial and estuarine floodplains. However, this study investigates techniques to map thinner and less contrasting sediments, and soil horizons in soft soils outside these floodplains as well. Therefore, cone penetration testing and electrical conductivity logging are assessed in combination with the first paleolandscape mapping application of direct push, in situ video imaging in test cases situated in the polders, coversands, and loess belt of Belgium. The results reveal that the discrimination potential of archaeologically relevant, litho- and pedostratigraphic units through direct push sensing is increased in the respective regions. Despite the necessity of hardware updates and further developments in video data processing, a combination of cone penetration testing, electrical conductivity logging, and in situ video imaging is readily applicable to extensive mapping of deeply buried prehistoric paleolandscapes. © 2020 Elsevier B.V.</t>
  </si>
  <si>
    <t>2-s2.0-85096163948"</t>
  </si>
  <si>
    <t>10.3390/ijgi10030144</t>
  </si>
  <si>
    <t>https://www.scopus.com/inward/record.uri?eid=2-s2.0-85106513003&amp;doi=10.3390%2fijgi10030144&amp;partnerID=40&amp;md5=b1aab2edcedb6327b14f56f478034671</t>
  </si>
  <si>
    <t>Flood occurrence is increasing due to the expansion of urbanization and extreme weather like hurricanes; hence, research on methods of inundation monitoring and mapping has increased to reduce the severe impacts of flood disasters. This research studies and compares two methods for inundation depth estimation using UAV images and topographic data. The methods consist of three main stages: (1) extracting flooded areas and create 2D inundation polygons using deep learning; (2) reconstructing 3D water surface using the polygons and topographic data; and (3) deriving a water depth map using the 3D reconstructed water surface and a pre-flood DEM. The two methods are different at reconstructing the 3D water surface (stage 2). The first method uses structure from motion (SfM) for creating a point cloud of the area from overlapping UAV images, and the water polygons resulted from stage 1 is applied for water point cloud classification. While the second method reconstructs the water surface by intersecting the water polygons and a pre-flood DEM created using the pre-flood LiDAR data. We evaluate the proposed methods for inundation depth mapping over the Town of Princeville during a flooding event during Hurricane Matthew. The methods are compared and validated using the USGS gauge water level data acquired during the flood event. The RMSEs for water depth using the SfM method and integrated method based on deep learning and DEM were 0.34m and 0.26m, respectively.</t>
  </si>
  <si>
    <t>10.3390/ijgi10020091</t>
  </si>
  <si>
    <t>https://www.scopus.com/inward/record.uri?eid=2-s2.0-85106491921&amp;doi=10.3390%2fijgi10020091&amp;partnerID=40&amp;md5=7e92569861abeec098b56f00f55f59b6</t>
  </si>
  <si>
    <t>Covering an area of approximately 97 km2 and with a maximum depth of 58 m, Lake Trichonis is the largest and one of the deepest natural lakes in Greece. As such, it constitutes an important ecosystem and freshwater reserve at the regional scale, whose qualitative and quantitative properties ought to be monitored. Depth is a crucial parameter, as it is involved in both qualitative and quantitative monitoring aspects. Thus, the availability of a bathymetric model and a reliable DTM (Digital Terrain Model) of such an inland water body is imperative for almost any systematic observation scenario or ad hoc measurement endeavor. In this context, the purpose of this study is to produce a DTM from the only official cartographic source of relevant information available (dating back approximately 70 years) and evaluate its performance against new, independent, high-accuracy hydroacoustic recordings. The validation procedure involves the use of echosoundings coupled with GPS, and is followed by the production of a bathymetric model for the assessment of the discrepancies between the DTM and the measurements, along with the relevant morphometric analysis. Both the production and validation of the DTM are conducted in a GIS environment. The results indicate substantial discrepancies between the old DTM and contemporary acoustic data. A significant overall deviation of 3.39 ± 5.26 m in absolute bottom elevation differences and 0.00 ± 7.26 m in relative difference residuals (0.00 ± 2.11 m after 2nd polynomial model corrector surface fit) of the 2019 bathymetric dataset with respect to the ~1950 lake DTM and overall morphometry appear to be associated with a combination of tectonics, subsidence and karstic phenomena in the area. These observations could prove useful for the tectonics, geodynamics and seismicity with respect to the broader Corinth Rift region, as well as for environmental management and technical interventions in and around the lake. This dictates the necessity for new, extensive bathymetric measurements in order to produce an updated DTM of Lake Trichonis, reflecting current conditions and tailored to contemporary accuracy standards and state-of-the-art research in various disciplines in and around the lake. © 2021 by the authors.</t>
  </si>
  <si>
    <t>2-s2.0-85106491921"</t>
  </si>
  <si>
    <t>10.1016/j.uclim.2021.100781</t>
  </si>
  <si>
    <t>https://www.scopus.com/inward/record.uri?eid=2-s2.0-85099864031&amp;doi=10.1016%2fj.uclim.2021.100781&amp;partnerID=40&amp;md5=20ebd8e32b5ba21cd34e5924e64fd33a</t>
  </si>
  <si>
    <t>Short-term extreme rainfall events (EREs) often produce urban flooding and result in the loss of life and property. In this study, three high spatial-temporal resolution precipitation products were used to analyze hourly EREs during May-October from 2001 to 2018 over the Yangtze River Delta (YRD). To quantify the possible link between EREs and environmental factors (such as urbanization, climate change, and orography), the Hovmoller diagrams and Generalized additive model for location, scale, and shape (GAMLSS) nonstationary model were used. The results showed that the eastward propagating precipitation systems created a heavy rainfall center in the southwest mountainous of YRD due to orographic lifting, and enhanced in the plains over urbanized areas, especially in the vicinity of Nanjing, Changzhou, and Nantong metropolitan regions. The variability of hourly rainfall extreme in the urbanized regions is high correlated to the multivariate ENSO index (MEI), and shows a greater magnitude in the urban than rural regions. This phenomenon was intensified by large-scale circulation patterns due to strong-ENSO over the Nanjing-Changzhou-Nantong (NCN) urban regions, but weakened over the Shanghai-Hangzhou-Ningbo (SHN) urban regions. An analysis of nonstationary GAMLSS also suggests the large-scale circulation presents a greater impact on the hourly extreme rainfall than the urbanization, while the hourly rainfall extremes in the urban areas are still higher than that in rural regions under the nonstationary scenario. Those results suggest intense rainfall occurred more frequently in the urban region under observed climate change and urbanization in YRD. © 2021 Elsevier B.V.</t>
  </si>
  <si>
    <t>2-s2.0-85099864031"</t>
  </si>
  <si>
    <t>10.1007/s13201-021-01364-x</t>
  </si>
  <si>
    <t>https://www.scopus.com/inward/record.uri?eid=2-s2.0-85111350513&amp;doi=10.1007%2fs13201-021-01364-x&amp;partnerID=40&amp;md5=da9d836fb91137966d8ed1656e16b8d3</t>
  </si>
  <si>
    <t>The upper Benue River watershed is undergoing remarkable modifications due to man-made and natural phenomena. Hence, an evaluation is required to understand the hydrological process of the watershed for planning and management strategies. This study aimed to assess the morphometric characteristics and prioritize the upper Benue River watershed. The boundary of the watershed and sub-watersheds, as well as stream networks, was extracted from the digital elevation model (DEM) coupled with hydrological and topographic maps. Twenty-eight morphometric parameters under three categories, i.e. linear, areal, and relief aspects were computed and mapped. Findings from the study revealed that the watershed is a seventh stream order system characterized by a dendritic drainage pattern. The result also showed that 4821 streams were extracted with a cumulative length of 30,232.84 km. The hypsometric integral of the watershed was estimated to be 0.22, indicating that it is in the old stage. In the prioritization of the watershed, the morphometric variables were utilized to calculate and classify the compound factor. The result showed that sub-watersheds 12, 16, 18, 24, 26, and 27 were ranked as very high priority for which conservation measures are required to mitigate the risk of flood and erosion. The outcome of this study can be used by decision-makers for sustainable watershed management and planning. © 2021, The Author(s).</t>
  </si>
  <si>
    <t>2-s2.0-85111350513"</t>
  </si>
  <si>
    <t>10.3133/ofr20211062</t>
  </si>
  <si>
    <t>https://www.scopus.com/inward/record.uri?eid=2-s2.0-85204608235&amp;doi=10.3133%2fofr20211062&amp;partnerID=40&amp;md5=3b3985df3e869e05efc6ca001803ffba</t>
  </si>
  <si>
    <t>On June 24, 2019, Congressman Raul Grijalva of Arizona, Chair of the House Committee on Natural Resources, sent a letter to the directors of the U.S. Fish and Wildlife Service and the U.S. Geological Survey to request their assistance in answering questions regarding coastal sediment resource management within the Coastal Barrier Resources System as defined by the Coastal Barrier Resources Act (Public Law 97-348</t>
  </si>
  <si>
    <t>Computer Networks</t>
  </si>
  <si>
    <t>10.1016/j.comnet.2020.107744</t>
  </si>
  <si>
    <t>https://www.scopus.com/inward/record.uri?eid=2-s2.0-85099251792&amp;doi=10.1016%2fj.comnet.2020.107744&amp;partnerID=40&amp;md5=321bb2e5a93495168082d224cc946426</t>
  </si>
  <si>
    <t>With the advancement of water conservancy informatization based on Internet of Things (IoT), the hydrological data are increasingly enriched. As a result, more and more algorithms and methods relying on deep learning are introduced in the flood forecasting. Considering the ability of deep learning on complex features extraction, we proposed a flood process forecasting model based on Convolution Neural Network (CNN) with two-dimension (2D) convolutional operation. At first, we imported the rainfall spatial–temporal features by gridding the Xixian basin. After that, we processed the data from Digital Elevation Model (DEM) as the geographical feature and employed the historical streamflow process of Xixian basin as the trend feature. Next, extensive experiments were implemented to determine the optimal hyper-parameters of the proposed CNN flood process forecasting model. Numerical results show that our proposed model demonstrated a better accuracy for predicting the flood peak and arrival occasion, with a 24-hour and 36-hour lead time respectively. © 2020 Elsevier B.V.</t>
  </si>
  <si>
    <t>2-s2.0-85099251792"</t>
  </si>
  <si>
    <t>10.1007/s11069-020-04081-x</t>
  </si>
  <si>
    <t>https://www.scopus.com/inward/record.uri?eid=2-s2.0-85085486491&amp;doi=10.1007%2fs11069-020-04081-x&amp;partnerID=40&amp;md5=90cfd76f6308c925b8de2869a42f39fb</t>
  </si>
  <si>
    <t>During storms, long-period water level oscillations can occur on the North Sea. The meteorological phenomena that cause these oscillations are known to a large extent and include atmospheric single pulse perturbations or oscillations of longer duration and larger spatial scale (De Jong in Origin and prediction of seiches in Rotterdam harbour basins, Delft University of Technology, ISBN 90-9017925-9, 2004). During such events, standing waves, or ‘seiches’, can occur in the ports along the Dutch North Sea coast. These seiches need to be considered in the height criteria for the dikes and other flood protection works around the port basins. Over the last decades, several projects on the climatology of seiching have been performed by Deltares under assignment by the Dutch Ministry of Public Works. Results of these projects served to update the height criteria for the storm surge barriers in the Port of Rotterdam, and as input to the design of two large new sea locks for other coastal ports, in IJmuiden and Terneuzen. This paper describes the three project locations: the statistical and hydrodynamical analyses of seiche events at these locations and the translation of the results into a buffer, or ‘seiche allowance’, to the height criteria. © 2020, Springer Nature B.V.</t>
  </si>
  <si>
    <t>2-s2.0-85085486491"</t>
  </si>
  <si>
    <t>10.3390/geosciences11020056</t>
  </si>
  <si>
    <t>https://www.scopus.com/inward/record.uri?eid=2-s2.0-85100259622&amp;doi=10.3390%2fgeosciences11020056&amp;partnerID=40&amp;md5=1b428669631ab996bf39ea90a3174577</t>
  </si>
  <si>
    <t>Tsunamis are among the deadliest threats to coastal areas as reminded by the recent tragic events in the Indian Ocean in 2004 and in Japan in 2011. A large number of tropical islands are indeed exposed due to their proximity to potential tsunami sources in tectonic subduction zones. For these territories, assessing tsunamis’ impact is of major concern for early warning systems and management plans. The effectiveness of inundation predictions relies, among other things, on processes engaged at the scale of the local bathymetry and topography. As part of the project C3AF that aimed to study the consequences of climate change on the French West Indies, we used the numerical model SCHISM to simulate the propagation of several potential tsunamis as well as their impacts on the Guadeloupe islands (French West Indies). Working from the findings of the most recent studies, we used the simulations of four scenarios of collapse of the Cumbre Vieja volcano in La Palma, Canary islands. We then used FUNWAVE-TVD to simulate trans-Atlantic wave propagation until they reached the Guadeloupe archipelago where we used SCHISM to assess their final impact. Inundation is quantified for the whole archipelago and detailed for the most exposed areas. Finally, in a climate change perspective, inundation is compared for different sea levels and degrees of vegetation cover deterioration using modified friction coefficients. We then discuss the results showing that climate change-related factors would amplify the impact more in the case of smaller inundation along with model limitations and assumptions. © 2021 by the authors. Licensee MDPI, Basel, Switzerland.</t>
  </si>
  <si>
    <t>2-s2.0-85100259622"</t>
  </si>
  <si>
    <t>10.1007/s11069-020-04448-0</t>
  </si>
  <si>
    <t>https://www.scopus.com/inward/record.uri?eid=2-s2.0-85089860483&amp;doi=10.1007%2fs11069-020-04448-0&amp;partnerID=40&amp;md5=c834874fa457bbb3df2c2e39198b5598</t>
  </si>
  <si>
    <t>Two hazardous typhoons, Lionrock (August 2016) and Jebi (September 2018), destructively affected the coast of Japan and produced extreme sea level variations. The results of field surveys in the impacted regions showed that multiple deaths and extensive floods were caused by the combined effect of low-frequency sea level raise (storm surges) and intensive high-frequency (HF) tsunami-like waves (meteotsunamis). The data from ten tide gauges for the 2016 event and eight gauges for the 2018 event were used to examine the properties of the observed sea levels, to estimate the relative contribution of the two sea level components and to evaluate their statistical characteristics (maximum wave heights, amplitudes and periods of individual components, etc.). For the 2016 event, we found that the surge heights were from 12 to 35 cm and that the mean contribution of surges into the total observed sea level heights was ~ 39%; the meteotsunami amplitudes were from 22 to 92 cm, and they contributed 61% of the total height. For the 2018 event, storm surges were significantly stronger, from 46 to 170 cm, while HF amplitudes were from 38 to 130 cm; their relative inputs were 67% and 33%, respectively. Combined, they formed total flood heights of up to 120 cm (2016 event) and 288 cm (2018 event). Previously, the contribution of storm seiches (meteotsunamis) in coastal floods had been underestimated, but results of the present study demonstrate that they can play the principal role. What is even more important, they produce devastating currents: according to our estimates, current speeds were up to 3 knots (1.5 m/s) during the Lionrock event and more than 5 knots (2.6 m/s) during Jebi; these strong currents appear to be the main reason for the resulting damage of coastal infrastructure. The most important characteristic of the recorded meteotsunamis is their trough-to-crest maximum height. During the 2016 event, these heights at three stations were &gt; 1 m: 171 cm at Erimo, 109 cm at Hachijojima and 102 cm at Ayukawa. The 2018 event was stronger; maximum meteotsunami wave heights were 257 cm at Gobo, 138 cm at Kushimoto, 137 cm at Kumano and 128 cm at Murotomisaki. The 2018 Gobo height of 257 cm is much larger than historical non-seismic seiche maxima for the Pacific coast of Japan (140–169 cm) estimated by Nakano and Unoki (1962) for the period of 1930–1956.</t>
  </si>
  <si>
    <t>10.1007/s10668-020-00639-8</t>
  </si>
  <si>
    <t>https://www.scopus.com/inward/record.uri?eid=2-s2.0-85079644802&amp;doi=10.1007%2fs10668-020-00639-8&amp;partnerID=40&amp;md5=5d58a8a5eaa3ccc5714af0d8a53204a1</t>
  </si>
  <si>
    <t>Climate change and its association with sea level rise ‘SLR’ have become a true fact that increasingly challenge coastal zones all over the world. This study attempts to fill the lack of studies and assessments of the African coasts through developing a SLR vulnerability assessment. The study has customized coastal vulnerability index ‘CVI’ to include seventeen parameters grouping in the vulnerability’s pillars: exposure, sensitivity, and resilience. The selected variables represent the main coastal characteristics physically and socioeconomically. The study applies CVI method for the African coastal zone using GIS and remote sensing. However, the study has followed the case study approach on the continental level of Africa, and the results have classified coastal areas into different degrees of vulnerabilities. Application of CEI equation showed that about 40% of African coast are ranging from moderate to very high exposure, as for the CSI equation showed that 75% of African coast are ranging from moderate to very high sensitivity, as for the CRI equation showed that 55% of African coast are ranging from moderate to very high resilience, and as for the CVI equation showed that 35% of the 26,000 km length of Africa’s coasts are vulnerable to SLR. It has been approved that deltas are the most vulnerable areas along the African coasts. Also, values of CVI pillars for each of these deltas showed great variation, which accordingly could give an indicator for adaptation and mitigation strategies of Africa’s coasts at regional and national levels, which could be one strategy or more: protection, accommodation, and retreat strategies. © 2020, Springer Nature B.V.</t>
  </si>
  <si>
    <t>2-s2.0-85079644802"</t>
  </si>
  <si>
    <t>10.1007/s10064-020-02013-4</t>
  </si>
  <si>
    <t>https://www.scopus.com/inward/record.uri?eid=2-s2.0-85092772154&amp;doi=10.1007%2fs10064-020-02013-4&amp;partnerID=40&amp;md5=d1ace04bfb17fa2faf9ff1441ecd28e6</t>
  </si>
  <si>
    <t>Using abandoned salt caverns for the disposal of solid wastes is one of the most effective and safest methods to deal with potential hazards caused both by the abandoned caverns and by the solid wastes. To investigate the geomechanical behavior of abandoned salt caverns used for solid waste disposal (alkali wastes), a discrete-continuous coupled method is proposed. In the proposed method, alkali wastes (discrete materials) are simulated using the discrete element method (DEM) while the caverns are simulated using the finite difference method (FDM). This method can overcome the shortcomings of the traditional method of treating the alkali waste as continuous materials with low strength, which cannot accurately depict the interaction between the cavern and alkali waste. Using the proposed method, a 3D geomechanical model is built to investigate the long-term mechanical behaviors of the cavern and alkali waste. The results show that the alkali wastes have significant effects on reducing the cavern convergence while the cavern convergence compacts the alkali wastes. Consequently, the surface subsidence induced by the convergence of the cavern is much smaller than that of a cavern which does not contain alkali wastes. This study provides a prerequisite to evaluate the effect of filling abandoned salt caverns filled with alkali wastes and also can serve as a reference for stability analysis of gas storage salt caverns that contain insolubles. © 2020, Springer-Verlag GmbH Germany, part of Springer Nature.</t>
  </si>
  <si>
    <t>2-s2.0-85092772154"</t>
  </si>
  <si>
    <t>10.1007/s12524-020-01160-1</t>
  </si>
  <si>
    <t>https://www.scopus.com/inward/record.uri?eid=2-s2.0-85092531139&amp;doi=10.1007%2fs12524-020-01160-1&amp;partnerID=40&amp;md5=dca431eedbc96cd61080eb3ec3c949ca</t>
  </si>
  <si>
    <t>Illicit sand quarry in riverbeds will become a menace to the worldwide environment and will lead to changes in the river morphology, physical habitation and ecosystem. The excavation of sand in the riverbed is essential because it helps to maintain the river path and avoid flood inundation during the rainy season. But the excess sand removal only creates a negative impact to the surrounding environment. Hence, effective monitoring and scientific audit method are required to identify the illicit sand quarry. The assessment of excess sand excavated area and volume is a major task for the Economic and Revenue Sector Audit (E&amp;RSA) officials. Also, the volume calculation of sand quarry is a tedious and time-consuming process when using a traditional survey instrument like total station. Integration of unmanned aerial vehicle (UAV) remote sensing (R/S) technology with modern survey instrument like differential global positioning system (DGPS) will reduce the survey time, cost and manpower. In this study, the UAV-based aerial survey and DGPS observation were done in Economic and Revenue Sector Audit (E&amp;RSA), a specified sand quarry site. The acquired UAV aerial images and DGPS points were subsequently used to generate orthomosaic map, digital terrain model (DTM), digital surface model (DSM) and 3D mesh. The UAV-derived outputs have been compared with lease map and revenue records. All the findings related to violations in approved lease boundary, volume and depth were reported to E&amp;RSA to estimate the revenue loss to the government. © 2020, Indian Society of Remote Sensing.</t>
  </si>
  <si>
    <t>2-s2.0-85092531139"</t>
  </si>
  <si>
    <t>10.1016/j.jhydrol.2021.125968</t>
  </si>
  <si>
    <t>https://www.scopus.com/inward/record.uri?eid=2-s2.0-85099519590&amp;doi=10.1016%2fj.jhydrol.2021.125968&amp;partnerID=40&amp;md5=003dc69e575eb57df58e61a970a2dbed</t>
  </si>
  <si>
    <t>We measured the concentrations of the total dissolved ions (TDI), dissolved silica, major cations and the δD and δ18O at sub-weekly intervals for one year in the Okavango River at the outlet of the Okavango Delta (Delta). Our objectives were to (1) document the temporal variations in the concentrations of solutes in the Okavango River, (2) determine the processes controlling the transfer of solutes to the river and (3) assess the temporal solute load and outflux from the Delta. We found that the TDI and major cation concentrations in the river were anomalously high during the rainy season and before the arrival of the annual flood pulse. The anomalous increases in the solute concentrations are due to dissolution and mobilization of precipitated salts stored in the floodplains and on hundreds of thousands of islands scattered across the Delta wetlands, as well as from ‘flushing’ of remnant evaporated flood water of higher salinity trapped in isolated wetland pools. Overland flow generated by local rains and flooding connect the river to the solute stores in the watershed. The temporally activated hydrologic flow pathways transfer solutes to the river that flushes them out of the Delta. The solute load in the river was higher during the rainy season and during pulse flooding, and mimicked the discharge hydrograph. We estimate that 17,838 Mg/y of dissolved solutes was flushed out of the Delta, with 67% removed during pulse flooding (6 months) and 30% during the rainy season (4 months). The transfer of solutes from the watershed to the river during pulse flooding and the rainy season, and solute export from the Delta is an important mechanism that keeps the Delta's surface water resources fresh, which is critical for supporting a freshwater wetland ecosystem. Our results highlight the importance of intermittent activation of hydrologic flow pathways in controlling solute cycling in this and other arid watersheds. © 2021 Elsevier B.V.</t>
  </si>
  <si>
    <t>2-s2.0-85099519590"</t>
  </si>
  <si>
    <t>10.1111/1365-2664.13736</t>
  </si>
  <si>
    <t>https://www.scopus.com/inward/record.uri?eid=2-s2.0-85089867731&amp;doi=10.1111%2f1365-2664.13736&amp;partnerID=40&amp;md5=8933fbd4a3f00c555d67b8a42644617e</t>
  </si>
  <si>
    <t>Sea-level rise, storm surges, ageing and wear are forcing upgrades to breakwaters and sea walls to protect coastal areas from erosion and inundation. Such upgrades involve the introduction of new material which may consequently act as an ecological disturbance that can alter established marine communities and ecosystem function. Mitigating ecological impacts requires an understanding of how species assemblages are affected by such works. Here, we use the major upgrade of a regularly wave-overtopped breakwater as a case study to evaluate the impacts of upgrades to hard coastal protective infrastructure on benthic rocky reef communities. An asymmetrical Before-After Control-Impact (BACI) experimental design was used to test interactive effects of the infrastructure upgrades on benthic communities. While benthic assemblages were not significantly different from controls prior to the upgrade, improving the defensive capacity of the breakwater significantly changed community structure. Notably, most taxonomic groups showed higher cover at the control sites than at the impacted site post-upgrade, with articulated calcareous algae (e.g. Corallina officinalis and Amphiroa anceps) showing an opposite trend. Synthesis and applications. Ecological implications and structural limitations make regular upgrading of existing infrastructure unsuitable as a long-term management strategy. More sustainable alternatives need to be considered, such as decommissioning of structures and retreat from flood-prone areas. This transition, however, will take time and requires a change of mindset and policies. Where upgrades are urgent, eco-engineering techniques can mitigate impacts to habitats and associated taxa. © 2020 British Ecological Society</t>
  </si>
  <si>
    <t>2-s2.0-85089867731"</t>
  </si>
  <si>
    <t>10.1007/s12517-021-06810-3</t>
  </si>
  <si>
    <t>https://www.scopus.com/inward/record.uri?eid=2-s2.0-85102026100&amp;doi=10.1007%2fs12517-021-06810-3&amp;partnerID=40&amp;md5=6038862375fb8493f4c50cd0c0c7a188</t>
  </si>
  <si>
    <t>Sea level rise (SLR) is considered to be one of the most significant environmental issues globally. Damietta Governorate is likely to face serious impacts due to SLR because of its low-lying sandy coast. This study investigates the actual impacts of SLR and associated shoreline retreat at Damietta coast using the geographic information system (GIS) despite current uncertainties about SLR. In this study, shoreline retreat at Damietta coast was estimated using the Bruun rule. To achieve this, remotely sensed data including cloudless satellite images (Landsat ETM+7) were used. Moreover, this study used elevation data taken from global digital elevation model (GDEM) data derived from the Advanced Spaceborne Thermal Emission and Reflection Radiometer (ASTER) project. Many thematic layers including maps of administrative boundaries, the rail and road networks, irrigation, and urban areas were used to address the impacts of SLR. The results showed that, if the SLRs 1 m, the inundated area will include approximately 254 km2 of governorate land, which represents 16% of its total area. In a 2-m SLR scenario, the submerged area will expand to 661 km2, which represents 64% of Damietta’s area. Application of the Bruun rule indicated that SLR would have a small effect on coastline erosion. Upon estimation of the annual shoreline retreat, this was predicted to range from 2.7 to 3.8 m/year at Damietta coast under the impact of SLR. SLR thus poses a serious threat to Damietta Governorate as its land is subsiding at a high rate, which is a major factor that amplifies the severity of potential inundation. Thus, there is a serious need to protect Damietta’s coast and its human population from the impacts of SLR. © 2021, Saudi Society for Geosciences.</t>
  </si>
  <si>
    <t>2-s2.0-85102026100"</t>
  </si>
  <si>
    <t>International Journal of Strategic Property Management</t>
  </si>
  <si>
    <t>10.3846/ijspm.2021.14298</t>
  </si>
  <si>
    <t>https://www.scopus.com/inward/record.uri?eid=2-s2.0-85102007388&amp;doi=10.3846%2fijspm.2021.14298&amp;partnerID=40&amp;md5=334e96924444aa3a828c91adbacd1037</t>
  </si>
  <si>
    <t>In addition to the sustainable development of coastal areas, the success of local corporations investing in coastal urban projects is significantly affected by severe sea level rises and extreme disasters. Investment companies should plan which objectives need to target to reduce uncertainty in the early project stages, track project execution, and assess project output as projects complete the construction phase and start operational activities. To assist enterprises in planning, evaluating, and monitoring project performance aligning with vision and strategy, this study contributes a strategic management tool developed by integrating the Balanced Scorecard (BSC), Analytic Network Process (ANP), and Decision Making Trial and Evaluation Laboratory (DEMATEL) methods. A case study of a well-known investment corporation in Vietnam illustrates the research approach. This research appreciated stakeholder’s satisfaction as the main consequence and human resource as the most prominent cause of coastal urban projects. Furthermore, the proposed model for Vietnam in this study could be referred by other developing countries to facilitate companies to plan, measure, evaluate, and control the organizational performances for the coastal urban project success. © 2021 The Author(s). Published by Vilnius Gediminas Technical University.</t>
  </si>
  <si>
    <t>2-s2.0-85102007388"</t>
  </si>
  <si>
    <t>10.1029/2020WR028673</t>
  </si>
  <si>
    <t>https://www.scopus.com/inward/record.uri?eid=2-s2.0-85100684321&amp;doi=10.1029%2f2020WR028673&amp;partnerID=40&amp;md5=4d1176d3147755d8a0fb452de44d57f9</t>
  </si>
  <si>
    <t>This study reports a new and significantly enhanced analysis of US flood hazard at 30 m spatial resolution. Specific improvements include updated hydrography data, new methods to determine channel depth, more rigorous flood frequency analysis, output downscaling to property tract level, and inclusion of the impact of local interventions in the flooding system. For the first time, we consider pluvial, fluvial, and coastal flood hazards within the same framework and provide projections for both current (rather than historic average) conditions and for future time periods centered on 2035 and 2050 under the RCP4.5 emissions pathway. Validation against high-quality local models and the entire catalog of FEMA 1% annual probability flood maps yielded Critical Success Index values in the range 0.69–0.82. Significant improvements over a previous pluvial/fluvial model version are shown for high-frequency events and coastal zones, along with minor improvements in areas where model performance was already good. The result is the first comprehensive and consistent national-scale analysis of flood hazard for the conterminous US for both current and future conditions. Even though we consider a stabilization emissions scenario and a near-future time horizon, we project clear patterns of changing flood hazard (3σ changes in 100 years inundated area of −3.8 to +16% at 1° scale), that are significant when considered as a proportion of the land area where human use is possible or in terms of the currently protected land area where the standard of flood defense protection may become compromised by this time. © 2020. The Authors.</t>
  </si>
  <si>
    <t>2-s2.0-85100684321"</t>
  </si>
  <si>
    <t>10.3390/geosciences11020040</t>
  </si>
  <si>
    <t>https://www.scopus.com/inward/record.uri?eid=2-s2.0-85099862998&amp;doi=10.3390%2fgeosciences11020040&amp;partnerID=40&amp;md5=ed736f8cfc33949cd85223f9a933274d</t>
  </si>
  <si>
    <t>The coastal strip between the Volta River delta and the westernmost portion of Benin (West Africa Margin of Atlantic Basin) is highly populated (e.g., Lomé) due to migrations from inland areas. The coastal zone has proved to be very vulnerable because of the potential development of sometimes catastrophic events related to different and interacting causes, resulting in negative effects on natural ecosystems and socio-economic conditions. The main problem is the marked erosion of large coastal sectors with maximum retreat rates of the order of 5 m/year. The continuous loss of territory leads to a progressive impoverishment of activities and human resources and to the increase of geological risk factors. The coastal erosion is induced both by natural and anthropic causes and can be controlled only by means of prevention programs, detailed scientific studies and targeted technical interventions. The main erosional processes observed in the study area are triggered by the presence of the Lomé port and other human activities on the coastal strip, including the water extraction from the subsoil, which induces subsidence and the use of sediments as inert material. These elements, together with the reduction of the solid supply from Volta River (caused by the realization of the Akosombo dam) are among the main factors that control the medium and long-term evolution of the area. Also relative sea level changes, which take into account also tectonic and/or isostatic components, can contribute to the process. In order to have a real understanding of the coastal dynamics and evolution, it would be necessary to develop a scientific structure through the collaboration of all countries of the Bight of Benin affected by coastal erosion. The aim should be primarily to collect the interdisciplinary quantitative data necessary to develop a scientific knowledge background of the Bight of Benin coastal/ocean system. In conclusion, some proposals are presented to reduce the vulnerability of the coastal area as for example to plan surveys for the realization of appropriate coastal protection works, such as walls, revetments, groins, etc. A possible expansion of the port of Lomè is also considered. Proposals comprise the constitution of a Supranational Scientific Committee as a coordinating structure on erosion for both the study of phenomena and planning interventions. © 2021 by the authors. Licensee MDPI, Basel, Switzerland.</t>
  </si>
  <si>
    <t>2-s2.0-85099862998"</t>
  </si>
  <si>
    <t>10.1002/hyp.14050</t>
  </si>
  <si>
    <t>https://www.scopus.com/inward/record.uri?eid=2-s2.0-85103384748&amp;doi=10.1002%2fhyp.14050&amp;partnerID=40&amp;md5=c3bad24dad68cd8589add5e4f9bd6cf0</t>
  </si>
  <si>
    <t>2-s2.0-85103384748"</t>
  </si>
  <si>
    <t>https://www.scopus.com/inward/record.uri?eid=2-s2.0-85104053467&amp;partnerID=40&amp;md5=dbf4462e95c899e8230a16f6a86e39c7</t>
  </si>
  <si>
    <t>Irbid city has suffered from several flash floods over the past few years, which caused several damages to the infrastructure and to people's lives. In this study, an approach based on the integration of Geographic Information System, Watershed Modeling System, Hydrological Modeling System, and River Analysis System has been used to construct hydrologic, hydraulic, and floodplain models to detect the areas with the high risk of flooding. The Digital Elevation Model from Shuttle Radar Topographic Mission was used in WMS to delineate drainage networks and sub-catchments' characteristics. The hydrological modeling was carried out using rainfall data from fifteen meteorological stations obtained over thirty-eight years. The SCS curve numbers for the subcatchments were obtained for normal conditions according to the land use data and the soil types of the study area, and were calculated to be 85.7, 88.1, 83.6, 79.9, and 82.4, respectively. The peak flood discharge was calculated over 2, 10, 25, 50, 100 and 1000-Year return periods. The hydraulic modeling carried out by the HEC-RAS model is based on the hydrographs resulting from the hydrological modeling, and steady-flow simulations were performed for the return periods of 2, 10, 25, 50, 100, and 1000-Years. Different scenarios for the maximum water surface profiles were constructed for each return period for the twenty main channels in the study area. The results showed that the volume of the flooded water will exceed the wadi banks for the 100- and 1000-Year rainfall return periods and flood inundation will occur. © 2021 Jordan Journal of Earth and Environmental Sciences. All Rights Reserved.</t>
  </si>
  <si>
    <t>2-s2.0-85104053467"</t>
  </si>
  <si>
    <t>Open Research Europe</t>
  </si>
  <si>
    <t>10.12688/openreseurope.13125.2</t>
  </si>
  <si>
    <t>https://www.scopus.com/inward/record.uri?eid=2-s2.0-85141959129&amp;doi=10.12688%2fopenreseurope.13125.2&amp;partnerID=40&amp;md5=d75034bfecb477d925b183305deb6cfb</t>
  </si>
  <si>
    <t>Gdansk in Poland and the Netherlands share a long-term relationship that started with the establishment of Dutch Mennonites in the Vistula delta in the 16 th Century. Climate-change figures show that both the Polish Gdansk and DutchRotterdam deltas will suffer flooding due to sea level rise, with accumulating severe rainfall accompanied by high river levels</t>
  </si>
  <si>
    <t>SN Computer Science</t>
  </si>
  <si>
    <t>10.1007/s42979-020-00442-2</t>
  </si>
  <si>
    <t>https://www.scopus.com/inward/record.uri?eid=2-s2.0-85108161142&amp;doi=10.1007%2fs42979-020-00442-2&amp;partnerID=40&amp;md5=c82bede44a9f1411deaaf6b9a8f3026b</t>
  </si>
  <si>
    <t>Digital elevation model (DEM) is a critical data source for variety of applications such as road extraction, hydrological modeling, flood mapping, and many geospatial studies. The usage of high-resolution DEMs as inputs in many application areas improves the overall reliability and accuracy of the raw dataset. The goal of this study is to develop a machine learning model that increases the spatial resolution of DEM without additional information. In this paper, a GAN based model (D-SRGAN), inspired by single image super-resolution methods, is developed and evaluated to increase the resolution of DEMs. The experiment results show that D-SRGAN produces promising results while constructing 3 feet high-resolution DEMs from 50 feet low-resolution DEMs. It outperforms common statistical interpolation methods and neural network algorithms.This study shows that it is possible to use the power of artificial neural networks to increase the resolution of the DEMs. The study also demonstrates that approaches from single image super-resolution can be applied for DEM super-resolution. © 2021, The Author(s), under exclusive licence to Springer Nature Singapore Pte Ltd. part of Springer Nature.</t>
  </si>
  <si>
    <t>2-s2.0-85108161142"</t>
  </si>
  <si>
    <t>10.3390/atmos12020269</t>
  </si>
  <si>
    <t>https://www.scopus.com/inward/record.uri?eid=2-s2.0-85101720239&amp;doi=10.3390%2fatmos12020269&amp;partnerID=40&amp;md5=b2dac18e50c30bf501c4a1bc6b7b06bf</t>
  </si>
  <si>
    <t>Densely populated, low-lying coastal areas are most at-risk for negative impacts from increasing intensity of storm-induced flooding. Due to the effects of global warming and subsequent climate change, coastal temperatures and the magnitude of storm-induced flooding are projected to increase, creating a hospitable environment for the aquatic Vibrio spp. bacteria. A relative risk model analysis was used to determine which census block groups in coastal South Carolina have the highest risk of Vibrio spp. exposure using storm surge flooding as a proxy. Coastal block groups with dense vulnerable sub-populations exposed to storm surge have the highest relative risk, while inland block groups away from riverine-mediated storm surge have the lowest relative risk. As Vibriosis infections may be extremely severe or even deadly, the best methods of infection control will be regular standardized coastal and estuarine water monitoring for Vibrio spp. to enable more informed and timely public health advisories and help prevent future exposure. © 2021 by the authors. Licensee MDPI, Basel, Switzerland.</t>
  </si>
  <si>
    <t>2-s2.0-85101720239"</t>
  </si>
  <si>
    <t>10.1016/j.ijdrr.2020.102022</t>
  </si>
  <si>
    <t>https://www.scopus.com/inward/record.uri?eid=2-s2.0-85099633476&amp;doi=10.1016%2fj.ijdrr.2020.102022&amp;partnerID=40&amp;md5=593fc8eb55d4e4f53adf8fce4f83bec2</t>
  </si>
  <si>
    <t>Coastal environmental degradation – or the reduction of the capacity of coastal environments to meet social and ecological objectives and needs – is both a driver and a consequence of climate-induced disasters. In the West African coastal areas of Côte d'Ivoire, Ghana, Togo and Benin the major drivers of environmental degradation are found to be primarily originating from rapid, inadequately planned and managed urban development – mirroring economic growth – concurrent with high-exposure to coastal flooding and erosion hazards. In addition to decreasing the resilience of coastal ecosystems, the context of widespread coastal environmental degradation in West Africa will undeniably have direct and indirect consequences for economic development and human wellbeing in the region. Furthermore, climate change will place additional increasing pressure on certain West African coastal frontages. The research presented in this paper focuses on the development and implementation, at country level and pilot-site level, of a methodological framework of quantifying the impact of coastal flooding and erosion on environmental degradation in economic terms. Specifically, this framework values the impacts of degradation that occur as a result of flooding and erosion – in absolute (US $, number of people affected) and in relative (as percentage of the countries' GDP) terms. Overall, the aggregated Cost of Coastal Environmental Degradation (CoCED) in the four countries driven by coastal flooding and erosion could amount to over US $ 3 billion by 2100, based on the worst case scenario of regional relative sea-level rise, corresponding to RCP 8.5. Moreover, the number of people affected could in some of the countries experience a 400% increase by 2100 when accounting for demographic growth. © 2020 Elsevier Ltd</t>
  </si>
  <si>
    <t>2-s2.0-85099633476"</t>
  </si>
  <si>
    <t>10.5194/nhess-21-219-2021</t>
  </si>
  <si>
    <t>https://www.scopus.com/inward/record.uri?eid=2-s2.0-85100298975&amp;doi=10.5194%2fnhess-21-219-2021&amp;partnerID=40&amp;md5=496cbb6c0e5da0840cf6f1b6d479c7f4</t>
  </si>
  <si>
    <t>A probabilistic estimation of hazards based on the response approach requires assessing large amounts of source characteristics, representing an entire storm climate. In addition, the coast is a dynamic environment, and factors such as existing Background: erosion trends require performing risk analyses under different scenarios. This work applies Bayesian networks (BNs) following the source-pathway-receptor-consequence scheme aiming to perform a probabilistic risk characterisation at the Tordera delta (NE Spain). One of the main differences of the developed BN framework is that it includes the entire storm climate (all recorded storm events, 179 in the study case) to retrieve the integrated and conditioned risk-oriented results at individually identified receptors (about 4000 in the study case). Obtained results highlight the storm characteristics with higher probabilities to induce given risk levels for inundation and erosion, as well as how these are expected to change under given scenarios of shoreline retreat due to Background: erosion. As an example, storms with smaller waves and from secondary incoming direction will increase erosion and inundation risks at the study area. The BNs also output probabilistic distributions of the different risk levels conditioned to given distances to the beach inner limit, allowing for the definition of probabilistic setbacks. Under current conditions, high and moderate inundation risks, as well as direct exposure to erosion can be reduced with a small coastal setback (∼10 m), which needs to be increased up to 20-55 m to be efficient under future scenarios (+20 years).  © Author(s) 2021.</t>
  </si>
  <si>
    <t>2-s2.0-85100298975"</t>
  </si>
  <si>
    <t>10.1126/sciadv.abe2412</t>
  </si>
  <si>
    <t>https://www.scopus.com/inward/record.uri?eid=2-s2.0-85102050389&amp;doi=10.1126%2fsciadv.abe2412&amp;partnerID=40&amp;md5=52ae57d35d1c92b41511768431cd36f9</t>
  </si>
  <si>
    <t>Nuisance flooding (NF) is defined as minor, nondestructive flooding that causes substantial, accumulating socioeconomic impacts to coastal communities. While sea-level rise is the main driver for the observed increase in NF events in the United States, we show here that secular changes in tides also contribute. An analysis of 40 tidal gauge records from U.S. coasts finds that, at 18 locations, NF increased due to tidal amplification, while decreases in tidal range suppressed NF at 11 locations. Estuaries show the largest changes in NF attributable to tide changes, and these can often be traced to anthropogenic alterations. Limited long-term measurements from estuaries suggest that the effects of evolving tides are more widespread than the locations considered here. The total number of NF days caused by tidal changes has increased at an exponential rate since 1950, adding ~27% to the total number of NF events observed in 2019 across locations with tidal amplification. Copyright © 2021 The Authors, some rights reserved</t>
  </si>
  <si>
    <t>Weather and Climate Dynamics</t>
  </si>
  <si>
    <t>10.5194/wcd-2-129-2021</t>
  </si>
  <si>
    <t>https://www.scopus.com/inward/record.uri?eid=2-s2.0-85147303938&amp;doi=10.5194%2fwcd-2-129-2021&amp;partnerID=40&amp;md5=d7c43cb6e8a824a6597f28992dd9abea</t>
  </si>
  <si>
    <t xml:space="preserve">Extreme precipitation events (EPEs) frequently cause flooding with dramatic socioeconomic impacts in many parts of the world. Previous studies considered two synoptic-scale processes, Rossby wave breaking and intense moisture transport, typically in isolation, and their linkage to such EPEs in several regions. This study presents for the first time a global and systematic climatological analysis of these two synoptic-scale processes, in tandem and in isolation, for the occurrence of EPEs. To this end, we use 40-year ERA-Interim reanalysis data (1979-2018) and apply object-based identification methods for (i) daily EPEs, (ii) stratospheric potential vorticity (PV) streamers as indicators of Rossby wave breaking, and (iii) structures of high vertically integrated horizontal water vapour transport (IVT). First, the importance of these two synoptic-scale processes is demonstrated by case studies of previously documented flood events that inflicted catastrophic impacts in different parts of the world. Next, a climatological quantification shows that Rossby wave breaking is associated with &gt;90% of EPEs over central North America and the Mediterranean, whereas intense moisture transport is linked to &gt;95% of EPEs over many coastal zones, consistent with findings of atmospheric river-related studies. Combined Rossby wave breaking and intense moisture transport contributes up to 70% of EPEs in several subtropical and extratropical regions, including (semi)arid desert regions where tropical-extratropical interactions are of key importance for (heavy) rainfall. Odds ratios of EPEs linked to the two synoptic-scale processes suggest that intense moisture transport has a stronger association with the occurrence of EPEs than Rossby wave breaking. Furthermore, the relationship between the PV and IVT characteristics and the precipitation volumes shows that the depth of the wave breaking and moisture transport intensity are intimately connected with the extreme precipitation severity. Finally, composites reveal that subtropical and extratropical EPEs, linked to Rossby wave breaking, go along with the formation of upper-level troughs and cyclogenetic processes near the surface downstream, reduced static stability beneath the upper-level forcing (only over water), and dynamical lifting ahead (over water and land). This study concludes with a concept that reconciles well-established meteorological principles with the importance of Rossby wave breaking and intense moisture transport for the formation of EPEs. Another conclusion with major implications is that different combinations of Rossby wave breaking and intense moisture transport can reflect a large range of EPE-related weather systems across climate zones and can thus form the basis for a new classification of EPE regimes. The findings of this study may contribute to an improved understanding of the atmospheric processes that lead to EPEs and may find application in climatic studies on extreme precipitation changes in a warming climate.  © Copyright: </t>
  </si>
  <si>
    <t>2-s2.0-85147303938"</t>
  </si>
  <si>
    <t>10.11947/j.JGGS.2021.0115</t>
  </si>
  <si>
    <t>https://www.scopus.com/inward/record.uri?eid=2-s2.0-85140460739&amp;doi=10.11947%2fj.JGGS.2021.0115&amp;partnerID=40&amp;md5=3d72037c7a88868f5047dda484d63939</t>
  </si>
  <si>
    <t>Coastal regions are becoming increasingly vulnerable to flooding because of accelerating sea-level-rise (SLR), local ground subsidence, and the changes in topography and morphology. Moreover, coastal areas are usually highly urbanized and increased human activities have an effect on the stability and preservation of the environment. For instance, the growing demand for new lands to accommodate the population and the industrial facilities in China has required the design and the deployment of land-reclamation projects from the ocean, with a marked impact on fragile coastal eco-systems. Specifically, the Yangtze River and Pearl River Estuary, two major estuaries of the world, have long been subject to intensive human activities over the past decades. Long-term ground subsidence evolution, topographic changes, and morphological variation of the coastal regions have drawn great attention. This paper provides an overview of well-established Earth Observation (EO) remote sensing (RS) technologies that are employed to continuously monitor the changes of urbanized regions. The combined use of EO-based DInSAR analyses along with the knowledge of the geomorphology of the coastal regions allows a more precise picture of the SLR risk in the investigated coastal regions. In this paper, we will concentrate on remote sensing technologies that allow the gathering of heterogeneous information, such as those based on the use of synthetic aperture radar (SAR), satellite altimeters and tide gauge data. We will underline how human activities trigger changes in the living environment of coastal zones and the associated risks for the population. Observed coastline changes, coastal regions terrain subsidence, and offshore bathymetry have a pronounced effect on the increasing risk of flooding. Accordingly, we also present insights into some inundation model projections employed for evaluating the potential flooding risk in coastal regions. © 2021 The authors.</t>
  </si>
  <si>
    <t>2-s2.0-85140460739"</t>
  </si>
  <si>
    <t>10.1007/s11852-021-00797-5</t>
  </si>
  <si>
    <t>https://www.scopus.com/inward/record.uri?eid=2-s2.0-85099405790&amp;doi=10.1007%2fs11852-021-00797-5&amp;partnerID=40&amp;md5=54549e27a59df91aca121745b7e3ff0e</t>
  </si>
  <si>
    <t>For coastal communities living in low elevation Pantai Acheh of Penang, Malaysia, salinization of groundwater caused by sea level rise (SLR) could pose a daunting challenge to water supply and crop cultivation, thereby undermining local water security (SDG6) and food security (SDG2). Modelling analysis using MANTRA was performed to examine the sustainability of coastal groundwater and vegetation in Pantai Acheh in response to SLR. MANTRA was developed by linking two United States Geological Survey (USGS) simulation models known as MANHAM and SUTRA. Simulation analysis revealed that Penang Island does not have viable fresh groundwater. Further, a projected 1-m SLR may lead to a 22% loss in mangrove coverage within the study site, adversely impacting SDG2 and SDG6. Penang’s current water management practices are not sustainable to meet growing demand for freshwater and to overcome the impacts of global climate change (GCC). Hence, alternative water supply options such as rainwater harvesting, groundwater exploitation and consumer education deserve careful consideration and research to ensure a sustainable water future for Penang Island towards achieving SDG6 and SDG2. Key elements for achieving these two SDGs include adapting integrated coastal zone management and integrated water management to mitigate increased risk of floods and droughts due to GCC and SLR, and protecting mangrove forests and their ecosystem services from further degradation. © 2021, The Author(s), under exclusive licence to Springer Nature B.V. part of Springer Nature.</t>
  </si>
  <si>
    <t>2-s2.0-85099405790"</t>
  </si>
  <si>
    <t>10.2112/JCOASTRES-D-20-00037.1</t>
  </si>
  <si>
    <t>https://www.scopus.com/inward/record.uri?eid=2-s2.0-85102174543&amp;doi=10.2112%2fJCOASTRES-D-20-00037.1&amp;partnerID=40&amp;md5=0a00c79a0aa0921de8ec83ef32ce1fd2</t>
  </si>
  <si>
    <t>Coastal marshes provide valuable ecosystem services yet are increasingly vulnerable to sea level rise (SLR).To facilitate a better understanding of how fluvial marshes along the Gulf of Mexico coast are responding to regional SLR of around 3.7 mm per year, this study used aerial imagery to map land cover at the mouth of the Pascagoula River at 20-year intervals, beginning in 1955 and ending in 2014. High-resolution land cover maps were created for each image date based on a maximum likelihood classification scheme using spectral and textural image features. This marsh ecosystem, at the mouth of the largest free-flowing river by volume in the contiguous United States, should be more resilient to sea level rise than other Gulf Coast marshes, with little restriction to sediment supply and relatively low subsidence rates measured nearby. However, the results of this study show that marsh area declined by 1073 ha (17.5%) and rates of marsh conversion to open water increased over the studied time period. Although modeling studies indicate that coastal marshes worldwide may persist under accelerated SLR, these observations suggest that marsh extent in the sediment-rich Pascagoula River Estuary will continue to decline, signifying vulnerability among other marsh ecosystems along the northern Gulf of Mexico coast.  © Coastal Education and Research Foundation, Inc. 2021.</t>
  </si>
  <si>
    <t>2-s2.0-85102174543"</t>
  </si>
  <si>
    <t>10.1007/s11356-020-10732-0</t>
  </si>
  <si>
    <t>https://www.scopus.com/inward/record.uri?eid=2-s2.0-85091724596&amp;doi=10.1007%2fs11356-020-10732-0&amp;partnerID=40&amp;md5=7fd27ebd3bc3434d56c97e4444e887e4</t>
  </si>
  <si>
    <t>Soil phosphorus fractions in wetland ecosystems have received increasing attention due to its high eutrophication risks. Soil samples were collected to 40 cm depth in three sampling seasons to investigate the seasonal dynamics of organic and inorganic phosphorus fractions, bioavailability, and relationship between those and soil properties in a seasonal-flooding wetland in the Yellow River Estuary. The results showed that inorganic phosphorus (IP) and organic phosphorus (OP) contents exhibited much higher levels in the top 10 cm soils, and declined along soil profiles in spring. IP kept constant along soil profiles in fall, while OP decreased in summer and fall. They were greatly affected by water content (WC), pH, Cl−/SO42−, soil organic matter (SOM), and electrical conductivity (EC). Middle labile organic phosphorus (MLOP) and non-labile organic phosphorus (NLOP) accounted for higher percentages of total OP in summer and fall respectively than labile organic phosphorus (LOP) in spring. MLOP and NLOP levels showed a decrease along soil profiles in spring and in spring/fall, respectively, while NLOP significantly increased with depth in summer. Ca-P was the dominant IP fraction in all soils in three sampling seasons, declined with depth in spring/fall and increased in summer. Comparatively, soluble/loosely-P(S/L-P) generally decreased with depth along soil profiles in three sampling seasons. And residual P (Res-P) kept little change with depth in spring. Fe/Al-P levels decreased firstly and then increased with depth in spring and summer. Available phosphorus and potential bioavailable phosphorus contents decreased with depth in spring and summer not in fall, and had a strong significant positive correlation with WC and SOM. Alkaline phosphatase not acid phosphatase was the key factor influencing soil MLOP levels. Generally, the fractions and bioavailability of phosphorus as well as phosphatase in this region were affected by soil depth, sampling seasons, and soil properties (e.g., WC, pH, Cl−/SO42−, SOM, and EC). © 2020, Springer-Verlag GmbH Germany, part of Springer Nature.</t>
  </si>
  <si>
    <t>2-s2.0-85091724596"</t>
  </si>
  <si>
    <t>10.4314/wiojms.si2021.1.4</t>
  </si>
  <si>
    <t>https://www.scopus.com/inward/record.uri?eid=2-s2.0-85161337687&amp;doi=10.4314%2fwiojms.si2021.1.4&amp;partnerID=40&amp;md5=0b1c4999377e9f7f721663dfb2526319</t>
  </si>
  <si>
    <t>Estuaries supply direct and indirect multi-sectoral opportunities including for transport, natural resource use and climate protection. These provisions support livelihoods and contribute to social and economic development. The Bons Sinais Estuary in Zambézia Province, central Mozambique, is adjacent to the provincial administrative capital Quelimane, some 25 km from the coast. The rapid growth of Quelimane has increased the demand for natural resources from the estuary, including space, food, fuelwood, transport and raw materials for construction and economic activities. Expansion of the built environment has extended into low-lying lands, mostly within the critical estuarine functional zone with inevitable consequences, such as damage to natural habitats and flooding of occupied areas during rainy seasons. The aim of this study was to analyse three decades of change (1991 – 2018) in land use and land cover (LU/LC) in the Bons Sinais Estuary, focussing on the growth of Quelimane city and the transformation of estuarine and surrounding habitats. The method relied on open-access satellite images and a LU/LC change analysis to quantify the spatio-temporal changes brought about by economic development and related human activities. A combination of low-intensity fieldwork and satellite-derived data (Landsat-5, sensor: Thematic Mapper and Landsat-8</t>
  </si>
  <si>
    <t>10.1080/01431161.2020.1809737</t>
  </si>
  <si>
    <t>https://www.scopus.com/inward/record.uri?eid=2-s2.0-85096222832&amp;doi=10.1080%2f01431161.2020.1809737&amp;partnerID=40&amp;md5=08aa7560833addd5e43f074a906c10c3</t>
  </si>
  <si>
    <t>Quantitative remote sensing of vegetation biophysical and biochemical parameters through the inversion of physical models is of great significance for monitoring vegetative growth, ecosystem function, and the global carbon and nitrogen cycles. However, mapping and comparing vegetation parameters in a tidal saltmarsh based on multi-spectral satellite imagery has been rarely documented. In this study, a coupled model (Soil-Canopy-Observation of Photochemistry and Energy fluxes, SCOPE) was used to quantitatively invert the spatial patterns of key parameters such as the leaf area index (LAI), leaf chlorophyll content (C ab), and fraction of absorbed photosynthetically active radiation (fPAR) of salt marsh vegetation from Land Remote-Sensing Satellite 8 (Landsat-8), Sentinel-2A, and RapidEye multispectral satellite imagery. The results show that RapidEye outperformed Landsat-8 and Sentinel-2A in the retrieval of LAI and C ab, with higher coefficients of determination (R 2 = 0.539 and 0.488, respectively) and lower normalized root mean square errors (NRMSE = 0.32 and 0.28, respectively). Without the red-edge band, the R 2 between the modelled and observed LAI and C ab for RapidEye decreased by 27.83% and 5.33%, respectively, while the NRMSE increased by 3.13% and 46.43%, respectively, highlighting the important role of the red-edge band in vegetation parameter retrieval. Tidal flooding resulted in poor retrieval results from Sentinel-2A. However, the accuracy of C ab inversion was significantly improved by removing the sampling sites near tidal trenches or in low-lying areas, indicating that tidal inundation exerted a notable effect on the retrieval of saltmarsh vegetation parameters when using multi-spectral images. In addition, the spatial pattern of the simulated fPAR from RapidEye is consistent with that of the gross primary productivity. This study provides an alternative method for estimating ecosystem functions in a tidal saltmarsh wetland, as well as for large-scale and high-precision monitoring of wetland restoration that is beneficial for the ecological protection of coastal zones. © 2020 Informa UK Limited, trading as Taylor &amp; Francis Group.</t>
  </si>
  <si>
    <t>2-s2.0-85096222832"</t>
  </si>
  <si>
    <t>10.1007/s12517-020-06427-y</t>
  </si>
  <si>
    <t>https://www.scopus.com/inward/record.uri?eid=2-s2.0-85101447132&amp;doi=10.1007%2fs12517-020-06427-y&amp;partnerID=40&amp;md5=39e4938834b0edf2ca005febc2709cc4</t>
  </si>
  <si>
    <t>The 1950s great Assam earthquake (GAE) is considered the sixth largest earthquake of the twentieth century in South Asia caused by a collision of two continental plates. This earthquake affected the whole eastern half of the Indian subcontinent and significant tectono-geomorphological deformations were observed at the final course of the Ganges-Brahmaputra-Meghna (GBM) river processes. This is especially the case in the Young Meghna Estuarine Floodplain (YMEF) areas, which have rarely been investigated and documented. Thus, the present study examined the massive geomorphic changes and regarded the configuration changes of the YMEF area immediately after the event, along with its recent aspects. Several direct field surveys together with Focus Group Discussion (FGD), and Key Person Interview (KPI) were conducted within the study area from September 2018 to December 2019. The findings of these research initiatives were augmented by analyzing historical toposheets (1942 and 1964) and multi-temporal Landsat satellite imageries (1975–2019) of the region following appropriate research methodologies. Techniques of remote sensing (RS) and GIS integration were also implemented in a robust way to measure the sinuosity index (SI) of the Meghna River (MR) course that helped to identify the tectonic influences, geomorphic changes, and neotectonics of the study area. The study reveals that as a consequence of this devastating 1950s earthquake, the course of the mighty MR was severely distorted which resulted in a significant reduction of the water flow within its YMEF section. The findings of this study suggest massive configuration changes of the landmass and river course shifting due to this colossal earthquake event. The study also indicates the presence of considerable geomorphic instability along with extensive erosion, deposition, and bank line shifting of the river within the study area during the recent period. © 2021, Saudi Society for Geosciences.</t>
  </si>
  <si>
    <t>2-s2.0-85101447132"</t>
  </si>
  <si>
    <t>10.4314/wiojms.si2021.1.3</t>
  </si>
  <si>
    <t>https://www.scopus.com/inward/record.uri?eid=2-s2.0-85142410264&amp;doi=10.4314%2fwiojms.si2021.1.3&amp;partnerID=40&amp;md5=3aae889391b814ddbc29dcb8424b381a</t>
  </si>
  <si>
    <t>Households in estuarine deltas of the Western Indian Ocean depend on small-scale fishing, farming in flood-recession and adjacent areas, and mangrove forest products for food security, energy and an income in so-called deltaic fish-based farming (FBF) systems. It was hypothesized that the relative importance of household activities would depend on location along the Bons Sinais Estuary in Mozambique, diversifying in peri-urban settings. Semi-structured interviews were undertaken at five sites, including rural sites near the estuary mouth and upstream, and peri-urban settings near Quelimane city. Fishing contributed the most to FBF livelihoods (54%) followed by farming (15%), small business operators (14%), collection and use of mangrove products (6%) and other activities such as wage-earning or formal employment (10%). The highest diversity of activities was at a peri-urban site, Chuabo Dembe, which differed from all other sites in Cluster and Principal Components Analyses. Fishing dominated activities at four of five sites, with the highest preponderance near the estuary mouth. Women played an important role in generating household income, mainly through farming and operating small businesses in peri-urban areas. The education level declined in rural settings. Overexploitation and degradation of natural ecosystems to provide for an increasing urban population around Quelimane threaten estuarine functioning, making deltaic FBF systems vulnerable. Rural development programmes should focus on improving education levels and the efficiency of food production, processing and distribution systems. © 2021, Western Indian Ocean Marine Science Association. All rights reserved.</t>
  </si>
  <si>
    <t>2-s2.0-85142410264"</t>
  </si>
  <si>
    <t>10.3390/rs13020275</t>
  </si>
  <si>
    <t>https://www.scopus.com/inward/record.uri?eid=2-s2.0-85099454478&amp;doi=10.3390%2frs13020275&amp;partnerID=40&amp;md5=69106e9d567a8f559442fc82a0da5644</t>
  </si>
  <si>
    <t>Given the high financial and institutional cost of collecting and processing accurate topography data, many large-scale flood hazard assessments continue to rely instead on freely-available global Digital Elevation Models, despite the significant vertical biases known to affect them. To predict (and thereby reduce) these biases, we apply a fully-convolutional neural network (FCN), a form of artificial neural network originally developed for image segmentation which is capable of learning from multi-variate spatial patterns at different scales. We assess its potential by training such a model on a wide variety of remote-sensed input data (primarily multi-spectral imagery), using high-resolution, LiDAR-derived Digital Terrain Models published by the New Zealand government as the reference topography data. In parallel, two more widely used machine learning models are also trained, in order to provide benchmarks against which the novel FCN may be assessed. We find that the FCN outperforms the other models (reducing root mean square error in the testing dataset by 71%), likely due to its ability to learn from spatial patterns at multiple scales, rather than only a pixel-by-pixel basis. Significantly for flood hazard modelling applications, corrections were found to be especially effective along rivers and their floodplains. However, our results also suggest that models are likely to be biased towards the land cover and relief conditions most prevalent in their training data, with further work required to assess the importance of limiting training data inputs to those most representative of the intended application area(s). © 2021 by the authors. Licensee MDPI, Basel, Switzerland.</t>
  </si>
  <si>
    <t>2-s2.0-85099454478"</t>
  </si>
  <si>
    <t>10.1016/j.dib.2020.106695</t>
  </si>
  <si>
    <t>https://www.scopus.com/inward/record.uri?eid=2-s2.0-85098529290&amp;doi=10.1016%2fj.dib.2020.106695&amp;partnerID=40&amp;md5=b7a8fdce9b121debf10583c51efbb49a</t>
  </si>
  <si>
    <t>This research investigates the combined effect of grain size and water salinity on oil recovery. Water flooding experiment was carried out using unconsolidated formation from Niger Delta. Five groups consisting of five samples, were tested for the effective interaction of two factors (grain size and salinity) and how they affect oil recovery. Each group was assigned a particular grain size while the prepared brine concentration was varied within a specified range. The selected grain sizes were obtained from laboratory sieve analyses. For each sand sample, the same concentration of brine used in saturating it was poured into the accumulator and connected to the flooding tube to displace a column of crude oil. The control valve was opened to cause oil displacement. The amount of brine used to displace the crude oil was ten times the pore volume and all the oil in each sample was recovered by the saturated brine solution. Laboratory investigations show that oil recovery was highest for brine concentration of 15,000 ppm</t>
  </si>
  <si>
    <t>10.1007/s10064-020-02056-7</t>
  </si>
  <si>
    <t>https://www.scopus.com/inward/record.uri?eid=2-s2.0-85099042284&amp;doi=10.1007%2fs10064-020-02056-7&amp;partnerID=40&amp;md5=cd52daa03614d44e7fd31be63498b1a0</t>
  </si>
  <si>
    <t>Land subsidence is often associated with compaction of subsurface strata, which cannot be recorded in detail by precise leveling, satellite imagery, and even extensometers. The distributed fiber optic sensing (DFOS) technique is advantageous in subsurface deformation monitoring, because it can image distributed profiles of vertical deformation by distributed strain sensing. Here, we propose to use the relationship between the soil porosity change and soil strain to verify the DFOS monitoring results. An observation case in Shengze, Suzhou (southern Yangtze Delta, China) 2012–2019 shows that compression strain occurs mainly in two aquitards adjacent to the pumping aquifer. The compression-rebound deformation of soil layers is closely related to the change in groundwater level. The microstructure, especially pore structure, affects the compressibility of soils. Changes in pore size derived by groundwater level fluctuations are macroscopically expressed as soil strain. The calculated strain induced by water level drop was basically consistent with the monitoring value, proving the credibility of DFOS technique. Moreover, DFOS can be used for the estimation of strata compression potential, which is of great significance to the management of land subsidence and groundwater exploitation. © 2021, Springer-Verlag GmbH Germany, part of Springer Nature.</t>
  </si>
  <si>
    <t>2-s2.0-85099042284"</t>
  </si>
  <si>
    <t>10.3390/rs13030529</t>
  </si>
  <si>
    <t>https://www.scopus.com/inward/record.uri?eid=2-s2.0-85103912579&amp;doi=10.3390%2frs13030529&amp;partnerID=40&amp;md5=a132b4b37ab7aff2b3261057928a0e2e</t>
  </si>
  <si>
    <t>Interaction between land subsidence and sea level rise (SLR) increases the hazard in coastal areas, mainly for deltas, characterized by flat topography and with great social, ecological, and economic value. Coastal areas need continuous monitoring as a support for human intervention to reduce the hazard. Po River Delta (PRD, northern Italy) in the past was affected by high values of artificial land subsidence: even if at low rates, anthropogenic settlements are currently still in progress and produce an increase of hydraulic risk due to the loss of surface elevation both of ground and levees. Many authors have provided scenarios for the next decades with increased flooding in densely populated areas. In this work, a contribution to the understanding future scenarios based on the morphological changes that occurred in the last century on the PRD coastal area is provided: planimetric variations are reconstructed using two archival cartographies (1911 and 1924), 12 multi-temporal high-resolution aerial photogrammetric surveys (1933, 1944, 1949, 1955, 1962, 1969, 1977, 1983, 1990, 1999, 2008, and 2014), and four LiDAR (light detection and ranging) datasets (acquired in 2006, 2009, 2012, and 2018): obtained results, in terms of emerged surfaces variations, are linked to the available land subsidence rates (provided by leveling, GPS—global positioning system, and SAR—synthetic aperture radar data) and to the expected SLR values, to perform scenarios of the area by 2100: results of this work will be useful to mitigate the hazard by increasing defense systems and preventing the risk of widespread flooding. © 2021 by the author. Licensee MDPI, Basel, Switzerland.</t>
  </si>
  <si>
    <t>2-s2.0-85103912579"</t>
  </si>
  <si>
    <t>10.1016/j.ecolmodel.2021.109448</t>
  </si>
  <si>
    <t>https://www.scopus.com/inward/record.uri?eid=2-s2.0-85099616184&amp;doi=10.1016%2fj.ecolmodel.2021.109448&amp;partnerID=40&amp;md5=5cee9fb110cd1b72e09a047ef65321f9</t>
  </si>
  <si>
    <t>Recruitment of temperate eel species Anguilla anguilla, A. rostrata &amp; A. japonica has declined over the last few decades due to human activities, such as overfishing and construction of migratory barriers (e.g. dams, weirs and sluices) and hazardous energy infrastructure (e.g. turbines, intakes and outfalls). Numerical models, substantiated with data from field and laboratory studies, can potentially predict and quantify the relative impacts of such activities, thereby assisting in the sustainable management of eel populations. Here, we present an agent-based model (ABM) of juvenile eel migration up estuaries. The model includes relevant eel behaviours and environmental conditions that, according to the literature, influence upstream migration. Crucially, by assessing the local salinity gradient and relative flow direction, the modelled eels (agents) self-determine whether the tide is flooding or ebbing and orientate themselves for navigation, with no top-down instructions. This allows the agents to decide which particular behaviour to undertake as part of Selective Tidal Stream Transport (STST). The developed ABM is coupled to a hydrodynamic model of the Thames Estuary and the results substantiated by comparison against eel trap data. Combinations of the various STST behaviours are systematically tested and the influence they have on up-estuary migration is assessed in terms of relative energy expenditure. The parameterised model is then used predictively at Milford Haven Waterway to investigate potential impacts on the juvenile eel population due to entrainment in a power plant cooling water intake and outfall. Results from the Thames model case study indicate that including bed anchoring behaviour is essential for achieving a good comparison with the eel trap data and the choice of salinity detection threshold is also important. If daylight avoidance (diel) behaviour is not included, the most energy efficient migration is achieved using just two STST behaviours (ebb tide bed anchoring and upward migration during flood). With diel behaviour included, energy expenditure is greater, but some efficiency is regained by including all of the STST behaviours. For the Milford Haven case study, the model predicted a juvenile eel intake and outfall entrainment rate of 2.0% and 4.7%, respectively. It is concluded that the ABM is a valuable tool for assessing potential impacts on the recruitment of eels (extendable to other species) and could be used to assist in site-selection and low impact design of energy infrastructure in tidal environments. © 2021 The Authors</t>
  </si>
  <si>
    <t>2-s2.0-85099616184"</t>
  </si>
  <si>
    <t>10.1007/s10064-020-02101-5</t>
  </si>
  <si>
    <t>https://www.scopus.com/inward/record.uri?eid=2-s2.0-85099295344&amp;doi=10.1007%2fs10064-020-02101-5&amp;partnerID=40&amp;md5=176c1e30f5653a89bf4b3af3da305b28</t>
  </si>
  <si>
    <t>A great deal of progress has been made in recent years to investigate the chemical characteristics of beachrocks. Beachrocks found in Krakal-Sadranan Beach (Yogyakarta, Indonesia) are spread locally, parallel to the coastline with a breadth of about 10–30 m2. In this research, unmanned aerial vehicle (UAV) drone mapping, geological analysis, direct current resistivity survey, and surface seismic surveys were conducted to detect the underground structure of the beachrocks and to emphasize the coastal mapping based on targeted beachrocks. The correlation was developed between the sections and the data on the study site. Toward survey validation, laboratory tests were conducted on the beachrock samples collected from the study site to identify its properties. The evolution of the coastal zone based on beachrocks study is highly affected by relative sea-level changes that were described in the 3D model of beachrocks. The coastal changes are significantly impact the natural and cultural resources, and the understanding of coastal evolution is important for the preservation, development, and management of the coastal zone. This paper focused on the cementation processes and mechanism of beachrocks as a natural wave barrier in a tropical area, which is also appropriate for advanced marine ecosystems study including shorelines microbiotas. © 2021, Springer-Verlag GmbH Germany, part of Springer Nature.</t>
  </si>
  <si>
    <t>2-s2.0-85099295344"</t>
  </si>
  <si>
    <t>10.1007/s00267-020-01410-5</t>
  </si>
  <si>
    <t>https://www.scopus.com/inward/record.uri?eid=2-s2.0-85099303331&amp;doi=10.1007%2fs00267-020-01410-5&amp;partnerID=40&amp;md5=540fef6e3c4cfafaa3a652fbf791c8f5</t>
  </si>
  <si>
    <t>Tidal marshes are increasingly vulnerable to degradation or loss from eutrophication, land-use changes, and accelerating sea-level rise, making restoration necessary to recover ecosystem services. To evaluate effects of restoration planting density and sea-level rise on ecosystem function (i.e., nitrogen removal), we restored three marshes, which differed in elevation, at Weeks Bay National Estuarine Research Reserve, Alabama, USA and planted them with Juncus roemerianus sods at 0, 25, 50, 75, or 100% initial cover. We simulated future sea level using passive weirs that increased flooding during low tide. Because additional species emerged shortly after transplantation, we also tested for treatment effects on community structure. In all marshes, species richness increased following restoration, regardless of treatments, while relative abundances of new species tended to increase with increasing initial cover. Plant percent cover increased with increasing initial cover in all marshes, with similar vegetated cover at 50, 75, and 100% after 3 years in the highest elevation marsh. Porewater dissolved inorganic nitrogen concentrations ([DIN]) decreased with increasing initial cover in all marshes, and were significantly lower in 50, 75, and 100% treatments than 0 or 25% after 1 year. Furthermore, [DIN] was similarly low among 50, 75, and 100% treatments when elevation capital was highest. These results suggest that intermediate initial cover (50%) can recover plant cover and promote nitrogen removal when elevation capital is adequate at relatively lower labor and material costs than planting at higher cover, thereby maximizing restoration outcomes in the face of low to moderate sea-level rise. © 2021, The Author(s), under exclusive licence to Springer Science+Business Media, LLC part of Springer Nature.</t>
  </si>
  <si>
    <t>2-s2.0-85099303331"</t>
  </si>
  <si>
    <t>10.4314/wiojms.si2021.1.8</t>
  </si>
  <si>
    <t>https://www.scopus.com/inward/record.uri?eid=2-s2.0-85159648046&amp;doi=10.4314%2fwiojms.si2021.1.8&amp;partnerID=40&amp;md5=7091949ceb499a19b0e5c904110e46df</t>
  </si>
  <si>
    <t>Household survey data and spatially explicit Sentinel-2 satellite images of land cover and land use during the dry and wet seasons were used to investigate livelihood strategies in the Lower Tana River Delta in Kenya, where food security and economic activity rely almost exclusively on ecosystem goods and services. Land cover classification of satellite imagery successfully showed seasonal changes to estuary-related vegetation and habitats from which land use cycles could be inferred. Flood-recession agriculture and part-time fishing were the most common activities at Ozi village, some 10 km upstream from the estuary mouth, whereas full-time fishing dominated activities at Kipini town, where the Tana Estuary discharges into Ungwana Bay. Seasonality of fishing at Kipini depended on favourable sea conditions, arrival of migrant fishers and peaks in shrimp abundance. Seasonality of agriculture at Ozi depended on the freshwater flooding regime, visible in satellite images as an inverse relationship of areas covered by wetlands and cultivated lands. The predominance of fishing assets at Kipini indicated specialization, which underlies a socio-economic network of fish processing, marketing, distribution and logistical support services. In contrast, mixed farming assets and traditional fishing gear at Ozi reflected more diversified farmer-fisher livelihoods, as a risk avoidance strategy. Key outcomes of this study were that land cover and land use were strongly seasonal, that coastal and upstream communities in the Tana Estuary relied on different combinations of ecosystem goods and services, and that livelihood strategies at the two locations differed fundamentally. Combining social, spatial and ecological data to describe socio-ecological systems typical of the Tana Estuary provided a broad platform for shared resource management strategies. © 2021, Western Indian Ocean Marine Science Association. All rights reserved.</t>
  </si>
  <si>
    <t>2-s2.0-85159648046"</t>
  </si>
  <si>
    <t>10.1016/j.jsames.2020.102841</t>
  </si>
  <si>
    <t>https://www.scopus.com/inward/record.uri?eid=2-s2.0-85095795053&amp;doi=10.1016%2fj.jsames.2020.102841&amp;partnerID=40&amp;md5=bb37bea050a0bab907f42742da9eee25</t>
  </si>
  <si>
    <t>In this article I present a review of InSAR observations of ground deformation at Cordón Caulle volcano, whose 2011–2012 VEI 4-5 eruption is the best scientifically observed and instrumentally recorded rhyolitic eruption to date. I document a complete cycle of pre-eruptive uplift, co-eruptive subsidence and post-eruptive uplift with InSAR data between March 2003 and May 2020, and produced by a complex interplay of magmatic processes. Pre-eruptive data show ~0.5 m of ground uplift in three distinct episodes between 2003 and 2011, with uplift rates between ~3 and ~30 cm/yr. The uplift was likely caused by magma injection resulting in pressurization of the magmatic system at depths of 4–9 km. Data spanning the first 3 days of the eruption show ~1.5 m of deflation produced by two distinct sources at 4–6 km depth located 18 km from each other and up to 10 km from the eruptive vent -- suggesting hydraulic connectivity of a large magma mush zone. A third source of deformation was recorded during the rest of the eruption at a depth of ~5 km, resulting in a total subsidence of ~4.2 m during the whole eruption. On a much smaller spatial scale (~25 km2), InSAR-derived digital elevation models recorded ~250 m of uplift in the area of the eruptive vent interpreted as the intrusion of a shallow laccolith during the first 2.5 months of the eruption and time averaged lava discharge rates up to ~150 m3/s. The co-eruptive time series of reservoir pressure drop and extruded volume follow exponential trends that can be explained by a model of magma reservoir depressurization and conduit flow. Since the end of the eruption, the surface of the volcano was uplifted ~1 m in a sequence of three transient episodes of unrest during 2012 and 2019, with uplift rates between 6 and 45 cm/yr and lasting between 0.5 and 3.2 years. These pulses can be modeled by the same source, a sub-horizontal sill at a depth of ~6 km. Viscoelastic relaxation is not significant on these time scales, hence I interpret these uplift signals as being produced by episodic pulses of magma injection in the crystal mush that likely underlies the volcano. The episodic and abrupt changes of the ground deformation suggest a restless trans-lateral magmatic system at depths of 4–9 km, and active across multiple spatial and temporal scales. Finally, I also discuss challenges of the InSAR technology that should be addressed to detect ground deformation on short time scales, particularly under the low coherence conditions of Cordón Caulle. © 2020 Elsevier Ltd</t>
  </si>
  <si>
    <t>2-s2.0-85095795053"</t>
  </si>
  <si>
    <t>10.2112/JCOASTRES-D-20-00045.1</t>
  </si>
  <si>
    <t>https://www.scopus.com/inward/record.uri?eid=2-s2.0-85102191862&amp;doi=10.2112%2fJCOASTRES-D-20-00045.1&amp;partnerID=40&amp;md5=1444832918ab700aa9f7ab6d18266cf3</t>
  </si>
  <si>
    <t>Extreme waves, such as freak waves or rogue waves, occur unexpectedly in the ocean and have extremely large wave heights. Extreme waves often are attributed to the process of wave focusing. Coastal structures such as bridges are highly susceptible to extreme waves and have caused substantial damage to coastal infrastructure in the past. Although impacts of various types of waves on coastal bridges have been studied in the past, hydrodynamic loads on bridge deck under the impact of extreme waves have not yet been investigated. This work adds to the existing body of work by systematically carrying out numerical investigations on the hydrodynamic characteristics of coastal bridge decks under the impact of extreme waves generated by wave focusing. Simulations were carried out by creating a numerical wave tank (NWT) using the open-source flow solver REEF3D, which numerically solves the governing equations of the incompressible two-phase flow on a staggered mesh and captures the interface between air and water using a high-resolution level-set method. The NWT was validated for the case of focused waves and wave impact loads on a two-dimensional (2D) rectangular cylinder in a straight channel and compared to experimental measurements. The NWT was then used to study the hydrodynamic loads of a coastal bridge deck by considering the effects of four prominent factors, i.e. submersion depth, wave height, wave period, and water depth. The findings made in this paper enhance the understanding of the damage mechanisms of coastal bridges under the impact of extreme waves.  © Coastal Education and Research Foundation, Inc. 2021.</t>
  </si>
  <si>
    <t>2-s2.0-85102191862"</t>
  </si>
  <si>
    <t>10.1016/j.envint.2020.106359</t>
  </si>
  <si>
    <t>https://www.scopus.com/inward/record.uri?eid=2-s2.0-85098510746&amp;doi=10.1016%2fj.envint.2020.106359&amp;partnerID=40&amp;md5=c26db4384de1cac370a959232a613c5b</t>
  </si>
  <si>
    <t>Climate change and human activities exert a wide range of stressors on urban coastal areas. Synthetical assessment of coastal vulnerability is crucial for effective interventions and long-term planning. However, there have been few studies based on integrative analyses of ecological and physical characteristics and socioeconomic conditions in urban coastal areas. This study developed a holistic framework for assessing coastal vulnerability from three dimensions - biophysical exposure, sensitivity and adaptive capacity - and applied it to the coast of Bohai Economic Rim, an extensive and important development zone in China. A composite vulnerability index (CVI) was developed for every 1 km2 segment of the total 5627 km coastline and the areas that most prone to coastal hazards were identified by mapping the distribution patterns of the CVIs in the present and under future climate change scenarios. The CVIs show a spatial heterogeneity, with higher values concentrated along the southwestern and northeastern coasts and lower values concentrated along the southern coasts. Currently, 20% of the coastlines with approximately 350,000 people are highly vulnerable to coastal hazards. With sea-level rises under the future scenarios of the year 2100, more coastlines will be highly vulnerable, and the amount of highly-threatened population was estimated to increase by 13–24%. Among the coastal cities, Dongying was categorized as having the highest vulnerability, mainly due to poor transportation and medical services and low GDP per capita, which contribute to low adaptive capacity. Our results can benefit decision-makers by highlighting prioritized areas and identifying the most important determinants of priority, facilitating location-specific interventions for climate-change adaptation and sustainable coastal management. © 2020 The Authors</t>
  </si>
  <si>
    <t>2-s2.0-85098510746"</t>
  </si>
  <si>
    <t>10.1016/j.quaint.2020.05.011</t>
  </si>
  <si>
    <t>https://www.scopus.com/inward/record.uri?eid=2-s2.0-85089066051&amp;doi=10.1016%2fj.quaint.2020.05.011&amp;partnerID=40&amp;md5=53cd70e56c2bc4a0d6df1ccd9af37b5b</t>
  </si>
  <si>
    <t>The Kerala coast displays a spectrum of varied geomorphic features that are evolved as a function of Late Quaternary land-sea interaction. The southern Kerala coast, south of Achankovil Shear Zone (ASZ) has been characterised by cliffed coast with entrenched estuarine basins, pocket beaches, promontories, older and younger strand plains, etc., that are evolved as a result of the transgressive-regressive phases to which the coast has been subjected during the late Quaternary Period. In spite of having varied geomorphic features, lacuna in comprehending the evolutionary phases of the coastal landform features is the primary impediment that bolstered us to unravel the Late Quaternary land-sea interactions and landform changes of the coast between Thottapally and Vizhinjam. Moreover, the last two centuries are known to have been witnessing many natural as well as human induced environmental perturbations in the area.The present study attempts to reconstruct t he late Quaternary landform dynamics based on the satellite data while the last century changes were extracted from the Digital Shoreline Analysis System (DSAS). The evidences based on geomorphic variations suggest that the present study area hosts two distinct paleo-coastlines – 1) coincides with the eastern boundary of the older strand plains (accreted during Late Pleistocene) and, 2) marks the boundary between older and younger strand plains (accreted during Early–Middle Holocene). A sector-wise analysis reveals that the northern half of the study area is characterised by many coast perpendicular estuarine basins with well-developed Bay Head Deltas in its fluvial end, and Flood Tide Islands near the estuarine mouth. On the contrary, the southern half is characterised by pocket beaches and coast parallel backwater bodies developed during the regressive phases of the sea. A high-resolution study of the shoreline changes during the period, 1920–2018 reveals that the younger strandlines are vulnerable to severe coastal erosion and shoreline retreat at many places compared to coastal accretion. The study stresses the imminent need for continuous monitoring and implementation of site-specific mitigation measures for the conservation and management of this coast known for its outstanding natural beauty and strategic beach placer deposits. © 2020 Elsevier Ltd and INQUA</t>
  </si>
  <si>
    <t>2-s2.0-85089066051"</t>
  </si>
  <si>
    <t>10.1007/s12517-021-06703-5</t>
  </si>
  <si>
    <t>https://www.scopus.com/inward/record.uri?eid=2-s2.0-85101336377&amp;doi=10.1007%2fs12517-021-06703-5&amp;partnerID=40&amp;md5=7da99a059830606a8221893aa02a93ae</t>
  </si>
  <si>
    <t>In the Jeddah region of Saudi Arabia, disastrous flash floods frequently occurred during the last few decades. Short-spelled torrential heavy-rains were considered the main reason for flash floods, which led to high water levels in “urban centers” situated along coastal plains of the Red Sea as well as high-gradient terrains of large braided wadi networks. These flash floods caused enormous fatalities related to lives, properties, and city utilities. It looks impossible to avoid flash flood risks and/or prevent their occurrences under prevailing climatic conditions, but it is possible to mitigate their adverse impacts on city life and property provided interactive relationship between flash flood attitudes and urban development planning are known clearly. This research study was conducted based on extracted wadi courses using SRTM-DEM data and archive geological published maps, modern Jeddah city-map, high-resolution mosaics depicting Jeddah geomorphology, and GIS-linked thematic layers/models. In the integrated research approach, it was evaluated the results from natural and cultural phenomena. Eastern parts of the catchment and terrain of wadis found plutonic igneous rock that resists water percolation and allows runoff from upstream to downstream, resulting in severe flooded conditions. These models revealed extents of extracted historical-imprints of wadi’s flooded courses on the modern city expansion in the Jeddah basin. Comparison indicated that most of the natural drainages and landscape features were bulldozed during Jeddah’s modernization activities. It was also deduced that unanticipated huge construction was another factor aggravating devastation by flash floods in the Jeddah basin. These findings seem to be imperative to reconsider for the formulation of intelligent mitigation plans and redesigning/modifications of new urban settlements. © 2021, Saudi Society for Geosciences.</t>
  </si>
  <si>
    <t>2-s2.0-85101336377"</t>
  </si>
  <si>
    <t>10.1007/s10668-020-00754-6</t>
  </si>
  <si>
    <t>https://www.scopus.com/inward/record.uri?eid=2-s2.0-85085053566&amp;doi=10.1007%2fs10668-020-00754-6&amp;partnerID=40&amp;md5=ad41f821cbb1e652f7b55fa55c739764</t>
  </si>
  <si>
    <t>Global warming-induced climate change affects the coastal regions diversely leading to warmer oceans, rise in sea level, aggravating storm patterns, inundations, increasing precipitations and salinization. This study focusses to explore the livelihood as well as the vulnerability status of the marine fishing spatial units in Sindhudurg Coastal and Marine Ecosystem (SCME) area, west coast of India. The focus was to develop a composite index, namely, Sustainable Fisheries Livelihood Index (SFLI) comprising five capitals, which acts as a tool to evaluate the livelihood status of the fishing communities and also a coastal vulnerability (Cumulative Vulnerability Index-CVI) framework from an earlier assessment was used. The livelihood and vulnerability indices were integrated to arrive at a decision-making matrix to identify and propose suitable interventions for appropriate climate adaptation strategies and achieving sustainable fisheries livelihood. In the present study, SCME was found to have a low SFLI value (0.36). Among the three taluks in SCME, Malvan taluk had comparatively higher SFLI (0.46) than Vengurla (0.34) and Devgad (0.29) taluks. Based on cumulative vulnerability indices, the majority of marine fishing spatial units (i.e. 58.3% after combining high and very high CVI ranges) in SCME were found to face severe vulnerability. These spatial units, plotted using CVI versus SFLI in the four quadrants of decision matrix, were analyzed for management interventions with strategies aimed at reducing the vulnerability and improve the adaptive capacity of fishing communities to achieve sustainable livelihoods. Spatial units in Quadrant IV were preferred to have focused climate change adaptation strategies to minimize vulnerability as well as to improve the fisheries livelihood sustainability by enhancing the access to livelihood capital assets. Spatial units in Quadrant I might serve as model units to demonstrate the vulnerability mitigation interventions to achieve stability and sustainability of livelihoods. Appropriate interventions for climate change adaptation such as diversification of fishing, selection of appropriate fishing gears, regulation of fishing effort, diversification of livelihoods and adoption of ecosystem approach to fisheries management (EAFM) have been discussed. © 2020, Springer Nature B.V.</t>
  </si>
  <si>
    <t>2-s2.0-85085053566"</t>
  </si>
  <si>
    <t>10.1007/s11852-021-00804-9</t>
  </si>
  <si>
    <t>https://www.scopus.com/inward/record.uri?eid=2-s2.0-85099752369&amp;doi=10.1007%2fs11852-021-00804-9&amp;partnerID=40&amp;md5=e700abf4be2c05f4035d94e2c480258f</t>
  </si>
  <si>
    <t>Sundarban Biosphere Reserve (SBR), an ecologically sensitive and dynamic region, is susceptible to cyclones, floods, storm surge and sea level rise. Multi-hazard events in the Reserve have severely affected the coastal landscape and increased the magnitude of various losses to the communities during the last ten years. Losses such as damage to houses, asset loss, land loss and livestock deaths have largely occurred due to multi-hazard events. This article makes an attempt to assess socio-economic losses occurred due to multi-hazards. We collected data regarding socio-economic losses from 570 sampled households through field survey using questionnaire. Poisson regression was performed to ascertain the relationship between losses and multi-hazard events. Pearson correlation was also utilized to examine the relationship between losses and government relief provided to the sampled households. Results revealed that of the 19 blocks (administrative divisions of the district), Namkhana and Sagar were found to be the most vulnerable blocks to the multi-hazard as maximum losses of house, livestock, land and asset of the sampled households occurred in these blocks. Patharpratima also suffered all types of losses except asset loss. Kultali and Basanti suffered from asset loss while Gosaba and Hingalganj suffered from livestock losses. Weak housing structure, lack of early warning system, insufficient relief, lack of basic amenities, coastal erosion and vicinity to the coast were the main factors for persistent vulnerability to losses in these blocks. Thus, these blocks accord high priority for lessening multi-hazards vulnerability. © 2021, The Author(s), under exclusive licence to Springer Nature B.V. part of Springer Nature.</t>
  </si>
  <si>
    <t>2-s2.0-85099752369"</t>
  </si>
  <si>
    <t>10.1016/j.scitotenv.2020.141913</t>
  </si>
  <si>
    <t>https://www.scopus.com/inward/record.uri?eid=2-s2.0-85090205092&amp;doi=10.1016%2fj.scitotenv.2020.141913&amp;partnerID=40&amp;md5=da285b55c14a7076c6144e641b46bc31</t>
  </si>
  <si>
    <t>Marsh edge erosion is one of the major causes of land and associated carbon loss in wetland-dominated coastlines. Assessing carbon stocks and understanding fate of eroding carbon is an essential component of wetland carbon budget. This study aims to understand the vertical soil carbon profile of an eroding marsh and potential mineralization of carbon in estuaries. Eleven soil cores (~2 m deep) were collected from the edge of four highly eroding marsh sites and three cores from the estuarine bottom (~50 cm deep). Cores were sectioned into 10-cm intervals and analyzed for total, labile and refractory carbon, carbon density, select enzyme and microbial activities, and organic and inorganic phosphorus forms. The total carbon, labile carbon, and carbon density increased with depth at all sites. The carbon density at 1–1.5 m deep (0.04 ± 0.003 g cm−3) was significantly higher (p &lt; 0.0001) than the top 1 m soil (0.032 ± 0.002 g cm−3), indicating the need for considering deeper carbon profile for blue carbon stock assessment. The age of the carbon at the estuarine bottom was 388 ± 84 years before present (ybp) indicating the recently eroded wetland carbon is not reburied in the estuary. Significant anaerobic microbial activity was present at all the soil depths suggesting high potential of mineralization of eroded carbon in the aerobic estuarine water. The coastlines experiencing high relative sea-level rise at present or coastlines that are projecting high sea-level rise in the near future are susceptible to losing an enormous amount of previously sequestered carbon over a relatively short period of time. © 2020 Elsevier B.V.</t>
  </si>
  <si>
    <t>2-s2.0-85090205092"</t>
  </si>
  <si>
    <t>10.5194/nhess-21-703-2021</t>
  </si>
  <si>
    <t>https://www.scopus.com/inward/record.uri?eid=2-s2.0-85101297376&amp;doi=10.5194%2fnhess-21-703-2021&amp;partnerID=40&amp;md5=7a0d5dcd0c93ed1915fb445901a219c8</t>
  </si>
  <si>
    <t>Sea-level rise due to anthropogenic climate change is projected not only to exacerbate extreme events such as cyclones and storms but also to cause more frequent chronic flooding occurring at high tides under calm weather conditions. Chronic flooding occasionally takes place today in the low-lying areas of the Petit Cul-de-sac marin (Guadeloupe, West Indies, French Antilles). This area includes critical industrial and harbor and major economic infrastructures for the islands. As sea level rises, concerns are growing regarding the possibility of repeated chronic flooding events, which would alter the operations at these critical coastal infrastructures without appropriate adaptation. Here, we use information on past and future sea levels, vertical ground motion, and tides to assess times of emergence of chronic flooding in the Petit Cul-de-sac marin. For RCP8.5 (Representative Concentration Pathway 8.5</t>
  </si>
  <si>
    <t>10.3390/ijgi10030110</t>
  </si>
  <si>
    <t>https://www.scopus.com/inward/record.uri?eid=2-s2.0-85106489480&amp;doi=10.3390%2fijgi10030110&amp;partnerID=40&amp;md5=b799a285fd360969f1f136cf7cb7ff8b</t>
  </si>
  <si>
    <t>This paper introduces a new simple approach for dam-break hazard mapping in a datasparse region. A hypothetical breaching case of an earthen dam, i.e., the Ketro Dam in Central Java, (Indonesia) was considered. Open-access hydrological databases, i.e., TRMM and CHIRPS, were collected and compared with the rainfall ground station data to ensure data quality. Additionally, the 3-h rainfall distribution of the TRMM database was employed and validated with the measured data to establish the 24-h rainfall distribution of the probable maximum precipitation. The probable maximum flood discharge was computed with the SCS method, and the reservoir routing computation was conducted to determine the possible breaching mechanisms. The result shows that the Ketro Dam proves safe against overtopping, and thus only the piping mechanism has been taken into consideration. Using the breaching hydrograph, the open-access Digital Elevation Model MERIT Hydro, and the high-performance shallow water model NUFSAW2D, the flood propagation to the downstream part of the dam was simulated, enabling fast computations for different scenarios. The quantification of the susceptibility rate of urban areas was eased with overlay analysis utilizing InaSAFE, a plugin for the QGIS model. This study shows that even for a data-sparse region, the recent open-access databases in terms of hydrological and hydraulic aspects may be used to generate a dam-break hazard map. This will benefit the related stakeholders to take proper action to reduce the loss of life. © 2021 by the authors. Licensee MDPI, Basel, Switzerland.</t>
  </si>
  <si>
    <t>2-s2.0-85106489480"</t>
  </si>
  <si>
    <t>10.1016/j.scitotenv.2020.144310</t>
  </si>
  <si>
    <t>https://www.scopus.com/inward/record.uri?eid=2-s2.0-85098454154&amp;doi=10.1016%2fj.scitotenv.2020.144310&amp;partnerID=40&amp;md5=29515a018ed212e83cbd74d805f03de3</t>
  </si>
  <si>
    <t>Coastal erosion is a major issue facing Europe that will only worsen under future climate change and the resulting sea level rise. One effect of erosion is the loss of ecosystem services, which are provided by coastal areas, such as provisioning, regulating, habitat, and cultural services. These services can be quantified in monetary terms. Here, we present comprehensive estimates of future decline in coastal ecosystem services due to the erosion of sandy coastlines. We used datasets derived from remote sensing products: a pan-European land cover/use dataset (Corine Land Cover) and new global probabilistic coastal erosion projections constrained by artificial and topographical barriers to erosion. The results include historical changes (2000–2018) and projections under two emission scenarios (RCP4.5 and RCP8.5) for 2050 and 2100 together with uncertainty bounds. We estimate that in 2018, the coastal zone (excluding open sea) included 579,700 km2 of habitats generating 494 billion euros of services annually. The future sea-level rise could erode 1.0% [90% confidence interval 0.7–1.5%] of the 2018 area under RCP4.5, and 1.2% [0.7–2.2%] under RCP8.5. The decline in services would be even greater: 4.2% [3.0–6.1%] under RCP4.5, and 5.1% [3.3–8.5%] under RCP8.5. The highest absolute losses would be sustained by salt marshes, while relative losses would be highest in beaches, sands, and dunes. The most affected countries in relative economic terms would be Denmark, Albania, Greece, Estonia, and Finland, but countries such as Germany, the Netherlands, and France would be among those losing the largest share of their coastal ecosystem services. Regional analysis using NUTS 3 regions shows high diversity of the impacts, with many regions along the North Sea and eastern Mediterranean Sea that are heavily affected by coastal erosion-induced loss of ecosystem services. The study highlights the urgency of undertaking mitigation actions. © 2020 Elsevier B.V.</t>
  </si>
  <si>
    <t>2-s2.0-85098454154"</t>
  </si>
  <si>
    <t>University of Chicago Law Review</t>
  </si>
  <si>
    <t>https://www.scopus.com/inward/record.uri?eid=2-s2.0-85159298981&amp;partnerID=40&amp;md5=803fb118b95ecda73fcab58faaee22e9</t>
  </si>
  <si>
    <t>As climate change threatens coastal areas with more frequent and intense flooding, the federal government has adopted a greater focus on mitigating the effects of natural disasters. While neighborhoods differ in terms of physical risk exposure, they also differ in social vulnerability-the characteristics that influence a community's ability to safely weather a storm, withstand disruptions to employment and housing, navigate the rebuilding process, and eventually return to normal. Funding for federal flood-mitigation projects administered by the Federal Emergency Management Agency (FEMA) is currently distributed according to a simple metric-the benefits of a project must outweigh its costs. FEMA's approach to cost-benefit analysis (CBA), however, primarily measures physical risk to property while neglecting the long-term, intangible social costs incurred by vulnerable communities. This approach has resulted in higher-property-value communities receiving a disproportionate share of mitigation infrastructure, while lower-income communities are either left without protection or relocated. The distribution of mitigation funding therefore plays a role in exacerbating place-based inequality. This Comment proposes ways in which FEMA could better account for the distributional effects of its projects and promote efficient policies that take into account the full range of social and economic costs associated with natural disasters. It begins by detailing how FEMA neglects to consider distributional outcomes in its mitigation programs, consistent with the single-minded focus on economic efficiency prevalent in federal regulatory decision-making. Next, it surveys empirical research documenting the ways in which FEMA's use of CBA exacerbates wealth inequality and social vulnerability to flooding. The Comment then considers various legal avenues for redressing the disparate impacts resulting from FEMA's policies, concluding that none are likely to be successful. Instead, it offers five policy adjustments that FEMA could implement in its cost-benefit methodology to ensure that resources for flood mitigation are more equitably distributed, emphasizing ways in which these better accord with the agency's own focus on economic efficiency. © 2021 University of Chicago Law School. All rights reserved.</t>
  </si>
  <si>
    <t>2-s2.0-85159298981"</t>
  </si>
  <si>
    <t>10.11628/ksppe.2021.24.1.39</t>
  </si>
  <si>
    <t>https://www.scopus.com/inward/record.uri?eid=2-s2.0-85103459341&amp;doi=10.11628%2fksppe.2021.24.1.39&amp;partnerID=40&amp;md5=0f36addbb31958e7630a404509e35a70</t>
  </si>
  <si>
    <t>Background and objective: Urban topology can be characterized as impervious, which changes the hydrologic features of an area, increasing surface water flow during local heavy rain events. The pluvial flooding is also influenced by the vertical structures of the urban area. This study suggested a modified digital elevation model (DEM) to identify changes in urban hydrological conditions and segmentalized urban micro catchment areas using a geographical information system (GIS). Methods: This study suggests using a modified DEM creation process based on Rolling Ball Method concepts along with a GIS program. This method proposes adding realized urban vertical data to normal DEM data and simulating hydrological analyses based on RBM concepts. The most important aspect is the combination of the DEM with polygon data, which includes urban vertical data in three datasets: the contour polyline, the locations of buildings and roads, and the elevation point data from the DEM. DEM without vertical data (DCA) were compared with the DEM including vertical data (VCA) to analyze catchment areas in Shin-wol district, Seoul, Korea. Results: The DCA had 136 catchments, and the area of each catchment ranged from 3,406 m2 to 423,449 m2. The VCA had 2,963 catchments, with the area of each ranging from 50 m2 to 16,209 m2. The most important finding is that in the overlapped VCA</t>
  </si>
  <si>
    <t>10.1007/s12524-020-01216-2</t>
  </si>
  <si>
    <t>https://www.scopus.com/inward/record.uri?eid=2-s2.0-85093965920&amp;doi=10.1007%2fs12524-020-01216-2&amp;partnerID=40&amp;md5=fd39de9e683580d5de8a622e155c9642</t>
  </si>
  <si>
    <t>The coastal zones of northern Odisha coast, western Bay of Bengal, are highly exposed to natural forcing. These regions are vulnerable due to natural hazards such as cyclones, tsunamis, floods, shoreline/beach erosion and sea-level rise. Further, the increased intensity and density of the extreme events in the recent decades have contributed more to the coastal vulnerability, thereby causing floods and inundation. Therefore, there is a need of sustainable use of the coastal zone with proper management practices. In this context, coastal vulnerability index (CVI) has been proved as an effective method for assigning the vulnerability status to any coastal zone. The present research work aims to develop a CVI by integrating risk values of nine input variables and to segment them into low, moderate, high and very high vulnerability categories as per their degree of vulnerability. The study area exhibits a long 273.8 km coastal tract, and about 9.6% of the coastal tract is under very high vulnerability category, followed by 29.7% under high vulnerability, 46.3% under medium vulnerability and rest 14.3% under low vulnerability. © 2020, Indian Society of Remote Sensing.</t>
  </si>
  <si>
    <t>2-s2.0-85093965920"</t>
  </si>
  <si>
    <t>10.1007/s11069-020-04425-7</t>
  </si>
  <si>
    <t>https://www.scopus.com/inward/record.uri?eid=2-s2.0-85096084826&amp;doi=10.1007%2fs11069-020-04425-7&amp;partnerID=40&amp;md5=a76d8cb67c55c57b4a50f436ef1dad54</t>
  </si>
  <si>
    <t>Flooding is one of the most frequent and most costly natural disasters that occur throughout Canada, and although there is ongoing work to update and improve flood hazard assessments and mapping of high flood risk rivers throughout the country, most studies only delve into open water flooding. However, many rivers in Canada experience higher peak water levels due to ice jamming, resulting in severe flooding of surrounding areas. Hence, there is an urgency to expand current flood hazard assessments to include ice jam flooding for better flood management practices. One area that is often plagued with ice jam flooding is the lowest reach of Manitoba’s Red River. The Lower Red River is a low-lying river with a terminus inland delta where water levels are governed by Lake Winnipeg. Ice jam floods often divert water into the lower Red River’s floodplain that is continually being encroached by development. RIVICE, Environment Canada’s one-dimensional ice hydraulic model, was set up within a Monte Carlo framework to simulate an envelope of backwater level profiles that result from ice jams within the study site. Non-exceedance probability profiles were created from the envelope of backwater level profiles to assess ice jam flood hazard. © 2020, Springer Nature B.V.</t>
  </si>
  <si>
    <t>2-s2.0-85096084826"</t>
  </si>
  <si>
    <t>10.1007/s11852-020-00787-z</t>
  </si>
  <si>
    <t>https://www.scopus.com/inward/record.uri?eid=2-s2.0-85102126657&amp;doi=10.1007%2fs11852-020-00787-z&amp;partnerID=40&amp;md5=dc5841a7a383088dffa240433f1c44cf</t>
  </si>
  <si>
    <t>In this study, shallow water equations (SWEs) in Cartesian coordinates were used to foresee water levels (WLs) on account of the nonlinear tide-surge interaction (TSI) associated with the recent cyclonic storm Roanu that hit the eastern coast of Bangladesh. A fully explicit finite-difference method (FDM) was implemented to solve the SWEs. A one-way nesting approach was implemented for incorporating coastal complexity with the lowest cost. The land-sea interface of every nested scheme was made favorable for employing the FDM via the stair-step technique. To incorporate river dynamics, freshwater Meghna River discharge was taken into consideration in the innermost scheme. An appropriate tidal regime in the domain was established after forcing the sea-level to be oscillatory applying the four effective tidal constituents, viz. M2 (principal lunar semidiurnal), S2 (principal solar semidiurnal), K1 (lunisolar diurnal), and O1 (principal lunar diurnal) on the southern boundary of the outermost scheme. Numerical experiments were performed by the model to estimate WLs due to tide, surge, and TSI associated with tropical storm Roanu in the coastal areas of Bangladesh. Our estimated WLs due to TSI were in good agreement with the observed data procured from the Bangladesh Inland Water Transport Authority (BIWTA) and some reported results. The model was found to perform well on the basis of the root mean square error (RMSE) values and computational cost. © 2021, The Author(s), under exclusive licence to Springer Nature B.V. part of Springer Nature.</t>
  </si>
  <si>
    <t>2-s2.0-85102126657"</t>
  </si>
  <si>
    <t>10.3390/rs13020189</t>
  </si>
  <si>
    <t>https://www.scopus.com/inward/record.uri?eid=2-s2.0-85099233824&amp;doi=10.3390%2frs13020189&amp;partnerID=40&amp;md5=5df755c130192b884659661c746c580b</t>
  </si>
  <si>
    <t>The Mekong delta, like many deltas around the world, is subsiding at a relatively high rate, predominately due to natural compaction and groundwater overexploitation. Land subsidence influences many urbanized areas in the delta. Loading, differences in infrastructural foundation depths, land-use history, and subsurface heterogeneity cause a high spatial variability in subsidence rates. While overall subsidence of a city increases its exposure to flooding and reduces the ability to drain excess surface water, differential subsidence results in damage to buildings and above-ground and underground infrastructure. However, the exact contribution of different processes driving differential subsidence within cities in the Mekong delta has not been quantified yet. In this study we aim to identify and quantify drivers of processes causing differential subsidence within three major cities in the Vietnamese Mekong delta: Can Tho, Ca Mau and Long Xuyen. Satellite-based PS-InSAR (Persistent Scatterer Interferometric Synthetic Aperture Radar) vertical velocity datasets were used to identify structures that moved at vertical velocities different from their surroundings. The selected buildings were surveyed in the field to measure vertical offsets between their foundation and the surface level of their surroundings. Additionally, building specific information, such as construction year and piling depth, were collected to investigate the effect of piling depth and time since construction on differential vertical subsidence. Analysis of the PS-InSAR-based velocities from the individual buildings revealed that most buildings in this survey showed less vertical movement compared to their surroundings. Most of these buildings have a piled foundation, which seems to give them more stability. The difference in subsidence rate can be up to 30 mm/year, revealing the contribution of shallow compaction processes above the piled foundation level (up to 20 m depth). This way, piling depths can be used to quantify depth-dependent subsidence. Other local factors such as previous land use, loading of structures without a piled foundation and variation in piling depth, i.e., which subsurface layer the structures are founded on, are proposed as important factors determining urban differential subsidence. PS-InSAR data, in combination with field observations and site-specific information (e.g., piling depths, land use, loading), provides an excellent opportunity to study urban differential subsidence and quantify depth-dependent subsidence rates. Knowing the magnitude of differential subsidence in urban areas helps to differentiate between local and delta wide subsidence patterns in InSAR-based velocity data and to further improve estimates of future subsidence. © 2021 by the authors. Licensee MDPI, Basel, Switzerland.</t>
  </si>
  <si>
    <t>2-s2.0-85099233824"</t>
  </si>
  <si>
    <t>10.1007/s11069-020-04467-x</t>
  </si>
  <si>
    <t>https://www.scopus.com/inward/record.uri?eid=2-s2.0-85098724088&amp;doi=10.1007%2fs11069-020-04467-x&amp;partnerID=40&amp;md5=ab9f626b25469c9c918e8d59f4884616</t>
  </si>
  <si>
    <t>Hurricanes (tropical cyclones) and nor'easters (extratropical cyclones) are two major storm systems for flood risk over the Massachusetts coast. Severe coastal inundation usually happens when wind-induced waves and storm surges coincide with high tides. A Northeast Coastal Ocean Forecast System (NECOFS) was established and placed into the 24/7 forecast operations starting in 2007. Using a well-validated “end to end” FVCOM inundation model of NECOFS, we examined the impact of climate change-induced sea-level rise (SLR) on the future extratropical storms-induced coastal inundation over the Massachusetts coast. The assessment was done by making the model experiments to project the storm-induced inundation over the coastal areas of Scituate and Boston Harbors with different SLR scenarios under a hundred-year storm condition. The results suggest that with sustained SLR, the northeastern US coast will be vulnerable more severely to wave runup-induced splashing/overtopping than wind-induced storm surges. This finding is consistent with the change in the intensity of storm-generated surface waves in the last decade. The model also suggests that the responses of surge and surface waves to SLR are fully nonlinear. The assessment of the impacts of SLR on the future storm-induced coastal inundation should be investigated with a model including wave-current interactions. © 2021, The Author(s), under exclusive licence to Springer Nature B.V. part of Springer Nature.</t>
  </si>
  <si>
    <t>2-s2.0-85098724088"</t>
  </si>
  <si>
    <t>10.1029/2020JB020344</t>
  </si>
  <si>
    <t>https://www.scopus.com/inward/record.uri?eid=2-s2.0-85101497368&amp;doi=10.1029%2f2020JB020344&amp;partnerID=40&amp;md5=ffc577ddd2f7064a5264d73dd00027c7</t>
  </si>
  <si>
    <t>A Probabilistic Tsunami Hazard Assessment (PTHA) study on the Chinese Mainland and the Taiwan Island was conducted. Characterized by broad and shallow continental shelves, the offshore region along Chinese Mainland's east coast yields a significant nonlinear effect and bottom friction to the propagating long waves. To address these shallow-water effects, a fully nonlinear Boussinesq model was used in the computation-based PTHA framework. We found that the inappropriate usage of the linear wave model could considerably overestimate the tsunami hazards along the East China Sea (ECS) and the Yellow Sea. Tsunami hazard along the coastline of Chinese Mainland is generally moderate. Elevated tsunami hazard levels are found along both flanks of the Yangtze and Pearl estuaries. The probability of these coastlines impacted by 1 m or greater tsunami waves (at 10-m isobath) is about 14%–40% in next century. The shallow and tongue-shaped submarine terrain amplifies the hazard level by trapping the tsunami energy in these areas. Major subduction zones in the Northwest Pacific were identified as the main sources of destructive events along the coast of ECS and the Taiwan Island, while the Manila Trench is the main source zone that threatens the Northern South China Sea. The tsunami hazards generated by the crustal earthquakes are modest, yet not negligible, particularly in the Taiwan Strait. We found the risk of tsunami inundation along the coast of Shanghai is low based on the hazard curves of total water level that incorporates the aleatory uncertainty of tides. © 2021. American Geophysical Union. All Rights Reserved.</t>
  </si>
  <si>
    <t>2-s2.0-85101497368"</t>
  </si>
  <si>
    <t>10.1029/2020JD033234</t>
  </si>
  <si>
    <t>https://www.scopus.com/inward/record.uri?eid=2-s2.0-85101755582&amp;doi=10.1029%2f2020JD033234&amp;partnerID=40&amp;md5=680c3eb2809b1b28010b64111c1e8009</t>
  </si>
  <si>
    <t>The present study investigates the temporal and spatial variation of storm surge activity at different temporal scales using reconstructed daily maximum storm surge levels in the southeastern coastal area of China for the past 60 years. Considering the surge height and the duration of storm surge, the comprehensive intensity of storm surge is proposed, namely Accumulated Storm Surge Potential Impact. The results show that with the intensification of climate warming, the intensity has increased rapidly, although the overall the frequency and duration of storm surges have not changed significantly. In relation to the spatial distribution of storm surge intensity, storm surge at different time scales (interannual and decadal) was mainly located in the areas of concentration of historical tropical cyclones landing and in subconcentration areas. In terms of climate change response, it is clear that the frequency, duration, and intensity of storm surges have increased significantly since the end of the 1980s. From the perspective of the spatial distribution of the climate tendency rate (it reflects the change trend of regional climatic elements) of storm surge intensity, the areas of increased intensity are mainly located in several concentrated areas where storm surge events occur frequently, while the weakened areas are also other areas where storm surges have rarely occurred. El Niño-Southern Oscillation events have a certain effect on the frequency, duration, and intensity of storm surge activity, although the effect on intensity is more significant. The impact of the Pacific Decadal Oscillation on the frequency, duration, and intensity of storm surge activity at different phases was also different, with clear regional distribution features for each phase. In this way, we can make targeted preparations for disaster prevention and mitigation, and avoid further socio-economic losses. © 2020. American Geophysical Union. All Rights Reserved.</t>
  </si>
  <si>
    <t>2-s2.0-85101755582"</t>
  </si>
  <si>
    <t>10.1007/s11852-020-00795-z</t>
  </si>
  <si>
    <t>https://www.scopus.com/inward/record.uri?eid=2-s2.0-85098940928&amp;doi=10.1007%2fs11852-020-00795-z&amp;partnerID=40&amp;md5=51b977c9ffa7acf8786c29bfa4f689d6</t>
  </si>
  <si>
    <t>A obvious feature of many coastal wetlands is the relatively low plant species richness across different plant zones. The mechanisms of low plant species richness in the coastal wetland still need to be investigated. On the other hand, seed addition and litter removal are traditional measures to increase plant species richness in degraded ecosystems (such as grasslands and forests), but the effects of these interventions has not been greatly explored in coastal wetlands. We performed a seed addition and litter removal experiment in three coastal marsh vegetative zones characterized by Suaeda salsa, Aeluropus pungens, and Phragmites australis in the Yellow River Delta. The results showed that seed addition and litter removal treatments did not increase the species richness, plant density, or above-ground biomass over one growth season in each zone. We further found that the mechanisms limiting these measures was salinity in S. salsa and A. pungens zones, and water inundation in the P. australis zone, which may limit seed germination and seedling recruitment. Specifically, seed addition increased plant density of P. australis in the early growth season (May and June), but decreased it dramatically at the end of the growth season (September) due to water inundation. The interactive effect of seed addition and litter removal on average plant height varied by plant zone and growth season. Limitations in both seed germination and seedling recruitment may lead to lower species richness in coastal marsh plant zones and, more generally, it is unlikely that seed addition and litter removal will increase species richness in plant zones of degraded coastal wetlands with high environmental stress. © 2021, The Author(s), under exclusive licence to Springer Nature B.V. part of Springer Nature.</t>
  </si>
  <si>
    <t>2-s2.0-85098940928"</t>
  </si>
  <si>
    <t>10.3389/feart.2021.628061</t>
  </si>
  <si>
    <t>https://www.scopus.com/inward/record.uri?eid=2-s2.0-85103778402&amp;doi=10.3389%2ffeart.2021.628061&amp;partnerID=40&amp;md5=7ff3b9961c555b3dc8675f75ef01e5f6</t>
  </si>
  <si>
    <t>Inundation maps are a fundamental tool for coastal risk management and in particular for designing evacuation maps and evacuation planning. These in turn are a necessary component of the tsunami warning systems’ last-mile. In Italy inundation maps are informed by a probabilistic tsunami hazard model. Based on a given level of acceptable risk, Italian authorities in charge for this task recommended to consider, as design hazard intensity, the average return period of 2500 years and the 84th percentile of the hazard model uncertainty. An available, regional-scale tsunami hazard model was used that covers the entire Italian coastline. Safety factors based on analysis of run-up variability and an empirical coastal dissipation law on a digital terrain model (DTM) were applied to convert the regional hazard into the design run-up and the corresponding evacuation maps with a GIS-based approach. Since the regional hazard cannot fully capture the local-scale variability, this simplified and conservative approach is considered a viable and feasible practice to inform local coastal risk management in the absence of high-resolution hazard models. The present work is a first attempt to quantify the uncertainty stemming from such procedure. We compare the GIS-based inundation maps informed by a regional model with those obtained from a local high-resolution hazard model. Two locations on the coast of eastern Sicily were considered, and the local hazard was addressed with the same seismic model as the regional one, but using a higher-resolution DTM and massive numerical inundation calculations with the GPU-based Tsunami-HySEA nonlinear shallow water code. This study shows that the GIS-based inundation maps used for planning deal conservatively with potential hazard underestimation at the local scale, stemming from typically unmodeled uncertainties in the numerical source and tsunami evolution models. The GIS-based maps used for planning fall within the estimated “error-bar” due to such uncertainties. The analysis also demonstrates the need to develop local assessments to serve very specific risk mitigation actions to reduce the uncertainty. More in general, the presented case-studies highlight the importance to explore ways of dealing with uncertainty hidden within the high-resolution numerical inundation models, e.g., related to the crude parameterization of the bottom friction, or the inaccuracy of the DTM. © Copyright © 2021 Tonini, Di Manna, Lorito, Selva, Volpe, Romano, Basili, Brizuela, Castro, de la Asunción, Di Bucci, Dolce, Garcia, Gibbons, Glimsdal, González-Vida, Løvholt, Macías, Piatanesi, Pizzimenti, Sánchez-Linares and Vittori.</t>
  </si>
  <si>
    <t>2-s2.0-85103778402"</t>
  </si>
  <si>
    <t>10.1134/S0001437021010021</t>
  </si>
  <si>
    <t>https://www.scopus.com/inward/record.uri?eid=2-s2.0-85105339514&amp;doi=10.1134%2fS0001437021010021&amp;partnerID=40&amp;md5=2e524396a2ed8c643889dd4f1c64751c</t>
  </si>
  <si>
    <t>The article deals with deposits exposed in sections along the rivers of the Caspian lowland and on the eastern slope of the Ergenei. The conclusion is made about the lagoonal origin of chocolate clays lying on high-capacity subaerial and alluvial–deltaic deposits. The impact of the Caspian Sea level rise on coastal processes is examined. Taking into account the regularities in the behavior of the coastal zone during sea level rise, subaerial deposits with such thickness in the outcrops could not have been preserved during the early Khvalynian transgression from –100 m. Another curve of Caspian Sea level fluctuations is proposed, where there is no deep Atelian regression between the Khazarian and Khvalynian transgressions. It is concluded that the Khazarian transgression was one of the largest in the history of the Caspian Sea. Its level was slightly less than that of the Khvalynian transgression. The rise of the level of the latter began not from –100 m, but from about 5–15 m</t>
  </si>
  <si>
    <t>10.1016/j.dib.2020.106636</t>
  </si>
  <si>
    <t>https://www.scopus.com/inward/record.uri?eid=2-s2.0-85098068113&amp;doi=10.1016%2fj.dib.2020.106636&amp;partnerID=40&amp;md5=bf1078a4b61512141368ac1484c1a4ae</t>
  </si>
  <si>
    <t>Integrity of most of tropical wetlands is threatened because they are often considered freely available resources of land and water. The Araguaia River Basin is one of the Brazilian basins most influenced by tropical seasonal floods, in addition to being rich in biodiversity and providing diverse ecosystem services. Here, we propose the analysis of the landscape of Araguaia Basin in terms of terrain units, rainfall, land use/cover and gross primary productivity (GPP). For this, the integration of different databases was made, including the topographic domains, protected areas and indigenous lands; land use/cover map (year 2016); time series of GPP derived from the Moderate Resolution Imaging Spectroradiometer (MODIS) sensor (period of 2000–2015); Shuttle Radar Topography Mission (SRTM) digital elevation models (DEM); and precipitation data produced by the WorldClim version 2 dataset. GPP time serie were processed using statistical methods of decomposition throughout R software. The proposed methodology can assist in new studies aimed at land use changes and carbon cycles.</t>
  </si>
  <si>
    <t>10.1016/j.margeo.2020.106418</t>
  </si>
  <si>
    <t>https://www.scopus.com/inward/record.uri?eid=2-s2.0-85099505791&amp;doi=10.1016%2fj.margeo.2020.106418&amp;partnerID=40&amp;md5=54db2a6cdb98556b4336168906fa4c55</t>
  </si>
  <si>
    <t>Climate change and human activity have exerted significant influences on the sediment load and channel morphology of the Changjiang River system, China. However, our knowledge of their influence on flood regime on the centennial to millennial timescales remains limited, and this is mainly because of the difficulty in directly determining the long-term hydrological variability of the Changjiang River over the period before hydrological gauges were established. Based on multiproxy analysis that combines chronological, sedimentological, and geochemical analysis of a 4.8-m-long sediment core retrieved from the subaqueous delta of the Changjiang River, this study establishes a flood history for the Changjiang River during the late Holocene. Our palaeoflood reconstruction revealed 14 multi-decadal periods of extreme floods (19–66 BCE, 25–80, 255–350, 415–475, 550–710, 740–835, 970–990, 1080–1130, 1170–1235, 1275–1390, 1440–1500, 1560–1730, 1810–1830, and 1950–2011 CE). These flood units match well with the observed large floods, documentary records of floods, and sedimentary flood deposits, confirming that the coarse units in the sequence are flood-derived and are regionally representative. Comparing with regional and global palaeoclimate records indicates that major flood events of the Changjiang are strongly modulated by the Asian summer monsoon and the El Niño–Southern Oscillation (ENSO), but that anthropogenic impacts (e.g. artificial channelization and land clearance) have also greatly amplified the flooding frequency over the past 600 yr. © 2021 Elsevier B.V.</t>
  </si>
  <si>
    <t>2-s2.0-85099505791"</t>
  </si>
  <si>
    <t>10.1002/dep2.130</t>
  </si>
  <si>
    <t>https://www.scopus.com/inward/record.uri?eid=2-s2.0-85097545339&amp;doi=10.1002%2fdep2.130&amp;partnerID=40&amp;md5=1906aa7f07e414537bd290754ea4e6ac</t>
  </si>
  <si>
    <t>Fifteen transects of sediment cores located off the central Texas coast between Matagorda Peninsula and North Padre Island were investigated to examine the offshore record of Holocene evolution of the central Texas coast. The transects extend from near the modern shoreline to beyond the toe of the shoreface. Lithology, grain size and fossil content were used to identify upper shoreface, lower shoreface, ebb-tidal delta and marine mud lithofacies. Interpretations of these core transects show a general stratigraphic pattern across the study area that indicates three major episodes of shoreface displacement. First, there was an episode of shoreface progradation that extended up to 5 km seaward. Second, an episode of landward shoreline displacement is indicated by 3–4 km of marine mud onlap. Third, the marine muds are overlain by shoreface sands, which indicates another episode of shoreface progradation of up to 5 km seaward. Radiocarbon ages constrain the onset of the first episode of progradation to ca 6.5 ka, ending at ca 5.0 ka when the rate of sea-level rise slowed from an average rate of 1.6–0.5 mm/yr. Results from sediment budget calculations and sediment transport modelling based on reasonable estimates of an ancient shoreline shape and wave climate indicate that the first progradation was a result of sand supplied from erosion of the offshore Colorado and Rio Grande deltas. The transgressive phase occurred between ca 4.9 ka and ca 1.6 ka and coincided with a major expansion of the Texas Mud Blanket, which resulted in burial of offshore sand sources and the shoreface being inundated with mud. The second, more recent episode of shoreface progradation began ca 500 years ago with a maximum rate of ca 6 m/yr. This most recent change signals a healing phase of coastal evolution from the late Holocene transgressive event. Currently, the shoreline along the central Texas coast is retreating landward at an average rate of 0.30 m/yr, indicating that the second progradation event has ended. © 2020 The Authors. The Depositional Record published by John Wiley &amp; Sons Ltd on behalf of International Association of Sedimentologists.</t>
  </si>
  <si>
    <t>2-s2.0-85097545339"</t>
  </si>
  <si>
    <t>10.3390/ijgi10030176</t>
  </si>
  <si>
    <t>https://www.scopus.com/inward/record.uri?eid=2-s2.0-85106495073&amp;doi=10.3390%2fijgi10030176&amp;partnerID=40&amp;md5=55ccb2e3539c4059de602555656cfd9f</t>
  </si>
  <si>
    <t>Ecosystem-based adaptation to climate change impacts, such as shoreline retreat, has been promoted at the international, national, and even local levels. However, among scientists, opinions about how to implement it in spatial-planning practices are varied. Science-based environmental factors, human wellbeing, and sustainable development can be strengthened by developing spatial-planning-based ecosystem adaptations (SPBEAs). Therefore, this article aims to assess how the SPBEA model can be developed within an area prone to shoreline retreat. A coastal area of the Sayung subdistrict in Central Java, Indonesia, was selected as a study area because it has experienced a massive shoreline retreat. A multicriteria analysis (MCA) method was employed for developing the model by using the geographic information system (GIS) technique of analysis, divided into three steps: the fishpond zone determination, which involved the analytical hierarchy process (AHP) method in the process of model development</t>
  </si>
  <si>
    <t>10.1007/s11069-020-04208-0</t>
  </si>
  <si>
    <t>https://www.scopus.com/inward/record.uri?eid=2-s2.0-85089093324&amp;doi=10.1007%2fs11069-020-04208-0&amp;partnerID=40&amp;md5=36fa6abee1311f711119d8ff189c21fd</t>
  </si>
  <si>
    <t>This study documents the atmospheric system driving the observed meteotsunami waves that hit the northern Persian Gulf on 19 March 2017 during high tide. This destructive meteotsunami event resulted in coastal inundations that reached several hundred metres inland along the 100-km coastline between the cities of Dayyer and Asaluyeh and caused the death or injury of 27 persons. Based on previously published research, eyewitness reports, oceanic and atmospheric observations, including synoptic station and weather radar data, and available reanalysis ERA5 products, this study provides new insights into destructive events, particularly mesoscale atmospheric systems conjoined with observed meteotsunami waves. Precipitation intensity, maximum reflectivity and echo top height images provided by the weather radar covering the affected area and the area over which the meteotsunamigenic disturbance travelled revealed that a strong convective system that encompassed the mid- and upper troposphere entered the northern Persian Gulf approximately 4 h before the event and moved eastward. Two hours before reaching the affected coastline, this convective system was reshaped to an elongated and narrow squall line varying between 70 and 130 km in length with a width of less than 10 km and travelled at an average speed of approximately 24 m/s over the sea. The peak maximum reflectivity of the squall line always surpassed 40 dBZ, while it increased to 60 dBZ near the Dayyer area. As such, intense atmospheric disturbances are known to be associated with sharp air pressure increases, and these disturbances were found to resonantly pump energy to the ocean through Proudman resonance for over 12 or more disturbance wavelengths (i.e. up to 120 km in this study). A half-metre meteotsunami wave was presumably created in the open sea and then amplified while travelling towards the shore where it broke as a meteotsunami bore and inundated the coastal areas. Further research on the physical mechanisms driving the interactions between meteotsunamigenic disturbances and ocean responses, the recurrence of such events and meteotsunami hazard assessments along the affected coastline is envisaged. © 2020, Springer Nature B.V.</t>
  </si>
  <si>
    <t>2-s2.0-85089093324"</t>
  </si>
  <si>
    <t>10.1080/01431161.2020.1792574</t>
  </si>
  <si>
    <t>https://www.scopus.com/inward/record.uri?eid=2-s2.0-85089454784&amp;doi=10.1080%2f01431161.2020.1792574&amp;partnerID=40&amp;md5=71860a4c0f1c3bdda87b151ccd282d2b</t>
  </si>
  <si>
    <t>In this work, we quantify the differential subsidence that occurred between 2015 and 2016 in a maar-lake that has been desiccating due to the large groundwater extraction rates of the aquifer that used to feed it. The relatively small size of the bottom of the crater (1.2 km in diameter) and the scale of its structures (e.g. mud-injection domes that range in height from a few decimetres to 12 m and individual fault scarp heights that vary from a few cm to 15 m), along with the high albedo of the maar’s sediments provide a difficult setting to develop a series of high-resolution Digital Elevation Models (DEMs) required to quantify its subsidence. Through the use of a small quadcopter that carried a consumer-grade compact camera along a portable Global Positioning System (GPS)–which was used to georeference the acquired images–we were finally able to develop two high resolution (4.7 cm) DEMs for years 2015 and 2016. These DEMs allowed us to identify the geologic structures (faults, domes, and fault scarps) developed on the dry bottom of the crater. Through a Difference of Digital Elevation Models (DoDs = (DEM2015)-(DEM2016)), we were able to prove that subsidence is not uniform in the crater, as subsidence is mainly occurring on its western side. We also found that the largest subsidence occurs on the crater’s southwestern region (with some areas subsiding more than 1 m) followed by the northwestern area–where the crater’s highest normal fault is found. From these results, we can conclude that: (1) movement of the sediments inside the crater can not be interpreted as a simple piston-like downward displacement occurring near the centre of the basin and (2) Unmanned Aerial Vehicles (UAVs) are an efficient tool to quantify terrain changes as periodic flights can be repeated over the same area. © 2020 Informa UK Limited, trading as Taylor &amp; Francis Group.</t>
  </si>
  <si>
    <t>2-s2.0-85089454784"</t>
  </si>
  <si>
    <t>10.1126/science.abg3651</t>
  </si>
  <si>
    <t>https://www.scopus.com/inward/record.uri?eid=2-s2.0-85100458213&amp;doi=10.1126%2fscience.abg3651&amp;partnerID=40&amp;md5=a2e285ac6420ca955bfad23d620ddb22</t>
  </si>
  <si>
    <t>2-s2.0-85100458213"</t>
  </si>
  <si>
    <t>10.5194/nhess-21-587-2021</t>
  </si>
  <si>
    <t>https://www.scopus.com/inward/record.uri?eid=2-s2.0-85101180074&amp;doi=10.5194%2fnhess-21-587-2021&amp;partnerID=40&amp;md5=aef7cc47e54e8e98404055b15dac0e5b</t>
  </si>
  <si>
    <t>The changing climate and anthropogenic activities raise the likelihood of damage due to compound flood hazards, triggered by the combined occurrence of extreme precipitation and storm surge during high tides and exacerbated by sea-level rise (SLR). Risk estimates associated with these extreme event scenarios are expected to be significantly higher than estimates derived from a standard evaluation of individual hazards. In this study, we present case studies of compound flood hazards affecting critical infrastructure (CI) in coastal Connecticut (USA). We based the analysis on actual and synthetic (considering future climate conditions for atmospheric forcing, sea-level rise, and forecasted hurricane tracks) hurricane events, represented by heavy precipitation and surge combined with tides and SLR conditions. We used the Hydrologic Engineering Center's River Analysis System (HEC-RAS), a two-dimensional hydrodynamic model, to simulate the combined coastal and riverine flooding of selected CI sites. We forced a distributed hydrological model (CREST-SVAS) with weather analysis data from theWeather Research and Forecasting (WRF) model for the synthetic events and from the National Land Data Assimilation System (NLDAS) for the actual events, to derive the upstream boundary condition (flood wave) of HEC-RAS.We extracted coastal tide and surge time series for each event from the National Oceanic and Atmospheric Administration (NOAA) to use as the downstream boundary condition of HEC-RAS. The significant outcome of this study represents the evaluation of changes in flood risk for the CI sites for the various compound scenarios (under current and future climate conditions). This approach offers an estimate of the potential impact of compound hazards relative to the 100-year flood maps produced by the Federal Emergency Management Agency (FEMA), which is vital to developing mitigation strategies. In a broader sense, this study provides a framework for assessing the risk factors of our modern infrastructure located in vulnerable coastal areas throughout the world. © Author(s) 2021.</t>
  </si>
  <si>
    <t>2-s2.0-85101180074"</t>
  </si>
  <si>
    <t>10.1016/j.ocemod.2020.101735</t>
  </si>
  <si>
    <t>https://www.scopus.com/inward/record.uri?eid=2-s2.0-85097914831&amp;doi=10.1016%2fj.ocemod.2020.101735&amp;partnerID=40&amp;md5=e1187072150f52f9462aa05f33784fbf</t>
  </si>
  <si>
    <t>Coastal hazard is rarely driven by only one source, as exemplified by the compound flooding from Hurricane Harvey in Galveston Bay in 2017. A 3D creek-to-ocean model is developed to explicitly resolve, without grid nesting, the marine (combination of atmospheric forcing and tides), fluvial and pluvial extremes for this extreme event. We first thoroughly assess the model skills using all available observations in the Galveston Bay region, including High Water Marks (HWMs) and field estimates of maximum inundation extent in the watershed. Subject to uncertainties in the river flows, atmospheric forcing, initial condition of salinity and temperature, and digital elevation model of bathymetry-topography, the model is shown to generally exhibit good skills for predicting inundation and compound surges, with a hit rate for inundation extent of 0.92, average mean-absolute-errors of 0.65 m for HWMs, 1.7 psu for salinity, and 1.4 °C for temperature. We then apply the model to quantify the individual contributions from the three major forcings (ocean, river and precipitation). Comparison of results (in the form of ‘compound ratio’) from the simulations with three factors being applied individually with those from the baseline simulation with all factors included in a single model reveals the nonlinear compounding effects in most of the areas in Galveston Bay, and indicates that the compound flooding problems are best simulated using a single model that integrates across all factors because the interactions among processes are very complex and highly nonlinear</t>
  </si>
  <si>
    <t>10.1016/j.scitotenv.2020.141944</t>
  </si>
  <si>
    <t>https://www.scopus.com/inward/record.uri?eid=2-s2.0-85090016693&amp;doi=10.1016%2fj.scitotenv.2020.141944&amp;partnerID=40&amp;md5=2a3bf88d2d14ce6fee0eee2d3f8c8c67</t>
  </si>
  <si>
    <t>Rivers and streams represent &lt;0.6% of the Earth's land surface but play a disproportionately large role in global biogeochemical cycles and provide locally relevant ecosystem services. However, knowledge of how rivers influence material budgets and ecosystem services has major gaps due to the lack of explicit consideration of tidally-influenced reaches. Focusing on the conterminous US, we provide a foundation for understanding the role of tidal streams. We find that 66% of tidal stream length is contributed from low order streams (&lt; 4th order), and that terrestrial ecosystem production in low-lying coastal zones is 30% greater than in adjacent terrestrial ecosystems. This prevalence of small streams indicates that small coastal watersheds dominate tidally influenced spatial domains. Furthermore, we find that relative sea-level rise (RSLR) will have a disproportionate impact on low order tidal streams and their terrestrial interfaces - 1 m RSLR will decrease the tidal stream land-water interface by 17% and the total surface area of US tidal streams by 31%. Upstream reaches of tidal zones will be extended in response to RSLR, but gains will be more than offset by coastal losses because topographic gradients become steeper moving inland, and accretion rates may not keep pace with RSLR. These results highlight previously unrecognized dominance, high productivity, and disproportionate future loss of low-order coastal ecosystems. This indicates a critical need to focus research on small tidal stream systems under contemporary and future conditions. © 2020</t>
  </si>
  <si>
    <t>2-s2.0-85090016693"</t>
  </si>
  <si>
    <t>10.1002/esp.5045</t>
  </si>
  <si>
    <t>https://www.scopus.com/inward/record.uri?eid=2-s2.0-85100356227&amp;doi=10.1002%2fesp.5045&amp;partnerID=40&amp;md5=27b7f2236dc3e8d6ad05b0d5c57e12be</t>
  </si>
  <si>
    <t>Tidal marsh restoration and creation is growing in popularity due to the many and diverse sets of services these important ecosystems provide. However, it is unclear what conditions within constructed settings will lead to the successful establishment of tidal marsh. Here we provide documentation for widespread and rapid development of tidal freshwater wetlands for a major urban estuary as an unintended result of early industrial development. Anthropogenic backwater areas established behind railroad berms, jetties, and dredge spoil islands resulted in the rapid accumulation of clastic material and the subsequent initiation of emergent marshes. In one case, historical aerial photos document this transition occurring in less than 18 years, offering a timeframe for marsh development. Accretion rates for anthropogenic tidal marshes and mudflats average 0.8–1.1 and 0.6–0.7 cm year−1, respectively, equivalent to two to three times the rate of relative sea level rise as well as the observed accretion rate at a 6000+ year-old reference marsh in the study area. Paired historical and geospatial analysis revealed that more than half of all the tidal wetlands on the Hudson River were likely triggered by anthropogenic development since the onset of the industrial era, including two-thirds of the emergent cattail marsh. These inadvertently constructed tidal wetlands currently trap roughly 6% of the Hudson River's sediment load. Results indicate that when sediment is readily available, freshwater tidal wetlands can develop relatively rapidly in sheltered settings. The study sites serve as useful examples to help guide future tidal marsh creation and restoration efforts. © 2020 John Wiley &amp; Sons, Ltd.</t>
  </si>
  <si>
    <t>2-s2.0-85100356227"</t>
  </si>
  <si>
    <t>10.1029/2020JC016705</t>
  </si>
  <si>
    <t>https://www.scopus.com/inward/record.uri?eid=2-s2.0-85101592421&amp;doi=10.1029%2f2020JC016705&amp;partnerID=40&amp;md5=feefa999eda8f6760df00182e7ea091b</t>
  </si>
  <si>
    <t>In coastal embayments, tidal dynamics are influenced by mean sea level and shoreline configuration. As sea levels rise and coastal communities modify their shorelines to mitigate future flooding, spatial patterns of inundation, tidal amplitude, and tidal phase will change in response. Here we apply a hydrodynamic model to systematically investigate the effect of local-scale, spatially refined shoreline protection on regional tidal dynamics and peak water levels in San Francisco Bay, California. We find that individual shoreline protection scenarios produce relatively small changes in tidal amplitudes at 50 and 100 cm of sea-level rise but can result in amplification of the M2 tide by up to 40% at 200 cm of sea-level rise. Protection of shorelines with gradually sloping topography and space for floodwater accommodation generally has the largest influence on tidal response, both locally and regionally. In the northern part of San Francisco Bay, tides down-estuary of protected shorelines move closer to a standing wave, while up-estuary tides become more progressive. In the southern part of the bay, which is already close to a standing wave, effects are more localized and variable. Overall, the tidal response to shoreline protection is a function of both the geographic location within the embayment as well as the geomorphic characteristics of the local landscape that is protected. Understanding the relative influence of local shoreline modifications on tidal dynamics under a range of sea-level rise scenarios is critical to developing effective shoreline adaptation alternatives that maximize flood mitigation. © 2020. American Geophysical Union. All Rights Reserved.</t>
  </si>
  <si>
    <t>2-s2.0-85101592421"</t>
  </si>
  <si>
    <t>10.1029/2020JD033557</t>
  </si>
  <si>
    <t>https://www.scopus.com/inward/record.uri?eid=2-s2.0-85101004495&amp;doi=10.1029%2f2020JD033557&amp;partnerID=40&amp;md5=694c757f02840e65f0473dda0aa6f53e</t>
  </si>
  <si>
    <t>The overtopping of flood defenses by extreme storm surges during tropical cyclones poses a significant threat to life and property in coastal and estuarine regions. Since little effort has been devoted to investigating the complex interaction of multiple mechanisms causing extreme storm surges, for the first time, we propose a robust data-driven framework to explicitly uncover the complex interaction and thus to improve the characterization of extreme storm surges induced by tropical cyclones. The framework constructs a probabilistic ensemble of dependence structures of multiple climatological forcing factors that potentially cause extreme storm surges based on a multi-structure regular vine copula approach. The uncertainty in the vine-based model structure is explicitly addressed in a Bayesian framework. The climatological forcing factors sensitive to extreme storm surge levels are selected using partial correlations, including 10-m wind, 850-mb temperature, 700-mb geopotential height, precipitation, sea level pressure, and its spatial gradient extracted from the ERA5 reanalysis data. We demonstrate the framework by an in-depth analysis of the extreme storm surge levels observed over two tidal gauging stations in Hong Kong during 1979–2018. Our findings show that the proposed framework substantially improves the characterization of extreme storm surges by taking into account the joint evolution of multiple mechanisms causing extreme storm surges and underlying uncertainties. Furthermore, the framework not only demonstrates higher skill than previous single-structure vine-based models but also can outperform the principal components regression and the random forest regression in terms of characterizing extreme storm surges. © 2020. American Geophysical Union. All Rights Reserved.</t>
  </si>
  <si>
    <t>2-s2.0-85101004495"</t>
  </si>
  <si>
    <t>10.3389/fenvs.2020.594554</t>
  </si>
  <si>
    <t>https://www.scopus.com/inward/record.uri?eid=2-s2.0-85102919744&amp;doi=10.3389%2ffenvs.2020.594554&amp;partnerID=40&amp;md5=251f8bc333a8935932730dd36fadd7f9</t>
  </si>
  <si>
    <t>Karst subterranean estuaries (KSEs) are created from the two- and three-way mixing of saline groundwater, rain, and oceanic water in the subsurface on carbonate landscapes, and this hydrographic framework promotes unique physical processes, biogeochemical cycling, and biological communities. Here we provide evidence that the source and quantity of particulate organic matter (POM) that is delivered to the benthos strongly correlates to benthic habitat partitioning in the oxygenated marine sectors of KSEs. A dataset of benthic foraminifera at 128 different locations from several large flooded cave systems in Bermuda were compiled and evaluated against common environmental characteristics (e.g., tidal exposure, substrate particle size, bulk organic matter, C:N, total organic carbon, and δ13Corg). Benthic areas receiving more carbon isotopically depleted organic matter sources (mean δ13Corg values &lt; −23.2‰, C:N ratios &gt;11), most likely from the terrestrial surface and some marine plankton, were dominated by Trochammina inflata, Bolivina spp., and Helenina anderseni. In contrast, benthic areas receiving more carbon isotopically enriched organic matter sources (mean δ13Corg values &gt; −21.6‰, C:N ratios &lt;10), most likely from marine plankton transported through marine cave openings cave from adjacent coastal waters, were dominated by Spirophthalmidium emaciatum, Spirillina vivipara, Patellina corrugata, and Rotaliella arctica. The benthic foraminifera most distal from any cave entrances were dominated by taxa also known from the deep-sea (e.g., Rotaliella, Spirophthalmidium) in sediment with the lowest bulk organic matter content (mean: 6%), or taxa that prefer hard substrates and are potentially living attached to cave walls (Patellina, Spirillina). While physical groundwater characteristics (e.g., salinity, dissolved oxygen) are expected drivers of benthic ecosystems in KSEs, these results suggest that POM source, quantity, and delivery mechanisms (e.g., groundwater-seawater circulation mechanisms, terrestrial flux) play an important role in benthic habitat partitioning and the spatial variability of biogeochemical cycles in the oxygenated marine sector of KSEs. © Copyright © 2021 Cresswell and van Hengstum.</t>
  </si>
  <si>
    <t>2-s2.0-85102919744"</t>
  </si>
  <si>
    <t>10.1016/j.sciaf.2020.e00682</t>
  </si>
  <si>
    <t>https://www.scopus.com/inward/record.uri?eid=2-s2.0-85098730654&amp;doi=10.1016%2fj.sciaf.2020.e00682&amp;partnerID=40&amp;md5=4cfb9671314b139276dfef1e8874ed90</t>
  </si>
  <si>
    <t>An increase in artisanal crude oil refining within the Niger Delta Creeks has led to colossal environmental problems occasioned by spillages and subsequent ecosystem damage. Bacteria have been shown to play key role in biogeochemical cycling and degradation of pollutants from petroleum sources. The present study investigated the degradation efficiency of a bacterial consortia recovered from heavily inundated site in Bie-Ama community, having total petroleum hydrocarbons (TPH) concentration of 22,000 mg/kg, a value higher than Department of Petroleum Resources (DPR)’s 1000 mg/kg intervention limit. Soil samples were collected at 15 cm depth with soil auger while microbial isolation was done using enrichment and vapor phase transfer methods in Bushnell Haas medium. Colorimetric method using 2, 6-dichlorophenol indophenol (DCPIP) redox indicator was employed to determine biodegradation potentials of isolates. Bacterial isolates identified using 16S rRNA gene by Sanger sequencing were further screened for biosurfactant production and aromatic hydrocarbon degradation abilities. A consortium for efficient biodegradation of crude oil was constituted from individual isolates that totally decolorized DCPIP. Total culturable heterotrophic and hydrocarbon utilizing bacterial counts were 2.07 × 106 and 1.71 × 106 CFU/g soil respectively. Bacterial strains from the genera Pseudomonas, Bacillus, Klebsiella, Enterobacter produced biosurfactants while all strains utilized aromatics (benzene and naphthalene). A combination of Pseudomonas, Bacillus, Lysinibacillus and Enterobacter was the most efficient crude oil degrading consortium with significant mean difference (p = 0.05) as evidenced by GC-analysis confirming a more than 25% reduction in total petroleum hydrocarbon (TPH) concentration of 1% crude oil within 48 h. Conclusively, the extant indigenous bacterial community in the impacted site has the natural capability to degrade hydrocarbons and could be further enhanced through biostimulation for in situ remediation. © 2020</t>
  </si>
  <si>
    <t>2-s2.0-85098730654"</t>
  </si>
  <si>
    <t>10.1007/s11069-020-04444-4</t>
  </si>
  <si>
    <t>https://www.scopus.com/inward/record.uri?eid=2-s2.0-85098731625&amp;doi=10.1007%2fs11069-020-04444-4&amp;partnerID=40&amp;md5=3e76878cbdee99a728767b3b16886da8</t>
  </si>
  <si>
    <t>Meteotsunamis (localized ocean waves with periods similar to those of tsunamis but caused by meteorological phenomena) have been observed around the globe and are frequently observed in the Adriatic Sea. Numerous studies have focused on numerical modeling of meteotsunamis, but only a few have modeled flooding and drying of the coastal areas that play an important role in risk assessment. In this study, we model four historic meteotsunami events (Vela Luka Bay, June 21, 1978; Široka Bay, August 22, 2007; Mali Lošinj Bay August 15, 2008; Stari Grad Bay February 19, 2010) that occurred in the Adriatic Sea, using ADICRC, a flooding and drying capable ocean numerical model. Comparison of those results with similar simulations that do not use the flooding and drying algorithm was made to determine differences in modeled wave height. Three of the modeled events (Vela Luka, Široka and Mali Lošinj) are more accurately depicted if including the flooding and drying algorithm, suggesting that extreme events can be more realistically modeled than with the more commonly used cut-off depth (i.e., specifying minimum depth larger than expected maximum wave height). Modeling results for the fourth event (Stari Grad) confirm a previous assumption that flooding occurred due to the superposition of a storm surge and a meteotsunami, rather than a meteotsunami alone.</t>
  </si>
  <si>
    <t>Contemporary Problems of Ecology</t>
  </si>
  <si>
    <t>10.1134/S1995425521020037</t>
  </si>
  <si>
    <t>https://www.scopus.com/inward/record.uri?eid=2-s2.0-85105434690&amp;doi=10.1134%2fS1995425521020037&amp;partnerID=40&amp;md5=903e4e060b20d7d03570af140625fee0</t>
  </si>
  <si>
    <t>Abstract: At least 35 species of soil mites inhabit seashore biotopes of Shokalsky Island (73° N) in the Kara Sea, Arctic Ocean. Twenty-six Acari species, including seven dominants, have been registered on a model marine marsh profile near the Pereprava River, and their distribution in soil samples collected at three hypsometric levels was analyzed. The following parameters of the soil samples were determined: salinity, granulometric composition, carbon and nitrogen content, and condition of the plant cover. Overall, the species diversity and total abundance of mites increase from lower to higher marsh levels. CCA ordination made it possible to identify a significant correlation between the abundance of Ameronothrus nigrofemoratus, a typical mycetophagous littoral dweller, and the concentration of chlorides in the soil specimens. The distribution of Svalbardia paludicola, Scutacarus offaliensis, Steneotarsonemus arcticus, and two Arctoseius species is primarily determined by drainage properties of the substrate (these mites prefer sandy grounds). Mites abundant at the upper littoral level primarily depend either on the phytomass content (the majority of species) or on concentrations of the main biogenic elements (Nanorchestes cf. gilli,Eustigmaeus cf. tjumeniensis, and Cheilostigmaeuslongisetosus) in the soil samples. The CCA ordination model explains 80.5% of the data dispersion. A comparative analysis of the species structure in mite communities shows that the assemblage inhabiting a high marsh level featuring a well-developed moss layer is the most diverse and distinct. Two acarocoenoses formed under plant associations occupying different marsh levels (ass. Puccinellietum phryganodis and ass. Caricetum subspathaceae) but on similar clayey grounds have the most similarity to each other. Apparently, this is due to the similar duration of seawater inundation periods determined by the drainage conditions. © 2021, Pleiades Publishing, Ltd.</t>
  </si>
  <si>
    <t>2-s2.0-85105434690"</t>
  </si>
  <si>
    <t>10.1016/j.geomorph.2020.107489</t>
  </si>
  <si>
    <t>https://www.scopus.com/inward/record.uri?eid=2-s2.0-85096019208&amp;doi=10.1016%2fj.geomorph.2020.107489&amp;partnerID=40&amp;md5=aa2f596553d9928e08fa4655f3d5c361</t>
  </si>
  <si>
    <t>Improvement in the current knowledge regarding the provenance of loess deposits could clarify complex depositional processes, as well as provide new insights into the paleo-dust storm history in dust source areas. In this study, a comprehensive analysis of the size-differentiated geochemical compositions and zircon U[sbnd]Pb ages of the examined loess deposits assisted in deepening the provenance identification of the Xiashu loess in Eastern China. It was first reported that the fine-grained components of the Xiashu loess were mainly derived from the arid region of the Asian interior via the paleo-dust storms, as supported by consistent geochemical compositions of &lt;5 μm components between the Xiashu loess and the Luochuan loess. It has been demonstrated that the geochemical compositions of the 10–20 μm and 20–50 μm components and the zircon (&gt; 40 μm) U[sbnd]Pb age distributions of the Xiashu loess were very similar to the Yangtze River sediments, revealing that the &gt;10 μm components of the Xiashu loess were sourced from the local floodplains of the Yangtze River's downstream regions. Furthermore, a new method of combination of provenance results of the size-differentiated fractions and quartz grain-size contents was proposed to quantitatively estimate the Xiashu loess sources. Results of the quantitative evaluations showed that at least 82.43% of the components in the Xiashu loess were the result of nearby-source transport processes and approximately 9.64% were from distant-source transport processes. We thus conclude that the activities of local ancient dust storms dominated the aeolian deposition system in the eastern plain of the Yangtze River Delta. However, it was determined that the long-range transported dust via ancient sandstorms in Asian inland cannot be ignored because fine-grained dust has important impacts on climate, ecological environment, and human health. © 2020</t>
  </si>
  <si>
    <t>2-s2.0-85096019208"</t>
  </si>
  <si>
    <t>10.3389/feart.2021.649543</t>
  </si>
  <si>
    <t>https://www.scopus.com/inward/record.uri?eid=2-s2.0-85103378446&amp;doi=10.3389%2ffeart.2021.649543&amp;partnerID=40&amp;md5=37030d92ac49e6c05c4be58c5cc8f848</t>
  </si>
  <si>
    <t>In bedrock mountainous areas where active faults and deep river valleys interact, earthquake-induced landslides can be used to explore local seismic hazards. The intersection of the highly active Xiaojiang Fault and the Jinsha River and its main tributaries in southwest China is a site of abundant earthquake-induced landslides. We found some boulders inappropriately scattered on the east bank of the Qiaojia reach of the Jinsha River, where the Qiaojia Segment of the Xiaojiang Fault passes through. We investigated the lithology and topography nearby and confirmed its source area, as well as the existence of a landslide damming event in the field. A high-resolution Digital Surface Model (DSM) generated from Unmanned Aerial Vehicle (UAV) images was used to analyze its characteristics and calculate its parameters. Optically Stimulated Luminescence (OSL) and 14C dating methods on the related dammed lake sand shows the age of the landslide, which is not later than 878 AD. The characteristics of large size with limited depositional extent, spatial relevance between the landslide and Xiaojiang Fault, and temporal-coincidence of the landslide with 624 AD earthquake support the seismic origin of this landslide. Moreover, the 624 AD earthquake was reanalyzed for its magnitude and macro-epicenter based on the coseismic displacement of the Heishui River floodplain. It was calculated to be Mw7.7 or Ms7.9 and relocated to the Qiaojia area. No M ≥ 7 earthquakes have occurred on the Qiaojia Segment for nearly 1,400 years since 624 AD. The elapsed time is close to the average recurrence interval of large earthquakes on the Qiaojia Segment. Therefore, the seismic hazard of the Qiaojia area should be considered in the future. © Copyright © 2021 Hu, Wu, Reicherter, Ali, Huang and Zuo.</t>
  </si>
  <si>
    <t>2-s2.0-85103378446"</t>
  </si>
  <si>
    <t>10.1016/j.ijdrr.2020.101983</t>
  </si>
  <si>
    <t>https://www.scopus.com/inward/record.uri?eid=2-s2.0-85099522200&amp;doi=10.1016%2fj.ijdrr.2020.101983&amp;partnerID=40&amp;md5=e662647d0b6eb4d01cf466916c5409c4</t>
  </si>
  <si>
    <t>The coastal areas of the Ganges-Brahmaputra-Meghna delta are acknowledged hotspots of environmental and social concerns. This reflects a large, mainly rural population of 56.7 million, which is exposed to a range of natural hazards exacerbated by climate change, sea-level rise and subsidence. There are high levels of poverty and limited social well-being, including poor access to education, health, drinking water, and sanitation facilities. A spatial assessment of social vulnerability can indicate which communities are more susceptible to environmental hazards, while a temporal assessment may indicate how such vulnerability is changing due to development and other drivers. This study provides the first analysis of social vulnerability across the entire coastal delta within Bangladesh and India. It uses consistent and common secondary data at the sub-district level for two time periods: 2001 and 2011. These are used to construct a socio-economic vulnerability index across the region using Principal Component Analysis. Three main conclusions emerge. Firstly, there is a cross-shore social vulnerability gradient across the whole delta, with more vulnerable people living near the coast. Here, the benefits of access to marine fisheries are not apparent. Secondly, non-agricultural development and economic expansion have reduced the vulnerability significantly, showing its benefits. Lastly, despite general positive development trends, shocks due to major cyclone landfall appear to have enhanced vulnerability in the impacted areas. Further comprehensive analysis across the whole delta is recommended to improve our understanding of the common threats and possible solutions. © 2020</t>
  </si>
  <si>
    <t>2-s2.0-85099522200"</t>
  </si>
  <si>
    <t>Serie Correlacion Geologica</t>
  </si>
  <si>
    <t>https://www.scopus.com/inward/record.uri?eid=2-s2.0-85126897705&amp;partnerID=40&amp;md5=75a95a0de4d00154c2cc99a288712a10</t>
  </si>
  <si>
    <t>Pondicherry located on the southeast coast of India was largely affected by the 26 Dec 2004 tsunami. However, a few regions along the Pondicherry coast did not experience any inundation/damage. In this study, we have considered three regions along the Pondicherry coast, namely (1) Auroville Beach (2) Beach Road, and (3) Paradise Beach. Combining SRTM, CMAP, and GEBCO data a high resolution topographic and bathymetric data is acquired for the study region. Tsunami wave heights and inundation extent is calculated using the TUNAMI N2 model in the study region. It is observed that the structures on the Beach Road of Pondicherry were untouched and almost no inundation occurred in this region due to the rock boulders situated along the coast during the 2004 Indian Ocean Tsunami. The Auroville Beach, having a steep slope, and the Paradise Beach, which is relatively flat is also studied for the tsunami wave-heights and inundation due to the variation in their topography. A sea wall of the same height as the boulders is considered to estimate the inundation along the Beach Road. Also, the surge forces are calculated along the sea wall. Results reveal that the tsunami wave heights and inundation at Auroville beach are much less than the Paradise beach, whereas there was no inundation along the Beach Road. Usage of rock boulders along populated coastal areas can minimize the damage due to tsunami. © 2021 Instituto Superior de Correlacion Geologica. All rights reserved.</t>
  </si>
  <si>
    <t>2-s2.0-85126897705"</t>
  </si>
  <si>
    <t>10.1080/19475705.2021.1967203</t>
  </si>
  <si>
    <t>https://www.scopus.com/inward/record.uri?eid=2-s2.0-85113703628&amp;doi=10.1080%2f19475705.2021.1967203&amp;partnerID=40&amp;md5=5e5df3b21740b00a185044b3eca69f78</t>
  </si>
  <si>
    <t>Bangladesh has been identified as one of the most susceptible countries to climate induced disasters. Geographical location of the country in the foothill of Himalayan system and in the mouth of north Bay of Bengal make it to experience frequent extreme environmental events such as flood, cyclone, draught, river erosion, sea level rise, salinity etc. The coastal region of Bangladesh is highly vulnerable to climate change and climate induced natural disasters. This study identifies the potential climate induced hazards, their vulnerability, capacity, associated risk and explores the potential strategies to reduce the disaster risk. This study was carried out in Uttar Bedkashi Union, Koyra Upazila under Khulna District in south west coastal region of Bangladesh. The information has been collected through individual level and key informant interview, focus group discussion, life history from local people to explore the context of the disaster risk and how they perceived it from their experiences. The study revealed that flooding as a result of high tide and salinity intrusion were the most prominent hazards followed by riverbank erosion and cyclone associated storm. Vulnerability assessment showed that cyclone associated storm surge was the major cause of vulnerabilities in the study area which followed by flooding and riverbank erosion. On the other hand, capacity assessment showed that community people have less capacity to deal with the multi-hazards risk. This study also revealed that riverbank erosion poses the highest risk in the study area followed by cyclone associated storm surge, flooding, and salinity intrusion. The study suggests some potential DRR strategy such as build disaster resilient house using indigenous and scientific knowledge, build or improve embankments, build or improve the communication roads, improve rain water harvesting system, provision of community-based health care center, create alternative and sustainable livelihood opportunity such as self-sustaining agriculture systems and further development of sustainable shrimp farming. The outcome of this study is expected to be useful for preparing an effective disaster risk mitigation plan by decision-makers. Further in-depth research on potential risk reduction options will be analyzed to measure efficiency and effectiveness. © 2021 The Author(s). Published by Informa UK Limited, trading as Taylor &amp; Francis Group.</t>
  </si>
  <si>
    <t>2-s2.0-85113703628"</t>
  </si>
  <si>
    <t>Environmental Claims Journal</t>
  </si>
  <si>
    <t>10.1080/10406026.2020.1847873</t>
  </si>
  <si>
    <t>https://www.scopus.com/inward/record.uri?eid=2-s2.0-85096617046&amp;doi=10.1080%2f10406026.2020.1847873&amp;partnerID=40&amp;md5=30122a6837dc3811b7d3d634831a8b36</t>
  </si>
  <si>
    <t>The impact of climate induced sea level rise (SLR) is a major threat, likely to continue even if greenhouse gas concentrations were stabilized. SLR will not be geographically uniform. Developing countries are most impacted because of their low adaptive capacity. This study reviewed the most recent scientific evidence of the impact, vulnerability and adaptation of coastal areas in West Africa to climate induced SLR. The results show an increasing rate in SLR for the near and further future. Coastal communities in West Africa are vulnerable to erosion, flooding and inundation resulting in the loss of many coastal lands and ensuing socio-economic consequences. Therefore adaptation is a matter of urgency. Given that relatively little and unbalanced information exists on this subject for those areas, we call for the need to invest resources into studying and protecting coastal communities in West Africa against current and future impacts of climate change and SLR. © 2020 The Author(s). Published with license by Taylor and Francis Group, LLC.</t>
  </si>
  <si>
    <t>2-s2.0-85096617046"</t>
  </si>
  <si>
    <t>10.1080/00186368.2021.1912968</t>
  </si>
  <si>
    <t>https://www.scopus.com/inward/record.uri?eid=2-s2.0-85117587533&amp;doi=10.1080%2f00186368.2021.1912968&amp;partnerID=40&amp;md5=24eb0206ec2959d69dad29df75e2f8d0</t>
  </si>
  <si>
    <t>RESUME: Pour établir un diagnostic homogène sur ses petits bassins côtiers en vue d’un PAPI, la Métropole Toulon Provence Méditerranée s’est appuyée sur le Cerema qui souhaitait tester ses méthodes de cartographie Exzeco et Cartino1D sur l’ensemble du territoire et de les comparer avec les connaissances locales. Le travail de cartographie allant de scénarios de faible période de retour à des fortes périodes de retour a conduit à proposer une approche de modélisation hydraulique 2D, basée sur le logiciel Telemac 2D avec uniquement la pluie comme forçage. La méthode Cartino1D a été jugée insuffisante dans ce milieu topographique et urbain complexe. L’utilisation de Telemac sur l’ensemble du territoire a pu être conduite grâce à la réalisation d’une nouvelle méthode Cartino2D permettant de réaliser le maillage du logiciel Telemac2D, d’intégrer de nombreux scénarios de pluie et de fournir des résultats cartographiques automatisés sous forme SIG. Les résultats des diverses méthodes mises en œuvre ont ensuite été comparés avec des résultats d’études locales et aussi et surtout avec des éléments historiques disponibles (intervention des pompiers, photographies, vidéos et repères de crue). L’approche 2D automatisée proposée semble attirante en termes de résultats cartographiques et cohérentes avec les études locales et données historiques. Cependant la validation technique est limitée par des données insuffisantes en qualité et en quantité et un effort doit être conduit pour capitaliser la connaissance et mieux fiabiliser tous les types de modélisations. Pour finir, un croisement avec les enjeux a permis d’établir un diagnostic sur le territoire. © 2021 The Author(s). Published by Informa UK Limited, trading as Taylor &amp; Francis Group.</t>
  </si>
  <si>
    <t>2-s2.0-85117587533"</t>
  </si>
  <si>
    <t>10.1109/JSTARS.2021.3087263</t>
  </si>
  <si>
    <t>https://www.scopus.com/inward/record.uri?eid=2-s2.0-85110701454&amp;doi=10.1109%2fJSTARS.2021.3087263&amp;partnerID=40&amp;md5=d6daee12f958312a96a0ff85f7721364</t>
  </si>
  <si>
    <t>The importance of studying the sea-level change (SLC) in Hong Kong (HK) is emphasized by factors related to high population density, intensive urban, and industrial development, particularly along the coast that involves a considerable landreclamation. To address this issue, we investigate the spatiotemporal characteristics of SLC in the HK territories by analyzing tide-gauge (TG) records collected from 1954 to 2019 and satellite-altimetry (SA) data from 1993 to 2019. The application of the ocean-tide and inverted barometer corrections to TG data substantially decreased uncertaintie by achieving a submillimeter accuracy. The SLC rates detected at six TG stations vary significantly even within this relatively small coastline. According to our estimates, the annual rates vary between 0.32 ± 0.51 and 4.19 ± 0.46 mm/yr from 1997 to 2019. These large differences are related to different patterns of ocean currents and the freshwater discharge in the Pearl River Estuary. The empirical orthogonal function analysis confirms the expected increasing rising in SLC with two anomalous periods during 2002-2003 and 2015-2016 that are likely attributed to the El Niño-Southern Oscillation (ENSO). SLCs are positively correlated with the ENSO index and ENSO precedes several months (normally 5 months) the interannual SLC. The analysis of the GPS trends reveals a prevailing subsidence in the HK territories, which aggravates the relative SLC estimates. Between 1997 and 2019, the absolute sea level raised at the annual rate of 3.17 ± 1.56 mm/yr (when using the GPS+TG) and 2.88 ± 0.59 mm/yr (when using SA observations).  © 2008-2012 IEEE.</t>
  </si>
  <si>
    <t>2-s2.0-85110701454"</t>
  </si>
  <si>
    <t>10.1016/j.jsames.2020.102971</t>
  </si>
  <si>
    <t>https://www.scopus.com/inward/record.uri?eid=2-s2.0-85093951262&amp;doi=10.1016%2fj.jsames.2020.102971&amp;partnerID=40&amp;md5=764eee3397d1c3ae55a6984111c9f5c7</t>
  </si>
  <si>
    <t>The coastal zone is a very dynamic region, constantly seeking to reach a state of equilibrium due to variations in the external forces. The shallow zone along the inner continental shelf known as the shoreface, can be divided into the upper and lower shoreface. While the former responds to processes operating across time spans ranging from that of a single event, such as storm, through to seasonal variations in environmental conditions, the latter evolution's occurs in geological scale, more in response to mean trends in environmental conditions (decades to millennia). These zones are connected via sedimentary exchanges, by a transition zone that adapts to changes imposed from behaviors and displacements of the upper and lower shoreface, such as upward profile displacement with sea level rise, aeolian transport, alongshore transport gradient, cross-shore transport. To analyze the influence of shoreface morphology variations on coastal response to mean sea level rise (MSLR), computer simulations were performed using synthetic shoreface profiles with variable shoreface shape parameter (‘m’) values. The random shoreface translation model (RanSTM) was used to simulate coastal response through variations in the shape of shoreface profiles. The ‘m’ value was changed in the upper and lower shoreface separately, to check the sensitivity of coastal response (in this case, shoreline recession distance) as a function of morphological change in each of the two zones. In addition, the variations of ‘m’ were analyzed with a variable and a fixed transition zone length (in order to isolate effects of a variable ‘m’). The simulations indicated that changes in ‘m’ on the upper shoreface have minimal influence on shoreline recession distance, especially when the transition zone remained constant. Conversely, profiles with higher ‘m’ values in the lower shoreface exhibited greater shoreline recession. It was also observed that, a longer transition zone produced a higher shoreline recession. Profiles adjusted with ‘m’ values of 0.66 and 0.4 in both shoreface zones had the highest and lowest shoreline recession distances (141.4 and 203.7 m), respectively. Sensitivity tests have shown that an increase of only 0.02 units in ‘m’ in the lower shoreface had a strong positive correlation (r = 0.97, p &lt; 0.01) with increased shoreline recession. The results obtained in this study demonstrate the control that lower shoreface shape variations have on coastal response during MSLR. Critically, even small variations in shoreface shape parameter, such as those that occur along adjacent coastal sectors, and due to climate change effects may have implications for management and adaptation on a regional scale. © 2020 Elsevier Ltd</t>
  </si>
  <si>
    <t>2-s2.0-85093951262"</t>
  </si>
  <si>
    <t>10.1080/24749508.2019.1700670</t>
  </si>
  <si>
    <t>https://www.scopus.com/inward/record.uri?eid=2-s2.0-85108988614&amp;doi=10.1080%2f24749508.2019.1700670&amp;partnerID=40&amp;md5=297e0ccb78ec3b5e8e775174e3c0fbf5</t>
  </si>
  <si>
    <t>Indian Sundarban Biosphere Reserve (SBR), a fragile ecosystem, is susceptible to frequent cyclones, floods, and storm surge. The study impeccably analyzed the socio-economic vulnerability in SBR using pragmatic approach. Average storm surge height, slope amount, flood inundation, drainage proximity, and drainage density were used for assessing exposure while sensitivity and adaptation were examined from the data derived through a comprehensive field survey of 570 households in SBR. The revelation of the study manifested very high vulnerability in Basanti, Gosaba, Kultali, Namkhana, and Patharpratima blocks and high vulnerability in Kakdwip, Sagar, and Hingalganj blocks of SBR. Constant exposure to cyclones and storm surges, frivolous infrastructural setup, impoverish social structure, and lamentation of losses are major barriers to overall socio-economic upliftment of communities. Consolidated infrastructural setup, proper early warning system, disaster monitoring centres, better transport connectivity within remote islands, better livelihood opportunities, education, and awareness may help in improving the socio-economic conditions of the communities. Pragmatic approach assisted in the cogent understanding of climate change impacts and indicated adaptive and mitigation measures to improve coastal society in SBR. Thus, the approach has proven to be effective for analyzing the impact of climate change-induced hazards on socio-economic condition on the communities in coastal areas. © 2019 The Author(s). Published by Informa UK Limited, trading as Taylor &amp; Francis Group on behalf of the International Water, Air &amp; Soil Conservation Society(INWASCON).</t>
  </si>
  <si>
    <t>2-s2.0-85108988614"</t>
  </si>
  <si>
    <t>10.1038/s43017-020-00115-x</t>
  </si>
  <si>
    <t>https://www.scopus.com/inward/record.uri?eid=2-s2.0-85105002862&amp;doi=10.1038%2fs43017-020-00115-x&amp;partnerID=40&amp;md5=83eb1b55ca092dbed8f0ec5834fc4aed</t>
  </si>
  <si>
    <t>Coastal subsidence contributes to relative sea-level rise and exacerbates flooding hazards, with the at-risk population expected to triple by 2070. Natural processes of vertical land motion, such as tectonics, glacial isostatic adjustment and sediment compaction, as well as anthropogenic processes, such as fluid extraction, lead to globally variable subsidence rates. In this Review, we discuss the key physical processes driving vertical land motion in coastal areas. Use of space-borne and land-based techniques and the associated uncertainties for monitoring subsidence are examined, as are physics-based models used to explain contemporary subsidence rates and to obtain future projections. Steady and comparatively low rates of subsidence and uplift owing to tectonic processes and glacial isostatic adjustment can be assumed for the twenty-first century. By contrast, much higher and variable subsidence rates occur owing to compaction associated with sediment loading and fluid extraction, as well as large earthquakes. These rates can be up to two orders of magnitude higher than the present-day rate of global sea-level rise. Multi-objective predictive models are required to account for the underlying physical processes and socio-economic factors that drive subsidence. © 2020, Springer Nature Limited.</t>
  </si>
  <si>
    <t>2-s2.0-85105002862"</t>
  </si>
  <si>
    <t>10.1080/17477891.2020.1804819</t>
  </si>
  <si>
    <t>https://www.scopus.com/inward/record.uri?eid=2-s2.0-85089248824&amp;doi=10.1080%2f17477891.2020.1804819&amp;partnerID=40&amp;md5=c2d2a6dbe1af99ababd28336bb8466ef</t>
  </si>
  <si>
    <t>Relocation is increasingly being considered a viable adaptation strategy in some coastal locations. Even though recent coastal disasters and a higher awareness of sea level rise have accentuated the importance of relocation, this is not a new strategy and has been applied as an effective hazard mitigation measure over the last three decades. The main objective of this paper is to evaluate the acquisition and relocation projects funded between 1989 and 2016 as a part of the Hazard Mitigation Grant Program (HMGP) and determine how the allocations for these projects evolved over time. A trend analysis was applied to assess how the number and the dollar amount of approved acquisition/relocation projects differ between coastal and inland counties, and within these categories, between rural and urban districts. Our findings show that inland counties had a significantly higher number of projects in any given year; however, average cost per coastal project has been continually increasing while that of inland projects decreased over the study period. Further, there is no marked difference between the number of and total amount spent on inland rural versus urban projects, while those in the coastal zone significantly differ in all categories between rural and urban counties.</t>
  </si>
  <si>
    <t>10.1029/2020JC016489</t>
  </si>
  <si>
    <t>https://www.scopus.com/inward/record.uri?eid=2-s2.0-85101409916&amp;doi=10.1029%2f2020JC016489&amp;partnerID=40&amp;md5=870503d6ac7a0cbde852269b8b462ec9</t>
  </si>
  <si>
    <t>Dynamic conditions occur in the coastal ocean during severe storms. Forecasting these conditions is challenging, and large-scale numerical models require significant computing power. In this paper, we describe a real-time modeling system (DUNEX-RT), developed in support of the During Nearshore Event experiment (DUNEX) off the coast of North Carolina, United States of America. The model is run with wave, current, and water level boundary conditions from larger-scale models, and provides 36-h forecasts of significant wave height, depth-averaged velocity, and water levels every 6-h using Delft3D-SWAN. Observations and forecasts run at different times are compared and communicated via an interactive website to verify model performance in real-time and to visualize uncertainty from changing inputs. Here, we evaluate model sensitivity to inputs from seven different atmospheric hindcasts and two atmospheric forecasts for Hurricane Dorian in September 2019. The results emphasize the importance of accurate wind forcing, with significant differences observed between the output model results for different input atmospheric forcing models and forecasts produced at different times. The best results were achieved using atmospheric forcing from the high resolution rapid refresh model, and overall, DUNEX-RT had low errors at 33 wave, water level, and current sites across the system. The model results for water levels and significant wave heights were also accurate over a longer period of 49 days. Overall, the good forecast skill achieved for the wide range of conditions over this time results suggest that this high-resolution regional approach could be applied to forecast conditions in other coastal areas. © 2020. American Geophysical Union. All Rights Reserved.</t>
  </si>
  <si>
    <t>2-s2.0-85101409916"</t>
  </si>
  <si>
    <t>10.1080/27678490.2021.1976600</t>
  </si>
  <si>
    <t>https://www.scopus.com/inward/record.uri?eid=2-s2.0-85124846322&amp;doi=10.1080%2f27678490.2021.1976600&amp;partnerID=40&amp;md5=e8914dc57b164e9a6fd0313cc1896ce9</t>
  </si>
  <si>
    <t>RESUME: L’objectif de cet article est de présenter un bilan hydro-météorologique des trois dernières crues majeures observées sur les petits bassins côtiers de la Côte d’Azur (3 octobre 2015, 23 novembre 2019 et 1er décembre 2019). L’analyse conjointe de données issues de pluviomètres et de différents produits de lames d’eau (PANTHERE, ANTILOPE et RAINPOL) montre que les deux épisodes du 3 octobre 2015 et du 1er décembre 2019 sont caractérisés par des intensités très importantes, avec des cumuls localement supérieurs à 100 mm en moins de 3 heures, alors que l’épisode de novembre 2019 a été moins intense et plus uniformément réparti sur l’ensemble du territoire. Les débits de pointe estimés sont du même ordre de grandeur pour les épisodes de 2015 et de décembre 2019, soit entre 10 et 20 m3/s/km² pour les têtes de bassins versants, et autour de 5 m3/s/km² pour l’aval. Ces crues s’avèrent comparables aux autres crues majeures observées ces dernières années à l’échelle européenne, sans pour autant être celles ayant produit les débits spécifiques les plus importants. Ce bilan hydro-météorologique montre la valeur ajoutée d’organisation de retours d’expérience post-crue afin d’estimer les précipitations et débits susceptibles d’être observés dans ces régions sujettes aux crues éclairs. © 2021 The Author(s). Published by Informa UK Limited, trading as Taylor &amp; Francis Group.</t>
  </si>
  <si>
    <t>2-s2.0-85124846322"</t>
  </si>
  <si>
    <t>Papers in Applied Geography</t>
  </si>
  <si>
    <t>10.1080/23754931.2020.1869585</t>
  </si>
  <si>
    <t>https://www.scopus.com/inward/record.uri?eid=2-s2.0-85099442915&amp;doi=10.1080%2f23754931.2020.1869585&amp;partnerID=40&amp;md5=38197c7d5cd5f97a7c19e983f1957fe8</t>
  </si>
  <si>
    <t>Sea level rise is a coastal hazard leading to erosion, flooding, and habitat destruction among other effects. Geoinformatics plays a vital role in providing tools to assess coastal vulnerability. Recent improvements in drone technology offer new opportunities for collecting data. Calibrating drone elevation data to local sea-levels is a current challenge. This research compares the use of drone-derived digital elevation models (DEMs) created from a DJI Phantom 4 Pro drone with airborne LiDAR data to analyze sea-level rise in Essex, Massachusetts. To evaluate the best method of calibrating drone elevation data to the local environment, three different Ground Control Point (GCP) methods were evaluated: surveyed GCPs, LiDAR-derived GCPs, and the NAVD88 sea-level (0-value) of the LiDAR data. The three drone-derived DEMs were compared with a LiDAR DEM through two methods: 1) comparing how well the DEMs measured the elevation of surveyed GCPs, and 2) how well the DEMs modeled five different scenarios of sea level rise compared with a LiDAR DEM. Results showed that two of the calibration methods performed well</t>
  </si>
  <si>
    <t>10.1080/17477891.2020.1840329</t>
  </si>
  <si>
    <t>https://www.scopus.com/inward/record.uri?eid=2-s2.0-85095728002&amp;doi=10.1080%2f17477891.2020.1840329&amp;partnerID=40&amp;md5=9993e4d5e30485a0ceb2667ce53ca0ba</t>
  </si>
  <si>
    <t>An interdisciplinary approach combining modelling and sketch maps was adopted in order to study coastal flooding risk in the town of Leucate on the French Mediterranean coast. Hydrodynamic modelling was used for reference maps. This innovative approach proposed three types of sketch mapping, covering historical coastal flooding, flood hazard areas, and no-flood hazard areas. Only 55% of the respondents agreed to draw at least one sketch map, demonstrating the difficulty of the exercise, and respondent maps show a global underestimation of the risk. The respondents mainly identify the risk of coastal flooding along the seafront (overtopping), but do not take into account potential overflowing on the lagoon side. Locally, experience of recent flooding in a district impacts on the perception of the coastal flooding hazard. The sketch maps were also analysed by considering two variables: district of residence and residential profile. As expected, the results highlight that the people living in the most exposed areas have a better perception of the hazard than those who are less exposed or who do not live in these areas. First- and second-home residents show very similar hazard mapping, however. © 2020 Informa UK Limited, trading as Taylor &amp; Francis Group.</t>
  </si>
  <si>
    <t>2-s2.0-85095728002"</t>
  </si>
  <si>
    <t>10.7494/GEOM.2021.15.3.129</t>
  </si>
  <si>
    <t>https://www.scopus.com/inward/record.uri?eid=2-s2.0-85109012199&amp;doi=10.7494%2fGEOM.2021.15.3.129&amp;partnerID=40&amp;md5=daa39d750a9591a5269cc7f7966bef2f</t>
  </si>
  <si>
    <t>Floods are a great concern for people and infrastructure, and this is an issue which has increased in several regions around the globe in recent years. This study aims to evaluate flood risk areas and create a flood risk map using integrated remote sensing data and a geographic information system (GIS) in the Wasit governorate – eastern Iraq. Specifically, GIS-based multi-criteria analysis (MCA) was used to map flood hazard areas using a four-criteria layer which is as follows: flow accumulation, slope, rainfall, and elevation. These four layers are standardized and combined using the overlay approach in ArcGIS software and a final map was produced. The study area was divided into five zones based on the results map, namely: very low, low, medium, high, and very high, according to the flood risk area. The resulting map indicates that over 60% of the study area is likely to experience a high and very high level of propensity of flooding. This study could be useful for government planners and decision-makers to predict potential flooding areas and enhance flood management plans. © 2021 Authors.</t>
  </si>
  <si>
    <t>2-s2.0-85109012199"</t>
  </si>
  <si>
    <t>10.1017/njg.2021.1</t>
  </si>
  <si>
    <t>https://www.scopus.com/inward/record.uri?eid=2-s2.0-85100879339&amp;doi=10.1017%2fnjg.2021.1&amp;partnerID=40&amp;md5=16164341efd891ed27d8d5b942edfed5</t>
  </si>
  <si>
    <t>In the early 20th century, archaeological research in the terp (artificial dwelling-mound) region of the northern Netherlands focused, besides settlement history, on natural salt-marsh dynamics and sea-level rise. In particular Van Giffen used salt-marsh deposits under dated terp layers to reconstruct the rate of sedimentation of the developing salt marsh and relative sea-level rise. This line of research in archaeology was rekindled during excavations in the terp of Wijnaldum-Tjitsma between 1991 and 1993. Since then, geology has become an integral part of archaeological research in the terp region. This paper focuses on the northwestern part of the province of Friesland (Westergo), where most archaeological terp research during the past three decades has been carried out, owing to several research programmes by the Province of Friesland. The primary aim of the geoarchaeological research is to better understand the interaction between human inhabitants and the salt-marsh landscape. The sedimentary record exposed in the excavation trenches makes it possible to collect data on the development of the coastal environments of the Wadden Sea prior to habitation, including data on sea-level rise. The sea-level data collected in the geoarchaeological studies in Westergo are the topic of this paper. The measured levels of the tidal-flat/salt-marsh boundary underneath the terps make it possible to reconstruct palaeo-Mean High Water (palaeo-MHW) levels. Such sea-level index points (SLIPs), based on marine shell data points from 12 locations, now make it possible to establish a palaeo-MHW diagram for this part of the Wadden Sea, for the period between 1200 BC and AD 100. In this period the palaeo-MHW in the Westergo region rose from c.1.8 m to 0.3 m-NAP: a mean sea-level rise of c.0.12 m per century. We discuss the fact that elevation of the palaeo-MHW SLIP is not only determined by relative sea level (RSL), but also by the magnitude of the tidal amplitude. The tidal range, and therefore the MHW elevations in a tidal basin, can change from place to place and also in time. Also in a single tidal basin the tidal range is variable, due to the distortion of the tidal wave as a result of the morphology of the tidal system. Such local tidal range fluctuations-not related to sea-level rise-influence the palaeo-MHW curve of Westergo and other tidal basins in the Wadden Sea and need to be taken into account when interpreting the curve. In this paper, we will go into the causes of changes in palaeotidal ranges in meso-and macrotidal systems, analyse the tidal range variations in recent and subrecent basins and estuaries and discuss the implications of these changes on the sea-level curve of the Westergo region in NW Friesland.  © The Author(s), 2021. Published by Cambridge University Press.</t>
  </si>
  <si>
    <t>2-s2.0-85100879339"</t>
  </si>
  <si>
    <t>10.1016/j.rsase.2021.100466</t>
  </si>
  <si>
    <t>https://www.scopus.com/inward/record.uri?eid=2-s2.0-85099608151&amp;doi=10.1016%2fj.rsase.2021.100466&amp;partnerID=40&amp;md5=929eb1cb2338b36a7197285d69879be3</t>
  </si>
  <si>
    <t>The non-insular portion of the Lower Delta of the Paraná River is part of the largest mosaic of wetlands in Argentina. However, it is being altered by intensification of cattle grazing and the increasingly rapid implementation of water management infrastructure. In this context, studying the relationship between hydro-climatic variables and vegetation growth is urgent to ensure sound management and conservation. To overcome the limitation of high cloud cover in the area which has hampered the construction of regularly spaced high-resolution time series, we implemented the recently developed spatio-temporal vegetation index image fusion model (STVIFM). In order to understand the relationship between vegetation growth and hydro-climatic factors, we performed pixel-wise correlation analyses between the newly synthesized monthly (30m) NDVI time series and hydro-climatic variables. Then, we tested whether water control infrastructure alters these relationships. Based on the accurate performance of STVIFM, we provide quantitative and spatially accurate evidence on the positive, complementary and heterogeneous relationships between vegetation growth, temperature, rainfall and the flood pulse. Our results show that water management infrastructure decouples certain areas from its natural hydrological regime, decreasing water availability and altering vegetation growth dynamics. In this context, urgent action is needed aimed towards implementing land planning measures that consider the natural variability and hydrologic regime of the system while balancing production and conservation. © 2021 Elsevier B.V.</t>
  </si>
  <si>
    <t>2-s2.0-85099608151"</t>
  </si>
  <si>
    <t>10.1080/10106049.2019.1655800</t>
  </si>
  <si>
    <t>https://www.scopus.com/inward/record.uri?eid=2-s2.0-85072052031&amp;doi=10.1080%2f10106049.2019.1655800&amp;partnerID=40&amp;md5=168fe6632bde20d4af0619a3b3fa00ef</t>
  </si>
  <si>
    <t>It is particularly useful to analyze drainage anomalies for morphostructural interpretation of low relief areas. In basins and sub-basins, these anomalies may be due to local changes resulting from lithological discontinuities or tectonic activity caused by subsidence or uplift. Indeed, drainage anomalies are the most revealing geomorphological evidence of active faults. We present a new method to extract the drainage anomalies in watershed. The adapted methodology is therefore based on the drainage anomalies extraction in the Enfidha plain, indicating that the area is potentially tectonically active. Our objective in this article is to develop an automatic extraction tool, using the model builder technique in the ArcGIS environment, to extract drainage anomalies. To use this tool, a Digital Elevation Model (DEM) and drainage networks are required. In order to obtain the desired results, several tools are used: filtering of the DEM, generation of the summit surface, extraction of the slope orientation, calculation of the stream direction, etc. Based on the Automatic Drainage Anomalies Extraction Tool (ADAET), the relationship between drainage anomalies and tectonics was studied in the Enfidha sector of north-eastern Tunisia. The sub-watershed selected for this study is drained by numerous rivers and occupies the northeastern part of the Enfidha plain. This plain is known for its relatively high seismicity. Therefore, the method of automatic extraction of drainage anomalies in a GIS environment based on a global DEM (SRTM), detailed in this paper, appears very promising and can be of great utility in morpho-structural and morpho-neotectonic studies. This method allows to discover a high concentration of drainage anomalies on the Oued El Boul river and in the plain. Correlation with existing tectonic models shows that parts of the selected drains are located near the subsurface fault. Therefore, the drainage anomalies prove the existence of neotectonic deformation in the terrain. The activity of this fault has been proven by several authors. In this region, the extraction of drainage anomalies is most often used and reflects neotectonic activities. © 2019 Informa UK Limited, trading as Taylor &amp; Francis Group.</t>
  </si>
  <si>
    <t>2-s2.0-85072052031"</t>
  </si>
  <si>
    <t>10.1080/02697459.2020.1859199</t>
  </si>
  <si>
    <t>https://www.scopus.com/inward/record.uri?eid=2-s2.0-85102951575&amp;doi=10.1080%2f02697459.2020.1859199&amp;partnerID=40&amp;md5=75a5f77076d83b8332a88fe0cf0fc2cb</t>
  </si>
  <si>
    <t>Increased heat stress and sea-level rise, associated with climate change could threaten the viability of some cities by the latter part of this century. This paper reviews urban development patterns in Dubai and Abu Dhabi, in the United Arab Emirates, and concludes these cities are highly vulnerable to elevated wet-bulb temperatures and sea level rise. This is predominantly due to the focus of development along the Gulf coastline, where these issues are concentrated. In response, this paper ventures regional planning responses to adapt to these threats through decentralising populations to inland areas. © 2021 Informa UK Limited, trading as Taylor &amp; Francis Group.</t>
  </si>
  <si>
    <t>2-s2.0-85102951575"</t>
  </si>
  <si>
    <t>10.1080/22797254.2021.1983471</t>
  </si>
  <si>
    <t>https://www.scopus.com/inward/record.uri?eid=2-s2.0-85118358554&amp;doi=10.1080%2f22797254.2021.1983471&amp;partnerID=40&amp;md5=2688286237b2a6e24f4f44c61c625979</t>
  </si>
  <si>
    <t>The new era of cloud platform technologies opens up many opportunities for near real-time dissemination of disaster information to the end-users. The present study utilizes the European Space Agency (ESA) Research and Service Support (RSS) CloudToolbox platform to monitor the spatio-temporal dynamics of a flood event. A collective flood monitoring framework is formulated to rapidly assess cyclone-induced flood in the CloudToolbox platform. The outputs of the framework are spatio-temporal maps of flood extent, depth, and hot spot zones. The framework utilizes Earth Observation (EO) images such as optical and C-band Synthetic Aperture Radar (SAR) images and an automatic Kittler and Illingworth thresholding algorithm for rapid flood mapping. The temporal flood depth maps are created with the Floodwater Depth Estimation Tool (FwDET) which requires only two input parameters, viz. flood extent, and Digital Elevation Model (DEM). Subsequently, flood hotspot zones are also identified. We tested the flood monitoring framework on Amphan cyclone-induced flood event at both regional and local levels. The spatio-temporal flood extent, depth, and hot spot maps are generated for the Amphan cyclone event and a 97% overall accuracy is achieved at the local level. The entire process took less than one hour for regional and local level analysis. © 2021 The Author(s). Published by Informa UK Limited, trading as Taylor &amp; Francis Group.</t>
  </si>
  <si>
    <t>2-s2.0-85118358554"</t>
  </si>
  <si>
    <t>10.1080/11104929.2020.1864255</t>
  </si>
  <si>
    <t>https://www.scopus.com/inward/record.uri?eid=2-s2.0-85114078993&amp;doi=10.1080%2f11104929.2020.1864255&amp;partnerID=40&amp;md5=367fa879041f914d789470e720206df5</t>
  </si>
  <si>
    <t>The effect of the human activities on the coastal area are enormous. They include impacts on natural resources, coastal stability, environmental quality, and the cultural environment. The instability condition is the predominant feature of the Egyptian coastal zone due to natural and anthropogenic effect. This paper discusses the stability conditions of the sediment within the Egyptian Mediterranean coastal zone. It includes the sediment sources, degradation of resources, reasons and side effects, climate change effects, and recommendations to control the degradation. The research methodology depends on collecting and discussing the results of the previous related studies, collecting field data and observation along the Egyptian Mediterranean coastal zone as well as Satellite images within the last ten years. Sediment origin from territorial or sea resources, sediment transport, and interaction within the coastal zone are investigated to understand the sediment behavior and how to control erosion and siltation problems. The study shows that urbanization, coastal structures, removing sand dunes, controlling the floodwater and sediment, as well as climate change cause severe shoreline changes within the coastal zone. Dramatically erosion along the Northern coast of Egypt, and migration of the sand spit inland along the Rosetta Nile branch document these unbalance conditions. The study recommends that the coastal sand dune, as well as other nature resources of sediment, should be protected to eliminate the coastal erosion. © 2020 The Author(s). Published by Informa UK Limited, trading as Taylor &amp; Francis Group.</t>
  </si>
  <si>
    <t>2-s2.0-85114078993"</t>
  </si>
  <si>
    <t>10.1016/j.crm.2021.100377</t>
  </si>
  <si>
    <t>https://www.scopus.com/inward/record.uri?eid=2-s2.0-85118826137&amp;doi=10.1016%2fj.crm.2021.100377&amp;partnerID=40&amp;md5=c46d49e3c2174f9631384b459811cd41</t>
  </si>
  <si>
    <t>Climate change is projected to increase the number of extreme weather events, which may lead to cascading impacts, feedbacks, and tipping points not only in the biophysical system but also in the social system. To better understand societal resilience in risky environments, we analyzed people's attachment to place, their willingness to take risks, and how these change in response to extreme weather events. We conducted a survey with 624 respondents at the forefront of climate change in Asia: the river deltas in Bangladesh and Vietnam. Our findings confirm that most people prefer staying. Yet crucially, we find that (i) self-reported experiences of climate-related hazards are associated with increased risk aversion and place attachment, reinforcing people's preferences to stay in hazardous environments</t>
  </si>
  <si>
    <t>10.1007/s11356-020-10486-9</t>
  </si>
  <si>
    <t>https://www.scopus.com/inward/record.uri?eid=2-s2.0-85089681618&amp;doi=10.1007%2fs11356-020-10486-9&amp;partnerID=40&amp;md5=7d0579bd7234faa67996cd490e1d0ff2</t>
  </si>
  <si>
    <t>Dynamics of Vibrio populations in aquatic environments are of concern, as they encompass members pathogenic to humans as well as marine flora and fauna. Spatiotemporal distribution of its culturable abundance for a range of physicochemical and biological parameters in the Cochin estuary (CE), one of the largest tropical monsoonal estuary along the southwest coast of India, witnessed a proliferation of this bacterial group (707 ± 196 CFU ml−1) in downstream stations during a relative dry period. The study for the first time employed classification and regression tree (CART) along with multiple linear regression (MLR) based approaches to explore the nonlinear and linear interactions, respectively, among environmental variables regulating Vibrio abundance in CE. Both the techniques were on consensus to ascertain salinity as the primary determinant of Vibrio dynamics, during the entire sampling period regardless of the seasons, viz., dry and wet. Nevertheless, CART outperformed MLR in performance index, suggesting that in a dynamic system like estuaries, usage of the latter is limited by complex nonlinear relationships among environmental variables. According to CART, Vibrio proliferation observed in downstream stations of the estuary (salinity ≥ 13.4 psu) during a relative dry period was driven by eutrophication (dissolved inorganic phosphate ≥ 1.48 μM L−1) associated with reduced flushing resulting in an oxygen-limited environment (dissolved oxygen &lt; 4.56 ml L−1), wherein phytoplankton production diverts to support microbes. Our results imply that anthropogenic activities and sea level rise in future may prompt Vibrio proliferation, to be a concern for public health and impinge on fisheries yield from tropical estuaries. © 2020, Springer-Verlag GmbH Germany, part of Springer Nature.</t>
  </si>
  <si>
    <t>2-s2.0-85089681618"</t>
  </si>
  <si>
    <t>10.3390/cli9050073</t>
  </si>
  <si>
    <t>https://www.scopus.com/inward/record.uri?eid=2-s2.0-85105701242&amp;doi=10.3390%2fcli9050073&amp;partnerID=40&amp;md5=e9924c7482115a7cc67d12d61f2295ee</t>
  </si>
  <si>
    <t>Climate trends suggest an increase in the frequency of intense rainfall events and the aggravation of existing conditions in terms of flooding in urban areas. In coastal areas, conditions are aggravated by coexistence with coastal overtopping. Flood risk control is complex, and the interdependencies among the services and sectors in urban areas imply the need for adoption of approaches that embrace the interplay between service providers to ensure critical urban functions. Flooding incorporates several hazards. Assessment of resilience to multiple hazards in complex environments benefits from integrated and multi-sectoral approaches. A common constraint resides in the limited data and tools available for undertaking these complex assessments. This paper proposes a risk-based methodology to assess urban areas’ resilience to flooding by addressing sectors’ interdependencies in a context of limited data and ready-to-use tools. Multisector flood risk identification is pursued with the support of a geographic information system and is applied to Lisbon with a focus on the cascading effects of drainage system failures on buildings, populations, mobility, waste management, and electricity supply. The results demonstrate the potential for combining data and knowledge from different sources with dual modelling approaches, thus allowing one to obtain trends of exposure and vulnerability to flooding for current and climate change scenarios. This methodology facilitates dialogue among stakeholders and decision levels by contributing to capacity building, and it contributes to sustainable development. © 2021 by the authors. Licensee MDPI, Basel, Switzerland.</t>
  </si>
  <si>
    <t>2-s2.0-85105701242"</t>
  </si>
  <si>
    <t>Global Journal of Environmental Science and Management</t>
  </si>
  <si>
    <t>10.22034/gjesm.2021.02.06</t>
  </si>
  <si>
    <t>https://www.scopus.com/inward/record.uri?eid=2-s2.0-85099536402&amp;doi=10.22034%2fgjesm.2021.02.06&amp;partnerID=40&amp;md5=43506b10aa190168eae7778ac0138649</t>
  </si>
  <si>
    <t>BACKGROUND AND OBJECTIVES: The study involved developing a two-dimensional food model to analyze the risk exposure of land use/land cover based on the generated food hazard maps for the six return period scenarios in the Solana watershed. METHODS: The approach consisted of applying hydrologic and hydraulic numerical food models and the suite of advanced geographic informaton systems and remote sensing technologies. The process involved utlizing a high-resoluton digital elevaton model and a set of high-precision instruments such as the real-tme kinematc-global positon system receiver, digital fow meter, deep gauge, and automatc weather staton in collectng the respectve data on bathymetry, river discharge, river depth, and rainfall intensity during a partcular climatc event, needed for the model development, calibraton and validaton. FINDINGS: The developed two-dimensional food model could simulate food hazard with an 86% accuracy level based on the coefcient of determinaton statstcs. The food risk exposure analysis revealed that coconut is the most afected, with 31.3% and 37.1% being at risk across the 2-year and 100-year return period scenarios, respectvely. Results also showed that rice and pineapple are at risk of fooding damage with the increasing rate of exposure by a magnitude of 42.9 and 9.3 across the 2-year and 100-year food scenarios, respectvely. CONCLUSION: The study highlighted the integraton of the fndings and recommendatons in the localized comprehensive land use plan and implementaton to realize the challenge of building a climate change proof and a food-resilient human setlement in the urbanizing watershed of Solana. © 2021 GJESM. All rights reserved.</t>
  </si>
  <si>
    <t>2-s2.0-85099536402"</t>
  </si>
  <si>
    <t>International Journal of Advanced and Applied Sciences</t>
  </si>
  <si>
    <t>10.21833/ijaas.2021.01.006</t>
  </si>
  <si>
    <t>https://www.scopus.com/inward/record.uri?eid=2-s2.0-85105815731&amp;doi=10.21833%2fijaas.2021.01.006&amp;partnerID=40&amp;md5=cfdbad65aeaf4056d4d785bc497eb3f3</t>
  </si>
  <si>
    <t>The UIB (Upper Indus Basin) is prone to GLOFs (Glacial Lake Outburst Floods). Physical monitoring of such a large area on a regular basis is a challenging task, especially when the temporal and spatial extent of the hazard is highly variable. The purpose of this study was to map the potentially dangerous glacial lakes and simulate the associated hazard in the downward settlements using HEC-RAS in the GIS environment using Landsat 7 remote sensing data. The study was conducted in Hunza Valley of UIB, where there are several human settlements that are endangered due to the GLOF hazard. Sudden breaches in the unstable moraine dams adjoining receding glaciers may occur because of the rapid and huge accumulation of turbulent water in the glacial lakes. The ASTER GDEM (Digital Elevation Model) is utilized to detect flow accumulation of glacial hazard involving slope, elevation, and orientation of the mountain glaciers. The study results revealed that settlements of Hunza Valley are threatened by the GLOFs hazard. Keeping in view the seasonal growth of the potentially dangerous glacial lakes of Hunza Valley, a low discharge of 3500m3/s from a potentially dangerous glacial lake can affect 40%, whereas a moderate discharge of 5000m3/s can affect 60%, and a high discharge of 7000m3/s can affect 80% of the Shimshal village habitat. The results of the study can provide a platform for the establishment of an early warning and monitoring system to minimize the impact of future GLOFs. Accurate and comprehensive knowledge of potentially dangerous GLOFs is of utmost importance for risk management. A digital repository of GLOFs can enhance the ability to inform policymakers on the vulnerability, risk mitigation, and action/adaptation measures. © 2020 The Authors</t>
  </si>
  <si>
    <t>2-s2.0-85105815731"</t>
  </si>
  <si>
    <t>Geographical Research Letters</t>
  </si>
  <si>
    <t>10.18172/cig.4744</t>
  </si>
  <si>
    <t>https://www.scopus.com/inward/record.uri?eid=2-s2.0-85107237148&amp;doi=10.18172%2fcig.4744&amp;partnerID=40&amp;md5=655671ad04793d41bd81445f221b7587</t>
  </si>
  <si>
    <t>The general objective of this article is to present the methodological approach for the assessment of the inundation risks associated with the rise in the mean sea level for different models and scenarios of climatic change (IPCC, 2013 and Jevrejeva et al., 2012). The approach focuses on the assessment of the hazard, exposure and physical vulnerability of the built areas, especially the residential areas along the Mediterranean coast of Andalusia (Spain). For hazards calculation a set of tide gauges’ data and climatic scenarios were analyzed to obtain future sea levels for all the spectrum of probabilities. Further, a method is proposed for mapping the probability associated with each scenario using a 5 m cell size DTM. For exposure and vulnerability assessment of built up areas, especially for residential ones, the National Cadastre, which is the most detailed set of data, have been used. Modeling the original cadastral data in a spatial database management system and their analysis through SQL sentences have made possible to identify the cadastral parcels with residential use and associated variables (area, number of residential real estate units, constructed area below ground, etc..), being therefore the cadastral parcel the spatial reference unit for mapping. The overlay of cadastral parcels and the inundation hazard maps has allowed identifying the residential cadastral parcels exposed to each climatic scenario. A method is proposed for better identification of the number of real estate units in each cadastral parcel, assuming this number as the base for residential parcel vulnerability. Finally, the risk assessment is calculated as the product of the previous variables. For the dissemination of the inundation risk assessment results, a web application (geoviewer) was developed. Results show that for the more pessimistic scenario more than 24,000 exposed cadastral parcels would be affected. Out of that, 13,000 exposed residential cadastral parcels were identified and their hazards, exposure and vulnerability calculated in order to map the final inundation risk associated with future sea levels. © 2021, The authors.</t>
  </si>
  <si>
    <t>2-s2.0-85107237148"</t>
  </si>
  <si>
    <t>10.1016/j.crm.2021.100280</t>
  </si>
  <si>
    <t>https://www.scopus.com/inward/record.uri?eid=2-s2.0-85100232933&amp;doi=10.1016%2fj.crm.2021.100280&amp;partnerID=40&amp;md5=19f31b31fd57ddc8b2c0e20477b01584</t>
  </si>
  <si>
    <t>The upstream construction of hydropower dams may drastically intensify climate change impacts due to changing the natural river flood-drought cycle and reducing the amount of water that flows into the lower Mekong Delta river, leading to hydrological and environmental health impacts. However, until now the influence of drought on residents’ health in the lower MDR, where river drought is highly sensitive to recently built hydropower plants, has not been examined. The objectives of this study are, for the first time, to detect the health impacts of river drought on residents and to evaluate the contribution of hydropower dams to the impacts of drought on health in the lower Mekong Delta Region (MDR). We applied the multi-step approaches of a Detection and Attribution study. First, we detected the effects of the river drought on the risk of hospitalization using a Multivariable Fractional Polynomials algorithm (MFP). Second, we linked the long-term changes of the river water level (RWL) to the operation of the first hydropower dam in the upper MDR using the interrupted time-series model (ITS). Finally, we quantified the hospitalizations and related economic loss attributed to the river drought. The results show that the percentage changes in risk of all-cause, respiratory, and renal hospitalizations attributed to the river drought were 2%, 2%, and 7%. There were significant reductions in average level and trend of the RWL during the post-1995 period, when the first hydropower dam began operation in the upper MDR, even though the cumulative rainfall in the MDR had not changed. The all-cause hospitalizations attributed to the river drought were 1134 cases during the period 1995–2014, which resulted in total additional cost at two provincial hospitals of US $360,385. This current study demonstrates the link between hydropower dams, river drought, and health impacts. As the MDR is highly vulnerable to climate change, these findings about the devastating impacts of hydropower dams and environmental change have important implications for the lives of downstream residents. © 2021 The Author(s)</t>
  </si>
  <si>
    <t>2-s2.0-85100232933"</t>
  </si>
  <si>
    <t>10.1080/00330124.2021.1898992</t>
  </si>
  <si>
    <t>https://www.scopus.com/inward/record.uri?eid=2-s2.0-85105145824&amp;doi=10.1080%2f00330124.2021.1898992&amp;partnerID=40&amp;md5=1b937544f9a31e7ff880801fc30c1a42</t>
  </si>
  <si>
    <t>Digital elevation data are essential to estimate coastal vulnerability to flooding due to sea-level rise. Shuttle Radar Topography Mission (SRTM) 1 arc-second global is considered the best free global digital elevation data set available. Inundation estimates from SRTM, however, are subject to uncertainty due to inaccuracies in the elevation data. Small systematic errors in low, flat areas can generate large errors in inundation models, and SRTM is subject to positive bias in the presence of vegetation canopy, such as along channels and within marshes. In this study, we conducted an error assessment and developed a statistical error model for SRTM to improve the quality of elevation data in the Mississippi River Delta (MRD) region. Vegetation cover, SRTM elevation, and slope were found to be closely associated with SRTM error for a random sample of 10,000 small sites across the MRD region, with an ordinary least squares regression model using these variables explaining over 80 percent of the variation in error. Residuals from this model were spatially autocorrelated, and a variogram model was readily fit to them. We conclude by speculating on the utility of application of this model, developed for the MRD region, to similar near-coastal riverine regions around the world. © 2021 by American Association of Geographers.</t>
  </si>
  <si>
    <t>2-s2.0-85105145824"</t>
  </si>
  <si>
    <t>10.1515/geo-2020-0246</t>
  </si>
  <si>
    <t>https://www.scopus.com/inward/record.uri?eid=2-s2.0-85106552558&amp;doi=10.1515%2fgeo-2020-0246&amp;partnerID=40&amp;md5=d6e675f1efb49faca0b5163930ece0dd</t>
  </si>
  <si>
    <t>With the launch of Sentinel-1 in 2014, a new era of openly accessible spaceborne radar imagery was begun, and its potential has been demonstrated throughout all fields of applications. However, while interferometric approaches to detect surface deformations are continuously being published, only a few studies address the derivation of digital elevation models (DEMs) from Sentinel-1 data. This is mainly because of the narrow orbital tube, which was primarily designed for subsidence measurements using differential interferometry. Nonetheless, the technical conditions are provided for successful applications involving DEM generation. These are outlined in the first part of this article with a focus on potential error sources and the impact of the most important constraints, namely, temporal and perpendicular baselines. The second part evaluates 21 studies on this topic, their aims, and how they dealt with error sources and the necessity of validation. These studies are then discussed based on the main challenges and potentials including how these can be tackled in the future to lay a solid foundation for scientific discourse.  © 2021 Andreas Braun, published by De Gruyter.</t>
  </si>
  <si>
    <t>2-s2.0-85106552558"</t>
  </si>
  <si>
    <t>10.5027/andgeov48n1-3242</t>
  </si>
  <si>
    <t>https://www.scopus.com/inward/record.uri?eid=2-s2.0-85101792489&amp;doi=10.5027%2fandgeov48n1-3242&amp;partnerID=40&amp;md5=f8b5998311459ebb638304fbe7aa069f</t>
  </si>
  <si>
    <t>On February 2009 intense rainfall triggered landslides in the Tartagal River basin that evolved into a debris flow that caused severe flooding in the town of Tartagal, Salta, Argentina. Based on these events, this paper presents a first attempt to map the landslides susceptibility in the Tartagal River basin. First, we elaborated an inventory map by using a 10 m pixel SPOT image acquired just after the disaster. Second, we evaluated a set of conditioning factors, which included lithology, slope and curvature</t>
  </si>
  <si>
    <t>10.1016/j.crm.2020.100266</t>
  </si>
  <si>
    <t>https://www.scopus.com/inward/record.uri?eid=2-s2.0-85099043822&amp;doi=10.1016%2fj.crm.2020.100266&amp;partnerID=40&amp;md5=1e9005c3e3d6dba28226f1b185d1732e</t>
  </si>
  <si>
    <t>Major airports are already at risk of coastal flooding. Sea level rise associated with a global mean temperature rise of 2 °C would place 100 airports below mean sea level, whilst 1238 airports are in the Low Elevation Coastal Zone. A global analysis has assessed the risk to airports in terms of expected annual disruption to routes. The method integrates globally available data of airport location, flight routes, extreme water levels, standards of flood protection and scenarios of sea level rise. Globally, the risk of disruption could increase by a factor of 17–69 by 2100, depending on the rate of sea level rise. A large number of airports are at risk in Europe, Norther American and Oceania, but risks are highest in Southeast and East Asia. These coastal airports are disproportionately important to the global airline network, by 2100 between 10 and 20% of all routes are at risk of disruption. Sea level rise therefore poses a systemic risk to global passenger and freight movements. Airports already benefit from substantial flood protection that reduces present risk by a factor of 23. To maintain risk in 2100 at current levels could cost up to $57BN. Although the cost of protecting larger airports is higher, busier airports are typically well protected and more likely to have better access to adaptation finance. However, 995 coastal airports operate 5 commercial routes or fewer. More detailed consideration of these airports shows that regions, especially low lying islands, will experience disproportionate impacts because airports can provide important economic, social, and medical lifelines. Route disruption was used as the risk metric due to its global coverage and relationship with direct economic impacts. Further work should collate a wider range of impact metrics that reflect the criticality of an airport in terms of the isolation and socio-economic context of the location it serves. © 2020</t>
  </si>
  <si>
    <t>2-s2.0-85099043822"</t>
  </si>
  <si>
    <t>Estudios de Economia Aplicada</t>
  </si>
  <si>
    <t>10.25115/eea.v39i1.4271</t>
  </si>
  <si>
    <t>https://www.scopus.com/inward/record.uri?eid=2-s2.0-85101330448&amp;doi=10.25115%2feea.v39i1.4271&amp;partnerID=40&amp;md5=de5e09ecd04ac54279616fee08e825c0</t>
  </si>
  <si>
    <t>The aim of this paper is to explore the role of capital assets in sustaining the livelihoods of the riverine communities with special focus on physical and human capitals. The study was carried out at Sadong Jaya, a sub-district under Asajaya District, Samarahan, Sarawak. It is located at the lower Sadong River lying in the Southwest of Sarawak in the Borneo Island. Due to the dynamic nature of the local environment with its unique geographical location prone to flash flood and monsoon flood, it is crucial to examine the role of physical and human capitals in affecting livelihood strategies adopted by the local communities. A mixed method approach encompassing exploratory study and descriptive analysis was adopted. Multistage sampling techniques were used to select 11 villages along the lower estuarine, middle estuarine and upper estuarine areas, followed by systematic sampling technique employed to select 243 heads of households for face-to-face interviews to find out their livelihood strategies and vulnerabilities faced by them. Data collection involved observation techniques, two FGDs and in-depth interviews with various stakeholders. The findings show that riverine communities at Sadong Jaya utilize diversified livelihood strategies by optimizing the use of capital assets available to sustain their livelihoods. Communities who are better equipped with an enhanced and diversified assets base are more resilient. The study found that infrastructures such as roads and bridges, water supply, drainage systems, watergates and education facilities enable the riverine communities to intensify and diversify economic activities, widen job opportunities and market opportunities. As accessibility to education and training facilities is made available to the locals through better connectivity facilitated by various physical infrastructure, more riverine communities are involved in non-agricultural economic activities and out-migrating to cities and abroad. The paper concludes that provision of basic physical and educational amenities is crucially imperative as a policy recommendation to ensure that the riverine communities are able to enhance their livelihoods strategies for uplifting their standards of living. © 2021 Estudios de Economia Aplicada.</t>
  </si>
  <si>
    <t>2-s2.0-85101330448"</t>
  </si>
  <si>
    <t>Applied Mathematical Modelling</t>
  </si>
  <si>
    <t>10.1016/j.apm.2020.08.015</t>
  </si>
  <si>
    <t>https://www.scopus.com/inward/record.uri?eid=2-s2.0-85090401300&amp;doi=10.1016%2fj.apm.2020.08.015&amp;partnerID=40&amp;md5=380835a6fc13c5992890955e54e65c2d</t>
  </si>
  <si>
    <t>In this paper we present recent evolvements of three robust numerical models for the simulation of the evolution of wave fields and hydrodynamic circulation in gulfs and coastal areas with large harbours and significant urban port facilities. The models are integrated into a single software suite for the development of a decision support tool to provide reliable forecasts of sea states prevailing at selected important ports worldwide. The application of the integrated modelling platform is designed to support approaching procedures of vessels to ports and it is based on co-operating, high-resolution, hydrodynamic (ocean and wave) models that derive input data and boundary conditions from global scale or regional, open sea and weather forecasts. The implementation of short-term forecasts for sea conditions includes the development, validation, coupling, and operational application of: i) the High Resolution Storm Surge (HiReSS) model for sea level variations; ii) the 3rd generation spectral wave model called TELEMAC-based Operational Model Addressing Wave Action Computation (TOMAWAC) for irregular wave propagation in offshore and coastal areas; and iii) a high resolution phase-resolving wave model (WAVE-L) for port basins, based on the hyperbolic mild-slope equations. This innovative product, designed for port-related end-users, will improve the navigation safety at ports, optimize the berth occupancy, support the port pilotage operations, mooring and towage procedures, and may facilitate the port layout upgrade or design. Hereby, pilot forecast implementations are presented concerning the Mediterranean Sea and eight selected harbours in it.</t>
  </si>
  <si>
    <t>10.1080/15715124.2019.1695259</t>
  </si>
  <si>
    <t>https://www.scopus.com/inward/record.uri?eid=2-s2.0-85075738109&amp;doi=10.1080%2f15715124.2019.1695259&amp;partnerID=40&amp;md5=655fb12d394a3f6a76bcd4dcdbd6ddc6</t>
  </si>
  <si>
    <t>The riverbank/bankline shifting is mainly caused by the monsoonal hydrodynamic behaviour and intensive sand mining from the riverbed in the middle-lower course of Subarnarekha River. The flood-induced channel migration triggers other natural and socio-economic hazards related to flood hazard, loss of riparian arable land and crop damage, compensation of customary settlements and casualty. Therefore, the estimation of spatio-temporal diversities of riverbank shifting and future prediction is essential concerning the sustainability of riparian dwellers. Despite the different approaches and techniques, the estimation and future prediction of riverbank shifting is yet difficult. To pursue a more generalized approach, this study seeks to apply the digital shoreline analysis system supported statistical models to estimate the riverbank shifting and future prediction considering the six different multi-temporal banklines. This method is effortless and non-tedious for swift and precise estimation of the riverbank shifting without critical steps in data gathering and mathematical treatment. The overall result divulges that in the vicinity of meandering bend, river course undergoes a higher rate of shifting. The model-derived positional error is high (0.121 m) in the estuary section and less (0.002 m) in the upper section with an overall mean error of 0.02 m. The short-term predicted position (2020) and recent actual position (2018) of banklines are well harmonized throughout the river course with only ∼0.05 m positional error. Consequently, this adopted automated approach is well suited for estimating the spatio-temporal variability of riverbank shifting and short-term prediction to take erosion prevention action plans on an immediate basis. © 2019 International Association for Hydro-Environment Engineering and Research.</t>
  </si>
  <si>
    <t>2-s2.0-85075738109"</t>
  </si>
  <si>
    <t>10.1127/zfg/2021/0672</t>
  </si>
  <si>
    <t>https://www.scopus.com/inward/record.uri?eid=2-s2.0-85108610693&amp;doi=10.1127%2fzfg%2f2021%2f0672&amp;partnerID=40&amp;md5=83fc8d45334673571941efa895b4c592</t>
  </si>
  <si>
    <t>On November 23, 2018, cascading rainfall events that occurred in the upstream section of wadi Al-Lith, which is located in the western part of the Kingdom of Saudi Arabia, caused a failure in the Al-Lith earthen dam. This event was followed by a large-scale devastating flood that inundated the area downstream of the dam, damaging infrastructure and property. The main scope of this work was to identify the causes of catastrophic flooding and ways to prevent and mitigate the potential consequences of a future flood occurrence in the study area. For this purpose, remote sensing images, DEM, field observations, and rainfall data were used. A geospatial integrated approach using a GIS, remote sensing, hydromorphological analysis, and rainfall-runoff modeling was utilized to provide a better understanding of the hydrology of the wadi Al-Lith catchment. Various methods were used for rainfall frequency analyses</t>
  </si>
  <si>
    <t>10.1007/s11069-020-04301-4</t>
  </si>
  <si>
    <t>https://www.scopus.com/inward/record.uri?eid=2-s2.0-85091084860&amp;doi=10.1007%2fs11069-020-04301-4&amp;partnerID=40&amp;md5=e6d7abf72aa133e1cea5771bea4775a8</t>
  </si>
  <si>
    <t>Debris flows are considered as a rapid movement of highly water-saturated colluvial and proluvial deposits. Besides the intensive rainfall and snowmelt, there are several other factors—prerequisites to debris flows: morphometric characteristics, rocks composition, active tectonics and deforestation. The current research is directed to the analysis of morphometric parameters of debris flow areas located in Eastern Rhodopes (Bulgaria). Two types of debris flows are analysed—gully-induced debris flows and stream torrent section with debris flood occurrence. The aim is to determine morphometric indicators to be used for discrimination of debris flow types and further susceptibility assessment. The following parameters are calculated: basin area and length, basin relief, relief ratio, Melton index, slope, topographic wetness index, stream power index and curvature. The analysis shows that slopes in a range 30–45° have most important role, among the other topographic factors, for debris flow initiation. Melton index is a meaningful indicator for discrimination of debris flow types. It is greater than 1 at gully-induced debris flows and much lower at the debris flood section (0.14–0.16). The analysis of curvature rasters, generated as a second derivative of digital elevation model (DEM), shows that the considered gullies are subject of intensive erosion and the process is still active. The research is elaborated in GIS environment on the basis of DEM and field investigations. Terrestrial laser scanning (TLS) of the low part of the basins and debris flow fan is done, and detailed terrain models are developed for the purpose of morphometric analyses. © 2020, Springer Nature B.V.</t>
  </si>
  <si>
    <t>2-s2.0-85091084860"</t>
  </si>
  <si>
    <t>10.1007/s11069-020-04372-3</t>
  </si>
  <si>
    <t>https://www.scopus.com/inward/record.uri?eid=2-s2.0-85092572561&amp;doi=10.1007%2fs11069-020-04372-3&amp;partnerID=40&amp;md5=f6934f432c51953006543f4e36ebc7f1</t>
  </si>
  <si>
    <t>Rapid urbanisation and economic growth in developing Asian countries have exacerbated their exposure to flood hazards, particularly evident in low-lying urban cities that are currently facing increasing risks from extreme precipitations, likely made worse by the impending climate change. We present a set of simplified indices representative of the characteristics of rainfall-run-off process for evaluating pluvial flood hazard using the fuzzy comprehensive evaluation method. The highly urbanised Pearl River Delta (PRD) region in southern China is studied as an example of mapping the regional pluvial flood hazard and assessing the socio-economic exposure at risk. The developed hazard map captures the broad patterns of high flood hazard zones when compared with reported surface water flooding hotspots and the PRD riverine flood map from the 2015 Global Assessment Report. Further analysis on the regional socio-economic profiles suggests that most PRD cities are faced with large flood loss potential, with estimates of approximate 23 million people and 2.4 trillion RMB gross domestic product exposed to high flood hazard. Mega cities Guangzhou and Shenzhen top the ranking with over 20–40% of their dense urban settlements in the high flood hazard zone. This highlights the impact of human activities on the natural surface run-off process, and the need for robust flood hazard assessment for better understanding and design of holistic solutions towards more adequate flood mitigation systems for continuous urbanisation and future climate conditions. © 2020, Springer Nature B.V.</t>
  </si>
  <si>
    <t>2-s2.0-85092572561"</t>
  </si>
  <si>
    <t>10.1109/JSTARS.2021.3110438</t>
  </si>
  <si>
    <t>https://www.scopus.com/inward/record.uri?eid=2-s2.0-85114735990&amp;doi=10.1109%2fJSTARS.2021.3110438&amp;partnerID=40&amp;md5=3cebfd7d1dbd4edc501dc064a19d661c</t>
  </si>
  <si>
    <t>Recent developments in space-based surveying methods of the Earth's topography, including the differential interferometric synthetic aperture radar (DInSAR), have increased the availability of options for monitoring land subsidence. However, DInSAR methods require expert knowledge and specialized software, and they are time-consuming. Here, we demonstrate that a land subsidence signal can be identified in the differences in the freely available global digital elevation models (e.g., SRTM and TanDEM-X) using a simple statistical method. This finding opens up a venue to develop a computer application to identify land subsidence or uplift of a few decimeters per at least a decade order. Such an application enables monitoring the effects of underground mining, seismic/tectonic movements, landslides, volcanic activities, and similar effects on the Earth's topography. It can also provide a valuable and cost-effective tool for studying land deformation. © 2008-2012 IEEE.</t>
  </si>
  <si>
    <t>2-s2.0-85114735990"</t>
  </si>
  <si>
    <t>Journal of Urbanism</t>
  </si>
  <si>
    <t>10.1080/17549175.2020.1801490</t>
  </si>
  <si>
    <t>https://www.scopus.com/inward/record.uri?eid=2-s2.0-85089864123&amp;doi=10.1080%2f17549175.2020.1801490&amp;partnerID=40&amp;md5=0cda1c328a11f97cc6e44006befb55b6</t>
  </si>
  <si>
    <t>Water urbanism and more in general climate change adaptation are an essential part of urban transition processes. While sea level rising demands a re-evaluation of the new geography of extreme-cities, it emerges a temporal and conceptual gap between climate prediction, policies, adaptation strategies, and factual interventions. Consequently, the very same method of urban analysis needs to be reconsidered in light of this new horizon. This paper addresses extreme-cities as spaces of transition, and analyses the case of the Veneto Region via a multi-scalar process of mapping entailing: (i) zoning transition</t>
  </si>
  <si>
    <t>10.1109/JSTARS.2021.3107279</t>
  </si>
  <si>
    <t>https://www.scopus.com/inward/record.uri?eid=2-s2.0-85114624055&amp;doi=10.1109%2fJSTARS.2021.3107279&amp;partnerID=40&amp;md5=b7a2ade97c631ef694b9d5e5b5d7ee34</t>
  </si>
  <si>
    <t>The tropical cyclone Idai caused severe floods in Mozambique in March 2019. Sentinel-1 and Sentinel-2 images are processed to monitor the flood disaster in Pungue and Buzi rivers by combining the object-based image analysis approach and the decision tree algorithm. Water is preliminarily extracted from Sentinel-1 image, and shadows of mountain and buildings in the study area are extracted from Sentinel-2 image. Mountain shadow is extracted based on the decision tree classification rules constructed by the digital elevation model and the index model, while building shadow is extracted by constructing the decision tree classification rules using the features of objects. Water extraction results are combined with shadows to eliminate confusing shadows in the preliminary extraction to obtain the accurate flood extent. Sentinel-2 images are used to classify land use types in multiple periods before and after the flood and analyze the disaster by combining with the change information of the water. Land use type changes are analyzed and predicted with the CA-Markov model. The results show that the maximum submerged area was 3.5 times of the normal water area, and that most areas were submerged for more than 10 d. The area between Pungue and Buzi rivers were severely affected, where a large number of crops and villages were submerged. Grassland and cropland were the most seriously submerged. The overall accuracy of extracted water results ranges from 86% to 92%. The results indicated that the combining method can effectively suppress the influence of shadows on water extraction results. © 2008-2012 IEEE.</t>
  </si>
  <si>
    <t>2-s2.0-85114624055"</t>
  </si>
  <si>
    <t>10.1080/22797254.2020.1859340</t>
  </si>
  <si>
    <t>https://www.scopus.com/inward/record.uri?eid=2-s2.0-85098628722&amp;doi=10.1080%2f22797254.2020.1859340&amp;partnerID=40&amp;md5=f82efba3abdfd12d581f1f7669ef6e23</t>
  </si>
  <si>
    <t>One major characteristic of floods is flood extent. Information on this characteristic is indispensable for flood monitoring. Recently, synthetic aperture radar (SAR) data have been increasing in quality and quantity. This allows more flood studies conducted over large areas regardless of cloud and weather conditions and provides advantages including clear surface water classification based on SAR scattering mechanisms for low values (open water) and high values (inundated vegetation, etc.). However, challenges remain due to sources of uncertainties, such as atmospheric disturbances and vegetation masking parts of water surfaces. Therefore, in this study, we aim to optimize flood mapping processes on flooded vegetation that generated high-value pixels based on a SAR scattering mechanism called double bounce that classifies vegetative flooded water in L-band SAR images. This optimization is nearly impossible using Sentinel-1 scenes. Backscattering of time-series Sentinel-1 and ALOS-2 images acquired for the 2018 and 2019 flood season was analysed, thresholded and hybridized for flood mapping of a study site in the Tam Nong district of the Dong Thap Province of Vietnam. We found that the accuracy of SAR flood maps was improved compared to ground truth data when the SAR-extracted vegetative-flooded plains were considered flooded. © 2020 The Author(s). Published by Informa UK Limited, trading as Taylor &amp; Francis Group.</t>
  </si>
  <si>
    <t>2-s2.0-85098628722"</t>
  </si>
  <si>
    <t>10.1080/17445647.2020.1820387</t>
  </si>
  <si>
    <t>https://www.scopus.com/inward/record.uri?eid=2-s2.0-85091353810&amp;doi=10.1080%2f17445647.2020.1820387&amp;partnerID=40&amp;md5=b9c94ddc62f3f9626ef13f7dac67d408</t>
  </si>
  <si>
    <t>Multi-temporal repeat monitoring of flood-vulnerable rivers is crucial due to rapid alteration of morphological properties of in-channel landforms. Besides, the characteristics of the river crossing bridges may deteriorate due to flood induced scouring around bridge piles or due to flood loads. Thus, in this study high-resolution topography of the study region was acquired during two consecutive years by unmanned aerial vehicle (UAV) based surveys using Structure-from-Motion (SfM) processing. Following the extraction of digital elevation models (DEM), repeat data that were obtained at each UAV survey were compared using Geomorphic Change Detection (GCD) to calculate volumes of deposition and erosion via DEM of difference (DoD) algorithm. Thus, detailed high-resolution maps of the river channels can be rapidly and efficiently generated by low cost UAV based measurement methods in order for continuous tracking of stream channel morphology for the rivers sensitive to floods. © 2020 The Author(s). Published by Informa UK Limited, trading as Taylor &amp; Francis Group on behalf of Journal of Maps.</t>
  </si>
  <si>
    <t>2-s2.0-85091353810"</t>
  </si>
  <si>
    <t>10.13168/AGG.2021.0035</t>
  </si>
  <si>
    <t>https://www.scopus.com/inward/record.uri?eid=2-s2.0-85124903803&amp;doi=10.13168%2fAGG.2021.0035&amp;partnerID=40&amp;md5=050e07e022744765680e8628ab747c7e</t>
  </si>
  <si>
    <t xml:space="preserve">Based on the analysis performed in the Kura geomorphological sub-region of the Caspian coastal zone, it was determined that the sea level rise of 2.43 m in 1976–1996 caused an average annual rate of erosion processes about 75 times higher than accumulation processes. In 1996–2019, the
stabilization and the following drop of the sea level of 1.39 m led to an average annual rate of accumulation processes up to 14 times higher than the average annual rate of erosion processes. This pattern is observed along the entire coastline of those periods. Erosion processes in the initial
stage (1976–1996) increased the indentation and length of the coastline by almost 2 times, and in the next stage (1996–2019) the intensification of accumulation processes resulted in the smoothing and reduction of the coastline by 35 %. Statistical analysis of coastlines was carried out by processing Landsat satellite images for 1976–2019; each coastline was divided into 14 segments according to geomorphological zones and their
morphostructures in the study area. The development forecast for the next 10 and 20 years is provided. </t>
  </si>
  <si>
    <t>10.1080/17538947.2021.1946178</t>
  </si>
  <si>
    <t>https://www.scopus.com/inward/record.uri?eid=2-s2.0-85109609866&amp;doi=10.1080%2f17538947.2021.1946178&amp;partnerID=40&amp;md5=08db4a622ad90fe57311d05efd831438</t>
  </si>
  <si>
    <t>Low-lying coastal cities are widely acknowledged as the most densely populated places of urban settlement; they are also more vulnerable to risks resulting from intensive land use and land cover change, human activities, global climate change, and the rising sea levels. This study aims to predict how urban growth is affected by sea level rise (SLR) in the Australian context. We develop an urban cellular automata model incorporating urban planning policies as potential drivers or constraints of urban growth under different SLR scenarios and adaption strategies. Drawing on data capturing the socioeconomic and environmental factors in South East Queensland, Australia, our model is positioned to address one core research question: how does SLR affect future urban growth and human resettlement? Results show that urban growth in coastal regions varies depending on the extent to which the sea level rises and is affected by a combination of factors relating to urban planning and human adaptation strategies. Our study demonstrates the complexity of urban growth in coastal regions and the nuanced outcomes under different adaptation strategies in the context of rising sea levels.</t>
  </si>
  <si>
    <t>Geochemical Journal</t>
  </si>
  <si>
    <t>10.2343/geochemj.2.0641</t>
  </si>
  <si>
    <t>https://www.scopus.com/inward/record.uri?eid=2-s2.0-85120790156&amp;doi=10.2343%2fgeochemj.2.0641&amp;partnerID=40&amp;md5=6e04a5883ec7c95b305e747e7856fe1b</t>
  </si>
  <si>
    <t>The Pacific coast of Japan has repeatedly suffered earthquakes with magnitudes greater than Mw 8 and accompanying tsunami on coastal areas. Estimating the inundation area of paleotsunami using event deposits in sediment layers can inform and reduce possible damages from future earthquakes and tsunami. In addition to geological and sedimentological analyses, the geochemical signature of sediments can be an effective proxy for identifying event deposits in many cases. However, few geochemical analyses have been applied to study the Pacific coast of middle Japan. Therefore, the geochemical characteristics of paleotsunami deposits (~1000, 3500, and 4000 cal BP) were assessed for core samples from the Shizuoka plain (Oya lowland) on the Pacific coast of middle Japan. In a ternary diagram for (Na2O+CaO)-Al2O3-(Cr+Ni), our data from the paleotsunami deposits from the Shizuoka plain plotted between those of the beach core samples (shoreface and dune deposits) and mud layers in the back marsh deposits. Additionally, vertical and horizontal distributions of titanium normalized values (Na/Ti, Sr/Ti, Ba/Ti, and Cr/Ti atomic ratios) and Si/Al atomic ratios in the cores from the Shizuoka plain provided important clues for discrimination of the paleotsunami deposits from other layers, such as flood deposits from river overflow and mud layers that settled in calm environments. Based on the cluster analysis, the data from the paleotsunami deposits (~3500 cal BP) were discriminated from those of other layers in our case. Copyright © 2021 by The Geochemical Society of Japan.</t>
  </si>
  <si>
    <t>2-s2.0-85120790156"</t>
  </si>
  <si>
    <t>10.5751/ES-12197-260126</t>
  </si>
  <si>
    <t>https://www.scopus.com/inward/record.uri?eid=2-s2.0-85104593330&amp;doi=10.5751%2fES-12197-260126&amp;partnerID=40&amp;md5=33abc1a9fb73a07468add28e88a97521</t>
  </si>
  <si>
    <t>Peripheral communities across the Pacific are progressively being recognized as priority areas for the implementation of climate change adaptation strategies. A key step in planning and implementing effective adaptation actions is to identify what elements are driving vulnerability and resilience. Building on existing vulnerability and resilience conceptual models, we developed and applied a conceptual framework to identify drivers of vulnerability and resilience in social-ecological systems. By unifying the two concepts of vulnerability and resilience into a single framework, it is possible to better capture drivers of coping, adaptive and transformative capacities, and how they relate to specific climate hazards. The aim of the framework is to provide the conceptual basis from which the two concepts can be applied in conjunction, rather than prescribing specific indicators. The proposed framework was applied using a participatory action research approach to identify drivers of resilience and vulnerability in three coastal villages on a peripheral rural island in Fiji. Results from the framework’s application show that these communities are currently contextualized within multiple layers of vulnerability and resilience, driven by: dependency on external support to implement activities, lack of knowledge about novel management actions for dealing with rapid environmental change, high levels of agency, increased access to support and services, high levels of awareness about climate change impacts, disposition to implement change and learn, and capacity to mobilize community resources and support. The development and application of the framework highlights aspects of vulnerability and resilience that have been overlooked or undervalued in the past when designing and implementing strategies for climate change adaptation in small island developing states (SIDS). The proposed framework has the potential to help overcome existing barriers in designing and implementing successful adaptation strategies, optimizing their effectiveness and sustainability in ways that are aligned with the unique situations of many SIDS. © 2021 by the author(s). Published here under license by the Resilience Alliance.</t>
  </si>
  <si>
    <t>2-s2.0-85104593330"</t>
  </si>
  <si>
    <t>10.1080/08920753.2021.1967563</t>
  </si>
  <si>
    <t>https://www.scopus.com/inward/record.uri?eid=2-s2.0-85113801488&amp;doi=10.1080%2f08920753.2021.1967563&amp;partnerID=40&amp;md5=92f48da8653f71062a4e4ff05829ccf4</t>
  </si>
  <si>
    <t>Designers and engineers are developing proposals for physical projects to adapt coastal sites to future sea level rise related threats. This puts pressure on local and regional decision makers to develop strategic frameworks for prioritizing, permitting and funding such projects. However, no systematic evaluation tools exist for the full range of these innovative designs. We build on the literature to develop an evaluation framework that synthesizes two different approaches to categorize these proposals and provide insight for coastal managers and decision makers. We apply this framework to physical projects that address sea level rise in their design around the San Francisco Bay Area, a leading region in sea level rise adaptation. We find that these projects demonstrate a shift toward more habitat-focused strategies, which likely marks the beginning of a larger transformation of the coastal zone. According to our five-part evaluation tool, we also find that the projects’ scores have improved over time, indicating that state agency work may be helping communities implement more flexible adaptation initiatives. Despite these positive signs, we also find that none of the projects achieved high marks in all five of the evaluation criteria. This finding indicates that there is a critical need for improvement in physical planning for adaptation to higher sea levels and associated impacts. Most importantly, we find that an evaluation framework such as the one used here can provide critical insights into the likely risks and benefits of proposed adaptation projects and their long-term implications for coastal zones. © 2021 The Author(s). Published with license by Taylor and Francis Group, LLC.</t>
  </si>
  <si>
    <t>2-s2.0-85113801488"</t>
  </si>
  <si>
    <t>10.1016/j.atmosres.2020.105138</t>
  </si>
  <si>
    <t>https://www.scopus.com/inward/record.uri?eid=2-s2.0-85088092761&amp;doi=10.1016%2fj.atmosres.2020.105138&amp;partnerID=40&amp;md5=b3be1b0b866057fd308779b908a45e05</t>
  </si>
  <si>
    <t>Being located between Eurasia continent and the western Pacific Ocean, the coastal area of China (hereafter as CAC) is vulnerable to climate change and prone to climate-related disasters. Based on the daily meteorological dataset of 156 stations, variations of consecutive dry days (CDD) and consecutive wet days (CWD) and their relationships with local and remote climate drivers from 1961 to 2017 over CAC were investigated. Results showed that the multi-year averages in CDD and CWD were 22.5–93.7 and 3.4–11.8 days, generally presenting a “high north and low south” and “low north and high south” spatial pattern, respectively. The decadal trend rates in CDD and CWD were − 4.5–2.7 and − 0.7–0.6 days per decade, respectively, both showing universal insignificant change trends over CAC. There was a significant negatively correlation between CDD and precipitation at partial of meteorological stations clustered in Guangxi autonomous region, and a predominantly significant positive relationship between CWD and precipitation over CAC. Both CDD and CWD correlated significantly with Multivariate ENSO Index (MEI) and Southern Oscillation Index (SOI) in parts of northern coastal areas close to the sea, while a common insignificant linkage was detected between CDD/CWD and large-scale circulation indices such as North Atlantic Oscillation (NAO), Northern Oscillation Index (NOI), Atlantic Multidecadal Oscillation (AMO) and Pacific Decadal Oscillation (PDO) over CAC. Results from this paper are anticipated to provide insights into the drought/flood disaster risk mitigation and prevention as well as water resources management in the coastal area of China. © 2020 Elsevier B.V.</t>
  </si>
  <si>
    <t>2-s2.0-85088092761"</t>
  </si>
  <si>
    <t>10.1109/JSTARS.2021.3051873</t>
  </si>
  <si>
    <t>https://www.scopus.com/inward/record.uri?eid=2-s2.0-85099729992&amp;doi=10.1109%2fJSTARS.2021.3051873&amp;partnerID=40&amp;md5=ec76c9ccd1c08dfa5853947dd117d885</t>
  </si>
  <si>
    <t>Flooding occurs frequently and causes loss of lives, and extensive damages to infrastructure and the environment. Accurate and timely mapping of flood extent to ascertain damages is critical and essential for relief activities. Recently, deep-learning-based approaches, including convolutional neural network (CNN) has shown promising results for flood extent mapping. However, these methods cannot extract floods underneath vegetation canopy using the optical imagery. This article attempts to address this problem by introducing an integrated CNN and region growing (RG) method for the mapping of both visible and underneath vegetation flooded areas. The CNN-based classifier is used to extract flooded areas from the optical images, whereas, the RG method is applied to estimate the extent of floods underneath vegetation that are not visible from imagery using the digital elevation model. A data augmentation technique is applied for training the CNN-based classifier to improve the classification results. The results show that the data augmentation can enhance the accuracy of image classification and the proposed integrated method efficiently detects floods in both the visible and the areas covered by vegetation, which is essential to supporting effective flood emergency response and recovery activities. © 2008-2012 IEEE.</t>
  </si>
  <si>
    <t>2-s2.0-85099729992"</t>
  </si>
  <si>
    <t>10.1590/s1982-21702021000100005</t>
  </si>
  <si>
    <t>https://www.scopus.com/inward/record.uri?eid=2-s2.0-85100491989&amp;doi=10.1590%2fs1982-21702021000100005&amp;partnerID=40&amp;md5=e9aff98a102a2dfca66ebfb3b01e4d55</t>
  </si>
  <si>
    <t>Dams are structures built for controlling the flow of water for many useful purposes such as water supply, power generation, retention of mining and industrial waste, as well as recreation and flood control. However, they bring together some risk of dam body collapse causing damage for the dam downstream areas. Therefore, hypothetical dam break studies which provide mapping of areas potentially attainable in the event of a rupture are especially important for planning actions aiming minimization of associated losses. The aim of this research is to assess the degree of adherence or similarity between flood maps obtained by simulation studies and those effectively obtained from the collapse itself occurred in Dam I owned by Vale SA on January 25, 2019. The study focuses mainly on comparing the effects over the simulated flood maps caused by use of different representation of dam downstream topography relief, namely Shuttle Radar Topography Mission (SRTM), Advanced Land Observing Satellite from Alaska Satellite Facility (ALOS_ASF) and Airborne Laser Scanning (ALS) models. The simulations were performed using the HEC-RAS software developed by the US Army Corps of Engineers considering hypothesis of strong influence of relief in flood mapping results. In this way, three simulation tests were carried out for evaluation and discussion. In the first simulation, the digital terrain model derived from ALS was used. The second simulation was carried out associating the digital surface model ALOS_ASF with a spatial resolution of 12.5 m. Finally, the SRTM digital elevation model with 30 m spatial resolution provided by the United States Geological Survey (USGS) was used in third simulation. Results showed better adherence to simulations using data from ALS. This was verified by visual analysis over high resolution orthorectified images and by calculating statistics indicators such as the (F) index. Conclusions pointed out that flood patches resulting from simulation are critical tools for taking actions involving areas and populations to be affected, so the best relief model technologies like ALS data should be used in simulation. © 2021, Universidade Federal do Parana 1. All rights reserved.</t>
  </si>
  <si>
    <t>2-s2.0-85100491989"</t>
  </si>
  <si>
    <t>10.4314/wiojms.si2021.1.9</t>
  </si>
  <si>
    <t>https://www.scopus.com/inward/record.uri?eid=2-s2.0-85138043781&amp;doi=10.4314%2fwiojms.si2021.1.9&amp;partnerID=40&amp;md5=34968f2ad544b613b3dad52638f25102</t>
  </si>
  <si>
    <t>Estuarine socio-ecological systems (SES) in the Western Indian Ocean (WIO) region face mounting pressures from overexploitation, habitat degradation, impacts of climate change and governance inadequacies. A regional assessment of seasonal-to-decadal change in SES of three estuaries (Bons Sinais in Mozambique, Ruvu in Tanzania and Tana in Kenya) was undertaken along 2000 km of tropical coastline (3°-18°S), using a systems-oriented approach and information collected during the Estuarize-WIO project (2016-2019). All three estuaries were open and tidal, but differed along gradients of geomorphology, annual precipitation, exposure to tropical storms, drought, sea level rise, and rural to urban development. Despite physical differences, similar marine species, mangrove assemblages, seasonality in fish-based farming systems and cultivated crops, and fishing methods were apparent across the region. Key differences were related to the scale of anthropogenic disturbance, discerned from land use/land cover (LULC) change analysis, which showed decadal increases in developed-, cultivated-and grasslands, at the expense of wetlands and forests, and seasonal transformation of wetlands to agriculture and grasslands. The three estuaries represented a gradient along urban-production-conservation dimensions, brought about by rural to urban transformation, and by freshwater and sediment diversion for economic development in upstream catchment areas. Household surveys indicated strongly seasonal livelihood strategies, with highest diversity in peri-urban settings, and reliance on different combinations of ecosystem goods and services in coastal and upstream rural settings. Estuarine fisheries ranged from unselective, low trophic-level fisheries using fine-mesh nets at the urbanized and most-disturbed Bons Sinais Estuary, to a more complex organized fishery at the least-disturbed Tana. At Ruvu, fisheries and agriculture production exit the system to distant markets. The systems-oriented approach demonstrated that human-induced processes affected WIO estuaries and dependent livelihoods more deeply than inherent physical differences. A key conclusion is that research, management and governance will benefit from regional cooperation, given the similarities of the systems and the different levels of disturbance. © 2021, Western Indian Ocean Marine Science Association. All rights reserved.</t>
  </si>
  <si>
    <t>2-s2.0-85138043781"</t>
  </si>
  <si>
    <t>10.3390/cli9020023</t>
  </si>
  <si>
    <t>https://www.scopus.com/inward/record.uri?eid=2-s2.0-85099978120&amp;doi=10.3390%2fcli9020023&amp;partnerID=40&amp;md5=71297817b0fc0f570f0f0390500f112c</t>
  </si>
  <si>
    <t>This work illustrates the contribution of flood risk assessment and adaptation to set up a conservation management plan for a masterpiece of 20th-century architecture. Case study is the iconic complex, internationally known as the National Art Schools of Cuba. It consists of five buildings built in the early 1960s within a park of Habana next to the Caribbean Sea. The path of the river (Rio Quibù) crossing the estate was modified to fit the landscape design. The complex has then been exposed to the risk of flooding. The School of Ballet, located in a narrow meander of the river, slightly upstream of a bridge and partially obstructing the flow, is particularly subject to frequent flash floods from the Rio Quibù, and it needs urgent restoration. Keeping ISA Modern is a project aimed at preserving the Schools complex. Based upon in situ surveys on the Rio Quibù and local area measurements during 2019, numerical modelling, and previous work by the Cuban National Institute of Hydraulic Resources, we pursued a flood risk analysis for the area, and a preliminary analysis of available risk reduction strategies. Using HEC-RAS 2D software for hydraulic modelling, we evaluated the flooded area and the hydraulic conditions (flow depth, velocity) for floods with given return periods. Our results show that SB is a building most subject to flooding, with high levels of risk. Defense strategies as designed by Cuban authorities may include a (new) wall around the School of Ballet and widening of the river channel, with high impact and cost, although not definitive. Temporary, light, permanent, and low cost/impact flood proofing structures may be used with similar effectiveness. We demonstrate that relatively little expensive hydraulic investigation may aid flood modelling and risk assessment in support of conservation projects for historically valuable sites. This may support brainstorming and the selection of (low to high cost) adaptation and risk reduction measures in the coastal areas of Cuba in response to ever increasing extreme storms and sea level rise controlling flood dynamics under transient climate change. © 2021 by the author. Licensee MDPI, Basel, Switzerland.</t>
  </si>
  <si>
    <t>2-s2.0-85099978120"</t>
  </si>
  <si>
    <t>10.1007/s11069-020-04309-w</t>
  </si>
  <si>
    <t>https://www.scopus.com/inward/record.uri?eid=2-s2.0-85091073118&amp;doi=10.1007%2fs11069-020-04309-w&amp;partnerID=40&amp;md5=8da60bf1caea5432486776ea2e604b5c</t>
  </si>
  <si>
    <t>Flooding poses a serious public health hazard throughout the world. Flood modeling is an important tool for emergency preparedness and response, but some common methods require a high degree of expertise or may be unworkable due to poor data quality or data availability issues. The conceptually simple method of inverse distance weight modeling offers an alternative. Using stream gauges as inputs, this study interpolated stream elevation via inverse distance weight modeling under 15 different model input parameter scenarios for Harris County, Texas, USA, from August 25th to September 15th, 2017 (before, during, and after Hurricane Harvey inundated the county). A digital elevation model was used to identify areas where modeled stream elevation exceeded ground elevation, indicating flooding. Imagery and observed high water marks were used to validate the models’ outputs. There was a high degree of agreement (between 79 and 88%) between imagery and model outputs of parameterizations visually validated. Quantitative validations based on high water marks were also positive, with a Nash–Sutcliffe efficiency of in excess of.6 for all parameterizations relative to a Nash–Sutcliffe efficiency of the benchmark of 0.56. Inverse distance weight modeling offers a simple, accurate method for first-order estimations of riverine flooding in near real-time using readily available data, and outputs are robust to some alterations to input parameters. © 2020, Springer Nature B.V.</t>
  </si>
  <si>
    <t>2-s2.0-85091073118"</t>
  </si>
  <si>
    <t>10.1007/s11069-020-04377-y</t>
  </si>
  <si>
    <t>https://www.scopus.com/inward/record.uri?eid=2-s2.0-85092786113&amp;doi=10.1007%2fs11069-020-04377-y&amp;partnerID=40&amp;md5=16df9ba79f01524acdddabc5c781f7cd</t>
  </si>
  <si>
    <t>Knowledge about extreme water levels is essential for efficient planning and design of coastal infrastructure. This study uses a high-resolution (~ 60 m) coupled advanced circulation + simulating waves nearshore modeling system to estimate extreme water levels in the coastal waters of King Abdullah Economic City (KAEC), Saudi Arabia, located on the central eastern coast of the Red Sea. High spatial (5 km) and temporal (hourly) resolution meteorological fields are generated to drive the model, along with open ocean tides. The characteristics of extreme water levels in the region are subsequently described based on the validated model simulations. The central Red Sea is characterized by a low-tidal regime, and meteorological events contribute significantly to total water levels: meteorological surges cause water level increases of up to 75 cm inside the KAEC lagoon. An extreme value analysis based on annual maxima of hindcast water level data is conducted and the results suggest that the inferred 100-year water levels are about 80 cm inside the KAEC lagoon. It is also shown that projected sea level rise would reduce the average recurrence intervals of extreme water levels along the KAEC coastline. © 2020, Springer Nature B.V.</t>
  </si>
  <si>
    <t>2-s2.0-85092786113"</t>
  </si>
  <si>
    <t>Cogent Economics and Finance</t>
  </si>
  <si>
    <t>10.1080/23322039.2021.1944967</t>
  </si>
  <si>
    <t>https://www.scopus.com/inward/record.uri?eid=2-s2.0-85109418712&amp;doi=10.1080%2f23322039.2021.1944967&amp;partnerID=40&amp;md5=2da92845abdf67b739ec886285ac9fdf</t>
  </si>
  <si>
    <t>Poverty and inequality remain a development challenge for most fishery-dependent households. This has prompted the current interest in the ocean-based economic model as Kenya became the first to host a global conference on the sustainable blue economy which was held in Nairobi in November 2018. To provide a more comprehensive understanding of the challenges surrounding the blue economy approach, we used a fractional response model to analyze drivers of marine fishery dependence. Our case study, involving 384 randomly selected households from Coastal lowlands of Kenya, specifically Kilifi County, revealed that marine fishery is the highest livelihood option exhibiting gender differences. The livelihood participation rates were approximately 68%, 36%, 31%, 25%, and 9% for marine fishery and related activities, agriculture, self-employment (excluding agriculture and marine fishery), wage employment, and remittances respectively. Many livelihood options were pursued independently implying a low level of diversified livelihood strategies in the region. The analysis of the determinants of the marine fishery dependence indicated that education level, agricultural productive assets, access to credit, group membership, security of tenure, flood shock, and fish price shock significantly influenced marine fishery dependence. The study therefore recommends government intervention in marine governance and development programs such as infrastructural development, capital availability and extension services. This will enable the dependent households to diversify to alternative livelihood options and contributes to sustainable marine fishery dependence. © 2021 The Author(s). This open access article is distributed under a Creative Commons Attribution (CC-BY) 4.0 license.</t>
  </si>
  <si>
    <t>2-s2.0-85109418712"</t>
  </si>
  <si>
    <t>10.1007/s11069-020-04327-8</t>
  </si>
  <si>
    <t>https://www.scopus.com/inward/record.uri?eid=2-s2.0-85091521277&amp;doi=10.1007%2fs11069-020-04327-8&amp;partnerID=40&amp;md5=2b77618d4881165bb1c6d07db939882f</t>
  </si>
  <si>
    <t>In recent years, changes in precipitation caused by climate change resulting from global warming lead to great floods in world. This climate change causes drought in some regions, whereas it causes heavy rainfall in some other regions. Investigating the effects of large floods as a result of heavy rains is of great importance. Turkey is among countries affected by climate change as a result of global warming due to its location. Extreme rainfall has caused great floods in country. Although the effect of these floods cannot be phased out completely, it is important to establish flood models to minimize them. Being the third longest river in Turkey, Sakarya river frequently exposes town Geyve in Sakarya Province to floods. The occurrence of these floods can be affected by sudden and severe rainfall, as well as negative interventions made by people living in this region. Therefore, it is very important to model flood that may occur as a result of heavy rains in Geyve district of Sakarya river in study. In order to establish this flood model, first and foremost recurrence flows of 100 and 500 years will be determined, then digital terrain model will be prepared in ArcGIS software, and 1- and 2-dimensional flood dispersion maps will be established with Hec-RAS software. As a result of 1D and 2D flood analysis on Sakarya river, carrying capacity of river was found to be insufficient for flood flow rates Q100 and Q500. This insufficiency exposes local residents, social activities and recreation areas, D650 highway and high-speed railway to floods. © 2020, Springer Nature B.V.</t>
  </si>
  <si>
    <t>2-s2.0-85091521277"</t>
  </si>
  <si>
    <t>10.1080/10095020.2020.1812445</t>
  </si>
  <si>
    <t>https://www.scopus.com/inward/record.uri?eid=2-s2.0-85090938009&amp;doi=10.1080%2f10095020.2020.1812445&amp;partnerID=40&amp;md5=c09c41d082caa2190eb61d0d4eee7e5a</t>
  </si>
  <si>
    <t>Urban waterlogging probability assessment is critical to emergency response and policymaking. Remote Sensing (RS) is a rich and reliable data source for waterlogging monitoring and evaluation through water body extraction derived from the pre- and post-disaster RS images. However, RS images are usually limited to the revisit cycle and cloud cover. To solve this issue, social media data have been considered as another data source which are immune to the weather such as clouds and can reflect the real-time public response for disaster, which leads itself a compensation for RS images. In this paper, we propose a coarse-to-fine waterlogging probability assessment framework based on multisource data including real-time social media data, near real-time RS image and historical geographic information, in which a coarse waterlogging probability map is refined by using the real-time information extracted from social media data to acquire a more accurate waterlogging probability. Firstly, to generate a coarse waterlogging probability map, the historical inundated areas are derived from Digital Elevation Model (DEM) and historical waterlogging points, then the geographic features are extracted from DEM and RS image, which will be input to a Random Forest (RF) classifier to estimate the likelihood of hazards. Secondly, the real-time waterlogging-related information is extracted from social media data, where the Convolutional Neural Network (CNN) model is applied to exploit the semantic information of sentences by capturing the local and position-invariant features using convolution kernel. Finally, fine waterlogging probability map scan be generated based on morphological method, in which real-time waterlogging-related social media data are taken as isolated highlight point and used to refine the coarse waterlogging probability map by a gray dilation pattern considering the distance-decay effect. The 2016 Wuhan waterlogging and 2018 Chengdu waterlogging are taken as case studies to demonstrate the effectiveness of the proposed framework. It can be concluded from the results that by integrating RS image and social media data, more accurate waterlogging probability maps can be generated, which can be further applied for inundated areas identification and disaster monitoring. © 2020 Wuhan University. Published by Informa UK Limited, trading as Taylor &amp; Francis Group.</t>
  </si>
  <si>
    <t>2-s2.0-85090938009"</t>
  </si>
  <si>
    <t>10.1007/s11707-021-0924-7</t>
  </si>
  <si>
    <t>https://www.scopus.com/inward/record.uri?eid=2-s2.0-85120789204&amp;doi=10.1007%2fs11707-021-0924-7&amp;partnerID=40&amp;md5=c16dfc57a690da001d289dd9b09966f3</t>
  </si>
  <si>
    <t>Absence of reliable hydro-climatic information is among the bottlenecks for inadequate and improper management of stormwater runoff in rapidly-urbanizing catchments. This paper explores the influence of catchment heterogeneity in understanding the proneness of urban catchments to stormwater-borne hazards. Using GIS techniques, satellite images, and field surveys, geomorphological features and hydrologic characteristics of the Mbezi River catchment in Dar es Salaam-Tanzania were modeled to understand variations in their influence on flood hazards occurrence throughout the study catchment. The findings reveal that with GIS techniques public, domain Digital Elevation Models (DEMs) can provide preliminary but useful insights to inform stormwater management decisions in cities with limited hydrological data. Specifically, the heterogeneity characterization of the case study catchment indicates that Mbezi River is fern-leaf-shaped: it has a well-drained catchment (drainage density = 1.9 km/km2), with total relief and elongation ratios of 265 m and 0.25, respectively. Results further revealed that the catchment is comprised of many natural sinks (blue spots) that, upon enhancement, can retain about 18 percent of stormwater runoff that could otherwise contribute to downstream runoff challenges. About 68 percent of the major sinks (with potential volume &gt; 2.4 m3) are located along the river flood plain where land is publicly owned. Additionally, more than 11.6 ha of land (as property) and 168 buildings are in areas that were mapped to have large natural sinks and they are at risk to flooding when the sinks get filled. © 2021, Higher Education Press.</t>
  </si>
  <si>
    <t>2-s2.0-85120789204"</t>
  </si>
  <si>
    <t>Round Table</t>
  </si>
  <si>
    <t>10.1080/00358533.2021.1985263</t>
  </si>
  <si>
    <t>https://www.scopus.com/inward/record.uri?eid=2-s2.0-85118946187&amp;doi=10.1080%2f00358533.2021.1985263&amp;partnerID=40&amp;md5=f7a3081e49911209e03445c1f563714f</t>
  </si>
  <si>
    <t>Glaring inequality is a feature of the Commonwealth’s diversity. Most countries of the Commonwealth are developing countries in regions with high exposure to climate change impacts. Its 25 Small Island Developing States and 14 least developed countries face disproportionately high exposure to adverse consequences and face water scarcity brought on by droughts and melting glaciers, floods, destructive tropical storms, storm surges and rising sea levels. The global COVID-19 pandemic has highlighted countries having systemic and interconnected exposure to exogenous threats like climate change. Examining the relationships between income, poverty and carbon inequality within the Commonwealth may offer insights on how stronger cooperation based on the principle of ‘equality in partnership’ could be implemented to mobilise more resources and action to tackle climate change. © 2021 The Round Table Ltd.</t>
  </si>
  <si>
    <t>2-s2.0-85118946187"</t>
  </si>
  <si>
    <t>10.1029/2020WR028616</t>
  </si>
  <si>
    <t>https://www.scopus.com/inward/record.uri?eid=2-s2.0-85099765185&amp;doi=10.1029%2f2020WR028616&amp;partnerID=40&amp;md5=f38764ea9fbc465126c05cf54ef85398</t>
  </si>
  <si>
    <t>Flood risk assessment requires a quantitative understanding of hazards and vulnerability. In the coastal built environment, the human's vulnerability to combined hazards due to the floodwater and winds is an integral component of flood risks. The present study aims to reveal the human vulnerability to storm-induced coastal flooding, focusing on New York City during Hurricane Sandy. We develop a physics-based model to quantify individuals' physical vulnerability, both adults and children, to compound hazards of floodwater and winds. The model accounts for the failure of individuals caused by physical instability due to slipping and toppling. The governing equations consider the balance between the driving and resisting forces and moments applied to an individual concurrently exposed to floodwater and winds. We first calibrate the model using existing measurements in the literature and then implement it to study the vulnerability of New York residents in Manhattan to coastal flooding during Hurricane Sandy. Model results indicate that when combined floodwater and wind hazards were at their highest-level during Sandy, the majority of flooded areas were mainly a hazardous zone for adults and either a failure or drowning zone for children. About 5.4% and 47.4% of the total flooded area became a failure zone, and 19.9% and 42.4% became a drowning zone for adults and children, respectively. We conclude that winds can have a significant impact on the physical instability of individuals. For example, model results for children show that neglecting winds results in a reduction of 97.7% in the area of the failure zone. © 2020. The Authors.</t>
  </si>
  <si>
    <t>2-s2.0-85099765185"</t>
  </si>
  <si>
    <t>10.17645/up.v6i3.4073</t>
  </si>
  <si>
    <t>https://www.scopus.com/inward/record.uri?eid=2-s2.0-85113766289&amp;doi=10.17645%2fup.v6i3.4073&amp;partnerID=40&amp;md5=5e2f12a36f51a890c685c8c45e51d258</t>
  </si>
  <si>
    <t>River flooding and urbanization are processes of different character that take place worldwide. As the latter tends to make the consequences of the former worse, together with the uncertainties related to future climate change and flood‐risk modeling, there is a need to both use existing tools and develop new ones that help the management and planning of urban environments. In this article a prototype tool, based on estimated maximum land cover roughness variation, the slope of the ground, and the quality of the used digital elevation models, and that can produce flood ‘uncertainty zones’ of varying width around modeled flood boundaries, is presented. The concept of uncertainty, which urban planners often fail to consider in the spatial planning process, changes from something very difficult into an advantage in this way. Not only may these uncertainties be easier to understand by the urban planners, but the uncertainties may also function as a communication tool between the planners and other stakeholders. Because flood risk is something that urban planners always need to consider, these uncertainty zones can function both as buffer areas against floods, and as blue‐green designs of significant importance for a variety of ecosystem services. As the Earth is warming and the world is urbanizing at rates and scales unprecedented in history, we believe that new tools for urban resilience planning are not only urgently needed, but also will have a positive impact on urban planning. © 2021 by the authors</t>
  </si>
  <si>
    <t>10.1002/qj.3933</t>
  </si>
  <si>
    <t>https://www.scopus.com/inward/record.uri?eid=2-s2.0-85096809064&amp;doi=10.1002%2fqj.3933&amp;partnerID=40&amp;md5=7ee69e6ebc57434a66faf1944c7e7b51</t>
  </si>
  <si>
    <t>The development and evaluation of ensemble hindcasting and forecasting systems (EHS and EFS, respectively) for storm surges in the Río de la Plata Estuary (RdP) is presented. The models were forced by atmospheric sea level pressure and 10 m winds. The ensemble forcing for the EHS was generated by temporal-spatial shifting of the operational global control ERA5 reanalysis provided by the European Centre of Medium-Range Weather Forecast (ECMWF), because the ERA5 associated ensemble shows too little dispersion in this area. EFS was instead based on a lead time of 4 days and forced with the 50-member high-resolution ensemble prediction system of the ECMWF. EHS was evaluated over a long period (the 2000–2010 decade), whereas EFS was evaluated for the ten most extreme surges that occurred during that period: five positive (which caused coastal flooding) and five negative (which affected navigation and drinking water supply) events. Based on traditional statistics (area under the ROC curve and Brier scores), both systems were assessed from a probabilistic point of view. Results show that both EHS and EFS can incorporate more than 90% of the observations in the uncertainty range. They also showed good skill in hindcasting and forecasting surges, particularly extreme events, EHS being about 20% better than the control model and EFS up to 55% better, in agreement with state-of-the-art models developed for other parts of the world. Results also showed that EFS can predict most of the surge peaks with 95% confidence, with a range of uncertainty of about ±0.90 m and ±9 hr. Therefore, results encourage the implementation of EHS and EFS as useful and robust tools for future climate studies, decision makers and the general public, to improve the quality of risk management decisions by quantifying forecast uncertainty. © 2020 Royal Meteorological Society</t>
  </si>
  <si>
    <t>2-s2.0-85096809064"</t>
  </si>
  <si>
    <t>Cartographica</t>
  </si>
  <si>
    <t>10.3138/cart-2020-0004</t>
  </si>
  <si>
    <t>https://www.scopus.com/inward/record.uri?eid=2-s2.0-85108724083&amp;doi=10.3138%2fcart-2020-0004&amp;partnerID=40&amp;md5=a3ce82cd3cd735631e446a3b273b0ee3</t>
  </si>
  <si>
    <t>Scientists and coastal risk managers use semi-realistic visualizations of storm surge connected to hydrodynamic models to make projected impacts engaging and accessible. Such visualizations do not fit within established frameworks for visualizing risk because they add representational detail and may imply more certainty than exists regarding outcomes. This study explores how audiences regard these visualizations in relation to perceived representational norms for scientific graphics and visualizations. Online survey respondents (735 experts and members of the general public, primarily in Rhode Island and the northeastern United States) were asked about characteristics that make a representation “scientific.” Results demonstrate differences in norms emphasized by experts and the public, and that the persons and institutions creating the visualization may influence perceptions of legitimacy more than the style of the visualization. This may increase the potential of visualizations to be misleading and may foster perceptions that scientists are engaged in advocacy. © University of Toronto Press</t>
  </si>
  <si>
    <t>2-s2.0-85108724083"</t>
  </si>
  <si>
    <t>10.2298/IJGI2103249T</t>
  </si>
  <si>
    <t>https://www.scopus.com/inward/record.uri?eid=2-s2.0-85125863185&amp;doi=10.2298%2fIJGI2103249T&amp;partnerID=40&amp;md5=317c5468dc6a94c50327a955e5e50ad2</t>
  </si>
  <si>
    <t>The focus of this research was to assess the shoreline changes by comparing the satellite data from 1980 to 2020. The study area falls in the region between Kodiakarai and Nagapattinam of the east coast of India, which has frequently been distressed by storm surges and cyclones in the Bay of Bengal. The Digital Shoreline Analysis System (DSAS) detects and measures the erosional and accretional shoreline positions through the statistics of the Shoreline Change Envelope, Net Shoreline Movement, End Point Rate, Linear Regression Rate, and Weighted Linear Regression. The results show that the shoreline from Kodiakkarai to Nagapattinam suffered severe erosion of 17.7% in total with an average annual erosion rate of 3.4 m/year from 1980 to 2020 and the rate of erosion ranged between 0.1 m/year to 19.8 m/year. About 90.5% of the total shoreline was faced high erosion during the period between 2000 and 2010. The maximum erosion was about 1061 m from 2000 to 2010, the maximum accretion was found to be 1002 m in transects at Kodiakkarai during 2010 to 2020. After the effect of 2004 tsunami, the corresponding changes in littoral currents caused the drastic erosion and accretion in this shoreline. The DSAS prediction model shows that 19.3% of the current shoreline will erode in 2030. The maximum predicted erosion is 406 m at Kodiakkarai and the maximum predicted accretion is 148 m at Nagapattinam region. The coastal zone from Kodiakkarai to Nagapattinam needs special attention to prevent the erosion and it is recommended to build suitable coastal protection structures along the coast for sustainable development and to execute the coastal zone management for this region. © 2021, Geographical Institute ""Jovan Cviji"" of the Serbian Academy of Sciences and Arts. All rights reserved.</t>
  </si>
  <si>
    <t>2-s2.0-85125863185"</t>
  </si>
  <si>
    <t>Geological Field Trips and Maps</t>
  </si>
  <si>
    <t>10.3301/GFT.2021.04</t>
  </si>
  <si>
    <t>https://www.scopus.com/inward/record.uri?eid=2-s2.0-85106297563&amp;doi=10.3301%2fGFT.2021.04&amp;partnerID=40&amp;md5=c7564b2b2e153891cbc5e276b8597d08</t>
  </si>
  <si>
    <t>This geological guide presents the description of locations associated with a two-day field trip arranged in relation to the 10th International Congress of Tidal Sedimentology (Tidalites), Matera, Italy. The field guide describes sedimentological features of the largest among a series of tectonically controlled tidal straits that dissected the Calabrian Arc in southern Italy during the Early Pleistocene. The WNW-ESE trending, 50x20 km-wide Siderno Strait connected the Tyrrhenian with the Ionian seas. Due to tidal phase opposition between the two basins, continuous water-mass exchanges occurred through the strait, leading to powerful, bi-directionally flowing tidal currents. Sediments filling the Siderno Strait derived from both fluvial supply from the margins and intra-basinal autochthonous carbonate-factory debris. The main objective of the two-day field trip is to guide the visitor through a cross-section of the ancient strait, starting from one of the margins, ending in the deeper axial zone. The focus during the day one is on strait-margin deltaic fluvial-dominated deposits, shed from the tectonically-controlled, northern border and reworked by tidal currents in their distal reaches (delta front). Erosively-based, 4-5 m-thick pebbly-sandstone strata intercalated with 2-3 m-thick tidally-generated cross strata stack into a ca. 170 m-thick succession, exposed in a series of outcrops progressively located down-current with respect to the inferred entry point to the north. The focus of the day two is a ca. 150-190 m-thick succession consisting of cross-stratified mixed (bioclastic-siliciclastic) deposits, forming a series of WNE-ESE-oriented, elongated ridges that accumulated in the south-eastern axial zone of the Siderno Strait. The selected stops offer panoramic views of exceptionally continuous sections and close-up observations, revealing different scales of depositional architectures and a variety of sedimentary structures and trace fossils that record the development of these tidal sand ridges during the strait lifespan. The interplay between the tectonic uplift of a central bedrock sill and a number of syn-sedimentary faults and high-frequency relative sea-level changes (induced by glacio-eustacy and active tectonics) can be deciphered from the architecture of the tidally-generated cross strata composing the main body of the ridges. © 2021 Societa Geologica Italiana. All right reserved.</t>
  </si>
  <si>
    <t>2-s2.0-85106297563"</t>
  </si>
  <si>
    <t>10.1080/08920753.2021.1967564</t>
  </si>
  <si>
    <t>https://www.scopus.com/inward/record.uri?eid=2-s2.0-85116379583&amp;doi=10.1080%2f08920753.2021.1967564&amp;partnerID=40&amp;md5=e7ab0cb480dc4230a588f23cc5c39b44</t>
  </si>
  <si>
    <t>Salt marshes provide a myriad of critical ecosystem services yet have been threatened by urban expansion, sea level rise, and the armoring of coastal property. This study uses a hedonic property price method to evaluate the effects of salt marshes on residential property values in the Eastern Shore of Virginia. Contrary to findings from the wetland literature, results show an insignificant relationship between proximity to salt marsh and residential property values. In contrast, results show a statistically significant increase in property values with increasing proportions of salt marsh within 250 to 500 meters of the parcel. Furthermore, the increase in value is found to be larger for proportions of preserved relative to non-preserved salt marsh in this proximity of the home. The findings of this study can contribute to understanding the spatial patterns for housing premiums stemming from salt marshes. The information can be used to guide coastal management agencies on how to conserve salt marshes in a way that promotes residential property values. © 2021 Taylor &amp; Francis Group, LLC.</t>
  </si>
  <si>
    <t>2-s2.0-85116379583"</t>
  </si>
  <si>
    <t>10.1080/0734578X.2021.1874769</t>
  </si>
  <si>
    <t>https://www.scopus.com/inward/record.uri?eid=2-s2.0-85100662970&amp;doi=10.1080%2f0734578X.2021.1874769&amp;partnerID=40&amp;md5=b965289b61b7f7758063ff06ae050de8</t>
  </si>
  <si>
    <t>Coastal low-lying archaeological sites are known to be at risk due to sea-level rise associated with climate change. However, not all of the potential impacts of sea-level rise on these sites have been documented. In this interdisciplinary study we set out to document the effects of rising groundwater tables induced by rising sea level on middens located on barrier islands in southeastern Florida. After excavating two sites, we collected sediment samples that were analyzed for grain size and moisture content. We found that even though these sites are not yet submerged below the groundwater table significant increases in moisture content indicate a subterranean source of the moisture, most likely the capillary fringe above the water table. Increased moisture content of the sediment in which the artifacts are entrained can increase artifact deterioration. Therefore, current and future groundwater water table elevations should be considered when prioritizing sites for excavation and preservation. © Southeastern Archaeological Conference 2021.</t>
  </si>
  <si>
    <t>2-s2.0-85100662970"</t>
  </si>
  <si>
    <t>10.1108/IJCCSM-06-2021-0058</t>
  </si>
  <si>
    <t>https://www.scopus.com/inward/record.uri?eid=2-s2.0-85114046095&amp;doi=10.1108%2fIJCCSM-06-2021-0058&amp;partnerID=40&amp;md5=25d5bb85a64b4d5e0eba9f5a3c5026b0</t>
  </si>
  <si>
    <t>Purpose: Quantitative and spatial-explicit flood risk information is of great importance for strengthening climate change adaptation and flood resilience. Shanghai is a coastal megacity at large estuary delta with rising flood risks. This study aims to quantify the overall economic-societal risks of storm flooding and their spatial patterns in Shanghai. Design/methodology/approach: Based on multiple storm flood scenarios at different return periods, as well as fine-scale data sets including gridded GDP, gridded population and vector land-use, a probabilistic risk model incorporating geographic information system is used to assess the economic-societal risks of flooding and their spatial distributions. Findings: Our results show that, from 1/200 to 1/5,000-year floods, the exposed assets will increase from USD 85.4bn to USD 657.6bn, and the direct economic losses will increase from USD 3.06bn to USD 52bn. The expected annual damage (EAD) of assets is around USD 84.36m. Hotpots of EAD are mainly distributed in the city center, the depressions along the upper Huangpu River in the southwest, the north coast of Hangzhou Bay, and the confluence of the Huangpu River and Yangtze River in the northeast. From 1/200 to 1/5,000-year floods, the exposed population will rise from 280 thousand to 2,420 thousand, and the estimated casualties will rise from 299 to 1,045. The expected annual casualties (EAC) are around 2.28. Hotspots of casualties are generally consistent with those of EAD. Originality/value: In contrast to previous studies that focus on a single flood scenario or a particular type of flood exposure/risk in Shanghai, the findings contribute to an understanding of overall flood risks and their spatial patterns, which have significant implications for cost-benefit analysis of flood resilience strategies. © 2021, Jin Tang, Weijiang Li, Jiayi Fang, Zhonghao Zhang, Shiqiang Du, Yanjuan Wu and Jiahong Wen.</t>
  </si>
  <si>
    <t>2-s2.0-85114046095"</t>
  </si>
  <si>
    <t>10.1007/s11069-020-04112-7</t>
  </si>
  <si>
    <t>https://www.scopus.com/inward/record.uri?eid=2-s2.0-85086718722&amp;doi=10.1007%2fs11069-020-04112-7&amp;partnerID=40&amp;md5=3d2d5e8564dce6f3402f9eb2e32d9095</t>
  </si>
  <si>
    <t>Typhoon Lionrock, also known as the national number 1610 in Japan, caused severe flooding in east Japan in August 28–31, 2016, leaving a death toll of 22. With a maximum sustained wind speed of ~ 220 km/h from the Joint Typhoon Warning Center’s best track, Lionrock was classified as a category 4 hurricane in Saffir–Simpson Hurricane Wind Scale and as a typhoon in Japan Meteorological Agency’s scale. Lionrock was among unique typhoons as it started its landfall from north of Japan. Here, we studied the characteristics of this typhoon through tide gauge data analysis, field surveys and numerical modeling. Tide gauge analysis showed that the surges generated by Lionrock were in the ranges of 15–55 cm with surge duration of 0.8–3.1 days. Our field surveys revealed that the damage to coastal communities/structures was moderate although it caused severe flooding inland. We measured a maximum coastal wave runup of 4.3 m in Iwaisaki. Such a runup was smaller than that generated by other category 4 typhoons hitting Japan in the past. Our numerical model was able to reproduce the storm surge generated by the 2016 Typhoon Lionrock. This validated numerical model can be used in the future for typhoon-hazard studies along the coast of northeastern Japan. Despite relatively small surge/wave runups in coastal areas, Lionrock’s death toll was more than that of some other category 4 typhoons. We attribute this to various primary (e.g., flooding, surges, waves, strong winds) and secondary (e.g., landslides, coastal erosions, debris flows, wind-blown debris) mechanisms and their combinations and interactions that contribute to damage/death during a typhoon event. © 2020, The Author(s).</t>
  </si>
  <si>
    <t>2-s2.0-85086718722"</t>
  </si>
  <si>
    <t>Ecocycles</t>
  </si>
  <si>
    <t>10.19040/ECOCYCLES.V7I1.191</t>
  </si>
  <si>
    <t>https://www.scopus.com/inward/record.uri?eid=2-s2.0-85115958282&amp;doi=10.19040%2fECOCYCLES.V7I1.191&amp;partnerID=40&amp;md5=cc25ce457be28345b36a9dc6451c852c</t>
  </si>
  <si>
    <t>Cities around the world are at risk of pluvial and fluvial flooding, due to more frequent extreme weather events and uncontrolled urbanisation. Coastal cities are additionally at risk from tidal flooding and sea level rise. Hard surface infrastructure leads to rapid storm-water run off overwhelming conventional drainage systems at peak times. This article examines what constitutes infrastructure in the 21st century and what should its new priorities be? A case study is made of Jakarta, a low lying delta city, where the consequences of unregulated economic development are starting to be addressed. The lack of a city based water supply has led to excessive ground water extraction and the sinking of the city further exacerbating flood risk. City wide flooding has occurred three times in the last 15 years. Water needs to be considered as a primary element in infrastructure strategy and space found for natural systems and active travel. In Jakarta the role of the kampungs (informal settlements) provides an opportunity to address social and environmental difficulties at the same time. This interdisciplinary overview analyses recent infrastructure initiatives and developments and asks what more can be done and what new planning policies and concepts may be required. © 2021 The Author(s).</t>
  </si>
  <si>
    <t>2-s2.0-85115958282"</t>
  </si>
  <si>
    <t>Statistics and its Interface</t>
  </si>
  <si>
    <t>10.4310/20-SII630</t>
  </si>
  <si>
    <t>https://www.scopus.com/inward/record.uri?eid=2-s2.0-85101575531&amp;doi=10.4310%2f20-SII630&amp;partnerID=40&amp;md5=2f80dd869cddc5207a213d03d50152bf</t>
  </si>
  <si>
    <t>For climate studies in agriculture, rainfall records often involve data which contain zeros and highly non-zero skew-ness. This is mostly used in models for prediction or that use the mean for approximation. Rainfall dispersion is also important in evaluations as it can vary enormously, and it is a natural phenomenon which can lead to drought or flood. Herein, the goal of this paper is to propose a variational approximation computed with interval estimator based on Bayesian approach for delta-lognormal variance consisting of the highest posterior density interval based on vague prior (HPD-V) and the method of variance estimates recovery (MOVER). By way of comparison, the performances of these intervals were evaluated in terms of coverage probability and relative average length via a Monte Carlo simulation. The numerical results show that HPD-V was much more likely to outperform the other methods in many situations even large variance, although MOVER became the recommended method when both of variance and the probability of having zero were small. Our methods were then be utilized to analyze the variability in Nan province’s daily rainfall dataset in a comparison with the other methods. © 2021. All Rights Reserved.</t>
  </si>
  <si>
    <t>2-s2.0-85101575531"</t>
  </si>
  <si>
    <t>10.1080/17445647.2020.1866698</t>
  </si>
  <si>
    <t>https://www.scopus.com/inward/record.uri?eid=2-s2.0-85099870829&amp;doi=10.1080%2f17445647.2020.1866698&amp;partnerID=40&amp;md5=78e04c3f82ae1a482f64f6f27dd33776</t>
  </si>
  <si>
    <t>Using ALS LIDAR DEM and OpenStreetMap data we visualise in ArcGIS the geomorphic features of a large, lowland river which flows through the area impacted by urbanisation of a big city–the capital of Poland. We present on one map the main geomorphological surfaces and their exact boundaries: valley edge, terrace front and floodplain juxtaposed with buildings and the main transportation corridors. We identify convex aeolian and fluvial landforms: dunes, levees, sandy lobes including crevasse splays, ridges between swales, sandy bars, islands</t>
  </si>
  <si>
    <t>10.1080/17477891.2020.1834345</t>
  </si>
  <si>
    <t>https://www.scopus.com/inward/record.uri?eid=2-s2.0-85092777415&amp;doi=10.1080%2f17477891.2020.1834345&amp;partnerID=40&amp;md5=3f751b5ec05806f9be55101168ebcc5c</t>
  </si>
  <si>
    <t>Socioeconomic characteristics are commonly used as indicators of vulnerability and resilience to inform disaster risk planning and management. Vancouver is a coastal seaport city along the west coast of Canada and is exposed to risk from the impacts of flooding. Previous studies have assessed and modelled a city's resilience to environmental hazards based on socioeconomic status derived from census data, such as income status, family structure, and dwelling conditions. However, these data sources are aggregated into different census units of varying scale, such as Census Tracts (CT) and Dissemination Areas (DA). Spatial analysis of the same data using different aggregation units manifests in the Modifiable Areal Unit Problem (MAUP), where varying scale can produce different results and conclusions. This exploratory analysis of the MAUP demonstrates that social resilience to flooding hazards in Vancouver at the CT and DA census scales can have contradictory results depending on the census scale adopted. The effect of scale and the aggregation units at which spatial analysis occurs can have a significant impact on the conclusions imparted and decision making to identify priority areas. Since individual-level disaggregate data is unavailable, the analytical results based solely on aggregate data should be interpreted with caution. © 2020 Informa UK Limited, trading as Taylor &amp; Francis Group.</t>
  </si>
  <si>
    <t>2-s2.0-85092777415"</t>
  </si>
  <si>
    <t>Australasian Journal of Environmental Management</t>
  </si>
  <si>
    <t>10.1080/14486563.2021.1919232</t>
  </si>
  <si>
    <t>https://www.scopus.com/inward/record.uri?eid=2-s2.0-85105368119&amp;doi=10.1080%2f14486563.2021.1919232&amp;partnerID=40&amp;md5=0b03f3ebc8ce6a99abedff2f50f69ed6</t>
  </si>
  <si>
    <t>Determining social values for protecting coastal assets, including coastal parks, beaches and foreshores, is important because of potential losses with climate change impacts. In a case study application in Victoria, Australia, the travel cost method was applied to value the use of camping parks by visitors, and the choice modelling technique was applied to estimate willingness to pay (WTP) of visitors and residents to avoid future losses in foreshore campground access and beach width, through protection and adaptation efforts. While both visitors and residents had similar values for park and campsite, and beach protection, residents valued beach protection as more important whereas visitors placed greater importance in protecting parks and campsites. Visitor values were higher for sites and beaches closer to metropolitan Melbourne. These results provide government agencies and coastal managers with better information about protection values for low lying coastal assets and will enable more informed decisions to be made about investing in coastal protection and the management of specific resources in the face of sea level rise and climate threats. © 2021 Environment Institute of Australia and New Zealand Inc.</t>
  </si>
  <si>
    <t>2-s2.0-85105368119"</t>
  </si>
  <si>
    <t>10.1080/14693062.2020.1819766</t>
  </si>
  <si>
    <t>https://www.scopus.com/inward/record.uri?eid=2-s2.0-85091879832&amp;doi=10.1080%2f14693062.2020.1819766&amp;partnerID=40&amp;md5=c48801378523a1caa5972b45f50875e6</t>
  </si>
  <si>
    <t>Climate change increases hazards for coastal cities where a large proportion of the world’s population lives. Adaptation to its impacts ought to be a key focus for planning and policymaking in highly vulnerable countries like Australia. This responsibility, however, has been largely left to local councils with mixed results. This leaves substantial parts of the population at risk where adaptation plans are lacking. Even worse, since the impacts of climate change do not respect jurisdictional boundaries, there is a spill-over risk where good adaptation planning by one council may be undermined by the lack of action in an adjacent council. These risks can be reduced if state and federal governments provide more consistent support and guidance. This paper takes an integrated approach in comparing the relevant legislation, policies, plans, and strategies related to coastal management across the national and state/territory jurisdictions in Australia. The findings indicate that there are major differences, with some states (South Australia, Victoria, Western Australia, and Queensland) having more detailed policies and plans for addressing sea level rise and coastal flooding. The findings have implications beyond Australia, particularly for those countries with more devolved or federal systems of government, and provide key lessons for adaptation to climate change. Key policy insights In the absence of national guidance and leadership, climate adaptation responses will remain uneven across jurisdictions placing more of the population at risk and undermining what adaptation plans there are. National, state, and territory policies or plans are more effective if they are consistent over time, but they are undermined by reversals when governments change between political parties that have widely varying views on climate change. Effective long-term adaptation policymaking and planning therefore require a bipartisan commitment and consistent political will across the major political parties to prioritize the problem and commit significant public resources to a response. © 2020 Informa UK Limited, trading as Taylor &amp; Francis Group.</t>
  </si>
  <si>
    <t>2-s2.0-85091879832"</t>
  </si>
  <si>
    <t>10.1109/JSTARS.2021.3095178</t>
  </si>
  <si>
    <t>https://www.scopus.com/inward/record.uri?eid=2-s2.0-85112006209&amp;doi=10.1109%2fJSTARS.2021.3095178&amp;partnerID=40&amp;md5=b0ca3f4e31d37362b730ba8be6de99a9</t>
  </si>
  <si>
    <t>The global digital elevation model (DEM) produced by the TanDEM-X (TerraSAR-X add-on for digital elevation measurements) mission is an interferometric elevation model with unprecedented quality, accuracy, and coverage. It represents an unedited surface model as artifacts inherent to the interferometric synthetic aperture radar acquisition and processing technique are still present. The most prominent artifacts in the DEM are water bodies appearing with a rough surface due to low coherence. Additionally, outliers, voids, and larger data gaps may be present in this dataset. Therefore, DEM editing is crucial for many applications including hydrology or orthorectification of remote sensing data. Depending on the field of application, different techniques of quality enhancement are required. This article provides a comprehensive description of a semi-automatic framework specially developed for generating an edited version of the TanDEM-X dataset by shaping the high-resolution 12 m DEM with focus on water areas, outlier handling, and void filling. The default configuration parameters of the workflow can thereby be adapted interactively for challenging areas where appropriate. A quality assessment of the resulting edited DEM was done by statistical measures, visual methods, as well as by an artifact evaluation.  © 2008-2012 IEEE.</t>
  </si>
  <si>
    <t>2-s2.0-85112006209"</t>
  </si>
  <si>
    <t>Review of International Geographical Education Online</t>
  </si>
  <si>
    <t>10.48047/rigeo.11/5/28</t>
  </si>
  <si>
    <t>https://www.scopus.com/inward/record.uri?eid=2-s2.0-85117244694&amp;doi=10.48047%2frigeo.11%2f5%2f28&amp;partnerID=40&amp;md5=712e14dbd0ec02cc29063ad82aaa2620</t>
  </si>
  <si>
    <t>Mangroves have an important role for the sustainability of marine resources. Mangrove ecosystems are habitat for marine organisms and protect the coastline from sea water abrasion. Mangrove resource management aims to maintain the sustainability of the mangrove ecosystem. Mangrove resource management requires good collaboration between the government as policy maker and the communities as resource users. This article discusses collaboration of government policies and the Marind tribe communities on mangrove resources management in the Payum Coastal area of Merauke Regency in Papua. Based on information obtained through in-depth interviews with 20 respondents conducted in November 2019, this article shows that the Merauke government, in this case the Environmental Agency, started a program to plant mangroves in the Payum Coastal since 2015. Because the Payum coastal area, which is directly opposite the Arafura Sea, is regularly flooded when the tide rises to residential areas during the rainy season, so the Marind communities in the Payum Coastal also conduct planting of mangrove seeds independently. Before the government's involvement in the mangrove planting initiatives, the participation of the communities in planting mangrove seedlings was quite small, only around 30 people. Since the existence of a government policy through the Environmental Agency, which provides financial assistance in the form of wages for planting mangrove seeds for IDR 2.500 per seed, community participation increased to 272 people divided into 68 families. This increase is considered quite drastic because it reaches an increase of 906%. The increase in community participation occurs because of the value of wages, which according to the community, is very helpful for the household economy. If averaged, each family will receive an income of IDR 2.672.794 with an estimate of planting 1,033 mangrove seedlings per family. This also has a positive impact on mangrove preservation. If previously only about 7,500 mangrove seedlings were able to be planted independently, then after government program assistance, the number of mangrove seedlings planted reached 72,700 mangrove seeds every year, or a significant increase of 969%. Therefore, it can be concluded that the collaboration of government policies and the Marind tribe communities has a positive impact on mangrove management and also improves the economy of the Marind people who live in the Payum Coastal. © 2021. RIGEO. All Rights Reserved.</t>
  </si>
  <si>
    <t>2-s2.0-85117244694"</t>
  </si>
  <si>
    <t>10.1016/j.ijdrr.2020.101956</t>
  </si>
  <si>
    <t>https://www.scopus.com/inward/record.uri?eid=2-s2.0-85097471331&amp;doi=10.1016%2fj.ijdrr.2020.101956&amp;partnerID=40&amp;md5=648efadcadab6bf880cb3b0b18f84e65</t>
  </si>
  <si>
    <t>Wetlands are severely endangered ecosystems worldwide. They provide important services, like water supply, recreation opportunities, flood and climate regulation. Still, they are also considered as disruptive areas, a source of mosquitoes and diseases, which is why they are frequently destroyed by changes in land use. Their degradation is likely to advance from this time forth due to climate change processes. It is, therefore, important to examine how the local population understands the importance of wetlands in coping with different coastal risks in West Sardinia. Our study is focused on West Sardinia (municipalities Cabras, Oristano and Arborea), counting for remarkable biodiversity of wetlands. This area is characterized by high environmental and agricultural pressures which intensify the vulnerability of the coastal areas. To test for local population's preparedness to change, data collection was performed through field methods and questionnaires. The study was undertaken by asking key questions on the role of wetlands and willingness to pay to protect from future events (contingent valuation exercise). The results indicate that the locals do not seem to be aware of the regulating services provided by wetlands, but are willing to invest in order to mitigate climate change-related hazards. The obtained results could serve in future governance frameworks for the mitigation of natural hazards in the Mediterranean region and wider. © 2020 Elsevier Ltd</t>
  </si>
  <si>
    <t>2-s2.0-85097471331"</t>
  </si>
  <si>
    <t>10.1080/01916122.2020.1817168</t>
  </si>
  <si>
    <t>https://www.scopus.com/inward/record.uri?eid=2-s2.0-85092309985&amp;doi=10.1080%2f01916122.2020.1817168&amp;partnerID=40&amp;md5=ad5200d41bf86f71439123395df2cf4f</t>
  </si>
  <si>
    <t>The palynoflora and organic petrography of core samples from the Tyler Formation in the Williston Basin, North Dakota, USA were evaluated to determine their age and depositional environment. The palynofloras are assigned to seven plant groups used by previous authors who studied Carboniferous floras. Lycopsid trees, represented by Lycospora species and Crassispora kosankei are the most abundant and well-preserved miospores recorded. Palynomorphs representing small lycopsids, calamites, cordaites, and conifers, comprise a relatively minor part of the palynoflora. The petrographic component from seven coeval coal samples contain moderate to high mineral content and macerals which are dominated by vitrinite (woody components) and to a lesser extent inertinite and liptinite (lipid-rich plant material). Common vitrinite macerals include collotelinite and collodetrinite, and semifusinite and minor fusinite representing inertinite macerals. The palynofloras are of Early Pennsylvanian age, based on the presence of the age-significant fossils Schulzospora rara and Cirratriradites saturnii together with abundant Lycospora spp. The palynoflora and petrographic data suggest that the Tyler Formation in this location was deposited in a fluvially-dominated delta with some tidal influence. Wet, stagnant anoxic environments (coal swamps) were frequently flooded with clastic material from a fluvial source. Macerals, especially inertinite, imply periods of subaerial exposure, fire, or highly oxygenated waters, and liptinite (lipid-rich plant material), suggests periodic drowning of the coal swamp and formation of shallow lacustrine paleoenvironments. © 2020 AASP–The Palynological Society.</t>
  </si>
  <si>
    <t>2-s2.0-85092309985"</t>
  </si>
  <si>
    <t>Revista de Geomorfologie</t>
  </si>
  <si>
    <t>10.21094/rg.2021.141</t>
  </si>
  <si>
    <t>https://www.scopus.com/inward/record.uri?eid=2-s2.0-85125485238&amp;doi=10.21094%2frg.2021.141&amp;partnerID=40&amp;md5=15f293971d7c8a19aaa9bdadb444ab53</t>
  </si>
  <si>
    <t>The present paper synthesizes the evolution of fluvial systems tributary to the Black Sea (within 25 – 8 ka BP time frame) by reviewing the existing paleoclimate, hydro-geomorphology, sedimentology, and Late Quaternary chronology. These studies are unevenly distributed throughout the Black Sea (BS) drainage basin and were used to decipher the river response to climatic, eustatic, tectonically induced or vegetation cover changes. The river response was sensitive overall and is visible particularly in terms of the channel planform. The alternation of cold and warm climate phases has controlled to a significant degree the water and sediment inputs along the drainage networks, such that river channels planforms shifted from the braided type to the anastomosed type (with various transitional phases, either wandering or anastomosed), and from macro-meanders to small scale meanders. The climatic model of fluvial evolution was altered by the other controlling factors specific to the large BS drainage basin, including tectonics (in the Pannonian Plain, Western Plain of Romania, Lower Siret Plain), the proximity to coarse-grained sediment sources (typical for medium-sized Carpathian tributaries), the obstruction exerted by glacial sediments generated by the ice cap retreat (as illustrated on the Upper Dnieper), eustatic oscillations (detected on the Danube or Sakarya River). The sea-level drop by more than 100 m during the Last Glacial Maximum resulted in the conversion of ca. 30% of the present sea surface to dry land (mostly on the NW continental shelf)</t>
  </si>
  <si>
    <t>10.1007/s11069-020-04347-4</t>
  </si>
  <si>
    <t>https://www.scopus.com/inward/record.uri?eid=2-s2.0-85093966827&amp;doi=10.1007%2fs11069-020-04347-4&amp;partnerID=40&amp;md5=f8e4dd6949587e1a8aa75d6488f4cb14</t>
  </si>
  <si>
    <t>Thailand’s low-lying capital city Bangkok is a dense metropolis, one of Asia’s rapidly growing ‘megacities’, and home to over 10 million residents. Bangkok’s location on the sinking Chao Phraya Delta means it has a high susceptibility to river flooding. However, the possible contribution of marine incursion to river flooding is not as widely recognised and needs further consideration. We therefore re-examine the historically documented floods in AD 1785 and 1983. Available evidence suggests that the superposition of different flood behaviours was important during both events. Attention is drawn to the evidence for, and contributory roles played by, astronomical spring tides, meteorological tides, storm waves and possibly storm surge. These marine effects can exacerbate river floods caused by seasonal peak flows in the tidal lower Chao Phraya River during the early north-east monsoon. For future management of flood risk, it is therefore necessary to recognise that Bangkok has a compound flood-risk profile that includes both hydrometeorological and marine influences. The significance of marine influences on Bangkok’s flood risk is likely to increase in future with continuing eustatic sea-level rise and subsidence of the Chao Phraya Delta. © 2020, Springer Nature B.V.</t>
  </si>
  <si>
    <t>2-s2.0-85093966827"</t>
  </si>
  <si>
    <t>10.1080/01431161.2020.1823514</t>
  </si>
  <si>
    <t>https://www.scopus.com/inward/record.uri?eid=2-s2.0-85097133018&amp;doi=10.1080%2f01431161.2020.1823514&amp;partnerID=40&amp;md5=6086862933162b8198c06314303c986c</t>
  </si>
  <si>
    <t>Flood extent mapping plays a crucial role in disaster management and national water forecasting. In recent years, high-resolution optical imagery becomes increasingly available with the deployment of numerous small satellites and drones. However, analysing such imagery data to extract flood extent poses unique challenges due to the rich noise and shadows, obstacles (e.g. tree canopies, clouds), and spectral confusion between pixel classes (flood, dry) due to spatial heterogeneity. Existing machine-learning techniques often focus on spectral and spatial features from raster images without fully incorporating the geographic terrain within classification models. In contrast, we recently proposed a novel machine-learning model called geographical hidden Markov tree (HMT) that integrates spectral features of pixels and topographic constraint from Digital Elevation Model (DEM) data (i.e. water flow directions) in a holistic manner. This paper evaluates the model through case studies on high-resolution aerial imagery from National Oceanic and Atmospheric Administration (NOAA) National Geodetic Survey (NGS) together with DEM. Three scenes are selected in heavily vegetated floodplains near the cities of Grimesland and Kinston in North Carolina during Hurricane Matthew floods in 2016. Results show that the proposed HMT model outperforms several state of the art machine-learning algorithms (e.g. random forests, gradient-boosted model) by an improvement of F-score (the harmonic mean of the user’s accuracy and producer’s accuracy) from around 70% to 80% to over 95% on our datasets. © 2020 Informa UK Limited, trading as Taylor &amp; Francis Group.</t>
  </si>
  <si>
    <t>2-s2.0-85097133018"</t>
  </si>
  <si>
    <t>Italian Journal of Engineering Geology and Environment</t>
  </si>
  <si>
    <t>10.4408/IJEGE.2021-01.O-04</t>
  </si>
  <si>
    <t>https://www.scopus.com/inward/record.uri?eid=2-s2.0-85125545627&amp;doi=10.4408%2fIJEGE.2021-01.O-04&amp;partnerID=40&amp;md5=82f7f0612acceaace79c409dfdace672</t>
  </si>
  <si>
    <t>The work reported in this paper is part of a European Union project called ASTERIS and co-funded by the Interreg Italy-Croatia Cross-Border Cooperation Programme. The paper summarises the expected environmental changes resulting from North Adriatic sea level rise due to climate change, and the findings of a risk analysis of saltwater intrusion in coastal aquifers, at both regional and local scale.Starting from this scenario, and through a review of best practices, we set up an adaption plan with a view to mitigating the environmental and socio-economic damage due to the expected increase in salinisation along the coastal aquifers in the municipality of Fano (Pesaro province, Marche region, Italy). The municipal adaptation plan identifies the actions to be taken for sustainable use of groundwater, i.e. maintaining freshwater baseflow towards the sea, relocating the pumping systems to lower the interface zone, and creating barriers to saltwater ingression. The suggested adaptation measures were spatially distributed on the basis of the hydrogeological effects expected in the different zones of the coastal aquifer. These measures involve different groups of stakeholders playing key roles in the use of groundwater resources: owners of domestic wells, industrial and commercial water users depending on groundwater resources, managers of integrated water systems, urban planners, farmers, and tourist operators. Particular emphasis was placed on surface water bodies inside the town, which are in direct connection with seawater and exposed to salt wedge seepage during summers. Monitoring transects and threshold values were established in selected test sites. With regard to the progression of the saltwater intrusion process in future decades, “dynamic updating” of the adaptation plan, supported by field observations, appeared to be the most suitable method. © Sapienza Università Editrice.</t>
  </si>
  <si>
    <t>2-s2.0-85125545627"</t>
  </si>
  <si>
    <t>10.1080/19475705.2021.1955755</t>
  </si>
  <si>
    <t>https://www.scopus.com/inward/record.uri?eid=2-s2.0-85111472408&amp;doi=10.1080%2f19475705.2021.1955755&amp;partnerID=40&amp;md5=0d0802ec705e8b0f79d5a2154c630b6a</t>
  </si>
  <si>
    <t>Severe flood events in the trans-boundary Shatt Al-Arab basin (Iraq-Iran) claim hundreds of human lives and cause damage to the economy and environment. Therefore, developing a flood hazard model to recognize the basin’s susceptible areas to flooding is important for decision makers for comprehensive flood risk management. The flood hazard map was prepared using geographical information systems (GIS) and multi-criteria decision analysis (MCDA) along with the application of analytical hierarchy process (AHP) method to identify the optimal selection of weights for the factors that contribute to flood risk. The flooding causative factors used in this study were rainfall, distance to the river, digital elevation model (DEM), slope, land use/land cover (LULC), drainage density, soils, and lithology. The derived flood hazard map consisted of four distinct categories (zones). These zones that depict high, intermediate, low, and very low flood hazard cover around 20%, 40%, 39%, and 2% of the basin area, respectively. The produced flood hazard map was further verified using a historical flood event in the study area. The results were found to be consistent with the historical data of flood events, revealing the model’s effectiveness in the realistic representation of flood hazard mapping. © 2021 The Author(s). Published by Informa UK Limited, trading as Taylor &amp; Francis Group.</t>
  </si>
  <si>
    <t>2-s2.0-85111472408"</t>
  </si>
  <si>
    <t>10.17645/up.v6i4.4536</t>
  </si>
  <si>
    <t>https://www.scopus.com/inward/record.uri?eid=2-s2.0-85121153759&amp;doi=10.17645%2fup.v6i4.4536&amp;partnerID=40&amp;md5=4f1073bf37d7a93fc3456247283cfab8</t>
  </si>
  <si>
    <t>People who reside in informal settlements in the Global South are most vulnerable to extreme weather events and their consequences, such as flooding, landslides, and fires. Those located in coastal areas face severe challenges from seasonal and typhoon‐induced flooding. Research shows that uncertain land rights exacerbate community vulnerability because residents are under constant threat of eviction by private sector actors or the state. Individual and community upgrading is rarely possible in such a situation. This article focuses on the efforts to secure tenure and upgrade their community by the residents of Sitio Libis, located in Canumay East, City of Valenzuela, Philippines. The study demonstrates that while community‐based approaches require skills and capacities of community members, enabling conditions created by government and/or NGOs are required for transformational outcomes. While the people of Sitio Libis did not conceptualize their efforts in terms of climate change adaptation, their success suggests the possibility for smart partnerships among state‐civil society/private sector actors to emerge in support of small‐scale climate action. © 2021 by the author</t>
  </si>
  <si>
    <t>10.1016/j.crm.2021.100348</t>
  </si>
  <si>
    <t>https://www.scopus.com/inward/record.uri?eid=2-s2.0-85112144985&amp;doi=10.1016%2fj.crm.2021.100348&amp;partnerID=40&amp;md5=87d0619ba5932ecbaca939c8d6e7274b</t>
  </si>
  <si>
    <t>The low elevation coastal zone (LECZ) in the Yangtze River Delta (YRD) is a critical and highly sensitive area to climate change and sea level rise (SLR). Population is a key element in disaster risk management and climate change adaptation. Employing a variety of datasets including gridded population data, DEM data, sea-level extremes data, and urban boundary data, this study explores the spatiotemporal patterns and dynamics of population in the LECZ of YRD, and estimates the population exposure to inundation in the context of SLR over 1990–2100. Our results show that: (1) the population in the LECZ in 2015 approximates 104 million, with an increase of 29.3 million (39.2%) over 1990. There shows a trend of remarkable population growth in areas close to the coastline (less than 40 km from the coastline) and in areas at lower altitudes (below 4 m above sea level). Meanwhile, driven by rapid urbanization, population in the LECZ concentrates steadily in urban areas with increasing spatial polarization and heterogeneity. (2) In 2020–2100, the projected population in the LECZ of YRD will experience a rise followed by a fall. Under shared socioeconomic pathways (SSPs) with various factors of fertility, mortality, migration and urbanization levels, population will rise gradually from 2020 to 2040 with a peak of near 132 million (SSP5), and then fall remarkably until 2100. (3) Overlaying the SLR with representative concentration pathways (RCPs), the exposed population to inundation will reach 86 million (RCP4.5-SSP2) and 100 million (RCP8.5-SSP5) by 2050, an increase of 13.5% and 32.2% over 2015, respectively. The exposed population will then decrease to 55 million (RCP4.5-SSP2) and 63 million (RCP8.5-SSP5) by 2100, slightly lower than those in 2015. In contrast to population growth, the contribution of SLR to population exposure will steadily increase. (4) Long-term trend of population exposure to SLR will pose considerable challenges to the regional development and planning. Different adaptation efforts should be taken in urban and rural settlements to avoid exacerbating impacts induced by SLR. © 2021 The Author(s)</t>
  </si>
  <si>
    <t>2-s2.0-85112144985"</t>
  </si>
  <si>
    <t>10.1016/j.crm.2021.100305</t>
  </si>
  <si>
    <t>https://www.scopus.com/inward/record.uri?eid=2-s2.0-85103783680&amp;doi=10.1016%2fj.crm.2021.100305&amp;partnerID=40&amp;md5=d317a748fb23583125d27f67d4df8325</t>
  </si>
  <si>
    <t>Recent studies show climate-induced sea-level rise (SLR) will accelerate storm surge impacts in many coastal areas around the world. The decision-making of building-level adaptation strategies is a challenging task due to uncertain climate impacts. This study evaluates building-level adaptation strategies through a dynamic programming-based cost-benefit analysis approach to incorporate the latest information of SLR in adaptation decision-making. The adaptation outcomes are estimated by applying a Monte-Carlo method with stochastic flood damage of buildings under four SLR projections. Based on a case study in Bay County, Florida (USA), results indicate that single-family and multi-family buildings are the most vulnerable buildings in Bay County. Mobile homes have a lower flood risk, while they are more sensitive to SLR. The long-term flood damage shows SLR could exponentially increase the average annual flood damage in the community from $17.7 million to $204 million. Investing in adaptive measures can substantially mitigate building-level flood risk, where the adapted average annual damage ranges from $9.57 million to $38.2 million in the county. The proposed adaptation method could facilitate more effective risk communications between the public and private sectors and improvise community adaptation planning under uncertain SLR. © 2021 The Author(s)</t>
  </si>
  <si>
    <t>2-s2.0-85103783680"</t>
  </si>
  <si>
    <t>10.1080/19475705.2021.1899060</t>
  </si>
  <si>
    <t>https://www.scopus.com/inward/record.uri?eid=2-s2.0-85103158272&amp;doi=10.1080%2f19475705.2021.1899060&amp;partnerID=40&amp;md5=83facf7d6ed588340e0529756933af80</t>
  </si>
  <si>
    <t>A risk assessment for storm surge disasters can provide scientific support for coastal management as well as marine disaster prevention and mitigation. By taking the Wenchang City of Hainan Province as a pilot area, a risk assessment approach for typhoon-induced storm surge disasters is introduced in detail in this article. First, a numerical simulation system for storm surge inundation is developed, which is applied for the simulation and calculation of the probable maximum storm surge in Wenchang, and the obtained inundation areas and depths are used to assess the storm surge hazard. Then, the data of land use and disaster-bearing bodies are used to classify and assess the vulnerability of Wenchang. Finally, by taking the community as unit, the risk assessment for typhoon-induced storm surge affecting Wenchang is performed by combining the assessment results of both hazard and vulnerability, thereby obtaining a level map of risk distribution. The results show that there are risks of typhoon-induced storm surge in most of the coastal areas of Wenchang, especially for its northeast and east coastal areas, where the risks reach Levels I–II. This approach can be conveniently applied to risk assessments of storm surge in other coastal areas. Note that this approach focuses on the current risk of typhoon-induced storm surge in coastal areas, and further studies will be conducted on the assessment methods for the potential risk. © 2021 The Author(s). Published by Informa UK Limited, trading as Taylor &amp; Francis Group.</t>
  </si>
  <si>
    <t>2-s2.0-85103158272"</t>
  </si>
  <si>
    <t>10.1080/10106049.2019.1648562</t>
  </si>
  <si>
    <t>https://www.scopus.com/inward/record.uri?eid=2-s2.0-85070500266&amp;doi=10.1080%2f10106049.2019.1648562&amp;partnerID=40&amp;md5=40846e39794163adcac7697fa05e19c8</t>
  </si>
  <si>
    <t>Operating with a conceptual workflow for the appropriate processing of high-spatial resolution small unmanned aircraft system (sUAS) data for hydrologic modelling of floodplains during flood events, this research investigated the effects of input data fidelity on hydrologic model generation. A digital surface model (DSM) and co-registered orthophoto mosaic of a stretch of the Drau River in southern Austria was generated. A digital terrain model (DTM) was then approximated from the generated DSM to within a vertical root-mean-square error (RMSE) of 4.65 cm. Horizontal and random metrics of roughness were calculated based on the DSM and then used to determine spatially-varying values of Manning’s n coefficient across an observed floodplain. A distributed two-dimensional hydrologic model of a river channel and simulated floodplain was performed using open source hydraulic modelling software. The effectiveness of each roughness metric at multiple pixel resolutions to model significant variations in reported velocity, water surface elevation and depth during a flood event was tested in a controlled sensitivity analysis. Results indicated that accuracy in hydrologic modelling is impacted by image spatial resolution. Research results conclude by emphasizing the importance of context in hydrologic modelling scenarios to effectively meet the needs of end users. © 2019 Informa UK Limited, trading as Taylor &amp; Francis Group.</t>
  </si>
  <si>
    <t>2-s2.0-85070500266"</t>
  </si>
  <si>
    <t>10.22146/IJG.57843</t>
  </si>
  <si>
    <t>https://www.scopus.com/inward/record.uri?eid=2-s2.0-85107016403&amp;doi=10.22146%2fIJG.57843&amp;partnerID=40&amp;md5=f72b27695d614e876d40adbcf6eeaecb</t>
  </si>
  <si>
    <t>Disaster management action should be built up through developing metacognitive and action skills. The metacognitive strategy includes aspects of knowledge about when and how to use it by type, specific technique, and response that are assumed related to deal with disasters. Therefore, this study was aimed to assess the metacognitive abilities of millennials who are affected by disasters and its relation to disaster management. This study used an observatory exploration and inventory (EOI) method involving 248 respondents in flood-prone areas in the city of Semarang. Data were obtained using a questionnaire-based Guttman model electronic survey as many as 52 statements to inventory metacognition abilities and 48 statements related to actions in flood disaster management. Data were analyzed using Pearson's linear and regression analysis. The non-parametric analysis: Kruskal-Wallis test was run to distinguish metacognitive scores in dealing with food-related problems among millennials groups. For metacognitive awareness, the cognition knowledge was higher than controlling knowledge (p &lt; 0.05). The highest score of metacognitive variables was debugging strategy', which represents a corrective attitude. As described in the value of conditional knowledge, the ability to think fast shows that the millennials are quickly responding and understanding how to act. Most of the respondent actively involved in mitigation and rehabilitation as a volunteer in youth-events such us mangrove planting and cleaning plastic-trash in coastal areas. But, lack involvement of millennial in arranging flood-disaster management make less youth's responsibility during the disaster. It should be overcome to create a comprehensive approach to community-based disaster resilience. © 2021 Gadjah Mada University. All rights reserved.</t>
  </si>
  <si>
    <t>2-s2.0-85107016403"</t>
  </si>
  <si>
    <t>Revista Geografica de Chile Terra Australis</t>
  </si>
  <si>
    <t>10.23854/07199562.2021571esp.Pinheiro111</t>
  </si>
  <si>
    <t>https://www.scopus.com/inward/record.uri?eid=2-s2.0-85137390843&amp;doi=10.23854%2f07199562.2021571esp.Pinheiro111&amp;partnerID=40&amp;md5=945f3b7c123c91673c3198afb6a1189e</t>
  </si>
  <si>
    <t>This study aimed to characterize the behavior of the Paraty shoreline, in the south of the state of Rio de Janeiro, and identify the areas which are most susceptible to erosion and flooding. This region is characterized by a presence the Serra do Mar, marked by a succession of small embayments and narrow coastal plains. The methodology consisted of using a UAV (Unmanned Aerial Vehicle) for the production of orthoimage mosaics (2019) and digital surface models (DSM); shoreline mapping between 2005 and 2019; identification of areas susceptible to erosion and flooding; and flood simulation performed on the Simulate Water Level Rise/Flooding package, from Global Mapper software. The results show that the southern sector of Jabaquara Beach, the beaches of Pontal and Terra Nova (in the center of Paraty - Centro) in the sheltered portion of the coast of Paraty, in addition to Cepilho and Fora (in Trindade), showed erosive behavior over the 14 years analyzed. Ranchos Beach (Trindade) and the northern sector of Jabaquara showed stable behavior and the central sector of Jabaquara showed an accretion during the same period. The coast of Jabaquara, the central area of Paraty, and the southwest sector of Trindade were considered the most vulnerable to flooding due to their susceptibility and the high concentration of the urban and tourist infrastructure of the municipality, where the problems caused by erosion and flooding have been frequently reported by residents and visitors.</t>
  </si>
  <si>
    <t>10.7494/geom.2021.15.4.45</t>
  </si>
  <si>
    <t>https://www.scopus.com/inward/record.uri?eid=2-s2.0-85119287367&amp;doi=10.7494%2fgeom.2021.15.4.45&amp;partnerID=40&amp;md5=d509ceed2081ad051bc05fc63bbc9224</t>
  </si>
  <si>
    <t>Tide gauge observations provide sea level relative to the Earth’s crust, while satellite altimetry measures sea level variations relative to the centre of the Earth’s mass. Local vertical land motion can be a significant contribution to the measured sea level change. Satellite altimetry was traditionally used to study the open ocean, but this technology is now being used over inland seas too. The difference of both observations can be used to estimate vertical crustal movement velocities along the sea coast. In this paper, vertical crustal movement velocities were investigated at tide gauge sites along the Adriatic Sea coast by analyzing differences between Tide Gauge (TG) and Satellite Altim-etry (SA) observations. Furthermore, the estimated vertical motion rates were compared with those from nearby GNSS measurements. The study determines the practical relationships between these vertical crust-al movements and those determined from unrelated data acquired from the neighbouring GNSS stations. The results show general consistence with the present geodynamics in the Adriatic Sea coastal zone. © 2021 Authors.</t>
  </si>
  <si>
    <t>2-s2.0-85119287367"</t>
  </si>
  <si>
    <t>Journal of Sustainability Science and Management</t>
  </si>
  <si>
    <t>10.46754/jssm.2021.08.019</t>
  </si>
  <si>
    <t>https://www.scopus.com/inward/record.uri?eid=2-s2.0-85118670644&amp;doi=10.46754%2fjssm.2021.08.019&amp;partnerID=40&amp;md5=f3288fab3453f84c57c67902fcbc89ee</t>
  </si>
  <si>
    <t>The bauxite mining activities at Sejotang village, Sanggau district West Kalimantan Province caused siltation of lake, the loss of fish habitat, erosion, forest destruction and the loss of basic livelihoods. This study aimed to determine the class of land capability as well as the land use planning of the former bauxite mining. Methods used namely Landsat 8 satellite image interpretation in 2011-2016, Digital Elevation Model image from DEMNAS Badan Informasi Geospasial (BIG), and ground survey. Data analysis in this study used Geographic Information System (GIS) and Land Capability Land Planning (LCLP) software. The study found that area has III-VI land capability class. Class III land capability has limiting factors of the flood, and gravel. Class IV land capability has limiting factors the landslide, slope, erosion rate, gravel, and drainage. Class V land capability has limiting factors of gravel and permeability. While class VI has soil depth limiting factor. Class III and IV land capability are possible to be used for seasonal crops such as agriculture or plantation, pastures, production forest, protected forests, or wildlife sanctuaries. Meanwhile, Class V and VI cannot be cultivated or processed for agriculture. However, these classes can be utilized as pastures and be shepherding production forests, protected forests, or nature reserves. © 2021 Penerbit UMT. All Rights Reserved.</t>
  </si>
  <si>
    <t>2-s2.0-85118670644"</t>
  </si>
  <si>
    <t>10.5194/nhess-20-3387-2020</t>
  </si>
  <si>
    <t>https://www.scopus.com/inward/record.uri?eid=2-s2.0-85097758898&amp;doi=10.5194%2fnhess-20-3387-2020&amp;partnerID=40&amp;md5=8b9d34bde28f6b847233d1559b94bf12</t>
  </si>
  <si>
    <t>Coastal facilities such as nuclear power plants (NPPs) have to be designed to withstand extreme weather conditions and must, in particular, be protected against coastal floods because it is the most important source of coastal lowland inundations. Indeed, considering the combination of tide and extreme storm surges (SSs) is a key issue in the evaluation of the risk associated with coastal flooding hazard. Most existing studies are generally based on the assumption that high tides and extreme SSs are independent. While there are several approaches to analyze and characterize coastal flooding hazard with either extreme SSs or sea levels, only few studies propose and compare several approaches combining the tide density with the SS variable. Thus this study aims to develop a method for modeling dependence and coincidence of SSs and high tide. In this work, we have used existing methods for tide and SS combination and tried to improve the results by proposing a new alternative approach while showing the limitations and advantages of each method. Indeed, in order to estimate extreme sea levels, the classic joint probability method (JPM) is used by making use of a convolution between tide and the skew storm surge (SSS). Another statistical indirect analysis using the maximum instantaneous storm surge (MSS) is proposed in this paper as an alternative to the first method with the SSS variable. A direct frequency analysis using the extreme total sea level is also used as a reference method. The question we are trying to answer in this paper is then the coincidence and dependency essential for a combined tide and SS hazard analysis. The results brought to light a bias in the MSS-based procedure compared to the direct statistics on sea levels, and this bias is more important for high return periods. It was also concluded that an appropriate coincidence probability concept, considering the dependence structure between SSs, is needed for a better assessment of the risk using the MSS. The city of Le Havre in France was used as a case study. Overall, the example has shown that the return level (RL) estimates using the MSS variable are quite different from those obtained with the method using the SSSs, with acceptable uncertainty. Furthermore, the shape parameter is negative from all the methods with a much heavier tail when the SSS and the extreme sea levels (ESLs) are used as variables of interest. © 2020 Copernicus GmbH. All rights reserved.</t>
  </si>
  <si>
    <t>2-s2.0-85097758898"</t>
  </si>
  <si>
    <t>10.1016/j.ecolmodel.2020.109309</t>
  </si>
  <si>
    <t>https://www.scopus.com/inward/record.uri?eid=2-s2.0-85092931554&amp;doi=10.1016%2fj.ecolmodel.2020.109309&amp;partnerID=40&amp;md5=1b2f73c2ce7964a2552b4a28427f1cca</t>
  </si>
  <si>
    <t>Resilience planning requires an understanding of the potential impact of accelerated sea level rise on the narrow coastal habitats between the sea and the built environment in urban estuaries. Preliminary work suggests that facilitating expansion of coastal upland vegetation (grasslands and maritime shrubland/successional maritime forest) may improve resilience. We created a GIS model for Jamaica Bay, New York to identify areas of inland salt marsh migration induced by sea level rise and map potential locations for expansion of coastal upland vegetation through plantings of local provenance given land use, soil type, and adjacency to predicted future salt marshes. We predicted that regularly flooded salt marshes (low marsh) will comprise the large majority of salt marsh area (89% up from 68% currently) in the coming century due to daily tides covering areas currently categorized as irregularly flooded salt marsh (high marsh), brackish marsh and coastal upland vegetation. Considering land use, 16% of the area suitable for coastal upland vegetation within the coastal buffer zone could be considered possible sites for local assisted coastal upland vegetation expansion with about a fifth of those areas adjacent to predicted new sea level rise induced inland salt marsh areas. Parks and recreational facilities (43%) and open space (32%) were the dominant land uses available for local assisted coastal upland vegetation expansion adjacent to predicted new sea level rise induced inland salt marsh areas. Potential sites for local assisted coastal upland vegetation expansion were considerably more numerous on sandy soils than on loamy sand soils. Maintained lawn and shrubs and the borders of roads and railroads provided available space in areas disjunct from the predicted new salt marsh areas. Our study of opportunities for local assisted expansion of coastal upland vegetation fills a gap within existing models and informs land managers of predicted future inland salt marsh migration locations, regions of existing vegetation to support, and areas where restoration plantings may help sustain coastal upland vegetative communities and their many ecological services. © 2020 Elsevier B.V.</t>
  </si>
  <si>
    <t>2-s2.0-85092931554"</t>
  </si>
  <si>
    <t>10.5194/tc-14-4525-2020</t>
  </si>
  <si>
    <t>https://www.scopus.com/inward/record.uri?eid=2-s2.0-85097794647&amp;doi=10.5194%2ftc-14-4525-2020&amp;partnerID=40&amp;md5=eece1850c0e8f8ef3c7809fa33e114c2</t>
  </si>
  <si>
    <t>The present study examines the formation history and cryolithological properties of the late-Pleistocene Yedoma Ice Complex (IC) and its Holocene cover in the eastern Lena delta on Sobo-Sise Island. The sedimentary sequence was continuously sampled at 0.5 m resolution at a vertical Yedoma cliff starting from 24.2 m above river level (a.r.l.). The sequence differentiates into three cryostratigraphic units: Unit A, dated from ca. 52 to 28 cal kyr BP</t>
  </si>
  <si>
    <t>10.3389/fclim.2020.594254</t>
  </si>
  <si>
    <t>https://www.scopus.com/inward/record.uri?eid=2-s2.0-85111564758&amp;doi=10.3389%2ffclim.2020.594254&amp;partnerID=40&amp;md5=7d2b9eff5dd5f833a315b2800c04fc7e</t>
  </si>
  <si>
    <t>The rapid loss of estuarine and coastal ecosystems (ECEs) in recent years has raised concerns over their role in protecting coastal communities from storms that damage property, cause deaths, and inflict injuries. This paper reviews valuation studies of the protective service of ECEs in terms of reducing flood damages. Although the number of studies have grown significantly, there is still a need for a greater range of studies in more locations and for a wider variety of ecosystems. This review also examines, from an economic perspective, the issues and challenges surrounding estimating the protective benefits of ECEs, as exemplified by some of the recent valuation studies. Recent developments in valuation methods are summarized and critically reviewed. Important challenges remain in valuing coastal ecosystems as a defense against flood damages. The review discusses two of them, such as how protective benefits are subject to spatial variability and dependent on connectivity across “seascapes.” These challenges, along with analyzing the multiple benefits of estuarine and coastal ecosystems, are important areas of future research priority. Copyright © 2020 Barbier.</t>
  </si>
  <si>
    <t>2-s2.0-85111564758"</t>
  </si>
  <si>
    <t>10.5194/tc-14-4611-2020</t>
  </si>
  <si>
    <t>https://www.scopus.com/inward/record.uri?eid=2-s2.0-85098738625&amp;doi=10.5194%2ftc-14-4611-2020&amp;partnerID=40&amp;md5=54d701227fe294216164dae639a689e1</t>
  </si>
  <si>
    <t>To address the long-standing underrepresentation of the influences of highly variable ground ice content on the trajectory of permafrost conditions simulated in Earth system models under a warming climate, we implement a sub-grid representation of excess ground ice within permafrost soils using the latest version of the Community Land Model (CLM5). Based on the original CLM5 tiling hierarchy, we duplicate the natural vegetated land unit by building extra tiles for up to three cryostratigraphies with different amounts of excess ice for each grid cell. For the same total amount of excess ice, introducing sub-grid variability in excess-ice contents leads to different excess-ice melting rates at the grid level. In addition, there are impacts on permafrost thermal properties and local hydrology with sub-grid representation. We evaluate this new development with single-point simulations at the Lena River delta, Siberia, where three sub-regions with distinctively different excess-ice conditions are observed. A triple-land-unit case accounting for this spatial variability conforms well to previous model studies for the Lena River delta and displays markedly different dynamics of future excess-ice thaw compared to a single-land-unit case initialized with average excess-ice contents. For global simulations, we prescribed a tiling scheme combined with our sub-grid representation to the global permafrost region using presently available circum-Arctic ground ice data. The sub-grid-scale excess ice produces significant melting of excess ice under a warming climate and enhances the representation of sub-grid variability of surface subsidence on a global scale. Our model development makes it possible to portray more details on the permafrost degradation trajectory depending on the sub-grid soil thermal regime and excess-ice melting, which also shows a strong indication that accounting for excess ice is a prerequisite of a reasonable projection of permafrost thaw. The modeled permafrost degradation with sub-grid excess ice follows the pathway that continuous permafrost transforms into discontinuous permafrost before it disappears, including surface subsidence and talik formation, which are highly permafrost-relevant landscape changes excluded from most land models. Our development of sub-grid representation of excess ice demonstrates a way forward to improve the realism of excess-ice melt in global land models, but further developments require substantially improved global observational datasets on both the horizontal and vertical distributions of excess ground ice. © 2020 Copernicus GmbH. All rights reserved.</t>
  </si>
  <si>
    <t>2-s2.0-85098738625"</t>
  </si>
  <si>
    <t>10.1080/17445647.2020.1822938</t>
  </si>
  <si>
    <t>https://www.scopus.com/inward/record.uri?eid=2-s2.0-85091951786&amp;doi=10.1080%2f17445647.2020.1822938&amp;partnerID=40&amp;md5=1824f86a98881ca466ecc40eec2df6c9</t>
  </si>
  <si>
    <t>This paper presents the geomorphological mapping at a 1:100,000 scale of fluvial deposits in the middle Tocantins River. The region preserves an important sedimentary archive of environmental changes of the Amazon and Cerrado biomes. Yet, the region is under influence of diverse anthropogenic activities, including planned or operational hydropower plants, and detailed geomorphological mapping is lacking. The mapping combined interpretation of surface geomorphic features, morphometric analysis, and field surveys. Three main geomorphic units were defined: (i) fluvial plain, (ii) fluvial terraces, and (iii) paleo-alluvial fans. The detailed mapping survey allowed a hierarchical organization of geomorphological units as well as their relative chronology of formation. Our results improve the understanding on the complex geomorphological processes which shape the current fluvial landscape. Specifically, improving the understanding of the Tocantins River floodplains is crucial to support conservation of flooded forests, sustainable use of natural resources and minimize socio-economic losses and damages. © 2020 The Author(s). Published by Informa UK Limited, trading as Taylor &amp; Francis Group on behalf of Journal of Maps.</t>
  </si>
  <si>
    <t>2-s2.0-85091951786"</t>
  </si>
  <si>
    <t>Sustentabilidade em Debate</t>
  </si>
  <si>
    <t>10.18472/SustDeb.v11n3.2020.33845</t>
  </si>
  <si>
    <t>https://www.scopus.com/inward/record.uri?eid=2-s2.0-85103489384&amp;doi=10.18472%2fSustDeb.v11n3.2020.33845&amp;partnerID=40&amp;md5=2171d3b22edf5bf5e473b8e89e83f06f</t>
  </si>
  <si>
    <t>The coastal zone, where most of the Brazilian population lives, plays a central role for discussing vulnerability and adaptation strategies to climate change. Besides saltmarshes, mangroves and coral reefs, this region also presents seagrass beds, macroalgae and rhodolith beds, forming underwater forests, which are key habitats for services such as biodiversity conservation, O2 production, and absorption of part of the CO2 from the atmosphere. Science endorses that ocean warming and acidification, sea level rise, biological invasions and their interactions with pollution, overfishing, and other stressors undermine the structure and functioning of these ecosystems, thus increasing the region's socio-environmental vulnerability. Ecosystem conservation, management and potential bioremediation/restoration using science-based solutions must be prioritized in order to reduce the vulnerability of coastal communities and the ocean. © 2020 Universidade de Brasilia. All rights reserved.</t>
  </si>
  <si>
    <t>2-s2.0-85103489384"</t>
  </si>
  <si>
    <t>10.1007/s13157-020-01392-4</t>
  </si>
  <si>
    <t>https://www.scopus.com/inward/record.uri?eid=2-s2.0-85097616687&amp;doi=10.1007%2fs13157-020-01392-4&amp;partnerID=40&amp;md5=836deb0ae40daf947dba4a17ef2d1602</t>
  </si>
  <si>
    <t>This paper provides an overview of past, present and future themes for research and management of riparian zones, often relating to papers within this Wetlands Special Feature. Riparian research expanded in the United States around 1980 with themes that recognized (1) damage from excessive livestock, or (2) damage from river damming and diversion, and (3) the beneficial capacity of riparian buffers to intercept and assimilate nutrients and other water contaminants. Research expanded globally in the 1990s, with themes including (4) plant life history requirements and (5) reliance on fluvial geomorphic dynamics that enable riparian rejuvenation. Resource managers recognized that riparian areas provide (6) rich wildlife habitats (7) along with valued ecosystem services, (8) which encouraged conservation and restoration initiatives, (9) including environmental flow regimes. Floodplains are (10) vulnerable to invasive plants and management has included biocontrol such as for Tamarix in the American Southwest. Into the twenty-first century, (11) climate change is advancing, and riparian ecosystems may be especially impacted due to the compound challenges from increasing water demand and declining summer flows. As an emerging opportunity, (12) while reservoirs submerge floodplain vegetation, reservoir deltas may support compensatory riparian wetlands. (13) Studies increasingly utilize remote sensing tools including satellite imagery, LiDAR and unmanned aircraft systems, and (14) the coordination of large data sets invites digital ecology, including artificial intelligence and machine learning. Since riparian zones are centres for human activities, (15) there are opportunities for citizen science, social media and internet applications, which will increasingly democratize riparian research and management. © 2020, Springer Nature B.V. part of Springer Nature.</t>
  </si>
  <si>
    <t>2-s2.0-85097616687"</t>
  </si>
  <si>
    <t>10.1038/s41598-020-76304-x</t>
  </si>
  <si>
    <t>https://www.scopus.com/inward/record.uri?eid=2-s2.0-85095832522&amp;doi=10.1038%2fs41598-020-76304-x&amp;partnerID=40&amp;md5=4403c8faa7d6fcbfeeb8d6f0de7d2f58</t>
  </si>
  <si>
    <t>Delta systems are fundamental to the persistence of large human populations, food systems and ecosystem processes. Structural changes in natural and social components of deltas, emerging from past land-use changes, have led deltas to become locked-in loosing the ability to transform back into living deltas, and making them more at risk. We propose a framework to assess whether deltas become locked-in by changes in natural or social infrastructure, by examining the dynamic coupling between population and land-use development over 300 years for 48 deltas globally. We find that 46% of the deltas are defined as living, where population, irrigation, and cropland are correlated. Of the 54% locked-in deltas, 21% show changes in natural infrastructure to cropland (n = 6) or irrigation (n = 4), and 33% (n = 16) show changes in social infrastructure. Most locked-in deltas are in Europe but also in other continents due to decoupled development of population and cropland. While, locked-in deltas due to changes in natural infrastructure have highest average risks, those with changes in social infrastructure and the living deltas have highest risks from future relative sea level rise. These results show that deltas have varying natural and social components derived from a 300 years historical perspective, which are not taken into account in risk assessments for global deltas. © 2020, The Author(s).</t>
  </si>
  <si>
    <t>2-s2.0-85095832522"</t>
  </si>
  <si>
    <t>10.1080/10106049.2019.1581270</t>
  </si>
  <si>
    <t>https://www.scopus.com/inward/record.uri?eid=2-s2.0-85063197322&amp;doi=10.1080%2f10106049.2019.1581270&amp;partnerID=40&amp;md5=b97e58897d221c2d9283a67c22f4ecef</t>
  </si>
  <si>
    <t>Moribund deltaic part of Ganga–Padma region possesses hydro-ecologically precious dynamic wetlands of different kinds. The present paper endeavours to map, monitor wetlands and assess the changing hydro-ecological states of these in the moribund deltaic plain. Multi-temporal Landsat images since 1987–2016 are used for mapping and monitoring the wetlands. Normalized Difference Water Index (NDWI), Water Presence Frequency (WPF) approaches are applied for time series water body extraction and integration of water body maps for making frequency continuum of wetlands. The fragmentation analysis is done to show the transformation pattern of wetland landscape. Total wetland areas are 46.66 and 88.55 km2 in pre- and postmonsoon seasons respectively. Out of the total wetlands area of pre and postmonsoon seasons 18.21 km2 (54.09%), 35.83 km2 (62.14%) areas respectively have witnessed transformation from phase I (1987–1996) to phase III (2006–2016). The Fragmentation statistics shows that 35% of medium and large core wetlands have been changed into smaller one and numerous small wetlands have been lost. Different landscape ecological indices like Shannon's diversity index (SHDI) and Simpson's diversity index (SIDI) depict disaggregated pattern of wetlands. Maintenance of ecologically relevant channel flow and inundation is highly essential for minimizing transformation. © 2019 Informa UK Limited, trading as Taylor &amp; Francis Group.</t>
  </si>
  <si>
    <t>2-s2.0-85063197322"</t>
  </si>
  <si>
    <t>10.1007/s12524-020-01199-0</t>
  </si>
  <si>
    <t>https://www.scopus.com/inward/record.uri?eid=2-s2.0-85092576164&amp;doi=10.1007%2fs12524-020-01199-0&amp;partnerID=40&amp;md5=25479df1e5900be1d1ce36fdd551ddba</t>
  </si>
  <si>
    <t>It has been convincingly demonstrated from all over the world that the recent earth movements have greater control over various natural disaster vulnerabilities like seismicity, landslides, floods and the accelerated vulnerabilities to flooding, storm surges, tsunami, sea level rise and erosion along the coasts. But, despite the recurrence of these disasters in the Indian Peninsula, not much of importance was given in the study of the earth movements in general and along the coastal/deltaic regions in particular. However, after the advent of modern satellite-based remote sensing technology, sporadic studies were carried out, which indicated the vulnerability of the Sothern part of the Indian Peninsula too, to recent earth movements. However, no comprehensive information is available on the coastal/deltaic areas, which are more prone to such tectonically induced disaster vulnerabilities. In this context, the scanning of the global literature shows that geomorphology has been used as one of the important tools in mapping the zones of active tectonics/recent earth movements. So, considering the significance of the Cauvery delta of south India on the natural resources, natural disaster vulnerabilities and the towering maritime history, the present study was carried out to bring out a comprehensive picture on the recent earth movements of Cauvery delta and its significance, integrating the faults and the hierarchy of fluvial /drainage anomalies interpreted from different satellite datasets. © 2020, Indian Society of Remote Sensing.</t>
  </si>
  <si>
    <t>2-s2.0-85092576164"</t>
  </si>
  <si>
    <t>10.1016/j.geomorph.2020.107370</t>
  </si>
  <si>
    <t>https://www.scopus.com/inward/record.uri?eid=2-s2.0-85091968074&amp;doi=10.1016%2fj.geomorph.2020.107370&amp;partnerID=40&amp;md5=e26cae1576f9cd97c55ce539482f630f</t>
  </si>
  <si>
    <t>Reconstruction of past topography in palaeo-DEMs serves various geomorphological analyses. Constructing a palaeo-DEM by stripping young elements from a LiDAR DEM can provide results for large study areas at high resolution. However, such a ‘top-down’ approach is more suited to recent periods and geomorphologically static parts of the landscape than to geomorphologically dynamic areas and periods farther back in time. Here, we explore this approach by reconstructing the early medieval (circa 800 CE) topography of the Lower Rhine river valley and upper delta in Germany and the Netherlands. The large (4500 km2) study area contains abundant anthropogenic terrain modification and stretches across geomorphologically active as well as inactive zones. We first removed all anthropogenic relief elements from the LiDAR DEM, using separate procedures for linear and non-linear elements. These steps were sufficient to obtain the palaeotopography of the inactive zone, characterized by inherited natural relief. Then, we reconstructed the topography and bathymetry in the fluvially-reworked active zone by incorporating geological and historical geographical information. We present and evaluate zonal averages of elevation differences between the modern and past valley floor topography in this densely populated area with complex land-use history, which allows us to approximate total anthropogenic volumetric change. Further comparisons with the modern LiDAR DEM elucidate changes in floodplain negative-relief connectivity, showing the potential importance of investing in palaeo-DEMs when assessing past river flooding. Our palaeo-DEM construction workflow is deployable at diverse spatial scales and widely applicable to other lowland areas, because of its top-down and generic nature. The relative importance of different workflow aspects depends on the time period that is targeted. Beyond a target age of 10–15 ka, valley floors that are too large in area are to be considered geomorphologically dynamic and the top-down approach to palaeo-DEM construction is no longer advisable. © 2020 The Authors</t>
  </si>
  <si>
    <t>2-s2.0-85091968074"</t>
  </si>
  <si>
    <t>10.1016/j.scitotenv.2020.140890</t>
  </si>
  <si>
    <t>https://www.scopus.com/inward/record.uri?eid=2-s2.0-85088895804&amp;doi=10.1016%2fj.scitotenv.2020.140890&amp;partnerID=40&amp;md5=e4809d69fc10b21a6dd2d8c7075927ca</t>
  </si>
  <si>
    <t>The characteristics and distribution of plastic litter were evaluated in October 2018 at 40 beaches along the coast of Cádiz Province, in Spain. A total of 14,261 plastic items, appertaining to 57 litter groups, were identified along the study area at different beach zones, i.e. at low tide water level (2%), along the foreshore (6%), at high tide water level (67%) and in the backshore area (25%). Plastic items have a great floatability, being this one of the main reasons for their proportional dominance among beach litter, especially in the wrack line. Hundreds of measurements were made of different items using Raman spectroscopy, an effective technique to determine the type of plastic. Cellulose acetate represented the most abundant material (79%) linked to cigarette butts, followed by polypropylene, 9% and polyethylene, 8%. The remaining were composed by polystyrene, polyethylene terephthalate and polyvinyl chloride. Smoke related items were the most common in the study area, followed by film and hard pieces, cotton bud sticks, fishing strings, food wrappers, caps/lids and single-use plastics. Beach litter can be related to beachgoers but some categories can be attributed to fishing activities or wastewater discharges. Plastics cause a multitude of damages to the coastal ecosystem, due to their toxic components and adsorbed substances and their facility of fragmentation and dispersion. Principal objective is the compositional characterization of plastic beach litter items and their spatial variability. It is therefore important to avoid unnecessary consumption, promote recycling and use other materials that are less harmful to the environment. © 2020</t>
  </si>
  <si>
    <t>2-s2.0-85088895804"</t>
  </si>
  <si>
    <t>10.1007/s11111-020-00350-w</t>
  </si>
  <si>
    <t>https://www.scopus.com/inward/record.uri?eid=2-s2.0-85085879734&amp;doi=10.1007%2fs11111-020-00350-w&amp;partnerID=40&amp;md5=1cf6973f9166a796371582c504e0b248</t>
  </si>
  <si>
    <t>The Jaffna Peninsula in Sri Lanka has a generally flat topography with a median elevation of 2.72 m, and thus faces a high risk from sea-level rise that has the potential to have adverse impacts on the livelihoods of coastal communities. Understanding these risks and identifying the regions that could be adversely impacted is critical for planning future settlements and developing preventative protocols where possible. The aim of this study was to analyze the exposure of coastal settlements of the Jaffna Peninsula to climate risks, particularly to sea-level rise, and to identify the areas that are likely to be impacted under different sea-level rise scenarios. Raster-based sea-level rise modeling was performed with a digital elevation model produced with topographic contours and spot heights. The spatial distribution of individual residential houses for the entire Jaffna Peninsula was obtained through manual digitization using virtual globe platforms and high-resolution satellite images, and the houses exposed to inundation under various Representative Concentration Pathways from 2025 to 2100 were identified. The results showed that a majority (55.5%) of the residential buildings in the Jaffna Peninsula are located within 3 m above sea level. Approximately 5554 (5.6%) of the houses were projected to be inundated by 2100, and this projection increased to approximately 25,074 (25.4%) under high tide scenarios. This study highlights the coastal communities with a high level of exposure to coastal inundation where adaptation planning is essential. These results provide insights for coastal managers and policy makers for future planning of new settlements and urban expansion. © 2020, Springer Nature B.V.</t>
  </si>
  <si>
    <t>2-s2.0-85085879734"</t>
  </si>
  <si>
    <t>10.3390/atmos11111153</t>
  </si>
  <si>
    <t>https://www.scopus.com/inward/record.uri?eid=2-s2.0-85095967904&amp;doi=10.3390%2fatmos11111153&amp;partnerID=40&amp;md5=c22131078313faac099b4c0001f121c9</t>
  </si>
  <si>
    <t>The threat of sea level rise to the heavily populated Korean Peninsula, which contains around 15,000 km of coastline bordering open sea margins, has profound and far reaching implications. This study updates and extends previous detailed studies with the addition of a further 2 years of data to the end of 2019, providing renewed robustness to the identification of emerging threats associated with sea level rise within the warming sea margins around the Korean Peninsula. The study analyzes tide gauge records and satellite altimetry around the Republic of Korea using enhanced time series analysis techniques to detect coastal vertical land motion and current rates of rise in mean sea level to augment planning, design and risk management activities. Despite fluctuations over time at each site, the highest “relative” mean sea level at each of the seven longest tide gauge records occurs in 2019, with weak evidence of an acceleration in the increase in mean sea level around the Republic of Korea. Trends in sea surface height from satellite altimetry across this region note two discreet areas east and west of the Korean Peninsula around 37.5◦ N (around Ulleungdo Island and in the Gyeonggi Bay region of the Yellow Sea), where rates of rise are well above the global average trend. © 2020 by the authors. Licensee MDPI, Basel, Switzerland.</t>
  </si>
  <si>
    <t>2-s2.0-85095967904"</t>
  </si>
  <si>
    <t>10.1108/IJCCSM-04-2020-0032</t>
  </si>
  <si>
    <t>https://www.scopus.com/inward/record.uri?eid=2-s2.0-85087705686&amp;doi=10.1108%2fIJCCSM-04-2020-0032&amp;partnerID=40&amp;md5=1a8d849a21a4dd840fb89a5f405d3f3d</t>
  </si>
  <si>
    <t>Purpose: This study aims to investigate aspects related to the changing trends of the rainfall extremes in the entire Mekong Delta in the period of 32 years (1984-2015) applying rainfall extreme indices. First, the homogeneity tests were applied to assess the quality of observed rainfall data series. The authors, then, investigated three rainfall indices including the number of very heavy rainfall days 20 mm (R20), number of days above 50 mm (R50) and number of days above 100 mm (R100) applying the Mann-Kendall test and Sen’s slope estimate. Design/methodology/approach: First, the homogeneity tests were applied to assess the quality of observed rainfall data series. The authors, then, investigated three rainfall indices including the number of very heavy rainfall days 20 mm (R20), number of days above 50 mm (R50) and number of days above 100 mm (R100) applying the Mann-Kendall test and Sen’s slope estimate. Findings: The results of R20 pointed out that an insignificant upward tendency was found in the coastal provinces, whereas an insignificant downward tendency was also recorded in the inland provinces. Regarding the number of R50, a similar trend to R20 was recorded with five stations slightly increased and five stations slightly decreased. For the number of R100, the results recorded an absence of significant trends over the entire study area. Approximately 58.5% of stations show a slightly decreasing trend, while 41.5% of the remaining stations recorded a slightly increasing trend. Originality/value: For the number of R100, the results recorded an absence of the significant trends over the entire study area. Approximately 58.5% of stations show a slightly decreasing trend, while 41.5% of the remaining stations recorded a slightly increasing trend. Of note is the fact that the number of R100 occurred more frequently in the northern provinces, which means the northern region is facing a high risk of flooding. © 2020, Seung Kyu LEE and Truong An Dang.</t>
  </si>
  <si>
    <t>2-s2.0-85087705686"</t>
  </si>
  <si>
    <t>10.1785/0220200009</t>
  </si>
  <si>
    <t>https://www.scopus.com/inward/record.uri?eid=2-s2.0-85097057465&amp;doi=10.1785%2f0220200009&amp;partnerID=40&amp;md5=68dd2a5b6d1f2aff792796fd9e8978d8</t>
  </si>
  <si>
    <t>On 28 September 2018, Indonesia was struck by an MW 7.5 strike-slip earthquake. An unexpected tsunami followed, inundating nearby coastlines leading to extensive damage. Given the traditionally non-tsunamigenic mechanism, it is important to ascertain if the source of the tsunami is indeed from coseismic deformation, or something else, such as shaking induced landsliding. Here we determine the leading cause of the tsunami is a complex combination of both. We constrain the coseismic slip from the earthquake using static offsets from geodetic observations and validate the resultant “coseismic-only” tsunami to observations from tide gauge and survey data. This model alone, although fitting some localized run-up measurements, overall fails to reproduce both the timing and scale of the tsunami. We also model coastal collapses identified through rapidly acquired satellite imagery and video footage as well as explore the possibility of submarine landsliding using tsunami raytracing. The tsunami model results from the landslide sources, in conjunction with the coseismic-generated tsunami, show a greatly improved fit to both tide gauge and field survey data. Our results highlight a case of a damaging tsunami the source of which is a complex mix of coseismic deformation and landsliding. Tsunamis of this nature are difficult to provide warning for and are underrepresented in regional tsunami hazard analysis. © Seismological Society of America</t>
  </si>
  <si>
    <t>2-s2.0-85097057465"</t>
  </si>
  <si>
    <t>10.1016/j.ijdrr.2020.101745</t>
  </si>
  <si>
    <t>https://www.scopus.com/inward/record.uri?eid=2-s2.0-85089397169&amp;doi=10.1016%2fj.ijdrr.2020.101745&amp;partnerID=40&amp;md5=def7af970ef05010fd37792332fe61cf</t>
  </si>
  <si>
    <t>The study aims to identify attributes of communities with high social resilience in flood-prone areas of Myanmar. This study outlines a conceptual indicator-based framework for assessing the social resilience to floods using five components: social demographic, sense of place, adaptive capacity, flood risk level, and the social resilience status of the community. The study uses data collected via a survey of 215 households from four villages based on their high and low vulnerability to flooding in Ayeyarwady Delta in Myanmar. The study finds that the communities in the high flood-prone areas had more awareness of flood risk (measured using flood awareness, prior experience with flooding, having flood protection knowledge, managing flood risk, and trusting officials) than the communities in the low flood-prone area. Flood adaptive capacity of both communities has high values measured in terms of natural, social, human, and physical capital except financial capital. The financial capital (credit accessibility) was moderate in high flood-prone areas and high in low flood-prone areas. The social resilience status of both communities is high in terms of overall results and sub-dimensions such as community participation, trust in the neighborhood, social support, and sharing and exchanging information. The study results in setting up the local level conceptual approach and identifying the significant factors that contribute to social resilience, particularly in the context of flood-vulnerable communities in Myanmar. © 2020 Elsevier Ltd</t>
  </si>
  <si>
    <t>2-s2.0-85089397169"</t>
  </si>
  <si>
    <t>10.1007/s11852-020-00784-2</t>
  </si>
  <si>
    <t>https://www.scopus.com/inward/record.uri?eid=2-s2.0-85095849527&amp;doi=10.1007%2fs11852-020-00784-2&amp;partnerID=40&amp;md5=7a9fe9f79c57bbb3b6368d0dc324e8fa</t>
  </si>
  <si>
    <t>Bangladesh is one of the most vulnerable countries exposed to natural disasters. This paper attempts to analyze the vulnerability of coastal areas of the Chittagong District in the southeastern coast of Bangladesh. This study explores the spatial variations of coastal vulnerability of the study area using three physical variables and four social variables with a spatial analytical method. In this regard, a Physical Vulnerability Index (PVI), and a Social Vulnerability Index (SVI) have been prepared for the research area. Finally, a Coastal Vulnerability Index (CVI) was constructed within a geographic information system combining both PVI and CVI. The vulnerability indices reveal that the rural areas are more vulnerable to disaster than the urban areas. According to the PVI, SVI, and CVI about 66%, 48%, and 43% areas are highly vulnerable respectively. Despite of data limitations in constructing the PVI and SVI, this research is the first endeavor to apply a composite CVI based on geospatial techniques in the southeastern coast of Bangladesh. The CVI results illustrate that the coasts are the most vulnerable to flooding, storm surges and cyclones. In this study, CVI is presented as a tool to identify areas of vulnerability in the zones of the coastal district Chittagong. The CVI will serve as a practical guideline for policy makers to introduce policies and plans to mitigate the natural hazard-induced disaster impacts on the coastal Bangladesh. © 2020, Springer Nature B.V.</t>
  </si>
  <si>
    <t>2-s2.0-85095849527"</t>
  </si>
  <si>
    <t>10.1016/j.ijdrr.2020.101795</t>
  </si>
  <si>
    <t>https://www.scopus.com/inward/record.uri?eid=2-s2.0-85090038880&amp;doi=10.1016%2fj.ijdrr.2020.101795&amp;partnerID=40&amp;md5=bb66101d578a1256c11b4b6811b721fa</t>
  </si>
  <si>
    <t>Responsiveness and resilience to coastal disasters is an increasingly critical need for governments, businesses, and communities as the intensity of hurricanes, coastal storms and sea level rise exacerbates flood and erosion damages. The number and severity of disasters have increased significantly over the past two decades while intense coastal development has steadily degraded the protective and other ecosystem benefits from natural habitats such as coral reefs, mangroves and seagrasses. Such ecosystems can provide cost-effective, long-term risk reduction and other benefits to coastal communities. Yet easy, low-cost methodologies for incorporating such natural capital values into metrics that can inform policy and investment decisions have been lacking until recently. Whereas new approaches and studies have developed ways to quantify and assess such risk reduction benefits, finding the data to assess such services in data poor environments, both for regional and local scales, remains challenging. This paper outlines how breakthroughs in data technologies can help with incorporating ecosystem benefits into real-world policy and investment applications. Specific new data and analytical technologies are increasingly being used to quantify coastal risk reduction and other ecosystem benefits. We review several case studies where ecosystem benefits were quantified based on new data technologies and used for policy and investment strategies to improve a broader suite of ecosystem benefits to coastal communities. Equipping public and private sector actors with cost-effective and accessible approaches and tools to incorporate nature-based solutions into disaster risk management and coastal zone management planning more generally can transform climate resilience strategies around the world. © 2020 Elsevier Ltd</t>
  </si>
  <si>
    <t>2-s2.0-85090038880"</t>
  </si>
  <si>
    <t>10.1038/s41598-020-69688-3</t>
  </si>
  <si>
    <t>https://www.scopus.com/inward/record.uri?eid=2-s2.0-85088785693&amp;doi=10.1038%2fs41598-020-69688-3&amp;partnerID=40&amp;md5=7b1f851ab0e81ad39fe868d4ccc4120a</t>
  </si>
  <si>
    <t>The Ganges Brahmaputra Meghna Delta (GBMD) is a large and complex coastal system whose channel network is vulnerable to morphological changes caused by sea level rise, subsidence, anthropogenic modifications, and changes to water and sediment loads. Locating and characterizing change is particularly challenging because of the wide range of forcings acting on the GBMD and because of the large range of scales over which these forcings act. In this study, we examine the spatial variability of change in the GBMD channel network. We quantify the relative magnitudes and directions of change across multiple scales and relate the spatial distribution of change to the spatial distribution of a variety of known system forcings. We quantify how the channelization varies by computing the Channelized Response Variance (CRV) on 30 years of remotely sensed imagery of the entire delta extent. The CRV analysis reveals hotspots of morphological change across the delta. We find that the magnitude of these hotspots are related to the spatial distribution of the dominant physiographic forcings in the system (tidal and fluvial influence levels, channel connectivity, and anthropogenic interference levels). We find that the anthropogenically modified embanked regions have much higher levels of geomorphic change than the adjacent natural Sundarban forest and that this change is primarily due to channel infilling and increased rates of channel migration. Having a better understanding of how anthropogenic changes affect delta channel networks over human timescales will help to inform policy decisions affecting the human and ecological presences on deltas around the world. © 2020, The Author(s).</t>
  </si>
  <si>
    <t>2-s2.0-85088785693"</t>
  </si>
  <si>
    <t>10.1038/s41598-020-79157-6</t>
  </si>
  <si>
    <t>https://www.scopus.com/inward/record.uri?eid=2-s2.0-85097620038&amp;doi=10.1038%2fs41598-020-79157-6&amp;partnerID=40&amp;md5=b15b613e545589505cc8193917e6d2d1</t>
  </si>
  <si>
    <t>Picophytoplankton (PicoP) are increasingly recognized as significant contributors to primary productivity and phytoplankton biomass in coastal and estuarine systems. Remarkably though, PicoP composition is unknown or not well-resolved in several large estuaries including the semi-lagoonal Neuse River Estuary (NRE), a tributary of the second largest estuary-system in the lower USA, the Pamlico-Albemarle Sound. The NRE is impacted by extreme weather events, including recent increases in precipitation and flooding associated with tropical cyclones. Here we examined the impacts of moderate to extreme (Hurricane Florence, September 2018) precipitation events on NRE PicoP abundances and composition using flow cytometry, over a 1.5 year period. Phycocyanin-rich Synechococcus-like cells were the most dominant PicoP, reaching ~ 106 cells mL−1, which highlights their importance as key primary producers in this relatively long residence-time estuary. Ephemeral “blooms” of picoeukaryotic phytoplankton (PEUK) during spring and after spikes in river flow were also detected, making PEUK periodically major contributors to PicoP biomass (up to ~ 80%). About half of the variation in PicoP abundance was explained by measured environmental variables. Temperature explained the most variation (24.5%). Change in total dissolved nitrogen concentration, an indication of increased river discharge, explained the second-most variation in PicoP abundance (15.9%). The short-term impacts of extreme river discharge from Hurricane Florence were particularly evident as PicoP biomass was reduced by ~ 100-fold for more than 2 weeks. We conclude that precipitation is a highly influential factor on estuarine PicoP biomass and composition, and show how ‘wetter’ future climate conditions will have ecosystem impacts down to the smallest of phytoplankton. © 2020, The Author(s).</t>
  </si>
  <si>
    <t>2-s2.0-85097620038"</t>
  </si>
  <si>
    <t>10.1186/s40645-019-0314-x</t>
  </si>
  <si>
    <t>https://www.scopus.com/inward/record.uri?eid=2-s2.0-85077628439&amp;doi=10.1186%2fs40645-019-0314-x&amp;partnerID=40&amp;md5=33c0a828d0fe7008a564152fce2488d8</t>
  </si>
  <si>
    <t>The scientific community has widely discussed the role of abiotic and biotic forces in reshaping the Earth’s surface. Currently, the literature is debating whether humans are leaving a topographic signature on the landscape. Apart from the influence of humans on processes, does the resulting landscape bear an unmistakable signature of anthropogenic activities? This research analyses from a statistical point of view the morphological signature of anthropogenic and natural land covers in different topographic context, as a fundamental challenge in the emerging debate of human-environment relationships and the modelling of global environmental change. It aims to explore how intrinsically small-scale processes, related to land use, can influence the form of entire landscapes and to determine whether these processes create a distinctive topography. The work focusses on four study areas in floodplains, plain to hilly, hills and mountains, for which LiDAR-derived Digital Terrain Models (DTMs) are available. Surface morphology is described with different geomorphometric parameters (slope, mean curvature and surface peak curvature) and their frequency distribution. The results show that the distribution of geomorphometric indices can reveal anthropogenic land covers and landscapes. In most cases, different land covers show statistically significant differences (p &lt; 0.05) in their morphology. Finally, this study demonstrates the possibility to use a geomorphic analysis to quantify anthropogenic impact based on land covers in different landscape contexts. This provides useful insight into understanding the impact of human activities on the present morphology and offers a comprehensive understanding of coupling human-land interaction from a geomorphological point of view. [Figure not available: see fulltext.]. © 2020, The Author(s).</t>
  </si>
  <si>
    <t>2-s2.0-85077628439"</t>
  </si>
  <si>
    <t>10.1038/s41598-020-58824-8</t>
  </si>
  <si>
    <t>https://www.scopus.com/inward/record.uri?eid=2-s2.0-85079065165&amp;doi=10.1038%2fs41598-020-58824-8&amp;partnerID=40&amp;md5=b2cb6df42fd18eb59d2f94a423366825</t>
  </si>
  <si>
    <t>We have investigated changes of western North Pacific land-falling tropical cyclone (TC) characteristics due to warmer climate conditions, using the pseudo-global-warming (PGW) technique. Historical simulations of three intense TCs making landfall in Pearl River Delta (PRD) were first conducted using the Weather Research and Forecasting (WRF) model. The same cases were then re-simulated by superimposing near- (2015–2039) and far- (2075–2099) future temperature and humidity changes onto the background climate; these changes were derived from the Coupled Model Intercomparison Project phase 5 (CMIP5) multi-model projections according to the Representative Concentration Pathway (RCP) 8.5 scenario. Peak intensities of TCs (maximum surface wind in their lifetimes) are expected to increase by ~ (3) 10% in the (near) far future. Further experiments indicate that surface warming alone acts to intensify TCs by enhancing sea surface heat flux, while warmer atmosphere acts in the opposite way by increasing the stability. In the far future, associated storm surges are also estimated to increase by about 8.5%, computed by the Sea, Lake, and Overland Surges from Hurricanes (SLOSH) model. Combined with sea level rise and estimated land vertical displacement, TC-induced storm tide affecting PRD will increase by ~1 m in the future 2075–2099 period.</t>
  </si>
  <si>
    <t>10.1016/j.accre.2020.12.001</t>
  </si>
  <si>
    <t>https://www.scopus.com/inward/record.uri?eid=2-s2.0-85098659154&amp;doi=10.1016%2fj.accre.2020.12.001&amp;partnerID=40&amp;md5=05d62ac7d22dacb06d906ca003d70c64</t>
  </si>
  <si>
    <t>The physical vulnerability of coastal areas due to rising sea level and the flooding risk consequent, does not guarantee the implementation of protective behaviors by these risk zones’ inhabitants. This study aims to establish the link between the willingness to carry out protective behaviors and physical and perceived indicators of vulnerability. A typology of coastal flooding vulnerability, uses various physical indicators and their perceived counterparts which have been collected from 490 inhabitants of Cartagena (Colombia, declared world heritage of humanity by UNESCO in 1984), resident in areas of coastal flooding risks. The item-response theory (IRT) approach has been used. The results reveal that the implementation of protective behaviors is more related to perceived indicators, such as distance to the sea, than to actual physical vulnerability. We observe that physical vulnerability is linked to the intention to carry out protective behaviors. The presence of a defensive structure against coastal flooding could be considered as a visual cue and be a good predictor of the willingness to carry out protective behaviors. On the contrary, people in the most vulnerable situation (single-storey house) do not demonstrate a higher level of willingness to carry out protective behavior, as well of participants who lived in residential buildings which have demonstrated lower level of willingness to carry out such behaviors. Therefore, vulnerability of the house is not seen as a criterion that encourages participants to better protect themselves. © 2020 National Climate Center (China Meteorological Administration)</t>
  </si>
  <si>
    <t>2-s2.0-85098659154"</t>
  </si>
  <si>
    <t>Eos (United States)</t>
  </si>
  <si>
    <t>10.1029/2020eo150527</t>
  </si>
  <si>
    <t>https://www.scopus.com/inward/record.uri?eid=2-s2.0-85130757143&amp;doi=10.1029%2f2020eo150527&amp;partnerID=40&amp;md5=e838fe4ac1344540116b4de00a83d8de</t>
  </si>
  <si>
    <t>2-s2.0-85130757143"</t>
  </si>
  <si>
    <t>10.3390/rs12244022</t>
  </si>
  <si>
    <t>https://www.scopus.com/inward/record.uri?eid=2-s2.0-85097582698&amp;doi=10.3390%2frs12244022&amp;partnerID=40&amp;md5=8d9f528824f6186250734cef364adf90</t>
  </si>
  <si>
    <t>Managed realignment (MR) sites are being implemented to compensate for the loss of natural saltmarsh habitat due to sea level rise and anthropogenic pressures. However, MR sites have been recognised to have lower morphological variability and coverage of saltmarsh vegetation than natural saltmarsh sites, which have been linked with the legacy of the historic (terrestrial) land use. This study assesses the relationship between the morphology and vegetation coverage in three separate zones, associated with the legacy of historic reclamation, of a non-engineered MR site. The site was selected due to the phased historical reclamation, and because no pre-breaching landscaping or engineering works were carried out prior to the more recent and contemporary breaching of the site. Four vegetation indices (Excess Green Index, Green Chromatic Coordinate, Green-Red Vegetation Index, and Visible Atmospherically Resistant Index) were calculated from unmanned aerial vehicle imagery</t>
  </si>
  <si>
    <t>Forum Geografic</t>
  </si>
  <si>
    <t>10.5775/fg.2020.013.d</t>
  </si>
  <si>
    <t>https://www.scopus.com/inward/record.uri?eid=2-s2.0-85103273648&amp;doi=10.5775%2ffg.2020.013.d&amp;partnerID=40&amp;md5=e39821a17eb3f6f406121027b6da5a03</t>
  </si>
  <si>
    <t>Accelerated by inadequate human activities, water erosion can cause many environmental and socio-economic problems on -and off-site: loss of biodiversity, reduced productivity of agricultural land, siltation of dams, increased risk of flooding. The quantification of soil erosion is essential in the management and conservation of the soil and water resources. Modeling soil erosion can provide a lot of information to estimate soil loss and sediment yields at large-scale. In this study, the Revised Universal Soil Loss Equation (RUSLE) integrated into a GIS was used to quantify soil losses in the large upper watershed of Ziz (4435 km2) in southeastern of Morocco. The RUSLE parameters were estimated based on data from satellite imagery, DEM-SRTM and national watershed management plan studies. The results show that annual average of the potential soil erosion is 489.5 t. ha-1. yr-1 and the specific sediment yield is 36.4 t. ha-1. yr-1. The main sources of sediment are in the watershed upstream parts and some deposition zones are located before the catchment outlet. These soil losses contribute to the annual siltation of the Hassan Eddakhil dam by a rate of 3.5%. The application of principal components analysis to soil erosion factors shows an important influence of the soil erodibility factor (K) followed by the topographic factor (LS) then crop management factor (C). These modeling results will provide data within the Moroccan southeastern High Atlas that can constitute a road map for future soil erosion projects and it can be a useful tool for proposing soil conservation strategies. © 2020 University of Craiova, Faculty of Social Sciences, Department of Geography. All rights reserved.</t>
  </si>
  <si>
    <t>2-s2.0-85103273648"</t>
  </si>
  <si>
    <t>Investigaciones Geograficas</t>
  </si>
  <si>
    <t>10.14350/RIG.60042</t>
  </si>
  <si>
    <t>https://www.scopus.com/inward/record.uri?eid=2-s2.0-85102172229&amp;doi=10.14350%2fRIG.60042&amp;partnerID=40&amp;md5=096d0d8a9607c9ff0ccd604362a359a4</t>
  </si>
  <si>
    <t>Most methods for estimating the morphometric values of water bodies use equations derived from hypsographic curves or digital terrain models (DTMs) that relate depth, volume (V), and area (A), and that model the uncertainty inherent in the complex underwater morphology. This work tests the performance (precision and processing time) of an algorithm to calculate morphometric parameters of a lake that uses bathymetry and topography of the surrounding water body area. The projection of the water surface height (H) on each DTM pixel generates a water column with intrinsic attributes such as volume and area. The process is replicated among all cells and estimates the total area and volume of the water body. If the V or A is the input data, an algorithm that iterates height values is used to generate the new data, which is compared to the entered value that functions as a reference. If the difference between the reference value and the calculated value is less than an error threshold, the iteration stops, and the maximum and average depths are calculated. The raster and the shape that represent the body of water are created. The cross-comparison of H-V-A showed that there is an error between 0.0034% and 0.000039% when any of the parameters are used as input data. Performance tests determined that pixel dimensions are directly proportional to the processing time for each iteration. The results of the implementation of this algorithm were satisfactory since, for the DTM of Bustillos Lake, Chihuahua, Mexico, the simulation took less than 17 seconds in at most 22 iterations. © 2020 Instituto de Geografia. All rights reserved.</t>
  </si>
  <si>
    <t>2-s2.0-85102172229"</t>
  </si>
  <si>
    <t>10.1038/s41598-020-65412-3</t>
  </si>
  <si>
    <t>https://www.scopus.com/inward/record.uri?eid=2-s2.0-85085156228&amp;doi=10.1038%2fs41598-020-65412-3&amp;partnerID=40&amp;md5=a4f3496d80fc37c9d78f8b37516e006f</t>
  </si>
  <si>
    <t>Variability characterization of tsunami generation is quintessential for proper hazard estimation. For this purpose we isolate the variability which stems solely from earthquake spatial source complexity, by simulating tsunami inundation in the near-field with a simplified digital elevation model, using nonlinear shallow water equations. For earthquake rupture, we prescribe slip to have a log-normal probability distribution function and von Kármán correlation between each subfault pair, which we assume decreases with increasing euclidean distance between them. From the generated near-field inundation time-series, emanating from several thousand synthetic slip realizations across a magnitude 9 earthquake, we extract several tsunami intensity measures at the coast. Results show that all considered tsunami intensity measures and potential energy variability increase with increasing spatial slip correlations. Finally, we show that larger spatial slip correlations produce higher tsunami intensity measure exceedance probabilities within the near-field, which highlights the need to quantify the uncertainty of earthquake spatial slip correlation. © 2020, The Author(s).</t>
  </si>
  <si>
    <t>2-s2.0-85085156228"</t>
  </si>
  <si>
    <t>10.1186/s42501-020-00078-6</t>
  </si>
  <si>
    <t>https://www.scopus.com/inward/record.uri?eid=2-s2.0-85096623165&amp;doi=10.1186%2fs42501-020-00078-6&amp;partnerID=40&amp;md5=c5171f4ced774b6614824bfd7108eb22</t>
  </si>
  <si>
    <t>Rising sea-levels in tectonically active epicontinental basins often lead to varied depositional settings and palaeogeography, mostly influenced by the net accommodation resulting from mutual interference of the extent and nature of landward encroachment by the sea and the net sedimentation. The Cenomanian Nimar Sandstone Formation, Bagh Group, Narmada rift basin, uniquely portrays the effect of sea-level rise within an intra-cratonic setting and attributes to the corresponding palaeogeographic changes in west-central India. An integrated sedimentological–sequence-stratigraphic study of the broadly fining-upward Nimar Sandstone Formation (thickness ~ 20–30 m) depicts the actual nature of changeover from a fluvial to a marine-dominated transitional depositional setting. Detailed sedimentological study reveals total seventeen facies, grouped in five facies associations, viz., the channel-fill facies association (FA-1), the overbank facies association (FA-2), the fluvial-dominated fluvio-tidal facies association (FA-3), the tide-dominated fluvio-tidal facies association (FA-4), and the shoreface facies association (FA-5). Overall facies architecture indicates a west-to-eastward marine encroachment, resulting in stacking of three distinct palaeo-depositional conditions: (i) an initial fluvial system with channel and overbank, changing into a tide-influenced fluvial bay-head delta in the inner estuary, followed by (ii) marine encroachment leading to a tide-dominated central estuary with inter- to sub-tidal settings, and finally, (iii) with further intense marine encroachments, a wave-reworked open shore condition in the outer estuary zone. The overall fining-up succession with a systematic change from fluvial to marine-dominated depositional systems points to a landward shift of the shoreline, signifying a major transgressive event correlated to the Cenomanian global sea-level rise. Characteristic stratal stacking patterns point to four coarsening- and fining-up hemicycles, embedded within the major transgressive succession. These high-frequency cycles attest to the varied interplay of sedimentation, tectonics and sea-level changes, and the resultant net accommodations. A palaeogeographic model is proposed based on the high-frequency transgressive–regressive hemicycles, which envisages the evolution of the depositional environments in relation to the Cenomanian eustatic rise in the intra-cratonic riftogenic fluvio-marine transitional basinal setup. © 2020, The Author(s).</t>
  </si>
  <si>
    <t>2-s2.0-85096623165"</t>
  </si>
  <si>
    <t>10.1038/s43247-020-0008-8</t>
  </si>
  <si>
    <t>https://www.scopus.com/inward/record.uri?eid=2-s2.0-85101233289&amp;doi=10.1038%2fs43247-020-0008-8&amp;partnerID=40&amp;md5=ba264b0537381b497ee5f71821e5c90c</t>
  </si>
  <si>
    <t>Sea level variability increasingly contributes to coastal flooding and erosion as global sea levels rise, partly due to the thermal expansion of seawater, which accelerates with increasing temperature. Climate model simulations with increasing greenhouse gas emissions suggest that future sea level variability, such as the annual and interannual oscillations that alter local astronomical tidal cycles and contribute to coastal impacts, will also increase in many regions. Here, we present an analysis of the CMIP5 climate model projections of future sea level to show that there is a tendency for a near-global increase in sea level variability with continued warming that is robust across models, regardless of whether ocean temperature variability increases. Specifically, for an upper-ocean warming by 2 °C, which is likely to be reached by the end of this century, sea level variability increases by 4 to 10% globally on seasonal-to-interannual timescales because of the nonlinear thermal expansion of seawater. As the oceans continue to warm, future ocean temperature oscillations will cause increasingly larger buoyancy-related sea level fluctuations that may alter coastal risks. © 2020, The Author(s).</t>
  </si>
  <si>
    <t>2-s2.0-85101233289"</t>
  </si>
  <si>
    <t>10.1029/2020JC016256</t>
  </si>
  <si>
    <t>https://www.scopus.com/inward/record.uri?eid=2-s2.0-85098087556&amp;doi=10.1029%2f2020JC016256&amp;partnerID=40&amp;md5=85b7521b13cd63d55c518243f45be83c</t>
  </si>
  <si>
    <t>Anthropogenic modifications of estuarine morphology such as navigational channels have changed tidal dynamics in many estuaries. The implications of deepening may include shifts in tidal range, sediment transport, pollutant dispersal, and changes in flood risk, among others. Here, we use a numerical model to study how channel deepening has altered tidal elevation, currents, and energy fluxes in the Delaware, a convergent estuary on the east coast of the United States. Historical (1848) and modern (2014) depth soundings were digitized and gridded for a numerical model of the estuary. Numerical experiments indicate a doubling in tidal range, shifts in the arrival time of high water, and changes in elevation-velocity phase. A historical increase in the upstream conveyance and transmission of energy is consistent with bigger amplitudes, swifter currents, and more progressive wave dynamics in the navigational channel. Changes in local topography were key in the modulation of tidal energy transmission upstream, especially in the tidal river. © 2020. American Geophysical Union. All Rights Reserved.</t>
  </si>
  <si>
    <t>2-s2.0-85098087556"</t>
  </si>
  <si>
    <t>10.1038/s41598-020-70306-5</t>
  </si>
  <si>
    <t>https://www.scopus.com/inward/record.uri?eid=2-s2.0-85089741259&amp;doi=10.1038%2fs41598-020-70306-5&amp;partnerID=40&amp;md5=bb7205a2be83c273c7b66c7f4f772cae</t>
  </si>
  <si>
    <t>Microplastics are contaminants of increasing global environmental concern. Estuaries are a major transport pathway for land-derived plastics to the open ocean but are relatively understudied compared to coastal and open marine environments. The role of the “estuarine filter”, by which the supply of sediments and contaminants to the sea is moderated by processes including vegetative trapping and particle flocculation, remains poorly defined for microplastics land to sea transfer. Here, we focus on the sea surface microlayer (SML) as a vector for microplastics, and use SML sampling to assess microplastic trapping in a temperate marsh system in Southampton Water, UK. The SML is known to concentrate microplastics relative to the underlying water and is the first part of rising tidal waters to traverse intertidal and upper tidal surfaces. Sampling a salt marsh creek at high temporal resolution allowed assessment of microplastics in-wash and outflow from the salt marsh, and its relationship with tidal state and bulk suspended sediment concentrations (SSC), over spring and neap tides. A statistically significant decrease in microplastics abundance from the flood tide to the ebb tide was found, and a weak positive relationship with SSC observed. © 2020, The Author(s).</t>
  </si>
  <si>
    <t>2-s2.0-85089741259"</t>
  </si>
  <si>
    <t>10.1038/s41597-020-0496-5</t>
  </si>
  <si>
    <t>https://www.scopus.com/inward/record.uri?eid=2-s2.0-85085539793&amp;doi=10.1038%2fs41597-020-0496-5&amp;partnerID=40&amp;md5=9c867a95c654c5e8c68c99dffbeb45a9</t>
  </si>
  <si>
    <t>Real-world observational datasets that record and quantify pressure-stressor-response linkages between effluent discharges and natural aquatic systems are rare. With global wastewater volumes increasing at unprecedented rates, it is urgent that the present dataset is available to provide the necessary information about microbial community structure and functioning. Field studies were performed at two time-points in the Austral summer. Single-species and microbial community whole effluent toxicity (WET) testing was performed at a complete range of effluent concentrations and two salinities, with accompanying environmental data to provide new insights into nutrient and organic matter cycling, and to identify ecotoxicological tipping points. The two salinity regimes were chosen to investigate future scenarios based on a predicted salinity increase at the study site, typical of coastal regions with rising sea levels globally. Flow cytometry, amplicon sequencing of 16S and 18S rRNA genes and micro-fluidic quantitative polymerase-chain reactions (MFQPCR) were used to determine chlorophyll-a and total bacterial cell numbers and size, as well as taxonomic and functional diversity of pelagic microbial communities. This strong pilot dataset could be replicated in other regions globally and would be of high value to scientists and engineers to support the next advances in microbial ecotoxicology, environmental biomonitoring and estuarine water quality modelling. © 2020, The Author(s).</t>
  </si>
  <si>
    <t>2-s2.0-85085539793"</t>
  </si>
  <si>
    <t>10.3390/geosciences10110468</t>
  </si>
  <si>
    <t>https://www.scopus.com/inward/record.uri?eid=2-s2.0-85096620118&amp;doi=10.3390%2fgeosciences10110468&amp;partnerID=40&amp;md5=47a7fbb1878afa3b235e39ccf66dcbcf</t>
  </si>
  <si>
    <t>In Kyrgyzstan, outburst flood disasters from glacial lakes are increasing. An example is the sudden drainage on 8 August 2019 of the Toguz-Bulak glacial lake in the Tosor river basin of the northern Tien Shan region. In this study, we used remote sensing and field surveys to examine the reasons for the outburst. We found that the lake area changed from 0.021 km2 to 0.002 km2 due to the outburst, in which most of the initial 130,000 m3 of water discharged within four hours. In examining the longer-term behavior of this lake, we found that from 2010 through 2019, it appears in June and disappears in September every year. Its maximum area occurs in late July and early August. With the expansion of the lake basin between 2010 and 2019, the lake also increased greatly in size, particularly so in the three years before the outburst, linked to high summer temperatures and the resulting higher inflow of glacier meltwater, finally leading to the sudden drainage in 2019. Before this outburst, a 2-m high moraine dam retained the lake. Continuously inflowing meltwater and the related increasing pressure by the lake water mass eventually broke the moraine dam. Satellite radar interferometry revealed active displacement fringes in the lake basin and moraine dam due to the melting and subsidence of buried ice. An analysis using digital elevation models from 1964 and 2010 also confirms the surface lowering in the lake basin by up to 8.5 m and on the moraine dam by 2 m. Such lowering of the proglacial moraine complex destabilized the moraine dam. © 2020 by the authors. Licensee MDPI, Basel, Switzerland.</t>
  </si>
  <si>
    <t>2-s2.0-85096620118"</t>
  </si>
  <si>
    <t>10.2166/wcc.2020.244</t>
  </si>
  <si>
    <t>https://www.scopus.com/inward/record.uri?eid=2-s2.0-85099122890&amp;doi=10.2166%2fwcc.2020.244&amp;partnerID=40&amp;md5=d60ce7d04f48c6f98f4097c07380aa26</t>
  </si>
  <si>
    <t>The primary goal of the study is to analyze the spatial-temporal trends and distribution of flood events in the context of climate change in Armenia. For that purpose, some meteorological parameters, physical-geographical factors and the flood events data were studied for the 1994–2019 period. The linear trends demonstrate an increasing tendency of air temperature and precipitation. Those trends expressed increased flood occurrences, especially for the 2000s, whereas the Mann– Kendall (MK) trend test reveals no significant change. The number of flood events reaches its maximum in 2011 with its peak in May. Out of 191 flood events, half of the occurrences are recorded in the flat areas and southern aspects of the mountains (22% of the country’s territory). There is a certain clustering of flood events in the areas with up to 5° slopes (66% of flood events). The most flood vulnerable areas were analyzed and mapped via Geographical Information System (GIS). The GIS-based mapping shows the location of flood vulnerable areas in the central, northern parts of the country, and the coastal areas of Lake Sevan. Our methodological approach elaborates the localization of flood-prone sites. It can be used for the flood hazard assessment mapping and risk management. © IWA Publishing 2020.</t>
  </si>
  <si>
    <t>2-s2.0-85099122890"</t>
  </si>
  <si>
    <t>10.5194/nhess-20-3039-2020</t>
  </si>
  <si>
    <t>https://www.scopus.com/inward/record.uri?eid=2-s2.0-85096134725&amp;doi=10.5194%2fnhess-20-3039-2020&amp;partnerID=40&amp;md5=081916efca0cadecec46425fa9dd2250</t>
  </si>
  <si>
    <t>Nankai-Tonankai megathrust earthquakes and tsunamis pose significant risks to coastal communities in western and central Japan. Historically, this seismic region hosted many major earthquakes, and the current national tsunami hazard assessments in Japan consider megathrust events as those having moment magnitudes between 9.0 and 9.1. In responding to the lack of rigorous uncertainty analysis, this study presents an extensive tsunami hazard assessment for the Nankai-Tonankai Trough events, focusing on the southwestern Pacific region of Japan. A set of 1000 kinematic earthquake rupture models is generated via stochastic source modelling approaches, and Monte Carlo tsunami simulations are carried out by considering high-resolution grid data of 10 m and coastal defence structures. Significant advantages of the stochastic tsunami simulation methods include the enhanced capabilities to quantify the uncertainty associated with tsunami hazard assessments and to effectively visualize the results in an integrated manner. The results from the stochastic tsunami simulations can inform regional and local tsunami risk reduction actions in light of inevitable uncertainty associated with such tsunami hazard assessments and complement conventional deterministic tsunami scenarios and their hazard predictions, such as those developed by the Central Disaster Management Council of the Japanese Cabinet Office. © Author(s) 2020. This work is distributed under the Creative Commons Attribution 4.0 License.</t>
  </si>
  <si>
    <t>2-s2.0-85096134725"</t>
  </si>
  <si>
    <t>10.2112/JCR-SI105-008.1</t>
  </si>
  <si>
    <t>https://www.scopus.com/inward/record.uri?eid=2-s2.0-85098508094&amp;doi=10.2112%2fJCR-SI105-008.1&amp;partnerID=40&amp;md5=e482b1c95b295316296fd71687bffe14</t>
  </si>
  <si>
    <t>The transition of upstream or open sea conditions eventually leads to the change of sediment budget in estuaries and results in its evolution. In this paper, marine facies change for the Yangtze Estuary has been investigated based on statistics and harmonic analysis on the observed water-level time series at stations. The sea-level rise (SLR) rate and the main tidal constituent change were obtained for the estuary. Scenarios were designed to represent change of input conditions for the process-based model of the estuary. The net sediment budget of the mouth bar area in the estuary was calculated according to the cumulative flux through the predefined controlling cross-sections. The results reveal that (1) the SLR in the coming two decades results in sediment demand increase in the mouth bar area and restrains the seaward export sediment</t>
  </si>
  <si>
    <t>10.1007/s11600-020-00484-3</t>
  </si>
  <si>
    <t>https://www.scopus.com/inward/record.uri?eid=2-s2.0-85091732014&amp;doi=10.1007%2fs11600-020-00484-3&amp;partnerID=40&amp;md5=23d225b1abec76304c8568b9ba8ceab4</t>
  </si>
  <si>
    <t>Climate change is expected to adversely affect the coastal ecosystem in many ways. One of the major consequences of climate change in coastal areas is sea level rise. In order to manage this problem efficiently, it is essential to obtain reasonably accurate estimates of future sea level. This study focuses essentially on the identification of climatic variables influencing sea level and sea level prediction. Correlation analysis and wavelet coherence diagrams were used for identifying the influencing variables, and support vector machine (SVM) and hybrid wavelet support vector machine (WSVM) techniques were used for sea level prediction. Sea surface temperature, sea surface salinity, and mean sea level pressure were observed to be the major local climatic variables influencing sea level. Halosteric effect is found to have a major impact on the sea level. The variables identified were subsequently used as predictors in both SVM and WSVM. WSVM employs discrete wavelet transform to decompose the variables before being input to the SVM model. The performance of both the models was compared using statistical measures such as root mean square error (RMSE), correlation coefficient (r), coefficient of determination (r2), average squared error, Nash–Sutcliffe efficiency, and percentage bias along with graphical indicators such as Taylor diagrams and regression error characteristic curves. Results indicate that the WSVM model predicted sea level with an RMSE of 0.029 m during the training and 0.040 m during the testing phases. The corresponding values for SVM are 0.043 m and 0.069 m, respectively. Also, the other statistical measures and graphical indicators suggest that WSVM technique outperforms the SVM approach in the prediction of sea level. © 2020, Institute of Geophysics, Polish Academy of Sciences &amp; Polish Academy of Sciences.</t>
  </si>
  <si>
    <t>2-s2.0-85091732014"</t>
  </si>
  <si>
    <t>10.1029/2020JC016096</t>
  </si>
  <si>
    <t>https://www.scopus.com/inward/record.uri?eid=2-s2.0-85098088093&amp;doi=10.1029%2f2020JC016096&amp;partnerID=40&amp;md5=8449b067891d4f4402e176609f4578cf</t>
  </si>
  <si>
    <t>The salinity structure in an estuary is controlled by time-dependent mixing processes. However, the locations and temporal variability of where significant mixing occurs is not well-understood. Here we utilize a tracer variance approach to demonstrate the spatial and temporal structure of salinity mixing in the Hudson River Estuary. We run a 4-month hydrodynamic simulation of the tides, currents, and salinity that captures the spring-neap tidal variability as well as wind-driven and freshwater flow events. On a spring-neap time scale, salinity variance dissipation (mixing) occurs predominantly during the transition from neap to spring tides. On a tidal time scale, 60% of the salinity variance dissipation occurs during ebb tides and 40% during flood tides. Spatially, mixing during ebbs occurs primarily where lateral bottom salinity fronts intersect the bed at the transition from the main channel to adjacent shoals. During ebbs, these lateral fronts form seaward of constrictions located at multiple locations along the estuary. During floods, mixing is generated by a shear layer elevated in the water column at the top of the mixed bottom boundary layer, where variations in the along channel density gradients locally enhance the baroclinic pressure gradient leading to stronger vertical shear and more mixing. For both ebb and flood, the mixing occurs at the location of overlap of strong vertical stratification and eddy diffusivity, not at the maximum of either of those quantities. This understanding lends a new insight to the spatial and time dependence of the estuarine salinity structure. © 2020 The Authors. This article has been contributed to by US Government employees and their work is in the public domain in the USA.</t>
  </si>
  <si>
    <t>2-s2.0-85098088093"</t>
  </si>
  <si>
    <t>10.1007/s10113-020-01691-w</t>
  </si>
  <si>
    <t>https://www.scopus.com/inward/record.uri?eid=2-s2.0-85092051169&amp;doi=10.1007%2fs10113-020-01691-w&amp;partnerID=40&amp;md5=1f15cdcb1d933b886b1b3e9bfe8260a4</t>
  </si>
  <si>
    <t>Coastal areas host a significant part of the world population and of humankind’s adaptation needs in the face of effects of climate change, especially sea-level rise and ocean warming and acidification. Atoll islands illustrate frontline situations due to their biophysical (low elevation, small land area, 360°-exposure to waves, limited natural resources and fragile ecosystems) and human (high population densities in urban environments, low level of development, limited technical and financial capacities) characteristics. In these contexts, it is urgent to understand the space for societal adaptation and based on this, identify robust and context-specific adaptation strategies. This essay builds on the hypothesis that, given the nature of atoll islands, understanding the way and extent to which local human-driven disturbances affect the reef-island system’s capacity to provide coastal protection services, is a relevant entry point. Using the case of the Maldives, we propose to combine five types of adaptation into a generic adaptation pathway, and apply it to atoll island types going from no to highly disturbed environments. This work highlights two major conclusions: first, that diverse island profiles require different adaptation pathways; second, that in contexts under high human pressure, the window of opportunities for diversified adaptation strategies is closing fast.</t>
  </si>
  <si>
    <t>10.1186/s40645-020-00343-1</t>
  </si>
  <si>
    <t>https://www.scopus.com/inward/record.uri?eid=2-s2.0-85089175662&amp;doi=10.1186%2fs40645-020-00343-1&amp;partnerID=40&amp;md5=effeeec1f4161988b8df5e061b6f2cd3</t>
  </si>
  <si>
    <t>A detailed chronostratigraphic framework established by the mapping of tephra key beds and application of oxygen isotopic data allows assessment of the synchroneity and diachroneity of depositional systems formed in coastal and deep-water environments. This framework also allows estimation of the timing of active delivery of coarse-grained sediments beyond the shelf margin in relation to relative sea-level changes. The depositional processes of deep-water massive sandstones (DWMSs) are still enigmatic</t>
  </si>
  <si>
    <t>10.1007/s10584-020-02919-8</t>
  </si>
  <si>
    <t>https://www.scopus.com/inward/record.uri?eid=2-s2.0-85096385202&amp;doi=10.1007%2fs10584-020-02919-8&amp;partnerID=40&amp;md5=a9cbb215977b316d8a0078aebaafb2fe</t>
  </si>
  <si>
    <t>The predominant responses to rising sea levels are in situ adaptations. However, increasing rates of sea-level rise will render ex situ adaptations—in the form of relocations—inevitable in some low-lying coastal zones. Particularly small island states like the Maldives face this significant adaptation challenge. Here, government action is necessary to move vulnerable communities out of flood-prone areas. Yet, little empirical knowledge exists about the governance of relocations. While the literature often highlights risks and benefits of relocations, it remains unclear how governments organized relocations and what drove relocation policy. Therefore, we examined Maldivian relocation policies from 1968 to 2018 to explain government support of relocations. For this, we used a qualitative research design and extended the multiple streams approach with the theoretical lens of historical institutionalism. To gather data, we conducted semi-structured interviews (n = 23) with relocation policy experts and locals affected by relocations. Interview data was complemented with a desk review of relevant laws, historical records, and policy documents. We find 29 completed and 25 failed cases of relocations in the 50-year period. Key drivers of relocation policies are focusing events, socioeconomic development, and institutionalized island autonomy. We find that relocations were predominantly initiated as means to facilitate economic development, not as a response to rising seas or coastal risk. With current rapid economic development and strengthened democratic institutions, relocations are not considered as a policy option anymore. We conclude that implementing relocations proactively will face significant barriers in the future, which highlights the urgency of successful in situ adaptations in the Maldives. © 2020, The Author(s).</t>
  </si>
  <si>
    <t>2-s2.0-85096385202"</t>
  </si>
  <si>
    <t>10.1016/j.earscirev.2020.103414</t>
  </si>
  <si>
    <t>https://www.scopus.com/inward/record.uri?eid=2-s2.0-85096692494&amp;doi=10.1016%2fj.earscirev.2020.103414&amp;partnerID=40&amp;md5=a121f727026f64876992bf676c1af8a5</t>
  </si>
  <si>
    <t>Current use of land surface curvatures (LSCs) is in a confused state as a large gap has opened up between applications and theoretical work. LSCs exercise important control on changes of gravity potential energy and the equilibrium of the surface, and they are increasingly used in geosciences but they are not consistently defined. This paper offers a comprehensive theoretical framework for definition, classification and interpretation of LSCs. Systematization of known and newly derived relationships between LSCs is followed by extension of the traditional scheme for interpretation. A new comprehensive system of LSCs starts with the basic trio: profile, plan and twisting curvatures, and includes their slope-dependent sub-forms, combinations and imitations. Analysis of their influence on changes of gravitational potential energy available for mass flows is crucial for their understanding, and leads to a new interpretation of difference curvature. The systematic evaluation of LSCs as expressions of slope disequilibrium offers a further interpretation: zero values of LSCs can be considered as important theoretical attractors of landform development. LSCs are increasingly employed for analyses of landslide, flood, snow avalanche, forest fire, soil erosion, mass balance, ground water, digital soil mapping, individual landform identification and land surface segmentation, modelling of landscape development, classification of LIDAR data and visualization of terrain features. Important improvement of LSC use in all these spheres is possible. They are mostly computed in geographical information systems with limited capabilities: the performance of ArcGIS, SAGA, GRASS, LandSerf, Surfer and MICRODEM is compared here. The important interrelations of DEM resolution, accuracy and generalization are demonstrated in relation to the nested hierarchy of land forms and processes. The best interpretable LSCs, and challenges of future progress, are specified at the close of the paper. © 2020 Elsevier B.V.</t>
  </si>
  <si>
    <t>2-s2.0-85096692494"</t>
  </si>
  <si>
    <t>10.1016/j.scitotenv.2020.141244</t>
  </si>
  <si>
    <t>https://www.scopus.com/inward/record.uri?eid=2-s2.0-85088916109&amp;doi=10.1016%2fj.scitotenv.2020.141244&amp;partnerID=40&amp;md5=3c2d2ddf89ad986a25241afc90f90ee9</t>
  </si>
  <si>
    <t>Global climate change has exacerbated flooding in coastal areas affected by soil salinization. Ammonium (NH4+) is the predominant form of nitrogen in flooded soils, but the role played by NH4+ in the plant response to salt stress has not been fully clarified. We investigated the responses of Arabidopsis thaliana, Oryza sativa, and Nicotiana benthamiana plants fed with NH4+. All species were hypersensitive to NaCl stress and accumulated more Cl− and less Na+ than those fed with NO3−. Further investigation of A. thaliana indicated that salt hypersensitivity induced by the presence of NH4+ was abolished by removing the Cl− but was not affected by the removal of Na+, suggesting that excess accumulation of Cl− rather than Na+ is involved in NH4+-conferred salt hypersensitivity. The expression of nitrate transporter NRT1.1 protein was also up-regulated by NH4+ treatment, which increased root Cl− uptake due to the Cl− uptake activity of NRT1.1 and the absence of uptake competition from NO3−. Knockout of NRT1.1 in plants decreased their root Cl− uptake and retracted the NH4+-conferred salt hypersensitivity. Our findings revealed that NH4+-aggravated salt stress in plants is associated with Cl− over-accumulation through the up-regulation of NRT1.1-mediated Cl− uptake. These findings suggest the significant impact of Cl− toxicity in flooded coastal areas, an issue of ecological significance. © 2020 Elsevier B.V.</t>
  </si>
  <si>
    <t>2-s2.0-85088916109"</t>
  </si>
  <si>
    <t>10.1007/s12040-020-01466-1</t>
  </si>
  <si>
    <t>https://www.scopus.com/inward/record.uri?eid=2-s2.0-85091437096&amp;doi=10.1007%2fs12040-020-01466-1&amp;partnerID=40&amp;md5=7330f0757a5504754c6c7b7561ec4bab</t>
  </si>
  <si>
    <t>Abstract: Extreme precipitation has significant impacts on human society and agriculture development under global climate change as well as severe effects on rice development. However, little research has been done on the characteristics of extreme precipitation in different rice growth stages. Taking the South China region as a case study, the characteristics of extreme daily precipitation in the early rice season (April–July) from 1960 to 2009 were investigated by using percentile method. Results indicated that extreme precipitation threshold increases since the tillering stage, and there is big difference between the first and the rest growth stages. Extreme precipitation is serious in the eastern part than in the western part of South China during the seeding and tillering stage, and reverse since the booting stage. Frequency of extreme precipitation increases in recent decades after the booting stage. Finally, flood risk regions form more easily in the coastal cities and the western part of South China in the 1990s and 2000s since the tillering stage. Research Highlights: Extreme precipitation has significant impact on the rice production in South China region during the early rice period. However, characteristics of extreme precipitation in different rice growth stages are still unclear. The researchers use daily precipitation data (1960–2009) and percentile method to analysis the extreme precipitation distribution in South China region during April–July for early rice season.The researchers found extreme precipitation is serious in South China region since tillering stage, and getting more serious when it comes to the rest of the growth stages. High extreme precipitation centers occur in different region during early rice period. Flood protection and crops planning should focus on different region for different stages. Data analysis also show that extreme precipitation is serious in the eastern part than in the western part of South China during the seeding and tillering stage, and reverse since the booting stage. Frequency of extreme precipitation increases in recent decades and more flood risk region form in the coastal cities. Crop planning and disaster managements in South China during early rice period need for careful consideration of different flood risk region in different stages. © 2020, Indian Academy of Sciences.</t>
  </si>
  <si>
    <t>2-s2.0-85091437096"</t>
  </si>
  <si>
    <t>10.1038/s41598-020-71331-0</t>
  </si>
  <si>
    <t>https://www.scopus.com/inward/record.uri?eid=2-s2.0-85090012172&amp;doi=10.1038%2fs41598-020-71331-0&amp;partnerID=40&amp;md5=e586923455d9cddbebfef18c917cb6ec</t>
  </si>
  <si>
    <t>Rivers around the world are threatened by altered flow due to water resource development. Altered flow can change food webs and impact riverine energetics. The Fitzroy River, in northern Australia, is targeted for development but uncertainty remains about the sources of carbon supporting the food web, particularly in the lowlands—the region most likely to be impacted by water extraction. This study used stable isotopes to investigate if algal biofilm is the main carbon source sustaining fish in lowland habitats. We also sought evidence that large-bodied migratory fish were transporting remote carbon around the system. Our results revealed that local algal biofilm carbon was the dominant source of energy sustaining fish in wet season floodplain habitats, but that fish in main-channel pools during the dry season were increasingly dependent on other carbon sources, such as leaf litter or phytoplankton. We found no evidence that large-bodied fish were transporting remote carbon from the floodplain or estuary into the lower main-channel of the river. We recommend that water planners take a precautionary approach to policy until sufficient food web evidence is amassed. © 2020, The Author(s).</t>
  </si>
  <si>
    <t>2-s2.0-85090012172"</t>
  </si>
  <si>
    <t>10.1038/s41598-020-62432-x</t>
  </si>
  <si>
    <t>https://www.scopus.com/inward/record.uri?eid=2-s2.0-85083545844&amp;doi=10.1038%2fs41598-020-62432-x&amp;partnerID=40&amp;md5=6b310fd69c48918c8f1b0824e1d1d087</t>
  </si>
  <si>
    <t>The Yangtze River Estuary (YRE) is one of the world’s largest river-tidal systems with rapidly changing hydrology and morphology following the construction of multiple dams. The effects of dam construction may extend to the region close to the coast, where channel stability depends on the asymmetry of the tide. Here, we focus on the possible effects of changing discharge regimes on tidal asymmetry in the YRE. Specifically, we focus on the difference in duration between ebb and flood, quantified as tidal duration asymmetry, because it has strong implications for residual sediment transport and can be derived from available water level data. To cope with nonstationary tides under the influence of a time-varying river discharge, a nonstationary harmonic analysis tool (NS_TIDE) is applied to explore the spatiotemporal variations in tidal duration asymmetry, under the influence of different combinations of tidal constituents. Tidal duration asymmetry initially increases, then slightly decreases, in an upstream direction. It experiences significant seasonal variations in response to rapidly varying discharge: tides are more asymmetric upstream of Zhenjiang in the dry season and more asymmetric downstream in the wet season. The combined effects of discharge regulation and morphological changes cause seasonal alterations in tidal duration asymmetry. In the wet season, reduced river discharge caused by water storage and climate change enhance the asymmetry upstream (+11.74% at Wuhu, +7.19 at Nanjing) while the asymmetry is weakened downstream (-2.90% at Zhenjiang, -7.19 at Jiangyin) following the TGD’s operation. Downstream channel erosion caused by post-TGD lower sediment loads has become the dominant factor weakening tidal asymmetry in most parts of the YRE in the dry season. Understanding these evolutions of tidal duration asymmetry under the hydrological and morphological effects has important implications for the management of estuarine ecosystem and navigation. © 2020, The Author(s).</t>
  </si>
  <si>
    <t>2-s2.0-85083545844"</t>
  </si>
  <si>
    <t>10.5194/nhess-20-3215-2020</t>
  </si>
  <si>
    <t>https://www.scopus.com/inward/record.uri?eid=2-s2.0-85097085797&amp;doi=10.5194%2fnhess-20-3215-2020&amp;partnerID=40&amp;md5=6c781ef7a3134dd7f73a0de3c5d3a4c6</t>
  </si>
  <si>
    <t>pLandslides are major hazards that may pose serious threats to mountain communities. Even landslides in remote mountains could have non-negligible impacts on populous regions by blocking large rivers and forming dam-breached mega floods. Usually, there are slope deformations before major landslides occur, and detecting precursors such as slope movement before major landslides is important for preventing possible disasters. In this work, we applied multi-temporal optical remote sensing images (Landsat 7 and Sentinel-2) and an image correlation method to detect subpixel slope deformations of a slope near the town of Mindu in the Tibet Autonomous Region. This slope is located on the right bank of the Jinsha River, span classCombining double low line""inline-formula""g1/480/span&amp;thinsp</t>
  </si>
  <si>
    <t>10.3390/ijgi9120748</t>
  </si>
  <si>
    <t>https://www.scopus.com/inward/record.uri?eid=2-s2.0-85105137925&amp;doi=10.3390%2fijgi9120748&amp;partnerID=40&amp;md5=6142e97b32068b40e1032128a1bda500</t>
  </si>
  <si>
    <t>Flash floods are one of the most frequent natural disasters in Fujian Province, China, and they seriously threaten the safety of infrastructure, natural ecosystems, and human life. Thus, recognition of possible flash flood locations and exploitation of more precise flash flood susceptibility maps are crucial to appropriate flash flood management in Fujian. Based on this objective, in this study, we developed a new method of flash flood susceptibility assessment. First, we utilized double standards, including the Pearson correlation coefficient (PCC) and Geodetector to screen the assessment indicator. Second, in order to consider the weight of each classification of indicator and the weights of the indicators simultaneously, we used the ensemble model of the certainty factor (CF) and logistic regression (LR) to establish a frame for the flash flood susceptibility assessment. Ultimately, we used this ensemble model (CF-LR), the standalone CF model, and the standalone LR model to prepare flash flood susceptibility maps for Fujian Province and compared their prediction performance. The results revealed the following. (1) Land use, topographic relief, and 24 h precipitation (H24_100) within a 100-year return period were the three main factors causing flash floods in Fujian Province. (2) The area under the curve (AUC) results showed that the CF-LR model had the best precision in terms of both the success rate (0.860) and the prediction rate (0.882). (3) The assessment results of all three models showed that between 22.27% and 29.35% of the study area have high and very high susceptibility levels, and these areas are mainly located in the east, south, and southeast coastal areas, and the north and west low mountain areas. The results of this study provide a scientific basis and support for flash flood prevention in Fujian Province. The proposed susceptibility assessment framework may also be helpful for other natural disaster susceptibility analyses. © 2020 by the authors. Licensee MDPI, Basel, Switzerland.</t>
  </si>
  <si>
    <t>2-s2.0-85105137925"</t>
  </si>
  <si>
    <t>10.1007/s12517-020-06318-2</t>
  </si>
  <si>
    <t>https://www.scopus.com/inward/record.uri?eid=2-s2.0-85098647077&amp;doi=10.1007%2fs12517-020-06318-2&amp;partnerID=40&amp;md5=bf9d987b559bd5eae83fa20c550acfe9</t>
  </si>
  <si>
    <t>Digital elevation models (DEMs) are important in flood modelling as they present surface information and obstacles giving the direction of water during a flood event. All hydraulic modelling software needs both channel and floodplain elevation data to simulate the water flow from upstream to downstream. Based on the accuracy and representative capacity of the surface, modelling results can be evaluated in terms of hazard and risk analysis. Developments in remote sensing and GIS technology provide many sources to freely obtain DEM data of different resolution and accuracy. However, access to and the processing of high-resolution data associated with large areas is difficult and time-consuming. This study, therefore, focuses on determining the availability of different resolutions and DEM sources in flood modelling by testing unmanned aerial vehicle (UAV) data. For this, freely available DEMs such as ALOS DEMs (12.5 and 30 m), EU-DEM (25 m), ASTER GDEM (30 m), SRTM (30 and 90 m), MERIT DEM (90 m) and TANDEM-X (90 m) were chosen to investigate part of Biga River (Turkey) which features a natural channel. Then, 1D flood modelling was examined using different DEM resolutions, Manning’s values and flood data of various frequencies (10, 100 and 1000 years). Results were tested using high-resolution DEM data (5 cm) gathered from a UAV. It was concluded that EU-DEM is the most suitable dataset in terms of flood extent, depth and velocity. However, depending on the boundary characteristics of the data, ALOS 12.5 DEM and MERIT DEM (90 m) data are the most suitable in their extent, depth and velocity for high-resolution and low-resolution flood modelling worldwide extent. © 2021, Saudi Society for Geosciences.</t>
  </si>
  <si>
    <t>2-s2.0-85098647077"</t>
  </si>
  <si>
    <t>10.1016/j.ecoleng.2020.106020</t>
  </si>
  <si>
    <t>https://www.scopus.com/inward/record.uri?eid=2-s2.0-85089887445&amp;doi=10.1016%2fj.ecoleng.2020.106020&amp;partnerID=40&amp;md5=1d82297147828b95f42c8133b2ecda76</t>
  </si>
  <si>
    <t>The high-risk nature of low-lying coastal areas means that many are characterised by protective dikes, sea walls, and earthen embankments. Across Europe, such structures are employed to limit landward sea flooding and have been used historically to reclaim wetlands, many of which have since gained international protected habitat status. Sea level rise and storms threaten the future viability of fixed flood defences which will be overtopped with increasing frequency and, in extreme cases, breached. This raises questions surrounding defence maintenance and the fate of the reclaimed wetlands they encircle and support. One approach is to design defences with the expectation that they will be overtopped during extreme events, but that catastrophic failure as a result of breaching will be prevented. Such an approach was recently implemented at Blakeney Freshes, North Norfolk Coast, UK, an embanked area of reedbeds and coastal wet grassland. Lowering and widening of the Freshes embankment was undertaken following extensive breaching during the 5 December 2013 storm surge. In this paper we develop and apply a numerical model chain, comprising storm surge water levels, waves, and overtopping, to explore inundation extent, depth, and duration resulting from storm surge induced flooding under several sea level rise scenarios. Modelling results revealed that 99.5% of the flood volume of the 2013 event resulted from embankment breaching. Simulating the same storm event after embankment reprofiling shows that flooding of the Freshes is reduced by 97%, largely because the lower, wider embankments preclude breaching. However, under future sea level rise scenarios, storm surge induced overtopping results in increased inundation depths and drainage times, raising questions regarding the resilience of vegetation communities within the Freshes. By 2100 under the lowest SLR scenario, and by 2050 under the mid SLR scenario, over half of the Freshes will be inundated for &gt;10 days, a potentially critical threshold for current wet grassland survival. Our findings suggest that while effective defence redesign may increase the viability of reclaimed wetland habitats in the short term, as sea levels rise, lengthened inundation durations may render these habitats increasingly vulnerable to ecosystem change under extreme events. © 2020 Elsevier B.V.</t>
  </si>
  <si>
    <t>2-s2.0-85089887445"</t>
  </si>
  <si>
    <t>10.1016/j.pdisas.2020.100131</t>
  </si>
  <si>
    <t>https://www.scopus.com/inward/record.uri?eid=2-s2.0-85096856428&amp;doi=10.1016%2fj.pdisas.2020.100131&amp;partnerID=40&amp;md5=06396c0c4f9c80d877b2a53b300e9511</t>
  </si>
  <si>
    <t>Bangladesh was introduced with the polder system during 1960s to secure agricultural production from salinity intrusion. Existing polder design practice follows traditional return-period based approach. The article introduces a risk-based framework to determine optimal polder level in the coastal area of Bangladesh. Distinguishable features of risk-based framework over previous method is its inclusion of risk cost and optimal project size. Storm surge flooding was considered as the hazard intensity in this study. Agricultural losses due to storm surge flooding were factorized to get total losses. The optimum level of the polder was determined by summing up the annualized costs of raising polder and the risk cost due to storm surge flooding. The optimal polder level was found to be about 5.63 mPWD with a return period of about 37 years. The optimum design return-period for the polder in Bangladesh is considerably low compared to the current global design practices. This underscores the local peculiarities of the area (e.g., land use, economic activities, hazard sensitivity) in balancing incremental investment costs with reduced risk costs in a risk-based concept. The demonstration of the risk-based concept that is made for designing a coastal polder has potential for replication in other infrastructure designs. © 2020</t>
  </si>
  <si>
    <t>2-s2.0-85096856428"</t>
  </si>
  <si>
    <t>10.1016/j.ejrh.2020.100742</t>
  </si>
  <si>
    <t>https://www.scopus.com/inward/record.uri?eid=2-s2.0-85092649920&amp;doi=10.1016%2fj.ejrh.2020.100742&amp;partnerID=40&amp;md5=ba01ff9bdcbfde5219371e2515571e39</t>
  </si>
  <si>
    <t>Study region: The Mekong basin, where climate change and anthropogenic interventions (e.g., dams, sand mining, and sluice gates) have intensified in the recent decades affecting the pristine flow regime and salinity intrusion. Study focus: This paper aims at quantifying the flow regime alterations in the entire Mekong from 1980 to 2015 and linking with the controlling drivers of alterations. In this regard, various indicators, analytical methods, and a semi two-dimensional hydrodynamic and advection-dispersion model were used. New hydrological insights for the region: The flow regime alterations in the high-dam development period (2009–2015) are more pronounced than in the low-dam development period (1993–2008), compared to the no-dam development period (1980–1992), based on most of the indicators analyzed. In the high-dam development period all existing dams with large reservoir capacity seemed to have cumulatively reduced the flood pulses and frequency and increased the low-flow discharge along the entire Mekong through reservoir operations, exceeding climate change effect. In the recent years the water levels in the low-flow season in the Vietnamese Mekong Delta (VMD) have decreased, possibly because of increased riverbed incision caused by reduced sediment supply and increased sand mining. The reduced water levels together with the increased number of the sluice gates constructed seemed to have increased salinity intrusion in the VMD which may be partly reduced by early emergency water release from upstream dams. © 2020 The Authors</t>
  </si>
  <si>
    <t>2-s2.0-85092649920"</t>
  </si>
  <si>
    <t>10.1007/s13157-020-01391-5</t>
  </si>
  <si>
    <t>https://www.scopus.com/inward/record.uri?eid=2-s2.0-85097378918&amp;doi=10.1007%2fs13157-020-01391-5&amp;partnerID=40&amp;md5=bdc78935c867124504fd69214d223a0f</t>
  </si>
  <si>
    <t>The papers in this Special Feature are the result of the first Marsh Resilience Summit in the Chesapeake Bay region, which occurred in February 2019. The Chesapeake Bay region has one of the highest rates of relative sea level rise in the U.S., jeopardizing over 1000 km2 of tidal wetlands along with other coastal lands. The goal of the Summit and this collection of articles is to analyze tidal wetland response to accelerating sea level rise and the effect their response will have on adaptation planning for surrounding communities. Ten Summit presenters share their research in this Special Feature. In this Introduction, we summarize their findings on evaluating restoration potential at the site-specific level, measuring and projecting marsh migration and erosions rates, describing impacts of wetland migration on a marsh dependent animal, effects on human communities, and finally the roles of property owners and government on future tidal wetland extent. These contributions demonstrate that tidal marsh distribution is dynamic in response to sea level rise, and that social, legal, and policy tools can be used and further developed to enable opportunities for restoring or conserving wetlands when stakeholders are engaged effectively. The papers here and feedback from Summit participants illuminate diverse priorities, research unknowns, and next steps for land use planning toward resilience of the Chesapeake Bay region that also can inform global communities. © 2020, Society of Wetland Scientists.</t>
  </si>
  <si>
    <t>2-s2.0-85097378918"</t>
  </si>
  <si>
    <t>10.5194/essd-12-2775-2020</t>
  </si>
  <si>
    <t>https://www.scopus.com/inward/record.uri?eid=2-s2.0-85091597370&amp;doi=10.5194%2fessd-12-2775-2020&amp;partnerID=40&amp;md5=75f2b620efc436a4adca74b7f5417706</t>
  </si>
  <si>
    <t>A large-scale field campaign was carried out on the ebb-tidal delta (ETD) of Ameland Inlet, a basin of the Wadden Sea in the Netherlands, as well as on three transects along the Dutch lower shoreface. The data have been obtained over the years 2017-2018. The most intensive campaign at the ETD of Ameland Inlet was in September 2017. With this campaign, as part of KustGenese2.0 (Coastal Genesis 2.0) and SEAWAD, we aim to gain new knowledge on the processes driving sediment transport and benthic species distribution in such a dynamic environment. These new insights will ultimately help the development of optimal strategies to nourish the Dutch coastal zone in order to prevent coastal erosion and keep up with sea level rise. The dataset obtained from the field campaign consists of (i) single-and multi-beam bathymetry</t>
  </si>
  <si>
    <t>10.1016/j.jvolgeores.2020.107107</t>
  </si>
  <si>
    <t>https://www.scopus.com/inward/record.uri?eid=2-s2.0-85096704610&amp;doi=10.1016%2fj.jvolgeores.2020.107107&amp;partnerID=40&amp;md5=36adb1d5c808669cbcc1765b8b24b1ad</t>
  </si>
  <si>
    <t>Barren Island, situated in the Andaman Sea, is the northernmost active volcano of the Sunda arc. The oldest known eruption of the volcano was during the period 1787–1832. After about 150 years of quiescence, volcanic activity resumed in 1991 and continues since then. The magmatic plumbing system of this volcano is largely unknown due to lack of geophysical experiments owing to its remote location. We report, for the first-time, time-series surface deformation measurements of Barren Island volcano from interferometric synthetic aperture radar (InSAR) during epochs 2007–2011 and 2015–2017. Line-of-Sight (LOS) deformation of −50 mm/yr during 2007–2011 at the cinder cone is interpreted as the co-eruptive pressure changes associated with the 2008–2010 eruptions. Bayesian inversion suggests a shallow magma reservoir at a depth of 578−100+300 m below the summit. The depth of the magma reservoir is shallower than that of other volcanoes of the Sunda arc, probably due to the extensional stress regime imposed by the oblique subduction. Based on the present studies and previous works, we propose a plausible source model for Barren Island volcano. We also discuss potential biases in the present source parameter estimation due to the lack of high quality InSAR data from both ascending and descending directions. Significant deformation (−15 to −150 mm/yr) observed along the lava delta of Barren Island volcano for both the epochs are interpreted as post-emplacement subsidence of the lava flow. Further, we characterise the lava flow including volcanic deposits by mapping its spatial extent and elevation changes during 1979–2000 and 2000–2017 periods using geodetic measurements. © 2020 Elsevier B.V.</t>
  </si>
  <si>
    <t>2-s2.0-85096704610"</t>
  </si>
  <si>
    <t>10.1038/s41598-020-63783-1</t>
  </si>
  <si>
    <t>https://www.scopus.com/inward/record.uri?eid=2-s2.0-85083785864&amp;doi=10.1038%2fs41598-020-63783-1&amp;partnerID=40&amp;md5=804b6079cafa4f3a2f6f3a232bb1359c</t>
  </si>
  <si>
    <t>With the increase in iron/steel production, the higher volume of by-products (slag) generated necessitates its efficient recycling. Because the Linz-Donawitz (LD) slag is rich in silicon (Si) and other fertilizer components, we aim to evaluate the impact of the LD slag amendment on soil quality (by measuring soil physicochemical and biological properties), plant nutrient uptake, and strengthens correlations between nutrient uptake and soil bacterial communities. We used 16 S rRNA illumine sequencing to study soil bacterial community and APIZYM assay to study soil enzymes involved in C, N, and P cycling. The LD slag was applied at 2 Mg ha−1 to Japonica and Indica rice cultivated under flooded conditions. The LD slag amendment significantly improved soil pH, plant photosynthesis, soil nutrient availability, and the crop yield, irrespective of cultivars. It significantly increased N, P, and Si uptake of rice straw. The slag amendment enhanced soil microbial biomass, soil enzyme activities and enriched certain bacterial taxa featuring copiotrophic lifestyles and having the potential role for ecosystem services provided to the benefit of the plant. The study evidenced that the short-term LD slag amendment in rice cropping systems is useful to improve soil physicochemical and biological status, and the crop yield. © 2020, The Author(s).</t>
  </si>
  <si>
    <t>2-s2.0-85083785864"</t>
  </si>
  <si>
    <t>10.3390/rs12244130</t>
  </si>
  <si>
    <t>https://www.scopus.com/inward/record.uri?eid=2-s2.0-85098236798&amp;doi=10.3390%2frs12244130&amp;partnerID=40&amp;md5=d2c5f1980979336f91f738d2d3abf506</t>
  </si>
  <si>
    <t>In Ho Chi Minh City (HCMC), Vietnam, though at present flooding is merely a recurring nuisance, there is increasing concern that a combination of impending climate change and rapid urbanization will significantly exacerbate the situation. Given the significant measures taken in HCMC to reduce groundwater extraction and sea-level rise (SLR) inundation since the most recent subsidence studies, we aim to update and contribute to the subsidence information of HCMC with continuous temporal coverage from 2017 to 2019. In this study, we use Persistent Scatterer Interferometry (PSI) with Copernicus Sentinel-1 data and open source tools to determine current subsidence rates within the urban center of HCMC. Additionally, the scalability of this method and use of freely accessible data allows for continuous updating and monitoring of this high-vulnerability region. The observed average subsidence rates were 3.3 mm per year with a maximum local subsidence of 5.3 cm per year. These results largely align with findings of previous studies and reflect similar spatial distributed subsidence patterns. Inundation risk awareness is enhanced by not only continued improved subsidence analysis, but also incorporating latest advancements in Digital Elevation Model (DEM) accuracy. This study compares local differences between traditionally used AW3D30 DEM with the CoastalDEM. Our findings indicate that although we identify lower than previously accepted elevations in the urban core, that stabilization of subsidence is observed in this same region. © 2020 by the authors. Licensee MDPI, Basel, Switzerland.</t>
  </si>
  <si>
    <t>2-s2.0-85098236798"</t>
  </si>
  <si>
    <t>10.1007/s42489-020-00059-8</t>
  </si>
  <si>
    <t>https://www.scopus.com/inward/record.uri?eid=2-s2.0-85094913289&amp;doi=10.1007%2fs42489-020-00059-8&amp;partnerID=40&amp;md5=095b4234e7396695499d2ba3704ae82a</t>
  </si>
  <si>
    <t>The future sea-level rise caused by climate change will lead to coastal regions being flooded and ecological and socio-economic systems being disrupted. This study examines the question of how the sea-level rise in Northern Germany can be simulated on a regional level and visualized as a media map. The simulation is based on the TanDEM-X digital elevation model, IDW interpolated current measurements of the sea level and the vertical land movement, as well as regional sea surface elevation projections for the year 2100. Two different climate scenarios were applied based on IPCC forecasts. Particular attention was paid to transforming elevation systems into orthometric heights. In addition, the uncertainties existing in the simulation of future developments were quantified and visualized. Depending on the applied scenario, an area between 1061 and 9004 km2 will be inundated. Accordingly, the affected population varies between 5477 and 626,880 people. The calculation of the inundated areas reveals serious differences</t>
  </si>
  <si>
    <t>10.1038/s41598-020-62215-4</t>
  </si>
  <si>
    <t>https://www.scopus.com/inward/record.uri?eid=2-s2.0-85083778135&amp;doi=10.1038%2fs41598-020-62215-4&amp;partnerID=40&amp;md5=4c1eaf286607dee05735ac15a35fd14c</t>
  </si>
  <si>
    <t>Unvegetated, intertidal sandflats play a critical role in estuarine carbon and nutrient dynamics. However, these ecosystems are under increasing threat from anthropogenic stressors, especially nitrogen enrichment. While research in this area typically focuses on sediment-water exchanges of carbon and nutrients during tidal inundation, there remain significant gaps in our understanding of GHG (Greenhouse Gas) fluxes during tidal emergence. Here we use in situ benthic chambers to quantify GHG fluxes during tidal emergence and investigate the impact of nitrogen enrichment on these fluxes. Our results demonstrate significant differences in magnitude and direction of GHG fluxes between emerged and submerged flats, demonstrating the importance of considering tidal state when estimating GHG emissions from intertidal flats. These responses were related to differences in microphytobenthic and macrofaunal activity, illustrating the important role of ecology in mediating fluxes from intertidal flats. Our results further demonstrate that nitrogen enrichment of 600 gN m−2 was associated with, on average, a 1.65x increase in CO2 uptake under light (photosynthetically active) conditions and a 1.35x increase in CO2 emission under dark conditions, a 3.8x increase in CH4 emission and a 15x increase in N2O emission overall. This is particularly significant given the large area intertidal flats cover globally, and their increasing exposure to anthropogenic stressors. © 2020, The Author(s).</t>
  </si>
  <si>
    <t>2-s2.0-85083778135"</t>
  </si>
  <si>
    <t>10.1038/s43247-020-00044-z</t>
  </si>
  <si>
    <t>https://www.scopus.com/inward/record.uri?eid=2-s2.0-85102818167&amp;doi=10.1038%2fs43247-020-00044-z&amp;partnerID=40&amp;md5=f58a1879867328d003ac05bb1407e806</t>
  </si>
  <si>
    <t>Compound flooding arises from storms causing concurrent extreme meteorological tides (that is the superposition of storm surge and waves) and precipitation. This flooding can severely affect densely populated low-lying coastal areas. Here, combining output from climate and ocean models, we analyse the concurrence probability of the meteorological conditions driving compound flooding. We show that, under a high emissions scenario, the concurrence probability would increase globally by more than 25% by 2100 compared to present. In latitudes above 40o north, compound flooding could become more than 2.5 times as frequent, in contrast to parts of the subtropics where it would weaken. Changes in extreme precipitation and meteorological tides account for most (77% and 20%, respectively) of the projected change in concurrence probability. The evolution of the dependence between precipitation and meteorological tide dominates the uncertainty in the projections. Our results indicate that not accounting for these effects in adaptation planning could leave coastal communities insufficiently protected against flooding. © 2020, The Author(s).</t>
  </si>
  <si>
    <t>2-s2.0-85102818167"</t>
  </si>
  <si>
    <t>10.3390/geosciences10120497</t>
  </si>
  <si>
    <t>https://www.scopus.com/inward/record.uri?eid=2-s2.0-85098200514&amp;doi=10.3390%2fgeosciences10120497&amp;partnerID=40&amp;md5=6ce89f22a467f76d03ffef28dea8993a</t>
  </si>
  <si>
    <t>Coastal deposits/barriers react to sea-level rise through rollover or overstepping. Preserved coastal deposits/barriers allow us to examine coastal responses to sea-level rise, an important aspect within the context of climate change. This study identifies the Ofanto incised valley and examines the possible factors that caused the considerable difference in shape between this valley and adjacent valleys: the Carapelle and Cervaro incised valley and Manfredonia incised valley. In addition, this study assesses the response of transgressive units to stepped sea-level rise with a focus on the evolution of palaeo-barriers/shorelines on the continental shelf and within the infill of Ofanto incised valley. We identified the traces of two slowstands in sea-level rise: the first, short-lived at a centennial scale, interrupted Meltwater Pulse 1A</t>
  </si>
  <si>
    <t>10.1038/s41598-020-66757-5</t>
  </si>
  <si>
    <t>https://www.scopus.com/inward/record.uri?eid=2-s2.0-85086584480&amp;doi=10.1038%2fs41598-020-66757-5&amp;partnerID=40&amp;md5=bb8f64eac29af1281f7b9a5ab307f1d2</t>
  </si>
  <si>
    <t>The assessment and control of losses of nitrogen (N) and phosphorus (P) from paddy fields is critical to improve the quality of water and atmosphere on earth. A field experiment was conducted to investigate the effect of three N managements (local common N fertilization practice, urea mixed with controlled-release N fertilizer, and optimized and reduced N fertilizer, designated CN, U + CRF and ON, respectively) on N and P losses through runoff and leaching from a paddy field, and yield of rice under shallow-irrigation and deep-sluice (SIDS) and continuous flooding irrigation (FI) in the Jianhan Plain of China in 2016. The results showed that, compared with FI, SIDS significantly reduced the frequency of irrigation and amount of irrigation water, resulting in an increase of 16.2% in rainfall use efficiency, and therefore, a reduction in the amount of surface runoff and water that had leached. This was responsible for the decreased total N (TN) and total P (TP) losses through runoff leaching under SIDS. The U + CRF and ON treatments resulted in a significant reduction in losses of TN through runoff and leaching and the loss of TP through leaching compared to CN. SIDS resulted in comparable or greater soil TN and TP contents in the 0–40 cm soil depths after rice harvest</t>
  </si>
  <si>
    <t>10.1108/IJCCSM-06-2020-0067</t>
  </si>
  <si>
    <t>https://www.scopus.com/inward/record.uri?eid=2-s2.0-85091737921&amp;doi=10.1108%2fIJCCSM-06-2020-0067&amp;partnerID=40&amp;md5=a6be8399fd9fe401d4dcc8e632b0282d</t>
  </si>
  <si>
    <t>Purpose: The purpose of this study is to evaluate the rainfall intensities and their limits for durations from 0.25 to 8 h with return periods from 2 to 100 years for Ca Mau City in Vietnam. Design/methodology/approach: First, the quality of the historical rainfall data series in 44 years (1975–2018) at Ca Mau station was assessed using the standard normal homogeneity test and the Pettitt test. Second, the appraised rainfall data series are used to establish the rainfall intensity-duration-frequency curve for the study area. Findings: Based on the findings, a two-year return period, the extreme rainfall intensities (ERIs) ranged from 9.1 mm/h for 8 h rainstorms to 91.2 mm/h for 0.25 h. At a 100-year return period, the ERIs ranged from 18.4 mm/h for 8 h rainstorms to 185.8 mm/h for 0.25 h. The results also show that the narrowest uncertainty level between the lower and upper limits recorded 1.6 mm at 8 h for the two-year return period while the widest range is at 42.5 mm at 0.25 h for the 100-year return period. In general, the possibility of high-intensity rainfall values compared to the extreme rainfall intensities is approximately 2.0% at the 100-year return period. Originality/value: The results of the rainfall IDF curves can provide useful information for policymakers to make the right decisions in controlling and minimizing flooding in the study area. © 2020, Seung Kyu LEE and Truong An Dang.</t>
  </si>
  <si>
    <t>2-s2.0-85091737921"</t>
  </si>
  <si>
    <t>Journal of European Real Estate Research</t>
  </si>
  <si>
    <t>10.1108/JERER-03-2020-0019</t>
  </si>
  <si>
    <t>https://www.scopus.com/inward/record.uri?eid=2-s2.0-85086600133&amp;doi=10.1108%2fJERER-03-2020-0019&amp;partnerID=40&amp;md5=4e815890241a9d692e97062a6fbbd107</t>
  </si>
  <si>
    <t>Purpose: This study aims to provide a development of the courts’ views of climate change risk in planning matters as related to inundation and suggest that valuers and others involved need to be aware of the implications these views have on property matters and valuation processes and reporting. Design/methodology/approach: This study engages in a legal doctrinal analysis of primary law sources, being Australian case law. It analyses decisions from Queensland, New South Wales and Victorian courts and tribunals, to establish their views of climate change risk for coastal area developments, who bears the risk and responsibility and if risk is shared. Findings: The analysis reflects that developers bear the onus of proving their proposal meets relevant planning requirements including management and mitigation of climate change risks. However, the risk of developing in “at risk” areas is a shared burden, as local government authorities remain responsible for appropriately assessing applications against those requirements. Research limitations/implications: This study had several limitations, these included: only matters with a final determination were able to be reviewed and analysed</t>
  </si>
  <si>
    <t>10.1007/s00382-020-05463-4</t>
  </si>
  <si>
    <t>https://www.scopus.com/inward/record.uri?eid=2-s2.0-85091609331&amp;doi=10.1007%2fs00382-020-05463-4&amp;partnerID=40&amp;md5=332c6980bb7692329b492ac9fd3a19d1</t>
  </si>
  <si>
    <t>Coastal flood mapping associated with tropical cyclone induced extreme water elevations is carried out for the Gujarat and North Maharashtra coasts in the perspective of climate projections for the Arabian Sea. The projections are taken into account by enhancing the present cyclone wind intensity by 7% and 11% based on the IPCC fifth assessment report to study its impact on extreme water elevations and coastal flooding. The coupled ADCIRC + SWAN model is used in this study to map the maximum water elevations resulting from storm surges, astronomical tides, and wind-waves by utilizing the most probabilistic cyclone tracks generated for this region. Results from the study signifies that extreme water elevations ranging between 9.0 and 9.5 m are evident in the Gulf of Khambhat and Kutch under no-climate change scenario, while it enhances to a maximum of 10.0–11.0 m under climate change projections. Maximum extent of coastal inundation is found in the low-lying regions of Great and Little Rann of Kutch, Mumbai, and high-tide mudflats of Bhavnagar. It is notable that climate projections have maximum impact on inundation height, while it is marginal in terms of risk associated with the additional inundation extent. © 2020, Springer-Verlag GmbH Germany, part of Springer Nature.</t>
  </si>
  <si>
    <t>2-s2.0-85091609331"</t>
  </si>
  <si>
    <t>10.1038/s41598-020-70928-9</t>
  </si>
  <si>
    <t>https://www.scopus.com/inward/record.uri?eid=2-s2.0-85090090049&amp;doi=10.1038%2fs41598-020-70928-9&amp;partnerID=40&amp;md5=2b72c4df8d0416764820e629d9b26b58</t>
  </si>
  <si>
    <t>Changes in the spatial patterns and rate of urban development will be one of the main determinants of future coastal flood risk. Existing spatial projections of urban extent are, however, often available at coarse spatial resolutions, local geographical scales or for short time horizons, which limits their suitability for broad-scale coastal flood impact assessments. Here, we present a new set of spatially explicit projections of urban extent for ten countries in the Mediterranean, consistent with the Shared Socioeconomic Pathways (SSPs). To model plausible future urban development, we develop an Urban Change Model, which uses input variables such as elevation, population density or road network and an artificial neural network to project urban development on a regional scale. The developed future projections for the five SSPs indicate that accounting for the spatial patterns of urban development can lead to significant differences in the assessment of future coastal urban exposure. The increase in exposure in the Extended Low Elevation Coastal Zone (E-LECZ = area below 20 m of elevation) until 2100 can vary, by up to 104%, depending on the urban development scenario chosen. This finding highlights that accounting for urban development in long-term adaptation planning, e.g. in the form of land-use planning, can be an effective measure for reducing future coastal flood risk on a regional scale. © 2020, The Author(s).</t>
  </si>
  <si>
    <t>2-s2.0-85090090049"</t>
  </si>
  <si>
    <t>10.1007/s13157-020-01388-0</t>
  </si>
  <si>
    <t>https://www.scopus.com/inward/record.uri?eid=2-s2.0-85097394887&amp;doi=10.1007%2fs13157-020-01388-0&amp;partnerID=40&amp;md5=976fad1d5d8e8aa6c68f48e6b4ae43b9</t>
  </si>
  <si>
    <t>Coastal regions worldwide will be dramatically reshaped by the impacts of sea-level rise. Of particular concern are impacts on coastal wetlands, the loss of which would have consequences for both human and ecological communities. The future of many coastal wetlands will depend greatly on their capacities to migrate into uplands. Coastal resilience work within wetland sciences has increasingly focused on developing strategies to promote marsh migration into rural uplands</t>
  </si>
  <si>
    <t>10.1038/s41598-020-61277-8</t>
  </si>
  <si>
    <t>https://www.scopus.com/inward/record.uri?eid=2-s2.0-85081948538&amp;doi=10.1038%2fs41598-020-61277-8&amp;partnerID=40&amp;md5=3c1d09698c627d9e636fe98cb5f933d2</t>
  </si>
  <si>
    <t>In 2017–2019 a surge of Shispare Glacier, a former tributary of the once larger Hasanabad Glacier (Hunza region), dammed the proglacial river of Muchuhar Glacier, which formed an ice-dammed lake and generated a small Glacial Lake Outburst Flood (GLOF). Surge movement produced the highest recorded Karakoram glacier surface flow rate using feature tracking (~18 ± 0.5 m d−1) and resulted in a glacier frontal advance of 1495 ± 47 m. The surge speed was less than reports of earlier Hasanabad advances during 1892/93 (9.3 km) and 1903 (9.7 km). Surges also occurred in 1973 and 2000–2001. Recent surges and lake evolution are examined using feature tracking in satellite images (1990–2019), DEM differencing (1973–2019), and thermal satellite data (2000–2019). The recent active phase of Shispare surge began in April 2018, showed two surface flow maxima in June 2018 and May 2019, and terminated following a GLOF on 22–23 June 2019. The surge likely had hydrological controls influenced in winter by compromised subglacial flow and low meltwater production. It terminated during summer probably because increased meltwater restored efficient channelized flow. We also identify considerable heterogeneity of movement, including spring/summer accelerations. © 2020, The Author(s).</t>
  </si>
  <si>
    <t>2-s2.0-85081948538"</t>
  </si>
  <si>
    <t>10.3389/fenvs.2020.576307</t>
  </si>
  <si>
    <t>https://www.scopus.com/inward/record.uri?eid=2-s2.0-85097045035&amp;doi=10.3389%2ffenvs.2020.576307&amp;partnerID=40&amp;md5=6da62cc7f27fd5fee326ab50ae21abfd</t>
  </si>
  <si>
    <t>The operation of the Three Gorges Dam (TGD) has significantly impact on downstream wetland ecosystems. This study applied 3S technology, landscape ecology, and computational models to investigate impact of the TGD on downstream spatial dynamics of floodplains in future. Results revealed the relationship between siltation patterns and wetland types transformation after the operation of the TGD, which are critically important to understand ecological characters dynamics in new environmental setting, and provide science-based conservation and restoration recommendation. After the operation of the TGD, changes between water surface and floodplains areas were spatial heterogeneity. With the increase of distance to the TGD, floodplain erosion force declining gradually. The most important finding is the asymmetric erosion between main river course and its associated floodplain lakes, e.g., Dongting lake. This has significant implications for dam operation in autumn and habitat management. After the operation of the TGD, floodplain in the estuary is driven by both the Yangtze river and ocean currents. The strong hydrological force and reduced sediments of Yangtze river drive erosion of the southern river course in the estuary, whereas, the weakened hydrological force in the northern river course attracts sedimentation. © Copyright © 2020 Sun, Lei, Qu, Zhang and He.</t>
  </si>
  <si>
    <t>2-s2.0-85097045035"</t>
  </si>
  <si>
    <t>10.1016/j.pdisas.2020.100134</t>
  </si>
  <si>
    <t>https://www.scopus.com/inward/record.uri?eid=2-s2.0-85096721362&amp;doi=10.1016%2fj.pdisas.2020.100134&amp;partnerID=40&amp;md5=3f32816f5eadfd3c6da4fd2e7905564d</t>
  </si>
  <si>
    <t>Rapid global changes (population growth, urbanization and frequent extreme weather conditions) have cumulatively affected local water bodies and resulted in unfavorable hydrological, ecological, and environmental changes in the major river systems. Particularly, communities in isolated riverine islands are heavily affected due to their poor adaptive capacities, which is well documented in the contemporary literature. The focal point for the vulnerability of these people lies in the water resources (drinking water availability, agricultural water quality, salt-water intrusion, flooding etc.) and the future interaction between human and water systems. This paper advocates the importance of socio-hydrological research in the context of enhancing social adaptive capacity as well as for developing a resilient water environment in three very large riverine islands in Asia: Fraserganj (India), Dakshin Bedkashi (Bangladesh) (both from the Ganges-Brahaputra-Meghna Delta) and Con Dao Island (Mekong River, Vietnam). It also explores how the nexus of human–water relations could be applied to improve adaptive measures to manage local water needs while mitigating undesirable changes to the hydrological cycle. Socio-hydrological models as an integrated tool can be used to quantify the feedbacks between water resources and society at multiple scales, with the aim of expediting stakeholder participation for sustainable water resource management. The proposed idea in this study will be helpful to sketch projections of alternatives that explicitly account for plausible and co-evolving trajectories of the socio-hydrological system, which will yield both insights into cause–effect relationships and help stakeholders to identify safe functioning space. © 2020 The Authors</t>
  </si>
  <si>
    <t>2-s2.0-85096721362"</t>
  </si>
  <si>
    <t>10.1016/j.envsoft.2020.104870</t>
  </si>
  <si>
    <t>https://www.scopus.com/inward/record.uri?eid=2-s2.0-85091900882&amp;doi=10.1016%2fj.envsoft.2020.104870&amp;partnerID=40&amp;md5=3e1f76fd5757d9aa45bd6e9eee840fbe</t>
  </si>
  <si>
    <t>The random-walk method is inherently simple and numerically stable. However, when used in hydro-environmental analyses, most of the existing random-walk methods ignore the influence of the non-uniform water depth and only consider the transport of inert materials, hence the inability of modelling biochemical reactions. In addition, the existing applications mainly focus on instantaneous-release problems, where a fixed number of particles move in the computational domain. This paper first presents examples to showcase the capability of a newly-developed random-walk model in simulating the continuous sources of non-conservative substances. Then, the method is applied to examine the BOD-DO balance along a hypothetical river. The predictions agree well with analytical solutions. Finally, the developed model is used to study the pollutant transport in the Thames Estuary. The current model is illustrated to be able to accurately predict the interaction between multiple pollutants in real-world situations with uneven bathymetry and extensive intertidal floodplains. © 2020 Elsevier Ltd</t>
  </si>
  <si>
    <t>2-s2.0-85091900882"</t>
  </si>
  <si>
    <t>10.1029/2020JC016483</t>
  </si>
  <si>
    <t>https://www.scopus.com/inward/record.uri?eid=2-s2.0-85098072108&amp;doi=10.1029%2f2020JC016483&amp;partnerID=40&amp;md5=4902e7155c5492fbf501b31751b7dbc5</t>
  </si>
  <si>
    <t>During extreme storms, both wind-driven changes in water levels and intense precipitation can contribute to flooding. Particularly on low-lying coastal plains, storm-driven flooding can cover large areas, resulting in major damage. To investigate the roles of rainfall and storm surge on coastal flooding, a coupled flow-wave model (Delft3D-SWAN) that includes precipitation is used to simulate two major storm events. The modeling system is applied over a domain covering coastal North Carolina, USA, including the large Albemarle-Pamlico estuarine system, and a long and narrow back-barrier estuary (Currituck Sound [CS]) that experiences major water level variations is investigated in detail. A high-resolution (50 m) grid with eight vertical layers is used to simulate the conditions during Tropical Storm Hermine and Hurricane Matthew in 2016. Hindcasts (winds, pressure, and precipitation) from eight different atmospheric models are used as atmospheric input conditions, and the results are compared with detailed observations of surface waves, currents, and water levels from sensors mounted on five monitoring platforms in CS. Results show that major differences exist between wind fields producing variations coastal conditions. Precipitation directly on the water surface had a large effect on water levels and produced a larger inundated area. These results help to understand the important contributions of each physical process (precipitation, wind-driven surge, and waves) to circulation and water levels, and provide guidance on the impact of atmospheric forcing conditions on back-barrier environments during hurricanes. © 2020. American Geophysical Union. All Rights Reserved.</t>
  </si>
  <si>
    <t>2-s2.0-85098072108"</t>
  </si>
  <si>
    <t>10.1007/s13157-020-01387-1</t>
  </si>
  <si>
    <t>https://www.scopus.com/inward/record.uri?eid=2-s2.0-85097371741&amp;doi=10.1007%2fs13157-020-01387-1&amp;partnerID=40&amp;md5=296e537e9047b6bf91f035ca16ca31e1</t>
  </si>
  <si>
    <t>Tidal marshes are important ecological systems that are responding to sea level rise-driven changes in tidal regimes. Human development along the coastline creates barriers to marsh migration, moderating tidal marsh distributions. This study shows that in the Chesapeake Bay, USA an estuarine system with geographic and development variability, overall estuarine tidal marshes are projected to decline by approximately half over the next century. Tidal freshwater and oligohaline habitats, which are found in the upper reaches of the estuary and are typically backed by high elevation shorelines are particularly vulnerable. Due to their geological setting, losses of large extents of tidal freshwater habitat seem inevitable under sea level rise. However, in the meso/poly/euhaline zones that (in passive margin estuaries) are typically low relief areas, tidal marshes are capable of undergoing expansion. These areas should be prime management targets to maximize future tidal marsh extent. Redirecting new development to areas above 3 m in elevation and actively removing impervious surfaces as they become tidally inundated results in the maximum sustainability of natural coastal habitats. Under increasing sea levels and flooding, the future of tidal marshes will rely heavily on the policy decisions made, and the balance of human and natural landscapes in the consideration of future development. © 2020, Society of Wetland Scientists.</t>
  </si>
  <si>
    <t>2-s2.0-85097371741"</t>
  </si>
  <si>
    <t>10.1016/j.jag.2020.102217</t>
  </si>
  <si>
    <t>https://www.scopus.com/inward/record.uri?eid=2-s2.0-85091816606&amp;doi=10.1016%2fj.jag.2020.102217&amp;partnerID=40&amp;md5=1741a3217779a1d54226f3f5dc15b32d</t>
  </si>
  <si>
    <t>With the recent progress in synthetic aperture radar (SAR) technology, especially the new generation of SAR satellites (Sentinel-1 and TerraSAR-X), our ability to assess slope stability in open-pit mines has significantly improved. The main objective of this work is to map ground displacement and slope instability over three open-pit mines, namely, Hambach, Garzweiler and Inden, in the Rhenish coalfields of Germany to provide long-term monitoring solutions for open-pit mining operations and their surroundings. Three SAR datasets, including Sentinel-1A data in ascending and descending orbits and TerraSAR-X data in a descending orbit, were processed by a modified small baseline subset (SBAS) algorithm, called coherence-based SBAS, to retrieve ground displacement related to the three open-pit mines and their surroundings. Despite the continuously changing topography over these active open-pit mines, the small perpendicular baselines of both Sentinel-1A and TerraSAR-X data were not affected by DEM errors and hence could yield accurate estimates of surface displacement. Significant land subsidence was observed over reclaimed areas, with rates exceeding 500 mm/yr, 380 mm/yr, and 310 mm/yr for the Hambach, Garzweiler and Inden mine, respectively. The compaction process of waste materials is the main contributor to land subsidence. Land uplift was found over the areas near the active working parts of the mines, which was probably due to excavation activities. Horizontal displacement retrieved from the combination of ascending and descending data was analysed, revealing an eastward movement with a maximum rate of ∼120 mm/yr on the western flank and a westward movement with a maximum rate of ∼ 60 mm/yr on the eastern flank of the pit. Former open-pit mines Fortuna-Garsdorf and Berghein in the eastern part of Rhenish coalfields, already reclaimed for agriculture, also show subsidence, at locations reaching 150 mm/yr. The interferometric results were compared, whenever possible, with groundwater information to analyse the possible reasons for ground deformation over the mines and their surroundings. © 2020 The Authors</t>
  </si>
  <si>
    <t>2-s2.0-85091816606"</t>
  </si>
  <si>
    <t>10.2113/EEG-2359</t>
  </si>
  <si>
    <t>https://www.scopus.com/inward/record.uri?eid=2-s2.0-85098692699&amp;doi=10.2113%2fEEG-2359&amp;partnerID=40&amp;md5=1ce5d87e743a81fd48d4cc25f20fd6d1</t>
  </si>
  <si>
    <t>Unmanned aerial systems (UAS) provide a framework for recording perishable surficial data or information. Open fractures exhibiting regular en-echelon patterns were captured by a 12-megapixel, FL-9 mm camera attached to a Phantom IV UAS over the epicenter of the magnitude (Mw) 5.8 earthquake of September 3, 2016, 15 months later. The Digital Surface Models (DSMs) and orthoimagery offered a spatial resolution (∼1 cm) sufficient to identify small-scale plastic deformations that appear to be controlled by en-echelon joint sets developed in the underlying formation. The fissure boundaries and intersections are remarkably linear and sharp. They appeared to have been recently formed, presumably by seismic swarms believed to have been associated with wastewater injection. The DSMs revealed a series of conjugate patterns suggestive of regional systematic joints with apparent subsidence of infilling up to 50 cm. The earthquakes emanated from the Precambrian metamorphic basement, with epicentral clusters at ∼5- and 8-km depths. Low energy release from depths &gt;1.5 km appears to be locally attenuated by an unconsolidated “soil cap,” which likely formed an impedance contrast. The maximum deformation direction from the cumulative energy of earthquakes correlates with a wrench fault tectonics model that could conceivably produce the observed en-echelon joint sets observed in the orthoimagery and DSMs. These features were observed within 275 m of the reported Mw 5.8 epicenter. The remarkably linear repeating pattern of deformation appears to express fissures that preserve the wrench fault fractures generated by the Mw 5.8 earthquake emanating from discontinuity suites within marine sandstone, shale, and limestone of Pennsylvanian to Permian age. © 2020 Geological Society of America. All rights reserved.</t>
  </si>
  <si>
    <t>2-s2.0-85098692699"</t>
  </si>
  <si>
    <t>10.3389/fclim.2020.579715</t>
  </si>
  <si>
    <t>https://www.scopus.com/inward/record.uri?eid=2-s2.0-85120410564&amp;doi=10.3389%2ffclim.2020.579715&amp;partnerID=40&amp;md5=8156aee168126240e26163f8f87c5b91</t>
  </si>
  <si>
    <t>Projecting the sea level rise (SLR), storm surges, and related inundation in the Pacific Islands due to climate change is important for assessing the impact of climate change on coastal regions as well as the adaptation of the coastal regions. The compounding effects of storm surges and SLR are one of the major causes of flooding and extreme events</t>
  </si>
  <si>
    <t>10.3390/geosciences10110457</t>
  </si>
  <si>
    <t>https://www.scopus.com/inward/record.uri?eid=2-s2.0-85096045411&amp;doi=10.3390%2fgeosciences10110457&amp;partnerID=40&amp;md5=13776bc0cf05797b5822260d2e590418</t>
  </si>
  <si>
    <t>Flooding risk in urban areas is particularly high, due to the high population density and property values, including those of transport, residential, service and industrial infrastructure, among others. There are many reasons for flooding in urban areas</t>
  </si>
  <si>
    <t>10.1029/2020JF005751</t>
  </si>
  <si>
    <t>https://www.scopus.com/inward/record.uri?eid=2-s2.0-85097983366&amp;doi=10.1029%2f2020JF005751&amp;partnerID=40&amp;md5=bd7a51b79a1969c42f666bc9343d6762</t>
  </si>
  <si>
    <t>Salt marshes are valuable ecosystems that must trap sediments and accrete in order to counteract the deleterious effect of sea level rise. Previous studies have shown that the capacity of marshes to build up vertically depends on both autogenous and exogenous processes including ecogeomorphic feedbacks and sediment supply from in-land and coastal ocean. There have been numerous efforts to quantify the role played by the sediments coming from marsh edge erosion on the resistance of salt marshes to sea level rise. However, the majority of existing studies investigating the interplay between lateral and vertical dynamics use simplified modeling approaches, and they do not consider that marsh retreat can affect the regional-scale hydrodynamics and sediment retention in back-barrier basins. In this study, we evaluated the fate of the sediments originating from marsh lateral loss by using high-resolution numerical model simulations of Jamaica Bay, a small lagoonal estuary located in New York City. Our findings show that up to 42% of the sediment released during marsh edge erosion deposits on the shallow areas of the basin and over the vegetated marsh platforms, contributing positively to the sediment budget of the remaining salt marshes. Furthermore, we demonstrate that with the present-day sediment supply from the ocean, the system cannot keep pace with sea level rise even accounting for the sediment liberated in the bay through marsh degradation. Our study highlights the relevance of multiple sediment sources for the maintenance of the marsh complex. ©2020. The Authors.</t>
  </si>
  <si>
    <t>2-s2.0-85097983366"</t>
  </si>
  <si>
    <t>10.1016/j.scitotenv.2020.140596</t>
  </si>
  <si>
    <t>https://www.scopus.com/inward/record.uri?eid=2-s2.0-85087497778&amp;doi=10.1016%2fj.scitotenv.2020.140596&amp;partnerID=40&amp;md5=d2af88457dc9fd3d20dfb24862aac8a8</t>
  </si>
  <si>
    <t>The annual flood pulse of the Mekong River is crucial to sustain agriculture production, nutrition, and the livelihood of millions of people living in the Vietnamese part of the Mekong Delta (VMD). However, climate change impacts on precipitation, temperature and sea-level combined with land subsidence, upstream hydropower development, and water infrastructures (i.e. high-dykes construction) are altering the hydrological regime of the VMD. This study investigates future changes in flood hazard and agricultural production caused by these different scales of human-induced stresses. A quasi- two-dimensional (quasi-2D) hydrodynamic model was used to simulate eight scenarios representing the individual and compound impacts of these drivers for a baseline (1971–2000) and future (2036–2065) period. The scenarios map the most likely future pathway of climate change (RCP 4.5) combined with the best available Mekong upstream hydropower development, and land subsidence scenarios as well as the current delta development plan. We found that sea-level rise and land subsidence would cause the highest changes in flood hazard and damage to rice crop, followed by hydropower and climate change impacts. Expansion of high-dyke areas in two northernmost delta provinces (An Giang and Dong Thap) would have the smallest impact. The combination of all modelled drivers is projected to increase delta inundation extent by 20%, accompanied with prolonging submergence of 1–2 months, and 2–3 times increase in annual flood damage to rice crops in the flood-prone areas of the VMD. These findings of likely increasing risk of tidal induced flood hazard and damage call for well-planned adaptation and mitigation measures, both structural and non-structural. © 2020</t>
  </si>
  <si>
    <t>2-s2.0-85087497778"</t>
  </si>
  <si>
    <t>10.1029/2020WR027147</t>
  </si>
  <si>
    <t>https://www.scopus.com/inward/record.uri?eid=2-s2.0-85096503052&amp;doi=10.1029%2f2020WR027147&amp;partnerID=40&amp;md5=e7c20b6e2623dd11adf1726ba91efd4e</t>
  </si>
  <si>
    <t>Estimations of reservoir bathymetry and storage are of great significance due to their substantial impacts on hydrological processes and water resource management. However, existing approaches for reservoir bathymetry construction often rely on field measurements, which restricts their application at regional and global scales. This study proposes a novel Approach for Determining the BAthymetry and water storage of channel-type Reservoirs, hereafter referred to as ADBAR, for which only open-access digital elevation model (DEM) and satellite images are required. The basic idea of ADBAR is to utilize the geomorphological similarity and topographical continuity of the reservoir inundation area with its lateral valleys and upstream/downstream regions to predict underwater bathymetry. Forty-eight reservoirs with different topographic and geometric characteristics were selected for method validation. The selected reservoirs were all impounded after the year 2000, so the modeled reservoir bathymetry can be validated by the “reference” reservoir storage calculated using the exposed topography in SRTM DEM and the mapped water extents from spectral images. The difference between the estimated and reference storages is about 13% on average. Furthermore, the modeled results in two selected basins with dense reservoir distributions, the Upper Yellow River Basin in China and the Tocantins River Basin in Brazil, are comparable with the documented effective storage capacities. The validations for both individual reservoirs and the two large basins demonstrate that ADBAR is a robust tool for estimating reservoir bathymetries and storage capacities and thus facilitates the modeling of reservoir impacts on water budgets at large and global scales. ©2020. American Geophysical Union. All Rights Reserved.</t>
  </si>
  <si>
    <t>2-s2.0-85096503052"</t>
  </si>
  <si>
    <t>10.1016/j.accre.2020.11.001</t>
  </si>
  <si>
    <t>https://www.scopus.com/inward/record.uri?eid=2-s2.0-85098638188&amp;doi=10.1016%2fj.accre.2020.11.001&amp;partnerID=40&amp;md5=44c46d5a83ae9c9fb45453bf35eb6834</t>
  </si>
  <si>
    <t>Recent and historic high-impact events have demonstrated significant flood risks to many coastal areas in Europe and across the globe. Understanding the behavior of humans in relation to risk management poses grand challenges for both natural and social sciences and humanities. The study analyzes the cultural aspects of coastal risk management and illustrates path-dependencies of concrete disaster risk reduction measures in relation to local contexts in European coastal regions in Northern and South Western Europe. It adopts a comparative approach by targeting risk perception and risk management related to coastal floods and erosion, induced by storms and sea level rise, in two contrasting coastal areas: German coastal state Schleswig–Holstein at the Baltic Sea (especially the communities Eckernförde and Timmendorfer Strand) and the Portuguese barrier island system of Ria Formosa (especially the community of Faro Beach). Both regions are very low lying with only a few meters above sea level and exposed to similar hazards such as erosion and floods induced by coastal storms, and while they are both attractive touristic destinations, they are culturally, socio-economically and politically very different. The geographical and the socio-cultural contexts of the case study regions are assessed first using an explorative approach, followed by an analysis of the relevance of cultural aspects for the implementation of disaster risk reduction measures. The study addresses both first responders (city authorities, citizens) and scholars. It is found that the choice of risk reduction measures hinges on the values underlying people's perspectives about the desired outcomes of specific measures and that the role of identity and meaning making are still undervalued in decision making processes. It concludes that subjective capacities formed by cultural identities, knowledge, trust coupled with a variety of factors of socio-economic and political texture are important to understand local decision making processes. The authors found that lively ‘culture of risk memory’, ‘trust in scientific information and community’ as well as decision making of coastal authorities coupled with inclusiveness and participation of communities in formulating and implementing disaster risk reduction measures are prerequisites for successful collaboration and in turn execution of disaster risk reduction measures. © 2020 National Climate Center (China Meteorological Administration)</t>
  </si>
  <si>
    <t>2-s2.0-85098638188"</t>
  </si>
  <si>
    <t>Izvestiya - Atmospheric and Ocean Physics</t>
  </si>
  <si>
    <t>10.1134/S0001433820090182</t>
  </si>
  <si>
    <t>https://www.scopus.com/inward/record.uri?eid=2-s2.0-85101786445&amp;doi=10.1134%2fS0001433820090182&amp;partnerID=40&amp;md5=31c6acb2bd4905ac91a3bbcf9c8877b7</t>
  </si>
  <si>
    <t>Abstract: This article shows the possibility of using the SRTM model to search for the best options for detailed ground-based engineering surveys in flat treeless regions. The authors studied the accuracy of the SRTM model for the territory of the Russian Federation to the south of 60° N and neighboring countries (17 countries in Europe and 10 countries in Asia). A zonal map of the identified systematic errors of the SRTM elevation matrix is shown. Using the example of the Ramensky section of the Moskva River valley (near the cities of Zhukovsky and Ramenskoye), the absolute surface heights of the inundation zone were determined and the boundaries and depths of flooding were calculated and mapped for a flood of 1% exceedance probability. Maps of engineering protection from flooding of this territory on a scale of 1 : 100 000 and larger, as well as parts of the Moskva and Oka river valleys on a smaller scale of 1 : 1 000 000, are proposed. © 2020, Pleiades Publishing, Ltd.</t>
  </si>
  <si>
    <t>2-s2.0-85101786445"</t>
  </si>
  <si>
    <t>10.1002/rra.3727</t>
  </si>
  <si>
    <t>https://www.scopus.com/inward/record.uri?eid=2-s2.0-85091205512&amp;doi=10.1002%2frra.3727&amp;partnerID=40&amp;md5=7c7fb932d1504e186ad5c27332cdaa51</t>
  </si>
  <si>
    <t>Strontium isotopes (87Sr/86Sr) were evaluated as a potential method for studying the geographical origin of populations and movements patterns of migratory fish from the La Plata Basin (Paraná, Uruguay and Bermejo Rivers and Río de la Plata Estuary, South America). Surface water samples were collected at 43 sites during austral summer and winter (2018) while, Surubí (Pseudoplatystoma corruscans), Patí (Luciopimelodus pati), dorado (Salminus brasiliensis) and sábalo (Prochilodus lineatus) fishes were collected at seven locations. Water 87Sr/86Sr ratio was analysed by MC-ICP-MS (N = 74) and otolith core-to-edge 87Sr/86Sr transects (N = 50) were measured by LAfs-MC-ICP-MS. Several water bodies presented significantly different (p &lt; 0.05) water 87Sr/86Sr values. A ~ 1:1 relationship was found between 87Sr/86Sr measured in edge otolith and water. Data provide novel perspectives about migratory behaviour for all species, such as potential cross-border migrations between countries of more than 1,000 km recorded for L. pati, S. brasiliensis and P. lineatus. These species seem to move between the Paraná and Uruguay rivers, which imply using the delta or the estuary as a corridor between them. Discriminant analysis based on otolith core 87Sr/86Sr suggested that the four species studied originate in sub-basins different from those that were collected and revelled the presence of several potential spawning/nursery areas. The otolith 87Sr/86Sr profiles also suggested movements between different environments such as reservoirs, large plain rivers, mountain streams, floodplain valleys and estuaries. These results show the potential of 87Sr/86Sr as a tool for tracking the life history of fishes, and depict for the first time a complex use of the La Plata basin by the fishes, providing new information for management plans at the regional level. © 2020 John Wiley &amp; Sons Ltd</t>
  </si>
  <si>
    <t>2-s2.0-85091205512"</t>
  </si>
  <si>
    <t>10.5194/nhess-20-3279-2020</t>
  </si>
  <si>
    <t>https://www.scopus.com/inward/record.uri?eid=2-s2.0-85097261484&amp;doi=10.5194%2fnhess-20-3279-2020&amp;partnerID=40&amp;md5=f16766a80df55b937c3d282567d617ee</t>
  </si>
  <si>
    <t>Extreme waves play a crucial role in marine inundation hazards and coastal erosion. Prediction of non-linear wave-wave interactions is crucial in assessing the propagation of shallow water extreme waves in coastal regions. In this article, we experimentally study non-linear wave-wave interactions of large-amplitude focused wave groups propagating in a two-dimensional wave flume over a mild slope (β = 1 V 25). The influence of the frequency spectrum and the steepness on the non-linear interactions of focused waves are examined. The generated wave trains correspond to Pierson- Moskowitz and JONSWAP ( = 3:3 or = 7) spectra. Subsequently, we experimentally approach this problem by the use of a bispectral analysis applied on short time series, via the wavelet-based bicoherence parameter, which identifies and quantifies the phase coupling resulting from nonresonant or bound triad interactions with the peak frequency. The bispectral analysis shows that the phase coupling increases gradually and approaches 1 just prior to breaking, accordingly with the spectrum broadening and the energy increase in high-frequency components. Downstream breaking, the values of phase coupling between the peak frequency and its higher harmonics decrease drastically, and the bicoherence spectrum becomes less structured.  © Author(s) 2020.</t>
  </si>
  <si>
    <t>2-s2.0-85097261484"</t>
  </si>
  <si>
    <t>10.1029/2020JD033021</t>
  </si>
  <si>
    <t>https://www.scopus.com/inward/record.uri?eid=2-s2.0-85095819084&amp;doi=10.1029%2f2020JD033021&amp;partnerID=40&amp;md5=f3dd2b6de2f550ca07eb2379a11301a3</t>
  </si>
  <si>
    <t>Atmospheric rivers (ARs) play an important role in the total annual precipitation regionally and globally, delivering precious freshwater to many arid/semiarid regions. On the other hand, they may cause intense precipitation and floods with huge socioeconomic effects worldwide. In this study, we investigate AR-related precipitation using 18 years (2001–2018) of globally gridded AR locations derived from Modern-Era Retrospective Analysis for Research and Applications, Version 2 (MERRA-2). AR precipitation features are explored regionally and seasonally using remote sensing (Integrated Multi-satellitE Retrievals for GPM version 6 [IMERG V6], daily Global Precipitation Climatology Project version 1.3 [GPCP V1.3], bias-adjusted CPC Morphing Technique version 1 [CMORPH V1], and Precipitation Estimation from Remotely Sensed Information using Artificial Neural Networks [PERSIANN-CDR]) and reanalysis (MERRA-2 and ECMWF Reanalysis 5th Generation [ERA5]) precipitation products. The results show that most of the world (except the tropics) experience more intense precipitation from AR-related events compared to non-AR events. Over the oceans (especially the Southern Ocean), the contribution of ARs to the total precipitation and extreme events is larger than over land. However, some coastal areas over land are highly affected by ARs (e.g., the western and eastern United States and Canada, Western Europe, North Africa, and part of the Middle East, East Asia, and eastern South America and part of Australia). Although spatial correlations for pairs of IMERG/CMORPH and GPCP/PERSIANN-CDR are fairly high, considerable discrepancies are shown in their estimation of AR-related events (i.e., overall IMERG and CMORPH show a higher fraction of AR-related precipitation). It was found that the degree of consistency between reanalysis and satellite-based products is highly regionally dependent, partly due to the uneven distribution of in situ measurements. ©2020. American Geophysical Union. All Rights Reserved.</t>
  </si>
  <si>
    <t>2-s2.0-85095819084"</t>
  </si>
  <si>
    <t>Geoforum</t>
  </si>
  <si>
    <t>10.1016/j.geoforum.2020.08.012</t>
  </si>
  <si>
    <t>https://www.scopus.com/inward/record.uri?eid=2-s2.0-85090484540&amp;doi=10.1016%2fj.geoforum.2020.08.012&amp;partnerID=40&amp;md5=ca5835c920ac57c3566cf4749557fa60</t>
  </si>
  <si>
    <t>Social capital is used widely by households in the Global South as a collective response mechanism to natural hazards. It is argued that these processes serve as substitutes for scarce financial and human capital in poor communities. To date, the majority of studies on social capital in the Global South has framed these processes in place-based ways, assuming that they are developed and deployed within local spaces. However, in an increasingly globalized world, people's social networks increasingly transcend the local, and social capital is therefore manifested in multi-scalar geographies. The aim of this study is to assess the significance of this translocality for the use of social capital in responding to natural hazards. Using evidence from communities under threat of sea-water inundation in rural and urban areas in North Java, we focus on both the outcomes of translocal social capital for hazard adaptation and the origins of these social ties. Our results show that households with a higher number of translocal contacts are more likely to take proactive measures against flooding and subsidence. Furthermore, we found that the conditions for establishing translocal social capital differ between rural and urban areas, and we show that the propensity for translocal social capital is stratified along economic lines. Poorer households have fewer translocal social ties, which impairs their ability to adapt to environmental threats. Thus, our results contest former assumptions about (translocal) social capital being a prime resource for the poor. The paper concludes that interventions in poor communities designed to enhance translocal social capital may offer answers to this problem. © 2020 The Authors</t>
  </si>
  <si>
    <t>2-s2.0-85090484540"</t>
  </si>
  <si>
    <t>10.3390/rs12223821</t>
  </si>
  <si>
    <t>https://www.scopus.com/inward/record.uri?eid=2-s2.0-85096409476&amp;doi=10.3390%2frs12223821&amp;partnerID=40&amp;md5=061438ba5b6e1deaa8e88b05c6d4bb37</t>
  </si>
  <si>
    <t>The paper presents the range and applications of thematic tasks for ultra-high spatial resolution data from small unmanned aerial vehicles (UAVs) in the integral system of environmental multi-platform and multi-scaled monitoring of Lake Sevan, which is one of the greatest freshwater lakes in Eurasia. From the 1930s, it had been subjected to human-driven changing of the water level with associated and currently exacerbated environmental issues. We elaborated the specific techniques of optical and thermal surveys for the different coastal sites and phenomena in study. UAV-derived optical imagery and thermal stream were processed by a Structure-from-Motion algorithm to create digital surface models (DSMs) and ortho-imagery for several key sites. UAV imagery were used as additional sources of detailed spatial data under large-scale mapping of current land-use and point sources of water pollution in the coastal zone, and a main data source on environmental violations, especially sewage discharge or illegal landfills. The revealed present-day coastal types were mapped at a large scale, and the net changes of shoreline position and rates of shore erosion were calculated on multi-temporal UAV data using modified Hausdorff’s distance. Based on highly-detailed DSMs, we revealed the areas and objects at risk of flooding under the projected water level rise to 1903.5 m along the west coasts of Minor Sevan being the most popular recreational area. We indicated that the structural and environmental state of marsh coasts and coastal wetlands as potential sources of lake eutrophication and associated algal blooms could be more efficiently studied under thermal UAV surveys than optical ones. We proposed to consider UAV surveys as a necessary intermediary between ground data and satellite imagery with different spatial resolutions for the complex environmental monitoring of the coastal area and water body of Lake Sevan as a whole. © 2020 by the authors. Licensee MDPI, Basel, Switzerland.</t>
  </si>
  <si>
    <t>2-s2.0-85096409476"</t>
  </si>
  <si>
    <t>10.3390/rs12213652</t>
  </si>
  <si>
    <t>https://www.scopus.com/inward/record.uri?eid=2-s2.0-85096038754&amp;doi=10.3390%2frs12213652&amp;partnerID=40&amp;md5=e6166ced885bb375eed5390dd34a9960</t>
  </si>
  <si>
    <t>Floodplains are valuable scenes of water management and nature conservation. A better understanding of their geomorphological characteristic helps to understand the main processes involved. We performed a classification of floodplain forms in a naturally developed area in Hungary using a Digital Terrain Model (DTM) of aerial laser scanning. We derived 60 geomorphometric variables from the DTM and prepared a geomorphological map of 265 forms (crevasse channels, point bars, swales, levees). Random Forest classification was conducted with Recursive Feature Elimination (RFE) on the objects (mean pixel values by forms) and on the pixels of the variables. We also evaluated the classification probabilities (CP), the spatial uncertainties (SU), and the overfitting in the function of the number of the variables. We found that the object-based method had a better performance (95%) than the pixel-based method (78%). RFE helped to identify the most important 13–20 variables, maintaining the high model performance and reducing the overfitting. However, CP and SU were not efficient measures of classification accuracy as they were not in accordance with the class level accuracy metric. Our results help to understand classification results and the specific limits of laser scanned DTMs. This methodology can be useful in geomorphologic mapping. © 2020 by the authors. Licensee MDPI, Basel, Switzerland.</t>
  </si>
  <si>
    <t>2-s2.0-85096038754"</t>
  </si>
  <si>
    <t>10.1038/s41586-020-2867-7</t>
  </si>
  <si>
    <t>https://www.scopus.com/inward/record.uri?eid=2-s2.0-85095825777&amp;doi=10.1038%2fs41586-020-2867-7&amp;partnerID=40&amp;md5=1635148ee274e20379197860d71f4c33</t>
  </si>
  <si>
    <t>When a hurricane strikes land, the destruction of property and the environment and the loss of life are largely confined to a narrow coastal area. This is because hurricanes are fuelled by moisture from the ocean1–3, and so hurricane intensity decays rapidly after striking land4,5. In contrast to the effect of a warming climate on hurricane intensification, many aspects of which are fairly well understood6–10, little is known of its effect on hurricane decay. Here we analyse intensity data for North Atlantic landfalling hurricanes11 over the past 50 years and show that hurricane decay has slowed, and that the slowdown in the decay over time is in direct proportion to a contemporaneous rise in the sea surface temperature12. Thus, whereas in the late 1960s a typical hurricane lost about 75 per cent of its intensity in the first day past landfall, now the corresponding decay is only about 50 per cent. We also show, using computational simulations, that warmer sea surface temperatures induce a slower decay by increasing the stock of moisture that a hurricane carries as it hits land. This stored moisture constitutes a source of heat that is not considered in theoretical models of decay13–15. Additionally, we show that climate-modulated changes in hurricane tracks16,17 contribute to the increasingly slow decay. Our findings suggest that as the world continues to warm, the destructive power of hurricanes will extend progressively farther inland. © 2020, The Author(s), under exclusive licence to Springer Nature Limited.</t>
  </si>
  <si>
    <t>2-s2.0-85095825777"</t>
  </si>
  <si>
    <t>10.1029/2019WR026380</t>
  </si>
  <si>
    <t>https://www.scopus.com/inward/record.uri?eid=2-s2.0-85098201260&amp;doi=10.1029%2f2019WR026380&amp;partnerID=40&amp;md5=dd84c9e3a457a2ba4564d00418fb03b7</t>
  </si>
  <si>
    <t>While previous studies conclude that riparian freshwater lenses are the result of buoyancy forces that drive river water circulation in the adjacent aquifer, only highly idealized conceptual models have been assessed. A numerical study is conducted to investigate the influence of evaporation from unsaturated bare soils, including accumulation and precipitation of salt, on riparian freshwater lenses, assuming otherwise similar conditions to those adopted in recent studies. Non-evaporating simulations that account for the unsaturated zone are first compared to previous saturation-only numerical and analytical results, and reasonable matches are obtained. The modeling analysis of evaporative simulations includes three different approaches to the treatment of solute in evaporated water: (a) no evaporative salt accumulation, (b) evaporative salt accumulation, and (c) as for (b) except resistance to evaporation caused by salt accumulation is considered. Significant evaporative fluxes caused gaining river conditions to change to losing conditions, leading to the cessation of buoyancy-driven freshwater circulation and to freshwater bodies that are not lenticular. Rather, evaporation reduces regions where the water table and/or unsaturated zone are fresh relative to the freshwater lens volume. Evaporation rates depend on the hydraulic connection between the floodplain surface and water table, which is limited where the water table is deep, the soil hydraulic conductivity is low, and under higher potential evaporation rates. The results show that floodplain evaporation may control the freshwater-saltwater distribution and lead to hypersaline groundwater under certain conditions, although earlier buoyancy-driven conceptual models of riparian lenses appear to remain valid where the thickness of the unsaturated zone is sufficiently large. ©2020. American Geophysical Union. All Rights Reserved.</t>
  </si>
  <si>
    <t>2-s2.0-85098201260"</t>
  </si>
  <si>
    <t>Bulletin of the Geological Society of Malaysia</t>
  </si>
  <si>
    <t>10.7186/bgsm70202001</t>
  </si>
  <si>
    <t>https://www.scopus.com/inward/record.uri?eid=2-s2.0-85096970444&amp;doi=10.7186%2fbgsm70202001&amp;partnerID=40&amp;md5=450f5bb926eae167801b8ad53ca6da48</t>
  </si>
  <si>
    <t>The coastal areas of Sabah are exposed to far-field earthquake-induced tsunamis that could be generated along the trenches of Manila, Negros, Sulu, Cotabato, Sangihe and North Sulawesi. Tsunami simulation models from these trenches indicated that tsunami waves can reach the coast of Sabah between 40 and 120 minutes with tsunami wave heights reaching up to 3 m near the coast. The level of tsunami threat is high in southeast Sabah due to its narrow continental shelf and proximity to tsunami source in the North Sulawesi Trench. The level of tsunami threat is moderate in north and east Sabah due to their proximity to tsunami source in the Sulu Trench. The level of tsunami threat is low in west Sabah due to its distant location to tsunami source from the Manila Trench. While tsunamis cannot be prevented, its impact on human life and property can be reduced through proper assessment of its threat using tsunami simulation models. Unfortunately, constraints remain in producing a reliable tsunami inundation models due to the lack of high-resolution topography and bathymetry data in Sabah and surrounding seas. It would be helpful if such data can be acquired by the relevant government agencies, at least first, in high threat-level areas, such as Tawau and Semporna districts. In order to properly plan mitigation measures tsunami risk mapping should be intensified in high threat-level areas. The locations of settlements (including water villages), population concentrations, types of buildings and houses, road system, drainage system, harbours, jetties and vegetations (including mangroves) need to be mapped in great detail. Based on the detailed tsunami risk map, targeted vulnerable communities could be given continuous and intensive education and awareness on basic tsunami science and tsunami hazard preparedness. © 2020 Geological Society of Malaysia. All rights reserved.</t>
  </si>
  <si>
    <t>2-s2.0-85096970444"</t>
  </si>
  <si>
    <t>10.1007/s13157-020-01324-2</t>
  </si>
  <si>
    <t>https://www.scopus.com/inward/record.uri?eid=2-s2.0-85087133754&amp;doi=10.1007%2fs13157-020-01324-2&amp;partnerID=40&amp;md5=8cec5c36fdb8ee7f83a3c42e90534f31</t>
  </si>
  <si>
    <t>Coastal marsh loss, combined with expected sea-level rise, will cause inundation and extensive shifts to vegetation and salinity regimes that may affect bird species dependent on coastal ecosystems worldwide. Within coastal-marsh habitats, birds provide key targets for coastal management goals. However, limited information on bird-habitat relationships within coastal marshes inhibits the development of restoration projects targeted to bird species. We surveyed birds bi-monthly within Barataria Basin, LA from July 2014 to December 2015 to compare their use between fresh and saline coastal marshes. Additionally, we examined habitat use at finer spatial scales to assess preference for marsh-edge microhabitats. Edge habitat supported 1.8 times more bird species (guild) richness than emergent and open-water habitat. We concluded that future modelling efforts would be improved if models incorporate edge effects for birds in coastal marshes that extend 20 m from emergent vegetation into open water, with a reduced effect if marsh types convert from fresh to saline. Our data will be useful to simulate the effects of changes in marsh type, area, and edge on habitat quality for birds in coastal Louisiana and will inform habitat restoration and management decisions aimed at optimizing bird use. © 2020, US Government.</t>
  </si>
  <si>
    <t>2-s2.0-85087133754"</t>
  </si>
  <si>
    <t>10.1016/j.jsames.2020.102842</t>
  </si>
  <si>
    <t>https://www.scopus.com/inward/record.uri?eid=2-s2.0-85090165108&amp;doi=10.1016%2fj.jsames.2020.102842&amp;partnerID=40&amp;md5=21165907564fbe9f0d0622ef30a98c63</t>
  </si>
  <si>
    <t>The geomorphometric characterization of central Amazonia reliefs is specially challenging because of its large dimension and rather uniform low topography of sedimentary units. In such conditions, usual techniques applied for general geomorphometry are ineffective and thus disabling direct bottom-up approaches for delimitations. Specific geomorphometry is a more promising approach for terrain analysis in this area, since procedures can be adapted to analyze the particular features of each geomorphological context. Therefore, delimitation of subdomains is a requirement for specific geomorphometry, to address proper approaches in the different strata. This paper presents a first level delimitation of major subdomains of Central Amazonia, carried out through combined techniques of geoprocessing guided by visual assessment. The three targeted subdomains, floodplains, plateau and highland, were mapped at the 1:2,000,000 scale using SRTM and derivative data as inputs. The relief of highland, as influenced by Precambrian to Cretaceous basement rocks, was firstly delimited using mostly height and relative relief combinations. The partition of the remaining lowland area into plateaus (Neogene) and floodplains (Quaternary sediments) was based on residual relief (subtraction of regional relief from full detail elevation data), with a regional relief modeled as the 9th order trend surface of elevations. Thresholds of negative residues were determined to create extents of visually assessed boundaries between plateau and floodplain areas. The continuous visual supervision of procedures and concerning interventions were based on interpretation of output displays of DEM and derived data prepared with image processing techniques. Delineation of subdomains was implemented through steps of supervised classifications and map algebra to operationally enable the task over the full area extension and corresponding data volume. Observation of data combined with knowledge and conceptual inputs were decisive to provide useful and unambiguous criteria to choose specific variables and analyses along this development. © 2020 Elsevier Ltd</t>
  </si>
  <si>
    <t>2-s2.0-85090165108"</t>
  </si>
  <si>
    <t>Scottish Journal of Geology</t>
  </si>
  <si>
    <t>10.1144/sjg2020-004</t>
  </si>
  <si>
    <t>https://www.scopus.com/inward/record.uri?eid=2-s2.0-85110220666&amp;doi=10.1144%2fsjg2020-004&amp;partnerID=40&amp;md5=2ef069afee23295f2022db8417f4f9ab</t>
  </si>
  <si>
    <t>Sandstones of the Middle–Upper Jurassic Brora Arenaceous Formation of the Inner Moray Firth, NE Scotland have hitherto been interpreted as representing coastal, tidally-influenced bars. The formation is exposed close to the northern basin-bounding Helmsdale Fault, and the middle member of the formation, the Clynelish Quarry Sandstone, consists of thick, mainly structureless sandstone beds with wavy, commonly amalgamated boundaries. It also includes sandstone bodies with sigmoidal clinothems, erosional surfaces and backset beds. Rich marine faunas dominated by bivalves and ammonites occur at a few levels, whereas trace fossils are rare or absent. The Clynelish Quarry Sandstone is here reinterpreted as reflecting deposition by hyperpycnal sandy density flows in flood-generated marine, subaqueous, delta-scale clinoforms and lobes in front of local mountain streams. The reinterpretation of these sandstones implies the presence of a tectonically controlled, relatively steep basin margin along the line of the Helmsdale Fault. The Brora Arenaceous Formation thus dates the onset of Jurassic rifting in the Inner Moray Firth to the latest Callovian rather than the late Oxfordian as previously interpreted from seismic data. © 2020 The Author(s). Published by The Geological Society of London for EGS and GSG. All rights reserved. For permissions: http://www.geolsoc.org.uk/ permissions. Publishing disclaimer: www.geolsoc.org.uk/pub_ethics.</t>
  </si>
  <si>
    <t>2-s2.0-85110220666"</t>
  </si>
  <si>
    <t>10.1007/s00024-020-02606-w</t>
  </si>
  <si>
    <t>https://www.scopus.com/inward/record.uri?eid=2-s2.0-85093845546&amp;doi=10.1007%2fs00024-020-02606-w&amp;partnerID=40&amp;md5=4f3635a99922c929e1e8a8f02a61dc70</t>
  </si>
  <si>
    <t>The Bodrum-Kos earthquake which occurred on 20th July 2017 at 1:31 am local time with a magnitude of Mw 6.6 in the Gulf of Gökova in Turkey. The Bodrum-Kos earthquake caused a small radius tsunami in Bodrum coast and its surroundings. Here, the Interferometric Synthetic Aperture Radar (InSAR) method was utilized to reveal tectonic deformation caused by the Bodrum-Kos earthquake. The InSAR technique was increasingly used to detect ground deformation such as landslide, tectonic or volcanic. In this study, the crucial atmospheric corrections which are GACOS and phase-elevation corrections on InSAR data are discussed. GACOS correction is based on high-resolution European Centre for Medium-Range Weather Forecasts weather model at 0.125° and 6-h resolutions, SRTM DEM and ASTER GDEM. GACOS is used to separate stratified and turbulent signals from tropospheric total delays and generate high spatial resolution zenith total delay maps to be used for correcting InSAR measurements and other applications. Phase-elevation linear correction is also used to separate mostly stratified signals from tropospheric total delays due to the topographic elevation changes and 3 arc second topographic map was used in the phase-elevation correction. These atmospheric correction methods were tried both separately and sequentially and standard deviations of each method were presented. The points comparison of the cumulative line of sight displacement maps were made after and before correction. The point on the Karaada (C point) shows subsidence after the earthquake and then recovers again. Time-series results of all points show similar values until the earthquake occurs. Time-series result also shows that the Bodrum-Kos earthquake has a small radius effect over the land area only the north and maybe west island due to the occurrence on the sea and lost its much energy without reaching the land. © 2020, Springer Nature Switzerland AG.</t>
  </si>
  <si>
    <t>2-s2.0-85093845546"</t>
  </si>
  <si>
    <t>10.3390/rs12213658</t>
  </si>
  <si>
    <t>https://www.scopus.com/inward/record.uri?eid=2-s2.0-85096033338&amp;doi=10.3390%2frs12213658&amp;partnerID=40&amp;md5=aa2049cf86a9fc2148f6747d26b88667</t>
  </si>
  <si>
    <t>Coastal dams along the Yellow River Delta are built to prevent seawater intrusion. However, land subsidence caused by significant oil, gas and brine extraction, as well as sediment compaction, could exacerbate the flooding effects of sea-level rise and storm surge. In order to evaluate the coastal dam vulnerability, we combined unmanned aerial vehicle (UAV) Light Detection and Ranging (LiDAR) with small baseline subsets (SBAS) interferometric synthetic aperture radar (InSAR) results to generate an accurate coastal dam digital elevation model (DEM) over the next 10, 30 and 80 years. Sea-level simulation was derived from the relative sea-level rise scenarios published by the Intergovernmental Panel on Climate Change (IPCC) and local long-term tide gauge records. Assuming that the current rate of dam vertical deformation and sea-level rise are linear, we then generated different inundation scenarios by the superposition of DEMs and sea-levels at different periods by way of a bathtub model. We found that the overtopping event would likely occur around Year 2050, and the northern part of the dam would lose its protective capability almost entirely by the end of this century. This article provides an alternative cost-effective method for the detection, extraction and monitoring of coastal artificial infrastructure. © 2020 by the authors. Licensee MDPI, Basel, Switzerland.</t>
  </si>
  <si>
    <t>2-s2.0-85096033338"</t>
  </si>
  <si>
    <t>10.1038/s41598-020-67736-6</t>
  </si>
  <si>
    <t>https://www.scopus.com/inward/record.uri?eid=2-s2.0-85088814668&amp;doi=10.1038%2fs41598-020-67736-6&amp;partnerID=40&amp;md5=a77a787b398699fbff8533f1e5ae51ff</t>
  </si>
  <si>
    <t>Global models of tide, storm surge, and wave setup are used to obtain projections of episodic coastal flooding over the coming century. The models are extensively validated against tide gauge data and the impact of uncertainties and assumptions on projections estimated in detail. Global “hotspots” where there is projected to be a significant change in episodic flooding by the end of the century are identified and found to be mostly concentrated in north western Europe and Asia. Results show that for the case of, no coastal protection or adaptation, and a mean RCP8.5 scenario, there will be an increase of 48% of the world’s land area, 52% of the global population and 46% of global assets at risk of flooding by 2100. A total of 68% of the global coastal area flooded will be caused by tide and storm events with 32% due to projected regional sea level rise. © 2020, The Author(s).</t>
  </si>
  <si>
    <t>2-s2.0-85088814668"</t>
  </si>
  <si>
    <t>10.1016/j.geomorph.2020.107393</t>
  </si>
  <si>
    <t>https://www.scopus.com/inward/record.uri?eid=2-s2.0-85090187642&amp;doi=10.1016%2fj.geomorph.2020.107393&amp;partnerID=40&amp;md5=3ac8ef0b14a03b84c2b29eb151836208</t>
  </si>
  <si>
    <t>Glacial lake outburst floods (GLOF) are one of the most destructive natural disasters. Understanding GLOF evolution, and their impacts, plays a fundamental role in GLOF hazard assessment and risk management. Reconstructing historical GLOFs is an important exercise because detailed case studies of such glacial hazards are rare, which hinders the capacity of glacial hazard practitioners to learn from these events. In this study, we reconstruct a historical GLOF from moraine-dammed Chongbaxia Tsho (89.745°E, 28.211°N) in the Eastern Himalaya, which is a unique case study because the outburst flood cascaded into two further lakes downstream. We employ a combination of i) multi-source and multi-temporal satellite imagery, ii) field investigation (including an unmanned aerial vehicle survey), iii) numerical dam breach and hydrodynamic modelling and, iv) qualitative and quantitative cryospheric and meteorological analysis, to investigate the evolution of the GLOF hazard, simulate moraine dam failure and GLOF propagation, and explore the role that long- and short-term climate trends played in providing the conditioning factors for the outburst. Chongbaxia Tsho expanded rapidly between 1987 until 2001 in response to glacier recession most likely caused by a regional warming trend of +0.37 °C per decade. Based on satellite image analysis we refine the outburst date to be 6 August 2001, instead of 6 August 2000, as previously reported, and attribute an ice avalanche into the glacial lake originating from the receding parent glacier as the most likely trigger for moraine dam failure. Through DEM differencing and lake level decrease, we estimate that a total water volume of 27.1 ± 1.6 × 106 m3 was released from the lake during the event, and using dam breach modelling we estimate that the peak discharge at the breach was &gt;6600 m3 s−1. The GLOF flowed through downstream Chongbamang Tsho and Chongbayong Tsho, both of which served to attenuate the GLOF and reduce downstream losses</t>
  </si>
  <si>
    <t>10.1016/j.ocemod.2020.101710</t>
  </si>
  <si>
    <t>https://www.scopus.com/inward/record.uri?eid=2-s2.0-85094315435&amp;doi=10.1016%2fj.ocemod.2020.101710&amp;partnerID=40&amp;md5=75ed133646846fee8dff47a900a99d9d</t>
  </si>
  <si>
    <t>This study investigates the contribution of short-wave breaking to storm surges through a high-resolution hindcast of the sea state and storm surge associated with the extra-tropical storm Klaus. This storm made landfall in January 2009 in the Southern Bay of Biscay and produced the largest storm surges observed in this region over the last 20 years, with 1.70m in the Arcachon Lagoon and 1.10m in the Adour Estuary. A fully-coupled 3D modelling system, which uses a vortex force formalism to represent wave-current interactions, is applied with a spatial resolution down to 35m in the surf zones in order to properly compute the wave-induced setup. Modelling results reveal that the wave setup contributes by up to 40% and 23% to the storm surge peak in the Adour Estuary and the Arcachon Lagoon respectively. Accounting for wave forces in the circulation model improves storm surge predictions by 50 to 60%. This is explained by the dominant role played by wave forces in the momentum balance at the inlets under storm waves. Numerical experiments further reveal that the wave-induced setup can be tidally-modulated, although this phenomenon seems to be site-specific. Finally, a sensitivity analysis highlights the importance of the model grid resolution in the surf zones to correctly resolve the wave setup along open-ocean coasts. Inside the lagoon, the storm surge and wave setup are less sensitive to the grid resolution while tidal propagation cannot be accurately represented with a resolution of 1000m, which is typically used in operational storm surge forecast. © 2020 Elsevier Ltd</t>
  </si>
  <si>
    <t>2-s2.0-85094315435"</t>
  </si>
  <si>
    <t>10.1016/j.jhydrol.2020.125617</t>
  </si>
  <si>
    <t>https://www.scopus.com/inward/record.uri?eid=2-s2.0-85094171419&amp;doi=10.1016%2fj.jhydrol.2020.125617&amp;partnerID=40&amp;md5=0a92ec46fa837c92abecb8ad5350d6f8</t>
  </si>
  <si>
    <t>Many dryland rivers are terminal systems, with small channels undergoing prominent downstream size reductions before ending on channelless floodplains, in wetlands, or at playa margins. Spaceborne Digital Elevation Models (DEMs) provide potential for assessing subtle topographic and hydrodynamic changes in these low-gradient, low-relief settings, but challenges are posed by limitations in vertical and horizontal accuracy. This study evaluates the use of different spaceborne DEMs for topographic characterisation and flood flow modelling of the low-gradient (&lt;0.0006 m m−1) Río Colorado terminal system, Bolivia. A comparison between DEM and field dGPS elevation data (1290 measurement points) reveals that the TanDEM-X DEM 12 m (TDX-12 m) has a RMSE of 0.47 m, far less than those of other frequently used spaceborne DEMs such as ALOS RTC (4.58 m) and SRTM (6.02 m). For hydrodynamic modelling, TDX-12 m data were smoothed (adaptive filter and feature-preserving DEM smoothing) and upscaled. The smoothed TDX-12 m data were mosaiced with a dGPS data-derived river path, surveyed along a reach (mean width &lt;30 m) with a prominent downstream size decrease. The methods enabled effective de-noising of the TDX-12 m data (RMSE 0.29 m) and resulted in a high linear regression correlation coefficient (0.75). HEC-RAS 2D modelling reveals that in the selected reach, overbank flooding starts in the downstream part when discharge is &lt;18 m3/s, with flow initially spreading through crevasse channels and levee topographic lows. As discharge increases, flow spreads farther across the floodplain, ultimately forming connected floodplain flow in distal topographic lows. Satellite imagery and a derived water index indicate the same floodplain flow patterns as the modelling (critical success index 0.77). Wider use of DEMs based on TDX-12 m data for topographic characterization and flood flow modelling along relatively small, low-gradient terminal dryland rivers will result in many scientific and applied benefits. © 2020 Elsevier B.V.</t>
  </si>
  <si>
    <t>2-s2.0-85094171419"</t>
  </si>
  <si>
    <t>10.1016/j.scitotenv.2020.140420</t>
  </si>
  <si>
    <t>https://www.scopus.com/inward/record.uri?eid=2-s2.0-85088374846&amp;doi=10.1016%2fj.scitotenv.2020.140420&amp;partnerID=40&amp;md5=95f0a0f2fcf00f0df77b20ffc96b8951</t>
  </si>
  <si>
    <t>The position of tidal wetlands at the land-sea interface makes them especially vulnerable to the effects of nutrient discharges and sea level rise (SLR). Experimental studies of coastal wetland nutrient additions report conflicting results among and within habitats, highlighting the importance of site-specific factors, and how spatial and temporal scaling modulates responses. This suite of influences as SLR accelerates creates a “Gordian Knot” that may compromise coastal habitat integrity. We present eight testable hypotheses here to loosen this knot by identifying critical modulators about nutrient form, soil type and porosity, physiochemical gradients, and eco-evolutionary responses that may control the impacts of nutrient enrichment on coastal wetland sustainability: (1) the delivery and form of the nutrient shapes the ecosystem response</t>
  </si>
  <si>
    <t>10.1002/esp.5003</t>
  </si>
  <si>
    <t>https://www.scopus.com/inward/record.uri?eid=2-s2.0-85091777315&amp;doi=10.1002%2fesp.5003&amp;partnerID=40&amp;md5=0d055ed62356222f9987557b767c34c6</t>
  </si>
  <si>
    <t>Natural levees are common features in river, delta and tidal landscapes. They are elevated near-channel morphological features that determine the connection between channel and floodbasin, and consequently affect long-term evolution up to delta-scales. Despite their relevance in shaping fluvial-tidal systems, research on levees is sparse and often limited to fluvial or non-tidal case studies. There is also a general lack of understanding of the role of vegetation in shaping these geomorphic units, and how levee morphology and dimensions vary in the transition from fluvial to coastal environments, where tides are increasingly important. Our goal is to unravel the effects of fluvial-tidal boundary conditions, sediment supply and vegetation on levee characteristics and floodbasin evolution. These conditions were systematically explored by 60 large-scale idealized morphodynamic simulations in Delft3D which self-developed levees over the course of one century. We compared our results to a global levee dataset compilation of natural levee dimensions. We found that levee height is determined by the maximum water level, provided sufficient levee building sediments are available. Discharge fluctuations increased levee width and triggered more levee breaches, i.e. crevasses, that effectively filled the fluvio-tidal floodbasin. The presence of wood-type (sparse) vegetation further increased the number of crevasses in comparison with the non-vegetated scenarios. Conversely, reed-type (dense) vegetation strongly dampened tidal amplitude and reduced the accommodation space and sedimentation further into the floodbasin, resulting in narrower levees, no crevasses and limited floodbasin accretion. However, dense vegetation reduced tidal forces which allowed levee growth further downstream. Ultimately, the levees merged with the coastal barrier, eliminating the floodbasin tides entirely. Our results elucidate the mechanisms by which levee and crevasse formation, and vegetation may fill fluvio-tidal wetlands and affect estuary evolution. This brings new insights for geological reconstructions as well as for the future management of deltas and estuaries under sea-level rise. © 2020 The Authors. Earth Surface Processes and Landforms published by John Wiley &amp; Sons Ltd. © 2020 The Authors. Earth Surface Processes and Landforms published by John Wiley &amp; Sons Ltd</t>
  </si>
  <si>
    <t>2-s2.0-85091777315"</t>
  </si>
  <si>
    <t>10.3390/rs12244175</t>
  </si>
  <si>
    <t>https://www.scopus.com/inward/record.uri?eid=2-s2.0-85098282548&amp;doi=10.3390%2frs12244175&amp;partnerID=40&amp;md5=ede6252cc0a3938f88aa55b3861935f9</t>
  </si>
  <si>
    <t>Peatlands in Indonesia are one of the primary global storages for terrestrial organic carbon. Poor land management, drainage, and recurrent fires lead to the release of huge amounts of carbon dioxide. Accurate information about the extent of the peatlands and its 3D surface topography is crucial for assessing and quantifying this globally relevant carbon store. To identify the most carbon-rich peatlands—dome-shaped ombrogenous peat—by collecting GPS-based terrain data is almost impossible, as these peatlands are often located in remote areas, frequently flooded, and usually covered by dense tropical forest vegetation. The detection by airborne LiDAR or spaceborne remote sensing in Indonesia is costly and laborious. This study investigated the potential of the ICESat-2/ATLAS LiDAR satellite data to identify and map carbon-rich peatlands. The spaceborne ICESat-2 LiDAR data were compared and correlated with highly accurate field validated digital terrain models (DTM) generated from airborne LiDAR as well as the commercial global WorldDEM DTM dataset. Compared to the airborne DTM, the ICESat-2 LiDAR data produced an R2 of 0.89 and an RMSE of 0.83 m. For the comparison with the WorldDEM DTM, the resulting R2 lay at 0.94 and the RMSE at 0.86 m. We model the peat dome surface from individual peat hydrological units by performing ordinary kriging on ICESat-2 DTM-footprint data. These ICESat-2 based peatland models, compared to a WorldDEM DTM and airborne DTM, produced an R2 of 0.78, 0.84, and 0.94 in Kalimantan and an R2 of 0.69, 0.72, and 0.85 in Sumatra. The RMSE ranged from 0.68 m to 2.68 m. These results demonstrate the potential of ICESat-2 in assessing peat surface topography. Since ICESat-2 will collect more data worldwide in the years to come, it can be used to survey and map carbon-rich tropical peatlands globally and free of charge. © 2020 by the authors. Licensee MDPI, Basel, Switzerland.</t>
  </si>
  <si>
    <t>2-s2.0-85098282548"</t>
  </si>
  <si>
    <t>ICIC Express Letters, Part B: Applications</t>
  </si>
  <si>
    <t>10.24507/icicelb.11.11.1001</t>
  </si>
  <si>
    <t>https://www.scopus.com/inward/record.uri?eid=2-s2.0-85091772547&amp;doi=10.24507%2ficicelb.11.11.1001&amp;partnerID=40&amp;md5=02cdcdce992e854837951a6bd564bb8d</t>
  </si>
  <si>
    <t>Social media is a suitable medium for most researchers to perform analysis on, including the waste management. In Indonesia, waste is a very common issue especially when it comes to landfills, pollution, loitering, and floods. This research is focused on finding out and rating the quality of Indonesia’s waste management activity from several views, and highlighting the specific issues that caused the problem. The K-Means clustering, fuzzy logic, and mathematical model were operated to decide the final quality of the waste management and Twitter was used as the social media source for this research. While the research provided the decision support model (DSM) which produces the concrete results. The final quality value of 56.02 means that the quality of Indonesia’s waste management quality is lacking in several aspects. Also, the result of study proposed several decisions which should be practically taken to solve the problem. © 2020, ICIC International.</t>
  </si>
  <si>
    <t>2-s2.0-85091772547"</t>
  </si>
  <si>
    <t>10.3390/atmos11091009</t>
  </si>
  <si>
    <t>https://www.scopus.com/inward/record.uri?eid=2-s2.0-85092334233&amp;doi=10.3390%2fatmos11091009&amp;partnerID=40&amp;md5=a05491ca3dbe69c02e3a174f98da3aed</t>
  </si>
  <si>
    <t>Hydroclimatic information services are vital for sustainable agricultural practices in deltas. They advance adaptation practices of farmers that lead to better economic benefit through increased yields, reduced production costs, and minimized crop damage. This research explores the hydroclimatic information needs of farmers by addressing (1) what kind of information is needed by the periurban delta farmers, and (2) whether information needs have any temporal dimension that changes with time following capacity building during coproduction of information services. Results reveal that the attributes of weather and water-related forecasts most affecting the farmers are rainfall, temperature, water, and soil salinity, along with extreme events such as cyclone and storm surges. The majority of the male farmers prefer one- to two-week lead-time forecasts for strategic and tactical decision-making; while female farmers prefer short-time forecasts with one-day to a week lead time that suggests the difference of purpose of the forecasts between male and female farmers. Contrarily, there is little preference for monthly, seasonal, and real-time forecasts. Information communication through a smartphone app is preferred mostly because of its easy accessibility and visualization. Farmers foresee that capacity building on acquiring hydroclimatic information is vital for agricultural decision-making. We conclude that a demand-driven coproduction of a hydroclimatic information service created through iterative interaction with and for farmers will enable the farmers to understand their information needs more explicitly.</t>
  </si>
  <si>
    <t>10.1080/08920753.2020.1802198</t>
  </si>
  <si>
    <t>https://www.scopus.com/inward/record.uri?eid=2-s2.0-85089295029&amp;doi=10.1080%2f08920753.2020.1802198&amp;partnerID=40&amp;md5=7e47c168973f05012ec4b091408f47e0</t>
  </si>
  <si>
    <t>Hurricanes can cause extensive long-term damage to small-scale fisheries. Yet, information is scarce on how communities are locally impacted by extreme events in the Caribbean and in other parts of the world. Focusing on an artisanal fishery in Yaguajay, Sancti Spiritus, Cuba, this article explores how artisanal fishers have perceived and responded to the different damages brought about by Hurricane Irma in September 2017 and the inundations associated with Storm Alberto in May 2018. Combining discussions and short interviews carried out pre and post-storms Irma and Alberto, this study identifies major environmental impacts and matching responses. In addition, the article sheds light on the evolution of small-scale fishing communities in Cuba and their current organization. Results show local perceptions of extensive biodiversity loss in terms of mangrove coverage, changes in salinity, and the quality of coastal environments that have affected the composition of captures and fish sizes. As a consequence of these changes, fishers are adjusting their effort and fishing intensity to match perturbations. Findings underscore the need to identify the synergistic relations that may exist between prior environmental degradation and different extreme events such as droughts, hurricanes, and excessive precipitation. The interrelation of these factors may result in compounded aggravated impacts that may unfold over longer temporal scales and not just as a one-time event. Authors conclude by stressing the importance of including the systematic study of extreme events along with local perceptions of ecological change in fishery management plans. Because fishers´ responses to hazards are based on their experiences and knowledge of the state of coastal and marine habitats, and especially on expectations about what constitutes normal ranges of change, threats, and levels of risks, this information is key to guide behavioral interventions and decision frameworks that can foster the development of hurricane resistant communities. © 2020 Taylor &amp; Francis Group, LLC.</t>
  </si>
  <si>
    <t>2-s2.0-85089295029"</t>
  </si>
  <si>
    <t>10.3390/RS12182971</t>
  </si>
  <si>
    <t>https://www.scopus.com/inward/record.uri?eid=2-s2.0-85092139237&amp;doi=10.3390%2fRS12182971&amp;partnerID=40&amp;md5=67e9516b8f3657f75a5137ccae7d4f18</t>
  </si>
  <si>
    <t>In this work, we study ground deformation of ocean-reclaimed platforms as retrieved from interferometric synthetic aperture radar (InSAR) analyses. We investigate, in particular, the suitability and accuracy of some time-dependent models used to characterize and foresee the present and future evolution of ground deformation of the coastal lands. Previous investigations, carried out by the authors of this paper and other scholars, related to the zone of the ocean-reclaimed lands of Shanghai, have already shown that ocean-reclaimed lands are subject to subside (i.e., the ground is subject to settling down due to soil consolidation and compression), and the temporal evolution of that deformation follows a certain predictable model. Specifically, two time-gapped SAR datasets composed of the images collected by the ENVISAT ASAR (ENV) from 2007 to 2010 and the COSMO-SkyMed (CSK) sensors, available from 2013 to 2016, were used to generate long-term ground displacement time-series using a proper time-dependent geotechnical model. In this work, we use a third SAR data set consisting of Radarsat-2 (RST-2) acquisitions collected from 2012 to 2016 to further corroborate the validity of that model. As a result, we verified with the new RST-2 data, partially covering the gap between the ENV and CSK acquisitions, that the adopted model fits the data and that the model is suitable to perform future projections. Furthermore, we extended these analyses to the area of Pearl River Delta (PRD) and the city of Shenzhen, China. Our study aims to investigate the suitability of different time-dependent ground deformation models relying on the different geophysical conditions in the two areas of Shanghai and Shenzhen, China. To this aim, three sets of SAR data, collected by the ENV platform (from both ascending and descending orbits) and the Sentinel-1A (S1A) sensor (on ascending orbits), were used to obtain the ground displacement time-series of the Shenzhen city and its surrounding region. Multi-orbit InSAR data products were also combined to discriminate the up-down (subsidence) ground deformation time-series of the coherent points, which are then used to estimate the parameters of the models adopted to foresee the future evolution of the land-reclaimed ground consolidation procedure. The exploitation of the obtained geospatial data and products are helpful for the continuous monitoring of coastal environments and the evaluation of the socio-economical impacts of human activities and global climate change. © 2020 by the authors.</t>
  </si>
  <si>
    <t>2-s2.0-85092139237"</t>
  </si>
  <si>
    <t>Philippine Journal of Science</t>
  </si>
  <si>
    <t>10.56899/149.3a.21</t>
  </si>
  <si>
    <t>https://www.scopus.com/inward/record.uri?eid=2-s2.0-85094577713&amp;doi=10.56899%2f149.3a.21&amp;partnerID=40&amp;md5=e8bafdadbbc32216f7ae2228fa8d2530</t>
  </si>
  <si>
    <t>The present study analyzed and quantified the linear, areal, and relief geomorphometric aspects of the Bued Watershed in Benguet, Philippines using a 30-m spatial resolution digital elevation model. The study was carried out using geospatial techniques to describe the hydrogeological processes acting on the watershed including its landforms, geologic structure, and terrain features that are relevant in watershed conservation and natural resources management. The study site has a total area of 146.46 km2 and a basin length of 23.38 km. Based on the linear parameters, it has four stream orders generated using a 1.5-ha critical source area (CSA). Stream order three, with a total of three stream segments, contributes much higher sediment loads to the Bued River. These stream segments are also controlled by geologic structures with a high possibility of flash floods during a high rainfall intensity. For the areal parameters, the study area was categorized as medium-watershed and less elongated. It has a low drainage density value (1.16 km/km2), which is characterized by a good vegetative cover. The study site has permeable subsurface material and lower relief, which turns out to have a more infiltration capacity. Whereas the drainage texture and form factor values (0.812 km and 0.27, respectively) described the study area with a lower peak flow of longer duration, these values indicate that the flood flows are easier to control. The linear parameters showed that most of the Bued Watershed area (44%) is located at an elevation of &gt; 1000 masl with moderate to steep slopes, which make it more susceptible to erosions and landslides. This is consistent with the relief ratio and relative relief results (0.08 and 0.03, respectively), which suggest that the area is vulnerable to erosion. © 2020, Department of Science and Technology. All rights reserved.</t>
  </si>
  <si>
    <t>2-s2.0-85094577713"</t>
  </si>
  <si>
    <t>10.1007/s11069-020-04186-3</t>
  </si>
  <si>
    <t>https://www.scopus.com/inward/record.uri?eid=2-s2.0-85088579828&amp;doi=10.1007%2fs11069-020-04186-3&amp;partnerID=40&amp;md5=21b4458aae6ca01f90f4a24ea0b8af69</t>
  </si>
  <si>
    <t>Floods are one of the most severe hydrological hazards that cause an excessive threat to landscape stability, population welfare, infrastructure and spatial development in the Syrian coastal region. Al-Hussain river basin, like other Syrian coastal basins, is prone to a hazardous, frequent-flooding threat. However, investigating the probable areas of flooding risk is a difficult challenge that results from the almost complete absence of spatially distributed geo-hydrological measurements in Al-Hussain river basin. In this regard, geohydromorphometric parameters (Stream number Nu, Stream length Lu, Bifurcation ratio Rb, Form factor F, Elongation ratio Eb, Drainage density Dd, Stream frequency Fs, Drainage texture Td, Lemniscate ratio K, Compactness index C, Circulatory ratio Rc, Ruggedness number Rn, Basin relief Hr, and Relief ratio Rr) derived from remote sensing data in the GIS environment can provide a comprehensive and objective approach that can be utilized to map the spatial distribution of flood hazards at the level of delineated sub-basins. This being the case, the present research focuses on exploring the spatial distribution of flood risk in ten sub-basins belonging to Al-Hussain river basin by using spatial techniques tools in order to overall determine the hydro-prioritization of conservation. The geo-visualization map of generated flash flood susceptibility evaluates five degrees of the flood risk: very low, low, moderate, high, and very high. The flood risk map indicates that Qalea, and Talaa sub-basins have massive hydrodynamic risk, which, in turn, indicates the urgent need of soil and water maintaining measures. This hydrological dynamic in these sub-basins is explained by high values of Dd, F, Rr, Rn, Rc, and K, respectively. Overall, the spatial outcomes of the current work successfully proved the efficiency of extracted geohydromorphometric layers from RS data in the context of the spatial assessment of flash flood hazard</t>
  </si>
  <si>
    <t>10.1007/s11069-020-04079-5</t>
  </si>
  <si>
    <t>https://www.scopus.com/inward/record.uri?eid=2-s2.0-85086156857&amp;doi=10.1007%2fs11069-020-04079-5&amp;partnerID=40&amp;md5=3b5575c09f5ab64ff0c9e186b1837288</t>
  </si>
  <si>
    <t>The Río de la Plata (RdP) Estuary is affected by significant surges several times per year. This phenomenon has historically caused catastrophic water-level enlargements of up to 4.44 m, threatening and claiming human lives and producing major economic and material damages. The negative surges are less frequent, but when they do occur, inhibit the access to the principal harbors and waterways and disable the drinking water intakes of the Metropolitan Area of Buenos Aires (the Capital City of Argentina) with a population of more and 16 million people. Recent works suggest that the number and strength of the surge events have been increasing with time. Nevertheless, a state-of-the-art system for the forecast of those events is not available yet. In this work, the implementation of a numerical modelling system for the forecast/hindcast of storm surges and the associated currents in the RdP and the adjacent continental shelf are presented and validated. This pre-operational system is based on an adaptation of the CROCO community ocean model to solve the dynamics associated with the surge. The model was implemented using a set of routines written in open-source programming language (Linux and Python) to be cheap and efficient and to ensure an easy future transfer to the services responsible for the alerts. For a better representation of the regional atmospheric dynamics, wind speed and sea-level pressure used to force the simulations were corrected using direct observations collected at an oceanographic buoy anchored at the estuary. The model system performance in hindcast mode was quantified by comparison with observations from tidal gauges and current meters at several locations of the estuary and the adjacent shelf. Percent errors for water level over the whole estuary and currents in the intermediate and exterior estuary drove to average results of 8 and 13%, respectively. The skill scores resulted, on average, of 0.90 and 0.80, respectively. The model performance in both hindcast and forecast modes was evaluated during historical extreme storm surges. Results support the good performance of the model to simulate even extreme events with average skill scores of 0.97 and 0.92, respectively. Results are encouraging, particularly taking into account the limitations in the atmospheric forcing for the region, where only a relatively small number of direct observations are assimilated by the reanalysis and forecast models. © 2020, Springer Nature B.V.</t>
  </si>
  <si>
    <t>2-s2.0-85086156857"</t>
  </si>
  <si>
    <t>10.1007/s10653-020-00626-y</t>
  </si>
  <si>
    <t>https://www.scopus.com/inward/record.uri?eid=2-s2.0-85087073394&amp;doi=10.1007%2fs10653-020-00626-y&amp;partnerID=40&amp;md5=7a44db4d398e734fed406b410cd1247f</t>
  </si>
  <si>
    <t>Rice production in floodplain deltas is currently vulnerable to climate change and contamination from anthropogenic activities. The relocation of rice production to upland regions could be an option for increasing the sustainability of rice production. Our study evaluated the spatial patterning of heavy metals, i.e., copper (Cu) and cadmium (Cd), in rice along a topogradient from terrace to lowland areas in the Red River basin. The dataset obtained from the analysis of 61 farm sites throughout the whole basin indicated a large discrepancy in the Cu and Cd contents in rice grains from terrace and lowland paddies. While Cu and Cd were not found in most of the rice grain samples from the terrace paddies, the median Cu and Cd contents of the lowland paddy rice were 1.895 and 0.033 mg kg−1, respectively. Assessing the relationship of Cu and Cd in the soil–rice system to soil properties revealed possible correlations between soil available silicon (Si) and the Cu and Cd contents in rice grain. The enrichment of Si in rice plants likely reduces the translocation of Cu and Cd from soil to grain. Therefore, management of the Si supply, particularly in lowland paddies, should be highlighted as a way to reduce dietary intake of Cu and Cd. © 2020, Springer Nature B.V.</t>
  </si>
  <si>
    <t>2-s2.0-85087073394"</t>
  </si>
  <si>
    <t>10.3390/RS12182938</t>
  </si>
  <si>
    <t>https://www.scopus.com/inward/record.uri?eid=2-s2.0-85091818417&amp;doi=10.3390%2fRS12182938&amp;partnerID=40&amp;md5=c07dd094e1fc24a98f38e7782f526035</t>
  </si>
  <si>
    <t>Change in the coastal zone is accelerating with external forcing by sea-level rise, nutrient loading, drought, and over-harvest, leading to significant stress on the foundation plant species of coastal salt marshes. The rapid evolution of marsh state induced by these drivers makes the ability to detect stressors prior to marsh loss important. However, field work in coastal salt marshes can be challenging due to limited access and their fragile nature. Thus, remote sensing approaches hold promise for rapid and accurate determination of marsh state across multiple spatial scales. In this study, we evaluated the use of remote sensing tools to detect three dominant stressors on Spartina alterniflora. We took advantage of a barrier island salt marsh chronosequence in Virginia, USA, where marshes of different ages and level of stressor exist side by side. We collected hyperspectral imagery of plants along with salinity, sediment redox potential, and foliar nitrogen content in the field. We also conducted a greenhouse study where we manipulated environmental conditions. We found that models developed for stressors based on plant spectral response correlated well with salinity and foliar nitrogen within the greenhouse and field data, but were not transferable from lab to field, likely due to the limited range of conditions explored within the greenhouse experiments and the coincidence of multiple stressors in the field. This study is an important step towards the development of a remote sensing tool for tracking of ecosystem development, marsh health, and future ecosystem services. © 2020 by the authors.</t>
  </si>
  <si>
    <t>2-s2.0-85091818417"</t>
  </si>
  <si>
    <t>10.1007/s40710-020-00442-7</t>
  </si>
  <si>
    <t>https://www.scopus.com/inward/record.uri?eid=2-s2.0-85086730394&amp;doi=10.1007%2fs40710-020-00442-7&amp;partnerID=40&amp;md5=e44a96d6a7ff49a3f1d508cd23849bb8</t>
  </si>
  <si>
    <t>The scope of this article is to present an index developed to assess the vulnerability to coastal flooding of urban areas which house major industrial activity. Coastal flooding can be a threat to life and to socioeconomic and environmental assets, while the additional impacts of an industrial accident due to coastal flooding may aggravate relevant risks. Therefore, there is a need to integrate tools able to consider, at different complexity levels, the interactions between various parameters in order to effectively assess the vulnerability of such areas. This paper illustrates the development and use of a composite vulnerability index in the risk assessment process, encompassing indicators relevant to the industrial activity. In addition, the paper suggests the differentiation of the relative importance of the considered indicators through a weighting procedure. Usually, the indicators used to create such a composite index are averaged, since decision makers confronting the ambiguity of complex phenomena are reluctant to articulate subjective weights. The novelty of the proposed approach is the use of the CRiteria Importance Through Intercriteria Correlation (CRITIC) method to extract objective weights of the information carried by each indicator in the specific research context. The application study refers to six urban areas with strong industrial characteristics in Greece. The results have been used for comparing and ranking the study areas according to the calculated indices, as well as to highlight the parameters affecting vulnerability in each case. © 2020, Springer Nature Switzerland AG.</t>
  </si>
  <si>
    <t>2-s2.0-85086730394"</t>
  </si>
  <si>
    <t>10.1002/ieam.4280</t>
  </si>
  <si>
    <t>https://www.scopus.com/inward/record.uri?eid=2-s2.0-85086456249&amp;doi=10.1002%2fieam.4280&amp;partnerID=40&amp;md5=51893020e276426592486a1cb5744b70</t>
  </si>
  <si>
    <t>We assess the relative vulnerability of the Mediterranean shoreline of Egypt (about 1000 km in length) to climate change (i.e., sea-level rise [SLR], storm surge flooding, and coastal erosion) by using a Climate-improved Coastal Vulnerability Index (CCVI). We integrate information relative to a multidimensional set of physical, geological, and socioeconomic variables, and add to the mainstream literature the consideration of both a reference and a climate change scenario, assuming the representative concentration pathway 8.5 W/m2 (RCP8.5) for the 21st century in the Mediterranean region. Results report that approximately 1% (~43 km²) of the mapped shoreline is classifiable as having a high or very high vulnerability, whereas approximately 80% (4652 km²) shows very low vulnerability. As expected, exposure to inundation and erosion is especially relevant in highly developed and urbanized coastal areas. Along the shoreline, while the Nile Delta region is the most prone area to coastal erosion and permanent or occasional inundations (both in the reference and in the climate scenario), results show the Western Desert area to be less vulnerable due to its geological characteristics (i.e., rocky and cliffed coasts, steeper coastal slope). The application of the CCVI to the coast of Egypt can be considered as a first screening of the hot-spot risk areas at the national scale. The results of the analysis, including vulnerability maps and indicators, can be used to support the development of climate adaptation and integrated coastal zone management strategies. Integr Environ Assess Manag 2020</t>
  </si>
  <si>
    <t>10.1016/j.envsoft.2020.104748</t>
  </si>
  <si>
    <t>https://www.scopus.com/inward/record.uri?eid=2-s2.0-85087063743&amp;doi=10.1016%2fj.envsoft.2020.104748&amp;partnerID=40&amp;md5=f09d365d63f0d503a2f28ddcd3e86315</t>
  </si>
  <si>
    <t>Real-time flood forecasting computational frameworks that can dynamically integrate oceanic, coastal and estuarine processes are becoming essential to provide accurate and timely information for emergency response and planning in largely populated estuaries during extreme events. This study presents a newly developed real-time total water flood guidance system that is fully automated based on the coupled surge-wave (ADCIRC + SWAN) model and provides water level forecasts in the Chesapeake Bay for a lead-time of 84 h twice a day displayed on a web-based public interface. This system improved the current total water level predictions in the Bay (RMSE &lt; 0.12 m) when compared to the existing operational forecasting systems over the period of 6 months (Jan’19-Jun’19). Furthermore, we demonstrated that a bias correction scheme and a multi-member ensemble forecast improve the overall flood prediction. Results suggests that this framework can improve our current capacity to predict total water levels in large estuaries. © 2020 Elsevier Ltd</t>
  </si>
  <si>
    <t>2-s2.0-85087063743"</t>
  </si>
  <si>
    <t>10.1007/s00382-020-05397-x</t>
  </si>
  <si>
    <t>https://www.scopus.com/inward/record.uri?eid=2-s2.0-85088864064&amp;doi=10.1007%2fs00382-020-05397-x&amp;partnerID=40&amp;md5=be05941d8f6d268a35ad879655940d69</t>
  </si>
  <si>
    <t>This numerical work aims to better understand the behavior of extreme Adriatic Sea wave storms under projected climate change. In this spirit, 36 characteristic events—22 bora and 14 sirocco storms occurring between 1979 and 2019, were selected and ran in evaluation mode in order to estimate the skill of the kilometer-scale Adriatic Sea and Coast (AdriSC) modelling suite used in this study and to provide baseline conditions for the climate change impact. The pseudo-global warming (PGW) methodology—which imposes an additional climatological change to the forcing used in the evaluation simulations, was implemented, for the very first time, for a coupled ocean–wave–atmosphere model and used to assess the behavior of the selected storms under Representative Concentration Pathway (RCP) 4.5 and RCP 8.5 greenhouse gas projections. The findings of this experiment are that, on the one hand, the AdriSC model is found capable of reproducing both the Adriatic waves associated with the 36 storms and the northern Adriatic surges occurring during the sirocco events and, on the other hand, the significant wave heights and peak periods are likely to decrease during all future extreme events but most particularly during bora storms. The northern Adriatic storm surges are in consequence also likely to decrease during sirocco events. As it was previously demonstrated that the Adriatic extreme wind-wave events are likely to be less intense in a future warmer climate, this study also proved the validity of applying the PGW methodology to coupled ocean–wave–atmosphere models at the coastal and nearshore scales. © 2020, Springer-Verlag GmbH Germany, part of Springer Nature.</t>
  </si>
  <si>
    <t>2-s2.0-85088864064"</t>
  </si>
  <si>
    <t>10.2112/JCOASTRES-D-20A-00004.1</t>
  </si>
  <si>
    <t>https://www.scopus.com/inward/record.uri?eid=2-s2.0-85094142778&amp;doi=10.2112%2fJCOASTRES-D-20A-00004.1&amp;partnerID=40&amp;md5=25f643b65c5c5b1d6340c7dd8513ecc7</t>
  </si>
  <si>
    <t>Most of the world's major cities are located along coastlines, and their large international airports are typically built either very close to sea level or on filled shallow coastal waters. These large facilities handle thousands of flights and millions of passengers annually, and in addition to being critical infrastructure, they are huge economic engines. Being very close to sea level, however, many of these airports are already exposed to extreme flood events (hurricanes, typhoons, large storms, and high tides) and in the future will face increasing risks with global sea-level rise. LaGuardia, John F. Kennedy (JFK), and Newark all suffered some flood damage during Superstorm Sandy in 2012. San Francisco and Oakland airports have already developed plans to build walls to protect them from 2 to 3 ft (0.6 to 0.9 m) of additional sea-level rise. In addition to these airports, the Federal Aviation Administration has designated the airports at Philadelphia, Washington National, Miami, Tampa, Ft. Lauderdale, Louis Armstrong New Orleans, and Honolulu as at-risk from future storm surge and high water from extreme events. A rising ocean is inevitable and will be additive over time with extreme events. The existing elevations of individual airports combined with projections of future sea-level rise can provide important guidance on when these facilities are likely to be exposed to tidal flooding and, therefore, when airport management should begin to plan to respond or adapt to the future threats.  © Coastal Education and Research Foundation, Inc. 2020.</t>
  </si>
  <si>
    <t>2-s2.0-85094142778"</t>
  </si>
  <si>
    <t>10.1029/2020WR027603</t>
  </si>
  <si>
    <t>https://www.scopus.com/inward/record.uri?eid=2-s2.0-85092138955&amp;doi=10.1029%2f2020WR027603&amp;partnerID=40&amp;md5=0cf0d8f079573783e468d05a22d6ca2a</t>
  </si>
  <si>
    <t>Intermittent floodplain channels are low-relief conduits etched into the floodplain surface and remain dry much of the year. These channels comprise expansive systems and are important because during low-level inundation they facilitate lateral hydraulic connectivity throughout the floodplain. Nevertheless, few studies have focused on these floodplain channels due to uncertainty in how to identify and characterize these systems in digital elevation models (DEMs). In particular, their automatic extraction from widely available DEMs is challenging due to the characteristically low-relief and low-gradient topography of floodplains. We applied three channel extraction approaches to the Congaree River floodplain DEM and compared the results to a channel reference map created through numerous field excursions over the past 30 years. The methods that we tested are based on flow accumulation area, topographic curvature, and mathematical morphology, or the D8, Laplacian, and bottom-hat transform (BHT), respectively. Of the 198 km of reference channels the BHT, Laplacian, and D8 extracted 83%, 71%, and 23%, respectively, and the BHT consistently had the highest agreement with the reference network at the local (5 m) and regional (10 km) scales. The extraction results also include commission “error”, augmenting the reference map with about 100 km of channel length. Overall, the BHT method provided the best results for channel extraction, giving over 298 km in 69 km2 with a detrended regional relief of 1.9 m. Further, these analyses allow us to shed light on the meaning and use of the term “low-relief landscapes”. ©2020. The Authors.</t>
  </si>
  <si>
    <t>2-s2.0-85092138955"</t>
  </si>
  <si>
    <t>10.1016/j.envsoft.2020.104771</t>
  </si>
  <si>
    <t>https://www.scopus.com/inward/record.uri?eid=2-s2.0-85087886717&amp;doi=10.1016%2fj.envsoft.2020.104771&amp;partnerID=40&amp;md5=bcb12998079d6ca66d620c1c0e9d42f0</t>
  </si>
  <si>
    <t>Water level monitoring and forecasting are essential tasks in flood emergency response. This study proposes an Edge COMputing-based Sensory NETwork (ECOMSNet), an innovative decentralized early warning system (EWS), for water level monitoring and prediction. A sensor-embedded algorithm integrates the direct step method (DSM) with a microgenetic algorithm (MGA). This algorithm predicts the water surface profile and corrects it once water level observations are available. It also meets efficiency requirements to accommodate sensor computation limitations. The errors in the predicted water surface profiles in channels with gradually varied flows are 5% in a laboratory flume experiment and below 10% in a field experiment. The ECOMSNet is an achievement of edge computing-based Internet of Things. It shows potential to increase emergency response efficiency. However, the system requires further refinement and testing if it is to adequately address rapidly varied unsteady flow in a scaled-up implementation. © 2020 Elsevier Ltd</t>
  </si>
  <si>
    <t>2-s2.0-85087886717"</t>
  </si>
  <si>
    <t>10.5194/nhess-20-2777-2020</t>
  </si>
  <si>
    <t>https://www.scopus.com/inward/record.uri?eid=2-s2.0-85094576065&amp;doi=10.5194%2fnhess-20-2777-2020&amp;partnerID=40&amp;md5=280a5464599192041969ae4528845904</t>
  </si>
  <si>
    <t>China is one of the countries that is most seriously affected by storm surges. In recent years, storm surges in coastal areas of China have caused huge economic losses and a large number of human casualties. Knowledge of the inundation range and water depth of storm surges under different typhoon intensities could assist predisaster risk assessment and making evacuation plans, as well as provide decision support for responding to storm surges. Taking Pingyang County in Zhejiang Province as a case study area, parameters including typhoon tracks, radius of maximum wind speed, astronomical tide, and upstream flood runoff were determined for different typhoon intensities. Numerical simulations were conducted using these parameters to investigate the inundation range and water depth distribution of storm surges in Pingyang County considering the impact of seawall collapse under five different intensity scenarios (corresponding to minimum central pressure values equal to 915, 925, 935, 945, and 965 hPa). The inundated area ranged from 103.51 to 233.16 km2 for the most intense typhoon. The proposed method could be easily adopted in various coastal counties and serves as an effective tool for decision-making in storm surge disaster risk reduction practices. © Author(s) 2020. This work is distributed under the Creative Commons Attribution 4.0 License.</t>
  </si>
  <si>
    <t>2-s2.0-85094576065"</t>
  </si>
  <si>
    <t>10.3390/rs12203419</t>
  </si>
  <si>
    <t>https://www.scopus.com/inward/record.uri?eid=2-s2.0-85092780447&amp;doi=10.3390%2frs12203419&amp;partnerID=40&amp;md5=329e5ab5d751720ad0dff00b8764f388</t>
  </si>
  <si>
    <t>The knowledge of extreme total water levels (ETWLs) and the derived impact, coastal flooding and erosion, is crucial to face the present and future challenges exacerbated in European densely populated coastal areas. Based on 24 years (1993–2016) of multimission radar altimetry, this paper investigates the contribution of each water level component: tide, surge and annual cycle of monthly mean sea level (MMSL) to the ETWLs. It focuses on the contribution of the annual variation of MMSL in the coastal flooding extreme events registered in a European database. In microtidal areas (Black, Baltic and Mediterranean Sea), the MMSL contribution is mostly larger than tide, and it can be at the same order of magnitude of the surge. In meso and macrotidal areas, the MMSL contribution is &lt;20% of the total water level, but larger (&gt;30%) in the North Sea. No correlation was observed between the average annual cycle of monthly mean sea level (AMMSL) and coastal flooding extreme events (CFEEs) along the European coastal line. Positive correlations of the component variance of MMSL with the relative frequency of CFEEs extend to the Central Mediterranean (r = 0.59), North Sea (r = 0.60) and Baltic Sea (r = 0.75). In the case of positive MMSL anomalies, the correlation expands to the Bay of Biscay and northern North Atlantic (at &gt;90% of statistical significance). The understanding of the spatial and temporal patterns of a combination of all the components of the ETWLs shall improve the preparedness and coastal adaptation measures to reduce the impact of coastal flooding. © 2020 by the authors. Licensee MDPI, Basel, Switzerland.</t>
  </si>
  <si>
    <t>2-s2.0-85092780447"</t>
  </si>
  <si>
    <t>10.1007/s13753-020-00300-y</t>
  </si>
  <si>
    <t>https://www.scopus.com/inward/record.uri?eid=2-s2.0-85092268108&amp;doi=10.1007%2fs13753-020-00300-y&amp;partnerID=40&amp;md5=7c8826d61c3198f37b13de2f1c44c2f5</t>
  </si>
  <si>
    <t>Southeast Asia’s coastal urban areas continue to grow, with land reclamation fast becoming an important option for megacities to address issues of economic growth and increasing population density. Experts are divided over the advantages and disadvantages of land reclamation, though this process continues unabated, exposing settlements to coastal hazards. The Bataan Shipping and Engineering Company (BASECO) compound is an informal settlement on reclaimed land in Manila, the Philippines. How informal coastal settlements view disaster risk and their more pressing socioeconomic needs is crucial to understanding the potentials and repercussions of land reclamation. Using a topographic survey, a questionnaire survey, and the protective action decision model, this study explored the perception of disasters and land reclamation of informal settlers who are living on reclaimed land. The study found that people are aware of disaster risks, but are more concerned with everyday needs. They are divided on the issue of further land reclamation. Residents on the original non-reclaimed land view it as a coastal defense, while those on reclaimed land fear potential eviction. Despite this, all locations in the community are concerned with the loss of jobs, economic opportunities, and eviction, rather than potential disasters. © 2020, The Author(s).</t>
  </si>
  <si>
    <t>2-s2.0-85092268108"</t>
  </si>
  <si>
    <t>10.1007/s11069-020-04101-w</t>
  </si>
  <si>
    <t>https://www.scopus.com/inward/record.uri?eid=2-s2.0-85086383037&amp;doi=10.1007%2fs11069-020-04101-w&amp;partnerID=40&amp;md5=9dd900a16761f3fecc170b74c5ae92ce</t>
  </si>
  <si>
    <t>Each year in the USA, hurricanes threaten millions of coastal residents. These storms have the potential to devastate areas with heavy rain, damaging winds, severe flooding and strong storm surge. These geophysical phenomena are particularly dangerous along the low-lying coastal zones of the Gulf of Mexico and the Atlantic coast. The threat of these storms prompts many coastal areas to create disaster plans which often include evacuation strategies to help guide area residents to safety before a storm makes landfall. This research examined the prescribed contraflow evacuation plan for Nueces County, Texas in an effort to model what an evacuation may look like during a major tropical cyclone landfall like the near miss of Hurricane Harvey during the 2017 hurricane season. ArcGIS was used to route thirteen potential evacuation routes out of Nueces County. These routes were then used to simulate evacuations under “optimal,” “expected” and “worst-case” scenarios. It was determined that, while contraflow evacuations can cause severe traffic congestion and lead to long evacuation times, they have the potential to effectively evacuate an area under both “optimal” and “expected” conditions. The results of this analysis add to the growing body of research focused on leveraging geographic information systems to improve local-scale evacuation planning. © 2020, Springer Nature B.V.</t>
  </si>
  <si>
    <t>2-s2.0-85086383037"</t>
  </si>
  <si>
    <t>10.1029/2020EF001607</t>
  </si>
  <si>
    <t>https://www.scopus.com/inward/record.uri?eid=2-s2.0-85091427283&amp;doi=10.1029%2f2020EF001607&amp;partnerID=40&amp;md5=8792fcb844e4a19c69dd286ca70f506e</t>
  </si>
  <si>
    <t>As global mean sea level continues to rise, thresholds corresponding to coastal inundation impacts are exceeded more frequently. This paper aims to relate sea level rise (SLR) observations and projections to their physical on-the-ground impacts. Using a large coastal city as an example, we show that in Sydney, Australia, frequencies of minor coastal inundation have increased from 1.6 to 7.8 days per year between 1914 and present day. We attribute over 80% of the observed coastal inundation events between 1970 and 2015 to the predominantly anthropogenic increases in global mean sea level. Further, we find that impact-producing coastal inundation will occur weekly by 2050 under high- and medium-emission/SLR scenarios and daily by 2100 under high emissions. The proportion of tide-only coastal inundation events (i.e., where no storm surge is required to exceed flood thresholds) will increase with SLR, such that most coastal inundation events, including those considered historically severe, will become a predictable consequence of SLR and astronomical tides. These findings are important for coastal managers as frequency, severity, and predictability of inundation impacts can all now be related to the amount of SLR (e.g., a planning allowance or SLR projection). By incorporating known historical inundation events, this allows contextualization, visualization, and localization of global SLR and the changing nature of future coastal inundation risk. ©2020. The Authors.</t>
  </si>
  <si>
    <t>2-s2.0-85091427283"</t>
  </si>
  <si>
    <t>10.3390/LAND9090339</t>
  </si>
  <si>
    <t>https://www.scopus.com/inward/record.uri?eid=2-s2.0-85092533551&amp;doi=10.3390%2fLAND9090339&amp;partnerID=40&amp;md5=26b0898bb8b9945b992e85540169419b</t>
  </si>
  <si>
    <t>Green Stormwater Infrastructure (GSI), a sustainable engineering design approach for managing urban stormwater runoff, has long been recommended as an alternative to conventional conveyance-based stormwater management strategies to mitigate the adverse impact of sprawling urbanization. Hydrological and hydraulic simulations of small-scale GSI measures in densely urbanized micro watersheds require high-resolution spatial databases of urban land use, stormwater structures, and topography. This study presents a highly resolved Storm Water Management Model developed under considerable spatial data constraints. It evaluates the cumulative effect of the implementation of dispersed, retrofitted, small-scale GSI measures in a heavily urbanized micro watershed of Costa Rica. Our methodology includes a high-resolution digital elevation model based on Google Earth information, the accuracy of which was sufficient to determine flow patterns and slopes, as well as to approximate the underground stormwater structures. The model produced satisfactory results in event-based calibration and validation, which ensured the reliability of the data collection procedure. Simulating the implementation of GSI shows that dispersed, retrofitted, small-scale measures could significantly reduce impermeable surface runoff (peak runoff reduction up to 40%) during frequent, less intense storm events and delay peak surface runoff by 5-10 min. The presented approach can benefit stormwater practitioners and modelers conducting small scale hydrological simulation under spatial data constraint. © 2020 by the authors.</t>
  </si>
  <si>
    <t>2-s2.0-85092533551"</t>
  </si>
  <si>
    <t>10.1080/08941920.2019.1693677</t>
  </si>
  <si>
    <t>https://www.scopus.com/inward/record.uri?eid=2-s2.0-85075392975&amp;doi=10.1080%2f08941920.2019.1693677&amp;partnerID=40&amp;md5=3c524f30c14bb07418a669b78bce0a9e</t>
  </si>
  <si>
    <t>Environmental challenges in the Vietnamese Mekong Delta characterized by adverse impacts of climate change, upstream hydropower development and localized dyke expansion present imperatives for rural farmers to “learn to adapt.” However, little is known about how learning contributes to improving their capacity in adapting to these “wicked” problems. This study investigates potential effects of farmers’ learning on their adaptive capacity, utilizing nine focus group discussions, 33 interviews, and a structured survey of 300 farmers. The exploratory factor analysis produced two factors for social learning: (1) learning through social interactions and (2) self-reflection, and one factor for adaptive capacity. The regression results show that the social learning factors have significantly positive effects on adaptive capacity. Farmers with a higher level of social learning are likely to demonstrate higher adaptive capacity. The findings call for policy considerations to promote learning in a broader context of the delta to enhance local capacity. © 2019 Taylor &amp; Francis Group, LLC.</t>
  </si>
  <si>
    <t>2-s2.0-85075392975"</t>
  </si>
  <si>
    <t>10.1007/s11069-020-04118-1</t>
  </si>
  <si>
    <t>https://www.scopus.com/inward/record.uri?eid=2-s2.0-85087354004&amp;doi=10.1007%2fs11069-020-04118-1&amp;partnerID=40&amp;md5=142b003d48d10f1a04ca28aae58bc68c</t>
  </si>
  <si>
    <t>A number of coastal areas have been suffering from severe land subsidence, which draws worldwide attention. Quantifying the subsidence and the contribution of each compacting stratum is crucial to study its development mechanism. In this paper, the distributed fiber optic sensing (DFOS) technique based on Brillouin scattering was adopted to monitor land subsidence in a 100-m-deep borehole located in Tianjin, China. Vertical strain profile was obtained by a kind of fixed-point cable embedded in the borehole, and the DFOS-based land subsidence system successfully achieved a 2-year-period in-situ investigation of the soft soil. The results revealed that the land subsidence rate was 21.6 mm/a after 2017, and the strata deformation measurements were refined up to each 5-m-thickness in vertical direction. The compression strata were localized at shallow strata (3.4–38.4 m), and the dominant contributors were soft soil strata at depth of 3.4 m to 18.4 m that the contribution of every 5 m thick stratum from top to bottom was 34.4%, 27% and 19.1%, respectively. The subsidence and strata contribution obtained by DFOS were in good agreement with those of extensometers. The groundwater fluctuations and additional loading may be the significant triggering factors of the compaction of the soft soil. This study showed that the DFOS-based measurement is an effective approach for land subsidence monitoring and will be a supplement to existing techniques in coastal areas. © 2020, Springer Nature B.V.</t>
  </si>
  <si>
    <t>2-s2.0-85087354004"</t>
  </si>
  <si>
    <t>10.1029/2020JC016367</t>
  </si>
  <si>
    <t>https://www.scopus.com/inward/record.uri?eid=2-s2.0-85091521071&amp;doi=10.1029%2f2020JC016367&amp;partnerID=40&amp;md5=0ea006a08d98555e12ef12ee3a533883</t>
  </si>
  <si>
    <t>We perform the first global analysis of the spatial footprints of storm surges, using observed and simulated storm surge data. Three different techniques are applied to quantify the spatial footprints: clustering analysis, percentage of co-occurrence, and joint probability analysis. The capability of the simulated data to represent the observed storm surge footprints is demonstrated. Results lead to the identification of coastline stretches prone to be impacted simultaneously by the same storm surge events. The spatial footprint sizes differ around the globe, partially conditioned by the geography of the coastline, that is, more irregular coastlines consist of a larger number of different storm surge clusters with varying footprint sizes. For the northwestern Atlantic, spatial footprints of storm surges vary when specifically accounting for tropical cyclones, using storm track information in the storm surge simulations. Our results provide important new insights into the spatial footprints of storm surges at the global scale and will help to facilitate improvements in how coastal flood risk is identified, assessed, and managed, by taking these spatial features into account. ©2020. American Geophysical Union. All Rights Reserved.</t>
  </si>
  <si>
    <t>2-s2.0-85091521071"</t>
  </si>
  <si>
    <t>10.3390/ijgi9100572</t>
  </si>
  <si>
    <t>https://www.scopus.com/inward/record.uri?eid=2-s2.0-85092364986&amp;doi=10.3390%2fijgi9100572&amp;partnerID=40&amp;md5=09eeeb3fbaba2c1e76d49970a71ce224</t>
  </si>
  <si>
    <t>Shoreline changes are of great importance for evaluating the interaction between humans and ecosystems in coastal areas. They serve as a useful metric for assessing the ecological costs of socioeconomic developmental activities along the coast. In this paper, we present an assessment of shoreline changes along the eastern coast of mainland China from ∼1990 to 2019 by applying a novel method recently developed by us. This method which we call the Nearest Distance Method (NDM) is used to make a detailed assessment of shorelines delineated from Landsat Thematic Mapper (TM) and Operational Land Imager (OLI) images. The results indicate a dramatic decline in natural shorelines that correspond to the rapid increase in the construction of artificial shorelines, driven by China's economic growth. Of the entire coast of mainland China, the biggest change occurred along the Bohai Sea, where artificial shorelines expanded from 42.4% in ∼1990 to 81.5% in 2019. Over this period, this study indicates that China lost &gt; 60% of its biological shorelines, a trend that is especially worrisome because these include areas that were once biologically diverse and extremely rich. As anticipated, shoreline losses were greatest where regions of low economic value had been transformed to areas of higher economic value. Overall, this influence of human activities on shorelines in China is unprecedented. The repercussions of these changes on ecosystems, and the susceptibility of new shoreline developments to population growth and sea-level rise, need to be assessed urgently before additional changes are effected.  © 2020 by the authors.</t>
  </si>
  <si>
    <t>2-s2.0-85092364986"</t>
  </si>
  <si>
    <t>Environment and Urbanization ASIA</t>
  </si>
  <si>
    <t>10.1177/0975425320938539</t>
  </si>
  <si>
    <t>https://www.scopus.com/inward/record.uri?eid=2-s2.0-85089755541&amp;doi=10.1177%2f0975425320938539&amp;partnerID=40&amp;md5=cec935ca0552f6cf0a9bd70b5bab2fc1</t>
  </si>
  <si>
    <t>This article introduces the concept of ‘Sea Cities’ to emphasize a range of tactics to acknowledge the relationship between the sea and cities. This concept is critical for the possibility of integrating future aquatic-based urbanism to address climate change, and in particular, the issue of rising sea levels, which is currently faced by the majority of coastal cities. We compare and assess the tactics of four sea cities (i.e., to fortify, accommodate, release, and floating) against the case study of Jakarta. Jakarta is deemed to be among the metropolitan cities most vulnerable to sea level rise, owing to overpopulation alongside the fact that its land is sinking rapidly due to massive urban development. In order to understand the prospects and pitfalls of each tactic for Jakarta, we analyse scholarly literature on the subject, official government reports and documents, as well as policy briefs released by governments at the national level. This study finds that massive hard structural solutions are not only insufficient but also ineffective towards solving the challenges of climate change in Jakarta, especially the rising sea level. At the same time, it also identifies that while the combination of accommodating and floating tactics has never been considered as future a planning option, this could enable more resilient and adaptive solutions for the future development trajectory of Jakarta. In doing so, it could also provide important transferrable lessons for other coastal cities, especially those within developing countries. © 2020 National Institute of Urban Affairs.</t>
  </si>
  <si>
    <t>2-s2.0-85089755541"</t>
  </si>
  <si>
    <t>10.1007/s13157-020-01304-6</t>
  </si>
  <si>
    <t>https://www.scopus.com/inward/record.uri?eid=2-s2.0-85085314637&amp;doi=10.1007%2fs13157-020-01304-6&amp;partnerID=40&amp;md5=fff5022f05c741789e72e9d00ce5f31d</t>
  </si>
  <si>
    <t>With projected increase in storms, sea-level rise and saltwater intrusion in low-lying terrestrial areas, compositional changes that favor more salt tolerant species are likely to occur. Wetland species are expanding into declining forested communities, primarily dominated by trees. Higher salinities for germination may preclude establishment of tree species. We examined the capacity for coastal tree species (Acer rubrum, Liquidambar styraciflua, Pinus taeda, Celtis occidentalis, Persea borbonia) and a wetland shrub (Morella cerifera) to germinate at salinity concentrations of 0, 2, 5, 10, and 20 ppt. A growth chamber experiment was established examining the effect of salinity on germination of common species found in mixed forests throughout the mid-Atlantic coastal plain and Gulf of Mexico, USA. The study revealed that regeneration from seed will be difficult for most of the selected species at salinities &gt;5 ppt with implications for community composition with continued saltwater intrusion. Germination of A. rubrum was not impacted at higher salinities, with Pinus taeda not as affected other species. Morella cerifera did not have an advantage at the germination stage over selected tree species. Knowing threshold limits of germination response to salinity is critical for identifying future community trajectories. © 2020, Society of Wetland Scientists.</t>
  </si>
  <si>
    <t>2-s2.0-85085314637"</t>
  </si>
  <si>
    <t>10.2112/JCOASTRES-D-19-00179.1</t>
  </si>
  <si>
    <t>https://www.scopus.com/inward/record.uri?eid=2-s2.0-85094123324&amp;doi=10.2112%2fJCOASTRES-D-19-00179.1&amp;partnerID=40&amp;md5=d9a2ed4ec2e7bbfbc199f60880ff2bf5</t>
  </si>
  <si>
    <t>On October 10, 2018, category 5 Hurricane Michael made landfall at Mexico Beach, generating a nearly 5-m storm surge. The greater landfall area is characteristic of a cuspate headland protruding into the Gulf of Mexico for up to 50 km. The headland is composed of several barrier islands with different orientations fronting a large estuary. The hurricane-impacted areas include densely developed small beachfront communities, modestly to sparsely developed shoreline communities, mostly pristine state parks, and a completely pristine national wildlife refuge. Therefore, Hurricane Michael provides an excellent opportunity to study the impact of an extreme storm over various coastal environments with different degrees of human developments. Because of the shoreline orientation and bathymetry changes induced by the headland, the wave field associated with the hurricane is complicated, with different locations for the highest wave and the landfall site where the surge and wind speed were the greatest. Numerical wave modeling revealed two wave-focusing points along the headland where barrier-island breaching occurred. Beach-dune erosion and impact to infrastructure were examined and compared among various natural-human coastal systems. The magnitude of dune erosion was mostly controlled by the storm wave height and prestorm beach width, but the height of the prestorm dune was not a determining factor. Sedimentological characteristics of storm deposits along the barrier islands, within Apalachicola Bay, and in the surrounding coastal marsh were examined using 116 sediment cores and 40 grab sediment samples. Characteristics of storm deposits and their preservation are described for various subenvironments, including beaches, dunes, interior wetlands, back-barrier bay, and coastal marsh along the landward side of the estuary. The landward penetrations of identifiable sandy overwash deposits were less than 150 m along the barrier islands and less than 30 m along the mainland marshes. These results should have potential implications on paleostorm study.  © Coastal Education and Research Foundation, Inc. 2020.</t>
  </si>
  <si>
    <t>2-s2.0-85094123324"</t>
  </si>
  <si>
    <t>10.1007/s11069-020-04102-9</t>
  </si>
  <si>
    <t>https://www.scopus.com/inward/record.uri?eid=2-s2.0-85086871872&amp;doi=10.1007%2fs11069-020-04102-9&amp;partnerID=40&amp;md5=e873a453aced390f47ecf03a095e1f36</t>
  </si>
  <si>
    <t>A high-resolution Finite-Volume Coastal Ocean Model (FVCOM) inundation model has been developed for Dartmouth Town near Apponagansett Bay and Clarks Cove. Series of modeling experiments were conducted for the purpose of: (1) Assess the potential impacts of the climate-induced Sea Level Rise (SLR) on the storm-induced coastal inundation in Dartmouth Town</t>
  </si>
  <si>
    <t>10.5194/nhess-20-2415-2020</t>
  </si>
  <si>
    <t>https://www.scopus.com/inward/record.uri?eid=2-s2.0-85092053625&amp;doi=10.5194%2fnhess-20-2415-2020&amp;partnerID=40&amp;md5=bb102ad6577816e985471a8cf63f496c</t>
  </si>
  <si>
    <t>In recent centuries, human activities have greatly modified the geomorphology of coastal regions. However, studies of historical and possible future changes in coastal flood extremes typically ignore the influence of geomorphic change. Here, we quantify the influence of 20th-century manmade changes to Jamaica Bay, New York City, on presentday storm tides. We develop and validate a hydrodynamic model for the 1870s based on detailed maps of bathymetry, seabed characteristics, topography, and tide observations for use alongside a present-day model. Predominantly through dredging, landfill, and inlet stabilization, the average water depth of the bay increased from 1.7 to 4.5 m, tidal surface area decreased from 92 to 72 km2, and the inlet minimum cross-sectional area expanded from 4800 to 8900m2. Total (freshwater plus salt) marsh habitat area has declined from 61 to 15 km2 and intertidal unvegetated habitat area from 17 to 4.6 km2. A probabilistic flood hazard assessment with simulations of 144 storm events reveals that the landscape changes caused an increase of 0.28m (12 %) in the 100-year storm tide, even larger than the influence of global sea level rise of about 0.23m since the 1870s. Specific anthropogenic changes to estuary depth and area as well as inlet depth and width are shown through targeted modeling and dynamicsbased considerations to be the most important drivers of increasing storm tides. © 2020 BMJ Publishing Group. All rights reserved.</t>
  </si>
  <si>
    <t>2-s2.0-85092053625"</t>
  </si>
  <si>
    <t>10.3389/feart.2020.00344</t>
  </si>
  <si>
    <t>https://www.scopus.com/inward/record.uri?eid=2-s2.0-85090766937&amp;doi=10.3389%2ffeart.2020.00344&amp;partnerID=40&amp;md5=5e1041bf21c9f7c5c40fcae66c00e6f3</t>
  </si>
  <si>
    <t>During the winter of 2016, anomalous sea ice conditions and a powerful storm culminated in a destructive erosion event along the Chukchi Sea coastline of Cape Espenberg, Alaska. This event is commonly referred to as an “ice push” or “ivu,” the Inupiat word for an ice ridging event. In this article, we report the process and impact of this event by combining traditional ecological knowledge, news accounts, meteorological data, remote sensing, and ground surveys. The midwinter detachment of shorefast ice was caused by a low-pressure system and wind-driven swell that destabilized shorefast ice, while northerly winds developed an open-water lead offshore to the eventual impact area. These conditions preceded the impact of an extratropical cyclone on December 31, 2016, when powerful southerly winds and the second largest storm surge in Kotzebue Sound since at least 2003 led to the compressional failure of the ice cover under uniaxial loading perpendicular to the southern coastline of the Cape, resulting in the ice push event. Ice-pushed debris was shoved up to 6.2 m above mean high water, with ∼3.5 km of coastline experiencing net erosion. The largest accumulation of ice-pushed debris had a volume of 1,000 m3, and rose 3 + m above the surrounding ground surface even after roughly 6 months of melting. On low-lying areas, driftwood and other debris were deposited 130 m landward by the surge 5.0 m above mean high water, indicating the potential threat of such events to property, infrastructure, and, in this case, archeological sites and associated cultural resources. The anomalous environmental and sea ice conditions that preceded the ivu seem to suggest that such events may occur more frequently in a warmer Arctic. © Copyright © 2020 Bogardus, Maio, Mason, Buzard, Mahoney and de Wit.</t>
  </si>
  <si>
    <t>2-s2.0-85090766937"</t>
  </si>
  <si>
    <t>10.5194/os-16-1165-2020</t>
  </si>
  <si>
    <t>https://www.scopus.com/inward/record.uri?eid=2-s2.0-85093532940&amp;doi=10.5194%2fos-16-1165-2020&amp;partnerID=40&amp;md5=2d69a74e881f0d62829147685f6a2292</t>
  </si>
  <si>
    <t>In the context of the ESA Climate Change Initiative project, we are engaged in a regional reprocessing of high-resolution (20 Hz) altimetry data of the classical missions in a number of the world’s coastal zones. It is done using the ALES (Adaptive Leading Edge Subwaveform) retracker combined with the X-TRACK system dedicated to improve geophysical corrections at the coast. Using the Jason-1 and Jason-2 satellite data, high-resolution, along-track sea level time series have been generated, and coastal sea level trends have been computed over a 14-year time span (from July 2002 to June 2016). In this paper, we focus on a particular coastal site where the Jason track crosses land, Senetosa, located south of Corsica in the Mediterranean Sea, for two reasons: (1) the rate of sea level rise estimated in this project increases significantly in the last 4–5 km to the coast compared to what is observed further offshore, and (2) Senetosa is the calibration site for the TOPEX/Poseidon and Jason altimetry missions, which are equipped for that purpose with in situ instrumentation, in particular tide gauges and a Global Navigation Satellite System (GNSS) antenna. A careful examination of all the potential errors that could explain the increased rate of sea level rise close to the coast (e.g., spurious trends in the geophysical corrections, imperfect inter-mission bias estimate, decrease of valid data close to the coast and errors in waveform retracking) has been carried out, but none of these effects appear able to explain the trend increase. We further explored the possibility that it results from real physical processes. Change in wave conditions was investigated, but wave setup was excluded as a potential contributor because the magnitude was too low and too localized in the immediate vicinity of the shoreline. A preliminary model-based investigation about the contribution of coastal currents indicates that it could be a plausible explanation of the observed change in sea level trend close to the coast. © Author(s) 2020.</t>
  </si>
  <si>
    <t>2-s2.0-85093532940"</t>
  </si>
  <si>
    <t>10.3390/RS12172790</t>
  </si>
  <si>
    <t>https://www.scopus.com/inward/record.uri?eid=2-s2.0-85090502215&amp;doi=10.3390%2fRS12172790&amp;partnerID=40&amp;md5=807e91bc0168b138ba7dedbe1104f149</t>
  </si>
  <si>
    <t>On 3 June 2018, Fuego volcano experienced a VEI = 3 eruption, which produced a pyroclastic density current (PDC) that devastated the La Réunion resort and the community of Los Lotes, resulting in over 100 deaths. To evaluate the potential hazard to the population centers surrounding Fuego associated with future PDC emplacement, we used an integrated remote sensing and flow modeling-based approach. The predominate PDC travel direction over the past 15 years was investigated using thermal infrared (TIR) data from the Advanced Spaceborne Thermal Emission and Reflection Radiometer (ASTER) instrument validated with ground reports from the National Institute of Seismology, Volcanology, Meteorology, and Hydrology (INSIVUMEH), the government agency responsible for monitoring. Two different ASTER-derived digital elevation model (DEM) products with varying levels of noise were also used to assess the uncertainty in the VolcFlow model results. Our findings indicate that the recent historical PDC travel direction is dominantly toward the south and southwest. Population centers in this region of Fuego that are within ~2 km of one of the volcano's radial barrancas are at the highest risk during future large eruptions that produce PDCs. The ASTER global DEM (GDEM) product has the least random noise and where used with the VolcFlow model, had a significant improvement on its accuracy. Results produced longer flow runout distances and therefore better conveys a more accurate perception of risk. Different PDC volumes were then modeled using the GDEM and VolcFlow to determine potential inundation areas in relation to local communities. ©</t>
  </si>
  <si>
    <t>2-s2.0-85090502215"</t>
  </si>
  <si>
    <t>10.2112/JCOASTRES-D-19-00091.1</t>
  </si>
  <si>
    <t>https://www.scopus.com/inward/record.uri?eid=2-s2.0-85094167915&amp;doi=10.2112%2fJCOASTRES-D-19-00091.1&amp;partnerID=40&amp;md5=0529eaf57457745e17d84c288186c84a</t>
  </si>
  <si>
    <t>Within this study, bird species composition, spatial distribution of nests of the most common breeding bird species-the Kentish plover (Charadrius alexandrinus L.)-coastal habitat types, and spatiotemporal change on lagoon surface area were monitored. Field work and water-level monitoring occurred during a 2-year period form 2009 to 2011. Habitat mapping was accomplished through a combination of remote sensing (unsupervised classification of vegetation types) combined with ground truthing. Eleven habitat types were mapped in GIS software to create a dynamic habitat map for analyzing distribution and abundance of waterfowl. Annual changes in water levels and its effect on adjacent habitats are explored. Fifty-Two nests were located in 2009 on places that were inundated by the spring flood and were, thus, potentially endangered by the flood. For change detection of the wetland, 13 Landsat Thematic Mapper and Enhanced Thematic Mapper Plus scenes, covering the period between January 2009 and October 2009, were used for pair-wise comparisons. For land cover classification, a WorldView-2 data was used and the information obtained was used in delineating boundaries of habitats. During the point surveys at the six observation points, 44 bird species were observed, whereas 65 bird species in total were recorded in the course of the project. At the salt marshes, 36 species were recorded, whereas at the freshwater marsh habitat, there were 28 species. In total, 247 Kentish plover nests were found during 2 years. The date eggs were laid was known for 198 nests</t>
  </si>
  <si>
    <t>10.1007/s11069-020-04096-4</t>
  </si>
  <si>
    <t>https://www.scopus.com/inward/record.uri?eid=2-s2.0-85085976616&amp;doi=10.1007%2fs11069-020-04096-4&amp;partnerID=40&amp;md5=eca84a63182e5dec3094c0bb6e0a0577</t>
  </si>
  <si>
    <t>Hurricane Isabel (2003) generated record flooding around Chesapeake Bay and caused extensive damage in rural Eastern Shore of Maryland and metropolitan cities like Baltimore. Regional atmosphere–ocean models are used to investigate the storm surge and coastal inundation that might be produced by a similar storm under the warmer ocean temperature and higher sea level projected for the future climate. Warming causes the storm to intensify, with the minimum sea level pressure decreasing from 955 mb during Isabel to ~ 950 mb in 2050 and ~ 940 mb in 2100. The stronger storm and higher mean sea level amplify the peak water level by ~ 0.5 m in 2050 and ~ 1.2 m in 2100. The total inundated area over Chesapeake Bay expands by 26% in 2050 and 47–62% in 2100. Over the rural Dorchester County, the inundated area shows moderate expansion in the future climate but the average inundation depth is 30% higher in 2050 and 50–70% higher in 2100. The number of houses flooded increases from 1420 during Hurricane Isabel to 1850/2190 in 2100 under the climate change scenario representative concentration pathway (RCP) 4.5/8.5. The inundated area in Baltimore is 2.2 km2 during Hurricane Isabel, expands to 5.1 km2 in 2050, and reaches 8.1/9.1 km2 in 2100 under RCP 4.5/8.5. The estimated flood damage to Baltimore increases from $29 million in 2003 to $98/100 million in 2050 and $150/162 million in 2100 under the median projection of RCP 4.5/8.5. These estimates are subjected to uncertainty due to different climate change scenarios and different climate model projections. © 2020, Springer Nature B.V.</t>
  </si>
  <si>
    <t>2-s2.0-85085976616"</t>
  </si>
  <si>
    <t>https://www.scopus.com/inward/record.uri?eid=2-s2.0-85097318558&amp;partnerID=40&amp;md5=d1450ab930e1a858c3df103f283b70a7</t>
  </si>
  <si>
    <t>Gangasagar coast of Sagar Island which lies in the Ganga delta is dynamic in nature where coastal processes play a significant role. Analysis of shoreline configuration from the year 1969 to 2009 indicates that shoreline has been retreated. Assessment of vulnerability has been done taking on six geological and physical variables namely geomorphology, sea-level rise rate, coastal slope; shoreline erosion rate, mean wave height and mean tide range. Coastal vulnerable index values vary location wise. In general, CVI values are very high to high in the western sector. In the eastern sector values are moderate to low. In the south western most part, the value is very high where the coast (near Beguakhali) has been substantially eroded which is evident from the observation that older light house now stands in the sea at about 100 m from the coastline.</t>
  </si>
  <si>
    <t>10.1007/s10064-020-01767-1</t>
  </si>
  <si>
    <t>https://www.scopus.com/inward/record.uri?eid=2-s2.0-85083358569&amp;doi=10.1007%2fs10064-020-01767-1&amp;partnerID=40&amp;md5=514b32c7c3ebf265cae98afc6b50b244</t>
  </si>
  <si>
    <t>When using a Terrestrial 3D laser scanning (TLS) to monitor the mining subsidence in a mining area, the conventional methods are to set up the public target manually, or to set up the ground control network in advance. However, these have the disadvantages of high labor intensity and low efficiency. In order to overcome the shortcomings of the conventional methods, this paper presents the subsidence monitoring method using TLS without a target in the mining area. Feature points are used to splice the multi-station point clouds in the same phase, and a few station coordinates are used to uniformly transform the multiphase data into a geodetic coordinate system. Afterwards, the surface digital elevation model (DEM) is established by using the point clouds after coordinate transformation, and the dynamic subsidence value and subsidence basin during the period of observation are obtained by DEM subtraction. Compared to traditional methods, this method simplifies the field measurement process, reduces the labor intensity, and transfers the main work to the internal industry. It is suitable for surface subsidence monitoring with a harsh external environment and complicated topographic conditions. Surface deformation values are important basic data for mining area subsidence parameters acquisition, mining area environmental assessment, land reclamation, and ecological restoration. As a consequence, it is of great value to popularize and apply in mining area for subsidence monitoring. © 2020, Springer-Verlag GmbH Germany, part of Springer Nature.</t>
  </si>
  <si>
    <t>2-s2.0-85083358569"</t>
  </si>
  <si>
    <t>10.2112/JCOASTRES-D-19-00155.1</t>
  </si>
  <si>
    <t>https://www.scopus.com/inward/record.uri?eid=2-s2.0-85085649319&amp;doi=10.2112%2fJCOASTRES-D-19-00155.1&amp;partnerID=40&amp;md5=52fb541e41ebd0480c0157170a1a2849</t>
  </si>
  <si>
    <t>Sea-level rise (SLR) is anticipated to be one of the most crucial factors putting pressure on the livelihood of human life in the 21st century. The Jaffna Peninsula, located at the northern tip of Sri Lanka, is no exception. This area lies entirely within 10 km of the coast and has an almost flat topography with a maximum elevation of 15 m above mean sea level (a.s.l.), whereas 50% of the total land area is less than 2 m a.s.l., making it highly vulnerable to coastal hazards, including SLR. An attempt was made to estimate the extent of land and paddy fields area that will be potentially inundated by 2050 and 2100 on the basis of different Intergovernmental Panel on Climate Change Representative Concentration Pathway (RCP) scenarios. Across four SLR scenarios, the total land area of the Jaffna Peninsula that will be directly inundated by 2050 is 6.8-13% and by 2100 this value will rise to 10-35%. Moreover, the Jaffna Peninsula is projected to lose approximately 7193-13,595 ha of paddy fields by 2050 and 10,630-36,786 ha by 2100. Considering the uncertainty in the inundation model, the total land area that could be under risk of inundation is 46.3% and 49.1% by 2050 and 2100, respectively, under the low-end scenario (RCP2.6), and 47% and 58.5% under the high-end scenario (RCP8.5). The areas surrounding the lagoons and the adjacent islands are identified as being the most vulnerable to SLR. The scale of the anticipated inundation on land and paddy fields underscores the urgent need for action to ensure the sustainable livelihoods of the region's population.  © Coastal Education and Research Foundation, Inc. 2020.</t>
  </si>
  <si>
    <t>2-s2.0-85085649319"</t>
  </si>
  <si>
    <t>10.1016/j.ocemod.2020.101677</t>
  </si>
  <si>
    <t>https://www.scopus.com/inward/record.uri?eid=2-s2.0-85089745226&amp;doi=10.1016%2fj.ocemod.2020.101677&amp;partnerID=40&amp;md5=d87f4eb3d0f78260b8e7c9f6fb55acab</t>
  </si>
  <si>
    <t>A set of realistic coastal coupled ocean-wave numerical simulations is used to study the impact of surface gravity waves on a tidal temperature front and surface currents. The processes at play are elucidated through analyses of the budgets of the horizontal momentum, the temperature, and the turbulence closure equations. The numerical system consists of a 3D coastal hydrodynamic circulation model (Model for Applications at Regional Scale, MARS3D) and the third generation wave model WAVEWATCH III (WW3) coupled with OASIS-MCT at horizontal resolutions of 500 and 1500 m, respectively. The models were run for a period of low to moderate southwesterly winds as observed during the Front de Marée Variable (FroMVar) field campaign in the Iroise Sea where a seasonal small-scale tidal sea surface temperature front is present. Over the 2 day period considered, long fetch waves grow gradually propagating north east and east. Contrasting a stand-alone ocean run with a coupled ocean-wave run shows that waves move the Ushant front offshore by up to 4 kilometres and cool the offshore stratified side of the front by up to 1.5°C. The analysis of the temperature budget shows that the change in advection is the dominant factor contributing to the frontal shift while the contribution of wave enhanced vertical temperature diffusion is secondary. Temperature, considered to be a tracer, is advected in the coupled run by the Lagrangian current resulting from the quasi-Eulerian and Stokes drift. Although the Stokes drift is directed shorewards, changes in the quasi-Eulerian current lead to a more offshore advection in the coupled than the stand-alone run. The quasi-Eulerian current is reduced (enhanced) during the ebb (flood) flow which correspond to periods of wave-following (-opposing) currents. This is due to wave breaking enhanced vertical mixing acting on the positive vertical gradient present in the quasi-Eulerian current during both ebb and flood tides. Partially coupled runs reveal that it is the surface flux of TKE associated to wave breaking that is key rather than the changes in the surface stress. They further elucidate the role of other modelled wave related processes. Although the contribution of the Stokes–Coriolis force and the wave breaking induced enhancement in vertical mixing to the quasi-Eulerian current are of similar magnitude and sign, it does not contribute significantly to the frontal shift. This is because it partially counters the Stokes drift advection which pushes the front shorewards. All Stokes drift related processes combined thus only lead to a very slight displacement of the front. © 2020 Elsevier Ltd</t>
  </si>
  <si>
    <t>2-s2.0-85089745226"</t>
  </si>
  <si>
    <t>10.1785/0220200045</t>
  </si>
  <si>
    <t>https://www.scopus.com/inward/record.uri?eid=2-s2.0-85088423105&amp;doi=10.1785%2f0220200045&amp;partnerID=40&amp;md5=e43fce459a5ca7f2493017dfa80bb963</t>
  </si>
  <si>
    <t>Ammianus Marcellinus, a fourth-century writer, reported that after an earthquake, on 21 July 365, the sea retreated and then flooded numerous coasts, among them Alexandria (Egypt) and Methoni (southwest Greece). Several other ancient authors seem to mention this event as a “universal earthquake.” The inferred tsunami is usually assigned to reactivation of a fault in the Hellenic (Aegean) Arc, derived from an up to 9 m seismic uplift of Crete. Modeling of this uplift revealed an 8.5+ magnitude earthquake and a tsunami that affected most of the Eastern Mediterranean. For Alexandria, a flooding wave arrival is predicted, and marginal impacts are not excluded because of the topography of the ancient town. On the other hand, ancient sources lead to contradictory results, from no damage to devastation, but new historical evidence indicates that many of the historical reports of the critical period are biased by religious and political ideas, and the Ammianus description was questioned. Hence, for Alexandria there exist three scenarios: major destruction, marginal damage, and no damage by the 365 tsunami. To shed light to this debate (1) ancient sources were analyzed in view of new evidence for their significance, (2) possible impacts of a tsunami in the town's infrastructure were discussed, and (3) possible impacts of a major destruction were investigated in the framework of the well-known ecclesiastical and civil history of Alexandria. The main conclusions of this study are that (1) no significant tsunami destruction is likely for Alexandria, in agreement with sedimentary evidence, and no major tsunami runup for Methoni</t>
  </si>
  <si>
    <t>10.3390/rs12203298</t>
  </si>
  <si>
    <t>https://www.scopus.com/inward/record.uri?eid=2-s2.0-85092934206&amp;doi=10.3390%2frs12203298&amp;partnerID=40&amp;md5=593593ba4c74a7b20760550c1492ecd2</t>
  </si>
  <si>
    <t>River bank (RB) erosion is a global issue affecting livelihoods and properties of millions of people. However, it has not received enough attention in the Vietnamese Mekong Delta (VMD), i.e., the world’s third largest delta, compared to salinity intrusion and flooding. There have been several studies examining RB and coastal erosion in the VMD using remotely sensed satellite data, but the applied methodology was not adequately validated. Therefore, we developed a novel SRBED (Spectral RB Erosion Detection) method, in which the M-AMERL (Modified Automated Method for Extracting Rivers and Lakes) is proposed, and a new RB change detection algorithm using Landsat data. The results show that NDWI (Normalized Difference Water Index) and MNDWI (Modified Normalized Difference Water Index) using the M-AMERL algorithm (i.e., NDWIM-AMERL, MNDWIM-AMERL) perform better than other indices. Furthermore, the NDWIM-AMERL</t>
  </si>
  <si>
    <t>10.1007/s11069-020-04198-z</t>
  </si>
  <si>
    <t>https://www.scopus.com/inward/record.uri?eid=2-s2.0-85088830806&amp;doi=10.1007%2fs11069-020-04198-z&amp;partnerID=40&amp;md5=34bd57f2b811456e97573841b28c2900</t>
  </si>
  <si>
    <t>In China, flood inundation modeling is often limited by the lack of high quality topographic dataset, especially in small cities where hydrologic informatization is relatively backward. Coarse-resolution digital elevation models (DEMs) often lead to lower accuracy in simulation results due to the loss of small-scale building features in terrain modeling. Increasing the DEM resolution by resampling techniques may be an available solution to building representation problems in data-sparse areas, which has not yet received much attention and needs to be tested in conjunction with urban inundation models. This paper evaluated the impact of DEM resolution and resampling techniques on the building treatment method (BTM) and the output of urban inundation model to determine whether satisfactory inundation simulation can be achieved based on resampled DEMs with fine resolution. Using the 2016 flood event in Wuhan as the study case, a detailed comparison among 19 modeling scenarios differing in DEM resolutions, resampling techniques and BTMs was subsequently conducted. The outcome of the comparison analysis revealed the sensitivity of the simulated inundation depth to the resampled DEM resolution. Furthermore, the scenario using resampled DEMs with high resolution showed better performance in urban inundation modeling because the building features and the flow paths within building gaps were adequately represented by the BTM. The findings of this study may facilitate the application of BTMs for urban inundation modeling to predict (with useful accuracy) the inundation extent and depth in areas where fine topography data are unavailable. © 2020, Springer Nature B.V.</t>
  </si>
  <si>
    <t>2-s2.0-85088830806"</t>
  </si>
  <si>
    <t>10.1016/j.catena.2020.104715</t>
  </si>
  <si>
    <t>https://www.scopus.com/inward/record.uri?eid=2-s2.0-85085470059&amp;doi=10.1016%2fj.catena.2020.104715&amp;partnerID=40&amp;md5=356b0db9e50d036074098d20b83f9973</t>
  </si>
  <si>
    <t>Knowledge of the spatial variation of soil infiltration is necessary for managing water conservation, salinity, and precision agriculture in drylands. In this study, the spatial variation of soil infiltration was investigated using digital soil mapping methods in the Sistan plain, an arid, low-relief flood plain in eastern Iran where a large irrigation project is being implemented to irrigate lands. Information about the spatial variation in soil infiltration will assist the planning of this irrigation project. 138 sampling locations were selected using stratified sampling based on existing polygon-based soil maps. Steady state soil infiltration was measured at each sampling location using the double ring infiltrometer method. Twenty-three environmental covariates were derived from digital elevation models and satellite imagery as well as predictive maps of clay, sand, and silt that were derived from kriging the collected soil samples. A simple (multiple linear regression) and a complex (random forests) model were used to link covariates and infiltration measurements. Ten-fold cross-validation was used to determine model accuracy. Measured soil infiltration ranged from 0.29 to 81.7 mm h−1 with a mean of 13.6 mm h−1. RMSE of the infiltration rate predictions were 13.4 mm h−1 for random forest and 13.9 mm h−1 for multiple linear regression. MAE was 10.5 for random forest and 10.9 for multiple linear regression. The most important covariates were channel networks, sand concentration, normalized difference salinity index (NDSI), and elevation in the random forest model and distance-from-river and sand concentration in the multiple linear regression model. Accuracy metrics for both models were comparable, but the random forest predictions were judged to be closer to reality based on visual review, thus random forests was chosen to make predictive maps of soil infiltration. © 2020 Elsevier B.V.</t>
  </si>
  <si>
    <t>2-s2.0-85085470059"</t>
  </si>
  <si>
    <t>10.2166/wcc.2019.246</t>
  </si>
  <si>
    <t>https://www.scopus.com/inward/record.uri?eid=2-s2.0-85088900962&amp;doi=10.2166%2fwcc.2019.246&amp;partnerID=40&amp;md5=116851f196ed06caa9ffff3f711f029f</t>
  </si>
  <si>
    <t>Many of the world’s largest coastal cities are becoming increasingly vulnerable to extreme events due to their growing populations and infrastructure, the changing climate, and subsidence. This paper assessed the economic impacts of extreme climatic events including sea-level rise and storm surge risk and the benefits of the adaptation strategies in the Pearl River Delta, a lowing-lying area located in southern China. An economic benefit–cost model was established for the estimation of the impacts and benefits. The damage of the extreme events was calculated using the damage rate modeled from the historic disaster database, and then the difference between the damage and the cost of heightening dikes was investigated under different scenarios. The results showed that the damage rate and storm surge level were positively related. The adaptation strategies benefited when the dike was heightened by 1.43–12.67 m, with the optimum reached at 5.15 m, and the dike did not exceed 12.67 m. The maximum benefits were obtained when the dike was designed to defend a 20-year return period storm surge in 2100, and the minimum when the dike is heightened to defend a 100-year return period storm surge in 2100. © IWA Publishing 2020.</t>
  </si>
  <si>
    <t>2-s2.0-85088900962"</t>
  </si>
  <si>
    <t>10.1016/j.margeo.2020.106245</t>
  </si>
  <si>
    <t>https://www.scopus.com/inward/record.uri?eid=2-s2.0-85087698330&amp;doi=10.1016%2fj.margeo.2020.106245&amp;partnerID=40&amp;md5=1ee2dce8252a33222d465dafb4322c2e</t>
  </si>
  <si>
    <t>The storm impact on coastal environment is complex and systematic. With a validated numerical model, this study quantitatively investigates the effects of a historical storm process on the morphodynamic evolution of an unsheltered Nanpu channel-shoal system (NS) in the Bohai Sea, China. Results show that the storm event in October 2003 induced a destructive erosion in the tidal flats during the entire storm period. The channel also suffered erosion, however, it rapidly restored after this storm. Numerical estimations also confirm that wave and wind-driven current dominate the erosion of tidal flat and channel, respectively. Wind-driven current can further enhance the erosion on the tidal flat by intensifying the wave-current interaction, while surge plays a minor role in the channel-shoal evolution. The morphological evolution pattern of NS varies as a function of wind direction and wind speed, where three morphological evolution patterns appear as the wind speed growth in the investigated NE and NW wind directions. In the study area, NE strong wind usually produces flooding disasters and erosion of NS, while NW strong wind can induce severe tidal flat loss and channel accretion. Although this study is based on a site-specific model, the findings will provide valuable insights into the morphological feedbacks under destructive storm and hence assist in making efficient coastal management strategies in unsheltered coasts. © 2020 Elsevier B.V.</t>
  </si>
  <si>
    <t>2-s2.0-85087698330"</t>
  </si>
  <si>
    <t>10.5194/nhess-20-2447-2020</t>
  </si>
  <si>
    <t>https://www.scopus.com/inward/record.uri?eid=2-s2.0-85092327518&amp;doi=10.5194%2fnhess-20-2447-2020&amp;partnerID=40&amp;md5=319065f0319ddfda2dd1cb2ae00881cb</t>
  </si>
  <si>
    <t>&lt;p&gt;An evaluation of social vulnerability to storm surges is important for any coastal city to provide marine disaster preparedness and mitigation procedures and to formulate post-disaster emergency plans for coastal communities. This study establishes an integrated evaluation system of social vulnerability by blending a variety of single-evaluation methods, which are subsequently combined by weighting in order to calculate a common social vulnerability index. Shenzhen has a current reputation of having considerable economic development potential and is a representative city in China. It is chosen for an evaluation of its social vulnerability to storm surges via a historical social and economic statistical dataset spanning the period 1986-2016. Exposure and sensitivity increased slowly with some fluctuation, leading to some alterations of the social vulnerability trend. Social vulnerability stayed almost constant during 1986-1991 and 1993-2004, while it decreased sharply afterwards to form a ""stair-type"" declining curve over the past 31 years. Resilience is progressively increasing by virtue of a continuous increase in medical services supply, fixed asset investments, and salary levels of employees. These determinants contribute to the overall downward trend of social vulnerability for Shenzhen.&lt;/p&gt;. © 2020 Copernicus GmbH. All rights reserved.</t>
  </si>
  <si>
    <t>2-s2.0-85092327518"</t>
  </si>
  <si>
    <t>10.1007/s00267-020-01332-2</t>
  </si>
  <si>
    <t>https://www.scopus.com/inward/record.uri?eid=2-s2.0-85088017143&amp;doi=10.1007%2fs00267-020-01332-2&amp;partnerID=40&amp;md5=00a5c7812852700dfdf665b2b942034c</t>
  </si>
  <si>
    <t>This study sought to determine the factors influencing rice farmers’ adaptation to a slow-onset hazard such as saltwater inundation. The research is based on a survey conducted through personal interviews using Kobotool App consisting of 326 coastal rice farmers in Northern Mindanao, the Philippines and 258 rice farmers in two provinces in the Mekong Delta in Vietnam. There were four levels of analyses for the assessment of the feasibility of the adaptation measures implemented by the farmers. First, it classified adaptation measures into specific categories: technology based, farm-based crop management, ecosystem-based adaptation, off-farm income diversification, and other measures. Second, it developed a multi-criteria assessment tool on adaptation measures based on stakeholder analysis and expert judgment based on four major feasibility criteria. Third, it determined the level of adaptation based on the combination of measures and the feasibility of the chosen measures by constructing a measure-based adaptation index (MAI). Finally, it came up with a model showing the factors influencing the MAI of the farmers. The results revealed that adaptation takes place at different levels in the two countries based on the diversity of measures, the feasibility of the various measures, and the varying conditions of saltwater inundation. The empirical evidence provides systematic support for the hypothesis that adaptation measures are influenced by a confluence of social, institutional, and economic factors. © 2020, Springer Science+Business Media, LLC, part of Springer Nature.</t>
  </si>
  <si>
    <t>2-s2.0-85088017143"</t>
  </si>
  <si>
    <t>10.1029/2019JF005293</t>
  </si>
  <si>
    <t>https://www.scopus.com/inward/record.uri?eid=2-s2.0-85091454533&amp;doi=10.1029%2f2019JF005293&amp;partnerID=40&amp;md5=8d4067e6a0dcf3ec7366bed022c971b2</t>
  </si>
  <si>
    <t>Ice shelves regulate the ice-ocean boundary by buttressing the flux of grounded ice into the ocean and are vulnerable to basal melt, which can lead to ice-shelf thinning and loss of buttressing. Localized, enhanced basal melt can form basal channels, which may impact ice-shelf stability. Here we investigate the evolution of the Getz Ice Shelf Basal Channel (GISBC) in West Antarctica using a novel suite of geophysical data, including Reference Elevation Model of Antarctica (REMA) digital elevation models, ICESat-1 and -2 altimetry, Operation IceBridge altimetry and radar, and InSAR-derived ice flow velocities. We describe basal-channel and ice-shelf change in both Eulerian and Lagrangian frameworks and document changes in the channel's shape and its lateral motion and estimate basal melting. We find a high degree of spatial and temporal variability in GISBC evolution, with several locations of active basal incision. Incision occurs at rates of up to 22 m a−1 at the head of the channel, which is extending toward the grounding line at a rate of ~1 km a−1. Freeboard heights over areas of rapid basal incision are out of hydrostatic equilibrium. The GISBC is also migrating to the northwest, perpendicular to the northeasterly ice flow direction, at an average rate of 70–80 m a−1. The spatiotemporal variability of evolution of the GISBC motivates further characterization of basal channels and their impact on ice-shelf stability, so that these effects may more readily be incorporated in ice-ocean models predicting ice flow and sea-level rise. ©2020. American Geophysical Union. All Rights Reserved.</t>
  </si>
  <si>
    <t>2-s2.0-85091454533"</t>
  </si>
  <si>
    <t>10.3390/ijgi9110634</t>
  </si>
  <si>
    <t>https://www.scopus.com/inward/record.uri?eid=2-s2.0-85094967793&amp;doi=10.3390%2fijgi9110634&amp;partnerID=40&amp;md5=a21818cd36c741e3c04f5b030fc9c5c9</t>
  </si>
  <si>
    <t>Catchment division constitutes the foundation for urban water flood forecasting but represents a technically challenging task. The accurate division of catchments is significant for precisely forecasting urban waterlogging. However, existing catchment division methods usually lead to produce results that do not accurately reflect the actual land-use distributions. In recent years, most research has been performed in smaller study areas (less than 10 km2 ), in residential areas, parks and campuses, and usually focused on a single landscape type. However, for large highly urbanized areas with complex land uses, due to the spatial heterogeneity and complexity of such areas in terms of building, traffic network and hydrology, etc., there is few studies on sub-catchment division. Moreover, the division results by using existing method usually have deviate with the actual land-type distributions. To address the above-mentioned issues, a sub-catchment division method was here proposed that accounts for land-use types and flow directions, and it is suitable for large urban areas by introducing an auto-adaptive threshold adjustment in a novel algorithm. First, the study area is divided into first- and second-level (FL and SL, respectively) catchments according to the macroscale features such as natural landforms, canals, and pipe network. Second, an amended DEM (Digital Elevation Model) and flow direction data are used to divide the SL catchments into third-level direction-based (D-B) catchments. Finally, a novel land use-based algorithm is proposed to divide the D-B catchments into the ""smallest""catchments (S-catchments). A large-scale area (44 km2 ) in Dongying City of China was employed to validate the proposed method. The experiment showed that the proposed method is suitable for subcatchment divisions in large regions and can ensure that the subcatchments are consistent with the actual distribution of land uses and runoff directions. © 2020 by the authors.</t>
  </si>
  <si>
    <t>2-s2.0-85094967793"</t>
  </si>
  <si>
    <t>10.3389/feart.2020.00315</t>
  </si>
  <si>
    <t>https://www.scopus.com/inward/record.uri?eid=2-s2.0-85094821817&amp;doi=10.3389%2ffeart.2020.00315&amp;partnerID=40&amp;md5=3d56e5ac185c828cdc3107134f74cb1d</t>
  </si>
  <si>
    <t>Even though the impact from large tsunamis are limited to coastal areas, these events are still devastating. Knowledge is crucial in minimizing the losses from natural disasters, as it can aid in creating better and more proactive preparation. Focusing on natural hazards’ mitigation in Asia, a collaboration between 10 Asian and two European countries, based on a deeper understanding approach, has been conducted since 2015. Deeper understanding aims to discover the physical mechanisms and drivers behind a hazard event. Innovative models and simulation facilities are developed correspondingly to achieve more accurate numerical simulations of the whole lifespan of the target event. An application framework composed from the knowledge, data, simulation facility, software tools, and case studies is designed to provide an advanced estimation of hazard risk and would be evolved progressively with more case studies and observation data. For tsunamis, based on the COMCOT (COrnell Multi-grid Coupled Tsunami Model), the simulation portal (iCOMCOT) implementing parallelized tsunami wave propagation calculation over distributed clouds had been established. The iCOMCOT system finished the simulation of the whole lifecycle of the 2011 Great East Japan Earthquake Tsunami in 1 min. In this regional collaboration, case studies on historical events and tsunami impact analysis were conducted. The goal is to capture the physical characteristics of the tsunami as much as possible, such as tsunami wave propagation, tsunami refraction, and tsunami run-up on land, as well as their drivers and root causes. The whole processes of the tsunami, from its initiation to its impacts in selected locations, then could be simulated accurately by iCOMCOT based on the scientific explorations and the quantitatively revised models. The Sulawesi Tsunami (2018) case is presented to demonstrate the processes of the deeper understanding approach and how to achieve the capacity building. At the same time, ways to take advantage of citizen science are also explored. The citizen science model is valuable in supporting data collection, such as data of run-up height, inundation range, flow depth, disruption information, impact area, from publication, news reports, and interviews from local people. According to experiences on case studies, suggestions to simplify and optimize the integration of the citizen science model with the deeper understanding approach to result in a lower operation cost are provided. © Copyright © 2020 Yen, Lin, Wu, Tsai and Chung.</t>
  </si>
  <si>
    <t>2-s2.0-85094821817"</t>
  </si>
  <si>
    <t>10.1007/s11356-019-07270-9</t>
  </si>
  <si>
    <t>https://www.scopus.com/inward/record.uri?eid=2-s2.0-85077188689&amp;doi=10.1007%2fs11356-019-07270-9&amp;partnerID=40&amp;md5=5a49dd3cbb79fc2800d72703d8dac709</t>
  </si>
  <si>
    <t>Identifying the environmental factors and analyzing the causal mechanism of flash floods help to manage the risk. Maximum 24-h precipitation (MP), digital elevation (DE), slope degree (SD), soil type (ST), drainage density (DD), and vegetation cover (VC) are selected as the risk factors of flash floods in this study. Precipitation is the important meteorological components in flash floods</t>
  </si>
  <si>
    <t>10.3390/geosciences10090333</t>
  </si>
  <si>
    <t>https://www.scopus.com/inward/record.uri?eid=2-s2.0-85090524332&amp;doi=10.3390%2fgeosciences10090333&amp;partnerID=40&amp;md5=fb6a10cd6773e2d95be214b161ca6cfa</t>
  </si>
  <si>
    <t>Drainage basins in dry and semiarid environments are exposed to sudden, irregular flooding that poses a threat to urban areas and infrastructure. The associated risk is exacerbated by land use changes. Geomorphometric analyses of drainage basins based on geographic information systems (GIS) are essential tools for assessing conceptual flood hazards. Geomorphological data extracted from high-precision digital elevation models (DEMs) provide valuable information for modeling the geomorphic, surface classifications of the earth, and for flood hazard mapping. This study aimed to develop an integrative approach to the mapping of flood hazards along the Al-Shamal train pathway in the city of Qurayyat in the Kingdom of Saudi Arabia (KSA) using GIS and hazard modeling for geomorphological ranking. Furthermore, we propose strategic solutions to provide mitigation and protection from negative impacts with the aim of improving the level of awareness of flood geomorphology. The hazard model of geomorphological ranking was used in mapping and calculating the degree of hazards using 24 geomorphometric criteria. These criteria were divided into formal criteria, terrain criteria, and criteria related to the drainage network. The results of the study revealed that the drainage sub-basins are exposed to flood hazards along the Al-Shamal train pathway in the city of Qurayyat. The very high flood hazard constituted 4228.3 km2, accounting for 70.3% and 65.7%, respectively, of the drainage basins of the wadis of Makhrouq and Bayer. The high flood hazard represented 61% (4712.4 km2) of the basin of the wadis of Sarmadaa. The medium flood hazard was concentrated in the drainage basin of the wadi of Hasidah, accounting for nearly 57.7% (1271.3 km2). The very low flood hazard was present in 46.5% of the drainage basin of the wadis of Hasidah Umm Nakhla, accounting for an area of 799.4 km2. The methodology applied in this study can be used in the estimation of flood hazards in different drainage basins throughout Saudi Arabia and in similar arid regions. © 2020 by the authors. Licensee MDPI, Basel, Switzerland.</t>
  </si>
  <si>
    <t>2-s2.0-85090524332"</t>
  </si>
  <si>
    <t>10.1016/j.scitotenv.2020.140073</t>
  </si>
  <si>
    <t>https://www.scopus.com/inward/record.uri?eid=2-s2.0-85086468540&amp;doi=10.1016%2fj.scitotenv.2020.140073&amp;partnerID=40&amp;md5=e5ea8b7a89fcb58ff8cc897ad90962c2</t>
  </si>
  <si>
    <t>This study provides an assessment of possible changes in the general circulation and residence time in the Persian Gulf under potential future sea-level rise and changes in the wind field due to the climate change. To determine the climate-change-induced impacts, Mike 3 Flow Model FM was used to simulate hydrodynamic and transport processes in the Persian Gulf in both historical (1998–2014) and future periods (2081–2100). Historical simulation was driven by ERA-Interim data. A statistical approach was employed to modify the values and directions of the future wind field obtained from the Representative Concentration Pathway 4.5 and 8.5 (RCP4.5 and RCP8.5, respectively) scenarios derived from CMCC-CM model of the fifth phase of the Coupled Model Intercomparison Project (CMIP5). The numerical model was calibrated and validated using measured data. Results indicated that in the historical period, residence time ranged between values of less than a month in the Strait of Hormuz and 10 years in the semi-enclosed area close to the south of Bahrain. The changes in wind field based on RCP 8.5 scenario were found to be the most disadvantageous for the Persian Gulf's capacity to flush dissolved pollutants out. Under this scenario, residence time would be 17% longer than that of historical one. This is mainly because the change in the wind field is large enough to overwhelm general circulation, showing a relationship between the residence time and the residual circulation. Impact of change in the wind field according to RCP 4.5 scenario on the modeled residence time is negligible. The numerical outputs also showed that the sea-level rise would slightly decrease the current velocity, resulting in a negligible increase in residence time. The findings of this study are intended to support establishing climate-adaptation management plans for coastal zones of the studied area in line with sustainable development goals. © 2020 Elsevier B.V.</t>
  </si>
  <si>
    <t>2-s2.0-85086468540"</t>
  </si>
  <si>
    <t>10.1007/s11069-020-04082-w</t>
  </si>
  <si>
    <t>https://www.scopus.com/inward/record.uri?eid=2-s2.0-85085927259&amp;doi=10.1007%2fs11069-020-04082-w&amp;partnerID=40&amp;md5=5c24afd66debd10f95f0105037a62fbf</t>
  </si>
  <si>
    <t>Cyclone-induced coastal inundation along the east coast of India is simulated using the state-of-the-art advanced circulation model coupled with Simulating Waves Nearshore model. Bathymetry of the computational domain is prepared by integrating digital coastal bathymetric chart with global digital elevation model (DEM) ETOPO-2. Topography of the coastal land region is created by merging data from the fine resolution airborne DEM with that from the Indian satellite CARTOSAT-2 derived CARTO2 DEM and Shuttle Radar Topography Mission DEM. The major shortcomings of coastal inundation simulation due to inaccurate representation of intricate networks of river, creeks and lagoons have been overcome by careful description of the critical coastal wetland features influencing the landward inundation of storm surge in the present work. Experimental simulation of coastal inundation is carried out for the Phailin (2013) and Hudhud (2014) cyclones. The computed surge residual for Phailin and Hudhud are compared with available tide-gauge observations, which have resulted in root mean square error of 0.06 m and 0.11 m, respectively. The simulations show realistic coastal inundations, which are compared with the Indian meteorological department records. The model set up is then used to generate forecast of coastal inundation due to Titli (2018) cyclone with a lead period of 48 h. The Weather Research and Forecasting model forecast winds at 5 km spatial resolution are used as the primary forcing parameter. The coastal inundation forecast due to Titli cyclone is validated by assessing the spatial coherency of simulated inundation with the water logged area demarcated from synthetic-aperture radar image taken from Canadian satellite RADARSAT-2. The results clearly indicate acceptability of the model performance with a potential to predict the coastal inundation during a cyclone for operational early warning. © 2020, Springer Nature B.V.</t>
  </si>
  <si>
    <t>2-s2.0-85085927259"</t>
  </si>
  <si>
    <t>10.1007/s12517-020-06173-1</t>
  </si>
  <si>
    <t>https://www.scopus.com/inward/record.uri?eid=2-s2.0-85095713082&amp;doi=10.1007%2fs12517-020-06173-1&amp;partnerID=40&amp;md5=59ee1c87d680eb543f2d6b6a8a6feeca</t>
  </si>
  <si>
    <t>The flooding and seismic activity analysis clearly shows the urgent need for an evaluation planning program to mitigate hazard for the vital areas. The Red Sea coastal area is always exposed to the risk of flash floods and earthquakes</t>
  </si>
  <si>
    <t>10.1016/j.rsase.2020.100426</t>
  </si>
  <si>
    <t>https://www.scopus.com/inward/record.uri?eid=2-s2.0-85093085656&amp;doi=10.1016%2fj.rsase.2020.100426&amp;partnerID=40&amp;md5=cc99a451234e4f5f2ab05c6f6a1dcc9b</t>
  </si>
  <si>
    <t>India's Kerala state, sandwiched between the Arabian Sea and the Western Ghats, witnessed a catastrophic flood during the southwest monsoon in mid-August 2018. Unusual precipitation (24% in excess of the normal) coupled with opening of flood gates of dams in the highland and high tide level in the coastal plains were the drivers of the flood. Synthetic Aperture Radar (SAR) data acquired from multiple satellites were used to demarcate area inundated by flood, which covered over 521 km2 in the coastal lowlands. Flood waters receded rather abruptly during the initial days between 18 August and August 21, 2018 where the flooded area dropped from 521 to 395 km2 and water levels dropped from 10 m to 5 m. But subsequent level fall was tremendously slow, taking 40 days to reach ~50% or 260 km2 on September 26, 2018. The chaotic distribution and discharge of flood water, together with structural controls of the coastal lowland, initiated the investigation to examine whether or not geologic lineaments of the basement terrain was involved in modulating the location and discharge of flood waters. The investigation resulted in identifying two scenarios around the lineaments: (1) pooling of flood water over extended periods and (2) rapid discharge of flood water, named as pooling and discharging lineaments, respectively. Flood water recession, for the 40 days, through discharging lineaments was 87.15% when compared to the low rate of recession through pooling lineaments (33.07%). Moreover, morphology-wise discharging lineaments are characterized by high relative relief whereas pooling lineaments were depressions. Results suggest, other than lineament's role in aiding water percolation, lineaments can also act as conduits for rapid discharge. © 2020</t>
  </si>
  <si>
    <t>2-s2.0-85093085656"</t>
  </si>
  <si>
    <t>10.1007/s10533-020-00712-4</t>
  </si>
  <si>
    <t>https://www.scopus.com/inward/record.uri?eid=2-s2.0-85094125336&amp;doi=10.1007%2fs10533-020-00712-4&amp;partnerID=40&amp;md5=c6a65b51e0701b2994234626813e1278</t>
  </si>
  <si>
    <t>Estuarine turbidity maxima (ETM) is a transition zone subject to the influence of river flow and tides. Here we showed the distinct impacts of fluvial and tidal hydrodynamics on dissolved inorganic nitrogen (DIN) cycling and export across the ETM to coast. We conducted tidal-scale hourly measurements at the ETM zone of the Jiulong River Estuary in Southeast China in May and December 2015. Generally, ammonium-N (NH4-N) and nitrate-N (NO3-N) increased in ebb tides, primarily controlled by freshwater input. In contrast, nitrite-N (NO2-N) increased in flood tides, largely due to the horizontal advection of NO2-N rich water from the middle estuary (5–10 PSU). During the fresh–saline water mixing period with high suspended particulate matters (SPM), the stronger tides and smaller river discharge in December increased SPM and NO2-N in the ETM, indicating stronger ammonium oxidation in the water column. During the low tide period when freshwater dominated and particles were deposited, the increase of NH4-N in the water column was related to the external source supply (e.g., wetland effluent), while the decline of NO3-N and NO2-N was likely associated with denitrification occurring in anoxic fluid muds and sediments. The larger DIN flux was found in May with larger river discharge, weaker tides and longer duration of the freshwater dominated period than December. This study highlights the combined effects of river and tides on hydrodynamics, which largely determine the major N sources, processes (e.g., nitrification and denitrification) and DIN fluxes across the ETM to coast. © 2020, Springer Nature Switzerland AG.</t>
  </si>
  <si>
    <t>2-s2.0-85094125336"</t>
  </si>
  <si>
    <t>10.1007/s12517-020-06084-1</t>
  </si>
  <si>
    <t>https://www.scopus.com/inward/record.uri?eid=2-s2.0-85093983181&amp;doi=10.1007%2fs12517-020-06084-1&amp;partnerID=40&amp;md5=ae1baa80001e43ab3948e4c688dbc440</t>
  </si>
  <si>
    <t>Sea level rise (SLR) is one of the most severe risks threatening coastal zones all over the world. In Kuwait, coastal areas accommodate about 90% of the total population and most of the urban area. Thus, SLR is expected to have significant impacts on Kuwaiti coastal areas, which may lead to changes in their ecosystems and the geomorphological units in the coastal area. This paper aims to assess the impacts of SLR on the geomorphology of the Kuwaiti coastline under two different scenarios of SLR: an integrated analysis model involving a variety of methods and a composite vulnerability index integrating five criteria. The results revealed that about 58% of the total coastal area is susceptible to inundation under 1- and 2-m SLR scenario, whereas 8.3% of Kuwaiti coastal areas have moderate to high vulnerability levels. Moreover, it was found that SLR may have significant implications for some Kuwaiti coastal areas including expanding sabkhas areas, shoreline retreat, changing coastal hydrodynamics, and erosion patterns and accelerated weathering process. To avoid such potential impacts, it is essential to develop a national strategy for adaptation to SLR impact and mainstreaming adaptation into development plans. © 2020, Saudi Society for Geosciences.</t>
  </si>
  <si>
    <t>2-s2.0-85093983181"</t>
  </si>
  <si>
    <t>10.5194/nhess-20-2397-2020</t>
  </si>
  <si>
    <t>https://www.scopus.com/inward/record.uri?eid=2-s2.0-85091832629&amp;doi=10.5194%2fnhess-20-2397-2020&amp;partnerID=40&amp;md5=c9b31420bd1310a9e07acf4343541122</t>
  </si>
  <si>
    <t>Considering the likely increase in coastal flooding in small island developing states (SIDSs) due to climate change, coastal managers at the local and global levels have been developing initiatives aimed at implementing disaster risk reduction (DRR) and adaptation measures. Developing science-based adaptation policies requires accurate coastal flood risk (CFR) assessments, which in the case of insular states are often subject to input uncertainty. We analysed the impact of a number of uncertain inputs on coastal flood damage estimates: (i) significant wave height, (ii) storm surge level and (iii) sea level rise (SLR) contributions to extreme sea levels, as well as the error-driven uncertainty in (iv) bathymetric and (v) topographic datasets, (vi) damage models, and (vii) socioeconomic changes. The methodology was tested through a sensitivity analysis using an ensemble of hydrodynamic models (XBeach and SFINCS) coupled with a direct impact model (Delft-FIAT) for a case study of a number of villages on the islands of São Tomé and Príncipe. Model results indicate that for the current time horizon, depth damage functions (DDFs) and digital elevation models (DEMs) dominate the overall damage estimation uncertainty. When introducing climate and socioeconomic uncertainties to the analysis, SLR projections become the most relevant input for the year 2100 (followed by DEM and DDF). In general, the scarcity of reliable input data leads to considerable predictive uncertainty in CFR assessments in SIDSs. The findings of this research can help to prioritize the allocation of limited resources towards the acquisitions of the most relevant input data for reliable impact estimation.  © 2020 Author(s).</t>
  </si>
  <si>
    <t>2-s2.0-85091832629"</t>
  </si>
  <si>
    <t>10.3390/ATMOS11090888</t>
  </si>
  <si>
    <t>https://www.scopus.com/inward/record.uri?eid=2-s2.0-85091342133&amp;doi=10.3390%2fATMOS11090888&amp;partnerID=40&amp;md5=85da5d303444b4287d70693f5e0f441c</t>
  </si>
  <si>
    <t>Realistic wind information is critical for accurate forecasts of landfalling hurricanes. In order to provide more realistic near-surface wind forecasts of hurricanes over coastal regions, high-resolution land-sea masks are considered. As a leading hurricane modeling system, the National Centers for Environmental Prediction (NCEP) Hurricane Weather Research Forecast (HWRF) system has been widely used in both operational and research environments for studying hurricanes in different basins. In this study, high-resolution land-sea mask datasets are introduced to the nested domain of HWRF, for the first time, as an attempt to improve hurricane wind forecasts. Four destructive North Atlantic hurricanes (Harvey and Irma in 2017</t>
  </si>
  <si>
    <t>10.1007/s10113-020-01681-y</t>
  </si>
  <si>
    <t>https://www.scopus.com/inward/record.uri?eid=2-s2.0-85088800318&amp;doi=10.1007%2fs10113-020-01681-y&amp;partnerID=40&amp;md5=57ee994fa4dc878677bb4da00e21332d</t>
  </si>
  <si>
    <t>Bangladesh is one of the most climate-sensitive countries globally, creating significant challenges for future development. Here we apply an integrated assessment model — Delta Dynamic Integrated Emulator Model (ΔDIEM) — to the south-west coastal zone of Bangladesh to explore the outcomes of four contrasting and plausible development trajectories under different climate and socio-economic scenarios: (1) embankment rehabilitation; (2) build elevation via controlled sedimentation; (3) planned migration (managed retreat) and (4) ‘do nothing’ (unplanned migration and abandonment). Embankment rehabilitation reduces flood risk, but at a high economic cost and enhancing waterlogging. Planned and unplanned migration combined with limited infrastructure management and governance both result in significant abandonment. Building elevation through sedimentation has the potential for increased environmental and economic sustainability but raises equity issues. Poverty and inequality persist across all scenarios, and outmigration from the coastal zone continues, although the magnitude is sensitive to assumptions about sea-level rise, socio-economic development and development trajectory. Integrated assessment tools linking the environment, people and policy choices, such as the ΔDIEM used here, highlight the complex interactions occurring in a dynamic delta environment. Such analysis supports informed management, development and adaptation.</t>
  </si>
  <si>
    <t>10.3390/RS12172737</t>
  </si>
  <si>
    <t>https://www.scopus.com/inward/record.uri?eid=2-s2.0-85091335285&amp;doi=10.3390%2fRS12172737&amp;partnerID=40&amp;md5=320c03fa53c97d916e96368ba9604b21</t>
  </si>
  <si>
    <t>Water is essential for the survival of plants, animals, and human beings. It is imperative to effectively manage and protect aquatic resources to sustain life on Earth. Small tributaries are an important water resource originating in mountain areas, they play an important role in river network evolution and water transmission and distribution. Snow and cloud cover cast shadows leading to misclassification in optical remote sensing images, especially in high-mountain regions. In this study, we effectively extract small and open-surface river information in the Upper Yellow River by fusing Sentinel-2 with 10 m resolution optical imagery corresponding to average discharge of the summer flood season and the 90 m digital elevation model (DEM) data. To effectively minimize the impact of the underlying surface, the study area was divided into five sub-regions according to underlying surface, terrain, and altitude features. We minimize the effects of cloud, snow, and shadow cover on the extracted river surface via a modified normalized difference water index (MNDWI), revised normalized difference water index (RNDWI), automated water extraction index (AWEI), and Otsu threshold method. Water index calculations and water element extractions are operated on the Google Earth Engine (GEE) platform. The river network vectors derived from the DEM data are used as constraints to minimize background noise in the extraction results. The accuracy of extracted river widths is assessed using different statistical indicators such as the R-square (R2) value, root mean square error (RMSE), mean bias error (MBE). The results show the integrity of the extracted small river surface by the RNDWI index is optimal. Overall, the statistical evaluation indicates the accuracy of the extracted river widths is satisfactory. The effective river width that can be accurately extracted based on satellite images is three times the image resolution. Sentinel-2 MSI images with a spatial resolution of 10 m are used to find that the rivers over 30 m wide can be connectedly, accurately extracted with the proposed method. Results of this work can enrich the river width database in the northeast Tibetan Plateau and its boundary region. The river width information may provide a foundation for studying the spatiotemporal changes in channel geometry of river systems in high-mountain regions. They can also supplement the necessary characteristic river widths information for the river network in unmanned mountain areas, which is of great significance for the accurate simulation of the runoff process in the hydrological model. ©</t>
  </si>
  <si>
    <t>2-s2.0-85091335285"</t>
  </si>
  <si>
    <t>Journal of Environmental Economics and Management</t>
  </si>
  <si>
    <t>10.1016/j.jeem.2020.102381</t>
  </si>
  <si>
    <t>https://www.scopus.com/inward/record.uri?eid=2-s2.0-85092015901&amp;doi=10.1016%2fj.jeem.2020.102381&amp;partnerID=40&amp;md5=49ff402bf5c90575b63d92e53f0c6508</t>
  </si>
  <si>
    <t>Efficient adaptation to climate change in coastal areas is likely to require public policy interventions. New policies or expectations of policy changes that impact private assets, such as housing, may generate economic incentives that result in unintended consequences. We examine the effect on new housing development resulting from a scientific report by a regulatory agency mandating coastal communities in North Carolina (NC) consider sea-level rise when developing new land-use policies. Estimates from our preferred triple-differences model suggest the policy announcement increased building permits by 32% in coastal NC counties until permitting returned to pre-policy levels after a moratorium on new regulations was passed by the state legislature. Our results are supported by numerous robustness checks, including alternative controls, placebo tests and a parcel-level model in Dare County, NC. This green paradox in coastal climate adaptation implies that hundreds of millions of dollars in additional unregulated housing was constructed in NC locations vulnerable to sea-level rise likely due to perverse incentives generated by a policy signal. © 2020 Elsevier Inc.</t>
  </si>
  <si>
    <t>2-s2.0-85092015901"</t>
  </si>
  <si>
    <t>10.2112/JCOASTRES-D-20-00026.1</t>
  </si>
  <si>
    <t>https://www.scopus.com/inward/record.uri?eid=2-s2.0-85094154285&amp;doi=10.2112%2fJCOASTRES-D-20-00026.1&amp;partnerID=40&amp;md5=736c4ea778c8f5089e80196910d751fc</t>
  </si>
  <si>
    <t>As an island nation with 60,000 km of open coastline and extensive margins of increasingly urbanised intertidal estuarine foreshores, Australia is critically exposed to the global threat posed by rising sea levels into the future. This study provides a contemporary assessment of sea-level rise around Australia to the end of 2018, based on all available tide gauge records and satellite altimetry. The study provides the first national assessment of vertical land motion (VLM) around the coast, identifying margins more prevalent to subsidence, which in turn exacerbate the localised effects of a rising global mean sea level. These areas include coastlines between Townsville and Coffs Harbour, Burnie to Port Pirie, and Fremantle to Wyndham. State-of-The-Art time-series analysis techniques applied to all high-quality tide gauge records exceeding 75 years in length (four sites) enabled improved insights into the temporal resolution of current rates of rise and accelerations in mean sea level around Australia than were previously available. Averaged across these four records in 2018, approximately 40% of the ""relative""velocity observed (â2.2 ± 1.8 mm/y, 95% confidence limit [CL]) is attributable to VLM. When corrected for VLM, only the Fort Denison site exhibits ""geocentric""mean sea-level velocity in 2018 exceeding 2 mm/y. The average geocentric velocity across all four sites in 2018 equates to 1.3 ± 2.0 mm/y (95% CL). Interestingly, each long record exhibits similar temporal characteristics, whereby a low point in the velocity time series occurs sometime in the period from 1970 to 1990, after which velocity increases over time to a peak occurring sometime after ca. 2010, suggesting the presence of a small acceleration (albeit not statistically different to zero at the 95% CL) in the record.  © Coastal Education and Research Foundation, Inc. 2020.</t>
  </si>
  <si>
    <t>2-s2.0-85094154285"</t>
  </si>
  <si>
    <t>Resources, Conservation and Recycling</t>
  </si>
  <si>
    <t>10.1016/j.resconrec.2020.104922</t>
  </si>
  <si>
    <t>https://www.scopus.com/inward/record.uri?eid=2-s2.0-85085941170&amp;doi=10.1016%2fj.resconrec.2020.104922&amp;partnerID=40&amp;md5=a3e8da921108d48f944ff8885b1b2841</t>
  </si>
  <si>
    <t>The ability to make well-informed decisions about protective or adaptive strategies for sea level rise (SLR) is crucial for coastal communities. Reservoirs construction, as an important human activity around the world, has boom with increased economies and electricity demand. To updated its impacts on the SLR, we proposed an integrated model by considering different parameters relating to working volume of reservoir, seepage and siltation. The updated reservoir databases were built and used to estimate the potential impacts of reservoir construction on SLR from 1950 to 2038. The results show that reservoir construction has prevented an average increase of 16.2% per year in the last 68 years compared with the monitored SLR. In addition, reservoir construction will still continue to compensate 19.1% of the SLR in the future. This paper highlighted the consideration of the impacts of global, national, regional reservoir construction on the SLR. © 2020 Elsevier B.V.</t>
  </si>
  <si>
    <t>2-s2.0-85085941170"</t>
  </si>
  <si>
    <t>10.3390/RS12183086</t>
  </si>
  <si>
    <t>https://www.scopus.com/inward/record.uri?eid=2-s2.0-85092291591&amp;doi=10.3390%2fRS12183086&amp;partnerID=40&amp;md5=f353608041b0d75e57276ba8b577d1c2</t>
  </si>
  <si>
    <t>Global rapid expansion of the coastal aquaculture industry has made great contributions to enhance food security, but has also caused a series of ecological and environmental issues. Sustainable management of coastal areas requires the explicit and efficient mapping of the spatial distribution of aquaculture ponds. In this study, a Google Earth Engine (GEE) application was developed for mapping coastal aquaculture ponds at a national scale with a novel classification scheme using Sentinel-1 time series data. Relevant indices used in the classification mainly include the water index, texture, and geometric metrics derived from radar backscatter, which were then used to segment and classify aquaculture ponds. Using this approach, we classified aquaculture ponds for the full extent of the coastal area in Vietnam with an overall accuracy of 90.16% (based on independent sample evaluation). The approach, enabling wall-to-wall mapping and area estimation, is essential to the efficient monitoring and management of aquaculture ponds. The classification results showed that aquaculture ponds are widely distributed in Vietnam's coastal area and are concentrated in the Mekong River Delta and Red River delta (85.14% of the total area), which are facing the increasing collective risk of climate change (e.g., sea level rise and salinity intrusion). Further investigation of the classification results also provides significant insights into the stability and deliverability of the approach. The water index derived from annual median radar backscatter intensity was determined to be efficient at mapping water bodies, likely due to its strong response to water bodies regardless of weather. The geometric metrics considering the spatial variation of radar backscatter patterns were effective at distinguishing aquaculture ponds from other water bodies. The primary use of GEE in this approach makes it replicable and transferable by other users. Our approach lays a solid foundation for intelligent monitoring and management of coastal ecosystems. © 2020 by the authors.</t>
  </si>
  <si>
    <t>2-s2.0-85092291591"</t>
  </si>
  <si>
    <t>10.3390/ijgi9090512</t>
  </si>
  <si>
    <t>https://www.scopus.com/inward/record.uri?eid=2-s2.0-85090554264&amp;doi=10.3390%2fijgi9090512&amp;partnerID=40&amp;md5=63f4ab4b2e9d7840f51e5dbf22725ae7</t>
  </si>
  <si>
    <t>Consistent data are seldom available for whole-catchment flood modelling in many developing regions, hence this study aimed to explore an integrated approach for flood modelling and mapping by combining available segmented hydrographic, topographic, floodplain roughness, calibration, and validation datasets using a two-dimensional Caesar-Lisflood hydrodynamic model to quantify and recreate the extent and impact of the historic 2012 flood in Nigeria. Available segments of remotely-sensed and in situ datasets (including hydrological, altimetry, digital elevation model, bathymetry, aerial photo, optical imagery, and radar imagery data) available to different degrees in the Niger-South hydrological area were systematically integrated to draw maximum benefits from all available data. Retrospective modelling, calibration, and validation were undertaken for the whole Niger- South hydrological catchment area of Nigeria, and then these data were segmented into sub-domains for re-validation to understand how data variability and uncertainties impact the accuracy of model outcomes. Furthermore, aerial photos were applied for the first time in the study area for flood model validation and for understanding how different physio-environmental properties influenced the synthetic aperture radar flood delineation capacity in the Niger Delta region of Nigeria. This study demonstrates how the complementary strengths of open, readily available geospatial datasets and tools can be leveraged to model and map flooding within acceptable levels of uncertainty for flood risk management. © 2020 by the authors. Licensee MDPI, Basel, Switzerland.</t>
  </si>
  <si>
    <t>2-s2.0-85090554264"</t>
  </si>
  <si>
    <t>10.1016/j.jvolgeores.2020.106911</t>
  </si>
  <si>
    <t>https://www.scopus.com/inward/record.uri?eid=2-s2.0-85086139647&amp;doi=10.1016%2fj.jvolgeores.2020.106911&amp;partnerID=40&amp;md5=d041bdaea41b20302c39c8f997fe1225</t>
  </si>
  <si>
    <t>One of the best known places on Earth where volcanology meets archaeology and history is the volcanic island of Santorini (Thíra), Greece. It is famous for the cataclysmic Late Bronze Age (Minoan) Plinian eruption which destroyed the Minoan culture that flourished on the island. Hosting a central, flooded caldera bay and, within that, the active islands of Palaea and Nea Kameni, Santorini volcano has been the focus of international research efforts for over one and a half centuries. In this paper, we summarize recent findings and related ideas about the Minoan physiography of the island, also known as Strongyli, from a volcanological, geomorphological and archaeological point of view. As proposed as early as the 1980s, a central caldera bay existed prior to the Late Bronze Age. Probably characterised by a smaller size and located in the northern part of the present-day caldera, this earlier caldera bay was formed during the previous Plinian eruption – called Cape Riva eruption – c. 22,000 years ago. Within the caldera bay, a central island, Pre-Kameni, existed, named after the present-day Kameni Islands. High-precision radioisotopic dating revealed that Pre-Kameni started to grow c. 20,000 years ago. Whereas volcanologists have accepted and refined the caldera concept, archaeologists have generally favoured the theory of an exploded central cone instead of a pre-existing central caldera. However, analysis of the Flotilla Fresco, one of the wall paintings found in the Bronze Age settlement of Akrotiri, reveals the interior of a Late Bronze Age caldera that may be interpreted as a realistic landscape. Approximately 3600 years ago, the island of Strongyli was destroyed during the explosive VEI = 7 Minoan eruption. Pre-Kameni was lost by this eruption, but its scattered fragments, together with other parts of Strongyli, can be recovered as lithic clasts from the Minoan tuffs. On the basis of photo-statistics and granulometry of the lithic clasts contained in the Minoan tuffs, complemented by volumetric assessment of the erupted tephra and digital elevation model (DEM) analysis of alternative models for the pre-eruptive topography, the volume of Pre-Kameni can be constrained between 1.6 and 3.0 km3, whereas the volume of the destroyed portion of the ring island of Strongyli between 9.1 and 17.1 km3. Of these, the larger values are considered more realistic, and imply that most of the destroyed part of Strongyli was incorporated as lithic components in the Minoan tuffs, whereas up to 3 km3 of Strongyli might have been downfaulted and sunken during caldera formation and is not accounted for in the lithics. © 2020 The Authors</t>
  </si>
  <si>
    <t>2-s2.0-85086139647"</t>
  </si>
  <si>
    <t>10.1007/s11442-020-1805-9</t>
  </si>
  <si>
    <t>https://www.scopus.com/inward/record.uri?eid=2-s2.0-85098732141&amp;doi=10.1007%2fs11442-020-1805-9&amp;partnerID=40&amp;md5=391ff917d704c68cdc566913894295c2</t>
  </si>
  <si>
    <t>Mapping floods is important for policy makers to make timely decisions in regards to emergency responses and future planning. It is therefore crucial to develop a rapid inundation modelling framework to map flood inundation. This study develops an airborne scanning laser altimetry (LiDAR) digital elevation model (DEM) based Rapid flood Inundation Modelling framework (LiDAR-RIM) for assessment of inundation extent, depth, volume and duration for flood events. The modelling framework has been applied to the mid-Murrumbidgee region in the southeast Murray-Darling Basin, Australia for two flood events occurred in December 2010 and March 2012. The inundation extents estimated using this methodology compared well to those obtained from two Landsat ETM+ images, demonstrating suitability and applicability of this method. For testing possibility of larger area application, the framework also uses 30-m resolution shuttle radar topography mission (SRTM)-DEM to replace LiDAR-DEM for the same modelling. The inundation extents obtained by using the SRTM-DEM are smaller than those obtained using the LiDAR-DEM, especially for large flood events. A possible reason is that the river cross sections obtained from the SRTM-DEM are not accurate enough for inundation modelling. The LiDAR-RIM has an advantage for process modelling and scenario modelling under future climatic conditions. © 2020, Science Press Springer-Verlag.</t>
  </si>
  <si>
    <t>2-s2.0-85098732141"</t>
  </si>
  <si>
    <t>10.3390/rs12193196</t>
  </si>
  <si>
    <t>https://www.scopus.com/inward/record.uri?eid=2-s2.0-85092889509&amp;doi=10.3390%2frs12193196&amp;partnerID=40&amp;md5=245c3507ff8146c7fb80a4aee2ad71b7</t>
  </si>
  <si>
    <t>Food security has become a key global issue due to rapid population growth, extensive conversion of arable lands, and declining overall productivity in some areas because of the effects of floods, water shortage, salinity intrusion, and plant diseases. In this study, we analyzed the relationship between the pattern of salinity intrusion and the spatiotemporal distribution of rice cultivation in the winter–spring crops of 2015, 2016, 2019 and 2020 in coastal provinces of the Vietnamese Mekong Delta. Sentinel-1 (S-1) data were used to extract the spatial distribution information of six rice growth stages based on a rice age algorithm. The classification accuracy of rice crop growth stages was found to have an overall accuracy of 85% and a Kappa coefficient of 0.80 (n = 373). For evaluating salinity intrusion effects, salinity isolines (4 g/L) were used to determine the percentage of rice areas affected. Results show that in the years observed to have severe salinity intrusion such as 2016 and 2020, a strong shift in planting calendar was identified to avoid salinity intrusion, with some areas being sown or transplanted 10–30 days earlier than normal planting. In addition, the lack of irrigation water and salinity intrusion limits rice cultivation in the dry season of coastal areas. Further analysis from the S-1 data confirms that the spatiotemporal distribution of rice cultivation is related to the change in government policy/recommendation affected by salinity intrusion. These findings demonstrate the potential and feasibility of using S-1 data to develop an operational rice crop adaptation framework on the delta scale. © 2020 by the authors. Licensee MDPI, Basel, Switzerland.</t>
  </si>
  <si>
    <t>2-s2.0-85092889509"</t>
  </si>
  <si>
    <t>10.1029/2019WR026445</t>
  </si>
  <si>
    <t>https://www.scopus.com/inward/record.uri?eid=2-s2.0-85093919981&amp;doi=10.1029%2f2019WR026445&amp;partnerID=40&amp;md5=25f1ccc8c0fcbdf859185ad7de0e5ddd</t>
  </si>
  <si>
    <t>Knowledge of coastal groundwater flow is critical for managing coastal groundwater resources and quantifying submarine groundwater discharge (SGD), but this flow occurs over multiple scales that can be difficult to study in an integrated way. We designed a field and modeling study to investigate groundwater flow and the distribution of salinity during sea level rise in a domain that included beaches, salt marshes and the first major confined aquifer, which reached 10–15 km offshore. Numerical models were based on the flat-lying, passive margin coastline of North Inlet, SC, and were constrained by field studies including subsurface resistivity surveys and hydraulic head observations. Simulations that included tidal fluctuations showed that the salt marsh generated more than three times as much SGD as the beach and inner shelf, per unit length of coastline. Groundwater exchange between scales was small, suggesting that physical fluxes of groundwater can be considered independently at different scales. However, salinization of the first major confined aquifer occurred by downward transport from overlying aquifers rather than intrusion from the seaward end, suggesting that studies of aquifer salinization should consider multiscale flow. During simulated sea level rise, fresh-to-brackish groundwater persisted in the first confined aquifer as far as the seaward end of the overlying confining unit, 10–20 km offshore. Total fluxes of SGD decreased significantly with future sea level rise, dominated by declining SGD in the salt marsh, and portending a marked decline in the flux of nutrients and carbon to estuaries and the coastal ocean. ©2020. American Geophysical Union. All Rights Reserved.</t>
  </si>
  <si>
    <t>2-s2.0-85093919981"</t>
  </si>
  <si>
    <t>10.3389/feart.2020.561322</t>
  </si>
  <si>
    <t>https://www.scopus.com/inward/record.uri?eid=2-s2.0-85093946027&amp;doi=10.3389%2ffeart.2020.561322&amp;partnerID=40&amp;md5=c5cda3b8ff7a9127e721ac69900f012c</t>
  </si>
  <si>
    <t>Permafrost coasts are extensive in scale and complex in nature, resulting in particular challenges for understanding how they respond to both long-term shifts in climate and short-term extreme weather events. Taking examples from the Canadian Beaufort Sea coastline characterized by extensive areas of massive ground ice within slump and block failure complexes, we conduct a quantitative analysis of the practical performance of helicopter-based photogrammetry. The results demonstrate that large scale (&gt;1 km2) surface models can be achieved at comparable accuracy to standard unmanned aerial vehicle surveys, but 36 times faster. Large scale models have greater potential for progressive alignment and contrast issues and so breaking down image sequences into coherent chunks has been found the most effective technique for accurate landscape reconstructions. The approach has subsequently been applied in a responsive acquisition immediately before and after a large storm event and during conditions (wind gusts &gt;50 km h−1) that would have prohibited unmanned aerial vehicle data acquisition. Trading lower resolution surface models for large scale coverage and more effective responsive monitoring, the helicopter-based data have been applied to assess storm driven-change across the exposed outer islands of the Mackenzie Delta area for the first time. These data show that the main storm impacts were concentrated on exposed North orientated permafrost cliff sections (particularly low cliffs, &gt;20 m in height) where cliff recession was 43% of annual rates and in places up to 29% of the annual site-wide erosion volume was recorded in this single event. In contrast, the thaw-slump complexes remained relatively unaffected, debris flow fans were generally more resistant to storm erosion than the ice-rich cliffs, perhaps due to the relatively low amounts of precipitation that occurred. Therefore, the variability of permafrost coast erosion rates is controlled by interactions between both the forcing conditions and local response mechanisms. Helicopter-based photogrammetric surveys have the potential to effectively analyze these controls with greater spatial and temporal consistency across more representative scales and resolutions than has previously been achieved, improving the capacity to adequately constrain and ultimately project future Arctic coast sensitivity. © Copyright © 2020 Lim, Whalen, Mann, Fraser, Berry, Irish, Cockney and Woodward.</t>
  </si>
  <si>
    <t>2-s2.0-85093946027"</t>
  </si>
  <si>
    <t>10.1029/2020WR028241</t>
  </si>
  <si>
    <t>https://www.scopus.com/inward/record.uri?eid=2-s2.0-85093872797&amp;doi=10.1029%2f2020WR028241&amp;partnerID=40&amp;md5=531a0a045855b4c3a3893190a33d5a12</t>
  </si>
  <si>
    <t>As urban populations grow, it is increasingly important to accurately characterize flood risk in cities and built up areas. Global digital elevation models (GDEMs) have recently enabled flood risk analysis at broad scale and worldwide, but their accuracy and its impact on modeled flood risk in cities has not been fully investigated. We compare flood extents, hydrographs, depths, and impacts between hydrodynamic simulations, using five spaceborne GDEM products and an airborne LIDAR product. Benchmark observations of a historical flood event in Carlisle (UK) were used to assess the accuracy of each simulation. GDEM simulations are shown to perform significantly less accurately than the airborne LIDAR-based simulations. No DEM outperforms the others across all metrics</t>
  </si>
  <si>
    <t>10.1016/j.icarus.2020.113869</t>
  </si>
  <si>
    <t>https://www.scopus.com/inward/record.uri?eid=2-s2.0-85085490702&amp;doi=10.1016%2fj.icarus.2020.113869&amp;partnerID=40&amp;md5=e6bd0a8638aa7738d09bc12ab36520e9</t>
  </si>
  <si>
    <t>The purpose of this paper is to introduce an easy to use but powerful methodology that allows closed terrain depressions on the Mars landscape to be correctly identified and delineated from digital elevation models. Closed terrain depressions have important implications for the geology and geomorphology of Mars where they have been formed by the processes of impact, subsidence, collapse, trickle down of unconsolidated material, tensional tectonic forces, dissolution and erosion. The application of the procedure to six test sites, covering a representative range of Mars landscapes, shows that closed depressions are ubiquitous on Mars, from the Southern Highlands (where they cover 37% of the surface) to the Northern Lowlands (where they cover 26% of the surface). The minimum coverage of 9% occurs on the Tharsis Dome around the three giant Tharsis volcanoes. A power law distribution, which is directly related to the fractal dimension, is shown to provide a very good fit to the size-distribution of Mars depressions. In addition to the fractal dimension, several other morphometric parameters are calculated to demonstrate the use of the methodology in planetary geology. The work presented here uses digital elevation models provided by the Mars Orbiter Laser Altimeter (MOLA), the resolution of which limits the identification of terrain depressions to those that have diameters greater than around 460 m. The methodology is, however, general and can be applied to smaller scale depressions that are available in detailed digital elevation models obtained from high resolution images such as the High-Resolution Imaging Science Experiment (HiRISE) mounted on the Mars Reconnaissance Orbiter. This opens up a wide range of applications using the simple but powerful methodology described in this paper. © 2020 Elsevier Inc.</t>
  </si>
  <si>
    <t>2-s2.0-85085490702"</t>
  </si>
  <si>
    <t>Journal of Contaminant Hydrology</t>
  </si>
  <si>
    <t>10.1016/j.jconhyd.2020.103730</t>
  </si>
  <si>
    <t>https://www.scopus.com/inward/record.uri?eid=2-s2.0-85092534721&amp;doi=10.1016%2fj.jconhyd.2020.103730&amp;partnerID=40&amp;md5=58a40991fafa4210de53463d184dd59f</t>
  </si>
  <si>
    <t>Groundwater salinization is currently a very serious and challenging issue in many parts of the world. With an increasing demographic pressure and remarkable changes of water and land uses over the last decades, the multilayer coastal aquifer system of Jiangsu province, east China, was affected by increasing salinization. In this study, we investigate the groundwater salinization process and the salinity sources of the aquifer system in Nantong area (southern part of the Jiangsu coastal plain) using a multi-isotope (δ2H, δ18O, 87Sr/86Sr, and δ11B) approach. The results show that the TDS (total dissolved solids) values in most deep groundwater samples are generally lower than those of the shallow groundwater samples. The TDS of both shallow and deep groundwater increase from western Nantong (inland) to the eastern coastal region of the Yellow Sea. The chemical types transform from Ca-Mg-HCO3 or Mg-Ca-HCO3 to Na–Cl. The stable hydrogen and oxygen isotopes signatures of the groundwater samples indicate that local precipitation likely acts as the main recharge source of both the shallow and deep confined groundwater systems. The deep groundwater shows more depleted isotopes, suggesting recharging by the precipitation under a cold climate before the Holocene period. The shallow groundwater features heavier water isotopes, indicating recharging source from recent precipitation under a warm climate. The variations in δ11B and 87Sr/86Sr of groundwater samples can be explained by the changes of solute sources. In the inland region (western Nantong), shallow groundwater with higher TDS is mainly caused by evaporation-induced concentration, whereas in coastal areas, seawater intrusion exerts a major influence on the chemical composition of the shallow groundwater. Our results show that that seawater intrusion mainly occurs in eastern and southeastern Nantong area. We also find that hydraulic connection between shallow and deep groundwater is strengthened by continuous overexploitation, and deep groundwater is mixed with shallow groundwater at some points. The mixing between upper saline water and deep freshwater, together with water-rock interactions, likely explain the observed low salinity in deep groundwater in coastal areas. Overall, with growing observations of salty seawater intrusion in the estuary region of the Yangtze River, future efforts are needed to prevent further seawater intrusion as sea level rises and groundwater table declines. In this context, our findings provide key information for groundwater management in other coastal aquifers, east China. © 2020 Elsevier B.V.</t>
  </si>
  <si>
    <t>2-s2.0-85092534721"</t>
  </si>
  <si>
    <t>10.1002/psp.2334</t>
  </si>
  <si>
    <t>https://www.scopus.com/inward/record.uri?eid=2-s2.0-85084158155&amp;doi=10.1002%2fpsp.2334&amp;partnerID=40&amp;md5=ec35eef523e984aa97877bacd488d4da</t>
  </si>
  <si>
    <t>Like much of Asia, Bangladesh will see an urban transition in the coming decades. Yet, its urbanisation will be unprecedented in terms of climate vulnerabilities. Little is known about urbanisation and migrants, in the context of these vulnerabilities, in part because demographic inquiry and training (with a few notable exceptions) has only begun in the last decade to embrace new, spatial data and methods of analysis—especially those involving earth-observing satellites. This descriptive analysis examines urban change along with low-elevation coastal zone (LECZ) data as a proxy for flood exposure, using data from satellites, and integrates those features with socioeconomic characteristics and migration information from demographic and health survey data (DHS 2000–2014). We describe where urban change has occurred in the past 40 years, with a focus on understanding change occurring in LECZ areas. We then describe vulnerabilities of the households and migrants in areas of urban change from about 2004 onward, both in terms of their potential exposure to flooding and socioeconomic characteristics. We find that moderate-risk, 7-10m LECZ areas are not only more built-up than higher elevation areas, but they have also had appreciably more urban development as measured by built-up change than other areas. Although we found that poor urban households are more likely to be located in flood-prone areas, poor households were also less likely to be in areas that are built-up. The 0-6m LECZ has lower proportions of urban in-migrants, but among those migrants to cities, the flood-prone LECZ is more likely to be the destination of poor migrants. This paper suggests that climate adaptation plans should be spatially specific because poor migrants are more likely to be located in LECZ areas that are more prone to flooding. © 2020 John Wiley &amp; Sons, Ltd.</t>
  </si>
  <si>
    <t>2-s2.0-85084158155"</t>
  </si>
  <si>
    <t>10.1016/j.ijdrr.2020.101595</t>
  </si>
  <si>
    <t>https://www.scopus.com/inward/record.uri?eid=2-s2.0-85082871991&amp;doi=10.1016%2fj.ijdrr.2020.101595&amp;partnerID=40&amp;md5=18552382cd38edb5326bc673f8ed9bb1</t>
  </si>
  <si>
    <t>Bangladesh has been affected by the adverse impact of natural hazards such as cyclones, floods, erosion, salinity intrusion, and so on due to the changes in global climate variability. Among the environmental stressors, tropical cyclones frequently impact the coastal people of Bangladesh. This paper details a study on the vulnerability and adaptation strategies of older people in the face of cyclones in a coastal location in Bangladesh using qualitative strategy of enquiry. Field data have been collected through 32 semi-structured interviews, three focus group discussions, and three oral history in three selected villages (Lebubunia, Gabura and Dumuria) in the study area. In this research, we argue that the aged are more affected compared to an adult in a cyclone. Findings show that due to their fewer assets and dependency on young adult family members, older people experience high vulnerability in cyclone landfall. Moreover, their lesser physical strength and weakening mental capacity make them vulnerable. In the absence of appropriate essential initiatives—lack of social awareness, training, limited access to health facilities—vulnerability borders on the extreme. Often the elderly are deprived of proper sanitation and hygiene facilities, food security, and family care and support. Many also lack access to government income support. To increase older persons' adaptability to cyclone disasters, all levels of society need to pay them special attention. This necessitates government institutions, NGOs and other stakeholders working collectively to reduce the risk to and vulnerability of the aged to cyclones. An older people's agenda framework also needs to be created. © 2020 Elsevier Ltd</t>
  </si>
  <si>
    <t>2-s2.0-85082871991"</t>
  </si>
  <si>
    <t>10.1007/s12517-020-06064-5</t>
  </si>
  <si>
    <t>https://www.scopus.com/inward/record.uri?eid=2-s2.0-85092378390&amp;doi=10.1007%2fs12517-020-06064-5&amp;partnerID=40&amp;md5=baa15b7e4f34e9b0289e3fc8e638cc10</t>
  </si>
  <si>
    <t>Globally, flash floods are the most damaging natural hazards, because of its sudden nature and difficulty in forecasting that restrains emergency responses. Flash floods triggered by thunderstorms are frequent in the high mountainous area of Hindukush Himalaya in the north of Pakistan. The current study employed two widely used approaches for flash flood risk modeling, i.e., morphometric ranking approaches (MRAs) and El-Shamy’s approach to analyzing their effectiveness for flash flood susceptibility modeling in Swat river watershed, district Swat, Pakistan. The digital elevation model was utilized to delineate the watershed and drainage network using the ArcHydro tool of ArcGIS. A total of 15 morphometric parameters have been used for flash flood modeling. The analysis suggests that the Swat river watershed consists of 17 sub-basins. The MRA-based flash flood risk assessment suggests that sub-basins B1 and B2 (12% of total sub-basins) are highly susceptible to flash flooding. While sub-basins B4, B6, B11, B13, and B17 (59% of the total sub-basin) are moderately susceptible to flash flood risk. El-Shamy-based modeling suggests that sub-basins B12, B14, and B16 (18% of total sub-basins) have high flood susceptibility while sub-basin B5 has the lowest. The field observation and 2010 flood reports by WHO and NDMA suggest that the flash flood susceptibility modeling results by the MRA are more accurate as compared with El-Shamy’s approach. The results of the study perceived to help execute appropriate remedial measures to extenuate the potential flash floods in the study area. © 2020, Saudi Society for Geosciences.</t>
  </si>
  <si>
    <t>2-s2.0-85092378390"</t>
  </si>
  <si>
    <t>10.1016/j.ijdrr.2020.101862</t>
  </si>
  <si>
    <t>https://www.scopus.com/inward/record.uri?eid=2-s2.0-85091531061&amp;doi=10.1016%2fj.ijdrr.2020.101862&amp;partnerID=40&amp;md5=78f7b120c2d7c206c701110ad0114558</t>
  </si>
  <si>
    <t>The failure of transmission towers often causes widespread blackouts and results in electrical shock to people and animals via water bodies especially in areas prone to river floods and storm surges. To ensure safety operation of the power networks, the structural health of transmission towers should be maintained and investigated under the potential of flood hazards. We propose a comprehensive risk assessment framework for the transmission towers affected by the pluvial flood, based on the geometry of the tower and the terrain. The geometry is first obtained from 3D point clouds derived from airborne Light Detection And Ranging (LiDAR). The framework consists of a series of new point cloud segmentation and fitting algorithms, designed to accurately estimate the inclination angles of the transmission towers. In addition, the framework includes an existing flood risk index (Topographic Control Index, TCI) and a new risk index for the transmission towers (Transmission Tower Risk Index, TTRI) which reflects the risk for tower damages under the pluvial flooding. The framework is applied to Hengman, situated on the Pearl River estuary, Southern China. Based on our results, high TTRI were shown to be often associated with high flooding risk. This coincides with our hypothesis that the floods weaken foundation settlements and thus trigger tower inclinations. The TTRI and TCI analyses reveal that 8 towers out of ~60 in total are with low-risk (13.8%)</t>
  </si>
  <si>
    <t>10.1007/s12517-020-06006-1</t>
  </si>
  <si>
    <t>https://www.scopus.com/inward/record.uri?eid=2-s2.0-85091308956&amp;doi=10.1007%2fs12517-020-06006-1&amp;partnerID=40&amp;md5=95d183c1e832c9a6acefcd5612920e79</t>
  </si>
  <si>
    <t>Assessment of precise, fast, and up-to-date building and building floor data are essential for urban design, planning, and management and urban environmental studies. These maps are frequently required for tracking building construction speed, monitoring horizontal and vertical urban growth and illegal constructions, updating building records, preparing reasonable urban plans, assessing hazard and risk, and generating infrastructure plans. In this study, a combination of aerial photographs and LiDAR data are used to produce individual building heights and then estimate building the floor. The two recorded laser pulse reflections of LiDAR point cloud data: First pulse (FP) and last pulse (LP) reflections were used to obtain the digital surface model (DSM) and the digital terrain model (DTM), respectively. The normalized digital surface model (nDSM) is calculated to obtain the height values of each building. The accuracy of the proposed algorithm is assessed for each building floor using ground truth data and has shown an overall accuracy of 79% and a kappa equal to 0.74 which is a promising result. © 2020, Saudi Society for Geosciences.</t>
  </si>
  <si>
    <t>2-s2.0-85091308956"</t>
  </si>
  <si>
    <t>10.1029/2020JB020167</t>
  </si>
  <si>
    <t>https://www.scopus.com/inward/record.uri?eid=2-s2.0-85094125397&amp;doi=10.1029%2f2020JB020167&amp;partnerID=40&amp;md5=b991670539464dfec4b51b0a942e0ca5</t>
  </si>
  <si>
    <t>The Antarctic Ice Sheet (AIS) is the largest potential source for future global sea level rise. However, there are widely diverging estimates of its contribution, which emphasizes the need to improve our understanding of the long-term behavior of the AIS and its impact on the solid Earth. This knowledge gap results from a shortage of records of glacial history, especially for the pre-Holocene. Marine transgression and recession in the coastal areas of Antarctica are influenced by the mass of the overlying ice, providing crucial information about regional ice sheet dynamics. In this study, we determined a marine transgression from 53 kyr BP onward by diatom assemblages and a δ13C-C/N biplot for the organic component in a sediment core (MCM2), from the Larsemann Hills in East Antarctica. Relative sea level (RSL) reached a maximum of ~12 m a.p.s.l. (above present sea level) during 38–29 kyr BP. Concurrent with the transgression, the regional crust experienced glacial-isostatic-adjustment (GIA)-induced subsidence from ~75 to ~95 m beneath the present land level, suggesting an expansion trend of the East Antarctic ice sheet (EAIS), which may have outpaced global cooling. After the last deglaciation, the RSL rose to a highstand of ~8–10 m a.p.s.l. at ~8.5–7.1 kyr BP, when the bedrock uplifted to ~20 m below the present level. After 4.0 kyr BP, both regional and global deglaciation ceased, but an effect of ongoing relaxation caused the land to rebound continuously at a uniform rate of ~1.5 m/kyr, which can account for the sustained fall of RSL across Antarctica since mid-Holocene. ©2020. American Geophysical Union. All Rights Reserved.</t>
  </si>
  <si>
    <t>2-s2.0-85094125397"</t>
  </si>
  <si>
    <t>10.2166/wpt.2020.057</t>
  </si>
  <si>
    <t>https://www.scopus.com/inward/record.uri?eid=2-s2.0-85091998395&amp;doi=10.2166%2fwpt.2020.057&amp;partnerID=40&amp;md5=09e6d9d0286f243d0ec737064b2e972e</t>
  </si>
  <si>
    <t>Salt water from the Tagus Estuary has been identified in the influent at Barreiro/Moita Wastewater Treatment Plant (WWTP), Portugal. The saltwater intrusion occurs during high tide levels in the estuary throughout damaged sections and direct vectors in the sewer network, changing the wastewater characteristics impacting the WWTP processes. This work has designed a methodology to assess from which tide level in the Tagus Estuary saltwater intrusion occurs in the sewer network by measuring WWTP influent’s electric conductivity (EC). The methodology identifies saltwater intrusion for tide levels higher than 3.10 m, increasing significantly for tide levels higher than 4.00 m. During this study, 86% of the days registered at least one high tide level higher than 3.10 m, and 8% higher than 4.00 m, demonstrating a considerable occurrence of saltwater intrusion in the system with a ten-dency to increase due to the mean sea level rise registered in the Tagus Estuary. To prevent it, it is necessary to map infrastructures and assess the most critical points. © IWA Publishing 2020.</t>
  </si>
  <si>
    <t>2-s2.0-85091998395"</t>
  </si>
  <si>
    <t>10.1029/2020JC016291</t>
  </si>
  <si>
    <t>https://www.scopus.com/inward/record.uri?eid=2-s2.0-85096682397&amp;doi=10.1029%2f2020JC016291&amp;partnerID=40&amp;md5=6067c853faac02a71bd63312d08511dd</t>
  </si>
  <si>
    <t>Astronomical variations in tidal magnitude can strongly modulate the severity of coastal flooding on daily, monthly, and interannual timescales. Here we present a new quasi-nonstationary skew surge joint probability method (qn-SSJPM) that estimates interannual fluctuations in flood hazard caused by the 18.6- and quasi 4.4-year modulations of tides. We demonstrate that qn-SSJPM-derived storm tide frequency estimates are more precise and stable compared with the standard practice of fitting an extreme value distribution to measured storm tides, which is often biased by the largest few events within the observational period. Applying the qn-SSJPM in the Gulf of Maine, we find significant tidal forcing of winter storm season flood hazard by the 18.6-year nodal cycle, whereas 4.4-year modulations and a secular trend in tides are small compared to interannual variation and long-term trends in sea-level. The nodal cycle forces decadal oscillations in the 1% annual chance storm tide at an average rate of ±13.5 mm/year in Eastport, ME</t>
  </si>
  <si>
    <t>10.1016/j.jsames.2020.102655</t>
  </si>
  <si>
    <t>https://www.scopus.com/inward/record.uri?eid=2-s2.0-85079731883&amp;doi=10.1016%2fj.jsames.2020.102655&amp;partnerID=40&amp;md5=e7b3a3fe31ae48f454bcaa6b05203d5d</t>
  </si>
  <si>
    <t>Explosive volcanic eruptions generate a range of physical processes with great hazard potential. Subsequent fluvial processes have major effects on channel and valley-floor geometry, potentially resulting in extreme sediment and large wood (LW) yields. The associated impacts can be severe, both immediately and in the longer term as river channels are permanently reworking the large volumes of their own sediment. The city of Chaitén (Lake District, Chile) is a unique case, since sediment- and wood-laden flows in the Blanco River may still pose, even 11 years after the paroxysmal eruption of the Chaitén volcano, large urban sectors at risk. Thoroughly assessing the flood hazard and the generated impact for such urban settings is, hence, of utmost importance. To achieve this goal, we designed a workflow integrating the following tasks: (i) hydrologic modelling at catchment scale employing the HEC-HMS model to obtain flood hydrographs for a 30 and 100 years flood, respectively, (ii) estimation of the sediment fluxes to establish reliable boundary conditions for (iii) the subsequent extensive 2D flood modelling with the model Iber in the unconfined floodplain and delta of the Blanco River including also the effects of possible clogging of the “Austral Road” bridge with transported LW, (iv) quantification of a series of building performance indicators for a set of 13 residential buildings as a basis for subsequent vulnerability and risk assessment. We found that, even without a new volcanic eruption as a potent hazard trigger, vast urban sectors are still exposed to flooding, in particular if LW gets entrapped at the “Austral Road” bridge and channel outbursts occur as a consequence of the reduced conveyance and backwater rise. Our results indicate a great spatial variability of flood impacts, being worst in the urban areas either located closely to the channel outburst locations or where overland flow locally channelizes on concave floodplain topographies. Based on our findings we outline provisional recommendations for risk mitigation and informed land use planning. © 2020 Elsevier Ltd</t>
  </si>
  <si>
    <t>2-s2.0-85079731883"</t>
  </si>
  <si>
    <t>10.1002/esp.4992</t>
  </si>
  <si>
    <t>https://www.scopus.com/inward/record.uri?eid=2-s2.0-85090981186&amp;doi=10.1002%2fesp.4992&amp;partnerID=40&amp;md5=43eaa47747dae35bf5ee996bee03c07a</t>
  </si>
  <si>
    <t>Salt marshes are transitional zones between ocean and land, which act as natural buffers against coastal hazards. The survival of salt marshes is governed by the rate of organic and inorganic deposition, which strongly depends on vegetation characteristics, such as height and density. Vegetation also favours the dissipation of wind waves and storm surges. For these reasons, an accurate description of both ground elevation and vegetation characteristics in salt marshes is critical for their management and conservation. For this purpose, airborne LiDAR (light detection and ranging) laser scanning has become an accessible and cost-effective tool to map salt marshes quickly. However, the limited horizontal resolution (~1 m) of airborne-derived point clouds prevents the direct extraction of ground elevation, vegetation height and vegetation density without the coupling with imagery datasets. Instead, due to the lower flight altitude, UAV (unmanned aerial vehicle)-borne laser scanners provide point clouds with much higher resolution (~5 cm). Although methods for estimating ground level and vegetation characteristics from UAV LiDAR have been proposed for flat ground, we demonstrate that a sloping ground increases prediction errors. Here we derive a new formulation that improves the estimation by employing a correction based on a LiDAR-derived estimate of local ground slope. Our method directly converts the 3D distribution of UAV LiDAR-derived points into vegetation density and height, as well as ground elevation, without the support of additional datasets. The proposed formulation is calibrated by using measured density and height of Spartina alterniflora in a marsh in Sapelo Island, Georgia, USA, and successfully tested on an independent dataset. Our method produces high-resolution (40 × 40 cm2) maps of ground elevation and vegetation characteristics, thus capturing the large gradients in the proximity of tidal creeks. © 2020 John Wiley &amp; Sons, Ltd. © 2020 John Wiley &amp; Sons, Ltd.</t>
  </si>
  <si>
    <t>2-s2.0-85090981186"</t>
  </si>
  <si>
    <t>10.1007/s10712-020-09612-6</t>
  </si>
  <si>
    <t>https://www.scopus.com/inward/record.uri?eid=2-s2.0-85091730955&amp;doi=10.1007%2fs10712-020-09612-6&amp;partnerID=40&amp;md5=554c11306fcda6fcae0ae9f019a8b25d</t>
  </si>
  <si>
    <t>This article aims to provide a tour of satellite missions for Coastal Hazards Monitoring, of relevant applications, as well as the downstream International Services such as the Copernicus Ocean and Land Monitoring Services. Earth observation (EO) satellite remote sensing provides global, repetitive and long-term observations with increasing resolution with every new generation of sensors. They permit the monitoring of small-scale signals like the ones impacting the coastal zone. EO missions are showcased in this article. Transforming the data products based on the satellite mission ground segment (usually called geophysical products, geophysical data records or so-called Level 2 products) into information useable by managers and decision-makers is done by downstream international services. This is an essential step to increase the uptake of satellite data for the benefit of society. Here, the type of services provided by, e.g., the European Copernicus Programme, is described along with examples of applications, such as monitoring storm surges. © 2020, Springer Nature B.V.</t>
  </si>
  <si>
    <t>2-s2.0-85091730955"</t>
  </si>
  <si>
    <t>10.1016/j.envsoft.2020.104850</t>
  </si>
  <si>
    <t>https://www.scopus.com/inward/record.uri?eid=2-s2.0-85090117363&amp;doi=10.1016%2fj.envsoft.2020.104850&amp;partnerID=40&amp;md5=6002408f4f5f2ce43ab5d2bfad63a241</t>
  </si>
  <si>
    <t>The Canadian prairies are dominated by numerous depressions, which can modify the lateral transfer of water to prairie streams. Few studies were conducted to simulate the pothole dynamics using their actual spatial distributions. This study proposes a computationally efficient Prairie Region Inundation MApping (PRIMA) model as a hydrologic routing model, for a more accurate and comprehensive storage dynamics simulation and inundation mapping in the prairies. PRIMA shows potential for simulating the potholes’ extents when comparing its results with remote sensing data of pothole areas with an accuracy of 85% averaged over two prairie basins in Saskatchewan, Canada. PRIMA is three ~ eight times as computationally efficient as the recently developed Wetland DEM Ponding Model (WDPM). Due to its computational efficiency and ability to provide a good simulation of inundation extents, PRIMA shows strengths as a possible tool for pothole inundation mapping and storage dynamics simulations. © 2020 Elsevier Ltd</t>
  </si>
  <si>
    <t>2-s2.0-85090117363"</t>
  </si>
  <si>
    <t>10.1007/s11069-020-04129-y</t>
  </si>
  <si>
    <t>https://www.scopus.com/inward/record.uri?eid=2-s2.0-85088813062&amp;doi=10.1007%2fs11069-020-04129-y&amp;partnerID=40&amp;md5=897035d1b5240518f4bbbe91b6a97253</t>
  </si>
  <si>
    <t>In the present study, detailed morphometric, morphotectonic, statistical and hazard analyses have been carried out in the Upper Alaknanda river basin (UAB) located in Central Himalayas, Garhwal, India. The study area is bounded by the South Tibetan Detachment System in the north and by the Main Central Thrust in the south. The major river flowing in the area is Alaknanda which is a major tributary of river Ganga. The purpose of this study is to examine the influence of active tectonics, flood hazard, and soil erosion on the basis of morphotectonic and morphometric parameters using the Cartosat-1 Digital Elevation Model and ArcGIS software. The study area is divided into 10 sub-basins, where 50 morphometric and 6 morphotectonic parameters were calculated. Bifurcation ratio and stream frequency show that streams up to third order is having steep gradient and rolling through highly dichotomized terrain, due to which high overland flow and less groundwater recharge takes places, whereas drainage density clearly indicates the high flood possibility in the region. Morphotectonic parameters indicate relatively young to an early mature geological stage of sub-basins and tectonically active region. The statistical analysis of morphometric parameters is carried out by using correlation analysis, hierarchal cluster analysis, and principal component analysis. Based on their susceptibility to soil erosion, morphometry and landcover classification is carried out to prioritize the sub-basins of UAB. The combined morphometric, morphotectonic and statistical analysis indicates that the area is tectonically active and highly prone to flood, flood induced landslide and soil erosion. The case study of the 2013 flash flood event at three locations Benakuli, JP HEP and Pulna also confirms that the study area is hydro-geologically active to flood and flood induced hazards. The results obtained in this study are directly related to watershed management and hence soil erosion, tectonic activities and flash flood possibilities should be taken into consideration during future development in the area. © 2020, Springer Nature B.V.</t>
  </si>
  <si>
    <t>2-s2.0-85088813062"</t>
  </si>
  <si>
    <t>10.1016/j.scitotenv.2020.140144</t>
  </si>
  <si>
    <t>https://www.scopus.com/inward/record.uri?eid=2-s2.0-85086440507&amp;doi=10.1016%2fj.scitotenv.2020.140144&amp;partnerID=40&amp;md5=2ffb95c80922459ad8640958e7f75897</t>
  </si>
  <si>
    <t>Soil microorganisms play a key role in regulating the biogeochemical cycles of ecosystems. However, studies that quantitatively examine bacterial metabolic groups to predict the environmental and biological impacts are limited. In this research, we employed 16S rRNA gene sequencing on an Illumina MiSeq platform to analyze bacterial diversity, structure, function, and driving factors of Suaeda salsa in rhizosphere and non-rhizosphere soils in intertidal and supratidal habitats in the Yellow River Delta, China. Results showed that bacterial richness and Shannon diversity index of the rhizosphere soil were greater in the intertidal than in the supratidal habitat. Although the bacteria of the two habitats changed extremely in community structure, the bacterial groups related to carbohydrate metabolism (CM) and amino acid metabolism (AAM) had higher abundance than the other groups in both habitats. Furthermore, they were higher in the supratidal than the intertidal habitats, and bacterial groups associated with energy metabolism (EM) are opposite. Furthermore, bacterial diversity showed no significant difference between the rhizosphere and non-rhizosphere soils. In the intertidal habitat, the rhizosphere soil had higher EM but lower AAM and CM than the non-rhizosphere soil, which indicated that bacterial structure and function were obviously influenced by the root exudates of S. salsa under flooding and salt stresses. Redundancy analysis showed that the dominant phyla were significantly affected by available phosphorus (51.0%), total potassium (32.2%), moisture content (28.1%), available potassium (25.3%), electrical conductivity (24.2%), total nitrogen (22.8%), total carbon (21.9%), and soil organic matter (21.0%). Overall, the findings provide important insights into the roles of bacterial groups in coastal wetland under climate changes. © 2020 Elsevier B.V.</t>
  </si>
  <si>
    <t>2-s2.0-85086440507"</t>
  </si>
  <si>
    <t>10.1029/2019JC015822</t>
  </si>
  <si>
    <t>https://www.scopus.com/inward/record.uri?eid=2-s2.0-85091333161&amp;doi=10.1029%2f2019JC015822&amp;partnerID=40&amp;md5=c758adfeda5ebba6a5d75bc9f41a7be8</t>
  </si>
  <si>
    <t>Numerical simulations of three of the most severe historical tropical cyclones to affect the Delaware River Basin (DRB) are used to evaluate a new numerical approach that is a candidate model for the inland-coastal compound flood forecast. This study includes simulating interactions of tides/surges, freshwater streamflows, winds, and atmospheric pressure for the DRB. One-way coupling between the hydrologic (National Water Model [NWM]) and the ocean/wave (ADvanced CIRCulation model/WAVEWATCH III [ADCIRC/WW3]) models for the Delaware river-estuarine system is developed. The links between the coastal processes and the NWM are provided by two different hydraulic and hydrodynamic models: (i) a well-calibrated public-domain 1D hydraulic solver model (Hydrologic Engineering Center's River Analysis System [HEC-RAS]) and (ii) 1D/2D open-sourced hydrodynamic model (D-Flow Flexible Mesh [D-Flow FM]). First, the modeling system is tested to confirm model verification and stability when the system is forced with only tidal forcing. Then, the relative performance of each modeling approach (NWM/D-Flow FM/ADCIRC/WW3 and NWM/HEC-RAS/ADCIRC/WW3) is evaluated using observational data from Hurricanes Isabel (2003), Irene (2011), and Sandy (2012). Furthermore, the sensitivity of water level prediction to the streamflows, different wind products, and bed roughness are examined. Results show that the D-Flow FM is generally accurate for water levels: the water levels near the peak of the storms have a skill ranging from 0.79 to 0.91 with a negligible phase error. Simulations show that water level predictions depend on an accurate representation of the wind conditions and bottom roughness. The work shows that hydrodynamic predictions, especially upstream, are highly dependent on the streamflow discharges. ©2020. The Authors.</t>
  </si>
  <si>
    <t>2-s2.0-85091333161"</t>
  </si>
  <si>
    <t>10.1016/j.ijdrr.2020.101712</t>
  </si>
  <si>
    <t>https://www.scopus.com/inward/record.uri?eid=2-s2.0-85087118262&amp;doi=10.1016%2fj.ijdrr.2020.101712&amp;partnerID=40&amp;md5=9c3f26f52106d7f5fdc16aeaadc7ed48</t>
  </si>
  <si>
    <t>Like other Caribbean countries, Cuba has adopted policies to relocate populations and prohibit (re)building in coastal zones at risk of climate change effects. Yet residents do not uniformly see such measures as welfare promoting and risk reducing, and may resist relocation, even in places where disaster planning is respected and effective. In such instances, vernacular narratives reveal local understandings of threats, vulnerabilities, and the measures taken by the state. Drawing on the case of Carahatas, a coastal community in Cuba, this study contrasts local residents' understanding of risks with those apparent in public policy. Results from this extensive case study (2016–2020) reveal how citizens resist relocation and struggle for continuity in a context of marginalization. Most residents are less afraid of sea level rise than relocation and prefer to maintain their livelihoods and traditions. Local voices reflect a focus on the risks of daily life. Public policies—based on the adaptation-resilience framework—prioritize instead a longer-term approach, emphasizing safety and best use of state resources over maintenance of existing livelihoods, settlements, and social networks. Understanding vernacular explanations of risk and disasters is crucial to develop risk reduction policy that respond to people's needs and expectations. © 2020 The Authors</t>
  </si>
  <si>
    <t>2-s2.0-85087118262"</t>
  </si>
  <si>
    <t>10.1007/s11069-020-04226-y</t>
  </si>
  <si>
    <t>https://www.scopus.com/inward/record.uri?eid=2-s2.0-85089459793&amp;doi=10.1007%2fs11069-020-04226-y&amp;partnerID=40&amp;md5=7a2062f064204a4e37a3283629370f96</t>
  </si>
  <si>
    <t>In this study, we present a novel methodology that may be used to analyze tsunami risk along coastal regions. The application of the proposed methodology is demonstrated for the Eastern Mediterranean coast. Economic, social and environmental dimensions of risk are calculated and aggregated to obtain the overall risk maps for a number of elements at risk (EaR) that are identified from seven countries located along the Eastern Mediterranean coastline. Historical earthquakes that are recorded in the region during the period 1900–2013 are used as data, and probabilistic tsunami modeling is carried out using Monte Carlo analysis. Based on historical data, randomly generated earthquakes are simulated, and wave propagation analysis is performed using NAMI-DANCE software. Inundation depth–damage analysis and exceedance probabilities of tsunami inundations are used to evaluate social and economic risks while the environmental risk is calculated using a binary approach. The overall risk map is constructed in the geographic information system environment. Cairo Agricultural Area in Egypt and Fethiye City in Turkey are identified as high-risk EaR in the Eastern Mediterranean coastline. The new risk assessment methodology may be utilized in coastal regions of the world, and the results obtained for the Eastern Mediterranean may be effectively used in developing preventive measures and disaster management strategies for tsunamis that may develop the region. © 2020, Springer Nature B.V.</t>
  </si>
  <si>
    <t>2-s2.0-85089459793"</t>
  </si>
  <si>
    <t>10.1002/hyp.13858</t>
  </si>
  <si>
    <t>https://www.scopus.com/inward/record.uri?eid=2-s2.0-85089258825&amp;doi=10.1002%2fhyp.13858&amp;partnerID=40&amp;md5=8eab3ddb4d99f509c4735d8eef3751bf</t>
  </si>
  <si>
    <t>The macrotidal Colorado River Delta at the northern end of the Gulf of California in Mexico is hydrologically complex. We review historical accounts, data, field notes and photographs to evaluate the hydrological processes active on the delta prior to the advent of upstream dams. We also employ satellite imagery as well as recent LIDAR data to illustrate the critical role played by headcut erosion in restoring the river's fluvial/tidewater connection during the 1979–1988 floods. Prior to human manipulation, the river's contribution of fresh water to the Gulf was periodically interrupted by natural overflowing, avulsing, and flooding into the sub-sea level Salton Sink on the north slope of the delta plain. River flow south towards the Gulf was also subject to occasional overflow into Laguna Salada, another sub-sea level basin. In the mid-20th century, the Delta was disconnected from its fluvial supply following installation of upstream dams and reservoirs. A tidal sediment obstruction developed in the estuary channel, forming a final barrier to fluvial connectivity. Release of Colorado River floodwaters into Mexico between 1979 and 1988 provided a natural experiment on the hydrological response of a long-disconnected macrotidal delta to restoration of fluvial supply. © 2020 John Wiley &amp; Sons Ltd</t>
  </si>
  <si>
    <t>2-s2.0-85089258825"</t>
  </si>
  <si>
    <t>Current Pollution Reports</t>
  </si>
  <si>
    <t>10.1007/s40726-020-00154-4</t>
  </si>
  <si>
    <t>https://www.scopus.com/inward/record.uri?eid=2-s2.0-85088665215&amp;doi=10.1007%2fs40726-020-00154-4&amp;partnerID=40&amp;md5=e9e13f1683e30cc8d06e99844a1b8263</t>
  </si>
  <si>
    <t>The Ganga-Brahmaputra delta is among the largest river systems in terms of sediment discharge and the amount of arsenic present in the groundwater. Any slim possibility of arsenic intrusion in the coastal estuaries on account of active submarine groundwater discharge (SGD) can prove fatal to the biotic population at large. In the present study, a working hypothesis for the probable intrusion of arsenic through SGD has been postulated by re-analyzing the data of river discharge, sediment load, and arsenic concentration in the Bengal delta. Our study puts forward a strong argument for the coastal vulnerabilities of Bay of Bengal as the arsenic flux has reached at 1275 × 103 kg/year and 865.8 × 103 kg/year in the suspended and the dissolved form respectively. The enriched arsenic adsorbed on the surface of the Cenozoic sediments (dissolved and suspended) is contributing to the majority of arsenic flux to the Bay of Bengal. Furthermore, the flux resulting due to SGD contributes roughly 1% of the total flux, which if unregulated can prove catastrophic to the primary autotrophs. More so, the existence of flood-like conditions, as well as the region susceptibility to the fast-changing climatic trends, significantly increases the risk for the region in the near future. Therefore, ignoring the contributions of SGD in aiding the arsenic carcinogenicity in the coastal region of Bengal cannot continue for long and the time has come when a strong framework for SGD monitoring should be put in place, especially for regions falling under the purview of arsenic hazard zones. © 2020, Springer Nature Switzerland AG.</t>
  </si>
  <si>
    <t>2-s2.0-85088665215"</t>
  </si>
  <si>
    <t>10.1007/s12594-020-1541-x</t>
  </si>
  <si>
    <t>https://www.scopus.com/inward/record.uri?eid=2-s2.0-85090943494&amp;doi=10.1007%2fs12594-020-1541-x&amp;partnerID=40&amp;md5=4eac0b06e4341decd8379fdf08cdda94</t>
  </si>
  <si>
    <t>This study investigates the geomorphic expression of tectonic control in Koyna-Warna shallow seismic region, lying on Deccan Flood Basalt in India, by examining longitudinal profiles and morphometric parameters by using Digital Elevation Model (DEM) and constrained field examinations. A total of 60 sub-catchments have been analyzed to comprehend the relative tectonic control in the study area. Sub-catchments within the study area depict channel disequilibrium through stream length-gradient index (SL) and normalized steepness index (ksn) which are ascribed to numerous transient knickpoints along the drainage profiles. The integrated analysis based on six different morphometric parameters (i.e. basin asymmetry, hypsometric integral, stream-length gradient index, valley width-to-height ratio, elongation ratio, and average normalized steepness index) demonstrates two explicit examples of high tectonics in Koyna-Warna region, are (a) between the Koyna Rift Fault Zone (KRFZ) and Patan Fault (PF)</t>
  </si>
  <si>
    <t>10.3390/land9100369</t>
  </si>
  <si>
    <t>https://www.scopus.com/inward/record.uri?eid=2-s2.0-85093698766&amp;doi=10.3390%2fland9100369&amp;partnerID=40&amp;md5=dab4f44643b310883c5ae0ebf06cc0a7</t>
  </si>
  <si>
    <t>Many actors in agricultural research, development, and policy arenas require accurate information on the spatial extents of cropping and farming practices. While remote sensing provides ways for obtaining such information, it is often difficult to distinguish between different types of agricultural practices or identify particular farming systems. Stochastic system behavior or similarity in the spectral signatures of different system components can lead to misclassification. We addressed this challenge by using a probabilistic reasoning engine informed by expert knowledge and remote sensing data to map flood-based farming systems (FBFS) across Kisumu County in Kenya and the Tigray region in Ethiopia. Flood-based farming is an important form of agricultural production employed in regions with seasonal water surplus, which can be harvested and used to irrigate crops. Geographic settings for FBFS vary widely in terms of hydrology, vegetation, and local practices of agronomic flooding. Agronomic success is often difficult to anticipate, because the timing and amount of flooding usually cannot be precisely predicted. We generated a Bayesian network model to describe the FBFS settings of the study regions. We acquired three years (2014–2016) of Moderate Resolution Imaging Spectroradiometer (MODIS) Terra spectral data as eight-day composite time series and elevation data from the Shuttle Radar Topography Mission (SRTM) to compute 10 spatial data metrics corresponding to 10 of the 17 Bayesian network nodes. We used the spatial data metrics in a fully probabilistic framework to generate the 10 spatial data nodes. We then used these as inputs for the probabilistic model to generate prior and posterior spatial estimates for specific metrics along with their spatially explicit uncertainties. We show how such an approach can be used to predict plausible areas for FBFS based on several scenarios. We demonstrate how spatially explicit information can be derived from remote sensing data as fuzzy quantifiers for incorporating uncertainties when mapping complex systems. The approach achieved a remarkably accurate result in both study areas, where 84–90% of various FBFS fields sampled were correctly mapped as having a high chance of being suitable for the practice. © 2020 by the authors. Licensee MDPI, Basel, Switzerland.</t>
  </si>
  <si>
    <t>2-s2.0-85093698766"</t>
  </si>
  <si>
    <t>10.3390/RS12193141</t>
  </si>
  <si>
    <t>https://www.scopus.com/inward/record.uri?eid=2-s2.0-85092474708&amp;doi=10.3390%2fRS12193141&amp;partnerID=40&amp;md5=7508b508e7a570d014fdc6d5f11cf0df</t>
  </si>
  <si>
    <t>The increasing frequency of flooding worldwide has driven research to improve near real-time flood mapping from remote-sensing data. Improved automation and processing speed to map both open water and vegetated area flooding have resulted from these research efforts. Despite these achievements, flood mapping in urban areas where a significant number of overall impacts are felt remains a challenge. Near real-time data availability, shadowing caused by manmade infrastructure, spatial resolution, and cloud cover inhibiting optical transmission, are all factors that complicate detailed urban flood mapping needed to inform response efforts. This paper uses numerous data sources collected during two major flood events that impacted the same region of Eastern Canada in 2017 and 2019 to test different urban flood mapping approaches presented as case studies in three separate urban boroughs. Cloud-free high-resolution 3 m PlanetLab optical data acquired near peak-flood in 2019 were used to generate a maximum flood extent product for that year. Approaches using new Lidar Digital Elevation Models (DEM)s and water height estimated from nineteen RADARSAT-2 flood maps, point-based flood perimeter observations from citizen geographic information, and simulated traffic camera or other urban sensor network data were tested and verified using independent data. Coherent change detection (CCD) using multi-temporal Interferometric Wide (IW) Sentinel-1 data was also tested. Results indicate that while clear-sky high-resolution optical imagery represents the current gold standard, its availability is not guaranteed due to timely coverage and cloud cover. Water height estimated from 8 to 12.5 m resolution RADARSAT-2 flood perimeters were not sufficiently accurate to flood adjacent urban areas using a Lidar DEM in near real-time, but all nineteen scenes combined captured boroughs that flooded at least once in both flood years. CCD identified flooded boroughs and roughly captured their flood extents, but lacked timeliness and sufficient detail to inform street-level decision-making in near real-time. Point-based flood perimeter observation, whether from in-situ sensors or high-resolution optical satellites combined with Lidar DEMs, can generate accurate full flood extents under certain conditions. Observed point-based flood perimeters on manmade features with low topographic variation produced the most accurate flood extents due to reliable water height estimation from these points. © 2020 by the authors.</t>
  </si>
  <si>
    <t>2-s2.0-85092474708"</t>
  </si>
  <si>
    <t>10.1016/j.ocemod.2020.101694</t>
  </si>
  <si>
    <t>https://www.scopus.com/inward/record.uri?eid=2-s2.0-85090322050&amp;doi=10.1016%2fj.ocemod.2020.101694&amp;partnerID=40&amp;md5=6f24d3532c5e8192e4861a5c14d4fe89</t>
  </si>
  <si>
    <t>We investigate the impact of wave-dependent stress on surge modelling, from case studies in the North Sea, using a global ocean model forced with a wave-atmosphere coupled model. We select the storms with the largest surges and a range of sea state development from young to mature seas. The modelled surges are compared to tide gauges and altimeter data. The ocean model is able to accurately predict storm surges in coastal areas. The consistency of the model outputs, the altimeter, and the tide gauge data confirms the accuracy of altimeters for storm surge measurements. We show that using a wave-dependent rather than a wind-dependent only stress formulation gives more accurate surge simulations when the sea state is young and the sea rougher. Taking into account the waves in the stress formulation has a significant impact on the surges (up to 20 cm). © 2020 Elsevier Ltd</t>
  </si>
  <si>
    <t>2-s2.0-85090322050"</t>
  </si>
  <si>
    <t>10.1016/j.scitotenv.2020.139899</t>
  </si>
  <si>
    <t>https://www.scopus.com/inward/record.uri?eid=2-s2.0-85086382124&amp;doi=10.1016%2fj.scitotenv.2020.139899&amp;partnerID=40&amp;md5=bdba08171732f0f8542fcddee4446cce</t>
  </si>
  <si>
    <t>Preparing cities for sea-level rise is one of the critical challenges of the twenty-first century. Extreme weather events, natural hazards, and the failure of climate mitigation and adaptation are substantial risks. These risks are especially significant in fast-urbanizing deltas, such as the Pearl River Delta in China, because the conflict between urbanization and flooding caused by climate change will be more significant in the future. This paper elaborates on an approach that employs a future land-use simulation (FLUS) model for scenario-based 100-year coastal flood risk assessment. Storylines of future scenarios from the Intergovernmental Panel on Climate Change (IPCC), called the representative concentration pathways (RCPs) 2.6 and 8.5, are utilized in the present study. The Guangzhou Metropolitan Area (GMA) is used as a case study to explore the probable implications of future land-use changes due to the ongoing urbanization process in the region in relation to projected environmental changes (sea-level rise, storm surge, and land subsidence). The results indicate that there will be a significant increase in flooded urban areas in the future. The simulations show that, as compared to 2015, the built-up area in the GMA will increase by 246.57 km2 in 2030 and 513.03 km2 in 2050. As compared to 2015, the flooding of built-up areas in 2030 and 2050 will respectively increase by about 31.32 km2 and 48.49 km2 under the RCP 8.5 scenario. It is also found that, as the main driving factor, urbanization will increase the flooding of built-up areas in Guangzhou in 2030 and 2050 by about 1.9 km2 and 5.9 km2, respectively, under the RCP 2.6 scenario as compared to 2015. Additionally, due to environmental changes, the flooding of built-up areas in Guangzhou will increase by about 24.2 km2 and 26.8 km2, respectively, under the RCP 8.5 scenario by 2030 and 2050 as compared to 2015. This increasing flood risk information determined by the simulation provides insight into the spatial distribution of future flood-prone urban areas to facilitate the development and prioritization of flood mitigation measures at the most critical locations in the region. © 2020</t>
  </si>
  <si>
    <t>2-s2.0-85086382124"</t>
  </si>
  <si>
    <t>10.3390/rs12172827</t>
  </si>
  <si>
    <t>https://www.scopus.com/inward/record.uri?eid=2-s2.0-85095117653&amp;doi=10.3390%2frs12172827&amp;partnerID=40&amp;md5=c34d4bc4a2f3e3278dc07fa351af5e0b</t>
  </si>
  <si>
    <t>No accurate global lowland digital terrain model (DTM) exists to date that allows reliable quantification of coastal lowland flood risk, currently and with sea-level rise. We created the first global coastal lowland DTM that is derived from satellite LiDAR data. The global LiDAR lowland DTM (GLL_DTM_v1) at 0.05-degree resolution (~5 × 5 km) is created from ICESat-2 data collected between 14 October 2018 and 13 May 2020. It is accurate within 0.5 m for 83.4% of land area below 10 m above mean sea level (+MSL), with a root-mean-square error (RMSE) value of 0.54 m, compared to three local area DTMs for three major lowland areas: the Everglades, the Netherlands, and the Mekong Delta. This accuracy is far higher than that of four existing global digital elevation models (GDEMs), which are derived from satellite radar data, namely, SRTM90, MERIT, CoastalDEM, and TanDEM-X, that we find to be accurate within 0.5 m for 21.1%, 12.9%, 18.3%, and 37.9% of land below 10 m +MSL, respectively, with corresponding RMSE values of 2.49 m, 1.88 m, 1.54 m, and 1.59 m. Globally, we find 3.23, 2.12, and 1.05 million km2 of land below 10, 5, and 2 m +MSL. The 0.93 million km2 of land below 2 m +MSL identified between 60N and 56S is three times the area indicated by SRTM90 that is currently the GDEM most used in flood risk assessments, confirming that studies to date are likely to have underestimated areas at risk of flooding. Moreover, the new dataset reveals extensive forested land areas below 2 m +MSL in Papua and the Amazon Delta that are largely undetected by existing GDEMs. We conclude that the recent availability of satellite LiDAR data presents a major and much-needed step forward for studies and policies requiring accurate elevation models. GLL_DTM_v1 is available in the public domain, and the resolution will be increased in later versions as more satellite LiDAR data become available. © 2020 by the authors. Licensee MDPI, Basel, Switzerland.</t>
  </si>
  <si>
    <t>2-s2.0-85095117653"</t>
  </si>
  <si>
    <t>10.1007/s11852-020-00755-7</t>
  </si>
  <si>
    <t>https://www.scopus.com/inward/record.uri?eid=2-s2.0-85085992032&amp;doi=10.1007%2fs11852-020-00755-7&amp;partnerID=40&amp;md5=0a1c34db33d8ab3e4277b409e624720f</t>
  </si>
  <si>
    <t>The West African coast is vulnerable to natural hazards and human interventions. Although various measures have been taken at different scales, mostly at the local level, there is a need to improve management at the regional level. We examine these actions and possible solutions from different perspectives and provide conclusions and recommendations on the integration of solutions to improve coastal management. From North West Mauritania to across the Gulf of Guinea a system of coastal zoning that can be managed holistically is encouraged. The development of holistic planning is seen as a sustainable approach to management that seeks to link users/processes together rather than focus on a single particular issue and solution. Strengthening, monitoring, promoting the observation network and generalising open data centralisation and exchange for a better understanding of coastal dynamics and pressures is encouraged. There is a need for capacity building, expertise and federative actions. Furthermore, the need to identify and involve not only stakeholders, but also communities and scientists with multilevel inputs. All must agree on coordinated plans to achieve stakeholder objectives, using an approach adapted to the multi-spatial scale (e.g at the scale of sediment cells, integrating from the sources of sediment in river basins to their redistribution along the coast, perturbed by climate changes and anthropic stresses), so that only regional solutions are appropriate and will be effective. These must follow sustainable strategies with a multi-temporal sequenced solution and anticipate changes, or adaptive solutions using solutions in synergy with different time frames as well as managing natural and human systems responsibly. A plan that considers changes in coastal systems and anticipates impacts and adapts plans accordingly will be key. © 2020, Springer Nature B.V.</t>
  </si>
  <si>
    <t>2-s2.0-85085992032"</t>
  </si>
  <si>
    <t>10.1080/17565529.2019.1664974</t>
  </si>
  <si>
    <t>https://www.scopus.com/inward/record.uri?eid=2-s2.0-85091617305&amp;doi=10.1080%2f17565529.2019.1664974&amp;partnerID=40&amp;md5=759461784db8951ce00fb61b38f6700a</t>
  </si>
  <si>
    <t>The everyday adaptation practices in the Vietnamese Mekong Delta are characterized by the well-defined nuance of human–nature interactions under the compounding impacts of climate change, localized dyke development policies, and upstream hydropower dynamics. This gives rise to a so-called ‘learn-to-adapt’ approach that has been widely practised by the rural societies. This viewpoint argues that learning constitutes a key form of adaptation that enables rural farmers to bring together pools of adaptive knowledge in resolving shared problems. It particularly illustrates the significance of communicative and reflective learning practices that enable farmers to communicate and exchange experimental and experiential knowledge. These everyday practices enable farmers to make informed decisions in mobilizing necessary resources and capacity to accommodate changing conditions and secure their livelihoods at stake. The viewpoint particularly highlights how the everyday adaptation practices allow farmers to develop a variety of innovative production models which contribute to not only enhancing farmers’ adaptive capacity but also advancing rural development policies. © 2019 Informa UK Limited, trading as Taylor &amp; Francis Group.</t>
  </si>
  <si>
    <t>2-s2.0-85091617305"</t>
  </si>
  <si>
    <t>10.3390/geosciences10060209</t>
  </si>
  <si>
    <t>https://www.scopus.com/inward/record.uri?eid=2-s2.0-85086096867&amp;doi=10.3390%2fgeosciences10060209&amp;partnerID=40&amp;md5=90ef99b6a89d403a4ffda216beb7c367</t>
  </si>
  <si>
    <t>One-dimensional (1D) numerical models generally provide reliable results when applied to simulate river hydraulics and morphodynamics upstream of the tidal influence, given the predominantly unidirectional flow conditions. Such models, however, can also be used to reproduce river hydraulics across the fluvial to marine transition zone when specific conditions occur, as during high discharge events, and the results obtained via these simple modeling tools can provide indicative trends that may guide more structured and detailed modeling of a particularly critical area. In this study, the application of a 1D model setup with hydrologic engineering centers river analysis system (HEC-RAS) for simulating the hydro-morphodynamic conditions of a distributary channel of the Po River Delta (Italy) during a flooding event that occurred in Spring 2009 is presented. The channel bathymetry and the grainsize composition was taken from field measurements, while the dimension of the plume offshore the delta was derived from a MODIS image acquired at the peak of the flood. The comparison between the numerical outcomes and the field evidence shows the reliability of the proposed 1D modeling approach in representing the delta dynamics at a large scale, as well as in showing locations where more spatially detailed studies are needed. The code was also able to adequately reproduce the channel hydro-morphodynamics and the sediment data as derived from a core sample taken a few km offshore during the flooding event of April–May 2009. Through a sensitivity analysis, it is also proven that the dimension of the river plume can influence the evolution of the prodelta, while having a rather negligible effect inland, because of the major stresses induced by the high river discharge during the flood event. © 2020 by the authors. Licensee MDPI, Basel, Switzerland.</t>
  </si>
  <si>
    <t>2-s2.0-85086096867"</t>
  </si>
  <si>
    <t>10.1007/s10584-019-02507-5</t>
  </si>
  <si>
    <t>https://www.scopus.com/inward/record.uri?eid=2-s2.0-85070760404&amp;doi=10.1007%2fs10584-019-02507-5&amp;partnerID=40&amp;md5=29d79264b3acf4789a24d0f86a6064a9</t>
  </si>
  <si>
    <t>Flood risk in urban areas around the world is increasing due to socio-economic development and climate change. Urban climate adaptation measures are beneficial over the longer term, particularly in coastal areas, yet the upfront costs of such measures are significant. Moreover, public actors responsible for adaptation to flood risk face constrained budgets. A promising strategy for overcoming these constraints and enabling greater adaptation investment is land reclamation that includes adaptation, i.e. flood risk reduction. Land reclamation in high-value urban areas can generate substantial revenues through the sale or lease of new land, or taxes on increased economic activities, thus offsetting public adaptation investments. This paper explores the potential of land reclamation for leveraging public adaptation investments and associated distributional issues, by analysing 3 urban land reclamation and adaptation projects in Germany, the Netherlands and the Maldives. We find that all projects have leveraging potential, and leveraging in projects primarily aimed at land creation is particularly high. Further, due to low adaptation costs needed to protect revenue streams in such projects, these investments appear to be ‘low-regret’. Regarding distributional aspects, high project costs and limited public budgets for adaptation constrain public actors’ ability to ensure equitable outcomes through planning instruments, for example, social housing. Further, in implementation, competition for project benefits can lead to further inequalities. We conclude that urban land reclamation presents a significant opportunity to leverage public adaptation investments under certain conditions. We further outline future research needs including to extend land-based financing theory from related urban infrastructure sectors to inform the design of equitable governance arrangements and to better understand the role of such urban land reclamation projects in regional or national development pathways. © 2019, Springer Nature B.V.</t>
  </si>
  <si>
    <t>2-s2.0-85070760404"</t>
  </si>
  <si>
    <t>Natural Resources Research</t>
  </si>
  <si>
    <t>10.1007/s11053-019-09584-4</t>
  </si>
  <si>
    <t>https://www.scopus.com/inward/record.uri?eid=2-s2.0-85074870821&amp;doi=10.1007%2fs11053-019-09584-4&amp;partnerID=40&amp;md5=4e10c9f8cf058753c59122d31fb17726</t>
  </si>
  <si>
    <t>In solid backfilling mining, gangue and other solid materials are backfilled into the gob to restrain the roof subsidence. As a result, instead of being subjected to periodic collapse, the overlying strata will be able to maintain its integrity and bend or sink as a whole with partial fracture and failure, thus facilitating the gob-side entry to retain. To study the mechanical deformation characteristics and failure mechanism of such gob-side supporting wall, this research analyzes the structure features of the surrounding rock in gob-side entry and builds mechanical damage model for gob-side supporting based on the hypothesis of planar slip surface in the theory of Coulomb earth pressure. The relationship among normal force acting on the contact face N, the angle between the slip surface of gangue and vertical face η and other relevant factors are discussed. The result suggests that η is mainly affected by δ, the friction angle between the backfill body and the supporting wall interface, and φ, the internal friction angle of backfill materials</t>
  </si>
  <si>
    <t>The Science of the total environment</t>
  </si>
  <si>
    <t>10.1016/j.scitotenv.2020.138150</t>
  </si>
  <si>
    <t>https://www.scopus.com/inward/record.uri?eid=2-s2.0-85084693253&amp;doi=10.1016%2fj.scitotenv.2020.138150&amp;partnerID=40&amp;md5=903d45620b1a0536c18d778c2ff00b56</t>
  </si>
  <si>
    <t>Historically, solid wastes were commonly landfilled in the coastal zone in sites with limited engineering to isolate waste from adjacent coastal environments. Climate change is increasing the likelihood that these historic coastal landfills will be inundated or eroded resulting in the release of soluble contaminants to the coastal zone. Previously research has focussed on the environmental impacts of leaching from landfills in freshwater environments with little or no consideration being given to saline environments. This research investigated the magnitude, variability and potential environmental consequences of soluble metal release from solid wastes when historic coastal landfills are inundated, or wastes are eroded and released into fresh or saline waters. The proportions of the sites' total metal contents released to solution varied by up to an order of magnitude between different landfills due to the different physical and chemical characteristics of the solid wastes, but the proportions released were typically ≪1% in freshwater. Inundation by saline water significantly increases the proportions of the total metal contents released to solution, e.g. 5450% more Pb in one study site (median value), but again the proportions were typically ≪1%. The exception was Cd, where up to 9% of the total Cd load of one site was released in saline water. This puts into question the suitability of current landfill regulatory tests, e.g. the EU Waste Acceptance Criteria, and many risk assessment methods, which only consider freshwater inundation and leaching. However, the very low proportions of metals mobilised from the solid waste and the high dilution ratios in coastal waters, mean EQSs for the Protection of Surface Water are unlikely to be exceeded, and the release of solid wastes through coastal erosion poses a greater threat to coastal ecological health than leaching of soluble metals from contained solid wastes. Copyright © 2020 Elsevier B.V. All rights reserved.</t>
  </si>
  <si>
    <t>2-s2.0-85084693253"</t>
  </si>
  <si>
    <t>10.4018/IJAGR.20200701.oa1</t>
  </si>
  <si>
    <t>https://www.scopus.com/inward/record.uri?eid=2-s2.0-85095723484&amp;doi=10.4018%2fIJAGR.20200701.oa1&amp;partnerID=40&amp;md5=e4167b451f8e3ab29c96a807c2a7eefa</t>
  </si>
  <si>
    <t>Flooding is recurrent in Nigeria, occurring yearly at different scales. This geared the need for a study to reveal local government areas (LGAs) that are at risk and vulnerable to flooding. The multi-criteria approach was adopted, using geospatial techniques and data. Factors considered were elevation, slope, rainfall intensity, and distance to river. The factors were classified, reclassified, rated, and weighed in a systematic process. Nineteen states and 114 LGAs face high risks, especially communities in the Niger Delta, around the lagoons of Lagos, along River Niger, Benue, and the Cross-River. Also, 125 LGAs in 18 states face medium flood-risk vulnerability. Consideration the population density of communities, Lagos State is the most vulnerable because of LGAs with high population densities within high flood-risk zones. Other states with communities exposed to high flood-risk vulnerability include Rivers, Kogi, Cross River, Akwa Ibom, Anambra, and Delta. The study provides information key to proactive policy formulation, mitigation, and adaptation to flood risk in Nigeria. © 2020 IGI Global. All rights reserved.</t>
  </si>
  <si>
    <t>2-s2.0-85095723484"</t>
  </si>
  <si>
    <t>10.1016/j.scitotenv.2020.138066</t>
  </si>
  <si>
    <t>https://www.scopus.com/inward/record.uri?eid=2-s2.0-85082170838&amp;doi=10.1016%2fj.scitotenv.2020.138066&amp;partnerID=40&amp;md5=dab4b66687eddcb1cf4293767a9acad7</t>
  </si>
  <si>
    <t>Here we present a proof of concept evaluation of the impacts of riverbed-mining on river-wetland connectivity by analyzing the temporal trends of the flood frequencies in the Vietnamese Mekong Delta (VMD), while accounting for the effect of dyke constructions. We focus on the Long Xuyen Quadrangle (LXQ), which is significant in terms of biodiversity and economic contribution to the VMD as it is one of the most important food baskets of Southeast Asia that depends on seasonal flooding. Our results indicate that the flood frequency in LXQ has decreased significantly over the past 20 years (1995–2015). Time-series analyses of water level data at Chau Doc, Tan Chau, and Can Tho stations confirmed that the overall descending trend is statistically significant (p-value &lt; 0.001 and tau ~ 0.1). However, the river discharge at Kratie showed no significant trend (p-value = 0.98) over the same period. This indicates that the flood frequency is associated with the lowering of the riverbed (incision) other than climatic factors. The connectivity analysis also revealed a remarkable drop in the inundation duration after early 2000, which corresponds to the previous observations of the shifting shoreline of the VMD from construction to shrinking. Finally, regression and principal component analyses underpinned the strong causality between the riverbed-mining and the decreased seasonal flooding patterns in LXQ, while accounting for the effect of the dyke system over the last decades (R2 = 0.75). This study offers compelling evidences on the relationship between sand-mining in the river and the disrupted flood regimes in VMD. The reduction in water and sediments that is necessary for sustaining current rates of agricultural production in the long term would endanger the livelihoods of millions of VMD inhabitants. © 2020</t>
  </si>
  <si>
    <t>2-s2.0-85082170838"</t>
  </si>
  <si>
    <t>10.1016/j.dib.2020.105344</t>
  </si>
  <si>
    <t>https://www.scopus.com/inward/record.uri?eid=2-s2.0-85082138389&amp;doi=10.1016%2fj.dib.2020.105344&amp;partnerID=40&amp;md5=6b74b9ed1bfe8174a943b9d47b99e871</t>
  </si>
  <si>
    <t>The on-site collection of data is not only time consuming, but expensive and perhaps near impossible in restive communities within the upper Cross River basin (UCRB). Therefore, the importance of this data cannot be overemphasized. This article presents a Digital Elevation Model (DEM), land use and land cover (LULC) map, soil map, geology map and climatic datasets which enhance the understanding of the physical characteristics of the upper Cross River basin using morphometric analysis. The use of the LULC map, soil map and the DEM in conjunction with the climatic data enhance the creation of the Hydrologic Response Units (HRUs) and the water balance modelling. The simulation of the water balance at the HRU level enables the routing of the runoff to the reaches of the sub-basins and then to the channels. The geology map provides confirmatory information to the morphometric analysis. The compound factor computed from all the derived morphometric parameters enhance the determination of the overall flood potential of the congruent sub-basins. © 2020 The Authors</t>
  </si>
  <si>
    <t>2-s2.0-85082138389"</t>
  </si>
  <si>
    <t>10.1016/j.jenvman.2020.110457</t>
  </si>
  <si>
    <t>https://www.scopus.com/inward/record.uri?eid=2-s2.0-85082072171&amp;doi=10.1016%2fj.jenvman.2020.110457&amp;partnerID=40&amp;md5=ca8fd77c0c2f98b47c9ef2723abed9a8</t>
  </si>
  <si>
    <t>In this study, we posit that in determining the underpinnings and attributes of community resilience to disaster-shocks, an analysis of actual and potential disaster victims' emic perspectives, that is the views of cultural insiders, on recovery processes and community resilience is crucial. We argue that community resilience must be framed within a deeper understanding of the subjective views of the actors themselves, their local knowledge and culture, and the historical context of the place or social formation. In this context, the primary goal of this study was to delineate the fundamental elements of community recovery and attributes of resilience to cyclones, storm surges, and other environmental disaster-shocks in Bangladesh's coastal communities, and, recognizing that social actions are pivotal elements of community resilience, we attempt to make a novel contribution by underscoring local emic perspectives. Using the tools of participatory research methods, we collected empirical data from four sources: a household survey of 300 household heads, eight focus group discussions, 20 key informant interviews, and five in-depth, household case studies. Our research findings revealed that the roles of traditional-informal as well as quasi-formal institutions were vital for rapid recovery and transformation to new local economic and livelihood trajectories. Resilience attributes that were deeply embedded in community characteristics assisted in ameliorating immediate impacts as well as in building future adaptive capacities. Out of 12 resilience attributes identified by the respondents, ‘knowledge, skills and learning’, ‘values and beliefs’, ‘people-place connection’, ‘social networks and support’, ‘active institutions’, and ‘self-organization’ capacities were ranked highest. The community resilience attributes and their functionality in the context of the coastal communities studied varied significantly depending on their economic base, occupations, and their respective contexts of vulnerability. Overall, the findings demonstrate that community resilience attributes function interactively rather than independently, and analyses of community attributes therefore require a clear understanding of network functioning and the processes that drive institutional structures, relations, and outcomes. © 2020 Elsevier Ltd</t>
  </si>
  <si>
    <t>2-s2.0-85082072171"</t>
  </si>
  <si>
    <t>10.1007/s12145-019-00427-7</t>
  </si>
  <si>
    <t>https://www.scopus.com/inward/record.uri?eid=2-s2.0-85078587686&amp;doi=10.1007%2fs12145-019-00427-7&amp;partnerID=40&amp;md5=86d0967da8b5424384ab8f530b927f50</t>
  </si>
  <si>
    <t>Soil erosion, rapid geomorphological change and vegetation degradation are major threats to the human and natural environment. Unmanned Aerial Systems (UAS) can be used as tools to provide detailed and accurate estimations of landscape change. The effect of flight strategy on the accuracy of UAS image data products, typically a digital surface model (DSM) and orthophoto, is unknown. Herein different flying altitudes (126-235 m) and area coverage orientations (N-S and SW-NE) are assessed in a semi-arid and medium-relief area where terraced and abandoned agricultural fields are heavily damaged by piping and gully erosion. The assessment was with respect to cell size, vertical and horizontal accuracy, absolute difference of DSM, and registration of recognizable landscape features. The results show increasing cell size (5-9 cm) with increasing altitude, and differences between elevation values (10-20 cm) for different flight directions. Vertical accuracy ranged 4-7 cm but showed no clear relationship with flight strategy, whilst horizontal error was stable (2-4 cm) for the different orthophotos. In all data sets, geomorphological features such as piping channels, rills and gullies and vegetation patches could be labeled by a technician. Finally, the datasets have been released in a public repository. © 2020, The Author(s).</t>
  </si>
  <si>
    <t>2-s2.0-85078587686"</t>
  </si>
  <si>
    <t>10.1007/s12517-020-05407-6</t>
  </si>
  <si>
    <t>https://www.scopus.com/inward/record.uri?eid=2-s2.0-85085901460&amp;doi=10.1007%2fs12517-020-05407-6&amp;partnerID=40&amp;md5=c8b6c26ca78ad918c8d4cd0444017f97</t>
  </si>
  <si>
    <t>The Algerian coastal zone is under high pressure occurring from natural origin (seismic and tsunamis risks, erosion/accretion, salt water intrusion, etc.) and from human sources (pollution, loss of biodiversity, economic value, etc.). The lack of data, particularly time series over natural coastal process, is an impediment for decision making. In many cases, the implemented coastal protection measures even exacerbate the vulnerability of these zones, particularly the hard engineering solutions. The aim of this work is to produce coastal vulnerability and exposure index maps to erosion and marine submersion, by adapting the coastal vulnerability index (CVI) into coastal risk index (CRI) according to the new vision of the risk adopted by the International Panel on Climate Change (IPCC). This index turned out to be a relevant tool to adjust coastal planning and management decision making, by confirming the vulnerability of some physiographic units and give at local and regional levels a broad image of coastal zone sensitivity to erosion and submersion. This index should be integrated in Integrated Coastal Zones Management policy and management decision making. The mapping of coastal vulnerability and exposure in Bou Ismail Bay shows that it is 80% moderately vulnerable to erosion and submersion. Also, 45% of the bay is highly exposed to coastal hazards. Some sectors are more vulnerable and exposed than others especially in the East side of the bay. The mapping of coastal risk index using coastal hazard component, combined with vulnerability and exposure maps, has led us to identify the degree of erosion and submersion risk in Bou Ismail Bay. The risk mapping shows that 40% of the bay is at high risk level</t>
  </si>
  <si>
    <t>10.1016/j.jenvman.2020.110494</t>
  </si>
  <si>
    <t>https://www.scopus.com/inward/record.uri?eid=2-s2.0-85082645034&amp;doi=10.1016%2fj.jenvman.2020.110494&amp;partnerID=40&amp;md5=75560ad2b1c8f9faaa0467edf519cf17</t>
  </si>
  <si>
    <t>Coastal urban infrastructure and water management programs are vulnerable to the impacts of long-term hydroclimatic changes and to the flooding and physical destruction of disruptive hurricanes and storm surge. Water resilience or, inversely, vulnerability depends on design specifications of the storm and inundation, against which water infrastructure and environmental assets are planned and operated. These design attributes are commonly derived from statistical modeling of historical measurements. Here we argue for the need to carefully examine the approach and associated design vulnerability in coastal areas because of the future hydroclimatic changes and large variability at local coastal watersheds. This study first shows significant spatiotemporal variations of design storm in the Chesapeake Bay of the eastern U.S. Atlantic coast, where the low-frequency high-intensity precipitations vary differently to the tropical cyclones and local orographic effects. Average and gust wind speed exhibited much greater spatial but far less temporal variability than the precipitation. It is noteworthy that these local variabilities are not fully described by the regional gridded precipitation used in CMIP5 climate downscaling and by NOAA's regional design guide Atlas-14. Up to 46.4% error in the gridded precipitation for the calibration period 1950–1999 is further exacerbated in the future design values by the ensemble of 132 CMIP5 projections. The total model projection error (δM) up to −61.8% primarily comes from the precipitation regionalization (δ1), climate downscaling (δ2), and a fraction from empirical data modeling (δE). Thus, a post-bias correction technique is necessary. The bias-corrected design wind speed for 10-yr to 30-yr storms has small changes &lt;20% by the year 2100, but contains large spatial variations even for stations of close proximity. Bias-corrected design precipitations are characteristic of large spatial variability and a notable increase of 2–5 year precipitation in the future along western shores of the Lower and Middle Chesapeake Bay. All these accounts point to the potential vulnerability of water infrastructure and water program in coastal areas, when the hydrological design basis using regional values fails to account for significant spatiotemporal precipitation variations in local coastal watersheds. © 2020</t>
  </si>
  <si>
    <t>2-s2.0-85082645034"</t>
  </si>
  <si>
    <t>10.1016/j.cities.2020.102717</t>
  </si>
  <si>
    <t>https://www.scopus.com/inward/record.uri?eid=2-s2.0-85083108307&amp;doi=10.1016%2fj.cities.2020.102717&amp;partnerID=40&amp;md5=f1cb19dedcf856e07579b93db2cda5fd</t>
  </si>
  <si>
    <t>Sea-level rise (SLR) has increasingly manifested the need for adaptation in the United States (US) coastal areas. Few empirical studies have investigated the extent of local SLR adaptation and adaptive capacity on a national scale. To address this research gap, I conducted a national survey among 231 coastal localities in the US and obtained 86 individual copies of surveys, with a response rate of 37.2%. I then employed multivariate regression models to examine the relationship between local actions and adaptive capacity while controlling for socioeconomic variations. Based on the survey results, I find that, at this nascent stage, the coastal localities are more actively investing in adaptation planning than actions. Among the adaptation actions, they generally preferred the protection and accommodation strategies to those of the managed retreat. Localities in this sample reported medium to low adaptive capacity, with leadership, funding, staff, and political environment being the weakest capacity elements. The regression results indicate that localities with higher adaptive capacity have been implementing more adaptation than those with limited capacity. This empirical research provides a first glance into local SLR adaptation and sheds light on the plausible pathways to building local adaptive capacity and improving coastal resilience through adaptation. © 2020 Elsevier Ltd</t>
  </si>
  <si>
    <t>2-s2.0-85083108307"</t>
  </si>
  <si>
    <t>10.1016/j.jenvman.2020.110631</t>
  </si>
  <si>
    <t>https://www.scopus.com/inward/record.uri?eid=2-s2.0-85083559523&amp;doi=10.1016%2fj.jenvman.2020.110631&amp;partnerID=40&amp;md5=604ea6a4c49a2b083e3e33c7853c9b27</t>
  </si>
  <si>
    <t>The invasive plant Spartina alterniflora presents a serious threat to the saltmarsh ecosystems in the Yangtze Estuary. Various measures have been implemented to control S. alterniflora and restore the natural saltmarshes in this area. However, many saltmarsh restoration activities often fail partly because of recursions of this invasive plant. In this study, we investigated the re-invasion of S. alterniflora in a restored saltmarsh in the Chongming Dongtan National Nature Reserve by analysing the aspects of seed arrival, retention, germination, and establishment, to better understand the potential factors that may influence the re-invasion of restored saltmarshes. The results showed that 1) tidal currents dispersed the seeds from the possible source area to the restored saltmarsh and adjacent mudflat. The spatio-temporal dynamics of arrived seeds were shown to vary greatly depending on the intertidal geomorphology, vegetation, and hydrodynamic processes. 2) Seed retention in the re-invaded area was shown to be greatly influenced by burial depth, and moderate sedimentation rates provided safe sites for the retention of arrived seeds. 3) Only when both the burial depth and inundation duration below certain thresholds, the retained seeds could germinate and establish in the recipient habitats successfully. The results from this study highlight that control efforts and the management of S. alterniflora should not only focus on the re-invaded areas of restored saltmarshes, but also on the possible source areas of re-invasive species. © 2020 Elsevier Ltd</t>
  </si>
  <si>
    <t>2-s2.0-85083559523"</t>
  </si>
  <si>
    <t>10.3390/rs12142296</t>
  </si>
  <si>
    <t>https://www.scopus.com/inward/record.uri?eid=2-s2.0-85088658684&amp;doi=10.3390%2frs12142296&amp;partnerID=40&amp;md5=b441833c6f44c504dbbb580afc65c891</t>
  </si>
  <si>
    <t>The rise in sea level is expected to considerably aggravate the impact of coastal hazards in the coming years. Low-lying coastal urban centers, populated deltas, and coastal protected areas are key societal hotspots of coastal vulnerability in terms of relative sea level change. Land deformation on a local scale can significantly affect estimations, so it is necessary to understand the rhythm and spatial distribution of potential land subsidence/uplift in coastal areas. The present study deals with the determination of the relative vertical rates of the land deformation and the sea-surface height by using multi-source Earth observation-synthetic aperture radar (SAR), global navigation satellite system (GNSS), tide gauge, and altimetry data. To this end, the multi-temporal SAR interferometry (MT-InSAR) technique was used in order to exploit the most recent Copernicus Sentinel-1 data. The products were set to a reference frame by using GNSS measurements and were combined with a re-analysis model assimilating satellite altimetry data, obtained by the Copernicus Marine Service. Additional GNSS and tide gauge observations have been used for validation purposes. The proposed methodological approach has been implemented in three pilot cases: the city of Alexandroupolis in the Evros Delta region, the coastal zone of Thermaic Gulf, and the coastal area of Killini, Araxos (Patras Gulf) in the northwestern Peloponnese, which are Greek coastal areas with special characteristics. The present research provides localized relative sea-level estimations for the three case studies. Their variation is high, ranging from values close to zero, i.e., from 5-10 cm and 30 cm in 50 years for urban areas to values of 50-60 cm in 50 years for rural areas, close to the coast. The results of this research work can contribute to the effective management of coastal areas in the framework of adaptation and mitigation strategies attributed to climate change. Scaling up the proposed methodology to a continental level is required in order to overcome the existing lack of proper assessment of the relevant hazard in Europe. © 2020 by the authors.</t>
  </si>
  <si>
    <t>2-s2.0-85088658684"</t>
  </si>
  <si>
    <t>10.1016/j.gsf.2019.12.008</t>
  </si>
  <si>
    <t>https://www.scopus.com/inward/record.uri?eid=2-s2.0-85078616889&amp;doi=10.1016%2fj.gsf.2019.12.008&amp;partnerID=40&amp;md5=2c4cce2d2a2f25c5e3f3158cdf1f8e20</t>
  </si>
  <si>
    <t>The Mahanadi delta, deposited on a series of horst and graben basement structures, is considered an extension of the East Lambert Rift of Antarctica. Current study is based on the hydrogeochemical assessment of this deltaic aquifer system and geospatial analysis thereof, to appreciate the basement structure influence on groundwater chemistry. Major ion chemistry of subsurface waters portrays a distinct saline contamination across the terrain and varied regimes of water types, specifically with respect to southern and northern parts of this aquifer system. Findings of the study indicate a general near surface saline horizon and significant fragmentation of the hydrostatic units. This, in turn, implies noteworthy influence of formational water to salinity regimes and basin structural changes for the escape of these waters to surroundings. A plot of recent low intensity earthquakes displays proximity of epicenters to the faults as well as striking similarity to the trend of terrestrial faults indicating multiple reactivations of the faults. To further corroborate the above findings, spatial pattern analysis of individual hydrochemical variables is carried out which reveals specific clusters of sources (groundwater mixing) and sinks (groundwater dispersion) in proximity to basement fault dispositions. While the faults can be disregarded as conduits or barriers owing to their great depth, the overlying sedimentary mass, particularly, the horizons with significant clayey content have been distorted due to post rift subsidence and fault reactivations. A proximity analysis of ionic clusters points towards a greater influence of longitudinal faults to that of the transverse ones on groundwater mixing or dispersion. © 2020 China University of Geosciences (Beijing) and Peking University</t>
  </si>
  <si>
    <t>2-s2.0-85078616889"</t>
  </si>
  <si>
    <t>Journal of Contingencies and Crisis Management</t>
  </si>
  <si>
    <t>10.1111/1468-5973.12291</t>
  </si>
  <si>
    <t>https://www.scopus.com/inward/record.uri?eid=2-s2.0-85083225159&amp;doi=10.1111%2f1468-5973.12291&amp;partnerID=40&amp;md5=a5f8a9569d3c131aa9bc85c9318ce6af</t>
  </si>
  <si>
    <t>This paper reports on the process and results of focus groups conducted as stakeholder engagement for a two-year, marine extension agency-sponsored interdisciplinary project in coastal Louisiana, USA. The project involved refining the topographic features (eg flood protection infrastructure) of a computational storm surge model using local knowledge of elevation data. Coastal Louisiana experiences continual changes to the built and natural environment and persistent land loss, necessitating frequent adjustments to real-time storm surge and restoration planning models to make them more useful for decision-makers. Stakeholder involvement ensured accurate updates to the real-time computational system and accessible and understandable modelling results displayed by an interactive decision-support tool. The findings provide insights and recommendations from various practitioners that are applicable to decision-support model and tool development for coastal hazard emergency response. © 2020 John Wiley &amp; Sons Ltd</t>
  </si>
  <si>
    <t>2-s2.0-85083225159"</t>
  </si>
  <si>
    <t>Journal of Applied Meteorology and Climatology</t>
  </si>
  <si>
    <t>10.1175/JAMC-D-20-0256.1</t>
  </si>
  <si>
    <t>https://www.scopus.com/inward/record.uri?eid=2-s2.0-85110419803&amp;doi=10.1175%2fJAMC-D-20-0256.1&amp;partnerID=40&amp;md5=caa5bc186e25d797daf134cf7a40e0f5</t>
  </si>
  <si>
    <t>Coastal nuisance flooding has increased by an order of magnitude over the past half century, but the National Weather Service has a limited suite of statistical tools to forecast it. Such a tool was developed using coastal flood events from 1996 to 2014 in Charleston, South Carolina, that were identified and classified by prevailing synoptic conditions based on composite mean sea level pressure anomalies. The synoptic climatology indicated low-level northeasterly winds dom-inated the forcing in anticyclonic and cyclonic events, while a southeasterly surge was the main forcing component for frontal events. Tidal anomalies between flood events and previous low tides were used to create linear regression models for each composite classification studied for forecasting levels of coastal flood magnitude. Beta tests using data from 2018 to 2019 confirmed the effectiveness of the models with RMSE values less than 0.3 ft (9 cm) and MAE values less than 0.25 ft (7.6 cm) for each event type. The veracity of the methods was further verified by a multiple-day case study from November 2018, where the model was tested against both statistically predicted heights and heights based on the NOAA extratropical storm surge (ETSS) model (version 2.2). The RMSE and MAE for the statistical model were 0.18 and 0.15, respectively, while the same values for the ETSS model were 0.28 and 0.23, respectively. © 2021 American Meteorological Society.</t>
  </si>
  <si>
    <t>2-s2.0-85110419803"</t>
  </si>
  <si>
    <t>10.1080/17565529.2019.1642179</t>
  </si>
  <si>
    <t>https://www.scopus.com/inward/record.uri?eid=2-s2.0-85087848046&amp;doi=10.1080%2f17565529.2019.1642179&amp;partnerID=40&amp;md5=ca405e5697bf8c22f3ddf9aa16e80a6b</t>
  </si>
  <si>
    <t>Small island developing states are vulnerable to the impacts of climate change, including more intense and frequent extreme weather, warming temperatures, coastal erosion, inundation, and coral bleaching. Locally-specific natural resource threats, associated with population growth and tourism, exacerbate these systemic risks, which are particularly acute where community well-being is subsistence-based and directly reliant on ecosystem services. Garden productivity is falling as the cropping/fallow cycle intensifies and culturally and there is loss of observance of traditional resource taboos, eroding the effectiveness of customary management. Ecosystem based adaptations (EbA) provide a fruitful range of interventions and are beginning to attract development funding. We undertook a social benefit cost analysis for a suite of interconnecting EbAs for Tanna in Vanuatu. We found that funds targeted at increasing the productivity of the gardens returns significant social benefit. This also reduces pressure on natural resource threats and can potentially be adopted by all households on Tanna. In addition, increasing the community’s capacity to balance formal forest and reef conservation with customary management can provide small, but nevertheless important complimentary benefits. Our programme design included interlinking activities, including a series of demonstration garden plots, extension officers, community radio, a community ranger programme and a tree nursery. © 2019, © 2019 Informa UK Limited, trading as Taylor &amp; Francis Group.</t>
  </si>
  <si>
    <t>2-s2.0-85087848046"</t>
  </si>
  <si>
    <t>Pacific Conservation Biology</t>
  </si>
  <si>
    <t>10.1071/PC19016</t>
  </si>
  <si>
    <t>https://www.scopus.com/inward/record.uri?eid=2-s2.0-85086406884&amp;doi=10.1071%2fPC19016&amp;partnerID=40&amp;md5=e31d1b0da05be078a3047814a68beff4</t>
  </si>
  <si>
    <t>Temperate Australian saltmarshes, including those in the southern island state of Tasmania, are considered to be a threatened ecological community under Australian federal legislation. There is a need to improve our understanding of the ecological components, functional relationships and threatening processes of Tasmanian coastal saltmarshes and distil research priorities that could assist recovery actions. A semisystematic review of the literature on Tasmanian coastal saltmarshes supported by expert local knowledge identified 75 studies from 1947 to 2019. Existing understanding pertains to saltmarsh plants, soils, invertebrates and human impacts with ongoing studies currently adding to this knowledge base. Several knowledge gaps remain, and the present review recommends six key priority areas for research: (1) citizen science-organised inventory of (initially) saltmarsh birds, plants and human impacts with the potential for expansion of datasets</t>
  </si>
  <si>
    <t>10.1016/j.quaint.2020.07.047</t>
  </si>
  <si>
    <t>https://www.scopus.com/inward/record.uri?eid=2-s2.0-85089692071&amp;doi=10.1016%2fj.quaint.2020.07.047&amp;partnerID=40&amp;md5=4222dfc1c0c1af97a64efcfafda3e3da</t>
  </si>
  <si>
    <t>Subsidence, changes in sediment supply and environments, sea storms, current sedimentary deficit and recent anthropic action are factors determining coastal geomorphological processes and evolution of a transgressive Mediterranean coastal barrier. At a longer timescale, the barrier landward migration is partially due to local subsidence of tectonic origin. Peatmarsh remains under seawater at around 100 m from the present-day coastline (4821–4566 and 4874‒4820 cal BP) show evidence of the more advanced position towards the sea of the late Holocene coastal barrier, which has not been preserved. Furthermore, behind the present gravel barrier, wide sandy washover fans dating about 665 cal BP and 503 cal BP were deposited in the early Little Ice Age (LIA) and during the Spörer Minimum, in periods when sea storms were highly frequent in the Western Mediterranean. The source of the washover fine sands was an ancient deltaic lobe of the Sant Miquel river southern palaeochannel. The avulsion towards the current northern mouth (ca. 1790) produced important sedimentary coastal changes, from fine to gravelly sands. More recently, gravelly washover fans indicating rollover processes were found in the 1945 barrier. Nevertheless, progradational sets of gravelly beach ridges were identified in the central sector between 1977 and 1997. Since 2003, overtop and overwash processes during storms have formed a steep beach ridge nearly 3 m high. Finally, recent direct anthropic action has favoured rapid landward migration of the barrier, with processes of fast rollover, cannibalization and dissolution phases. © 2020 Elsevier Ltd and INQUA</t>
  </si>
  <si>
    <t>2-s2.0-85089692071"</t>
  </si>
  <si>
    <t>10.1016/j.scitotenv.2020.138868</t>
  </si>
  <si>
    <t>https://www.scopus.com/inward/record.uri?eid=2-s2.0-85086052991&amp;doi=10.1016%2fj.scitotenv.2020.138868&amp;partnerID=40&amp;md5=e4afb2f46ec7069fb27aa8b429f2337b</t>
  </si>
  <si>
    <t>The Nile Delta is home to half of Egypt's population and has ample agricultural, industrial, and cultural resources, yet the land subsides in response to many natural and anthropogenic impacts. We report the recent subsidence rate and patterns in the Nile Delta using the synthetic aperture radar Sentinel-1 data of 144 images obtained between 2015 and 2019, based on coherence small baseline subset interferometry of ~2900 interferograms. We distinguished three patterns of deformation due to three different physical mechanisms: 1) The land subsides with rates ranging from −12 to −20 mm/year in major cities (such as Zagazig, Mit Ghamr, Tanta, Mansoura and Mahla) due to urban-induced loading</t>
  </si>
  <si>
    <t>10.1080/08920753.2020.1773209</t>
  </si>
  <si>
    <t>https://www.scopus.com/inward/record.uri?eid=2-s2.0-85087025586&amp;doi=10.1080%2f08920753.2020.1773209&amp;partnerID=40&amp;md5=a554394404710e6fd93fcbf67c29a18c</t>
  </si>
  <si>
    <t>Coastal communities are among the most vulnerable to climate risks. Despite the negligence of climate policy at the federal level in the United States, subnational governments have taken action to adapt to climate change impacts. Using national-level data on subnational government climate activities, this research examines three aspects of coastal community adaptation actions. First, it examines whether there are differences in climate adaptation activity between coastal and non-coastal communities. It then tests the relative importance of political partisanship, population, perception of climate risk, and awareness of state-level climate planning effort. Lastly, it examines the impact of participation within climate policy networks on the likelihood of a subnational government taking a climate adaptation action. Three types of network partners are examined: those focused on sea-level rise and coastal communities, climate change mitigation, and general environmental organizations. Concern about severe storms, awareness of state plans, and having a network partner focused either on climate mitigation or the environment were found to be statistically significant indicators of climate adaptation action. The paper discusses the importance of understanding the localized context of adaptation within nested governance structures, and how informal policy networks can facilitate learning and innovation across coastal communities. © 2020, © 2020 Taylor &amp; Francis Group, LLC.</t>
  </si>
  <si>
    <t>2-s2.0-85087025586"</t>
  </si>
  <si>
    <t>10.1007/s11069-020-04017-5</t>
  </si>
  <si>
    <t>https://www.scopus.com/inward/record.uri?eid=2-s2.0-85084344057&amp;doi=10.1007%2fs11069-020-04017-5&amp;partnerID=40&amp;md5=7df6d261bd881a27d37aba3e065818c0</t>
  </si>
  <si>
    <t>Past studies have projected that global mean sea levels could be up to between 0.98 and 2.92 m higher by the year 2100 than pre-industrial levels, which could seriously affect wastewater treatment plants (WWTPs). However, there is currently a lack of guidelines regarding how these types of installations can adapt to sea level rise (SLR). The present research analyzes how SLR might affect WWTPs that are situated near the coastline and how they can adapt by using experiences of land subsidence as a proxy. The Tohoku region in northern Japan experienced severe land subsidence (up to − 1.14 m in Ishinomaki city) after the 2011 Tohoku earthquake. The authors conducted in-depth interviews with staff from three significant WWTPs in the area to elucidate the effects that land subsidence had on their operations and how they could adapt to an increase in land subsidence or SLR. The results suggest that for land subsidence of − 0.53 m (equivalent to a SLR of + 0.53 m), the surveyed WWTPs were considered to be able to operate normally, without undertaking any major adaptation actions. Critical levels that influence the vulnerability and adaptation strategies of WWTPs to SLR were identified. These critical levels can help differentiate between the three types of SLR-induced flooding that can affect the plants, namely coastal flooding, discharge flooding and groundwater inundation. WWTPs utilizing combined sewage systems may face more difficulties when adapting to SLR. Finally, the authors proposed limit-state adaptation pathways for WWTPs situated in low-lying coastal areas, including a sequence of possible countermeasures and a timeline for specific actions to take place. © 2020, Springer Nature B.V.</t>
  </si>
  <si>
    <t>2-s2.0-85084344057"</t>
  </si>
  <si>
    <t>10.1175/JHM-D-19-0270.1</t>
  </si>
  <si>
    <t>https://www.scopus.com/inward/record.uri?eid=2-s2.0-85089839998&amp;doi=10.1175%2fJHM-D-19-0270.1&amp;partnerID=40&amp;md5=a6cef92702fdad10ff1f698e73172894</t>
  </si>
  <si>
    <t>Reliable reanalysis products can be exploited to drive mesoscale numerical models and generate high-resolution reconstructions of high-impact weather events. Within this framework, regional weather and climate models may greatly benefit from the recent release of the ERA5 product, an improvement to the ERA-Interim dataset. In this study, two different convection-permitting models driven by these two re-analysis datasets are used to reproduce three heavy precipitation events affecting a Mediterranean region. Moreover, different sea surface temperature (SST) initializations are tested to assess how higher-resolution SST fields improve the simulation of high-impact events characterized by strong air–sea interactions. Finally, the coupling with a distributed hydrological model allows evaluating the impact at the ground, specifically assessing the possible added value of the ERA5 dataset for the high-resolution simulation of extreme hy-drometeorological events over the Calabria region (southern Italy). Results, based on the comparison against multiple-source precipitation observations, show no clear systematic benefit to using the ERA5 dataset</t>
  </si>
  <si>
    <t>10.1007/s13157-019-01197-0</t>
  </si>
  <si>
    <t>https://www.scopus.com/inward/record.uri?eid=2-s2.0-85069519834&amp;doi=10.1007%2fs13157-019-01197-0&amp;partnerID=40&amp;md5=b8bf4452b88d217f0883b3b7a0c50e3c</t>
  </si>
  <si>
    <t>Understanding the link between ecosystem respiration (Reco) and its influential factors is necessary to evaluate the sources of gaseous carbon loss in coastal wetlands. Seablite (Suaeda salsa Pall.) is the main vegetation type pioneering temperate coastal wetlands in northeast China, and is generally an understudied wetland type. To evaluate the influence of environmental factors on Reco, a multi-year in-situ experiment was carried out during the growing seasons of 2012 to 2014. Total CO2 efflux was measured and separated further into soil microbial and belowground root respiration (Rs + r) and plant respiration (Rplant). Reco displayed strong seasonal variation, with effluxes as high as 845 to 1150 mg CO2 m−2 h−1 during summer months and as low as 32 to 111 mg CO2 m−2 h−1 during spring (when new shoots are sprouting) and fall (when plants are senescing) months. Aboveground plant structures contributed on average 79% to total plant biomass, and accounted for most of the Reco measured</t>
  </si>
  <si>
    <t>10.1007/s11356-020-08883-1</t>
  </si>
  <si>
    <t>https://www.scopus.com/inward/record.uri?eid=2-s2.0-85085135420&amp;doi=10.1007%2fs11356-020-08883-1&amp;partnerID=40&amp;md5=b37d3743c11989d3a97d1962c316ebe3</t>
  </si>
  <si>
    <t>To examine how two dominant species coexist within a tidal wetland in the Yellow River Delta, we studied the spatial distribution patterns and ecological relationships of Tamarix chinensis and Suaeda salsa. We also analyzed the relationship between these two plant species and soil chemical properties. Nine quadrats were established, and aerial photography was carried out in July 2018 in the study area to investigate plants and soil. Results showed that T. chinensis showed an aggregation distribution at scales of 0–10 m, 0–30 m, and 0–50 m from the sea to inland. Unlike T. chinensis, S. salsa showed an aggregation distribution at approximately 0–50 m in the study area, which meant the aggregation distributions of T. chinensis and S. salsa were found at different scales and S. salsa tended to aggregate distribution compared with T. chinensis. Meanwhile, T. chinensis and S. salsa had negative correlations far from the sea at a scale of 0–20 m and at the offshore area at a scale of 0–30 m. However, in the intermediate area, S. salsa and T. chinensis showed a positive correlation at a scale of 0–30 m. In general, the relationship between the two groups tends to be negatively correlated in a small range. Given that the tidal action decreased from the sea to inland, the driving factors of population aggregation gradually changed from tidal flooding to an interspecific relationship. The different characteristics of the different species may also have had an effect. And the aggregation of adult plant species had a beneficial impact on the establishment and growth of seedlings and plants. Furthermore, soil properties comprised complex actions including environmental conditions and ecological processes. The soil chemical properties such as soil salinity and nutrients were also influenced by the species’ canopy. © 2020, Springer-Verlag GmbH Germany, part of Springer Nature.</t>
  </si>
  <si>
    <t>2-s2.0-85085135420"</t>
  </si>
  <si>
    <t>10.1007/s11069-019-03610-7</t>
  </si>
  <si>
    <t>https://www.scopus.com/inward/record.uri?eid=2-s2.0-85085892965&amp;doi=10.1007%2fs11069-019-03610-7&amp;partnerID=40&amp;md5=6d8a7029bba1ed6e8ddcdaa6f5aeaf3a</t>
  </si>
  <si>
    <t>The present study makes a qualitative and quantitative assessment of inundation limit, the structural damage and shoreline change due to very severe cyclonic storm Phailin and also estimates the rate of recovery along different parts of south Odisha coast. At the time of landfall of Phailin along Odisha and adjoining Andhra Pradesh coast on October 12, 2013, maximum sustained surface wind speed reached up to 200–210 kmph gusting to 220 kmph with an estimated pressure drop 66 mbar at the center. Significant wave heights reached up to more than 7 m with a mean period range between 4 and 12 s from southeast direction during the event. Strong gale wind and high wave followed by massive rainfall brought irreparable damage to the coastal structures and shoreline along south Odisha. Real-time kinematics global positioning system and differential global positioning system Arcpad were used to monitor the shoreline change before and after Phailin and the inundation limit. The study indicates maximum inundation at southernmost part of Odisha coast (Ramayapatnam) followed by inside the Gopalpur Port area and minimum near Gopalpur port north. Shoreline change from pre- (September 2013) to post-storm period (October 2013) is landward all along south Odisha coast with maximum (48.7 m) near Rushikulya turtle nesting beach and minimum (12.6 m) near south of Gopalpur tourist beach. The recovery of the beach and dune areas assessed during October 2014 (after 1 year from the post-storm observation) is uneven. Percentage of recovery is maximum at south side of Gopalpur port, while recovery is minimum on north of the port. © 2019, Springer Nature B.V.</t>
  </si>
  <si>
    <t>2-s2.0-85085892965"</t>
  </si>
  <si>
    <t>https://www.scopus.com/inward/record.uri?eid=2-s2.0-85127443090&amp;partnerID=40&amp;md5=7d3a6c42fd600e0c3d973113dc5f49ba</t>
  </si>
  <si>
    <t>In the paper, we discuss application of remote sensing methods to study Himalayan cryosphere in India. Satellite data in combination with field is used to develop models, which can estimate numerous glacier parameters as area, velocity, depth, mass balance, debris cover, glacier lakes and risk assessment of Glacier Lake Outburst Flood. Digital Elevation models are extensively used to estimate glacier mass balance at regional scale and have improved our understanding of spatial heterogeneity in mass loss. Surface velocity and slope are combined with laminar flow to estimate spatial distribution of glacier depth. This has significantly improved estimate of glacier stored water and glacier lakes. Applications of remote sensing data in mass balance and runoff models help in assessing the impact of climate change on water availability. These investigations suggest indispensable role of remote sensing techniques to understand Himalayan cryosphere. © 2020 Geological Survey of India. All right reserved.</t>
  </si>
  <si>
    <t>2-s2.0-85127443090"</t>
  </si>
  <si>
    <t>Fresenius Environmental Bulletin</t>
  </si>
  <si>
    <t>https://www.scopus.com/inward/record.uri?eid=2-s2.0-85092355070&amp;partnerID=40&amp;md5=8b8a17db2056f430efdeb6bfe29fe3fa</t>
  </si>
  <si>
    <t>There are both, technical and operational, constraints to determine the suitable location and water storage capacity of a dam, as it requires extensive fieldwork by qualified technicians, followed by lengthy data analyses. To overcome these constraints, water storage capacity can be pre-estimated using Digital Elevation Model (DEM) which was generated from a digitized topographic map for any basin. In this study, the Buyuk Karacay Dam, located in Hatay province of Turkey was chosen for the case study. The water storage volume for the Buyuk Karacay Dam was estimated, using the DEM in GIS environment. Storage volume calculation procedures according to crest elevation of created virtual dam and topography were described. Maps of the stream network, stream order, and flooded areas were generated, using DEM in Ilwis 3.6 software. DEM having 10-, 20-, 30-, 40- and 50-meter pixel sizes, were used to calculate storage volume based on dam crest elevation which was 347 meters from sea level. The estimated volumes have been compared to determine pixel size effects on volume prediction, with results of the survey method which have been conducted after construction of Buyuk Karacay dam. Those results showed that 10-meter pixel size results in the best volume estimation. According to ten-meter pixel size, dam reservoir storage capacity was estimated 59.38 hm3. This estimation is very close to the result of the survey method, which was 57.25 hm3. © by PSP.</t>
  </si>
  <si>
    <t>2-s2.0-85092355070"</t>
  </si>
  <si>
    <t>10.1016/j.catena.2020.104461</t>
  </si>
  <si>
    <t>https://www.scopus.com/inward/record.uri?eid=2-s2.0-85078755803&amp;doi=10.1016%2fj.catena.2020.104461&amp;partnerID=40&amp;md5=b0e2668a8b49d53bc012df238da4966f</t>
  </si>
  <si>
    <t>The Guadalhorce River mouth (Málaga, Southern Spain) was channelized between 1997 and 2003 to reduce flooding potential in adjacent densely populated sections of Málaga. The channel was bifurcated near the Mediterranean Sea, surrounding an isolated wetland complex composed of eight different ponds. Groundwater-level and wetland-stage data, combined with water-chemistry data from wells and wetlands, collected since 1977, have documented the hydrological and ecological responses to channelization. The results show that channelization has extended the tidal influence inland from the Mediterranean Sea through the Guadalhorce River and the subjacent coastal aquifers, producing a change in groundwater hydrodynamics. The isolation of the wetlands resulting from channelization has provoked a significant salinization of both surface water and groundwater, the extent of which varies among wetlands. These decadal-scale changes in water chemistry have promoted the appearance or increase of halophilic vegetation and have caused a shift from diving birds to predominantly shorebirds in some wetlands. Documentation of these unexpected ecosystem responses is a necessary first step for land managers who need to consider groundwater and surface water as a single resource, particularly in groundwater-dependent ecosystems along the densely populated and ecologically sensitive Mediterranean coastal areas. © 2020 Elsevier B.V.</t>
  </si>
  <si>
    <t>2-s2.0-85078755803"</t>
  </si>
  <si>
    <t>10.1126/sciadv.aba2423</t>
  </si>
  <si>
    <t>https://www.scopus.com/inward/record.uri?eid=2-s2.0-85089814201&amp;doi=10.1126%2fsciadv.aba2423&amp;partnerID=40&amp;md5=8d5d14a8c1fbaf7bfd79ca424039a8d0</t>
  </si>
  <si>
    <t>As sea level rises, urban traffic networks in low-lying coastal areas face increasing risks of flood disruptions. Closure of flooded roads causes employee absences and delays, creating cascading impacts to communities. We integrate a traffic model with flood maps that represent potential combinations of storm surges, tides, seasonal cycles, interannual anomalies driven by large-scale climate variability such as the El Niño Southern Oscillation, and sea level rise. When identifying inundated roads, we propose corrections for potential biases arising from model integration. Our results for the San Francisco Bay Area show that employee absences are limited to the homes and workplaces within the areas of inundation, while delays propagate far inland. Communities with limited availability of alternate roads experience long delays irrespective of their proximity to the areas of inundation. We show that metric reach, a measure of road network density, is a better proxy for delays than flood exposure. © 2020 The Authors.</t>
  </si>
  <si>
    <t>2-s2.0-85089814201"</t>
  </si>
  <si>
    <t>10.5194/nhess-20-1955-2020</t>
  </si>
  <si>
    <t>https://www.scopus.com/inward/record.uri?eid=2-s2.0-85088926819&amp;doi=10.5194%2fnhess-20-1955-2020&amp;partnerID=40&amp;md5=884ddf3d2222cdf0d31bc5dac633deb3</t>
  </si>
  <si>
    <t>The ocean component and coastal impacts of Storm Gloria, which hit the western Mediterranean between 20 and 23 January 2020, are investigated with a numerical simulation of the storm surges and wind waves. Storm Gloria caused severe damages and beat several historical records, such as significant wave height or 24 h accumulated precipitation. The storm surge that developed along the eastern coasts of the Iberian Peninsula, reaching values of up to 1 m, was accompanied by wind waves with a significant wave height of up to 8 m. Along the coasts of the Balearic Islands, the storm footprint was characterised by a negligible storm surge and the impacts were caused by large waves. The comparison to historical records reveals that Storm Gloria is one of the most intense among the events in the region during the last decades and that the waves' direction was particularly unusual. Our simulation permits quantification of the role of the different forcings in generating the storm surge. Also, the high spatial grid resolution down to 30 m over the Ebro Delta allows determination of the extent of the flooding caused by the storm surge. We also simulate the overtopping caused by high wind waves that affected a rocky coast of high cliffs (∼15m) on the eastern coast of Mallorca.</t>
  </si>
  <si>
    <t>10.1007/s11270-020-04744-2</t>
  </si>
  <si>
    <t>https://www.scopus.com/inward/record.uri?eid=2-s2.0-85088992201&amp;doi=10.1007%2fs11270-020-04744-2&amp;partnerID=40&amp;md5=0246c52ce29feb98ef2c9de7275207c6</t>
  </si>
  <si>
    <t>Soil samples of 0–10 cm and subsurface depths of 10–20 cm were collected from the Phragmites australis soil in the Liaohe Estuary, and different salinities (CK, 0.5%, 1.0%, 1.5%, and 2.0%) were prepared in the laboratory under simulated water flooding</t>
  </si>
  <si>
    <t>10.3390/rs12142308</t>
  </si>
  <si>
    <t>https://www.scopus.com/inward/record.uri?eid=2-s2.0-85088628941&amp;doi=10.3390%2frs12142308&amp;partnerID=40&amp;md5=ac36ce5efa505b2dc1ed423c000fd9d4</t>
  </si>
  <si>
    <t>Flood occurrence is increasing due to escalated urbanization and extreme climate change</t>
  </si>
  <si>
    <t>10.3390/rs12111851</t>
  </si>
  <si>
    <t>https://www.scopus.com/inward/record.uri?eid=2-s2.0-85086468885&amp;doi=10.3390%2frs12111851&amp;partnerID=40&amp;md5=21fb35eaae1a9d2779e51873d14fbe69</t>
  </si>
  <si>
    <t>A coastal inundation simulation system was developed for the coast of the Pearl River estuary (PRE), which consists of an assimilation typhoon model and the coupled ADCIRC (Advanced Circulation) + SWAN (Simulating Waves Nearshore) model. The assimilation typhoon model consists of the Holland model and the analysis products of satellite images. This is the first time an assimilation typhoon model has been implemented and tested for coastal inundation via case studies. The simulation results of the system agree well with the real measurements. Three observed typhoon paths (Hope, Nida, and Hato) were chosen to be the studied paths based on their positions relative to the PRE, China. By comparing the results of experiments with different forcing fields, we determined that the storm surge and the coastal inundation were mainly induced by wind forcing. By simulating coastal inundation for different typhoon center speeds, the Hato3 path most easily causes coastal inundation in the PRE. Moreover, the moving speed of the typhoon's center significantly affects the coastal inundation in the PRE. The inundation becomes very serious as the movement of the typhoon center was slow down. This study provides a new reference for future predictions of coastal inundations. © 2020 by the authors.</t>
  </si>
  <si>
    <t>2-s2.0-85086468885"</t>
  </si>
  <si>
    <t>10.1016/j.ijdrr.2020.101508</t>
  </si>
  <si>
    <t>https://www.scopus.com/inward/record.uri?eid=2-s2.0-85078849256&amp;doi=10.1016%2fj.ijdrr.2020.101508&amp;partnerID=40&amp;md5=c96936624d2b97ae0d0b82e73206fdf5</t>
  </si>
  <si>
    <t>The Philippines is highly exposed and vulnerable to natural hazards. As a result, the country has an extensive disaster risk database that consists of different hazard and risk maps to be used as reference in creating development plans. However, some communities are in relatively low risk zones, such as those in Puerto Princesa City, Palawan (with many inhabitants of the city believing it to be safe). This study seeks to ascertain how disaster risk is understood in coastal areas that are only slightly susceptible to natural hazards, in order to provide strategies to improve disaster risk governance. The study validated national data on coastal disaster risk through a topographical survey, questionnaire surveys, and group interviews (in March 2016 and 2017) to understand whether residents knew the risks they are exposed to. The research found that national data reflects local conditions but community members do not have a clear understanding of the risks, particularly coastal hazards. Moreover, the research found that there has been a recent disaster event, though it was not properly archived and transmitted to the next generation. Thus, there is a need to raise awareness to correctly explain and transmit knowledge about potential hazards even in communities that have relatively lower disaster risk. © 2020</t>
  </si>
  <si>
    <t>2-s2.0-85078849256"</t>
  </si>
  <si>
    <t>10.1007/s13157-019-01217-z</t>
  </si>
  <si>
    <t>https://www.scopus.com/inward/record.uri?eid=2-s2.0-85076561936&amp;doi=10.1007%2fs13157-019-01217-z&amp;partnerID=40&amp;md5=7d1b841ba6bce51dfabf37c7c54141b7</t>
  </si>
  <si>
    <t>A goal of wetland restoration is the establishment of resilient plant communities that persist under a variety of environmental conditions. We investigated the role of intraspecific and interspecific variation on plant community establishment in a brackish marsh that had been restored by sediment addition. Plant growth, sediment accretion, and surface elevation change in planted, not-planted, and nearby reference sites (treatments) were compared. Four perennial macrophytes were planted: Bolboschoenus robustus, Distichlis spicata, Phragmites australis, and Schoenoplectus californicus. There was 100% survival of the planted species, and all exhibited rapid vegetative spread. Intraspecific variation in stem height and cover was identified, and interspecific comparisons also indicated differences in species cover. Treatment comparisons revealed that final total cover at not-planted sites was equivalent to that at reference sites, and was highest at planted sites where P. australis became dominant. Species richness was initially highest at the reference sites, but final richness was equivalent among treatments. Soil surface elevation was greater at planted compared to not-planted and reference sites. Because of the rapid cover and increased surface elevation generated by planted species, the resiliency of restored coastal marshes may be enhanced by plantings in areas where natural colonization is slow and subsidence is high. © 2019, The Author(s).</t>
  </si>
  <si>
    <t>2-s2.0-85076561936"</t>
  </si>
  <si>
    <t>10.1007/s00376-020-9218-3</t>
  </si>
  <si>
    <t>https://www.scopus.com/inward/record.uri?eid=2-s2.0-85084151159&amp;doi=10.1007%2fs00376-020-9218-3&amp;partnerID=40&amp;md5=382e18b180c6f2e3278de62d1da1e7e1</t>
  </si>
  <si>
    <t>With the development of urbanization, whether precipitation characteristics in Guangdong Province, China, from 1981 to 2015 have changed are investigated using rain gauge data from 76 stations. These characteristics include annual precipitation, rainfall frequency, intense rainfall (defined as hourly precipitation ⩾ 20 mm), light precipitation (defined as hourly precipitation ⩽ 2.5 mm), and extreme rainfall (defined as hourly rainfall exceeding the 99.9th percentile of the hourly rainfall distribution). During these 35 years, the annual precipitation shows an increasing trend in the urban areas. While rainfall frequency and light precipitation have a decreasing trend, intense rainfall frequency shows an increasing trend. The heavy and extreme rainfall frequency both exhibit an increasing trend in the Pearl River Delta region, where urbanization is the most significant. These trends in both the warm seasons (May−October) and during the pre-flood season (April−June) appear to be more significant. On the contrary, the annual precipitation amount in rural areas has a decreasing trend. Although the heavy and extreme precipitation also show an increasing trend, it is not as strong and significant as that in the urban areas. During periods in which a tropical cyclone makes landfall along the South China Coast, the rainfall in urban areas has been consistently more than that in surrounding areas. The precipitation in the urban areas and to their west is higher after 1995, when the urbanization accelerated. These results suggest that urbanization has a significant impact on the precipitation characteristics of Guangdong Province. © 2020, Institute of Atmospheric Physics/Chinese Academy of Sciences, and Science Press and Springer-Verlag GmbH Germany, part of Springer Nature.</t>
  </si>
  <si>
    <t>2-s2.0-85084151159"</t>
  </si>
  <si>
    <t>10.1080/10106049.2019.1573852</t>
  </si>
  <si>
    <t>https://www.scopus.com/inward/record.uri?eid=2-s2.0-85062572334&amp;doi=10.1080%2f10106049.2019.1573852&amp;partnerID=40&amp;md5=a3085372d49ae8b0a0df003fa7280c3e</t>
  </si>
  <si>
    <t>This study aims to compare inundation in two potholes using Annualized Agricultural Non-Point Source Pollution model (AnnAGNPS) with three Digital Elevation Models (DEMs): a 1 m DEM prepared from the LiDAR data which is readily available for the state of Iowa, USGS 1/9 arc-second DEM (∼3 m) which covers about 25% of the conterminous U.S. and USGS 1/3 arc-second DEM (∼10 m) which covers the entire USA. In this study, we found that the variations in water depth and presence/absence of ponding in the potholes of size greater than 1 ha can be predicted using USGS DEMs. The estimates of average water depths using USGS 3 m DEM was found to be 6% and 2% lower than the 1 m LiDAR DEM and the estimates of average water depths using USGS 10 m DEM was found to be 7% and 12% higher than the 1 m LiDAR DEM for the Walnut and Bunny potholes, respectively. © 2019, © 2019 Informa UK Limited, trading as Taylor &amp; Francis Group.</t>
  </si>
  <si>
    <t>2-s2.0-85062572334"</t>
  </si>
  <si>
    <t>10.1016/j.geomorph.2020.107119</t>
  </si>
  <si>
    <t>https://www.scopus.com/inward/record.uri?eid=2-s2.0-85080981584&amp;doi=10.1016%2fj.geomorph.2020.107119&amp;partnerID=40&amp;md5=b2d91d191536d7cf698597038a2dcac1</t>
  </si>
  <si>
    <t>Beach and dune morphology are spatially and temporally variable, changing over a broad range of scales simultaneously. Strong wind, waves, and storm surge from Hurricane Harvey substantially eroded the beach and dunes along the Texas coast, causing significant scarps and berms. This paper presents information about how anthropogenic activity, such as driving on the beach, affected the response and recover of a barrier island with regard to the post-storm resiliency along the Texas-Gulf of Mexico coast by comparing two adjacent 7 km stretches of coast: a driving section and a limited-access section. A collection of field photos, aerial imagery, and a September 2016 LiDAR-derived digital elevation model (DEM) dataset provide information on pre-storm morphology, while field photos, taken only 3 days after Hurricane Harvey made landfall, and a structure-from-motion (SfM)-derived DEM and imagery provide qualitative and quantitative information about the post-storm morphology. While beach and dune erosion in the non-driving section was restricted entirely to the beach and incipient dune system, the driving section exhibited complex patterns of erosion and deposition along the beach and the entire foredune profile was altered. Despite the hurricane making landfall north of the study site and closer to the non-driving section, beach-dune erosion and scarping was greatest in the southern section which is accessible to public vehicles. Results demonstrate that human activity affects the response and recovery of the beach-dune system along the Gulf side of the island by decreasing alongshore variability in erosion-deposition and limiting vegetative and geomorphic recovery. © 2020</t>
  </si>
  <si>
    <t>2-s2.0-85080981584"</t>
  </si>
  <si>
    <t>10.5194/os-16-965-2020</t>
  </si>
  <si>
    <t>https://www.scopus.com/inward/record.uri?eid=2-s2.0-85092644009&amp;doi=10.5194%2fos-16-965-2020&amp;partnerID=40&amp;md5=2fd41526e0184601f03e11e370ee5be9</t>
  </si>
  <si>
    <t>Daily tidal water level variations are a key control on shore ecology, on access to marine environments via ports, jetties, and wharves, on drainage links between the ocean and coastal hydrosystems such as lagoons and estuaries, and on the duration and frequency of opportunities to access the intertidal zone for recreation and food harvesting purposes. Further, high perigean spring tides interact with extreme weather events to produce significant coastal inundations in low-lying coastal settlements such as on deltas. Thus an understanding of daily through monthly tidal envelope characteristics is fundamental for resilient coastal management and development practices. For decades, scientists have described and compared daily tidal forms around the world's coasts based on the four main tidal amplitudes. Our paper builds on this ""daily""method by adjusting the constituent analysis to distinguish between the different monthly types of tidal envelopes occurring in the semidiurnal coastal waters around New Zealand. Analyses of tidal records from 27 stations are used alongside data from the FES2014 tide model in order to find the key characteristics and constituent ratios of tides that can be used to classify monthly tidal envelopes. The resulting monthly tidal envelope classification approach described (E) is simple, complementary to the successful and much used daily tidal form factor (F), and of use for coastal flooding and maritime operation management and planning applications in areas with semidiurnal regimes. © Author(s) 2020.</t>
  </si>
  <si>
    <t>2-s2.0-85092644009"</t>
  </si>
  <si>
    <t>10.1007/s00704-020-03224-1</t>
  </si>
  <si>
    <t>https://www.scopus.com/inward/record.uri?eid=2-s2.0-85084465672&amp;doi=10.1007%2fs00704-020-03224-1&amp;partnerID=40&amp;md5=f4f9016a231c1c4cd40e394c8e2c708d</t>
  </si>
  <si>
    <t>This study introduces a simple and newly developed fluvial inundation parameterization using high-resolution climate model and investigates its impacts on regional climate. The 2009 Red River spring flood is selected as a case study and this approach is tested with the regional climate model, Global Environment Multiscale (GEM) version 4.8 with 10 km resolution, and Canadian Digital Surface Model (CDSM) elevation (~ 20 m). To investigate the impacts of fluvial inundation on regional climate, the sensitivity experiments using different initial conditions for soil moisture are conducted with 1 km resolution through a three-step one-way nesting approach. Generally, new approach can capture the development–decay of fluvial inundation, similar to MODIS observation. The reasonable statistic values (probability of detection, 0.71</t>
  </si>
  <si>
    <t>10.1016/j.jhydrol.2020.125008</t>
  </si>
  <si>
    <t>https://www.scopus.com/inward/record.uri?eid=2-s2.0-85089431463&amp;doi=10.1016%2fj.jhydrol.2020.125008&amp;partnerID=40&amp;md5=6c5a7146f90242c8f0b64aaed3925d72</t>
  </si>
  <si>
    <t>Cropping in the polders and islands of the Ganges delta is difficult, particularly in the dry season when water is limited and salinity can damage plant growth. Cropping is generally restricted to the wet season. The limited cropping contributes to the high incidence of poverty and limited livelihood prospects in the region. Increasing crop production is desirable, and will depend upon management of the water and salt in a polder. We have developed a novel time-series model of water and salt stores and flows in an idealised polder to investigate water and salt management strategies for crop production, including strategies to cope with climate change and sea level rise. We know of no other model that simulates the overall water and salt balance of a polder, and that can assess a wide range of polder water and salt management strategies. The model adequately reproduces the dynamic water and salt behaviour observed in field data, and also agrees with results produced by a more detailed crop model. A sensitivity analysis of the model shows the results are sensitive to the key model parameters. In general, the results are more sensitive to parameters governing the transfers of salt, and less sensitive to those governing the availability of water. The crop evapotranspiration is particularly sensitive to the model parameters. The main practical consideration resulting from this simplified but robust representation of the polder salt and water balance processes is the importance of management (including drainage) to remove salt. Strategies to improve water availability, while useful, are secondary to the management of salt. © 2020 Elsevier B.V.</t>
  </si>
  <si>
    <t>2-s2.0-85089431463"</t>
  </si>
  <si>
    <t>10.1029/2020EF001497</t>
  </si>
  <si>
    <t>https://www.scopus.com/inward/record.uri?eid=2-s2.0-85088557267&amp;doi=10.1029%2f2020EF001497&amp;partnerID=40&amp;md5=ce8467421e0f2d6965dbd171d6bff27c</t>
  </si>
  <si>
    <t>The artificial impoundment of water behind dams causes global mean sea level (GMSL) to fall as reservoirs fill but also generates a local rise in sea level due to the increased mass in the reservoir and the crustal deformation this mass induces. To estimate spatiotemporal fluctuations in sea level due to water impoundment, we use a historical data set that includes 6,329 reservoirs completed between 1900 and 2011, as well as projections of 3,565 reservoirs that are expected to be completed by 2040. The GMSL change associated with the historical data (−0.2 mm yr−1 from 1900–2011) is consistent with previous studies, but the temporal and spatial resolution allows for local studies that were not previously possible, revealing that some locations experience a sea level rise of as much as 40 mm over less than a decade. Future construction of reservoirs through ~2040 is projected to cause a GMSL fall whose rate is comparable to that of the last century (−0.3 mm yr−1) but with a geographic distribution that will be distinct from the last century, including a rise in sea level in more coastal areas. The analysis of expected construction shows that significant impoundment near coastal communities in the coming decades could enhance the flooding risk already heightened by global sea level rise. © 2020. The Authors.</t>
  </si>
  <si>
    <t>2-s2.0-85088557267"</t>
  </si>
  <si>
    <t>10.1029/2019JF005443</t>
  </si>
  <si>
    <t>https://www.scopus.com/inward/record.uri?eid=2-s2.0-85086997484&amp;doi=10.1029%2f2019JF005443&amp;partnerID=40&amp;md5=cfffef8b7094c643eb0a4374c90051ed</t>
  </si>
  <si>
    <t>Downstream changes in fluvial channel morphology are commonly observed in association with the backwater zone, where rivers transition from quasi-uniform flow with normal-flow depth to gradually varying flow. This transition is linked to changes in channel morphology and mobility and resulting fluvial stratigraphy. However, the majority of systems studied to date are perennial rivers with relatively consistent flow conditions. Here we investigate the evolution of a large river with significant flood-to-baseflow variability as it transverses and builds a large delta. We provide the first comprehensive study of the morphology and morphodynamics of the lower Rio Grande, a major continental drainage system that enters the western Gulf of Mexico. We quantify the morphology of the current Rio Grande channel and document spatial trends in channel geometry and kinematics using lidar, historical surveys, and hydrographic analysis. The modern Rio Grande channel morphology does not significantly vary toward the coast. Rather, the channel width, levee, and bed slopes remain nearly constant for ~200 river km. We find historical migration rates between 10 and 100 m/yr with no significant reduction toward the coast in contrast to previously studied systems. We propose that this invariant channel geometry and sustained high migration rates are signatures of the channel not requiring adjustment within the lower coastal reach to accommodate baseflow conditions, and the channel remains continuously adjusted solely to peak flow conditions. ©2020. American Geophysical Union. All Rights Reserved.</t>
  </si>
  <si>
    <t>2-s2.0-85086997484"</t>
  </si>
  <si>
    <t>Frontiers of Environmental Science and Engineering</t>
  </si>
  <si>
    <t>10.1007/s11783-020-1223-3</t>
  </si>
  <si>
    <t>https://www.scopus.com/inward/record.uri?eid=2-s2.0-85081737626&amp;doi=10.1007%2fs11783-020-1223-3&amp;partnerID=40&amp;md5=5bc0db895d27d58ab62fa069803930be</t>
  </si>
  <si>
    <t>In recent years, sudden water pollution accidents in China’s rivers have become more frequent, resulting in considerable effects on environmental safety. Therefore, it is necessary to simulate and predict pollution accidents. Simulation and prediction provide strong support for emergency disposal and disaster reduction. This paper describes a new two-dimensional water quantity and the quality model that incorporates a digital elevation model into the geographic information system. The model is used to simulate sudden water pollution accidents in the main stream of the Yangtze River and Jialing River in the Chongqing section of the Three Gorges Reservoir area. The sectional velocity distribution and concentration change of total phosphorus are then analyzed under four hydrological situations. The results show that the proposed model accurately simulates and predicts the concentration change and migration process of total phosphorus under sudden water pollution accidents. The speed of migration and diffusion of pollutants is found to be greatest in the flood season, followed by the water storage period, drawdown season, and dry season, in that order. The selection of an appropriate water scheduling scheme can reduce the peak concentration of river pollutants. This study enables the impact of pollutants on the ecological environment of river water to be alleviated, and provides a scientific basis for the emergency response to sudden water pollution accidents in the Three Gorges Reservoir area. [Figure not available: see fulltext.]. © 2020, Higher Education Press and Springer-Verlag GmbH Germany, part of Springer Nature.</t>
  </si>
  <si>
    <t>2-s2.0-85081737626"</t>
  </si>
  <si>
    <t>10.1029/2020JC016078</t>
  </si>
  <si>
    <t>https://www.scopus.com/inward/record.uri?eid=2-s2.0-85089895698&amp;doi=10.1029%2f2020JC016078&amp;partnerID=40&amp;md5=77015c5ab9497f129287b6762ed3a3d5</t>
  </si>
  <si>
    <t>Along open coasts, wind waves are a key driver of coastal changes and can be major contributors to coastal hazards. Wind wave characteristics are projected to change in response to climate change, notably due to changes in atmospheric circulation patterns and the associated surface winds. Here, a first-order estimate of projected 20-yr mean wave setup changes, excluding extreme events and subannual variability, is provided for sandy beaches along most of the world's coastline over the middle and end of the 21st century. Calculations are based on an ensemble of wave model projections under the representative concentration pathways (RCP) 8.5 and on empirical formulations for wave setup. Projected wave setup changes are compared to other contributors currently accounted for in regional sea level projections to extend existing projections of 21st century coastal sea level changes. Projected wave setup changes exhibit a clear spatial heterogeneity and mostly average out at global scale. However, at regional or local scale, wave setup changes are a small yet nonnegligible contributor to total coastal sea level 20-yr mean changes (which include global mean sea level rise, GMSLR) over the middle and end of the 21st century. Wave setup can be a substantial contributor to local departures of coastal sea level changes from GMSLR. Wave setup changes should therefore be included in projections of regional patterns of coastal sea level changes. The reported long-term changes in wave setup also advocate for the inclusion of nonstationary wave contributions to projected regional patterns of coastal sea level changes, including for studies on extreme events. ©2020. The Authors.</t>
  </si>
  <si>
    <t>2-s2.0-85089895698"</t>
  </si>
  <si>
    <t>Journal of Geodesy</t>
  </si>
  <si>
    <t>10.1007/s00190-020-01400-9</t>
  </si>
  <si>
    <t>https://www.scopus.com/inward/record.uri?eid=2-s2.0-85088576603&amp;doi=10.1007%2fs00190-020-01400-9&amp;partnerID=40&amp;md5=5008e1501a8321da6b53af70955d4f01</t>
  </si>
  <si>
    <t>The Russian Global Navigation Satellite System (GLONASS) satellites have a stretched body shape and take a specific attitude mode inside the eclipse. Based on previous studies, the new Empirical CODE orbit model (ECOM2) performs better than the classical ECOM model if a satellite has elongated shape or does not maintain yaw-steering mode, and the use of an a priori box-wing (BW) model improves the orbits significantly when employing the ECOM model. However, we find that the ECOM model performs better than the ECOM2 model for GLONASS satellites outside eclipse seasons, while it performs two times worse in eclipse seasons. The use of the conventional box-wing model results in very little improvement. By assessing the ECOM Y estimates, we conclude that there are potential radiators on the - x surface of GLONASS satellites causing orbit perturbations also inside the eclipse. The higher-order Fourier terms of the ECOM2 model can compensate for such effects better than the ECOM model. Based on this finding, we first confirm that GLONASS-K satellites take a similar attitude mode as GLONASS-M satellites inside the eclipse. Then, we adjust optical parameters of GLONASS satellites as part of precise orbit determination (POD) considering the potential radiator and thermal radiation effects. Finally, the adjusted parameters are introduced into a new box-wing model and jointly used with the ECOM and ECOM2 model, respectively. Results show that the amplitude and the dependency of the empirical parameters on the β angle are greatly reduced for both ECOM and ECOM2 models. Rather than the conventional box-wing model, the new box-wing model reduces the orbit misclosure between two consecutive arcs for both GLONASS-M and GLONASS-K satellites. In particular, the improvement in GLONASS-M satellites is more than 30% for the ECOM model during eclipse seasons. Further evaluation from 24-h predicted orbits demonstrates that the improvement during eclipse seasons is mainly in along- and cross-track directions. Finally, we validate GLONASS satellite orbits using Satellite Laser Ranging (SLR) observations. The use of the new box-wing model reduces the spurious pattern of the SLR residuals as a function of β and Δ u significantly, and the linear dependency of the SLR residuals on the elongation drops from as large as - 0.760 mm/deg to almost zero for both ECOM and ECOM2 models. In general, GLONASS-M satellites benefit more from the new a priori box-wing model and the BW+ECOM model results in the best SLR residuals, with an improvement of about 50% and 20%, respectively, for the mean and standard deviation (STD) values with respect to the orbit products without a priori model. © 2020, The Author(s).</t>
  </si>
  <si>
    <t>2-s2.0-85088576603"</t>
  </si>
  <si>
    <t>10.1029/2019JF005397</t>
  </si>
  <si>
    <t>https://www.scopus.com/inward/record.uri?eid=2-s2.0-85086903332&amp;doi=10.1029%2f2019JF005397&amp;partnerID=40&amp;md5=3e148a49c74dd85cec44c1bf698a0fce</t>
  </si>
  <si>
    <t>Intertidal shoals are vital components of estuaries. Tides, waves, and sediment supply shape the profile of estuarine shoals. Ensuring their sustainability requires an understanding of how such systems will react to sea level rise (SLR). In contrast to mudflats, sandy shoals have drawn limited attention in research. Inspired by a channel-shoal system in the Western Scheldt Estuary (Netherlands), this research investigates governing processes of the long-term morphodynamic evolution of intertidal estuarine sandy shoals across different timescales. We apply a high-resolution process-based numerical model (Delft3D) to generate a channel-shoal system in equilibrium and expose the equilibrium profile to variations in wave forcing and SLR. Combined tidal action and wave forcing initiate ridge formation at the seaward shoal edge, which slowly propagates landward until a linear equilibrium profile develops within 200 years. Model simulations in which forcing conditions have been varied to reproduce observations show that the bed is most dynamic near the channel-shoal interface. A decrease/increase in wave forcing causes the formation/erosion of small tidal levees at the shoal edge, which shows good resemblance to observed features. The profile recovers when regular wave forcing applies again. Sandy shoals accrete in response to SLR with a long (decades) bed-level adaptation lag eventually leading to intertidal area loss. This lag depends on the forcing conditions and is lowest near the channel and gradually increases landward. Adding mud makes the shoal more resilient to SLR. Our study suggests that processes near the channel-shoal interface are crucial to understanding the long-term morphodynamic development of sandy shoals. ©2020. The Authors.</t>
  </si>
  <si>
    <t>2-s2.0-85086903332"</t>
  </si>
  <si>
    <t>10.3390/RS12152351</t>
  </si>
  <si>
    <t>https://www.scopus.com/inward/record.uri?eid=2-s2.0-85089705096&amp;doi=10.3390%2fRS12152351&amp;partnerID=40&amp;md5=e6ddad64e8b2d15ffd1a78f80551d62d</t>
  </si>
  <si>
    <t>Coastal wetlands are productive ecosystems driven by highly dynamic hydrological processes such as tides and river discharge, which operate at daily to seasonal timescales, respectively. The scientific community has been calling for landscape-scale measurements of hydrological variables that could help understand the flow of water and transport of sediment across coastal wetlands. While in situ water level gauge data have enabled significant advances, they are limited in coverage and largely unavailable in many parts of the world. In preparation for the NISAR mission, we investigate the use of spaceborne Interferometric Synthetic Aperture Radar (InSAR) observations of phase and coherence at L-band for landscape-scale monitoring of water level change and vegetation cover in coastal wetlands across seasons. We use L-band SAR images acquired by ALOS/PALSAR from 2007 to 2011 to study the impact of seasonal changes in vegetation cover on InSAR sensitivity to water level change in the wetlands of the Atchafalaya basin located in coastal Louisiana, USA. Seasonal variations are observed in the interferometric coherence (γ) time-series over wetlands, with higher coherence during the winter and lower coherence during the summer. We show with InSAR time-series that coherence is inversely correlated with Normalized Difference Vegetation Index (NDVI). Our analysis of polarimetric scattering mechanisms demonstrates that double-bounce is the dominant mechanism in swamps while its weakness in marshes hinders estimation of water level changes. In swamps, water level change maps derived from InSAR are highly correlated (r2 = 0.83) with in situ data from the Coastwide Reference Monitoring System (CRMS). From October to December, we observed that the water level may be below wetland elevation and thus not inundating wetlands significantly. Our analysis shows that water level can only be retrieved when both images used for InSAR are acquired when wetlands are inundated. The L-band derived-maps of water level change show large scale gradients originating from the Gulf Intracoastal Waterway rather than the main delta trunk channel, confirming its significant role as a source of hydrologic connectivity across these coastal wetlands. These results indicate that NISAR, with its InSAR observations every 12 days, will provide the measurements necessary to reveal large scale hydrodynamic processes that occur in swamps across seasons. © 2020 by the authors.</t>
  </si>
  <si>
    <t>2-s2.0-85089705096"</t>
  </si>
  <si>
    <t>10.1016/j.eap.2020.02.008</t>
  </si>
  <si>
    <t>https://www.scopus.com/inward/record.uri?eid=2-s2.0-85079839271&amp;doi=10.1016%2fj.eap.2020.02.008&amp;partnerID=40&amp;md5=e6b9af1f1e44380c96fd05339554721a</t>
  </si>
  <si>
    <t>As part of the effort to address the degree of vulnerability and the potential risk of flooding from the rise in the sea level due to climate change, the coastal area of the Gironde delta (Estuaries of Gironde) shows that this vulnerability can be perceived only from an environmental point of view. In this paper, we seek to show an inextricable interaction between the pure environmental dimension and the population dimension. Currently, rising sea levels do not contribute in the same way to the potential emergence of flood risk of coastal areas such as river delta estuaries. This means that the concept of risk intensity should be carefully considered because a municipal unit that currently has a very low degree of vulnerability, could very well be subject to a change in its risk category in the future. This study indicates that local-regional bodies should focus on the fact that the group of municipalities that currently have a low level of vulnerability need to be able to cope with rising population pressures over a 2050-time horizon. Some municipalities currently showing low risk, may face a heightened risk in the future because, not only will new coastal areas and estuaries of the rivers face climate change induced flooding, but also likely population growth can cause an additional incidence of flooding. © 2020 Economic Society of Australia, Queensland</t>
  </si>
  <si>
    <t>2-s2.0-85079839271"</t>
  </si>
  <si>
    <t>10.1007/s11069-020-03974-1</t>
  </si>
  <si>
    <t>https://www.scopus.com/inward/record.uri?eid=2-s2.0-85084371341&amp;doi=10.1007%2fs11069-020-03974-1&amp;partnerID=40&amp;md5=aec58e784aac6fbb465b898eb8878b68</t>
  </si>
  <si>
    <t>Bibliometric analysis is a quantitative evaluation method for scientific research aiming at measuring knowledge expressed as scientific publications in a given field. This paper proposes to analyze the worldwide scientific production on social vulnerability of coastal populations through six bibliometric indicators: typology, historical evolution, geographic distribution, main sources, relevant authors and publications and recurring keywords. The research theme was chosen given the continuous increase of studies related to climatic changes and their consequences to populations in coastal zones. In total, 191 indexed documents covering the period from 1991 to 2019 were selected from the Scopus database, after the examination of more than 900 entries, and analyzed through VOSViewer software and the Bibliometrix R package. The results obtained confirmed the exponential growth of scientific production on this subject. Most frequently impacts considered were coastal flooding and erosion triggered by extreme events and the majority of studies have been presented as academic articles published in scientific journals. Moreover, most documents identified were site-specific, based on secondary data and associated with authors from the USA and the UK, with an emerging production related to authors from developing economies in recent years. Among the 658 authors found, only nine have published three or more articles on the theme, with citations highly concentrated in only four publications. The analysis also revealed the evolution of preferred keywords over time and the lack of consensus in the use of terminology. Studies about coastal social vulnerability were initially mostly focused on the evaluation of risks and exposure to hazards, evolving over time such that the focus shifted to adaptation measures seeking to minimize impacts from climate change to coastal zones. © 2020, Springer Nature B.V.</t>
  </si>
  <si>
    <t>2-s2.0-85084371341"</t>
  </si>
  <si>
    <t>10.1007/s12517-020-05667-2</t>
  </si>
  <si>
    <t>https://www.scopus.com/inward/record.uri?eid=2-s2.0-85088445047&amp;doi=10.1007%2fs12517-020-05667-2&amp;partnerID=40&amp;md5=223ce4b88f988f478e16c0d136670e5d</t>
  </si>
  <si>
    <t>The traditional interpretation of a legendary, though controversial, fourth century text of Ammianus Marcellinus is that an earthquake-generated tsunami hit Alexandria on 21 July 365. The causative earthquake is usually associated with the Aegean Arc, and it has been modeled through elastic dislocation of the up to 9 m uplift of Crete which occurred in ca. 365. A rather steep, intra-plate fault was inferred, and this predicts a regional tsunami, with about 0.6-m-high waves just offshore Alexandria. However, modeling does not reproduce the tsunami polarity clearly described by Ammianus, first major retreat of the sea and then flooding</t>
  </si>
  <si>
    <t>10.1007/s10652-019-09732-7</t>
  </si>
  <si>
    <t>https://www.scopus.com/inward/record.uri?eid=2-s2.0-85077639000&amp;doi=10.1007%2fs10652-019-09732-7&amp;partnerID=40&amp;md5=68eb7956d668069f08b66f01f6a8a1dd</t>
  </si>
  <si>
    <t>The accurate simulation of wetting–drying processes in floodplains and coastal zones is a challenge for hydrodynamic modelling, especially for long time simulations. Indeed, dedicated numerical procedures are generally time-consuming, instabilities can occur at the wet/dry front, rapid transition of wet/dry interface and mass conservation are not always ensured.We present the extension of an existing wetting–drying algorithm in two space dimensions and its application to a real case. The wetting–drying algorithm is implemented in Second-generation Louvain-la-Neuve Ice-ocean Model (www.slim-ocean.be), a discontinuous Galerkin finite element model solving the shallow water equations in a fully implicit way. This algorithm consists in applying a threshold value of fluid depth for a thin layer and a blending parameter in order to guarantee positive values of the water depth, while preserving local mass conservation and the well balanced property at wet/dry interfaces.The technique is first validated against standard analytical test cases (Balzano 1, Balzano 3 and Thacker test cases) and is subsquently applied in a realistic domain, the Tonle Sap Lake in the Mekong River Basin, where the water level can vary by about 10 m between the dry and the wet season. © 2020, Springer Nature B.V.</t>
  </si>
  <si>
    <t>2-s2.0-85077639000"</t>
  </si>
  <si>
    <t>10.1007/s11356-020-09177-2</t>
  </si>
  <si>
    <t>https://www.scopus.com/inward/record.uri?eid=2-s2.0-85085017193&amp;doi=10.1007%2fs11356-020-09177-2&amp;partnerID=40&amp;md5=d8038cf097a75995326990950ef7420a</t>
  </si>
  <si>
    <t>Effective coastal aquifer management typically relies on numerical models to analyze the seawater intrusion (SI) process. Before using groundwater simulation models to predict the extent of SI in the future, preparing input data is an extremely necessary and important step. For precipitation and sea-level rise (SLR), which are two of the most influential factors for SI, it is difficult to precisely forecast their variations. Current studies of using numerical models to predict future SI often overlook the uncertainty of these two factors. This can result in compromised predictions of SI. In this study, a three-dimensional variable-density groundwater simulation model was established for a coastal area in Longkou, China. Then, the Monte Carlo method was applied to perform uncertainty analysis for the input data of precipitation and SLR of the SI model. In order to reduce the huge computational load brought by repeated invocation of the SI model during the process of Monte Carlo simulation, a surrogate model based on a multi-gene genetic programming (MGGP) method was developed to replace the SI simulation model for calculation. A comparison between the MGGP surrogate model and the Kriging surrogate model was carried out, and the results show that the MGGP surrogate model has a distinct advantage over the Kriging surrogate model in approximating the excitation-response relationship of the variable-density groundwater simulation model. Through statistical analysis of Monte Carlo simulation results, an object and reasonable risk assessment of SI for the study area was obtained. This study suggests that it is essential to take the uncertainty of precipitation and SLR into account when modeling and predicting the extent of SI. © 2020, Springer-Verlag GmbH Germany, part of Springer Nature.</t>
  </si>
  <si>
    <t>2-s2.0-85085017193"</t>
  </si>
  <si>
    <t>10.1016/j.scitotenv.2020.138225</t>
  </si>
  <si>
    <t>https://www.scopus.com/inward/record.uri?eid=2-s2.0-85082769606&amp;doi=10.1016%2fj.scitotenv.2020.138225&amp;partnerID=40&amp;md5=1be3fa0f5411dcb12563b025e1ad947e</t>
  </si>
  <si>
    <t>The competition-to-stress hypothesis suggests that some competitively disadvantaged species are excluded from higher inundation estuaries due to abiotic stress (high flooding level) and from lower inundation estuaries by competition. How abiotic and biotic stress interactions affect plant growth and whether competition intensity and importance are stable along environmental gradients is a controversial subject. We explored the influence of two factors, and we clarified that inundation stress and invasion competition are the main reasons leading to the traits exhibited by target plant Suaeda salsa and population presence changes. Our results indicated that when the flooding height exceeded 13.4 cm, the S. salsa mortality rate was 90%–100%. At the lower flooding heights (&lt;13.4 cm), the S. salsa mortality rate when neighboring plants were present was 77.7%–100%, whereas, without neighbors it was 30.9%–83.7%. The invader Spartina alterniflora inhibited S. salsa plant height by 48%–77%, whereas the S. alterniflora inhibited S. salsa density by 11%–98% and reduced its biomass by 50.5%–90.1%. The changes in competition intensity and importance showed that the S. alterniflora had a distinct impact from the early germinant period to growing period (from May to July), finally stable no differences along the flooding height in the maturity period. At the same flooding level, the analysis of above and belowground competition by S. alterniflora showed that aboveground and belowground competition are the main causes of individual S. salsa inhibition. Our results confirm the competitive stress hypothesis, which is that competition shapes individual traits and population presence in the context of abiotic stress. This conclusion can guide the management and protection of native plants under biological invasion in a stressful environment. © 2020 Elsevier B.V.</t>
  </si>
  <si>
    <t>2-s2.0-85082769606"</t>
  </si>
  <si>
    <t>10.1007/s10064-020-01757-3</t>
  </si>
  <si>
    <t>https://www.scopus.com/inward/record.uri?eid=2-s2.0-85081356653&amp;doi=10.1007%2fs10064-020-01757-3&amp;partnerID=40&amp;md5=88be5986aa4b91a65975ea561b9681d0</t>
  </si>
  <si>
    <t>This paper discusses the behavior and contributing factors of land subsidence in the intersection area of Expressway (Expwy) 78 and Taiwan High Speed Rail (THSR), located on Choshui River alluvial fan-delta (CRAFD) to the midwest of Taiwan. Since the CRAFD has been suffering a long-time problem of land subsidence, the transportation safety of THSR and Expwy 78 thus has become a major concern. The subsidence of CRAFD can be attributed to several factors, including overexploitation of groundwaters for area development. However, additional loadings of Expwy 78 and THSR structures would appear to deteriorate the problem. It would be of interest to know the influence of various factors on subsidence of the study area where the subsidence has now become most serious along the entire THSR route. It would also be advisable to provide information on the potential effects of subsidence on the integrity of THSR structure. With these aims, we perform analyses on the subsidence of the area based on 8-year on-site monitoring and numerical simulations. Results indicate, in a period started approximately from Expwy 78 construction, the average subsiding rate would be 10.53 cm/year, with relative contributions of 14.1%, 55.2%, 11.8%, 11.6%, and 7.3%, respectively, by the factors of soil creeping, previous overpumping, groundwater fluctuations, and loadings of Expwy 78 and THSR. We also estimate 23% and 77% of total subsidence occurred as the compressions of soils within and beyond the installation depth of THSR piles, which might impair pile bearing capacity and vertical alignment, respectively, of THSR. © 2020, Springer-Verlag GmbH Germany, part of Springer Nature.</t>
  </si>
  <si>
    <t>2-s2.0-85081356653"</t>
  </si>
  <si>
    <t>10.1016/j.envsci.2020.05.003</t>
  </si>
  <si>
    <t>https://www.scopus.com/inward/record.uri?eid=2-s2.0-85084995890&amp;doi=10.1016%2fj.envsci.2020.05.003&amp;partnerID=40&amp;md5=1dc9efb32cb85a6798f4886ea44fa61d</t>
  </si>
  <si>
    <t>The attractiveness and urbanisation of coastal zones increase their vulnerability to climate change and sea-level rise, in particular to flooding and marine erosion. In the face of the projected increase in losses and damages, the anticipation and measures needed for adaptation involve physical, socioeconomic and political dimensions at different governance levels and timescales. A large literature addresses these various issues, generally in a targeted way. Drawing on adaptive policy pathways approaches and on research results of the past decade in mainland France, this article proposes an interdisciplinary characterisation of long-term adaptation pathways in coastal areas. Among the different variables and processes of change that characterise coastal zones and their future, particular emphasis is placed on social and institutional dynamics. This work contributes to the debate about adaptive governance in a highly uncertain context as well as to recent work to explore pathways and tipping points in support of climate adaptation policies. © 2020 Elsevier Ltd</t>
  </si>
  <si>
    <t>2-s2.0-85084995890"</t>
  </si>
  <si>
    <t>10.1016/j.envsci.2020.03.016</t>
  </si>
  <si>
    <t>https://www.scopus.com/inward/record.uri?eid=2-s2.0-85083072579&amp;doi=10.1016%2fj.envsci.2020.03.016&amp;partnerID=40&amp;md5=5bc08afadfcd1109b00e2bba533a5aeb</t>
  </si>
  <si>
    <t>In Mauritius island in the Indian Ocean, as in most low-lying coastal areas and Small Island Developing States in particular, coastal risks affect community livelihood, economic prosperity and the degradation of natural ecosystems. Risks of coastal erosion and marine flooding result both from climate-related ocean changes and anthropogenic drivers such as inappropriate coastal development and structural protection measures. Poor development planning and lack of coordination between public and private actors have increased the exposure of human assets along the Mauritius coastline. To reduce these risks, the government leads risk reduction activities in coastal zones, functioning on a centralized top-down governance approach. In recent years, this governance framework has been evolving by opening up participatory channels and exploring a long-term adaptation perspective. Progress is driven by international engagements and demonstration projects to embrace soft measures, nature-based options and integrated solutions. We review a selection of pilot projects undertaken by the government that illustrate flexibility in a ‘learning by doing’ model. However, we find that certain governance arrangements do not allow to draw the most from ad hoc projects because they do not feed into a long-term comprehensive plan. We consider the role of evidence and risk assessments, learning processes and coordination mechanisms as key governance mechanisms required for a robust and evolving national coastal risk reduction and adaptation policy framework. © 2020 Elsevier Ltd</t>
  </si>
  <si>
    <t>2-s2.0-85083072579"</t>
  </si>
  <si>
    <t>10.1016/j.catena.2019.104450</t>
  </si>
  <si>
    <t>https://www.scopus.com/inward/record.uri?eid=2-s2.0-85079407267&amp;doi=10.1016%2fj.catena.2019.104450&amp;partnerID=40&amp;md5=8c2017ed99438c1bbf2d74d1bf1dcdde</t>
  </si>
  <si>
    <t>The Sundarban Biosphere Reserve (SBR), which is one of the important coastal regions of India, is vulnerable to storm surge hazards. It experiences storm surge flood of varying magnitudes every year causing immense loss to life and property. Thus, an accurate storm surge flood susceptibility assessment in the Reserve is essential for safeguarding the coastal communities. The present study attempts to explore the effectiveness of the conventional frequency ratio, modified frequency ratio and support vector machine (SVM) models in storm surge flood susceptibility analysis. Core areas of the SBR and some areas along rivers experience very high and high susceptibility. Moderate susceptibility was prevalent in the north, north-western and some areas in the south-western parts of the Reserve while low susceptibility was observed in the western part of the Reserve (located away from the coast). The maps were validated using the receiver operator characteristic (ROC), the seed cell area index (SCAI), and the spatially agreed area approach. The area under the success rate (0.8347) and prediction rate (0.8221) curves was highest for the SVM model. Frequency ratio and modified frequency ratio models showed 71.2% spatially agreed area of susceptibility. The spatially agreed area of susceptibility was lower (65.1%) in case of modified frequency ratio and the SVM model while it was highest (83.2%) between the modified frequency ratio and SVM models. Thus, the SVM model was found to be the best fit model for analyzing storm surge flood susceptibility in SBR. © 2020 Elsevier B.V.</t>
  </si>
  <si>
    <t>2-s2.0-85079407267"</t>
  </si>
  <si>
    <t>10.3390/rs12111766</t>
  </si>
  <si>
    <t>https://www.scopus.com/inward/record.uri?eid=2-s2.0-85086478196&amp;doi=10.3390%2frs12111766&amp;partnerID=40&amp;md5=3ee9142ae808d9aad58b9fc4ee7cf73b</t>
  </si>
  <si>
    <t>We analyzed the impacts of islands on suspended sediment concentration (SSC) in Zhoushan Coastal waters based on data from HY-1C, which was launched in September 2018 in China, carrying Coastal Zone Imager (CZI) and Chinese Ocean Color and Temperature Scanner (COCTS) on it for offshore observation. A new SSC retrieved model was established based on the relationship between in situ SSC and the reflectance in red and near infrared bands of CZI image. Fifteen CZI images obtained from October to December 2019 were applied to retrieve SSC in Zhoushan coastal waters. The results show that SSC in study area is 100-1600 mg·L-1. The SSC near islands changes obviously. Upstream of the islands, SSC is lower than downstream. During the flood and ebb, when the current passes through the islands, circumfluence will appear, under certain geophysical factors, generating Karman vortex streets downstream of the islands. The sediments were stirred by the fast speed current at the outer side of vortex street to the sea surface inducing higher SSC at the outer side of the vortex street, while the central sediments of the vortex street were lower. In the direction of ocean currents, the SSC of the vortex street downstream of islands is changing regularly, i.e., increasing, then decreasing and increasing again and then decreasing in a snaking vortex street whose length downstream is between 1000 and 8000 m long. © 2020 by the authors.</t>
  </si>
  <si>
    <t>2-s2.0-85086478196"</t>
  </si>
  <si>
    <t>10.3390/rs12111733</t>
  </si>
  <si>
    <t>https://www.scopus.com/inward/record.uri?eid=2-s2.0-85086462834&amp;doi=10.3390%2frs12111733&amp;partnerID=40&amp;md5=028dbc58b379c5666cd398f3b83f314c</t>
  </si>
  <si>
    <t>This article presents a case study that demonstrates the applicability of unmanned aerial vehicle (UAV) photogrammetric data to land surface deformation monitoring in areas affected by underground mining. The results presented include data from two objects located in the Upper Silesian Coal Basin in Poland. The limits of coordinate and displacement accuracy are determined by comparing UAV-derived photogrammetric products to reference data. Vertical displacements are determined based on differences between digital surface models created using UAV imagery from several measurement series. Interpretation problems related to vegetation growth on the terrain surface that significantly affect vertical displacement error are pointed out. Horizontal displacements are determined based on points of observation lines established in the field for monitoring purposes, as well as based on scattered situational details. The use of this type of processing is limited by the need for unambiguous situational details with clear contours. Such details are easy to find in urbanized areas but difficult to find in fields and meadows. In addition, various types of discontinuous deformations are detected and their development over time is presented. The results are compared to forecasted land deformations. As a result of the data processing, it has been estimated that the accuracy of the determination of XY coordinates and the horizontal displacements (RMS) in best case scenario is on the level of 1.5-2 GSD, and about 2-3 GSD for heights and subsidence. © 2020 by the authors.</t>
  </si>
  <si>
    <t>2-s2.0-85086462834"</t>
  </si>
  <si>
    <t>10.1029/2019EA001056</t>
  </si>
  <si>
    <t>https://www.scopus.com/inward/record.uri?eid=2-s2.0-85089843015&amp;doi=10.1029%2f2019EA001056&amp;partnerID=40&amp;md5=efe7fbda83421ecf7deb0a17771fbb7e</t>
  </si>
  <si>
    <t>It is a very difficult task to analyze the spatial and temporal variability of storm surge activity with current monitoring methods, because tide gauge observation, satellite altimeter, and numerical simulation do not ensure sufficient spatial and temporal resolution and temporal coverage at the same time. We propose to use a reanalysis data set, which covers the period from 1958 to 2016, to statistically reconstruct the daily maximum storm surge levels in the southeastern coastal area of China. Then, we used the Geographical Differential Analysis (GDA) calibration to correct the reconstruction results. The verification of the statistical model and the calibration results show that both the statistical model and the GDA calibration have a good accuracy in terms of high correlations and small errors. However, they also reveal a variable spatial quality of the multivariate statistical model in the reconstructed maximum storm surge levels, especially in the extreme events of the storm surge activity, the daily maximum surge is often underestimated. The GDA calibration result readily solves this problem, as it can accurately reflect not only the daily maximum storm surge levels but also the whole spatial and temporal dynamic storm surge evolution process. Therefore, this work provides an effective method to establish long-term sequence and high-precision daily maximum storm surge levels. This method can reveal the spatial and temporal evolution features of storm surge intensity at a climatic scale and main variability features. Moreover, it can predict possible trends in the geospatial distribution pattern of storm surge intensity in the context of future climate change. ©2020. The Authors.</t>
  </si>
  <si>
    <t>2-s2.0-85089843015"</t>
  </si>
  <si>
    <t>10.1029/2019WR026850</t>
  </si>
  <si>
    <t>https://www.scopus.com/inward/record.uri?eid=2-s2.0-85088571211&amp;doi=10.1029%2f2019WR026850&amp;partnerID=40&amp;md5=ed9384a94eee718fb6f2b1b48cb7f4bb</t>
  </si>
  <si>
    <t>The systematic response of coastal ecosystems to inundation and salinity exposure is fundamental to their ecology and biogeochemical function. Here we observe and model freshwater-seawater interactions in a first-order stream—floodplain system where tidal access was recently restored. Subsurface flow and transport modeling were used to quantify and better understand the interplay of processes, properties, and conditions that control water level and salinity in the floodplain to the tidal stream. Water levels in the stream were highly correlated with tidal forcing, which resulted in episodic inundation of the floodplain at quasi-monthly frequency. The tidal stream is the only source of salinity to the floodplain, yet shallow groundwater salinity was considerably higher than average stream salinity. The low-permeability clay floodplain soils limit lateral groundwater flow and transport, resulting in floodplain groundwater and salinity dynamics driven almost exclusively by infiltration during inundation events. As inundation occurs during high tide, estuarine waters reach the floodplain with minor attenuation in salinity from the stream's freshwater discharge. Infiltration and salinity exposure are topography controlled and regulated by ponding depth and duration, seasonal ground saturation, and depth to water table. The model suggests that floodplain salinity is currently in an early stage of transition from pre-restoration freshwater conditions and will not reach equilibrium for ~20 years. These findings have broad relevance for understanding how and over what time scales coastal ecosystems will respond to increasing seawater exposure from sea level rise, ocean-originating storms, and changes in natural and man-made barriers. ©2020. The Authors.</t>
  </si>
  <si>
    <t>2-s2.0-85088571211"</t>
  </si>
  <si>
    <t>Geotectonics</t>
  </si>
  <si>
    <t>10.1134/S0016852120040093</t>
  </si>
  <si>
    <t>https://www.scopus.com/inward/record.uri?eid=2-s2.0-85091286341&amp;doi=10.1134%2fS0016852120040093&amp;partnerID=40&amp;md5=88e89c0dd018fbe1af59137f73155e8f</t>
  </si>
  <si>
    <t>Abstract: Globally the remote sensing and geomorphometric analysis are frequently used for the assessment of tectonic activity. We used satellite-driven DEM data to analyze regional scale fluvial landform development in the parts of the central section of the Indo-Nepal Himalayan mountain chain, which is attributed the active deformation along the strike of major thrust. This deformation is accompanied by coexisting river incision and base-level fall along the longitudinal river course. These anomalies are obtained through conventional geomorphic parameters namely, stream-gradient index (SL), and steepness index (Ks) along with a new method called river Gradient Length Anomaly (GLA) analysis. GLA is a lied to deduct surface uplift and subsidence at the intersection between drainage basin and active thrusts. The deviations (offset) occurred along the river course are attributed to long-term active tectonic movement along thrust/fault or because of erosion/sedimentation processes. We analyzed 16 south-flowing rivers (e.g. Sarda, Kauriala, Girwa, and Babai), across the major Himalayan thrusts such as Main Boundary Thrust (MBT), Ramgarh Thrust (RT) and Himalayan Frontal Fault (HFT). The computed values of SL along the longitudinal course of these rivers range between 0.9‒4153 and Ks ranges from 0.1 to 173. The anomalous rise of SL and Ks values close to the major thrust points toward ongoing tectonics in the basin. The estimated results of fault parameters show that the horizontal shortening is higher than the vertical uplift. The empirical relationship of slip rate along the fault segments is estimated as 1.21, 2.65 and 1.084 mm/y respectively. Based on fault parameter, and abnormal GLA, SL and Ks analysis, and slip rate, a new E‒W oriented active fault structure have been inferred, which passes through the Beldandi, Bilsan, Bachua, Nandgaon, Dhagadhi Surat Nagar, and Bhagwanpur locations. The combined results of the present investigation can be used for evaluation of seismic hazard in the central section of Indo‒Nepal Himalayan front. © 2020, Pleiades Publishing, Inc.</t>
  </si>
  <si>
    <t>2-s2.0-85091286341"</t>
  </si>
  <si>
    <t>10.1016/j.ijrmms.2020.104329</t>
  </si>
  <si>
    <t>https://www.scopus.com/inward/record.uri?eid=2-s2.0-85082759402&amp;doi=10.1016%2fj.ijrmms.2020.104329&amp;partnerID=40&amp;md5=7ad3c3c6e9f054cadcb019c09febe510</t>
  </si>
  <si>
    <t>This work proposed a progressive-sectional failure model (PSFM) based on Particle Flow Code (PFC) to simulate top coal drawing process in longwall top coal caving (LTCC) mining. The progressive-sectional fracturing of top coal was reproduced in simulation. 4 drawing schemes are numerically performed by considering drawing sequences and strategies. The results of simulations were compared in terms of top coal drawn out mass, drawing body, top coal recovery ratio (TCRR), top coal loss, etc. The results show that TCRR in PSFM is closer to average TCRR based on 9 LTCC coal mines measured in-situ. The top coal loss in PSFM is larger than loose granular model (LGM). The top coal boundary (TCB) in PSFM shows a “step” subsidence and is different from that in LGM. The factors to influence initial drawing body (IDB) are comprehensively analysed. A new mathematical model was proposed to specifically characterize IDB in LTCC. The results show that new model is well consistent with simulation results and is much more effective and accurate than former models. © 2020 Elsevier Ltd</t>
  </si>
  <si>
    <t>2-s2.0-85082759402"</t>
  </si>
  <si>
    <t>10.1016/j.ejrh.2020.100703</t>
  </si>
  <si>
    <t>https://www.scopus.com/inward/record.uri?eid=2-s2.0-85087087652&amp;doi=10.1016%2fj.ejrh.2020.100703&amp;partnerID=40&amp;md5=cbfbf37ec1e92f6578be50d91fb616c4</t>
  </si>
  <si>
    <t>Study region: The Inner Niger Delta (IND), Mali, West Africa, is a vast floodplain with abundant natural resources that supports the livelihood of about two million people. Ecosystem services in the IND are strongly affected by flood dynamics. Study focus: An accessible yet accurate flood extent estimation method is crucial for the management of natural resources in the IND. The relationships between water levels and inundation extents are examined for both the rising and receding flood periods, using the outputs of a 2D hydrodynamic model. Inundation extents derived from MODIS images were used to validate the result. New hydrological insight for the region: The relationship between water levels and flooded areas in the IND changes from year to year due to the amplitude of the incoming flood. Equations were developed to capture that dynamic relationship and estimate flood extent in real-time from September to the end of flood using water levels at Mopti. The relationship is dependent on the maximum water level at Mopti and maximum flooded area which was forecasted using streamflow and precipitation in the Upper Niger Basin. Results show that in addition to forecasting the maximum inundation ahead of time, the inundation predicted with the method shows improvement over the existing formulas by Mahé et al. (2011), Zwart et al. (2005), and Mariko (2003). © 2020 The Author(s)</t>
  </si>
  <si>
    <t>2-s2.0-85087087652"</t>
  </si>
  <si>
    <t>10.3390/rs12142228</t>
  </si>
  <si>
    <t>https://www.scopus.com/inward/record.uri?eid=2-s2.0-85088654561&amp;doi=10.3390%2frs12142228&amp;partnerID=40&amp;md5=3c9ac54c0563d7dc0ce0cdc2597568c8</t>
  </si>
  <si>
    <t>The coastal zone offers among the world's most productive and valuable ecosystems and is experiencing increasing pressure from anthropogenic impacts: human settlements, agriculture, aquaculture, trade, industrial activities, oil and gas exploitation and tourism. Earth observation has great capability to deliver valuable data at the local, regional and global scales and can support the assessment and monitoring of land- and water-related applications in coastal zones. Compared to optical satellites, cloud-cover does not limit the timeliness of data acquisition with spaceborne Synthetic Aperture Radar (SAR) sensors, which have all-weather, day and night capabilities. Hence, active radar systems demonstrate great potential for continuous mapping and monitoring of coastal regions, particularly in cloud-prone tropical and sub-tropical climates. The canopy penetration capability with long radar wavelength enables L-band SAR data to be used for coastal terrestrial environments and has been widely applied and investigated for the following geoscientific topics: mapping and monitoring of flooded vegetation and inundated areas</t>
  </si>
  <si>
    <t>10.1016/j.scitotenv.2020.137452</t>
  </si>
  <si>
    <t>https://www.scopus.com/inward/record.uri?eid=2-s2.0-85080047530&amp;doi=10.1016%2fj.scitotenv.2020.137452&amp;partnerID=40&amp;md5=0b712bfc4f6fdb41db3420fa6431bdcb</t>
  </si>
  <si>
    <t>The operativity of the transport infrastructures and urban developments protected by coastal structures is conditioned by flooding events and the resulting wave overtopping. This work presents a methodology to assess the operational conditions of infrastructures located in coastal areas based on the combination of advanced statistical techniques, laboratory experiments and state-of-the-art numerical models properly validated. It is applied to a case study in the SW coast of England, the railway seawall at Dawlish, which was subjected to recurrent wave overtopping until its dramatic collapse in February 2014. To quantify the increase in overtopping discharges with wave height and water level, we define an ad hoc variable, the effective overtopping forcing, which explains 98% of the variability of the overtopping discharge. The return periods associated to the operational thresholds for coastal structures protecting people and railways are also obtained. The proposed methodology enables the assessment of the overtopping discharge induced by a given sea state and, thus, check if a coastal infrastructure will be or not operational under any expected marine condition. This innovative methodology can also be used to analyse the flooding event consequences on urban areas protected by coastal infrastructures. © 2020 Elsevier B.V.</t>
  </si>
  <si>
    <t>2-s2.0-85080047530"</t>
  </si>
  <si>
    <t>10.1016/j.esg.2020.100062</t>
  </si>
  <si>
    <t>https://www.scopus.com/inward/record.uri?eid=2-s2.0-85104387316&amp;doi=10.1016%2fj.esg.2020.100062&amp;partnerID=40&amp;md5=9348225fb89f73e0ef76061fc26223dc</t>
  </si>
  <si>
    <t>Increased river flows and sea level rise in a changing climate are of great concern in deltas and makes sustainability particularly important for delta societies. This article reviews current approaches to assess delta sustainability, results of these assessments and what they mean for policies regarding deltas. We particularly ask whether deltas need transformations in order for delta living to be feasible in the future. The reviewed literature is mostly based on socio-ecological systems theory with small contributions from socio-technical systems theory, and struggles to take account of all relevant interrelationships. The technological interventions that shape the relationships between societies and delta environments should be highlighted by considering deltas as complex socio-ecological-cum-technical systems, in part because technological interventions are the most feasible societal response to secure delta living in the short term. The reviewed research suggests that most deltas are locked-in to an irreversible path towards unsustainability. We examine the pathways for transformation offered by socio-ecological systems and socio-technical systems research, and we assess whether they are technically and politically sufficient, feasible and acceptable to achieve the required transformations. We conclude that while the experimentation advocated in research may support local adjustments, their up-scaling to delta level is challenged by political disagreement and societal resistance. © 2020 The Authors</t>
  </si>
  <si>
    <t>2-s2.0-85104387316"</t>
  </si>
  <si>
    <t>Experimental Results</t>
  </si>
  <si>
    <t>10.1017/exp.2020.35</t>
  </si>
  <si>
    <t>https://www.scopus.com/inward/record.uri?eid=2-s2.0-85108835212&amp;doi=10.1017%2fexp.2020.35&amp;partnerID=40&amp;md5=388abaeb3c294f843ed756d9a2dc21c0</t>
  </si>
  <si>
    <t>Understanding the effects of predicted rising sea levels, combined with changes in precipitation and freshwater inflow on key estuarine ecosystem engineers such as the eastern oyster would provide critical information to inform restoration design and predictive models. Using oyster ladders with shell bags placed at three heights to capture a range of inundation levels, oyster growth of naturally recruited spat was monitored over the course of 6 months. Oyster numbers and shell heights were consistently highest in bottom and mid bags experiencing greater than 50% inundation (mid: 63 ± 7%</t>
  </si>
  <si>
    <t>10.3390/rs12111731</t>
  </si>
  <si>
    <t>https://www.scopus.com/inward/record.uri?eid=2-s2.0-85086443073&amp;doi=10.3390%2frs12111731&amp;partnerID=40&amp;md5=5560387c28a4019b4b0fa73acf42cb84</t>
  </si>
  <si>
    <t>This study presents a risk prediction of coastal hazards induced by typhoons, which are a severe natural hazard that often occur in coastal regions. Taking the coastal hazards happened in Shenzhen as a case study, where is a southeast coastal city of China, we described a methodology to predict the typhoon wind-surge-wave hazard. A typhoon empirical tracking model was adopted to construct full-track typhoon events for 1000 years, based on the statistical characteristics of observed typhoons from satellite imageries. For each individual typhoon, a wind-field model is applied to compute the wind speeds, while the Simulating Waves Nearshore and Advanced Circulation (SWAN+ADCIRC) coupled model is applied to simulate the significant wave heights (SWHs) and storm surge heights. By frequency distribution histogram, it is noted that there exhibits a heavy tail in the probability distribution of maximum surge heights and a thin tail of the peak wind speeds and SWHs in the coastal area of Shenzhen, China. Using the Generalized Pareto Distribution (GPD) model, the extreme values of typhoon wind-surge-wave associated with various return periods can be predicted. Taking account into the combined effects of the wind, surge and wave, the joint hazard maps of typhoon wind-surge-wave can be produced for the study area. The methodology of this case study can provide a new reference for risk prediction of coastal hazards induced by typhoon in similar coastal regions like Shenzhen, China. © 2020 by the authors.</t>
  </si>
  <si>
    <t>2-s2.0-85086443073"</t>
  </si>
  <si>
    <t>10.1177/0309133319879324</t>
  </si>
  <si>
    <t>https://www.scopus.com/inward/record.uri?eid=2-s2.0-85074030469&amp;doi=10.1177%2f0309133319879324&amp;partnerID=40&amp;md5=04c68e3997a9fb7ffa19bd9d649a3043</t>
  </si>
  <si>
    <t>There is growing interest in storm surge activity related to catastrophic events and their unintended consequences in terms of casualties and damage around the world and in increasing populations and issues along coastal areas in the context of global warming and rising sea levels. Accordingly, knowledge on storm surge monitoring has progressed significantly in recent years, and this review, focused on monitoring the spatial and temporal variability of storm surges, responds to the need for a synthesis. Three main components are presented in the review: (1) monitoring storm surges from the viewpoint of three effective approaches; (2) understanding the challenges faced by the three monitoring approaches to increase our awareness of monitoring storm surges; (3) identifying three research priorities and orientations to provide new ideas in future storm surge monitoring. From the perspective of monitoring approaches, recent progress was achieved with respect to tide gauges, satellite altimetry and numerical simulation. Storm surge events can nowadays be identified accurately, and the surge heights can be calculated based on long-term tide gauge observations. The changing frequency and intensity of storm surge activity, combined with statistical analysis and climatology, can be used to enable a better understanding of the possible regional or global long-term trends. Compared with tidal observation data, satellite altimetry has the advantage of providing offshore sea level information to an accuracy of 10 cm. In addition, satellite altimetry can provide more effective observations for studying storm surges, such as transient surge data of the deep ocean. Simultaneously, the study of storm surges via numerical simulation has been further developed, mainly reflected in the gradual improvement of simulation accuracy but also in the refinement of comprehensive factors affecting storm surge activity. However, from the above approaches, storm surge activity monitoring cannot fully reflect the spatial and temporal variability of storm surges, especially the spatial changes at a regional or global scale. In particular, compared to global storm surge, tide gauges and satellite altimeters are relatively sparse, and the spatial distribution is extremely uneven, which often seriously restricts the overall understanding of the spatial distribution features of storm surge activity. Numerical models can be used as a tool to overcome the above-mentioned shortcomings for storm surge monitoring, as they provide real-time spatiotemporal features of storm surge events. But long-term numerical hindcast of tides and surges requires an extremely high computational effort. Considering the shortcomings of the above approaches and the impact of climate change, there is no clear approach to remedy the framework for studying the spatial and temporal characteristics of global or regional storm surge activity at a climatic scale. Therefore, we show how new insights or techniques are useful for the monitoring of future crises. This work is especially important in planning efforts by policymakers, coastal managers, civil protection managers and the general public to adapt to climate change and rising sea levels.</t>
  </si>
  <si>
    <t>Waste Management</t>
  </si>
  <si>
    <t>10.1016/j.wasman.2020.06.042</t>
  </si>
  <si>
    <t>https://www.scopus.com/inward/record.uri?eid=2-s2.0-85087867858&amp;doi=10.1016%2fj.wasman.2020.06.042&amp;partnerID=40&amp;md5=c15f519368644c450890ee85c6543571</t>
  </si>
  <si>
    <t>Flood waste management is important for reducing the damage and secondary environmental pollution caused by delays in disaster recovery. One key issue related to flood waste management concerns estimating the precise quantity of waste to plan recovery strategies and policies. In this study, an advanced flood waste estimation technique was devised using data stratification. In total 90 flood cases in South Korea were sorted by three strata characteristics: administrative region (AR</t>
  </si>
  <si>
    <t>10.1016/j.atmosres.2020.104942</t>
  </si>
  <si>
    <t>https://www.scopus.com/inward/record.uri?eid=2-s2.0-85081694939&amp;doi=10.1016%2fj.atmosres.2020.104942&amp;partnerID=40&amp;md5=8a7d5878e92c9f857a013aa85f39fc0f</t>
  </si>
  <si>
    <t>The objective of this paper is to investigate the projected regional responses of univariate and bivariate behaviors of extreme precipitation to climate change over the upper-middle Huaihe River Basin. Based on twelve GCM outputs under historical, RCP4.5 and the observations at 32 rainfall stations, the equidistant cumulative distribution function matching method (EDCDFm) was utilized to bias correct daily precipitation during the historical (1961–2005) and future (2021–2080) periods. Four precipitation indices combinations were introduced based on eight precipitation indices to characterize the regional-scale changes of precipitation events, which designate the duration, intensity and amount of heavy and weak precipitation in a year. Their dependence structures were captured by Copulas. Kendall return period (KRP) were applied to discuss hazard scenarios and we quantified the spatial variability of KRPs under different marginal values. The results indicated that projected precipitation characteristics including the average intensity, the amount of annual precipitation, the intensity and amount of extreme precipitation together with annual extremes displayed increasing trends, while the changes of consecutive wet and dry days did not present pronounced trends. Decreased KRPs in the vast majority of the territory manifested that the frequency of simultaneous floods and droughts in a year as well as that of extreme heavy precipitation events would augment. Obvious spatial heterogeneity of the changes of KRP was partly attributed to the topography difference, especially the coastal areas along the main stream of the Huaihe River. Consequently, there will be a higher risk of water resources-related issues in this region for upcoming decades. © 2020 Elsevier B.V.</t>
  </si>
  <si>
    <t>2-s2.0-85081694939"</t>
  </si>
  <si>
    <t>10.2112/JCOASTRES-D-19-00108.1</t>
  </si>
  <si>
    <t>https://www.scopus.com/inward/record.uri?eid=2-s2.0-85089265658&amp;doi=10.2112%2fJCOASTRES-D-19-00108.1&amp;partnerID=40&amp;md5=0d8b9bfd23bb14f35184a947f4c4d240</t>
  </si>
  <si>
    <t>This study investigates the relationship between faulting, subsidence, and land loss in coastal Louisiana. A methodology that integrates three-dimensional (3D) seismic data, well logs, high-resolution topographic mapping (LIDAR), and historical aerial photography is successfully developed to identify fault-related geomorphic changes in southwestern Louisiana's Chenier Plain. Analysis of a 3D seismic survey and well logs reveals the presence of 10 normal faults that form an east-west graben in the middle of the study area. Well logs were used to further constrain the geometry of the faults. Shallow water well logs were used to map the faults at shallow depth, below the resolution of the seismic survey. Fault traces were extrapolated to the surface by maintaining constant dip and projected on LIDAR data. Elevation profiles derived from the LIDAR were conducted across the different faults, and results show that a distinct difference between the upthrown and downthrown sides of the faults occurs. Historical aerial photographs were used to investigate any change in geomorphology from 1953 to 2017 within the study area. Results reveal the occurrence of water bodies on the immediate downthrown sides of suspected fault traces. These findings suggest that faulting influences and focuses areas where subsidence is happening and subsequent land loss may occur, and detailed understanding of active shallow faulting in coastal areas can be used to identify regions that are at risk of land loss.  © Coastal Education and Research Foundation, Inc. 2020.</t>
  </si>
  <si>
    <t>2-s2.0-85089265658"</t>
  </si>
  <si>
    <t>10.1007/s11252-020-00941-3</t>
  </si>
  <si>
    <t>https://www.scopus.com/inward/record.uri?eid=2-s2.0-85079733972&amp;doi=10.1007%2fs11252-020-00941-3&amp;partnerID=40&amp;md5=ff2f6f9c8d2dc8fa4a3a4709f002d04e</t>
  </si>
  <si>
    <t>Natural conditions and indigenous culture are fundamental factors creating the hydrological landscape system of the Vietnamese Mekong Delta. A study of the indigenous landscape is critical to understanding the interaction between human activities and natural processes, thereby enhancing the delta’s ability to cope with climate change and to control floods. This paper uses a case study of Can Tho City (CTC) to analyze the spatial distribution pattern of the local landscape system and explores how indigenous knowledge contributes to the sustainability of this landscape. The outcomes show (1) the complexity of balancing territorial organization and agriculture needs and (2) the combination between these two factors and local knowledge of flood resilience making it possible to preserve a landscape system concerning complex hydrological dynamics, in the downstream section of the Mekong River Basin. This paper argues that knowledge of indigenous agriculture cultivation and the functioning of local landscape system should be respected and used in the process of urban design to maintain sustainability over time. A scenario is discussed to emphasize the balance needed between a human-made environment and natural hydrodynamics to preserve the local landscape system and thereby enhance urban resilience to floods and climate change. © 2020, Springer Science+Business Media, LLC, part of Springer Nature.</t>
  </si>
  <si>
    <t>2-s2.0-85079733972"</t>
  </si>
  <si>
    <t>10.1002/hyp.13773</t>
  </si>
  <si>
    <t>https://www.scopus.com/inward/record.uri?eid=2-s2.0-85083653965&amp;doi=10.1002%2fhyp.13773&amp;partnerID=40&amp;md5=2ab46f42b48aa5de6b8c1c9af3f9c3b5</t>
  </si>
  <si>
    <t>Both natural changes (e.g., tidal forcing from the ocean and global sea level rise) and human-induced changes (e.g., dredging for navigation, sand excavation, and land reclamation) exert considerable influences on the long-term evolution of tidal regimes in estuaries. Evaluating the impacts of these factors on tidal-regime shifts is particularly important for the protection and management of estuarine environments. In this study, an analytical approach is developed to investigate the impacts of estuarine morphological alterations (mean water depth and width convergence length) on tidal hydrodynamics in Lingdingyang Bay, Southeast China. Based on the observed tidal levels from two tidal gauging stations along the channel, tidal wave celerity and tidal damping/amplification rate of different tidal constituents are computed using tidal amplitude and phase of tidal constituents extracted from a standard harmonic analysis. We show that the minimum mean water depth for the whole estuary occurred in 2006, whereas a shift in tidal wave celerity for the M2 tide component occurred in 2009. As such, the study period (1990–2016) could be separated into pre-human (1990–2009) and post-human (2010–2016) phases. Our results show that the damping/amplification rate and celerity of the M2 tide have increased by 31% (from 7 to 9.2 m−1) and 28% (from 7 to 9 m·s−1) respectively, as a consequence of the substantial impacts of human interventions. The proposed analytical method is subsequently applied to analyse the historical development of tidal hydrodynamics and regime shifts induced by human interventions, thus linking the evolution of estuarine morphology to the dominant tidal hydrodynamics along the channel. The observed tidal regime shift is primarily caused by channel deepening, which substantially enlarged the estuary and reduced effective bottom friction resulting in faster celerity and stronger wave amplification. Our proposed method for quantifying the impacts of human interventions on tidal regime shifts can inform evidence-based guidelines for evaluating hydraulic responses to future engineering activities. © 2020 John Wiley &amp; Sons Ltd</t>
  </si>
  <si>
    <t>2-s2.0-85083653965"</t>
  </si>
  <si>
    <t>10.1016/j.jtrangeo.2020.102774</t>
  </si>
  <si>
    <t>https://www.scopus.com/inward/record.uri?eid=2-s2.0-85086866147&amp;doi=10.1016%2fj.jtrangeo.2020.102774&amp;partnerID=40&amp;md5=3f76d2cf49e7afa3e68277881e6c5790</t>
  </si>
  <si>
    <t>Floods are becoming more frequent and the magnitude of direct consequences, relating to destruction of critical infrastructure and loss of life, has highlighted the importance of flood management. This study proposes a methodology for quantifying the impact of predicted and historic flood events on emergency services. The approach moves beyond simple flood inundation mapping by accounting for the relationship between flood depth and vehicular speed. A case study is presented for Calgary, Alberta, where the depths of a predicted 100-year flood and a historic 2013 flood event are modeled. The methodology applies geographic information systems to flood depth mapping, utilizing digital elevation models, flood extents, and hydrological data. Flood depths are then assigned to links comprising the road network, where the maximum vehicle speed is calculated as a function of the standing depth of water on a link. The flooded network is used to derive service areas for several types of emergency services (emergency medical services (EMS), fire, and police), following targeted response times. The results locate and quantify the residential and work populations that no longer meet the targeted response times. During both flood scenarios, EMS is found to have the greatest reduction in accessibility, with 23% and 47% of residents and workers, respectively, not served. Fire services are seen to be more resilient with only 3% and 9% of residents and workers, respectively, not served. The results for police services are similar to fire services. However, the former have a greater range of response times, meaning these areas represent those that are completely isolated during both flood events. Overall, the integrated methodology quantifies vulnerable populations on a partially degraded network, the results of which can be used to develop evacuation plans and emergency response strategies. © 2020 Elsevier Ltd</t>
  </si>
  <si>
    <t>2-s2.0-85086866147"</t>
  </si>
  <si>
    <t>10.1016/j.compgeo.2019.103429</t>
  </si>
  <si>
    <t>https://www.scopus.com/inward/record.uri?eid=2-s2.0-85082538789&amp;doi=10.1016%2fj.compgeo.2019.103429&amp;partnerID=40&amp;md5=70e92e260ea9ea61eca189169f387fc5</t>
  </si>
  <si>
    <t>Rockfill materials undergo additional deformation when immersed in water under constant-stress conditions. This phenomenon caused by flooding is called wetting deformation. Researchers have investigated wetting deformation via many factors through laboratory tests on scaled materials. However, the size effect on wetting deformation has seldom been studied due to the limited size of test equipment. To investigate this topic, a set of single-particle crushing tests was conducted on Gushui rockfill materials under wet and dry conditions, and triaxial wetting tests of samples with different grain sizes under constant confining pressure and stress ratio conditions were simulated by discrete element method (DEM). The single-particle crushing tests showed that wetting significantly reduced particle strength and stiffness and that particle strength decreased with increasing particle size. The stress-strain curves obtained by the DEM simulations were in good agreement with the experimental results. The wetting deformation of the large-sized sample was larger than that of the small-sized sample, especially under a high stress ratio and confining pressure. The wetting volumetric and axial strains had a linear relationship during flooding, and their ratio was greatly affected by the stress ratio. The size effect on wetting behavior should not be ignored, especially for high-rockfill dams. © 2020 Elsevier Ltd</t>
  </si>
  <si>
    <t>2-s2.0-85082538789"</t>
  </si>
  <si>
    <t>10.3390/atmos11070725</t>
  </si>
  <si>
    <t>https://www.scopus.com/inward/record.uri?eid=2-s2.0-85088141365&amp;doi=10.3390%2fatmos11070725&amp;partnerID=40&amp;md5=aee7e391e4a2ba375464370036cfba13</t>
  </si>
  <si>
    <t>It is well known that seawalls are effective at stopping common storm surges in urban areas. This paper examines whether seawalls should be built to withstand the storm surge from a major tropical cyclone. We estimate the extra cost of building the wall tall enough to stop such surges and the extra flood benefit of this additional height. We estimate the surge probability distribution from six tidal stations spread along the Atlantic seaboard of the United States. We then measure how valuable the vulnerable buildings behind a 100 m wall must be to justify such a tall wall at each site. Combining information about the probability distribution of storm surge, the average elevation of protected buildings, and the damage rate at each building, we find that the value of protected buildings behind this 100 m wall must be in the hundreds of millions to justify the wall. We also examine the additional flood benefit and cost of protecting a km2 of land in nearby cities at each site. The density of buildings in coastal cities in the United States are generally more than an order of magnitude too low to justify seawalls this high. Seawalls are effective, but not at stopping the surge damage from major tropical cyclones. © 2020 by the authors.</t>
  </si>
  <si>
    <t>2-s2.0-85088141365"</t>
  </si>
  <si>
    <t>10.1016/j.geoforum.2020.05.023</t>
  </si>
  <si>
    <t>https://www.scopus.com/inward/record.uri?eid=2-s2.0-85086411742&amp;doi=10.1016%2fj.geoforum.2020.05.023&amp;partnerID=40&amp;md5=bcd58ae0e9239d0c1ada4d64a9badea3</t>
  </si>
  <si>
    <t>Using flood risks and potential impacts of sea level change within the U.S. Great Lakes region over the past 20 years, we explore the association between coordinated planning effort as a form of multilevel climate governance and community resilience attributes under climate risk. Content analysis and coastal adaptation principles allowed us to evaluate coordinated planning effort at county and state levels to derive a horizontal or vertical coordination index which was then used to evaluate if synergies generated among plans were correlated with climate risk mitigation and enhanced adaptation to climate change. Further, we incorporated evaluation results of varied community resilience characteristics and coordinated planning effort metrics in the context of climate change. Empirical results suggest that the extent of coordinated planning effort at the county and state levels is closely associated with coastal community resilience and climate change adaptation. © 2020 Elsevier Ltd</t>
  </si>
  <si>
    <t>2-s2.0-85086411742"</t>
  </si>
  <si>
    <t>10.1007/s10584-020-02655-z</t>
  </si>
  <si>
    <t>https://www.scopus.com/inward/record.uri?eid=2-s2.0-85079702964&amp;doi=10.1007%2fs10584-020-02655-z&amp;partnerID=40&amp;md5=cde0d527f4303019f5cacce9d9291f11</t>
  </si>
  <si>
    <t>Water allocation institutions globally must operate within legal and political contexts established by precedent and codified in operating rules, even as they flex and adjust to climate change. California’s Central Valley Water System (CVS) is a prime example. Recent global, national, regional, and local climate change assessments have highlighted climate-change-driven impacts on the CVS</t>
  </si>
  <si>
    <t>10.1029/2020WR027785</t>
  </si>
  <si>
    <t>https://www.scopus.com/inward/record.uri?eid=2-s2.0-85089834403&amp;doi=10.1029%2f2020WR027785&amp;partnerID=40&amp;md5=61cbec465545da8b01fe27912b49a2bd</t>
  </si>
  <si>
    <t>Over half of the global population and the majority of the cities in coastal zones are at risk of coastal flooding. Changes in the occurrence of individual extremes and the interactions between hydrological and coastal variables can exacerbate flood risks. While extensive research has been conducted to understand and predict different types of flood hazards in isolation, spatial and temporal trends and variability of compound flooding, that is, flooding caused by multiple drivers, remain an open question. This study investigates the individual and joint temporal variations of multiple drivers that can cause compound flooding in Canada's coasts including total water level, storm surge, precipitation, and streamflow. Long-term changes in the frequency and intensity of extremes are analyzed over the Atlantic, Pacific, and the Great Lakes regions. Univariate and multivariate trend tests including Mann Kendall, Covariance Inversion Test, Covariance Sum Test, and Covariance Eigenvalue Test are applied. In addition, a new multivariate index based on the contributing flood drivers transformed into a probability space is proposed, and its application to study compound flooding is investigated. Overall, results show increased risks of individual and compound flooding over the Atlantic coast and varying trends in the Pacific and Great Lakes regions. The multivariate trend indices show consistent results in most scenarios. The proposed index provides a simple and flexible measure to analyze the spatial and temporal variation of compound flooding risks at different thresholds. The results highlight the importance of considering nonstationary compound flood events to develop resilience strategies in coastal environments. © 2020. American Geophysical Union. All Rights Reserved.</t>
  </si>
  <si>
    <t>2-s2.0-85089834403"</t>
  </si>
  <si>
    <t>10.1017/exp.2020.28</t>
  </si>
  <si>
    <t>https://www.scopus.com/inward/record.uri?eid=2-s2.0-85137102728&amp;doi=10.1017%2fexp.2020.28&amp;partnerID=40&amp;md5=e10af79a4e7b3c4a53d648551f3c33eb</t>
  </si>
  <si>
    <t xml:space="preserve">Flood and drought events cause significant freshwater inflow fluctuations in estuaries, potentially leading to physiological stress and altered abundances of pathogens such as Vibrio vulnificus and Perkinsus marinus in oysters. To assess the effects of freshwater pulses to oyster reefs in subtropical estuaries in Texas, this study accomplished two goals: 1) reconstructed a reef-specific history of freshwater pulses through shell stable isotope analysis, 2) quantified the abundance of V. vulnificus and P. marinus through culture-dependent and culture-independent microbiology analyses. Oysters from a low-relief and high-relief reef experienced similar fluctuations in shell isotopes, indicating similar ranges of past environmental conditions. V. vulnificus and P. marinus were detected throughout the study but the abundance of these microorganisms was not correlated with environmental parameters or one another. Importantly, the P. marinus infection intensity was always lower at the high-relief reef, which suggests that high-relief reefs may experience lower infection frequencies.  © </t>
  </si>
  <si>
    <t>2-s2.0-85137102728"</t>
  </si>
  <si>
    <t>10.3390/rs12111827</t>
  </si>
  <si>
    <t>https://www.scopus.com/inward/record.uri?eid=2-s2.0-85086433380&amp;doi=10.3390%2frs12111827&amp;partnerID=40&amp;md5=155de2f9a5c3c82ea35d78877e316ec2</t>
  </si>
  <si>
    <t>Digital elevation models of tidal flats are a most valuable data source for the water management of coastal areas and need frequent updates to account for changes in sedimentation, erosion and identification of damages in building infrastructure. This paper presents the conceptual design, the processing methodology and first results of an airborne SAR campaign conducted in July 2019 at the German North Sea coast, showing the potential for accurate monitoring of height changes at decimeter level in mudflat areas, as well as indication of vegetation cover and water flooded areas. © 2020 by the authors.</t>
  </si>
  <si>
    <t>2-s2.0-85086433380"</t>
  </si>
  <si>
    <t>10.1029/2020GL088759</t>
  </si>
  <si>
    <t>https://www.scopus.com/inward/record.uri?eid=2-s2.0-85089372005&amp;doi=10.1029%2f2020GL088759&amp;partnerID=40&amp;md5=98d95031eff4fd305c812c56006c7a14</t>
  </si>
  <si>
    <t>Accuracy of inundation extents from flood models are directly related to the quality of topographic information. Globally available digital elevation models (DEMs) are not accurate enough to support flood modeling. Satellite derived flood maps provide indirect information about ground elevations. Previous work proposed a data assimilation algorithm to leverage flood maps for improving topography but was tested only in context of a numerical experiment with synthetic data. Here we show for the first time that a data assimilation algorithm leveraging real remote sensing measurements to modify floodplain DEMs improves floodplain simulations. Over our study area, we observe a significant increase in inundation prediction capability using the updated DEM, with 9–19% average improvement in skill assessment characteristics. This algorithm is promising and fairly straightforward and can be used in data-poor floodplains where high-resolution DEMs do not exist. ©2020. American Geophysical Union. All Rights Reserved.</t>
  </si>
  <si>
    <t>2-s2.0-85089372005"</t>
  </si>
  <si>
    <t>10.2112/SI103-114.1</t>
  </si>
  <si>
    <t>https://www.scopus.com/inward/record.uri?eid=2-s2.0-85087161119&amp;doi=10.2112%2fSI103-114.1&amp;partnerID=40&amp;md5=1805f14d8ae042ba30efe1fe709dec29</t>
  </si>
  <si>
    <t>Yang, J. and Zheng, B., 2020. Spatial structure planning and optimization strategy of sponge city in coastal area. In: Yang, Y.</t>
  </si>
  <si>
    <t>10.1080/15481603.2020.1763048</t>
  </si>
  <si>
    <t>https://www.scopus.com/inward/record.uri?eid=2-s2.0-85085349874&amp;doi=10.1080%2f15481603.2020.1763048&amp;partnerID=40&amp;md5=62c014278e9a38b739a649c7331e76f1</t>
  </si>
  <si>
    <t>High-Resolution Topography (HRT) data sets are becoming increasingly available, improving our ability and opportunities to monitor geomorphic changes through multi-temporal Digital Terrain Models (DTMs). The use of repeated topographic surveys enables inferring the sediment dynamics of hazardous geomorphic processes such as floods, debris flows, and landslides, and allows us to derive important information on the risks often associated with these processes. The topographic surveying platforms, georeferencing systems, and processing tools have seen important developments in the last two decades, in particular Light Detection And Ranging (LiDAR) technology used in Airborne Laser Scanning (ALS) and Terrestrial Laser Scanning (TLS). Moreover, HRT data, produced through these techniques, changed a lot in terms of point cloud density, accuracy and precision over time. Therefore, old “legacy” data sets and recent surveys can often show comparison problems, especially when multi-temporal data are not homogeneous in terms of quality and uncertainties. In this context, data co-registration should be used to guarantee the coherence among multi-temporal surveys, minimizing, on stable areas, the distance between corresponding points acquired at different epochs. Although several studies highlight that this process is fundamental to properly compare multi-temporal DTMs, it is often not addressed in LiDAR post-processing workflows. In this paper we focus on the alignment of multi-temporal surveys in a topographically complex and rugged environment as the Moscardo debris-flow catchment (Eastern Italian Alps), testing various co-registration methods to align multi-temporal ALS point clouds (i.e. years 2003, 2009 and 2013) and the derived DTMs. In particular, we tested the pairwise registration with manual correspondences, the Iterative Closest Point (ICP) algorithm and a mathematical model that allows aligning simultaneously a generic number of point clouds, the so-called Generalized Procrustes Analysis (GPA), also in its GPA-ICP variant. Then, to correct the possible small inaccuracies generated from the gridding interpolation process, a custom-developed DTM co-registration tool (GRD-CoReg) was used to align gridded data. Both alignment phases (i.e. at point cloud and DTM level) proved to be fundamental and allowed us to obtain proper and reliable DTMs of Difference (DoDs), useful to quantify the debris mobilized and to detect the spatial and temporal patterns of catchment-scale erosion and deposition. The consistency of DoDs data was verified through the comparison between the erosion estimate of DoDs and the volumes of debris-flow events measured by the monitoring station close to the Moscardo torrent catchment outlet. The GPA-ICP algorithm followed by the GRD-CoReg tool proved to be the most effective solution for improving DoDs results with a decrease of systematic trend due to vertical and horizontal uncertainties between surveys, especially at steep slopes. The net volume difference (i.e. the sediment output from the catchment) of the 2003–2013 period changed from 3,237,896 m3 to 135,902 m3 in DoDs obtained from not co-registered and co-registered DTMs. The volume of debris flows measured at the catchment outlet during the same time interval amounts to 169,660 m3. The comparison with debris-flow volume measures at the monitoring station shows, therefore, that the DTMs obtained from the co-registration processes generate more reliable DoDs than those obtained from the raw DTMs (without the alignment). © 2020, © 2020 Informa UK Limited, trading as Taylor &amp; Francis Group.</t>
  </si>
  <si>
    <t>2-s2.0-85085349874"</t>
  </si>
  <si>
    <t>10.5194/nhess-20-1985-2020</t>
  </si>
  <si>
    <t>https://www.scopus.com/inward/record.uri?eid=2-s2.0-85089120825&amp;doi=10.5194%2fnhess-20-1985-2020&amp;partnerID=40&amp;md5=92c47fc6b3b9b9219220e8aeaa81c69a</t>
  </si>
  <si>
    <t>Storm tides are a major hazard for the German North Sea coasts. For coastal protection and economic activities, planning information on the probability and magnitude of extreme storm tides and their possible future changes is important. This study focuses on the most extreme events and examines whether they could have become more severe under slightly different conditions while still remaining within physical plausibility. In the face of a limited number of observational data on very severe events, an extensive set of model data is used to extract most extreme storm tide events for locations in the German Bight, in particular Borkum and the Ems estuary. The data set includes water levels and respective atmospheric conditions from a hindcast and future climate realizations without sea level rise describing today s and possible future conditions. A number of very severe events with water levels exceeding those measured near Borkum since 1906 are identified in the data set. A possible further amplification of the highest events is investigated by simulating these events for the North Sea with different phase lags between the astronomical tide given at the open model boundaries and the wind forcing. It is found that superposition of spring tide conditions, different timing of the astronomical high water and atmospheric conditions during the highest storm event would cause an enhancement of the highest water level up to about 50 cm. The water levels of the two highest events from the data set are used to analyse the effects in the Ems estuary using a high-resolution model of the German Bight. Additionally, the influences of an extreme river runoff and of sea level rise are studied. The extreme river runoff of 1200m3 s?1 increases the highest water levels by several decimetres in the narrow upstream part of the Ems estuary. This effect diminishes downstream. The sea level rise increases the water level in the downstream part of the Ems estuary by the amount applied at the model boundary to the North Sea. In the upstream part, its influence on the water level decreases. This study may serve as a first step towards an impact assessment for severe storm tides and towards implications for coastal zone management in times of climate change. © 2020 EDP Sciences. All rights reserved.</t>
  </si>
  <si>
    <t>2-s2.0-85089120825"</t>
  </si>
  <si>
    <t>10.1175/WAF-D-19-0171.1</t>
  </si>
  <si>
    <t>https://www.scopus.com/inward/record.uri?eid=2-s2.0-85084652372&amp;doi=10.1175%2fWAF-D-19-0171.1&amp;partnerID=40&amp;md5=6e1a1b5fb62145118f7b19e0cd73dcae</t>
  </si>
  <si>
    <t>The large and fast-flowing Río de la Plata (RdP) estuary is affected by extreme storm surges (above ±2 m with respect to tidal datum), which have large impacts on the millions of inhabitants and for navigation. In this work the Coastal and Regional Ocean Community Model (CROCO) numerical model was modified and implemented as a set of regional one-way nested 2D applications for the hindcast/forecast of water level in the RdP. A sensitivity analysis (SA) was carried out to determine the impact on the numerical solutions of the uncertainties in the different modeling parameter forcings and to highlight the need for the construction of a modeling system that provides meaningful information to the potential users. The SA included the friction coefficients, the wind speed and direction, the atmospheric surface pressure, and the continental discharge. Water level is most sensitive to uncertainties in the wind forcing; even small changes in this input can create large errors in the water level forecast/hindcast. Forcing with different analyses’ wind products yielded differences of up to 50% in the peak water levels. Results also showed that the modeling system requires a reasonable adjustment of the bottom friction parameters; that it is important to include the atmospheric surface pressure forcing; and that, from the point of view of water level forecast, it is not necessary to couple a hydrological model in spite of the enormous runoff of this estuary. Given the strong sensitivity to errors in the wind forcing, we believe it is important to provide estimates of uncertainty together with hindcast/forecast water level for these predictions to be of greatest quality and practical applicability.</t>
  </si>
  <si>
    <t>Journal of Computational Science</t>
  </si>
  <si>
    <t>10.1016/j.jocs.2020.101169</t>
  </si>
  <si>
    <t>https://www.scopus.com/inward/record.uri?eid=2-s2.0-85086898571&amp;doi=10.1016%2fj.jocs.2020.101169&amp;partnerID=40&amp;md5=0e6897ecb0584e3dd8d35667ac87cfcf</t>
  </si>
  <si>
    <t>Understanding the impact of sea level rise on coastal areas is crucial as a large percentage of the population live on the coast. This study uses computational tools to examine how two major consequences of sea level rise: salt intrusion and an increase in water volume affect the hydrodynamics and flooding areas of a major estuary in the Iberian Peninsula. A 2D numerical model created with the software MOHID was used to simulate the Guadiana Estuary in different scenarios of sea level rise combined with different freshwater flow rates considering varying tidal amplitudes. An increase in salinity was found in response to an increase in mean sea level in both high and low freshwater flow rates at all areas around the estuary. An increase in flooding areas around the estuary was also positively correlated with an increase in mean sea level. © 2020 The Authors</t>
  </si>
  <si>
    <t>2-s2.0-85086898571"</t>
  </si>
  <si>
    <t>10.1007/s13157-019-01210-6</t>
  </si>
  <si>
    <t>https://www.scopus.com/inward/record.uri?eid=2-s2.0-85071165140&amp;doi=10.1007%2fs13157-019-01210-6&amp;partnerID=40&amp;md5=6716902593d6dbc7ebced5f14dda1df4</t>
  </si>
  <si>
    <t>This paper presents the first record of fire in Pacific coast salt marshes; the 1993 Green Meadows Fire and the 2013 Camarillo Springs Fire burned an area of Salicornia-dominated salt marsh at Point Mugu, CA. These fires inspire concern about resiliency of ecosystems not adapted to fire, already threatened by sea-level rise (SLR), and under stress from extreme drought. We monitored vegetation percent cover, diversity, and soil organic carbon (SOC) in burned and unburned areas of the salt marsh following the 2013 Camarillo Springs Fire and used remotely sensed Normalized Vegetation Difference Index (NDVI) analysis to verify the in situ data. Two years following the fire, vegetation percent cover in burned areas was significantly lower than in unburned areas, with dominant-species change in recovered areas, and NDVI was lower than pre-fire conditions. Multi-year disturbance, such as fire, presents challenges for salt marsh resilience and dependent species, especially in sites facing multiple stressors. With anticipated higher temperatures, increased aridity, extreme drought, and higher frequency fires becoming a reality for much of the Pacific coast, this study indicates that fire in Salicornia-dominated marshes is a vulnerability that will need to be addressed differently from other grass- or reed-dominated marsh systems.</t>
  </si>
  <si>
    <t>10.1007/s10113-020-01628-3</t>
  </si>
  <si>
    <t>https://www.scopus.com/inward/record.uri?eid=2-s2.0-85083107503&amp;doi=10.1007%2fs10113-020-01628-3&amp;partnerID=40&amp;md5=bb75502cd0ee03bd08850dd0d1c378e0</t>
  </si>
  <si>
    <t>The Mediterranean coastal zone is particularly vulnerable to climate-induced sea-level rise due to rapid coastal development, leading to increased flood exposure in coastal areas. In Croatia, the share of developed coastline is still lower than in other Mediterranean countries, but development has accelerated since the 1960s. Available assessments of future coastal flood risk take into account adaptation by hard structural protection measures but do not consider other options, such as retreat from exposed areas or restricting future development. In this study, we provide the first assessment of the effects of setback zones on future coastal flood impacts on national scale. We extend the flood impact and adaptation module of the DIVA modelling framework with models of restricted future development and slow retreat (managed realignment) in the form of setback zones. We apply this model to a downscaled database of coastal segments of the coastline of Croatia. We find that setback zones are an effective and efficient measure for coastal adaptation. Construction restriction and managed realignment reduce the future cost of coastal flooding significantly, especially in combination with protection. If protection and construction restriction by setback zones are combined, the future cost of coastal flooding can be reduced by up to 39%. Combining protection and managed realignment by setback zones can reduce the future cost of coastal flooding by up to 93%. © 2020, Springer-Verlag GmbH Germany, part of Springer Nature.</t>
  </si>
  <si>
    <t>2-s2.0-85083107503"</t>
  </si>
  <si>
    <t>10.1007/s11852-020-00764-6</t>
  </si>
  <si>
    <t>https://www.scopus.com/inward/record.uri?eid=2-s2.0-85088165438&amp;doi=10.1007%2fs11852-020-00764-6&amp;partnerID=40&amp;md5=45c61510b743942f2eda477c871a2296</t>
  </si>
  <si>
    <t>In recent years, increasing tourism and development in the coastal dune area of the South East of Ireland have resulted in greater pressure on the environment, resulting in issues including soil erosion, flooding and habitat loss. Topographic mapping across a dune field is important for the development of targeted land management actions that maintain biodiversity and ecological functions. Developments in surveying technology, including LiDAR, terrestrial laser scanners (TLS) and aerial surveying from Remotely Piloted Aircraft Systems (RPAS), have enabled high-resolution and high-accuracy spatial data to be gathered quickly and relatively easily for 3D topographic modelling of a coastal dune complex. To-date, however, the relative efficacies of these three modelling methods, in the context of coastal dune modelling, has not been explored. This paper compares high-end methods based on LiDAR, TLS and RPAS technologies, for the topographic modelling of coastal dune complexes with particular reference to the Brittas-Buckroney dune complex in the South East of Ireland. The results identify the advantages and disadvantages of the respective technologies and highlight the efficacy of RPAS, in particular, for topographic modelling of coastal dune complexes. These results can provide reference information for others when selecting suitable methods for topographic modelling of similar environments. © 2020, Springer Nature B.V.</t>
  </si>
  <si>
    <t>2-s2.0-85088165438"</t>
  </si>
  <si>
    <t>https://www.scopus.com/inward/record.uri?eid=2-s2.0-85127444703&amp;partnerID=40&amp;md5=7ffb5d1c98a2e184e3d7c0224cbe8f28</t>
  </si>
  <si>
    <t>The term ‘Blue Economy’ emphasizes essentially an ocean-dependent economic development to improve quality of life of people. India committed to advance the “Blue Economy” and several programs have been initiated to promote blue economy in the country. One of the important components of promoting blue economy is to have adequate information about sea bed and mineral resources, in the Exclusive Economic Zone (EEZ), Legal Continental Shelf as well as High Seas. Apart from placer minerals on the coast, we need to explore for minerals, such as manganese nodules, polymetallic sulphides and cobalt crusts in High Seas. The availability of gas hydrates on our continental shelf has huge potential to satisfy our ever-increasing energy requirements. We need to invest in developing technology and human resources to utilize these resources. At the same time, the development of offshore mineral and energy resources will need setting up of infrastructure facilities on the coast. As coastal zone is vulnerable to many hazards such as cyclones, storm surges, tsunamis, coastal erosion, sea level rise, etc., an assessment of coastal vulnerability to understand risks involved, has to be undertaken. Various environmental data will be required to utilize ocean resources. An institutional framework for implementing activities related to blue economy to be set up so that investments in building infrastructure, developing human resources, and setting up governance system shall pay rich dividends for future generations and ensure sustainability. © 2020 Geological Survey of India. All right reserved.</t>
  </si>
  <si>
    <t>2-s2.0-85127444703"</t>
  </si>
  <si>
    <t>10.1029/2020EF001614</t>
  </si>
  <si>
    <t>https://www.scopus.com/inward/record.uri?eid=2-s2.0-85089836140&amp;doi=10.1029%2f2020EF001614&amp;partnerID=40&amp;md5=4af307472206510d024e398a792924cd</t>
  </si>
  <si>
    <t>Sea level rise (SLR) and subsidence are expected to increase the risk of flooding and reliance on flood defenses for cities built on deltas. Here, we combine reliability analysis with hydrodynamic modeling to quantify the effect of projected relative SLR on dike failures and flood hazards for Shanghai, one of the most exposed delta cities. We find that flood inundation is likely to occur in low-lying and poorly protected periurban/rural areas of the city even under the present-day sea level. However, without adaptation measures, the risk increases by a factor of 3–160 across the densely populated floodplain under projected SLR to 2100. Impacts of frequent flood events are predicted to be more affected by SLR than those with longer return periods. Our results imply that including reliability-based dike failures in flood simulations enables more credible flood risk assessment for global delta cities where conventional methods have assumed either overtopping only or complete failure. © 2020. The Authors.</t>
  </si>
  <si>
    <t>2-s2.0-85089836140"</t>
  </si>
  <si>
    <t>10.1007/s00024-019-02379-x</t>
  </si>
  <si>
    <t>https://www.scopus.com/inward/record.uri?eid=2-s2.0-85076534897&amp;doi=10.1007%2fs00024-019-02379-x&amp;partnerID=40&amp;md5=f54574523b8111d2a0529a784595a3cf</t>
  </si>
  <si>
    <t>Tropical cyclone-induced coastal inundation is a potential hazard for the east coast of India. In the present study, two case studies are presented to examine the significance and importance of wave radiation stress in storm surge modeling during two extreme weather events associated with the Phailin and Hudhud cyclones. Model computations were performed using the advanced circulation (ADCIRC) model and the coupled ADCIRC + SWAN (Simulating Waves Nearshore) model for these two events. Meteorological and astronomical forcing were used to simulate the hydrodynamic fields using the ADCIRC model run in a stand-alone mode, whereas the coupled ADCIRC + SWAN model also incorporated the wave radiation stress attributed from wave breaking effects. Cyclonic wind fields were generated using the revised Holland model. Results clearly indicate an increase in the peak surge of almost 20–30% by incorporating the wave radiation stress and resulting inundation scenario in the coupled model simulation. The validation exercise showed that the coupled ADCIRC + SWAN model performed better than the ADCIRC model in stand-alone mode. Key findings from the study indicate the importance of wave-induced setup due to radiation stress gradients and also the role of the coupled model in accurately simulating storm surge and associated coastal inundation, especially along flat-bottom topography. © 2019, Springer Nature Switzerland AG.</t>
  </si>
  <si>
    <t>2-s2.0-85076534897"</t>
  </si>
  <si>
    <t>10.1016/j.jafrearsci.2020.103771</t>
  </si>
  <si>
    <t>https://www.scopus.com/inward/record.uri?eid=2-s2.0-85078438794&amp;doi=10.1016%2fj.jafrearsci.2020.103771&amp;partnerID=40&amp;md5=34c599df46d3307d0c538c150d386725</t>
  </si>
  <si>
    <t>Coastal areas provide a large array of ecosystems services, contributing to the economic welfare of local communities. However, they are more and more submitted to both human pressures and natural forcing. Climate change creates additional risks and is expected to intensify the loss and degradation of coastal low lying-areas. The aim of this paper is to assess the risk of flooding due to sea-level rise and storm-surges for two Moroccan coasts: Tahaddart, a relatively underdeveloped coast and Saidia which has experienced intense urbanization over the last decade. Their risk assessment was compared to that carried out on the even more developed coast of Tetouan. The main findings of this study are: (i) the high level of risk that threatens these coasts is due to their low elevation and the value of the exposed assets</t>
  </si>
  <si>
    <t>10.1007/s10584-020-02664-y</t>
  </si>
  <si>
    <t>https://www.scopus.com/inward/record.uri?eid=2-s2.0-85078906118&amp;doi=10.1007%2fs10584-020-02664-y&amp;partnerID=40&amp;md5=52076f3bcaf3bd79662b34c1c16d3e45</t>
  </si>
  <si>
    <t>Climate change impacts on coastal zones could be significant unless adaptation is undertaken. One particular macroeconomic dimension of sea level rise (SLR) impacts that has received no attention so far is the potential stress of SLR impacts on public budgets. Adaptation will require increased public expenditure to protect assets at risk and could put additional stress on public budgets. We analyse the macroeconomic effects of SLR adaptation and impacts on public budgets. We include fiscal indicators in a climate change impact assessment focusing on SLR impacts and adaptation costs using a computable general equilibrium model extended with a detailed description of the public sector. Coastal protection expenditure is financed issuing government bonds, meaning that coastal adaptation places an additional burden on public budgets. SLR impacts are examined using several scenarios linked to three different Representative Concentration Pathways: 2.6, 4.5, and 8.5, and two Shared Socioeconomic Pathways: SSP2 and SSP5. Future projections of direct damages of mean and extreme SLR and adaptation costs are generated by the Dynamic Interactive Vulnerability Assessment framework. Without adaptation, all regions of the world will suffer a loss and public deficits increase respect to the reference scenario. Higher deficits imply higher government borrowing from household savings reducing available resources for private investments therefore decreasing capital accumulation and growth. Adaptation benefits result from two mechanisms: (i) the avoided direct impacts, and (ii) a reduced public deficit effect. This allows for an increased capital accumulation, suggesting that support to adaptation in deficit spending might trigger positive effects on public finance sustainability. © 2020, Springer Nature B.V.</t>
  </si>
  <si>
    <t>2-s2.0-85078906118"</t>
  </si>
  <si>
    <t>10.1007/s11852-020-00735-x</t>
  </si>
  <si>
    <t>https://www.scopus.com/inward/record.uri?eid=2-s2.0-85081337653&amp;doi=10.1007%2fs11852-020-00735-x&amp;partnerID=40&amp;md5=ebf0b73cbf755e740e2c34301fbe895e</t>
  </si>
  <si>
    <t>Coastal zones are dynamic spaces where human activities and infrastructure are exposed to natural forces, climate change and extreme weather events such as storm surges. Coastal inundation is regarded as one of the most dangerous and destructive natural hazards, and while there are many studies to analyse these events, GIS based methods are limited. This research aimed at developing a GIS based enhanced Bathtub Model (eBTM) that improves on the widely used simple Bathtub Model (sBTM) to make it more appropriate to a storm surge related coastal inundation context. The eBTM incorporates beach slope, surface roughness and instils hydrological connectivity relevant for event scale coastal flooding, unlike the sBTM which only uses topographic elevation above sea level as input. For a test site in Cape Town, South Africa, inundation levels for 3 independent scenarios were calculated using the average spring tides level, extreme sea level for a 1-in-100-year storm and two sea-level rise scenarios. Each scenario was run on both the sBTM and the eBTM developed through this study. Comparing the results, the eBTM method overall produced more conservative inundation results and also produced less disconnected areas of (unrealistic) inundation. The eBTM also produces inundation water levels relative to structures, thus showing the potential for quantifying the coastal inundation risk to infrastructure, which is of relevance in the disaster response context. Additionally, the impact of using Digital Terrain Models (DTMs) instead of Digital Surface Models (DSM) on the inundation results was tested. The use of a DSM, including buildings and other objects, showed more realistic trajectories of the inundation water moving through the model area. © 2020, Springer Nature B.V.</t>
  </si>
  <si>
    <t>2-s2.0-85081337653"</t>
  </si>
  <si>
    <t>10.1016/j.wasman.2020.01.027</t>
  </si>
  <si>
    <t>https://www.scopus.com/inward/record.uri?eid=2-s2.0-85078978241&amp;doi=10.1016%2fj.wasman.2020.01.027&amp;partnerID=40&amp;md5=5daaa9761ed89f76035debe7f0662197</t>
  </si>
  <si>
    <t>In England and Wales, there are at least 1700 coastal landfills in the coastal flood plain and at least 60 threatened by erosion, illustrating a global problem. These landfills are a major issue in shoreline management planning (SMP) which aims to manage the risks associated with flooding and coastal erosion. Where landfills exist, “hold the line” (requiring the building or upgrading of artificial defences to maintain the current shoreline) is often selected as the preferred SMP option, although government funding is not available at present. To investigate these issues in detail, three case-study landfills are used to examine the risks of future flooding and erosion together with potential mitigation options. These cases represent a contrasting range of coastal landfill settings. The study includes consideration of sea-level rise and climate change which exacerbates risks of erosion and flooding of landfills. It is fundamental to recognise that the release of solid waste in coastal zones is a problem with a geological timescale and these problems will not go away if ignored. Future erosion and release of solid waste is found to be more of a threat than flooding and leachate release from landfills. However, while leachate release can be assessed, there is presently a lack of methods to assess the risks from the release of solid waste. Hence, a lack of science constrains the design of remediation options. © 2020 Elsevier Ltd</t>
  </si>
  <si>
    <t>2-s2.0-85078978241"</t>
  </si>
  <si>
    <t>Environmental Evidence</t>
  </si>
  <si>
    <t>10.1186/s13750-020-00193-w</t>
  </si>
  <si>
    <t>https://www.scopus.com/inward/record.uri?eid=2-s2.0-85085109013&amp;doi=10.1186%2fs13750-020-00193-w&amp;partnerID=40&amp;md5=104cf077c91c405396a4553c8905e445</t>
  </si>
  <si>
    <t>Background: Tropical coastal marine ecosystems (TCMEs) are rich in biodiversity and provide many ecosystem services, including carbon storage, shoreline protection, and food. Coastal areas are home to increasing numbers of people and population growth is expected to continue, putting TCMEs under pressure from development as well as broader environmental changes associated with climate change, e.g. sea level rise and ocean acidification. Attention to TCMEs by conservation organizations has increased and although a variety of interventions to promote conservation and sustainable development of TCMEs have been implemented, evidence regarding the outcomes of these - for people or ecosystems - is scattered and unclear. This study takes a systematic mapping approach to identify articles that examine the ecological and social outcomes associated with conservation interventions in TCMEs</t>
  </si>
  <si>
    <t>10.2112/SI95-219.1</t>
  </si>
  <si>
    <t>https://www.scopus.com/inward/record.uri?eid=2-s2.0-85085519762&amp;doi=10.2112%2fSI95-219.1&amp;partnerID=40&amp;md5=fee2865dcb1b9328b2b274a192b2b2fe</t>
  </si>
  <si>
    <t>Kar, D.</t>
  </si>
  <si>
    <t>10.1175/WAF-D-18-0198.1</t>
  </si>
  <si>
    <t>https://www.scopus.com/inward/record.uri?eid=2-s2.0-85088779439&amp;doi=10.1175%2fWAF-D-18-0198.1&amp;partnerID=40&amp;md5=7e7304ec2b36264c584b9e28dc029bca</t>
  </si>
  <si>
    <t>An approach to reduce forecast data to coastal waveguide coordinates is described and demonstrated, informed by the literature on coastally trapped waves (CTWs). All discussion is limited to the Australian mainland but the approach is generally relevant to regions where CTWs influence sea level, including the Americas and Africa. The approach does not produce new forecasts, but aims to focus forecaster attention on aspects of sea level forecasts prominent on the long Australian coast. The approach also explicitly addresses spatial issues associated with measuring coastal paths. Coastal paths are scale dependent and forecast models discretize the coastal boundary differently. A well-defined coastal path is required for the quantitative application of CTW concepts such as propagation distance and offshore direction. The relevance of coastally trapped signals and remote forcing is documented in the oceanographic literature, but is effectively unknown to the general public and rarely mentioned in press reports of sea level events such as nuisance flooding. Routine presentation of forecast guidance in waveguide coordinates could contribute to the transfer of oceanographic research understanding into forecast narratives. In addition, the approach can facilitate quantitative forecast evaluations that target CTW properties. Two ocean forecast systems are contrasted in this framework for the Australian mainland. One year of daily forecasts are compared, with indications that model baroclinicity is of practical relevance. © 2020 American Meteorological Society.</t>
  </si>
  <si>
    <t>2-s2.0-85088779439"</t>
  </si>
  <si>
    <t>10.1080/08920753.2020.1728205</t>
  </si>
  <si>
    <t>https://www.scopus.com/inward/record.uri?eid=2-s2.0-85079796542&amp;doi=10.1080%2f08920753.2020.1728205&amp;partnerID=40&amp;md5=8e53334d82fc4009dbbf7f0144b2f8d6</t>
  </si>
  <si>
    <t>Coastal property is becoming more dynamic as it is subjected to the forces of climate change. This is particularly true for low-lying coastal areas, where climate-induced change is altering long-standing public policies associated with coastal development. In the US, attempts to address the new reality of climate change from a programmatic standpoint are generally referred to as resiliency planning. This article explores the concept of resiliency planning from a cost-orientated approach, viewing low-lying coastal property as areas of evolving risk. From this viewpoint, we develop a value transfer framework proposal that attempts to identify and quantify existing coastal asset values and engage in a transfer of the value to less risky inland areas that have been identified as economic development priority areas. The goal is to provide a risk-based, “cost center” approach to land use and related policymaking in risky coastal areas. This proposal attempts to highlight an example of a hazard-based policy intervention that maximizes opportunities to reduce coastal hazard risk, optimizes the social and economic utility of existing coastal investment through a transfer of development rights approach that is designed to build and enhance coastal resiliency. Future work can improve and build upon the principles set forth in the following framework proposal. © 2020, © 2020 Taylor &amp; Francis Group, LLC.</t>
  </si>
  <si>
    <t>2-s2.0-85079796542"</t>
  </si>
  <si>
    <t>10.1029/2020JC016135</t>
  </si>
  <si>
    <t>https://www.scopus.com/inward/record.uri?eid=2-s2.0-85083861457&amp;doi=10.1029%2f2020JC016135&amp;partnerID=40&amp;md5=a7b6462eb5dd93590c4982498ef81f86</t>
  </si>
  <si>
    <t>The internal, density-driven channel-shoal interaction in partially stratified estuaries is numerically investigated. Idealized General Estuarine Transport Model (GETM) simulations with the rigid-lid assumption are performed in a two-dimensional cross-sectional mode forced by a constant longitudinal salinity gradient and an M2 tidal current. Simulation results show that within each tide cycle, the abrupt flattening of bathymetry at the channel-shoal interface leads to the trapping of a patch of high-salinity water mass on the shoal. The resulting local salinity maximum near the interface interacts with the differential advection by the gentle slope of shoal, driving complex density-driven on-shoal lateral circulations. Next, it is found that the presence of the shoal in turn enhances the longitudinal residual circulation in the channel. As a storage of estuarine water that is partially isolated from the main stream, the shoal traps saltier water that originates from the channel during slack after ebb (thus a less stratified flood), while injects fresher water into the surface of the channel during slack after flood (thus a more stratified ebb). These lateral baroclinic exchanges across the channel-shoal interface give rise to a new mechanism for generating tidal asymmetry of eddy viscosity and shear in the channel (i.e., tidal straining circulation), which has the same orientation with the classical estuarine circulation. The interfacial salt trapping and the accompanied shoal-induced modification of channel residual circulation are demonstrated to possess a highly localized nature, with their characteristics largely independent of shoal bathymetry far away from the channel-shoal interface. ©2020. American Geophysical Union. All Rights Reserved.</t>
  </si>
  <si>
    <t>2-s2.0-85083861457"</t>
  </si>
  <si>
    <t>10.1186/s13750-020-00190-z</t>
  </si>
  <si>
    <t>https://www.scopus.com/inward/record.uri?eid=2-s2.0-85083342595&amp;doi=10.1186%2fs13750-020-00190-z&amp;partnerID=40&amp;md5=e8d750534d59c0637391d6d1139b1f02</t>
  </si>
  <si>
    <t>Background: There is growing evidence of the potential negative consequences of altered flow regimes, in terms of magnitude, frequency, timing, duration or season pattern, on fluvial ecosystems and the fisheries they support. The scientific and policy communities have acknowledged the need for a better understanding of the effects of flow alteration on fish productivity. We conducted a systematic map to provide an overview of the existing literature base on the effects of flow-regime changes on direct outcomes of freshwater or estuarine fish productivity in temperate regions to inform stakeholders and policy makers. Methods: To identify relevant articles for inclusion in this systematic map, we searched six bibliographic databases, 29 organizational websites, one search engine, and 297 reviews, and solicited grey literature through relevant sources. We screened articles at title and abstract, then by full-text using predefined inclusion criteria. Included studies were coded for key variables of interest, along with a very basic critical appraisal for internal validity (i.e., susceptibility to bias). The quantity and characteristics of the available evidence, knowledge gaps and subtopics with sufficient coverage for full systematic reviewing are reported in a narrative synthesis. The distribution and frequency of examined effects of flow-regime changes on fish productivity outcomes are presented in visual heatmaps. Review findings: A total of 1368 studies from 1199 articles were included in the systematic map database and used to identify a number of interesting themes in the evidence base: (1) large evidence bases were found in temperate regions of United States of America (USA), Canada, and Australia</t>
  </si>
  <si>
    <t>10.1080/17565529.2019.1611533</t>
  </si>
  <si>
    <t>https://www.scopus.com/inward/record.uri?eid=2-s2.0-85066034013&amp;doi=10.1080%2f17565529.2019.1611533&amp;partnerID=40&amp;md5=1b4eac6a17add4d6ebb3e6bc05d5f599</t>
  </si>
  <si>
    <t>If climate change mitigation and adaptation are a human right, institutional change is needed that considers coastal ecosystem integrity as a common pool resource. Increasing risks in coastal zones necessitates adopting new and frequently controversial zoning, planning, and management practices, particularly as insurance programmes reform or require bailouts. In the U.S., current coastal policy frameworks employed by the Federal Emergency Management Agency (FEMA) and state-level authorities incentivize defensive strategies, especially in high-value tourism destinations, despite critiques of inequity and longer-term evidence demonstrating that hardening shorelines shifts erosion patterns. Other coastal regions and developing countries that cannot afford defensive strategies–particularly rural, minority, and impoverished communities located adjacent to estuarine areas–rely heavily on ecosystem services for protection and will likely disproportionately face buyouts, forced relocation, and retreat as seas rise. © 2019, © 2019 Informa UK Limited, trading as Taylor &amp; Francis Group.</t>
  </si>
  <si>
    <t>2-s2.0-85066034013"</t>
  </si>
  <si>
    <t>Erde</t>
  </si>
  <si>
    <t>10.12854/erde-2020-417</t>
  </si>
  <si>
    <t>https://www.scopus.com/inward/record.uri?eid=2-s2.0-85082535182&amp;doi=10.12854%2ferde-2020-417&amp;partnerID=40&amp;md5=80d5e52d4d29469c491c892ed30ef9b1</t>
  </si>
  <si>
    <t>This paper examines the 3D printed results of a floodplain analysis usually used for hydrological studies to calculate the probabilities in high water stage features. The analysis was performed using probability distributions, including Pearson type III distribution, Log-Pearson type III distribution, Gaussian (normal) distribution, Gumbel distribution, and Log-normal distribution. The maximum theoretical stages of best fitting distribution for different return periods were mapped to the Vardar and Boshava rivers in the Tikvesh Valley. Data to create the model were extracted from digital elevation models of the Vardar river target area. The extracted 3D surface model was covered with a map showing all the flooded areas in the relevant territory for different return periods as transparent layers. The data were converted into a physical model (relief map) using 3D printing methods for visualisation. © 2020 Gesellschaft fur Erdkunde zu Berlin. All rights reserved.</t>
  </si>
  <si>
    <t>2-s2.0-85082535182"</t>
  </si>
  <si>
    <t>10.1177/0956247819874586</t>
  </si>
  <si>
    <t>https://www.scopus.com/inward/record.uri?eid=2-s2.0-85074891875&amp;doi=10.1177%2f0956247819874586&amp;partnerID=40&amp;md5=19d0cc1cde4314cac3b7f3625d834baf</t>
  </si>
  <si>
    <t>Recent research on climate vulnerability in cities in the Amazon Delta and Estuary (ADE) shows that about 1.2 million people are at risk of flooding due to the rapid unplanned occupation of lowlands and the absence of investment in infrastructure and services. In this study, we use secondary climate and census data, interviews and focus groups in four small cities in the Amazon Delta and Estuary (SCADEs), to discuss how residents and local governments perceive and respond to climate hazards and their implications. These SCADEs may be better equipped than other urban areas to deal with challenges brought by climate change, due partially to residents’ high mobility between urban and rural areas and a tradition of adaptive actions in a dynamic social and environmental context. However, persistent flooding and sinkholes demonstrate the limited capacity of local governments to cope with the dynamics of accelerated occupation of floodplain areas in SCADEs. © 2019 International Institute for Environment and Development (IIED).</t>
  </si>
  <si>
    <t>2-s2.0-85074891875"</t>
  </si>
  <si>
    <t>10.1016/j.jenvman.2020.110203</t>
  </si>
  <si>
    <t>https://www.scopus.com/inward/record.uri?eid=2-s2.0-85079322602&amp;doi=10.1016%2fj.jenvman.2020.110203&amp;partnerID=40&amp;md5=df1ee265b7cfabc8f7b32ccfda161ec6</t>
  </si>
  <si>
    <t>Sea-level rise is an inevitable consequence of climate change and threatens coastal ecosystems, particularly intertidal habitats that are constrained by landward development. Intertidal habitats support significant biodiversity, but also provide natural buffers from climate-threats such as increased storm events. Predicting the effects of climate scenarios on coastal ecosystems is important for understanding both the degree of habitat loss for associated ecological communities and the risk of the loss of coastal buffer zones. We take a novel approach by combining remote sensing with the IUCN Red List of Ecosystem criteria to assess this impact. We quantified the extent of horizontal intertidal rocky shores along ~200 km of coastline in Eastern Australia using GIS and remote-sensing (LiDAR) and used this information to predict changes in extent under four different climate change driven sea-level rise scenarios. We then applied the IUCN Red List of Ecosystems Criterion C2 (habitat degradation over the next 50 years based on change in an abiotic variable) to estimate the status of this ecosystem using the Hawkesbury Shelf Marine Bioregion as a test coastline. We also used four individual rocky shores as case studies to investigate the role of local topography in determining the severity of sea-level rise impacts. We found that, if the habitat loss within the study area is representative of the entire bioregion, the IUCN status of this ecosystem is ‘near threatened’, assuming that an assessment of the other criteria would return lower categories of risk. There was, however, high spatial variability in this effect. Rocky shores with gentle slopes had the highest projected losses of area whereas rocky shores expanding above the current intertidal range were less affected. Among the sites surveyed in detail, the ecosystem status ranged from ‘least concern’ to ‘vulnerable’, but reached ‘endangered’ under upper estimates of the most severe scenario. Our results have important implications for conservation management, highlighting a new link between remote sensing and the IUCN Red List of Ecosystem criteria that can be applied worldwide to assess ecosystem risk to sea-level rise. © 2020 Elsevier Ltd</t>
  </si>
  <si>
    <t>2-s2.0-85079322602"</t>
  </si>
  <si>
    <t>10.1016/j.geomorph.2020.107095</t>
  </si>
  <si>
    <t>https://www.scopus.com/inward/record.uri?eid=2-s2.0-85080042965&amp;doi=10.1016%2fj.geomorph.2020.107095&amp;partnerID=40&amp;md5=480190a9ea54f4f5d78609b5d38d0c85</t>
  </si>
  <si>
    <t>Confluences are key nodes of river systems that have the potential of disrupting downstream longitudinal trends in the main river through inputs of water, sediment, wood or ice delivered from tributaries. From a geomorphological perspective, confluence zones are particularly active and thus susceptible to increased flooding and bed instability, which, in turn, pose serious threats to infrastructure. However, not all confluences are active. Despite major advances in our knowledge of confluence dynamics, there has been limited progress in the development of low complexity, practical tools that use remotely sensed data to predict the spatial distribution of the main river's sensitivity to tributary inputs. We have thus developed a novel semi-automated GIS model that uses a fuzzy approach to integrate key factors (unit stream power, valley confinement and sediment connectivity potential) in order to map the distribution of the confluence morphological sensitivity (CMS) index at the watershed scale. The GIS model was tested using digital elevation models of high (LiDAR, 1 m) and coarser (10 m) resolution in the Coaticook and Gaspésie watersheds (Quebec, Canada). Results indicate that the model is useful for detecting geomorphologically active confluences and the resulting sensitivity of the main channel and thus has potential to be used in diverse river management applications (e.g., hazard reduction and freedom space mapping). © 2020 Elsevier B.V.</t>
  </si>
  <si>
    <t>2-s2.0-85080042965"</t>
  </si>
  <si>
    <t>10.1016/j.geoforum.2020.02.022</t>
  </si>
  <si>
    <t>https://www.scopus.com/inward/record.uri?eid=2-s2.0-85081360041&amp;doi=10.1016%2fj.geoforum.2020.02.022&amp;partnerID=40&amp;md5=1a25f5b73edd0c9251a05d4848655543</t>
  </si>
  <si>
    <t>The Sacramento-San Joaquin Delta is an agricultural, recreational, historical, and cultural center and the hub of the state's water supply system. For decades the region has been ripe with political controversies stemming from conflicting interests over its natural resources which all depend on the protection of approximately 1800 km of earthen levees that surround over 60 islands, some of which are below sea level and two-thirds of which are privately owned. This study uses the Q methodology to explore the discourses of the broad range of stakeholders, including farmers, land- and water-based recreation enthusiasts, water exporters, utilities, environmentalists, and government agencies, about flood risk and flood management in the Delta. The results of this study reveal five distinct views regarding the risk of submersion of one or more islands due to either overtopping during high waters or structural levee failures. The findings of this study also elucidate nuanced narratives on the viability of anticipatory climate change adaptation in the Delta. Proximity, sense of vulnerability, values, trust, and views of climate change are the underlying factors in these perspectives. The perspectives identified suggest that resolving decades of distrust among stakeholder groups will remain difficult</t>
  </si>
  <si>
    <t>10.1016/j.geomorph.2020.107035</t>
  </si>
  <si>
    <t>https://www.scopus.com/inward/record.uri?eid=2-s2.0-85078556811&amp;doi=10.1016%2fj.geomorph.2020.107035&amp;partnerID=40&amp;md5=6608576fe27f6fba5020e459e8b3e405</t>
  </si>
  <si>
    <t>The natural flood pulse maintains river-floodplain ecosystems through the exchange of freshwater resources between the main-stem and floodplain habitats. Few prior studies have quantified the relationship between flows and floodplain response including estimating inundation area, floodwater volumes, and slough connectivity. Floodplain modeling typically uses the flow-stage height relationship at river gauge stations. In this study, we compared a relative elevation model (REM) and the Hydrologic Engineering Center River Analysis System (HEC-RAS 1D) model using events from 2015 and 2016 covering a range of flows from the 1st to the 99th percentile for the Apalachicola River, Florida. Because digital elevation models (DEM) from LiDAR (light detection and ranging) data lack details of riverbed topography, we compared a LiDAR-alone and LiDAR-sonar combined DEM to assess their differences. Estimates from the REM and HEC-RAS models were compared to maps based on Landsat imagery-derived water and vegetation indices. In this river, we found a non-linear relationship between the inundated area and flow, increasing markedly through the 90th flow percentile after which increases are minimal. Inundated areas from both REM and HEC-RAS models were similar for all selected flow levels except at the 74th percentile (708 m3/s) flow at which the REM produced 11% higher inundated area than HEC-RAS. Near the median flows, major sloughs were fully connected with backswamps and low-lying patches being inundated. At the higher flows, only a few anthropogenic features were exposed. Floodplain inundation estimates from Landsat performed poorly, detecting 9% with the modified normalized difference water index (mNDWI) and 41% with the open water likelihood index (OWL). These estimates were much lower than the HEC-RAS model (96% flooded), largely because the satellite is unable to penetrate dense forests and examine the floodplain surface, and the Landsat pixel size is twice the width of floodplain sloughs. The LiDAR-sonar combined DEM produced a higher floodwater volume estimate with the HEC-RAS model than using LiDAR-alone. The difference of 1,368,000 m3 at the 1st percentile (142 m3/s) and 2,825,000 m3 at the 89th percentile (1133 m3/s) demonstrate the limitation of using a LiDAR-alone DEM, which cannot penetrate the water surface, and the importance of surveying floodplains using sonar. Modeling results under predict historical wetting of the floodplain because Corps dredging made the main channel approximately 13% wider from its historical width in 1941. Further, in the past few decades, droughts and low flows have become more common because of varied upstream water uses, resulting in less inundation than in the past. Frequent high flows are required to maintain river-floodplain connectivity, floodplain forests, and other hydroecological functions in the Apalachicola River floodplain. Our findings present a basis to assess the legacy of past and ongoing disturbances, inform potential policy decisions for water and floodplain management, and provide a baseline for further research. © 2020 Elsevier B.V.</t>
  </si>
  <si>
    <t>2-s2.0-85078556811"</t>
  </si>
  <si>
    <t>10.1016/j.jafrearsci.2020.103781</t>
  </si>
  <si>
    <t>https://www.scopus.com/inward/record.uri?eid=2-s2.0-85079190074&amp;doi=10.1016%2fj.jafrearsci.2020.103781&amp;partnerID=40&amp;md5=53bef4189bd02fb2878195e32a2ce9a8</t>
  </si>
  <si>
    <t>The biostratigraphic framework of CSDP-003 well, Central Swamp Depobelt was investigated to establish the stratigraphic sequences penetrated in the well and the age of the sequences based on calcareous nannofossils recovered. The study was carried out with 138 ditch cuttings from the well and was prepared with the standard simple smear-slide technique of calcareous nannofossil sample preparatory method. The slides produced from the samples were viewed and 31 calcareous nannofossils were recovered which were used to characterize the well into 3 NN zones, following base (Last Downhole Occurrence/First Appearance Datum (LDO/FAD) of Sphenolithus heteromorphus, Top (First Downhole Occurrence/Last Appearance Datum (FDO/LAD) of Helicosphaera ampliaperta, and Top (First Downhole Occurrence/Last Appearance Datum (FDO/LAD) of Sphenolithus heteromorphus corresponding to NN3, NN4, and NN5 biozones respectively. Three Maximum Flooding Surfaces (MFS) and two Sequence Boundaries (SB) were delineated and their ages were determined using the diagnostic forms. MFS 17.40Ma was noted with high abundance and diversity of calcareous nannofossils and explosive events (ACME) of Sphenolithus heteromorphus, Helicosphaera ampliaperta, Sphenolithus moriformis, and Helicosphaera cartari at 2804m within NN4 zone, MFS 15.90Ma was identified based on abundance and diversity peak at 2429m corresponding to explosive events (ACME) of Sphenolithus heteromorphus, and Sphenolithus moriformis within NN4 zone while MFS 15.00Ma was delineated based on abundance and diversity peak with Helicosphaera cartari ACME at 1957m. The Sequence Boundary's SB 16.5 Ma (latest Burdigalian) and SB 15.5 Ma (Langhian) were delineated based on rare to non-occurrence of calcareous nannofossil at 2530m and 2228m respectively. ‬‬ © 2020 Elsevier Ltd</t>
  </si>
  <si>
    <t>2-s2.0-85079190074"</t>
  </si>
  <si>
    <t>10.1016/j.jenvman.2020.110262</t>
  </si>
  <si>
    <t>https://www.scopus.com/inward/record.uri?eid=2-s2.0-85079905646&amp;doi=10.1016%2fj.jenvman.2020.110262&amp;partnerID=40&amp;md5=df421b20bc95fecaa95f1f0c8eacf93b</t>
  </si>
  <si>
    <t>The preservation of salt marshes under rapid sea-level rise (SLR) typically requires the conservation of marsh transgression zones—undeveloped uplands onto which marshes can migrate. Optimal planning for conservation of this type requires information on the expected benefit of marsh conservation and the cost of land suitable for marsh migration in particular areas. While information is available on marsh benefits within the literature, prior research provides little insight on associated land conservation costs. The coastal hedonic pricing literature focuses primarily on developed land, and there are no models designed to predict the cost of conserving land suitable for marsh migration. This paper develops a hedonic property value model to predict cost and explore price patterns associated with purchases of undeveloped land suitable for salt marsh migration under SLR. The model is illustrated using a case study from the Eastern Shore of Virginia, with a dataset consisting of open-market sales of undeveloped land from 2014 to 2017. Particular attention is paid to characteristics that determine marsh migration potential such as coastal distance, elevation and connectivity. Results demonstrate the insight for conservation planning that can be provided by models of this type and the errors associated with the use of simplified proxies to predict conservation costs of land suitable for marsh migration. © 2020 Elsevier Ltd</t>
  </si>
  <si>
    <t>2-s2.0-85079905646"</t>
  </si>
  <si>
    <t>10.1111/jiec.12957</t>
  </si>
  <si>
    <t>https://www.scopus.com/inward/record.uri?eid=2-s2.0-85074770301&amp;doi=10.1111%2fjiec.12957&amp;partnerID=40&amp;md5=e8a146dc49390a1035274737af871b4e</t>
  </si>
  <si>
    <t>Understanding and improving how humans adapt to climate change are priorities in our research community, and coastal settlements are good places to study adaptation. Severe storm events and sea-level rise are threatening coastal communities with increasing levels of flood damage. Because ownership of coastal assets is distributed among many private and public actors, both individual property owners and public officials must take adaptive actions. This paper introduces an integrated agent-based and hedonic pricing modeling system to simulate coastal real estate market performance under non-equilibrium conditions that reflect the effects of storm events. The modeling system, which is used for policy analysis, is calibrated to conditions in two towns in Monmouth County, New Jersey, USA, which were badly damaged by Hurricane Sandy in 2012. The key findings are that (a) coastal real estate markets capitalize flood risk into property values but this discount diminishes rapidly as time passes between storm events, and (b) there is a distinct equity versus efficiency tradeoff in designing public policies to reduce the cost to society of coastal flooding. Stringent regulation of building practices reduces flood damage but drives away poorer home buyers and owners, whereas informational and incentive-based policies are fairer but less effective. Hands-off, market-based retreat from risky areas is socially costly but allows less wealthy people to remain at the shore, albeit in vulnerable situations. Managed retreat should emphasize improved recreational access to coastal amenities while discouraging people from living there. © 2019 by Yale University</t>
  </si>
  <si>
    <t>2-s2.0-85074770301"</t>
  </si>
  <si>
    <t>10.3390/RS12091476</t>
  </si>
  <si>
    <t>https://www.scopus.com/inward/record.uri?eid=2-s2.0-85085337596&amp;doi=10.3390%2fRS12091476&amp;partnerID=40&amp;md5=d8033e318cce0e927151dce8b36282ce</t>
  </si>
  <si>
    <t>When severe flooding occurs in Canada, the Emergency Geomatics Service (EGS) is tasked with creating and disseminating maps that depict flood extents in near real time. EGS flood mapping methods were created with efficiency and robustness in mind, to allow maps to be published quickly, and therefore have the potential to generate high-repeat water products that can enhance frequent wetland monitoring. The predominant imagery currently used is synthetic aperture radar (SAR) from RADARSAT-2 (R2). With the commissioning phase of the RADARSAT Constellation Mission (RCM) complete, the EGS is adapting its methods for use with this new source of SAR data. The introduction of RCM's circular-transmit linear-receive (CTLR) beam mode provides the option to exploit compact polarimetric (CP) information not previously available with R2. The aim of this study was to determine the most effective CP parameters for use in mapping open water and flooded vegetation, using current EGS methodologies, and compare these products to those created by using R2 data. Nineteen quad-polarization R2 scenes selected from three regions containing wetlands prone to springtime flooding were used to create reference flood maps, using existing EGS tools. These scenes were then used to simulate 22 RCM CP parameters at different noise floors and spatial resolutions representative of the three RCM beam modes. Using multiple criteria, CP parameters were ranked in order of importance and entered into a stepwise classification procedure, for evaluation against reference R2 products. The top four CP parameters-m-chi-volume or m-delta-volume, RR intensity, Shannon Entropy intensity (SEi), and RV intensity-achieved a maximum agreement with baseline R2 products of upward of 98% across all 19 scenes and three beam modes. Separability analyses between flooded vegetation and other land-cover classes identified four candidate CP parameters-RH intensity, RR intensity, SEi, and the first Stokes parameter (SV0)-suitable for flooded-vegetation-region growing. Flooded-vegetation-region-growing CP thresholds were found to be dependent on incidence angle for each of these four parameters. After region growing using each of the four candidate CP parameters, RH intensity was deemed best to map flooded vegetation, based on our evaluations. The results of the study suggest a set of suitable CP parameters to generate flood maps from RCM data, using current EGS methodologies that must be validated further as real RCM data become available. © 2020 by the authors.</t>
  </si>
  <si>
    <t>2-s2.0-85085337596"</t>
  </si>
  <si>
    <t>10.1029/2019JC015286</t>
  </si>
  <si>
    <t>https://www.scopus.com/inward/record.uri?eid=2-s2.0-85083984002&amp;doi=10.1029%2f2019JC015286&amp;partnerID=40&amp;md5=d8de3a9ca1d7003a4ef8e037555ea538</t>
  </si>
  <si>
    <t>We develop idealized analytical and numerical models to study how storm surge amplitudes vary within frictional, weakly convergent, nonreflective estuaries. Friction is treated using Chebyshev polynomials. Storm surge is represented as the sum of two sinusoidal components, and a third constituent represents the semidiurnal tide (D2). An empirical fit of storm surge shows that two sinusoidal components adequately represent storm surge above a baseline value (R2 = 0.97). We find that the spatial transformation of surge amplitudes depends on the depth of the estuary, and characteristics of the surge wave including time scale, amplitude, asymmetry, and surge-tide relative phase. Analytical model results indicate that surge amplitude decays more slowly (larger e-folding) in a deeper channel for all surge time scales (12–72 hr). Deepening of an estuary results in larger surge amplitudes. Sensitivity studies show that surges with larger primary amplitudes (or shorter time scales) damp faster than those with smaller amplitudes (or larger time scales). Moreover, results imply that there is a location with maximum sensitivity to altered depth, offshore surge amplitude, and time scale and that the location of observed maximum change in surge amplitude along an estuary of simple form moves upstream when depth is increased. Further, the relative phase of surge to tide and surge asymmetry can change the spatial location of maximum change in surge. The largest change due to increased depth occurs for a large surge with a short time scale. The results suggest that both sea level rise and channel deepening may also alter surge amplitudes. ©2020. American Geophysical Union. All Rights Reserved.</t>
  </si>
  <si>
    <t>2-s2.0-85083984002"</t>
  </si>
  <si>
    <t>10.3390/RS12081348</t>
  </si>
  <si>
    <t>https://www.scopus.com/inward/record.uri?eid=2-s2.0-85084859005&amp;doi=10.3390%2fRS12081348&amp;partnerID=40&amp;md5=67e97e70449fcbeaf8fadd52f0c33c4b</t>
  </si>
  <si>
    <t>Accurate inundation maps for flooded wetlands and rivers are a critical resource for their management and conservation. In this paper, we automate a method (thresholding of the short-wave infrared band) for classifying peak inundation in the Okavango Delta, northern Botswana, using Landsat imagery and Google Earth Engine. Inundation classification in the Okavango Delta is complex owing to the spectral overlap between inundated areas covered with aquatic vegetation and dryland vegetation classes on satellite imagery, and classifications have predominately been implemented on broad spatial resolution imagery. We present the longest time series to date (1990-2019) of inundation maps for the peak flood season at a high spatial resolution (30 m) for the Okavango Delta. We validated the maps using image-based and in situ data accuracy assessments, with overall accuracy ranging from 91.5% to 98.1%. Use of Landsat imagery resulted in consistently lower (on average, 692 km2) estimates of inundation extent than previous studies that used Moderate Resolution Imaging Spectroradiometer (MODIS) and National Oceanic and Atmospheric Administration Advanced Very-High-Resolution Radiometer (NOAA AVHRR) imagery, likely owing to the increased number of mixed pixels that occur when using broad spatial resolution imagery, which can lead to overestimations of the size of inundated areas. We provide the inundation maps and Google Earth Engine code for public use. This classification method can likely be adapted for inundation mapping in other regions. © 2020 by the authors.</t>
  </si>
  <si>
    <t>2-s2.0-85084859005"</t>
  </si>
  <si>
    <t>10.1016/j.jafrearsci.2020.103796</t>
  </si>
  <si>
    <t>https://www.scopus.com/inward/record.uri?eid=2-s2.0-85079292709&amp;doi=10.1016%2fj.jafrearsci.2020.103796&amp;partnerID=40&amp;md5=d59a57cdc25d6ae27225a5473f2f48c2</t>
  </si>
  <si>
    <t>The coastal zone of Morocco forms one of the main socioeconomic areas of the country. However, intensive coastal development places beaches under significant anthropogenic pressures, aggravated by sea-level rise and storm surges due to climate change. The potential retreat of the beaches can threaten seaside tourism business, which plays a critical role in the local economy. It is therefore important to predict the behavior of the most touristic beaches in Morocco, in response to the future sea-level rise. The estimation of the rate of beach retreat under different scenarios of sea-level rise, at 16 touristic sandy beaches, using an ensemble of five morpho-dynamic models showed that: (i) the narrower the beach, the more it is at risk of erosion and loss in response to SLR; (ii) almost half of the studied beaches would lose more than 50% of their width with 2m SRL scenario. The main shortcomings of current management approaches to coastal erosion are analyzed and recommendations for future beach management within an integrated strategy are suggested.</t>
  </si>
  <si>
    <t>10.1007/s11069-020-03906-z</t>
  </si>
  <si>
    <t>https://www.scopus.com/inward/record.uri?eid=2-s2.0-85082967813&amp;doi=10.1007%2fs11069-020-03906-z&amp;partnerID=40&amp;md5=789163a630708e8d52982ee91a264ee0</t>
  </si>
  <si>
    <t>This study assesses the effects of topography and land cover data resolutions on the estimates of flood extent, inundation depths, flow velocities, and arrival times of a two-dimensional (2D) hydrodynamic HEC-RAS model under differently sized mesh structures, with the example of the urban floodplain of Kilicozu Creek (Kirsehir, Turkey). To analyse these effects under a wide range of data conditions, seven different resolution digital surface models (DSMs) (from 0.0432 to 10 m/pixel) and Manning’s roughness layers (MRLs) (from 2 to 25 m/pixel) are produced for the subject floodplain by processing the high-quality DSM and orthophoto of the Kirsehir city centre. Additionally, seven different computational point spacings (CPSs) (from 2 m × 2 m to 25 m × 25 m) are tested to evaluate changes in the model outputs depending on the dimensions of mesh grids. Simulations are carried out for 19 different DSM, MRL, and CPS configurations under the 500-year flood scenario. The simulation performed for the most detailed model configuration is utilised as the base model simulation to compare the performances of other simulations. The model simulation configurated with the 2 m cell size DSM, 10 m cell size MRL, and 10 m × 10 m CPS shows comparable performance to the base model simulation with a small loss in the accuracy of the estimates, indicating that very-fine-resolution (less than 2 m) topography and high-resolution (less than 10 m) land cover data may not be indispensable to produce reliable simulations with 2D urban flood modelling using HEC-RAS software. © 2020, Springer Nature B.V.</t>
  </si>
  <si>
    <t>2-s2.0-85082967813"</t>
  </si>
  <si>
    <t>10.1007/s00704-020-03143-1</t>
  </si>
  <si>
    <t>https://www.scopus.com/inward/record.uri?eid=2-s2.0-85081555156&amp;doi=10.1007%2fs00704-020-03143-1&amp;partnerID=40&amp;md5=99c93490061a95254c395846398e2117</t>
  </si>
  <si>
    <t>Understanding when floods occur is fundamental to reducing flood risk, yet depictions of flood seasonality rarely address two key issues: multiple seasons and the periodicity of seasonal data. We analyze the timing of extreme water levels at 47 presently operational tide gages located along the US coastlines with periods of record ranging from 29 to 118 years. Because the dates of extreme water levels are naturally multimodal periodic data, we model them with weighted mixtures of circular von Mises distributions. Fitting probability density functions on the circumference of a circle allow periodicity to be handled implicitly, while mixture models provide insight into the timing and importance of the various modes in the overall distribution. To our knowledge, this is the first application of circular statistical modeling to coastal water levels. We find clear spatial patterns in extreme water level seasonality along the US coasts. Gages located on the West Coast experience their main flood season in the winter and a secondary season in the summer, while those on the East and Gulf coasts have more uniform distributions, fewer seasons, and maximum flood likelihood in the late summer. Analysis of water level after removing tides and sea level change reduces the importance of secondary and higher seasons and yields greater uniformity compared with raw water levels. Finally, peaks-over-threshold datasets reveal secondary flood seasons that are obscured in annual maxima series, which may become increasingly impactful as sea levels rise. These findings are pertinent to coastal infrastructure design, risk sharing via financial instruments, and emergency preparedness and response. © 2020, Springer-Verlag GmbH Austria, part of Springer Nature.</t>
  </si>
  <si>
    <t>2-s2.0-85081555156"</t>
  </si>
  <si>
    <t>Revista Brasileira de Cartografia</t>
  </si>
  <si>
    <t>10.14393/RBCV72N1-47025</t>
  </si>
  <si>
    <t>https://www.scopus.com/inward/record.uri?eid=2-s2.0-85108511154&amp;doi=10.14393%2fRBCV72N1-47025&amp;partnerID=40&amp;md5=eac7f739548144002b7575d82960dc18</t>
  </si>
  <si>
    <t>The Brazilian coast is over 7000 kilometers long with many different ecosystems. Among these, are the beaches, dominated by the high dynamism caused by the action of oceanographic agents (tides, waves and currents). Human occupation of the coast for living, and the economic use of the coast (ports, tourism, fishing), increase the possibility of damaging this ecosystem. Coastal vulnerability studies are an important tool for the management of these areas, predicting how an environment can cope or recover from extreme events, for example, the rising sea level. This study aims to improve vulnerability evaluation of coastal areas, contributing to a more efficient, accountable and sustainable coastal management. To test the concept, an area at coastal Maricá, a municipality in Rio de Janeiro State, Brazil, was used. This coastline is comprised of a long sandy beach limited by rocky coastal shores. A vulnerability index was calculated from GIS data analysis of geomorphology, coastal slope, shoreline migration, tidal range, maximum height of the waves, sea level change scenario evaluation, dune height, and urban density variables for the various coastline sectors. About a third (34.69%) of the coasts have very high vulnerability, while have 34.03% high vulnerability, 25.33% have moderate and 5.95% have low vulnerability. Results obtained contribute to the planning and management of the study area, providing a tool for local environmental analysis, and establish a ranking of priorities for public action, based on different levels of vulnerability found to shoreline of Maricá. © 2020 Sociedade Brasileira de Cartografia, Geodesia.</t>
  </si>
  <si>
    <t>2-s2.0-85108511154"</t>
  </si>
  <si>
    <t>10.2112/SI95-045.1</t>
  </si>
  <si>
    <t>https://www.scopus.com/inward/record.uri?eid=2-s2.0-85085519308&amp;doi=10.2112%2fSI95-045.1&amp;partnerID=40&amp;md5=fda0b07bbb41ca04c2e07b884fbdd4c1</t>
  </si>
  <si>
    <t>Effective beach nourishment can reduce storm-related erosion and promote beach recovery after storms. Herein the Dongsha Beach Nourishment Project is presented as an example. Topographic survey data and sediment samples were obtained immediately before and after the landing of Typhoon Talim (tropical storm No. 1718) in 2017 and again one, two, and six months later. The digital elevation model (DEM), beach profiles, and sediment particle sizes were used to analyze the initial response of Dongsha Beach and its recovery process. The project was compared to 16 other beach nourishment projects in China to assess its effectiveness. Talim eroded the beach as a whole, although erosion was most severe in the lower headland sheltered section and the straight section. The upper headland sheltered section suffered the least erosion and recovered most during the recovery period, followed by the straight section. The lower headland sheltered section showed the least recovery. Talim coarsened grains in the straight and upper headland sheltered sections. Grains in the high tide zone in the lower headland sheltered section appeared coarsened, while grains in the middle and low tide zones were refined. Sedimentary grains in the upper headland sheltered and straight sections returned to their pre-typhoon states within the first and second months of the recovery period, respectively. The lower headland sheltered section had not recovered after six months. The fastest recovery o ccurred within the low tide zone. Recovery in the mid-tide zone followed, while the high tide zone recovered most slowly. When Dongsha Beach was compared to 16 other beaches in China, the 2017 nourishment project appeared to be inefficient. However, high stability and good natural conditions will enable better results to be achieved at Dongsha Beach with scientific planning.</t>
  </si>
  <si>
    <t>10.3390/cli8040050</t>
  </si>
  <si>
    <t>https://www.scopus.com/inward/record.uri?eid=2-s2.0-85084295266&amp;doi=10.3390%2fcli8040050&amp;partnerID=40&amp;md5=a6eb13215bc266d31765337ba8eb92fc</t>
  </si>
  <si>
    <t>The Arabian Gulf is one of the regions in the world experiencing major changes due to increased economic growth rates and development practices. As a shallow water body within a hot desert, the Gulf is exposed to obvious warming in the sea surface temperatures (SST). Remotely sensed SST data were utilized to estimate decadal change in SST with a focus on coral reef locations. There is a positive trend in monthly time series SSTs, with a maximum value of about 0.7 °C/decade for the western side of the Gulf. This high trend of SST is associated with significant coral reef bleaching and it coincides with major climate/ocean interactions. Most of the Arabian countries along the Gulf have coastal developments at low-land areas of high vulnerability to sea level rise. Digital elevation models showed that there are more than 3100 km2 of coastal areas that occur at 1 m level along the Arabian countries of the Gulf. Coastal protection and conservation measures are crucial to protect low-lying coasts of urban use. © 2020 by the authors.</t>
  </si>
  <si>
    <t>2-s2.0-85084295266"</t>
  </si>
  <si>
    <t>10.1016/j.gca.2020.02.007</t>
  </si>
  <si>
    <t>https://www.scopus.com/inward/record.uri?eid=2-s2.0-85079597448&amp;doi=10.1016%2fj.gca.2020.02.007&amp;partnerID=40&amp;md5=91bec526abad9ba7721ae9edef71bdd7</t>
  </si>
  <si>
    <t>We propose an alternative scheme for the use of 224Ra/228Th disequilibria to investigate carbon and nutrient export from a permeable sandy seabed. Sediment profiles of dissolved 224Ra, total 224Ra and 228Th were determined at two different intertidal sand systems - an intertidal sandy beach near Weitou Bay in Fujian (China), and a tidal sand flat in the Wadden Sea near Cuxhaven (Germany). Dramatic deficit of total 224Ra relative to 228Th was identified in the upper 20 or 30 cm sand layer over the sand systems. We construct a simple two-dimensional advective cycling model to simulate interfacial fluid transport in a sand system that is subject to periodic tidal inundation and swash actions. Based on the 224Ra/228Th disequilibria in the sediment, the model gives estimates of 20.3, 9.1, and 1.9 L m−2 h−1 for water exchange flux at the high tide, mid-tide, and low tide position over the sandy beach at Weitou Bay, respectively. In comparison, the model provides an estimate of 7.2 L m−2 h−1 for water exchange flux at the tidal sand flat in the Wadden Sea. The production of dissolved inorganic carbon (DIC) in porewater is the rate-limiting step for DIC export from the sandy beach into the sea, and can be reasonably simulated as a first-order kinetic reaction. The pattern of interfacial fluid transport over the beach facilitates a horizontal zonation of redox condition in the sediment, which evolves progressively from a fully oxic state at the high tide position to a suboxic state at the low tide position. There is clear evidence of nitrogen loss via denitrification in the suboxic status, and we estimate a nitrogen removal rate of 3.3 mmolN m−2 d−1 at this site. For the two intertidal sand systems, DIC export fluxes range from 20.1 to 89.4 mmolC m−2 d−1, comparable in magnitude to fluxes determined in organic rich estuarine sediments. In the meantime, export fluxes of dissolved inorganic nitrogen (DIN) change from 0.8 to 18.6 mmolN m−2 d−1. Overall, this study suggests that the role of sandy sediments in the biogeochemical cycling of carbon and nutrients needs to be revisited. © 2020 Elsevier Ltd</t>
  </si>
  <si>
    <t>2-s2.0-85079597448"</t>
  </si>
  <si>
    <t>10.1016/j.geomorph.2020.107068</t>
  </si>
  <si>
    <t>https://www.scopus.com/inward/record.uri?eid=2-s2.0-85079428613&amp;doi=10.1016%2fj.geomorph.2020.107068&amp;partnerID=40&amp;md5=2cd444e4467de47eaeb911be8f649747</t>
  </si>
  <si>
    <t>Aosta Valley (Western Alps, Italy) is the region with the largest glacierized area of Italy. Like other high mountain regions, it has shown a significant glacier retreat starting from the end of the ‘Little Ice Age’ that is expected to continue in the future. As a direct consequence of glacier shrinkage, glacier-bed overdeepenings become exposed, offering suitable geomorphological conditions for glacier lakes formation. In such a densely populated and developed region, opportunities and risks connected to lakes may arise: 1) economic exploitation for hydropower production, tourism and water supply</t>
  </si>
  <si>
    <t>10.2112/JCOASTRES-D-19-00174.1</t>
  </si>
  <si>
    <t>https://www.scopus.com/inward/record.uri?eid=2-s2.0-85084216718&amp;doi=10.2112%2fJCOASTRES-D-19-00174.1&amp;partnerID=40&amp;md5=fb12e8751393dc5a8b20fa3b261c7ae9</t>
  </si>
  <si>
    <t>Potter, C. and Amer, R., 2020. Mapping 30 years of change in the marshlands of Breton Sound basin (southeastern Louisiana, U.S.A.): Coastal land area and vegetation green cover. Journal of Coastal Research, 36(3), 437-450. Coconut Creek (Florida), ISSN 0749-0208. This study analyzes the 30-year record of Landsat satellite imagery to better understand the patterns and processes of land loss/gain and recent changes in marshland vegetation green cover in coastal wetlands of Breton Sound basin of southeastern Louisiana. Impacted by both Hurricane Katrina in 2005 and Hurricane Gustav in 2008, this vast estuary area just south of New Orleans was mapped at 30 m resolution in 5-year intervals from 1985 to 2017 using the Landsat Normalized Difference Water Index (NDWI) and the Normalized Difference Vegetation Index (NDVI). Results revealed an entirely new picture of marshland change prior to Hurricanes Katrina and Gustav in the Breton Sound basin. Following decades of extensive wetland loss resulting largely from gas and oil well drilling and canal construction, this analysis estimated gains in land area between 1985 and 2005 (pre-Katrina) of 247 km across all subbasins of Breton Sound. The largest proportional increases in marshland areas were mapped from dNDWI analysis in the subbasins of Bayou la Loutre, Bayou Pointe-en-Pointe, and Bayou Terre Aux Boeufs, all surrounding the outer Mississippi River Gulf Outlet Canal. Brackish salinity areas were among the first of Louisiana's coastal wetlands to succumb to the hurricane storm surges of 2005 and 2008, as Landsat dNDWI analysis estimated that about 245 km of wetlands in the Breton Sound basin were lost to open water from the impacts of Hurricanes Katrina and Gustav. However, combined dNDWI and dNDVI analysis indicated that gains in marshland area and green vegetation cover have occurred at a yearly rate of increase after 2008 comparable to the period between 1985 and 2005. Specific areas of rapid land gain were detected in River aux Chenes and Bayou Bienvenue subbasins, and Bayou Plaquemines and Bayou la Loutre in brackish to saltwater marshland types on the outer margins of Breton Sound basin. © Coastal Education and Research Foundation, Inc. 2020.</t>
  </si>
  <si>
    <t>2-s2.0-85084216718"</t>
  </si>
  <si>
    <t>10.1016/j.scitotenv.2019.135185</t>
  </si>
  <si>
    <t>https://www.scopus.com/inward/record.uri?eid=2-s2.0-85076609247&amp;doi=10.1016%2fj.scitotenv.2019.135185&amp;partnerID=40&amp;md5=dd2dde5b944c459443eedcf356766203</t>
  </si>
  <si>
    <t>The fate of soil carbon in eroding coastal wetlands is of great concern, given the potential for a feedback loop from coastal wetland soil that would dramatically increase atmospheric CO2 concentrations. The biogeochemical transformations and overall fate of this soil carbon upon coastal erosion were investigated through geophysical and spectroscopic analysis of soil and associated dissolved organic matter. Bay water and core sections were collected across transects encompassing both intact and eroded, submerged, sections of a coastal marsh in Barataria Bay, Louisiana. We noted: i) a vertical increase in carbon content, humification of organic matter, and decrease in biotic degradation with depth at all sites</t>
  </si>
  <si>
    <t>10.2112/SI95-148.1</t>
  </si>
  <si>
    <t>https://www.scopus.com/inward/record.uri?eid=2-s2.0-85085529633&amp;doi=10.2112%2fSI95-148.1&amp;partnerID=40&amp;md5=fc10ebea30c9a6b8bbf8993bcb4c996a</t>
  </si>
  <si>
    <t>The vulnerability of two sectors from the Rio de Janeiro coastline (SE Brazil), related to coastal erosion and inundation, is assessed in this work: the Marambaia barrier island (MBI), a 40 km long feature with scarce human occupation, and the 20 km long Macumba/Recreio-Barra (MRB) beaches, that are variably urbanized. Although MBI is classified as an area predominantly with low vulnerability (40%), its Central and Easternmost sectors exhibit high vulnerability (35%). Macumba beach western sector exhibits low vulnerability (44%); in contrast, its eastern sector is very highly vulnerable (44%). The same tendency is observed at Recreio-Barra beaches, which present a trend of increasing vulnerability from west (22% with moderate vulnerability) to east, where &gt;50% of its extension is very highly vulnerable. The geomorphology of the coastline, represented by a low topography, associated to significant wave height &gt;1.5m and a microtidal regime, led to its classification as highly and very highly vulnerable to coastal erosion and inundation (&gt;50%). At MRB beaches, where the anthropic influence is larger than along MBI, the coast is more exposed to coastal erosion and inundation, especially in scenarios of global increasing storminess and sea level rise.</t>
  </si>
  <si>
    <t>10.1007/s12517-020-05335-5</t>
  </si>
  <si>
    <t>https://www.scopus.com/inward/record.uri?eid=2-s2.0-85084508564&amp;doi=10.1007%2fs12517-020-05335-5&amp;partnerID=40&amp;md5=a91f1d6ee6f277d78af45341d9cf6254</t>
  </si>
  <si>
    <t>This paper investigates the characteristics of sedimentary faces, source rocks, and hydrocarbon accumulation in detail within the Paleogene and Upper Cretaceous in the northern Kaikang trough, Muglad Basin. Analysis shows that the fluvial floodplain, delta, and shore-shallow lake facies are well developed in the main formations and several reservoir-cap assemblages are formed. Research on geochemical indicators, hydrocarbon generation, and expulsion potential of source rocks indicated that the thickness of good source rocks in Paleogene ranges from 50 to 200 m and TOC value can reach 0.5–1.3%, but it is immature and has no hydrocarbon generation potential. Nevertheless, the Upper Cretaceous source rocks are mostly matured, but its hydrocarbon generation is limited because of lower TOC (only 0.5–0.8%) and thinner thickness (only 10 m). The main effective source rock is the AG Group in the Lower Cretaceous, which is distributed throughout the area. The evolutionary history shows that most of structures in the central troughs lack hydrocarbon potential, because they were formed since the Paleogene, which are later than the main accumulation period of the AG source rock. The fault terrace zones on both sides of the Kaikang trough have obtained petroleum discovery, but the distribution of oil layers is much complicated. Hydrocarbon accumulation is controlled by formation dips, fault activity intensity, and fault lateral docking characteristics. The weaker active fault block in late period and more effective trap are the key factors to hydrocarbon enrichment at the fault terrace zones. There are two typical reservoir-forming modes</t>
  </si>
  <si>
    <t>10.1029/2019JC015625</t>
  </si>
  <si>
    <t>https://www.scopus.com/inward/record.uri?eid=2-s2.0-85087417934&amp;doi=10.1029%2f2019JC015625&amp;partnerID=40&amp;md5=0cc084c24d3070fef62e13850ddf1993</t>
  </si>
  <si>
    <t>The impact of a floating oyster aquaculture farm on the intratidal dynamics of a low inflow estuary was investigated using field observations and an idealized numerical model. Measurements of current velocities, temperature, electrical conductivity, and velocity shear were collected around a floating oyster farm during two semidiurnal tidal cycles in a curved portion of the estuary. During flood, farm-induced friction enhanced the lateral straining of velocity shears, which induced vertical mixing near the surface and extended the farm's frictional footprint. The streamwise flow reduction near the farm limited the development of lateral circulation. During ebb, flows largely bypassed the farm, which resulted in a weaker streamwise flow reduction through the farm and allowed the lateral circulation to develop across the estuary. To capture the farm effects in numerical simulations, a bulk drag coefficient for the farm was calculated as 8.4 × 10−3 ± 9.1 × 10−4, while the drag for a single cage ranged from 0.58 to 0.92. An idealized simulation in the Regional Ocean Modeling System (ROMS) demonstrated that the limited development of lateral circulation during flood was due to farm-imposed friction rather than the combined influence of channel-shoal morphology and the natural channel bend. These results showed that even though a farm may encompass a small portion of the estuary, it can affect the momentum and mixing outside of the immediate farm area. Therefore, it is important to consider the hydrodynamic responses of farms in estimates of carrying capacity and siting decisions. ©2020. American Geophysical Union. All Rights Reserved.</t>
  </si>
  <si>
    <t>2-s2.0-85087417934"</t>
  </si>
  <si>
    <t>10.1007/s10064-019-01652-6</t>
  </si>
  <si>
    <t>https://www.scopus.com/inward/record.uri?eid=2-s2.0-85075202250&amp;doi=10.1007%2fs10064-019-01652-6&amp;partnerID=40&amp;md5=8103340c1cb13c328dc1ad3c282dca63</t>
  </si>
  <si>
    <t>To clarify the scale effect of slope deformation, this study investigates the behaviors of dip slopes with various heights and geological properties using centrifuge and numerical modeling. Three types of physical and numerical models with different rock layer thicknesses and weak plane angles were constructed for analysis and validation. The models were subject to toe submersion to simulate the wetting deterioration condition. Based on the analysis results, the deformation, sliding, and debris accumulation of small slopes (a few meters high) may be insignificant. However, the deformation behaviors of higher slopes with the same angle (with a height of tens to a hundred meters) can be more severe and affect the whole slope, especially if the slope has a high weak plane angle with alternating thin rock layers. Some early warning signs, such as bulging-induced tension cracks close to the toe or the relative sliding of layers at the slope surface or crest, can produce more massive landslides or debris accumulation of the dip slopes, especially for high slopes. © 2019, Springer-Verlag GmbH Germany, part of Springer Nature.</t>
  </si>
  <si>
    <t>2-s2.0-85075202250"</t>
  </si>
  <si>
    <t>10.1111/jiec.12853</t>
  </si>
  <si>
    <t>https://www.scopus.com/inward/record.uri?eid=2-s2.0-85064525641&amp;doi=10.1111%2fjiec.12853&amp;partnerID=40&amp;md5=9c927b62e5b773230e7e694d41c75a0a</t>
  </si>
  <si>
    <t>The building stock consumes large amounts of resources for maintenance and expansion which is only exacerbated by disaster events where large-scale reconstruction must occur quickly. Recent research has shown the potential for application of material stock (MS) accounts for informing disaster risk planning. In this research, we present a methodological approach to analyze the vulnerability of the material stock in buildings to extreme weather events and sea-level rise (SLR) due to climate change. The main island of Grenada, a Small Island Developing State (SIDS) in the Caribbean region, was used as a case study. A bottom-up approach based on a geographic information system (GIS) is used to calculate the total MS of aggregate, timber, concrete, and steel in buildings. The total MS in buildings in 2014 was calculated to be 11.9 million tonnes (Mt), which is equivalent to 112 tonnes per capita. Material gross addition to stock (GAS) between 1993 to 2009 was 6.8 Mt and the average value over the time period was 4.0 tonnes per capita per year. In the year following Hurricane Ivan (2004), the per capita GAS for timber increased by 172%, while for other metals, GAS spiked by 103% (compared to average growth rates of 11% and 8%, respectively, between 1993 and 2009). We also ran a future “Ivan-II” scenario and estimated a hypothetical loss of between 135 and 216 kilotonnes (kt) of timber from the building stock. The potential impact of SLR is also assessed, with an estimated 1.6 Mt of building material stock exposed under a 2-m scenario. We argue that spatial material stock accounts have an important application in planning for resilience and provide indication of the link between natural disaster recovery and resource use patterns. © 2019 by Yale University</t>
  </si>
  <si>
    <t>2-s2.0-85064525641"</t>
  </si>
  <si>
    <t>10.1007/s00367-019-00591-1</t>
  </si>
  <si>
    <t>https://www.scopus.com/inward/record.uri?eid=2-s2.0-85075239886&amp;doi=10.1007%2fs00367-019-00591-1&amp;partnerID=40&amp;md5=88dfb311b2f8f2b82f4dd739f50b078a</t>
  </si>
  <si>
    <t>The swash zone is the most dynamic part of the upper beach. Here breaking waves interact with sediments, leading to beach morphodynamics, and eventually to coastal erosion and flooding. An understanding of swash characteristics such as the vertical excursion and mean swash period is of vital importance to identify and predict the possible impact of storms in coastal areas. The prediction of these swash parameters is commonly based on bulk offshore spectral wave parameters and the beach slope, the latter being expensive to monitor. In this study, a dataset from an intermediate beach on the south-west coast of Sylt, Germany was derived to analyze swash characteristics. Field observations show high variability in swash excursion even for similar incident wave conditions if expressed by bulk parameters. Here, the role of frequency spread was further investigated. An inverse relationship between swash frequency spread and swash characteristics (excursion and mean period) was identified. A parameterization for the swash frequency spread based on incident wave parameters is proposed, and a new approach to obtain total swash excursion and mean swash period is developed. The parameterization is validated using two independent swash datasets (Duck 1982 and Duck 1994) and compared to the predictive ability of other parameterizations. It is highlighted that common parameterizations based on peak period do not perform well in characterizing incident conditions when bi-modal spectra are present. The choice of the right descriptor for wave periods may have a more pronounced influence on the predictive skill than the inclusion of the beach slope. © 2019, Springer-Verlag GmbH Germany, part of Springer Nature.</t>
  </si>
  <si>
    <t>2-s2.0-85075239886"</t>
  </si>
  <si>
    <t>10.1080/01431161.2019.1677968</t>
  </si>
  <si>
    <t>https://www.scopus.com/inward/record.uri?eid=2-s2.0-85074369131&amp;doi=10.1080%2f01431161.2019.1677968&amp;partnerID=40&amp;md5=ec0e05528fd9ce9927854fb46f5c4263</t>
  </si>
  <si>
    <t>One of the most essential inputs in flood inundation mapping is the geometric description of the floodplains and river channel that often derives from the digital elevation models (DEMs). By increasing the satellite-based technologies during the past 30 years, several DEM sources ranging from fine-resolution and accurate, but costly, to low-cost and low-resolution have been developed. In most parts of the world, especially developing countries and data sparse regions, the coarse resolution DEMs is the only available data set for hydraulic modelling and flood inundation mapping. This research addressed the usefulness and efficiency of the recently released Advanced Land Observing Satellite (ALOS) DEM in flood inundation mapping using 1D Hydrologic Engineering Centre- River Analysis System (HEC-RAS) model. In addition, other DEM sources such as Shuttle Radar Topography Mission (SRTM-90 m), SRTM-30 m, and Advanced Spaceborne Thermal Emission and Reflection Radiometer (ASTER-30 m) are used to carry out a comprehensive evaluation of remotely sensed DEMs for flood inundation mapping. Findings indicate that using ALOS-30m for hydraulic simulation approximately leads to the similar results as well as ground-based DEM (GDEM). For example, the Mean Absolute Percentage Error (MAPE) in simulating mean Water Surface Elevation (WSE) and mean inundated extents based on this dataset, within the cross-sections, is lower than 8% and 13% for SojasRood river, respectively, while for Sarbaz river these values are 9% and 2%. Moreover, in both rivers, SRTM-30 m relative to ASTER-30 m and SRTM-90 m DEMs presents better results in deriving the geometric model and hydraulic simulation. Also, Hydraulic modelling based on ASTER-30 m, even relative to SRTM-90 m as a coarser resolution DEM, shows a significant discrepancy compared to GDEM. Moreover, in both rivers, the MAPE in predicting inundated extents, within the reaches, is higher than 38%. © 2019, © 2019 Informa UK Limited, trading as Taylor &amp; Francis Group.</t>
  </si>
  <si>
    <t>2-s2.0-85074369131"</t>
  </si>
  <si>
    <t>10.1016/j.scitotenv.2020.136584</t>
  </si>
  <si>
    <t>https://www.scopus.com/inward/record.uri?eid=2-s2.0-85078164929&amp;doi=10.1016%2fj.scitotenv.2020.136584&amp;partnerID=40&amp;md5=0fe71efaf0af4c3486e772d7f3dcdcd0</t>
  </si>
  <si>
    <t>Microplastics in the environment is a highly relevant research topic. However, although more and more studies on environmental concentrations of microplastics are published, a profound risk assessment could not be carried out yet. This is mainly attributable to the fact that the current sampling and analysis methods do not provide a representative picture of the environmental pollution, as the fundamental knowledge about transport processes of microplastic is not present, and the ecotoxicological studies therefore cannot consider the relevant exposures of the organisms. To provide a methodological basis for further research and risk assessments, this paper applies the Source-Pathway-Receptor model to the context of microplastics, whereby the current state of knowledge can be compiled in a structured way and important knowledge gaps can be identified. © 2020 Elsevier B.V.</t>
  </si>
  <si>
    <t>2-s2.0-85078164929"</t>
  </si>
  <si>
    <t>Permafrost and Periglacial Processes</t>
  </si>
  <si>
    <t>10.1002/ppp.2046</t>
  </si>
  <si>
    <t>https://www.scopus.com/inward/record.uri?eid=2-s2.0-85081011450&amp;doi=10.1002%2fppp.2046&amp;partnerID=40&amp;md5=207d9fe0fa2adc915d49f232c9cf1a92</t>
  </si>
  <si>
    <t>Talik and cryopeg development related to channel migration has been observed in arctic deltas, but our knowledge on the configuration, properties, and rate of freezeback has remained limited. Along a main channel of the Colville River Delta (Alaska), we integrated subsurface data from 79 boreholes with a remote sensing analysis to measure channel changes in 1948–2013. We found that closed taliks occurred under the active channel and extended into intrapermafrost cryopeg layers under the riverbed/riverbar and active floodplain. Cryopegs as isolated small pockets were also identified at depths in older terrain units. In the study corridor, we estimated that the likelihood of talik and cryopeg occurrence was predominantly (42.2% of area) low, yet a high likelihood was also identified (27.0% of area). Permafrost growth occurred at a rapid rate in the land exposed following channel migration, likely due to the low and delayed release of latent heat as the freezing front progresses downward in the coarse-grained soils of increasing salinity but decreasing temperatures. As the deposits keep cooling, ground ice will continue forming therefore increasing furthermore the salinity of the remaining unfrozen soil pore-water and likely prevent the complete freezeback of the cryopegs developed in relation to channel migration. © 2020 John Wiley &amp; Sons, Ltd.</t>
  </si>
  <si>
    <t>2-s2.0-85081011450"</t>
  </si>
  <si>
    <t>10.2112/SI95-145.1</t>
  </si>
  <si>
    <t>https://www.scopus.com/inward/record.uri?eid=2-s2.0-85085529109&amp;doi=10.2112%2fSI95-145.1&amp;partnerID=40&amp;md5=e504974cff7bfb5da6328ad39a2c2314</t>
  </si>
  <si>
    <t>Mury, A.</t>
  </si>
  <si>
    <t>10.3390/RS12091532</t>
  </si>
  <si>
    <t>https://www.scopus.com/inward/record.uri?eid=2-s2.0-85085977394&amp;doi=10.3390%2fRS12091532&amp;partnerID=40&amp;md5=e8c1d1b2cdacbccff5254392e32a301f</t>
  </si>
  <si>
    <t>A flood-producing heavy rainfall event occurred at the mountainous coastal region in the northeast of South Korea on 5-6 August 2018, subsequent to extreme heat waves, through a quasi-stationary mesoscale convective system (MCS). We analyzed the storm environment via a multi-data approach using high-resolution (1-km) simulations from the Weather Research and Forecasting (WRF) and in situ/satellite/radar observations. The brightness temperature, from the Advanced Himawari Imager water vapor band, and the composite radar reflectivity were used to identify characteristics of the MCS and associated precipitations. The following factors affected this back-building MCS: low-level convergence by the Korea easterlies (Kor'easterlies), carrying moist air into the coast</t>
  </si>
  <si>
    <t>10.1007/s00382-020-05212-7</t>
  </si>
  <si>
    <t>https://www.scopus.com/inward/record.uri?eid=2-s2.0-85083773113&amp;doi=10.1007%2fs00382-020-05212-7&amp;partnerID=40&amp;md5=dc46913c97681c0575ba4d2b17708410</t>
  </si>
  <si>
    <t>Sao Tome and Principe is a small insular African country extremely vulnerable to rising sea levels and impacts such as inundation, shore line change, and salt water intrusion into underground aquifers. Projections of climate change have considered coarse model resolutions. The objective of this work is to dynamically downscale the global model projections to 4-km resolution and to assess the climate change in the Sao Tome and Principe islands. The global climate projections are provided by the Canadian Earth System Model under two Representative Concentration Pathways greenhouse gas scenarios, RCP4.5 and RCP8.5. The downscaling is produced by the Eta regional climate model. The baseline period is taken between 1971 and 2000, and the future climate period is taken between 2041 and 2070. The 2-m temperature simulations show good agreement with station data. The model simulates temperature more accurately than precipitation. The precipitation simulations systematically show underestimation and delay of the rainy and the dry seasons by about 1 month, a feature inherited from the global climate model. In the middle of the 21st century, projections show the strongest warming in the elevated parts of the Sao Tome Island, especially in February under RCP8.5. Warmer nights and warmer days become more frequent in the islands when compared with those in the present. While under RCP4.5, precipitation increases in the islands</t>
  </si>
  <si>
    <t>10.1016/j.ocemod.2020.101585</t>
  </si>
  <si>
    <t>https://www.scopus.com/inward/record.uri?eid=2-s2.0-85079357690&amp;doi=10.1016%2fj.ocemod.2020.101585&amp;partnerID=40&amp;md5=8bf89ead19f2d5feca5a49a51d30ad16</t>
  </si>
  <si>
    <t>In this paper, we explore the secondary flows in the Danish Straits using observations and numerical simulations performed with the unstructured-grid hydrodynamic model SCHISM covering the North Sea and Baltic Sea. The straits are resolved on scales of up to ∼100 m. Given that large-scale atmospheric variability dominates the transport in these straits, we focus on the processes with subtidal time scales. Similarities and differences between the in- and outflows in the straits and flood and ebb flows in estuaries are analyzed. Contrary to the tidal straining in estuaries, the Danish Straits feature substantial differences in the stratification stability during the outflow and inflow phases. With a resolution of ∼100 m, new transport and mixing pathways that were previously unresolved appear fundamental to the strait dynamics. The variety of the strait morphology leads to high variability in the appearance of secondary circulation. Helical cells, often with a horizontal extension of ∼1 km, develop in the deep parts of the channels. A comparison between the high-resolution simulation and a simulation with a coarse grid of ∼500 m in the straits suggests that the coarser resolution overestimates the stratification and misrepresents the transport balance</t>
  </si>
  <si>
    <t>10.2112/SI95-155.1</t>
  </si>
  <si>
    <t>https://www.scopus.com/inward/record.uri?eid=2-s2.0-85085527320&amp;doi=10.2112%2fSI95-155.1&amp;partnerID=40&amp;md5=497a0732c8d3515074870a3601b26b4e</t>
  </si>
  <si>
    <t>To upgrade the response capability to coastal flood events, hazard predictions need to be improved through integrating the effect of the coastal morphological variability in the nearshore-foreshore-backshore hydromorphological processes induced by waves-tide-wind-atmospheric pressure. In order to evaluate the short-term morphological response of different coastal typologies to potential flood conditions (spring high tide level, storm surge, high wave height), field data acquired in 2019 in three sites in the West coast of Portugal with past flooding episodes are presented and discussed. The preliminary results point out that under the same forcing conditions the short-term response of the cross-shore beach profile that controls the flooding levels is dependent on the beach typology, namely: the nature of the lower and upper limits of the beach face, profile gradient and its alongshore context. This knowledge can be used to develop robust and validated flood prediction tools contributing to improve mitigation and adaptation management strategies.</t>
  </si>
  <si>
    <t>10.1007/s11069-018-3251-x</t>
  </si>
  <si>
    <t>https://www.scopus.com/inward/record.uri?eid=2-s2.0-85043688206&amp;doi=10.1007%2fs11069-018-3251-x&amp;partnerID=40&amp;md5=d84f94d2cc07517d5ed33568d2c252d3</t>
  </si>
  <si>
    <t>Cities and towns along the tidal Hudson River are highly vulnerable to flooding through the combination of storm tides and high streamflows, compounded by sea level rise. Here a three-dimensional hydrodynamic model, validated by comparing peak water levels for 76 historical storms, is applied in a probabilistic flood hazard assessment. In simulations, the model merges streamflows and storm tides from tropical cyclones (TCs), offshore extratropical cyclones (ETCs) and inland “wet extratropical” cyclones (WETCs). The climatology of possible ETC and WETC storm events is represented by historical events (1931–2013), and simulations include gauged streamflows and inferred ungauged streamflows (based on watershed area) for the Hudson River and its tributaries. The TC climatology is created using a stochastic statistical model to represent a wider range of storms than is contained in the historical record. TC streamflow hydrographs are simulated for tributaries spaced along the Hudson, modeled as a function of TC attributes (storm track, sea surface temperature, maximum wind speed) using a statistical Bayesian approach. Results show WETCs are important to flood risk in the upper tidal river (e.g., Albany, New York), ETCs are important in the estuary (e.g., New York City) and lower tidal river, and TCs are important at all locations due to their potential for both high surge and extreme rainfall. The raising of floods by sea level rise is shown to be reduced by ~ 30–60% at Albany due to the dominance of streamflow for flood risk. This can be explained with simple channel flow dynamics, in which increased depth throughout the river reduces frictional resistance, thereby reducing the water level slope and the upriver water level. © 2018, Springer Science+Business Media B.V., part of Springer Nature.</t>
  </si>
  <si>
    <t>2-s2.0-85043688206"</t>
  </si>
  <si>
    <t>10.1007/s10640-020-00409-0</t>
  </si>
  <si>
    <t>https://www.scopus.com/inward/record.uri?eid=2-s2.0-85080912020&amp;doi=10.1007%2fs10640-020-00409-0&amp;partnerID=40&amp;md5=0a9bcda107d04f2d25e96146f1ee0845</t>
  </si>
  <si>
    <t>Prior meta-regression models (MRMs) of wetland values pool value estimates associated with diverse commodity types—for example recreation, flood control, nutrient cycling, habitat provision, nonuse value, and carbon sequestration. Neither theory nor economic intuition justify the inclusion of such dissimilar commodities within a single meta-analytic value function, leading to validity concerns. This article seeks to advance methods for commodity and welfare consistent MRMs, applied to a particular category of wetland values. We develop a wetland value MRM restricted to a specific wetland type (coastal marshes), general location (US and Canada), commodity type (habitat provision and services), and valuation approach (stated preference methods). Results indicate that willingness to pay per household for marsh habitat changes is responsive to scope, spatial scale, market extent, the type of habitat change, household characteristics, and other factors suggested by theory and intuition. Results supersede those of prior wetland value MRMs in terms of statistical performance, estimation of anticipated value surface patterns, and capacity to support conceptually valid benefit transfers. Comparison with an otherwise identical but less commodity consistent MRM demonstrates that commodity consistency leads to improved statistical and benefit transfer performance. © 2020, Springer Nature B.V.</t>
  </si>
  <si>
    <t>2-s2.0-85080912020"</t>
  </si>
  <si>
    <t>10.5194/nhess-20-783-2020</t>
  </si>
  <si>
    <t>https://www.scopus.com/inward/record.uri?eid=2-s2.0-85082551620&amp;doi=10.5194%2fnhess-20-783-2020&amp;partnerID=40&amp;md5=e67cdac9cf277d28aa5874a16a1e9b47</t>
  </si>
  <si>
    <t>Coastal flooding is a major global hazard, yet few studies have examined the spatial and temporal characteristics of extreme sea level and associated coastal flooding. Here we analyse sea-level records around the coast of New Zealand (NZ) to quantify extreme storm-tide and skew-surge frequency and magnitude. We identify the relative magnitude of sea-level components contributing to 85 extreme sea level and 135 extreme skew-surge events recorded in NZ since 1900. We then examine the spatial and temporal clustering of these extreme storm-tide and skew-surge events and identify typical storm tracks and weather types associated with the spatial clusters of extreme events. We find that most extreme storm tides were driven by moderate skew surges combined with high perigean spring tides. The spring-neap tidal cycle, coupled with a moderate surge climatology, prevents successive extreme storm-tide events from happening within 4-10 d of each other, and generally there are at least 10 d between extreme storm-tide events. This is similar to findings from the UK (Haigh et al., 2016), despite NZ having smaller tides. Extreme events more commonly impacted the east coast of the North Island of NZ during blocking weather types, and the South Island and west coast of the North Island during trough weather types. The seasonal distribution of both extreme storm-tide and skew-surge events closely follows the seasonal pattern of mean sea-level anomaly (MSLA) - MSLA was positive in 92 % of all extreme storm-tide events and in 88 % of all extreme skew-surge events. The strong influence of low-amplitude (-0.06 to 0.28 m) MSLA on the timing of extreme events shows that mean sea-level rise (SLR) of similarly small height will drive rapid increases in the frequency of presently rare extreme sea levels. These findings have important implications for flood management, emergency response and the insurance sector, because impacts and losses may be correlated in space and time. © 2020 Author(s).</t>
  </si>
  <si>
    <t>2-s2.0-85082551620"</t>
  </si>
  <si>
    <t>10.2112/SI95-182.1</t>
  </si>
  <si>
    <t>https://www.scopus.com/inward/record.uri?eid=2-s2.0-85085520715&amp;doi=10.2112%2fSI95-182.1&amp;partnerID=40&amp;md5=3af0f828508c3c43b16cfa0c08d20ffb</t>
  </si>
  <si>
    <t>Estuarine flood risk management is a challenge for coastal managers since this type of system is usually complex due to the presence of multiple trigger combinations that can induce flood events affecting different types of human occupation. Furthermore, legal directives demanded countries to have flood risk assessment tools therefore enhancing knowledge on estuarine triggers and flood damage typologies is useful for coastal managers. In this study three different flood events are compared and contrasted, each one having occurred in a different estuarine system chosen based on a set of criteria (temporal proximity, occurrence of human damages and at least three flood triggers identified in each database). The diversity of data sources that characterizes each database was examined, for the three events, which are described in terms of triggers and damages. The comparison highlighted that the local context was important in the estuarine flood combination of triggers and disclosed two categories (one category comprising infrastructure economic and human damages; and another category involving circulation interruption and functions disruption) of flood damages common between the studied systems corresponding to different levels of relevance for management. The enhanced knowledge acquired allowed the construction of a conceptual framework for damages that can contribute to more adequate estuarine flood risk frameworks.</t>
  </si>
  <si>
    <t>10.1029/2019JD031823</t>
  </si>
  <si>
    <t>https://www.scopus.com/inward/record.uri?eid=2-s2.0-85084493838&amp;doi=10.1029%2f2019JD031823&amp;partnerID=40&amp;md5=3c2f6f1f494383d7eb9ffcef639b0a32</t>
  </si>
  <si>
    <t>Lying in the frontline of the prevailing midlatitude westerlies, British Columbia and southeastern Alaska (BCSAK) often receive copious amounts of precipitation through atmospheric rivers (ARs). This study quantifies the contribution of ARs to annual, seasonal, and extreme precipitation across BCSAK from 1979 to 2012 using a recently developed high-resolution gridded precipitation data set, a regional AR catalog, and integrated vapor transport fields calculated from a reanalysis data set. On average, ARs contribute 13% of total annual precipitation with the higher contribution along the coastal regions (up to 33%), parts of which are one of the wettest locations on Earth, followed by the Columbia and Rocky Mountains (~9%–15%). The highest contributions occur during September (up to 57%) and October (up to 49%). The contribution of ARs to extreme precipitation attains &gt;90% along the western arc of the Coast Mountains and the coastal regions of BCSAK. ARs act as the main synoptic-scale mechanism that brings rainfall to the Rocky Mountains in winter. The probability of observing AR-related precipitation increases over the study period</t>
  </si>
  <si>
    <t>10.3390/ijgi9040258</t>
  </si>
  <si>
    <t>https://www.scopus.com/inward/record.uri?eid=2-s2.0-85083806766&amp;doi=10.3390%2fijgi9040258&amp;partnerID=40&amp;md5=52b4fc19944a8190cdf8f5adfc0c91ba</t>
  </si>
  <si>
    <t>A wide variety of geographic information system tools and methods was used for pre-dam topography reconstruction and reservoir bottom surveying in two dam reservoirs in the Ohře River, Czech Republic. The pre-dam topography was reconstructed based on archival aerial imagery and old maps. The benefits and drawbacks of these methods were tested and explained with emphasis on the fact that not all processed archival data are suitable for pre-dam topography modeling. Bathymetric surveying of a reservoir bottom is presently routine, but in this study, we used a wide combination of bathymetric mapping methods (sonar, ground penetration radar, and sub-bottom profiler) and topographic survey tools (LiDAR and photogrammetry), bringing great benefits for bottom dynamic analysis and data cross-validation. The data that we gathered made it possible to evaluate the formation of the inflow deltas in the reservoirs studied and assess the sediment reworking during recent seasonal drawdowns. A typical inflow delta was formed in the deeper of the two studied reservoirs, while the summer 2019 drawdown caused the formation and incision of a temporary drawdown channel and erosive downstream transport of approximately 1/10 of the delta body thickness in approximately 1/10 of the delta transverse size. No inflow delta was formed in the shallower of the studied reservoirs, but unexpectedly extensive sediment reworking was observed in the inflow part of the reservoir. Both the studied reservoirs and the pre-dam river floodplain have accumulated historical contamination by risk elements such as As, Hg, Pb</t>
  </si>
  <si>
    <t>10.1016/j.jhydrol.2019.124308</t>
  </si>
  <si>
    <t>https://www.scopus.com/inward/record.uri?eid=2-s2.0-85075365177&amp;doi=10.1016%2fj.jhydrol.2019.124308&amp;partnerID=40&amp;md5=d0a025bc9e33d8fcb737096242e3d5d3</t>
  </si>
  <si>
    <t>Intense storm surge can lead to severe coastal floods. Flood inundation simulation is useful to identify areas that are most vulnerable to severe storm surges and to address potential flooding hazards. In this paper, both 2D and 3D hydrodynamic models are built separately to quantify the flood danger to a coastal city. A digital city model is generated by integrating building information modeling (BIM) and geographic information systems (GIS) technology based on digital aerial photogrammetry for the 3D hydrodynamic model. The results reveal that 2D hydrodynamic assumptions and approximations weaken if the vertical fluctuations are enormous, especially in urban environments. In comparison, a 3D model coupled with high-resolution topographic data can provide a more realistic and accurate result for the complex flow field. Furthermore, a comparison between using the digital city model and a standard digital elevation model (DEM) in a 3D model has been conducted. The flood inundation is simulated step-wise using the standard DEM, while the wave front propagates in a more realistic manner based on high-resolution topography data. Thus, a 3D hydrodynamic model coupled with the digital city model is recommended for urban flood simulation, which is promising to improve the ability of flood prediction and prevention. © 2019 Elsevier B.V.</t>
  </si>
  <si>
    <t>2-s2.0-85075365177"</t>
  </si>
  <si>
    <t>10.3390/rs12101559</t>
  </si>
  <si>
    <t>https://www.scopus.com/inward/record.uri?eid=2-s2.0-85085571980&amp;doi=10.3390%2frs12101559&amp;partnerID=40&amp;md5=eaa0c74d3034df32b9dae4cc2113824b</t>
  </si>
  <si>
    <t>The integrated use of remote sensing imagery and hydro-geophysical field surveys is a well-established approach to map the hydrogeological framework, and thus explore and evaluate the groundwater potentiality of desert lands, where groundwater is considered as the main source of freshwater. This study uses such integrated approach to map the groundwater potentiality of the desert alluvial floodplain of the Nile Valley west of Qena, Egypt, as alternative water source to the River Nile. Typically ground gradient, faults and their stress field, lateral variation of rock permeability, drainage patterns, watersheds, rainfall, lithology, and soil types are the main factors believed to affect the groundwater recharge and storage from the infiltration of present-time and paleo-runoff. Following this generally accepted approach, different remote sensing data sets (SRTM DEM, Landsat-8, ALOS/PALSAR-1, Sentinel-1, and TRMM) as well as auxiliary maps (geological and soil maps) were used to identify and map these factors and prepare thematic maps portraying the different influences they exert on the groundwater recharge. These thematic maps were overlaid and integrated using weights in a GIS framework to generate the groundwater potentiality map which categorizes the different recharge capabilities into five zones. Moreover, the aeromagnetic data were processed to map the deep-seated structures and estimate the depth to basement rocks that may control the groundwater occurrence. In addition, the vertical electrical sounding (VES) measurements were applied and calibrated with the available borehole data to delineate the subsurface geological and hydrogeological setting as well as the groundwater aquifers. Different geoelectric cross-sections and hydro-geophysical maps were constructed using the borehole information and VES interpretation results to show the lateral extension of the different lithological units, groundwater-bearing zones, water table, and the saturated thickness of the aquifer. The GIS model and geophysical results show that the southwest part of Nag'a Hammadi-El-Ghoneimia stretch has very high recharge and storage potentiality and is characterized by the presence of two groundwater-bearing zones. The shallow groundwater aquifer is located at a depth of 30 m with a saturation thickness of more than 43 m. However, there are NW-SE faults crossing the study area and most likely serve as recharge conduits by connecting the shallow aquifer with the deeper ones. Such aquifers connection has been confirmed by investigating the chemical and isotopic composition of their groundwater. © 2020 by the authors.</t>
  </si>
  <si>
    <t>2-s2.0-85085571980"</t>
  </si>
  <si>
    <t>10.1029/2019JC015242</t>
  </si>
  <si>
    <t>https://www.scopus.com/inward/record.uri?eid=2-s2.0-85087419859&amp;doi=10.1029%2f2019JC015242&amp;partnerID=40&amp;md5=c2f57bde32012c93348406c386e5844a</t>
  </si>
  <si>
    <t>The objective of the present study is to demonstrate the informative capacity of the longitudinal anomaly of potential energy (LAPE) in the analysis of the magnitude and spatiotemporal variability of estuarine processes. For this purpose, a LAPE balance equation is formulated. The LAPE integrates and varies with the vertical and longitudinal density distribution. The formulation is applied on a subtidal scale to each box or stretch of the Guadalquivir River estuary, a narrow, highly turbid, weakly stratified, and strongly anthropized estuary. Data recorded by a large network of monitoring stations in 2008 and 2009 are used to quantify advective transports as well as the transports associated with longitudinal dispersion and vertical turbulent mixing in different hydraulic regimes. In low-river flow conditions, (river flows Q&lt;40 m3s−1), the magnitude of LAPE transports decreases upstream and varies locally, depending on neap-spring tidal cycles. The direction of the net LAPE transport creates convergence zones that are particularly consistent with maximum levels of estuarine turbidity. During high-river flows (Q&gt;400 m3s−1), this convergence disappears and the maximum longitudinal density gradient moves towards the mouth. More specifically, tidal pumping -induced LAPE governs during these conditions and manages to compensate the sum of the mean nontidal and dispersive and differential advective LAPE transports. However, during the post-riverflood period, the mechanisms controlling recovery downstream from the mouth are the longitudinal dispersive and differential advective LAPE transports. Furthermore, the convergence zone reappears with a longitudinal gradient of the net LAPE transport that is even greater than in low-river flow conditions. ©2020. American Geophysical Union. All Rights Reserved.</t>
  </si>
  <si>
    <t>2-s2.0-85087419859"</t>
  </si>
  <si>
    <t>10.3390/RS12091394</t>
  </si>
  <si>
    <t>https://www.scopus.com/inward/record.uri?eid=2-s2.0-85085547241&amp;doi=10.3390%2fRS12091394&amp;partnerID=40&amp;md5=b8d25ffa82bb602ce34923c5253c6152</t>
  </si>
  <si>
    <t>Detailed knowledge of nearshore topography and bathymetry is required for a wide variety of purposes, including ecosystem protection, coastal management, and flood and erosion monitoring and research, among others. Both topography and bathymetry are usually studied separately; however, many scientific questions and challenges require an integrated approach. LiDAR technology is often the preferred data source for the generation of topobathymetric models, but because of its high cost, it is necessary to exploit other data sources. In this regard, the main goal of this study was to present a methodological proposal to generate a topobathymetric model, using low-cost unmanned platforms (unmanned aerial vehicle and unmanned surface vessel) in a very shallow/shallow and turbid tidal environment (Bahía Blanca estuary, Argentina). Moreover, a cross-analysis of the topobathymetric and the tide level data was conducted, to provide a classification of hydrogeomorphic zones. As a main result, a continuous terrain model was built, with a spatial resolution of approximately 0.08 m (topography) and 0.50 m (bathymetry). Concerning the structure from motion-derived topography, the accuracy gave a root mean square error of 0.09 m for the vertical plane. The best interpolated bathymetry (inverse distance weighting method), which was aligned to the topography (as reference), showed a root mean square error of 0.18 m (in average) and a mean absolute error of 0.05 m. The final topobathymetric model showed an adequate representation of the terrain, making it well suited for examining many landforms. This study helps to confirm the potential for remote sensing of shallow tidal environments by demonstrating how the data source heterogeneity can be exploited.</t>
  </si>
  <si>
    <t>Tourism Management</t>
  </si>
  <si>
    <t>10.1016/j.tourman.2019.104010</t>
  </si>
  <si>
    <t>https://www.scopus.com/inward/record.uri?eid=2-s2.0-85073328519&amp;doi=10.1016%2fj.tourman.2019.104010&amp;partnerID=40&amp;md5=72fd4c506f6e79a7ea2b997385024b6f</t>
  </si>
  <si>
    <t>The technology-driven application of big data is expected to assist policymaking towards sustainable development</t>
  </si>
  <si>
    <t>10.1080/02697459.2019.1696145</t>
  </si>
  <si>
    <t>https://www.scopus.com/inward/record.uri?eid=2-s2.0-85079216879&amp;doi=10.1080%2f02697459.2019.1696145&amp;partnerID=40&amp;md5=dc27375c7949b417c00f895a5773cdb6</t>
  </si>
  <si>
    <t>Adaptation to climate change is emerging as a central objective and policy frame for coastal communities. This paper examines recent climate change adaptation efforts in the UK, centring on the case of Fairbourne, Wales. The village is facing the long-term prospect of flooding and inundation due to the impacts of sea level rise. The recent Shoreline Management Plan for the area has recommended realignment of the coast and eventual decommissioning of Fairbourne. The paper draws on a qualitative research methodology of interviews, policy review and observation to narrate the case and provide key insights and lessons for planners working in environmentally vulnerable coastal settings and managing climate adaptation processes. © 2020, © 2020 Informa UK Limited, trading as Taylor &amp; Francis Group.</t>
  </si>
  <si>
    <t>2-s2.0-85079216879"</t>
  </si>
  <si>
    <t>10.2112/SI95-225.1</t>
  </si>
  <si>
    <t>https://www.scopus.com/inward/record.uri?eid=2-s2.0-85122803976&amp;doi=10.2112%2fSI95-225.1&amp;partnerID=40&amp;md5=0b61b09dc71183e1419e10bdfeb8484b</t>
  </si>
  <si>
    <t>High-resolution topographic data are the primary inputs for various scientific applications. For years, fine-scale digital elevations models have been restricted to LiDAR systems. Currently, the use of consumer-grade cameras coupled with Unmanned Aerial Vehicles (UAV) is a consolidated alternative and widely used in several research fields. The rapid diffusion of the topography UAV-based was possible by the combination of three factors: assimilation of photogrammetric principles</t>
  </si>
  <si>
    <t>10.2112/SI95-261.1</t>
  </si>
  <si>
    <t>https://www.scopus.com/inward/record.uri?eid=2-s2.0-85085526942&amp;doi=10.2112%2fSI95-261.1&amp;partnerID=40&amp;md5=6f95a07b185022011996971f9183fcb7</t>
  </si>
  <si>
    <t>Arctic storms are among the most frequent and devastating phenomena that occur in waters off the Mackenzie Delta and Southern Beaufort Sea, and changes in water level are a serious concern in the open water summer season. This study focuses on finding a reasonable method to simulate the storm surge induced by an Arctic storm, in waters off the Mackenzie Delta, by applying an unstructured grid model, FVCOM, and by
developing an evaluation method to resolve the complex multiple channels and the associated water discharge distributions. This study shows that wind-induced storm surge is a dominant factor among the factors affecting increases in total water level. During the storm, water levels rises and surface current activity intensify in shallow coastal areas.</t>
  </si>
  <si>
    <t>10.1002/hyp.13661</t>
  </si>
  <si>
    <t>https://www.scopus.com/inward/record.uri?eid=2-s2.0-85078786168&amp;doi=10.1002%2fhyp.13661&amp;partnerID=40&amp;md5=cefd613d77f561feb23734ce7cd6863c</t>
  </si>
  <si>
    <t>Wetlands play an important role in watershed eco-hydrology. The occurrence and distribution of wetlands in a landscape are affected by the surface topography and the hydro-climatic conditions. Here, we propose a minimalist probabilistic approach to describe the dynamic behaviour of wetlandscape attributes, including number of inundated wetlands and the statistical properties of wetland stage, surface area, perimeter, and storage volume. The method relies on two major assumptions: (a) wetland bottom hydrologic resistance is negligible; and (b) groundwater level is parallel to the mean terrain elevation. The approach links the number of inundated wetlands (depressions with water) to the distribution of wetland bottoms and divides, and the position of the shallow water table. We compared the wetlandscape attribute dynamics estimated from the probabilistic approach to those determined from a parsimonious hydrologic model for groundwater-dominated wetlands. We test the reliability of the assumptions of both models using data from six cypress dome wetlands in the Green Swamp Wildlife Management Area, Florida. The results of the hydrologic model for groundwater-dominated wetlands showed that the number of inundated wetlands has a unimodal dependence on the groundwater level, as predicted by the probabilistic approach. The proposed models provide a quantitative basis to understand the physical processes that drive the spatiotemporal hydrologic dynamics in wetlandscapes impacted by shallow groundwater fluctuations. Emergent patterns in wetlandscape hydrologic dynamics are of key importance not only for the conservation of water resources, but also for a wide range of eco-hydrological services provided by connectivity between wetlands and their surrounding uplands.</t>
  </si>
  <si>
    <t>10.1016/j.gca.2020.02.012</t>
  </si>
  <si>
    <t>https://www.scopus.com/inward/record.uri?eid=2-s2.0-85081246164&amp;doi=10.1016%2fj.gca.2020.02.012&amp;partnerID=40&amp;md5=2e870f3321d599df83913e511e07e0ee</t>
  </si>
  <si>
    <t>Arsenic (As) mobilization in rice paddy soils under fluctuating redox conditions is influenced by the biogeochemical cycling of redox sensitive elements such as iron (Fe) and manganese (Mn). Arsenic mobility in paddy soils is highly variable, and the influence of Mn abundances and Mn/Fe ratios on As mobility in these soils have received little attention. In this contribution, we developed a complementary set of field and laboratory experiments designed to evaluate the impact of Mn on interconnected Fe and As solubilization in rice paddy soils experiencing wetting-drying cycles through controlled irrigation. Porewater monitoring and synchrotron-based imaging and spectroscopy of thin sections prepared from an Arkansas paddy soil confirmed that As release was primarily governed by reductive dissolution of Fe (oxy)hydroxide phases. Experiments with laboratory soil microcosms amended with the synthetic nanocrystalline Mn oxide, δ-MnO2, showed that higher initial Mn/Fe inhibited Fe and As mobilization into porewater relative to unamended soil by up to 95% and 45%, respectively. Geochemical modeling suggests that pH increases driven by microbial MnO2 reduction, in conjunction with microbial Fe- and sulfate-reduction in carbonate-rich porewater, enhanced the precipitation of siderite (FeCO3(s)), mackinawite (FeS(s)), and potentially a Mn(II) arsenate phase. These secondary mineral phases likely played a greater role in controlling As solubilization than the role of Mn as a redox buffer regulating the redox conditions in the flooded soils. Field and laboratory experiments showed that alternate wetting and drying approaches with a single dry-down can be effective at reducing dissolved As concentrations in porewater through the oxidation of Fe. Differences in soil Mn/Fe ratios had no clear impact on the effectiveness of dry-downs as a strategy to reduce As mobilization. © 2020 Elsevier Ltd</t>
  </si>
  <si>
    <t>2-s2.0-85081246164"</t>
  </si>
  <si>
    <t>10.2112/SI95-195.1</t>
  </si>
  <si>
    <t>https://www.scopus.com/inward/record.uri?eid=2-s2.0-85085527470&amp;doi=10.2112%2fSI95-195.1&amp;partnerID=40&amp;md5=053e18de2ce42040faaff6558c4971fa</t>
  </si>
  <si>
    <t>This study presents the development and validation of a low-cost ultrasonic sensor (HCSR 04), coupled to an open source Arduino microcontroller platform, for groundwater monitoring in coastal environments. Given the fact that low-lying coastal zones are regions naturally prone to flooding (due to oceanic forcing and pluviosity) and densely occupied, monitoring groundwater variations is crucial for the management of floodrelated
events. A groundwater monitoring well was built, (made of a PVC pipe with 100 mm in diameter and 2 m long) and installed on the ground of a dune field, located in Cassino beach, southern of Brazil. The system was deployed for 84 consecutive days and programmed to perform water level measurements every 10 min. In laboratory, three units with the same hardware setup of the unit installed in the field (ultrasonic sensor coupled to the Arduino microcontroller) were installed on a 20 liter graduated PVC tube. Varying water levels were tested in the laboratory along the time (changing 1 cm every 2 minutes during 4 hours) in order to reproduce the synthetic signal. Eighty measurements were obtained for each sensor, a total of 240 for each validation process. For the laboratory validation, the results for nonparametric statistical tests (Kruskal and Wallis, and Dunn) presented a correlation of 99%, with Root mean square error (RMSE) 0.4113 and bias 0.0418. For the field tests, 3262 data collected by an ultrasonic sensor during 240 hours showed a means registration of 0.543 m. The minimum and maximum cataloged is 0.40 and 0.70 m, respectively, with 0.1076 m of standard deviation. Groundwater classical measurements, using a measuring tape, showed a mean and standard deviation of 0.544 and 0.1069 m, respectively. These preliminary tests showed that the developed monitoring system performs observations with an accuracy and precision within standard methods, therefore can be applied to monitoring changes in the level of groundwater.</t>
  </si>
  <si>
    <t>10.3390/geosciences10050175</t>
  </si>
  <si>
    <t>https://www.scopus.com/inward/record.uri?eid=2-s2.0-85085300249&amp;doi=10.3390%2fgeosciences10050175&amp;partnerID=40&amp;md5=bd21e83bda82b142be85d2e4fa433555</t>
  </si>
  <si>
    <t>The coastal zones of Oman are frequently exposed to tropical cyclones and are expected to be overwhelmed by tsunami waves that originate from marine earthquakes in the Indian Ocean. Inundation of low‐lying coastal lands is, hence, inevitable. This study aims to provide a spatial database of the major infrastructure of Oman in relation to their vulnerability to the sea‐level rise by tsunamis. This investigation relied on high‐resolution elevation data obtained from the Advanced Spaceborne Thermal Emission and Reflection Radiometer‐Global Digital Elevation Model (ASTER GDEM) and eleven infrastructure variables acquired from the Oman National Spatial Data Infrastructure. These variables include: schools, hospitals, banks, mosques, fuel stations, police centers, shopping centers, archeological sites, vegetation cover, roads and built‐up areas. A Geographical Information System (GIS) analysis was carried out to delineate and quantify the features along the coast with elevation ranges between 1 and 10 m above the current sea‐level. Four tsunami scenarios were investigated depending on historical and expected estimations of tsunami heights of 2, 5, 8 and 10 m at the shoreline from previous studies. Results provide spatial vulnerability maps and databases that could be of the utmost importance to planners and developers. Al‐Batinah coastal plain of northern Oman is the most vulnerable location to tsunami hazards due to its low‐elevated coastal plain and high concentration of population, infrastructure and services. The study asserts the benefits of GIS as a geospatial analysis tool for risk assessment. © 2020 by the author.</t>
  </si>
  <si>
    <t>2-s2.0-85085300249"</t>
  </si>
  <si>
    <t>10.3390/RS12081301</t>
  </si>
  <si>
    <t>https://www.scopus.com/inward/record.uri?eid=2-s2.0-85084607700&amp;doi=10.3390%2fRS12081301&amp;partnerID=40&amp;md5=5d5afa4327771836897a5dd5bd933f1f</t>
  </si>
  <si>
    <t>In the assessment of storm surge vulnerability, existing studies have often selected several types of disaster-bearing bodies and assessed their exposure. In reality, however, storm surges impact all types of disaster-bearing bodies in coastal and estuarine areas. Therefore, all types of disaster-bearing bodies exposed to storm surges should be considered when assessing exposure. In addition, geographical factors will also have an impact on the exposure of the affected bodies, and thus need to be fully considered. Hence, we propose a fine-scale coastal storm surge disaster vulnerability and risk assessment model. First, fine-scale land-use data were obtained based on high-resolution remote sensing images. Combined with natural geographic factors, such as the digital elevation model (DEM), slope, and distance to water, the exposure of the disaster-bearing bodies in each geographic unit of the coastal zone was comprehensively determined. A total of five indicators, such as the percentage of females and ratio of fishery products to the gross domestic product (GDP), were then selected to assess sensitivity. In addition, six indicators, including GDP and general public budget expenditure, were selected to assess adaptability. Utilizing the indicators constructed from exposure, sensitivity, and adaptability, a vulnerability assessment was performed in the coastal area of Laizhou Bay, China, which is at high risk from storm surges. Furthermore, the storm surge risk assessment was achieved in combination with storm water statistics. The results revealed that the Kenli District, Changyi City, and the Hanting District have a higher risk of storm surge and require more attention during storm surges. The storm surge vulnerability and risk assessment model proposed in this experiment fully considers the impact of the natural environment on the exposure indicators of the coastal zone's disaster-bearing bodies, and combines sensitivity, adaptability indicators, and storm water record data to conduct vulnerability and risk assessment. At the same time, the model proposed in this study can also realize multi-scale assessment of storm surge vulnerability and risk based on different scales of socioeconomic statistical data, which has the advantages of flexibility and ease of operation. © 2020 by the authors.</t>
  </si>
  <si>
    <t>2-s2.0-85084607700"</t>
  </si>
  <si>
    <t>10.1007/s11356-019-06513-z</t>
  </si>
  <si>
    <t>https://www.scopus.com/inward/record.uri?eid=2-s2.0-85074817224&amp;doi=10.1007%2fs11356-019-06513-z&amp;partnerID=40&amp;md5=30083f49f39b73a5c61b57be63e9fb4b</t>
  </si>
  <si>
    <t>The aging of sewer networks is a serious issue in urban areas because of the reduced functionality of the system that can have negative impact on the urban environment. Aging pipes are not water-tight anymore and they can leak untreated sewage or allow infiltration of groundwater. In the latter case, more frequent combined sewer overflows (CSOs) may occur. Generally, prompt intervention to repair damaged conduits is envisaged. However, in low-lying coastal regions, sewer systems may provide an unplanned drainage that controls the groundwater table from flooding the urban ground. Here, a study is presented to investigate the influence of the repair of damaged sewer on the water table of an urban shallow aquifer. Sewer and groundwater models were built to describe the effect of sewer replacement. Based on a real dataset, simulations were run for a city located along an estuary. Results show that the presence of infiltration into the sewer system increases the frequency of CSOs, which trigger the discharge of untreated sewage after a minor precipitation or even in dry weather conditions. As the sewer is repaired, CSO spills diminish occurring only upon significant precipitation. However, the water table rises and eventually, during the high tide, the groundwater floods the low-lying part of the city. Overall, this work highlights the susceptibility of shallow aquifers in coastal urban areas and suggests that they should be regarded in flooding predictions. © 2019, Springer-Verlag GmbH Germany, part of Springer Nature.</t>
  </si>
  <si>
    <t>2-s2.0-85074817224"</t>
  </si>
  <si>
    <t>10.3390/ijgi9040248</t>
  </si>
  <si>
    <t>https://www.scopus.com/inward/record.uri?eid=2-s2.0-85083850638&amp;doi=10.3390%2fijgi9040248&amp;partnerID=40&amp;md5=e937fcaec1fdbb1bca3d54267802a1d2</t>
  </si>
  <si>
    <t>This paper presents a methodology for levee damage detection based on Unmanned Aerial System (UAS) data. In this experiment, the data were acquired from the UAS platform, which was equipped with a laser scanner and a digital RGB (Red, Green, Blue) camera. Airborne laser scanning (ALS) point clouds were used for the generation of the Digital Terrain Model (DTM), and images were used to produce the RGB orthophoto. The main aim of the paper was to present a methodology based on ALS and vegetation index from RGB orthophoto which helps in finding potential places of levee failure. Both types of multi-temporal data collected from the UAS platform are applied separately: elevation and optical data. Two DTM models from different time periods were compared: the first one was generated from the ALS point cloud and the second DTM was delivered from the UAS Laser Scanning (ULS) data. Archival and new orthophotos were converted to Green-Red Vegetation Index (GRVI) raster datasets. From the GRVI raster, change detection for unvegetation ground areas was analysed using a dynamically indicated threshold. The result of this approach is the localisation of places, for which the change in height correlates with the appearance of unvegetation ground. This simple, automatic method provides a tool for specialist monitoring of levees, the critical objects protecting against floods. © 2020 by the authors. Licensee MDPI, Basel, Switzerland.</t>
  </si>
  <si>
    <t>2-s2.0-85083850638"</t>
  </si>
  <si>
    <t>10.2478/quageo-2020-0010</t>
  </si>
  <si>
    <t>https://www.scopus.com/inward/record.uri?eid=2-s2.0-85093357594&amp;doi=10.2478%2fquageo-2020-0010&amp;partnerID=40&amp;md5=604b0d3f4dd4d01cd82fd1bacc0b4afa</t>
  </si>
  <si>
    <t>This study presents the information on the dynamics of changes in land use/land cover (LULC) spatially and temporally related to the causes of flooding in the study area. The dynamics of LULC changes have been derived based on the classification of Landsat imagery for the period between 1990 and 2016. Terrain surface classification (TSC) was proposed as a micro-landform classification approach in this study to create flood hazard assessment and mapping that was produced based on the integration of TSC with a probability map for flood inundation, and flood depth information derived from field observation. TSC as the micro-landform classification approach was derived from SRTM30 DEM data. Multi-temporal Sentinel-1 data were used to construct a pattern of historical inundation or past flooding in the study area and also to produce the flood probability map. The results of the study indicate that the proposed flood hazard mapping (FHM) from the TSC as a micro-landform classification approach has the same pattern with the results of the integration of historical inundation or previous floods, as well as field investigations in the study area. This research will remain an important benchmark for planners, policymakers and researchers regarding spatial planning in the study area. In addition, the results can provide important input for sustainable land use plans and strategies for mitigating flood hazards.  © 2020 Fajar Yulianto et al., published by Sciendo 2020.</t>
  </si>
  <si>
    <t>2-s2.0-85093357594"</t>
  </si>
  <si>
    <t>10.1073/pnas.1915169117</t>
  </si>
  <si>
    <t>https://www.scopus.com/inward/record.uri?eid=2-s2.0-85081788845&amp;doi=10.1073%2fpnas.1915169117&amp;partnerID=40&amp;md5=62f3c942f211bcde83ae6009b43ae6cd</t>
  </si>
  <si>
    <t>Coastal wetlands dampen the impact of storm surge and strong winds. Studies on the economic valuation of this protective service provided by wetland ecosystems are, however, rare. Here, we analyze property damage caused by 88 tropical storms and hurricanes hitting the United States between 1996 and 2016 and show that counties with more wetland coverage experienced significantly less property damage. The expected economic value of the protective effects of wetlands varies widely across coastal US counties with an average value of about $1.8 million/km2 per year and a median value of $91,000/km2. Wetlands confer relatively more protection against weaker storms and in states with weaker building codes. Recent wetland losses are estimated to have increased property damage from Hurricane Irma by $430 million. Our results suggest the importance of considering both natural and human factors in coastal zone defense policy. © 2020 National Academy of Sciences. All rights reserved.</t>
  </si>
  <si>
    <t>2-s2.0-85081788845"</t>
  </si>
  <si>
    <t>10.1016/j.cities.2020.102658</t>
  </si>
  <si>
    <t>https://www.scopus.com/inward/record.uri?eid=2-s2.0-85079902327&amp;doi=10.1016%2fj.cities.2020.102658&amp;partnerID=40&amp;md5=9dcc74e7e36c4db7514da043f283f955</t>
  </si>
  <si>
    <t>Recent disasters and growing concerns about climate change have spurred calls for cities to retreat from and avoid developing in coastal areas. Instead, cities have doubled down on waterfront development. We ask why and with what implications, using the U.S. state of Massachusetts as a case study. By overlaying data on sea level rise, land use, and property taxes, we find a few coastal cities may lose significant levels of municipal revenues to long-term sea level rise, while others face negligible impacts. Coastal municipalities are cognizant of their risks yet continue to site redevelopment projects in flood-vulnerable areas to meet present-day budgetary needs. Moreover, they resist efforts to align property values and insurance premiums with climate risks, as reforms only hasten lost taxes. Left unchanged, existing land use and fiscal policies incentivize municipalities to make short-term decisions with accelerating climate risks over time. This creates new dynamics of fiscal stress that can increase regional inequality and vulnerability to climate change. The study highlights the need for dialogue among researchers and policymakers in the U.S. and internationally on the nexus between land use planning, government administration, and climate change as these tensions likely exist wherever local governments rely on land-based finance. © 2020 The Authors</t>
  </si>
  <si>
    <t>2-s2.0-85079902327"</t>
  </si>
  <si>
    <t>10.2112/SI99-010.1</t>
  </si>
  <si>
    <t>https://www.scopus.com/inward/record.uri?eid=2-s2.0-85085017638&amp;doi=10.2112%2fSI99-010.1&amp;partnerID=40&amp;md5=e13ef9029da5d9970859d473ce961441</t>
  </si>
  <si>
    <t>Tropical cyclones (TCs) pose one of the most dangerous threats to the lives and properties in coastal areas. Various parametric models have been developed to simulate TC wind fields and are critical for modeling and assessing the risk of storm surges and coastal inundations. The Holland parametric wind model (Holland, 1980) has been widely applied in the modeling of TC wind fields; however, systematic assessments of its performance in simulating typhoon wind fields in the Yellow Sea, where typhoons undergo extratropical transitions, are rare. Four typhoons that passed over the Yellow Sea were selected, and the wind measurements at 12 gauges and buoys along the Korean coast were used for model validation and assessment. The results showed that the Holland model is capable of producing satisfactory wind results for typhoons passing over the Yellow Sea given accurate TC parameters. The results also highlighted that the model-predicted typhoon winds were highly sensitive to Rmax and that the shape coefficient B thus should be chosen carefully when the Holland model wind fields are used for TC-induced storm surge or wave modeling.</t>
  </si>
  <si>
    <t>10.1016/j.scitotenv.2020.136579</t>
  </si>
  <si>
    <t>https://www.scopus.com/inward/record.uri?eid=2-s2.0-85077788823&amp;doi=10.1016%2fj.scitotenv.2020.136579&amp;partnerID=40&amp;md5=dcf324abd6e155df1716431c8e79ccd1</t>
  </si>
  <si>
    <t>Water evaporates from reservoirs of hydropower plants (HPPs), often in significant volumes. Reservoir evaporation is a dynamic phenomenon depending on climate, varying size of open water surfaces (OWS), and electricity production. Due to a lack of data and methods to estimate the OWS's size variation, previous studies assessed HPPs water footprints (WFs) considering static OWSs acknowledging the uncertainty of this omission. This study estimates WFs of HPPs, considering dynamic OWSs for four plant types in Ecuador, Flooded lakes, and Flooded rivers, with dam heights lower or higher than their Gross Static Head (GSH). It quantifies OWSs size variation using a Digital Elevation Model and GSH data, assessing OWS evaporation, effects on electricity production and WFs. There are large differences among the evaporation of HPPs when OWS size variations are considered. HPP operation, geographical features, and climate determine temporal differences. Flooded lake HPPs have relatively large WFs. Flooded River HPPs, with dam heights below their GSH, have the smallest WFs, but water storage capacity is limited. Static area approaches underestimated annual WFs by 10% (Flooded Lake HPPs) to 80% (Flooded River HPPs). Earlier studies showed effects of HPPs on water from a water management perspective, suggesting that less water-intensive HPP technologies are favorable, or that other water-efficient electricity-generating technologies, like solar or wind, should replace HPPs. This study also included the electricity perspective, indicating that energy management and water storage are important factors for WFs. The most water-effective technology cannot fulfill current electricity production due to a lack of storage options. The system dynamics analysis indicates that aiming for small WFs is not always the best option from an energy and water perspective. © 2020 The Authors</t>
  </si>
  <si>
    <t>2-s2.0-85077788823"</t>
  </si>
  <si>
    <t>10.5194/nhess-20-907-2020</t>
  </si>
  <si>
    <t>https://www.scopus.com/inward/record.uri?eid=2-s2.0-85082965035&amp;doi=10.5194%2fnhess-20-907-2020&amp;partnerID=40&amp;md5=5ab5e8d0f48615c613187b643ba4c9dc</t>
  </si>
  <si>
    <t>Quantifying the potential exposure of property to damages associated with storm surges, extreme weather and hurricanes is fundamental to developing frameworks that can be used to conceive and implement mitigation plans as well as support urban development that accounts for such events. In this study, we aim at quantifying the total value and area of properties exposed to the flooding associated with Hurricane Florence that occurred in September 2018. To this aim, we implement an approach for the identification of affected areas by generating a map of the maximum flood extent obtained from a combination of the flood extent produced by the Federal Emergency Management Agency's (FEMA's) water marks with those obtained from spaceborne radar remote-sensing data. The use of radar in the creation of the flood extent allows for those properties commonly missed by FEMA's interpolation methods, especially from pluvial or non-fluvial sources, and can be used in more accurately estimating the exposure and market value of properties to eventspecific flooding. Lastly, we study and quantify how the urban development over the past decades in the regions flooded by Hurricane Florence might have impacted the exposure of properties to present-day storms and floods. This approach is conceptually similar to what experts are addressing as the ""expanding bull's eye effect"", in which ""targets"" of geophysical hazards, such as people and their built environments, enlarge as populations grow and spread. Our results indicate that the total value of property exposed to flooding during Hurricane Florence was USD52 billion (in 2018 USD), with this value increasing from USD ~ 10 billion at the beginning of the past century to the final amount based on the expansion of the number of properties exposed.We also found that, despite the decrease in the number of properties built during the decade before Florence, much of the new construction was in proximity to permanent water bodies, hence increasing exposure to flooding. Ultimately, the results of this paper provide a new tool for shedding light on the relationships between urban development in coastal areas and the flooding of those areas, which is estimated to increase in view of projected increasing sea level rise, storm surges and the strength of storms. © 2019 Lippincott Williams and Wilkins. All rights reserved.</t>
  </si>
  <si>
    <t>2-s2.0-85082965035"</t>
  </si>
  <si>
    <t>10.5194/os-16-307-2020</t>
  </si>
  <si>
    <t>https://www.scopus.com/inward/record.uri?eid=2-s2.0-85081978199&amp;doi=10.5194%2fos-16-307-2020&amp;partnerID=40&amp;md5=3afdd4db5084462dda285532ce72fb16</t>
  </si>
  <si>
    <t>Sea-level rise (SLR) not only increases the threat of coastal flooding, but may also change tidal regimes in estuaries and coastal bays. To investigate such nearshore tidal responses to SLR, a hydrodynamic model of the European Shelf is downscaled to a model of a Dutch coastal bay (the Oosterschelde, i.e., Eastern Scheldt) and forced by SLR scenarios ranging from 0 to 2 m. This way, the effect of SLR on tidal dynamics in the adjacent North Sea is taken into account as well. The model setup does not include meteorological forcing, gravitational circulation, and changes in bottom topography. Our results indicate that SLR up to 2 m induces larger increases in tidal amplitude and stronger nonlinear tidal distortion in the bay compared to the adjacent shelf sea. Under SLR up to 2 m, the bay shifts from a mixed flood- and ebb-dominant state to complete ebb dominance. We also find that tidal asymmetry affects an important component of sediment transport. Considering sand bed-load transport only, the changed tidal asymmetry may lead to enhanced export, with potential implications for shoreline management. In this case study, we find that local impacts of SLR can be highly spatially varying and nonlinear. The model coupling approach applied here is suggested as a useful tool for establishing local SLR projections in estuaries and coastal bays elsewhere. Future studies should include how SLR changes the bed morphology as well as the feedback effect on tides. © 2020 Author(s).</t>
  </si>
  <si>
    <t>2-s2.0-85081978199"</t>
  </si>
  <si>
    <t>https://www.scopus.com/inward/record.uri?eid=2-s2.0-85085756867&amp;partnerID=40&amp;md5=cdfa386fa8373269971a667f706b5ec8</t>
  </si>
  <si>
    <t>Sundarban is the only tiger inhabited mangrove forest on the globe which is threatened by severe coastal erosion due to relative sea level rise. Effects of climate change events including increased atmospheric temperature, changes in rainfall patterns, drinking water scarcity, reduced agriculture productivity, declining fish catch, increased salinity and extreme weather events such as floods, cyclones and tidal surge, are likely to have profound adverse impacts on the estuarine biodiversity and livelihoods of inhabitants of the region. Tigers in Sundarbans stray into the neighbouring villages during low tide to prey upon cows and goats. Obviously, all these phenomenon leads to a daily survival battle for the inhabitants. To address these issues, Integrated Coastal Zone Management (ICZM) practices are essential and is being implemented in Sagar Island and Gosaba Island of Sundarbans through ICZM project, funded by the World Bank. The alternative livelihood programme for coastal fishermen community of the Sundarbans Islands, income generation activities, encouraging salt tolerant paddy cultivation, establishment of rainwater harvesting system, construction of multipurpose cyclone shelters, and strengthening of the nylon fencing in Tiger Reserve Forest etc. are recommended for the sustainable development of the Sundarbans. An area specific approach or regional plan for Sundarbans is essential, as they have specific problems such as Tiger straying, seawater intrusion, erosion of embankments etc. © 2020 National Institute of Science Communication and Information Resources (NISCAIR). All rights reserved.</t>
  </si>
  <si>
    <t>2-s2.0-85085756867"</t>
  </si>
  <si>
    <t>10.1007/s10236-020-01352-w</t>
  </si>
  <si>
    <t>https://www.scopus.com/inward/record.uri?eid=2-s2.0-85082874743&amp;doi=10.1007%2fs10236-020-01352-w&amp;partnerID=40&amp;md5=00a685f9c71edc9b18b92d123bde796a</t>
  </si>
  <si>
    <t>Numerical simulations based on solving the 2D shallow water equations using a discontinuous Galerkin (DG) discretisation have evolved to be a viable tool for many geophysical applications. In the context of flood modelling, however, they have not yet been methodologically studied to a large extent. Systematic model testing is non-trivial as no comprehensive collection of numerical test cases exists to ensure the correctness of the implementation. Hence, the first part of this manuscript aims at collecting test cases from the literature that are generally useful for storm surge modellers and can be used to benchmark codes. On geographic scale, hurricane storm surge can be interpreted as a localised phenomenon making it ideally suited for adaptive mesh refinement (AMR). Past studies employing dynamic AMR have exclusively focused on nested meshes. For that reason, we have developed a DG storm surge model on a triangular and dynamically adaptive mesh. In order to increase computational efficiency, the refinement is driven by physics-based refinement indicators capturing major model sensitivities. Using idealised numerical test cases, we demonstrate the model’s ability to correctly represent all source terms and reproduce known variability of coastal flooding with respect to hurricane characteristics such as size and approach speed. Finally, the adaptive mesh significantly reduces computing time with no effect on storm waves measured at discrete wave gauges just off the coast which shows the model’s potential for use as a robust simulation tool for real-time predictions. © 2020, The Author(s).</t>
  </si>
  <si>
    <t>2-s2.0-85082874743"</t>
  </si>
  <si>
    <t>10.2112/SI95-267.1</t>
  </si>
  <si>
    <t>https://www.scopus.com/inward/record.uri?eid=2-s2.0-85085515029&amp;doi=10.2112%2fSI95-267.1&amp;partnerID=40&amp;md5=155dd6f29b65a7ed1972867b6805a0cd</t>
  </si>
  <si>
    <t>Coastal flooding caused by storm surges poses serious threats to coastal areas, communities and ecosystems. Plants that widely distributed in tidal flats play an important role in protecting the coastline from erosion, and mitigating extreme nature hazards. In this paper, based on the finite volume method (FVM), an explicit depth-averaged 2D model is established to investigate the interaction between salt marsh plants and storm surges in estuarine wetland waters. The Roe approximate Riemann solver, coupled with a drying-wetting boundary technique, is proposed in order to evaluate the effectiveness of interface fluxes for tracking the moving coastline and calculating storm surge land intrusions. The drag force induced by vegetation is added to momentum equations as an internal source to express the vegetation resistance to storm surges. The Jelesnianski 65 typhoon model is adopted to simulate the wind and pressure fields of the storm surges, and the background wind field is included in the total wind field. The proposed model is applied to investigate tidal levels, storm surges and flow currents during Typhoon Winnie and Typhoon Matsa in the Bohai Sea. Moreover, the model is used to explore the land intrusion and storm surge attenuation in Liao River Estuary (LRE) wetlands during Typhoon Winnie. Numerical predictions are found to match perfectly with those given by the measured data. The storm surge model can accurately reproduce the storm surge inundation process in wetland waters. The simulated results also indicate that salt marsh plants can reduce the flow current in vegetated regions, thus effectively attenuating the potential threats of storm surges.</t>
  </si>
  <si>
    <t>10.3390/RS12081254</t>
  </si>
  <si>
    <t>https://www.scopus.com/inward/record.uri?eid=2-s2.0-85084591168&amp;doi=10.3390%2fRS12081254&amp;partnerID=40&amp;md5=a8bb41eb3206dbbf82dda4e4c83a7dd1</t>
  </si>
  <si>
    <t>Radar altimeters have been measuring ocean significant wave height for more than three decades, with their data used to record the severity of storms, the mixing of surface waters and the potential threats to offshore structures and low-lying land, and to improve operational wave forecasting. Understanding climate change and long-term planning for enhanced storm and flooding hazards are imposing more stringent requirements on the robustness, precision, and accuracy of the estimates than have hitherto been needed. Taking advantage of novel retracking algorithms, particularly developed for the coastal zone, the present work aims at establishing an objective baseline processing chain for wave height retrieval that can be adapted to all satellite missions. In order to determine the best performing retracking algorithm for both Low Resolution Mode and Delay-Doppler altimetry, an objective assessment is conducted in the framework of the European Space Agency Sea State Climate Change Initiative project. All algorithms process the same Level-1 input dataset covering a time-period of up to two years. As a reference for validation, an ERA5-based hindcast wave model as well as an in-situ buoy dataset from the Copernicus Marine Environment Monitoring Service In Situ Thematic Centre database are used. Five different metrics are evaluated: percentage and types of outliers, level of measurement noise, wave spectral variability, comparison against wave models, and comparison against in-situ data. The metrics are evaluated as a function of the distance to the nearest coast and the sea state. The results of the assessment show that all novel retracking algorithms perform better in the majority of the metrics than the baseline algorithms currently used for operational generation of the products. Nevertheless, the performance of the retrackers strongly differ depending on the coastal proximity and the sea state. Some retrackers show high correlations with the wave models and in-situ data but significantly under-or overestimate large-scale spectral variability. We propose a weighting scheme to select the most suitable retrackers for the Sea State Climate Change Initiative programme. © 2020 by the authors.</t>
  </si>
  <si>
    <t>2-s2.0-85084591168"</t>
  </si>
  <si>
    <t>10.3390/rs12071222</t>
  </si>
  <si>
    <t>https://www.scopus.com/inward/record.uri?eid=2-s2.0-85084252255&amp;doi=10.3390%2frs12071222&amp;partnerID=40&amp;md5=45548d8efe768359a1fd83484a720933</t>
  </si>
  <si>
    <t>Recent developments in the fields of geographical object-based image analysis (GEOBIA) and ensemble learning (EL) have led the way to the development of automated processing frameworks suitable to tackle large-scale problems. Mapping riverscape units has been recognized in fluvial remote sensing as an important concern for understanding the macrodynamics of a river system and, if applied at large scales, it can be a powerful tool for monitoring purposes. In this study, the potentiality of GEOBIA and EL algorithms were tested for the mapping of key riverscape units along the main European river network. The Copernicus VHR Image Mosaic and the EU Digital Elevation Model (EU-DEM)-both made available through the Copernicus Land Monitoring Service-were integrated within a hierarchical object-based architecture. In a first step, the most well-known EL techniques (bagging, boosting and voting) were tested for the automatic classification of water, sediment bars, riparian vegetation and other floodplain units. Random forest was found to be the best-to-use classifier, and therefore was used in a second phase to classify the entire object-based river network. Finally, an independent validation was performed taking into consideration the polygon area within the accuracy assessment, hence improving the efficiency of the classification accuracy of the GEOBIA-derived map, both globally and by geographical zone. As a result, we automatically processed almost 2 million square kilometers at a spatial resolution of 2.5 meters, producing a riverscape-units map with a global overall accuracy of 0.915, and with per-class F1 accuracies in the range 0.79-0.97. The obtained results may allow for future studies aimed at quantitative, objective and continuous monitoring of river evolutions and fluvial geomorphological processes at the scale of Europe. © 2020, by the authors.</t>
  </si>
  <si>
    <t>2-s2.0-85084252255"</t>
  </si>
  <si>
    <t>10.1016/j.envsci.2020.03.008</t>
  </si>
  <si>
    <t>https://www.scopus.com/inward/record.uri?eid=2-s2.0-85081128184&amp;doi=10.1016%2fj.envsci.2020.03.008&amp;partnerID=40&amp;md5=c68eb6491247cb962146f4b407fffc35</t>
  </si>
  <si>
    <t>Small Island Developing States (SIDS) are known to be particularly vulnerable to climate change, which poses a challenge to their economic and social development. This vulnerability is expressed in several ways, from exposure to sea level rises, to salt intrusion, and extensive droughts in some areas. Despite this rather negative trend, there are examples of initiatives where the vulnerability of SIDS can be reduced, and their resilience may be increased. Based on the paucity of the literature on concrete examples of successful climate change adaptation initiatives on SIDS, this paper presents an overview of pertinent challenges faced, and introduces two case studies from the Solomon Islands, which illustrate how much can be achieved by systematically pursuing adaptation strategies. The lessons learned from these case studies are outlined and some useful insights are provided, which may help SIDS to better foster the development opportunities with climate change adaptation offers to them. © 2020 Elsevier Ltd</t>
  </si>
  <si>
    <t>2-s2.0-85081128184"</t>
  </si>
  <si>
    <t>10.1007/s12517-020-5257-4</t>
  </si>
  <si>
    <t>https://www.scopus.com/inward/record.uri?eid=2-s2.0-85083268992&amp;doi=10.1007%2fs12517-020-5257-4&amp;partnerID=40&amp;md5=2af626c3938f183d9c14fb29579d2274</t>
  </si>
  <si>
    <t>Mekelle City is among the most rapidly growing cities in Ethiopia though the management of wastewater is very poor. The city lacks proper infrastructures for the collection and treatment of urban wastewater so that the wastewater released from different sectors directly joins the urban drainage of the city that finally flows to the Ellala River, which crosses the city. However, such practices have the potential to contaminate water reservoirs and surface water and groundwater bodies that endangers the health of the nearby society. Hence, to reduce and manage the wastewater impact sustainably, introducing natural treatment mechanisms like waste stabilization pond technology (WSP) is an ultimate means to implement with low cost and technology demand. Hence, the objective of this study was to select suitable sites for WSP sites to treat domestic wastewater of the city. During the process of WSP selection, nine most important parameters were considered namely groundwater, hydrogeology, slope, elevation, soil depth, land use land cover (LULC), distance from the settlement, from the road, and from the river. Those determinant factors affecting site selection were generated from satellite images, maps, and Digital Elevation Model. Supervised image classification for Landsat TM satellite image was done while the rest variables’ geo-database files were generated in ArcGIS interface software. Since all input variables have not equal influence in WSP site selection, the weighted value of variable estimation was undertaken using the algorism weighted combination formula. And finally, the weighted overlay model was used to run the model so that suitable sites were selected. Result shows that the city has a large number of alternative sites for establishing a waste stabilization pond. Five classes of suitability were generated (from low to very high suitability level). The North West and Northern parts of the city are found in the potential candidates’ areas as of the central and southern parts. Geographically, these areas are topographically gentle slope and have low altitude plus the newly designed sewer line network outlet lies in this direction. In contrast, unsuitable areas are found in the East, Central, and South direction of the study area. These selected areas are characterized by high population density, steep slope, and high topography. Groundwater, elevation, hydrogeology, and slope were found the most influential parameters determining WSP site selection. On the other hand, distance from road and river, land use cover, and soil depth were found the least influential parameters that determine WSP selection. Out of the total mml area, 21.3% were found highly suitable. So, this implies that the city has a large potential area that can be used for WSP establishment. From the present study, it can be concluded that GIS is a very essential tool in urban utility establishment like urban domestic wastewater treatment site selection. Although the city has adequate potential areas for establishing WSP, further assessment of flood vulnerability, biochemical determination, wastewater amount quantification, population growth, and urban expansion need to be seriously considered before implementing. © 2020, Saudi Society for Geosciences.</t>
  </si>
  <si>
    <t>2-s2.0-85083268992"</t>
  </si>
  <si>
    <t>10.1111/apv.12241</t>
  </si>
  <si>
    <t>https://www.scopus.com/inward/record.uri?eid=2-s2.0-85074790886&amp;doi=10.1111%2fapv.12241&amp;partnerID=40&amp;md5=917a96078f20ae139c2a1dcb1af45d9f</t>
  </si>
  <si>
    <t>This paper investigates the adaptation processes with reference to the narrative analysis of human–environment interactions in the Vietnamese Mekong Delta. From the political ecology perspective, it focuses on the discourses of the power relationships embedded within the ‘state-society-flood’ nexus over the course of its ‘opening-up and closing-off’ processes (e.g. excavating large-scale canals for human settlements and agricultural expansion (opening-up) and human interventions into natural systems through water control structures (closing-off)). Drawing on empirical data gathered from 33 interviews and nine focus group discussions in three study areas and relevant literature, the paper argues that human interactions with the flood environments are intertwined with adjustments of adaptation patterns as evidenced through three periods: free adaptation (pre-1975), transitional adaptation (1976–2010) and forced adaptation (after 2010). These processes have witnessed a gradual power shift in the ‘state-society’ relations in manipulating floods, which moves from the top-down towards a more collaborative fashion. By unravelling the political ecology of the ‘state-society-flood’ nexus, this paper exhibits the skewed development in the delta, which is largely bound to short-term development planning to prioritise local socio-economic and political objectives. The paper contributes important policy implications for achieving socially just and environmentally sustainable development in the delta. © 2019 Victoria University of Wellington and John Wiley &amp; Sons Australia, Ltd</t>
  </si>
  <si>
    <t>2-s2.0-85074790886"</t>
  </si>
  <si>
    <t>10.1126/sciadv.aaz5512</t>
  </si>
  <si>
    <t>https://www.scopus.com/inward/record.uri?eid=2-s2.0-85086007067&amp;doi=10.1126%2fsciadv.aaz5512&amp;partnerID=40&amp;md5=d919f7ae433f791f05fb45caa1776755</t>
  </si>
  <si>
    <t>Coastal marshes are threatened by relative sea-level (RSL) rise, yet recent studies predict marsh survival even under the high rates of RSL rise expected later in this century. However, because these studies are mostly based on short-term records, uncertainty persists about the longer-term vulnerability of coastal marshes. We present an 8500-year-long marsh record from the Mississippi Delta, showing that at rates of RSL rise exceeding 6 to 9 mm year-1, marsh conversion into open water occurs in about 50 years. At rates of RSL rise exceeding ~3 mm year-1, marsh drowning occurs within a few centuries. Because present-day rates of global sea-level rise already surpass this rate, submergence of the remaining ~15,000 km2 of marshland in coastal Louisiana is probably inevitable. RSL-driven tipping points for marsh drowning vary geographically, and those for the Mississippi Delta may be lower than elsewhere. Nevertheless, our findings highlight the need for consideration of longer time windows in determining the vulnerability of coastal marshes worldwide. © 2020 American Association for the Advancement of Science. All rights reserved.</t>
  </si>
  <si>
    <t>2-s2.0-85086007067"</t>
  </si>
  <si>
    <t>10.1080/19376812.2019.1650082</t>
  </si>
  <si>
    <t>https://www.scopus.com/inward/record.uri?eid=2-s2.0-85070466114&amp;doi=10.1080%2f19376812.2019.1650082&amp;partnerID=40&amp;md5=0f122c78a738cf059a3f1fa5142bd4f8</t>
  </si>
  <si>
    <t>Sea-Level Rise (SLR) above the Mean Sea Level can pose a considerable hazard to coastal areas. This study used an elevation-based GIS analysis to determine the physical vulnerability of Dar es Salaam coastal areas under a range of SLR scenarios. A model of possible flooded areas is created on a digital elevation model. Using this model, the impact of SLR was measured on the surface area, buildings, and road networks. The study shows that SLR will cause damage to various areas and infrastructure. In numerous areas, flooding incidences are intensified by blocked drainage channels that have garbage hampering the movement of wastewater, resulting in homes inundated by polluted wastewater. © 2019, © 2019 The African Specialty Group of the American Association of Geographers.</t>
  </si>
  <si>
    <t>2-s2.0-85070466114"</t>
  </si>
  <si>
    <t>10.1016/j.scitotenv.2020.136704</t>
  </si>
  <si>
    <t>https://www.scopus.com/inward/record.uri?eid=2-s2.0-85078008848&amp;doi=10.1016%2fj.scitotenv.2020.136704&amp;partnerID=40&amp;md5=812c6912e6f5c5ded9d202b76e21ae2a</t>
  </si>
  <si>
    <t>We evaluate the spatial heterogeneities of hurricane flood risk along the United States (U.S.) Atlantic and Gulf coasts under two different climate scenarios (current and future). The flood hazard is presented as the hurricane surge flood level with 1% annual exceedance probability (100-year flood) under the two scenarios, where the future scenario considers the effect of hurricane climatology change and sea level rise towards late-21st-century under a high emission scenario (RCP8.5). This hazard information is combined with estimated vulnerability and disaster resilience of coastal communities to map the relative current and future risk employing different risk definitions. Several geographical techniques and spatial distributional models (e.g., spatial autocorrelation, spatial hotspot analysis, and spatial multivariate clustering analysis) are applied to systematically analyze the risk and identify statistically significant hotspots of the highest risk. Most of the high-risk hotspots are found in the Gulf coast region, particularly along the west coast of Florida. However, two out of three risk evaluation approaches also indicate New York City as a risk hotspot under the future climate—showing that the resultant risk is sensitive to the consideration of evaluation factors (i.e., hazard, vulnerability, and resilience). Additionally, we apply a machine-learning algorithm-based spatial multivariate approach to map the spatially distinct groups based on the values of risk, hazard, vulnerability, and resilience. The results show that the counties in the highest risk group (value &gt;3rd quartile, 15% of total counties, including New York City) in the future lack specifically in the community capital and the social components of community resilience. This assessment of coastal risk to hurricane flood has important policy-relevant implications to provide a focus-for-action for risk reduction and resilience enhancement for the U.S., where 6.5 million households live in the hurricane flood-prone areas. © 2020 Elsevier B.V.</t>
  </si>
  <si>
    <t>2-s2.0-85078008848"</t>
  </si>
  <si>
    <t>10.1016/j.atmosres.2019.104805</t>
  </si>
  <si>
    <t>https://www.scopus.com/inward/record.uri?eid=2-s2.0-85076475927&amp;doi=10.1016%2fj.atmosres.2019.104805&amp;partnerID=40&amp;md5=00d9c22d1c0dccd0e94ce2c5419add0a</t>
  </si>
  <si>
    <t>Land use/cover changes (LUCC) as well as climate change have the potential to significantly alter the characteristics of extreme hydrological events under changing environments. This study evaluates the individual and combined impacts that LUCC and climate change have on extreme hydrological events using Soil and Water Assessment Tool (SWAT) applied in the Xitiaoxi River Basin (XRB). Two future land-use conditions, projected by CA-Markov model, and 21 climate scenarios, downscaled from three general circulation models, are considered. The results show that urban area would expand dramatically from 4.4% to 12.63%, which mainly occupy the forest-grass and agriculture land. The LUCC will decrease low flow index as well as increase high flow index, annual maximum 1-day and 5-day streamflow. Extreme precipitation indices all exhibit trends toward an increase in future occurrence. Furthermore, in testing the response of extreme hydrological events to climate change, most extreme hydrological indices are predicted to become greater than they were throughout the 1970s. The combined effects of LUCC and climate change would increase all extreme hydrological indices. Moreover, the climate change would contribute &gt;50% of these hydrological impacts. These findings indicate that the XRB will experience more severe extreme hydrological events in both flooding and drought due to climate and land-use change. It is advised that disaster mitigation measures must be updated accordingly to respond to this changing situation. © 2019 Elsevier B.V.</t>
  </si>
  <si>
    <t>2-s2.0-85076475927"</t>
  </si>
  <si>
    <t>International Development Planning Review</t>
  </si>
  <si>
    <t>10.3828/idpr.2020.3</t>
  </si>
  <si>
    <t>https://www.scopus.com/inward/record.uri?eid=2-s2.0-85083091270&amp;doi=10.3828%2fidpr.2020.3&amp;partnerID=40&amp;md5=c765c9b23d2b63805a29cbffcbe8cd4c</t>
  </si>
  <si>
    <t>Flooding presents one of the main risks to contemporary and future cities, especially those in coastal zones. Given the social-political nature and construction of urban flood risks, it is of crucial importance to understand how such risks are experienced and addressed, and by whom. This article aims to contribute to this by focusing on a particular actor, i.e. entrepreneurs of small and medium enterprises (SMEs). It asks how SMEs experience, perceive and address risks. This knowledge not only can help to improve flood governance by including one group's specific risks and opportunities but also provides new insights into how risk perceptions are constructed and shape subsequent strategies. The findings are based on a comparative study of SMEs in Jakarta, Metro Manila and Bangkok. Using a mixed methods design, the studies show that entrepreneurs distinguish between frequent everyday floods and scarce major floods, but only consider major floods a risk. The latter is explained by a combination of risk normalisation and incremental and independent everyday practices. Strategies aim at keeping the business going in the short run. There are substantial differences between medium and small companies. Finally, the research confirms that attention for SMEs in flood policies or support is nil. © This article was published open access under a CC BY license https://creativecommons.org/licenses/by/4.0/</t>
  </si>
  <si>
    <t>2-s2.0-85083091270"</t>
  </si>
  <si>
    <t>10.1016/j.coldregions.2020.103005</t>
  </si>
  <si>
    <t>https://www.scopus.com/inward/record.uri?eid=2-s2.0-85079210033&amp;doi=10.1016%2fj.coldregions.2020.103005&amp;partnerID=40&amp;md5=be7dd9806d85429dd0b1f0ab0adbcb83</t>
  </si>
  <si>
    <t>The Peace-Athabasca Delta (PAD) in northern Alberta is one of the world's largest inland freshwater deltas, home to many species of fish, mammals, and birds. Coincident with regulation that commenced in 1968, the PAD has experienced prolonged dry periods in-between floods, accompanied by reduction in the area covered by lakes and ponds that provide habitat for aquatic life. This likely resulted from reduced frequency of formation of major spring ice jams, which are the only mechanism for replenishing the higher-elevation, or “perched”, basins of the PAD. The inundation effectiveness of ice jams depends on the magnitude of the prevailing river flow, but it has not been possible so far to assess whether regulation has had a positive or negative effect on breakup flows. Using a comprehensive BC Hydro data set, containing river inflows up to the W.A.C. Bennet Dam, “naturalized” breakup flows are computed</t>
  </si>
  <si>
    <t>10.2112/SI89-024.1</t>
  </si>
  <si>
    <t>https://www.scopus.com/inward/record.uri?eid=2-s2.0-85085916986&amp;doi=10.2112%2fSI89-024.1&amp;partnerID=40&amp;md5=a0bb987bb55af3a5c7bee90748b74c40</t>
  </si>
  <si>
    <t>In the present condition, the rise in sea level due to climate change is a serious threat for the environment. Global average sea levels are predicted as 1.8 mm/y during 1870-2009 and nearly 2.8 mm/y along the Indian Coast by Intergovernmental Panel on Climate change (IPCC). Impacts of rise in sea-level will be the loss of land in coastal areas through erosion, submergence of the coastal landscape and the threat of inundation. Shore erosion causes the shoreline to retreat and this leads to affecting the erosion zone by moving the shoreline inland. In this study, the attempt is made to demarcate the impact of sea level rise along the Chennai coast (Tamil Nadu) located along the southeast coast of India. This area experiences threat from many disasters such as storm, cyclone, flood, tsunami and long-term sea level rise. The shoreline has been extracted and using DSAS tool in ArcGIS, long-term (1990-2012, 1990-2013, 1990-2014, 1990-2015 and 1990-2016) were analyzed using Linear regression Rate and Weighted Linear Regression. 36.7% of the coast was seen with eroding condition. Overall long-term analysis trend suggest that more than 60% of the region falls in stable to low accretion. Projection of climate change-induced SLR at different RCPs (2.6, 4.5, 6, 8.5) of IPCC AR5 on different time scale (2025, 2050, 2075, 2100) for the coasts of Chennai. The values range from 7.1 cm to 36.87 cm for RCP 2.6; 7.37 cm to 49.84 cm for RCP 4.5; 7.16 cm to 51.75 cm for RCP 6; 7.38 cm to 77.88 cm for RCP 8.5. Shoreline retreat to an increase in local sea level was mapped using the Bruun Rule. Since the Bruun Rule (BR) has some limitations, the modified Bruun rule was used to analyze the inundation factor. The area of horizontal inundation is estimated as ∼1.6 km (Bruun rule) and ∼1.1 km (Modified Bruun Rule). The required data was processed using GIS environment. Since we adhere to the fact that the coastal change is not a periodical accumulation per year, but that it entraps a value of future crisis assessment and gives a literal warning about the shore to be persevered.</t>
  </si>
  <si>
    <t>https://www.scopus.com/inward/record.uri?eid=2-s2.0-85091679082&amp;partnerID=40&amp;md5=7b8328ecb0ca82016143fecdf7d8ef8b</t>
  </si>
  <si>
    <t>Using all national meteorological stations and regional automatic stations in the basin, data such as hourly precipitation, process precipitation and precipitation area forecast, digital elevation model, land use, soil type and field disaster investigation, etc. Based on the flood area model, the flood inundation simulation and effect test were carried out on the historical heavy rainfall period in the Datong River basin, which occurred at 20: 00 hours on July 5, 2013, at 20: 00 hours on July 5, 2017, and at 20: 00 o'clock in Datong River Basin. The simulation results show that the water level in the middle and upper reaches of the Datong River basin rises obviously, the water level in most areas exceeds 1 m, the water level in some tributaries is more than 3 m, and the water level in some areas of Zhuyang Township, Youhua Township and Qiaomu Township is more than 6 m. The results of disaster investigation show that the simulated values of flood flood area and flood area are in good agreement with the actual values, which indicates that the floodarea model has better simulation effect in Datong River basin. It can be used for risk assessment and early warning of torrential rain and flood disaster. © 2020 Parlar Scientific Publications. All rights reserved.</t>
  </si>
  <si>
    <t>2-s2.0-85091679082"</t>
  </si>
  <si>
    <t>Journal of Sustainable Water in the Built Environment</t>
  </si>
  <si>
    <t>10.1061/JSWBAY.0000900</t>
  </si>
  <si>
    <t>https://www.scopus.com/inward/record.uri?eid=2-s2.0-85077495326&amp;doi=10.1061%2fJSWBAY.0000900&amp;partnerID=40&amp;md5=f755862b320170a2f4870a96bb5a2838</t>
  </si>
  <si>
    <t>Failure of aging, undersized, and poorly maintained culverts is a problem throughout the United States. A lack of data on culvert location and condition complicates decision-making around their repair and replacement. This technical note presents an ArcGIS- and Python-based tool to support the collection of culvert data and estimation of flooding risk, and applies the tool to a case study of culverts within the Hudson River Estuary watershed of New York State. The tool follows two main steps: (1) estimate peak storm discharge for current and future precipitation conditions at each culvert location using the graphical peak discharge method, and (2) compare these values to a conservative estimate of culvert capacity, assuming a submerged inlet under inlet control. The case study demonstrates the ability of this tool to analyze more than 2,000 culverts using data obtained from an open database. The results from this tool can ultimately support municipal decision-making, as evinced by the use of the generated flood risk data in 12 municipal management plans underway within the Hudson River Estuary watershed. © 2020 American Society of Civil Engineers.</t>
  </si>
  <si>
    <t>2-s2.0-85077495326"</t>
  </si>
  <si>
    <t>10.1016/j.geomorph.2019.107000</t>
  </si>
  <si>
    <t>https://www.scopus.com/inward/record.uri?eid=2-s2.0-85079432105&amp;doi=10.1016%2fj.geomorph.2019.107000&amp;partnerID=40&amp;md5=01c3f88f6e26710a9c6d005c50bf88e5</t>
  </si>
  <si>
    <t>Based on numerous publications and field work on the northern Gulf of Mexico coast, U.S. and other coastal areas, the present objective is to meet the need for an improved system of the definition and classification of barriers and their components. This topic includes morphological and functional interrelationships between beach ridges, barriers, and similar landforms. The term “beach ridge” was applied to a plethora of sub- and supratidal ridge types. In contrast, the presently proposed definition restricts the term to relict berm and foredune ridges, composed of sand or gravel and stabilized after isolation from shore zone of active processes. Barriers sustain paralic hydrology, sediment, biotic and nutrient condition in the coastal realm. In combination with adjacent lagoons and river deltas, these landforms represent physical barriers that lessen marine and related influences in brackish paralic-coastal environments. Benefiting from historic evolution of concepts and nomenclature, the task also involves the correction of misattributions rooted in early publications. Island, spit, and mainland barriers thus maintain lower salinities, reduce wave erosion, protect nutrient-rich paralic deposits and mitigate storm-induced inundation. “Fetch-limited lagoonal barrier islands” are considered valid barriers only in lagoons where they face inlet-transmitted full-marine conditions. “Mainland barriers” of several subcategories often are important sediment archives of past sea levels, hydroclimate, climate and tectonic-isostatic changes. They consist mostly of ridgeplains, at the start firmly attached or later migrated and welded to the mainland shore. In addition to local hydrodynamic and topographic influences, formation conditions may reflect overall paleogeographic conditions, including fluvial impact. In progradational (regressive) island settings, barriers islands of strandplains that laterally may alternate with narrow spit-like sectors. They include only single, marine, respectively, lagoon-side shore ridges, with secondary dune fields sandwiched between them. Field observations and drillcore studies of microfossil- and sediment-based depositional facies suggest that most barrier islands originated by the often underestimated shoal-aggradation mode. Two additional genetic models are recognizable</t>
  </si>
  <si>
    <t>10.1108/IJCCSM-11-2019-0064</t>
  </si>
  <si>
    <t>https://www.scopus.com/inward/record.uri?eid=2-s2.0-85084243609&amp;doi=10.1108%2fIJCCSM-11-2019-0064&amp;partnerID=40&amp;md5=c6fa4c6bcc38d162c13c38b31b618e05</t>
  </si>
  <si>
    <t>Purpose: Based on social representation theory, this study aims to evaluate and analyze the similarities and differences between social representations of climate change held by people living in two territories, which have in common that they are exposed to coastal risks but have different socio-cultural contexts: on the one hand, Cartagena (Colombia) and on the other, Guadeloupe (French overseas department, France). Design/methodology/approach: A double approach, both quantitative and qualitative, of social representation theory was adopted. The data collection was undertaken in two phases. First, the content and organization of social representation of climate change (SRCC) was examined with a quantitative study of 946 participants for both countries, followed by a qualitative study of 63 participants for both countries also. Findings: The study finds unicity in the SRCC for the quantitative study. In contrast, the qualitative study highlights differences at the level of the institutional anchoring of the climate change phenomenon in these two different socioeconomic and political contexts. Practical implications: These results are relevant for a reflection in terms of public policies for the prevention and management of collective natural risks, as well as for the promotion of ecological behavior adapted to political and ideological contexts. Originality/value: The use of a multi-methodological approach (quantitative and qualitative) in the same research is valuable to confirm the importance of an in-depth study of the social representations of climate change because of the complexity of the phenomenon. © 2020, Constance Mambet Doue, Oscar Navarro Carrascal, Diego Restrepo, Nathalie Krien, Delphine Rommel, Colin Lemee, Marie Coquet, Denis Mercier and Ghozlane Fleury-Bahi.</t>
  </si>
  <si>
    <t>2-s2.0-85084243609"</t>
  </si>
  <si>
    <t>10.3390/RS12091465</t>
  </si>
  <si>
    <t>https://www.scopus.com/inward/record.uri?eid=2-s2.0-85085527922&amp;doi=10.3390%2fRS12091465&amp;partnerID=40&amp;md5=ddd28a39fbbf3cefee3849f8de7a9791</t>
  </si>
  <si>
    <t>The coupled effects of climate change and land sinking make deltas and coastal areas prone to inundation and flooding, meaning that reliable estimation of land subsidence is becoming crucial. Commonly, land subsidence is monitored by accurate continuous and discrete measurements collected by terrestrial and space geodetic techniques, such as Global Navigation Satellite System (GNSS), Interferometry Synthetic Aperture Radar (InSAR), and high precision leveling. In particular, GNSS, which includes the Global Positioning System (GPS), provides geospatial positioning with global coverage, then used for deriving local displacements through time. These site-positioning time series usually exhibit a linear trend plus seasonal oscillations of annual and semi-annual periods. Although the periodic components observed in the geodetic signal affect the velocity estimate, studies dealing with the prediction and prevention of risks associated with subsidence focus mainly on the permanent component. Periodic components are simply removed from the original dataset by statistical analyses not based on the underlying physical mechanisms. Here, we propose a systematic approach for detecting the physical mechanisms that better explain the permanent and periodic components of subsidence observed in the geodetic time series. It consists of three steps involving a component recognition phase, based on statistical and spectral analyses of geodetic time series, a source selection phase, based on their comparison with data of different nature (e.g., geological, hydro-meteorological, hydrogeological records), and a source validation step, where the selected sources are validated through physically-based models. The application of the proposed procedure to the Codigoro area (Po River Delta, Northern Italy), historically affected by land subsidence, allowed for an accurate estimation of the subsidence rate over the period 2009-2017. Significant differences turn out in the retrieved subsidence velocities by using or not periodic trends obtained by physically based models. © 2020 by the authors.</t>
  </si>
  <si>
    <t>2-s2.0-85085527922"</t>
  </si>
  <si>
    <t>10.2112/SI95-222.1</t>
  </si>
  <si>
    <t>https://www.scopus.com/inward/record.uri?eid=2-s2.0-85085524653&amp;doi=10.2112%2fSI95-222.1&amp;partnerID=40&amp;md5=b0cb3547c97d03e266e5bebe2a641906</t>
  </si>
  <si>
    <t>An accurate assessment of the joint probability of water levels and waves is crucial to establish appropriate mitigation and adaptation strategies for possible flooding and coastal erosion in countries with extensive low-lying nearshore areas. The simultaneous occurrence of large waves and high still water levels can significantly increase the risk of flooding and damage of coastal constructions. In this study, the water level extremes were retrieved from simulated high-resolution 3D NEMO-Nordic water level data along the Baltic Sea coast with a spatial resolution of 2 nautical miles (∼3.7 km) and time resolution of 1 hour. The wave height data were obtained from the numerical simulations using the WAM wave model with adjusted geostrophic wind forcing with 3 nautical miles spatial resolution and the time resolution of 1 hour. Using the Archimedean copula approach, the likelihood of joint occurrence of high water levels and wave heights was evaluated along the whole Baltic Sea coast for 1979–2007. Four distinctive regions in the Baltic Sea were identified following differences in the dependence between the sea level and wave height extremes in terms of their correlation. The Arkona basin and eastern part of the Baltic proper have low dependence (correlation coefficient &lt;0.2), the Gulf of Riga, the Gulf of Finland and north-western part of the Baltic Proper exhibit moderate dependence (0.2–0.5), the Sea of Bothnia has the strongest dependence (0.5–0.7), and the Bay of Bothnia has a dependence in the range of 0.2–0.4, similar to the central Baltic Sea region. The joint probability analysis showed that the highest risk of simultaneous appearance of water level and wave height extremes is observed in the Sea of Bothnia. The study demonstrates that it is crucial to consider the combination of both water levels and wave heights in all regions of the Baltic Sea except for the southern areas.</t>
  </si>
  <si>
    <t>10.1080/1573062X.2020.1781909</t>
  </si>
  <si>
    <t>https://www.scopus.com/inward/record.uri?eid=2-s2.0-85087463945&amp;doi=10.1080%2f1573062X.2020.1781909&amp;partnerID=40&amp;md5=27033b5baef3e9f182cdb3f1fc4a0596</t>
  </si>
  <si>
    <t>New York City’s coastlines are a mosaic of natural and man-made habitats intermixed with housing and industry, all of which are extremely vulnerable to flooding, storm surge, and damaging wave action. Risks are projected to increase over time as sea levels rise, population grows, and the frequency and severity of extreme events increase. This paper investigates the potential role of green infrastructure (GI) as a risk reduction measure, using Hurricane Sandy as a case study. Specifically, this research examines whether the type, size, and configuration of GI played a role in determining the odds of building damages. Results suggest that proximity to different GI types did affect the odds of damage, both positively and negatively, and that the impacts of both small-scale and large-scale natural features varied geographically. Results suggest that nature-based solutions to coastal flooding must be tailored to specific local conditions in order to be effective. © 2020, © 2020 Informa UK Limited, trading as Taylor &amp; Francis Group.</t>
  </si>
  <si>
    <t>2-s2.0-85087463945"</t>
  </si>
  <si>
    <t>10.1080/10106049.2018.1524516</t>
  </si>
  <si>
    <t>https://www.scopus.com/inward/record.uri?eid=2-s2.0-85055580688&amp;doi=10.1080%2f10106049.2018.1524516&amp;partnerID=40&amp;md5=637707c6b5d69d00067a342275f247f4</t>
  </si>
  <si>
    <t>A robust geodetic framework comprising Terrestrial Laser Scanner (TLS), Global Navigation Satellite Systems (GNSS), Robotic Total Station (RTS) and Multi-temporal InSAR (MT-InSAR) was employed first in India to investigate a landslide-prone Sirobagarh region, Uttarakhand, at different spatial extents, and to evaluate the relationship amongst the displacement estimates obtained from the applied surveying techniques. TLS derived digital elevation models indicated displacements &gt;5 m on the landslide upper scarp. GNSS- and RTS-based observations showed horizontal movements towards the Alaknanda river in the landslide slope direction (maximum values: 0.1305 and 0.045 m, respectively), and downward vertical motion (largest subsidence magnitude: −2.1315 and −0.030 m, respectively). MT-InSAR processing of Sentinel-1a images identified 21071 measurement pixels, highlighting subsidence around the landslide (mean velocity range: −0.110 to 0.008 m/year). Analysis of displacement vectors using vector equality, cross-covariance, cross-correlation and principal component analysis reveals that GNSS vertical displacement estimates were partially correlated with MT-InSAR measurements (correlated for epoch difference 2–3), whereas there was good cross-correlation between MT-InSAR and LiDAR observations throughout. The displacement estimates and their analyses evident unstable movement of the landslide scarp occurring due to debris flow and rainfall, and a relatively moderate subsidence activity in the surrounding areas lying in the landslide zone. © 2018, © 2018 Informa UK Limited, trading as Taylor &amp; Francis Group.</t>
  </si>
  <si>
    <t>2-s2.0-85055580688"</t>
  </si>
  <si>
    <t>10.1016/j.jag.2020.102050</t>
  </si>
  <si>
    <t>https://www.scopus.com/inward/record.uri?eid=2-s2.0-85081588511&amp;doi=10.1016%2fj.jag.2020.102050&amp;partnerID=40&amp;md5=d903b29666e9d963590116fb315fbfb9</t>
  </si>
  <si>
    <t>Global sea level rise and local land subsidence might exacerbate the risk of flooding in coastal plains. Among other cities, this is also the case for the high-latitude city of St. Petersburg, which has long been threatened by flood events. To protect the urban area from storm surges, the Union of Soviet Socialist Republics (USSR) in 1978 approved the construction of the 25 km long Flood Prevention Facility Complex (FPFC), which was completed in 2011. The risk of flooding in the city area of St. Petersburg is amplified by the fact that large sections of the coastal area have been reclaimed from the sea. In this study, we investigate the temporal evolution of the ground displacement in St. Petersburg. To this end, we perform an extended analysis based on the application of a simplified version of the differential interferometric synthetic aperture radar technique, known as the minimum acceleration (MinA) approach. The MinA algorithm is a multi-satellite/multi-track interferometric combination technique that allows working with multiple sets of SAR images. The method allowed generation of time series of two-dimensional (2-D) (i.e. East-West and Up-Down) deformation of the terrain by processing two sequences of Sentinel-1A/B (S-1A/B) SAR images acquired from 2016 to 2018, along the ascending and descending flight passes. The Small BAseline Subset (SBAS) algorithm was independently applied to the two sets of SAR data to generate the relevant Line-Of-Sight (LOS)-projected ground deformation time series. Subsequently, the LOS-projected deformation products were geocoded and jointly combined. The results indicate that the deformation in the city is predominantly vertical (i.e. it is subsiding) with a maximum subsidence rate of about 20 mm/year corresponding to the newly sea-reclaimed lands. Finally, the error budget of the retrieved 2-D deformation time series has also been addressed. © 2020 The Authors</t>
  </si>
  <si>
    <t>2-s2.0-85081588511"</t>
  </si>
  <si>
    <t>Applied Mathematics and Information Sciences</t>
  </si>
  <si>
    <t>10.18576/amis/140203</t>
  </si>
  <si>
    <t>https://www.scopus.com/inward/record.uri?eid=2-s2.0-85106575208&amp;doi=10.18576%2famis%2f140203&amp;partnerID=40&amp;md5=e212378763992a5626aa14169d51838d</t>
  </si>
  <si>
    <t>The paper presents modelling of uncertainty in extreme return levels of the ﬂood heights of the Limpopo river at the Beitbridge in which the delta and proﬁle likelihood approaches are used in the estimation of the conﬁdence intervals. The modelling approach discussed in this study is a hybrid modelling framework blending a variety of statistical models, techniques and approaches. Monthly flood height data for the years 1992 to 2014 are used. The method is based on a joint generalised extreme value distribution of the r-largest order statistics. The method is more efficient in its use of data than the traditional single maximum observation per block. Estimation of parameters is done using the maximum likelihood method. Using the r-largest order statistics approach, the paper shows that the ﬂood height data can suitably be modelled by the Gumbel class distribution. The 100-year return level is estimated to be 4.981 metres with a confidence interval estimate of (4.886,5.083) using the profile likelihood method. This study is important as it enables accurate estimation of return levels and periods of extreme ﬂood heights. Such analysis helps in risk mitigation, for example, the design of bridges by civil engineers. © 2020 NSP Natural Sciences Publishing Cor. All Rights Reserved.</t>
  </si>
  <si>
    <t>2-s2.0-85106575208"</t>
  </si>
  <si>
    <t>10.2112/SI95-269.1</t>
  </si>
  <si>
    <t>https://www.scopus.com/inward/record.uri?eid=2-s2.0-85085511085&amp;doi=10.2112%2fSI95-269.1&amp;partnerID=40&amp;md5=5af3ca4362aebe579368a94d84ee32cb</t>
  </si>
  <si>
    <t xml:space="preserve">Saline water intrusion is the movement of saline water into freshwater areas. The problem of saline water intrusion has been regarded as one of the most important issues in managing coastal zones, as it can significantly degrade drinking water and sediment flocculation. In this paper, a 3D numerical model of hydrodynamic and salinity transport of the Yangtze estuary was established based on MIKE3. This model was validated with the field measured tidal level, flow velocity, flow magnitude and salinity. The validated model was used to simulate the saline water intrusion caused by sea level rise (SLR) in the Yangtze estuary in the dry season. The responses of saline water intrusion to SLR in the Yangtze estuary were analyzed. Results indicate that: salinity in the upper reach of the North Branch, the South Branch, the North Channel, the South Channel, the North Passage and the South Passage increase due to SLR, especially the salinity of the South Branch entirely exceed 0.45 psu, however decreased significantly in the lower reach of the North Branch. This is induced by the increased flow split ratio of the North Branch due to SLR. The greater flood tidal current and flow split ratio of the North Branch due to SLR make stratification phenomenon of salinity increase with the Richardson number reaching 150 in the middle layer. For the South Passage, the bottom stratification phenomenon is weakened and the surface stratification phenomenon is enhanced, however the vertical trend is not apparent.
</t>
  </si>
  <si>
    <t>10.2112/SI95-025.1</t>
  </si>
  <si>
    <t>https://www.scopus.com/inward/record.uri?eid=2-s2.0-85085479783&amp;doi=10.2112%2fSI95-025.1&amp;partnerID=40&amp;md5=96654aa5aaa35ea085dafa49c636612d</t>
  </si>
  <si>
    <t>A better understanding of ecosystem connectivity and resilience is needed to establish efficient conservation strategies for coastal ecosystems. Physical maritime processes are key drivers for ecosystem connectivity in the Caribbean, where there is low wind and wave energy for most of the year but also short, extreme meteorological events. The energy peaks induced by tropical cyclones and the long calms are important for biodiversity. Climate change projections suggest that while there may be fewer tropical cyclones here, their intensity will increase. This paper analyses the effect of tropical cyclones on ecosystem resilience, studying both the potential connectivity and damage of mangrove, vegetated dune, seagrass and coral reef ecosystems at Puerto Morelos, Mexico. A numerical modelling approach was used to evaluate the spatial-temporal ecosystem connectivity and damage induced by hydrodynamic processes between 2005 and 2018, taking into account, wave, storm surge patterns and modifications in the vegetation cover following tropical cyclones. From our results, it was found that the balance of connectivity-damage to the intensity of the tropical cyclones depends on healthy ecosystems and the characteristics of geomorphology, with coral reef-seagrass-mangrove being more resilient to the increase in wave height but less resilient to the sea level rise. Open beaches with dune-mangrove was less resilient to the increases of both.</t>
  </si>
  <si>
    <t>10.18520/cs/v118/i4/630-639</t>
  </si>
  <si>
    <t>https://www.scopus.com/inward/record.uri?eid=2-s2.0-85086094168&amp;doi=10.18520%2fcs%2fv118%2fi4%2f630-639&amp;partnerID=40&amp;md5=c74f18bcb4b399efa2570018bb5898c8</t>
  </si>
  <si>
    <t>The Assi river in Varanasi, Uttar Pradesh, India, is now a small, local, ephemeral floodplain tributary of River Ganga, with a length of about 8 km and catchment area of about 22 km2. It has also turned into a filthy drain. There are evidences in the form of palaeochannels, through patterns of water bodies and settlements along them, to suggest the origin of Assi river near Allahabad flowing through a distance of about 120 km up to Varanasi to meet the Ganga. There is also the possibility that Assi started as a takeoff from River Ganga and flowed as a Yazoo stream. Through on-screen digitization from high and medium-resolution remote sensing data-BHUVAN and Google Earth, CORONA aerial photographs, IRS P6 LISS-IV, Landsat 1, 3, 5, 7, 8-and a number of cross profiles from SRTM 30 m digital elevation model (DEM), palaeochannel of Assi has been delineated. Also, a 1 m DEM was generated for the present Assi catchment area from about 5000 DGPS points to present proof that the present Assi is a misfit in once a wider valley shaped by heavy discharge coming from a greater length of channel and a larger catchment area. © 2020, Indian Academy of Sciences.</t>
  </si>
  <si>
    <t>2-s2.0-85086094168"</t>
  </si>
  <si>
    <t>Chemical Geology</t>
  </si>
  <si>
    <t>10.1016/j.chemgeo.2019.119303</t>
  </si>
  <si>
    <t>https://www.scopus.com/inward/record.uri?eid=2-s2.0-85074926396&amp;doi=10.1016%2fj.chemgeo.2019.119303&amp;partnerID=40&amp;md5=4008d85939797315701b3dc6467b6a45</t>
  </si>
  <si>
    <t>In this study, we evaluated the fractionation of dissolved Rare Earth Elements (REE) from the continuum between the Paraguaçu Estuary through Todos os Santos Bay (BTS), Bahia, Brazil and during a 12 h tidal cycle in a pier station. The results show that REE were scavenged in the estuarine low salinity region (&lt;5) following the order Light &gt; Medium&gt;Heavy (LREE &gt; MREE &gt; HREE), likely due to colloids coagulation/precipitation. At mid to high salinities, REE concentrations gradually increased, starting with HREE, followed by MREE and LREE. Within Todos os Santos Bay, a clear difference between the eastern and western sides was observed: 1) The western side presented very similar REE patterns, clearly influenced by the fluvial input (Paraguaçu and Subaé Rivers), 2) the eastern side of the bay showed more scattered REE patterns, possibly due to the influence of different sources, such as submarine groundwater discharge (SGD) and the mixing with coastal seawater. The salinity at a pier station did not vary throughout the tidal cycle experiment (S≅33.4), but the REE pattern changed from a terrigenous (flat) at low tide to a marine-like (HREE enriched) pattern at the flood tide. Anthropogenic Gd anomalies (Gd/Gd*&gt;1.4) were observed at the estuary and also at high tide and during ebb tide along the tidal cycle experiment. Taken together, these observations show that the REE behavior along the continent-ocean continuum is quite variable. Moreover, the occurrence of anthropogenic Gd indicates that anthropogenic inputs of REE may complicate their use as a tracer for natural processes in the future. © 2019 Elsevier B.V.</t>
  </si>
  <si>
    <t>2-s2.0-85074926396"</t>
  </si>
  <si>
    <t>10.1007/s11069-019-03845-4</t>
  </si>
  <si>
    <t>https://www.scopus.com/inward/record.uri?eid=2-s2.0-85077543778&amp;doi=10.1007%2fs11069-019-03845-4&amp;partnerID=40&amp;md5=9e5113c67ce12ce122cc5a330c8d6f00</t>
  </si>
  <si>
    <t>Many coastal urban areas and many coastal facilities must be protected against pluvial and marine floods, as their location near the sea is necessary. As part of the development of a Probabilistic Flood Hazard Approach (PFHA), several flood phenomena have to be modelled at the same time (or with an offset time) to estimate the contribution of each one. Modelling the combination and the dependence of several flooding sources is a key issue in the context of a PFHA. As coastal zones in France are densely populated, marine flooding represents a natural hazard threatening the coastal populations and facilities in several areas along the shore. Indeed, marine flooding is the most important source of coastal lowlands inundations. It is mainly generated by storm action that makes sea level rise above the tide. Furthermore, when combined with rainfall, coastal flooding can be more consequent. While there are several approaches to analyse and characterize marine flooding hazard with either extreme sea levels or intense rainfall, only few studies combine these two phenomena in a PFHA framework. Thus this study aims to develop a method for the analysis of a combined action of rainfall and sea level. This analysis is performed on the city of Le Havre, a French urban city on the English Channel coast, as a case study. In this work, we have used deterministic materials for rainfall and sea level modelling and proposed a new approach for estimating the probabilities of flooding. © 2020, Springer Nature B.V.</t>
  </si>
  <si>
    <t>2-s2.0-85077543778"</t>
  </si>
  <si>
    <t>10.1073/pnas.1911617116</t>
  </si>
  <si>
    <t>https://www.scopus.com/inward/record.uri?eid=2-s2.0-85077497318&amp;doi=10.1073%2fpnas.1911617116&amp;partnerID=40&amp;md5=1b42730b731af4902f61925f05dfe14c</t>
  </si>
  <si>
    <t>This paper evaluates whether mangroves can mitigate the impact of hurricanes on economic activity. The paper assembles a region-wide panel dataset that measures local economic activity using nightlights, potential hurricane damages using a detailed wind field model, and mangrove protection by mapping the width of mangrove forests on the path to the coast. The results show that hurricanes have negative short-run effects on economic activity, with losses likely concentrated in coastal lowlands that are exposed to both wind and storm surge hazards. In these coastal lowlands, the estimates show that nightlights decrease by up to 24% in areas that are unprotected by mangroves. By comparison, the impact of the hurricanes observed in the sample is fully mitigated in areas protected by mangrove belts of 1 km or more. © 2020 National Academy of Sciences. All rights reserved.</t>
  </si>
  <si>
    <t>2-s2.0-85077497318"</t>
  </si>
  <si>
    <t>Geography, Environment, Sustainability</t>
  </si>
  <si>
    <t>10.24057/2071-9388-2020-63</t>
  </si>
  <si>
    <t>https://www.scopus.com/inward/record.uri?eid=2-s2.0-85099576008&amp;doi=10.24057%2f2071-9388-2020-63&amp;partnerID=40&amp;md5=c294664269d53974b97e79e52c227ca1</t>
  </si>
  <si>
    <t>Gosaba C.D. Block is an active tidal island of the Indian Sundarban. In this island, human-induced modification of the natural drainage system poses serious threats to the estuarine environment. It was started during the British colonial period through the construction of embankment to protect the reclaimed coastal land from saline water ingression. The rapid growth of population over the last few decades has triggered the changes in the drainage network and also altered the land use land cover of the study area. The human encroachment on the drainage area has hampered the sedimentation process as well as water circulation in the delta. As a result, the island is gradually transforming into saucer-shaped form, which aggravates various coastal threats like flood inundation, waterlogging and embankment breaching during extreme environmental events. To study the spatio-temporal change of the drainage network pattern from 1955 to 2018, different multi-temporal satellite images, US Army Toposheet, Census of India Report (2001 and 2011) and Human Development Report (2014) have been used as a source of secondary data for the analysis in ArcGIS environment. In addition to this, instrumental surveying has been done to measure the slope direction in relation to land use land cover and a questionnaire survey was conducted to understand the livelihood status of people influenced by various coastal threats and risks due to the drainage congestion. The study reveals that population density has gradually increased in recent decades and is negatively correlated with the drainage density on the island. The choking of the surface drainage canals has increased the problem of waterlogging in agricultural fields, which affected their productivity. Therefore, a strategy for management of the drainage network needs to be urgently implemented in order to protect the life and livelihood of rural people from various coastal threats. © 2020, Russian Geographical Society. All rights reserved.</t>
  </si>
  <si>
    <t>2-s2.0-85099576008"</t>
  </si>
  <si>
    <t>10.1007/s41748-020-00147-9</t>
  </si>
  <si>
    <t>https://www.scopus.com/inward/record.uri?eid=2-s2.0-85081592279&amp;doi=10.1007%2fs41748-020-00147-9&amp;partnerID=40&amp;md5=aa0e5e52eb51912a1834f9511f16d672</t>
  </si>
  <si>
    <t>According to recent studies, sea-level rise (SLR) not only increases the coastal flooding probability but also may change the characteristics of tidal systems in coastal waterbodies. To investigate such changes in Khor Abdulla and Khor Al-Zubair, a two-dimensional depth-averaged model was applied. The calibration and validation were performed through the comparison of model results with measurements of water level and flow velocities in particular sites within model domain. SLR scenarios of 0.25, 0.5, 0.75, and 1 m were simulated. The simulation results indicate that the response of the principal tidal constituents was spatially nonuniform and exhibited a nonlinearity with SLR scenarios. However, the M2 amplitude decreases in most locations with SLR, with the most reduction occur in the upper reaches of the study area, while S2 and N2 amplitudes display a slight increase in a most sites along KA and KZ. Similarly, the amplitudes of K1 and O1 experience to a notable decrease in most locations when sea level rises. Additionally, there is a reduction in constituents’ phases with SLR scenarios. The decrement in constituents’ phases indicates that these waves will arrive earlier when sea level rises due to the nature of tidal wave propagation and their dependency on the water depth. Furthermore, the magnitude of the tidal currents also displays a spatially irregular response to SLR with a noticeable shift in the time of peak flood and ebb current velocities in many locations, while the direction of the currents remains unchanged at most sites of the study area. © 2020, King Abdulaziz University and Springer Nature Switzerland AG.</t>
  </si>
  <si>
    <t>2-s2.0-85081592279"</t>
  </si>
  <si>
    <t>10.2112/SI95-297.1</t>
  </si>
  <si>
    <t>https://www.scopus.com/inward/record.uri?eid=2-s2.0-85085497127&amp;doi=10.2112%2fSI95-297.1&amp;partnerID=40&amp;md5=8bc1a2da489d160995d03e050de81d37</t>
  </si>
  <si>
    <t>Suh, S. and Kim, H., 2020. Extreme surge heights incorporating long-term tidal variation and sea-level rise. In: Malvárez, G. and Navas, F. (eds.), Global Coastal Issues of 2020. Journal of Coastal Research, Special Issue No. 95, pp. 1542-1546. Coconut Creek (Florida), ISSN 0749-0208. Global warming is a primary factor for acceleration of sea-level rise (SLR). Most previous studies have dealt only with mean SLR</t>
  </si>
  <si>
    <t>10.1016/j.scitotenv.2019.135963</t>
  </si>
  <si>
    <t>https://www.scopus.com/inward/record.uri?eid=2-s2.0-85076441139&amp;doi=10.1016%2fj.scitotenv.2019.135963&amp;partnerID=40&amp;md5=813944ae5838b5ad1e97c8769116f74e</t>
  </si>
  <si>
    <t>Current worldwide projections of sea-level rise show a staggering increase in water level of up to 2 m by 2100 owing to global warming exacerbated by anthropogenically induced climate change. While amplified rates of sea-level rise is an immense hazard to coastal communities, storm surges are expected to increase in intensity and frequency making it an equally significant threat to coastal populations. In France, these hazards are not uncommon with records of extreme tempests every thousand years in the Holocene. Despite these recurring devastating events, in the Bay of Saint-Brieuc, Brittany, legislated laws for coastal management do not entirely focus on protecting littoral zones from such calamities. 130,739 people are concentrated in 21 municipalities with major cities located at close proximity to the shoreline with numerous socio-economic activities, which increases the vulnerability of the coastal population and infrastructures</t>
  </si>
  <si>
    <t>10.1016/j.envsci.2019.11.001</t>
  </si>
  <si>
    <t>https://www.scopus.com/inward/record.uri?eid=2-s2.0-85076368727&amp;doi=10.1016%2fj.envsci.2019.11.001&amp;partnerID=40&amp;md5=49e2d6e9b6cb460a4e4dc9d5f0f3065e</t>
  </si>
  <si>
    <t>Representatives of the Dutch government usually refer to the Bangladesh Delta Plan 2100 as an example of the successful transfer of the Dutch Delta Approach to Bangladesh. Their storyline aligns with theorizations of policy transfer as a process of diffusion. These ascribe the mobility of a policy – or its capacity to travel - to its intrinsic quality. The belief in the quality of the Dutch Delta Approach is anchored in the renowned Dutch ability to deal with its own floods and flood risks. By making the contents of that what travels an important cause of its mobility, diffusion theories make it difficult to see, acknowledge and understand the actions and actors needed to make policy transfer happen. This is why in this paper we theorize policy transfer as a process of translation. Based on an identification of the Dutch and Bangladeshi actors involved in the transfer of the Dutch Delta Approach to Bangladesh, and by re-tracing their actions, we show that the transfer entailed an active process of engagement, negotiation, and contestation. In their attempts to develop a Bangladeshi version of the Plan, the involved actors made active use of old relations of collaboration and friendship, while also developing new ones. In the course of the transfer process, and because of the negotiations and contestations that it entailed, the delta plan became something else altogether. The paper concludes that telling the story of the transfer of the Dutch Delta Approach as a story of translation is useful as it allows recognizing and giving credit not just to those who initiated the process, but to all involved. This, we hope, can in turn provide the basis for a more symmetrical dialogue between ‘senders’ and ‘recipients’ in international policy transfers. © 2019 Elsevier Ltd</t>
  </si>
  <si>
    <t>2-s2.0-85076368727"</t>
  </si>
  <si>
    <t>10.18848/1835-7156/CGP/v12i04/13-28</t>
  </si>
  <si>
    <t>https://www.scopus.com/inward/record.uri?eid=2-s2.0-85173539895&amp;doi=10.18848%2f1835-7156%2fCGP%2fv12i04%2f13-28&amp;partnerID=40&amp;md5=d7a28777c8e3ec6c1d5bea20cdc42020</t>
  </si>
  <si>
    <t>The Niger Delta is under severe threat from the impacts of climate change in the form of flood, rising temperature, surging Atlantic tides, persistent heavy rainfall, and windstorms. The severity of the impacts on current and planned oil/gas infrastructures calls for urgent adaptation strategies. To adapt effectively, prioritization of oil and gas infrastructures according to their criticality is crucial. This article applied a systematic review of highly referenced journal articles published between 2008 and 2019 to scope and synthesize specific criticality assessment criteria for evaluation. Analytic hierarchy process (AHP) was implemented in criteria-based pairwise comparison and prioritization of selected infrastructures. Practitioners with at least ten years of experience in the oil/gas industry in the Niger Delta were stratified accordingly for data collection through a perception-based pairwise comparison technique. The result was analyzed using Mi-AHP software and shows the global priorities (eigenvector, EV) for each asset. Terminals, flow stations, and roads/bridges obtained the highest EV = 0.27, 0.19, and 0.15, respectively, indicating their high criticality level in the oil and gas assets value chain. The result also shows that transformers/high voltage cable are the fourth most critical systems obtaining EV = 0.14 while pipelines, loading bays, and wellheads were ranked fifth, sixth, and seventh with EV = 0.11, 0.09 and 0.05. The article portrays AHP as an effective tool in decomposing complex decision-making processes for evaluation of critical infrastructures for climate adaptation planning in the oil and gas industry. © Common Ground Research Networks, Justin Udie, Subhes Bhattacharyya, Leticia Ozawa-Meida, All Rights Reserved.</t>
  </si>
  <si>
    <t>2-s2.0-85173539895"</t>
  </si>
  <si>
    <t>10.1016/j.gloenvcha.2020.102039</t>
  </si>
  <si>
    <t>https://www.scopus.com/inward/record.uri?eid=2-s2.0-85078981920&amp;doi=10.1016%2fj.gloenvcha.2020.102039&amp;partnerID=40&amp;md5=5f7fcb4194b8b1d66e19f3452aebae78</t>
  </si>
  <si>
    <t>Anthropogenic climate change poses a significant threat to Texas’ coastal habitats and in the Galveston Bay region, there is just under 1200 square miles of freshwater marsh and undeveloped dry upland. These habitats provide residents with a variety of key ecosystem services but are threatened by global climate change. Effective management of these resources requires multidisciplinary knowledge, combining an understanding of the potential biophysical habitat alterations associated with sea level rise with the measurement of residents’ value for coastal resources. In this study, we utilize a discrete choice experiment to investigate individuals’ preferences for future conditions of Texas habitats within the Galveston Bay region. Utilizing modeled output for coverage of freshwater marsh and undeveloped dry upland in the year 2050, respondents are asked to make trade-offs between coastal conditions with no further management actions and outcomes associated with specific management interventions. From this framework, we estimate Galveston Bay regional residents’ value for freshwater marshes and undeveloped uplands. Our results indicate that individuals are willing to conserve habitat under threat from sea level rise, but that they are likely unaware of the dynamic nature of that change. As a result, residents may place less emphasis on the role of the habitat migration in response to sea level rise. © 2020 Elsevier Ltd</t>
  </si>
  <si>
    <t>2-s2.0-85078981920"</t>
  </si>
  <si>
    <t>10.1016/j.geomorph.2019.106979</t>
  </si>
  <si>
    <t>https://www.scopus.com/inward/record.uri?eid=2-s2.0-85077648943&amp;doi=10.1016%2fj.geomorph.2019.106979&amp;partnerID=40&amp;md5=eae01810d6b9c46d36de1e37de532b80</t>
  </si>
  <si>
    <t>Coastal barriers are the first line of defense against storm surge and wind wave induced hazards. Their response to such events, therefore, require continual assessment. Airborne lidar surveying is a valuable remote sensing technique used to assess the dynamics of coastal dunes driven by the impacts of storms and the subsequent recovery processes. Different from previous research conducted on this topic, where pre- and post-storm surveys are employed to analyze the effects of isolated extreme events, this study makes use of a 15-year lidar survey time series of the Caminada-Moreau Headlands. The Caminada-Moreau Headlands, located in Louisiana, USA, on the Gulf of Mexico's northern coast, is a low-gradient, low-elevation mainland barrier which is rapidly eroding due to sediment deprivation, alongshore sediment transport, relative sea-level rise, and cumulative storm impacts. The time period analyzed, from 1998 to 2013, was notable for the number and intensity of hurricanes and tropical storms making landfall in the region. The analyses of the lidar data show that, while storms have frequently overwashed and destroyed the dunes, natural dune recovery has managed to maintain a nearly stable alongshore-averaged dune volume. On the other hand, change in dune crest elevation in the most vulnerable stretches of the coastline has not kept pace with sea-level rise. The analyses herein further suggest that, for low-elevation dunes which rapidly transition into backbarrier wetlands, the relative quantity of subaerial land surface area to open water, directly landward of the duneline, is an influential parameter affecting barrier shoreline morphodynamics. © 2019 Elsevier B.V.</t>
  </si>
  <si>
    <t>2-s2.0-85077648943"</t>
  </si>
  <si>
    <t>10.1146/annurev-marine-010419-010610</t>
  </si>
  <si>
    <t>https://www.scopus.com/inward/record.uri?eid=2-s2.0-85077476444&amp;doi=10.1146%2fannurev-marine-010419-010610&amp;partnerID=40&amp;md5=48c61311c18c87504ee8bc353251dd39</t>
  </si>
  <si>
    <t>Salt marshes are recognized as valuable resources that are threatened by climate change and human activities. Better management and planning for these ecosystems will depend on understanding which marshes are most vulnerable, what is driving their change, and what their future trajectory is likely to be. Both observations and models have provided inconsistent answers to these questions, likely in part because of comparisons among sites and/or models that differ significantly in their characteristics and processes. Some of these differences almost certainly arise from processes that are not fully accounted for in marsh morphodynamic models. Here, we review distinguishing properties of marshes, important processes missing from many morphodynamic models, and key measurements missing from many observational studies. We then suggest some comparisons between models and observations that will provide critical tests and insights to improve our ability to forecast future change in these coastal landscapes. © 2020 by Annual Reviews. All rights reserved.</t>
  </si>
  <si>
    <t>2-s2.0-85077476444"</t>
  </si>
  <si>
    <t>10.4090/JUEE.2020.V14N2.192203</t>
  </si>
  <si>
    <t>https://www.scopus.com/inward/record.uri?eid=2-s2.0-85126021255&amp;doi=10.4090%2fJUEE.2020.V14N2.192203&amp;partnerID=40&amp;md5=a5512d663413c477820a838f94db8492</t>
  </si>
  <si>
    <t>In India, Mumbai city is highly vulnerable to the threats posed by climate change, such as sea level rise, storm, and floods. The vulnerability of the city was demonstrated on the 26 July 2005 when thousands of houses were submerged in the water, and assets worth billions of rupees were damaged. The flood severely impacted the residents in informal settlements known as slums, which incurred substantial financial losses. With the increasing vulnerability of coastal megacities to urban floods, there is a need for an effective risk assessment &amp; Adaptation Planning. Hence this study aims to assess the current &amp; future Flood Risk faced by the H/E Ward (study area) of Mumbai. The flood risk assessment is performed using the standard catastrophe Risk modeling, which combines Hazard, exposure, and vulnerability. Various data sources such as Historical rainfall data, Elevation Data, Soil Database, Landsat Imagery, and census data were collected from multiple online sources to achieve this objective. The data processing is done using GIS, Hydrological &amp; Hydraulic Processes. As the H/E ward lies in the Mithi River catchment area, we processed the DEM and used the SCS-Curve Number and kinematic routing method to generate the peak discharge at the River Sub basins in HEC-HMS software. The River geometry is prepared in HEC-RAS software, and Flood Hazard Maps were prepared. The current &amp; future Risk analysis shows an increase in the inundation extent for the 100-year return period in the H/E Ward, which highlights that there would be an increase in the total affected Population and losses incurred by them. The study also highlights that the people's adaptive capacity is deficient. Most of the affected Population are poor people, employed in menial jobs, chosen to stay in the riskier site because of proximity to work. Hence this study highlights an urgent need for an effective Risk Management and Adaptation planning in the H/E ward of Mumbai. © 2020 Journal of Urban and Environmental Engineering (JUEE). All rights reserved.</t>
  </si>
  <si>
    <t>2-s2.0-85126021255"</t>
  </si>
  <si>
    <t>10.1029/2019JC015223</t>
  </si>
  <si>
    <t>https://www.scopus.com/inward/record.uri?eid=2-s2.0-85081086093&amp;doi=10.1029%2f2019JC015223&amp;partnerID=40&amp;md5=5d5272ab793db658f08c6a4551e1525f</t>
  </si>
  <si>
    <t>Stratification in estuaries has received much focus due to its importance in estuarine hydrodynamics and material transport. By utilizing a well-calibrated numerical model, in this work we investigate the changes in stratification in the deepened and narrowed North Passage of the Changjiang Estuary. Before channel narrowing and deepening, lateral straining, generated by the interaction between vertical shear in lateral flow and transverse salinity gradient, is the dominant factor that controls stratification. A two-layer structure of the lateral flow strains the isopycnal transversely, resulting in rapid stratification from late flood to early ebb tide. Thus, maximum stratification occurs during the early ebb. Then, the stratification was suppressed by the vertical mixing and the less stratified water advected from upstream, even the vertical shear in along-channel flow continued to strain the isopycnal. After channel deepening and narrowing, the salinity in the upper water column experienced a sharp vertical gradient during the entire tidal cycle, while the transverse salinity gradient and lateral flow are profoundly reduced. The impact of lateral straining on stratification becomes minor. The enhanced stratification results in a sharp decrease in turbulent mixing within the pycnocline. The water movement in the upper layer is in a free-stream status and the tidal current speed increases significantly. The alteration of the vertical current structure enhances the along-channel tidal straining and stratification is most vigorous on late ebb tide. ©2020. American Geophysical Union. All Rights Reserved.</t>
  </si>
  <si>
    <t>2-s2.0-85081086093"</t>
  </si>
  <si>
    <t>10.1016/j.jhydrol.2019.124379</t>
  </si>
  <si>
    <t>https://www.scopus.com/inward/record.uri?eid=2-s2.0-85075747618&amp;doi=10.1016%2fj.jhydrol.2019.124379&amp;partnerID=40&amp;md5=cf9b18ce03fe712c84efd7ca1ab44600</t>
  </si>
  <si>
    <t>This study proposed and compared several novel hybrid models that combined swarm intelligence algorithms and Deep Learning Neural Network for flood susceptibility mapping. Lai Chau, a province in the northwest mountainous region of Vietnam was chosen as a case study since it had recently undergone severe flashflood in 2018. For this purpose, numerical predictor variables such as topographically derived factors (Digital Elevation Model, Aspect, Slope, Curvature, Topographic Wetness Index), climatic variables (Rain), and hydrological variables (stream density, stream power index, distance to river) and multiple remote sensing indices (Normalized Difference Vegetation Index, Normalized Difference Buildup Index) were used. These predictor variables were selected because they are globally collectible and reproducible. The performances of these models were evaluated by using common statistical indicators, namely Root Mean Square Error, Mean Absolute Error, Overall Accuracy and Area under Receiving Operating Characteristics, and the statistical test of differences. The results showed that the proposed swarm intelligence models outperformed benchmarked methods, namely Particle Swarm Optimization, Support Vector Machine, Random Forest in almost all comparing indicators. It is suggested that proposed models are more robust than the classifiers, which were used for benchmarking and they are good alternatives for flood susceptibility mapping given the availability of dataset. © 2019 Elsevier B.V.</t>
  </si>
  <si>
    <t>2-s2.0-85075747618"</t>
  </si>
  <si>
    <t>10.1002/hyp.13628</t>
  </si>
  <si>
    <t>https://www.scopus.com/inward/record.uri?eid=2-s2.0-85076186097&amp;doi=10.1002%2fhyp.13628&amp;partnerID=40&amp;md5=3bb3d81c9287caa0de41bb9c71d49a8e</t>
  </si>
  <si>
    <t>In urban areas, the presence of impervious surfaces limits natural drainage and routes water to stormwater infrastructure with finite capacity, making these areas especially prone to flooding. Though large floods are responsible for endangering lives and causing extensive damage, there is growing evidence that more frequent floods with shallow water depths, termed nuisance flooding, can have a high cumulative cost and many direct and indirect damages. To determine whether locations of nuisance flooding may be linked to topography, we took a parsimonious, spatially distributed approach to explore whether high topographic index values co-occur with citizen-reported nuisance flooding. We obtained nuisance flood reports from the municipal data service 311 for several watersheds in New York City and Baltimore, USA. Our analysis tested two topographic indices (TI)—topographic wetness index (TWI) and sink depth—both calculated from high-resolution (~1 m) digital elevation models. Generally, our findings suggest that not all but many locations of reported flooding tend to coincide with deep sinks or large TWI. However, nuisance flooding reports most commonly coincided with deep sinks and high TWI when using a maximum, instead of coincident, TI value extracted around each reported location of flooding, an approach we used due to the uncertainty in location accuracy of flooding reports. Overall, our results show promise for application of topographic indices, typically applied in more natural settings, as indicators of nuisance flooding areas in urbanized environments. Although limitations to this approach exist, the application of TIs and crowd-sourced reporting in tandem could provide a useful starting point for mapping flood-prone areas in many cities with technologically adept community members and ample geospatial data. © 2019 John Wiley &amp; Sons, Ltd.</t>
  </si>
  <si>
    <t>2-s2.0-85076186097"</t>
  </si>
  <si>
    <t>International Journal of Earth Sciences</t>
  </si>
  <si>
    <t>10.1007/s00531-020-01819-7</t>
  </si>
  <si>
    <t>https://www.scopus.com/inward/record.uri?eid=2-s2.0-85078950215&amp;doi=10.1007%2fs00531-020-01819-7&amp;partnerID=40&amp;md5=895b787511886dbb03a9798efa3aa596</t>
  </si>
  <si>
    <t>This research aims to reconstruct the Late Neoproterozoic-to-recent long-term time–temperature-evolution of the NW Namibian Kaoko and Damara belts combining numerical modeling of new thermochronological data with previously published geochronological data, i.e., U–Pb, Sm–Nd, and Rb–Sr analyses, and K/Ar, 40Ar/39Ar low-temperature thermochronology. Consequently, we retrieve a coherent long-term time–temperature-evolution of the NW Namibian Neoproterozoic basement rocks including rates of exhumation and subsidence periods over the last ~ 500 Myr. Neoproterozoic basement rocks indicate fast post-Pan African/Brasiliano cooling and exhumation, reheating, or rather subsidence during the development of the Paleozoic-to-Mesozoic SW Gondwana intraplate environment and a significant thermal overprint of the rocks during South Atlantic syn- to post-rift processes, and therefore, resemble the opponent SE Brazilian time–temperature-evolution. We provide an overview of thermochronological data including new apatite and zircon fission-track data derived from Neoproterozoic, Late Paleozoic, and Lower Cretaceous rocks. Apatite fission-track ages range from 390.9 ± 17.9 Ma to 80.8 ± 6.0 Ma in the NW Kaoko Belt with youngest ages confined to the coastal area and significant age increase towards the inland. New zircon apatite fission-track data reveal ages between 429.5 ± 47.8 and 313.9 ± 53.4 Ma for the rocks of the Kaoko Belt. In the central Damara Belt, new apatite fission-track ages range between 138.5 ± 25.3 Ma to 63.8 ± 4.8 Ma. Combined apatite fission-track age distributions from Angola to Namibia and SE Brazil correlate for both sides of the South Atlantic passive continental margin and the reset AFT ages overlap with the lateral Paraná–Etendeka dike swarm distribution. © 2020, Geologische Vereinigung e.V. (GV).</t>
  </si>
  <si>
    <t>2-s2.0-85078950215"</t>
  </si>
  <si>
    <t>10.3390/rs12040706</t>
  </si>
  <si>
    <t>https://www.scopus.com/inward/record.uri?eid=2-s2.0-85080909728&amp;doi=10.3390%2frs12040706&amp;partnerID=40&amp;md5=62888fbcffadee4ffc31b8f0e5f92ae1</t>
  </si>
  <si>
    <t>Many people use smartphone cameras to record their living environments through captured images, and share aspects of their daily lives on social networks, such as Facebook, Instagram, and Twitter. These platforms provide volunteered geographic information (VGI), which enables the public to know where and when events occur. At the same time, image-based VGI can also indicate environmental changes and disaster conditions, such as flooding ranges and relative water levels. However, little image-based VGI has been applied for the quantification of flooding water levels because of the difficulty of identifying water lines in image-based VGI and linking them to detailed terrain models. In this study, flood detection has been achieved through image-based VGI obtained by smartphone cameras. Digital image processing and a photogrammetric method were presented to determine the water levels. In digital image processing, the random forest classification was applied to simplify ambient complexity and highlight certain aspects of flooding regions, and the HT-Canny method was used to detect the flooding line of the classified image-based VGI. Through the photogrammetric method and a fine-resolution digital elevation model based on the unmanned aerial vehicle mapping technique, the detected flooding lines were employed to determine water levels. Based on the results of image-based VGI experiments, the proposed approach identified water levels during an urban flood event in Taipei City for demonstration. Notably, classified images were produced using random forest supervised classification for a total of three classes with an average overall accuracy of 88.05%. The quantified water levels with a resolution of centimeters (&lt;3-cm difference on average) can validate flood modeling so as to extend point-basis observations to area-basis estimations. Therefore, the limited performance of image-based VGI quantification has been improved to help in flood disasters. Consequently, the proposed approach using VGI images provides a reliable and effective flood-monitoring technique for disaster management authorities. © 2020 by the author.</t>
  </si>
  <si>
    <t>2-s2.0-85080909728"</t>
  </si>
  <si>
    <t>10.2112/SI95-164.1</t>
  </si>
  <si>
    <t>https://www.scopus.com/inward/record.uri?eid=2-s2.0-85085479801&amp;doi=10.2112%2fSI95-164.1&amp;partnerID=40&amp;md5=54a441d674c21518f94c5e2d36650292</t>
  </si>
  <si>
    <t>Kim, Y.H., 2020. Assessment of coastal inundation due to storm surge under future sea-level rise condition. In: Malvárez, G. and Navas, F. (eds.), Global Coastal Issues of 2020. Journal of Coastal Research, Special Issue No. 95, pp. 845-849. Coconut Creek (Florida), ISSN 0749-0208. Coastal communities, transportation systems, and energy infrastructures will be at increasing risk of impact from the extreme events like storm surge. Coastal areas are at risk for worse inundation in the near future due to coupled effects of sea-level rise and surge under the future global climate change scenarios. In order to assess the impact of coastal inundation due to the combined effect of sea-level rise and tropical storms, Sea, Lake and Overland Surge from Hurricanes (SLOSH) model was implemented to coastal areas of Korea. SLOSH calculates water level from depth-integrated, quasi-linear, shallow-water equations. In this study, a new developed high-resolution hyperbolic mesh grid was applied to the Korean peninsula. The minimum and maximum grid size is 321 m in coastal regions and ?18 km in offshore areas, respectively. A total of 60 representative potential storm tracks were developed based on preselected four historic storm tracks in the study area. Each storm tracks were assumed to be 2 different strength, implying each 50 and 100-yr return frequency level. Five different sea-level rise scenario were applied on the basis of the recent IPCC report: 0, 34.1, 65.0, 83.8, and 98.0 cm above the present sea level. Thus, a total of 600 scenarios (= 5 sea levels X 2 strength X 60 storm tracks) were simulated, and Maximum Envelop Of Water (MEOW) and Maximum Of Maximum (MOM) were calculated for each water level case. The results show that the rise of sea level induces higher storm surge and the increasing trend is not linear. For instance, the case with 98 cm sea-level rise above the current sea level show about 1.5-2.5 m increase of storm surge. Also, the results of storm surge (i.e., MOM) were applied to local topography data, which estimate inundation depth for each cell. As expected, the case of present sea level depicts lowest inundation and it increase with the range of sea level rise. Also, the area of inundation is smallest in the case of present sea level, and more sea level rise results in larger area of inundation. © Coastal Education and Research Foundation, Inc. 2020.</t>
  </si>
  <si>
    <t>2-s2.0-85085479801"</t>
  </si>
  <si>
    <t>10.1007/s12517-020-5124-3</t>
  </si>
  <si>
    <t>https://www.scopus.com/inward/record.uri?eid=2-s2.0-85080975536&amp;doi=10.1007%2fs12517-020-5124-3&amp;partnerID=40&amp;md5=7f2f489c33938314c8c9383fac9aea59</t>
  </si>
  <si>
    <t>Attaif is one of the most flooded areas in the Kingdom of Saudi Arabia due to its topography, being located at the eastern coast of the Red Sea. In the present study, we used the aeromagnetic data and the GIS techniques in order to understand the behaviour of the flood and its relation to geological structures. The aeromagnetic data can be used for mapping tectonic features, geologic contacts, and structures of the buried basement terrain. The structural lineaments (e.g. faults, which cause the formation of major basins) were deduced from magnetic maps. The basin trends reflect the structural elements that control the drainage of flood towards the basins and sub-basins. In the study, a direct relationship between the lineament features and the drainage streams was found. Besides, the database of the geological features was built using GIS capabilities. The geomorphic characteristics of a drainage basin represent a significant function in controlling the basin’s hydrology. The hydrologic data was extracted from the DEM data by using the flow accumulation grid tool. Moreover, the spatial distribution of drainage basins and the morphometric analysis was achieved by using the ArcGIS software. Besides, the evaluation of different morphometric parameters represented the land’s topographic expression. The results revealed that Attaif is crossed by three major flood basins, which are controlled by deep geological structures. © 2020, Saudi Society for Geosciences.</t>
  </si>
  <si>
    <t>2-s2.0-85080975536"</t>
  </si>
  <si>
    <t>10.2112/SI95-053.1</t>
  </si>
  <si>
    <t>https://www.scopus.com/inward/record.uri?eid=2-s2.0-85085475205&amp;doi=10.2112%2fSI95-053.1&amp;partnerID=40&amp;md5=99f47064928fa267ee27c482a175eaba</t>
  </si>
  <si>
    <t>López-Gutiérrez, J.S.</t>
  </si>
  <si>
    <t>10.1016/j.jafrearsci.2020.103751</t>
  </si>
  <si>
    <t>https://www.scopus.com/inward/record.uri?eid=2-s2.0-85077986593&amp;doi=10.1016%2fj.jafrearsci.2020.103751&amp;partnerID=40&amp;md5=1caf8973bc6183cbd2e88456a5841ceb</t>
  </si>
  <si>
    <t>This study intends to map the relative coastal vulnerability index (CVI) for the administrative governorates of Alexandria and adjacent Behera in the northwestern coastal margin of the Nile delta. In addition to other common environmental stresses, these governorates are under threat due to accelerated sea level rise induced from climate change. Of special interest is that the coastal margin of the study area is characterized by markedly constructing geology, morpho-dynamics and land surface topography that varies from low-lying (−3 m below MSL) to high land (~20 m height). Therefore, nine physical and geological variables influencing the vulnerability of the coast are used in this study, including land elevation, seabed/beach composition, beach type (dissipative to reflective), relative sea level, historical shoreline change, tidal range, significant wave height, shore protection measures, and land cover. Results obtained from performing multi-criteria analysis of GIS indicates that about 16.58%, 15.45, 42.03%, 18.16 and 7.78% of the shoreline is under very high, high, moderate, low and very low vulnerability respectively. Of great concern is that although the low-lying broad depression (−1 to −3 m below MSL) east and southeast of Alexandria is protected now by a combination of natural shore-parallel elevated ridges (up to 10 m) and artificial shore-parallel detached structures, it is likely to be accidently flooded by unexpected extreme storm or tsunami events at the lowest waterfront points. © 2020 Elsevier Ltd</t>
  </si>
  <si>
    <t>2-s2.0-85077986593"</t>
  </si>
  <si>
    <t>10.1007/s10236-019-01314-x</t>
  </si>
  <si>
    <t>https://www.scopus.com/inward/record.uri?eid=2-s2.0-85076560202&amp;doi=10.1007%2fs10236-019-01314-x&amp;partnerID=40&amp;md5=27e833eb8eb5d9d89b567549aef87bde</t>
  </si>
  <si>
    <t>We describe the design, implementation, and performance of a fully automated Santos Operational Forecasting System (SOFS), built to monitor and predict short-term (&lt; 3 days) sea surface elevations, currents, temperature, and salinity in the Santos-Sao Vicente-Bertioga Estuarine System (SSVBES). The SSVBES located at 24.0∘S, 46.3∘W is a complex estuarine system with many interconnected channels and two connections with the open sea. The system is prone to storm tides that bring coastal flooding to and interrupt ship traffic through Santos Port. The SOFS hydrodynamic module is based on the Princeton Ocean Model (POM) version POM-rain. The SSVBES model grid is forced by tides, winds, and river runoff and is nested into a coarse-resolution South Brazil Bight (SBB) grid. The SBB grid is forced by winds, density gradients, and the Brazil Current flowing offshore. Within SSVBES, SOFS works in parallel with three real-time observation stations. The model performance was tested against observed data with a best Willmott skill of 0.97 and root mean square error (RMSE) of 13.0 cm for tidal sea level (15.9% of the mean tidal range). For tidal currents, the best skill and RMSE were above 0.99 and 3.9 cm/s (4.3% of the mean tidal current range), respectively. The coupled system was able to simulate seven storm tides with average skill of 0.95 and average RMSE of 17.0 cm. The good agreement with observed data shows the potential use of the designed system to protect both human life and assets. © 2019, Springer-Verlag GmbH Germany, part of Springer Nature.</t>
  </si>
  <si>
    <t>2-s2.0-85076560202"</t>
  </si>
  <si>
    <t>10.2112/JCOASTRES-D-19-00058.1</t>
  </si>
  <si>
    <t>https://www.scopus.com/inward/record.uri?eid=2-s2.0-85080144182&amp;doi=10.2112%2fJCOASTRES-D-19-00058.1&amp;partnerID=40&amp;md5=ed43d753ed6ea3ba73c143f969f1d5d1</t>
  </si>
  <si>
    <t>Because of the flow influx of tributaries, a confluence forms a unique environment carrying interesting hydrodynamic features and other attributes. The understanding of flow behavior here is important, particularly if it is on a tidally influenced channel in a harbor metropolitan. Because of communal requirements, there is a possibility of building wading structures, which may interplay with the flow in this zone. The knowledge of unidirectional river or flume confluences so far is not readily applicable for similar features in channels near coastal areas that have tidal flow in addition to river runoff. In this study, a tidal confluence that has a highly dynamic bidirectional flow is investigated. Near-surface flow patterns in a tidal cycle are simulated by using a numerical model. A field survey provides the bathymetry, time-series boundary conditions, and corresponding verification data. Good agreement is reached between calculated and measured results. Based on the condition of tidal current, four scenarios are selected for which confluence flow patterns are observed, both spatially and temporally. The results indicate that at least one recirculation is always in the tidal confluence for all flow conditions, which rotates counterclockwise for the ebb flow and clockwise for the flood flow. In addition, there is no absolute slack water condition at the tidal junction in the study area. The study also finds that the flows of all three connected channels at the confluence change in a looped pattern with respect to one another. Furthermore, the study reports unique relationships among the ratios of different flows. © 2020 Coastal Education and Research Foundation, Inc.</t>
  </si>
  <si>
    <t>2-s2.0-85080144182"</t>
  </si>
  <si>
    <t>10.3390/cli8030041</t>
  </si>
  <si>
    <t>https://www.scopus.com/inward/record.uri?eid=2-s2.0-85083774710&amp;doi=10.3390%2fcli8030041&amp;partnerID=40&amp;md5=e26c20d95ca43002504bfff99cfe50c1</t>
  </si>
  <si>
    <t>Effective water management plays an important role in socioeconomic development in the Vietnamese Mekong Delta (VMD). The impacts of climate change and human activities (that is, domestic consumption and industrial and agricultural activities) vary in different subregions of the delta. In order to provide intersectoral data for determining the significantly impacted subregions of the VMD, the present study simulated interactions between local climatic patterns, human activities, and water resources using a system dynamics modeling (SDM) approach with each subregion as an agent of the developed model. The average rainfall and temperature of 121 subregions in the VMD were collected during 1982-2012, and the future changes of climate by provinces were based on the Representative Concentration Pathways (RCP) scenarios (RCP4.5 and RCP8.5) by the end of 21st century. The assessment was based on the levels of impact of various factors, including (1) water consumption, (2) differences between evapotranspiration and rainfall, and (3) spatial distribution of salinity intrusion over the delta scale. In the coastal areas, as well as the central and upstream areas, water resources were projected to be affected by environmental changes, whereas the former, characterized by the lack of surface freshwater, would be affected at a greater scale during the dry season. Besides, the sea level rise would lead to an increase in negative impacts in the eastern coastal areas, suggesting that water-saving techniques should be applied not only for agriculture, but also for industry and domestic water consumption during the dry season. In addition, the south subregions (that is, the western subregions of the Hau River except for An Giang) were likely to be flooded due to the simulated high rainfall and seasonal rises of sea level during the wet season. Therefore, the alternative forms of settlement and livelihood should be considered toward balance management with changing delta dynamics. © 2020 by the authors.</t>
  </si>
  <si>
    <t>2-s2.0-85083774710"</t>
  </si>
  <si>
    <t>10.1007/s11069-020-03861-9</t>
  </si>
  <si>
    <t>https://www.scopus.com/inward/record.uri?eid=2-s2.0-85079436873&amp;doi=10.1007%2fs11069-020-03861-9&amp;partnerID=40&amp;md5=3eb32666990109d63c6caf3b73ad694a</t>
  </si>
  <si>
    <t>Coastal inundation due to storm tides is computed using ADvanced CIRCulation (ADCIRC) model along the east coast of India. Inland inundation due to storm tides is calculated every 10 km along the coast by using synthetic tracks as described in Rao et al. (Nat Hazards, 2019. https://doi.org/10.1007/s11069-019-03804-z). The cyclonic winds are computed using a maximum pressure drop of the cyclone based on a 100-year return period. The coast is mapped for the maximum possible extent of inland inundation with water levels at the district level. The influence of climate change impact as a result of global warming on the coastal inundation is evaluated by enhancing the intensity of the cyclones. Peak water levels of about 10–12 m are found along the north of Odisha coast. The most vulnerable region in terms of coastal inundation in the present scenario is found in the districts of West Bengal</t>
  </si>
  <si>
    <t>10.3390/rs12040677</t>
  </si>
  <si>
    <t>https://www.scopus.com/inward/record.uri?eid=2-s2.0-85080905182&amp;doi=10.3390%2frs12040677&amp;partnerID=40&amp;md5=4fd23d5e62aee3f3c830aaed77e005f9</t>
  </si>
  <si>
    <t>Intertidal habitats like oyster reefs and salt marshes provide vital ecosystem services including shoreline erosion control, habitat provision, and water filtration. However, these systems face significant global change as a result of a combination of anthropogenic stressors like coastal development and environmental stressors such as sea-level rise and disease. Traditional intertidal habitat monitoring techniques are cost and time-intensive, thus limiting how frequently resources are mapped in a way that is often insufficient to make informed management decisions. Unoccupied aircraft systems (UASs) have demonstrated the potential to mitigate these costs as they provide a platform to rapidly, safely, and inexpensively collect data in coastal areas. In this study, a UAS was used to survey intertidal habitats along the Gulf of Mexico coastline in Florida, USA. The structure from motion photogrammetry techniques were used to generate an orthomosaic and a digital surface model from the UAS imagery. These products were used in a geographic object-based image analysis (GEOBIA) workflow to classify mudflat, salt marsh, and oyster reef habitats. GEOBIA allows for a more informed classification than traditional techniques by providing textural and geometric context to habitat covers. We developed a ruleset to allow for a repeatable workflow, further decreasing the temporal cost of monitoring. The classification produced an overall accuracy of 79% in classifying habitats in a coastal environment with little spectral and textural separability, indicating that GEOBIA can differentiate intertidal habitats. This method allows for effective monitoring that can inform management and restoration efforts. © 2020 by the author.</t>
  </si>
  <si>
    <t>2-s2.0-85080905182"</t>
  </si>
  <si>
    <t>International Journal of Water Resources Development</t>
  </si>
  <si>
    <t>10.1080/07900627.2019.1568862</t>
  </si>
  <si>
    <t>https://www.scopus.com/inward/record.uri?eid=2-s2.0-85076431484&amp;doi=10.1080%2f07900627.2019.1568862&amp;partnerID=40&amp;md5=8aa0bc36d0cefc642322f4516b6f8f41</t>
  </si>
  <si>
    <t>Water-management practices in the Vietnamese Mekong Delta have predominantly focused on structural development (e.g., dykes) to support rice-based agricultural production. Given the existing conventional approach, however, many of these efforts have been rendered ineffective. This study adopts the policy transfer concept to investigate how the participatory approach is introduced into the local institutional system, and how it shapes the construction, operation and management of the North Vam Nao scheme. Results suggest that this allowed stakeholders to engage collaboratively in these processes. The study contributes an empirical understanding of how policy transfer enhances institutional capacity for water resources management in the delta. © 2019, © 2019 Informa UK Limited, trading as Taylor &amp; Francis Group.</t>
  </si>
  <si>
    <t>2-s2.0-85076431484"</t>
  </si>
  <si>
    <t>10.1007/s10668-018-0288-7</t>
  </si>
  <si>
    <t>https://www.scopus.com/inward/record.uri?eid=2-s2.0-85055972054&amp;doi=10.1007%2fs10668-018-0288-7&amp;partnerID=40&amp;md5=e745a09de1283d796d221b184f193cc4</t>
  </si>
  <si>
    <t>The basic principles of community-based natural resource management (CBNRM) are rural economic development, community empowerment and sustainable natural resource conservation. Many studies have been done on all the three principles, but a few have assessed and compared perceptions and dynamics of subsistence poaching between CBNRM and non-CBNRM communities. We conducted a cross-sectional study in two CBNRM and two non-CBNRM communities in the Okavango Delta, Botswana, to compare perceptions on trends and drivers of subsistence poaching between the two community types. We administered semi-structured questionnaires and interview schedules with heads of households and key informants, respectively, and facilitated focus group discussions. Our results showed a significant association between the respondents’ views on poaching trends and community type (CBNRM and non-CBNRM) (p &lt; 0.05). Although most respondents in CBNRM and non-CBNRM communities believed poaching had decreased in the last few years, there were 13% more respondents in CBNRM than in non-CBNRM communities that believed poaching had decreased. Poaching was believed to be higher in winter and when the floods were low. CBNRM communities further believed the hunting ban on wildlife introduced in 2014 was contributing to poaching, contrary to the views of the non-CBNRM communities who associated the ban with the decrease in poaching (p &lt; 0.05). The low incidents of poaching, positive perceptions on wildlife conservation in general and community-driven anti-poaching efforts observed in CBNRM communities point to CBNRM as a promising strategy for reducing subsistence poaching in and around wildlife-protected areas. © 2018, Springer Nature B.V.</t>
  </si>
  <si>
    <t>2-s2.0-85055972054"</t>
  </si>
  <si>
    <t>10.1007/s41748-019-00132-x</t>
  </si>
  <si>
    <t>https://www.scopus.com/inward/record.uri?eid=2-s2.0-85074712783&amp;doi=10.1007%2fs41748-019-00132-x&amp;partnerID=40&amp;md5=d1bbea8947c36843daf45015fad012df</t>
  </si>
  <si>
    <t>Rice is one of the world’s significant food crops, especially in Egypt. The distribution data of planted and harvested paddy rice fields are essential for food security and the management of water resources. The determined area within agricultural associations is often subjective, expensive, labor intensive, time-consuming, and prone to errors. Therefore, this study aimed to determine the paddy rice areas in the Nile Delta using a new methodology based on satellite data. The rice areas could be classified with good results at the beginning of the 1st flooding period applying the Normalized Difference Vegetation Index (NDVI). The temporal profiles of NDVI and Land Surface Temperature (LST) were investigated. The NDVI profiles of different targets were analyzed to differentiate between rice and other crops, but the results failed to distinguish between rice and other crops in all stages after full vegetation cover. However, the analyzed LST profiles indicated the discrimination capability between rice and other crops in all vegetation development stages. The accuracy was high as 97% and 74% for LST and NDVI, respectively. The LST-based classification indicated that the distributed rice fields throughout the study area were 32.7% of the total cultivated area. The accuracy of LST results had an advantage over NDVI. © 2019, King Abdulaziz University and Springer Nature Switzerland AG.</t>
  </si>
  <si>
    <t>2-s2.0-85074712783"</t>
  </si>
  <si>
    <t>10.2112/SI95-236.1</t>
  </si>
  <si>
    <t>https://www.scopus.com/inward/record.uri?eid=2-s2.0-85085478222&amp;doi=10.2112%2fSI95-236.1&amp;partnerID=40&amp;md5=cc2dd231c4a186a4dd4151598f7ed802</t>
  </si>
  <si>
    <t>Methodologies to establish a sustainable knowledge framework addressing the costs and benefits of prevention and response to coastal hazards resulting from hydro-meteorological, hydrographic and other natural events and processes (e.g. flooding, beach erosion, cliff erosion, sea level rise) are not homogeneously implemented in the European Union. Until now, investment decisions in this field have been made more on local political imperatives than logical economic risk assessments. This paper aims to overcome some these limitations by demonstrating the usefulness of a simplified benefit-cost methodology and its application to a coastal case where a number of alternative flood risk reduction schemes are considered. The method allows the economically optimal scheme to be identified. The method is discussed within the context of generally poorly comprehended aspects; issues presented in coupling benefit-cost methods with vulnerability and related assessments; and key data uncertainties.</t>
  </si>
  <si>
    <t>10.2166/h2oj.2020.049</t>
  </si>
  <si>
    <t>https://www.scopus.com/inward/record.uri?eid=2-s2.0-85102236677&amp;doi=10.2166%2fh2oj.2020.049&amp;partnerID=40&amp;md5=0c7cb525919063b1d79fadf5da75d5ba</t>
  </si>
  <si>
    <t>The Ganga is an international transboundary river that flows across three major riparian countries: India, Nepal, and Bangladesh, where India shares a significant proportion of the total basin area. The river system is highly dynamic and regularly floods in all three countries due to abundant rainfall in a short period of only four months each year that causes tremendous loss of both property and human life. In this study, we have done a synoptic review to synthesize the hydrology, hydrogeology, and modeling studies that have analyzed hydrological changes and their impacts in the Ganga basin. This review also identifies some of the knowledge gaps and discusses possible options for enhancing the understanding of sustainable water development and management. This review indicated that transparent data sharing, use of satellite-based observations along with in-situ data, integrated hydro-economic modeling linked to reliable coupled surface–groundwater models, a central shared decision support center for early warning systems to deal with hydrological extremes, joint river commissions and monitoring teams, and multilateral water sharing treaties (agreements) are required to promote sustainable and equitable distribution of water resources and to avoid water sharing conflicts in the Ganga basin. © 2021 The Authors.</t>
  </si>
  <si>
    <t>2-s2.0-85102236677"</t>
  </si>
  <si>
    <t>10.2112/SI95-092.1</t>
  </si>
  <si>
    <t>https://www.scopus.com/inward/record.uri?eid=2-s2.0-85085497486&amp;doi=10.2112%2fSI95-092.1&amp;partnerID=40&amp;md5=81c8a64801d68a60fdde0d2806a8d1b3</t>
  </si>
  <si>
    <t>Oliveira, J.F.</t>
  </si>
  <si>
    <t>10.1007/s00024-019-02411-0</t>
  </si>
  <si>
    <t>https://www.scopus.com/inward/record.uri?eid=2-s2.0-85078252754&amp;doi=10.1007%2fs00024-019-02411-0&amp;partnerID=40&amp;md5=876e4b2bf43460493dcd4c149af62493</t>
  </si>
  <si>
    <t>Tsunami modelling is widely used to estimate the potential impacts of tsunamis. Models require a tide input, which can be either static, representing a specific tide level, such as Highest Astronomic Tide or dynamic, which represents a moving tide level. Although commonly used, static tide inputs do not account for tsunami–tide interactions, which are known to be non-linear and more significant in estuaries when compared to the open coast. To demonstrate the differences between tsunami models using static or dynamic tide inputs, a series of models were carried out for two New South Wales estuaries, Sydney harbour and port hacking. Model boundary conditions phased a MW 9.0 Puysegur source tsunami with multiple tide scenarios. Fourteen distinct scenarios with dynamic tides were created by phasing the largest tsunami wave peak at regular intervals across the tidal range. For comparison, static tide models were run using equivalent tide levels. The situations where static tide models provide results comparable or more conservative than dynamic tide models are for the first 1–2 h after tsunami arrival, at high tides, and when compared to dynamic falling tides at the same tide level. Differences are most apparent upriver of geomorphological constrictions. The effects of geomorphological constrictions were further examined using idealised model setups with a constriction variable. Results show that constrictions affect downriver maximum water levels, tsunami wave heights, upriver water accumulation and inundation maxima and distributions. These results have implications for estuaries vulnerable to erosion at constriction sites during a tsunami event. © 2020, Springer Nature Switzerland AG.</t>
  </si>
  <si>
    <t>2-s2.0-85078252754"</t>
  </si>
  <si>
    <t>10.2112/SI95-007.1</t>
  </si>
  <si>
    <t>https://www.scopus.com/inward/record.uri?eid=2-s2.0-85085485939&amp;doi=10.2112%2fSI95-007.1&amp;partnerID=40&amp;md5=ba2becad6ed242e8072ccb89b7c6c662</t>
  </si>
  <si>
    <t>Beaches and foredunes are characterized by being exposed to harsh environmental restrictions mainly due to salt spray, burial by sand and occasional storms. In response to this, plant species from these habitats have adaptations that allow them not only to survive in these environments, but also to recover after the impact of disturbances such as severe storms. In this study, we had the opportunity to study vegetation recovery on the coast of Huelva, Spain, after the impact of a strong winter storm in 2017 which severely affected the vegetation growing on the beach and foredune. Species composition and abundance of vegetation was compared before (2013) and after (2018) the storm hit the coast in 2017. The results show that the effects of the storm were still evident a year later. Native species, mainly perennials, were able to recover almost completely to predisturbance levels. In contrast, the invasive species, Oenothera drummondii, which was abundant before the storm, disappeared from the beach and its presence in the foredune was greatly reduced. Given the forecasts of sea level rise and the increased frequency and intensity of storms, it is necessary to sustain and reinforce the natural coastal sectors where native plant communities maintain the resilience of coastal ecosystems when impacted to these disturbances.</t>
  </si>
  <si>
    <t>10.1002/rra.3586</t>
  </si>
  <si>
    <t>https://www.scopus.com/inward/record.uri?eid=2-s2.0-85079070897&amp;doi=10.1002%2frra.3586&amp;partnerID=40&amp;md5=882a006009558c65f1117c0f26b3445b</t>
  </si>
  <si>
    <t>Sand mining (used here as a generic term that includes mining of any riverine aggregates regardless of particle size) is a global activity that is receiving increasing media attention due to perceived negative environmental and social impacts. As calls grow for stronger regulation of mining, there is a need to understand the scientific evidence to support effective management. This paper summarizes the results of a structured literature review addressing the question, “What evidence is there of impacts of sand mining on ecosystem structure, process, and biodiversity in rivers, floodplains, and estuaries?” The review found that most investigations have focused on temperate rivers where sand mining occurred historically but has now ceased. Channel incision was the most common physical impact identified</t>
  </si>
  <si>
    <t>10.2112/SI95-212.1</t>
  </si>
  <si>
    <t>https://www.scopus.com/inward/record.uri?eid=2-s2.0-85085497480&amp;doi=10.2112%2fSI95-212.1&amp;partnerID=40&amp;md5=393c3dff946b48298b7247eef15bfecb</t>
  </si>
  <si>
    <t>Fraile-Jurado, P</t>
  </si>
  <si>
    <t>10.2112/SI95-149.1</t>
  </si>
  <si>
    <t>https://www.scopus.com/inward/record.uri?eid=2-s2.0-85085505030&amp;doi=10.2112%2fSI95-149.1&amp;partnerID=40&amp;md5=3ceefc0b1c66e6a66ff8244d7daf57fb</t>
  </si>
  <si>
    <t>Cardona, F.S.</t>
  </si>
  <si>
    <t>10.1016/j.geomorph.2019.106906</t>
  </si>
  <si>
    <t>https://www.scopus.com/inward/record.uri?eid=2-s2.0-85074476829&amp;doi=10.1016%2fj.geomorph.2019.106906&amp;partnerID=40&amp;md5=91fdcb3846df4eb91084cd2bfd172c77</t>
  </si>
  <si>
    <t>The channel-floodplain relationship is used to understand flooding dynamics in the Pantanal wetland. To understand how different fluvial styles along the Upper Paraguay River (UPR) control the hydrology of the Pantanal wetland, we used a database including 11 gauge stations from the Brazilian National Agency of Waters, Landsat series satellite data, GeoCover images circa 1990 and 2000, the SRTM 90 m digital elevation model (DEM) and 34 acoustic Doppler current profiler (ADCP) sections. We defined eight very distinct fluvial zones in the UPR within the Pantanal based on the channel-floodplain morphology, channel pattern, hydrologic function, and channel slope. Three zones are narrowing plains (Amolar, Urucum and Fecho dos Morros) constrained by geological features on the western border of the Pantanal sedimentary basin, which act as bottlenecks for flood runoff and produce backwater effects that delay flood wave transmission. In each of these narrow zones, the flood wave is delayed by flow velocity reduction, generating huge water bodies upstream that store flood water and affect the duration and amplitude of floods. The existence of three bottlenecks and the occurrence of a backwater effect constrain flood waves along the river, conditioning the hydrological regime of the entire wetland and resulting in unusual rating curves at some gauge stations along the UPR. This peculiar hydrological regime is responsible for the functioning of the wetland, including the undesirable “dequada” phenomena (natural fish mortality events). The backwater effect is enhanced by the existence of large flood basins upstream of the bottlenecks, where waters can be temporarily retained for periods of months, delaying the surface runoff and prolonging the flood season, which contributes to the maintenance of the wetland and its rich ecosystem. © 2019 Elsevier B.V.</t>
  </si>
  <si>
    <t>2-s2.0-85074476829"</t>
  </si>
  <si>
    <t>10.2112/SI95-159.1</t>
  </si>
  <si>
    <t>https://www.scopus.com/inward/record.uri?eid=2-s2.0-85085506123&amp;doi=10.2112%2fSI95-159.1&amp;partnerID=40&amp;md5=639f4c7e5e2c01101eaa5e6a40773727</t>
  </si>
  <si>
    <t>Aotearoa New Zealand (ANZ) experienced several major earthquake disruptions to coastal environments between 2010 and 2016, including to the natural and built environment components of coastal cities and rural centers. Key places affected included Ōtautahi Christchurch city and the town of Kaikōura. Lessons learned about coastal environment/ earthquake interactions are useful in transforming our approach to adapting to climate change in coastal settlements. This paper reviews highlights of the temporary and lasting effects of the recent ANZ ‘coastal quake’ events in sand beach, mixed sand and gravel beach, estuary, delta and lagoon settings. Key topics include sediment budgets and beach states, estuary stability, ecosystem translation and squeeze, liquefaction, and effects of relative sea level change. Findings include the potential robustness of open coast beach systems to both uplift and subsidence, the relative sensitivity of estuarine and delta city hydraulics and ecosystem resilience once built environment boundaries and interactions are considered, and the potential for coastal hazard interactions and cascades with both negative and positive consequences. Analysis of these earthquake events can be used, not only to ‘build back better’, but also to underpin a shift in approaches to coastal hazards and climate change challenges, via a multi-hazards perspective.</t>
  </si>
  <si>
    <t>10.2478/quageo-2020-0009</t>
  </si>
  <si>
    <t>https://www.scopus.com/inward/record.uri?eid=2-s2.0-85083375798&amp;doi=10.2478%2fquageo-2020-0009&amp;partnerID=40&amp;md5=a79c56ecfc10e6ccad0a137e9a334c8a</t>
  </si>
  <si>
    <t>The Mekong Delta is sinking and shrinking. This is because of the absolute sea-level rise, and because of the subsidence of the land. The absolute sea-level rise originates from the thermal expansion of the ocean waters and the melting of ice on land, plus other factors including changes in winds and ocean circulation patterns. The subsidence originates from the construction of dams in the river basin upstream of the Delta, that has dramatically reduced the flow of water and sediments, and excessive groundwater withdrawal, plus other factors including riverbed mining, infrastructural extension, and urbanization. The origin of alluvial delta created by a continuous supply of water and sediments and the natural subsidence of uncompacted soils is relevant background information to understand the current trends. Another factor affecting the sinking and shrinking include the degradation of the coastal mangrove belt. It is concluded that the subsidence due to the reduced flow of sediments and water, and the withdrawal of groundwater more than the replenishment of aquifers is more than one order of magnitude larger than the absolute sea-level rise estimated by satellite and climate models, or the value estimated from tide gauges, that is much less. The current sinking and shrinking trends are not sustainable, as the low-lying Delta may disappear before the end of this century. © 2020 Albert Parker, published by Sciendo.</t>
  </si>
  <si>
    <t>2-s2.0-85083375798"</t>
  </si>
  <si>
    <t>10.1080/17565529.2019.1605875</t>
  </si>
  <si>
    <t>https://www.scopus.com/inward/record.uri?eid=2-s2.0-85064748129&amp;doi=10.1080%2f17565529.2019.1605875&amp;partnerID=40&amp;md5=338571dcc7f99c09476637ab59d8bec5</t>
  </si>
  <si>
    <t>Large-scale water management systems were introduced to the Ganges-Brahmaputra and Mekong Deltas in the latter half of the twentieth century to manage extreme water hazards and increase food production. However, these systems significantly altered their respective hydrological regimes, often creating worse socio-ecological conditions and greater vulnerability to floods and seawater intrusion than existed previously. Despite this history of disaster experience, climate change adaptation measures in the Ganges-Brahmaputra and Mekong Deltas use contemporary socio-ecological conditions as the baseline for disaster mitigation efforts. Paradoxically relying on old approaches to address future climate threats, disaster planners overlook how current conditions in both deltas are unstable outcomes of historical processes. These cases illustrate that large-scale and capital-intensive climate responses may fail to measurably reduce disaster risk. The concept of shifting baselines, borrowed from fisheries science, becomes helpful for selecting more appropriate reference points for disaster mitigation than current conditions. © 2019, © 2019 Informa UK Limited, trading as Taylor &amp; Francis Group.</t>
  </si>
  <si>
    <t>2-s2.0-85064748129"</t>
  </si>
  <si>
    <t>10.5194/nhess-20-73-2020</t>
  </si>
  <si>
    <t>https://www.scopus.com/inward/record.uri?eid=2-s2.0-85078294001&amp;doi=10.5194%2fnhess-20-73-2020&amp;partnerID=40&amp;md5=585ecc58c1b8d91927fdbb65a4f6927a</t>
  </si>
  <si>
    <t>Addressing coastal risks related to sea storms requires an integrative approach which combines monitoring stations, forecasting models, early warning systems, and coastal management and planning. Such great effort is sometimes possible only through transnational cooperation, which becomes thus vital to face, effectively and promptly, the marine events which are responsible for damage impacting the environment and citizens' life. Here we present a shared and interoperable system to allow a better exchange of and elaboration on information related to sea storms among countries. The proposed integrated web system (IWS) is a combination of a common data system for sharing ocean observations and forecasts, a multi-model ensemble system, a geoportal, and interactive geo-visualisation tools to make results available to the general public. The multi-model ensemble mean and spread for sea level height and wave characteristics are used to describe three different sea condition scenarios. The IWS is designed to provide sea state information required for issuing coastal risk alerts over the analysed region as well as for being easily integrated into existing local early warning systems. This study describes the application of the developed system to the exceptional storm event of 29 October 2018 that caused severe flooding and damage to coastal infrastructure in the Adriatic Sea. The forecasted ensemble products were successfully compared with in situ observations. The hazards estimated by integrating IWS results in existing early warning systems were confirmed by documented storm impacts along the coast of Slovenia, Emilia-Romagna and the city of Venice. For the investigated event, the most severe simulated scenario results provide a realistic and conservative estimation of the peak storm conditions to be used in coastal risk management. © 2020 Author(s). This work is distributed under the Creative Commons Attribution 4.0 License.</t>
  </si>
  <si>
    <t>2-s2.0-85078294001"</t>
  </si>
  <si>
    <t>10.2112/SI95-153.1</t>
  </si>
  <si>
    <t>https://www.scopus.com/inward/record.uri?eid=2-s2.0-85085478493&amp;doi=10.2112%2fSI95-153.1&amp;partnerID=40&amp;md5=d11ba69098a4671b36c9933ad9780f46</t>
  </si>
  <si>
    <t>The Portuguese coast is exposed to the Atlantic high-energy storms, endangering populations and coastal infrastructures and causing economic and environmental losses. With climate change and the rise of sea-level, it is expected that these storms became more frequent and violent. For this reason, it is essential to provide the authorities with tools for managing the hazards and risks associated with coastal events. The purpose of the To-SEAlert project is to develop, implement, and validate a set of tools and methodologies based on a WebGIS to monitor, prevent and manage wave overtopping and flooding emergencies caused by coastal events. In this work, XBeach software was used to model the effects of storm induced wave overtopping and sea erosion in a low-lying sandy shore in Costa da Caparica, Portugal. Two experiments were carried out, simulating a storm event in a segment and in a grid area. Results show beach and dune erosion and wave overtopping, similar to recorded effects in past events, and important limitations are discussed. The improvement of these simulations can be essential to input data on the To-SEAlert project model, allowing its objectives accomplishment.</t>
  </si>
  <si>
    <t>10.1007/s00024-019-02377-z</t>
  </si>
  <si>
    <t>https://www.scopus.com/inward/record.uri?eid=2-s2.0-85076102594&amp;doi=10.1007%2fs00024-019-02377-z&amp;partnerID=40&amp;md5=ba87c5fa2ff38b1c36d950e7c0a1f2b7</t>
  </si>
  <si>
    <t>Tsunami warnings issued by the Joint Australian Tsunami Warning Centre (JATWC) are derived from a database (T2) consisting of more than two thousand pre-computed tsunami scenarios. Following any potentially tsunamigenic earthquake, warnings are issued for individual coastal zones with three different levels of threat: Land Threat, Marine Threat or No Threat. The decision is based on the 95th percentile (P95) of the maximum wave amplitudes (over time) of the relevant T2 scenario within each coastal zone. Threshold values for P95 have previously been derived through analysis of observed impacts for recent events. Given that historical records are available for only a short time period and no observations exist for which a Land Threat would have been issued for Australia, it has been difficult to determine the appropriate threshold for a Land Threat. Several recent tsunami hazard assessment studies have used inundation models nested within T2 scenarios. These modelling results are used to evaluate the threshold values for JATWC tsunami warnings and provide guidance on a possible further warning tier—Major Land Threat. The optimal Land Threat threshold for P95 is found to be 48.5 cm, however, it is not recommended that any changes are made from the existing operational threshold of 55 cm. The optimal threshold for P95 a Major Land Threat is found to be 150.5 cm. © 2019, Springer Nature Switzerland AG.</t>
  </si>
  <si>
    <t>2-s2.0-85076102594"</t>
  </si>
  <si>
    <t>10.2112/JCOASTRES-D-18-00163.1</t>
  </si>
  <si>
    <t>https://www.scopus.com/inward/record.uri?eid=2-s2.0-85081149544&amp;doi=10.2112%2fJCOASTRES-D-18-00163.1&amp;partnerID=40&amp;md5=cb58a2e2451e4ecad1a1477fd98f7e3a</t>
  </si>
  <si>
    <t>Beaches on the northeastern coast of Cuba have made this area one of the most important tourist destinations in the Caribbean, despite the fact that many beaches are visibly eroded. In this study, the causes and magnitude of coastal erosion on the northeastern coast of Cuba were evaluated using the Digital Shoreline Analysis System (DSAS 4.3) application, satellite images, and beach profiles. Time frames between 7 and 14 years were considered from 2003 to 2017 using satellite images and between 11 and 18 years using beach profiles. Results of this investigation showed that 56% of northeastern coast beaches tend to erode at a rate of less than 1.2 m/y. An increase in the recurrence of extreme events (hurricanes and tropical storms) during the last 39 years induced more beach erosion. It was furthermore observed that El Niño-Southern Oscillation events enhanced the sedimentary balance of the beaches by returning sand volumes that were transported in a westerly direction to their original shoreline locations. Possibly due to sea-level rise, which may be occurring in response to global warming, beaches on the northeast coast will retreat on average about 0.17 m/y. At this rate of shoreline recession, by the end of the twenty-first century, 14% of the beaches on this littoral will be lost, and the width of 27% of the other beaches will be significantly reduced. © 2020 Coastal Education and Research Foundation, Inc.</t>
  </si>
  <si>
    <t>2-s2.0-85081149544"</t>
  </si>
  <si>
    <t>10.1080/24694452.2019.1625750</t>
  </si>
  <si>
    <t>https://www.scopus.com/inward/record.uri?eid=2-s2.0-85076124781&amp;doi=10.1080%2f24694452.2019.1625750&amp;partnerID=40&amp;md5=d63138c13da992ccf9df883038019a9c</t>
  </si>
  <si>
    <t>Vulnerability and resilience of coastal communities is increasingly important in the face of sea level rise and severe storms. Situated at the nexus of geographic information systems (GIS) and natural hazard vulnerability, this study compares and integrates a GIS-based approach that produces social vulnerability indexes from census data and a human subject survey-based approach that learns local perceptions of coastal hazards in the aftermath of Hurricanes Matthew and Irma. It applies statistical and geovisual analyses of data from both approaches. We find significant variations in perceptions across the vulnerability spectrum and relate these differences to theories of expert and nonexpert knowledge. It is believed that both sets of results are useful and revealing from different perspectives, although each has its own weaknesses. Integration of both can provide a fuller picture of social vulnerability. To this end, the study demonstrates several geovisualization methods for integration. Key Words: coastal resilience, critical GIS, geovisualization, mixed methods, social vulnerability. © 2019, © 2019 by American Association of Geographers.</t>
  </si>
  <si>
    <t>2-s2.0-85076124781"</t>
  </si>
  <si>
    <t>10.2112/SI95-276.1</t>
  </si>
  <si>
    <t>https://www.scopus.com/inward/record.uri?eid=2-s2.0-85085497175&amp;doi=10.2112%2fSI95-276.1&amp;partnerID=40&amp;md5=18b342efadf4dc1094c595d74b0a649e</t>
  </si>
  <si>
    <t>Small Island Developing States (SIDS) in the South Pacific are highly vulnerable to climate change and development pressure due to their small size, isolation and exposure to natural hazards. Much of the Pacific SIDS population reside within the coastal zone as does the majority of critical infrastructure where resilience is challenged by exposure to natural hazards including inundation and erosion, and impacts from cyclones and tsunamis,. During extreme events, wave energy is a significant damage vector whose impact on populations and infrastructure is mediated by the presence and structural characteristics of adjacent coral reefs. Understanding the role of the structural characteristics of reefs in the dissipation of wave energy is critical to planning climate change resilience for SIDS given climate change will alter water levels, waves climates and the condition of coral reefs. The aims of this paper are to understand (1) the wave dissipation over a coral reef and hydrodynamic circulation within a coral reef lagoon in Erakor lagoon, Port Vila the capital of Vanuatu, and (2) the impact of sea level rise on the wave energy, wave runup and impacts to the shoreline. The information from this assessment can help inform coastal adaptation planning in response to climate change and rising sea levels. The approach is based on using field data to calibrate a numerical model of coastal processes. A wave buoy and five pressure sensors were deployed to measure wave dissipation over the Erakor lagoon's reef and current meters used in the lagoon to measure circulation and residential time. Data processing shows the importance of the reef geomorphology and water levels on wave dissipation.</t>
  </si>
  <si>
    <t>10.2112/SI95-281.1</t>
  </si>
  <si>
    <t>https://www.scopus.com/inward/record.uri?eid=2-s2.0-85085501119&amp;doi=10.2112%2fSI95-281.1&amp;partnerID=40&amp;md5=387ebd2f2473da02818db358aee52bfa</t>
  </si>
  <si>
    <t>Tropical cyclone (TC)-induced coastal flooding arises from a combination of atmospheric surge, and energetic wave-induced setup. TC-generated waves in deep water considerably evolve in shallow water before reaching the coast. Islands surrounded by a barrier reef and lagoon are a particular case of steep and irregular bathymetry over which waves undergo various transformations, and induce complex wave-current interactions. The present study investigates the TC-induced coastal impact on the reef environment of New Caledonia in the tropical southwest Pacific. An unstructured wave-current model simulation encompassing New Caledonia and Vanuatu is used to describe the complete TC-induced waves impact, from wave generation to propagation and transformation in the coastal area. Comparison with in-situ measurements are performed during cyclone COOK in 2017. The results show that coastlines with a double protection (barrier and fringing reefs) are relatively sheltered from the waves induced by TCs (significant wave height is 3 m at the coast vs. 13 m offshore) while shores fronting the reef passes are more severely exposed with waves reaching 9 m close to the coast. Setups and currents that are associated to wave breaking on the barrier reef induce strong lagoon currents and localized sea level anomalies that does not necessarily reach the coast. In more sheltered bays, wave breaking at the entrance of the bay acts against outgoing currents. This phenomenon leads to an additional elevation of the mean water level in the bay.</t>
  </si>
  <si>
    <t>10.1029/2020GL087002</t>
  </si>
  <si>
    <t>https://www.scopus.com/inward/record.uri?eid=2-s2.0-85081077329&amp;doi=10.1029%2f2020GL087002&amp;partnerID=40&amp;md5=aa0feb4da706e2ba8bf1727c1b4436b3</t>
  </si>
  <si>
    <t>The Pearl River Delta contains the world's largest urban area in both size and population. It is a low-lying flood-prone coastal environment exposed to sea level rise (SLR) and extreme water levels caused by typhoons. A Finite Volume Community Ocean Model implementation for the South China Sea and the Pearl River Delta is used to understand how future SLR, tides, and typhoon storm surges will interact and affect coastal inundation. The SLR signal and extreme surge levels provide the major contributions to flooding; however, amplification of tides could exceed 0.5 m for 2.1 m SLR and should be considered when planning future coastal defences. On the other hand, if typhoons like Hato or Mangkhut, the latest and strongest ones hitting the area, were to happen in the future, a surge level reduction up to 0.5 m could be expected in coastal areas.</t>
  </si>
  <si>
    <t>10.1016/j.jafrearsci.2019.103726</t>
  </si>
  <si>
    <t>https://www.scopus.com/inward/record.uri?eid=2-s2.0-85075929951&amp;doi=10.1016%2fj.jafrearsci.2019.103726&amp;partnerID=40&amp;md5=1ad26df344b2cb7a4d3e7f722b6cf6c7</t>
  </si>
  <si>
    <t>This study presents a method to map the risk of submersion of the lower Tunisian coasts, by taking as an example the coastal sabkhas system of a part of the bottom of the gulf of Hammamet between the sabkhas of Sidi Khlifa and Halq El Minjel. Total Water Levels (TWLs) were estimated by considering a water level rise for 2100 estimated by IPCC scenarios (2007) and the runup during storms. Similarly, local hydrodynamic parameters such as tidal level, storm surge, wave setup, swash and coastal erosion have been taken into consideration. The mapping approach of potentially submersible areas is based on geographic information system (GIS) modeling. Based on a static method, the approach relies on the crossing of topographic data and extreme water levels in order to assess potentially floodable areas. The mapping application has shown that the areas that are likely to be annexed to the sea are important (17.5 km2). Part of the Halq El Minjel sabkha of 16.1 km2 will be transformed into a permanent lagoon. Thus, coastal wetland ecosystems will be threatened by changes in living conditions since the rather saline biocenosis will be transformed into euryhaline and eurytherm lagoon biocenosis. However, reforestation and conservation of the coastal dune in these low-lying areas could help protect the backshore from expected risk of storm surges. © 2019</t>
  </si>
  <si>
    <t>2-s2.0-85075929951"</t>
  </si>
  <si>
    <t>10.2166/h2oj.2020.024</t>
  </si>
  <si>
    <t>https://www.scopus.com/inward/record.uri?eid=2-s2.0-85102246391&amp;doi=10.2166%2fh2oj.2020.024&amp;partnerID=40&amp;md5=960700196519c4d9b9af99777cb8ffae</t>
  </si>
  <si>
    <t>Escherichia coli and other enteric pathogens’ presence indicate that the water has been contaminated with fecal matter. River deltas are population hotspots which are becoming increasingly urbanized and where poor sanitation has been frequently identified as a pressing issue. In this study, we have investigated the spatial distribution of E. coli in river deltas under varying river discharge, temperature and irradiation at the water surface. A hydrodynamic and water quality model has been used to reproduce an idealized river delta configuration and to investigate the spatial distribution of E. coli across the delta floodplain and channels. The concentration of E. coli rapidly declines downstream, following a tripartite trend with different decline rates on the delta front, pro-delta and shelf area. The highest differences in the spatial distribution of E. coli bacteria occur for low-river discharge values. Temperature and irradiation both influence the concentration of E. coli and mostly influence downstream areas and smaller channels. © 2021 The Authors.</t>
  </si>
  <si>
    <t>2-s2.0-85102246391"</t>
  </si>
  <si>
    <t>10.2112/SI95-210.1</t>
  </si>
  <si>
    <t>https://www.scopus.com/inward/record.uri?eid=2-s2.0-85085503786&amp;doi=10.2112%2fSI95-210.1&amp;partnerID=40&amp;md5=a1b6ed526c61e383fff51bc5099b5d05</t>
  </si>
  <si>
    <t>Climate change modifies climate patterns such as: increase of temperature, change of storms frequency, sea level rise, etc. The change of patterns in seas and oceans has consequences in the development of coastal areas. Forecasts of Sea Level Rise (SLR) are not optimistic in the future, according to the latest reports of prestige international organizations like the Intergovernmental Panel on Climate Change (IPCC). SLR can be assessed as a risk that results from the interaction of hazardous trends with the vulnerability and the exposure of coastal enviroments. This research has created a methodology based on the evaluation of hazard, through the development of two different models. The first one consists of a static model based on the “Bathtub Method”. The second model consists of the application of a validated wave propagation Numerical Model in the area, including metocean aspects. Both models have been applied in the Ría de Vigo, located in the northwest of Spain, specifically in the Galician coast. Evaluation of the SLR hazard in the Ría de Vigo has been determined considering both models previously mentioned, in two different scales, one more global and another more local. The results of both models have been compared, finally exposing their main advantages and disadvantages.</t>
  </si>
  <si>
    <t>10.1016/j.geomorph.2019.106970</t>
  </si>
  <si>
    <t>https://www.scopus.com/inward/record.uri?eid=2-s2.0-85075579594&amp;doi=10.1016%2fj.geomorph.2019.106970&amp;partnerID=40&amp;md5=57b04640c68009d4ab36a25e76b92e20</t>
  </si>
  <si>
    <t>A large number of landslides have occurred in the upstream reaches of the Jinsha River, Tibetan Plateau due to the intensity of tectonic movement in the area. Remote sensing and field investigation indicate that one of them, the Samaoding paleolandslide, previously blocked the river. Various river-blocking phenomena are well preserved, including the old landslide dam and deposits, fluvial sediments, and hydrostatic sandy sediment. To better understand the evolution of the Samaoding landslide, the authors carried out thermoluminescence (TL) dating and numerical simulations. The TL analysis shows that the landslide occurred at 10.6 ± 0.5 Ka BP. Discrete element method (DEM) simulation of the landslide based on landform restoration provided results that are consistent with field observations. The simulation indicates that the entire landslide process lasted for 80 s, and the sliding mass reached a maximum velocity of 64 m/s. The landslide formed a landslide dam with a length of 1900 m, a width of 600 m, and a depth of 200 m. The simulation results show that the level of the riverbed at that the time of the landslide was at least 25 m higher than it is today. On the combined basis of the simulation results and field observations, the authors propose explanation that the following valley evolution sequence occurred after river blocking. The landslide dam experienced flood overtopping and then was eroded until it had mostly had been transported away by river flow, and the river then rapidly incised the bedrock to form the present-day landform. Based on the field investigations, the authors summarize the failure mechanism of steep-inclined antidip rockslides and found that tectonics play an important role in the formation of landslide dams (or trigger of landslides) and the failure of landslide dams in an active tectonic environment of Tibetan Plateau. © 2019 Elsevier B.V.</t>
  </si>
  <si>
    <t>2-s2.0-85075579594"</t>
  </si>
  <si>
    <t>Environmental Sociology</t>
  </si>
  <si>
    <t>10.1080/23251042.2019.1690725</t>
  </si>
  <si>
    <t>https://www.scopus.com/inward/record.uri?eid=2-s2.0-85075159827&amp;doi=10.1080%2f23251042.2019.1690725&amp;partnerID=40&amp;md5=227be4f0e536ff7cd6210fcc9c302efe</t>
  </si>
  <si>
    <t>Increasingly, researchers studying public beliefs about global warming have turned to the question of whether individuals have begun to perceive changes to their local climate conditions and to what extent they attribute these changes to the phenomenon of global warming. Perceptions of particular types of extreme events, i.e. extreme heat and droughts, have attracted the most attention, whereas the possible effects of place (such as proximity to coastal areas vulnerable to sea-level rise) on public beliefs about the link between changes to weather patterns and global warming have been largely neglected. This study matches geo-located responses to a nationally representative survey of US residents with climate extremes data in order to investigate the social and physical factors shaping public views about the links between global warming and extreme weather. Specifically, regional-level Climate Extremes Indices (CEI) are modelled together with individual-level socio-demographic characteristics and an indicator of coastal residence to test whether the incidence of extreme events and proximity to the coasts, net of social and economic factors, correspond to increased perceptions that global warming has affected the weather. Results indicate that coastal shoreline county residence significantly predicts individuals’ beliefs about the extent to which global warming is affecting the weather. © 2019, © 2019 Informa UK Limited, trading as Taylor &amp; Francis Group.</t>
  </si>
  <si>
    <t>2-s2.0-85075159827"</t>
  </si>
  <si>
    <t>10.1177/0975425320906307</t>
  </si>
  <si>
    <t>https://www.scopus.com/inward/record.uri?eid=2-s2.0-85085160949&amp;doi=10.1177%2f0975425320906307&amp;partnerID=40&amp;md5=54e1918c2e4c10b42d4b05b09f334253</t>
  </si>
  <si>
    <t>Rapid urbanisation has always been considered a determinant of the changing urban ecology, which encompasses vegetation, open spaces and vacant land to a compact urban area. Such changes of urban ecology expose coastal cities and make them vulnerable to natural disasters like flash floods and storm surges. This study uses the Compound Annual Growth Rate model and geospatial analysis to assess the changes to the urban ecology along the 43 km long coastline of Muscat, one of the fastest growing highly urbanized coastal capitals of the Arab world. The changes are calculated on 5 m and 10 m datums for three time periods (1990s, 2010s and 2017 onwards). The study finds that since the 2010s both the agricultural and low land have changed to a compact urban built-up area</t>
  </si>
  <si>
    <t>10.2112/SI95-124.1</t>
  </si>
  <si>
    <t>https://www.scopus.com/inward/record.uri?eid=2-s2.0-85085488227&amp;doi=10.2112%2fSI95-124.1&amp;partnerID=40&amp;md5=8840a87f1a6df61a63f81426ad8fbe11</t>
  </si>
  <si>
    <t>Sharaan, M. and Udo, K., 2020. Projections of proper beach nourishment volume as an adaptation to beach recession based SLR along the Nile Delta coastline of Egypt. In: Malvárez, G. and Navas, F. (eds.), Global Coastal Issues of 2020. Journal of Coastal Research, Special Issue No. 95, pp. 637-642. Coconut Creek (Florida), ISSN 0749-0208. Beach loss and shoreline recession-based sea-level rise (SLR) is considered one of the most critical coastal issues worldwide. The Nile Delta coastline of Egypt is categorized as a low-lying and sandy coastal area that is prone to impacts of SLR. Beach nourishment is considered one of the most common adaptation strategies for erosion mitigation. Sandy beaches have a significant role in tourism, recreational purposes, and disaster prevention. The projection of proper beach nourishment volume (fill density) as an adaptation to beach loss-based SLR and land subsidence using the Bruun rule were investigated along the Nile Delta coastline of Egypt. The ensemble-mean regional SLR data included Representative Concentration Pathway (RCP) scenarios. Three main steps were applied to estimate the required proper beach nourishment volume. First, the future beach width due to SLR was estimated, and vulnerable areas to shoreline retreat were identified. Second, the targeted beach width to be protected in terms of coastal conservation, tourism purposes, and maintenance of the present beach was proposed based on Egyptian polices. Third, proper sand beach nourishment volume was estimated for four RCP scenarios, when local land subsidence is considered. The results show that the proper volume of beach nourishment required to maintain the beach width along the whole Nile Delta coastline varies from 24.8×106 to 145.5×106 m in 2100, with respect to RCP2.6 and RCP8.5, respectively. © Coastal Education and Research Foundation, Inc. 2020.</t>
  </si>
  <si>
    <t>2-s2.0-85085488227"</t>
  </si>
  <si>
    <t>10.1016/j.geomorph.2019.106991</t>
  </si>
  <si>
    <t>https://www.scopus.com/inward/record.uri?eid=2-s2.0-85076989322&amp;doi=10.1016%2fj.geomorph.2019.106991&amp;partnerID=40&amp;md5=8cc9aaf1affc83d96aeb605c14021f95</t>
  </si>
  <si>
    <t>This study uses modeling results for coastal Louisiana to examine spatial and temporal variation in future wetland loss, and how this variation is influenced by different causes of land loss represented in the modeled processes. Fifty-year model predictions illustrate specific vulnerabilities of the wetlands and the conditions under which they occur, e.g., long-term changes vs. specific events. Environmental scenarios were used to examine model sensitivity to changes in future patterns of precipitation, evapotranspiration, subsidence, and eustatic sea level rise. Based on the model results, the magnitude of wetland loss increases more than three-fold from low to high scenario. The model allows vegetation types to change over time as environmental conditions change. Each type is sensitive to different land-loss causing factors. Across all scenarios, the largest contributor to wetland loss is inundation loss of saline marsh -&gt;40% of loss. Inundation loss of brackish marsh increases from low to high scenarios. Salinity induced loss of fresh wetlands increases from low to high scenario and coastwide contributes &lt;10% of the total wetland loss. Marsh edge erosion is relatively consistent in magnitude across scenarios but its relative contribution decreases from low to high. Model outputs show two contrasting responses to environmental change over a 50-year simulation: a relatively linear response of land area over time, and a non-linear response where a large collapse event is triggered in a single year. Land loss varied dramatically over time within the 50-year simulations with little loss in the first two decades and high rates of loss 25–40 years into the future. Across most of the coast, and for all scenarios, the majority of land loss is caused by excessive inundation. Understanding the threshold conditions for inundation for different species and species mixtures is crucial to predictions of vegetation change, and subsequent wetland loss. © 2019</t>
  </si>
  <si>
    <t>2-s2.0-85076989322"</t>
  </si>
  <si>
    <t>Cretaceous Research</t>
  </si>
  <si>
    <t>10.1016/j.cretres.2019.104269</t>
  </si>
  <si>
    <t>https://www.scopus.com/inward/record.uri?eid=2-s2.0-85074772245&amp;doi=10.1016%2fj.cretres.2019.104269&amp;partnerID=40&amp;md5=9999c8a3e0f8ec6918dd0bdfa5a31972</t>
  </si>
  <si>
    <t>Gravity flows were commonly developed in subaqueous, steep slopes in lacustrine basins, which show distinct sedimentary records due to different flow behaviors and trigger mechanisms. Outcrops of the Lower Cretaceous deposits on the Lingshan Island are well exposed to illustrate flow transformations between turbidity currents and debris flows in shallow water and basin floor in a lacustrine basin. Outcrop sections were carefully measured to characterize sedimentary records of the gravity flows. Facies associations include laminated mudstone (FA1), deformed silty mudstone (FA2), massive very-fine sandstone with rip-up mud clasts (FA3), graded very-fine sandstone with (partial) Bouma sequences (FA4), massive gravelly sandstone with rip-up mud clasts (FA5), gravelly sandstones with partial Bouma sequences (FA6), and cross-stratified pebbly coarse-grained sandstones (FA7). Trigger mechanisms for the gravity flow include mainly plunging of hyperpycnal river discharges and earthquakes, which both induced failure of delta front/slope and the consequent debris flows/turbidity currents. Flow transformations occurred both at the shallow water and basin floor, which produced distinct sedimentary structures, stacking patterns, and architectural units. The high-density hybrid event beds (HEBs) with both gravels and mud clasts overlaid by sandy turbidites were mainly induced by floodwater from the active river mouths of deltas, generating fast-moving debris flows and deceleration of turbidity currents. Damping of turbidity currents and deceleration of muddy debris flows due to high cohesion induced low-density turbidites were overlaid by HEBs, showing thin-bedded, lateral extended sandy beds on the basin floor. © 2019 Elsevier Ltd</t>
  </si>
  <si>
    <t>2-s2.0-85074772245"</t>
  </si>
  <si>
    <t>10.1007/s00024-019-02384-0</t>
  </si>
  <si>
    <t>https://www.scopus.com/inward/record.uri?eid=2-s2.0-85076856609&amp;doi=10.1007%2fs00024-019-02384-0&amp;partnerID=40&amp;md5=9c3cba43b64a0801b3e9a5a2a506eaa3</t>
  </si>
  <si>
    <t>The east coast of Tasmania is directly exposed to tsunamis originating from the Puysegur subduction zone, off New Zealand’s southwest coast. However, the potential impacts of tsunami inundation for coastal communities and Hobart Airport, and risks to maritime operations in Hobart Port, are poorly understood. The purpose of this project is to simulate a maximum credible earthquake/tsunami/high tide scenario (a Mw 8.7 rupture of the Puysegur subduction zone) across a 17,000 km2 model area and provide outputs that can inform local hazard management plans. Modelling was performed using the ANUGA hydrodynamic library, along with a detailed elevation model constructed from LiDAR, photogrammetric contours and bathymetric datasets. The modelling strategy comprised three primary scenarios: a 13 h simulation of tsunami activity focusing on maritime hazard from waves and currents, with two further 4 h simulations focusing on coastal inundation for 71 coastal communities and Hobart Airport. The models were run on a variable triangulated mesh with a detailed Manning’s n surface roughness model. Tsunami erosion of sand dunes was accounted for through the development of an erosion operator. Results predict severe inundation (&gt; 4 m flow depth) in exposed east-facing areas and the maritime hazard assessment advises that water disturbance would pose a significant threat to marine craft. The assessment suggests that the feasibility of shipping evacuation from Hobart port is questionable, given the timeframes involved and the nature of simulated water disturbance. Modelling results suggest that the dune line in front of Hobart Airport would not be breached in this instance and so inundation would not occur. © 2019, Springer Nature Switzerland AG.</t>
  </si>
  <si>
    <t>2-s2.0-85076856609"</t>
  </si>
  <si>
    <t>10.1080/03736245.2019.1638825</t>
  </si>
  <si>
    <t>https://www.scopus.com/inward/record.uri?eid=2-s2.0-85068542446&amp;doi=10.1080%2f03736245.2019.1638825&amp;partnerID=40&amp;md5=d2007f6899f06892e3b4382ecaae1d59</t>
  </si>
  <si>
    <t>Satellite imagery has been widely used to delineate, map and monitor different wetland types. However, the influence of clouds and spectral confusion between wetlands and other land cover types has a negative effect on classification accuracies across nearly all methods. Most wetlands are topographic lowlands surrounded by uplands, and this study explores the possibilities of delineating wetlands from Digital Elevation Models (DEMs) using the cut-and-fill method. The objectives were: (1) to examine the possible use of the cut-and-fill method, which is commonly used in construction, to delineate different types of large floodplain wetlands, and (2) to compare the accuracy of the cut-and-fill method with wetness indices commonly used for delineating wetlands from satellite images. Comparison between the cut-and-fill method, the Normalised Difference Water Index (NDWI) and the Modified Normalised Water Difference Index (MNDWI) showed that the cut-and-fill method was superior in terms of overall accuracy and kappa statistics while the NDWI was the poorest of the three methods. The study concluded that the cut-and-fill method can be useful in delineating wetland areas, especially for wetlands in confined valley settings and where cloud-free images are not available. © 2019, © 2019 The Society of South African Geographers.</t>
  </si>
  <si>
    <t>2-s2.0-85068542446"</t>
  </si>
  <si>
    <t>10.1016/j.scitotenv.2019.135311</t>
  </si>
  <si>
    <t>https://www.scopus.com/inward/record.uri?eid=2-s2.0-85076581105&amp;doi=10.1016%2fj.scitotenv.2019.135311&amp;partnerID=40&amp;md5=8934a973d4369fa35b9c805a8dbaf895</t>
  </si>
  <si>
    <t>China experiences frequent coastal flooding, with nearly US$ 77 billion of direct economic losses and over 7,000 fatalities reported from 1989 to 2014. Flood damages are likely to grow due to climate change induced sea-level rise and increasing exposure if no further adaptation measures are taken. This paper quantifies potential damage and adaptation costs of coastal flooding in China over the 21st Century, including the effects of sea-level rise. It develops and utilises a new, detailed coastal database of China developed within the Dynamic Interactive Vulnerability Assessment (DIVA) model framework. The refined database provides a more realistic spatial representation of coasts, with more than 2700 coastal segments, covering 28,966 km of coastline. Over 50% of China's coast is artificial, representing defended coast and/or claimed land. Coastal flood damage and adaptation costs for China are assessed for different Representative Concentration Pathway (RCP) and Shared Socio-economic Pathways (SSP) combinations representing climate change and socio-economic change and two adaptation strategies: no upgrade of currently existing defences and maintaining current protection levels. By 2100, 0.7–20.0 million people may be flooded/yr and US$ 67–3,308 billion damages/yr are projected without upgrade to defences. In contrast, maintaining the current protection level would reduce those numbers to 0.2–0.4 million people flooded/yr and US$ 22–60 billion/yr flood costs by 2100, with protection investment costs of US$ 8–17 billion/yr. In 2100, maintaining current protection levels, dikes costs are two orders of magnitude smaller than flood costs across all scenarios, even without accounting for indirect damages. This research improves on earlier national assessments of China by generating a wider range of projections, based on improved datasets. The information delivered in this study will help governments, policy-makers, insurance companies and local communities in China understand risks and design appropriate strategies to adapt to increasing coastal flood risk in an uncertain world. © 2019 Elsevier B.V.</t>
  </si>
  <si>
    <t>2-s2.0-85076581105"</t>
  </si>
  <si>
    <t>10.1016/j.geomorph.2019.106934</t>
  </si>
  <si>
    <t>https://www.scopus.com/inward/record.uri?eid=2-s2.0-85074659035&amp;doi=10.1016%2fj.geomorph.2019.106934&amp;partnerID=40&amp;md5=ebe3cc76c79487bf048ab0bee038b229</t>
  </si>
  <si>
    <t>The Amazon coast is marked by the high discharge of sediments and freshwater, macrotidal influence, a wide continental shelf, extensive flood plains and lowered plateaus which make it unique as a delta and estuary landscape. Further, the tropical climate imposes heavy rains and incessant cloudiness that render microwave systems more suitable for cartography. This study proposed to recognize and map the Amazon coastal environments through the X-band Synthetic Aperture Radar, provided by Cosmo-SkyMed (CSK) and TerraSAR-X (TSX) systems. The SAR datasets consisted of interferometric and stereo pairs, restricted to single-revisit and obtained with small interval (1–11 days), under steeper (θ &lt; 35°) and shallow (θ ≥ 35°) incidence angles, and during the rainy and dry seasons. From the 4 acquisitions of X-band SAR data, attributes such as the backscattering coefficient, coefficient of variation, texture, coherence, and Digital Surface Model (DSM) were derived, adding each variable in 5 scenarios. These combinations resulted in 20 models, which were submitted individually to the machine learning (ML) classification approach by Random Forest (RF). The backscattering and altimetry described the coastal environments which shared ambiguity and high dispersion, with the lowest separability for vegetated environments such as Mangrove, Vegetated Coastal Plateau and Vegetated Fluvial Marine Terrace. The coherence provided by interferometry was weak (&lt;0.44), even during the dry season, in the other hand, the cross-correlation was strong (&gt;0.60), during the rainy and dry season showing more suitability for radargrammetry on the Amazon coast. The RF models resulted in Kappa coefficient between 0.39 to 0.70, indicating that the use of X-band SAR images at an incidence angle greater than 44° and obtained in the dry season is more appropriated for the morphological mapping. The RF models given by TSX achieved the higher mapping accuracies per scenario of SAR products, in order of 0.48 to 0.63. Despite this, the best classification was carried out by 19 RF model with 0.70, provided by CSK in shallow incidence composed by intensity, texture, coherence and stereo DSM. The CSK and TSX data allowed to map the Amazon coast precisely, based on X-band at single polarization, high spatial resolution and revisit, which has demonstrated the support for detailed cartography scale (1:50,000) and frequent updating (monthly up to yearly). © 2019 Elsevier B.V.</t>
  </si>
  <si>
    <t>2-s2.0-85074659035"</t>
  </si>
  <si>
    <t>10.2166/h2oj.2020.021</t>
  </si>
  <si>
    <t>https://www.scopus.com/inward/record.uri?eid=2-s2.0-85102287925&amp;doi=10.2166%2fh2oj.2020.021&amp;partnerID=40&amp;md5=5c342edde3be1ba972439f08231c71e1</t>
  </si>
  <si>
    <t>The modified topographic index (TIm) based on digital elevation models (DEMs) was employed to delineate flood-prone areas in Mahanadi basin, India. TIm and flood inundation maps were compared to obtain the threshold (t) beyond which the area is assumed to be inundated by flood and the exponent of the TIm. Scale dependence was also investigated to evaluate the sensitiveness of spatial resolution of the DEMs. DEMs of five resolutions, namely, ASTER global, SRTM, GMTED2010 (30 arc-seconds), GMTED 2010 (15 arc-seconds), and GMTED 2010 (7.5 arc-seconds), were used and ASTER global was preferred due to its low error compared to the remainder. Flood frequency analysis was conducted to obtain the relationship between flood-prone areas and flood magnitude. It was observed that (i) the exponent in the TIm showed little variation, (ii) t is reduced with reducing spatial resolution of the DEM, and (iii) error is also reduced as the DEMs’ resolution is reduced. © 2020 The Authors.</t>
  </si>
  <si>
    <t>2-s2.0-85102287925"</t>
  </si>
  <si>
    <t>10.3390/rs12050800</t>
  </si>
  <si>
    <t>https://www.scopus.com/inward/record.uri?eid=2-s2.0-85081901117&amp;doi=10.3390%2frs12050800&amp;partnerID=40&amp;md5=d462a4d04fe5a0d296767c0d89a0a9d4</t>
  </si>
  <si>
    <t>Studying the spatial and temporal distribution of surface water resources is critical, especially in highly populated areas and in regions under climate change pressure. There is an increasing number of satellite Earth observations that can provide information to monitor surface water at global scale. However, mapping surface waters at local and regional scales is still a challenge for numerous reasons (insufficient spatial resolution, vegetation or cloud opacity, limited time-frequency or time-record, information content of the instrument, lack in global retrieval method, interpretability of results, etc.). In this paper, we use 17 years of the MODIS (MODerate-resolution Imaging Spectro-radiometer) observations at a 8-day resolution. This satellite dataset is combined with ground expertise to analyse the evolution of surface waters at the Cambodia/Vietnam border in the UpperMekong Delta. The trends and evolution of surface waters are very significant and contrasted, illustrating the impact of agriculture practices and dykes construction. In most of the study area in Cambodia. surface water areas show a decreasing trend but with a strong inter-annual variability. In specific areas, an increase of the wet surfaces is even observed. Ground expertise and historical knowledge of the development of the territory enable to link the decrease to ongoing excavation of drainage canals and the increase of deforestation and land reclamation, exposing flooded surfaces previously hidden by vegetation cover. By contrast, in Vietnam, the decreasing trend in wet surfaces is very clear and can be explained by the development of dykes dating back to the 1990s with an acceleration in the late 2000s as part of a national strategy of agriculture intensification. This study shows that coupling satellite data with ground-expertise allows to monitor surface waters at mesoscale (&lt;100 x 100 km2), demonstrating the potential of interdisciplinary approaches for water ressource management and planning. © 2020 by the authors.</t>
  </si>
  <si>
    <t>2-s2.0-85081901117"</t>
  </si>
  <si>
    <t>10.1073/pnas.1912921117</t>
  </si>
  <si>
    <t>https://www.scopus.com/inward/record.uri?eid=2-s2.0-85078685493&amp;doi=10.1073%2fpnas.1912921117&amp;partnerID=40&amp;md5=1adbf3a0aad37040ab359e1778482cc3</t>
  </si>
  <si>
    <t>Being one of the most vulnerable regions in the world, the Ganges-Brahmaputra-Meghna delta presents a major challenge for climate change adaptation of nearly 200 million inhabitants. It is often considered as a delta mostly exposed to sea-level rise and exacerbated by land subsidence, even if the local vertical land movement rates remain uncertain. Here, we reconstruct the water-level (WL) changes over 1968 to 2012, using an unprecedented set of 101 water-level gauges across the delta. Over the last 45 y, WL in the delta increased slightly faster (∼3 mm/y), than global mean sea level (∼2 mm/y). However, from 2005 onward, we observe an acceleration in the WL rise in the west of the delta. The interannual WL fluctuations are strongly modulated by El Niño Southern Oscillation (ENSO) and Indian Ocean Dipole (IOD) variability, with WL lower than average by 30 to 60 cm during cooccurrent El Niño and positive IOD events and higher-thanaverage WL, by 16 to 35 cm, during La Niña years. Using satellite altimetry and WL reconstructions, we estimate that the maximum expected rates of delta subsidence during 1993 to 2012 range from 1 to 7 mm/y. By 2100, even under a greenhouse gas emission mitigation scenario (Representative Concentration Pathway [RCP] 4.5), the subsidence could double the projected sea-level rise, making it reach 85 to 140 cm across the delta. This study provides a robust regional estimate of contemporary relative WL changes in the delta induced by continental freshwater dynamics, vertical land motion, and sea-level rise, giving a basis for developing climate mitigation strategies. © 2020 National Academy of Sciences. All rights reserved.</t>
  </si>
  <si>
    <t>2-s2.0-85078685493"</t>
  </si>
  <si>
    <t>10.2112/SI95-062.1</t>
  </si>
  <si>
    <t>https://www.scopus.com/inward/record.uri?eid=2-s2.0-85085475889&amp;doi=10.2112%2fSI95-062.1&amp;partnerID=40&amp;md5=61146e79b547d7c2175c50c31c761139</t>
  </si>
  <si>
    <t>In order to accurately calculate the fine seismic wave velocity of the coastal oil field, the forward characteristic evolution model of the fine seismic wave velocity model can be effectively evaluated. Because the structure of coastal oil field is complex and the environment is bad, it is very important to study the parameters of fine seismic wave velocity, but there is no effective and reasonable method. A forward modeling method for fine seismic wave velocity model of coastal oil field based on equivalent seepage resistance method is proposed. The fine seismic wave velocity of coastal oil field and the fine seismic wave velocity of oil field regional evolution time are derived by using non-piston water flooding. By using the method of equivalent seepage resistance and taking non-piston water flooding as the research carrier, the seepage zone in the distribution area
of fine seismic wave in coastal oil field is divided into three seismic wave impact evolution zones. The forward velocity formula and the inversion formula of fine seismic wave velocity are deduced reasonably. In the simulation experiment, the five-point area pattern of multi-branch horizontal wells is simulated and analyzed from two aspects: the penetration of seismic waves and the number of branches. The simulation results show
that the penetration and branch number of seismic waves are linearly correlated, and the number of branches increases with the increase of the penetration of seismic waves. The numerical simulation results show a good low error performance. The forward modeling of seismic wave can improve the calculation precision of fine seismic wave velocity in production well pattern. It has great practical significance to improve the accuracy of reservoir and oil production engineering.</t>
  </si>
  <si>
    <t>10.1111/1755-6724.14403</t>
  </si>
  <si>
    <t>https://www.scopus.com/inward/record.uri?eid=2-s2.0-85083252204&amp;doi=10.1111%2f1755-6724.14403&amp;partnerID=40&amp;md5=0cb725f3689ce2a70ae915f26e93c262</t>
  </si>
  <si>
    <t>Land subsidence severely threatens most of the coastal plains around the world where high productive industrial and agricultural activities and urban centers are concentrated. Coastal subsidence damages infrastructures and exacerbates the effect of the sea-level rise at regional scale. Although it is a well-known process, there is still much more to be improved on the monitoring, mapping and modeling of ground movements, as well as the understanding of controlling mechanisms. The International Geoscience Programme recently approved an international project (IGCP 663) aiming to bring together worldwide researchers to share expertise on subsidence processes typically occurring in coastal areas and cities, including basic research, monitoring and observation, modelling and management. In this paper, we provide the research communities and potential stakeholders with the basic information to join the participating teams in developing this project. Specifically, major advances on coastal subsidence studies and information on well-known and new case studies of land subsidence in China, Italy, The Netherlands, Indonesia, Vietnam and Thailand are highlighted and summarized. Meanwhile, the networking, dissemination, annual meeting and field trip are briefly introduced. © 2020 Geological Society of China</t>
  </si>
  <si>
    <t>2-s2.0-85083252204"</t>
  </si>
  <si>
    <t>10.1080/02626667.2019.1701191</t>
  </si>
  <si>
    <t>https://www.scopus.com/inward/record.uri?eid=2-s2.0-85076758977&amp;doi=10.1080%2f02626667.2019.1701191&amp;partnerID=40&amp;md5=b24a3922cc047a81efd7e07a10f6892b</t>
  </si>
  <si>
    <t>A Mixed-Integer Nonlinear Programming (MINLP) model is formulated and solved in this study to optimize environmental sustainability of flood control, drainage, and irrigation (FCDI) projects in the deltaic regions of Bangladesh. The model optimizes the value of integrated resource benefit, a dimensionless variable defined to measure the environmental sustainability based on the water, agricultural and ecological resources, with a set of project interventions being the major drivers. The resource benefits were evaluated with the help of several indicators, such as flood, navigability, salinity, waterlogging, cropping intensity, land loss and vegetation. The solution of MINLP model provided optimal values of the decision variables, which are the quantities of project interventions (e.g. length and height of dike, number of sluices and drainage inlets, lengths of drainage canals, erosion protection and afforestation works). The approach and the MINLP formulation presented in this study can be used for any real-life FCDI project improvements. © 2019, © 2019 IAHS.</t>
  </si>
  <si>
    <t>2-s2.0-85076758977"</t>
  </si>
  <si>
    <t>10.5194/hess-24-189-2020</t>
  </si>
  <si>
    <t>https://www.scopus.com/inward/record.uri?eid=2-s2.0-85078358094&amp;doi=10.5194%2fhess-24-189-2020&amp;partnerID=40&amp;md5=c67778d424b01ebea308add66b06409d</t>
  </si>
  <si>
    <t>Building high dykes is a common measure of coping with floods and plays an important role in agricultural management in the Vietnamese Mekong Delta. However, the construction of high dykes causes considerable changes in hydrodynamics of the Mekong River. This paper aims to assess the impact of the high-dyke system on water level fluctuations and tidal propagation in the Mekong River branches. We developed a coupled 1-D to 2-D unstructured grid using Delft3D Flexible Mesh software. The model domain covered the Mekong Delta extending to the East (South China Sea) and West (Gulf of Thailand) seas, while the scenarios included the presence of high dykes in the Long Xuyen Quadrangle (LXQ), the Plain of Reeds (PoR) and the Trans-Bassac regions. The model was calibrated for the year 2000 high-flow season. Results show that the inclusion of high dykes changes the percentages of seaward outflow through the different Mekong branches and slightly redistributes flow over the low-flow and high-flow seasons. The LXQ and PoR high dykes result in an increase in the daily mean water levels and a decrease in the tidal amplitudes in their adjacent river branches. Moreover, the different high-dyke systems not only have an influence on the hydrodynamics in their own branch, but also influence other branches due to the Vam Nao connecting channel. These conclusions also hold for the extreme flood scenarios of 1981 and 1991 that had larger peak flows but smaller flood volumes. Peak flood water levels in the Mekong Delta in 1981 and 1991 are comparable to the 2000 flood as peak floods decrease and elongate due to upstream flooding in Cambodia. Future studies will focus on sediment pathways and distribution as well as climate change impact assessment. © Author(s) 2020. This work is distributed under the Creative Commons Attribution 4.0 License.</t>
  </si>
  <si>
    <t>2-s2.0-85078358094"</t>
  </si>
  <si>
    <t>10.2112/SI95-156.1</t>
  </si>
  <si>
    <t>https://www.scopus.com/inward/record.uri?eid=2-s2.0-85085511180&amp;doi=10.2112%2fSI95-156.1&amp;partnerID=40&amp;md5=6dbd50c7d52b4977d98da0b5fa01f244</t>
  </si>
  <si>
    <t>Gerrity, B.F. and Philips, M.R., 2020. Vulnerability and Resilience in San Mateo County: Identifying social, economic and physical discrepancies in stakeholder perception of risk. In: Malvárez, G. and Navas, F. (eds.), Global Coastal Issues of 2020. Journal of Coastal Research, Special Issue No. 95, pp. 803-807. Coconut Creek (Florida), ISSN 0749-0208. Coastal communities and the coastal zone are under increasing threat from both climate change and anthropogenic development. As the climate changes, sea level is expected to rise causing instances of flooding as well as increased storm intensity triggering increased coastal erosion and coastal flooding along vulnerable shorelines. San Mateo County, the basis of this research is one of the most vulnerable areas in the United States for coastal flooding, erosion and climate change. San Mateo County's geography is unique in the sense that the County is set on a narrow peninsula surrounded by the San Francisco Bay on the East and the Pacific Ocean on the West. The population is concentrated primarily on the bay side whereas the population is considerably less dense on the coast side adjacent to the Pacific Ocean. Research was conducted in order to measure stakeholder perception of risk and to uncover discrepancies between risk identified by a coastal vulnerability index (CVI) and risk as perceived by social, economic and environmental stakeholders. Measuring perception of risks and identifying discrepancies is exceptionally important to learn as the County grapples with where to invest resources to build resilience to sea level rise, flooding and erosion. © Coastal Education and Research Foundation, Inc. 2020.</t>
  </si>
  <si>
    <t>2-s2.0-85085511180"</t>
  </si>
  <si>
    <t>10.2112/SI95-301.1</t>
  </si>
  <si>
    <t>https://www.scopus.com/inward/record.uri?eid=2-s2.0-85085477103&amp;doi=10.2112%2fSI95-301.1&amp;partnerID=40&amp;md5=1900a4306b9004c4713aa5560348a46e</t>
  </si>
  <si>
    <t>Yangtze River delta is one of the most economically developed and densely populated regions of China, and it is often affected by the storm surge and large waves induced by Typhoons. The terrain in Yangtze Estuary is complex with four branches entering the ocean and many underwater ridges, making the tide-wave interaction complicated. A well understanding of the tide-wave interaction during typhoon processes is important for the disaster prevention and mitigation. In this study, a coupled storm surge and typhoon wave model was setup based on ADCIRC and SWAN model. The computation domain extends from Datong station to the sea outside Yangtze Estuary. The model was verified by simulating the storm surge process during 7 Typhoon processes. After model verification, storm surge and typhoon wave processes during typical typhoon processes that affects Yangtze Estuary were simulated with the model. The characteristic of tide-wave interaction during the typical typhoon processes were analyzed by comparison between the simulated results obtained from the coupled model and uncoupled models. The effects of the terrain on the tide-wave interaction were discussed. A general portray of the tide-wave interaction in Yangtze Estuary during typhoon processes was given.</t>
  </si>
  <si>
    <t>10.1002/dep2.92</t>
  </si>
  <si>
    <t>https://www.scopus.com/inward/record.uri?eid=2-s2.0-85073568692&amp;doi=10.1002%2fdep2.92&amp;partnerID=40&amp;md5=6287995988d1556ed4d9ab6912435030</t>
  </si>
  <si>
    <t>This study is a reconstruction of the Coniacian palaeogeographic and palaeoenvironmental development in the North Sudetic Basin, a synclinal trough within the Late Cretaceous Central European seaway linking the Boreal and Tethyan marine provinces. The basin formed as an early side effect of the Alpine orogeny combined with the mid-Cretaceous eustasy, and crucial stages of its evolution occurred during the Coniacian. The basin in the early Coniacian was a long and narrow shallow-marine embayment with a hypothetical (non-preserved) bayhead strait funnelling tidal currents. Coalescing tidal sand ridges formed a littoral platform that prograded from the bayhead zone along the basin axis, impinged on laterally by the basin-margin shoreface and local river deltas. A mid-Coniacian forced marine regression and closure of the bayhead strait, attributed to the Alpine tectonism combined with eustasy, brought about a dramatic change in the basin, whereby the basin-wide littoral sand platform emerged and turned briefly into a denudated coastal plain. The late Coniacian eustatic marine transgression formed an in-place growing coastal sand barrier at the outer edge of the former littoral platform, sheltering a paralic limno-lagoonal plain with peat-forming mires. The coastal barrier was eventually drowned by the sea and maximum marine flooding occurred, followed by a normal regression recorded as a rapidly upwards-shallowing succession of offshore-transition to fluvio-deltaic deposits. This case study of the sedimentation pattern in an evolving, tectonically controlled marine embayment contributes to the existing facies models for estuarine embayments formed by a passive marine drowning of large fluvial or glacial valleys. © 2019 The Authors. The Depositional Record published by John Wiley &amp; Sons Ltd on behalf of International Association of Sedimentologists.</t>
  </si>
  <si>
    <t>2-s2.0-85073568692"</t>
  </si>
  <si>
    <t>10.1007/s11069-020-03868-2</t>
  </si>
  <si>
    <t>https://www.scopus.com/inward/record.uri?eid=2-s2.0-85079443737&amp;doi=10.1007%2fs11069-020-03868-2&amp;partnerID=40&amp;md5=7d6bb6f2b3fc0a68f02c4c7f00efd71e</t>
  </si>
  <si>
    <t>Communities everywhere are being subjected to a variety of natural hazard events that can result in significant disruption to critical functions. As a result, community resilience assessment in these locations is gaining popularity as a means to help better prepare for, respond to, and recover from potentially disruptive events. The objective of this study was to identify key vulnerabilities relevant to addressing rural community resilience through conducting an initial flood impact analysis, with a specific focus on emergency response and transportation network accessibility. It included a use case involving the flooding of a rural community along the US inland waterway system. Special consideration was given to impacts experienced by at-risk populations (e.g., low economic status, youth, and elderly), given their unique vulnerabilities. An important backdrop to this work is recognition that Federal Emergency Management Agency’s Hazus, a free, publicly available tool, is commonly recommended by the agency for counties, particularly those with limited resources (i.e., rural areas), to use in developing their hazard mitigation plans. The case study results, however, demonstrate that Hazus, as currently utilized, has some serious deficiencies in that it: (1) likely underestimates the flood extent boundaries for study regions in a Level 1 analysis (which solely relies upon filling digital elevation models with precipitation), (2) may be incorrectly predicting the number and location of damaged buildings due to its reliance on out-of-date census data and the assumption that buildings are evenly distributed within a census block, and (3) is incomplete in its reporting of the accessibility of socially vulnerable populations and response capabilities of essential facilities. Therefore, if counties base their flood emergency response plans solely on Hazus results, they are likely to be underprepared for future flood events of significant magnitude. An approach in which Hazus results can be augmented with additional data and analyses is proposed to provide a more risk-informed assessment of community-level flood resilience. © 2020, Springer Nature B.V.</t>
  </si>
  <si>
    <t>2-s2.0-85079443737"</t>
  </si>
  <si>
    <t>10.2112/JCR-SI111-007.1</t>
  </si>
  <si>
    <t>https://www.scopus.com/inward/record.uri?eid=2-s2.0-85098470464&amp;doi=10.2112%2fJCR-SI111-007.1&amp;partnerID=40&amp;md5=917db31919a85114408be230a16196ee</t>
  </si>
  <si>
    <t>Salinity is one of the most important factors affecting the survival and distribution of estuarine organisms. The construction of an estuarine gate will change the salinity of seawater and produces a direct impact on marine ecosystems. The variation of salinity and its influence on aquaculture organisms in the Yueqing Bay were revealed by on-site monitoring and comparative analysis during the flood water discharge period of the Jiangxia Drainage Project. The results showed that salinity declined rapidly after the sluice was opened, and the decreasing amplitude and duration were related to the intensity and lasting time of water drainage, as well as the distance to the gate. The seawater salinity could fall to 4‰ in an area where it is close to the gate. During neap tide, salinity's change along the waterway is greater and recovery time is longer than spring tide. Most of aquaculture organisms have limited tolerance to low salinity and its rapid variation. The decrease extent of seawater salinity often exceeds 10‰ during the drainage period, which is unbearable to Sinonovacula constricta and Scylla serrata, etc. Therefore, the construction of estuary sluice and water drainage will affect the growth and survival of marine life.  © 2020 Coastal Education Research Foundation Inc.. All rights reserved.</t>
  </si>
  <si>
    <t>2-s2.0-85098470464"</t>
  </si>
  <si>
    <t>10.15625/0866-7187/42/2/15005</t>
  </si>
  <si>
    <t>https://www.scopus.com/inward/record.uri?eid=2-s2.0-85102580701&amp;doi=10.15625%2f0866-7187%2f42%2f2%2f15005&amp;partnerID=40&amp;md5=d97c8a25546333ff478ab6ac3a3d2bfb</t>
  </si>
  <si>
    <t>In recent years, accretion-erosion processes are frequently recorded in the estuary of Cua Dai, Quang Nam province. Most recently, however, sand bars are formed in the estuary not far from the place where the Inland Waterways Authority of Vietnam had previously dredged. The estuary continues to be accreted by sand. These have been drawing special attention of national and international scientists. While there is accretion at the estuary, eroded processes are strongly recorded along the coastlines of Quang Nam province. Therefore, it is necessary to carry out a study in the effects of the hydrodynamic regime on morphological changes in the Cua Dai estuary and coastlines of Quang Nam province. The goal of this paper is to fully interpret the causes, regimes of accretion and erosion processes over the study area. In this study, satellite images and hydrodynamic models of Delft3D and MIKE 11 are applied. The results show a strong accretion process in the estuary of Cua Dai. Sandbar formation across the Cua Dai estuary comes from the interaction of flood, wave, and current conditions during the northeast monsoon. This mainly affects the changes in morphology in the estuary of Cua Dai, Quang Nam. © 2020 Vietnam Academy of Science and Technology.</t>
  </si>
  <si>
    <t>2-s2.0-85102580701"</t>
  </si>
  <si>
    <t>10.2112/SI95-028.1</t>
  </si>
  <si>
    <t>https://www.scopus.com/inward/record.uri?eid=2-s2.0-85085504812&amp;doi=10.2112%2fSI95-028.1&amp;partnerID=40&amp;md5=0d4e0c6a9594da953c6b37c1978f4743</t>
  </si>
  <si>
    <t>We collected measurements of wave-driven swash on a beach characterized by the presence and accumulation of seagrass beach-cast litter (the so-called banquette). Beach surveys showed that this deposit can drastically steepen the foreshore thus affecting wave dynamics. This work explores the relationship between vertical and horizontal swash time series, in a previously unreported case of seagrass wrack deposits under mild to moderate incoming waves. The results from the field measurements, obtained by video imagery time stack analysis, show that the seagrass deposits influence wave runup. The horizontal runup extent can be reduced when compared with a nearby “seagrassfree” profile under the same incoming waves. The horizontal runup in case of seagrass presence seems to be approximately one-third of the seagrass absence case. The ratio between observed vertical and horizontal swash, when seagrass deposits are present, is almost 3.5 times the seagrassfree case. The SWASH model was used to extend the analysis beyond our field observations. A number of possible wave forcing scenarios were run on both the seagrass-rich and the seagrass-free profiles. Differences between the cases of seagrass presence and absence show that the horizontal wave runup in case of seagrass deposition can be largely reduced. Using observations and modelling, we show that the seagrass deposits on the beach face and berm inhibit the horizontal runup and so affect one of the key components necessary to predict coastal inundation and to manage coastal areas especially considering ongoing changes in the mean sea level.</t>
  </si>
  <si>
    <t>10.1007/s10661-020-8136-2</t>
  </si>
  <si>
    <t>https://www.scopus.com/inward/record.uri?eid=2-s2.0-85079220997&amp;doi=10.1007%2fs10661-020-8136-2&amp;partnerID=40&amp;md5=caec97520ae19427afdb6815649ee065</t>
  </si>
  <si>
    <t>Multi-date remotely sensed images comprising Landsat TM images of 1984, 1993 and 2003 and, Landsat OLI images of 2013 were used to reconstruct long-term changes in land cover in the Swartkops River Estuary by mapping changes in vegetation distribution over a period of ~ 30 years between 1984 and 2013. These images were complemented by high-resolution near-anniversary aerial photographs that were used as ancillary sources of ground truth during supervised classification of the Landsat images. Results of our investigation point to human-induced loss of biodiversity due to persistent encroachment of different development activities on terrestrial vegetation, substantial expansion of the salt marsh due to climate change–driven relative sea level rise and persistent increase in keystone salt marsh vegetation species notably Zostera capensis and Spartina maritima due to the combined influence of human-induced nutrient loading into estuarine water and relative sea level rise. These observations argue for the immediate need to embrace appropriately informed management interventions in order to enhance the sustainability of salt marsh ecosystems for the benefit of present and future generations. © 2020, Springer Nature Switzerland AG.</t>
  </si>
  <si>
    <t>2-s2.0-85079220997"</t>
  </si>
  <si>
    <t>Climate of the Past</t>
  </si>
  <si>
    <t>10.5194/cp-16-51-2020</t>
  </si>
  <si>
    <t>https://www.scopus.com/inward/record.uri?eid=2-s2.0-85078299225&amp;doi=10.5194%2fcp-16-51-2020&amp;partnerID=40&amp;md5=b039b2f15db68fe1233a088393bf1c13</t>
  </si>
  <si>
    <t>A typhoon struck the Pearl River Estuary in September 1874 (""Typhoon 1874""), causing extensive damage and claiming thousands of lives in the region during its passage. Like many other historical typhoons, the deadliest impact of the typhoon was its associated storm surge. In this paper, a possible track of the typhoon was reconstructed through an analysis of the historical qualitative and quantitative weather observations in the Philippines, The northern part of the South China Sea, Hong Kong, Macao, and Guangdong recorded in various historical documents. The magnitudes of the associated storm surges and storm tides in Hong Kong and Macao were also quantitatively estimated using storm surge model and analogue astronomical tides based on the reconstructed track. The results indicated that the typhoon could have crossed the Luzon Strait from the western North Pacific and moved across the northeastern part of the South China Sea to strike the Pearl River Estuary more or less as a super typhoon in the early morning on 23 September 1874. The typhoon passed about 60km south-southwest of Hong Kong and made landfall in Macao, bringing maximum storm tides of around 4.9m above the Hong Kong Chart Datum (http://www.geodetic.gov.hk/smo/gsi/Data/pdf/explanatorynotes.pdf, last access: 3 January 2020) at the Victoria Harbour in Hong Kong and around 5.4m above the Macao Chart Datum (https://mosref.dscc.gov.mo/Help/ref/Macaucoord_2009_web_EN_v201702.pdf, last access: 3 January 2020) at Porto Interior (inner harbour) in Macao. Both the maximum storm tide (4.88m above the Hong Kong Chart Datum) and maximum storm surge (2.83m) brought by Typhoon 1874 at the Victoria Harbour estimated in this study are higher than all the existing records since the establishment of the Hong Kong Observatory in 1883, including the recent records set by super typhoon Mangkhut on 16 September 2018. © 2020 Author(s).</t>
  </si>
  <si>
    <t>2-s2.0-85078299225"</t>
  </si>
  <si>
    <t>10.1016/j.geomorph.2019.106957</t>
  </si>
  <si>
    <t>https://www.scopus.com/inward/record.uri?eid=2-s2.0-85075453768&amp;doi=10.1016%2fj.geomorph.2019.106957&amp;partnerID=40&amp;md5=12d0ae6f58d255061e64260b70096198</t>
  </si>
  <si>
    <t>This study analysed the actively surging Shisper Glacier in the Karakoram region of Pakistan using earth observation data from Landsat 8 OLI and Planet images. Changes in the surface glacier velocity, supraglacial moraines and debris cover were assessed using Landsat 8 data at monthly time-steps from January 2018 to May 2019. High resolution data from Planet Labs was used to precisely detect the snout advance and ice-dammed lake expansion. Downstream cross-section profiles of the valley were generated using a moderate resolution digital elevation model to assess the inundation in the event of rapid ice-dammed lake drainage. Correlation Image Analysis Software working on the principle of normalized cross-correlation was used to generate time series monthly surface velocity profiles for Shisper Glacier. Manual digitization at 1:30000 scale was used to delineate supraglacial moraines and supraglacial debris cover. The glacier surface velocity profiles indicate that the ablation zone of the glacier continues to be in an active surge phase resulting in advance of the snout and expansion of the ice-dammed lake. Surface glacier velocities are as high as 48 m d−1. Between 18 December 2018 and 8 May 2019, the glacier snout advanced at ~6 m d−1 with a total overall advance of 860 m. The lake formed due to damming of an outflow stream from Mochowar Glacier expanded to its maximum area (29.69 ha) in May 2019 before drainage started on 23 June 2019. Our estimates indicate that the peak discharge in case of rapid drainage could vary between 5033 m3 s−1 and 6167 m3 s−1 and potentially affect infrastructure downstream. © 2019</t>
  </si>
  <si>
    <t>2-s2.0-85075453768"</t>
  </si>
  <si>
    <t>China Economic Review</t>
  </si>
  <si>
    <t>10.1016/j.chieco.2019.101382</t>
  </si>
  <si>
    <t>https://www.scopus.com/inward/record.uri?eid=2-s2.0-85075272901&amp;doi=10.1016%2fj.chieco.2019.101382&amp;partnerID=40&amp;md5=e3a5f173db0e802ae998d53532ee1030</t>
  </si>
  <si>
    <t>Following the reform and opening up of China, the Pearl River Delta (PRD) region became a center of foreign investment due to its comparative advantages of cheap labor costs and low land use prices. The tide of migrant workers, comprising a large surplus rural labor force that flooded into the PRD region, caused a rapid increase in the urban population. From the 1980s to the 2000s, migrant workers were a key force that drove urbanization in China. The utilization of automation technology in production since the 2010s has increased the number of unemployed laborers and shifted the dynamics of urbanization. This study investigated how automation is applied in production processes and its effects on different industries, namely, those related to textiles, electronic information, and home electrical appliance manufacturing</t>
  </si>
  <si>
    <t>International Journal of Tourism Research</t>
  </si>
  <si>
    <t>10.1002/jtr.2332</t>
  </si>
  <si>
    <t>https://www.scopus.com/inward/record.uri?eid=2-s2.0-85074597116&amp;doi=10.1002%2fjtr.2332&amp;partnerID=40&amp;md5=a3f3193e341354bb795dbda30b20c5cd</t>
  </si>
  <si>
    <t>Climate change makes the tourism industry vulnerable, as many of its resources will be heavily impacted by its effects. Coastal destinations are likely to be the most affected by rising sea levels and extreme weather events, calling for a sociospatial analysis of the dynamics of peripheral coastal tourism communities. Using a production of space framework, we describe how tourism space is produced and (re)produced in two Canadian communities located along the St. Lawrence River estuary: Tadoussac and Notre-Dame-du-Portage. A case study methodology including observation, semistructured interviews, and discourses analysis is applied to deconstruct the sociospatial process of climate change adaptation. The main findings stress the importance of discourse and land tenure strategies used by different stakeholders. Managers of publicly owned land tend to make environmental strategies (green infrastructure) central to their adaptation strategies, whereas private land owners tend to use man-made interventions (grey infrastructure) and closing space strategies to protect and enhance their land values in response to the increasing threat and evidence of climate change impacts. The results call for further research that takes the social processes of value creation embedded in land tenure and land markets into account. © 2019 John Wiley &amp; Sons, Ltd.</t>
  </si>
  <si>
    <t>2-s2.0-85074597116"</t>
  </si>
  <si>
    <t>10.1016/j.scitotenv.2019.134927</t>
  </si>
  <si>
    <t>https://www.scopus.com/inward/record.uri?eid=2-s2.0-85075884172&amp;doi=10.1016%2fj.scitotenv.2019.134927&amp;partnerID=40&amp;md5=448ef5748e75655d731beeb100259189</t>
  </si>
  <si>
    <t>Identifying the source of methane (CH4) in groundwater is often complicated due to various production, degradation and migration pathways, particularly in settings where there are multiple groundwater recharge pathways. This study demonstrates the ability to constrain the origin of CH4 within an alluvial aquifer that could be sourced from in situ microbiological production or underlying formations at depth. To characterise the hydrochemical and microbiological processes active within the alluvium, previously reported hydrochemical data (major ion chemistry and isotopic tracers (3H, 14C, 36Cl)) were interpreted in the context of CH4 and carbon dioxide (CO2) isotopic chemistry, and the microbial community composition in the groundwater. The rate of observed oxidation of CH4 within the aquifer was then characterised using a Rayleigh fractionation model. The stratification of the hydrochemical facies and microbiological community populations is interpreted to be a result of the gradational mixing of water from river leakage and floodwater recharge with water from basal artesian inflow. Within the aquifer there is a low abundance of methanogenic archaea indicating that there is limited biological potential for microbial CH4 production. Our results show that the resulting interconnection between hydrochemistry and microbial community composition affects the occurrence and oxidation of CH4 within the alluvial aquifer, constraining the source of CH4 in the groundwater to the geological formations beneath the alluvium. © 2019 The Author(s)</t>
  </si>
  <si>
    <t>2-s2.0-85075884172"</t>
  </si>
  <si>
    <t>10.4314/wiojms.v19i1.1</t>
  </si>
  <si>
    <t>https://www.scopus.com/inward/record.uri?eid=2-s2.0-85136483980&amp;doi=10.4314%2fwiojms.v19i1.1&amp;partnerID=40&amp;md5=d917d104eb5f4db5f23067ff2d220eae</t>
  </si>
  <si>
    <t>This study aims at documenting the value chain derived from mangrove forests in selected sites in central Mozambique (Zambezi Delta, Nhangau and Chiveve River), through the identification of the services delivered by mangrove forests and assessment of stakeholder’s engagement within the value chain. Furthermore, this work evaluates the income pathways as well as the current and potential benefits of different stakeholders and the socio-economic sustainability of mangroves in the three regions. Zambezi Delta is one of largest mangrove swamps in Africa and Chiveve is located in Beira City, impacted by Cyclone Idai in 2019. The main benefits obtained by the communities both in the Zambezi Delta and Nhangau were derived from commercially important wood extraction and honey production for domestic use. Within the Zambezi Delta, profit for small mangrove poles accrued at the wholesale level (82.6%), while that for large poles accrued to harvesters (125.0%), after a small initial direct investment. At Nhangau, small poles fetched profits of 17%, medium poles 11.5%, and large poles 24%</t>
  </si>
  <si>
    <t>10.2112/SI95-252.1</t>
  </si>
  <si>
    <t>https://www.scopus.com/inward/record.uri?eid=2-s2.0-85085478389&amp;doi=10.2112%2fSI95-252.1&amp;partnerID=40&amp;md5=a32bcfd7c52128f5cd5acddcc0b9e195</t>
  </si>
  <si>
    <t>Takeda, Y. and Udo, K., 2020. Effect of spatial resolution on nationwide projection of future beach loss rate in Japan. In: Malvárez, G. and Navas, F. (eds.), Global Coastal Issues of 2020. Journal of Coastal Research, Special Issue No. 95, pp. 1310-1314. Coconut Creek (Florida), ISSN 0749-0208 The amount of sea-level rise (SLR) changing along with climate change greatly affects beaches. Projecting nationwide future beach loss requires datasets having sufficient spatial resolutions</t>
  </si>
  <si>
    <t>Computational Geosciences</t>
  </si>
  <si>
    <t>10.1007/s10596-019-09907-7</t>
  </si>
  <si>
    <t>https://www.scopus.com/inward/record.uri?eid=2-s2.0-85077092088&amp;doi=10.1007%2fs10596-019-09907-7&amp;partnerID=40&amp;md5=d254236611ce882e6817810382bbf8f9</t>
  </si>
  <si>
    <t>High tide, combined with high meteorological surge levels and discharges in the Garonne and Dordogne rivers in the Gironde estuary (South-West France), may lead to high water levels and flooding near the Blayais Nuclear Power Plant and the city of Bordeaux, with significant economic and social impacts. A global sensitivity analysis (GSA) was performed with a Telemac2D numerical model currently used for operational water level forecasts. The major sources of uncertainties were identified by computing the Sobol’ indices for uncertain inputs with an analysis of variance (ANOVA) approach for a 7-day storm event in 2003. The generation of the GSA ensemble of simulations consists of sampling scalar and field random variables: constant and uniform friction coefficients, as well as time-varying hydrological and maritime forcings. The temporal perturbation of time-dependent upstream hydrological and downstream maritime forcings is assumed to be represented by a Gaussian process characterized by a correlation time scale calculated from observations. A Karhunen-Loève decomposition was then applied to retain a limited number of eigenmodes. The GSA is performed for 20 random variables using GENCI HPC computational resources for task parallelism and domain decomposition. This requires the use of 250,000 runs for an elapsed simulation time of 101 days on 32,768 cores. The performance of the ensemble was assessed with a rank diagram and a reliability curve in comparison with a set of measured water levels at 12 observing stations along the estuary. It was shown that, for this event, the maritime boundary conditions and the Strickler coefficients have a predominant role along the length of the estuary with an influence driven by the tidal cycle. In the upstream fluvial areas, the friction coefficient and hydrological inputs are predominant. © 2019, Springer Nature Switzerland AG.</t>
  </si>
  <si>
    <t>2-s2.0-85077092088"</t>
  </si>
  <si>
    <t>10.1007/s10666-019-09664-y</t>
  </si>
  <si>
    <t>https://www.scopus.com/inward/record.uri?eid=2-s2.0-85064345080&amp;doi=10.1007%2fs10666-019-09664-y&amp;partnerID=40&amp;md5=5e10da6755ace9e5bb0d67af5e3191a5</t>
  </si>
  <si>
    <t>Flood hazard is assessed for the data scarce lower Bharathapuzha basin in Kerala, India, using a hydrologic-hydraulic approach. L-moment-based regional flood frequency analysis along with a non-dimensional analysis of hydrographs is used to generate scenarios for flood hazard assessment. A fully hydrodynamic 1D river flow model is calibrated for the rivers of lower Bharathapuzha basin for the year 1992 and validated for the year 1994. The widely available SRTM DEM is used to extract river cross-sections and the limited available discharge and water level data are used to carefully calibrate the 1D river flow model. Subsequently, a coupled 1D-2D flood inundation model is used to simulate the flood inundation extent for the year 2002. In the absence of LIDAR data, a cartographic DEM derived from readily available topo maps is used as an input in the coupled 1D-2D model. Further, in the absence of microwave Synthetic Aperture Radar (SAR) data, the flood inundation extent is validated using the readily available optical IRS-1D WiFS sensor data which is mainly intended for vegetation and drought monitoring. A suitable methodology is used to delineate flood inundation extent from the partial cloud-covered WiFS image. The regional flood frequency estimates and the calibrated and validated flood inundation model are then used to assess the flood hazard. © 2019, Springer Nature Switzerland AG.</t>
  </si>
  <si>
    <t>2-s2.0-85064345080"</t>
  </si>
  <si>
    <t>10.5194/os-16-31-2020</t>
  </si>
  <si>
    <t>https://www.scopus.com/inward/record.uri?eid=2-s2.0-85078949258&amp;doi=10.5194%2fos-16-31-2020&amp;partnerID=40&amp;md5=ce8698261de84c997dc0a73748c45078</t>
  </si>
  <si>
    <t>Due to climate change an accelerated mean sea level rise is expected. One key question for the development of adaptation measures is how mean sea level rise affects tidal dynamics in shelf seas such as the North Sea. Owing to its low-lying coastal areas, the German Bight (located in the southeast of the North Sea) will be especially affected. Numerical hydrodynamic models help to understand how mean sea level rise changes tidal dynamics. Models cannot adequately represent all processes in overall detail. One limiting factor is the resolution of the model grid. In this study we investigate which role the representation of the coastal bathymetry plays when analysing the response of tidal dynamics to mean sea level rise. Using a shelf model including the whole North Sea and a high-resolution hydrodynamic model of the German Bight we investigate the changes in M2 amplitude due to a mean sea level rise of 0.8 and 10 m. The shelf model and the German Bight Model react in different ways. In the simulations with a mean sea level rise of 0.8 m the M2 amplitude in the shelf model generally increases in the region of the German Bight. In contrast, the M2 amplitude in the German Bight Model increases only in some coastal areas and decreases in the northern part of the German Bight. In the simulations with a mean sea level rise of 10 m the M2 amplitude increases in both models with largely similar spatial patterns. In two case studies we adjust the German Bight Model in order to more closely resemble the shelf model. We find that a different resolution of the bathymetry results in different energy dissipation changes in response to mean sea level rise. Our results show that the resolution of the bathymetry especially in flat intertidal areas plays a crucial role for modelling the impact of mean sea level rise. © Author(s) 2020.</t>
  </si>
  <si>
    <t>2-s2.0-85078949258"</t>
  </si>
  <si>
    <t>10.3389/feart.2020.00035</t>
  </si>
  <si>
    <t>https://www.scopus.com/inward/record.uri?eid=2-s2.0-85081671461&amp;doi=10.3389%2ffeart.2020.00035&amp;partnerID=40&amp;md5=6ac0d31056f626d16e0842ac2029008e</t>
  </si>
  <si>
    <t>Greenlandic glaciers distinct from the ice sheet make up 12% of the global glacierized area and store about 10% of the global glacier ice volume (Farinotti et al., 2019). However, knowledge about recent climate change-induced volume changes of these 19,000 individual glaciers is limited. The small number of available glaciological and geodetic mass-balance observations have a limited spatial coverage, and the representativeness of these measurements for the region is largely unknown, factors which make a regional assessment of mass balance challenging. Here we use two recently released digital elevation models (DEMs) to assess glacier-wide elevation changes of 1,526 glaciers covering 3,785 km2 in west-central Greenland: The historical AeroDEM representing the surface in 1985 and a TanDEM-X composite representing 2010–2014. The results show that on average glacier surfaces lowered by about 14.0 ± 4.6 m from 1985 until 2012 or 0.5 ± 0.2 m yr−1, which is equivalent to a sample mass loss of ~45.1 ± 14.9 Gt in total or 1.7 ± 0.6 Gt yr−1. Challenges arise from the nature of the DEMs, such as large areas of data voids, fuzzy acquisition dates, and potential radar penetration. We compared several different interpolation methods to assess the best method to fill data voids and constrain unknown survey dates and the associated uncertainties with each method. The potential radar penetration is considered negligible for this assessment in view of the overall glacier changes, the length of the observation period, and the overall uncertainties. A comparison with earlier studies indicates that for glacier change assessments based on ICESat, data selection and averaging methodology strongly influences the results from these spatially limited measurements. This study promotes improved assessments of the contribution of glaciers to sea-level rise and encourages to extend geodetic glacier mass balances to all glaciers on Greenland. © Copyright © 2020 Huber, McNabb and Zemp.</t>
  </si>
  <si>
    <t>2-s2.0-85081671461"</t>
  </si>
  <si>
    <t>10.2112/SI95-234.1</t>
  </si>
  <si>
    <t>https://www.scopus.com/inward/record.uri?eid=2-s2.0-85085488693&amp;doi=10.2112%2fSI95-234.1&amp;partnerID=40&amp;md5=71d3d2f3435d19668f7279acbeaa2d64</t>
  </si>
  <si>
    <t>The exponential growth in coastal population over the recent decades has intensified the pressure on coastal zones and has placed them on the focus of the scientific community, particularly in the context of climate change. This work presents a reliable method to easily identify current and future hazard hotspots on sandy beaches in monitored coastal areas. Hotspots are defined as areas with high erosion and flooding hazard, which
require detailed further study. The methodology is based into the application of WAPO (Wave Propagation On the Coast) model and DSAS (Digital Shoreline Analysis System) tool. WAPO model propagates monochromatic wave trains over a variable bottom and extracts the energy flux on the coast, taking into account refraction, diffraction, shoaling, reflection and energy dissipation. DSAS tool calculates rates of shoreline change from multiple historical shoreline positions. The method was applied in La Atunara beach in the South of Spain, influenced by the presence of anthropic structures and a complex bathymetry. Wave data used in the models were extracted by a joint probability analysis of wave height, period and direction for modal and storm conditions in the zone. Additionally, synthetic cases were generated for assessing climate change impact by modifying mean sea level parameters according to the IPCC scenarios. Results show that this methodology provides a simplified assessment of hotspots that allows focusing on the most vulnerable areas. This avoids the use of more complex and time-consuming models in large areas, allowing efforts to be concentrated on the identified hotspots.</t>
  </si>
  <si>
    <t>10.2112/SI95-147.1</t>
  </si>
  <si>
    <t>https://www.scopus.com/inward/record.uri?eid=2-s2.0-85085501433&amp;doi=10.2112%2fSI95-147.1&amp;partnerID=40&amp;md5=9868b78c72c0e9337cf89b2e383d969a</t>
  </si>
  <si>
    <t>The coastal zone is one of the most dynamic environments in the world. Climate change is having an undeniable influence on coastal areas. The main climatic factors driving change in the Baltic Sea coastal zone are wind, waves, storm surges and flooding. Shoreline change is affected by a multitude of complex processes operating at various time- and length-scales.
The presented work aims at clarification of the effects of different hydro meteorological factor to the short-term shoreline evolution at the Palanga beach. The analysis of the hydrometeorological factors, in order to assess the dependence of the beach response on the wind, sea level and wave characteristics with the focus on short term effects of the coastal protection structures in the rapid transition stage immediately after beach nourishment activities.</t>
  </si>
  <si>
    <t>Handbook of Environmental Chemistry</t>
  </si>
  <si>
    <t>10.1007/698_2020_658</t>
  </si>
  <si>
    <t>https://www.scopus.com/inward/record.uri?eid=2-s2.0-85133448050&amp;doi=10.1007%2f698_2020_658&amp;partnerID=40&amp;md5=3ad39732b4bc2414e93098a387d33e5e</t>
  </si>
  <si>
    <t>The wind waves and the periodic elevation and fall of the sea surface in coastal areas, i.e. the tides, are the first manifestations of ocean behaviour that mankind ever observed. Thousands of years ago, Aristotle at the Euripus Strait in the city of Halkis and the nearby shoreline tried to understand why the sea was flooding onto the land and then receding away from it revealing the coastline stretches of sea bottom, known to us as the ‘intertidal zone’, that hours ago were flooded with sea water. As ocean science progressed, various aspects of the oceanic environment came into light regarding physical, chemical, biological and geological characteristics of the sea water. However, wind waves and tides are basic oceanic phenomena that exert a lot of influence on issues related to human activities in the ocean and particularly at the coastal areas. This chapter presents elements of our up- to-date knowledge on wind waves and tides in the Aegean Sea. © Springer Nature Switzerland AG 2020</t>
  </si>
  <si>
    <t>2-s2.0-85133448050"</t>
  </si>
  <si>
    <t>Ceylon Journal of Science</t>
  </si>
  <si>
    <t>10.4038/cjs.v49i2.7734</t>
  </si>
  <si>
    <t>https://www.scopus.com/inward/record.uri?eid=2-s2.0-85102813709&amp;doi=10.4038%2fcjs.v49i2.7734&amp;partnerID=40&amp;md5=0b9bf034543679bc6101e931390983c7</t>
  </si>
  <si>
    <t>Mosquito-borne diseases are a major health concern in many tropical and sub-tropical countries. In the absence of specific treatment for many mosquito-borne diseases, vector control in the form of eliminating preimaginal development sites and insecticide application has an important role in controlling these diseases. Anthropogenic environmental changes have become important driving forces causing the adaptation of many major mosquito vectors to such changes. Anthropogenic activities are major contributors to global warming that is causing arise in sea levels. Sea level rise along with over exploitation of groundwater results in sea water intrusion to fresh water aquifers causing fresh water salinization in coastal zones. Human activities, including the extensive use of fertilizers and agrochemicals, also cause groundwater pollution. Mosquito vectors that normally lay eggs and undergo preimaginal development in fresh water are now seen to be adapting to develop in brackish and polluted water habitats. This article reviews recent findings that show the adaptation of mosquito vectors of human diseases to lay eggs and undergo preimaginal development in groundwater that is undergoing rapid salinization and pollution in the Jaffna peninsula. © 2020, University of Peradeniya. All rights reserved.</t>
  </si>
  <si>
    <t>2-s2.0-85102813709"</t>
  </si>
  <si>
    <t>10.5194/nhess-20-673-2020</t>
  </si>
  <si>
    <t>https://www.scopus.com/inward/record.uri?eid=2-s2.0-85080932869&amp;doi=10.5194%2fnhess-20-673-2020&amp;partnerID=40&amp;md5=0fa2aeaec59768df8e32f568830f6c44</t>
  </si>
  <si>
    <t>Using new high-accuracy light detection and ranging (lidar) elevation data we generate coastal flooding maps for Norway. Thus far, we have mapped 80% of the coast, for which we currently have data of sufficient accuracy to perform our analysis. Although Norway is generally at low risk from sea level rise largely owing to its steep topography and land uplift due to glacial isostatic adjustment, the maps presented here show that, on local scales, many parts of the coast are potentially vulnerable to flooding. There is a considerable amount of infrastructure at risk along the relatively long and complicated coastline. Nationwide we identify a total area of 400 km2, 105 000 buildings, and 510 km of roads that are at risk of flooding from a 200-year storm surge event at present. These numbers will increase to 610 km2, 137 000, and 1340 km with projected sea level rise to 2090 (95th percentile of RCP8.5 as recommended in planning). We find that some of our results are likely biased high owing to erroneous mapping (at least for lower water levels close to the tidal datum which delineates the coastline). A comparison of control points from different terrain types indicates that the elevation model has a root-mean-square error of 0.26m and is the largest source of uncertainty in our mapping method. The coastal flooding maps and associated statistics are freely available, and alongside the development of coastal climate services, will help communicate the risks of sea level rise and storm surge to stakeholders. This will in turn aid coastal management and climate adaptation work in Norway. © 2020 BMJ Publishing Group. All rights reserved.</t>
  </si>
  <si>
    <t>2-s2.0-85080932869"</t>
  </si>
  <si>
    <t>ANAS Transactions, Earth Sciences</t>
  </si>
  <si>
    <t>10.33677/ggianas20210100051</t>
  </si>
  <si>
    <t>https://www.scopus.com/inward/record.uri?eid=2-s2.0-85108726126&amp;doi=10.33677%2fggianas20210100051&amp;partnerID=40&amp;md5=def64a07eb7fd876e853a51ea4973dcb</t>
  </si>
  <si>
    <t>The article discusses the lithological and paleogeographic conditions of the for-mation and location of sedimentary basins of the Caspian region. Its main feature of morphology and structure is the presence of superdeep depressions. Non-palinspastic lithological-paleogeographic reconstructions performed using classical meth-ods of thickness and facies analysis, showed that in the Middle-Late Triassic and Early Jurassic continental conditions prevailed in most of the Caspian region with the accumulation of terri-genous, less often carbonate, and in some places volcanogenic sedimentary strata. In the Middle Jurassic, large areas of stable subsidence and inundation appeared, and in the Late Jurassic and Early Cretaceous, predominantly marine conditions were established in the region with a predomi-nance of carbonate sedimentation in some zones. In the Late Cretaceous, the entire region was a clay-carbonate shelf, in places over-deepened. At the end of the Paleogene - Early Miocene, in the southern part of the region, the processes of arch formation and orogenesis intensified, which were accompanied by the draining of the zones of orogenesis and some areas of the Northern and East-ern Caspian Sea, and the formation of over-deepened shelf troughs ahead of the front of the zone of active orogenesis with the predominance of terrigenous sedimentation in them. Substantial drainage of the territory of the Middle and North Caspian took place in the Pliocene, when in the relict, relatively deep sea depressions of the South and Middle Caspian region south of 42 N lat. formed powerful delta complexes of Pliocene rivers flowing from the East European platform and, in part, from the Turan plate. The results of the reconstructions made it possible to restore the conditions and environments of sedimentation characteristic of the Caspian region in a long historical and geological retrospective and to obtain the necessary information for the subsequent numerical modeling of sedimentary ba-sins and evolution of their hydrocarbon systems. © 2021 Earth Science Division, Azerbaijan National Academy of Sciences.</t>
  </si>
  <si>
    <t>2-s2.0-85108726126"</t>
  </si>
  <si>
    <t>10.1016/j.worlddev.2019.104748</t>
  </si>
  <si>
    <t>https://www.scopus.com/inward/record.uri?eid=2-s2.0-85075262277&amp;doi=10.1016%2fj.worlddev.2019.104748&amp;partnerID=40&amp;md5=525a8f975da78461951f6bada305abb7</t>
  </si>
  <si>
    <t>Coastal regions of developing countries are highly vulnerable to climate impacts. Climate change is projected to increase sea level rise, coastal storm events, and natural resource scarcity, impacting coastal ecosystems and societies. These climate impacts intersect with other anthropogenic stressors contributing to the degradation of coastal habitats and ecosystems (driven by, among other things, development, encroachment and pollution), increasing the risk of coastal hazards. Given the complexities of coastal adaptation and the reality of scarce financial and human resources, policymakers must make challenging decisions regarding which adaptation strategies to prioritize. This study seeks to understand: 1) What approaches to coastal adaptation have been most commonly implemented in projects financed through multilateral adaptation funds? and 2) Were the projects designed to build climate-specific or broader adaptive capacity? Using a content analysis of project proposals for 60 coastal adaptation projects financed through multilateral adaptation funds across 39 countries (as well as two regional projects), we categorized adaptation approaches and assessed contributions to adaptive capacity. Our findings indicate that policy, planning, and capacity-building, as compared to more tangible implementation activities, have characterized most coastal adaptation projects in the past 15 years. We also found a common emphasis on climate-specific adaptive capacity which diverges from the widely discussed need to address climate change and development priorities synergistically. In the context of limited resources, decisions regarding which adaptation approaches to invest in inherently involves trade-offs that need to be explicitly acknowledged. While numerous regional studies have analyzed these trade-offs, our study provides a global context and identifies potential areas of underinvestment for coastal adaptation in developing countries. © 2019</t>
  </si>
  <si>
    <t>2-s2.0-85075262277"</t>
  </si>
  <si>
    <t>10.3390/rs12050817</t>
  </si>
  <si>
    <t>https://www.scopus.com/inward/record.uri?eid=2-s2.0-85081937582&amp;doi=10.3390%2frs12050817&amp;partnerID=40&amp;md5=45b56a27d466ab388026cd9325ab6acc</t>
  </si>
  <si>
    <t>A vertical offset model for Vietnam and its surrounding areas was determined based on the differences between height anomalies derived from 779 Global Navigation Satellite System (GNSS)/levelling points and those derived from a dedicated high-resolution gravimetric-only quasigeoid model called GEOID_LSC. First, the deterministic transformation model to effectively fit the differences between the quasigeoid and GNSS/levelling heights was based on a third-order polynomial model. Second, the residual height anomalies have been interpolated to a grid employing Least-Squares Collocation. Finally, the distortions were restored to the residual grid. This model can be used for combination with a gravimetric quasigeoid model in GNSS levelling. The quality of GNSS/levelling data in Vietnam was analyzed and evaluated in this study. The annual subsidence rate from ALOS-1 was also used to analyze the effects of subsidence on the quality of GNSS/levelling data in the Mekong Delta. From this we made corrections to improve the accuracy of GNSS/levelling data in this region. The offset model was evaluated using cross-validation technique by comparing with GNSS/levelling data. Results indicate that the offset model has a standard deviation of 5.9 cm in the absolute sense. Based on this offset model, GNSS levelling can be carried out in most of Vietnam's territory complying third-order levelling requirements, while the accuracy requirements for fourth-order levelling networks is met for the entire country. This model in combination with the developed gravimetric quasigeoid model should also contribute to the modernization of Vietnam's height system. We also used high-quality GNSS/levelling data and the determined quasigeoid model to determine the geopotential value W0 for the Vietnam Local Vertical Datum. The gravity potential of the Vietnam Local Vertical Datum is estimated equal to W0LVD 0 = 62,636,846.81 ± 0.70 m2s-2 with the global equipotential surface realized by the conventional value W0 = 62,636,853.4 m2s-2. © 2020 by the authors.</t>
  </si>
  <si>
    <t>2-s2.0-85081937582"</t>
  </si>
  <si>
    <t>10.1109/JSTARS.2020.3010069</t>
  </si>
  <si>
    <t>https://www.scopus.com/inward/record.uri?eid=2-s2.0-85090349825&amp;doi=10.1109%2fJSTARS.2020.3010069&amp;partnerID=40&amp;md5=12154a9d3b3657be9e5a8a13e6cee353</t>
  </si>
  <si>
    <t>Ice doline is a particular kind of ice morphology, usually scattered on ice streams which are mostly far from the existing research bases. For this reason, glaciologists rarely have opportunities to document its developments in detail. Satellite observations are too coarse to capture such fine features, whereas unmanned aerial vehicle (UAV)-based structure-from-motion (SfM) and light detection and ranging (LiDAR) technologies have revolutionized geosciences research, especially in less accessed polar regions. We developed two bespoke UAV systems for glaciological investigation and carried out four campaigns during two consecutive Chinese Antarctic expeditions in 2017 and 2018. Founded on manual co-registration and accuracy assessment, a successful application to characterize a doline's spatio-temporal evolution is presented in this article. The overlying weight of surface melting directly triggered the collapse event on Jan 30, 2017 near the Dalk Glacier, and thenthe newborn doline grew for another 8135.6 m2 in area and 280 303.38 m3 in volume by early 2018. The UAV-based results revealed the doline's changes during a year, showing a maximum horizontal extension of 50 m and vertical subsidence of more than 10 m. Furthermore, we evaluate the photogrammetry and LiDAR systems and find the former is cost-effective and time-efficient on a large-scale survey, while the latter enjoys a better capability to characterize ice morphological details. Based on systematic comparisons, other pros and cons of the two techniques are discussed. To achieve the best performance for relevant applications in similar scenarios, we recommend adopting an integrated approach, in which the LiDAR restores the fine features on the basis of extensive SfM coverage.  © 2008-2012 IEEE.</t>
  </si>
  <si>
    <t>2-s2.0-85090349825"</t>
  </si>
  <si>
    <t>Journal of Environmental Policy and Planning</t>
  </si>
  <si>
    <t>10.1080/1523908X.2020.1792858</t>
  </si>
  <si>
    <t>https://www.scopus.com/inward/record.uri?eid=2-s2.0-85087873253&amp;doi=10.1080%2f1523908X.2020.1792858&amp;partnerID=40&amp;md5=a65333e1a92489253d1f5d7b0cf8b785</t>
  </si>
  <si>
    <t>In response to the rising climatic impacts on worldwide urbanized deltas, the Netherlands has strategically and politically framed Dutch water management as a global water solution for improving water safety and flood protection in other countries such as Vietnam. Being renowned for its water management approach, the Netherlands is particularly active in sharing water knowledge, insights, and policies internationally. This paper connects a framing perspective to policy translation studies to understand the role of language and meaning-making in the cross-border travel of policies. Adopting a framing perspective, it presents four dimensions of water policy translation concerning how policy frames are being created and interpreted–during the cross-border travel. The paper follows the process of the Dutch water management approach being ‘packaged’ as global water solutions and ‘translated’ to inform the development of the Vietnamese Mekong Delta Plan of 2013. The results show that although similar concepts, metaphors and narratives could be witnessed in this translation process, the local use and interpretation of these concepts remain challenging. Inclusive engagement, shared and comprehensive understanding, and continuous exchange and learning processes could help to improve cross-border policy-making for sustainable delta management. © 2020, © 2020 The Author(s). Published by Informa UK Limited, trading as Taylor &amp; Francis Group.</t>
  </si>
  <si>
    <t>2-s2.0-85087873253"</t>
  </si>
  <si>
    <t>10.1007/s11069-019-03829-4</t>
  </si>
  <si>
    <t>https://www.scopus.com/inward/record.uri?eid=2-s2.0-85077559044&amp;doi=10.1007%2fs11069-019-03829-4&amp;partnerID=40&amp;md5=66e208a0b1b7954021d0c1d936d517fc</t>
  </si>
  <si>
    <t>Flash flood is an uncertain and most catastrophic disaster worldwide that causes socio-economic problems, devastation and loss of infrastructure. One of the major triggering factors of flash floods is the extreme events like cloudburst that causes flooding of area within a short span of time. Therefore, this study aims to understand the variations in hydro-meteorological variables during the devastating Kedarnath cloudburst in the Uttarakhand, India. The hydro-meteorological variables were collected from the global satellites such as Moderate Resolution Imaging Spectroradiometer, Tropical Rainfall Measuring Mission, modelled datasets from Decision Support System for Agrotechnology Transfer and National Center for Environmental Prediction (NCEP). For the validation of satellite meteorological data, the NCEP Global analysis data were downscaled using Weather Research and Forecasting model over the study area to achieve the meteorological variables’ information. The meteorological factors such as atmospheric pressure, atmospheric temperature, rainfall, cloud water content, cloud fraction, cloud particle radius, cloud mixing ratio, total cloud cover, wind speed, wind direction and relative humidity were studied during the cloudburst, before as well as after the event. The outcomes of this study indicate that the variability in hydro-meteorological variables over the Kedarnath had played a significant role in triggering the cloudburst in the area. The results showed that during the cloudburst, the relative humidity was at the maximum level, the temperature was very low, the wind speed was slow and the total cloud cover was found at the maximum level. It is expected that because of this situation a high amount of clouds may get condensed at a very rapid rate and resulted in a cloudburst over the Kedarnath region. © 2020, Springer Nature B.V.</t>
  </si>
  <si>
    <t>2-s2.0-85077559044"</t>
  </si>
  <si>
    <t>10.1002/met.1877</t>
  </si>
  <si>
    <t>https://www.scopus.com/inward/record.uri?eid=2-s2.0-85077900321&amp;doi=10.1002%2fmet.1877&amp;partnerID=40&amp;md5=b10bd671365e200640102ad7e614182f</t>
  </si>
  <si>
    <t>Climate change and human activities have resulted in the receding of glaciers throughout the world including Pakistan. Glacier lake outburst floods (GLOFs) are amongst the most common climate-change-induced hazards in northern Pakistan. In the present study, GLOF mapping and modelling was carried out using remote sensing and geographical information system techniques coupled with ground-truthing. Change detection techniques such as the normalized difference water index were applied on Landsat imagery for the identification of the temporal behaviour of Darkut glacial lake for the last 25 years. The depth of the lake was estimated to be 81 m and the volume of the lake was calculated using a digital terrain model and extracted as 9.79 × 106 m3. The glacial lake extent has increased from 0.045 to 0.154 km2 in the last two decades. Two GLOF scenarios (peak and extreme flood) were developed on an existing volume of water in the study. There are 14 households exposed to medium flood and 10 to low flood risk while one helipad and one school are also in the low flood zone in the first scenario (i.e. peak flood) based on 87.84 m3·s−1 of water. The second scenario (i.e. extreme flood) was executed on 3,128 m3·s−1 of water, in which 14 households are at high flood risk, eight at medium and 35 in a low flood zone, as well as one school, a helipad and a community stockpile which are exposed to low flood. The outcomes of the study will help in the development of risk management plans, preparedness strategies and risk reduction from GLOF hazard. © 2020 The Authors. Meteorological Applications published by John Wiley &amp; Sons Ltd on behalf of the Royal Meteorological Society.</t>
  </si>
  <si>
    <t>2-s2.0-85077900321"</t>
  </si>
  <si>
    <t>10.3390/ijgi9040206</t>
  </si>
  <si>
    <t>https://www.scopus.com/inward/record.uri?eid=2-s2.0-85082810101&amp;doi=10.3390%2fijgi9040206&amp;partnerID=40&amp;md5=27f3a17013d783aaa038a7a72c2009d9</t>
  </si>
  <si>
    <t>Assessments of urban flood hazards are crucial for planning and early warning flood system design. Moreover, hazard risk assessment is useful for emergency planning and insurance. There are two common methods for conducting flood hazard risk assessments (FHRA): those based on physical models and those based on parameters. Although physical models are able to simulate flood propagation processes accurately, they also have obvious shortcomings. Parameter-based FHRAs are more comprehensive because they emphasize the analysis of hazard factors. However, this approach also has various flaws, including its qualitative, macro-scale and high subjective nature. In this study, the strengths of both methods were combined to develop a new micro-scale FHRA. Taking the FHRA of the flood storage and detention area of Dongting Lake as an example, this study used high-precision digital elevation model (DEM) data generated from an airborne light detection and ranging (LiDAR) point cloud to construct a two-dimensional (2-D) flood propagation model. Micro-scale FHRAs were then performed using eight selected FHR indicators based on catastrophe theory. By automatically calculating the FHR value of each assessment unit based on hierarchical recursion, the catastrophe theory and catastrophe progression method effectively avoided uncertainty in weight assignment, which is an issue commonly faced by parameter-based methods. The FHRA results obtained under 144 different sequences of assessment indicators also show that the proposed method has a low sensitivity to the ranking of FHR indicators, as well as a high fault tolerance for different assessment results arising from subjective rankings by humans. © 2020 by the authors.</t>
  </si>
  <si>
    <t>2-s2.0-85082810101"</t>
  </si>
  <si>
    <t>Ecological Engineering: X</t>
  </si>
  <si>
    <t>10.1016/j.ecoena.2019.100015</t>
  </si>
  <si>
    <t>https://www.scopus.com/inward/record.uri?eid=2-s2.0-85077807597&amp;doi=10.1016%2fj.ecoena.2019.100015&amp;partnerID=40&amp;md5=6e1e854a10cd58c8e2d268947ac0d315</t>
  </si>
  <si>
    <t>Hazards in coastal ecosystems, such as flooding and land loss, demand natural and nature-based solutions from local communities due to the protective and non-protective services they provide when compared with traditionally engineered approaches. In this context, natural solutions are those that consider conserving existing habitats whereas nature-based solutions are those created by humans. These solutions support important coastal ecosystem functions, such as nutrient uptake, fisheries habitat, soil carbon storage, and surge attenuation. Our main research questions were: (1) Based on community engagement, what are the possible natural and nature-based solutions to address coastal hazards in Breton Sound Estuary, Louisiana? and (2) How do these community co-designed nature-based solutions support various ecosystem functions? To help answer these questions, we leveraged the competency group methodology to incorporate the local needs and traditional ecological knowledge of community stakeholders into collaborative ecosystem modelling. In total, fifteen members regularly met five times over an eight-month period to design nature-based solutions to address coastal hazards. Two nature-based solutions, created marshes and restored ridges, were identified most frequently by the competency group (&gt;75% occurrence) in a final survey. Associated ecosystem functions of the identified solutions were assessed with simulation models to determine future ecosystem functions of nutrient uptake, fisheries habitat, soil carbon storage, and surge attenuation after 20 years. By adding created marshes to an ecosystem, our model results indicate slight increases in nutrient uptake, likely increases to fisheries habitat and soil carbon storage capacity, as well as storm surge attenuation in some areas following ridge restoration. Quantifying these ecosystem functions with management actions has been limited and is needed to assess how natural and nature-based solutions impact local communities and resource users. This novel approach to modeling ecosystem-based solutions through a collaborative modeling process with researchers and residents can be applied elsewhere to assess the viability of natural and nature-based solutions. © 2020 The Authors</t>
  </si>
  <si>
    <t>2-s2.0-85077807597"</t>
  </si>
  <si>
    <t>10.1016/j.jafrearsci.2019.103668</t>
  </si>
  <si>
    <t>https://www.scopus.com/inward/record.uri?eid=2-s2.0-85073450805&amp;doi=10.1016%2fj.jafrearsci.2019.103668&amp;partnerID=40&amp;md5=9192e33d9f4e7fca737814a9019e6033</t>
  </si>
  <si>
    <t>Significant warming and sea-level rise that will greatly impact the coastal zone is expected to intensify the coastal flooding occurrence on low-lying coasts in the next few decades. This challenge necessitates improving understanding of the possible trends and contributions of different oceanic forcing to the local coastal sea-level change at different time-scales at different locations. The present study seeks to understand different processes responsible for sea-level variations and coastal flooding events along the low-lying Nigerian Transgressive Mahin Mud coast in the Gulf of Guinea. The contributions of astronomical tides, altimetry-derived sea level, meteorologically forced non-tide residuals and wave run-up to coastal sea-level variations were assessed over the period between 1993 and 2016. The results show a distinct seasonal cycle, with more occurrences during summer/wet season and fewer events in winter/dry season, typically connected to the annual cycles of swell-waves. The leading contributor to total sea-level variations along this mud coast, at daily, seasonal and inter-annual time-scales was wave run-up. However, the leading contributor to total sea-level variations at the monthly (sub-annual) time scale was astronomical tides. Results further show that while the altimetry-derived sea level was responsible for the trend in total sea-level variability, the wave run-up was the major forcing responsible for the extreme coastal flooding events. However, the interaction between wave run-up and astronomical tides further contributed to the extreme/coastal flooding events along the mud coast. It is concluded that the increase in the coastal flooding events in the last 12 years of the study may have rendered the study area vulnerable to chronic erosion and flood hazards, which may have triggered the accelerated rate of coastal degradation in the study area. © 2019 Elsevier Ltd</t>
  </si>
  <si>
    <t>2-s2.0-85073450805"</t>
  </si>
  <si>
    <t>10.2112/JCOASTRES-D-18-00078.1</t>
  </si>
  <si>
    <t>https://www.scopus.com/inward/record.uri?eid=2-s2.0-85085876508&amp;doi=10.2112%2fJCOASTRES-D-18-00078.1&amp;partnerID=40&amp;md5=5b8a029d246cffa8d22fcde9b1a3534f</t>
  </si>
  <si>
    <t>Worldwide, sand dunes and hard coastal structures help to minimize loss of lives and property from storm impact and flooding along or behind coastlines. Both sand dunes and hard coastal structures have their benefits and shortfalls in terms of protective capacity, cost, flexibility, and impact to coastal systems. Combining these two inherently different coastal risk reduction measures into a single hybrid system can preserve some of the individual benefits of each while creating an Engineering-with-Nature™ system that fulfills the requirements of high levels of protection, adaptability to future challenges related to climate change, sustainability, and pleasing natural aesthetics. Although such hybrid systems have the potential to become viable alternatives to conventional coastal risk reduction schemes, there are still many unknowns related to the interaction between the soft and hard structural components and their effectiveness in storm surge mitigation and flood prevention that require targeted research efforts to create acceptable design guidelines. Specifically, the combination of hard and soft alternatives into a single structure has not been studied in detail. Here, hybrid coastal risk reduction systems consisting of traditional hard structures (levees, revetments, and sea walls) covered by sand layers attempting to mimic dunes are investigated. It is emphasized that these sand covers can look like natural dunes, but they cannot evolve like natural dunes in the long term due to spatial constrictions along developed coasts and lack of natural sediment supply in eroding coastal systems. Just like any engineered beach and dune system, these hybrid structures require episodic maintenance nourishment, particularly after storm impact. The present overview covers design advances and issues related to both hard structures and engineered sand dunes for coastal risk reduction and investigates existing hybrid approaches. Future research goals to better understand hybrid coastal risk reduction systems and to create applicable design guidelines are discussed.</t>
  </si>
  <si>
    <t>10.1029/2019JC015369</t>
  </si>
  <si>
    <t>https://www.scopus.com/inward/record.uri?eid=2-s2.0-85078950066&amp;doi=10.1029%2f2019JC015369&amp;partnerID=40&amp;md5=7d9c0e074ae738d54023c0d6d273286e</t>
  </si>
  <si>
    <t>A cruise survey was conducted in the Pearl River Estuary (PRE) in May 2014. In situ observations during this cruise reveal that at the surface in the central channel of the PRE there was a strong convergence of lateral velocity during an ebb tide and a divergence during a flood tide. The ebb tide convergence was also observed in satellite synthetic aperture radar imagery. The Finite-Volume Coastal Ocean Model was executed in the PRE domain to accurately simulate the convergence and divergence of the cross-estuary velocity during ebb and flood tides, respectively. Numerical experiments in an idealized estuary domain are implemented with three distinct forcing scenarios: tide, river discharge, and a combination of both. Model results show that the cross-estuary momentum balance plays a significant role in the dynamics of the velocity convergence and divergence in the PRE. Additionally, the interaction between tide and river discharge enhances the surface convergence on ebb tide and generates the surface divergence on flood tide. The model results reveal that the along-estuary variation of channel depth and width is responsible for the tide-induced lateral velocity convergence and divergence in the channel, supported by the fact that when the channel depth and width are set to constant values in the model, the channel-trapped ebb convergence substantially weakens, and the flood divergence disappears. This study provides an indication for other wide estuaries. ©2020. American Geophysical Union. All Rights Reserved.</t>
  </si>
  <si>
    <t>2-s2.0-85078950066"</t>
  </si>
  <si>
    <t>10.1175/WCAS-D-18-0139.1</t>
  </si>
  <si>
    <t>https://www.scopus.com/inward/record.uri?eid=2-s2.0-85075811397&amp;doi=10.1175%2fWCAS-D-18-0139.1&amp;partnerID=40&amp;md5=9ab04482b7259b63f3e2537b829aaf30</t>
  </si>
  <si>
    <t>An increasing number of national, state, and local programs have offered grants or other monetary incentives to encourage homeowners to retrofit their homes to reduce damage from natural hazard events. Despite this fact, little is known about how these offerings influence a homeowner’s decision to carry out such structural retrofits. This paper studies the impact that different grant program designs in particular have on the decision to undertake different types of retrofits to mitigate against hurricane damage. Using data from a survey of homeowners in the eastern half of North Carolina, we implement a mixed logit model that allows for the combination of both revealed-preference and stated-preference data available from the survey. Our findings show that offering a grant results in households being, on average, 3 times as likely to retrofit as when a grant is not offered. In addition, both the percentage of retrofit cost and the maximum dollar amount covered by the grant have a substantial impact on the probability that households choose to retrofit. Living closer to the coastline also has a significant impact on the probability that households will choose to retrofit. Counter to some previous research, we find that households who have experienced two or more hurricanes are less likely to choose to retrofit their homes. From our research, we find that the percentage of retrofit cost covered by the grant and the total cost are both important factors when deciding on the best grant program configuration. © 2019 American Meteorological Society.</t>
  </si>
  <si>
    <t>2-s2.0-85075811397"</t>
  </si>
  <si>
    <t>10.1007/s10584-020-02769-4</t>
  </si>
  <si>
    <t>https://www.scopus.com/inward/record.uri?eid=2-s2.0-85087438994&amp;doi=10.1007%2fs10584-020-02769-4&amp;partnerID=40&amp;md5=a401d058ab757cd83a9a8797f005b280</t>
  </si>
  <si>
    <t>Sea-level rise (SLR) can amplify the episodic erosion from storms and drive chronic erosion on sandy shorelines, threatening many coastal communities. One of the major uncertainties in SLR projections is the potential rapid disintegration of large fractions of the Antarctic ice sheet (AIS). Quantifying this uncertainty is essential to support sound risk management of coastal areas, although it is neglected in many erosion impact assessments. Here, we use the island of Sint Maarten as a case study to evaluate the impact of AIS uncertainty for future coastal recession. We estimate SLR-induced coastal recession using a probabilistic framework and compare and contrast three cases of AIS dynamics within the range of plausible futures. Results indicate that projections of coastal recession are sensitive to local morphological factors and assumptions made on how AIS dynamics are incorporated into SLR projections and that underestimating the potential rapid mass loss from the AIS can lead to ill-informed coastal adaptation decisions. © 2020, Springer Nature B.V.</t>
  </si>
  <si>
    <t>2-s2.0-85087438994"</t>
  </si>
  <si>
    <t>10.3390/rs12020296</t>
  </si>
  <si>
    <t>https://www.scopus.com/inward/record.uri?eid=2-s2.0-85081082682&amp;doi=10.3390%2frs12020296&amp;partnerID=40&amp;md5=d36c7d65511f860dd30dcfab4b2578a6</t>
  </si>
  <si>
    <t>Global mean sea level rise associated with global warming has a major impact on coastal areas and represents one of the significant natural hazards. The Asia-Pacific region, which has the highest concentration of human population in the world, represents one of the larger areas on Earth being threatened by the rise of sea level. Recent studies indicate a global sea level of 3.2 mm/yr as measured from 20 years of satellite altimetry. The combined effect of sea level rise and local land subsidence, can be overwhelming for coastal areas. The Synthetic Aperture Radar (SAR) interferometry technique is used to process a time series of TerraSAR-X images and estimate the land subsidence in the urban area of Singapore. Interferometric SAR (InSAR) measurements are merged to the Representative Concentration Pathway (RCP) 4.5 and RCP 8.5 sea-level rise scenarios to identify projected inundated areas and provide a map of flood vulnerability. Subsiding rates larger than 5 mm/year are found near the shore on the low flat land, associated to areas recently reclaimed or built. The projected flooded map of Singapore are provided for different sea-level rise scenarios. In this study, we show that local land subsidence can increase the flood vulnerability caused by sea level rise by 2100 projections. This can represent an increase of 25% in the flood area in the central area of Singapore for the RCP4.5 scenario. © 2020 by the authors.</t>
  </si>
  <si>
    <t>2-s2.0-85081082682"</t>
  </si>
  <si>
    <t>Italian Journal of Geosciences</t>
  </si>
  <si>
    <t>10.3301/IJG.2019.22</t>
  </si>
  <si>
    <t>https://www.scopus.com/inward/record.uri?eid=2-s2.0-85080096097&amp;doi=10.3301%2fIJG.2019.22&amp;partnerID=40&amp;md5=034df93cafd4b785edc3492501860dc4</t>
  </si>
  <si>
    <t>Following the large 1982 Ancona landslide, which affected a densely populated district with many man-made infrastructures, a big effort was made by the scientific community to study the area and a great amount of geophysical and geotechnical data were acquired. The region is part of the external domain of Central Apennine resulted by Neogene compressive deformations. The tectonic processes have resulted in instabilities along the entire central Adriatic coasts of Italy, marked today by large-scale gravitational phenomena. An early Pleistocene regional uplift formed a slope subject to glacioeustatic sea-level oscillations, with erosion and water infiltration, favouring instability and movements under the action of gravitational driving forces. Sliding surface formation and roto-translational displacements have occurred until the recent reactivations of earth-flows and chaotic mounds at the slope break in correspondence with the formation of the Peri-Adriatic basin. In this paper, we present images of seismic sections obtained from the processing of two sea-land reflection profiles and offshore very high-resolution prospecting. Our paper intends to reinforce the importance of a multi-disciplinary approach integrating geophysical data to geological, morphological and engineering methods. The seismic survey of the two sea-land sections considered a joint land-sea acquisition to image the subsurface in the transitional zone. Composite sections were obtained from the processing of differently recorded sub-datasets, which depended on the type of land and marine sources and sensors in combination with the unique frequency content, source strength and noise, such as the propagation of surface-waves or air-gun bubbles. The properly acquired and processed data yielded post-stack migrated depth converted seismic sections, reflecting interfaces down to approximately 1400 m depth, where the top of Messinian evaporites has been encountered. The final sections reveal the deep structural settings and the importance of the still active anti-Apennine transfer faults. The offshore Boomer high-resolution profiles show only the near sea-bottom sequences. These fluvio-deltaic Plio-Quaternary deposits represent the final filling phase of the foreland basins, exposed to sub-aerial erosion during the last glacial period and to submersion during the subsequent sea-level rise of approximately 120 m.The final sections reveal the deep structural settings and the importance of the still active anti-Apennine transfer faults. © Società Geologica Italiana, Roma 2020</t>
  </si>
  <si>
    <t>2-s2.0-85080096097"</t>
  </si>
  <si>
    <t>10.1016/j.jhydrol.2019.124369</t>
  </si>
  <si>
    <t>https://www.scopus.com/inward/record.uri?eid=2-s2.0-85075575808&amp;doi=10.1016%2fj.jhydrol.2019.124369&amp;partnerID=40&amp;md5=dfaf3b1fecc76c0ae18ca7fe834efad9</t>
  </si>
  <si>
    <t>Quantification of submarine groundwater discharge (SGD) remains a challenge due to its large spatial and temporal variability exacerbated by natural heterogeneity (e.g., climatic conditions and hydrogeologic settings) and anthropogenic disturbances (e.g., dredging, oil/gas extraction, and oil-field brine discharges). This study investigates the spatial and temporal variability of SGD during different hydroclimatic conditions in a semi-arid, anthropogenically disturbed estuary using Darcy's law (i.e., fresh/terrestrial SGD) and radon (222Rn, total SGD) and radium (226Ra, saline/recirculated SGD) isotope mass balances. Continuous electrical resistivity imaging and 222Rn surveys revealed potential subsurface influences on SGD with the highest SGD rates in areas with sandier substrates and near transitions from low hydraulic conductivity to higher hydraulic conductivity bottom sediments. Darcy estimates ranged over two orders of magnitude and were slightly higher following the flooding recession (0.09–8.28 m·d−1) than following a period of low precipitation (−0.02–7.84 m·d−1). Mobile continuous 222Rn estimates (0.79–1.81 m·d−1) support higher and more variable SGD rates, similar trends to those previously reported from time-series 222Rn measurements (0.13–3.85 m·d−1 across seasons). Radium-226 derived SGD (1.3 × 10−2–2.7 × 10−2 m·d−1 using the average groundwater endmember) fall short of 222Rn-derived SGD due to inability to account for radium tracer reactivity within the sediment. However, local Darcy estimates agree well with the range of 222Rn, likely due to the steeper gradients near shore. Radium activity ratios and SGD rates reflect mixing of shallow and deep groundwater beneath the bay, likely due to anthropogenic disturbances with a greater influence from deep groundwater 3–6 months following major precipitation events. This study strongly suggests that semi-arid systems receive significant SGD, which in highly anthropogenically disturbed systems are derived from both shallower and deeper groundwater flowpaths and lag the climatic conditions by weeks (shallow inputs) and months or longer (deeper inputs). © 2019 Elsevier B.V.</t>
  </si>
  <si>
    <t>2-s2.0-85075575808"</t>
  </si>
  <si>
    <t>10.1080/19475705.2020.1760360</t>
  </si>
  <si>
    <t>https://www.scopus.com/inward/record.uri?eid=2-s2.0-85084461585&amp;doi=10.1080%2f19475705.2020.1760360&amp;partnerID=40&amp;md5=686cd6425d7f39711d331344f1b0375b</t>
  </si>
  <si>
    <t>Torrential rainfall can generate landslides, flash floods, and debris flows which might become disasters, causing loss of life and damage to property and infrastructure. To respond opportunely to hydrometeorological hazards, it is necessary to assess, rapidly and accurately, damage to the affected area. This is commonly done through time-consuming reconnaissance visits to obtain detailed field information. This paper proposes a methodology which uses: i) high resolution satellite and RGB images from unmanned aerial vehicles (UAV), ii) digital elevation models (DEM), and iii) object-based image analysis (OBIA) for rapid urban flood damage assessment and estimation of the number of houses washed away, or with a total or partial roof collapse, by comparing pre- and post-event data. The case study was Tropical Storm Earl in 2016 that affected the town of Chicahuaxtla, Puebla, Mexico, due to the overflow of the Zempoloantongo River that cuts through the town causing several loss of life and severe property damage. The results indicate that the three-pronged approach proposed herein is able to discriminate changes before and after the event and improve image classification of washed-away or destroyed houses. The overall accuracy of the proposed automatic classification obtained with UAV data had a value of 97.4%. Structural damage was not assessed in this study. © 2020, © 2020 The Author(s). Published by Informa UK Limited, trading as Taylor &amp; Francis Group.</t>
  </si>
  <si>
    <t>2-s2.0-85084461585"</t>
  </si>
  <si>
    <t>Disasters</t>
  </si>
  <si>
    <t>10.1111/disa.12369</t>
  </si>
  <si>
    <t>https://www.scopus.com/inward/record.uri?eid=2-s2.0-85073938426&amp;doi=10.1111%2fdisa.12369&amp;partnerID=40&amp;md5=bb29b659a68a180445559434b7f7d14c</t>
  </si>
  <si>
    <t>Urban planning can serve to minimise the effects of a tsunami and enhance community resilience. This study explores to what extent urban planning has addressed tsunami resilience in four villages on Chile's South Pacific coast, each of which was struck by tsunamis in 1960, 2010, and 2015. Through a detailed policy review and semi-structured interviews with residents, this paper analyses whether tsunami mitigation policies were incorporated into regional and local planning tools. It finds that although the government proposed relocation to tsunami-safe areas after the tsunami of 1960, urban development continued mainly in tsunami inundation zones—in the context of weak local planning frameworks and in the absence of community participation. In only one of the four case studies did participatory planning bring about the relocation of an entire village to a safe location. This paper concludes that incorporating participatory risk zone planning into urban planning enhances tsunami resilience. © 2019 The Authors Disasters © 2019 Overseas Development Institute</t>
  </si>
  <si>
    <t>2-s2.0-85073938426"</t>
  </si>
  <si>
    <t>Journal of Airport Management</t>
  </si>
  <si>
    <t>https://www.scopus.com/inward/record.uri?eid=2-s2.0-85080962467&amp;partnerID=40&amp;md5=54fe9f164597ca17c9fd7ff8cf5e3c7b</t>
  </si>
  <si>
    <t>Airports play an important role in economic growth and are essential hubs for connectivity and trade. With the growth of urban areas, air traffic is increasing consistently, marking the development of regions such as South-East Asia and others. Following cities, most of the major airports are situated in densely populated areas, next to rivers, in deltas and alongside coasts. Many of these urbanised areas are vulnerable to water extremes, which are increased by the effects of climate change, such as sea-level rise, higher temperatures and greater weather extremes. To protect vital infrastructure and ensure future service continuity for airport operations, it is necessary to develop resilience to such risks. Several airports have recognised the threat posed by floods and have started work on flood protection efforts. Some airports are seizing the opportunity to implement climate resilient airport planning. This paper presents one of these frontrunner airports: a whole-of-government adaptation pathway for Singapore Changi Airport. © HENRY STEWART PUBLICATIONS.</t>
  </si>
  <si>
    <t>2-s2.0-85080962467"</t>
  </si>
  <si>
    <t>Geographia Polonica</t>
  </si>
  <si>
    <t>10.7163/GPol.0161</t>
  </si>
  <si>
    <t>https://www.scopus.com/inward/record.uri?eid=2-s2.0-85083062076&amp;doi=10.7163%2fGPol.0161&amp;partnerID=40&amp;md5=363a0b01ede648ca5664c552f4a3fe38</t>
  </si>
  <si>
    <t>The paper concerns investigations on urban geomorphology. The subject of the paper is the historic centre of Kraków (or Cracow) where the pre-human relief became masked due to the rapid increase in cultural deposits from the mid-13th century onwards. The aim of the investigation is the reconstruction of the original to-pography, relief and hydrography of this area based on rich sources of materials in papers and non-published data on geology, geoengineering, archaeology, history, and also on maps and panoramic drawings of the town. A digital elevation model has been generated, which showed the topography of the study area in the period before the mid-13th century. Structural analysis, cross validation test and estimation by ordinary kriging method were carried out. The final cartographic work was prepared with the use of QGIS and Surfer software. The distribution of landforms in the study area in the mid-13th century is presented as a proposed variant of the geomorphological map prepared by the authors. The former relief was evaluated in terms of its potential for encouraging settlement. © Adam Łajczak • Roksana Zarychta.</t>
  </si>
  <si>
    <t>2-s2.0-85083062076"</t>
  </si>
  <si>
    <t>10.1016/j.earscirev.2019.102994</t>
  </si>
  <si>
    <t>https://www.scopus.com/inward/record.uri?eid=2-s2.0-85076245586&amp;doi=10.1016%2fj.earscirev.2019.102994&amp;partnerID=40&amp;md5=39db87ca5ba5f56c0539294affafa3ae</t>
  </si>
  <si>
    <t>This paper first presents the history of ideas on s-form formation, with an emphasis on meltwater models. The main approach is based on form similarity between modern erosional marks and subglacial s-forms. Form similarity is then extended to process similarity, which promotes understanding of s-forms. Three classes of erosional marks are identified: obstacle scours, basin-shaped erosional marks and landforms related to escarpment flow. Identification is based on form, with recognition of elements, though it mainly depends on recognition of the whole form in much the same way as we recognize family members or familiar flowers. Flow conditions related to the various flow features are determined by flow visualization and computational fluid dynamics. Some s-forms are produced in flume models, though most are natural features observed in the field. Examples from beneath past ice-sheets are seen in the field and illustrated by air and ground photographs, satellite images and DEM (digital elevation model). The results of this work show remarkable similarity between modern erosional marks and ancient, subglacial s-forms. Consequently established processes are attributed to ancient forms. In turn, s-forms may be used abductively to interpret subglacial, hydrological conditions. The lack of waning stage bedforms scoured into primary forms, suggests that erosional marks form under abruptly terminating, catastrophic flow. © 2019 Elsevier B.V.</t>
  </si>
  <si>
    <t>2-s2.0-85076245586"</t>
  </si>
  <si>
    <t>10.1155/2020/8896907</t>
  </si>
  <si>
    <t>https://www.scopus.com/inward/record.uri?eid=2-s2.0-85091648791&amp;doi=10.1155%2f2020%2f8896907&amp;partnerID=40&amp;md5=dd6bbed9697a5b53af20dbd16cbd81f2</t>
  </si>
  <si>
    <t>Land subsidence in the coastal zone of the Neo Faliro, Moschato, and Kallithea municipalities, along the Faliro bay, has been recorded since the mid 1960's. This phenomenon has caused damage to buildings, pavements, and roads. Aiming to identify the main causes of the observed ground deformations, data referring to the geological, geotechnical, and hydrogeological settings of the study area has been evaluated. Subsidence has been quantified by the use of space-born Synthetic Aperture Radar interferometry (InSAR) techniques. SVD (Singular Value Decomposition) and IPTA (Interferometric Point Target Analysis) techniques have been applied for the production of deformation maps, referring to the time period between 2002 and 2010. Furthermore, aiming to extend the study of the phenomenon further to the past, Persistent Scatterer Interferometry (PSI) data for the time period from 1992 to 2001 were also evaluated. Finally, the results of the InSAR analysis have been crosschecked with measurements acquired by a vertical geodetic control network as well as by ground truth data, referring to damage inventory of the site. The current research presents an interesting case study of an urban site affected for a long-lasting period by the activities of a neighboring industrial zone. The development of an extensive depression cone, mainly due to the overexploitation of the aquifers for industrial use, is the main cause of the land subsidence phenomenon, without excluding a component of motion due to the natural compaction of the compressible soil in the area of interest. The complexity of the geological, hydrogeological, and geotechnical conditions and the interaction of the numerous land use activities make this study far more interesting. © 2020 Agavni Kaitantzian et al.</t>
  </si>
  <si>
    <t>2-s2.0-85091648791"</t>
  </si>
  <si>
    <t>10.1371/journal.pone.0227436</t>
  </si>
  <si>
    <t>https://www.scopus.com/inward/record.uri?eid=2-s2.0-85078097679&amp;doi=10.1371%2fjournal.pone.0227436&amp;partnerID=40&amp;md5=f384543044b6011a5b4909ed0d5195b8</t>
  </si>
  <si>
    <t>Sea level rise in the United States will lead to large scale migration in the future. We propose a framework to examine future climate migration patterns using models of human migration. Our framework requires that we distinguish between historical versus climate driven migration and recognizes how the impacts of climate change can extend beyond the affected area. We apply our framework to simulate how migration, driven by sea level rise, differs from baseline migration patterns. Specifically, we couple a sea level rise model with a data-driven model of human migration and future population projections, creating a generalized joint model of climate driven migration that can be used to simulate population distributions under potential future sea level rise scenarios. The results of our case study suggest that the effects of sea level rise are pervasive, expanding beyond coastal areas via increased migration, and disproportionately affecting some areas of the United States. © 2020 Robinson et al. This is an open access article distributed under the terms of the Creative Commons Attribution License, which permits unrestricted use, distribution, and reproduction in any medium, provided the original author and source are credited.</t>
  </si>
  <si>
    <t>2-s2.0-85078097679"</t>
  </si>
  <si>
    <t>10.1371/journal.pone.0229464</t>
  </si>
  <si>
    <t>https://www.scopus.com/inward/record.uri?eid=2-s2.0-85081977892&amp;doi=10.1371%2fjournal.pone.0229464&amp;partnerID=40&amp;md5=30a0fc9a646ede3461d64e419cfed24d</t>
  </si>
  <si>
    <t>Rice production in the Mekong River Delta of Vietnam (MRD) is endangered by sea-level rise and an associated increase in the incidence of salinity intrusion. This paper examines the diffusion of salt tolerant rice varieties in the MRD that were promoted through Consortium for Unfavorable Rice Environments (CURE) activities. Factors associated with adoption of CURE-related varieties are estimated using a random utilty model and a dataset of 800 farm households with rice fields in salinity prone areas of the MRD. Results suggest that there has been widespread adoption of CURE-related varieties in salinity-prone areas. Further, multivariate analysis reveals that environment and location characteristics, rather than household characteristics, are the most important determinants of adoption. In particular, CURE-related varieties are more likely to be adopted in high-salinity-risk areas that are not protected by salinity barrier gates. Neighbhors’ adoption decisions also strongly influence household decisions to adopt CURE-related varieties. The contracting of mechanization, particularly for land preparation and harvest, requires the coordination of village households in timing of planting, harvest and varietal duration. This coordination appears to extend to choice of CURE-related varieties. Finally, CURE-related varieties and other varieties generate similar net revenues in a year with low salinity exposure, suggesting that CURE-related varieties are a low-cost insurance policy against salinity inundation in high risk areas. Combined, these results highlight the need to address complex factors beyond current economic profits, like environment, community choices, and risk mitigation, when designing technologies and policies that support farmer adaptation to climatic change. © 2020 Paik et al. This is an open access article distributed under the terms of the Creative Commons Attribution License, which permits unrestricted use, distribution, and reproduction in any medium, provided the original author and source are credited.</t>
  </si>
  <si>
    <t>2-s2.0-85081977892"</t>
  </si>
  <si>
    <t>Open Quaternary</t>
  </si>
  <si>
    <t>10.5334/oq.86</t>
  </si>
  <si>
    <t>https://www.scopus.com/inward/record.uri?eid=2-s2.0-85091678070&amp;doi=10.5334%2foq.86&amp;partnerID=40&amp;md5=0ae60758154c113d6fda2ae78b82df7d</t>
  </si>
  <si>
    <t>Terminal Pleistocene to Middle Holocene sea level rise resulted in a number of changes to coastal ecosystems around the world, providing new challenges and opportunities for coastal peoples. In California, glacial to interglacial sea level rise resulted in some reductions in rocky shore kelp forests, but it also resulted in the formation of estuaries. Estuaries were important for terminal Pleistocene peoples in the Santa Barbara Channel region (SBC), a pattern that persisted through the Early to Middle Holocene, and sometimes later. While paleoestuaries appear to have been relatively common along the SBC mainland coast, they were rare to absent on the Channel Islands. The Abalone Rocks Paleoestuary on Santa Rosa Island is the only well documented island estuary. However, questions remain about the size and productivity of this estuary and its importance for human subsistence and settlement relative to the more extensive mainland estuaries. Faunal data from two previously unreported site components and synthesis of shellfish data from other Abalone Rocks sites and similarly aged sites near mainland estuaries illustrate the importance of SBC mainland versus island estuaries. Estuarine shellfish were considerably more abundant at most Early and Middle Holocene mainland sites, with the Abalone Rocks Paleoestuary largely supplementary to rocky shore habi-tats. At island estuary sites, taxonomic richness was fairly consistent during the Early to Middle Holocene, although diversity and evenness decline slightly through time, with estuarine shellfish largely disappearing from island assemblages prior to 5000 years ago. These data demonstrate the power of archaeological research to evaluate the relationships between past environmental change and human behavior. © 2020 The Author(s).</t>
  </si>
  <si>
    <t>2-s2.0-85091678070"</t>
  </si>
  <si>
    <t>10.1007/s00382-019-05038-y</t>
  </si>
  <si>
    <t>https://www.scopus.com/inward/record.uri?eid=2-s2.0-85077172264&amp;doi=10.1007%2fs00382-019-05038-y&amp;partnerID=40&amp;md5=b6ca18b912bbfc00fa814e4c1c7f3308</t>
  </si>
  <si>
    <t>From January through March 2017, a series of extreme precipitation events occurred in coastal Peru, causing severe floods with hundreds of human casualties and billions of dollars in economic losses. The extreme precipitation was a result of unusually strong recurrent patterns of atmospheric and oceanic conditions, including extremely warm coastal sea surface temperatures (SST) and weakened trade winds. These climatic features and their causal relationship with the Peruvian precipitation were examined. Diagnostic analysis and model experiments suggest that an atmospheric forcing in early 2017, which was moderately linked to the Trans-Niño Index (TNI), initiated the local SST warming along coastal Peru that later expanded to the equator. In January 2017, soil moisture was increased by an unusual expansion of Amazonian rainfall. By March, localized and robust SST warming provided positive feedback to the weakening of the trade winds, leading to increased onshore wind and a subsequent enhancement in rainfall. The analysis points to a tendency towards more frequent and stronger variations in the water vapor flux convergence along the equator, which is associated with the increased precipitation in coastal Peru. © 2019, The Author(s).</t>
  </si>
  <si>
    <t>2-s2.0-85077172264"</t>
  </si>
  <si>
    <t>10.3390/RS12010008</t>
  </si>
  <si>
    <t>https://www.scopus.com/inward/record.uri?eid=2-s2.0-85079606873&amp;doi=10.3390%2fRS12010008&amp;partnerID=40&amp;md5=8888eee8878084472ca0fea2e7c14dbd</t>
  </si>
  <si>
    <t>Coastal erosion endangers millions living near-shore and puts coastal infrastructure at risk, particularly in low-lying deltaic coasts of developing nations. This study focuses on morphological changes along the ~320-km-long Sindh coastline of Pakistan over past three decades. In this study, the Landsat images from 1989 to 2018 at an interval of 10 years are used to analyze the state of coastline erosion. For this purpose, well-known statistical approaches such as end point rate (EPR), least median of squares (LMS), and linear regression rate (LRR) are used to calculate the rates of coastline change. We analyze the erosion trend along with the underlying controlling variables of coastal change. Results show that most areas along the coastline have experienced noteworthy erosion during the study period. It is found that Karachi coastline experienced 2.43 0.45 m/yr of erosion and 8.34 0.45 m/yr of accretion, while erosion on the western and eastern sides of Indus River reached 12.5 0.55 and 19.96 0.65 m/yr on average, respectively. Coastal erosion is widespread along the entire coastline. However, the rate of erosion varies across the study area with a general trend of erosion increasing from west to east in the Indus Delta region (IDR), and the highest average erosion rate is 27.46 m/yr. The interdecadal change during 1989-1999, 1999-2009 and 2009-2018 periods depicted an increasing linear trend (R2 = 0.78) from Karachi to Indus River (IR) East zone. The spatial trend from west to east is positively correlated with mean sea level rise, which has increased from 1.1 to 1.9 mm/year, and negatively correlated with topographic slope, which is found to be decreasing eastward along the coastline. The findings necessitate appropriate actions and have important implications to better manage coastal areas in Pakistan in the wake of global climate change. © 2019 by the authors.</t>
  </si>
  <si>
    <t>2-s2.0-85079606873"</t>
  </si>
  <si>
    <t>10.1139/er-2019-0047</t>
  </si>
  <si>
    <t>https://www.scopus.com/inward/record.uri?eid=2-s2.0-85093072907&amp;doi=10.1139%2fer-2019-0047&amp;partnerID=40&amp;md5=8c80a69895b41dd1a1c6e37134ecd317</t>
  </si>
  <si>
    <t>Opposing interpretations of Lower Peace River ice-jam flood frequency data sets are at the centre of identifying causes of reduced freshwater availability in the Peace-Athabasca Delta (northern Alberta), a Ramsar Wetland of International Importance and a major contributor to Wood Buffalo National Park’s listing as a UNESCO World Heritage Site. Recently, conclusions drawn from statistical inference of traditional knowledge and historical observation sources suggested that flood frequency was accelerating during 1880–1967 and then declined coincident with hydroelectric regulation of Peace River flow since 1968 that altered the river’s hydrograph. In contrast, prior paleolimnological measurements of laminated sediments from oxbow lakes proximal to the Peace River have, along with alternate presentation of the traditional knowledge and historical observation sources, identified flood frequency was in decline for decades preceding river regulation due to climate change since the Little Ice Age. Here we revisit these data sets and, specifically, review their inherent uncertainties to assess their value and limitations. The notion of increasing versus decreasing flood frequency in the decades preceding river regulation (1880–1967) is tested using previously published paleohydrological records from perched lakes in the delta. Those records from lakes most proximal and sensitive to changes in the flow regime of the Peace River show increasing influence of lake evaporation during 1880–1967, consistent with long-term decline in flood frequency. Reconciling uncertainties of multiple lines-of-evidence and their findings should inform decisions by UNESCO on the World Heritage status of Wood Buffalo National Park and execution of the park’s federally funded Action Plan. New paleolimnological studies that have recently been launched will continue to probe the hydrological history of the Peace-Athabasca Delta to serve as a foundation for effective stewardship. © 2020, Canadian Science Publishing. All rights reserved.</t>
  </si>
  <si>
    <t>2-s2.0-85093072907"</t>
  </si>
  <si>
    <t>10.1016/j.envsoft.2019.104552</t>
  </si>
  <si>
    <t>https://www.scopus.com/inward/record.uri?eid=2-s2.0-85074163639&amp;doi=10.1016%2fj.envsoft.2019.104552&amp;partnerID=40&amp;md5=2445c382e34f68d7f8b3cdf6f5388001</t>
  </si>
  <si>
    <t>Dam construction in mainland Southeast Asia has increased substantially in recent years. Most dams have the potential to generate value, however, potential and existing impacts include alterations in water regimes, loss and degradation of natural forests and bio-diversity. For mapping impacts, we have developed the Reservoir Mapping Tool for the greater Mekong region designed in ArcGIS Desktop 10.5 ModelBuilder, with dam point location and digital elevation model SRTM-30 m on a publicly available web interface which provides inundated area and dam volume based on user inputs. We validate our results and find excellent agreement with ground data from the Lanh Ra dam located in Vietnam. Further validation and error quantification are done comparing results of three different DEMS's and compared with reported values. We also illustrate various application areas using this information in combination with other geospatial layers, which could provide key inputs towards assessing overall social impacts of dams. © 2019</t>
  </si>
  <si>
    <t>2-s2.0-85074163639"</t>
  </si>
  <si>
    <t>10.3390/rs12010154</t>
  </si>
  <si>
    <t>https://www.scopus.com/inward/record.uri?eid=2-s2.0-85083491956&amp;doi=10.3390%2frs12010154&amp;partnerID=40&amp;md5=bfb940dcac53d9222b95bf34ef68b8ba</t>
  </si>
  <si>
    <t>Majuro Atoll in the central Pacific has high coastal vulnerability due to low-lying islands, rising sea level, high wave events, eroding shorelines, a dense population center, and limited freshwater resources. Land elevation is the primary geophysical variable that determines exposure to inundation in coastal settings. Accordingly, coastal elevation data (with accuracy information) are critical for assessments of inundation exposure. Previous research has demonstrated the importance of using high-accuracy elevation data and rigorously accounting for uncertainty in inundation assessments. A quantitative analysis of inundation exposure was conducted for Majuro Atoll, including accounting for the cumulative vertical uncertainty from the input digital elevation model (DEM) and datum transformation. The project employed a recently produced and validated DEM derived from structure-from-motion processing of very-high-resolution aerial imagery. Areas subject to marine inundation (direct hydrologic connection to the ocean) and low-lying lands (disconnected hydrologically from the ocean) were mapped and characterized for three inundation levels using deterministic and probabilistic methods. At the highest water level modeled (3.75 ft, or 1.143 m), more than 34% of the atoll study area is likely to be exposed to inundation (68% chance or greater), while more than 20% of the atoll is extremely likely to be exposed (95% chance or greater). The study demonstrates the substantial value of a high-accuracy DEM for assessing inundation exposure of low-relief islands and the enhanced information from accounting for vertical uncertainty. © 2020 by the authors.</t>
  </si>
  <si>
    <t>2-s2.0-85083491956"</t>
  </si>
  <si>
    <t>10.1007/s11442-020-1720-0</t>
  </si>
  <si>
    <t>https://www.scopus.com/inward/record.uri?eid=2-s2.0-85077319280&amp;doi=10.1007%2fs11442-020-1720-0&amp;partnerID=40&amp;md5=21839f041db30bc8654bba87c6414906</t>
  </si>
  <si>
    <t>The morphological changing trend of the Yangtze Estuary, the largest estuary of Asia, has become a focus of research in recent years. Based on a long series of topographic data from 1950 to 2015, this paper studied the erosion-deposition pattern of the entire Yangtze Estuary. An alternation between erosion and deposition was found during the past 65 years, which was in correspondence to the alternation between flood and dry periods identified by multi-year average duration days of high-level water flow (defined as discharge ≥ 60,000 m3/s, namely, D≥60,000) from the Yangtze River Basin. A quantitative relationship was further developed between the erosional/depositional rate of the Yangtze Estuary and the interpreting variables of yearly water discharge, D≥60,000 and yearly river sediment load, with contributing rates of 1%, 59% and 40%, respectively. Mechanism behind the alternate erosion and deposition pattern was analyzed by examining residual water surface slope and the corresponding capacity of sediment transport in flood and dry periods. In flood periods, a larger discharge results in steeper slope of residual water level which permits a greater capacity of sediment transport. Therefore, more bed materials can be washed to the sea, leading to erosion of the estuary. In contrast, flatter slope of residual water level occurs in dry periods, and deposition dominates the estuarine area due to the decreased capacity of sediment transport and the increased backwater effect of flood-tide. Coastal dynamics and estuarine engineering projects alter the local morphological changes, but slightly affect the total erosional/depositional rate of the whole estuarine region. Heavy sedimentation within the Yangtze Estuary after the impoundment of the Three Gorges Dam can be attributed to the reduced occurrence frequency of flood years due to water regulation by the dam, and largely (at least 36%–52%) sourced from the sea. Deposition is still possible to occur in the Yangtze Estuary in the future, because the multi-year average D≥60,000 is unlikely to exceed the critical value of 14 days/yr which corresponds to the future equilibrium state of the Yangtze Estuary, under the water regulation of the large cascade dams in the upper Yangtze. Nevertheless, the mean depositional rate will not surpass the peak value of the past years, since the total sediment load entering the Yangtze Estuary has presented a decreasing trend. © 2020, Science Press Springer-Verlag.</t>
  </si>
  <si>
    <t>2-s2.0-85077319280"</t>
  </si>
  <si>
    <t>10.1002/wcc.612</t>
  </si>
  <si>
    <t>https://www.scopus.com/inward/record.uri?eid=2-s2.0-85074561316&amp;doi=10.1002%2fwcc.612&amp;partnerID=40&amp;md5=9ff00895b70de7d1f1023ffbf7ec7106</t>
  </si>
  <si>
    <t>The scale and speed of action required to limit global warming is unprecedented. However, claims that it is “too late” to act or that societal collapse is “inevitable,” must be challenged, particularly in the context of Pacific Small Island Developing States (PSIDS). Here, the serious impacts of sea-level rise may already be unavoidable, but ongoing global mitigation efforts are essential to avoid further catastrophic impacts. First, narratives of despair reinforce social distancing in ways that make it harder to assert claims of shared responsibility for past climate injustices and mutual obligations in the future. Second, claims that it too late to avoid societal collapse overlook significant adaptation efforts already initiated by PSIDS, particularly those led by women and youth, which are informed by distinctive community values of Vai Nui or Fonofale (interconnected well-living). These values have sustained PSIDS societies through traumatic histories of colonization, racism, and violence, and are still positioned to support communities suffering now, and when facing future risks. This article is categorized under: Policy and Governance &gt; Governing Climate Change in Communities, Cities, and Regions. © 2019 Wiley Periodicals, Inc.</t>
  </si>
  <si>
    <t>2-s2.0-85074561316"</t>
  </si>
  <si>
    <t>10.15244/pjoes/118745</t>
  </si>
  <si>
    <t>https://www.scopus.com/inward/record.uri?eid=2-s2.0-85089850593&amp;doi=10.15244%2fpjoes%2f118745&amp;partnerID=40&amp;md5=57858ae00d6a95bdff556b7e75254c0e</t>
  </si>
  <si>
    <t>In this study, we assess the land cover changes in southwestern Lithuania from 1984 to 2018. These changes were examined using data derived from Landsat 5, Landsat 8, and Sentinel-2 multispectral images. The study area encompasses the Nemunas Delta, which is affected by river-induced floods leading to seasonal variations in water coverage. The water-covered area was found to be quite stable across the years during the dry seasons, i.e., in summer and early autumn. A significant increase in forested areas was observed during the study period (from 15.1% to 19.0% of the total area). During the examined period, the average size of agricultural parcels decreased several times (from approximately 35 ha to approximately 5 ha), which was caused by the transition from socialist to private ownership-based agricultural practices in the early 1990s. Almost all changes observed had rather positive environmental impacts (for biodiversity and maintenance of wildlife). Positive impacts included the establishment of several new protected territories between analysed periods. Negative impacts included the construction of wind turbines (approximately 50 in the area of study), which were not present at the beginning of the study period and may negatively affect the natural (agricultural and wetland) landscape of the region. © 2020, HARD Publishing Company. All rights reserved.</t>
  </si>
  <si>
    <t>2-s2.0-85089850593"</t>
  </si>
  <si>
    <t>10.1016/j.rsase.2019.100274</t>
  </si>
  <si>
    <t>https://www.scopus.com/inward/record.uri?eid=2-s2.0-85074766352&amp;doi=10.1016%2fj.rsase.2019.100274&amp;partnerID=40&amp;md5=e20d8e8536e1337617234fd37a22f832</t>
  </si>
  <si>
    <t>The present study examines the extent of erosion and deposition along the banks of the lower reaches of the Krishna River (India) between 1973 and 2015, by analyzing the shifts in the bank lines using Landsat images of the years 1973, 1991 and 2015. The analysis is limited to the river segment downstream of the Nagarjuna Sagar Dam up to the Krishna Delta (318 km). The results indicated that the total area lost between 1973 and 1991 due to bank erosion was 3093 ha, whereas the areal extent was reduced to 1386 ha during 1991–2015. Although the individual river reaches had characteristic bank shifting patterns during the period, most of the reaches shifted their banks without changing the bankfull width of the river. Bank erosion was dominated in most of the study reaches during 1973–1991, compared to deposition, while the pattern was reversed during 1991–2015. The contrasting bank erosion/deposition patterns between 1973-1991 and 1991–2015 might be the reflection of the variations in the pattern of flood events between the periods. The impact of the Nagarjuna Sagar Dam on bank erosion is apparent as a sharp increase in the erosion intensity downstream of the dam. The spatial variability of bank erosion is also a function of regional lithology, with marked variability between the Quaternary sediments and other lithological types. © 2019</t>
  </si>
  <si>
    <t>2-s2.0-85074766352"</t>
  </si>
  <si>
    <t>10.1371/journal.pone.0220936</t>
  </si>
  <si>
    <t>https://www.scopus.com/inward/record.uri?eid=2-s2.0-85078789405&amp;doi=10.1371%2fjournal.pone.0220936&amp;partnerID=40&amp;md5=327b7abaed48064b21dc91219f21d029</t>
  </si>
  <si>
    <t>Coastal areas are urbanizing at unprecedented rates, particularly in low- and middle-income countries. Combinations of long-standing and emerging problems in these urban areas generate vulnerability for human well-being and ecosystems alike. This baseline study provides a spatially explicit global systematization of these problems into typical urban vulnerability profiles for the year 2000 using largely sub-national data. Using 11 indicator datasets for urban expansion, urban population growth, marginalization of poor populations, government effectiveness, exposures and damages to climate-related extreme events, low-lying settlement, and wetlands prevalence, a cluster analysis reveals a global typology of seven clearly distinguishable clusters, or urban profiles of vulnerability. Each profile is characterized by a specific data-value combination of indicators representing mechanisms that generate vulnerability. Using 21 studies for testing the plausibility, we identify seven key profile-based vulnerabilities for urban populations, which are relevant in the context of global urbanization, expansion, and climate change. We show which urban coasts are similar in this regard. Sensitivity and exposure to extreme climate-related events, and government effectiveness, are the most important factors for the huge asymmetries of vulnerability between profiles. Against the background of underlying global trends we propose entry points for profile-based vulnerability reduction. The study provides a baseline for further pattern analysis in the rapidly urbanizing coastal fringe as data availability increases. We propose to explore socio-ecologically similar coastal urban areas as a basis for sharing experience and vulnerability-reducing measures among them. © 2020 Sterzel et al. This is an open access article distributed under the terms of the Creative Commons Attribution License, which permits unrestricted use, distribution, and reproduction in any medium, provided the original author and source are credited.</t>
  </si>
  <si>
    <t>2-s2.0-85078789405"</t>
  </si>
  <si>
    <t>10.1371/journal.pone.0226275</t>
  </si>
  <si>
    <t>https://www.scopus.com/inward/record.uri?eid=2-s2.0-85077940938&amp;doi=10.1371%2fjournal.pone.0226275&amp;partnerID=40&amp;md5=dbd425066399e04c158d051f51ae83ca</t>
  </si>
  <si>
    <t>Storm surge and sea level rise (SLR) are affecting coastal communities, properties, and ecosystems. While coastal ecosystems, such as wetlands and marshes, have the capacity to reduce the impacts of storm surge and coastal flooding, the increasing rate of SLR can induce the transformation and migration of these natural habitats. In this study, we combined coastal storm surge modeling and economic analysis to evaluate the role of natural habitats in coastal flood protection. We focused on a selected cross-section of three coastal counties in New Jersey adjacent to the Jacques Cousteau National Estuarine Research Reserve (JCNERR) that is protected by wetlands and marshes. The coupled coastal hydrodynamic and wave models, ADCIRC+SWAN, were applied to simulate flooding from historical and synthetic storms in the Mid-Atlantic US for current and future SLR scenarios. The Sea Level Affecting Marshes Model (SLAMM) was used to project the potential migration and habitat transformation in coastal marshes due to SLR in the year 2050. Furthermore, a counterfactual land cover approach, in which marshes are converted to open water in the model, was implemented for each storm scenario in the present and the future to estimate the amount of flooding that is avoided due to the presence of natural habitats and the subsequent reduction in residential property damage. The results indicate that this salt marshes can reduce up to 14% of both the flood depth and property damage during relatively low intensity storm events, demonstrating the efficacy of natural flood protection for recurrent storm events. Monetarily, this translates to the avoidance of up to $13.1 and $32.1 million in residential property damage in the selected coastal counties during the ‘50-year storm’ simulation and hurricane Sandy under current sea level conditions, and in the year ‘2050 SLR scenario’, respectively. This research suggests that protecting and preserving natural habitats can contribute to enhance coastal resilience. © 2020 Rezaie et al. This is an open access article distributed under the terms of the Creative Commons Attribution License, which permits unrestricted use, distribution, and reproduction in any medium, provided the original author and source are credited.</t>
  </si>
  <si>
    <t>2-s2.0-85077940938"</t>
  </si>
  <si>
    <t>https://www.scopus.com/inward/record.uri?eid=2-s2.0-85092338197&amp;partnerID=40&amp;md5=3e1e4030b474d252ac772d0e0a802154</t>
  </si>
  <si>
    <t>Flash floods in the rural and urban areas led to high level of water in the roads, houses and agricultural land which create numerous problems such as traffic problems, water-borne diseases, and damages of roads and collapse of buildings. It is impossible to reduce the occurrence of floods but it is possible to identify the risks zone and employ measures to reduce its disastrous effect. The aim of this paper is to demarcate the flood risk zone of Vitilevu Island into ‘low’, ‘moderate’, and ‘high’ classes. In order to fulfil this, we use hydrology, site-soil-geology, and geomorphology and SRTM DEM data. The method used is called Analytical Hierarchical Process (AHP) to ascertain the relative impact weight of flood causative parameters to get the flood hazard index (FHI). The outcome was the flood hazard Zone of Vitilevu Island showing selected infrastructures vulnerable to different zone of flood. Thus, this present study contributes conceptually, contextually and temporally towards the use of GIS and urban planning disciplines. © Geoinformatics International.</t>
  </si>
  <si>
    <t>2-s2.0-85092338197"</t>
  </si>
  <si>
    <t>Bulletin of the Geological Society of America</t>
  </si>
  <si>
    <t>10.1130/B35183.1</t>
  </si>
  <si>
    <t>https://www.scopus.com/inward/record.uri?eid=2-s2.0-85098155861&amp;doi=10.1130%2fB35183.1&amp;partnerID=40&amp;md5=465b0223a97866050b89977b6e95a324</t>
  </si>
  <si>
    <t>Interactions between lava flows and surface water are not always considered in hazard assessments, despite abundant historical and geological evidence that they can create significant secondary hazards (e.g., floods and steam explosions). We combine contemporary accounts of the 1783–1784 Laki fissure eruption in southern Iceland with morphological analysis of the geological deposits to reconstruct the lava–water interactions and assess their impact on residents. We find that lava disrupted the local river systems, impounded water that flooded farms and impeded travel, and drove steam explosions that created at least 2979 rootless cones on the lava flow. Using aerial photographs and satellite-derived digital terrain models, we mapped and measured 12 of the 15 rootless cone groups on the Laki lava field. We have identified one new rootless cone group and provide data that suggest another cone group previously attributed to the 939–940 CE Eldgjá eruption was created by the Laki eruption. We then use contemporary accounts to estimate formation dates and environments for each cone group, which formed in wetland/lake areas, on riverbeds, and near areas of impounded water. Furthermore, comparison with previous field studies shows that assessments using remote sensing can be used to identify and map meter-scale and larger features on a lava flow, although remote mapping lacks the detail of field observations. Our findings highlight the different ways in which lava can interact with surface water, threatening people, property, water supplies, and infrastructure. For these reasons, anticipation of such interactions is important in lava flow hazard assessment in regions with abundant surface water</t>
  </si>
  <si>
    <t>Atmosfera</t>
  </si>
  <si>
    <t>10.20937/ATM.52650</t>
  </si>
  <si>
    <t>https://www.scopus.com/inward/record.uri?eid=2-s2.0-85085104317&amp;doi=10.20937%2fATM.52650&amp;partnerID=40&amp;md5=cced57e78648b27080a88e751464de49</t>
  </si>
  <si>
    <t>An integrated coastal zone management approach was used towards building adaptation strategies for the city of San Francisco de Campeche, Mexico. Large interannual variability in precipitation extremes have led to city-wide flooding in numerous occasions, threatening the population and city infrastructure. A special steering committee was appointed to coordinate an integrated coastal management plan within the three levels of government (federal, state and municipal) and to review the legal framework for water management. The municipal administration designed the blueprint for the project and an associated environmental education campaign. A pluvial drainage system was built to separate pluvial from domestic wastewater. Moreover, the wastewater drainage system was strengthened, and the city water treatment plants improved. As a result, water quality in the coastal zone improved and the city of San Francisco de Campeche was able to build its plan for adaptation to extreme rain events, which are increasingly frequent due to climate change. © 2020 Universidad Nacional Autonoma de Mexico, Centro de Ciencias de la Atmosfera.</t>
  </si>
  <si>
    <t>2-s2.0-85085104317"</t>
  </si>
  <si>
    <t>10.1007/s11069-019-03814-x</t>
  </si>
  <si>
    <t>https://www.scopus.com/inward/record.uri?eid=2-s2.0-85074703466&amp;doi=10.1007%2fs11069-019-03814-x&amp;partnerID=40&amp;md5=a86e0eaaa7acaaf2696668b4d90deeff</t>
  </si>
  <si>
    <t>There is an increased risk in post-fire debris flow (DF) occurrences in the western USA with recent increase in wildfire frequencies. DFs are destructive, causing high loss to lives and infrastructure. A lot of effort is going into possible preventive and/or mitigation measures. Recent research efforts in this niche focus on developing statistical models that assist emergency responders in isolating high-hazard locations after fires. There are two general approaches to this statistical modeling: linear and nonlinear. This study has looked into applying a linear-based logistic regression model and a nonlinear-based C5.0 decision tree model to assess the strength of each in predicting the locations within the Thomas Fire boundary that produced DFs. To do this, DF scars were delineated by running a change detection protocol known as delta normalized difference vegetation index (dNDVI), using high spatial resolution data from Planet Labs. These scars were further validated with data gathered by Santa Barbara County officials on affected areas. Results from the two statistical models were then overlain on the delineated DF scars and compared against each other to determine predictive strengths. The results revealed both models to perform well in predicting high probabilities for locations that were shown to produce DFs. The logistic regression model predicted an overall ~ 44,800 ha (49%) more high-hazard coverage compared to the C5.0 tree and therefore showed greater urgency. However, a closer look at the basin predictions with the delineated DF scars showed that most of these high-hazard basins identified by the logistic regression did not to have any discernible scars. It was projected that most of these locations were likely false positives and further fine-tuning of the model was recommended. Further recommendation was made concerning the development of additional models to predict potential DF inundation paths. Combining origination and inundation models will be most beneficial since the greatest associated danger with DFs is not necessarily where they start, but rather further downstream where most communities and infrastructure are situated. © 2019, Springer Nature B.V.</t>
  </si>
  <si>
    <t>2-s2.0-85074703466"</t>
  </si>
  <si>
    <t>10.7186/bgsm70202008</t>
  </si>
  <si>
    <t>https://www.scopus.com/inward/record.uri?eid=2-s2.0-85096954054&amp;doi=10.7186%2fbgsm70202008&amp;partnerID=40&amp;md5=169473a93f143cf5261317bd2a3ec229</t>
  </si>
  <si>
    <t>The offshore area in the northeast of Kendari city, the southeast arm of Sulawesi, is an area with favourable hydrocarbon prospectivity shown by numerous oil and gas seeps in the surrounding coastal area. It is a frontier basin in eastern Indonesia, known as the Manui Basin. An exploration well named Abuki-1 was drilled in 1990 suggested a Miocene transgressive sequence as a potential reservoir and source rock at this basin. However, this unit has no analogous exposure in the onshore area resulting in the lack of study and knowledge of this potential Miocene unit. Therefore, we revisit the sedimentary rocks exposure nearby Abuki-1 well in the Toronipa peninsula to study about its sedimentary facies and palynological contents. These outcrops by previous researchers were included in Toronipa Member of Meluhu Formation, and a Triassic age was suggested for this unit. By contrast, our result shows that these exposures are Middle to Late Miocene in age as indicated by the occurrence of the Florschuetzia group pollens (Florschuetzia trilobata, F. levipoli, and F. meridionalis). The absence of Plio-Pleistocene pollen and spores index fossils (Stenochlaena milnei group, Dacrycarpus imbricatus, and Phyllocladus) supports the Middle to Late Miocene age interpretation. A wave-dominated estuary depositional model is proposed based on the presence of river-dominated, mixed-energy, and wave-dominated facies associations. We suggest that the studied sediments are the outcrop analogues for the Middle to Late Miocene transgressive sequence found in Abuki-1 well. Furthermore, we recommend that these Miocene estuary-fill complexes should have excellent hydrocarbon potential. The reservoir potential is the sand deposits of the fluvial, tidal, washover, and shoreface facies with moderately to well-sorted characteristics. The source rocks candidate is the mud of lagoon, tidal flat, floodplain, and marine offshore facies. Moreover, the Manui Basin, with its Miocene estuarine deposits, requires further study to reveal its hydrocarbon accumulation potential. © 2020 Geological Society of Malaysia. All rights reserved.</t>
  </si>
  <si>
    <t>2-s2.0-85096954054"</t>
  </si>
  <si>
    <t>10.1080/08920753.2020.1823667</t>
  </si>
  <si>
    <t>https://www.scopus.com/inward/record.uri?eid=2-s2.0-85091346730&amp;doi=10.1080%2f08920753.2020.1823667&amp;partnerID=40&amp;md5=ed2c73b1068ab7a944b81596b35a08be</t>
  </si>
  <si>
    <t>This study uses data from shoreline modification permit applications in Gloucester County, Virginia to provide insights into how coastal managers can encourage the use of living shorelines over shoreline armoring. The data show that shorelines are more likely to be modified on properties with high neighboring property values and properties threatened by hurricane storm surge and high wave energy, while modifications are less likely in conservation areas and areas with high percentages of natural cover and agricultural use. Compared to armoring, living shorelines are more likely in FEMA Special Flood Hazard Areas and following recent flooding experiences but are less likely to be installed following an FEMA disaster declaration. Property owners are also significantly more likely to install a specific modification if their neighbors have already installed that modification. Based on these results, coastal managers may be able to increase the effectiveness of interventions to reduce shoreline modification by targeting unmodified high value properties in residential areas with high wave energy. To encourage property owners to install living shorelines over armoring, the results suggest that coastal managers should target properties with armored neighbors or properties in business zones and should develop interventions directly following significant storm events. © 2020 Taylor &amp; Francis Group, LLC.</t>
  </si>
  <si>
    <t>2-s2.0-85091346730"</t>
  </si>
  <si>
    <t>10.3390/hydrology7010019</t>
  </si>
  <si>
    <t>https://www.scopus.com/inward/record.uri?eid=2-s2.0-85083574288&amp;doi=10.3390%2fhydrology7010019&amp;partnerID=40&amp;md5=cd7a00d2ea763058c600deb3779207ed</t>
  </si>
  <si>
    <t>The Niger Delta is the most climate-vulnerable region in Nigeria. Flooding events are recorded annually in settlements along the River Niger and its tributaries, inundating many towns and displacing people from their homes. In this study, climate change impacts from extreme meteorological events over the period 2010-2099 are predicted and analyzed. Four coupled model intercomparison project phase 5 (CMIP5) global climate models (GCMs) under respectively concentration pathways (RCP4.5 and RCP8.5) emission scenarios were used for climate change predictions. Standardized precipitation indices (SPI) of 1-month and 12-month time steps were used for extreme event assessment. Results from the climate change scenarios predict an increase in rainfall across all future periods and under both emission scenarios, with the highest projected increase during the last three decades of the century. Under the RCP8.5 emission scenario, the rainfall at Port Harcourt and Yenagoa Stations is predicted to increase by about 2.47% and 2.62% while the rainfall atWarri Station is predicted to increase by about 1.39% toward the end of the century. The 12-month SPI under RCP4.5 and RCP8.5 emission scenarios predict an exceedance in the extreme wet threshold (i.e., SPI &gt; 2) during all future periods and across all study locations. These findings suggest an increasing risk of flooding within the projected periods. The finding can be useful to policymakers for the formulation and planning of flood mitigation and adaptation measures. © 2020 by the authors. Licensee MDPI, Basel, Switzerland.</t>
  </si>
  <si>
    <t>2-s2.0-85083574288"</t>
  </si>
  <si>
    <t>10.1109/JSTARS.2020.2995888</t>
  </si>
  <si>
    <t>https://www.scopus.com/inward/record.uri?eid=2-s2.0-85086898668&amp;doi=10.1109%2fJSTARS.2020.2995888&amp;partnerID=40&amp;md5=620e8c377c4ed200c9d21ff45eb26e88</t>
  </si>
  <si>
    <t>The flooding extent area in a river valley is related to river gauge observations such as discharge and water elevations. The higher the water elevations, or discharge, the larger the flooding area. Flooding extent maps are often derived from synthetic aperture radar (SAR) images using thresholding methods. The thresholding methods vary in complexity and number of required parameters. We proposed a simple thresholding method that takes advantage of the correlation between the river gauge and the flooding area. To show the applicability of the method, we used a 2014-2018 time series of 161 Sentinel 1 SAR images acquired over a wetland floodplain located in Northeast Poland. We validated the method by extracting local water line elevations from a high-resolution digital elevation model for three river gauges, which resulted in a root-mean-square error of 0.16 m, a bias of 0.07 m, and a correlation of 0.86 for the best scenario. The scenario analysis showed that the most important factor affecting the method's accuracy was a proper delineation of the zone in which the flooding extent area was calculated. This was because other water sources, uncorrelated with river flow, were present in the floodplain as open water. Additionally, higher accuracy was obtained for the VV than VH polarization. The discharge can be used instead of water elevations as a river gauge variable, but this results in more bias in the water extent estimates.  © 2008-2012 IEEE.</t>
  </si>
  <si>
    <t>2-s2.0-85086898668"</t>
  </si>
  <si>
    <t>https://www.scopus.com/inward/record.uri?eid=2-s2.0-85086164783&amp;partnerID=40&amp;md5=f41c8bb9a51f429a2b279dfdb4d8241f</t>
  </si>
  <si>
    <t>Floods are extreme events that appear a lot more often nowadays and are becoming a severe problem considering their effects. Studies and hydraulic models show that the intensity and frequency of such events will increase due to climate change, increasing thus the extent of their effects. In order to improve the knowledge on the effects of floods and to minimise the damage, a European team of experts implemented the Horizon 2020 project, Flood-Serv (Public FLOOD Emergency and Awareness SERVice). Within this project, IT specialists, researchers and flood risk management practitioners collaborated to develop the FLOOD-serv System, a multicomponent, integrated, pro-active and personalised citizen-centric public service application that will enhance the involvement of the citizen and will harness the collaborative power of ICT networks (networks of people, of knowledge, of sensors), to raise awareness on flood risks and to enable collective risk mitigation solutions and response actions. For a better approach, the project tested the services in 5 ‘pilot cities’ in five countries. The platform is built based on a complex user requirements assessment process collecting information about flood risk models based on the EU Floods Directive, flood scenarios, GIS Data, new sensor data, legal and socio-economic information, and the concrete needs and work processes of partner cities. The final form of the platform and its components support and improve the flood risk management in the test areas and also provide vital information on long term monitoring of relevant sensor data. © 2020, Scibulcom Ltd. All rights reserved.</t>
  </si>
  <si>
    <t>2-s2.0-85086164783"</t>
  </si>
  <si>
    <t>10.1353/sgo.2020.0018</t>
  </si>
  <si>
    <t>https://www.scopus.com/inward/record.uri?eid=2-s2.0-85090681824&amp;doi=10.1353%2fsgo.2020.0018&amp;partnerID=40&amp;md5=05f8015d685530a5827e5220e813518c</t>
  </si>
  <si>
    <t>A central component of hazards research involves the examination of how specific groups are affected by damaging events and how their unique sociodemographic characteristics contribute to broader variations in resilience and recovery. Supervised offenders are uniquely disadvantaged regarding demographics, housing, and economic opportunity</t>
  </si>
  <si>
    <t>10.1029/2019JF005250</t>
  </si>
  <si>
    <t>https://www.scopus.com/inward/record.uri?eid=2-s2.0-85079760139&amp;doi=10.1029%2f2019JF005250&amp;partnerID=40&amp;md5=c1284e9d52bc2fd26d3dc94195dcaa0b</t>
  </si>
  <si>
    <t>Arctic riverine fluxes are anticipated to increase as the Arctic warms and have a large impact on the Arctic ocean. Deltas modify the spatial and temporal distributions of riverine fluxes, but no thorough studies have been conducted to analyze Arctic delta morphologies to determine their influence on land-ocean fluxes. We performed an analysis of six high-latitude deltas (Colville, Kolyma, Lena, Mackenzie, Yenisei, and Yukon) to characterize delta morphologies and determine the influence of morphology on the distribution of fluxes to the coast. All six deltas deliver material to the coast at discrete locations across small areas despite differences in delta shoreline length. Large Arctic deltas exhibit large variability in channel width, which we hypothesize is due to a feedback with ice cover and retreat that favors the growth of large channels over geologic timescales. Spatial variability in island sizes suggests variability in channel activity, island nourishment, and susceptibility to drowning by sea level rise. Potential lake storage is highest on the Mackenzie delta, thus providing a means for reducing nutrient and sediment loading of the coastal ocean. Connected lakes are also prevalent on the Colville and Yukon deltas, suggesting that these deltas can filter riverine fluxes even when the deltas are not flooded. Differences in Arctic delta morphologies can be explained by varying levels of riverine and marine influence, antecedent topography, and local channel dynamics. Ice cover also plays a large role in controlling Arctic delta morphologies and dynamics that has not been previously represented in interpretations of existing delta metrics. ©2019. American Geophysical Union. All Rights Reserved.</t>
  </si>
  <si>
    <t>2-s2.0-85079760139"</t>
  </si>
  <si>
    <t>10.1016/j.jenvman.2019.109753</t>
  </si>
  <si>
    <t>https://www.scopus.com/inward/record.uri?eid=2-s2.0-85074133917&amp;doi=10.1016%2fj.jenvman.2019.109753&amp;partnerID=40&amp;md5=936122089f6ff5f5d171ad116acf61a6</t>
  </si>
  <si>
    <t>‘Managed retreat’ is gaining considerable attention as part of megacities' climate change adaptation and resilience enhancement toolkits, and as a policy option for disaster risk reduction in coastal regions. The overarching objective of managed retreat is to reduce the exposure of people and assets to flooding, storm surges and sea level rise by retreating from these threats in a planned fashion. Managed retreat is one of four main options covered in the ‘PARA’ (protect/accommodate/retreat/avoid) framework explained in this paper, which can be used to enhance resilience in coastal megacities. In this paper, qualitative research methods were used to collect primary data on the feasibility of using managed retreat for two case study coastal megacities: Manila, Philippines, and Vancouver, Canada. Both case studies review the risk context of each city, local climate change adaptation/disaster risk reduction (CCA/DRR) policies linked to managed retreat, examples of managed retreat practice, and barriers to managed retreat identified through primary or secondary data analysis. Comparisons between the two cases are then carried out, and similarities and differences are highlighted. The paper concludes by suggesting possible means by which barriers to managed retreat might be overcome. © 2019 Elsevier Ltd</t>
  </si>
  <si>
    <t>2-s2.0-85074133917"</t>
  </si>
  <si>
    <t>Geologica Belgica</t>
  </si>
  <si>
    <t>10.20341/GB.2020.012</t>
  </si>
  <si>
    <t>https://www.scopus.com/inward/record.uri?eid=2-s2.0-85086433553&amp;doi=10.20341%2fGB.2020.012&amp;partnerID=40&amp;md5=1b42f57c99c80df53eec28c2d232e279</t>
  </si>
  <si>
    <t>Research conducted since the 1960s on the upper Miocene Diest Formation in NE Belgium is reviewed and integrated. Their lithology unites the deposits of the glauconiferous Diest Sand in one formation, though biozones and internal sedimentary structures strongly suggest the formation may agglomerate the deposits of two separate, successive sedimentary cycles. The lowermost cycle is thought to have deposited the “Hageland Diest sand” during the early or middle Tortonian. It contains the Diest Sand in the main outcrop area in Hageland, Zuiderkempen and central Limburg, and probably also the Deurne Member near the city of Antwerpen. It furthermore includes the lower part of the Dessel Member in the central Kempen and in the Belgian part of the Roer Valley Graben (RVG). The Hageland Diest cycle represents the infill of a large tidal inlet tributary to the southern North Sea bight, then situated over the southern Netherlands and the Lower Rhine embayment. The Hageland Diest sand has the composition of a marine deposit, yet the confined area of occurrence and the presence of tens of metres deep incisions at the base, set it apart. The confinement of the embayment, strong tides and a steady supply of coastal-marine sand are invoked as the main driving forces that resulted in the distinctive geometry and internal architecture of the unit. The upper cycle is associated with the “Kempen Diest sand”, which is found in the subsurface of the RVG and the Noorderkempen. It has a late Tortonian to earliest Messinian age with progressively younger ages occurring to the NW. It encompasses the upper part of the Dessel Member and the overlying, coarser Diest Sand, and correlates to most or all of the thickly developed Diessen Formation in The Netherlands. It is the deposit of a prograding marine delta, containing both marine components and continental components fed by the palaeo-Meuse/Rhine river mouths. Accommodation space kept increasing during deposition, due to subsidence of the deposition area, especially inside the RVG but also in the Noorderkempen. Although there is a fair consensus on the above, many concrete points about the geometry and depositional history of the Diest Formation and even a definitive decision on its single or dual character remain to be sorted out. In addition, this review excludes the Flemish Hills sand and the Gruitrode Member from the Diest Formation. © 2020, Geologica Belgica. All rights reserved.</t>
  </si>
  <si>
    <t>2-s2.0-85086433553"</t>
  </si>
  <si>
    <t>Journal of Risk Analysis and Crisis Response</t>
  </si>
  <si>
    <t>10.2991/jracr.k.200117.004</t>
  </si>
  <si>
    <t>https://www.scopus.com/inward/record.uri?eid=2-s2.0-85081973501&amp;doi=10.2991%2fjracr.k.200117.004&amp;partnerID=40&amp;md5=45a265214a2daacd4d857386bba445d3</t>
  </si>
  <si>
    <t>Based on the historical data of meteorological disasters in East China during 2004–2015, the overall characteristics, interannual variations and the hazards of meteorological disasters in different provinces of East China were analyzed. The results indicated that flood disaster (including landslide and mud-rock flow) induced by rainstorms had caused the largest affected area and total failure area of crops, and also caused the largest number of affected people and collapsed houses. Strong convection weather (including gale, hail, thunder and lightning) disaster resulted in the largest number of deaths and typhoon disaster caused the greatest direct economic losses. There were significant decreasing trends in the affected area and the total failure area of crops, and the number of affected people and deaths during 2004–2015, while the direct economic loss caused by meteorological disasters showed no significant trend in East China. The hazards of meteorological disasters had obvious regional differences. In the northern part of East China, the hazards of drought and strong convection weather disasters were higher, but in the southern part, there were higher hazards of flood disaster. In the eastern coastal areas of East China, the hazards of typhoon disaster were higher. Hazard analysis of meteorological disasters has important significances for disaster prevention and mitigation, risk management and crisis response. © 2020 The Authors. Published by Atlantis Press SARL.</t>
  </si>
  <si>
    <t>2-s2.0-85081973501"</t>
  </si>
  <si>
    <t>10.2166/wcc.2019.209</t>
  </si>
  <si>
    <t>https://www.scopus.com/inward/record.uri?eid=2-s2.0-85098246108&amp;doi=10.2166%2fwcc.2019.209&amp;partnerID=40&amp;md5=13807e1c1355ff44ffdcd9c38e50442d</t>
  </si>
  <si>
    <t>Coastal ecosystems are linked to socio-economic development, but simultaneously, are particularly vulnerable to anthropogenic climate change and sea level rise (SLR). Within this scope, detailed topographic data resources of Spercheios River and Maliakos Gulf coastal area in Greece, combined with information concerning the economic value of the most important sectors of the area (wetland services, land property, infrastructure, income) were employed, so as to examine the impacts of three SLR scenarios, compiled based on the most recent regional projections reviewed. Based on the results, in the case of 0.3 m, 0.6 m and 1.0 m SLR, the terrestrial zone to be lost was estimated to be 6.2 km2, 18.9 km2 and 31.1 km2, respectively. For each scenario examined, wetlands comprise 68%, 41% and 39% of the total area lost, respectively, reflecting their sensitivity to even small SLR. The total economic impact of SLR was estimated to be 75.4 × 106 €, 161.7 × 106 € and 510.7 × 106 € for each scenario, respectively (3.5%, 7.5% and 23.7% of the gross domestic product of the area), 19%, 17% and 8% of which can be attributed to wetland loss. The consequences of SLR to the ecosystem services provided are indisputable, while adaptation and mitigation planning is required. © IWA Publishing 2020.</t>
  </si>
  <si>
    <t>2-s2.0-85098246108"</t>
  </si>
  <si>
    <t>10.7186/bgsm69202008</t>
  </si>
  <si>
    <t>https://www.scopus.com/inward/record.uri?eid=2-s2.0-85087038976&amp;doi=10.7186%2fbgsm69202008&amp;partnerID=40&amp;md5=ccd2cd83dbfa7ce967b174a0ef2b3970</t>
  </si>
  <si>
    <t>Flow velocities through an estuarine sandbar under closed estuary condition for a temporary open/close estuary system (TOCE) corresponding to relation between river, groundwater and tidal levels were studied. Multivariate regression analysis was used to construct a model for estimating flow velocities. Validated model result shows a very good prediction for flow velocities in the sandbar (R2 = 0.9999). This simple approach could describe the effect of the transition phase (flow through a closed estuary) on channel flow and backwater behaviour in relation to tidal forcing into a sandbar. It implies a broader usefulness in channel flow routing in coastal areas with TOCE system for flood modelling and management purpose. © 2020 Geological Society of Malaysia. All rights reserved.</t>
  </si>
  <si>
    <t>2-s2.0-85087038976"</t>
  </si>
  <si>
    <t>10.2166/wcc.2019.057</t>
  </si>
  <si>
    <t>https://www.scopus.com/inward/record.uri?eid=2-s2.0-85098278732&amp;doi=10.2166%2fwcc.2019.057&amp;partnerID=40&amp;md5=9b22bd9a013debeb899e6fb7d944eef8</t>
  </si>
  <si>
    <t>Sea level rise (SLR) is a serious issue around the world that affects the hydrodynamic behaviour of river and coastal waters. This work presents the hydrodynamic pattern modelled for the region and prediction of oil spill spreading at Pulai River estuary and southwest Johor Strait before and after SLR phenomenon using TELEMAC-2D. The hydrodynamic calibration and validation were in good agreement between measured and modelled values. The mean absolute error (MAE) of water level is less than 3% and average difference in speed and direction of current is less than 10% and 30°, respectively. These values meet the impact evaluation assessment by the Department of Irrigation and Drainage (DID), which is less than 10% for water level and less than 30% and 45° for current speed and direction, respectively. Permanent service for mean sea level (PSMSL) analysis shows an increased water level of 0.35 m after SLR rise by year 2100. Currents also increase with the effect of SLR. At the Pulai River, the observed spill trajectory remains the same before and after SLR but in open seas, the affected oil spillage area at the anchorage zone is estimated to increase 28% after SLR compared to 2015. It is predicted that SLR increases water level, currents and oil spill spreading at open seas. © IWA Publishing 2020 J.</t>
  </si>
  <si>
    <t>2-s2.0-85098278732"</t>
  </si>
  <si>
    <t>10.1080/24694452.2020.1766409</t>
  </si>
  <si>
    <t>https://www.scopus.com/inward/record.uri?eid=2-s2.0-85085917391&amp;doi=10.1080%2f24694452.2020.1766409&amp;partnerID=40&amp;md5=973cf666838712abb3e0355de36e2930</t>
  </si>
  <si>
    <t>We analyzed the migration consideration factors of residents from the Mississippi River Delta in southern Louisiana, which is under the influence of rising sea levels, subsiding land, and increasing flood risks. Through the use of a telephone survey of 1,125 adult individuals in twenty-four parishes, we gathered the demographic data and flood risk experiences and perceptions of each respondent. The data were analyzed through descriptive statistics, means comparisons, and logistic regression to determine the factors with the highest influence on migration consideration. Results show that 21.5 percent of respondents considered moving, and they were mostly renters, were mostly younger, had experienced flooding before, and were less satisfied with their current living condition. Flood risk was found to be an important deciding factor, but it is not the most important one. Instead, economic opportunities have a greater effect on respondents’ desire to move or stay. The findings provide useful information and insights into the planning and management of a flood-prone region and whether managed retreat or other mitigation measures would be effective. © 2020, © 2020 by American Association of Geographers.</t>
  </si>
  <si>
    <t>2-s2.0-85085917391"</t>
  </si>
  <si>
    <t>Journal of Glaciology</t>
  </si>
  <si>
    <t>10.1017/jog.2020.32</t>
  </si>
  <si>
    <t>https://www.scopus.com/inward/record.uri?eid=2-s2.0-85086023509&amp;doi=10.1017%2fjog.2020.32&amp;partnerID=40&amp;md5=495996ace2e662bceac2176b42036fa6</t>
  </si>
  <si>
    <t>Glacier mass loss in Alaska has implications for global sea level rise, fresh water input into the Gulf of Alaska and terrestrial fresh water resources. We map all glaciers (&gt;4000 km2) on the Kenai Peninsula, south central Alaska, for the years 1986, 1995, 2005 and 2016, using satellite images. Changes in surface elevation and volume are determined by differencing a digital elevation model (DEM) derived from Advanced Spaceborne Thermal Emission and Reflection Radiometer stereo images in 2005 from the Interferometric Synthetic Aperture Radar DEM of 2014. The glacier area shrunk by 543 ± 123 km(12 ± 3%) between 1986 and 2016. The region-wide mass-balance rate between 2005 and 2014 was -0.94 ± 0.12 m w.e. a-1 (-3.84 ± 0.50 Gt a-1), which is almost twice as negative than found for earlier periods in previous studies indicating an acceleration in glacier mass loss in this region. Area-averaged mass changes were most negative for lake-terminating glaciers (-1.37 ± 0.13 m w.e. a-1), followed by land-terminating glaciers (-1.02 ± 0.13 m w.e. a-1) and tidewater glaciers (-0.45 ± 0.14 m w.e. a-1). Unambiguous attribution of the observed acceleration in mass loss over the last decades is hampered by the scarcity of observational data, especially at high elevation, and by large interannual variability. Copyright © The Author(s), 2020. Published by Cambridge University Press.</t>
  </si>
  <si>
    <t>2-s2.0-85086023509"</t>
  </si>
  <si>
    <t>10.3390/land9090279</t>
  </si>
  <si>
    <t>https://www.scopus.com/inward/record.uri?eid=2-s2.0-85089945631&amp;doi=10.3390%2fland9090279&amp;partnerID=40&amp;md5=5be308d529fa9095991e3a972c04ef6f</t>
  </si>
  <si>
    <t>The complexity of spatial use has an impact on poverty and the development of slum settlements towards a decrease in environmental quality. In this study, we aim to analyze (1) urbanization and spatial expansion as determinants of spatial dynamics in suburban areas, (2) the eect of spatial expansion, land use change, population increase, and spatial activity patterns on the development of slum settlements, and (3) the relationship between control of spatial planning, handling land reclamation, and improving the quality of infrastructure with improving the quality of the environment and the sustainability of handling slum settlements in the suburbs. We use a sequential explanatory design, which is a combination of quantitative and qualitative research, and data are obtained through observation, in-depth interviews, surveys, and documentation. The results showed that slum settlements in watersheds and coastal areas as well as inadequate support for infrastructure services resulted in excessive groundwater use, soil pollution, and surface water quality pollution resulting in less smooth river flow regulation, lowering of water levels, urban flooding, and disease transmission. Weak control over spatial use, utilization of water catchment areas, and the inadequate fulfillment of slum settlement infrastructure services cause a decrease in environmental quality. These results indicate that it is very important to deal with slum settlements in a sustainable manner, including spatial use and environmental, economic, and social aspects. This study recommends that the handling of slum settlements requires policy support from the government in an eort, to meet the city target without slums by 2030 in Makassar City, Indonesia. © 2020 by the authors.</t>
  </si>
  <si>
    <t>2-s2.0-85089945631"</t>
  </si>
  <si>
    <t>10.1016/j.jhydrol.2019.124354</t>
  </si>
  <si>
    <t>https://www.scopus.com/inward/record.uri?eid=2-s2.0-85075316027&amp;doi=10.1016%2fj.jhydrol.2019.124354&amp;partnerID=40&amp;md5=51fa45bc107addb1b12882daf5a93c71</t>
  </si>
  <si>
    <t>Participatory methods to support successful policy decisions regarding the complex and dynamic interactions of social, ecological, and physical processes involved in flooding must be simple, easy-to-use, and cost-efficient. Accordingly, a stepwise methodological framework based on causal loop diagrams (CLDs) was developed to address the challenge of context-sensitive initialization of key stakeholders in the collaborative flood risk management process. The methodology consists of five main stages: (i) problem definition, (ii) stakeholder analysis and identification of key groups, (iii) interviews with key stakeholders to construct individual CLDs, (iv) merging of individual CLDs to form a holistic qualitative model representing the entire system, and (v) implementation of an order-oriented reduction process to simplify the final merged CLD, thereby increasing understanding of the most important processes and feedbacks. The proposed approach for flood risk management was tested in a coastal area of southern Italy, a region historically affected by flood events. Given its simplicity, the proposed method was seen as a valuable tool to elicit and map mental models, especially when working with stakeholders who did not have prior modeling experience, i.e., farmers, agricultural companies, tourist complexes, and infrastructure authorities. Indeed, all stakeholders in the current study were able to understand the process and proposed different flood risk management policies, such as land-use changes, management of damage insurance payouts, floodplain activities, and improvement of public awareness. The proposed methodology overcame multiple barriers in initializing stakeholder engagement, including the technical focus of most flood management agencies, the additional cost and time requirements for stakeholder involvement, as well as institutional structures that impede collaborative management. Moreover, the results point to socio-economic aspects of flood risk management that have not been considered in previous modeling studies. © 2019 Elsevier B.V.</t>
  </si>
  <si>
    <t>2-s2.0-85075316027"</t>
  </si>
  <si>
    <t>10.1016/j.earscirev.2019.102996</t>
  </si>
  <si>
    <t>https://www.scopus.com/inward/record.uri?eid=2-s2.0-85075199820&amp;doi=10.1016%2fj.earscirev.2019.102996&amp;partnerID=40&amp;md5=d0e4d678a48ec29d802bbeaf70c1b2b6</t>
  </si>
  <si>
    <t>Reconstructing the magnitude and timing of catastrophic drainage of proglacial lakes during Late Quaternary deglaciation of palaeo-ice sheets is important for understanding rates of landscape change and regional freshwater forcing of ocean currents. Here, we provide the first detailed reconstruction of catastrophic glacial lake outburst flooding from the Southern Hemisphere, focusing on the Río Baker catchment in central Patagonia. Firstly, we review the evidence for palaeolake drainage events in the Baker catchment showing the basin witnessed a number of events during Late Quaternary deglaciation. These floods helped re-establish the Pacific drainage pathway of the Río Baker by 12.6–11.7 ka, after millennia blocked by ice during the last glaciation. Secondly, we analyse the landform record and flow hydraulics of a catastrophic flood in Patagonia, focusing on the final, Early Holocene, drainage event of Lago General Carrera/Buenos Aires. Using two independent methods, a one-dimensional hydraulic model and dam break simulation, we estimate a minimum peak discharge of 110,000 m3s−1 (0.1 Sv), large enough to form megaflood-type landforms. Using the flow hydrograph, we constrain timing of landform genesis. Eddy bars at the top of the water column (45–65 m above the valley floor) were inundated over 2–36 h following the breach</t>
  </si>
  <si>
    <t>10.3390/ijgi9020114</t>
  </si>
  <si>
    <t>https://www.scopus.com/inward/record.uri?eid=2-s2.0-85081214710&amp;doi=10.3390%2fijgi9020114&amp;partnerID=40&amp;md5=417f882d37e86f3df2cd8fec2508c6a0</t>
  </si>
  <si>
    <t>Urban areas may be affected by multiple hazards, and integrated hazard susceptibility maps are needed for suitable site selection and planning. Furthermore, geological-geotechnical parameters, construction costs, and the spatial distribution of existing infrastructure should be taken into account for this purpose. Up-to-date land-use and land-cover (LULC) maps, as well as natural hazard susceptibility maps, can be frequently obtained from high-resolution satellite sensors. In this study, an integrated hazard susceptibility assessment was performed for a developing urban settlement (Mamak District of Ankara City, Turkey) considering landslide and flood potential. The flood susceptibility map of Ankara City was produced in a previous study using modified analytical hierarchical process (M-AHP) approach. The landslide susceptibility map was produced using the logistic regression technique in this study. Sentinel-2 images were employed for generating LULC data with the random forest classification method. Topographical derivatives obtained from a high-resolution digital elevation model and lithological parameters were employed for the production of landslide susceptibility maps. For the integrated hazard susceptibility assessment, the Mamdani fuzzy algorithm was considered, and the results are discussed in the present study. The results demonstrate that multi-hazard susceptibility assessment maps for urban planning can be obtained by combining a set of expert-based and ensemble learning methods. © 2020 by the authors. Licensee MDPI, Basel, Switzerland. This article is an open access article distributed under the terms and conditions of the Creative Commons Attribution (CC BY) license (http://creativecommons.org/licenses/by/4.0/).</t>
  </si>
  <si>
    <t>2-s2.0-85081214710"</t>
  </si>
  <si>
    <t>10.3233/AJW200045</t>
  </si>
  <si>
    <t>https://www.scopus.com/inward/record.uri?eid=2-s2.0-85095828524&amp;doi=10.3233%2fAJW200045&amp;partnerID=40&amp;md5=ca2b6ea4fabfbb995ab88edc5c7c38b6</t>
  </si>
  <si>
    <t>Existing efforts to ensure safe water access in coastal Bangladesh are challenged by increasing freshwater salinity. This research explored/explores safe water consumption choices in coastal Bangladesh, which data are scarce to date, using a mixed-methods approach. In 2014, a cross-sectional survey was conducted in southwestern coastal Bangladesh (n=261) and data was generated on water supply and consumption. Data collection also involved 29 in-depth interviews of household care givers and focus group discussions were performed with three community groups. Descriptive statistics were applied to analyse quantitative data and thematic analysis was used for qualitative data. The survey showed that 60% of the study population used tube well water while 40% used pond water for drinking. It was observed that for cooking purposes, the use of pond water was slightly higher than the tube well water. Only 13% of the respondents mentioned that their drinking water tasted salty whereas 6% of the respondents reported health problem (diarrhoea, dysentery, gastric issues and skin problems) after using these water sources. The qualitative data reveals that water available for drinking and cooking is causing a serious threat to this coastal community, particularly during the dry season. In-depth assessments indicated that drinking water choices were less driven by concerns for health than practical issues such as travel distance and time taken and taste. The palatability of water was an important determinant of choice for drinking and other domestic uses. Furthermore, the utility of alternative options for safe drinking water is driven by beliefs and traditions and source maintenance. Given the increasing salinisation of freshwaters in many low-lying countries and likely exacerbation related to climate change-induced sea level rise, therefore, promotion of low saline drinking water along with salt reducing interventions consider that community beliefs and practices must be a made priority. © 2020 - IOS Press and the authors. All rights reserved.</t>
  </si>
  <si>
    <t>2-s2.0-85095828524"</t>
  </si>
  <si>
    <t>Rendiconti Online Societa Geologica Italiana</t>
  </si>
  <si>
    <t>10.3301/ROL.2020.01</t>
  </si>
  <si>
    <t>https://www.scopus.com/inward/record.uri?eid=2-s2.0-85082743543&amp;doi=10.3301%2fROL.2020.01&amp;partnerID=40&amp;md5=0c56c91db6618b4cefb346624bec41cd</t>
  </si>
  <si>
    <t>Po Plain is the result of complex endogenous processes which induced the growth of a large and deep subsiding foredeep basin for the south-vergent thrusting from the Alpine Chain first, and then for the Apennine structure, verging in the opposite direction. The Po Plain foredeep was nourished by large amount of debris coming from exogenous processes of erosion of both mountain chains. During Pleistocene, the foredeep has assumed a W-E direction along the Appenine margin, corresponding to the Po River course, deeper eastward. At the same time, at the northern margin of the plain, isostatic processes have been responsible of relevant raising. Sediments in the area have been deposited firstly in a marine basin, then in a wide delta-lagoon region, and more recently, a continental sedimentation prevailed. The area was dominated by large alluvial fans coming from the main Alpine valleys while in the southern part of the plain, where finer sediments are widespread, intense subsidence phenomena due to compaction of the sedimentary deposits occurred. During Quaternary, fluvial transport and sedimentation was strongly influenced by climate changes and, in the cold stages, large amount of debris were produced on the mountain chains and remarkable sea-level changes caused marine ingression in the middle of the Po Plain alternating to as much relevant regressions. Through the use of GOCAD software, using SGRID frame, voxels 500 × 500 m were obtained interpolating between Topo and A surfaces subdivided in 90 intervals, between A and B surfaces in 84 intervals and between B and C surfaces in 74 intervals respectively. The surfaces A, B and C, (Regione Lombardia &amp; ENI-Divisione AGIP, 2002) were dated back respectively to 450, 870 and 1240 Ky In each voxel, gravel, sand and clay texture distribution have been interpolated using percentage of texture for each metre assumed from stratigraphie data of the wells (11, 993) stored in TANGRAM database. Interpolation has been carried out using kriging methods into GOCAD environment. To each voxel, the value of texture percentage has been assigned and the distribution in space and time has been modelled. 3D analysis related to clastic deposits distribution in the whole studied area testify that: 1) gravels deposited in the piedmont area over sand and clay materials from MIS 22 (870 Ky), and prograding gradually southward, are the effects of the beginning of glacial phases</t>
  </si>
  <si>
    <t>10.1007/s11069-019-03793-z</t>
  </si>
  <si>
    <t>https://www.scopus.com/inward/record.uri?eid=2-s2.0-85074608671&amp;doi=10.1007%2fs11069-019-03793-z&amp;partnerID=40&amp;md5=445384066e974829d10c97729d8f4974</t>
  </si>
  <si>
    <t>Storm surge is one of the most devastating marine disasters in China, leading to tremendous economic damage and a large number of casualties. Combined storm surge hazard assessment and zonation is an important method for coastal disaster risk reduction and mitigation management. Based on observational data from tide-gauge and hydrological stations in coastal areas, we analyzed storm surge hazard intensity and generated a storm surge hazard map at the county level using the expected values of storm surge and over-warning water levels. The results show that 87, 67, 62, and 40 counties along the coast of China are exposed to the first (highest), second (higher), third (medium), and fourth (low) degree of hazard level, respectively. The areas with the highest risk of storm surge are the coasts of Bohai Bay, Laizhou Bay, and the Yangtze Delta, the coast from the north of Fuzhou to the south of Zhejiang, and the coastal area of Huizhou, Pearl River, and Yangjiang in Guangdong Province. This assessment, which is based on a national storm surge hazards map, can provide decision-making support for the government’s urban planning of coastal cities and site selection in large national projects. © 2019, Springer Nature B.V.</t>
  </si>
  <si>
    <t>2-s2.0-85074608671"</t>
  </si>
  <si>
    <t>10.14246/irspsd.8.3_34</t>
  </si>
  <si>
    <t>https://www.scopus.com/inward/record.uri?eid=2-s2.0-85088840012&amp;doi=10.14246%2firspsd.8.3_34&amp;partnerID=40&amp;md5=2c0cb2b23000deb0a9ceacb3886d3af1</t>
  </si>
  <si>
    <t>Climate-related disasters such as floods and tidal floods impact livelihood systems in coastal areas everywhere, particularly in developing countries, resulting in a certain degree of livelihood vulnerability. In this paper, we examine the spatial exposure and livelihood vulnerability level of Tegal, a city in Central Java, Indonesia. Data were collected from 100 household samples distributed in the study area. Two types of assessment were performed: a spatial assessment with distance analysis and a vulnerability assessment using the Livelihood Vulnerability Index (LVI). The results of the study show that 33.80% of the settlement area and 22.25% of the fishery area are vulnerable to tidal floods. Climate-related disasters also threaten 32.20% of the households sampled, whose members work mostly as fishermen and rely on coastal resources for their livelihood. A key finding of the study is that the community is highly vulnerable with a low adaptive capacity level. This calls for more decisive policy interventions to enhance the community's adaptive capacity and reduce its exposure level. © 2020, SPSD Press.</t>
  </si>
  <si>
    <t>2-s2.0-85088840012"</t>
  </si>
  <si>
    <t>10.5334/oq.70</t>
  </si>
  <si>
    <t>https://www.scopus.com/inward/record.uri?eid=2-s2.0-85078456301&amp;doi=10.5334%2foq.70&amp;partnerID=40&amp;md5=6b2b58b39ec875db74484182be0ae234</t>
  </si>
  <si>
    <t>We infer a history of three great megathrust earthquakes during the past 2000 years at the Nehalem River estuary based on the lateral extent of sharp (≤3 mm) peat-mud stratigraphic contacts in cores and outcrops, coseismic subsidence as interpreted from fossil diatom assemblages and reconstructed with foraminiferal assemblages using a Bayesian transfer function, and regional correlation of14C-modeled ages for the times of subsidence. A subsidence contact from 1700 CE (contact A), sometimes overlain by tsunami-deposited sand, can be traced over distances of 7 km. Contacts B and D, which record subsidence during two earlier megathrust earthquakes, are much less extensive but are traced across a 700-m by 270-m tidal marsh. Although some other Cascadia studies report evidence for an earthquake between contacts B and D, our lack of extensive evidence for such an earthquake may result from the complexities of preserving identifiable evidence of it in the rapidly shifting shoreline environments of the lower river and bay. Ages (95% intervals) and subsidence for contacts are: A, 1700 CE (1.1 ± 0.5 m)</t>
  </si>
  <si>
    <t>Pesquisas em Geociencias</t>
  </si>
  <si>
    <t>10.22456/1807-9806.101332</t>
  </si>
  <si>
    <t>https://www.scopus.com/inward/record.uri?eid=2-s2.0-85083957312&amp;doi=10.22456%2f1807-9806.101332&amp;partnerID=40&amp;md5=eb104259f1f09ab7d282085d15a3bc2a</t>
  </si>
  <si>
    <t>The objective of this study was to develop possible future land use scenarios for the Cananéia-Iguape Estuarine-Lagoonal Complex by the analysis of the land use evolution along 24 years (1986-2010), and to predict scenarios for 2025. In order to predict the scenario of the land use and occupation classes of 2025 a simulation was carried out by means of the Markov chain methods and calibration of the simulation model in the IDRISI Andes program. In the phase prior to this step it was utilized TM sensor scenes (Landsat 5) and supervised classification techniques to simulating the land use and occupation map of 2010 from land use and occupation maps from 1986 and 1999. Then the land use and occupation map of 2010 was utilized inside de Markov chain to simulate the map of 2025. By applying the techniques proposed by Titus and Narayanan, Pfeffer, Ramhstorf and the Intergovernmental Panel on Climate Change (IPCC) model, the vulnerability of the study area was calculated taking into consideration a potential sea level rise in 2025, 2050 and 2100. In the last step of the applied method, land use and occupation classes were assessed, which will possibly be affected by a highest tide event in 2025. It was observed that 80.92% the area flooded during highest tide events in 1999 was composed of dense arboreal vegetation and it is concluded that this expansion of the dense arboreal vegetation area will also occur towards the coastal zone in 2025. We suggest that the local factor for sea level rise in the study area has a strong geological component, so that, instead of a mere sea level rise, an opposite movement is taking place, which is the subsidence of the plain due to modern tectonism. © 2020, Universidade Federal do Rio Grande do Sul. All rights reserved.</t>
  </si>
  <si>
    <t>2-s2.0-85083957312"</t>
  </si>
  <si>
    <t>10.1016/j.crm.2019.100207</t>
  </si>
  <si>
    <t>https://www.scopus.com/inward/record.uri?eid=2-s2.0-85077655540&amp;doi=10.1016%2fj.crm.2019.100207&amp;partnerID=40&amp;md5=ca1b44021d91978f56c1b2a7157978eb</t>
  </si>
  <si>
    <t>Coastal areas in Bangladesh are at severe risk of inundation by sea-level rise (SLR). Effective adaptation plan requires information about extent and level of projected inundation, which is yet to be localized for Bangladeshi coasts. We used downscaled and bias-corrected temperatures from 28 global climate models to predict SLR around Bangladesh. Based on the extended semi-empirical approach to SLR modelling, this study shows that by 2100, temperature will increase by 1.7 °C (RCP4.5) to 4.4 °C (RCP8.5) relative to 1986–2005 (25.89 °C) and corresponding sea-level will rise by 0.77 m (RCP4.5) to 1.15 m (RCP8.5). The sensitivity of SLR to temperature over 1980–2100 is 2.13 to 3.75 mm/year/°C. Consequently, 2098 km2 of Bangladesh is likely to be inundated under 1 m SLR, affecting the coast and river-banks with potential for significant indirect effects, including increased soil and water salinity and underground water contamination. This study provides modelled projection of SLR and inundation for the 21st century, and thus, it should provide useful information for adaptation planning and SLR preparedness in Bangladesh. © 2020 The Authors</t>
  </si>
  <si>
    <t>2-s2.0-85077655540"</t>
  </si>
  <si>
    <t>Review of Regional Studies</t>
  </si>
  <si>
    <t>https://www.scopus.com/inward/record.uri?eid=2-s2.0-85088208261&amp;partnerID=40&amp;md5=c118d6e9907224211499050ecc2f444d</t>
  </si>
  <si>
    <t>This paper adopts a hedonic pricing model to study the impact of vulnerability to inundation from sea level rise on home prices in Savannah, Georgia. We find that homes most at risk from sea level rise are associated with an approximate 3.1 percent price discount. The results are consistent with prior studies, which uses data from different locations in U.S. coastal areas. We also find that the discount is more significant in our later sample period, indicating that house buyers may be becoming more aware of the climate risk. This paper contributes to the understanding of house pricing factors in the study area regarding the sea level rise effects. © Southern Regional Science Association 2020.</t>
  </si>
  <si>
    <t>2-s2.0-85088208261"</t>
  </si>
  <si>
    <t>10.22146/ijg.47438</t>
  </si>
  <si>
    <t>https://www.scopus.com/inward/record.uri?eid=2-s2.0-85083766589&amp;doi=10.22146%2fijg.47438&amp;partnerID=40&amp;md5=5c005364d12a37af96408921c2deff7c</t>
  </si>
  <si>
    <t>An excessive groundwater usage is happening in Jakarta, Indonesia, due to the population growth and industrial development so that it experiences a signifcant groundwater drawdown which could enhance the risk of seawater intrusion and land subsidence. Existing conditions in 2018 show that seawater intrusion occurred at the Western and Central coastal area and land subsidence happen in the Northern and Central part. This research, a numerical simulation, is conducted by modeling such causality during the critical period, the next 20 years. The result shows that for every groundwater drawdown of 10 m/year, it will cause intrusion 0.7 km/year in the Western and Central and 1.1 km/year in the Eastern area after 2028. The 10 m/year groundwater drawdown also results in land subsidence of 5.7 cm/year in the Northern and 2.5 cm/year in Central Jakarta. The is result is useful as an input for groundwater management policies and to prevent the environmental impacts occurred at other large coastal cities. © 2019 by the authors.</t>
  </si>
  <si>
    <t>2-s2.0-85083766589"</t>
  </si>
  <si>
    <t>10.1029/2019WR025957</t>
  </si>
  <si>
    <t>https://www.scopus.com/inward/record.uri?eid=2-s2.0-85076923589&amp;doi=10.1029%2f2019WR025957&amp;partnerID=40&amp;md5=e6ee7679ea7412b3dbdbca8fdf962d8b</t>
  </si>
  <si>
    <t>The execution of hydraulic models at large spatial scales has yielded a step change in our understanding of flood risk. Yet their necessary simplification through the use of coarsened terrain data results in an artificially smooth digital elevation model with diminished representation of flood defense structures. Current approaches in dealing with this, if anything is done at all, involve either employing incomplete inventories of flood defense information or making largely unsubstantiated assumptions about defense locations and standards based on socioeconomic data. Here, we introduce a novel solution for application at scale. The geomorphometric characteristics of defense structures are sampled, and these are fed into a probabilistic algorithm to identify hydraulically relevant features in the source digital elevation model. The elevation of these features is then preserved during the grid coarsening process. The method was shown to compare favorably to surveyed U.S. levee crest heights. When incorporated into a continental-scale hydrodynamic model based on LISFLOOD-FP and compared to local flood models in Iowa (USA), median correspondence was 69% for high-frequency floods and 80% for low-frequency floods, approaching the error inherent in quantifying extreme flows. However, improvements versus a model with no defenses were muted, and risk-based deviations between the local and continental models were large. When simulating an event on the Po River (Italy), built and tested with higher quality data, the method outperformed both undefended and even engineering-grade models. As such, particularly when employed alongside model components of commensurate quality, the method here generates improved-accuracy simulations of flood inundation. © 2019. The Authors.</t>
  </si>
  <si>
    <t>2-s2.0-85076923589"</t>
  </si>
  <si>
    <t>Science for Conservation</t>
  </si>
  <si>
    <t>https://www.scopus.com/inward/record.uri?eid=2-s2.0-85120327098&amp;partnerID=40&amp;md5=76821e69d8e23dd022693e4af0b62559</t>
  </si>
  <si>
    <t>With rising sea levels, changes in precipitation patterns and an increased incidence of severe weather events being predicted as a result of global climate change, the Department of Conservation commissioned a study to determine the potential impacts of these effects on New Zealand’s archaeological sites, which are mostly located near the coast. A Geographic Information System (GIS)-based case study examined the distribution of archaeological sites in the Whangarei District and assessed the risk to the archaeological resource primarily from sea level rise associated with future climate change. The results of the analysis are fairly conclusive. Currently, the major threats to archaeological sites in coastal areas are erosion, flooding and ground instability, and some sites are at risk from more than one of these threats. Approximately one-third of the recorded site locations in the Whangarei District are potentially threatened by these hazards, regardless of any future climate change effects. Climate change will exacerbate existing coastal hazards, and increase the likelihood and severity of impacts on archaeological sites. An additional 2.5–10% of archaeological sites might be affected by increased threats due to predicted changes in climate, including rising sea levels. The types of sites that are most likely to be affected in the Whangarei District are coastal midden and small habitation sites relating to Māori occupation. Although these could be affected by all three of the major hazards identified, they are particularly susceptible to coastal erosion. Land stability issues and flooding are likely to affect a greater range of sites, including larger sites such as pā and sites relating to early European settlement. It is not possible to quantify the risk to sites from increased land instability as a result of global climate change, but it is noted that any increase in extreme weather events would not be confined to coastal areas. These sites potentially hold significant information relating to the history of both the district and New Zealand. The implications of the study are that coastal sites are already under considerable threat, and that important archaeological information is being lost at a rate that may increase significantly in the future. Action is needed now to protect or retrieve the information from significant sites under threat in coastal areas before these sites disappear completely. © July 2013, Department of Conservation.</t>
  </si>
  <si>
    <t>2-s2.0-85120327098"</t>
  </si>
  <si>
    <t>10.3390/RESOURCES8040174</t>
  </si>
  <si>
    <t>https://www.scopus.com/inward/record.uri?eid=2-s2.0-85079737730&amp;doi=10.3390%2fRESOURCES8040174&amp;partnerID=40&amp;md5=c1b52c9e8870a0a3eb403fa86d2c0023</t>
  </si>
  <si>
    <t>Caribbean Small Island Developing States (SIDS) are among the most vulnerable to climate change, which will have a disproportionate impact on local environments and economies. Whilst there is a growing literature on how Caribbean SIDS can adapt to become more resilient, an issue that has received little attention is with regard to migration as an unplanned response. It is recognised that events such as hurricanes and flooding can lead to internal relocation in the short term, but societal responses to droughts through migration have not generally been investigated. This paper seeks to address this by considering the case of the island of Carriacou, part of the state of Grenada. Carriacou, with its small population, limited land area, and local economy historically based on agriculture, has had a high degree of migration. This is in part a response to limited economic opportunities. Environmental stress, manifest through limited water availability, inappropriate land management, and social conditions, is likely to be exacerbated by climate change and variability. Resultant increases in the frequency and intensity of droughts, in the absence of proactive interventions, are likely to result in non-linear migration, both to Grenada itself and beyond. © 2019 by the authors.</t>
  </si>
  <si>
    <t>2-s2.0-85079737730"</t>
  </si>
  <si>
    <t>https://www.scopus.com/inward/record.uri?eid=2-s2.0-85118833900&amp;partnerID=40&amp;md5=f6321f9f357f6bb8f2855fcdda0dee06</t>
  </si>
  <si>
    <t>Sebaea ovata (Labill.) R.Br., a critically endangered indigenous annual herb, was locally common in coastal lowlands and swampy ground in New Zealand. It is now only present as two small populations (Whitiau and Waitotara) in dune flats in the Wanganui Conservancy. The field population of S. ovata at Whitiau Scientific Reserve (New Zealand) and field sites in Australia were investigated. Cultivation and morphological and genetic comparisons of New Zealand and Australian plants were made to guide the management of S. ovata in New Zealand. At Whitiau, S. ovata is restricted to an area of c. 300 m2 with a total population of between 8757 plants (December 1998) and 641 plants (March 1999). Sediment core samples showed no evidence of an extensive seed bank. Soils were very low in available nitrogen compared to Waitotara. S. ovata requires open vegetation in which to establish and maintain its population. Winter flooding of the dune habitat excludes the more competitive perennial species. If flood events do not coincide with the life cycle of S. ovata, plants may be killed without contributing seed. A series of atypical seasons could lead to extinction, therefore the status of S. ovata in New Zealand is considered critical. The extinction of one or both populations is likely unless conservation management is undertaken. In southern mainland Australia, S. ovata occupies a different habitat. It occurs in open eucalypt forest amongst a diverse assemblage of native and introduced annual species which grow and reproduce in spring/early summer, influenced by seasonal rainfall. Differences in habitat and plant size have led to suggestions that S. ovata from New Zealand and Australia may be different taxa. Glasshouse cultivation of plants from both countries, and morphological comparison (supported by ITS sequence data) indicate they are indeed the same species. Successful cultivation of S. ovata has been achieved. Cultivated plants and seed have been returned to the Department of Conservation for replanting and resowing. The maintenance of S. ovata in culture, as well as the protection of suitable S. ovata habitat are the key to ensuring the survival of the species in New Zealand. © October 2003, Department of Conservation.</t>
  </si>
  <si>
    <t>2-s2.0-85118833900"</t>
  </si>
  <si>
    <t>10.1038/s41598-019-55018-9</t>
  </si>
  <si>
    <t>https://www.scopus.com/inward/record.uri?eid=2-s2.0-85076378899&amp;doi=10.1038%2fs41598-019-55018-9&amp;partnerID=40&amp;md5=faa2c03b7d50f7214459d19666f4f65f</t>
  </si>
  <si>
    <t>Natural resources of the Mekong River are essential to livelihood of tens of millions of people. Previous studies highlighted that upstream hydro-infrastructure developments impact flow regime, sediment and nutrient transport, bed and bank stability, fish productivity, biodiversity and biology of the basin. Here, we show that tidal amplification and saline water intrusion in the Mekong Delta develop with alarming paces. While offshore M2 tidal amplitude increases by 1.2–2 mm yr−1 due to sea level rise, tidal amplitude within the delta is increasing by 2 cm yr−1 and salinity in the channels is increasing by 0.2–0.5 PSU yr−1. We relate these changes to 2–3 m bed level incisions in response to sediment starvation, caused by reduced upstream sediment supply and downstream sand mining, which seems to be four times more than previous estimates. The observed trends cannot be explained by deeper channels due to relative sea level rise</t>
  </si>
  <si>
    <t>10.21094/rg.2019.009</t>
  </si>
  <si>
    <t>https://www.scopus.com/inward/record.uri?eid=2-s2.0-85149784333&amp;doi=10.21094%2frg.2019.009&amp;partnerID=40&amp;md5=db482fba7bc078910cdb97428bb12720</t>
  </si>
  <si>
    <t>This paper is a review of the up to date knowledge about the coastal environmental transformations around the Greek settlements along the present–day Romanian shoreline. The aim is to define a general pattern of the morphological configuration the Greeks were looking for when establishing their colonies. Existing quantitative and qualitative database on shoreline evolution both along the low lying deltaic sector (N) and along the soft rock cliffs along the southern sector of the present–day Romanian coast together with the present day morphological configuration analysis at each study site were used to assess large spatial (~180 km alongshore) and temporal scales (ca. 2500 yrs) of coastal behavior. The coastal dynamics during the late Holocene was controlled by the deltaic lobes development along the northern part of the present day Romanian coast which led to important shoreline progradation and subsequent isolation from the shoreline of Histria and Orgame Greek cities. The continuous sediment input depletion, sea level rise, storms set-up, longshore transport system and local tectonic activity drove the cliff line retreat along the southern sector, with important parts of the Tomis and Kallatis settlements being lost to the sea. © 2019. Classiques Garnier, Paris.</t>
  </si>
  <si>
    <t>2-s2.0-85149784333"</t>
  </si>
  <si>
    <t>10.1007/s10584-019-02562-y</t>
  </si>
  <si>
    <t>https://www.scopus.com/inward/record.uri?eid=2-s2.0-85074595796&amp;doi=10.1007%2fs10584-019-02562-y&amp;partnerID=40&amp;md5=96a517e7fb6a8baad9ad242d6308bb45</t>
  </si>
  <si>
    <t>Small community businesses bear the brunt of climate change impacts. Studies of the vulnerability and resilience of such businesses predominantly focus on firm-level characteristics and organizational issues. This paper addresses the lack of individual-level considerations. It explores an analytical approach that draws upon the concepts of social capital and sense of place for understanding community businesses’ resilience to extreme weather. An empirical study was conducted to investigate whether and how the attributes of these concepts are related to adaptation practice. This study is based on a structured questionnaire survey of community businesses at various locations around the Pearl River Estuary that are exposed to storm surges. The findings partially support the hypothesis that action is more likely to be taken when social capital is strong. Community businesses are more likely to adopt adaptation strategies when their owners or operators perceive a higher level of social expectation, but are less likely to do so when they have better relationships with the people around them. This study indicated the potential for moral hazard driven by good social relationships and supported the understanding of small community businesses as firms and social agents in responding to climate change impacts. There is a need for recognizing the social dimensions of small businesses’ rationality in their adaptation and hazard adjustment, and strengthening their engagement with community-based adaptation through social institutions. © 2019, Springer Nature B.V.</t>
  </si>
  <si>
    <t>2-s2.0-85074595796"</t>
  </si>
  <si>
    <t>10.1038/s41598-019-55994-y</t>
  </si>
  <si>
    <t>https://www.scopus.com/inward/record.uri?eid=2-s2.0-85076902912&amp;doi=10.1038%2fs41598-019-55994-y&amp;partnerID=40&amp;md5=40febebc149c9d82b6e45027fa134522</t>
  </si>
  <si>
    <t>The IPCC Third Assessment Report presents a conceptual framework for vulnerability to climate change with the three attribute components of exposure, sensitivity, and coping. Since the vulnerability assessments have been conducted mainly by the composite indicators aggregated from the IPCC’s components, it is necessary to assess aggregation frameworks for constructing the composite indicators that have an influence on vulnerability assessment outcomes. This study therefore investigates the robustness of assessment outcomes for flood vulnerability to climate change through a comparative analysis of the six vulnerability indicators aggregated from the IPCC’s components by the conventional aggregation frameworks. The comparative analysis has been illustrated through both the possible combinations of reference values for vulnerability attribute components and a case study on the flood vulnerability assessment to climate change for coastal areas in the Republic of Korea. The study demonstrates that there can be large fluctuations and reversals in ranking orders across the six vulnerability outcomes by different aggregation frameworks. It concludes that for flood vulnerability assessment to climate change in coastal areas, the vulnerability indicator needs to be aggregated by a multiplicative utility function from all the three assessment components with positive elasticity to vulnerability. © 2019, The Author(s).</t>
  </si>
  <si>
    <t>2-s2.0-85076902912"</t>
  </si>
  <si>
    <t>Journal of Environmental Science and Management</t>
  </si>
  <si>
    <t>https://www.scopus.com/inward/record.uri?eid=2-s2.0-85077371267&amp;partnerID=40&amp;md5=0c45b0ba5e57744e73d20f7e3a4c3490</t>
  </si>
  <si>
    <t>Flooding is a natural phenomenon that occurs annually from September to October in Vietnam’s Mekong River Delta (MRD). However, its trend is becoming more destructive and unpredictable in recent years, which tends to threaten people’s livelihood, properties, and health. This study attempted to examine the flood vulnerability among households in 14 districts of the delta. The analysis helped identify communities that were subjected to floods and needed more attention in disaster management. People in the MRD had remarkably low exposure, which was the result of investment in water structures. About 59.2 % of the surveyed households were moderately vulnerable to flooding. Families in O Mon, Thanh Binh, Cai Be, and Cho Lach district had the highest vulnerability indices. The most significant indicators to explain the flood-prone state were rice-related indicators, elderly dependency ratios, and social capital. The study suggested that plans to reduce flood vulnerability should focus on the family’s adaptability because it had the largest impacts. © 2019, University of the Philippines Los Banos. All rights reserved.</t>
  </si>
  <si>
    <t>2-s2.0-85077371267"</t>
  </si>
  <si>
    <t>10.1038/s41598-019-52504-y</t>
  </si>
  <si>
    <t>https://www.scopus.com/inward/record.uri?eid=2-s2.0-85074713177&amp;doi=10.1038%2fs41598-019-52504-y&amp;partnerID=40&amp;md5=8666a079076de0aff541533118e12e42</t>
  </si>
  <si>
    <t>Rising sea levels and growing coastal populations are intensifying interactions at the land-sea interface. To stabilize upland and protect human developments from coastal hazards, landowners commonly emplace hard armoring structures, such as bulkheads and revetments, along estuarine shorelines. The ecological and economic consequences of shoreline armoring have garnered significant attention</t>
  </si>
  <si>
    <t>10.1007/s11852-019-00714-x</t>
  </si>
  <si>
    <t>https://www.scopus.com/inward/record.uri?eid=2-s2.0-85074798941&amp;doi=10.1007%2fs11852-019-00714-x&amp;partnerID=40&amp;md5=66e6fc6e5698a5cc0cdd144643f0bad1</t>
  </si>
  <si>
    <t>Sea embankments along the mainland coastline in the Schleswig-Holstein Wadden Sea safeguard 130,000 people and 19 billion € of capital assets from flooding during storm surges. Due to climate change induced sea-level rise, these defences will become exposed to higher storm surges and adaptation becomes inevitable. As an alternative to strengthening, managed retreat is discussed in literature as a coastal risk management option for climate change adaptation. Based on an evaluation of examples from the Wadden Sea, this paper elaborates managed retreat as alternative climate change adaptation from a coastal risk management perspective. This paper concludes that, conform the principles of integrated coastal zone management, one precondition for successful implementation of managed retreat is local acceptance. With respect to natural resilience to sea-level rise, managed retreat may counteract the loss of Wadden Sea structures and habitats due to coastal squeeze. However, the effectiveness depends on the surface elevation in the opened polder. If large volumes of sediment are needed to restore a natural elevation, regional resilience against SLR-induced drowning may deteriorate. With respect to coastal flood risk management in Schleswig-Holstein, opened polders have no significance as flood retention rooms and managed retreat does not reduce the hazard of flooding in surrounding polders. Further, removal of primary embankments requires large efforts to secure flood safety in adjacent polders. Under certain conditions, removal or opening of embankments may constitute sustainable coastal risk management, e.g., if retreat leads to a shorter line of defence or if other win-win-situations like securing of NATURA 2000 coherence arise. © 2019, Springer Nature B.V.</t>
  </si>
  <si>
    <t>2-s2.0-85074798941"</t>
  </si>
  <si>
    <t>10.1007/s11111-019-00331-8</t>
  </si>
  <si>
    <t>https://www.scopus.com/inward/record.uri?eid=2-s2.0-85075878873&amp;doi=10.1007%2fs11111-019-00331-8&amp;partnerID=40&amp;md5=6aa4e98af4e6a656978ec8e0ef8253cd</t>
  </si>
  <si>
    <t>This analysis examines whether salinity in drinking water is associated with pre-eclampsia and eclampsia (PE/E), a leading cause of maternal morbidity and mortality. Bangladesh’s national health information system data were extracted at the district level (n = 64) to assess PE/E rates, and these were overlaid with three environmental measures approximating drinking water salinity, remotely sensed low-elevation coastal zone (LECZ), monthly rainfall data, and electrical conductivity of groundwater (i.e., water salinity). Results from a negative binomial fixed effects model suggest PE/E rates are higher with less rainfall (dry season), lower population density, and that district level rates of PE/E increase with higher groundwater salinity and in the high risk LECZ category closest to the coast. Results suggest that drinking water salinity may be associated with PE/E and that using national health surveillance data can improve understanding of this association. This approach can potentially be leveraged in the future to inform targeted interventions to high risk regions and times. © 2019, The Author(s).</t>
  </si>
  <si>
    <t>2-s2.0-85075878873"</t>
  </si>
  <si>
    <t>https://www.scopus.com/inward/record.uri?eid=2-s2.0-85120320482&amp;partnerID=40&amp;md5=aabbecf28ce8bb07a499be4a368ffd2c</t>
  </si>
  <si>
    <t>With rising sea levels, changes in precipitation patterns and an increased incidence of severe weather events being predicted as a result of global climate change, the Department of Conservation commissioned a study to determine the potential impacts of these effects on New Zealand’s archaeological sites, which are mostly located near the coast. A Geographic Information System (GIS)-based case study examined the distribution of archaeological sites in the Whangarei District and assessed the risk to the archaeological resource primarily from sea level rise associated with future climate change. The results of the analysis are fairly conclusive. Currently, the major threats to archaeological sites in coastal areas are erosion, flooding and ground instability, and some sites are at risk from more than one of these threats. Approximately one-third of the recorded site locations in the Whangarei District are potentially threatened by these hazards, regardless of any future climate change effects. Climate change will exacerbate existing coastal hazards, and increase the likelihood and severity of impacts on archaeological sites. An additional 2.5-10% of archaeological sites might be affected by increased threats due to predicted changes in climate, including rising sea levels. The types of sites that are most likely to be affected in the Whangarei District are coastal midden and small habitation sites relating to Maori occupation. Although these could be affected by all three of the major hazards identified, they are particularly susceptible to coastal erosion. Land stability issues and flooding are likely to affect a greater range of sites, including larger sites such as pa and sites relating to early European settlement. It is not possible to quantify the risk to sites from increased land instability as a result of global climate change, but it is noted that any increase in extreme weather events would not be confined to coastal areas. These sites potentially hold significant information relating to the history of both the district and New Zealand. The implications of the study are that coastal sites are already under considerable threat, and that important archaeological information is being lost at a rate that may increase significantly in the future. Action is needed now to protect or retrieve the information from significant sites under threat in coastal areas before these sites disappear completely. © July 2013, Department of Conservation.</t>
  </si>
  <si>
    <t>2-s2.0-85120320482"</t>
  </si>
  <si>
    <t>10.1007/s12517-019-4817-y</t>
  </si>
  <si>
    <t>https://www.scopus.com/inward/record.uri?eid=2-s2.0-85075868051&amp;doi=10.1007%2fs12517-019-4817-y&amp;partnerID=40&amp;md5=6cd2413ea61a51faf81208817e009198</t>
  </si>
  <si>
    <t>Pebbles up to 10 cm in diameter, as the main clastic component of gas reservoirs in the Permian Sulige Gas Field, deposited more than 150 km away from their northward provenance (Yinshan Mountains) in the northern Ordos Basin. The transportation and depositional mechanisms of these pebbles have been unclear for decades. Based on core examinations, facies analysis, and mathematical modeling (stress field calculation of pebbles), it is thought that (1) these coarse-grained deposits were transported and deposited in braided rivers</t>
  </si>
  <si>
    <t>10.1007/s11707-019-0803-7</t>
  </si>
  <si>
    <t>https://www.scopus.com/inward/record.uri?eid=2-s2.0-85076604195&amp;doi=10.1007%2fs11707-019-0803-7&amp;partnerID=40&amp;md5=4b0aae194ef8a4c5b878e45214c466ac</t>
  </si>
  <si>
    <t>Rice production in China’s coastal areas is frequently affected by typhoons, since the associated severe storms, with heavy rain and the strong winds, lead directly to the rice plants becoming flooded or lodged. Long-term flooding and lodging can cause a substantial reduction in rice yield or even destroy the harvest completely. It is therefore urgent to obtain accurate information about paddy rice flooding and lodging as soon as possible after the passing of the storm. This paper proposes a workflow in Google Earth Engine (GEE) for mapping the flooding and lodging area of paddy rice in Wenzhou City, Zhejiang, following super typhoon Maria (Typhoon No.8 in 2018). First, paddy rice in the study area was detected by multi-temporal Sentinel-1 backscatter data combined with Sentinel-2-derived Normalized Difference Vegetation Index (NDVI) using the Random Forests (RFs) algorithm. High classification accuracies were achieved, whereby rice detection accuracy was calculated at 95% (VH + NDVI-based) and 87% (VV + NDVI-based). Secondly, Change Detection (CD) based Rice Normalized Difference Flooded Index (RNDFI) and Rice Normalized Difference Lodged Index (RNDLI) were proposed to detect flooding and lodged paddy rice. Both RNDFI and RNDLI were tested based on four different remote sensing data sets, including the Sentinel-1-derived VV and VH back-scattering coefficient, Sentinel-2-derived NDVI and Enhanced Vegetation Index (EVI). Overall agreement regarding detected area between the each two different data sets was obtained, with values of 79% to 93% in flood detection and 64% to 88% in lodging detection. The resulting flooded and lodged paddy rice maps have potential to reinforce disaster emergency assessment systems and provide an important resource for disaster reduction and emergency departments. © 2019, Higher Education Press and Springer-Verlag GmbH Germany, part of Springer Nature.</t>
  </si>
  <si>
    <t>2-s2.0-85076604195"</t>
  </si>
  <si>
    <t>10.1007/s10236-019-01313-y</t>
  </si>
  <si>
    <t>https://www.scopus.com/inward/record.uri?eid=2-s2.0-85074769299&amp;doi=10.1007%2fs10236-019-01313-y&amp;partnerID=40&amp;md5=4cebf8468031fd60be9cb5ba10c91885</t>
  </si>
  <si>
    <t>Excessive usage of fossil fuels and high emission of greenhouse gases have increased the earth’s temperature and consequently have led to changes in wind and wave regimes. The main effects of climate change on oceans are warming of the ocean water, melting of ice, acidification of ocean water, and change in the ocean currents. The main effects of climate change on coastal regions are change in the coast hydrodynamics, sea level rise, change in wave height, coastal erosion, coastal structure damage, food shortage, and storms. Due to the importance of waves in the coastal zone and its effect on erosion and sedimentation, it is necessary to study wave changes. In this study, the effect of climate change on wave specifications was evaluated in the southern coast of the Caspian Sea in Noshahr Port. To simulate wave parameters, the third generation spectral Simulating WAves Nearshore (SWAN) model was used. Wave modeling was carried out using the SWAN numerical model for two 30-yearly periods, including the control period (1984 to 2014) and the future period (2051 to 2080). For wave modeling in the control period, the European Center for Average Weather Forecast wind field was used, and for the future period, a downscaled wind field from Coordinated Regional Downscaling Experiment projection, which was sponsored by World Climate Research Programme, based on the most recent emission scenarios RCP2.6, RCP4.5, and RCP8.5, was used. The model results were calibrated and verified with buoy-recorded data. The effect of the climate change on the wave parameters was evaluated by studying the differences between the patterns in three scenarios and the control period. Results showed that the 30-year maximum significant wave height will increase because of climate change, and the wave direction will not change. In addition, the intensity of storms will increase in the future. © 2019, Springer-Verlag GmbH Germany, part of Springer Nature.</t>
  </si>
  <si>
    <t>2-s2.0-85074769299"</t>
  </si>
  <si>
    <t>10.1007/s10533-019-00613-1</t>
  </si>
  <si>
    <t>https://www.scopus.com/inward/record.uri?eid=2-s2.0-85074584267&amp;doi=10.1007%2fs10533-019-00613-1&amp;partnerID=40&amp;md5=b840fbc8f8ba6ed87b258201d9467e89</t>
  </si>
  <si>
    <t>Si fluxes from the continents to the ocean are a key element of the global Si cycle. Due to the ability of coastal ecosystems to process and retain Si, the ‘coastal filter’ has the potential to alter Si fluxes at a global scale. Coastal zones are diverse systems, sensitive to local environmental changes, where Si cycling is currently poorly understood. Here, we present the first palaeoenvironmental study of estuarine biogenic silica (BSi) fluxes and silicon isotope ratios in diatoms (δ30Sidiatom) using hand-picked diatom frustules in two sediment cores (CBdist and CBprox) from the Chesapeake Bay covering the last 12000 and 8000 years, respectively. Constrained by the well-understood Holocene evolution of the Chesapeake Bay, we interpret variations in Si cycling in the context of local climate, vegetation and land use changes. δ30Sidiatom varies between + 0.8 and + 1.7‰ in both sediment cores. A Si mass balance for the Chesapeake Bay suggests much higher rates of Si retention (~ 90%) within the system than seen in other coastal systems. BSi fluxes for both sediment cores co-vary with periods of sea level rise (between 9500 and 7500 a BP) and enhanced erosion due to deforestation (between 250 and 50 a BP). However, differences in δ30Sidiatom and BSi flux between the sites emphasize the importance of the seawater/freshwater mixing ratios and locally variable Si inputs from the catchment. Further, we interpret variations in δ30Sidiatom and the increase in BSi fluxes observed since European settlement (~ 250 a BP) to reflect a growing human influence on the Si cycle in the Chesapeake Bay. Thereby, land use change, especially deforestation, in the catchment is likely the major mechanism. © 2019, The Author(s).</t>
  </si>
  <si>
    <t>2-s2.0-85074584267"</t>
  </si>
  <si>
    <t>10.1029/2019JC015249</t>
  </si>
  <si>
    <t>https://www.scopus.com/inward/record.uri?eid=2-s2.0-85077369184&amp;doi=10.1029%2f2019JC015249&amp;partnerID=40&amp;md5=e53d573fca075710bb3f4c309eda9190</t>
  </si>
  <si>
    <t>Typhoons Hato (2017) and Typhoon Mangkhut (2018) struck the Pearl River Delta, China, in two consecutive years, causing intense flooding and severe damage along the coast, especially in Macau. These two typhoons are extreme events because of their record-breaking storm tides, and they are typical typhoons in terms of their track forward directions, which affect the coast of Guangdong Province, China. This paper analyzes and compares the physical processes of these two major typhoons. We first report the results of our posttyphoon surveys in Macau and the constructed inundation maps for both typhoon events. The inundation maps in conjunction with measured wind, atmospheric pressure, and wave data are used to validate a package of numerical models that simulate fully coupled tide-surge-wave fields during a typhoon. We quantify storm surges and wave heights in the Pearl River Delta. The surge around Macau was mainly affected by wind, while atmosphere pressure and ocean waves played a secondary role. In additional to inundation depth, we also investigate inundation durations and flow velocities. Typhoon Mangkhut made its landfall at much lower tidal level than that of Typhoon Hato. However, Typhoon Mangkhut generated much larger storm surge with larger affected areas and significantly longer inundation durations. We attribute the causes mainly to Typhoon Mangkhut's storm size, which was almost three times larger than that of Typhoon Hato. ©2019. The Authors.</t>
  </si>
  <si>
    <t>2-s2.0-85077369184"</t>
  </si>
  <si>
    <t>10.1007/s41207-019-0116-y</t>
  </si>
  <si>
    <t>https://www.scopus.com/inward/record.uri?eid=2-s2.0-85123528608&amp;doi=10.1007%2fs41207-019-0116-y&amp;partnerID=40&amp;md5=26c9290a9d382cb38119b2964e7372ed</t>
  </si>
  <si>
    <t>This paper presents a GIS-based investigation of historic landfill sites (closed) located within the coastal zones of Wales, UK. These sites may pose a potential environmental challenge in future due to rising sea levels and coastal erosion. There are 78 historic landfill sites in Wales, most of which are located in coastal zones. These sites were operational between 1920 and 1999 but under the Environmental Protection Act 1990, the Environment Agency UK is not required to monitor these historic landfill sites. There is potential for exposure of the buried household, industrial, commercial or mixed waste types from some of these sites due to coastal erosion of undefended shorelines by wind and waves. Historic landfill sites were ranked on the basis of potential for exposure due to coastal erosion. A GIS-based landfill site ranking was carried out using the estimated coastal erosion for the next 20, 50 and 100 years and the proximity to the coastline. The results showed that 6 out of these 78 sites may be exposed and become a potential source of pollution as a result of coastal erosion at the current erosion rate, provided no artificial defence line is constructed. This study recommends that waste samples be taken from the identified landfill sites for laboratory analysis. On the basis of the buried waste type, future actions can be proposed such as the construction of artificial coastal defence lines. © 2019, The Author(s).</t>
  </si>
  <si>
    <t>2-s2.0-85123528608"</t>
  </si>
  <si>
    <t>10.1016/j.jenvman.2019.109628</t>
  </si>
  <si>
    <t>https://www.scopus.com/inward/record.uri?eid=2-s2.0-85072729708&amp;doi=10.1016%2fj.jenvman.2019.109628&amp;partnerID=40&amp;md5=3a4f625fb177f7c929c6b85bd8ceecb3</t>
  </si>
  <si>
    <t>Coastal vulnerability assessment has become one of the most important tools for decision making and providing effective managerial solutions to reduce adverse socio-economic impacts of multiple environmental hazards on coupled social-ecological systems of coastal areas. The aim of this study was to assess the vulnerability of the northern coasts of the Persian Gulf (PG) and the Gulf of Oman (GO) in the Hormozgan province of Iran. Nine variables of vulnerability that included the rate of coastline change, relative sea level rise, coastal slope, mean tidal range, coastal geomorphology, significant wave height (SWH), extreme storm surge, population density, and fishing intensity were weighted, mapped, and combined into the Coastal vulnerability index (CVI). Experts viewed sea level rise, shoreline change and extreme storm surge as most important for imparting vulnerabilities on the northern coasts of PG and GO. Socio-economic variables (i.e., population density and fishery intensity) were considered least important. Of the total length of the provincial shoreline, 27% were classified into the very low vulnerability class, 31% into the low, 17.4% into the moderate, 15.4% into the high, and 9.2% into the very high vulnerability class. About 1295 km (58%) of shorelines were classified into the low and very low vulnerability classes (CVI value ≤ 8.32) and mainly consisted of shorelines on the western coast along the PG. In contrast, 553 km (24.6%) of shorelines were classified into the high and very high vulnerability classes (CVI values &gt; 13.39) and were located along the central coasts (especially in the Qeshm Island and Strait of Hormuz) and on the east coasts of the GO. At least a quarter of all shorelines in the province have high and very high vulnerability to environmental hazards that are the harbingers of climate change. © 2019 Elsevier Ltd</t>
  </si>
  <si>
    <t>2-s2.0-85072729708"</t>
  </si>
  <si>
    <t>10.1007/s41651-019-0036-z</t>
  </si>
  <si>
    <t>https://www.scopus.com/inward/record.uri?eid=2-s2.0-85086695893&amp;doi=10.1007%2fs41651-019-0036-z&amp;partnerID=40&amp;md5=d2efd9bd55d4d0a99a4a814fb1c167ef</t>
  </si>
  <si>
    <t>Accurate delineation of watershed and drainage networks is crucial for hydrological and geomorphological models, water resource management, change of floodplains, flood risk management, and surface water mapping. Since high-resolution digital elevation models (DEMs) are often not available, it is necessary to evaluate open source products. Various statistical measures were used to estimate the vertical accuracy of these freely available DEMs. Moreover, DEM products from Shuttle Radar Topography Mission (SRTM), Advanced Thermal Emission and Reflection Radiometer (ASTER), and Cartosat data were also compared. The study areas are located in the Vadodara district of Gujarat State of India. A comparison of SRTM-, ASTER-, and Cartosat-derived DEMs allowed a qualitative assessment of the vertical component of the error, whereas statistical measurements were used to estimate their vertical accuracy. In order to compare the frequency histograms of the elevation distributions in the DEMs in the study area, skewness and kurtosis were determined. Further, to obtain the degree of relationship between the DEMs, scatterplots, as well as correlation coefficients, were used. The results showed that all DEMs have imperfections in the delineation of a small river like Vishwamitri, and the comparison showed that SRTM 30 m and ASTER 30 m failed to delineate proper main drainage for the river. Cartosat 30 m DEM exhibited better results. The root mean square error (RMSE) was calculated as 7.21 m for ASTER and 3.24 m for SRTM. The correlation value of 0.94 indicates the existence of a strong positive linear correlation between SRTM and Cartosat. The study shows that for the study area ASTER elevation data were highly underestimated, whereas SRTM elevation data were slightly overestimated. © 2019, Springer Nature Switzerland AG.</t>
  </si>
  <si>
    <t>2-s2.0-85086695893"</t>
  </si>
  <si>
    <t>10.1029/2019JC015466</t>
  </si>
  <si>
    <t>https://www.scopus.com/inward/record.uri?eid=2-s2.0-85076799612&amp;doi=10.1029%2f2019JC015466&amp;partnerID=40&amp;md5=28994400dd90edc5ab40e9b9c7a55809</t>
  </si>
  <si>
    <t>Tide-surge interaction creates perturbations to storm surge at tidal frequencies and can affect the timing and magnitude of surge in tidally energetic regions. To date, limited research has identified high-frequency tide-surge interaction (&gt;4 cycles per day) in coastal areas, and its significance in fluvial estuaries (where we consider it tide-surge-river interaction) is not well documented. Water level and current velocity observations were used to analyze tide-surge-river interaction at multiple tidal and overtide frequencies inside of a shallow estuary. Near the head of the estuary, higher frequency harmonics dominate tide-surge-river interaction and produce amplitudes more than double that of wind and pressure-driven surge. Bottom friction enhanced by storm-induced currents is the primary mechanism behind the interaction, which is further amplified by within-estuary resonance. High-frequency tide-surge-river interactions in estuaries present a significant threat to human life, as the onset of flooding (in &lt;1.5 hr) is more rapid than coastal storm surge flooding. Commonly used storm surge forecasting models neglect high-frequency tide-surge-river interaction and thus can markedly underestimate the magnitude and timing of inland storm surge flooding. ©2019. The Authors.</t>
  </si>
  <si>
    <t>2-s2.0-85076799612"</t>
  </si>
  <si>
    <t>10.1007/s10040-019-02053-5</t>
  </si>
  <si>
    <t>https://www.scopus.com/inward/record.uri?eid=2-s2.0-85075195404&amp;doi=10.1007%2fs10040-019-02053-5&amp;partnerID=40&amp;md5=c58b8ba3cdd3a0ed02feef663d3e9530</t>
  </si>
  <si>
    <t>Regional three-dimensional groundwater-flow and saltwater transport models were built to analyse saltwater intrusion in the Great Maputo area, southern Mozambique. Increased water demand has led to many private groundwater abstractions, as the local public water supply network has already reached maximum capacity. Pushing for new strategies to tackle the water-supply shortages exposes the aquifer system to saltwater intrusion from entrapped fossil saline groundwater and seawater. Previous attempts at modelling have been frustrated by data limitations. This study compiled all the available data to build the models, which were subsequently calibrated with observed heads, discharges and salt concentrations. The transport models were used to test hypotheses of potential sources of saltwater resulting in the current salinity distribution. Furthermore, scenarios were simulated to assess the impacts of sea-level rise and projected groundwater abstractions. Results show that saline groundwater is widely distributed in the aquifer’s western sector, where it is a limiting factor for groundwater development, and seawater intrusion is a risk along the coastline. Newly constructed wells (46) along the Infulene River can be operated with some impacts of saltwater upconing and must be closely monitored. Although current groundwater abstractions (60,340 m3/day) are still small compared with groundwater recharge (980,823 m3/day), larger volumes of abstraction are feasible only when using a high number of production wells further away from the city with relatively low yields to avoid saltwater upconing. Capture of fresh groundwater upstream of discharge areas by wells for water supply is possible while maintaining groundwater discharges for groundwater dependent ecosystems. © 2019, The Author(s).</t>
  </si>
  <si>
    <t>2-s2.0-85075195404"</t>
  </si>
  <si>
    <t>10.1007/s42489-019-00029-9</t>
  </si>
  <si>
    <t>https://www.scopus.com/inward/record.uri?eid=2-s2.0-85073994344&amp;doi=10.1007%2fs42489-019-00029-9&amp;partnerID=40&amp;md5=f9142ec48904a26e4cddd7f1e254cab2</t>
  </si>
  <si>
    <t>People around the world are prone to frequent and intensive hazards due to the global climate change scenario and human interventions. Particularly, the coastal communities are always prone to various long-term coastal hazards like sea-level rise, shoreline changes, and short-term hazards like tsunami cyclone and storm surge. Coastal Andhra Pradesh state is consisting of 9 district and 670 villages and also having 3.43 Million Population (69.3%). Andhra Pradesh has a vast 972 km long coastline and total coastal area spread over 92,906 km2 comprising the nine coastal districts. Andhra Pradesh state is prone to various natural hazards, especially cyclone and associated storm surges. There is an extreme loss of life and damage to properties caused by these cyclones. During the past 40 years Andhra Pradesh coast experienced more than 62 cyclones including depression, cyclone surge, and severe cyclone surges. Among these cyclones, there were 32 cyclones which affected the Krishna–Godavari region, comprising four districts, namely East Godavari, West Godavari, Krishna, and Guntur. Therefore, these four districts have been considered for this social vulnerability study to identify the cyclone vulnerable villages. Geospatial applications are used in this study for spatial and non-spatial data processing and spatial analysis. The study indicated that half of the study area (3121.07 km2) lying moderately risk zone and around 7% of the study area observed high vulnerability. This study revealed that the use of geospatial application is most reliable and cost-effective approach for vulnerability and risk mapping and analysis. The result obtained from the present study may serve the baseline information for disaster management planning in the area. © 2019, Deutsche Gesellschaft für Kartographie e.V.</t>
  </si>
  <si>
    <t>2-s2.0-85073994344"</t>
  </si>
  <si>
    <t>10.1007/s10661-019-7949-3</t>
  </si>
  <si>
    <t>https://www.scopus.com/inward/record.uri?eid=2-s2.0-85075115212&amp;doi=10.1007%2fs10661-019-7949-3&amp;partnerID=40&amp;md5=14dbb927af59dcfb9c6c33a95bd2d68d</t>
  </si>
  <si>
    <t>The unsuitable construction of unpaved roads has been causing problems related to the formation of erosive processes, sediments in watersheds, bogs, flooding, and holes. Presuming that the areas where flow accumulation intersects unpaved roads represent risk points, our objectives are (1) to develop a qualitative method based on the GIS software management tool (FlowAccRoad) for the identification of the intersection points between flow accumulation and roads and (2) to verify the discrepancy between the points of intersection produced by digital elevation models (DEM) accounting for different spatial resolutions. In the GIS environment, we used the Shuttle Radar Topography Mission (SRTM) and Goiania (GOI) digital elevation models for the modeling of flow accumulation and vectorization of the unpaved roads, both of which are based on the Bandeira Stream Watershed in Goiania, Goiás, Brazil. This highlights that 54 points of intersection between the flow accumulation and unpaved roads present problems related to erosive processes and quagmires, among others. The FlowAccRoad method identified the principal critical points observed in the field, using both the DEM of 30.4 m of spatial resolution (SRTM) and also of 4.8 m of spatial resolution (GOI). From the FlowAccRoad method, we observed that 91% of the risk points identified through the GOI DEM were located less than 20 m from valid points in the field by using GPS. Analyzing the SRTM DEM, only 45% of the critical risk points identified by the method were located less than 20 m from valid points in the field. © 2019, Springer Nature Switzerland AG.</t>
  </si>
  <si>
    <t>2-s2.0-85075115212"</t>
  </si>
  <si>
    <t>10.1029/2019GL085214</t>
  </si>
  <si>
    <t>https://www.scopus.com/inward/record.uri?eid=2-s2.0-85076844110&amp;doi=10.1029%2f2019GL085214&amp;partnerID=40&amp;md5=644ff9c00be00c9c847dac6aacd4e86f</t>
  </si>
  <si>
    <t>A numerical tool integrating hydrodynamics, vegetation growth, stochastic selection, and Monte-Carlo simulation is developed to predict channel network evolution in a newly inundated back-barrier wetland. Focusing on the formation and evolution of tidal channels, model simulations suggest a clear tendency towards specific creek topologies with high probability despite creek evolution being subject to random perturbations. These creek topologies are primarily determined by wetland topography while the influence of vegetation is secondary. Ensemble results of Monte-Carlo simulations identify threshold points leading to bimodal separation of the emergent creek networks characterized by different complexity and efficiency. This, in turn, assists the recognition of necessary human interventions to encourage the formation of complex and far-reaching creek networks that can promote exchange of materials between estuaries and salt marshes and, hence, maintain salt marsh ecosystem structure and function.  ©2019. The Authors.</t>
  </si>
  <si>
    <t>2-s2.0-85076844110"</t>
  </si>
  <si>
    <t>10.1029/2018JC014732</t>
  </si>
  <si>
    <t>https://www.scopus.com/inward/record.uri?eid=2-s2.0-85076742195&amp;doi=10.1029%2f2018JC014732&amp;partnerID=40&amp;md5=8636d357bf6d5219b41deaa29975e7c6</t>
  </si>
  <si>
    <t>Pamlico Sound, a large back-barrier estuary in North Carolina, is under threat of climate change due to increased storm activity and sea level rise. The response of this system is investigated by considering what has already happened during changes in sea level over the late Holocene epoch. The hydrodynamic changes that occurred in response to geomorphic evolution are simulated using a 3-D numerical model for four distinct “time-slice” scenarios. To accomplish this, the present-day bathymetry was obtained from a high-resolution digital elevation model, and paleobathymetric grids were developed from sediment cores and seismic observations. Using the same hydrodynamic forcing for each geomorphic scenario, the models are compared to assess the combined response to: different inlets connecting the back-barrier estuary to the ocean, changes in basin geomorphology due to sedimentation, and sea level rise. The results indicate that these factors have a considerable effect on hydrodynamics, waves, and salinity in the estuary. The time-averaged tidal ranges were up to 3 times as high for the past environments in comparison with present-day water level elevations, and maximum current velocities were over 3 times higher in regions close to paleo-inlets. The simulations for each time slice suggest that the salinity distribution in Pamlico Sound is strongly influenced by the hydraulic connectivity with other estuaries and the number and size of tidal inlets through the barrier island system. The results indicate that changes to barrier systems induce strong, nonuniform, and complex responses in back-barrier estuaries with regime shifts in hydrodynamic energy and water mass properties. ©2019. American Geophysical Union. All Rights Reserved.</t>
  </si>
  <si>
    <t>2-s2.0-85076742195"</t>
  </si>
  <si>
    <t>10.1007/s12524-019-01051-0</t>
  </si>
  <si>
    <t>https://www.scopus.com/inward/record.uri?eid=2-s2.0-85074031029&amp;doi=10.1007%2fs12524-019-01051-0&amp;partnerID=40&amp;md5=5337aaf3b8d73803bac7a590b96457cb</t>
  </si>
  <si>
    <t>The primary objective of this study is to provide a methodology to generate a dense point cloud of digital surface model (DSM) and digital terrain model (DTM) from 0.6 m GSD stereo images acquired by CARTOSAT-2E satellite of the Indian Space Research Organization. These products are required for many high-resolution applications such as mapping of watersheds and watercourses</t>
  </si>
  <si>
    <t>10.1029/2019GL086123</t>
  </si>
  <si>
    <t>https://www.scopus.com/inward/record.uri?eid=2-s2.0-85077024125&amp;doi=10.1029%2f2019GL086123&amp;partnerID=40&amp;md5=ec90b46e8f1cb3a307c737b3701fd467</t>
  </si>
  <si>
    <t>Coastal flood warning and design of coastal protection schemes rely on accurate estimations of water level and waves during hurricanes and violent storms. These estimations frequently use numerical models, which, for computational reasons, neglect the interaction between the hydrodynamic and wave fields. Here, we show that neglecting such interactions, or local effects of atmospheric forcing, causes large uncertainties, which could have financial and operational consequences because flood warnings are potentially missed or protection schemes underdesigned. Using the Severn Estuary, SW England, we show that exclusion of locally generated winds underestimates high water significant wave height by up to 90.1%, high water level by 1.5%, and hazard proxy (water level + 1/2 significant wave height) by 9.1%. The uncertainty in water level and waves is quantified using a system to model tide-surge-wave conditions, Delft3D-FLOW-WAVE in a series of eight model simulations for four historic storm events. ©2019. The Authors.</t>
  </si>
  <si>
    <t>2-s2.0-85077024125"</t>
  </si>
  <si>
    <t>10.1016/j.geoforum.2019.10.016</t>
  </si>
  <si>
    <t>https://www.scopus.com/inward/record.uri?eid=2-s2.0-85074474731&amp;doi=10.1016%2fj.geoforum.2019.10.016&amp;partnerID=40&amp;md5=878f4fbd7450442ae920dbd43ce3f747</t>
  </si>
  <si>
    <t>In the Anthropocene, coastal cities are increasingly cast as climate change first responders: both “front lines” where uncertain futures are unfolding and “laboratories” in which experimental resilience infrastructures are being tested out. Engaged with anticipatory risk governance and urban climate experimentation literatures, this article critically examines recent resiliency infrastructure experiments in Miami Beach, Florida, a key climate change site known as ground zero for sea level rise in the United States. Using critical analysis of media and policy documents, site observation, and political and ecological theory, this article explores resilience experimentation in Miami Beach as a matter of transforming modes of anticipatory risk governance in the Anthropocene “back loop.” Beyond mere technical innovations, what visions of urban life and futures are forwarded in these experiments, and how are they transforming the nature of urbanism? Rather than courageous, utopian attempts to positively transform the city, the paper argues, these projects seek to lock Miami Beach and its residents into a single, unitary vision of the future, one of high-end real estate and luxury lifestyles buttressed by an invisible background of service and other wage work. The paper further argues however that this dream of Miami Beach's static future may be undone by the city's own experimental efforts to secure it. To conclude the paper argues that Miami Beach's resilience experiments represent an emergent paradigm of “back loop urbanism,” a form of urban governance devised amidst dislocation, made up of distinct experiments that fold in local trajectories in unique and sometimes conflicting ways. © 2019 Elsevier Ltd</t>
  </si>
  <si>
    <t>2-s2.0-85074474731"</t>
  </si>
  <si>
    <t>10.15292/acta.hydro.2019.09</t>
  </si>
  <si>
    <t>https://www.scopus.com/inward/record.uri?eid=2-s2.0-85090623150&amp;doi=10.15292%2facta.hydro.2019.09&amp;partnerID=40&amp;md5=102a65ceaecb45e9957cbc2f59fce56a</t>
  </si>
  <si>
    <t>Implementing adequate defences for low-lying coastal area against coastal flooding requires thorough knowledge of all potential influences leading to increased sea levels, including low-frequency sea level oscillations. We present and describe several methods applicable for the analysis of low-frequency sea level oscillations in the Mediterranean Sea: wavelet analysis, spectral analysis, moving-periodogram analysis, and rotary spectral analysis. These methods were applied for characterisation of subinertial sea level oscillations with periods greater of the period of inertial oscillation (18 hours in the Northern Adriatic Sea) on measured sea surface elevations and current velocities in the Mediterranean Sea. Preliminary analysis was performed on observations of a storm event in the Adriatic Sea at the end of January and the beginning of February 2014, revealing a peak in the frequency spectrum in the frequency band between 0.3-0.4 day-1. Further analysis was done on long-term tide gauge measurements available for 62 stations in the Mediterranean basin. The application of the selected methods provided a preliminary set of seasonal occurrences and durations of subinertial oscillation. This sets the ground for further investigation into the propagation of low-frequency sea level oscillations throughout the Mediterranean basin and for characterisation of the mechanisms triggering the process, including with regard to climate change. © Bertoncelj V. et al.</t>
  </si>
  <si>
    <t>2-s2.0-85090623150"</t>
  </si>
  <si>
    <t>10.1029/2019JC015312</t>
  </si>
  <si>
    <t>https://www.scopus.com/inward/record.uri?eid=2-s2.0-85076728973&amp;doi=10.1029%2f2019JC015312&amp;partnerID=40&amp;md5=7c40633fedc6920fe15e110d4f1ac6f2</t>
  </si>
  <si>
    <t>Rising seas coupled with ever increasing coastal populations present the potential for significant social and economic loss in the 21st century. Relatively short records of the full multidimensional space contributing to total water level coastal flooding events (astronomic tides, sea level anomalies, storm surges, wave run-up, etc.) result in historical observations of only a small fraction of the possible range of conditions that could produce severe flooding. The Time-varying Emulator for Short- and Long-Term analysis of coastal flood hazard potential is presented here as a methodology capable of producing new iterations of the sea-state parameters associated with the present-day Pacific Ocean climate to simulate many synthetic extreme compound events. The emulator utilizes weather typing of fundamental climate drivers (sea surface temperatures, sea level pressures, etc.) to reduce complexity and produces new daily synoptic weather chronologies with an auto-regressive logistic model accounting for conditional dependencies on the El Niño Southern Oscillation, the Madden-Julian Oscillation, seasonality, and the prior two days of weather progression. Joint probabilities of sea-state parameters unique to simulated weather patterns are used to create new time series of the hypothetical components contributing to synthetic total water levels (swells from multiple directions coupled with water levels due to wind setup, temperature anomalies, and tides). The Time-varying Emulator for Short- and Long-Term analysis of coastal flood hazard potential reveals the importance of considering the multivariate nature of extreme coastal flooding, while progressing the ability to incorporate large-scale climate variability into site specific studies assessing hazards within the context of predicted climate change in the 21st century. ©2019. American Geophysical Union. All Rights Reserved.</t>
  </si>
  <si>
    <t>2-s2.0-85076728973"</t>
  </si>
  <si>
    <t>10.1038/s41558-019-0608-4</t>
  </si>
  <si>
    <t>https://www.scopus.com/inward/record.uri?eid=2-s2.0-85075620890&amp;doi=10.1038%2fs41558-019-0608-4&amp;partnerID=40&amp;md5=77226312c51cbb5775e942f9e3361436</t>
  </si>
  <si>
    <t>The effects of sea-level rise on the future morphological functioning of estuaries are largely unknown because tidal amplitudes will change due to combined deepening of the estuary mouth and shifting amphidromic points at sea. Fluvial sediment supply is also globally decreasing, which hampers infilling necessary to maintain elevation relative to sea level. Here we model 36 estuaries worldwide with varying sizes, shapes and hydrodynamic characteristics, and find that small shallow estuaries and large deep estuaries respond in opposite ways to sea-level rise. Large estuaries are threatened by sediment starvation and therefore loss of intertidal area, particularly if tidal amplitude decreases at the mouth. In contrast, small estuaries face enhanced flood risks and are more sensitive to tidal amplification on sea-level-rise-induced deepening. Estuary widening can partly mitigate adverse effects. In large estuaries, expanded intertidal areas increase tidal prism and available erodible sediment for adaptation, whereas it slightly reduces tidal amplification in small estuaries. © 2019, The Author(s), under exclusive licence to Springer Nature Limited.</t>
  </si>
  <si>
    <t>2-s2.0-85075620890"</t>
  </si>
  <si>
    <t>10.1371/journal.pone.0225936</t>
  </si>
  <si>
    <t>https://www.scopus.com/inward/record.uri?eid=2-s2.0-85076027384&amp;doi=10.1371%2fjournal.pone.0225936&amp;partnerID=40&amp;md5=2dc8766c81398447d9c8d321aa993866</t>
  </si>
  <si>
    <t>This study aimed at illustrating how direct measurements, mobile laser scanning and hydraulic modelling can be combined to quantify environmental drivers, improve vegetation models and increase our understanding of vegetation patterns in a sub-arctic river valley. Our results indicate that the resultant vegetation models successfully predict riparian vegetation patterns (Rho = 0.8 for total species richness, AUC = 0.97 for distribution) and highlight differences between eight functional species groups (Rho 0.46–0.84</t>
  </si>
  <si>
    <t>10.1007/s10712-019-09549-5</t>
  </si>
  <si>
    <t>https://www.scopus.com/inward/record.uri?eid=2-s2.0-85068215937&amp;doi=10.1007%2fs10712-019-09549-5&amp;partnerID=40&amp;md5=e1caa1d5af7b9b5a549951f8d9d10451</t>
  </si>
  <si>
    <t>Coastal areas epitomize the notion of ‘at-risk’ territory in the context of climate change and sea level rise (SLR). Knowledge of the water level changes at the coast resulting from the mean sea level variability, tide, atmospheric surge and wave setup is critical for coastal flooding assessment. This study investigates how coastal water level can be altered by interactions between SLR, tides, storm surges, waves and flooding. The main mechanisms of interaction are identified, mainly by analyzing the shallow water equations. Based on a literature review, the orders of magnitude of these interactions are estimated in different environments. The investigated interactions exhibit a strong spatiotemporal variability. Depending on the type of environments (e.g., morphology, hydrometeorological context), they can reach several tens of centimeters (positive or negative). As a consequence, probabilistic projections of future coastal water levels and flooding should identify whether interaction processes are of leading order, and, where appropriate, projections should account for these interactions through modeling or statistical methods. © 2019, The Author(s).</t>
  </si>
  <si>
    <t>2-s2.0-85068215937"</t>
  </si>
  <si>
    <t>10.3390/rs11192210</t>
  </si>
  <si>
    <t>https://www.scopus.com/inward/record.uri?eid=2-s2.0-85073470822&amp;doi=10.3390%2frs11192210&amp;partnerID=40&amp;md5=f23f50a6ffd4d5d87fa2f39c491e08ed</t>
  </si>
  <si>
    <t>Many wetlands are characterized by a vegetation cover of variable height and density over time. Tracking spatio-temporal changes in inundation patterns of these wetlands remains a challenge for remote sensing. Water In Wetlands (WIW) was predicted using a dichotomous partitioning of reflectance values encoded based on ground-truth (n = 4038) and optical-space derived (n = 7016) data covering all land cover types (n = 17) found in the Rhône delta, southern France. The models were developed with spectral data from Sentinel 2, Landsat 7, and Landsat 8 sensors, hence providing a monitoring tool that covers a 35-year period (same sensor for Landsat 5 and 7). A single model combining the near infrared (NIR ≤ 0.1558 to 0.1804, depending on sensors) and short-wave infrared (SWIR2 ≤ 0.0871 to 0.1131) wavelengths was identified by three independent analyses, each one using a different satellite. Overall accuracy of water maps ranged from 89% to 94% for the training samples and from 90% to 94% for the validation samples, encompassing standard water indices that systematically underestimate flooding duration under vegetation cover. Sentinel 2 provided the highest performance with a kappa coefficient of 0.82 for both samples. Such tool will be most useful for monitoring the water dynamics of seasonal wetlands, which are particularly sensitive to climate change while providing multiple services to humankind. Considering the high temporal resolution of Sentinel 2 (every 5 days), cumulative water maps built with the WIW logical rule could further be used for mapping a wide range of wetlands which are either periodically or permanently flooded. 2019 by the authors. © 2019 by the authors.</t>
  </si>
  <si>
    <t>2-s2.0-85073470822"</t>
  </si>
  <si>
    <t>10.1016/j.ijdrr.2019.101292</t>
  </si>
  <si>
    <t>https://www.scopus.com/inward/record.uri?eid=2-s2.0-85071238338&amp;doi=10.1016%2fj.ijdrr.2019.101292&amp;partnerID=40&amp;md5=db2b180cd3d8d63530c1a4e058cd5647</t>
  </si>
  <si>
    <t>The objective of this study is to investigate the impact of the projected sea-level rise to the coastal land use/land cover (LULC) at a disaster-prone coastal area, encompassing an engineering time-scale, based on a couple of sea-level rise scenarios. We investigate the Banda Aceh coast, a low-lying coastal area vulnerable to multiple hazards such as tsunamis and co-seismic land subsidence, which is typical along the Indonesian coastlines. Three sets of multi-temporal Google Earth Engine images acquired in 2004 (pre-tsunami December 2004), 2011 and 2017 were utilized to obtain the areal coverage of various types of LULC. The scenarios of coastal inundation were pre-determined at elevation +1.0 m and +1.5 m projecting the sea-level rise in the next couple centuries. Aquaculture ponds, buildings and bare land are the top three most pre-dominant land covers in Banda Aceh coast. The finding of this study reveals that the aquaculture ponds are at the highest risk to the future sea-level rise, and potentially contribute to the unproductive seawater inundated area. The bare land which has a huge potential to be converted into settlement area (buildings, housing, etc.), experienced remarkable loss due to both future inundation scenarios. The coastal area of Banda Aceh in the next couple of centuries, thus, will be highly vulnerable to the projected sea-level rise, providing the fast-growing and ever-expanding built environment very close to the coastline. A sustainable coastal management taking into account the disaster risk should, therefore, be incorporated within the decision making for the protection of the coastal area. © 2019</t>
  </si>
  <si>
    <t>2-s2.0-85071238338"</t>
  </si>
  <si>
    <t>10.1111/disa.12409</t>
  </si>
  <si>
    <t>https://www.scopus.com/inward/record.uri?eid=2-s2.0-85071861316&amp;doi=10.1111%2fdisa.12409&amp;partnerID=40&amp;md5=52f859431ed5b98417e1bfad3f123d19</t>
  </si>
  <si>
    <t>Flood-related losses in the United States are increasing despite large-scale mitigation efforts. To offset the rising cost of floods, the US Congress passed legislation in 2014 that will augment insurance premiums to make the National Flood Insurance Program more actuarially sound. Consequently, there is interest in lowering flood-related costs to the homeowner, both in terms of premiums and damage. This study addresses the issue by integrating premium savings and damages avoided based on several mitigation scenarios. Specifically, it examines how much policyholders within a watershed near Houston, Texas, could have saved between 1999 and 2009 had their communities introduced specific avoidance-based mitigation activities. The results indicate that homeowners and communities can offset premium rises and a majority of the damage suffered through marginal expansions of such initiatives. However, the costs associated with their implementation could counter some of these savings, and hence they need to be considered in future work. © 2019 The Authors Disasters © 2019 Overseas Development Institute</t>
  </si>
  <si>
    <t>2-s2.0-85071861316"</t>
  </si>
  <si>
    <t>10.3390/rs11192260</t>
  </si>
  <si>
    <t>https://www.scopus.com/inward/record.uri?eid=2-s2.0-85073478305&amp;doi=10.3390%2frs11192260&amp;partnerID=40&amp;md5=5f0c33476facd88efdc090b4ba4c66a7</t>
  </si>
  <si>
    <t>Coastal areas around the world are becoming increasingly urban, which has increased stress to both natural and anthropogenic systems. In the United States, 52% of the population lives along the coast, and North Carolina is in the top 10 fastest growing states. Within North Carolina, the southeastern coast is the fastest growing region in the state. Therefore, this research has developed a methodology that investigates the complex relationship between urbanization, land cover change, and potential flood risk and tested the approach in a rapidly urbanizing region. A variety of data, including satellite (PlanetScope) and airborne imagery (NAIP and Lidar) and vector data (C-CAP, FEMA floodplains, and building permits), were used to assess changes through space and time. The techniques consisted of (1) matrix change analysis, (2) a new approach to analyzing shorelines by computing adjacency statistics for changes in wetland and urban development, and (3) calculating risk using a fishnet, or tessellation, where hexagons of equal size (15 ha) were ranked into high, medium, and low risk and comparing these results with the amount of urbanization. As other research has shown, there was a significant relationship between residential development and wetland loss. Where urban development has yet to occur, most of the remaining area is at risk to flooding. Importantly, the combined methods used in this study have identified at-risk areas and places where wetlands have migrated/transgressed in relationship to urban development. The combination of techniques developed here has resulted in data that local government planners are using to evaluate current development regulations and incorporating into the new long-range plan for the County that will include smart growth and identification of risk. Additionally, results from this study area are being utilized in an application to the Federal Emergency Management Agency's Community Response System which will provide residents with lower flood insurance costs. © 2019 by the authors.</t>
  </si>
  <si>
    <t>2-s2.0-85073478305"</t>
  </si>
  <si>
    <t>Journal of Environmental Management and Tourism</t>
  </si>
  <si>
    <t>10.14505/jemt.v10.6(38).10</t>
  </si>
  <si>
    <t>https://www.scopus.com/inward/record.uri?eid=2-s2.0-85077901891&amp;doi=10.14505%2fjemt.v10.6%2838%29.10&amp;partnerID=40&amp;md5=178ba94f481f039e57a002626fe873fc</t>
  </si>
  <si>
    <t>The destruction of mangrove forests has caused various negative impacts both ecologically, economically and socially. Mangrove forests have an important function and role of protecting coastal areas, including humans who live in coastal areas from tsunami, hurricane and tidal floods. To overcome the depletion of mangrove forests, efforts are needed to build protected areas as one of the main strategies to conserve marine and coastal ecosystems, especially mangrove forests. This study aims to allow coordination of existing management entities and formulate strategies to use coastal/marine resources. The case study was conducted in the western Sekotong village located in the Province of West Nusa Tenggara, Indonesia. The area was chosen because it relies on the potential of mangrove forests as a marine ecotourism area. The research methods used include: Partial Least Square (PLS), Analytical Hierarchy Process (AHP) and Marine Spatial Planning (MSP). PLS was used to determine the order of priority for handling the rescue activities of mangrove forests as an ecotourism area while AHP was used to analyze policy priorities in managing mangrove ecosystems in a sustainable manner. MSP focuses on describing the logical sequence of steps needed to achieve the result of AHP goals and objectives of protecting mangrove forests from anthropogenic invasion. The research findings show that the integration of PLS, AHP and MSP is a useful tool to be used for coordination with stakeholders and it can protect mangrove forests from the degradation process that is currently taking place intensively in the research area. © 2019. ASERS Publishing. All rights reserved.</t>
  </si>
  <si>
    <t>2-s2.0-85077901891"</t>
  </si>
  <si>
    <t>10.1007/s00704-019-02829-5</t>
  </si>
  <si>
    <t>https://www.scopus.com/inward/record.uri?eid=2-s2.0-85062979865&amp;doi=10.1007%2fs00704-019-02829-5&amp;partnerID=40&amp;md5=7a27841f20a39a72e427eb8a1869cdee</t>
  </si>
  <si>
    <t>Understanding the changing characteristics and related mechanisms behind precipitation extremes is crucial for developing adaptive measures of water resource management as well as flood risk management. Based on daily precipitation measurement taken at 57 meteorological stations from 1960 to 2016, the variability of precipitation extremes over the Yangtze River Delta (YRD) is analyzed utilizing a Mann-Kendall trend test as well as a Hurst exponent analysis. Moreover, the climatic teleconnection that occurs from large-scale atmospheric circulation and such precipitation extremes is also investigated with the help of a wavelet coherence analysis. Results indicate that most extreme precipitation indices predominantly exhibit significant positive trends, indicating a wetting trend in the YRD over the past 61 years. Meanwhile, the contribution of precipitation of very wet days to annual total wet-day precipitation increased significantly. Furthermore, the increasing trend of precipitation extremes in the YRD is found to be attributable to the frequency and intensity, rather than to the duration of extreme precipitation events. The patterns of variation in these precipitation extremes reveal dramatic spatial heterogeneity, with extreme events concentrated primarily along the coastal plains. Overall, the YRD will likely face more severe flood risks in the foreseeable future. This is especially the case for the southern and central-western regions of the YRD. In contrast, the northern region of the YRD is forecast to become drier over time. The increasing trends in precipitation extremes for the YRD observed in this study are found to be linked closely with the positive anomalies of the El Niño-Southern Oscillation as well as the negative anomalies of the East Asian summer monsoon. © 2019, Springer-Verlag GmbH Austria, part of Springer Nature.</t>
  </si>
  <si>
    <t>2-s2.0-85062979865"</t>
  </si>
  <si>
    <t>10.1007/s11069-019-03763-5</t>
  </si>
  <si>
    <t>https://www.scopus.com/inward/record.uri?eid=2-s2.0-85071316309&amp;doi=10.1007%2fs11069-019-03763-5&amp;partnerID=40&amp;md5=48c9f82be7a08cd28aec1ac5cf10419d</t>
  </si>
  <si>
    <t>Coastal environment with high interaction between nature and societies is subject to multi-hazard interaction such as landslides, flood or cliff retreat. These territories are characterized by numerous elements at risk located in valley bottoms, front sea or at the outlets of small dry watershed. The aim is to quantify the potential consequences of EaR by integrating multiple hazards exposure at various scale analyses. To quantify the element at risk, three steps have been required. First, an initial rank has been attributed to each class of element at risk at three different scales analysis. Second, the potential consequences are weighted according to environmental dimension. Third, the consequences are combined with a linear combination of criteria in GIS environment. At medium-scale analysis, element at risk highlighted is built-up areas, national road, railway, lifeline and urban centers. At large-scale analysis, consequences concern any kind of house, apartment and complex located on multiple exposure areas. At local scale, consequences concern buildings located on multiple exposure areas with one floor in mixed materials and built after 1980. Thus, this method proposes an approach with multiple scales analysis and by integrating multiple exposure areas to quantify potential consequences. With the environmental dimension in element at risk analysis, it is an intermediate step to traditional risk analysis and, more specifically multirisk analysis without considering in this case the spatial and temporal dimension of hazards. © 2019, Springer Nature B.V.</t>
  </si>
  <si>
    <t>2-s2.0-85071316309"</t>
  </si>
  <si>
    <t>10.1109/JSTARS.2019.2949244</t>
  </si>
  <si>
    <t>https://www.scopus.com/inward/record.uri?eid=2-s2.0-85078334616&amp;doi=10.1109%2fJSTARS.2019.2949244&amp;partnerID=40&amp;md5=3f9dd2b8ec82e0459b99d588ae4370fc</t>
  </si>
  <si>
    <t>Flood events are one of the most severe natural hazards threatening billions of people living in coastal areas. Synthetic aperture radar (SAR) interferometry can contribute significantly to civil security by providing a highly accurate tool for spatially explicit monitoring of flood protection structures. This article analyzes multitemporal SAR interferometry techniques like persistent scatterer interferometry and small baseline subset (SBAS) for C-band radar data in order to show the potential for a precise dike monitoring. These techniques not only achieve accuracies of few millimeters, but they also enable to reconstruct the deformation process in time. Thus, critical deformation processes can be identified timely and precautions can be taken to prevent dike bursts during flood events. In this article, sea dikes located at the North Sea coast in Germany are analyzed in order to show the potential but also the difficulties of this approach, using 34 ERS-1/2, 55 Envisat ASAR, and 44 Sentinel-1 scenes. All results point out that long-term deformation processes can be measured quite well. Due to decorrelation effects, the results on vegetated dikes are ambiguous. Applying SBAS to Sentinel-1 data is very promising to serve as a tool to precisely detect and understand deformation processes of dike bodies on large spatial scales. © 2008-2012 IEEE.</t>
  </si>
  <si>
    <t>2-s2.0-85078334616"</t>
  </si>
  <si>
    <t>10.1007/s00267-019-01198-z</t>
  </si>
  <si>
    <t>https://www.scopus.com/inward/record.uri?eid=2-s2.0-85071101958&amp;doi=10.1007%2fs00267-019-01198-z&amp;partnerID=40&amp;md5=09a35b1aba83a3f1c430d3c2e2e687ed</t>
  </si>
  <si>
    <t>Both Venice and Miami are high-density coastal cities that are extremely vulnerable to rising sea levels and climate change. Aside from their sea-level location, they are both characterized by large populations, valuable infrastructure and real estate, and economic dependence on tourism, as well as the availability of advanced scientific data and technological expertize. Yet their responses have been quite different. We examine the biophysical environments of the two cities, as well as their socio-economic features, administrative arrangements vulnerabilities, and responses to sea level rise and flooding. Our study uses a qualitative approach to illustrate how adaptation policies have emerged in these two coastal cities. Based on this information, we critically compare the different adaptive responses of Venice and Miami and suggest what each city may learn from the other, as well as offer lessons for other vulnerable coastal cities. In the two cases presented here it would seem that adaptation to SLR has not yet led to a reformulation of the problem or a structural transformation of the relevant institutions. Decision-makers must address the complex issue of rising seas with a combination of scientific knowledge, socio-economic expertize, and good governance. In this regard, the “hi-tech” approach of Venice has generated problems of its own (as did the flood control projects in South Florida over half a century ago), while the increasing public mobilization in Miami appears more promising. The importance of continued long-term adaptation measures is essential in both cities. © 2019, Springer Science+Business Media, LLC, part of Springer Nature.</t>
  </si>
  <si>
    <t>2-s2.0-85071101958"</t>
  </si>
  <si>
    <t>10.1175/WCAS-D-18-0082.1</t>
  </si>
  <si>
    <t>https://www.scopus.com/inward/record.uri?eid=2-s2.0-85073559800&amp;doi=10.1175%2fWCAS-D-18-0082.1&amp;partnerID=40&amp;md5=75963927fa8070179c596e08050c1f4c</t>
  </si>
  <si>
    <t>Sea level rise amplifies flooding from tides and storms for coastal communities around the globe. Although the characterization of these physical hazards has improved, it is people’s behavior that will ultimately determine the impact on communities. This study adds to our understanding of how people may respond to various adaptation options and policies, using a household survey in New York City, New York, neighborhoods affected by Hurricane Sandy. We investigate previously overlooked factors that may influence intended household adaptive behavior, such as single-action bias, a cognitive trade-off that households make between adaptation options, whereby taking a small (and often less effective measure) may strongly discourage uptake of a more protective measure. Through a novel application of discrete choice experiments in the coastal adaptation context, we simulate plausible future conditions to assess potential adaptation under climatic and nonclimatic stressors. Our findings suggest that single-action bias plays a substantial role in intended coastal adaptation, whereby the odds of homeowners who have already implemented a modest-cost measure to insure and relocate in the future are 66% and 80% lower, respectively. The odds of homeowners to relocate are also ~1.9, ~2.2, and ~3.1 times as great if their peers relocate, nuisance flooding becomes a frequent occurrence, and property values fall substantially, respectively. We find that renters’ motivation to relocate is largely driven more by external issues such as crime, gentrification, and economic security than by flood hazard. © 2019 American Meteorological Society.</t>
  </si>
  <si>
    <t>2-s2.0-85073559800"</t>
  </si>
  <si>
    <t>10.1016/j.ijdrr.2019.101153</t>
  </si>
  <si>
    <t>https://www.scopus.com/inward/record.uri?eid=2-s2.0-85064315463&amp;doi=10.1016%2fj.ijdrr.2019.101153&amp;partnerID=40&amp;md5=47842b5fbbab2b15ae329038a4b45032</t>
  </si>
  <si>
    <t>Flood vulnerability is increasing in Vietnam due to rapid population growth, urbanization, and industrial development. Although there has been a significant increase in studies on flood risk assessments at the local scales in Vietnam, there remains a lack of tools developed for use at the national scale. In response to this need, we sourced and analyzed flood damage data from 1989 to 2015 in Vietnam's national disaster database in order to assess the flood risk of Vietnam's regions and provinces. The study proposes a new approach, multiple linear regression-TOPSIS, to analyze the disaster data. Our findings show that the North Central Coast is the most vulnerable region, followed by the Mekong Delta. Nghe An province has the highest flood risk score while Ho Chi Minh city has the lowest flood risk. This assessment tool provides accessible risk information for decision-makers and planners to classify the most at-risk areas and has practical implications for flood risk management at the national and local scales. The study also provides a new method for analyzing Vietnam's national disaster database, which may suggest potential applications for disaster loss databases in other countries and regions. © 2019 Elsevier Ltd</t>
  </si>
  <si>
    <t>2-s2.0-85064315463"</t>
  </si>
  <si>
    <t>10.1007/s13157-017-0980-7</t>
  </si>
  <si>
    <t>https://www.scopus.com/inward/record.uri?eid=2-s2.0-85037623025&amp;doi=10.1007%2fs13157-017-0980-7&amp;partnerID=40&amp;md5=528ac3a16324db62969c7a1269ca7713</t>
  </si>
  <si>
    <t>The San Francisco Bay-Delta estuary, the largest estuary on the west coast of North America, has lost over 90% of its tidal wetlands through conversion to agriculture, grazing or urban development. Accelerated sea-level rise poses an additional threat to the remaining wetlands, and keeping pace requires that they increase in relative elevation through trapping of suspended sediment or increasing organic productivity in the root zone. Suspended sediment concentrations (SSC) have been declining in rivers and deep channels, and although little is known about sediment dynamics in shallow areas, sediment supply to tidal wetlands may not be sufficient to maintain their elevations in the future. Wetlands will be constrained by existing development and mountainous terrain. Increases in tidal wetland salinity have been occurring in saline, brackish and the western edges of freshwater tidal wetlands. To mitigate for sea-level rise, considerable acreages currently are being restored, with and without active management practices. Restoration techniques are being piloted to increase shoreline protection, resiliency, and high tide refuge in adaptation to current and projected sea level rise. We recommend additional research into plant physiological responses to combinations of climate change impacts, as well as suggest potential practical policy positions. © 2017, Society of Wetland Scientists.</t>
  </si>
  <si>
    <t>2-s2.0-85037623025"</t>
  </si>
  <si>
    <t>10.1038/s41598-019-39516-4</t>
  </si>
  <si>
    <t>https://www.scopus.com/inward/record.uri?eid=2-s2.0-85062089059&amp;doi=10.1038%2fs41598-019-39516-4&amp;partnerID=40&amp;md5=4bc403e10850da888763810a5cfe0af1</t>
  </si>
  <si>
    <t>Hydrodynamic modelling of Australia’s lower Murray River demonstrates the response of a large coastal plain estuary to the mid-Holocene (7,000–6,000 yr BP) sea-level highstand. The approximately two metre higher-than-present sea level during the highstand forced the estuarine limit upstream generating an extensive central basin environment extending more than 200 kilometres from the river mouth (143 kilometres upstream of the modern tidal limit). The geomorphic history of the region does not conform to conventional estuarine facies models as, for much of the Holocene, the lower Murray River acted as a landward, gorge-confined extension of the Murray estuary. The incredibly low relief of this coastal plain system drove significant saline incursion and limited current velocities across the estuary facilitating deposition of a laminated silt-clay sequence which our results suggest may be regionally extensive. Variations to discharge, barrier morphology, or the estuary’s bathymetry result in minimal change to the estuarine palaeo-environment. The shift to the present-day fresher water distribution in the Murray estuary requires a fall in sea level to present-day conditions. The dominance of sea level as the controlling factor on this estuarine palaeo-environment highlights the significant potential impact of climate change induced sea-level rise to coastal plain estuaries. © 2019, The Author(s).</t>
  </si>
  <si>
    <t>2-s2.0-85062089059"</t>
  </si>
  <si>
    <t>10.1016/j.jhydrol.2019.124070</t>
  </si>
  <si>
    <t>https://www.scopus.com/inward/record.uri?eid=2-s2.0-85071640430&amp;doi=10.1016%2fj.jhydrol.2019.124070&amp;partnerID=40&amp;md5=923dd6f6fa38b5218dc7cc3bbcd8ee90</t>
  </si>
  <si>
    <t>The impact of land use and climate change (LUCC) on the pattern of groundwater and land subsidence at the Marand Plain was investigated in this study. Earth deformation was derived from ENVISAT ASAR (2003.12.17–2006.03.01) and Sentinel-1 (2015.05.03–2015.10.18) satellite data via the Synthetic Aperture Radar Interferometry (InSAR) small baseline subset (SBAS) time series analysis method. Time series analysis results showed the maximum deformation rate of 24 and 39 cm/yr extracted from ENVISAT ASAR and Sentinel-1, respectively. About 3141 ha of the plain area have been affected by the subsidence phenomenon, which has caused severe damage to constructions. Observed groundwater level (GWL) observed data, indicate a reduction of five meters on average for the period of 1997–2015. Linear regression was derived between GWL abatement and subsidence with average correlation coefficient of 0.73 and the rate of subsidence was about 2.6–8 cm for a one meter drop in the GWL. Owing to the obtained relations between GWL reduction and subsidence, the effects of LUCC on groundwater storage (GWS) variability, and consequently the plain subsidence was studied using the Soil and Water Assessment Tool (SWAT). Climate change scenarios were represented by the delta change approach based on the trend for the past three (1985–2014) and last decade (2005–2014), respectively by low delta change (LDC) and high delta change (HDC), where the trend of the most recent decade yield a higher delta change when extrapolating into 2030. After calibration and validation of the SWAT model using the monthly flow data, baseline (Sb) and five different LUCC scenarios (S1-S5) were simulated and their effects on the GWS variability were compared with together. The simulated results of Sb vs. S4 and S5, which represent plausible scenarios show that LUCC may decrease GWS about 52–99% and 85–100% under LDC and HDC, respectively. The results of the scenarios show the significant value of climate change (CC), under HDC, compared to land use change (LUC) in the diminishing of the GWS and as a result, the severe occurrence of the subsidence in the region. © 2019 Elsevier B.V.</t>
  </si>
  <si>
    <t>2-s2.0-85071640430"</t>
  </si>
  <si>
    <t>10.1007/s10584-019-02383-z</t>
  </si>
  <si>
    <t>https://www.scopus.com/inward/record.uri?eid=2-s2.0-85061646035&amp;doi=10.1007%2fs10584-019-02383-z&amp;partnerID=40&amp;md5=5547f23f3eadde402d64dd79b2bc6dac</t>
  </si>
  <si>
    <t>Adaptation planning includes contextualizing global and regional climate data within specific decision-making processes. As such, planners are increasingly interested in climate services. Climate services involve the expert production of forecasts, scenarios, economic analyses, and other data products to help users meaningfully address local changes and variabilities. For instance, in the US state of Louisiana, modelers tailor 50-year storm, precipitation, and sea level rise predictions to help planners select adaptive ecological restoration projects. Modelers do so by downscaling the data, combining it with other social and biophysical information, and framing results in terms of stakeholder interests. In this paper, I question what it means to develop adaptation information that is geared towards specific users and stakeholders. Given the growing recognition that adaptation planning can prove maladaptive, I ask, when do climate services actually exacerbate existing vulnerabilities? To answer, I draw on three cases from Louisiana’s coastal Master Plan and highlight political economic factors informing climate services: influential stakeholders, funding dynamics, the framing of planning decisions, and differential harms and benefits. I argue that when climate data is made relevant to existing interests, budgets, and plans, it can reproduce vulnerabilities and foreclose transformative adaptation. However, marginalized stakeholders can also pressure experts to contextualize data in ways that mitigate vulnerabilities. I conclude that climate services research and practice should expand user-centered approaches by asking climate services for whom and by assessing the winners and losers from climate variability, change, and adaptation actions themselves. © 2019, Springer Nature B.V.</t>
  </si>
  <si>
    <t>2-s2.0-85061646035"</t>
  </si>
  <si>
    <t>10.1002/esp.4634</t>
  </si>
  <si>
    <t>https://www.scopus.com/inward/record.uri?eid=2-s2.0-85067412734&amp;doi=10.1002%2fesp.4634&amp;partnerID=40&amp;md5=183fa6daa813afe2631fc66dd316ef4c</t>
  </si>
  <si>
    <t>In coastal areas, sea level rise (SLR) and changing wave climates are expected to be the main oceanic drivers of shoreline adjustments. These drivers have been shown to vary on a wide spectrum of spatial and temporal scales. Nonetheless, a general rule about how this variability impacts global shorelines remains to be articulated. Here, we discuss the impacts of wave climate changes and SLR on the evolution of a barrier spit–inlet system over the last 250 years. The distal end of the Cap Ferret barrier spit, SW France, has undergone large-scale oscillations that were well correlated with variations of the decadal average of the winter North Atlantic Oscillation (NAO) index. The local wave climate hindcast supports that increased alongshore wave energy fluxes associated with the positive phase of the NAO were responsible for the updrift retreat of the spit. By opposition, the spit has elongated downdrift when waves were less energetic and more shore normal, as during the negative phase of the NAO. In addition, lower rates of SLR appeared to be necessary for the spit to develop, as higher rates of SLR very likely forced the adjacent inlet to enlarge, at the expense of the spit. These results should help to predict and detect coastal adjustments driven by climate change and by climate variability. © 2019 John Wiley &amp; Sons, Ltd. © 2019 John Wiley &amp; Sons, Ltd.</t>
  </si>
  <si>
    <t>2-s2.0-85067412734"</t>
  </si>
  <si>
    <t>10.1007/s00382-019-04836-8</t>
  </si>
  <si>
    <t>https://www.scopus.com/inward/record.uri?eid=2-s2.0-85067231939&amp;doi=10.1007%2fs00382-019-04836-8&amp;partnerID=40&amp;md5=ba6ee54a9c39495ef99ef23a34c03cc6</t>
  </si>
  <si>
    <t>Intense cyclones often result in severe impacts on mid-latitude coastal regions of southeastern Australia, including those due to associated natural hazards such as extreme winds, ocean waves, storm surges, precipitation, flooding, erosion, lightning and tornadoes in some cases. These low-pressure systems, known as east coast lows (ECLs), have been examined in a wide range of different studies, with considerable variations between such studies in what they consider to be an ECL, and their findings on the characteristics of these storm systems. Here we present reviews of literature and other information such as operational forecasting approaches, which are then used to produce a comprehensive synthesis of knowledge on ECLs and associated weather and ocean extremes. This includes aspects such as their definition, formation, meteorology, climatology and drivers of variability from short-term weather time scales up to long-term historical climate trends and future projections. Australian ECLs are also considered here in relation to similar phenomena from other regions of the world. A definition based on this synthesis of knowledge is as follows: ECLs are cyclones near southeastern Australia that can be caused by both mid-latitude and tropical influences over a range of levels in the atmosphere</t>
  </si>
  <si>
    <t>10.3390/ijgi8090422</t>
  </si>
  <si>
    <t>https://www.scopus.com/inward/record.uri?eid=2-s2.0-85072569801&amp;doi=10.3390%2fijgi8090422&amp;partnerID=40&amp;md5=2583e2f17dac7cd87c9af9384434600c</t>
  </si>
  <si>
    <t>Drainage network analysis includes several operations that quantify the topological organization of stream networks. Network analysis operations are frequently performed on streams that are derived from digital elevation models (DEMs). While these methods are suited to application with fine-resolution DEM data, this is not the case for coarse DEMs or low-relief landscapes. In these cases, network analysis that is based on mapped vector streams is an alternative. This study presents a novel vector drainage network analysis technique for performing stream ordering, basin tagging, the identification of main stems and tributaries, and the calculation of total upstream channel length and distance to outlet. The algorithm uses a method for automatically identifying outlet nodes and for determining the upstream-downstream connections among links within vector stream networks while using the priority-flood method. The new algorithm was applied to test stream datasets in two Canadian study areas. The tests demonstrated that the new algorithm could efficiently process large hydrographic layers containing a variety of topological errors. The approach handled topological errors in the hydrography data that have challenged previous methods, including disjoint links, conjoined channels, and heterogeneity in the digitized direction of links. The method can provide a suitable alternative to DEM-based approaches to drainage network analysis, particularly in applications where stream burning would otherwise be necessary. © 2019 by the authors.</t>
  </si>
  <si>
    <t>2-s2.0-85072569801"</t>
  </si>
  <si>
    <t>10.1016/j.gloenvcha.2019.101981</t>
  </si>
  <si>
    <t>https://www.scopus.com/inward/record.uri?eid=2-s2.0-85072542940&amp;doi=10.1016%2fj.gloenvcha.2019.101981&amp;partnerID=40&amp;md5=ca775a82d15c7253b0642ca85d46805e</t>
  </si>
  <si>
    <t>Coastal areas around the world are urbanizing rapidly, despite the threat of sea level rise and intensifying floods. Such development places an increasing number of people and capital at risk, which calls for public flood management as well as household level adaptation measures that reduce social vulnerability to flooding and climate change. This study explores several private adaptation responses to flood risk, that are driven by various behavioral triggers. We conduct a survey among households in hazard-prone areas in eight coastal states in the USA, of which, some have recently experienced major flooding. While numerous empirical studies have investigated household-level flood damage mitigation, little attention has been given to examining the decision to retreat from flood zones. We examine what behavioral motives drive the choices for flood damage mitigation and relocation separately among property buyers and sellers. Hence, we focus on the drivers that shape demand for future development in flood-prone cities. We find that households’ choices to retreat from or to avoid flood zones (1) are highly sensitive to information that provokes people's feelings of fear, and (2) rely on hazardous events to trigger a protective action, which ideally would take place well before these events occur. We highlight that major flooding may cause a potential risk of large-scale outmigration and demographic changes in flood-prone areas, putting more low-income households at risk. Therefore, coordinated policies that integrate bottom-up drivers of individual climate adaptation are needed to increase urban resilience to floods. © 2019 Elsevier Ltd</t>
  </si>
  <si>
    <t>2-s2.0-85072542940"</t>
  </si>
  <si>
    <t>10.1016/j.envsci.2019.07.009</t>
  </si>
  <si>
    <t>https://www.scopus.com/inward/record.uri?eid=2-s2.0-85069927549&amp;doi=10.1016%2fj.envsci.2019.07.009&amp;partnerID=40&amp;md5=84ef1e4633e38123bfd8795570ac356e</t>
  </si>
  <si>
    <t>Hurricanes and tropical storms are among the most frequent and costly natural disasters in the United States, and their impacts are expected to intensify in the future. Understanding the best predictors of hurricane damage in coastal areas is of paramount importance for reducing recovery costs and protecting coastal infrastructure and human lives. This project used surveys of 295 homeowners in coastal North Carolina to evaluate damage to estuarine shorelines and homes caused by Hurricane Matthew in 2016. Specifically, we were interested in the following questions: 1) did homes with hardened shorelines (e.g. bulkheads and riprap revetments) experience more or less damage than homes with natural shorelines during the storm; and, 2) what were the strongest predictors of hurricane damage to shorelines and homes. Overall, we found that past hurricane damage to shorelines was the strongest predictor of shoreline damage during Hurricane Matthew and that flood zone and past hurricane damage to homes were the strongest predictors of home damage. However, homes with bulkheads also sustained more hurricane damage than homes with natural shorelines, perhaps because homes with bulkheads were on average 2 times closer to the shoreline than homes with natural shorelines. Our results show patterns of repeated shoreline and home damage during hurricanes and indicate that environmental context and vulnerability can outweigh individual residents’ shoreline management decisions.</t>
  </si>
  <si>
    <t>10.1007/s11069-019-03792-0</t>
  </si>
  <si>
    <t>https://www.scopus.com/inward/record.uri?eid=2-s2.0-85073519973&amp;doi=10.1007%2fs11069-019-03792-0&amp;partnerID=40&amp;md5=d80411e16191e9d31389cacc4ec2a73b</t>
  </si>
  <si>
    <t>Floods have serious consequences on community well-being and health. This study was intended to address the health vulnerability of households in flood prone informal settlements in the coastal city of Mombasa in Kenya and their adaptation measures. Mombasa City has a history of floods, in the recent past, significant severe incidences of flooding events have already been experienced. However, there is dearth of evidence regarding vulnerability of households living in informal settlements in the city to the health risks of flooding and households’ coping mechanisms. The study participants were randomly drawn from three purposively selected informal settlements in Mombasa City. Health vulnerability was assessed in terms of flood exposure, flood sensitivity, and flood adaptive capacity. While adaptation measures were explored based on the autonomous steps that household have adapted in response to flooding. Primary data were collected using questionnaires, Key Informant Interviews and Focus Group Discussions. The findings showed that up to 40.8% of the households had a high level of vulnerability, 46.9% had a medium level, while only 12.3% had low level of vulnerability. The findings also showed that household characteristics, water, sanitation and environmental risk factors had an impact on the level of household vulnerability. As coping mechanisms, households had taken some adaptation measures like clearing trenches to unblock drainage channels and piling sand bags around the house. The study concludes that for poor people living in flood prone areas in urban setting, flood early warnings, flood preventive actions and long term mitigation strategies need to be strengthened since they are exposed to greater health problems. The findings of the study are expected to help communities and local support agencies to identify weaknesses, especially in adaptive capacities, and to indicate ways of reducing future health vulnerability of residents of informal settlements to flooding. © 2019, The Author(s).</t>
  </si>
  <si>
    <t>2-s2.0-85073519973"</t>
  </si>
  <si>
    <t>10.1007/s12040-019-1192-8</t>
  </si>
  <si>
    <t>https://www.scopus.com/inward/record.uri?eid=2-s2.0-85067518974&amp;doi=10.1007%2fs12040-019-1192-8&amp;partnerID=40&amp;md5=4bd37c1760433c21e187641f2786efc2</t>
  </si>
  <si>
    <t>Basin modelling, constrained by geochemical data from eight wells, was carried out, across the late Cretaceous and Early Palaeogene sediment packages of south-eastern Nigeria sedimentary basins. The study was aimed at establishing the sediment burial history, thermal maturation of the source rock and timing of hydrocarbon generation. The Late Cenomanian to Early Turonian Lokpanta Shale, which is the basal unit of the Eze-Aku Formation in the Eze-Aku Group, consists of alternating dark grey to black shales, marl and siltstones. The upper sections are mainly alternating sandstones, shales and limestones. This unit is the key petroleum source rock for the basin. Numerical 1D basin model of the study area revealed that the Cenomanian to Turonian times was the main phase of rifting in the Benue Trough evidenced by rapid subsidence. Subsidence rates varied widely in all the wells studied, ranging from 29–61 m/Mya (million years ago) and averaging 44 m/Mya. Subsidence rates also varied widely through geological time from the Cretaceous to the Palaeogene. The Cenomanian–Turonian and the Maastrichtian ages recorded the highest subsidence rates (169.75 and 168.28 m/Mya, respectively). These phases of rapid subsidence correspond to the main phase of rifting (Cenomanian–Turonian) and periods of increased sediment supply (Campanian and Maastrichtian), due to rapid erosion and unroofing of the structurally inverted Benue Trough, post-Santonian. Vitrinite reflectance values (1.87–4.78% Ro) indicated that the Lokpanta source rock (Late Cenomanian–Early Turonian) is mature to overmature. The vitrinite maturation profiles and the geochemical data suggested the generation of hydrocarbon before the Santonian compressional uplift of the Abakaliki–Benue Trough with its resultant sediment folding, which displaced the depo-centre from the Abakaliki Basin to the Anambra and Afikpo platforms. The subsequent erosion and non-deposition in the Abakaliki Basin raised the Lokpanta Shale above the oil generative window. The renewed sedimentation in the Campanian resulted in sagging due to sediment load creating the Anambra Basin. The lack of an effective trapping mechanism in the pre-Santonian may imply that hydrocarbon generated before the uplift migrated away, probably to upper and/or lower horizons (observed as oil shows in the region)</t>
  </si>
  <si>
    <t>10.1016/j.atmosres.2019.04.030</t>
  </si>
  <si>
    <t>https://www.scopus.com/inward/record.uri?eid=2-s2.0-85064930936&amp;doi=10.1016%2fj.atmosres.2019.04.030&amp;partnerID=40&amp;md5=61d7e81cc33df3cb6885c410c4463609</t>
  </si>
  <si>
    <t>Spatial and temporal changes of daily temperature extremes are investigated over Egypt using a standard set of 23 indices. Our analysis uses a database consisting of complete, high quality and homogenous daily maximum and minimum air temperature records at 40 stations, spanning the period from 1983 to 2015. The trends were assessed using a least squares regression model, and its significance was determined by means of the modified Mann-Kendall test (p &lt; .05). Results demonstrate that the frequency, intensity, and persistence of warm extremes increased significantly over the study period, with a clear spatial gradient from southeast to northwest. The strongest warming was more evident in coastal areas along the Red Sea and the Sinai Peninsula. In contrast, changes in cold extremes were mostly non-significant, with a divergence in the trends (i.e. positive and negative). Changes in variability indices such as the diurnal temperature range (DTR) were more consistent with those of warm extremes than with cold extremes. Our results also demonstrate that maximum air temperature witnessed stronger warming than minimum air temperature, leading to a dramatic increase in DTR, especially in the last decade. This study also points at the possible physical mechanisms responsible for the detectable changes in temperature extremes using sea level pressure and geopotential field data. Results indicate that anomalous warm events over Egypt are directly related to easterly winds that bring warm and dry air from the Arabian Peninsula and the Iranian Plateau, accompanied by strong ridges over the eastern Mediterranean and an intensification of the Asian monsoon lows. On the other hand, the occurrence of anomalous cold events can be linked to the east-west pressure gradient between the North Atlantic Highs and the Siberian and Persian Troughs, which enhances a northerly and northwesterly cold advection from Northern Europe to Egypt. This situation is also combined with a subsidence of cooler air from the mid to low troposphere. Overall, the observed changes in warm extremes could have profound ecological, hydrological and socioeconomic impacts, especially for crop production, water resources management and energy consumption. As such, improving the insight and understanding of such changes is of considerable importance to provide guidance to policymakers and stakeholders to develop more appropriate adaptation strategies. © 2019 Elsevier B.V.</t>
  </si>
  <si>
    <t>2-s2.0-85064930936"</t>
  </si>
  <si>
    <t>10.1016/j.ijdrr.2019.101329</t>
  </si>
  <si>
    <t>https://www.scopus.com/inward/record.uri?eid=2-s2.0-85072175468&amp;doi=10.1016%2fj.ijdrr.2019.101329&amp;partnerID=40&amp;md5=9d9db1be70c0eea374695939d70677b5</t>
  </si>
  <si>
    <t>Vulnerability to natural hazards not only depends on the magnitude of the hazards but also on the socio-economic conditions of people. Considering vulnerability as a social construct, the social vulnerability index (SoVI) was introduced to measure the vulnerability of people across space. Very little is known about the social vulnerability of the coastal region of Bangladesh despite their high exposure to natural hazards like cyclones and coastal flooding. Applying modified SoVI, we investigated the social vulnerability of this region at the union level. Using Principal Component Analysis (PCA), twenty-seven variables are reduced to nine components, which explain 80.79% of the variance in the data. We mapped the composite SoVI score, which was calculated by adding the nine principal components. Results show that 24.26% of the areas of the region are high to very highly vulnerable and most of these areas are either situated near the Meghna estuarine or in the Cox's Bazar district. Results from Local and Global Moran's I show that there are significant clusters of composite scores of social vulnerabilities. Furthermore, we investigated the effects of scalar changes (from the union to mouza) on the distribution of SoVI. Introducing a binary classification method to SoVI analysis, we found that scalar change reduces about 30% of the accuracy of vulnerability classification. The findings of this study will help policymakers and disaster managers to formulate informed policy and disaster management plans. © 2019</t>
  </si>
  <si>
    <t>2-s2.0-85072175468"</t>
  </si>
  <si>
    <t>10.1016/j.cities.2019.06.012</t>
  </si>
  <si>
    <t>https://www.scopus.com/inward/record.uri?eid=2-s2.0-85067984131&amp;doi=10.1016%2fj.cities.2019.06.012&amp;partnerID=40&amp;md5=d0d9dd194d47f4bd304a2ebac175143c</t>
  </si>
  <si>
    <t>City areas experiencing disproportionate vulnerability levels to urban flooding events have attracted attention. Resilience is widely accepted as a strategy for reducing the risks of vulnerability and maintaining sustainable development. This research conceptualized vulnerability to hazard and exposure, and resilience to adaptation to urban flooding and explores their associations from a spatial balance perspective. The hazard of urban flooding was evaluated by hydrographic models, whereas exposure and adaptation were examined by indexes. Shenzhen, a densely populated socialist Chinese city, was selected as the case city. Results revealed that districts in the marginalized areas of Shenzhen experience high vulnerability to urban flooding because of poor geographic factors, immature drainage systems of urban villages, and the influx of rural migrants with sensible populations driven by high housing prices in urban center. The situation is becoming increasingly serious because of strong spatial mismatch between vulnerability and resilience with urban overutilization and the rural underutilization of adaptation resource allocation. Social segregation on adaptation resource occurs for public service provision in a marketization situation instead of socialism. Therefore, exploring the mechanisms of the spatial imbalance between vulnerability and resilience in socialist city, such as Shenzhen is necessary for reducing such impacts in future research. © 2019 Elsevier Ltd</t>
  </si>
  <si>
    <t>2-s2.0-85067984131"</t>
  </si>
  <si>
    <t>10.2112/JCOASTRES-D-19-00038.1</t>
  </si>
  <si>
    <t>https://www.scopus.com/inward/record.uri?eid=2-s2.0-85074463888&amp;doi=10.2112%2fJCOASTRES-D-19-00038.1&amp;partnerID=40&amp;md5=e3776116a204970757f3f42391f00fc0</t>
  </si>
  <si>
    <t>Cheng, J. and Wang, P., 2019. Unusual beach changes induced by Hurricane Irma with a negative storm surge and poststorm recovery. Journal of Coastal Research, 35(6), 1185-1199. Coconut Creek (Florida), ISSN 0749-0208. The coast of west-central Florida, facing the Gulf of Mexico, experienced Hurricane Irma with a negative surge of 1.1 m and a highly oblique northerly approaching wave in September 2017. This unusual hydrodynamic condition provides an opportunity to investigate the effect of surge and incident wave direction on morphology changes. Beach profiles, spaced at 300 m apart, along a 15-km stretch of beach were surveyed 2 weeks prior to the passage of Hurricane Irma and 1 week after and continued for up to 5 months after the passage to obtain Irma-induced erosion as well as post-Irma recovery. Owing to the occurrence of negative surge, the profile volume of the dune field remained mostly stable. The majority of beach erosion occurred below mean sea level, with a considerable amount of sediment transported seaward of the depth of closure. This is opposite to the conservation of beach profile volume above depth of closure under several earlier storms with a positive surge. The alongshore variation of overall beach profile volume erosion demonstrates a southward decreasing trend, due to a southward decreasing wave height as controlled by the northerly incident wave. After the passage of Irma, minor beach volume recovery occurred during the calm period of the fall season. Opposite to the typical erosive beach in winter, the most substantial beach accretion and onshore bar movement were observed during the following peak winter season as beach/bar evolved toward equilibrium. The profile volume in the dry beach region experienced a complete recovery in the first 5 months after Hurricane Irma. Shoreline change is a valid proxy for beach volume change during both the erosive and the recovery phase of Irma. The systematically measured beach profiles provide a solid dataset to calibrate process-based models to study beach morphodynamics. © Coastal Education and Research Foundation, Inc. 2019.</t>
  </si>
  <si>
    <t>2-s2.0-85074463888"</t>
  </si>
  <si>
    <t>10.1038/s41598-019-46943-w</t>
  </si>
  <si>
    <t>https://www.scopus.com/inward/record.uri?eid=2-s2.0-85069748647&amp;doi=10.1038%2fs41598-019-46943-w&amp;partnerID=40&amp;md5=b456fd1884ddf8ccea5c2e7e53bce1a6</t>
  </si>
  <si>
    <t>The variable environmental conditions of the Amazon forest can affect the wood properties of the tree species distributed across its diverse phytophysiognomies. Carapa guianensis (Andiroba) occurs in upland and floodplain forests, and the wood and oil of its seeds have multiple uses. The aim of this study was to evaluate the wood properties of C. guianensis trees in upland and estuarine floodplain forests of the Amazon River. Eight trees were selected, with four being from the upland and four from the floodplain forests. The fiber length, fiber wall thickness, vessel diameter and frequency, microfibril angle, specific gravity and wood shrinkage were evaluated. The juvenile and mature wood zones were determined according to these variables. The fiber length, fiber wall thickness and specific gravity increased, and microfibril angle decreased, in the pith to bark direction. Only the fiber length variable was efficient for delimiting juvenile, transition and mature wood. The fiber length, wall thickness and specific gravity of wood were higher in upland forest trees. However, the environment did not alter the beginning of the formation and proportion of C. guianensis mature wood. This information is important for the log fit in cutting diagrams, aiming toward improving the production, classification and processing of pieces with specific quality indexes in order to direct them to appropriate wood uses. © 2019, The Author(s).</t>
  </si>
  <si>
    <t>2-s2.0-85069748647"</t>
  </si>
  <si>
    <t>10.3390/rs11202366</t>
  </si>
  <si>
    <t>https://www.scopus.com/inward/record.uri?eid=2-s2.0-85074212087&amp;doi=10.3390%2frs11202366&amp;partnerID=40&amp;md5=506bdbc15435930c3d3ce1593211926c</t>
  </si>
  <si>
    <t>The spatial extent and vegetation characteristics of tidal wetlands and their change are among the biggest unknowns and largest sources of uncertainty in modeling ecosystem processes and services at the land-ocean interface. Using a combination of moderate-high spatial resolution (≤30 meters) optical and synthetic aperture radar (SAR) satellite imagery, we evaluated several approaches for mapping and characterization of wetlands of the Chesapeake and Delaware Bays. Sentinel-1A, Phased Array type L-band Synthetic Aperture Radar (PALSAR), PALSAR-2, Sentinel-2A, and Landsat 8 imagery were used to map wetlands, with an emphasis on mapping tidal marshes, inundation extents, and functional vegetation classes (persistent vs. non-persistent). We performed initial characterizations at three target wetlands study sites with distinct geomorphologies, hydrologic characteristics, and vegetation communities. We used findings from these target wetlands study sites to inform the selection of timeseries satellite imagery for a regional scale random forest-based classification of wetlands in the Chesapeake and Delaware Bays. Acquisition of satellite imagery, raster manipulations, and timeseries analyses were performed using Google Earth Engine. Random forest classifications were performed using the R programming language. In our regional scale classification, estuarine emergent wetlands were mapped with a producer's accuracy greater than 88% and a user's accuracy greater than 83%. Within target wetland sites, functional classes of vegetation were mapped with over 90% user's and producer's accuracy for all classes, and greater than 95% accuracy overall. The use of multitemporal SAR and multitemporal optical imagery discussed here provides a straightforward yet powerful approach for accurately mapping tidal freshwater wetlands through identification of non-persistent vegetation, as well as for mapping estuarine emergent wetlands, with direct applications to the improved management of coastal wetlands. © 2019 by the authors.</t>
  </si>
  <si>
    <t>2-s2.0-85074212087"</t>
  </si>
  <si>
    <t>10.1007/s12524-019-01019-0</t>
  </si>
  <si>
    <t>https://www.scopus.com/inward/record.uri?eid=2-s2.0-85068819717&amp;doi=10.1007%2fs12524-019-01019-0&amp;partnerID=40&amp;md5=3cbde0a906de97bee460cc4dd92bb109</t>
  </si>
  <si>
    <t>Nagavali basin is one of the major flooded regions in Andhra Pradesh and Orissa. Remote sensing and GIS play a very important role in the cost-effective investigation of the flood. The objective of the present research work is to develop the hydrological model for the Nagavali basin. Arc GIS and HEC-HMS are used to develop the hydrological model, and it is also used to make real-time flood forecast model. To extract the watershed characteristics, catchment delineation, and drainage network, SRTM digital elevation model of 30-m resolution is used. The hydrological model is calibrated for the year of 2006; the calibrated model is validated for the years of 2010 and 2012. The performance indices of the hydrological model are analyzed using R2, Nash–Sutcliffe coefficient, index of agreement, and percentage of deviation in peak.</t>
  </si>
  <si>
    <t>10.1080/17565529.2019.1586638</t>
  </si>
  <si>
    <t>https://www.scopus.com/inward/record.uri?eid=2-s2.0-85062485530&amp;doi=10.1080%2f17565529.2019.1586638&amp;partnerID=40&amp;md5=87d92996199f5b8babe48c90dd5ff7f8</t>
  </si>
  <si>
    <t>This paper aims to understand how environmental stressors influence people’s livelihood options in the coastal belt of Bangladesh. We argue that environmental stressors such as cyclones, riverbank erosion, salinity intrusion, and floods have negative impacts on people’s lives by reducing their livelihood options. Twelve in-depth interviews (Livelihood Histories) and twelve Focus Group Discussions (FGD) based on two Participatory Rural Appraisal (PRA) tools (Village Timeline and Contextual Change) were carried out in three different sites in coastal Bangladesh were conducted under the study. Our study finds that when there are insufficient adaptation strategies to environmental stressors, many people turn to livelihoods banned by the government. These ‘illegal livelihoods’ include using fine mesh nets to collect shrimp fry in the rivers as well as logging in the Sundarbans. These people are often the poorestand vulnerable, and law enforcement only exacerbate their vulnerability. We end by concluding those that have turned to ‘illegal livelihoods’ as a result of detrimental environmental stressors should be viewed as a special category of vulnerable people by policymakers, and steps need to be taken to ensure resilience to different environmental stressors. © 2019, © 2019 Informa UK Limited, trading as Taylor &amp; Francis Group.</t>
  </si>
  <si>
    <t>2-s2.0-85062485530"</t>
  </si>
  <si>
    <t>10.1007/s10712-019-09569-1</t>
  </si>
  <si>
    <t>https://www.scopus.com/inward/record.uri?eid=2-s2.0-85073938262&amp;doi=10.1007%2fs10712-019-09569-1&amp;partnerID=40&amp;md5=0cf48bda7fa65ae1156e92bc6c8fcde7</t>
  </si>
  <si>
    <t>Satellite radar altimetry provides a unique sea level data set that extends over more than 25 years back in time and that has an almost global coverage. However, when approaching the coasts, the extraction of correct sea level estimates is challenging due to corrupted waveforms and to errors in most of the corrections and in some auxiliary information used in the data processing. The development of methods dedicated to the improvement of altimeter data in the coastal zone dates back to the 1990s, but the major progress happened during the last decade thanks to progress in radar technology [e.g., synthetic aperture radar (SAR) mode and Ka-band frequency], improved waveform retracking algorithms, the availability of new/improved corrections (e.g., wet troposphere and tidal models) and processing workflows oriented to the coastal zone. Today, a set of techniques exists for the processing of coastal altimetry data, generally called “coastal altimetry.” They have been used to generate coastal altimetry products. Altimetry is now recognized as part of the integrated observing system devoted to coastal sea level monitoring. In this article, we review the recent technical advances in processing and the new technological capabilities of satellite radar altimetry in the coastal zone. We also illustrate the fast-growing use of coastal altimetry data sets in coastal sea level research and applications, as high-frequency (tides and storm surge) and long-term sea level change studies. © 2019, Springer Nature B.V.</t>
  </si>
  <si>
    <t>2-s2.0-85073938262"</t>
  </si>
  <si>
    <t>10.1080/15715124.2019.1606816</t>
  </si>
  <si>
    <t>https://www.scopus.com/inward/record.uri?eid=2-s2.0-85065754995&amp;doi=10.1080%2f15715124.2019.1606816&amp;partnerID=40&amp;md5=0b198ca9ad4f296a0d5ac6dc0d6c6bbc</t>
  </si>
  <si>
    <t>Accurate forecasts are a necessity in a world with frequent flood disasters and climatic anomalies. Studies have demonstrated that one of the primary sources of uncertainty in flood modelling is the topographic input data, the bathymetry in particular. As high-resolution elevation/bathymetry datasets are often unavailable in developing regions, the present study benchmarks the freely available Indian National Digital Elevation Model (DEM) CartoDEM, against the currently preferred global DEM, SRTM, for 1D-hydrodynamic modelling. Techniques for improving simulated Water Surface Elevation (WSE) profiles, while using cross-sections derived from these free DEMs are proposed. A distributed vertical error characterization using ground surveyed control points was performed and used to correct the DEM-extracted cross-sections. The approach was tested by simulating a 25-year return period flood in a reach of the Erai River, near Chandrapur city in Maharashtra, India. The results show an improvement of ∼84% in the root-mean-squared-error value for the WSE generated by the SRTM after correction, while the CartoDEM degraded by ∼41%. It was observed that while the uncorrected CartoDEM performs better than the uncorrected SRTM, the converse is true after the bias correction. © 2019, © 2019 International Association for Hydro-Environment Engineering and Research.</t>
  </si>
  <si>
    <t>2-s2.0-85065754995"</t>
  </si>
  <si>
    <t>10.2112/JCOASTRES-D-19-00031.1</t>
  </si>
  <si>
    <t>https://www.scopus.com/inward/record.uri?eid=2-s2.0-85074521329&amp;doi=10.2112%2fJCOASTRES-D-19-00031.1&amp;partnerID=40&amp;md5=830affc0f1dbeae21183d11b275add85</t>
  </si>
  <si>
    <t>Watson, P.J., 2019. An assessment of the utility of satellite altimetry and tide gauge data (ALT-TG) as a proxy for estimating vertical land motion. Journal of Coastal Research, 35(6), 1131-1144. Coconut Creek (Florida), ISSN 0749-0208. Policy, planning, and adaptation responses to sea-level rise are being developed at increasingly localised scales, placing greater emphasis on sea-level studies to more accurately account for all vertical land motions (VLM) at tide gauge sites using technologies such as global navigation satellite systems (GNSSs). Although the spatial coverage and length of GNSS data records continues to increase in proximity to tide gauges, large tracts of the world's coastlines contain limited or no GNSS data. Various studies have investigated proxy methods of estimating VLM by trends from differenced altimetry-tide gauge techniques (ALT-TG). This study has concentrated on investigating the utility of ALT-TG techniques using so-called off the shelf' gridded satellite altimetry products (U.S. National Aeronautics and Space Administration Jet Propulsion Laboratory [NASA JPL] and Copernicus Climate Change Service [C3S]) for use in regional and local scale sea-level studies to estimate VLM. Twenty locations across the globe were analysed</t>
  </si>
  <si>
    <t>10.3390/ijgi8120534</t>
  </si>
  <si>
    <t>https://www.scopus.com/inward/record.uri?eid=2-s2.0-85077210765&amp;doi=10.3390%2fijgi8120534&amp;partnerID=40&amp;md5=0b4263fc2feeeaff6fc730d472c78470</t>
  </si>
  <si>
    <t>The main purpose of this article was to develop a method of researching accessibility in the event of a flood through the application of measurement based on mobility. In the course of the research, it has been proven that changes in mobility (and the related travel speed) are too significant to be ignored when studying accessibility in unusual circumstances. The vast majority of existing accessibility studies rely primarily on speed models, which - in the event of a flood - do not indicate the external effects of the natural disaster. On the basis of the conducted research it has been stated that the occurrence of a flood has a significant impact on changes in the spatial distribution of traffic and its related speeds. Such changes vary depending on the particular means of transport. With the most commonly applied methods of measuring accessibility, which are customarily based on speed models, the changes we observed would not be recorded. The application of mobility-based research in the analyses of accessibility - especially in the event of a flood - indicates the disaster's influence on the capacity of the road network, and thus, it allows for more effective flood-risk management. Furthermore, this article also demonstrates the possibility of applying source materials available in most member states of the EU, i.e., flood-risk maps and digital terrain models (NMPT), for the purposes of analysing and identifying road section closures within the transport network after the occurrence of a flood. © 2019 by the authors. Licensee MDPI, Basel, Switzerland. This article is an open access article distributed under the terms and conditions of the Creative Commons Attribution (CC BY) license (http://creativecommons.org/licenses/by/4.0/).</t>
  </si>
  <si>
    <t>2-s2.0-85077210765"</t>
  </si>
  <si>
    <t>10.1016/j.hydroa.2019.100043</t>
  </si>
  <si>
    <t>https://www.scopus.com/inward/record.uri?eid=2-s2.0-85074274850&amp;doi=10.1016%2fj.hydroa.2019.100043&amp;partnerID=40&amp;md5=abe7fbda0b9ac21fd5cd3ce8dc3ae834</t>
  </si>
  <si>
    <t>In southwestern Bangladesh, the large variation in groundwater salinity has only been elucidated in small-scale study areas and along large regional-scale gradients. We aimed to assess the regional shallow (&lt;60 m) groundwater salinity variation with a higher resolution as a function of landscape features and associated hydrological processes. Spatial variation in groundwater salinity was assessed using 442 EC measurements from previous studies and 1998 new EC measurements. Groundwater EC values were correlated with well location data (latitude, longitude and depth of the filter) and landscape feature data (elevation, soil type, land use and surface clay thickness). Additionally, we performed a geomorphological analysis of landscape features to infer associated hydrological processes. We interpret wide fluvial zones to be remnants of sandy deposits in large paleo channels which allow freshwater recharge, resulting in groundwater that is mostly (75%) fresh. Narrow fluvial zones, tidal fluvial zones, and fluvial zones next to tidal rivers are more susceptible to lateral saline water flow or saline water recharge by occasional tidal flooding, and only contain some shallow fresh groundwater in high-lying zones. Tidal flat or tidal fringe zones hardly contain any fresh groundwater. This study is the first to demonstrate the relation between landscape features, hydrological processes and regional groundwater salinity throughout southwestern Bangladesh. The main lines of our approach may be applicable in other coastal areas with available spatial landscape feature data, enabling a first prediction of groundwater salinity variation. © 2019 The Author(s)</t>
  </si>
  <si>
    <t>2-s2.0-85074274850"</t>
  </si>
  <si>
    <t>10.1007/s13157-018-1082-x</t>
  </si>
  <si>
    <t>https://www.scopus.com/inward/record.uri?eid=2-s2.0-85054196610&amp;doi=10.1007%2fs13157-018-1082-x&amp;partnerID=40&amp;md5=4b9e35ad1ae5c8600591bda247f7af8f</t>
  </si>
  <si>
    <t>Sea-level rise, suppression of natural disturbances, and human development of coastal lands have influenced the capacity of tidal marshes to maintain quality habitat for wildlife, including coastal marsh birds. This study targeted the oligohaline marshes of the lower Mobile-Tensaw River Delta, Alabama, USA with the objective of assessing landcover and marsh bird distributional changes relative to two sampling periods, 2004 and 2015. We employed analysis of aerial imagery and standardized marsh bird surveys to derive information on the densities of common gallinule (Gallinula galeata), king rail (Rallus elegans), and least bittern (Ixobrychus exilis) during each sampling period. A gradient of land change was apparent where the northernmost and the southeastern portions of the study area lost land from 2006 to 2013 while the extent of emergent marsh wetland increased in the south and decreased in the north. Average densities of all three birds declined between survey periods (common gallinule 15%, king rail 50%, least bittern 38%). Changes in the distributions of these marsh birds reflected change in landform and emergent marsh habitat. This study reveals that tidal wetlands and associated communities do not change through linear processes. Rather, coastal wetlands may show distinct patterns surrounding areas of accretion, and loss. © 2018, Society of Wetland Scientists.</t>
  </si>
  <si>
    <t>2-s2.0-85054196610"</t>
  </si>
  <si>
    <t>10.1007/s10113-018-01458-4</t>
  </si>
  <si>
    <t>https://www.scopus.com/inward/record.uri?eid=2-s2.0-85060607219&amp;doi=10.1007%2fs10113-018-01458-4&amp;partnerID=40&amp;md5=68125903f8631f07ca3a91b1abea67c6</t>
  </si>
  <si>
    <t>Managed realignment of shorelines to manage floods and restore wetland can be difficult to implement without the support and involvement of local communities. Ecosystem service valuation tools, such as choice experiments, can be used to engage citizens in planning these sustainable transitions, yet citizens need to know their local shoreline and the pressures it is facing. Otherwise, people’s ability to participate in local governance and to value potential changes is limited. The aim of this study is to identify and address awareness gaps that would hinder informed participation in a choice experiment: we address awareness gaps through deliberative interventions in a workshop setting, and by measuring the impact of deliberation through a comparison of choice experiment results performed before and after each stage of deliberation with citizens living on the shores of the Inner Forth estuary in Scotland. We estimate separate choice models for each of the choice experiments and find that deliberation increases both the resistance to ‘status quo’ and support for landscape-scale managed realignment of the shoreline. The deliberative interventions helped to identify clearer shoreline priorities and reduce contradictory patterns in shoreline preference. After gaining experience and deliberation, we find participants to become more selective: willingness to pay decreases substantially and model performance improves (slightly). Preferences diverge after learning about shoreline issues, whereas discussion converges preferences for the two most important shoreline attributes. These findings suggest that deliberative valuation not only shapes citizens’ attitudes towards shoreline management but also improves the quality of citizen engagement in the delivery of sustainable transitions. © 2019, Springer-Verlag GmbH Germany, part of Springer Nature.</t>
  </si>
  <si>
    <t>2-s2.0-85060607219"</t>
  </si>
  <si>
    <t>10.3390/rs11222621</t>
  </si>
  <si>
    <t>https://www.scopus.com/inward/record.uri?eid=2-s2.0-85075364592&amp;doi=10.3390%2frs11222621&amp;partnerID=40&amp;md5=57ccb9eb42978521ce41101d9ea9e5ee</t>
  </si>
  <si>
    <t>Increasing demand for land resources at the coast has exerted immense pressure on vulnerable environments. Population and economic growth in coastal cities have combined to produce a scarcity of suitable space for development, the response to which has frequently been the reclamation of land from the sea, most prominently in China. Urbanization is a key driver of such changes and a detailed investigation of coastal land reclamation at the city scale is required. This study analyzed remote sensing imagery for the period 1990 to 2018 to explore the trajectories of coastal land reclamation in nine major urban agglomerations across the three largest deltas in China using the JRC Global SurfaceWater (YearlyWater Classification History, v1.1) (GSW) dataset on the Google Earth Engine platform. The results are considered in the context of major national policy reforms over the last three decades. The analysis reveals that total land reclaimed among nine selected cities had exceeded 2800 km2 since 1984, 82% of which occurred after 2000, a year following the enactment of China's agricultural 'red line' policy. Shanghai exhibited the greatest overall area of land extension, followed by Ningbo and Tianjin, especially in the period following the privatization of property rights in 2004. In analyzing annual trends, we identified the developmental stages of a typical coastal reclamation project and how these vary between cities. Scrutiny of the results revealed voids in nighttime light satellite data (2014-2018) in some localities. Although these voids appeared to be characterized by construction, they were occupied by vacant buildings, and were therefore examples of so-called ""ghost cities."" In China, as elsewhere, continual land reclamation needs to be considered in relation to, inter alia, sea level rise and land subsidence that pose significant challenges to the vision of sustainable urban development in these three deltaic megacities. © 2019 by the authors.</t>
  </si>
  <si>
    <t>2-s2.0-85075364592"</t>
  </si>
  <si>
    <t>10.1007/s10712-019-09575-3</t>
  </si>
  <si>
    <t>https://www.scopus.com/inward/record.uri?eid=2-s2.0-85074163519&amp;doi=10.1007%2fs10712-019-09575-3&amp;partnerID=40&amp;md5=eb8299620e3e1f9526ed0e86755de381</t>
  </si>
  <si>
    <t>Many processes affect sea level near the coast. In this paper, we discuss the major uncertainties in coastal sea-level projections from a process-based perspective, at different spatial and temporal scales, and provide an outlook on how these uncertainties may be reduced. Uncertainty in centennial global sea-level rise is dominated by the ice sheet contributions. Geographical variations in projected sea-level change arise mainly from dynamical patterns in the ocean response and other geophysical processes. Finally, the uncertainties in the short-duration extreme sea-level events are controlled by near coastal processes, storms and tides. © 2019, The Author(s).</t>
  </si>
  <si>
    <t>2-s2.0-85074163519"</t>
  </si>
  <si>
    <t>10.1016/j.catena.2019.104193</t>
  </si>
  <si>
    <t>https://www.scopus.com/inward/record.uri?eid=2-s2.0-85069959060&amp;doi=10.1016%2fj.catena.2019.104193&amp;partnerID=40&amp;md5=c5c9319882e271f99fef4b81c0961c4d</t>
  </si>
  <si>
    <t>The base level is one of the key factors controlling river evolution. In the Yellow River mouth, a base-level rise takes place not only because of a relative sea-level rise, but also as a consequence of the increasing of river channel length associated with the large progradation rate of the delta. A change in river length results in a change in the gradient (slope) of the mouth channel, which further leads to a riverbed aggradation/degradation or a water level change at the deltaic apex. This process is principally associated with the morphodynamic backwater effect. The consequent water level change can be considered as a base-level change of the Yellow River. In this work, a relation was constructed between the water level at the deltaic apex and the riverine water and sediment inputs, as well as with the gradient of the mouth channel in the progradation period of each deltaic lobe. Also, for disclosing the importance of the base-level change due to variations of mouth channel length, it was estimated and compared with the relative sea-level change in the past decades, and for predicting the water level at the deltaic apex, the relation between mouth channel length and cumulative riverine sediment input was investigated. It was found that in the period 1953–2016, the base-level changes associated with variations of the mouth channel length could be larger than 1 m, or even larger than 2 m in one year, with a conservatively estimated annual mean of 34.8 mm/a, which is much larger than the relative sea-level change of 7.0 mm/a in the Yellow River mouth. The mouth channel length is closely and linearly related to the cumulative sediment discharge of the Yellow River. The relation for calculating the water level at the deltaic apex was found to be capable of giving a reliable result with the riverine water and sediment inputs, the relative sea-level, and the mouth channel length estimated from cumulative riverine sediment discharge. This relation was also used to estimate the equilibrium gradient of the mouth channel for sediment transport. The results show that after the year 2000, the equilibrium gradient has remained smaller than the actual gradient of the mouth channel, and both gradients decreased continuously with the decrease of riverine sediment inputs, but their values were becoming closer to each other. It is highly possible that the water level at the deltaic apex will be raised by the increase in sediment discharge of the river in the future. © 2019 Elsevier B.V.</t>
  </si>
  <si>
    <t>2-s2.0-85069959060"</t>
  </si>
  <si>
    <t>10.1134/S1875372819040048</t>
  </si>
  <si>
    <t>https://www.scopus.com/inward/record.uri?eid=2-s2.0-85081754357&amp;doi=10.1134%2fS1875372819040048&amp;partnerID=40&amp;md5=02df170afe8ac4a8259330ff7179b7a8</t>
  </si>
  <si>
    <t>A brief geographical description is provided for Lake Khanka and its drainage basin where the Russian part accounts for more than 90% of the area. Sixteen rivers on the Russian territory and eight rivers on the Chinese territory flow into the lake. Only one river, Sungacha, flows out of the lake</t>
  </si>
  <si>
    <t>10.1007/s10113-019-01548-x</t>
  </si>
  <si>
    <t>https://www.scopus.com/inward/record.uri?eid=2-s2.0-85069894214&amp;doi=10.1007%2fs10113-019-01548-x&amp;partnerID=40&amp;md5=6ff83db14b3dfa64e98992bbae3c2fc6</t>
  </si>
  <si>
    <t>The recent development of high dikes to support rice production, upland crops, cattle rearing, and commercial aquaculture in the Vietnamese Mekong Delta has significantly diminished wild fish catch and aquatic animals that are important food sources for the poor. Changes to agro-ecological systems in An Giang Province during three periods are reviewed: before 1975, when a network of canals was established</t>
  </si>
  <si>
    <t>10.1038/s41598-019-49822-6</t>
  </si>
  <si>
    <t>https://www.scopus.com/inward/record.uri?eid=2-s2.0-85072107810&amp;doi=10.1038%2fs41598-019-49822-6&amp;partnerID=40&amp;md5=9107254404a79783b9029e6b06b9c7fe</t>
  </si>
  <si>
    <t>Compound flooding, such as the co-occurrence of fluvial floods and extreme coastal water levels (CWL), may lead to significant impacts in densely-populated Low Elevation Coastal Zones. They may overstrain disaster management owing to the co-occurrence of inundation from rivers and the sea. Recent studies are limited by analyzing joint dependence between river discharge and either CWL or storm surges, and little is known about return levels of compound flooding, accounting for the covariance between drivers. Here, we assess the compound flood severity and identify hotspots for northwestern Europe during 1970–2014, using a newly developed Compound Hazard Ratio (CHR) that compares the severity of compound flooding associated with extreme CWL with the unconditional T-year fluvial peak discharge. We show that extreme CWL and stronger storms greatly amplify fluvial flood hazards. Our results, based on frequency analyses of observational records during 2013/2014’s winter storm Xaver, reveal that the river discharge of the 50-year compound flood is up to 70% larger, conditioned on the occurrence of extreme CWL, than that of the at-site peak discharge. For this event, nearly half of the stream gauges show increased flood hazards, demonstrating the importance of including the compounding effect of extreme CWL in river flood risk management. © 2019, The Author(s).</t>
  </si>
  <si>
    <t>2-s2.0-85072107810"</t>
  </si>
  <si>
    <t>Environmental Practice</t>
  </si>
  <si>
    <t>10.1080/14660466.2019.1680058</t>
  </si>
  <si>
    <t>https://www.scopus.com/inward/record.uri?eid=2-s2.0-85075086514&amp;doi=10.1080%2f14660466.2019.1680058&amp;partnerID=40&amp;md5=ec00bbdc22a90a42732f472e6466c1ed</t>
  </si>
  <si>
    <t>A significant amount of coastal marsh restoration work has been implemented in estuarine coastal areas in an effort to reclaim previously degraded aquatic habitats. Design approaches vary according to numerous cost and site specific parameters. This study attempts to assess the biologic function of two common approaches to restoration site design, terracing and beneficial use islands, located within an estuarine embayment in lower Galveston Bay, Texas across a five-year timeframe. Study results indicate that there are significant differences among restoration sites by design when compared to each other and to a natural reference within the same embayment. These results suggest that advancements in restoration design have important implications for coastal habitat function and resiliency. In light of climate change, relative sea level rise, ever-present funding constraints, and the ecologic and economic importance of estuarine marsh habitat, this data will be useful for restoration managers considering applicable techniques for future projects in dynamic coastal environments. © 2019, © 2019 National Association of Environmental Professionals.</t>
  </si>
  <si>
    <t>2-s2.0-85075086514"</t>
  </si>
  <si>
    <t>10.3390/hydrology6030082</t>
  </si>
  <si>
    <t>https://www.scopus.com/inward/record.uri?eid=2-s2.0-85077167089&amp;doi=10.3390%2fhydrology6030082&amp;partnerID=40&amp;md5=c1e972e5d90123df4c500b56527e50a3</t>
  </si>
  <si>
    <t>Globally, cities in developing countries are urbanising at alarming rates, and a major concern to hydrologists and planners are the options that affect the hydrologic functioning of watersheds. Environmental impact assessment (EIA) has been recognised as a key sustainable development tool for mitigating the adverse impacts of planned developments, however, research has shown that planned developments can affect people and the environment significantly due to urban flooding that arises from increased paved surfaces. Flooding is a major sustainable development issue, which often result from increased paved surfaces and decreased interception losses due to urbanisation and deforestation respectively. To date, several environmental assessment studies have advanced the concept of alternatives, yet, only a small number of hydrologic studies have discussed how the location of paved surface could influence catchment runoff. Specifically, research exploring the effects of location alternative in EIAs on urban hydrology is very rare. The Greater Port-Harcourt City (GPH) development established to meet the growth needs in Port-Harcourt city (in the Niger Delta) is a compelling example. The aim of this research is to examine the relative effect of EIA alternatives in three different locations on urban hydrology. The Hydrologic Engineering Centre's hydrologic modelling system (HEC-HMS) hydrodynamic model was used to generate data for comparing runoff in three different basins. HEC-HMS software combine models that estimate: Loss, transformation, base flow and channel routing. Results reveal that developments with the same spatial extent had different effects on the hydrology of the basins and sub-basins in the area. Findings in this study suggest that basin size rather than location of the paved surface was the main factor influencing the hydrology of the watershed. © 2019 by the authors.</t>
  </si>
  <si>
    <t>2-s2.0-85077167089"</t>
  </si>
  <si>
    <t>10.3389/fenvs.2019.00189</t>
  </si>
  <si>
    <t>https://www.scopus.com/inward/record.uri?eid=2-s2.0-85076674373&amp;doi=10.3389%2ffenvs.2019.00189&amp;partnerID=40&amp;md5=1603738625ffbd64b2939f0ef6280574</t>
  </si>
  <si>
    <t>Sea-level rise coupled with land subsidence from wetland drainage exposes increasingly large areas of coastal peatlands to seawater intrusion. Seawater contains high concentrations of sulfate (SO42−), which can alter the decomposition of organic matter thereby releasing organic and inorganic solutes from peat. In this study, a flow-through reactor system was used in order to examine the transport of SO42− through peat as well as its effect on solute release. Moderately-decomposed fen peat samples received input solutions with SO42− concentrations of 0, 100, 700, and 2,700 mg L−1</t>
  </si>
  <si>
    <t>10.1016/j.tourman.2019.02.005</t>
  </si>
  <si>
    <t>https://www.scopus.com/inward/record.uri?eid=2-s2.0-85062344132&amp;doi=10.1016%2fj.tourman.2019.02.005&amp;partnerID=40&amp;md5=23d2a2b45c6b16c3587a26cb7897cedb</t>
  </si>
  <si>
    <t>“Coastal squeeze” occurs when there is a chronic loss of coastal habitats landward associated with long-term processes such as sea level rise, land subsidence, sediment deficit and the occupation of space by infrastructure. This phenomenon may also affect socioeconomic activities such as tourism. The goal of this study was to explore the co-occurrence of tourism with coastal squeeze and flooding along the coasts of the Mexican Gulf of Mexico and Mexican Caribbean. Our results reveal that thirty percent of the tourist destinations are exposed to flooding; 62% of the total study area had a moderate to severe degree of coastal squeeze and 66% of the hotels are in squeezed beaches. Finally, we found that most tourist destinations undergoing coastal squeeze are in flood-prone sites, placing communities in high-risk conditions. Different alternatives (such as ecosystem-based protection) to overcome this problem are discussed.</t>
  </si>
  <si>
    <t>10.1007/s10113-019-01505-8</t>
  </si>
  <si>
    <t>https://www.scopus.com/inward/record.uri?eid=2-s2.0-85066894618&amp;doi=10.1007%2fs10113-019-01505-8&amp;partnerID=40&amp;md5=771b922aee0bf5139c95f6173d926550</t>
  </si>
  <si>
    <t>With climate change, coastal areas are faced with unprecedented sea level rise and flooding, raising questions as to how societies will choose to adapt. One option is to strengthen existing sea walls to maintain current land uses; however, scientists, policy-makers and conservationists increasingly see the benefits of managed realignment, which is a nature-based coastal adaptation that involves the conversion of reclaimed farmland back to wetlands, allowing periodic local flooding in designated areas to reduce the risk of flooding downstream. We interviewed 16 local organisations, landowners and farmers and held workshops with 109 citizens living the Inner Forth estuary in eastern Scotland, to examine how managed realignment is supported by stakeholder attitudes and their engagement. Most of the farmers we interviewed prefer strengthened sea walls, to maintain their livelihoods and agricultural heritage. Citizens and local organisations were mainly supportive of managed realignment, because it provided wildlife and flood regulation benefits. However, we identified several barriers that could present obstacles to implementing managed realignment, for example, uncertainty whether it would support their principles of economic and rational decision-making. Our findings suggest that the local capacity to cope with rising sea levels is limited by lack of engagement with all relevant stakeholder groups, the limited scope of existing stakeholder partnerships and poor short-term funding prospects of landscape partnerships that would facilitate collaboration and discussion. We suggest that including citizens, landowners, farmers and industries would strengthen existing stakeholder deliberation and collaboration, and support the Inner Forth’s transition towards a more sustainable future shoreline.</t>
  </si>
  <si>
    <t>Carbonates and Evaporites</t>
  </si>
  <si>
    <t>10.1007/s13146-019-00524-0</t>
  </si>
  <si>
    <t>https://www.scopus.com/inward/record.uri?eid=2-s2.0-85073784893&amp;doi=10.1007%2fs13146-019-00524-0&amp;partnerID=40&amp;md5=7ecc3cf91808be620d195395e442211b</t>
  </si>
  <si>
    <t>Karst porosity system is widely developed in the Fourth Member of Neoproterozoic Dengying Formation in Central Sichuan Basin of China. The result of the previous exploration in this area based on the theory of telogenetic karst, which mainly focused on the fracture/fault belt especially in the karst slope, leaves much to be desired. Though a systematically geological research in this study, it is found that the dissolution holes are mainly concentrated on the mud mound deposits and granular rocks. Both of them have a greater primitive porosity and permeability than the micrite that originally formed in low-energy environments, which is facies controlled. On the basis of the above and the fact that a tectonic movement has caused a massive subaerial exposure of the formation that only experienced a shallow burial, it is proposed that the paleokarst porosity system is the product of eogenetic karst. Two-stage eogenetic karsts have been interpreted: the syngenetic exposure caused by the short-term relative sea-level fluctuation and the exposure caused by the uplift of the second phase of Tongwan tectonic movement. The meteoric alteration in syngenetic period is commonly marked by the development of intergranular pores but on a small scale. It is believed to be important for providing a good pore-permeability foundation for the later eogenetic karst. The later exposure occurs immediately at the end of the deposition of the Fourth Member of Dengying Formation that only experienced a shallow burial. Since the effect of compaction and cementation in this shallow burial before uplift is relatively weak, only the micrite has been densified and retaining the majority of original pores in the carbonate mounds and grain shoals as paths for karst flow. Moreover, combined with the geological background and seismic profile, it can be ascertained that the karst occurs in a coastal environment. Twelve meteoric lenses have been interpreted after recovering the karst palaeogeomorphology. The scale of the meteoric lens and the reservoir performance have shown a decreasing tendency from the coastal to the inland area, which also confirms this view. The results of this research have put emphasis on the lithologic differentiation in eogenetic karst and the geographical location of karst development thus might provide a reference for further reservoir prediction in this area and other similar places. © 2019, Springer-Verlag GmbH Germany, part of Springer Nature.</t>
  </si>
  <si>
    <t>2-s2.0-85073784893"</t>
  </si>
  <si>
    <t>10.1016/j.tourman.2019.05.006</t>
  </si>
  <si>
    <t>https://www.scopus.com/inward/record.uri?eid=2-s2.0-85065527900&amp;doi=10.1016%2fj.tourman.2019.05.006&amp;partnerID=40&amp;md5=de2180496ad85ed25d2457fef7d8bd7d</t>
  </si>
  <si>
    <t>Water current flow characteristics represent crucial information required for the management of coastal tourism destinations. Strong currents or strange flow patterns can pose risks to beach visitors. This research examined the currents at Pattaya Bay, one of the most famous beaches in the world. Numerical simulations were undertaken. Sophisticated simulation techniques were applied so that the calibrated simulation results were reliable. A whirlpool at the southern part of the bay was discovered, occurring every day during flood tides. The vortex rotated clockwise, with a magnitude between 0.34 and 0.41 m/s, and its radius could sometimes reach 500 m. The swirl was a natural phenomenon since it was created by the oblique orientation of the southern headland. The whirlpool was not deadly since its strength was normal for open coastal waters. However, care should not be neglected. This research raised awareness about the whirlpool's existence, so that proper management can be exercised. © 2019 Elsevier Ltd</t>
  </si>
  <si>
    <t>2-s2.0-85065527900"</t>
  </si>
  <si>
    <t>https://www.scopus.com/inward/record.uri?eid=2-s2.0-85078586316&amp;partnerID=40&amp;md5=7d1d10d792ce750c30150832bc5b6dd2</t>
  </si>
  <si>
    <t>The flooding risk hotspots identification needs the assessment of parameters which influence the flood. The present study identifies the parameters which influence the flood damage in lower Damodar basin in West Bengal. Also, the present study identifies the area from Durgapur barrage to Jamalpur which are susceptible to flooding due to the Damodar River. Extracted cross-sections from high resolution Digital Elevation Model (DEM) for flood year were used in MIKE HYDRO RIVER hydrodynamic model. Manning’s coefficient (n) was used as model calibration parameter which varied from 0.02 to 0.05 during the model calibration process. For Manning’s n value of 0.035 predicted and observed water level match well at Jamalpur gauging site. It was observed that during peak flow Damodar river overtopped its bank. Further, based on the model results, some suggestions are purposed for controlling the riverine flooding. © 2019, India Meteorological Department. All rights reserved.</t>
  </si>
  <si>
    <t>2-s2.0-85078586316"</t>
  </si>
  <si>
    <t>10.5194/tc-13-2789-2019</t>
  </si>
  <si>
    <t>https://www.scopus.com/inward/record.uri?eid=2-s2.0-85074261272&amp;doi=10.5194%2ftc-13-2789-2019&amp;partnerID=40&amp;md5=f473c4dff4bcc500d6621c2dcc24d4c8</t>
  </si>
  <si>
    <t>We report three active subglacial lakes within 2km of the lateral margin of Isunguata Sermia, West Greenland, identified by differencing time-stamped ArcticDEM strips. Each lake underwent one drainage-refill event between 2009 and 2017, with two lakes draining in &lt;1 month in August 2014 and August 2015. The 2015 drainage caused a ∼1-month down-glacier slowdown in ice flow and flooded the foreland, aggrading the proglacial channel by 8m. The proglacial flooding confirms the ice-surface elevation anomalies as subglacial water bodies and demonstrates how their drainage can significantly modify proglacial environments. These subglacial lakes offer accessible targets for geophysical investigations and exploration. © 2019 Author(s).</t>
  </si>
  <si>
    <t>2-s2.0-85074261272"</t>
  </si>
  <si>
    <t>10.1007/s10712-019-09562-8</t>
  </si>
  <si>
    <t>https://www.scopus.com/inward/record.uri?eid=2-s2.0-85071267658&amp;doi=10.1007%2fs10712-019-09562-8&amp;partnerID=40&amp;md5=049aa741896267ff3495f1408f5799f1</t>
  </si>
  <si>
    <t>Global sea level rise (SLR) associated with a warming climate exerts significant stress on coastal societies and low-lying island regions. The rates of coastal SLR observed in the past few decades, however, have large spatial and temporal differences from the global mean, which to a large part have been attributed to basin-scale climate modes. In this paper, we review our current state of knowledge about climate modes’ impacts on coastal sea level variability from interannual-to-multidecadal timescales. Relevant climate modes, their impacts and associated driving mechanisms through both remote and local processes are elaborated separately for the Pacific, Indian and Atlantic Oceans. This paper also identifies major issues and challenges for future research on climate modes’ impacts on coastal sea level. Understanding the effects of climate modes is essential for skillful near-term predictions and reliable uncertainty quantifications for future projections of coastal SLR. © 2019, The Author(s).</t>
  </si>
  <si>
    <t>2-s2.0-85071267658"</t>
  </si>
  <si>
    <t>10.5194/tc-13-2511-2019</t>
  </si>
  <si>
    <t>https://www.scopus.com/inward/record.uri?eid=2-s2.0-85072767665&amp;doi=10.5194%2ftc-13-2511-2019&amp;partnerID=40&amp;md5=57a37c77b946b34778f25c69a72d30ac</t>
  </si>
  <si>
    <t>The northern and southern Patagonian ice fields (NPI and SPI) have been subject to accelerated retreat during the last decades, with considerable variability in magnitude and timing among individual glaciers. We derive spatially detailed maps of surface elevation change (SEC) of NPI and SPI from bistatic synthetic aperture radar (SAR) interferometry data of the Shuttle Radar Topography Mission (SRTM) and TerraSAR-X add-on for Digital Elevation Measurements (TanDEM-X) for two epochs, 2000-2012 and 2012-2016, and provide data on changes in surface elevation and ice volume for the individual glaciers and the ice fields at large. We apply advanced TanDEM-X processing techniques allowing us to cover 90% and 95% of the area of NPI and 97% and 98% of SPI for the two epochs, respectively. Particular attention is paid to precisely co-registering the digital elevation models (DEMs), accounting for possible effects of radar signal penetration through backscatter analysis and correcting for seasonality biases in case of deviations in repeat DEM coverage from full annual time spans. The results show a different temporal trend between the two ice fields and reveal a heterogeneous spatial pattern of SEC and mass balance caused by different sensitivities with respect to direct climatic forcing and ice flow dynamics of individual glaciers. The estimated volume change rates for NPI are-4:26±0:20 km3 a-1 for epoch 1 and-5:60±0:74 km3 a-1 for epoch 2, while for SPI these are -14:87±0:52 km3 a-1 for epoch 1 and -11:86±1:99 km3 a-1 for epoch 2. This corresponds for both ice fields to an eustatic sea level rise of 0:048±0:002mma-1 for epoch 1 and 0:043±0:005mma-1 for epoch 2. On SPI the spatial pattern of surface elevation change is more complex than on NPI and the temporal trend is less uniform. On terminus sections of the main calving glaciers of SPI, temporal variations in flow velocities are a main factor for differences in SEC between the two epochs. Striking differences are observed even on adjoining glaciers, such as Upsala Glacier, with decreasing mass losses associated with slowdown of flow velocity, contrasting with acceleration and increase in mass losses on Viedma Glacier. © Author(s) 2019.</t>
  </si>
  <si>
    <t>2-s2.0-85072767665"</t>
  </si>
  <si>
    <t>10.1016/j.scitotenv.2019.07.013</t>
  </si>
  <si>
    <t>https://www.scopus.com/inward/record.uri?eid=2-s2.0-85068758534&amp;doi=10.1016%2fj.scitotenv.2019.07.013&amp;partnerID=40&amp;md5=b76ca953d29f584432599fc0343939dd</t>
  </si>
  <si>
    <t>Coastal development in small islands needs adapting to climate and ecosystem changes in the Anthropocene era. Understanding variability of coastal vulnerability along the entire coastline informs coastal planning and management at an island-wide scale as some coastal stretches are more appropriate for big-scale development, while others require additional coastal protection and/or ecosystem conservation. To date, few researches focused on developing macro-scale coastal vulnerability index at an island or archipelagic-scale. This paper fills a knowledge gap by developing an integrated coastal vulnerability index (ICVI) for nine small islands in the Azores archipelago. Considering that degree of vulnerability varies according to human-environment traits of each coastal stretch, this paper characterises integrated coastal vulnerability according to three broad attributes, i.e. exposure to external stressors, biophysical features and socioeconomic characteristics. Using field work, semi-quantitative analysis and GIS, ICVI is a simple and relatively quick approach that provides a broad overview of coastal vulnerability in small island context. A set of six accessible and representative parameters was employed as indicators for this vulnerability assessment, i.e. type of cliff; type of beach; coastal defences; exposure to swell/storm waves; outcrop flooded and land-use. The entire coastline of each island was divided into segments according to their geomorphic compartments and subsequently assigned with a relative ICVI value. Each segment was ranked into five classes ranging from very low to very high based on its relative degree of vulnerability. While majority of the coasts are of moderate relative vulnerability in the Azores, vulnerability varies broadly along the coast between low, moderate and high. The ICVI approach serves as a useful decision support tool to facilitate effective planning and management for the Azores small islands and the methodology has the flexibility of being scaled deep by adding more indicators where necessary and available or scaled out to other small islands.</t>
  </si>
  <si>
    <t>10.1080/1523908X.2017.1343136</t>
  </si>
  <si>
    <t>https://www.scopus.com/inward/record.uri?eid=2-s2.0-85021915619&amp;doi=10.1080%2f1523908X.2017.1343136&amp;partnerID=40&amp;md5=7f2335d126a0c069435ccb219a0a7e26</t>
  </si>
  <si>
    <t>While the need for adaptation in response to the effects of global environmental change impacts in cities has been widely recognised, implementation of appropriate strategies and measures to curb them remains a challenge. In the Densu Delta, west of Accra, multiple phenomena of global environmental change interact together, making adaptation a key strategy for dealing with the increased risk of urban flooding. Implementation of existing policies, however, is scarce. Here we analyse policy arguments concerning strategies to reduce and adapt to urban flooding in key policy documents and contrast them with practitioners’ experiences of implementation in the Densu Delta. Two general mismatches in argumentation are identified that reflect the implementation gap in adaptation to flooding in the Densu Delta. These are a disconnected presentation of the causes, consequences and strategies in policy arguments, and the concealing of undisclosed premises. Undisclosed premises are shown not to speak to the conditions of implementation practice. Consequences for overcoming the implementation gaps are sketched out. The paper contributes to understanding of the implementation gap in adaptation to urban flood risk by applying a lens of argument to environmental policy analysis in an African context. © 2017, © 2017 Informa UK Limited, trading as Taylor &amp; Francis Group.</t>
  </si>
  <si>
    <t>2-s2.0-85021915619"</t>
  </si>
  <si>
    <t>10.1007/s00267-019-01220-4</t>
  </si>
  <si>
    <t>https://www.scopus.com/inward/record.uri?eid=2-s2.0-85074561326&amp;doi=10.1007%2fs00267-019-01220-4&amp;partnerID=40&amp;md5=841d061487ac1460a51cd87567027e25</t>
  </si>
  <si>
    <t>Pervasive salinity in soil and water is affecting agricultural yield and the health of millions of delta dwellers in Asia. This is also being exacerbated by climate change through increases in sea level and tropical storm surges. One consequence of this has been a widespread introduction of salt water shrimp farming. Here, we show, using field data and modeling, how changes in climate and land use are likely to result in increased salinization of shallow groundwater in SE Asian mega-deltas. We also explore possible adaptation options. We find that possible future increase of episodic inundation events, combined with salt water shrimp farming, will cause rapid salinization of groundwater in the region making it less suitable for drinking water and irrigation. However, modified land use and water management practices can mitigate the impacts on groundwater, as well as the overlying soil, from future salinization. The study therefore provides guidance for adaptation planning to reduce future salinization in Asian deltas. © 2019, Springer Science+Business Media, LLC, part of Springer Nature.</t>
  </si>
  <si>
    <t>2-s2.0-85074561326"</t>
  </si>
  <si>
    <t>10.1126/sciadv.aaw5531</t>
  </si>
  <si>
    <t>https://www.scopus.com/inward/record.uri?eid=2-s2.0-85072306008&amp;doi=10.1126%2fsciadv.aaw5531&amp;partnerID=40&amp;md5=135508034692016f1193e688a00c3f01</t>
  </si>
  <si>
    <t>In low-lying coastal areas, the co-occurrence of high sea level and precipitation resulting in large runoff may cause compound flooding (CF). When the two hazards interact, the resulting impact can be worse than when they occur individually. Both storm surges and heavy precipitation, as well as their interplay, are likely to change in response to global warming. Despite the CF relevance, a comprehensive hazard assessment beyond individual locations is missing, and no studies have examined CF in the future. Analyzing co-occurring high sea level and heavy precipitation in Europe, we show that the Mediterranean coasts are experiencing the highest CF probability in the present. However, future climate projections show emerging high CF probability along parts of the northern European coast. In several European regions, CF should be considered as a potential hazard aggravating the risk caused by mean sea level rise in the future. © 2019 The Authors.</t>
  </si>
  <si>
    <t>2-s2.0-85072306008"</t>
  </si>
  <si>
    <t>10.1029/2019JC015150</t>
  </si>
  <si>
    <t>https://www.scopus.com/inward/record.uri?eid=2-s2.0-85074789085&amp;doi=10.1029%2f2019JC015150&amp;partnerID=40&amp;md5=0044f57ef6f3771fd8a73dc15de126eb</t>
  </si>
  <si>
    <t>Quantifying how tides evolve with coupling between future sea level rise (SLR) and different coastline configurations is imperative for proposing appropriate coastal defense strategies. By using numerical models, we investigated tidal changes and determined a realistic trend of SLR on the Jiangsu coastal area and adjacent sea on the Yellow Sea shelf. A notable decrease in tidal range occurs in the northern shelf, and the tide increases mainly in the southern shelf. Tidal changes are of both signs, while the increase in sea level is unidirectional. Thus, the SLR effect on tide is not additive in all locations. We also explored the nonlinearity and spatial similarity in tidal range in response to the SLR considering uniform SLR scenarios with multiple levels and allowing inundation of the natural coastline. The patterns of change in tide evolution on the study domain remain linear until the SLR exceeds 2.0 m. Simulations and comparisons are further conducted between the responses of hardened and natural shoreline configurations to SLR. Hardened shoreline introduces both local and remote spatial variability in tidal responses. On the regional scale, SLR induces a shift in the tidal system in the offshore region, which controls the net energy flux into the embayment upon the coast. On the local scale, tidal dynamics are mainly a competition between net energy flux and tidal dissipation and are plausibly influenced by tidal reflection, which depends on whether a basin is tidally reflective. ©2019. American Geophysical Union. All Rights Reserved.</t>
  </si>
  <si>
    <t>2-s2.0-85074789085"</t>
  </si>
  <si>
    <t>10.1007/s10712-019-09550-y</t>
  </si>
  <si>
    <t>https://www.scopus.com/inward/record.uri?eid=2-s2.0-85071014788&amp;doi=10.1007%2fs10712-019-09550-y&amp;partnerID=40&amp;md5=7a9484580f27281c9287dac8e326d795</t>
  </si>
  <si>
    <t>As sea level is rising along many low-lying and densely populated coastal areas, affected communities are investing resources to assess and manage future socio-economic and ecological risks created by current and future sea level rise. Despite significant progress in the scientific understanding of the physical mechanisms contributing to sea level change, projections beyond 2050 remain highly uncertain. Here, we present recent developments in the probabilistic projections of coastal mean sea level rise by 2100, which provides a summary assessment of the relevant uncertainties. Probabilistic projections can be used directly in some of the decision frameworks adopted by coastal engineers for infrastructure design and land use planning. However, relying on a single probability distribution or a set of distributions based upon a common set of assumptions can understate true uncertainty and potentially misinform users. Here, we put the probabilistic projections published over the last 5 years into context. © 2019, The Author(s).</t>
  </si>
  <si>
    <t>2-s2.0-85071014788"</t>
  </si>
  <si>
    <t>10.1007/s13157-019-01148-9</t>
  </si>
  <si>
    <t>https://www.scopus.com/inward/record.uri?eid=2-s2.0-85064342239&amp;doi=10.1007%2fs13157-019-01148-9&amp;partnerID=40&amp;md5=7d400dc70cc1fb18f16852f85d0db557</t>
  </si>
  <si>
    <t>Echinochloa stagnina (Retz) P. Beauv., a widespread semi-aquatic perennial grass, is a key species for the sustainability of many African wetlands. In an effort to assess interactions between hydrological regimes and management strategies targeting conservation, this study focuses on characterizing the growth of a typical East African wet grassland and describing the relative influence of floods and management practices on its growth rates. Naturally flooded grassland, subjected to a factorial design protocol with different levels of irrigation and cutting frequencies, was sampled during 15 months in the Tana River Delta, Kenya. Statistical analyses of the data, using linear mixed models accounting for temporal auto-correlation, were undertaken. Reduced cutting frequencies slightly increased growth rates, except under water-limited conditions. Increased water supply had a positive effect on growth rates, the latter noting a five- and ten-fold increase from water-limited to water non-limited to flooded conditions. Floods impacted grasslands by increasing growth rates, which attained very high values of 225 kgDM ha−1 day−1, extending growth period and limiting the negative effect of severe phytomass removal through clipping. These results support the view that rangeland and water management for the Tana River Delta, and more widely for tropical floodplain grasslands, should be jointly undertaken. © 2019, Society of Wetland Scientists.</t>
  </si>
  <si>
    <t>2-s2.0-85064342239"</t>
  </si>
  <si>
    <t>10.1007/s00704-019-02942-5</t>
  </si>
  <si>
    <t>https://www.scopus.com/inward/record.uri?eid=2-s2.0-85068988493&amp;doi=10.1007%2fs00704-019-02942-5&amp;partnerID=40&amp;md5=d2427c78a867552034184cef01004160</t>
  </si>
  <si>
    <t>Spatiotemporal changes of temperature and precipitation extremes from 1956 to 2015 were analyzed at 200 representative weather stations evenly distributed in the temperate continental zone (TCZ), temperate monsoon zone (TMZ), mountain plateau zone (MPZ), and (sub) tropical monsoon zone (SMZ) of China, using 16 extreme temperature and 11 extreme precipitation indexes. The results showed that warm days (TX90p) and warm nights (TN90p) increased significantly, while cool days (TX10p) and cool nights (TN10p) decreased significantly in the whole China. Overall increasing trends were found for maximum and minimum daily maximum temperature (TXx and TXn) and maximum and minimum daily minimum temperature (TNx and TNn). Warm indexes, including summer days (SU25), tropical nights (TR20), warm spell duration indicator (WSDI), and growing season length (GSL), showed increasing trends, whereas cold indexes such as frost days (FD0), ice days (ID0), cold spell duration indicator (CSDI), and diurnal temperature range (DTR) showed decreasing trends. These extreme temperature indexes exhibited high correlations with mean air temperature. MPZ exhibited the most remarkable change magnitudes among the four zones, while the smallest changes occurred in SMZ. An accelerating warming trend was particularly observed since 1986. Nationally, only daily rainfall intensity (SDII) showed significantly increasing trends, while the increasing trends of other precipitation indexes were not significant. Apart from consecutive wet days (CWD), changes of precipitation extremes presented increasing trends. PRCPTOT and R10mm exhibited the highest correlation coefficient across contrasting climatic zones. Regionally averaged precipitation totals were decreasing in TMZ during 1956–1985, but increasing trends were identified after 1985. The upward tendency of precipitation totals in MPZ and the west part of TCZ may alleviate the pressure of water shortage in arid and semi-arid regions of China, but the upward trend in SMZ, especially in the coastal areas of southeastern China, may aggravate the risk of flood-induced disasters in these regions. © 2019, Springer-Verlag GmbH Austria, part of Springer Nature.</t>
  </si>
  <si>
    <t>2-s2.0-85068988493"</t>
  </si>
  <si>
    <t>10.5194/hess-23-4129-2019</t>
  </si>
  <si>
    <t>https://www.scopus.com/inward/record.uri?eid=2-s2.0-85073161564&amp;doi=10.5194%2fhess-23-4129-2019&amp;partnerID=40&amp;md5=257ff47bc1afccc29653f2cf2e326766</t>
  </si>
  <si>
    <t>Water infrastructure investment planning must consider the interdependencies within the water-energy-food nexus. Moreover, uncertain future climate, evolving socio-economic context, and stakeholders with conflicting interests, lead to a highly complex decision problem. Therefore, there is a need for decision support tools to objectively determine the value of investments, considering the impacts on different groups of actors, and the risks linked to uncertainties. We present a new open-source hydro-economic optimization model, incorporating in a holistic framework, representations of the water, agriculture, and power systems. The model represents the joint development of nexus-related infrastructure and policies and evaluates their economic impact, as well as the risks linked to uncertainties in future climate and socio-economic development. We apply the methodology in the Zambezi River basin, a major African basin shared by eight countries, in which multiple investment opportunities exist, including new hydropower plants, new or resized reservoirs, development of irrigation agriculture, and investments into the power grid. We show that it is crucial to consider the links between the different systems when evaluating the impacts of climate change and socio-economic development, which will ultimately influence investment decisions. We find that climate change could induce economic losses of up to USD2.3 billion per year in the current system. We show that the value of the hydropower development plan is sensitive to future fuel prices, carbon pricing policies, the capital cost of solar technologies, and climate change. Similarly, we show that the value of the irrigation development plan is sensitive to the evolution of crop yields, world market crop prices, and climate change. Finally, we evaluate the opportunity costs of restoring the natural floods in the Zambezi Delta</t>
  </si>
  <si>
    <t>10.1007/s00343-019-8240-8</t>
  </si>
  <si>
    <t>https://www.scopus.com/inward/record.uri?eid=2-s2.0-85071926647&amp;doi=10.1007%2fs00343-019-8240-8&amp;partnerID=40&amp;md5=cff2556e7180ea4bfc030af833cac021</t>
  </si>
  <si>
    <t>In this study, an operational forecasting system of sea dike risk in the southern Zhejiang, South China was developed based on a coupled storm-surge and wave model. This forecasting system is important because of the high cost of storm-surge damage and the need for rapid emergency planning. A comparison with astronomical tides in 2016 and the validation of storm surges and high water marks of 20 typhoons verified that the forecast system has a good simulation ability. The system can forecast relatively realistic water levels and wave heights as shown under the parametric atmospheric forces simulated in a case study</t>
  </si>
  <si>
    <t>10.1016/j.cageo.2019.06.010</t>
  </si>
  <si>
    <t>https://www.scopus.com/inward/record.uri?eid=2-s2.0-85068570484&amp;doi=10.1016%2fj.cageo.2019.06.010&amp;partnerID=40&amp;md5=656921a9e6b71d180caf976e183203bf</t>
  </si>
  <si>
    <t>Vegetation exerts a significant damping effect on tsunami wave run-up on coastal beaches, thus effectively mitigating the tsunami hazard. A depth-integrated two-dimensional numerical model (HydroSed2D, Liu et al., 2008; Liu et al., 2010) is developed to investigate tsunami wave run-up and land inundation on coastal beaches covered with Pandanus odoratissimus (P. odoratissimus). The present model is based on a finite volume Roe-type scheme, that solves the non-linear shallow water equations with the capacity of treating the wet or dry boundary at the wave front. The momentum equations in this model are modified by adding a drag force term, thus considering the resistance effects of vegetation on tsunami waves. The accuracy of the numerical scheme and the vegetation drag force are validated by three experimental cases of dam-break flow propagation in a dry channel, solitary wave propagation in a vegetated flume, and tsunami run-up over an uneven bed. Subsequently, a numerical model is applied to simulate tsunami run-up and land inundation on actual-scale vegetated beaches and a series of sensitive analyses are conducted by comparing numerical results. The obtained numerical results suggest that P. odoratissimus can effectively attenuate tsunami run-up and land inundation distance on coastal beaches, and a higher attenuation rate for tsunami wave can be achieved by increasing both vegetation width and vegetation density. The tsunami wave height is also an important factor that impacts the tsunami wave run-up and land inundation on vegetated beaches.</t>
  </si>
  <si>
    <t>10.1016/j.ijsrc.2019.03.003</t>
  </si>
  <si>
    <t>https://www.scopus.com/inward/record.uri?eid=2-s2.0-85064546964&amp;doi=10.1016%2fj.ijsrc.2019.03.003&amp;partnerID=40&amp;md5=cc5e3ef6184103a49b8a451632a9e216</t>
  </si>
  <si>
    <t>A tidal bore is a water discontinuity at the leading edge of a flood tide wave in estuaries with a large tidal range and funneling topography. New measurements were done in the Garonne River tidal bore on 14–15 November 2016, at a site previously investigated between 2010 and 2015. The data focused on long, continuous, high-frequency records of instantaneous velocity and suspended sediment concentration (SSC) estimate for several hours during the late ebb, tidal bore passage and flood tide. The bore passage drastically modified the flow field, with very intense turbulent and sediment mixing. This was evidenced with large and rapid fluctuations of both velocity and Reynolds stress, as well as large SSCs during the flood tide. Granulometry data indicated larger grain sizes of suspended sediment in water samples compared to sediment bed material, with a broader distribution, shortly after the tidal bore. The tidal bore induced a sudden suspended sediment flux reversal and a large increase in suspended sediment flux magnitude. The time-variations of turbulent velocity and suspended sediment properties indicated large fluctuations throughout the entire data set. The ratio of integral time scales of SSC to velocity in the x-direction was on average TE,SSC/TE,x ~ 0.16 during the late ebb tide, compared to TE,SSC/TE,x ~ 0.09 during the late flood tide. The results imply different time scales between turbulent velocities and suspended sediment concentrations. © 2019 International Research and Training Centre on Erosion and Sedimentation / the World Association for Sedimentation and Erosion Research</t>
  </si>
  <si>
    <t>2-s2.0-85064546964"</t>
  </si>
  <si>
    <t>10.1080/08941920.2019.1584343</t>
  </si>
  <si>
    <t>https://www.scopus.com/inward/record.uri?eid=2-s2.0-85063686397&amp;doi=10.1080%2f08941920.2019.1584343&amp;partnerID=40&amp;md5=98a7d92e9d7fc6e28afa4e39332b139b</t>
  </si>
  <si>
    <t>Citizen science is the participation of non-scientists in the collection of scientific data and other aspects of the scientific process. In this manuscript, we explore what it means to participate in citizen science from two perspectives—that of a researcher designing and facilitating a citizen science project, and that of a citizen scientist volunteering the time and energy required for participation. We examine the methods and goals of the projects, describing the challenges faced by researchers and science volunteers alike as they participate in research processes aimed to increase community involvement in science and, by extension, environmental management issues. We describe how the constraints of citizen science models and methods underscore the importance of incorporating alternative anthropological and ethnographic approaches in coastal research, and offer eco-ethnography as a way for scientists to extend their citizen science projects to better reflect the needs and concerns of local communities impacted by climate change and sea-level rise. © 2019, © 2019 Taylor &amp; Francis Group, LLC.</t>
  </si>
  <si>
    <t>2-s2.0-85063686397"</t>
  </si>
  <si>
    <t>10.1016/j.scitotenv.2019.07.016</t>
  </si>
  <si>
    <t>https://www.scopus.com/inward/record.uri?eid=2-s2.0-85068564927&amp;doi=10.1016%2fj.scitotenv.2019.07.016&amp;partnerID=40&amp;md5=52db44a4e288b6ee359bd633084dc103</t>
  </si>
  <si>
    <t>Fishery targeted species living in estuaries face multiple anthropogenic pressures including habitat contamination. However, trace metal concentrations in aquatic organisms can be highly variable, making it difficult to interpret accumulation responses. Understanding sources for metal accumulation in these organisms and their biokinetics is important for management of local fisheries and ensuring safety and quality of consumed seafood, particularly in urbanised areas. In this study, we exposed Australian sand clams, school prawns and sand whiting to a combination of cadmium (Cd), manganese (Mn) and zinc (Zn) radioisotopes 1) dissolved in seawater, 2) adsorbed to suspended sediment particles and 3) in radiolabelled food. Sand clams were sensitive to Cd, Mn and Zn uptake and accumulation from all sources because of their filter feeding physiology. Mean Cd and Zn assimilation efficiencies (AE) were higher in clams fed benthic diatoms (51, 43, 63% for Cd, Mn and Zn, respectively) than clams fed an algal flagellate species (22, 32, 33% for Cd, Mn and Zn, respectively). Metal uptake by prawns from seawater was low, whereas assimilation from diet was high (67, 59, 64% mean AEs from Cd, Mn and Zn, respectively). Sand whiting did not accumulate metals from seawater, even after concentrations were increased. Assimilation from diet (labelled prawns) was also low for sand whiting, particularly for Cd and Zn (11, 26, 14% mean AEs from Cd, Mn and Zn, respectively). These results may help explain the persistence of sand whiting in contaminated estuaries. Suspended sediment exposures showed that prawns and fish are less likely than clams to be negatively affected by disturbance events such as floods, which can bring metals into estuaries. The findings of this study have implications for fisheries management, both for protection and remediation of important habitats, and to ensure safe standards for seafood consumption by humans. © 2019</t>
  </si>
  <si>
    <t>2-s2.0-85068564927"</t>
  </si>
  <si>
    <t>10.1007/s10712-019-09557-5</t>
  </si>
  <si>
    <t>https://www.scopus.com/inward/record.uri?eid=2-s2.0-85069915884&amp;doi=10.1007%2fs10712-019-09557-5&amp;partnerID=40&amp;md5=7fc0afe9b2ef5310d853a5e4a9e539e8</t>
  </si>
  <si>
    <t>Surface gravity waves generated by winds are ubiquitous on our oceans and play a primordial role in the dynamics of the ocean–land–atmosphere interfaces. In particular, wind-generated waves cause fluctuations of the sea level at the coast over timescales from a few seconds (individual wave runup) to a few hours (wave-induced setup). These wave-induced processes are of major importance for coastal management as they add up to tides and atmospheric surges during storm events and enhance coastal flooding and erosion. Changes in the atmospheric circulation associated with natural climate cycles or caused by increasing greenhouse gas emissions affect the wave conditions worldwide, which may drive significant changes in the wave-induced coastal hydrodynamics. Since sea-level rise represents a major challenge for sustainable coastal management, particularly in low-lying coastal areas and/or along densely urbanized coastlines, understanding the contribution of wind-generated waves to the long-term budget of coastal sea-level changes is therefore of major importance. In this review, we describe the physical processes by which sea states may affect coastal sea level at several timescales, we present the methods currently used to estimate the wave contribution to coastal sea-level changes, we describe past and future wave climate variability, we discuss the contribution of wave to coastal sea-level changes, and we discuss the limitations and perspectives of this research field. © 2019, Springer Nature B.V.</t>
  </si>
  <si>
    <t>2-s2.0-85069915884"</t>
  </si>
  <si>
    <t>10.1108/IJCCSM-02-2018-0016</t>
  </si>
  <si>
    <t>https://www.scopus.com/inward/record.uri?eid=2-s2.0-85052470088&amp;doi=10.1108%2fIJCCSM-02-2018-0016&amp;partnerID=40&amp;md5=2d433b08d5f5b16dfeab1cb39e4d2cc4</t>
  </si>
  <si>
    <t>Purpose: The purpose of this paper is to estimate a recent trend in climate change and its impact on livelihood of community living in Nam Dinh province, Vietnam. Further, it aims to increase the government attention for adaptation measures by providing awareness of climate change and its negative impacts on livelihood. Design/methodology/approach: For study purpose, cross-sectional and secondary data sets were used. The community perceptions about climate change were recorded by face-to-face interviews of 500 respondents from Nam Dinh province, Vietnam in April 2015 by using a well-structured questionnaire, whereas secondary data were collected from the statistical yearbook of General Statistics Office of Vietnam. To accomplish the study objectives, Cobb–Douglas production function and Likert scale were used to estimate the community perceptions of climate change and impact of climate change on livelihood, respectively. Findings: Results depict that climate change negatively impacted on the productivity of rice and livestock. Particularly, frequently occurring of droughts, floods and salinity intrusion negatively impacted on rice productivity, while livestock productivity is decreased by frequent occurring of flood storms in study area. Originality/value: The study results suggest a government support is essential to achieve sustainable livelihoods for coastal communities living in the Red River Delta, particularly some adaptation measures in the context of climate change are required in study area. © 2018, Thi Kieu Van Tran, Ehsan Elahi, Liqin Zhang, Habibullah Magsi, Quang Trung Pham and Tuan Minh Hoang.</t>
  </si>
  <si>
    <t>2-s2.0-85052470088"</t>
  </si>
  <si>
    <t>10.1016/j.envsci.2019.07.013</t>
  </si>
  <si>
    <t>https://www.scopus.com/inward/record.uri?eid=2-s2.0-85069876574&amp;doi=10.1016%2fj.envsci.2019.07.013&amp;partnerID=40&amp;md5=af82afcfbb6ccc7988fa383fed9f7d22</t>
  </si>
  <si>
    <t>Delta regions have always been prone to flooding disasters. To provide protection, welfare state governments have built floodwalls and levees to keep people safe. However, the feasibility of this approach is now being questioned. Can these infrastructural measures accommodate changing floods risks? In many delta countries, governments are embracing “flood risk management” (FRM) as an alternative approach. In FRM, the focus lies on reducing human vulnerabilities to flood risks instead of preventing floods to occur. Based on a case study of the development of FRM in the United States – the country where the approach originated – this paper demonstrates that FRM relies on a value system with underlying divisions of responsibilities, costs and information requirements that significantly differs from traditional welfare state approaches to flood governance. It argues that these systemic features need to be taken into account in the transfer of FRM to welfare state contexts. © 2019 Elsevier Ltd</t>
  </si>
  <si>
    <t>2-s2.0-85069876574"</t>
  </si>
  <si>
    <t>10.3389/fenvs.2019.00137</t>
  </si>
  <si>
    <t>https://www.scopus.com/inward/record.uri?eid=2-s2.0-85075247621&amp;doi=10.3389%2ffenvs.2019.00137&amp;partnerID=40&amp;md5=7a2b85ca9bc5aac0e553d49750b63a1b</t>
  </si>
  <si>
    <t>In marshes, tidal ponds are increasing in number and areal coverage. Getting a better understanding of their unique biogeochemistry is a prerequisite for foreseeing their future role in salt marsh ecosystems. Using in situ microprofiling, this study investigated the spatiotemporal dynamics of O2, pH, and CO2 in shallow salt marsh tidal ponds in the summer time. High benthic photosynthetic activity, fueled by CO2 from the sediment, resulted in steep vertical O2 gradients at the sediment-water interface, increasing from anoxia to extremely supersaturated peak concentrations up to 886 ± 139 μmol L−1 (391% atmospheric O2 saturation) over a short distance of 6 mm. These characteristic peaks developed even at low light conditions down to 150 μmol photons m−2 s−1 photosynthetically active radiation (PAR). The oxygen gradients were restricted to the layer of benthic microalgae on the sediment surface and did not extend into the water column, which was well-mixed throughout the day showing no vertical variation. The benthic photosynthesis and respiration controlled the oxygen concentration in the water column, creating net supersaturated conditions during the day and hypoxic conditions at night. The tidal ponds were generally well-buffered showing only attenuated pH fluctuations ranging from 6.2 to 7.3, and no persistent gradients built up, despite the high photosynthetic activity at the sediment water interface. CO2 accumulated in the sediment and was present in the water column during the morning hours, but depleted in the afternoon due to the high photosynthetic uptake. Tidal ponds also experienced event-driven changes in their biogeochemistry. Sea foam developed on the water surface during the day and accumulated on one side of the pond blocking light penetration and lowering oxygen concentrations under the foam. Inundation at high tide caused a short-lived temporal variation in O2 and pH, which was restricted to the time of the flood. As the flooding water receded, the preceding O2 and pH conditions were immediately restored. Altogether shallow tidal ponds comprise a marsh habitat with distinctive spatiotemporal oxygen dynamics driven by benthic photosynthesis and respiration, which differ from the surrounding vegetated marsh, and could drive changes in salt marsh biogeochemistry in response to increased pond coverage. © Copyright © 2019 Koop-Jakobsen and Gutbrod.</t>
  </si>
  <si>
    <t>2-s2.0-85075247621"</t>
  </si>
  <si>
    <t>10.1007/s11852-018-0637-6</t>
  </si>
  <si>
    <t>https://www.scopus.com/inward/record.uri?eid=2-s2.0-85049978420&amp;doi=10.1007%2fs11852-018-0637-6&amp;partnerID=40&amp;md5=511a50272299e182588d762b677e3258</t>
  </si>
  <si>
    <t>Due to changes in atmospheric circulation and warmer winters, the frequency of strong westerly storms associated with high sea level in ice-free sea conditions has increased on the western coast of Estonia. This trend is especially dangerous for the sections of depositional seashores along the eastern coast of the Baltic Sea such as Pärnu Bay and its surroundings. Pärnu is the largest city in SW Estonia being a popular summer resort with excellent sandy beaches and relevant infrastructure for tourism. Extreme events that may occur in the Pärnu Bay region are irregular extensive floods and sea ice attacks but also strong erosion of beaches. During the last 50 years, the city has suffered from two remarkably high storm surges and associated inundations. The aim of the paper was to analyze the best solutions for coastal zone management in Pärnu Bay area using a System Approach Framework (SAF). It is based on some new results of geomorphic surveys performed in the study area in 2015–2017, review of previous work as well as results from stakeholder meetings. Some formerly proposed flood defence projects and ideas were re-analyzed and new ideas were proposed to better inform the people about risks and reduce the damage in case of catastrophic events. Based on the analysis of the collected data and discussions with the stakeholders, we concluded that hard coastal protection measures would be too expensive and therefore not reasonable for implementation. Developing different kinds of adaptation measures and raising awareness of the people are the most applicable response options to high storm surges and extensive inundations in the Pärnu Bay region. © 2018, Springer Nature B.V.</t>
  </si>
  <si>
    <t>2-s2.0-85049978420"</t>
  </si>
  <si>
    <t>International Journal of Geographical Information Science</t>
  </si>
  <si>
    <t>10.1080/13658816.2019.1635253</t>
  </si>
  <si>
    <t>https://www.scopus.com/inward/record.uri?eid=2-s2.0-85068704908&amp;doi=10.1080%2f13658816.2019.1635253&amp;partnerID=40&amp;md5=ef505d4040df794f06dbe7af934c0ce8</t>
  </si>
  <si>
    <t>Future sea-level rise will likely expand the inland extent of storm surge inundation and, in turn, increase the vulnerability of the people, properties and economies of coastal communities. Modeling future storm surge inundation enhanced by sea-level rise uses numerous data sources with inherent uncertainties. There is uncertainty in (1) hydrodynamic storm surge models, (2) future sea-level rise projections, and (3) topographic digital elevation models representing the height of the coastal land surface. This study implemented a Monte Carlo approach to incorporate the uncertainties of these data sources and model the future 1% flood zone extent in the Tottenville neighborhood of New York City (NYC) in a probabilistic, geographical information science (GIS) framework. Generated spatiotemporal statistical products indicate a range of possible future flood zone extents that results from the uncertainties of the data sources and from the terrain itself. Small changes in the modeled land and water heights within the estimated uncertainties of the data sources results in larger uncertainty in the future flood zone extent in low-lying areas with smaller terrain slope. An interactive web map, UncertainSeas.com, visualizes these statistical products and can inform coastal management policies to reduce the vulnerability of Tottenville, NYC to future coastal inundation. © 2019, © 2019 The Author(s). Published by Informa UK Limited, trading as Taylor &amp; Francis Group.</t>
  </si>
  <si>
    <t>2-s2.0-85068704908"</t>
  </si>
  <si>
    <t>10.1016/j.scitotenv.2019.02.455</t>
  </si>
  <si>
    <t>https://www.scopus.com/inward/record.uri?eid=2-s2.0-85061783036&amp;doi=10.1016%2fj.scitotenv.2019.02.455&amp;partnerID=40&amp;md5=e84922ca335865a27e6d493661c87a63</t>
  </si>
  <si>
    <t>A workshop was held in Wageningen, The Netherlands, in September 2017 to collate data and literature on three aquatic ecosystem types (agricultural drainage ditches, urban floodplains, and urban estuaries), and develop a general framework for the assessment of multiple stressors on the structure and functioning of these systems. An assessment framework considering multiple stressors is crucial for our understanding of ecosystem responses within a multiply stressed environment, and to inform appropriate environmental management strategies. The framework consists of two components: (i) problem identification and (ii) impact assessment. Both assessments together proceed through the following steps: 1) ecosystem selection</t>
  </si>
  <si>
    <t>10.1080/08920753.2019.1669102</t>
  </si>
  <si>
    <t>https://www.scopus.com/inward/record.uri?eid=2-s2.0-85072193191&amp;doi=10.1080%2f08920753.2019.1669102&amp;partnerID=40&amp;md5=6bfc55f82cbb542f4e6ef76419ee60b9</t>
  </si>
  <si>
    <t>Florida’s dynamic beach-dune ecosystem and the structures built along the shore face threats from coastal (or shoreline) erosion, sea level rise, and inadequate regulatory protection efforts. In light of these threats, private property owners are choosing to install coastal armoring on their property to protect upland structures which can negatively impact sea turtles and their nesting habitat. Coastal armoring can significantly degrade the beach-dune ecosystem which serves as a vital economic and recreational resource and as crucial habitat for threatened or endangered sea turtle species, nesting shorebirds, and other endemic species. This study explored both Florida coastal property owner’s opinions of coastal armoring, and its impact on sea turtles and their nesting habitat. A quantitative survey was administered to beachfront property owners that live within a mile of a protected section of beach (e.g, state park, preserve, wildlife refuge). In total, 373 of 1,274 distributed surveys were returned and analyzed. The presence of a neighbor with coastal armoring was the most influential factor on a property owner intending to, or already having installed coastal armoring. Additionally, higher assessed property values and lower levels of education were also associated with intent to armor, or current presence of coastal armoring on a parcel. © 2019, © 2019 Taylor &amp; Francis.</t>
  </si>
  <si>
    <t>2-s2.0-85072193191"</t>
  </si>
  <si>
    <t>10.1080/02626667.2019.1671982</t>
  </si>
  <si>
    <t>https://www.scopus.com/inward/record.uri?eid=2-s2.0-85074264881&amp;doi=10.1080%2f02626667.2019.1671982&amp;partnerID=40&amp;md5=e2939bbc40c3403f53b0fc5bb1541e4f</t>
  </si>
  <si>
    <t>This study evaluates and compares two-dimensional (2D) numerical models of different complexities by testing them on a floodplain inundation event that occurred on the Secchia River (Italy). We test 2D capabilities of LISFLOOD-FP and HEC-RAS (5.0.3), implemented using various grid sizes (25–100 m) based on 1-m DEM resolution. As expected, the best results were shown by the higher-resolution grids (25 m) for both models, which is justified by the complex terrain of the area. However, the coarser resolution simulations (50 and 100 m) performed virtually identically compared to the high-resolution simulations. Nevertheless, the spatial distribution of flood characteristics varies: the 50 and 100 m results of LISFLOOD-FP and HEC-RAS misestimated flood extent and water depth in selected control areas (built-up zones). We suggest that the specific terrain of the area can cause ambiguities in large-scale modelling, while providing plausible results in terms of the overall model performance. © 2019, © 2019 IAHS.</t>
  </si>
  <si>
    <t>2-s2.0-85074264881"</t>
  </si>
  <si>
    <t>10.1038/s41598-019-48058-8</t>
  </si>
  <si>
    <t>https://www.scopus.com/inward/record.uri?eid=2-s2.0-85070754847&amp;doi=10.1038%2fs41598-019-48058-8&amp;partnerID=40&amp;md5=3eaedcc51db71f03f76a8153655be51d</t>
  </si>
  <si>
    <t>Extinction models generally predict that coastal and neritic fauna benefit during sea-level rise (transgression), whereas sea-level retreat (regression) diminishes their suitable habitat area and promotes evolutionary bottlenecks. Sea-level change also impacts terrestrial island biogeography, but it remains a challenge to evidence how sea-level rise impacts aquatic island biogeography, especially in the subterranean realm. Karst subterranean estuaries (KSEs) occur globally on carbonate islands and platforms, and they are populated by globally-dispersed, ancient ecosystems (termed anchialine). Anchialine fauna currently exhibit a disjunct biogeography that cannot be completely explained by plate tectonic-imposed vicariance. Here we provide evidence that anchialine ecosystems can experience evolutionary bottlenecks caused by habitat reduction during transgression events. Marine-adapted anchialine fauna benefit from habitat expansion during transgressions, but fresh- and brackish-adapted fauna must emigrate, evolve to accommodate local habitat changes, or are regionally eliminated. Phanerozoic transgressions relative to long-term changes in subsidence and relief of regional lithology must be considered for explaining biogeography, evolution, local extirpation or complete extinction of anchialine fauna. Despite the omission of this entire category of environments and animals in climate change risk assessments, the results indicate that anchialine fauna on low-lying islands and platforms that depend upon meteoric groundwater are vulnerable to habitat changes caused by 21st century sea-level rise. © 2019, The Author(s).</t>
  </si>
  <si>
    <t>2-s2.0-85070754847"</t>
  </si>
  <si>
    <t>10.1038/s41561-019-0432-5</t>
  </si>
  <si>
    <t>https://www.scopus.com/inward/record.uri?eid=2-s2.0-85074191856&amp;doi=10.1038%2fs41561-019-0432-5&amp;partnerID=40&amp;md5=2cd207aa2dfa8ce2cbe998ca3d0e6140</t>
  </si>
  <si>
    <t>Andean glaciers are among the fastest shrinking and largest contributors to sea level rise on Earth. They also represent crucial water resources in many tropical and semi-arid mountain catchments. Yet the magnitude of the recent ice loss is still debated. Here we present Andean glacier mass changes (from 10° N to 56° S) between 2000 and 2018 using time series of digital elevation models derived from ASTER stereo images. The total mass change over this period was −22.9 ± 5.9 Gt yr−1 (−0.72 ± 0.22 m w.e. yr−1 (m w.e., metres of water equivalent)), with the most negative mass balances in the Patagonian Andes (−0.78 ± 0.25 m w.e. yr−1) and the Tropical Andes (−0.42 ± 0.24 m w.e. yr−1), compared to relatively moderate losses (−0.28 ± 0.18 m w.e. yr−1) in the Dry Andes. Subperiod analysis (2000–2009 versus 2009–2018) revealed a steady mass loss in the tropics and south of 45° S. Conversely, a shift from a slightly positive to a strongly negative mass balance was measured between 26 and 45° S. In the latter region, the drastic glacier loss in recent years coincides with the extremely dry conditions since 2010 and partially helped to mitigate the negative hydrological impacts of this severe and sustained drought. These results provide a comprehensive, high-resolution and multidecadal data set of recent Andes-wide glacier mass changes that constitutes a relevant basis for the calibration and validation of hydrological and glaciological models intended to project future glacier changes and their hydrological impacts. © 2019, The Author(s), under exclusive licence to Springer Nature Limited.</t>
  </si>
  <si>
    <t>2-s2.0-85074191856"</t>
  </si>
  <si>
    <t>10.1016/j.jhydrol.2019.124171</t>
  </si>
  <si>
    <t>https://www.scopus.com/inward/record.uri?eid=2-s2.0-85072700266&amp;doi=10.1016%2fj.jhydrol.2019.124171&amp;partnerID=40&amp;md5=9bc1827ceae8c97c4464b0ade95c328a</t>
  </si>
  <si>
    <t>Seawater intrusion due to sea level rise and climate change could significantly contaminate coastal groundwater resources, particularly in Florida, the flat low-land state in the United States. Based on the field investigation and hydrological measurements, a three-dimensional SEAWAT model is developed to evaluate the groundwater flow cycling and seawater intrusion to freshwater system in the Woodville Karst Plain (WKP), a typical karst groundwater system in the Floridan aquifer. The karst conduit network in the aquifer acts as fast flow pathway for groundwater flow and solute transport, so seawater could deeply intrude into the aquifer. Wakulla Spring, an inland spring 17 km from the coast and a coastal submarine spring, Spring Creek Spring Complex are connected through the conduit network. The flow direction between the two springs switches under various rainfall conditions in this region, thus the discharges at two karst springs are used to estimate the location of seawater/freshwater mixing interface. The SEAWAT modeling results indicate that the mixing interface, defined as 2 PSU (Practical Salinity Unit), intrudes 3 to 5 km through the subsurface karst conduit during the dry season and severely contaminates nearly 1 km width of groundwater around the conduit. The salinity distribution and the distance of seawater intrusion through the conduit system are very sensitive to precipitation variation and the sea level boundary condition. Furthermore, predictions are made for seawater intrusion to the aquifer under various sea level rise, precipitation scenarios and water pumping. The results show that the seawater intrusion could reach and contaminate inland freshwater systems if sea level rises 1.0 m or during a long-term no-precipitation season. This study provides insights for modeling and predicting the vulnerability of a coastal karst aquifer through the simulation of variable-density flow. © 2019</t>
  </si>
  <si>
    <t>2-s2.0-85072700266"</t>
  </si>
  <si>
    <t>10.1016/j.epsl.2019.115736</t>
  </si>
  <si>
    <t>https://www.scopus.com/inward/record.uri?eid=2-s2.0-85070495354&amp;doi=10.1016%2fj.epsl.2019.115736&amp;partnerID=40&amp;md5=2cdaf952f8982a4e5d2ce5520f1df952</t>
  </si>
  <si>
    <t>The 9 month long 2011-2012 eruption of Cordón Caulle (Southern Andes, Chile) is the best instrumentally recorded rhyolitic eruption to date and the first time that the effusion of a rhyolitic flow has been observed in detail. We use Interferometric Synthetic Aperture Radar (InSAR), with time-lapse digital elevation models (DEMs) and numerical models to study the dynamics of coupled magma reservoir deflation and lava effusion. InSAR recorded 2.2-2.5 m of subsidence after the first three days of the eruption, which can be modeled using a spheroidal magma reservoir at a depth of ∼5 km, ∼20 km long, and with a pressure drop of 20-30 MPa. The source is elongated in the NW-SE direction and its large dimensions imply a large plumbing system active throughout the eruption and spanning neighboring volcanoes, with a slight change in the geometry halfway through the effusive phase. TanDEM-X and Pléiades DEMs record the extrusion of both the rhyolitic lava flow and the intrusion of a shallow laccolith around the eruptive vent after the third day of the eruption, with a total volume of ∼1.45 km3 DRE. The laccolith was emplaced during the first month of the eruption, during both the explosive and effusive stages of the eruption. Both the reservoir pressure drop and the extruded volume time series follow quasi-exponential trends, and can be explained by a model that couples the reservoir pressure decrease, time- and pressure-dependent variations in the magma properties inside of the reservoir, and conduit flow. This model predicts both the temporal evolution and amplitude of both time series during the effusive phase, and a magma compressibility of ∼10−10 Pa−1, half the reported compressibility of the magma of the sub-Plinian explosive phase. Further, we estimate that the reservoir contained 1-3 wt.% dissolved H2O at the onset of lava effusion, with no exsolved CO2 and H2O in the reservoir throughout the effusive phase. This implies that the magma was significantly degassed after the explosive phase. The remaining volatiles in the magma after the explosive stage might have caused magma fragmentation, consistent with the hybrid explosive-effusive style observed during the waning of the eruption. © 2019 Elsevier B.V.</t>
  </si>
  <si>
    <t>2-s2.0-85070495354"</t>
  </si>
  <si>
    <t>Water Alternatives</t>
  </si>
  <si>
    <t>https://www.scopus.com/inward/record.uri?eid=2-s2.0-85081576656&amp;partnerID=40&amp;md5=652dc50daf147cf60a91e3d0d141ec45</t>
  </si>
  <si>
    <t>Seen as hotspots of vulnerability in the face of external pressures such as sea level rise, upstream water development, and extreme weather events but also of in situ dynamics such as increasing water use by local residents and demographic growth, deltas are high on the international science and development agenda. What emerges in the literature is the image of a 'global delta' that lends itself to global research and policy initiatives and their critique. We use the concept of 'boundary object' to critically reflect on the emergence of this global delta. We analyse the global delta in terms of its underpinning discourses, narratives, and knowledge generation dynamics, and through examining the politics of delta-oriented development and aid interventions. We elaborate this analytical argument on the basis of a 150-year historical analysis of water infrastructure development and policymaking in the Ayeyarwady Delta, paying specific attention to recent attempts at developing an Integrated Ayeyarwady Delta Strategy (IADS) and the role that the development of this strategy has played in the 'making' of the Ayeyarwady Delta as a global delta. This lays the groundwork for a broader critique of recent efforts to promote a 'Dutch Delta Approach' internationally, which we contend not only contributes to, but also aims at, making this global delta a boundary object. Such efforts play a key role in structuring an ever-expanding actor network supporting delta research and (sustainable/integrated) development. However, the making of a boundary object such as the global delta also hinges on depoliticising (delta) development. This, we consider to be problematic notably in the context of Myanmar where land and water politics have strongly shaped the changes the Ayeyarwady Delta has and will continue to witness. © 2019 Water Alternatives Association.</t>
  </si>
  <si>
    <t>2-s2.0-85081576656"</t>
  </si>
  <si>
    <t>10.1016/j.envsci.2019.07.005</t>
  </si>
  <si>
    <t>https://www.scopus.com/inward/record.uri?eid=2-s2.0-85069868263&amp;doi=10.1016%2fj.envsci.2019.07.005&amp;partnerID=40&amp;md5=8492041b4b53b06dcf786b7a30d09634</t>
  </si>
  <si>
    <t>In England spatial planning decisions with regard to development in coastal areas at risk of flooding or erosion are largely devolved to negotiations at what is said to be the local scale. Such development is discouraged but may be allowed so long as it is possible to demonstrate wider sustainability benefits said to outweigh the risk. It is at this point a range of stakeholders, representing different organisations and concerns must come together to try and resolve the tension between new development and risk reduction. Participants must navigate an evolving, complex, multiscale risk governance network to achieve an effective risk dialogue. The paper critically examines this apparently local, collaborative method, to understand the contributions and challenges of such an approach and provide suggestions to support this process. Semi structured interviews with thirty interviewees across three coastal locations in England reveal a number of key areas of contention, centred on: the risk data, local boundaries and planning timescales. In a complex system, mixing formal and informal planning spaces, stakeholders represent diverse spaces, a variety of organisational concerns and different planning horizons. At least some local concerns have a significant influence, but the system struggles to address national and strategic issues. © 2019 Elsevier Ltd</t>
  </si>
  <si>
    <t>2-s2.0-85069868263"</t>
  </si>
  <si>
    <t>10.1002/esp.4638</t>
  </si>
  <si>
    <t>https://www.scopus.com/inward/record.uri?eid=2-s2.0-85067433149&amp;doi=10.1002%2fesp.4638&amp;partnerID=40&amp;md5=c4a27a60f7942919be49d22f8572faa5</t>
  </si>
  <si>
    <t>A sustained dynamic inflow perturbation and bar–floodplain conversion are considered crucial to dynamic meandering. Past experiments, one-dimensional modelling and linear theory have demonstrated that the initiation and persistence of dynamic meandering require a periodic transverse motion of the inflow. However, it remains unknown whether the period of the inflow perturbation affects self-formed meander dynamics. Here, we numerically study the effect of the inflow perturbation period on the development and meander dynamics of a chute-cutoff-dominated river, which requires two-dimensional modelling with vegetation forming floodplain on bars. We extended the morphodynamic model Nays2D with growth and mortality rules of vegetation to allow for meandering. We tested the effect of a transversely migrating inflow boundary by varying the perturbation period between runs over an order of magnitude around typical modelled meander periods. Following the cutoff cascade after initial meander formation from a straight channel, all runs with sufficient vegetation show series of growing meanders terminated by chute cutoffs. This generates an intricate channel belt topography with point bar complexes truncated by chutes, oxbow lakes, and scroll-bar-related vegetation age patterns. The sinuosity, braiding index and meander period, which emerge from the inherent biomorphological feedback loops, are unrelated to the inflow perturbation period, although the spin-up to dynamic equilibrium takes a longer time and distance for weak and absent inflow perturbations. This explains why, in previous experimental studies, dynamic meandering was only accomplished with a sustained upstream perturbation in flumes that were short relative to the meander wavelength. Our modelling of self-formed meander patterns is evidence that scroll-bar-dominated and chute-cutoff-dominated meanders develop from downstream convecting instabilities. This insight extends to many more fluvial, estuarine and coastal systems in morphological models and experiments, which require sustained dynamic perturbations to form complex patterns and develop natural dynamics. © 2019 The Authors. Earth Surface Processes and Landforms Published by John Wiley &amp; Sons Ltd. © 2019 The Authors. Earth Surface Processes and Landforms Published by John Wiley &amp; Sons Ltd.</t>
  </si>
  <si>
    <t>2-s2.0-85067433149"</t>
  </si>
  <si>
    <t>10.1007/s12040-019-1209-3</t>
  </si>
  <si>
    <t>https://www.scopus.com/inward/record.uri?eid=2-s2.0-85068768517&amp;doi=10.1007%2fs12040-019-1209-3&amp;partnerID=40&amp;md5=f5a3672de737e1c2fc6c589bd51ee68d</t>
  </si>
  <si>
    <t>The Greenland ice sheet (GrIS) is one of the drivers of global sea level rise and plays a crucial role in understanding the global climate changes. Here, we have estimated and analysed the decadal (between 2013–2016 and 2003–2005) and annual (2014–2015, 2015–2016) volume discharge of ice from the entire GrIS. The 40 Hz Geophysical Data Record product of the unique Ka band (AltiKa) radar altimeter were utilised to derive the elevation, elevation changes and volume changes over the GrIS. To test the first-level accuracy of the result, AltiKa and NASA’s ice, cloud and land elevation satellite digital elevation model (ICESat DEM)-derived elevation were compared, which yielded a correlation value of 0.95. Thereafter, decadal volume changes obtained over the entire GrIS, from the differencing of the AltiKa and ICESat DEM elevation revealed a decreasing rate of 247 km3/year. Moreover, basin-wise analysis indicated the maximum decrease in elevation of basin located in the north and north-west region of GrIS. Annual changes obtained by differencing the AltiKa cycle of the same month (so that the surface condition will remain same) between the two consecutive years, specifically during 2014–2015 and 2015–2016 over the entire GrIS contributed volume loss of 187 and 210 km3, respectively, indicating an enhanced decrease for a later period. © 2019, Indian Academy of Sciences.</t>
  </si>
  <si>
    <t>2-s2.0-85068768517"</t>
  </si>
  <si>
    <t>10.5194/nhess-19-1937-2019</t>
  </si>
  <si>
    <t>https://www.scopus.com/inward/record.uri?eid=2-s2.0-85072092229&amp;doi=10.5194%2fnhess-19-1937-2019&amp;partnerID=40&amp;md5=2be5c2ae0fb2057c874075f1889f3dac</t>
  </si>
  <si>
    <t>Wind, waves, tides, sediment supply, changes in relative sea level and human activities strongly affect shorelines, which constantly move in response to these processes, over a variety of timescales. Thus, the implementation of sound coastal zone management strategies needs reliable information on erosion and/or deposition processes. To suggest a feasible way to provide this information is the main reason for this work. A chain approach is proposed here, tested on a vulnerable coastal site located along southern Italy, and based on the joint analysis of field data, statistical tools and numerical modeling. Firstly, the coastline morphology has been examined through interannual field data, such as aerial photographs, plane-bathymetric surveys and seabed characterization. After this, rates of shoreline changes have been quantified with a specific GIS tool. The correlations among the historical positions of the shoreline have been detected by statistical analysis and have been satisfactorily confirmed by numerical modeling, in terms of recurrent erosion-accretion area and beach rotation trends. Finally, based on field topographic, sediment, wave and wind data, the response of the beach through numerical simulation has been investigated in a forecasting perspective. The purpose of this study is to provide a feasible, general and replicable chain approach, which could help to thoroughly understand the dynamics of a coastal system, identify typical and recurrent erosion-accretion processes, and predict possible future trends, useful for planning of coastal activities. © 2018 The Author(s).</t>
  </si>
  <si>
    <t>2-s2.0-85072092229"</t>
  </si>
  <si>
    <t>10.1016/j.scitotenv.2019.04.069</t>
  </si>
  <si>
    <t>https://www.scopus.com/inward/record.uri?eid=2-s2.0-85065787710&amp;doi=10.1016%2fj.scitotenv.2019.04.069&amp;partnerID=40&amp;md5=d9abbea1e4f9fa2248c175fe5b6df6d1</t>
  </si>
  <si>
    <t>Typhoons have devastating impacts across many Asian countries. Vietnam is presently one of the most disaster-prone nations. Typhoons regularly disrupt human lives and livelihoods in various ways and cause significant damage. Making efficient policy decisions to minimize the vulnerability of affected communities is crucial. This requires a deep understanding of the factors that make a society vulnerable to extreme events and natural disasters. An appropriate approach is integrating the three dimensions of hazard, exposure and sensitivity, and community adaptive capacity. However, the vulnerability and adaptive capacity response to typhoons within Vietnam is poorly investigated. Here, we develop a conceptual framework that incorporates 21 indicators to identify vulnerability and adaptive capacity (VAC) using geospatial techniques at regional scales, applied over Vietnam. We find large spatial differences in VAC and are able to identify the top-priority regions that need to enhance their adaptation to typhoons. The Southern Coastal area, South East and Red River Delta demonstrate high and very high vulnerability because of their physical features and the intensity of typhoons that frequently cross these parts of Vietnam. The lower Mekong Delta and Northern Coastal areas are vulnerable to typhoon-driven flood threats, in particular where compounded by sea-level rise. Our framework successfully identified the spatial distribution and different levels of VAC within acceptable limits of uncertainty. It can therefore serve as a template to tackle national issues in disaster risk reduction in Vietnam and assist in the development of suitable mitigation strategies to achieve sustainable outcomes. © 2019</t>
  </si>
  <si>
    <t>2-s2.0-85065787710"</t>
  </si>
  <si>
    <t>10.1016/j.enggeo.2019.105249</t>
  </si>
  <si>
    <t>https://www.scopus.com/inward/record.uri?eid=2-s2.0-85070891226&amp;doi=10.1016%2fj.enggeo.2019.105249&amp;partnerID=40&amp;md5=6d0b407cddac01ba4bc8697586fa1a78</t>
  </si>
  <si>
    <t>Groundwater is an aggravating factor in karstic sinkhole activity as it exacerbates infiltration, percolation, soil saturation and drainage. The exceptionally high number of ground collapses triggered during the major flood of spring 2016 in the Orléans region (France) clearly supports this assertion. In this article, we examine the role of flooding in sinkhole occurrence in cohesive soil layers covering karstified limestone rock. An innovative hydro-mechanical model is applied to simulated field scenarios. Our numerical simulations combine the Discrete Element Method (DEM) to model the solid phase with the Lattice Boltzmann Method (LBM) for the fluid phase. This coupled numerical method allows us to explore the micromechanical features of internal soil erosion in a flood situation. Three processes, consistent with field observations, are simulated and studied through phase diagrams: the formation of a stable cavity within the cover material, the upward propagation of a cavity leading to a dropout sinkhole, and the downward discharge of the granular media, called the subsidence sinkhole. In particular, we perform a parametric analysis of the dropout sinkhole that gives an estimate of the collapse width. In the first approximation, the characteristic length is shown to increase linearly with cover thickness, regardless of the other main parameters (soil cohesion, hydraulic head, system geometry). Finally, we present an exploratory experimental study, using sand with artificial cohesion that successfully reproduces different erosion regimes predicted by our numerical simulations. © 2019 Elsevier B.V.</t>
  </si>
  <si>
    <t>2-s2.0-85070891226"</t>
  </si>
  <si>
    <t>10.2478/quageo-2019-0025</t>
  </si>
  <si>
    <t>https://www.scopus.com/inward/record.uri?eid=2-s2.0-85072561933&amp;doi=10.2478%2fquageo-2019-0025&amp;partnerID=40&amp;md5=9afe3bfeffd1f9a314b4b11f307d14fe</t>
  </si>
  <si>
    <t>Coastal landforms are located in the interface zone between atmosphere, ocean and land surface systems formed by the geomorphic process of erosion, depositional, and subsidence. Studying the dynamics of coastal landform change is important for tracing the relationship between coastal landform changes and tidal flooding in the coastal areas of Pekalongan, Indonesia. The method of integrating remote sensing data with geographic information system (GIS) techniques has been widely used to monitor and analyze the dynamics of morphology change in coastal landform areas. The purpose of this study is to map the dynamics of landform change in the study area from 1978 to 2017 and to analyze its implications for the impact of tidal flooding. The results of the mapping and change analysis associated with coastal landforms can be classified into four landform types: Beach, beach ridge, backswamp and alluvial plain. Changes in coastal morphology and landform topography affected by land subsidence and changes in land use/land cover have contributed to the occurrence of tidal flooding in the study area. Beach ridges perform an important role as natural levees which hold back and prevent the entry of seawater at high tide in coastal areas. A limitation of this study is that, as it focuses only on the physical aspects of coastal landform characteristics for one of the factors causing tidal flooding. © 2019 Fajar Yulianto , Suwarsono , Taufik Maulana, Muhammad Rokhis Khomarudin, published by Sciendo.</t>
  </si>
  <si>
    <t>2-s2.0-85072561933"</t>
  </si>
  <si>
    <t>10.1016/j.jag.2019.101910</t>
  </si>
  <si>
    <t>https://www.scopus.com/inward/record.uri?eid=2-s2.0-85081558056&amp;doi=10.1016%2fj.jag.2019.101910&amp;partnerID=40&amp;md5=19845c535f36d142bdae2f25703baa1c</t>
  </si>
  <si>
    <t>In many regions of the world, especially in developing countries, river network data are outdated or completely absent, yet such information is critical for supporting important functions such as flood mitigation efforts, land use and transportation planning, and the management of water resources. In this study a new method was developed for delineating river networks using Sentinel-1 imagery. Unsupervised classification was applied to multi-temporal Sentinel-1 data to discriminate water bodies from other land cover types then the outputs were combined to generate a single persistent water bodies product. A thinning algorithm was then used to delineate river centre lines which were converted into vector features and built into a topologically structured geometric network. The complex river system of the Niger Delta was used to compare the performance of the Sentinel-based method against alternative freely available waterbody products from USGS, ESA and OpenStreetMap and a river network derived from a SRTM DEM. From both raster-based and vector-based accuracy assessments it was found that the Sentinel-based river network products were superior to the comparator data sets by a substantial margin. The resulting geometric river network was used to perform flow routing analysis which is important for a variety of environmental management and planning applications. The approach developed in this study holds considerable potential for generating up to date, detailed river network data for the many countries globally where such data are deficient. © 2019 Elsevier B.V.</t>
  </si>
  <si>
    <t>2-s2.0-85081558056"</t>
  </si>
  <si>
    <t>10.5194/nhess-19-2053-2019</t>
  </si>
  <si>
    <t>https://www.scopus.com/inward/record.uri?eid=2-s2.0-85072691931&amp;doi=10.5194%2fnhess-19-2053-2019&amp;partnerID=40&amp;md5=f71e318b8f08bcda47c23712cea7074f</t>
  </si>
  <si>
    <t>Remote sensing analysis is routinely used to map flooding extent either retrospectively or in near-real time. For flood emergency response, remote-sensing-based flood mapping is highly valuable as it can offer continued observational information about the flood extent over large geographical domains. Information about the floodwater depth across the inundated domain is important for damage assessment, rescue, and prioritizing of relief resource allocation, but cannot be readily estimated from remote sensing analysis. The Floodwater Depth Estimation Tool (FwDET) was developed to augment remote sensing analysis by calculating water depth based solely on an inundation map with an associated digital elevation model (DEM). The tool was shown to be accurate and was used in flood response activations by the Global Flood Partnership. Here we present a new version of the tool, FwDET v2.0, which enables water depth estimation for coastal flooding. FwDET v2.0 features a new flood boundary identification scheme which accounts for the lack of confinement of coastal flood domains at the shoreline. A new algorithm is used to calculate the local floodwater elevation for each cell, which improves the tool's runtime by a factor of 15 and alleviates inaccurate local boundary assignment across permanent water bodies. FwDET v2.0 is evaluated against physically based hydrodynamic simulations in both riverine and coastal case studies. The results show good correspondence, with an average difference of 0.18 and 0.31m for the coastal (using a 1m DEM) and riverine (using a 10m DEM) case studies, respectively. A FwDET v2.0 application of using remote-sensing-derived flood maps is presented for three case studies. These case studies showcase FwDET v2.0 ability to efficiently provide a synoptic assessment of floodwater. Limitations include challenges in obtaining high-resolution DEMs and increases in uncertainty when applied for highly fragmented flood inundation domains. © 2019 All rights reserved.</t>
  </si>
  <si>
    <t>2-s2.0-85072691931"</t>
  </si>
  <si>
    <t>10.3390/rs11192212</t>
  </si>
  <si>
    <t>https://www.scopus.com/inward/record.uri?eid=2-s2.0-85073479358&amp;doi=10.3390%2frs11192212&amp;partnerID=40&amp;md5=104a61137119da65d7cb6368f5dbeea7</t>
  </si>
  <si>
    <t>With high anthropogenic pressure and the effects of climate change (e.g., sea level rise) on coastal regions, there is a greater need for accurate and up-to-date information about the topography of these systems. Reliable topography and bathymetry information are fundamental parameters for modelling the morpho-hydrodynamics of coastal areas, for flood forecasting, and for coastal management. Traditional methods such as ground, ship-borne, and airborne surveys suffer from limited spatial coverage and temporal sampling due to logistical constraints and high costs which limit their ability to provide the needed information. The recent advancements of spaceborne remote sensing techniques, along with their ability to acquire data over large spatial areas and to provide high frequency temporal monitoring, has made them very attractive for topography and bathymetry mapping. In this review, we present an overview of the current state of spaceborne-based remote sensing techniques used to estimate the topography and bathymetry of beaches, intertidal, and nearshore areas. We also provide some insights about the potential of these techniques when using data provided by new and future satellite missions. © 2019 by the authors.</t>
  </si>
  <si>
    <t>2-s2.0-85073479358"</t>
  </si>
  <si>
    <t>10.1016/j.ocemod.2019.101472</t>
  </si>
  <si>
    <t>https://www.scopus.com/inward/record.uri?eid=2-s2.0-85072706769&amp;doi=10.1016%2fj.ocemod.2019.101472&amp;partnerID=40&amp;md5=3d9f28debb7bfa2f610bfde3dac5b0f0</t>
  </si>
  <si>
    <t>Storm propagation speed (SPS) can noticeably impact coastal floods around semi-closed basins influenced by extratropical offshore storms. As a case study, the SPS impact on potential flood hazards due to extreme water levels along the UK east coast was studied using a numerical shelf sea model (FVCOM). The storm Xaver, which caused the largest North Sea surge over the past 60 years, was studied as a base scenario. Halving/doubling the SPS results in a smaller surge and a longer/shorter surge duration. Hence, the largest peak water level was found at actual speed, while the largest potential flood hazard occurred at half speed. Tide–surge interaction tends to reduce the M2 tide along the coast and advance its propagation for all SPS. A three-dimensional semi-analytical model, including a time-periodic wind forcing, was used to investigate the dominant mechanisms behind the surge dynamics, where wind duration is directly related to the SPS. Long wind durations correspond to small SPS, and vice versa. The semi-analytical model was applied to the North Sea. The model reproduces the spatial features of the North Sea surge and its dependence on SPS, confirming the surge induced by offshore storms is primarily associated with wind set-up. Model results suggest the SPS of Xaver is likely to have contributed greatly to the occurrence of the largest North Sea surge due to wind-generated resonance. The impact of the SPS on the surge and tide–surge interaction are of great importance to coastal flood hazard assessment. © 2019 Elsevier Ltd</t>
  </si>
  <si>
    <t>2-s2.0-85072706769"</t>
  </si>
  <si>
    <t>10.1038/s41598-019-48382-z</t>
  </si>
  <si>
    <t>https://www.scopus.com/inward/record.uri?eid=2-s2.0-85071625467&amp;doi=10.1038%2fs41598-019-48382-z&amp;partnerID=40&amp;md5=20898bea4b4d9f81e67df8a254a9ea6d</t>
  </si>
  <si>
    <t>Whether a coastal area is suitable for beach nourishments and can induce a growth in fresh groundwater resources depends on the appropriateness of the intended site for beach nourishments, and the attainable growth in fresh groundwater resources. In this study we presume that all eroding sandy beaches are suitable for large beach nourishments, and focus on the impact of these nourishments on fresh groundwater in various coastal settings. The growth in fresh groundwater resources – as a consequence of the construction of a beach nourishment – was quantified with 2-D variable-density groundwater models, for a global range in geological parameters and hydrological processes. Our simulation results suggest that large beach nourishments will likely lead to a (temporary) increase of fresh groundwater resources in most settings. However, for a substantial growth in fresh groundwater, the coastal site should receive sufficient groundwater recharge, consist of sediment with a low to medium hydraulic conductivity, and be subject to a limited number of land-surface inundations. Our global analysis shows that 17% of shorelines may consist of erosive sandy beaches, and of these sites 50% have a high potential suitability. This shows a considerable potential worldwide to combine coastal protection with an increase in fresh groundwater resources. © 2019, The Author(s).</t>
  </si>
  <si>
    <t>2-s2.0-85071625467"</t>
  </si>
  <si>
    <t>10.1016/j.envsci.2019.09.007</t>
  </si>
  <si>
    <t>https://www.scopus.com/inward/record.uri?eid=2-s2.0-85072383766&amp;doi=10.1016%2fj.envsci.2019.09.007&amp;partnerID=40&amp;md5=63fd29ad81aed15a891416539183854a</t>
  </si>
  <si>
    <t>Climate change impacts threaten the coastal environment and affect Coastal Ecosystem Services (CES) that are vital to human wellbeing. Quantifying the monetary value of climate change driven environmental losses is scarce, especially in coastal areas of developing countries that have low adaptive capacity to climate change impacts. To address this knowledge gap, we present a practical framework to Quantify Climate change driven Environmental Losses (QuantiCEL) that coherently assesses the likely physical impacts of climate change on CES, and pursues the valuation of their losses with primary data collection. The framework is applied to coastal areas in three developing countries, and may serve as a useful guide for practitioners. We quantify potential environmental losses due to relative sea level rise-induced coastal inundation in Indonesia and Bangladesh, and losses due to sea level rise and storm-induced coastline recession in Sri Lanka in the next 100 years. This study illustrates the applicability of the framework in different contexts in the data-scarce developing countries. Our findings suggest that the three case studies will experience the absolute loss value of CES by the end of the 21 st century, with food provision and tourism suffering the highest losses. Moreover, art, amenity, and tourism services are highly affected CES with respect to the percentage loss relative to the present-day value of these CES. The QuantiCEL framework and its application presented in this study could help researchers, policy makers, and coastal zone managers to get better insights into likely climate change driven environmental losses in coastal areas, contributing to the development of much needed environmental risk quantification methods, and sustainable management of coastal wetlands. © 2019 The Authors</t>
  </si>
  <si>
    <t>2-s2.0-85072383766"</t>
  </si>
  <si>
    <t>10.1007/s10640-018-00314-7</t>
  </si>
  <si>
    <t>https://www.scopus.com/inward/record.uri?eid=2-s2.0-85060006674&amp;doi=10.1007%2fs10640-018-00314-7&amp;partnerID=40&amp;md5=66764a2894caa0eb29130c835fc62290</t>
  </si>
  <si>
    <t>Existing studies that estimate losses in home values due to being located in a designated flood zone, such as a Special Flood Hazard Area (SFHA) in the U.S., focus exclusively on either coastal or interior regions, or include both, but do not estimate separate risk effects. Using a rich data set on home sales for five counties in Connecticut, controlling for a plethora of potentially confounding effects, and applying state-of-the art doubly-robust matching methods, we show that SFHA-related risk losses can vary dramatically by location relative to the coast line, with near-coastal losses exceeding interior effects by sevenfold. We take this as evidence that home buyers hold beliefs of elevated flood risks in coastal zones, even though the official Flood Insurance Rate Map designation for those homes is identical to that of interior counterparts. To the extent that these beliefs align with objective risks, our results provide ammunition for calls for a more spatially refined rate setting policy for federal flood insurance. © 2019, Springer Nature B.V.</t>
  </si>
  <si>
    <t>2-s2.0-85060006674"</t>
  </si>
  <si>
    <t>10.12854/erde-2019-434</t>
  </si>
  <si>
    <t>https://www.scopus.com/inward/record.uri?eid=2-s2.0-85073149045&amp;doi=10.12854%2ferde-2019-434&amp;partnerID=40&amp;md5=eb8386fbae3f4885c78a77f9b14659a0</t>
  </si>
  <si>
    <t>Tidal River Management (TRM) is a local adaptation strategy for coastal floodplains in the Ganges-Brahmaputra Delta in Bangladesh. TRM involves the periodic opening and closing of embankments to accelerate land accretion (or reclamation) in a floodplain. Although the approach is considered a promising adaptation strategy, there have been both positive and negative outcomes from recent TRM implementation. The aim of this study is consequently to explore the institutional (community, rules-in-use, and also biophysical) factors influencing successes and failures of TRM implementation for managing common-pool resources, as a basis for making recommendations on future institutional design. The Institutional Analysis and Development (IAD) framework, first developed by Ostrom (2010) and revised by Bisaro and Hinkel (2016), is therefore used to conduct comparative analysis of TRM institutional effectiveness in three Delta floodplains or beels: one led by a local community and the other two by national authorities. Our research employs a mixed method approach involving focus group discussions, stakeholder interviews, site visits, along with secondary literature analysis. The results of this assessment provide insights into coastal adaptation governance that could inform TRM implementation in Bangladesh and other similar contexts worldwide. © 2019 Gesellschaft fur Erdkunde zu Berlin. All rights reserved.</t>
  </si>
  <si>
    <t>2-s2.0-85073149045"</t>
  </si>
  <si>
    <t>10.3390/rs11212529</t>
  </si>
  <si>
    <t>https://www.scopus.com/inward/record.uri?eid=2-s2.0-85074639701&amp;doi=10.3390%2frs11212529&amp;partnerID=40&amp;md5=7900ec7964628a64b9930031fb67a2d9</t>
  </si>
  <si>
    <t>Sea level rise contribution from the Antarctic ice sheet is influenced by changes in glacier and ice shelf front position. Still, little is known about seasonal glacier and ice shelf front fluctuations as the manual delineation of calving fronts from remote sensing imagery is very time-consuming. The major challenge of automatic calving front extraction is the low contrast between floating glacier and ice shelf fronts and the surrounding sea ice. Additionally, in previous decades, remote sensing imagery over the often cloud-covered Antarctic coastline was limited. Nowadays, an abundance of Sentinel-1 imagery over the Antarctic coastline exists and could be used for tracking glacier and ice shelf front movement. To exploit the available Sentinel-1 data, we developed a processing chain allowing automatic extraction of the Antarctic coastline from Seninel-1 imagery and the creation of dense time series to assess calving front change. The core of the proposed workflow is a modified version of the deep learning architecture U-Net. This convolutional neural network (CNN) performs a semantic segmentation on dual-pol Sentinel-1 data and the Antarctic TanDEM-X digital elevation model (DEM). The proposed method is tested for four training and test areas along the Antarctic coastline. The automatically extracted fronts deviate on average 78 m in training and 108 m test areas. Spatial and temporal transferability is demonstrated on an automatically extracted 15-month time series along the Getz Ice Shelf. Between May 2017 and July 2018, the fronts along the Getz Ice Shelf show mostly an advancing tendency with the fastest moving front of DeVicq Glacier with 726 ± 20 m/yr. © 2019 by the authors.</t>
  </si>
  <si>
    <t>2-s2.0-85074639701"</t>
  </si>
  <si>
    <t>10.1016/j.ecolmodel.2019.108722</t>
  </si>
  <si>
    <t>https://www.scopus.com/inward/record.uri?eid=2-s2.0-85070709141&amp;doi=10.1016%2fj.ecolmodel.2019.108722&amp;partnerID=40&amp;md5=6f66c1c3e8e47d097bdfa0a7dc2914b8</t>
  </si>
  <si>
    <t>Widespread land use change in coastal ecosystems has led to a decline in the amount of habitat available for fish and wildlife, lower production of ecosystem goods and services, and loss of recreational and aesthetic value. This has prompted global efforts to restore the natural hydrologic regimes of developed shorelines, especially resource-rich estuaries, but the resilience of these restored ecosystems in the face of accelerated sea-level rise (SLR) remains uncertain. We implemented a Monitoring-based Simulation of Accretion in Coastal Estuaries (MOSAICS) in R statistical software to address uncertainty in the resilience of modified estuarine habitats, using the Nisqually River Delta in the Pacific Northwest USA as a case study. MOSAICS is a spatially explicit model with a numerical foundation that uses empirical monitoring datasets to forecast habitat change in response to rising tidal levels. Because it accounts for the crucial ecomorphodynamic feedbacks between tidal inundation, vegetative growth, and sediment accretion, MOSAICS can be used to determine whether alternative management scenarios, such as enhanced sediment inputs, will bolster estuarine resilience to SLR. Under moderate SLR (0.62 m), the model predicted that a two-fold increase in mean daily suspended sediment during the rainy season was sufficient to maintain Nisqually's emergent marshes through 2100, but under high SLR (1.35 m) MOSAICS indicated that greater sediment additions would be necessary to prevent submergence. A comparison between a restored marsh with subsided and high-elevation areas and a relict marsh demonstrated that the subsided restoration area was highly susceptible to SLR. Findings from the MOSAICS model highlight the importance of a site's initial elevation, capacity for producing above and belowground biomass, and suspended sediment availability when considering management actions in estuaries and other coastal ecosystems. © 2019</t>
  </si>
  <si>
    <t>2-s2.0-85070709141"</t>
  </si>
  <si>
    <t>10.2112/JCOASTRES-D-18-00100.1</t>
  </si>
  <si>
    <t>https://www.scopus.com/inward/record.uri?eid=2-s2.0-85068447941&amp;doi=10.2112%2fJCOASTRES-D-18-00100.1&amp;partnerID=40&amp;md5=c926b4c87ded3adfcafb75d6afee184c</t>
  </si>
  <si>
    <t>Beach nourishment and dune construction are common coastal risk-management strategies for shoreline erosion in the United States. Federal involvement with such projects relies on cost–benefit analyses, which in turn rely on life-cycle models of shoreline processes, such as the Army Corps of Engineers' Beach-fx event-driven physical and economic coastal model. However, use of these models can be computationally and data intensive. Costs associated with conducting a feasibility analysis for beach nourishment and dune construction may leave a community with few resources to explore other risk-management options. This paper, therefore, presents a first-order, screening-level, low-cost dynamic model that delivers results approximately comparable with those from life-cycle models. Applying the model to three locations in Florida shows that simulated nourishment intervals are within 5 years of those predicted by Beach-fx, leading to a similar number of nourishments over a project life span. A discussion on how one could apply the model to other areas is also included. It is intended that this model could serve as a first-pass screening tool for communities considering beach nourishment and dune construction before they decide to invest in the more thorough, but costly and data-intensive, life-cycle model simulations.</t>
  </si>
  <si>
    <t>10.2112/SI91-072.1</t>
  </si>
  <si>
    <t>https://www.scopus.com/inward/record.uri?eid=2-s2.0-85097214995&amp;doi=10.2112%2fSI91-072.1&amp;partnerID=40&amp;md5=9e8375bc9da27029ff9901ca33a87f02</t>
  </si>
  <si>
    <t>Coastal areas adjacent to the sea are vulnerable to disasters every year due to repeated damage caused by typhoon-induced tsunamis, seawater flooding, and erosion. As such, a method for comprehensively managing coastal facilities and areas vulnerable to danger, based on underwater, aerial, and underground information included in the three-dimensional (3D) grid system was prepared, which can serve as an objective and scientific data source for the decision-making involved in effective coastal management. To this end, the concept and roles of the 3D spatial grid system are introduced in this study. In addition, through 3D data production and visualization utilizing this method and considering the characteristics of coastal areas, a method for comprehensive management of coastal areas through the 3D spatial grid system is proposed. © 2019 Coastal Education Research Foundation Inc.. All rights reserved.</t>
  </si>
  <si>
    <t>2-s2.0-85097214995"</t>
  </si>
  <si>
    <t>10.1016/j.wace.2019.100214</t>
  </si>
  <si>
    <t>https://www.scopus.com/inward/record.uri?eid=2-s2.0-85068178301&amp;doi=10.1016%2fj.wace.2019.100214&amp;partnerID=40&amp;md5=ec134f620067188dbbfaa7a061d4187a</t>
  </si>
  <si>
    <t>The site of the Samoan Parliament Complex Redevelopment Project is in a coastal environment hazard zone as a result of high risk of several hazards, including damaging winds and flooding due to stormtides. This paper presents the findings of detailed hazard, vulnerability, exposure and adaptation assessments, and prioritises risk reduction measures based on the findings of cost benefit analyses, as well as other considerations. As a result of higher intensity rainfall events in the future, as well as a general increase in sea level, the frequency and depth of localised flooding of the site during periods of heavy rainfall are expected to increase. No significant change is anticipated in the exposure of the buildings to extreme wind gusts between present day and 2045–2055, but projected increases in the frequency of extreme high temperatures have relatively high certainty and are substantial. Inundation as a result of a cyclone-related stormtides is the highest risk for the site. By 2065, 50- and100-year stormtides could be 3.0 m and 3.2 m above mean sea level, respectively, compared to 2.6 m and 3.0 m for the same events in 1990. Water velocities experienced during such stormtides are projected to increase from 1.5ms−1 (in 1990) to 1.9ms−1 by 2055. Relocating the Parliamentary Complex would alleviate all of the key risks that were identified. However, for cultural and historic reasons this response was not favoured by the Government of Samoa. Two key ways to manage the identified risk of damaging stormtides were assessed, namely to increase the height of building platforms above the business as usual case of meeting the design code in force at the time (i.e. finished floor level at 2.8 m above mean sea level), or to increase protection of the entire site by raising the heights of the surrounding sea wall and embankments. Cost benefit analyses showed that raising finished floor levels was the much more cost-effective option for protecting the new buildings from damage due to stormtides. The new Parliamentary Chamber was officially opened in March 2019. Its climate resilient design reflects the findings of the above assessments, including the prioritised risk reduction measures. © 2019 The Authors</t>
  </si>
  <si>
    <t>2-s2.0-85068178301"</t>
  </si>
  <si>
    <t>10.1007/s11852-019-00693-z</t>
  </si>
  <si>
    <t>https://www.scopus.com/inward/record.uri?eid=2-s2.0-85069467927&amp;doi=10.1007%2fs11852-019-00693-z&amp;partnerID=40&amp;md5=7927fb2f037a3dafe480bcf0439ae59f</t>
  </si>
  <si>
    <t>Spartina alterniflora is a notoriously invasive species in the low marsh of China, and meanwhile anthropogenic eutrophication is an urgent and prevalent environmental problem in the coastal wetlands. Soils in the coastal wetland are nutrient-poor, nutrient enrichment may enhance the spread of S. alterniflora towards the non-tidal marsh of the Yellow River Delta. We conducted a 2-year transplant and nutrient addition field experiment to investigate the influence of nutrient enrichment and interspecific interactions on the performance (growth, survival or inflorescence) of S. alterniflora. We found that nutrient addition and species competition did not have significant effects on the variation in performances of S. alterniflora. However, vegetative zones (Suaeda salsa and Phragmites australis), years (2013 and 2014) significantly contributed to the variation. The biomass per stem, survival and inflorescence were much higher in the P. australis than the S. salsa zone (biomass per stem: 1.86 ± 0.17 g vs. 0.82 ± 0.15 g</t>
  </si>
  <si>
    <t>10.1016/j.margeo.2019.105962</t>
  </si>
  <si>
    <t>https://www.scopus.com/inward/record.uri?eid=2-s2.0-85067867804&amp;doi=10.1016%2fj.margeo.2019.105962&amp;partnerID=40&amp;md5=80e413380fc60c0a57234a6ee1833721</t>
  </si>
  <si>
    <t>Human-made structures and shaped stones on the seafloor near coasts, possibly submerged by tsunami waves, coseismic subsidence, or flooding during typhoons, can often be linked to folk traditions of ancient natural disasters. Stone pillars that appear to have been artificially shaped are submerged in shallow waters inshore Tosashimizu city, southeast Japan, an area subject to repeated Nankai Trough earthquakes. We performed geophysical and geochemical analyses of samples from these pillars, building stones in use in villages in the Tsumajiro area, and nearby natural rock outcrops. In porosity and grain density, the pillars are similar to sandstone from the Tatsukushi Formation and to foundation stones used in the villages</t>
  </si>
  <si>
    <t>10.2112/SI91-039.1</t>
  </si>
  <si>
    <t>https://www.scopus.com/inward/record.uri?eid=2-s2.0-85085475617&amp;doi=10.2112%2fSI91-039.1&amp;partnerID=40&amp;md5=29d5ee352dfe4c9bcb9976cf9a125503</t>
  </si>
  <si>
    <t>The Nakdong River in South Korea is about 510 km long and is subject to natural erosion and sedimentation and various potential sources of human pollution, such as urban dumping and input from industrial complexes and many cities. This study developed a marine environmental information system (MEIS) to understand the land-sea interactions and provide data on the characteristics of the brackish water zone around the barrier islands. The MEIS was run in real time (1-s intervals) and made periodic marine observations (one to four times a year). The real-time data were largely obtained from a closed-circuit television and automatic weather stations using long-term evolution communication at two stations in March 2016. Since May 2015, the data have included periodic observations of surface sediment distributions (n = 90), the characteristics of suspended sediments in inlets and channel (n = 4), the brackish water zone environment during spring tide ebb and flood (n = 14, three lines), the seasonal variation in sedimentation along tidal flats (n = 29, three lines), and landscape classifications of the sub-environment (n = 30) in the barrier islands. The collected information includes real-time and a huge heterogeneous dataset characterized by multi-dimensional, multivariate, and spatiotemporal distribution variability. The system enables data management, and open access is necessary. The MEIS will enable effective estuary management and contribute to reducing the damage caused by natural disasters. Real-time prediction information has been integrated with environmental sensitivity index maps, which are provided using a geographic information system to enable a response strategy. © 2019 Coastal Education Research Foundation Inc.. All rights reserved.</t>
  </si>
  <si>
    <t>2-s2.0-85085475617"</t>
  </si>
  <si>
    <t>10.1016/j.advwatres.2019.05.004</t>
  </si>
  <si>
    <t>https://www.scopus.com/inward/record.uri?eid=2-s2.0-85065533545&amp;doi=10.1016%2fj.advwatres.2019.05.004&amp;partnerID=40&amp;md5=93991d936f8e77c505706787d50fe815</t>
  </si>
  <si>
    <t>A 2D depth-integrated subgrid hydrodynamic model (FrehdC)is designed to simulate effects of subgrid-scale topography on flow and scalar transport in shallow coastal marshes using computationally-efficient grid cells that are coarser than many of the channelized paths through the marsh. The subgrid-scale topography is parametrized into four depth-dependent variables (subgrid cell volume and three subgrid face areas)that characterize the high-resolution features of coarse grid cells. These variables are pre-stored in a table and embedded into the governing equations as model inputs to scale cell storage, mass and momentum fluxes across cell faces. A block-checking procedure is designed to automatically preserve high-resolution surface connectivity during grid-coarsening. By testing on both synthetic domain and real marshes, this new model is able to approximate fine-grid simulation results of surface elevation, inundation area, flow rate and salinity with less computational cost. © 2019 Elsevier Ltd</t>
  </si>
  <si>
    <t>2-s2.0-85065533545"</t>
  </si>
  <si>
    <t>10.1007/s11069-018-3510-x</t>
  </si>
  <si>
    <t>https://www.scopus.com/inward/record.uri?eid=2-s2.0-85055257731&amp;doi=10.1007%2fs11069-018-3510-x&amp;partnerID=40&amp;md5=27870a6de31bca17284e4ac808631646</t>
  </si>
  <si>
    <t>Disaster risk reduction should anticipate how future natural hazard risk would be influenced by changes in urban vulnerability. This paper investigates the effect of one key driver of change, urban development. It models current and future risk for the year 2041 in a rapidly growing urban area, Vancouver, Canada, from both earthquake and coastal flood hazard. Three urban development futures are considered—status quo, compact, and sprawled development—that differ in the housing stock configuration used to accommodate an identical, projected increase in population and dwellings. Results indicate that while exposure is expected to increase substantially in future, the implications for risk vary greatly between hazards and impact types. For earthquake, population increase is attenuated by improvements in the building stock, whereas for flooding, disaster impacts increase at a much higher rate than population growth. Overall, disruption impacts are more sensitive than damage to changes in population and development. The effect of urban development on future risk is not unidirectional, but depends upon hazard type, impact type, and degree of climate change. None of the development futures is consistently best from a risk perspective, but along many dimensions, compact development yields more severe disaster impacts relative to status quo development. The findings underscore the importance of considering natural hazard risk in urban development planning, and of recognizing the inherent differences between hazards and impact types in this planning. © 2018, Springer Nature B.V.</t>
  </si>
  <si>
    <t>2-s2.0-85055257731"</t>
  </si>
  <si>
    <t>10.1007/s00024-019-02258-5</t>
  </si>
  <si>
    <t>https://www.scopus.com/inward/record.uri?eid=2-s2.0-85068237690&amp;doi=10.1007%2fs00024-019-02258-5&amp;partnerID=40&amp;md5=415aca335c1de30e7c085557d864dfe5</t>
  </si>
  <si>
    <t>On September 28, 2018, a large earthquake and its accompanying tsunami waves caused severe damage to the coastal area of Palu Bay, in the central western part of Sulawesi Island, Indonesia. To clarify the distribution of tsunami inundation and run-up heights, and damage to coastal communities due to the tsunami, the authors conducted a field survey 1 month after the event. In the inner part of Palu Bay tsunami inundation and run-up heights of more than 4 m were measured at many locations, and severe damage by the tsunami to coastal low-lying settlements was observed. In the areas to the north of the bay and around its entrance the tsunami inundation and run-up heights were lower than in the inner part of the bay. The tsunami inundation distance depended on the topographical features of coastal areas. The southern shore of the bay experienced a longer inundation distance than other shores, though generally severe damage to houses was limited to within around 200 m from the shoreline. The main lessons that can be learnt from the present event are also discussed. © 2019, Springer Nature Switzerland AG.</t>
  </si>
  <si>
    <t>2-s2.0-85068237690"</t>
  </si>
  <si>
    <t>10.3390/geosciences9090380</t>
  </si>
  <si>
    <t>https://www.scopus.com/inward/record.uri?eid=2-s2.0-85074283496&amp;doi=10.3390%2fgeosciences9090380&amp;partnerID=40&amp;md5=dde5657ad4c8531577d064a7d79dd9d7</t>
  </si>
  <si>
    <t>The most frequent disasters in Western Saudi Arabia are flash floods, earthquakes and volcanism, especially submarine volcanism potentially causing tsunamis in the Red Sea and submarine mass movements, dust storms and droughts. As the consequences and effects of the climate change are expected to have an increasing impact on the intensity and occurrence of geohazards as flash floods, length of drought periods, or dust storms, the systematic, continuous monitoring of these hazards and affected areas using satellite data and integration of the results into a geographic information systems (GIS) database is an important issue for hazard preparedness and risk assessment. Visual interpretation and digital image processing of optical aerial and satellite images, as well as of radar images, combined with Advanced Spaceborne Thermal Emission and Reflection Radiometer (ASTER), Shuttle Radar Topographic Mission (SRTM) and Advanced Land Observing Satellite (ALOS) PALSAR DEM data are used in this study for the mapping and inventory of areas prone to geohazards, such as flash floods or tsunami flooding. Causal or critical environmental factors influencing the disposition to be affected by hazards can be analyzed interactively in a GIS database. How remote sensing and GIS methods can contribute to the detection and continuously, standardized monitoring of geohazards inWestern Saudi Arabia as part of a natural hazard geodatabase is demonstrated by several examples, such as the detection of areas prone to hydrological hazards, such as flash floods causing flooding of roads and settlements, the outlining of coastal areas of the Red Sea prone to tsunami flooding and storm surge, the mapping of traces of recent volcanic activity, and of fault/fracture zones and structural features, especially of ring structures. © 2019 by the authors.</t>
  </si>
  <si>
    <t>2-s2.0-85074283496"</t>
  </si>
  <si>
    <t>10.18520/cs/v117/i6/1014-1021</t>
  </si>
  <si>
    <t>https://www.scopus.com/inward/record.uri?eid=2-s2.0-85072852528&amp;doi=10.18520%2fcs%2fv117%2fi6%2f1014-1021&amp;partnerID=40&amp;md5=52b2ccffe7b7b6143a5fa104daf8e503</t>
  </si>
  <si>
    <t>This study reports the potential of SCATSAT-1 scatterometer data for catchment-scale hydrological applications related with river water level estimation and flood detection. New approaches have been developed for estimation of river water levels and detection of surface flooding using Oceansat-II scatterometer (OSCAT) and SCATSAT-1 scatterometer-based highresolution backscatter and brightness temperature (BT) datasets respectively. Ku-band sigma-0 and BT data, Shuttle Radar Topography Mission Digital Elevation Model and observed hydrometric data have been used in this study. Catchments of gauging sites and their influencing areas were delineated using the topography, wetness conditions and land-cover variations. OSCAT time series of scatterometer image reconstruction data were used to develop model function between basin water index and ground-observed river-stage datasets. Subsequently, inverting these functions on SCATSAT-1 observations, river water levels for 2017 were estimated at different gauging sites. A study on the magnitude of each flooding event in terms of intensity, duration and extent of area affected was also carried out using the scatterometerbased BT data analysis. The study demonstrated that high temporal resolution scatterometer data has the potential to fill the gap of coarser temporal resolution altimeters (10-35 days) for river heights and Synthetic Aperture Radar Data (7-25 days) for surface flooding with the advantage of capturing extreme events. © 2019 Current Science Association, Bengaluru.</t>
  </si>
  <si>
    <t>2-s2.0-85072852528"</t>
  </si>
  <si>
    <t>10.1080/01490419.2019.1626306</t>
  </si>
  <si>
    <t>https://www.scopus.com/inward/record.uri?eid=2-s2.0-85067554266&amp;doi=10.1080%2f01490419.2019.1626306&amp;partnerID=40&amp;md5=a33dae59b831e61e705c6d22a712a542</t>
  </si>
  <si>
    <t>Accessible high-quality observation datasets and proper modeling process are critically required to accurately predict sea level rise in coastal areas. This study focuses on developing and validating a combined least squares-neural network approach applicable to the short-term prediction of sea level variations in the Yellow Sea, where the periodic terms and linear trend of sea level change are fitted and extrapolated using the least squares model, while the prediction of the residual terms is performed by several different types of artificial neural networks. The input and output data used are the sea level anomalies (SLA) time series in the Yellow Sea from 1993 to 2016 derived from ERS-1/2, Topex/Poseidon, Jason-1/2, and Envisat satellite altimetry missions. Tests of different neural network architectures and learning algorithms are performed to assess their applicability for predicting the residuals of SLA time series. Different neural networks satisfactorily provide reliable results and the root mean square errors of the predictions from the proposed combined approach are less than 2 cm and correlation coefficients between the observed and predicted SLA are up to 0.87. Results prove the reliability of the combined least squares-neural network approach on the short-term prediction of sea level variability close to the coast. © 2019, © 2019 Informa UK Limited, trading as Taylor &amp; Francis Group.</t>
  </si>
  <si>
    <t>2-s2.0-85067554266"</t>
  </si>
  <si>
    <t>10.1016/j.cities.2019.04.002</t>
  </si>
  <si>
    <t>https://www.scopus.com/inward/record.uri?eid=2-s2.0-85064542686&amp;doi=10.1016%2fj.cities.2019.04.002&amp;partnerID=40&amp;md5=a33084b8160863322f532d04c831ade2</t>
  </si>
  <si>
    <t>Climate change-induced sea level rise and intensified storms pose emerging flood threats to global coastal urban areas. While such threats have been mapped, their uncertainties from different climate scenarios and longer planning horizons have yet to be addressed from both an exposure assessment and a stakeholder outreach perspective. Therefore, we chose the highly urbanized San Francisco Bay Area as an example to project its flood areas every 20 years between 2000 and 2100, under 24 varied climate scenarios with two greenhouse gas (GHG) concentration levels. We then assessed flood exposure by intersecting the flood areas with demographic and socioeconomic distributions, developed areas, lifeline infrastructures, and emergency responders in low elevation (&lt;10 m) coastal zones. Our median estimates under the low GHG scenarios indicated that 10–38% of the items assessed above are flood-exposed in 2000–2020, with this exposure increasing to 20–54% during 2080–2100. The median estimates under the high GHG scenarios for the same periods are 0–35% and 40–67%, respectively. The expected uncertainties, or standard deviations, of the exposures for a given item assessed above under the low and high GHG scenarios are 1–2% in 2000–2020 and 7–10% in 2080–2100. Despite our modeling capability for a range of climate scenarios over the long term, some stakeholders, particularly those in the private sector, prefer near-term results with lower uncertainties. This implies the need for coastal urban areas to cope with climate-related uncertainties and to focus on the long term when developing strategies and policies for climate change adaptation. © 2019 Elsevier Ltd</t>
  </si>
  <si>
    <t>2-s2.0-85064542686"</t>
  </si>
  <si>
    <t>10.1016/j.coldregions.2019.102791</t>
  </si>
  <si>
    <t>https://www.scopus.com/inward/record.uri?eid=2-s2.0-85066865543&amp;doi=10.1016%2fj.coldregions.2019.102791&amp;partnerID=40&amp;md5=63f02043f3b91f00fe280b21bf58d060</t>
  </si>
  <si>
    <t>Major ice jams forming in the lower reaches of Peace River during the spring breakup of the ice cover have been identified as the main agents of flooding and replenishment of the perched basins of Peace–Athabasca Delta, one of the world's largest inland freshwater deltas. The paucity of ice jamming in the lower Peace River following construction of the Bennett Dam (1968) and the potential impacts of climate change have raised concerns regarding habitat degradation. The most recent ice-jam flood, which occurred in 2014, was only the fifth in the post-regulation period and the first since 1997. Despite the sizeable number of years in the regulation period, conventional estimates of flood frequency are shown to be uncertain, but become robust when based on the slope of the cumulative number of floods. The evolution of ice breakup in 2014 was in full accord with previously postulated mechanisms for the flat reach of Peace River, which extends for several hundred kilometres above its mouth. An updated examination of historical hydrometric data at the WSC Peace Point gauge took into account the years 2003–2018, extending the record of the regulation period by 50%. The analysis further confirmed and fine-tuned physically based predictions of the effects of the freezeup level, the breakup flow, the thickness of the winter ice cover, and the accumulated degree-days of thaw on the incidence of ice-jam flooding. Commercially motivated reduction of freezeup flows in recent years likely contributed to the occurrence of the 2014 flood. Total winter snowfall at an index station appears to have reversed a pre-2000 decreasing trend, but its benefit to breakup flow may be moderated by increased incidence of mid-winter thaws. © 2019</t>
  </si>
  <si>
    <t>2-s2.0-85066865543"</t>
  </si>
  <si>
    <t>10.1029/2018WR024562</t>
  </si>
  <si>
    <t>https://www.scopus.com/inward/record.uri?eid=2-s2.0-85070691258&amp;doi=10.1029%2f2018WR024562&amp;partnerID=40&amp;md5=ea81589c24a6f133de38a03d89136170</t>
  </si>
  <si>
    <t>Digital elevation model (DEM) as an essential input to flood risk analyzers is subject to a certain level of uncertainty, which increases as the resolution becomes coarser. To quantify this uncertainty, a probabilistic framework incorporating 2-D hydrodynamic flood mapping by LISFLOOD-FP along with a sequential Gaussian simulation (SGS) model is presented in this paper. Based on ordinary kriging (OK) interpolation techniques, spatial uncertainty is modeled through SGS by generating several equiprobable realizations. Furthermore, regression kriging (RK) is used in the SGS algorithm utilizing its ability to explore additional information such as terrain characteristics to estimate the elevation error. A new technique called nonstationary sequential Gaussian simulation is also proposed by introducing the spatial nonstationarity of DEM error into SGS framework based on two approaches of uniform and nonuniform moving window. Different DEM resolutions resampled from a 1-m light detection and ranging-derived DEM are used in the hydrodynamic model to derive the accuracy-efficiency trade-offs and select the most suitable spatial resolution for probabilistic analysis. A detailed comparison among OK, RK, nonstationary OK, and nonstationary RK models is made considering probabilistic floodplain characteristics. The subsequent risk curves are then derived under floods of different return periods. The methodology is implemented in the coastal areas of Lower Manhattan and Brooklyn in New York City. Results show that the proposed methodology could reduce the uncertainty in risk estimation imposed by the stationarity assumption. The methodology could help decision-makers to more accurately utilize the existing tools and data for flood risk analysis and preparedness. © 2019. American Geophysical Union. All Rights Reserved.</t>
  </si>
  <si>
    <t>2-s2.0-85070691258"</t>
  </si>
  <si>
    <t>10.1029/2019JC015421</t>
  </si>
  <si>
    <t>https://www.scopus.com/inward/record.uri?eid=2-s2.0-85071755716&amp;doi=10.1029%2f2019JC015421&amp;partnerID=40&amp;md5=d8624d9f6d8157a84c987c5e799eab74</t>
  </si>
  <si>
    <t>Short-term changes in sea level can have substantial impacts on coastlines, and increases in coastal flooding have been observed as the mean sea level continues to climb. While extreme events such as hurricanes have been well studied in terms of their impacts on anomalous sea level values, anomalous sea levels due to less extreme atmospheric events have been less well studied, despite the increases in nuisance flood events that have occurred. In this study, we assess the relationship between short-term atmospheric circulation patterns and anomalous coastal sea level values for all oceanic tidal gauges in the conterminous United States for the period 1979–2016. Atmospheric patterns are depicted using self-organizing maps for four variables: sea level pressure, 10-m wind, 850-mb temperature, and 700-mb geopotential height. We then reconstruct the time series of anomalous sea level through nonlinear autoregressive models with exogenous input (NARX models), an artificial neural network-based time series model. Results show that these four atmospheric variables can successfully model sea level, with a correlation between model and observation using a closed-loop (open-loop) architecture of 0.83 (0.64), with a median absolute error of 3.34 (4.90) cm. The model generally performs better in winter than summer, and along the Pacific Coast than the Atlantic and Gulf Coasts. By using the NARX methodology, we intend to next assess its utility as a forecasting tool. ©2019. American Geophysical Union. All Rights Reserved.</t>
  </si>
  <si>
    <t>2-s2.0-85071755716"</t>
  </si>
  <si>
    <t>10.1007/s11852-019-00697-9</t>
  </si>
  <si>
    <t>https://www.scopus.com/inward/record.uri?eid=2-s2.0-85069490890&amp;doi=10.1007%2fs11852-019-00697-9&amp;partnerID=40&amp;md5=25fc9d614cc11b5c1fd606f698846da3</t>
  </si>
  <si>
    <t>Dune spits of the island of Sylt (North Sea) persisted through millennia by mobile dunes transferring sand from exposed to sheltered shores. However, 150 years of systematic planting on washovers, blowouts and migrant dunes have almost completely stopped this sand conveyor belt. Spits lost sand until sand replenishments to the exposed side compensated for losses during the last three decades. Based on maps since 1878, aerial images from the 1930s onward as well as botanical ground surveys, we document a long-term shift from loose grass cover to dense heather dominated vegetation. Bare sand areas almost vanished and high shrubs proliferated. Only three dunes continue migrating with about 3 m a-1 since 1936. Mainly artificial dune stabilizations and introduced plants have facilitated succession to an almost complete plant cover. Thus, revitalization of aeolian dynamics would be desirable, and pilot projects may acquire the appropriate knowledge. For a 1.7 × 2.5-km corridor across the island spit, we therefor discuss two suggested experiments: (1) intensify sand nourishments to the eroding beach and stop stabilization measures to allow excess sand blown inland and washovers entering deflation plains, and (2) examine the potential of tunnels for roads to let mobile dunes passing over. Such experiments may not only contribute to dune biodiversity but also to long-ranging adaptations of crowded barrier islands to accelerating sea level rise. © 2019, The Author(s).</t>
  </si>
  <si>
    <t>2-s2.0-85069490890"</t>
  </si>
  <si>
    <t>10.1038/s41561-019-0435-2</t>
  </si>
  <si>
    <t>https://www.scopus.com/inward/record.uri?eid=2-s2.0-85071718493&amp;doi=10.1038%2fs41561-019-0435-2&amp;partnerID=40&amp;md5=a70b04897f9c81c9a652ec0996345d99</t>
  </si>
  <si>
    <t>Coastal seagrass, mangrove and salt-marsh ecosystems—also termed blue-carbon ecosystems—play an important role in the global carbon cycle. Much of the organic carbon they store rests in soils that have accumulated over thousands of years. Rapidly changing climate and environmental conditions, including sea-level rise, warming, eutrophication and landscape development, will impact decomposition and thus the global reservoir of blue soil organic carbon. Yet, it remains unclear how these disturbances will affect the key biogeochemical mechanisms controlling decomposition—mineral protection, redox zonation, water content and movement, and plant–microbe interactions. We assess the spatial and temporal scales over which decomposition mechanisms operate and how their effectiveness may change following disturbances. We suggest that better integration of decomposition mechanisms into blue-carbon models may improve predictions of soil organic carbon stores and facilitate incorporation of coastal vegetated ecosystems into global budgets and management tools. © 2019, Springer Nature Limited.</t>
  </si>
  <si>
    <t>2-s2.0-85071718493"</t>
  </si>
  <si>
    <t>10.1007/s11852-018-0638-5</t>
  </si>
  <si>
    <t>https://www.scopus.com/inward/record.uri?eid=2-s2.0-85050347756&amp;doi=10.1007%2fs11852-018-0638-5&amp;partnerID=40&amp;md5=b2202ec2d953f8627ac624996425a707</t>
  </si>
  <si>
    <t>The present study focuses on the quantification of coastal risks associated with erosion and inundation accelerated by sea level rise and extreme storms events in the specific conditions of micro-tidal semi-enclosed seas. The main objective is to develop a measure that characterises climate-related external hazards, the exposure (of people and assets at risk of being damaged) and vulnerability of human and natural systems. This is accomplished by means of adaption of the concept of nondimensional coastal risk (or resilience) index (CRI), as a function of coastal vulnerability and exposure indices, to the conditions of sedimentary shores of the eastern Baltic Sea and testing its suitability for low-lying coastal zones considering their environmental and socio-economic characteristics. The study area is an about 45 km long coastal section of Lithuania in the south-eastern Baltic Sea. We introduce a set of locally relevant coastal vulnerability and exposure variables, apply an Analytical Hierarchy Process to calculate the criteria weights and GIS multi-criteria evaluation approach to calculate the CRI values. The coastal segments with high vulnerability often have low values of the exposure index. About 11% of the study area is under very high risk. The largest CRI values occur at a certain distance from the touristic or industrial spots near Klaipėda, around the Palanga pier and to the north of Šventoji. These coastal sectors are highly populated areas that suffer from sediments deficit due to coastal engineering structures. © 2018, Springer Nature B.V.</t>
  </si>
  <si>
    <t>2-s2.0-85050347756"</t>
  </si>
  <si>
    <t>10.1007/s10584-019-02443-4</t>
  </si>
  <si>
    <t>https://www.scopus.com/inward/record.uri?eid=2-s2.0-85066139049&amp;doi=10.1007%2fs10584-019-02443-4&amp;partnerID=40&amp;md5=03e53e9da543b2219090162b08af2b29</t>
  </si>
  <si>
    <t>Decision-making in the area of coastal adaptation is facing major challenges due to ambiguity (i.e., deep uncertainty) pertaining to the selection of a probability model for sea level rise (SLR) projections. Possibility distributions are mathematical tools that address this type of uncertainty since they bound all the plausible probability models that are consistent with the available data. In the present study, SLR uncertainties are represented by a possibility distribution constrained by likely ranges provided in the IPCC Fifth Assessment Report and by a review of high-end scenarios. On this basis, we propose a framework combining probabilities and possibilities to evaluate how SLR uncertainties accumulate with other sources of uncertainties, such as future greenhouse gas emissions, upper bounds of future sea level changes, the regional variability of sea level changes, the vertical ground motion, and the contributions of extremes and wave effects. We apply the framework to evaluate the probability of coastal flooding by the year 2100 at a local, low-lying coastal French urban area on the Mediterranean coast. We show that when adaptation is limited to maintaining current defenses, the level of ambiguity is too large to precisely assign a probability model to future flooding. Raising the coastal walls by 85 cm creates a safety margin that may not be considered sufficient by local stakeholders. A sensitivity analysis highlights the key role of deep uncertainties pertaining to global SLR and of the statistical uncertainty related to extremes. The ranking of uncertainties strongly depends on the decision-maker’s attitude to risk (e.g., neutral, averse), which highlights the need for research combining advanced mathematical theories of uncertainties with decision analytics and social science. © 2019, The Author(s).</t>
  </si>
  <si>
    <t>2-s2.0-85066139049"</t>
  </si>
  <si>
    <t>Geological Survey of Denmark and Greenland Bulletin</t>
  </si>
  <si>
    <t>10.34194/GEUSB-201943-01-06</t>
  </si>
  <si>
    <t>https://www.scopus.com/inward/record.uri?eid=2-s2.0-85071329481&amp;doi=10.34194%2fGEUSB-201943-01-06&amp;partnerID=40&amp;md5=d0e7c78c58bba72584774fcac7476436</t>
  </si>
  <si>
    <t>The brackish water Baltic Sea and the more saline Kattegat in the north are connected by three straits, Lillebælt, Storebælt and Øresund (Fig. 1). Storebælt (the Great Belt) is the deepest and widest of the straits. The strait is characterised by deeply incised channels that are partly filled by sediments. The water depth in major parts of Storebælt is about 20 m, though in some areas the channels are more than 50 m deep. The formation of the channels has been subject to discussion. Andersen (1927) suggested that the channels formed due to strong currents that are still active today or by fluvial erosion during the so-called continental period (Fastlandstiden) in the Early Holocene. At this time, the relative sea level in the region was lower than at present and a huge lake, the Ancylus Lake, which occupied the Baltic Basin, may have drained via Storebælt. Andersen dismissed the idea that the channels were formed by subglacial erosion by meltwater during the last deglaciation. More Recently, Mathiassen (1997) interpreted some of the deposits in the channels as late glacial, a viewpoint followed by Bennike et al. (2004). However, the age of the late glacial deposits in the channels are poorly constrained. The first studies of sediment cores from Storebælt were carried out by Krog (1973), Winn (1974) and Mathiassen (1997), but these studies concentrated on the Holocene development from mires to lakes to brackish and marine environments. Wiberg-Larsen et al. (2001) documented the presence of Early Holocene river deposits. Here we report on some new ages of macrofossils from late glacial deposits in the Storebælt channels. In the late 1970s, the Danish state began to map deposits of sand and gravel in Storebælt and several potential aggregate resources were identified east of Romsø. In this part of Storebælt there are two parallel south–north-orientated incised channels. In 2017, new vibrocores were collected by the Geological Survey of Denmark and Greenland (GEUS) as part of a mapping programme of submarine aggregates for The Danish Environmental Protection Agency. Coring positions were selected from interpretations of shallow seismic data acquired during the initial mapping projects. Two of the new cores from Storebælt contained remains of plants that are typical of late glacial deposits from Denmark. Three samples were submitted for radiocarbon dating, and here we report on the results. © 2019, GEUS - Geological Survey of Denmark and Greenland. All rights reserved.</t>
  </si>
  <si>
    <t>2-s2.0-85071329481"</t>
  </si>
  <si>
    <t>10.1080/1755876X.2019.1576275</t>
  </si>
  <si>
    <t>https://www.scopus.com/inward/record.uri?eid=2-s2.0-85061291294&amp;doi=10.1080%2f1755876X.2019.1576275&amp;partnerID=40&amp;md5=e58e0ce466172ffbd68a6d7c686421ac</t>
  </si>
  <si>
    <t>The oceanographic forecast capability in coastal seas is often limited by the capacity of the numerical models in correctly reproducing the complex morphology of the coastline and the exchange processes between the shelf and the open seas. In the marginal Adriatic Sea this task is of uppermost importance due to the presence of several coastal water bodies and rivers. We present here a new operational oceanographic system, called Tiresias, based on the unstructured grid model SHYFEM and representing the whole Adriatic Sea together with the lagoons of Marano-Grado, Venice and Po Delta. The novelty of this oceanographic system resides in the very high-resolution, up to 10 m, of the numerical mesh, and in the high spatial and temporal resolution of the forcing and boundary conditions that drive the forecasts. The forecast results are evaluated against sea temperature and salinity profiles, mean circulation fields derived from a regional ocean model, tide gauges and drifter trajectory. The presented results highlighted the capacity of Tiresias in forecasting the general circulation in the Adriatic Sea, as well as several relevant coastal dynamics, such as saltwater intrusion, storm surge and riverine waters dispersion. © 2019, © 2019 Institute of Marine Engineering, Science &amp; Technology.</t>
  </si>
  <si>
    <t>2-s2.0-85061291294"</t>
  </si>
  <si>
    <t>10.1007/s11069-019-03614-3</t>
  </si>
  <si>
    <t>https://www.scopus.com/inward/record.uri?eid=2-s2.0-85073227194&amp;doi=10.1007%2fs11069-019-03614-3&amp;partnerID=40&amp;md5=a91cccf241824771a901cd8b2f6bd2c4</t>
  </si>
  <si>
    <t>In the present study, numerical simulations were conducted to estimate the spatio-temporal characteristics of tsunami inundation for municipalities on Vancouver Island, Canada, as a result of various potential Cascadia Subduction Zone earthquake deterministic scenarios. By varying the earthquake magnitude and associated slip distance, the influence of these parameters on the tsunami wave propagation, inundation, and the possible damage on infrastructure and buildings was investigated. A numerical tsunami inundation model based on nonlinear shallow water equations was constructed using publically available bathymetric and topographic data and applied to three study areas: the City of Port Alberni, the District of Ucluelet, and the District of Tofino. The numerical results obtained in this study show that the maximum tsunami inundation depth and spatial extent of inundation are sensitive to the earthquake magnitude, whereas the tsunami arrival time is not. For the worst-case earthquake scenario investigated (MW 9.3), all of the three study areas were extensively inundated. Results of tsunami wave amplitude and overland inundation depth, flow velocity, hydrodynamic force, and depth–velocity product are analysed in detail to assess the impacts of the tsunami on inland buildings. The potential damage was estimated with previously proposed fragility curves for wood, reinforced concrete, and steel frame buildings. In conjunction with a site reconnaissance visit by the authors for better understanding the general characteristics of these areas, model results suggest that significant damage to buildings would occur, especially to wooden constructions, with considerable risk of loss of human life. © 2019, Springer Nature B.V.</t>
  </si>
  <si>
    <t>2-s2.0-85073227194"</t>
  </si>
  <si>
    <t>10.1007/s11069-019-03645-w</t>
  </si>
  <si>
    <t>https://www.scopus.com/inward/record.uri?eid=2-s2.0-85068136872&amp;doi=10.1007%2fs11069-019-03645-w&amp;partnerID=40&amp;md5=07f31b7c2438138773df3049cde85c80</t>
  </si>
  <si>
    <t>In the present study, a recently developed novel approach (Bender et al. in J Hydrol 514:123–130, 2014) has been further extended to investigate the changes in the joint probabilities of extreme offshore and nearshore marine variables with time and to assess design the total water level (TWL) at the shoreline under the effects of climate change. The nonstationary generalised extreme value (GEV) distribution has been utilised to model the marginal distribution functions of marine variables (wave characteristics and sea levels), within a 40-year moving window. All parameters of the GEV were tested for statistically significant linear and polynomial trends over time, and best-fitted trends have been detected. Different copula functions were fitted at the 40-year moving windows, to model the dependence structure of extreme offshore significant wave heights and peak spectral periods, and of wave-induced sea levels on the shoreline and nearshore sea levels due to storm surges. The most appropriate bivariate models were then selected. Statistically significant polynomial trends were detected in the dependence parameters of the selected copulas, and time-dependent most likely bivariate events were extracted to be used in the estimation of the TWL at the shoreline. The methods of the present work were implemented in three selected Greek coastal areas in the Aegean Sea. The analysis revealed different variations in the most likely estimates of the offshore wave characteristics and nearshore storm surges in the three study areas, as well as in the time-dependent estimates of TWL at the shoreline. The approach combines nonstationarity and bivariate analysis, blends coastal and offshore marine features and finally provides non-trivial alterations in the response of coastal sea level dynamics to climate change signals, compared to former work on the subject. The methodology produces reasonable estimates of design quantities for coastal structures and boundary conditions for the assessment of flood hazard and risk in coastal areas. © 2019, Springer Nature B.V.</t>
  </si>
  <si>
    <t>2-s2.0-85068136872"</t>
  </si>
  <si>
    <t>10.2112/SI91-004.1</t>
  </si>
  <si>
    <t>https://www.scopus.com/inward/record.uri?eid=2-s2.0-85097242950&amp;doi=10.2112%2fSI91-004.1&amp;partnerID=40&amp;md5=60822b2e43d63d0e20470b8e57ae6c51</t>
  </si>
  <si>
    <t>Coastal levee is an defensive structures important in low-lying coastal areas prone to floods, but is vulnerable to overflows when water levels increase extremely. Due to storm surge and high waves, water overflow and wave overtopping occur over coastal levee. Likewise, river levee is to protect lowland areas from floods. However, levee breaches due to aging of levees have caused huge damages on properties and human casualties. To advance as a society, it is essential to pursue meaningful implementations of solutions that prevent the erosion of levees during floods. To find a resilient structure of levee against overflow, this study has tested an environmentally friendly substance for reinforcing levee. With intent to testify the new method, a series of hydraulic experiments were carried out for to verify a flow state and surface velocity distribution according to levee breach progress by building a semi-prototype levee with a bottom width of 5 m, a slope of 1:2, a crown width of 1 m, and a height of 1 m in a 3 m bottom-wide natural channel. By building a measuring system using a number of imaging devices on site, the surface velocity distributions on the earthen levee and the levee reinforced with the new environmentally friendly substance were measured using a LSPIV technique. It is expected to be able to examine the characteristics of flow velocity distribution following breach processes on levees to evaluate the initial points of failure and the weak points during overflow. © 2019 Coastal Education Research Foundation Inc.. All rights reserved.</t>
  </si>
  <si>
    <t>2-s2.0-85097242950"</t>
  </si>
  <si>
    <t>10.1007/s10584-019-02513-7</t>
  </si>
  <si>
    <t>https://www.scopus.com/inward/record.uri?eid=2-s2.0-85074157622&amp;doi=10.1007%2fs10584-019-02513-7&amp;partnerID=40&amp;md5=e31411340b99f49a6dfa92eb68fe2f40</t>
  </si>
  <si>
    <t>Public attitudes toward climate change are the subject of considerable study. An essential and understudied question is whether these attitudes influence public behavior. We answer this question with respect to a particular behavior, action to protect coastal homes from the increasing risk of hurricanes and rising seas. Coastal homeowner behavior is critically important because homeowner risk reduction in most cases is not mandated by government regulations or insurance requirements and instead largely reflects individual voluntary decisions. Analyzing novel data from the 2017 Coastal Homeowner Survey of 662 respondents in one of the most frequently exposed US coastal communities, New Hanover County, North Carolina, we find that climate change knowledge and attitudes have no significant effect on the existing level of a home’s structural vulnerability nor on homeowner actions or stated intentions to reduce structural vulnerability in the future. We discuss the implications for efforts by governments, insurance companies, and other stakeholders advocating for coastal resiliency. © 2019, Springer Nature B.V.</t>
  </si>
  <si>
    <t>2-s2.0-85074157622"</t>
  </si>
  <si>
    <t>10.2112/SI88-003.1</t>
  </si>
  <si>
    <t>https://www.scopus.com/inward/record.uri?eid=2-s2.0-85076623046&amp;doi=10.2112%2fSI88-003.1&amp;partnerID=40&amp;md5=1d627c2f9aceb23b832c090b83ce3fc3</t>
  </si>
  <si>
    <t>With 5853 km of coastlines facing the North Sea, the English Channel, the Atlantic Ocean and the Mediterranean Sea, France displays littoral zones exposed to a wide spectrum of wave climates, tidal ranges and storm surges. This study aims at characterizing in a systematic way sea level variations along the coasts of France. Wave climates are first characterized using state-of-the-art high resolution hindcasts validated against available observations from the national network CANDHIS. This analysis reveals a contrasting situation between coastal zones located along the Bay of Biscay, exposed to energetic and moderate-to-long period swells, and coastal zones located in the English Channel and the Mediterranean Sea, exposed mostly to wind seas and shorter period swells. Tides are characterized using available tide gauge measurements retrieved from the national REFMAR database and display large contrasts, between microtidal regimes along the Mediterranean Sea and macrotidal regimes along the English Channel. The analysis of storm surges computed from the same data reveals that they are controlled not only by storm tracks but also by the width of the continental shelf. Thus, during the studied period 1998-2018, storm surges derived from tide gauges measurements hardly reach 1.0 m along the coastlines of the southern Bay of Biscay and the eastern Mediterranean Sea but can exceed 2.0 m in the English Channel. The analysis of long-term sea level trends reveals significant variabilities, with an accelerated sea level rise on average from 1.2 mm/yr over the 20th century to 2.4 mm/yr over the two last decades, and ranging locally from 1.23 mm/yr (Roscoff) to 4.25 mm/yr (Nice). Finally, these values are compared against vertical land motions, computed from a state-of-the-art GPS reanalysis. A moderate land subsidence (&lt;1 mm/year) is found for the majority of the stations. © Coastal Education and Research Foundation, Inc. 2019.</t>
  </si>
  <si>
    <t>2-s2.0-85076623046"</t>
  </si>
  <si>
    <t>10.1016/j.gloenvcha.2019.101939</t>
  </si>
  <si>
    <t>https://www.scopus.com/inward/record.uri?eid=2-s2.0-85068228836&amp;doi=10.1016%2fj.gloenvcha.2019.101939&amp;partnerID=40&amp;md5=ec4832d9c27a5bd0f8972afe56a57c7f</t>
  </si>
  <si>
    <t>Climate change is upon us. While debates continue over how to mitigate emissions, it is evident that many parts of the world will need to adapt to an increasingly unstable climate. However, the persistence of climate denial presents a significant barrier to climate change response; if a future in which the climate has dramatically changed cannot be imagined, there is little motivation to act. Using qualitative interview data, our research investigates community responses to climate change adaptation planning in a coastal region of Australia identified as highly vulnerable to future sea level rise. While the local council engaged in extensive consultation to develop an adaptation plan, community opposition to proposed development changes ultimately resulted in a ‘wait and see’ response. We show how the community’s local understandings of place informed temporalities that led to a practice of climate denial. We outline three processes by which climate denial is socially organised: anchoring the past via historical reference; projecting continuity through a nostalgic lens of managing disaster; and enclosing the present by prioritising existing economic value. We show how these processes result in the social organisation of climate denial, and an inability to plan for a climate changed future.</t>
  </si>
  <si>
    <t>10.1007/s12040-019-1184-8</t>
  </si>
  <si>
    <t>https://www.scopus.com/inward/record.uri?eid=2-s2.0-85066491587&amp;doi=10.1007%2fs12040-019-1184-8&amp;partnerID=40&amp;md5=7508e49e36c92061627f0f8c5fe5369c</t>
  </si>
  <si>
    <t>Almost every year, Bangladesh experiences disasters such as tropical cyclones, storm surges, coastal erosion or floods. Tropical cyclones originate from the North Indian Ocean and often cause devastating flood inundations in Bangladesh. Storm surges of the Bay of Bengal (BOB) are larger compared to other regions of the world for similar cyclones due to amplification by the shallow water depth, huge continental shelf and convergent coastlines. This scenario of inundation for such storm surges in the future when the sea level rise (SLR) occurs due to global warming will be different from the present. The densely populated coastal region of Bangladesh is likely to become more vulnerable in the future due to SLR. Disaster risks can be reduced if storm surges can be predicted well ahead. To assess the possible changes of inundation in the future, a widely used coastal model, Delft3D, has been applied for this BOB region. The model has been validated for the storm surge of three recent devastating cyclones, namely, Sidr, Aila and Roanu in the southern coast of Bangladesh. The validated model has been run to produce inundation maps and statistics for cyclonic storm surges such as Sidr, Aila and Roanu and probable SLR. Three possible SLR boundary conditions are chosen from the business-as-usual climate scenario representative concentration pathway 8.5 with values of 0.5 m (lower limit), 1 m (upper limit) and 1.5 m (extreme case, considering the subsidence and a rapid collapse of the Antarctic ice sheet). It is found that a category 4 cyclone such as cyclone Sidr would inundate 2.6%, 3.67% and 5.84% of the area of the country if the SLR is 0.5, 1 and 1.5 m, which will affect the livelihood of nearly 4.1, 7.0 and 9.1 million people of Bangladesh, respectively. It will also inundate up to 21.0%, 42.1% and 65.1% of the Sundarbans mangrove forest, which will undoubtedly affect the ecology of this unique ecosystem. © 2019, Indian Academy of Sciences.</t>
  </si>
  <si>
    <t>2-s2.0-85066491587"</t>
  </si>
  <si>
    <t>10.2112/SI88-011.1</t>
  </si>
  <si>
    <t>https://www.scopus.com/inward/record.uri?eid=2-s2.0-85076621268&amp;doi=10.2112%2fSI88-011.1&amp;partnerID=40&amp;md5=990fbecf654d4ba252dbfb5f4919adbb</t>
  </si>
  <si>
    <t>This article examines the morphological evolution of 27 beaches, including sandy and mixed sandy and rocky beaches, located along a 460 km-long complex shoreline, indented by four incised-valleys. The wave climate, simulated numerically from 1999 to 2017 in front of each beach, allows distinguishing between exposed and sheltered beaches. The morphological changes are quantified at two time scales: the last two centuries, from old maps and aerial photos, and the last two decades, from topographic profiles, aerial photos and satellite images. The first-order parameters explaining most of the spatial variations in the shoreline evolutions are the presence or absence of bedrock outcrops in the foreshore and/or shoreface and the presence or absence of tidal inlets close to the beach. The fastest shoreline changes are observed along exposed sandy beaches close to tidal inlets, whereas moderate to slow evolutions are mainly observed along exposed beaches with rocky foreshore and sheltered beaches. Huge shoreline changes located close to tidal inlets are related to changes in littoral drift orientation and intensity, themselves related to changes in beach orientation. Maximum erosion rates at a decadal time scale are not associated with isolated exceptional storms, but rather with clusters of storms. Beaches evolutions on this indented shoreline are controlled by geological factors (coastal orientation and the basement topography) and display complex patterns that cannot be clearly related to past changes in wave climate and sea level rise, complicating the prediction of their future evolutions. © Coastal Education and Research Foundation, Inc. 2019.</t>
  </si>
  <si>
    <t>2-s2.0-85076621268"</t>
  </si>
  <si>
    <t>10.1007/s12517-019-4633-4</t>
  </si>
  <si>
    <t>https://www.scopus.com/inward/record.uri?eid=2-s2.0-85070466184&amp;doi=10.1007%2fs12517-019-4633-4&amp;partnerID=40&amp;md5=b90cf2b50e17c56bfaaca674089e7853</t>
  </si>
  <si>
    <t>To determine the suitability of a railway line’s location, morphometric network drainage analysis and a high-resolution digital elevation model (10 m) were used. This study was performed using the geoprocessing techniques of GIS. The extracted drainage network was classified according to the Strahler’s system of classification to study the suitability of railway tracks’ location via the project of Saudi Railway Company (SAR) in the Kingdom of Saudi Arabia. Moreover, culvert locations were examined by using existing network drainage locations. The results indicated that some culverts are not suitable to serve during floods, and two specific culverts of the SAR project should be relocated. Map algebra was used in this research to calculate the suitability, and the results show existing railways crossing two less suitable areas. © 2019, Saudi Society for Geosciences.</t>
  </si>
  <si>
    <t>2-s2.0-85070466184"</t>
  </si>
  <si>
    <t>10.5194/os-15-853-2019</t>
  </si>
  <si>
    <t>https://www.scopus.com/inward/record.uri?eid=2-s2.0-85068551750&amp;doi=10.5194%2fos-15-853-2019&amp;partnerID=40&amp;md5=4a57f7e1b2ffd1cca0f1cd5584fd3fc5</t>
  </si>
  <si>
    <t>Mean sea level (MSL) is rising worldwide, and correlated changes in ocean tides are also occurring. This combination may influence future extreme sea levels, possibly increasing coastal inundation and nuisance flooding events in sensitive regions. Analyses of a set of tide gauges in Hong Kong reveal complex tidal behavior. Most prominent in the results are strong correlations of MSL variability to tidal variability over the 31-year period of 1986-2016</t>
  </si>
  <si>
    <t>10.3390/rs11151795</t>
  </si>
  <si>
    <t>https://www.scopus.com/inward/record.uri?eid=2-s2.0-85070449213&amp;doi=10.3390%2frs11151795&amp;partnerID=40&amp;md5=74cff3e17a3cd7f31e6b6a63e1a49c02</t>
  </si>
  <si>
    <t>Abstract: Salt marshes are valuable ecosystems that are vulnerable to lateral erosion, submergence, and internal disintegration due to sea level rise, storms, and sediment deficits. Because many salt marshes are losing area in response to these factors, it is important to monitor their lateral extent at high resolution over multiple timescales. In this study we describe two methods to calculate the location of the salt marsh shoreline. The marsh edge from elevation data (MEED) method uses remotely sensed elevation data to calculate an objective proxy for the shoreline of a salt marsh. This proxy is the abrupt change in elevation that usually characterizes the seaward edge of a salt marsh, designated the ""marsh scarp."" It is detected as the maximum slope along a cross-shore transect between mean high water and mean tide level. The method was tested using lidar topobathymetric and photogrammetric elevation data from Massachusetts, USA. The other method to calculate the salt marsh shoreline is the marsh edge by image processing (MEIP) method which finds the unvegetated/vegetated line. This method applies image classification techniques to multispectral imagery and elevation datasets for edge detection. The method was tested using aerial imagery and coastal elevation data from the Plum Island Estuary in Massachusetts, USA. Both methods calculate a line that closely follows the edge of vegetation seen in imagery. The two methods were compared to each other using high resolution unmanned aircraft systems (UAS) data, and to a heads-up digitized shoreline. The root-mean-square deviation was 0.6 meters between the two methods, and less than 0.43 meters from the digitized shoreline. The MEIP method was also applied to a lower resolution dataset to investigate the effect of horizontal resolution on the results. Both methods provide an accurate, efficient, and objective way to track salt marsh shorelines with spatially intensive data over large spatial scales, which is necessary to evaluate geomorphic change and wetland vulnerability. © 2019 by the authors.</t>
  </si>
  <si>
    <t>2-s2.0-85070449213"</t>
  </si>
  <si>
    <t>10.1016/j.envsci.2019.04.011</t>
  </si>
  <si>
    <t>https://www.scopus.com/inward/record.uri?eid=2-s2.0-85065206725&amp;doi=10.1016%2fj.envsci.2019.04.011&amp;partnerID=40&amp;md5=b24802131de2ee657d04f2732abc4781</t>
  </si>
  <si>
    <t>Historically, flood resilience in large river deltas has been strongly tied to institutional and infrastructural interventions to manage flood risk (such as building of embankments and drainage structures). However, the introduction of infrastructural works has inevitably brought unforeseen, major consequences, such as biodiversity and accelerated land subsidence, endangering the fertile characteristics that made them interesting places to live in in the first place. These ripple effects have sparked, a reconsideration of what deltas are, questioning the very separation and control between nature and culture, and how deltas are to be dealt with. These effects have further sparked changing modalities of power that tend to be overlooked by delta and resilience scholars alike. As a result, there is a real risk that future interventions to increase resilience, will in fact amplify unequal power relations in deltas as opposed to alleviating them. If the system as a whole has achieved some level of flood resilience (partly due to the flood defence mechanisms in place), does infrastructure have a differential effect on people's mobility under flood conditions? Are some groups experiencing less rather than more security, as water accumulates in some places but not others? This paper presents theoretical insights on the relationship between power and resilience in delta regions supported by two case studies, the Ganges-Brahmaputra-Meghna delta in Bangladesh and the Mekong delta in Vietnam. © 2019 The Authors</t>
  </si>
  <si>
    <t>2-s2.0-85065206725"</t>
  </si>
  <si>
    <t>10.1080/08920753.2019.1619903</t>
  </si>
  <si>
    <t>https://www.scopus.com/inward/record.uri?eid=2-s2.0-85067304336&amp;doi=10.1080%2f08920753.2019.1619903&amp;partnerID=40&amp;md5=c83ed31e24ac09e2f92d29c146c3b2e2</t>
  </si>
  <si>
    <t>This article reviews key measures of public opinion on sea-level rise (SLR): beliefs, attitudes, issue prioritization, and policy support. To do so, we first assess the influence of SLR beliefs and attitudes on issue prioritization and policy support using state-level data. Then, we compare the state findings to other surveys conducted in a hot spot of rising coastal waters, the U.S. Mid-Atlantic, to better understand the landscape of public opinion. Our findings indicate that, as in studies of climate change public opinion, belief certainty that SLR is happening and attitudes about its consequences significantly influence issue prioritization and policy support. Compared to climate change, SLR demonstrates less salience, but is similarly a low public priority. Nevertheless, the public supports governmental policies that address the issue, preferring strategies that discourage new construction in high risk areas and employ “soft” protection through natural barriers. Among the least popular approaches are those that implement hard barriers to defend against encroaching seas. Communication programs and public consultation by governments can benefit from the use of survey data to support evidence-based decision-making. © 2019, © 2019 Taylor &amp; Francis.</t>
  </si>
  <si>
    <t>2-s2.0-85067304336"</t>
  </si>
  <si>
    <t>10.1007/s10113-019-01512-9</t>
  </si>
  <si>
    <t>https://www.scopus.com/inward/record.uri?eid=2-s2.0-85067059076&amp;doi=10.1007%2fs10113-019-01512-9&amp;partnerID=40&amp;md5=2264ac359f78c8f95479dffd14149de1</t>
  </si>
  <si>
    <t>Karachi, the biggest city of Pakistan, has undergone various urban sprawls due to its continuously growing population that has severely affected its natural drainage pattern. The city had an extensive natural drainage system which has now lost its original form. This study investigated the blockages and their causes during the last two decades in one of the city’s riverbeds—Malir. Moreover, the extent of floods identifying the vulnerability of the watershed’s urban area after major rainfall events was modeled. The geospatial techniques and satellite images of Landsat 5, 7, and 8 were used to analyze the changes in land use and land cover (LULC) of the Malir Basin. The Shuttle Radar Topographic Mission (SRTM) Digital Elevation Model and topographic sheets of 1975 were utilized to delineate the natural drainage network and streambeds of the basin using geographical information system (GIS) tools. Historical rainfall data from 1985 to 2014 were acquired from the Pakistan Meteorological Department (PMD) to simulate runoff using the US Hydrologic Engineering Center’s Hydrologic Modeling System (HEC-HMS and HEC-GeoHMS). The flood modeling was done using the River Analysis System (HEC-RAS and GeoRAS). Rainfall-runoff simulations and flood extent and depth of five major rainfall events—1992, 2003, 2007, 2009, and 2013—were modeled in this study. GIS overlay analysis combined the LULC, riverbed, and drainage line layers to identify the blocked area and to quantify the specific LULCs that were causing blockages in the riverbed. Several maps, which are prepared in this study, show the parts of the river with altered drainage patterns in 2013 from what existed back in 1975. © 2019, Springer-Verlag GmbH Germany, part of Springer Nature.</t>
  </si>
  <si>
    <t>2-s2.0-85067059076"</t>
  </si>
  <si>
    <t>ACS Earth and Space Chemistry</t>
  </si>
  <si>
    <t>10.1021/acsearthspacechem.9b00040</t>
  </si>
  <si>
    <t>https://www.scopus.com/inward/record.uri?eid=2-s2.0-85068015703&amp;doi=10.1021%2facsearthspacechem.9b00040&amp;partnerID=40&amp;md5=30124a20a8c41664a4f4538ccd786517</t>
  </si>
  <si>
    <t>Coastal areas are socioeconomically important but are susceptible to disturbances by both natural and man-made events. On March 11, 2011, the eastern coast of Japan was seriously inundated by a massive tsunami following the 2011 Tohoku earthquake. The tsunami caused a major disturbance around the coastal area. However, an understanding of the consequences of such an event is often hampered by a lack of knowledge of prior conditions. Furthermore, field observations during and immediately after the event are often particularly difficult. The present study demonstrates that environmental reconstruction by geochemical and growth pattern analyses of mussel shells successfully revealed transitional (daily) environmental changes caused by the Tohoku tsunami. A pronounced surge in shell Mn/Ca ratios observed immediately after the tsunami implies a drastic emission of pore water following sediment disturbance as well as a large input of terrestrial material through backwash. The subsequent decrease of the high Mn/Ca peak indicates a prolonged tsunami disturbance effect over ca. 40 days, with the stabilized shell Mn/Ca ratios observed thereafter (being higher than that prior to the tsunami) suggesting that the latter had altered the coastal environment, allowing for greater susceptibility to terrestrial input following ground subsidence and loss of coastal levees. Shell Mn/Ca patterns provide evidence for the tsunami-generated release of materials stored in sediments, such as organic, nutrient, and pollutant materials, which are then suspended in the water column for sufficient periods to allow for incorporation into geochemical cycles. Although the greatest environmental disturbance occurred immediately after the tsunami, the effects lasted for longer than several months thereafter. © 2019 American Chemical Society.</t>
  </si>
  <si>
    <t>2-s2.0-85068015703"</t>
  </si>
  <si>
    <t>10.1016/j.jhydrol.2019.04.096</t>
  </si>
  <si>
    <t>https://www.scopus.com/inward/record.uri?eid=2-s2.0-85066123194&amp;doi=10.1016%2fj.jhydrol.2019.04.096&amp;partnerID=40&amp;md5=caeef3c0d4fb491235766fa9698ae969</t>
  </si>
  <si>
    <t>The strong saline water intrusion in the North Branch of the Yangtze Estuary threatens the freshwater supply of the region in winter half year. Strong northerly winds have been identified as a factor increasing saline water intrusion. However, there are few studies on this subject, and the mechanisms of winds influencing saline water intrusion are still unclear. In the present contribution, we investigate the variation trend of strong wind events during cold outbreaks in winter half year and their correlation with saline water intrusion in the North Branch, together with the processes and mechanism of strong winds increasing saline water intrusion, based on observations and an analytical salt water intrusion model. The results indicate that the strong northerly and northeasterly wind events and saline water intrusion in the North Branch have similar variation trends in 1994–2008, both being relatively weak in the 1990s but being intensified dramatically after 1999. The significant correlation between these two trends suggests that the increase in strong wind events may be one of the factors inducing the enhanced saline water intrusion. Observations and model output show that the strong northerly and northeasterly winds can induce dramatic water level setup, increase of flood-tide current velocities, decrease of ebb-tide velocities, and decrease of freshwater inflow into the North Branch. These changes in combination cause the enhanced intensity of saline water intrusion. The Ekman transport from remote winds results in water level setup at the estuary mouth pumping more seawater into the North Branch, which should be a dominant mechanism inducing the change in hydrodynamics and increase of saline water intrusion. © 2019 Elsevier B.V.</t>
  </si>
  <si>
    <t>2-s2.0-85066123194"</t>
  </si>
  <si>
    <t>Science Bulletin</t>
  </si>
  <si>
    <t>10.1016/j.scib.2019.04.023</t>
  </si>
  <si>
    <t>https://www.scopus.com/inward/record.uri?eid=2-s2.0-85065243839&amp;doi=10.1016%2fj.scib.2019.04.023&amp;partnerID=40&amp;md5=15fba48ff67dc891e88cae7651418c90</t>
  </si>
  <si>
    <t>Coastal zones and many small islands are highly susceptible to sea-level rise (SLR). Coastal zones have a large exposed population and integrated high-value assets, and islands provide diverse ecosystem services to millions of people worldwide. The coastal zones and small islands affected by SLR are likely to suffer from submergence, flooding and erosion in the future. However, very few studies have addressed the heterogeneity in SLR changes and the potential risk to coastal zones and small islands. Here we used the mean sea level (MSL) derived from satellite altimetry data to analyse the trends and accelerations of SLRs along global coastal zones and small islands. We found that except for the Antarctic coastal zone, the annual MSL within 50 km of the coasts presented an increasing trend of 3.09 ± 0.13 mm a−1 but a decreasing acceleration of −0.02 ± 0.02 mm a−2 from 1993 to 2017. The highest coastal MSL trend of 3.85 ± 0.60 mm a−1 appeared in Oceania, and the lowest trend of 2.32 ± 0.37 mm a−1 occured in North America. Africa, North America and South America showed acceleration trends, and Eurasia, Australia and Oceania had deceleration trends. Further, MSLs around global small islands reflected an increasing trend with a rate of 3.01 ± 0.16 mm a−1 but a negative acceleration of −0.02 ± 0.02 mm a−2. Regional heterogeneity in the trends and accelerations of MSLs along the coasts and small islands suggests that stakeholders should take discriminating precautions to cope with future disadvantageous impacts of the SLR. © 2019 Science China Press</t>
  </si>
  <si>
    <t>2-s2.0-85065243839"</t>
  </si>
  <si>
    <t>10.3390/rs11131630</t>
  </si>
  <si>
    <t>https://www.scopus.com/inward/record.uri?eid=2-s2.0-85074948849&amp;doi=10.3390%2frs11131630&amp;partnerID=40&amp;md5=72ea02c3e6ebda538b2050455613063c</t>
  </si>
  <si>
    <t>The Versilia plain, a well-known and populated tourist area in northwestern Tuscany, is historically subject to floods. The last hydrogeological disaster of 1996 resulted in 13 deaths and in loss worth hundreds of millions of euros. A valid management of the hydraulic and flooding risks of this territory is therefore mandatory. A 7.5 km-long stretch of the Versilia River was simulated in one-dimension using river cross-sections with the FLO-2D Basic model. Simulations of the channel flow and of its maximum flow rate under different input conditions highlight the key role of topography: uncertainties in the topography introduce much larger errors than the uncertainties in roughness. The best digital elevation model (DEM) available for the area, a 1-m light detection and ranging (LiDAR) DEM dating back to 2008-2010, does not reveal all the hydraulic structures (e.g., the 40 cm thick embankment walls), lowering the maximum flow rate to only 150 m3/s, much lower than the expected value of 400 m3/s. In order to improve the already existing input topography, three different possibilities were considered: (1) to add the embankment walls to the LiDAR data with a targeted Differential GPS (DGPS) survey, (2) to acquire the cross section profiles necessary for simulation with a targeted DGPS survey, and (3) to achieve a very high resolution topography using structure from motion techniques (SfM) from images acquired using an unmanned aerial vehicle (UAV). The simulations based on all these options deliver maximum flow rates in agreement with estimated values. Resampling of the 10 cm cell size SfM-DSM allowed us to investigate the influence of topographic resolution on hydraulic channel flow, demonstrating that a change in the resolution from 30 to 50 cm alone introduced a 10% loss in the maximum flow rate. UAV-SfM-derived DEMs are low cost, relatively fast, very accurate, and they allow for the monitoring of the channel morphology variations in real time and to keep the hydraulic models updated, thus providing an excellent tool for managing hydraulic and flooding risks. © 2019 by the authors.</t>
  </si>
  <si>
    <t>2-s2.0-85074948849"</t>
  </si>
  <si>
    <t>10.5194/nhess-19-1585-2019</t>
  </si>
  <si>
    <t>https://www.scopus.com/inward/record.uri?eid=2-s2.0-85073893706&amp;doi=10.5194%2fnhess-19-1585-2019&amp;partnerID=40&amp;md5=6a935d8ad2a82321e80c9317a6c137b8</t>
  </si>
  <si>
    <t>The 1783 Scilla landslide-tsunami (Calabria, southern Italy) is a well-studied event that caused more than 1500 fatalities on the beaches close to the town. This paper complements a previous work that was based on numerical simulations and was focused on the very local effects of the tsunami in Scilla. In this study we extend the computational domain to cover a wider portion of western Calabria and northeastern Sicily, including the western side of the Straits of Messina. This investigation focuses on Capo Peloro area (the easternmost cape of Sicily), where the highest tsunami effects outside Scilla were reported. Important tsunami observations, such as the wave height reaching 6 m at Torre degli Inglesi and flooding that reached over 600 m inland, have been successfully modeled but only by means of a high-resolution (10 m) topo-bathymetric grid, since coarser grids were inadequate for the purpose. Interestingly, the inundation of the small lake of Pantano Piccolo could not be reproduced by using today's coastal morphology, since a coastal dune now acts as a barrier against tsunamis. Historical analysis suggests that this dune was not in place at the time of the tsunami occurred and that a ground depression extending from the lake to the northern coast is a remnant of an ancient channel that was used as a pathway in Roman times. The removal of such an obstacle and the remodeling of the coeval morphology allows the simulations to reproduce the tsunami penetration up to the lake, thus supporting the hypothesis that the 1783 tsunami entered the lake following the Roman channel track. A further result of this study is that the computed regional tsunami propagation pattern provides a useful hint for assessing tsunami hazards in the Straits of Messina area, which is one of the most exposed areas to tsunami threats in Italy and in the Mediterranean Sea overall. © Author(s) 2019. This work is distributed under.</t>
  </si>
  <si>
    <t>2-s2.0-85073893706"</t>
  </si>
  <si>
    <t>10.1007/s11629-018-5172-2</t>
  </si>
  <si>
    <t>https://www.scopus.com/inward/record.uri?eid=2-s2.0-85073644534&amp;doi=10.1007%2fs11629-018-5172-2&amp;partnerID=40&amp;md5=762921980448346302597e54aad68623</t>
  </si>
  <si>
    <t>Ganga river basins exposed to active erosional and deformational processes. The recurrence of landslides, floods, and seismic activities makes it more susceptible to deformational activities. The tectonic analysis using geomorphic indices and morphometric parameters will help in determining the hazard-prone area of the river basin. Geomorphic indices and morphometric parameters are calculated to investigate the role of neotectonic activities, as it acts as a controlling factor in the development of landforms in the tectonically active terrains. Neotectonic activities influence the terrain topography, which significantly affects the drainage system and geomorphological setup of the area. In this study, the assessment of active tectonics of study area was determined using Advanced Spaceborne Thermal Emission and Reflection Radiometer (ASTER) Global Digital Elevation Model (GDEM) based on Geomorphic Indices (Stream Length Gradient index, Hypsometric integral, Asymmetry factor, Basin shape, Valley floor width to Valley height ratio, Mountain front sinuosity index) cumulatively with Linear, Areal and Relief morphometric parameters on 27 delineated basins of the study area. The combined classification of Relative Tectonic Activity Index (Iat) and morphometric parameters of 27 basins categorized all the zones into four different classes: Class 1 - Very High (&lt;1.97</t>
  </si>
  <si>
    <t>10.18520/cs/v117/i1/80-86</t>
  </si>
  <si>
    <t>https://www.scopus.com/inward/record.uri?eid=2-s2.0-85069455875&amp;doi=10.18520%2fcs%2fv117%2fi1%2f80-86&amp;partnerID=40&amp;md5=4d958892c681dcfd785cbc7d846ad435</t>
  </si>
  <si>
    <t>In recent years, flash floods took place in various parts of the country that are not under floodplains due to high rainfall events, causing damage to rail, road and urban infrastructure. There is a need to develop a flood vulnerable index map of the country for precautionary measures in such vulnerable areas. Developing flood vulnerability index (FVI) at country level in India is a multifaceted job due to huge variations in topographic, meteorological and hydrological conditions over space and time. The paper focuses on developing a scientific approach in preparing FVI map of the country in a spatial decision support system environment by using space-based inputs, topographic data and long-term meteorological data. Probable maximum precipitation (PMP) and high rainfall frequency were computed using 100 years daily rainfall data of the country. Runoff potential of the country was prepared using high resolution landuse, soils, and digital elevation model grids. Probable maximum run-off was further computed at national level using PMP and run-off potential grids. Morphometric analysis was done using topographic and drainage information. All these layers were normalized and integrated in SDSS environment to compute the flood vulnerability index of the country. Suitable weights were given for all layers using the knowledge base reviewed across the globe. Sensitivity analysis and validation were done using the previous flood incidents. © 2019 Current Science Association, Bengaluru.</t>
  </si>
  <si>
    <t>2-s2.0-85069455875"</t>
  </si>
  <si>
    <t>10.1007/s12517-019-4718-0</t>
  </si>
  <si>
    <t>https://www.scopus.com/inward/record.uri?eid=2-s2.0-85071763553&amp;doi=10.1007%2fs12517-019-4718-0&amp;partnerID=40&amp;md5=4f3d534d6654b469ddd7ec661b1f46ef</t>
  </si>
  <si>
    <t>Dike swarms are commonly linked with extensional structures in diverse geodynamic environments. Mafic dyke swarms are typically used to reconstruct the paleo-stress fields of a given region. These dikes are considered paleo-stress indicators and excellent time marker (if related geochronological data are available) of the local and regional stress fields. In the Middle-Late Jurassic, swarms of mafic dikes emplaced into the Neoproterozoic schists and amphibolites in the Kalateh Alaeddin Mountain area in south Shahrood, north Iran. These dikes with different thicknesses show a general east–west strike direction, with mostly a steep dip angle. In this paper, we present structural data of these dike swarms for the sake of assessing the paleo-stress state and the magma pressure ratio at the time of their emplacement. Field and structural data are integrated with ASTER Global Digital Elevation Model (GDEM) and Centre National d’Etudes Spatiales (CNES)/SPOT imagery data, to extract important parameters of the investigated dikes and controlling fault/joint sets. Orientation of the principal paleo-stress axes, quantification of the stress ratio, and the associated magma pressure ratio (driving stress ratio) were calculated using the stereographic projection and Mohr’s circle reconstruction techniques. The results reveal that the maximum paleo-stress component (σ1) was sub-vertical and the intermediate (σ2) and minimum (σ3) paleo-stresses components were sub-horizontal in N264° E and N173° E trends, respectively. Due to the low value of the driving stress ratio (R = 0.05), these dikes developed perpendicular to the minimum principal stress (in E–W direction). The stress ratio value (ø = 0.66) indicates a moderately oblate stress ellipsoid. The orientation of the principal paleo-stress axes and the oblate ellipsoid are indicative of the dike emplacement during a N–S-directed tectonic extension, in agreement with the Jurassic subsidence phase and N–S stretching described for the Kalateh Alaeddin Mountain area. © 2019, Saudi Society for Geosciences.</t>
  </si>
  <si>
    <t>2-s2.0-85071763553"</t>
  </si>
  <si>
    <t>10.3389/feart.2019.00203</t>
  </si>
  <si>
    <t>https://www.scopus.com/inward/record.uri?eid=2-s2.0-85072736347&amp;doi=10.3389%2ffeart.2019.00203&amp;partnerID=40&amp;md5=f810b4673d478387d67680472fa1fb7b</t>
  </si>
  <si>
    <t>Managing coastal flood risk at the regional scale requires a prioritization of economic resources along the shoreline. Advanced modeling assessment and open-source tools are now available to support transparent and rigorous risk evaluation and to inform managers and stakeholders in their choices. However, the issues lay in data availability and data richness to estimate coastal vulnerability and impacts. The Coastal Risk Assessment Framework (CRAF) has been developed as part of the Resilience Increasing Strategies for Coasts - Toolkit (RISC-KIT) EU FP7 project. The framework provides two levels of analysis. In the first phase, a coastal index approach is applied to identify a restricted number of potential critical areas for different hazards (i.e., erosion and flooding). In the second phase, an integrated hazard and impact modeling approach is applied in the critical areas to assess the direct and indirect impacts of storm events using a matrix-based approach and a systemic analysis. The framework was tested on the coastline of the Emilia-Romagna region (northern Italy) for two probabilistic coastal storms with representative return periods of 10 and 100 years. In this work, the application of the second phase of the CRAF is presented for two sites, Lido degli Estensi-Spina (Ferrara province) and Milano Marittima (Ravenna province). The hazard modeling of floods was implemented using a coupling between XBeach and Lisflood-FP. The Integrated Disruption Assessment (INDRA) model was applied to quantify direct and indirect impacts. The impact assessment focused on household’s financial recovery, business disruption and financial recovery, transport network disruption and risk to life. The considered business sector comprised the key economic activities related to the sun-and-beach tourism, which is one of the main drivers of the regional economy. A Multi-Criteria Analysis was applied to support decision-makers to identify the most critical site. The importance of detailed physical and socio-economic data collected at the regional and local levels is highlighted and discussed, together with the importance to involve different stakeholders in the process (e.g., through interviews and surveys). The limitations of the applied approach due to data quality and availability and to the assumptions introduced in the hazard and disruption models are highlighted. © Copyright © 2019 Armaroli, Duo and Viavattene.</t>
  </si>
  <si>
    <t>2-s2.0-85072736347"</t>
  </si>
  <si>
    <t>10.1007/s00024-018-2057-9</t>
  </si>
  <si>
    <t>https://www.scopus.com/inward/record.uri?eid=2-s2.0-85068804613&amp;doi=10.1007%2fs00024-018-2057-9&amp;partnerID=40&amp;md5=a9ccfa2e9a85c11af8a78badda5ea037</t>
  </si>
  <si>
    <t>A numerical model that simulates the propagation of tsunamis produced by submarine earthquakes was applied to the Caspian Sea. The model was first applied to the June 1990 (Rudbar) earthquake and our results proved to be coherent with previous simulations. It was also applied to the Krasnovodsk earthquake (1895), which had not been simulated before, and it was found that the coastal area was flooded by a tsunami, as reported in literature. Nevertheless, it was a rather local effect since the tsunami was generated in very shallow waters. Some worst-case hypothetical earthquakes were simulated in the most seismically active regions of the Caspian. In general, both the east and west coasts of the central Caspian Sea would be the most affected by these earthquake-induced tsunamis, with potential significant effects in some cases in cities such as Baku. © 2018, Springer Nature Switzerland AG.</t>
  </si>
  <si>
    <t>2-s2.0-85068804613"</t>
  </si>
  <si>
    <t>Journal of Geodynamics</t>
  </si>
  <si>
    <t>10.1016/j.jog.2019.05.007</t>
  </si>
  <si>
    <t>https://www.scopus.com/inward/record.uri?eid=2-s2.0-85066263801&amp;doi=10.1016%2fj.jog.2019.05.007&amp;partnerID=40&amp;md5=1433781292548cf0ef1a02114e8e1cd1</t>
  </si>
  <si>
    <t>We have investigated the sea level rise (SLR) in the Southern Levantine region of the Mediterranean Sea during the period 1993–2015 using satellite altimetry and tide gauge data. Satellite altimetry indicated a positive SLR with a mean of 3.51 ± 0.62 mm/year, which is slightly higher than the global averaged mean SLR that was reported about 3.19 ± 0.63 (Chambers et al., 2017). The rates of vertical land motion (VLM rate) have been estimated from the trend of de-seasoned sea level difference (altimetry minus TG) time series at the 6 selected TG sites. Land subsidence was found to occur at three stations along the Nile Delta coast (Rosetta, Burullus and Damietta) and at one station in Israel (Hadera). Most of the previous studies in the Mediterranean Sea indicated that there are no sufficient tide gauge data in the Southern and Eastern Mediterranean Sea. So, this investigation offers valuable sea level information that can be applied in a wide range of climatology, related environmental issues, for example</t>
  </si>
  <si>
    <t>10.1002/wcc.601</t>
  </si>
  <si>
    <t>https://www.scopus.com/inward/record.uri?eid=2-s2.0-85068345069&amp;doi=10.1002%2fwcc.601&amp;partnerID=40&amp;md5=c55a3166146756492816461a469d3e31</t>
  </si>
  <si>
    <t>Climate change affects almost all aspects of human life, including health. This is particularly true in densely populated and low lying deltas such as Bangladesh. However, the climate-health nexus is a relatively poorly explored domain of research, which is a cause for concern given the country's intrinsic vulnerability to climatic impacts. The impact of climate change on human health and well-being can be manifested through different pathways and can be categorized as being direct or indirect, mediated through complex biophysical and social dynamics. The direct effects of climate change that have been observed in Bangladesh include morbidity and mortality due to heat stress, cyclones, floods, droughts and other weather extremes at different spatio-temporal scales. The indirect effects adopt more complex routes which includes, threatening food and water security due to salinity intrusion, and spread of infectious diseases due to changes in vector and pathogen ecology. Social dynamics in Bangladesh, such as those related to gender roles, poverty and power relations, also influence how the effects of climate change are experienced by different segments of the society. The Government of Bangladesh has a number of measures already in place, efforts that have been complemented by local interventions. Evidence to take robust health policy decisions related to climate change is limited and scattered, while there is a lack of multidisciplinary research efforts. Considering these limitations, generating and summarizing scientific evidence is vital for informing a resilient health system against future public health concerns in climate vulnerable countries such as Bangladesh and in other low-income regions. This article is categorized under: Assessing Impacts of Climate Change &gt; Evaluating Future Impacts of Climate Change. © 2019 Wiley Periodicals, Inc.</t>
  </si>
  <si>
    <t>2-s2.0-85068345069"</t>
  </si>
  <si>
    <t>10.2112/JCOASTRES-D-18-00074.1</t>
  </si>
  <si>
    <t>https://www.scopus.com/inward/record.uri?eid=2-s2.0-85068476156&amp;doi=10.2112%2fJCOASTRES-D-18-00074.1&amp;partnerID=40&amp;md5=86382212604c89a57f51a85f74c00204</t>
  </si>
  <si>
    <t>This study contributes baseline information regarding the framework geology, drivers of coastal change, and archaeological record along the fjord-indented coastlines of southcentral Alaska. Field data were collected in July 2015 from James Lagoon, a 30-m-deep drowned cirque valley adjacent to McCarty Fjord in the Nuka Bay region of Kenai Fjords National Park. A 1790 CE terminal moraine deposited by McCarty Glacier extends across the cirque opening and delimits the lagoon. Acoustic surveys of the lagoon reveal bedrock overlain by deltaic, lacustrine, and marine facies containing beds that indicate past submarine landslides. Lagoon and marsh sediment cores contain coarse sand horizons interbedded with silt and peat, evidence of repeated low-frequency, high-intensity events. The largest of the event beds in the marine cores occurs near the surface and is likely associated with the 1964 Great Alaska Earthquake (moment magnitude 9.2). Trees killed during the 1964 earthquake fringe the coastline and indicate ∼2 m of coseismic subsidence. Radiocarbon ages of five exposed subfossil stumps indicate two pre-1964 subsidence events occurring between 1710 and 1789 and 1078 and 1125 median probability calendar year CE (cal CE). A Sugpiaq culture archaeological site dated to 1565 cal CE existed on the western shore of James Lagoon in the interval between these two events, possibly for proximity to an ice floe harbor seal rookery at McCarty Glacier. Archaeological site elevation above mean high water at James Lagoon and around Nuka Bay is inversely related to the extent of cumulative site erosion caused by coastal submergence during the last two great earthquakes. These combined findings lay the groundwork for future research and provide context to ongoing coastal hazards and their effects on cultural resources.</t>
  </si>
  <si>
    <t>10.1016/j.ecolmodel.2019.04.015</t>
  </si>
  <si>
    <t>https://www.scopus.com/inward/record.uri?eid=2-s2.0-85066072161&amp;doi=10.1016%2fj.ecolmodel.2019.04.015&amp;partnerID=40&amp;md5=f6b74ea114fd5b4e365228d97488eca7</t>
  </si>
  <si>
    <t>Mangrove marshes are a significant global ecosystem, finely-tuned to contemporary sea level. As sea level rises the mangrove-to-freshwater ecotone reflects underlying groundwater salinity indicating the transformation of freshwater resources into saltwater unsuitable for consumption or agriculture. Hydrological numerical models can predict this dynamic given sufficient environmental detail, however, detailed data is often lacking. Alternatively, agent-based models can predict landscape vegetation changes and the associated fresh-to-saline water transformation based only on landscape surface features. We apply such a model to the southern tip of the Florida peninsula at the nexus of a metropolis and World Heritage wildlife preserve: the Florida Everglades, to predict ecotone dynamics and aquifer water resources in response to warming climate and rising sea level. The model is based on species-specific behaviors for freshwater grasses and salt-tolerant red mangroves with relevance to global mangrove ecosystems. © 2019</t>
  </si>
  <si>
    <t>2-s2.0-85066072161"</t>
  </si>
  <si>
    <t>10.1016/j.geomorph.2019.04.021</t>
  </si>
  <si>
    <t>https://www.scopus.com/inward/record.uri?eid=2-s2.0-85065703885&amp;doi=10.1016%2fj.geomorph.2019.04.021&amp;partnerID=40&amp;md5=f3cb8df2a958d1ea753cae5000c0503d</t>
  </si>
  <si>
    <t>Inlet Barrier Islands (IBIs) are infrequently studied, and are often poorly represented in coastal lidar records. The fetch limited barrier island (FLBI) model was introduced to describe geomorphic changes of IBIs over time. The FLBI model predicts that the morphology of IBIs should remain largely static during predominate weather conditions due to sheltering from oceanic wave energy but undergo significant erosion when local and non-local waves magnify during storms, subsequently failing to recover volume and elevation losses. Using three years of high-frequency small unoccupied aircraft systems (sUAS, aka drone) surveys and existing lidar records, we document geomorphic changes on Bird Shoal (a protective IBI near the town of Beaufort, NC) resulting from storms and predominate conditions, testing the FLBI model and documenting island evolution. Our results indicate that Bird Shoal exhibits different spatial trends in erosion, accretion, and shoreline migration across its 4 km length, likely driven by varying shoreline orientation to the Beaufort Inlet and back barrier bathymetry in Back Sound. Our data indicate that the geomorphic behavior of Bird Shoal currently does not adhere to the classic FLBI model. Foreshore storm recovery and growth on Western Bird Shoal and shoreline retreat on Central Bird Shoal occurred during predominate conditions, and beach morphology was not an artifact of past storm events. The Western Bird Shoal shoreline consistently retreated landward in decades of historic imagery, but transitioned to seaward expansion sometime between 2011 and 2014. This shift is likely driven by erosion of the western end of Shackleford Banks and concurrent widening of the Beaufort Inlet, allowing increased wave energy to enter the back-barrier sound and push flood deltas onto Bird Shoal during predominate conditions. Our results suggest that open ocean inlet width and location interact with back-barrier deltas to control sediment supply and wave energy for IBIs, and that IBIs may fall into and out of conformance with the FLBI archetype over time. This study demonstrates sUAS deploying frequently over a municipal scale to fill spatial and temporal gaps in traditional coastal remote sensing datasets. © 2019 Elsevier B.V.</t>
  </si>
  <si>
    <t>2-s2.0-85065703885"</t>
  </si>
  <si>
    <t>10.1016/j.catena.2019.03.028</t>
  </si>
  <si>
    <t>https://www.scopus.com/inward/record.uri?eid=2-s2.0-85063302359&amp;doi=10.1016%2fj.catena.2019.03.028&amp;partnerID=40&amp;md5=16f6184f8f72a084e65a7175e1eaf87a</t>
  </si>
  <si>
    <t xml:space="preserve">                             Historical air photographs, LiDAR, and an unmanned aerial vehicle (UAV) were used to record the movement, from 1956 to 2018, of a clay and clast earthflow in a coastal valley in northwestern Spain. Two procedures were employed. The first tracked changes, in a GIS environment, in the location of eight, easily identified objects on the surface of the deposit (large boulders, topographic lobes, and the foundations of an old hut). The second used DEMs of Difference (DoDs) based on Digital Elevation Models from a 2011 LiDAR flight and two UAV flights in 2016 and 2018 obtained by Structure from Motion-Photogrammetry techniques. While the first procedure provided estimates for earthflow movement over a 62-year period, the second produced more precise data for periods of up to 8-years. The first procedure indicated that the mean rate of movement was 0.48 m·yr                             −1                             , increasing from only 0.14 m·yr                             −1                              from 1956 to 1983 to between 0.50 and 0.83 m·yr                             −1                              from 1983 to 2018. Despite some temporal and spatial changes in direction, rates of surface movement were quite uniform on the deposit. The increase in earthflow movement after 1983 may be related to an increase in rainfall, although human activities associated with the removal of a wrecked ship from the nearshore may have been a contributing factor. The role of debuttressing due to the wave-induced removal of lateral support from the toe of the deposit is less clear. While there was no clear relationship between wave erosion and rates of movement, coastal retreat may have triggered changes in the direction and sediment flux in the toe of the deposit. This effect could have been tempered by negative feedback, however, whereby coastal erosion and increased flow activity were countered by the protection afforded by the accumulation of large, dislodged boulders on the beach. Because of this feedback, it is difficult to predict the impact of sea level rise and other elements of climate change along this coast.                          © 2019 Elsevier B.V.</t>
  </si>
  <si>
    <t>2-s2.0-85063302359"</t>
  </si>
  <si>
    <t>10.1177/0309133318794498</t>
  </si>
  <si>
    <t>https://www.scopus.com/inward/record.uri?eid=2-s2.0-85053331317&amp;doi=10.1177%2f0309133318794498&amp;partnerID=40&amp;md5=60cd227ac94b06b8dd3c76e529255751</t>
  </si>
  <si>
    <t>Coastal erosion and flooding are hazards that, when combined with facilitative pathways and vulnerable receptors, represent sources of coastal risk. Erosion and flooding risks are often analysed separately owing to complex relationships between driving processes, morphological response and risk receptors. We argue that these risks should be considered jointly and illustrate this through discussion of three ‘expressions’ of this interactive relationship: coastal morphology modifies flood hazard; future flood risk depends on changing shoreline position; and the simultaneous occurrence of erosion–flooding events. Some critical thoughts are offered on the general applicability of these expressions and the implications for coastal risk management policy.</t>
  </si>
  <si>
    <t>10.1007/s00343-019-8107-z</t>
  </si>
  <si>
    <t>https://www.scopus.com/inward/record.uri?eid=2-s2.0-85060855636&amp;doi=10.1007%2fs00343-019-8107-z&amp;partnerID=40&amp;md5=6c8ec1c5dda667273fea15e35db85688</t>
  </si>
  <si>
    <t>Based on the extreme value theory, self–affinity, and scale invariance, we studied the temporal and spatial relationship and the variation of water level and established a model of Gumbel–Pareto distribution for designed flood calculation. The model includes the previous extreme value models, the over–threshold data, and the fractal features shared by previous extreme value models. The model was simplified into a logarithmic normal distribution and a Pareto distribution for specific parameter values, and was used to calculate the designed flood values for the Shanghai Wusong Station in 100– and 1 000–year return periods. The calculated results show that the value of the designed flood height calculated in the Gumbel–Pareto distribution is between those in the Gumbel and Pearson–III distributions. The designed flood values in the 100– and 1 000–year return periods of the model were 0.03% and 0.11% lower, respectively, than the Gumbel distribution and 0.06% and 1.54% higher, respectively, than the Pearson–III distribution. Compared to the traditional model based solely on extreme probability, the Gumbel–Pareto distribution model could better describe the probabilistic characteristics of extreme marine elements and better use the data. © 2019, Chinese Society for Oceanology and Limnology, Science Press and Springer-Verlag GmbH Germany, part of Springer Nature.</t>
  </si>
  <si>
    <t>2-s2.0-85060855636"</t>
  </si>
  <si>
    <t>10.3390/ijgi8060250</t>
  </si>
  <si>
    <t>https://www.scopus.com/inward/record.uri?eid=2-s2.0-85066825573&amp;doi=10.3390%2fijgi8060250&amp;partnerID=40&amp;md5=46387fdc8cbecfbfb1e7ee455245dd4d</t>
  </si>
  <si>
    <t>Mapping the delineation of areas that are flooded due to water control infrastructure failure is a critical issue. Practical difficulties often present challenges to the accurate and effective analysis of dam-break hazard areas. Such studies are expensive, lengthy, and require large volumes of incoming data and refined technical skills. The creation of cost-efficient geospatial tools provides rapid and inexpensive estimates of instantaneous dam-break (due to structural failure) flooded areas that complement, but do not replace, the results of hydrodynamic simulations. The current study implements a Geographic Information System (GIS) based method that can provide useful information regarding the delineation of dam-break flood-prone areas in both data-scarce environments and transboundary regions, in the absence of detailed studies. Moreover, the proposed tool enables, without advanced technical skills, the analysis of a wide number of case studies that support the prioritization of interventions, or, in emergency situations, the simulation of numerous initial hypotheses (e.g., the modification of initial water level/volume in the case of limited dam functionality), without incurring high computational time. The proposed model is based on the commonly available data for masonry dams, i.e., dam geometry (e.g., reservoir capacity, dam height, and crest length), and a Digital Elevation Model. The model allows for rapid and cost-effective dam-break hazard mapping by evaluating three components: (i) the dam-failure discharge hydrograph, (ii) the propagation of the flood, and (iii) the delineation of flood-prone areas. The tool exhibited high accuracy and reliability in the identification of hypothetical dam-break flood-prone areas when compared to the results of traditional hydrodynamic approaches, as applied to a dam in Basilicata (Southern Italy). In particular, the over- and under-estimation rates of the proposed tool, for the San Giuliano dam, Basilicata, were evaluated by comparing its outputs with flood inundation maps that were obtained by two traditional methods whil using a one-dimensional and a two-dimensional propagation model, resulting in a specificity value of roughly 90%. These results confirm that most parts of the flood map were correctly classified as flooded by the proposed GIS model. A sensitivity value of over 75% confirms that several zones were also correctly identified as non-flooded. Moreover, the overall effectiveness and reliability of the proposed model were evaluated, for the Gleno Dam (located in the Central Italian Alps), by comparing the results of literature studies concerning the application of monodimensional numerical models and the extent of the flooded area reconstructed by the available historical information, obtaining an accuracy of around 94%. Finally, the computational efficiency of the proposed tool was tested on a demonstrative application of 250 Italian arch and gravity dams. The results, when carried out using a PC, Pentium Intel Core i5 Processor CPU 3.2 GHz, 8 GB RAM, required about 73 min, showing the potential of such a tool applied to dam-break flood mapping for a large number of dams. © 2019 by the authors.</t>
  </si>
  <si>
    <t>2-s2.0-85066825573"</t>
  </si>
  <si>
    <t>10.1007/s11069-019-03638-9</t>
  </si>
  <si>
    <t>https://www.scopus.com/inward/record.uri?eid=2-s2.0-85074964248&amp;doi=10.1007%2fs11069-019-03638-9&amp;partnerID=40&amp;md5=e10daf4c47bfa683b3e5eb9e08b85b26</t>
  </si>
  <si>
    <t>Floods are among the most devastating and recurring natural hazards and have caused extensive economic losses to human lives and infrastructures around the world. Swat valley in northern Pakistan is prone to frequent floods and was severely affected by the Flood2010 in the recent past. Flood hazard assessment is a non-structural strategy for flood mitigation in addition to the structure measure. In this study, 60 km long reach of the River Swat (Khwazakhela Bridge–Chakdara Bridge) was modeled using the HEC-RAS 2D model and high-resolution 12-m WorldDEM. The model was calibrated and validated for only historical maximum flood event, i.e., Flood2010 using Manning’s ‘n’ values, flood stage at the Chakdara Bridge and satellite imagery-based Flood2010-observed extent. In addition, flood model sensitivity to the DEM was carried out and simulated maximum depth was 12, 13, 14, and 25 m for the 12-m WorldDEM, 30-m SRTM, 30-m ALOS and 30-m ASTER DEMs, respectively. Designed hydrographs were prepared for 2, 5, 10, 25, 50, and 100-year return periods based on the Flood2010-observed hydrograph. Finally, the model was simulated for 2, 5, 10, 25, 50, and 100-year return periods with full momentum equation as the calculation method. Simulated extents based on the 12-m WorldDEM were used for the preparation of flood hazard maps. Landcover exposure to the designed flood events shows that agriculture including orchards is the major potential affected class with affected areas up to 55 Km2. The developed flood hazard maps will enable the policy makers to mainstream flood hazard assessment in the planning and development process for mitigating flood hazard in Swat Valley. © 2019, Springer Nature B.V.</t>
  </si>
  <si>
    <t>2-s2.0-85074964248"</t>
  </si>
  <si>
    <t>10.2112/SI91-048.1</t>
  </si>
  <si>
    <t>https://www.scopus.com/inward/record.uri?eid=2-s2.0-85097225654&amp;doi=10.2112%2fSI91-048.1&amp;partnerID=40&amp;md5=d0986166139d78e987c4d0bdd75be6cc</t>
  </si>
  <si>
    <t>Climate changes cause extreme disasters frequently such as storms, floods and tsunmai in lowlands and coastal areas. A new paradigm for the prevention of disaster damages has been required. To date, LID technologies using porous materials has been paid attention to control direct runoff, floods and NPSs. Permeable pavement among LID technologies which prevent floods and reduce NPSs can be actively applied to sidewalks, parking lots and driveways in lowlands and coastal areas. However, the loss of permeability in the material matrix has been considered as a critical issue when pore is clogged by particles for maintaining the constructed facility in the field. Herein, we conducted particle loading test at constant head to obtain the permeability coefficient and TSS removal efficiency to evaluate the cyclic performance of the permeable pavement system, and further determine their correlation. We found that the change of permeability coefficient was 273 ~ 72 mm/s when the ~ 4.2 kg/m2 particles were loaded for 60 minutes. Trend of permeability coefficient depends on amount of particle per time. This means that loading particles in a short time make more clogging than a long time. The TSS removal efficiency was &gt;80% at different hydraulic gradient and inflow concentration. Trend of TSS removal efficiency increased as particles were loaded. The correlation between the permeability coefficient and TSS removal efficiency is inversely proportional. Although the results will vary depending on the specification of the pavement system, this method can be used to estimate the effective replacement period with further researches. © 2019 Coastal Education Research Foundation Inc.. All rights reserved.</t>
  </si>
  <si>
    <t>2-s2.0-85097225654"</t>
  </si>
  <si>
    <t>10.5194/os-15-967-2019</t>
  </si>
  <si>
    <t>https://www.scopus.com/inward/record.uri?eid=2-s2.0-85069754415&amp;doi=10.5194%2fos-15-967-2019&amp;partnerID=40&amp;md5=7e930c9aa561c03713c40aa6f2865539</t>
  </si>
  <si>
    <t>In this work, a multi-parameter inter-comparison of diverse ocean forecast models was conducted at the sea surface ranging from global to local scales in a two-phase stepwise strategy. Firstly, a comparison of CMEMS GLOBAL and the nested CMEMS IBI regional system was performed against satellite-derived and in situ observations. Results highlighted the overall benefits of both the GLOBAL direct data assimilation in open water and the increased horizontal resolution of IBI in coastal areas. Besides, IBI (Iberia-Biscay-Ireland) proved to capture shelf dynamics by better representing the horizontal extent and strength of a river freshwater plume, according to the results derived from the validation against in situ observations from a buoy moored in NW Spain. Secondly, a multi-model inter-comparison exercise for 2017 was performed in the Strait of Gibraltar among GLOBAL, IBI, and SAMPA (Sánchez-Garrido et al., 2013) high-resolution coastal forecast systems (partially nested to IBI) in order to elucidate the accuracy of each system to characterize the Atlantic Jet (AJ) inflow dynamics. A quantitative validation against hourly currents from high-frequency radar (HFR) highlighted both the steady improvement in AJ representation in terms of speed and direction when zooming from global to coastal scales through a multi-nesting model approach and also the relevance of a variety of factors at local scale such as a refined horizontal resolution, a tailored bathymetry, and a higher spatio-temporal resolution of the atmospheric forcing. The ability of each model to reproduce a 2d quasi-permanent full reversal of the AJ surface inflow was examined in terms of wind-induced circulation patterns. SAMPA appeared to better reproduce the reversal events detected with HFR estimations, demonstrating the added value of imposing accurate meteorologically driven barotropic velocities in the open boundaries (imported from the NIVMAR (Álvarez-Fanjul et al., 2001) storm surge model) to take into account the remote effect of the atmospheric forcing over the entire Mediterranean basin, which was only partially included in IBI and GLOBAL systems. Finally, SAMPA coastal model outputs were also qualitatively analysed in the western Alboran Sea to put in a broader perspective the context of the onset, development, and end of such flow reversal episodes. © 2019 Author(s).</t>
  </si>
  <si>
    <t>2-s2.0-85069754415"</t>
  </si>
  <si>
    <t>10.2166/nh.2019.088</t>
  </si>
  <si>
    <t>https://www.scopus.com/inward/record.uri?eid=2-s2.0-85069650482&amp;doi=10.2166%2fnh.2019.088&amp;partnerID=40&amp;md5=203d33f1876d64a0cdcb6b71b0d78321</t>
  </si>
  <si>
    <t>In this paper, we study uncertainty in estimating extreme floods of the Dongting Lake basin, China. We used three methods, including the Delta, profile likelihood function (PLF), and the Bayesian Markov chain Monte Carlo (MCMC) methods, to calculate confidence intervals of parameters of the generalized extreme value (GEV) distribution and quantiles of extreme floods. The annual maximum flow (AMF) data from four hydrologic stations were selected. Our results show that AMF data from Taoyuan and Xiangtan stations followed the Weibull class distribution, while the data from Shimen and Taojiang stations followed the Fréchet class distribution. The three methods show similar confidence intervals of design floods for short return periods. However, there are large differences between results of the Delta and the other two methods for long return periods. Both PLF and Bayesian MCMC methods have similar confidence intervals to reflect the uncertainty of design floods. However, because the PLF method is quite burdensome in computation, the Bayesian MCMC method is more suitable for practical use. © IWA Publishing 2019.</t>
  </si>
  <si>
    <t>2-s2.0-85069650482"</t>
  </si>
  <si>
    <t>10.1002/joc.6096</t>
  </si>
  <si>
    <t>https://www.scopus.com/inward/record.uri?eid=2-s2.0-85065526830&amp;doi=10.1002%2fjoc.6096&amp;partnerID=40&amp;md5=2752f9e171be9a90b65fbc4f2e30abe1</t>
  </si>
  <si>
    <t>Future changes in wave climate will influence the marine ecosystem, coastal erosion, design of coastal defences, operation of near- and off-shore structures, and coastal zone management policies and may further add to the potential vulnerabilities of coastal regions to projected sea level rise. Many studies have reported changes in the global wave characteristics under climate change scenarios, but it is important to project future changes in local/regional wave climate for smooth implementation of policies and preventing severe coastal erosion and flooding. In this study the regional wave climate along the Indian coast for two time slices, 2011–2040 and 2041–2070, is reported using an ensemble of near-surface winds generated by four different CMIP5 general circulation models (GCMs), under RCP4.5 scenario. Comparison of the wave climate for the two time slices shows an increase in wave heights and periods along much of the Indian coast, with the maximum wave heights increasing by more than 30% in some locations. An important finding is that at most locations along the east coast, wave periods are expected to increase by almost 20%, whereas along the west coast an increase of around 10% is expected. This will alter the distribution of wave energy at the shoreline through changes in wave refraction and diffraction, with potential implications for the performance and design of coastal structures and swash-aligned beaches. Furthermore, the computations show material changes in the directional distribution of waves. This is particularly important in determining the longshore transport of sediments and can lead to realignment of drift-aligned beaches, manifesting itself as erosion and/or siltation problems. This study is a preliminary contribution towards regional climate projections for the Indian Ocean region which are needed to plan and mitigate the impacts of future climate change. © 2019 The Authors. International Journal of Climatology published by John Wiley &amp; Sons Ltd on behalf of the Royal Meteorological Society.</t>
  </si>
  <si>
    <t>2-s2.0-85065526830"</t>
  </si>
  <si>
    <t>10.5194/nhess-19-1415-2019</t>
  </si>
  <si>
    <t>https://www.scopus.com/inward/record.uri?eid=2-s2.0-85070240161&amp;doi=10.5194%2fnhess-19-1415-2019&amp;partnerID=40&amp;md5=f6d5967e4f54eed28af0ee13565d8430</t>
  </si>
  <si>
    <t>Extreme water levels generating flooding in estuarine and coastal environments are often driven by compound events, where many individual processes such as waves, storm surge, streamflow, and tides coincide. Despite this, extreme water levels are typically modeled in isolated open-coast or estuarine environments, potentially mischaracterizing the true risk of flooding facing coastal communities. This paper explores the variability of extreme water levels near the tribal community of La Push, within the Quileute Indian Reservation on the Washington state coast, where a river signal is apparent in tide gauge measurements during high-discharge events. To estimate the influence of multiple forcings on high water levels a hybrid modeling framework is developed, where probabilistic simulations of joint still water level and river discharge occurrences are merged with a hydraulic model that simulates along-river water levels. This methodology produces along-river water levels from thousands of combinations of events not necessarily captured in the observational records. We show that the 100-year still water level event and the 100-year discharge event do not always produce the 100-year along-river water level. Furthermore, along specific sections of river, both still water level and discharge are necessary for producing the 100-year along-river water level. Understanding the relative forcing driving extreme water levels along an ocean-to-river gradient will help communities within inlets better understand their risk to the compounding impacts of various environmental forcing, which is important for increasing their resilience to future flooding events. © 2019 Author(s).</t>
  </si>
  <si>
    <t>2-s2.0-85070240161"</t>
  </si>
  <si>
    <t>10.1007/s11852-019-00690-2</t>
  </si>
  <si>
    <t>https://www.scopus.com/inward/record.uri?eid=2-s2.0-85069542377&amp;doi=10.1007%2fs11852-019-00690-2&amp;partnerID=40&amp;md5=a06f4b6675319a162029333bbd6b3719</t>
  </si>
  <si>
    <t>When conducting ecological research on tidal mudflats, understanding how long any given area is underwater is vitally important. This paper describes a method for calculating the percent inundation time for a single tidal cycle (neap to spring tide) within a GIS environment. The primary variable is elevation, thus, having an accurate digital elevation model (DEM) is critical. Output from the model can then be integrated into existing biological databases to help interpret and understand the ecology of tidal mudflats. © 2019, Springer Nature B.V.</t>
  </si>
  <si>
    <t>2-s2.0-85069542377"</t>
  </si>
  <si>
    <t>10.2112/SI91-077.1</t>
  </si>
  <si>
    <t>https://www.scopus.com/inward/record.uri?eid=2-s2.0-85097222180&amp;doi=10.2112%2fSI91-077.1&amp;partnerID=40&amp;md5=ef1570ffbe36e9ed5f3b9860afce6f04</t>
  </si>
  <si>
    <t>Typhoon Maemi, which landed in the coastal area of Masan City on September 12, 2003, was the largest coastal disaster in Korea. Typhoon surges can cause extreme flood damage when they overlap with high tides. In this study, the maximum flooding zone according to the highest tide was calculated and the accuracy of the flooding model was analyzed by comparing it with the actual flooding zone in the Masan Bay area. A GIS-based hydrologic model for flood forecasting can complement the disadvantages of complex multidimensional flood damage estimation in which data acquisition and processing are complicated. It is important to establish a method to minimize damage by developing a more accurate damage simulation model. It is necessary to utilize data such as high-resolution satellite images and LiDAR for accurate analysis data considering the topographical characteristics of typhoon surge flood areas in the future. © 2019 Coastal Education Research Foundation Inc.. All rights reserved.</t>
  </si>
  <si>
    <t>2-s2.0-85097222180"</t>
  </si>
  <si>
    <t>Journal of Degraded and Mining Lands Management</t>
  </si>
  <si>
    <t>10.15243/jdmlm.2019.064.1907</t>
  </si>
  <si>
    <t>https://www.scopus.com/inward/record.uri?eid=2-s2.0-85083640303&amp;doi=10.15243%2fjdmlm.2019.064.1907&amp;partnerID=40&amp;md5=d09e586b3aaa3af6ec0ef0d931f33838</t>
  </si>
  <si>
    <t>Rangsang Island is home to more than 48,000 residents. Climate change has been a critical issue to the Island and threatened the existence of the inhabitants. This study is proposed to identify the zone of the coastal area of Rangsang Island which is vulnerable to climate change. By mapping coastal vulnerability index (CVI) of the island, it is expected to be a reference of local government in planning their spatial management. The method of this study was by a direct survey for collecting data of geomorphology, beach elevation, sea level rise, tidal fluctuation, significant wave height, and changes in the coastline. To determine CVI, each parameter is divided into 5 categories and given a value level: 1 for very not vulnerable, 2 for not vulnerable, 3 for moderate, 4 for vulnerable, and 5 for very vulnerable. The results show that most villages on the island are classified as highly vulnerable to climate change, namely 9 villages. Even 2 villages are threatened very high risk because the village has CVI more than 12.5. Only 6 villages whose territory has moderate vulnerability index. Vulnerability level of coastal Rangsang Island is strongly influenced by geomorphological variable and coastal elevation. In addition, the variable coastline changes and sea level rise also contributed to the vulnerability index of the Island. © 2019 Journal of Degraded and Mining Lands Management. All Rights Reserved.</t>
  </si>
  <si>
    <t>2-s2.0-85083640303"</t>
  </si>
  <si>
    <t>10.2112/SI91-006.1</t>
  </si>
  <si>
    <t>https://www.scopus.com/inward/record.uri?eid=2-s2.0-85097215373&amp;doi=10.2112%2fSI91-006.1&amp;partnerID=40&amp;md5=345095d91106adbfaf23e4ac88aabdb8</t>
  </si>
  <si>
    <t>On the East coast of South Korea, there is only a small significant difference between low and high tides, meaning that seasonal wave directions appear clearly in recorded data. During summer, southeasterly waves dominate, and northward longshore drift occurs. In addition, the southward transport of littoral sediment occurs under the northeasterly waves that are dominant during winter. However, recent changes in the coastal environment, due to the development of coastal flooding prevention facilities, harbor development projects, and unusual weather conditions, have shown a tendency to increase the erosion of coastal areas. In other words, there is a repeating cycle of positive feedback, in which structures introduced to prevent a certain kind of coastal erosion cause different kinds of coastal erosion. In this study, we used field survey data to analyze the behavioral characteristics of the Gangmun and Anmok beaches for a period of seven years. The results show that the Gangmun and the Anmok beaches are very vulnerable to the effects of artificial constructs. Coastal erosion on Gangmun beach occurred through northward sediment transportation, caused by a dike that was built to avoid the closure of the mouth of Gyungpo stream. After an artificial reef and the groin were constructed to solve this erosion problem, the coastline stabilized. In the case of the Anmok beach, an imbalance in the sand budget supplied from the Namdae stream was brought about by the expansion of the Gangneung harbor, leading to significant beach erosion. After artificial reefs were installed on both beaches to prevent erosion, the area of each beach was increased and each beach's status was stabilized, as a salient beach. © 2019 Coastal Education Research Foundation Inc.. All rights reserved.</t>
  </si>
  <si>
    <t>2-s2.0-85097215373"</t>
  </si>
  <si>
    <t>10.3390/rs11131585</t>
  </si>
  <si>
    <t>https://www.scopus.com/inward/record.uri?eid=2-s2.0-85068515488&amp;doi=10.3390%2frs11131585&amp;partnerID=40&amp;md5=dad3c8080939e4ffa84e02bab35dbca7</t>
  </si>
  <si>
    <t>The real-time flood inundation extent plays an important role in flood disaster preparation and reduction. To date, many approaches have been developed for determining the flood extent, such as hydrodynamic models, digital elevation model-based (DEM-based) methods, and remote sensing methods. However, hydrodynamic methods are time consuming when applied to large floodplains, high-resolution DEMs are not always available, and remote sensing imagery cannot be used alone to predict inundation. In this article, a new model for the highly accurate and rapid simulation of floodplains, called ""RFim"" (real-time inundation model), is proposed to simulate the real-time flooded area. The model combines remote sensing images with in situ data to find the relationship between the inundation extent and water level. The new approach takes advantage of remote sensing images, which have wide spatial coverage and high resolution, and in situ observations, which have continuous temporal coverage and are easily accessible. This approach has been applied in the study area of East Dongting Lake, representing a large floodplain, for inundation simulation at a 30 m resolution. Compared with the submerged extent from observations, the accuracy of the simulation could be more than 90% (the lowest is 93%, and the highest is 96%). Hence, the approach proposed in this study is reliable for predicting the flood extent. Moreover, an inundation simulation for all of 2013 was performed with daily water level observation data. With an increasing number of Earth observation satellites operating in space and high-resolution mappers deployed on satellites, it will be much easier to acquire large quantities of images with very high resolutions. Therefore, the use of RFim to perform inundation simulations with high accuracy and high spatial resolutions in the future is promising because the simulation model is built on remote sensing imagery and gauging station data. © 2019 by the authors.</t>
  </si>
  <si>
    <t>2-s2.0-85068515488"</t>
  </si>
  <si>
    <t>10.1007/s11069-019-03720-2</t>
  </si>
  <si>
    <t>https://www.scopus.com/inward/record.uri?eid=2-s2.0-85071226273&amp;doi=10.1007%2fs11069-019-03720-2&amp;partnerID=40&amp;md5=40c34fa20c938f1c92c7b89fbd6d2e92</t>
  </si>
  <si>
    <t>Flooding disasters are frequent and devastating events in Trinidad. Moderate amounts of precipitation burst riverbanks in central business districts, cities, and towns within the country. These burst riverbanks result in flooding disasters that negatively impact the economic, social, and physical environmental facets of development in this small island developing state. As the severity and frequency of flooding disasters increase, there is a greater need to increase Trinidad’s risk reduction initiatives towards the flood risk. With the continued shrinking of Trinidad’s economy, there is an absence of sustainable disaster reduction initiatives. Therefore, every dollar that is spent on the implementation of disaster risk reduction initiatives should be efficient, effective, and sustainable. Flood risk models play a fundamental role in the implementation of efficient, effective, and sustainable disaster risk reduction initiatives. Most flood risk models primarily utilize quantitative methods in their analysis. The goal of efficient, effective, and comprehensive disaster risk reduction initiatives, however, may not be achievable through the sole use of quantitative methods since most formulae are unable to embody the social, psychological, or cultural components of risk. A more effective approach is to broaden the analysis process by integrating qualitative indigenous knowledge with quantitative methods. This research sought to present a methodology that integrates qualitative information and quantitative geomatic methods to create a comprehensive flood assessment method. Results indicate that this integration can positively influence risk modelling since pertinent information concerning potential risks, excluded by past statistical summaries, can now be included, analysed, and modelled. © 2019, Springer Nature B.V.</t>
  </si>
  <si>
    <t>2-s2.0-85071226273"</t>
  </si>
  <si>
    <t>10.1016/j.jag.2019.04.011</t>
  </si>
  <si>
    <t>https://www.scopus.com/inward/record.uri?eid=2-s2.0-85075197304&amp;doi=10.1016%2fj.jag.2019.04.011&amp;partnerID=40&amp;md5=39ebbbe342b49ebb88c23727e1676d02</t>
  </si>
  <si>
    <t>In this paper, we present a methodology to map inland water in tropical areas under dense vegetation at high spatial and temporal resolution using multi-source remote sensing data. A new inundation product (SWAF-HR) is presented. It is characterized by a high spatial resolution (30′, 1 km) and high temporal resolution (3 days). The SWAF-HR product is estimated over the Amazon basin for the 2010–2016 period. It is based on a downscaling procedure and the synergistic use of: (1) water surface fraction at coarse spatial resolution from an L-band passive microwave sensor (Soil Moisture and Ocean Salinity – SMOS), (2) Global Surface Water Occurrence from Landsat (GSWO) and (3) the Digital Elevation Model (DEM) Multi-Error-Removed-Improved-Terrain (MERIT) based on the Shuttle Radar Topography Mission (SRTM). Thanks to the high capability of L-band microwave emission to reveal surface water under all-weather conditions and beneath the vegetation, the inundated area extent estimated by the SWAF-HR product is always larger than GSWO estimates obtained by the optical sensor (Landsat). SWAF-HR data is compared to ESA CCI and IGBP land covers, two SAR images and flooded areas over the Purus basin computed by the MGB-IPH model simulation. The results show the coherence of spatial and temporal dynamics of the SWAF-HR data. We show that the flooded area of the Branco River floodplain in Roraima (Brazil) varies from 0.2 × 104 to 2.7 × 104 km2 whereas the extent of the Bolivian floodplain (Llanos de Moxos) inundation ranges between 0.8 × 104 and 8.1 × 104 km2 during 2010–2016. The flooded area in the Branco floodplain gradually decreased from 2010 to 2015 but in 2016, the flooded area has increased during the rainy season. During 2010–2016, the minimum of the inundated surface extent was reached during 2015–2016 reflecting to a drought event related to ENSO. The most important uncertainties of the DEM are located over tropical areas but this information is essential in the downscaling procedure. Therefore, we investigate the impact of the choice of the DEM for the downscaling procedure. It is found that the choice of the DEM introduces 5% of error in the instantaneous water surface extent estimate but can reach up to 10% in the flood probability estimations over seven years. This new SWAF-HR product will be helpful for the understanding of the water, carbon and biogeochemical cycles of the Amazon. © 2019 Elsevier B.V.</t>
  </si>
  <si>
    <t>2-s2.0-85075197304"</t>
  </si>
  <si>
    <t>10.1371/journal.pone.0218558</t>
  </si>
  <si>
    <t>https://www.scopus.com/inward/record.uri?eid=2-s2.0-85070696867&amp;doi=10.1371%2fjournal.pone.0218558&amp;partnerID=40&amp;md5=0fee1ed843674b0ad2261b511d046102</t>
  </si>
  <si>
    <t>Effective conservation and restoration of estuarine wetlands require accurate maps of their historical and current extent, as well as estimated losses of these valued habitats. Existing coast-wide tidal wetland mapping does not explicitly map historical tidal wetlands that are now disconnected from the tides, which represent restoration opportunities</t>
  </si>
  <si>
    <t>10.1016/j.scitotenv.2019.04.308</t>
  </si>
  <si>
    <t>https://www.scopus.com/inward/record.uri?eid=2-s2.0-85065248538&amp;doi=10.1016%2fj.scitotenv.2019.04.308&amp;partnerID=40&amp;md5=036639676dfb0ddad8f27b7e6ccede45</t>
  </si>
  <si>
    <t>Sea level rise and uncertainty in its projections pose a major challenge to flood risk management and adaptation investments in coastal mega cities. This study presents a comparative economic evaluation method for flood adaptation measures, which couples a cost–benefit analysis with the concept of adaptation pathways. Our approach accounts for uncertainty in sea level rise projections by allowing for flexibility of adaptation strategies over time. Our method is illustrated for Los Angeles County which is vulnerable to flooding and sea level rise. Results for different sea level rise scenarios show that applying adaptation pathways can result in higher economic efficiency (up to 10%)than individual adaptation strategies, despite the loss of efficiency at the initial strategy. However, we identified ‘investment tipping points’, after which a transition could decrease the economic efficiencies of a pathway significantly. Overall, we recommend that studies evaluating adaptation strategies should integrate cost–benefit analysis frameworks with adaptation pathways since this allows for better informing decision makers about the robustness and economic desirability of their investment choices. © 2019 The Authors</t>
  </si>
  <si>
    <t>2-s2.0-85065248538"</t>
  </si>
  <si>
    <t>10.2112/SI91-090.1</t>
  </si>
  <si>
    <t>https://www.scopus.com/inward/record.uri?eid=2-s2.0-85092700958&amp;doi=10.2112%2fSI91-090.1&amp;partnerID=40&amp;md5=3b7c163f466b78019f88fea0ab61ada7</t>
  </si>
  <si>
    <t>The impacts of global warming and climate change are becoming increasingly severe worldwide and associated coastal flooding is damaging infrastructure and causing human casualties. In this study, we simulated the impacts of sea level rise and storm surge obtained from geographic and past typhoon data (obtained from the National Geographic Information Institute and the Meteorological Administration and National Oceanographic Research Institute) to predict flooding in Yeosu, Korea. Digital surface models were generated from airborne laser scanning to accurately simulate the effect of flooding, and we identified areas and infrastructure at high risk from future flood damage using the predicted significant wave height rise and a region-growing algorithm. Finally, the need to develop a regional disaster plan in response to climate change is proposed. © 2019 Coastal Education Research Foundation Inc.. All rights reserved.</t>
  </si>
  <si>
    <t>2-s2.0-85092700958"</t>
  </si>
  <si>
    <t>10.1016/j.envsoft.2019.06.011</t>
  </si>
  <si>
    <t>https://www.scopus.com/inward/record.uri?eid=2-s2.0-85068475009&amp;doi=10.1016%2fj.envsoft.2019.06.011&amp;partnerID=40&amp;md5=6e0e8133bb65b8d83aa9c30d037803e5</t>
  </si>
  <si>
    <t>Managing coastal flood risks involves selecting a portfolio of different strategies. Analyzing this choice typically requires a model. State-of-the-art coastal risk models provide detailed regional information, but they can be difficult to implement, computationally challenging, and potentially inaccessible. Simple economic damage models are more accessible but may not incorporate important features and thus fail to model risks and trade offs with enough fidelity to support decision making. Here, we develop a new framework to analyze coastal flood risk management. The framework is computationally inexpensive yet incorporates common features of many coastal cities. We apply this framework to an idealized coastal city and assess and optimize two objectives using combinations of risk mitigation strategies against a wide range of future states of the world. We find that optimization using combinations of strategies allows for identification of Pareto optimal strategy combinations that outperform individual strategy options. © 2019</t>
  </si>
  <si>
    <t>2-s2.0-85068475009"</t>
  </si>
  <si>
    <t>10.1029/2018JF004996</t>
  </si>
  <si>
    <t>https://www.scopus.com/inward/record.uri?eid=2-s2.0-85070835889&amp;doi=10.1029%2f2018JF004996&amp;partnerID=40&amp;md5=ae408e9c2c5a580c78fb763953c830cd</t>
  </si>
  <si>
    <t>We examine variations in discharge exchange between two parallel, 1- to 2-km-wide tidal channels (the Shibsa and the Pussur) in southwestern Bangladesh over spring-neap, and historical timescales. Our objective is to evaluate how large-scale, interconnected tidal channel networks respond to anthropogenic perturbation. The study area spans the boundary between the pristine Sundarbans Reserved Forest, where regular inundation of the intertidal platform maintains the fluvially abandoned delta plain, and the anthropogenically modified region to the north, where earthen embankments sequester large areas of formerly intertidal landscape. Estimates of tidal response to the embankment-driven reduction in basin volume, and hence tidal prism, predict a corresponding decrease in size of the mainstem Shibsa channel, yet the Shibsa is widening and locally scouring even as the interconnected Pussur channel faces rapid shoaling. Rather, the Shibsa has maintained or even increased its pre-polder tidal prism by capturing a large portion of the Pussur's basin via several “transverse” channels that are themselves widening and deepening. We propose that an enhanced tidal setup in the Pussur and the elimination of an effective Shibsa-Pussur flow barrier are driving this basin capture event. These results illustrate previously unrecognized channel interactions and emphasize the importance of flow reorganization in response to perturbations of interconnected, multichannel tidal networks that characterize several large tidal delta plains worldwide. ©2019. American Geophysical Union. All Rights Reserved.</t>
  </si>
  <si>
    <t>2-s2.0-85070835889"</t>
  </si>
  <si>
    <t>10.5194/nhess-19-1167-2019</t>
  </si>
  <si>
    <t>https://www.scopus.com/inward/record.uri?eid=2-s2.0-85067521892&amp;doi=10.5194%2fnhess-19-1167-2019&amp;partnerID=40&amp;md5=7d0bb155732dce5590e50ec31b9c5a67</t>
  </si>
  <si>
    <t>Adapting densely populated deltas to the combined impacts of climate change and socioeconomic developments presents a major challenge for their sustainable development in the 21st century. Decisions for the adaptations require an overview of cost and benefits and the number of stakeholders involved, which can be used in stakeholder discussions. Therefore, we quantified the trade-offs of common measures to compensate for an increase in discharge and sea level rise on the basis of relevant, but inexhaustive, quantitative variables. We modeled the largest delta distributary of the Rhine River with adaptation scenarios driven by (1) the choice of seven measures, (2) the areas owned by the two largest stakeholders (LS) versus all stakeholders (AS) based on a priori stakeholder preferences, and (3) the ecological or hydraulic design principle. We evaluated measures by their efficiency in flood hazard reduction, potential biodiversity, number of stakeholders as a proxy for governance complexity, and measure implementation cost. We found that only floodplain lowering over the whole study area can offset the altered hydrodynamic boundary conditions</t>
  </si>
  <si>
    <t>Ecological Restoration</t>
  </si>
  <si>
    <t>10.3368/er.37.3.171</t>
  </si>
  <si>
    <t>https://www.scopus.com/inward/record.uri?eid=2-s2.0-85070674340&amp;doi=10.3368%2fer.37.3.171&amp;partnerID=40&amp;md5=ef2c15607945a44bff326ffa36712e44</t>
  </si>
  <si>
    <t>Climate change will greatly impact infrastructure and natural resources in low-lying coastal zones. Kennedy Space Center (KSC) encompasses 57,000 hectares on a barrier island that is at high risk of erosion and flooding resulting from natural processes and climate change. In 2010 and 2013/2014, the National Aeronautics and Space Administration (NASA) implemented an adaptive management strategy to address the impact of increasing erosion on KSC. Two dunes totaling 1.7 kilometers in length were created to allow the shoreline to move landward slowly (i.e., managed retreat). The primary reason for building the dunes was to protect valuable national assets, but it was also anticipated that the dunes would provide habitat for wildlife. Post-construction monitoring efforts focused on vegetation and two protected species, Gopherus polyphemus (gopher tortoises) and Peromyscus polionotus niveiventris (southeastern beach mice). After five years of data collection, we found that desired species of vegetation proliferated and non-native species decreased over time. Numbers of G. polyphemus and their burrows increased steadily. P. polionotus niveiventris began using the dunes soon after they were planted and remained resident, based on trapping and radiotracking information. The created dunes have subsequently withstood two hurricanes and exhibited much less damage than the adjacent natural dunes. The use of green infrastructure appears to be effective for the simultaneous protection of NASA assets and conservation of important wildlife habitat. This adaptive management strategy using a managed retreat approach is a positive step toward addressing the uncertainty and variability of conditions associated with climate change and sea level rise. © 2019 by the Board of Regents of the University of Wisconsin System.</t>
  </si>
  <si>
    <t>2-s2.0-85070674340"</t>
  </si>
  <si>
    <t>10.1002/qj.3544</t>
  </si>
  <si>
    <t>https://www.scopus.com/inward/record.uri?eid=2-s2.0-85065785084&amp;doi=10.1002%2fqj.3544&amp;partnerID=40&amp;md5=596c1b94f7660de30fb4de415ba6f88c</t>
  </si>
  <si>
    <t>In this research we present a modelling study of storm surges influenced by pre-existing seiches in the Adriatic Sea. The natural oscillation modes – seiches – of the Adriatic Sea can be easily excited by wind, due to the particular marine bathymetry and coastal orography. Moreover, such oscillations can interact with newer wind-induced storm surges or with other sea-level components. This paper first considers modelling issues in the seiche reproduction, using a simplified approach, and then analyses the reproduction with the model of two extreme storm surge events, influenced by pre-existing seiches. In order to investigate the impact of assimilating sea level data, these events are simulated without and with a data assimilation system, based on an Ensemble Kalman Filter. Results show that, while the formulation of the bottom shear stress does not influence the seiche period, the seiche decay time is correctly estimated with a hybrid linear-quadratic formulation. We found also that non-linear interactions of bottom currents, caused by different sea level components, can modify the decay time. However, the two events are poorly reproduced by the model, even with a correct modelling set-up, because of wind deficiencies. Therefore we considered the issue and found that the assimilation of tide-gauge residual sea level has a strong positive impact, lasting several days, despite the errors in the atmospheric forcing. This is mainly due to the persistence of the seiche oscillations in the Adriatic Sea. © 2019 Royal Meteorological Society</t>
  </si>
  <si>
    <t>2-s2.0-85065785084"</t>
  </si>
  <si>
    <t>10.3390/hydrology6030076</t>
  </si>
  <si>
    <t>https://www.scopus.com/inward/record.uri?eid=2-s2.0-85077166651&amp;doi=10.3390%2fhydrology6030076&amp;partnerID=40&amp;md5=5a31c8165c0012a7d009a58342e304a7</t>
  </si>
  <si>
    <t>Each year, many African countries experience natural hazards such as floods and, because of their low adaptative capabilities, they hardly have the means to face the consequences, and therefore suffer huge economic losses. Extreme rainfall plays a key role in the occurrence of these hazards. Therefore, climate projection studies should focus more on extremes in order to provide a wider range of future scenarios of extremes which can aid policy decision making in African societies. Some researchers have attempted to analyze climate extremes through indices reflecting extremes in climate variables such as rainfall. However, it is difficult to assess impacts on streamflow based on these indices alone, as most hydrological models require daily data as inputs. Others have analyzed climate projections through general circulation models (GCMs) but have found their resolution too coarse for regional studies. Dynamic downscaling using regional climate models (RCMs) seem to address the limitation of GCMs, although RCMs might still lack accuracy due to the fact that they also contain biases that need to be eliminated. Given these limitations, the current study combined both dynamic and statistical downscaling methods to correct biases and improve the reproduction of high extremes by the models. This study's aim was to analyze extreme high flows under the projection of extreme wet rainfall for the horizon of 2041 of a Kenyan South Coast catchment. The advanced delta change (ADC) method was applied on observed data (1982-2005), control (1982-2005) and near future (2018-2041) from an ensemble mean of multiple regional climate models (RCMs). The created future daily rainfall time series was introduced in the HEC-HMS (Hydrologic Engineering Center's Hydrologic Modeling System) hydrological model and the generated future flow were compared to the baseline flow at the gaging station 3KD06, where the observed flow was available. The findings suggested that in the study area, the RCMs, bias corrected by the ADC method, projected an increase in rainfall wet extremes in the first rainy season of the year MAMJ (March-April-May-June) and a decrease in the second rainy season OND (October-November-December). The changes in rainfall extremes, induced a similar change pattern in streamflow extremes at the gaging station 3KD06, meaning that an increase/decrease in rainfall extremes generated an increase/decrease in the streamflow extremes. Due to lack of long-term good quality data, the researchers decided to perform a frequency analysis for up to a 50 year return period in order to assess the changes induced by the ADC method. After getting a longer data series, further analysis could be done to forecast the maximum flow to up to 1000 years, which could serve as design flow for different infrastructure. © 2019 by the authors.</t>
  </si>
  <si>
    <t>2-s2.0-85077166651"</t>
  </si>
  <si>
    <t>10.1007/s00024-019-02180-w</t>
  </si>
  <si>
    <t>https://www.scopus.com/inward/record.uri?eid=2-s2.0-85068806428&amp;doi=10.1007%2fs00024-019-02180-w&amp;partnerID=40&amp;md5=d7a0a721037bdba6aa06fa9032d35ea9</t>
  </si>
  <si>
    <t>Tsunamigenic earthquakes along the Alaska–Aleutian megathrust pose a major threat to many rural coastal communities in Alaska. To mitigate the impact of tsunamis and minimize loss of life, maximum potential runup and tsunami hazard zones need to be estimated despite a lack of the high-resolution digital elevation models. In this manuscript we present a methodology to approximate tsunami hazard zones in areas with poor topographic and bathymetric coverage. To manage a trade-off between the computational complexity and lack of quality data, we develop three scenario earthquakes with the intention that one of them characterizes impacts of a credible worst-case event. We then apply a safety factor to account for the limited number of considered scenarios and a coarse resolution elevation model used to simulate water dynamics near the community. The developed methodology is illustrated using a case study focused on the community of Adak, in the Andreanof Islands, Alaska. To validate the proposed method, we explore sensitivity of tsunami height with respect to the coseismic slip distribution and develop a comprehensive set of credible worst-case scenarios for the community. The tsunami hazard zone, developed with the use of the safety factor, is validated against high-resolution modeling of potential inundation according to the set of worst-case scenarios in a number of other coastal communities. © 2019, Springer Nature Switzerland AG.</t>
  </si>
  <si>
    <t>2-s2.0-85068806428"</t>
  </si>
  <si>
    <t>10.1016/j.gloplacha.2019.05.004</t>
  </si>
  <si>
    <t>https://www.scopus.com/inward/record.uri?eid=2-s2.0-85067291220&amp;doi=10.1016%2fj.gloplacha.2019.05.004&amp;partnerID=40&amp;md5=9a678eb7be5504225670e160ba2f1348</t>
  </si>
  <si>
    <t>The paper concerns ice dams and glacial lake outburst floods (GLOFs) in the Karakoram. Some 146 events are identified, including 30 major disasters. Large downstream populations and major infrastructure are threatened. Risk factors differ from recent reports of other Himalayan GLOFs associated with glacier recession and global warming. Ice dams are largely or entirely active ice, put in place by advancing glaciers. Climate change is a factor, but the ice cover in the Karakoram has been sustained, and even some increase in mass. Surge-type glaciers comprise or affect~70% of our inventory. The most frequent, large GLOFs come from local clusters of glaciers in five sub-basins, given special attention here. In four there were new ice dams formed since 2008 and two generated dangerous GLOFs. An urgent need arises to track short-term ice and lake behavior and how surge dynamics may be involved. Satellite images and DEMs are employed in cross-correlation feature tracking and elevation change respectively. The glaciers of interest all exhibit irregular movement, including recent advances, but with great variability and no clear relation to climatic fluctuations. © 2019 Elsevier B.V.</t>
  </si>
  <si>
    <t>2-s2.0-85067291220"</t>
  </si>
  <si>
    <t>Wildlife Society Bulletin</t>
  </si>
  <si>
    <t>10.1002/wsb.1008</t>
  </si>
  <si>
    <t>https://www.scopus.com/inward/record.uri?eid=2-s2.0-85072010303&amp;doi=10.1002%2fwsb.1008&amp;partnerID=40&amp;md5=8881648078a1ea1253c4726fc9b20728</t>
  </si>
  <si>
    <t>Although bottomland hardwood forests in southeastern United States are among the most productive ecosystems in North America, indigenous flora, wildlife, and system dynamics have been altered and affected by natural and anthropogenic effects. Historic spatio-temporal dynamic flooding in hardwood bottomlands caused managers to create green-tree reservoirs (GTR</t>
  </si>
  <si>
    <t>Journal of Asian Earth Sciences</t>
  </si>
  <si>
    <t>10.1016/j.jseaes.2019.103897</t>
  </si>
  <si>
    <t>https://www.scopus.com/inward/record.uri?eid=2-s2.0-85068395944&amp;doi=10.1016%2fj.jseaes.2019.103897&amp;partnerID=40&amp;md5=0d615df1aa6765c7844bbe84b428e133</t>
  </si>
  <si>
    <t>Drilling cores from the Hangjiahu Coastal plain in the southwestern corner of the Southern Yangtze River deltaic plain, East China, contain a variety of soft-sediment deformation structures in the Late Pleistocene lacustrine and tidal sediments. They include load-flame structures, ball-and-pillow structures, diapir structures, liquefied sand veins, liquefied breccias, syn-sedimentary fault, seismo-cracks and brittle breccias. Sedimentary facies assessment of host deposits and development features rule out an exogenic origin of the soft-sediment deformation structures, such as gravity-flow, storm activity, wave action or flood. These soft-sediment deformation structures in the study area are interpreted as seismites, their spatial distribution suggest that the earthquakes were sourced from the intersection of the Majin-Wuzhen Fault and the Huzhou-Jiashan Fault. Seismites recognized in cores indicate three episodes of short and sudden seismicity (magnitude &gt; 5), which are interpreted as a response to syn-depositional tectonic activity and differential subsidence of the Taihu block during the Late Pleistocene period. Systematic study of spatial and temporal distribution of these seismites improves the understanding of the tectonic context and evolutionary history of sedimentary basement. © 2019 Elsevier Ltd</t>
  </si>
  <si>
    <t>2-s2.0-85068395944"</t>
  </si>
  <si>
    <t>10.1007/s00024-019-02123-5</t>
  </si>
  <si>
    <t>https://www.scopus.com/inward/record.uri?eid=2-s2.0-85065098056&amp;doi=10.1007%2fs00024-019-02123-5&amp;partnerID=40&amp;md5=b137433e27e09951e313d743ab0cb2b8</t>
  </si>
  <si>
    <t>On June 17 2017, the western coast of Greenland was the site of a tsunami which flooded several villages, killing 4 people and destroying 11 houses in the village of Nuugaatsiaq. This tsunami was triggered by a subaerial landslide which occurred in a fjord 32 km ENE of Nuugaatsiaq. This paper presents the numerical modeling of this landslide of ∼ 50 million m 3 and of the tsunami propagation from its source to Nuugaatsiaq. The landslide is considered as a granular flow under gravity forces and the water waves generated are related to the displacement of the sea bottom. The results obtained are similar in amplitude to our inferences from videos, i.e., three water waves between 1 and 1.5 m arriving at Nuugaatsiaq with a period of roughly 3 min, and are also in general agreement with the amplitude (1 m) resulting from deconvolution of oscillations recorded on a horizontal seismogram operating at Nuugaatsiaq (NUUG). According to the field survey performed by Fritz et al. (EGU General Assembly Conference Abstracts, Vol. 20 of EGU General Assembly Conference Abstracts, p 18345, 2018a) on July 2017, a second mass next to the landslide is threatening Karrat Fjord. A sensitivity study is realized on its volume, with 2, 7, 14 and 38 million m 3 reaching the sea. The shape of the water waves is found to be independent of volume, and linearity is observed between the volume and the water wave heights. Finally, the orientation of the slide does not seem to influence either the period or the shape of the generated water waves. © 2019, Springer Nature Switzerland AG.</t>
  </si>
  <si>
    <t>2-s2.0-85065098056"</t>
  </si>
  <si>
    <t>10.2112/JCOASTRES-D-18-00119.1</t>
  </si>
  <si>
    <t>https://www.scopus.com/inward/record.uri?eid=2-s2.0-85068481319&amp;doi=10.2112%2fJCOASTRES-D-18-00119.1&amp;partnerID=40&amp;md5=e3ec78dc8310bcc236565fd626d75b62</t>
  </si>
  <si>
    <t>Future alongshore benthic species shoreline lengths undergoing both sea level rise and relative sea level lowering (postglacial isostatic rebound) where SE Alaska Natives regularly conduct traditional and cultural harvests were approximated. From 30-km radii of six community centers, shorelines were examined by merging relevant portions of the NOAA ShoreZone database (utilizing alongshore bioband length segments as accounting units) with nearshore bathymetry and measures of mean global sea-level rise along with local GPS information of isostatic rebound rate. For this analysis, adjustments for the year 2108 were made by using 9868 alongshore length units (totaling 3466 km), each unit having uniform substrate and biologic type, by conducting geometric analysis of shoreline attributes. Given up to 1.8 m of sea level lowering, up to 30% decreases in estuary shoreline lengths are predicted. Trends, verified with both archeologic and land ownership records, confirm utility of simple geometric-based assessments (bathtub approach), particularly for low-energy bays with minimal stream input and bedrock/sediment–dominated shorelines and sites dominated by either isostatic rebound, sea level rise, or both. Predicted changes have implications for traditional and cultural gathering, food webs, and ocean carbon sequestration rates. For example, greater change in shoreline length segments is predicted for protected low-slope gradient bays and estuaries dominated by eelgrass (Zostera marina) and inferred butter clam (Saxidomus gigantean) habitats than for exposed, rocky, steep-gradient peninsulas with red foliose algae, including dulce (Palmaria sp.) and bull kelp (Nereocystis luetkeana).</t>
  </si>
  <si>
    <t>10.1007/s00024-019-02235-y</t>
  </si>
  <si>
    <t>https://www.scopus.com/inward/record.uri?eid=2-s2.0-85067229036&amp;doi=10.1007%2fs00024-019-02235-y&amp;partnerID=40&amp;md5=4bd6be0fc40c67d3bf4292b20299321e</t>
  </si>
  <si>
    <t>The strike-slip earthquake on 28 September 2018 (Mw 7.5) along the Palu-Koro fault on Sulawesi Island has raised concerns about the potential impact of tsunamis generated by submarine landslides in Palu Bay, Indonesia. The horizontal displacement of the Palu-Koro fault generated landslide tsunamis that covered Palu Bay, creating wave-related hazards along the coastal area. Based on the unusual amount of information on this tsunami, this study investigated possible sources using the available preliminary data. The generation of comparatively small tsunamis by coseismic seafloor deformation is omitted, and only tsunamis generated by submarine/subaerial landslides are analyzed in this study. Two-layer modeling (soil and water) based on the shallow-water equation was used to simulate the tsunami propagation in the bay with severe, moderate, and minor impacts. The accuracy of the model was validated based on the waveform at the Pantoloan tidal gauge and trace data. The tsunami heights from a combination of small to large submarine landslides could reach up to 3.0–7.0 m along the Palu shores. This model focused on studying the effects of the tidal level on coastal inundation in Palu Bay, using the 2018 Palu tsunami event as a benchmark scenario, to demonstrate the capabilities of the model. One result shows that, regardless of the tidal level, the 2018 Palu tsunami, which occurred during high tide, will always result in flooding, with a maximum tsunami height of up to 7.0 m above mean sea level. The main results suggest two causes for this tsunami event: the tsunami source and the topography. First, the model requires one large source at the bay entrance to reproduce the arrival time (approximately 5 min) and the large wave observed at the Pantoloan gauge. To reproduce the later waves, small sources in the bay (S1–S6) and minor large sources (L2 and L3) are needed. Second, the datum correction for the terrain is changed to improve the accuracy of the water level. Additionally, the removal of buildings from the topography is important to achieve highly accurate flow depths and to obtain an inundation area close to the real situation. The impacts along the coastline of Palu Bay from peak waves can be used to identify tsunami hazards in the area in the future. © 2019, Springer Nature Switzerland AG.</t>
  </si>
  <si>
    <t>2-s2.0-85067229036"</t>
  </si>
  <si>
    <t>10.1016/j.envsci.2019.05.024</t>
  </si>
  <si>
    <t>https://www.scopus.com/inward/record.uri?eid=2-s2.0-85066801607&amp;doi=10.1016%2fj.envsci.2019.05.024&amp;partnerID=40&amp;md5=a5fd8d0af834a64a868137a4d9faa7a4</t>
  </si>
  <si>
    <t>As cities around the world experience rapid sea level rise (SLR), institutions and actors classify and measure SLR “risks” through discourse and specifying practices for adaptation. These risk, discourses, and practices occur at multiple scales that are embedded within one another and draw their significance from cross-scalar connections; from global estimates of ocean density and emission scenarios, local design criteria for flood management, networks of tidal gauges, and individual and collective experiences of loss and change. Thus social actors responding to the complex physical challenges posed by climate change across space and time must deal with an inherent politics of building shared understanding and agreeing on (or not) desirable courses of action. These dynamics produce ‘scalar politics,’ i.e. strategies for defining and managing perceived risks at specific scales, resulting in more or less equitable and effective responses to the uneven consequences of SLR. To highlight the scalar politics of knowledge systems in adaptation planning, we present findings from two case studies of the Pacific Islands and coastal areas of Florida, USA. Drawing on our findings, we propose the concept ‘scalar knowledge politics of risk.’ As knowledge claims flow between global, regional, and local decision-making spaces, we identify five scales at which knowledge systems experience friction: 1) construction of the global climate; 2) regional downscaling of climate impacts; 3) local definition of risks; 4) transformation of on-the-ground social-ecological-technical systems and infrastructures; and, 5) evaluation of interventions. Through our case study investigation of the scalar politics of SLR adaptation, we hope to help illuminate and inform strategies to overcome long-standing barriers to effective and inclusive urban adaptation.</t>
  </si>
  <si>
    <t>10.1002/joc.6068</t>
  </si>
  <si>
    <t>https://www.scopus.com/inward/record.uri?eid=2-s2.0-85063381017&amp;doi=10.1002%2fjoc.6068&amp;partnerID=40&amp;md5=844b0989fde8ab30246edb0686d277ee</t>
  </si>
  <si>
    <t>High winds and storm surges associated with torrential rain from tropical cyclones (TCs) cause massive destruction to property and cost the lives of many people. The coastline of the Bay of Bengal (BoB) ranks as one of the most susceptible to storm surges in the world due to low-lying elevation and a high frequency of TC occurrence. This study uses data from 1885 to 2011 and a bivariate statistical copula to describe the relationship and dependency between empirical TC storm surge and reported wind speed before landfall at the BoB. Among the copulas and their families, an Archimedean, Gumbel copula with margins defined by the empirical distributions is specified as the most appropriate choice for the BoB. The model provides return periods for pairs of TC storm surge and 12-hr pre-landfall wind along the BoB coastline. On the shortest timescale, the BoB can expect a TC with 12-hr pre-landfall winds of at least 24 m/s and surge heights of at least 4.0 m, on average, once every 3.9 years. On the other hand, the long-term, worst case scenario suggests the BoB can expect 12-hr pre-landfall winds of 62 m/s and surge heights of at least 8.0 m, on average, once every 311.8 years. Using a copula to model the combined frequency of cyclone wind speeds along with storm surges along the BoB coastline increases the understanding of the dangerous TC characteristics in this region, which can reduce fatalities and monetary losses. © 2019 Royal Meteorological Society</t>
  </si>
  <si>
    <t>2-s2.0-85063381017"</t>
  </si>
  <si>
    <t>10.1029/2018JD029860</t>
  </si>
  <si>
    <t>https://www.scopus.com/inward/record.uri?eid=2-s2.0-85068600176&amp;doi=10.1029%2f2018JD029860&amp;partnerID=40&amp;md5=06937e37417dc1dcac3c854c589ea1c9</t>
  </si>
  <si>
    <t>Atmospheric rivers (ARs) often generate extreme precipitation, with AR temperature strongly influencing hydrologic impacts by altering the timing and magnitude of runoff. Long-term changes in AR temperatures therefore have important implications for regional hydroclimate—especially in locations where a shift to more rain-dominated AR precipitation could affect flood risk and/or water storage in snowpack. In this study, we provide the first climatology of AR temperature across five U.S. West Coast subregions. We then assess trends in landfalling AR temperatures for each subregion from 1980 to 2016 using three reanalysis products. We find AR warming at seasonal and monthly scales. Cool-season warming ranges from 0.69 to 1.65 °C over the study period. We detect monthly scale warming of &gt;2 °C, with the most widespread warming occurring in November and March. To understand the causes of AR warming, we quantify the density of AR tracks from genesis to landfall and analyze along-track AR temperature for each month and landfall region. We investigate three possible influences on AR temperature trends at landfall: along-track temperatures prior to landfall, background temperatures over the landfall region, and AR temperature over the coastal ocean adjacent to the region of landfall. Generally, AR temperatures at landfall more closely match coastal and background temperature trends than along-track AR temperature trends. The seasonal asymmetry of the AR warming and the heterogeneity of influences have important implications for regional water storage and flood risk—demonstrating that changes in AR characteristics are complex and may not be directly inferred from changes in the background climate. ©2019. American Geophysical Union. All Rights Reserved.</t>
  </si>
  <si>
    <t>2-s2.0-85068600176"</t>
  </si>
  <si>
    <t>10.1016/j.geomorph.2019.04.022</t>
  </si>
  <si>
    <t>https://www.scopus.com/inward/record.uri?eid=2-s2.0-85066119698&amp;doi=10.1016%2fj.geomorph.2019.04.022&amp;partnerID=40&amp;md5=70bb8ba212b191037fda7ff256657ab1</t>
  </si>
  <si>
    <t>Drainage network extraction plays an important role in geomorphologic analyses, hydrologic modeling, and non-point source pollutant simulation, among others. Flow enforcement, by imposing information of known river maps to digital elevation models (DEMs), leads to improved drainage network extraction. However, the existing flow enforcement methods (e.g., the elevation-based stream-burning method)have certain limitations, as they may cause unreal longitudinal profiles, lead to unintended topological errors, and even misinterpret the overall drainage patterns. The present study proposes an enhanced flow enforcement method without elevation modification towards an accurate and efficient drainage network extraction. In addition to preserving the Boolean-value information as to whether a DEM pixel belongs to a stream, the proposed method can also well preserve and fully utilize the topological relations among mapped streamlines and morphological information of each mapped streamline. The method involves two important steps: (1)proposal of an improved rasterization algorithm of mapped streamlines to yield continuous, unambiguous, and collision-free raster equivalent of stream vectors for flow enforcement</t>
  </si>
  <si>
    <t>10.1007/s10661-019-7746-z</t>
  </si>
  <si>
    <t>https://www.scopus.com/inward/record.uri?eid=2-s2.0-85071570268&amp;doi=10.1007%2fs10661-019-7746-z&amp;partnerID=40&amp;md5=4cb0cb8e1ad0d5ea1d654a1c9073d053</t>
  </si>
  <si>
    <t>Globally, flood is one of the devastating hydrometeorological disasters, causing human losses and damages to properties and infrastructure. There is a need to determine and geo-visualize flood risk to assist decision-making process for flood risk reduction. The current study is a local level pioneering attempt regarding the spatial appraisal of flood risk assessment and evaluation in Panjkora River Basin, eastern Hindu Kush. An integrated hydro-probabilistic approach is implemented by clubbing the results of Hydrologic Engineering Centre’s River Analysis System (HEC-RAS) and Hydrologic Engineering Centre’s Geographic River Analysis System (HEC-Geo-RAS) in geographic information system (GIS) environment. An Advanced Spaceborne Thermal Emission and Reflection Radiometer (ASTER) Global Digital Elevation Model (GDEM) is used as input data to delineate the target basin and generation of river geometry. Hydraulic and hydrological data were used to estimate and geo-visualize vertical profile and spatial extent of various floods in the active floodplain of Panjkora River. Gumbel’s frequency distribution model is applied in analyzing daily peak discharge recorded during the past 32 years, and 200-year flood magnitude (1392m3/sec), probable inundation (45.5 km2), and vertical profile (19 m) are modeled. Analysis revealed that likelihood of such flood has increased the risk of potential damages to roads (46 km), retaining walls (49 km), bridges (16), and culverts (46). The analysis further revealed that built-up area (10.4 km2) and agricultural land (20.2 km2) will also come under flood with life loss. The resultant flood risk zones and spatial appraisal will definitely help in bringing down the probable flood damages. Similarly, current study has potential to assist disaster managers, hydraulic engineers, and policy makers to understand the flood risk and implement location-specific effective flood risk reduction strategies. © 2019, Springer Nature Switzerland AG.</t>
  </si>
  <si>
    <t>2-s2.0-85071570268"</t>
  </si>
  <si>
    <t>10.1029/2019JC015445</t>
  </si>
  <si>
    <t>https://www.scopus.com/inward/record.uri?eid=2-s2.0-85071460263&amp;doi=10.1029%2f2019JC015445&amp;partnerID=40&amp;md5=c285c5bae03d83ee373b19987327964b</t>
  </si>
  <si>
    <t>Regional atmosphere and ocean models are used to investigate how sea level rise, ocean warming, and coastline management affect storm surge in the semienclosed Chesapeake Bay. Using Hurricane Isabel (2003) as a case study, the storm is placed under the climatic conditions projected for 2050 and 2100. Higher sea surface temperature increases the latent heat release from the ocean, resulting in large increases in storm intensity and maximum sustained wind speeds. The storm surge height, defined as the difference between storm tide and astronomical tide, is amplified in the future climate and amounts to ~30% of the relative sea level rise. Hardening shorelines further increases the storm surge height in the middle and upper parts of the Bay by up to 0.5 m. Sea level rise has a modest impact on the storm surge height: decreasing it by 0.1–0.2 m if the low-lying areas are allowed to be flooded but increases it by 0.1–0.3 m if hypothetic walls are placed at the current coastline. Ocean warming is the main driver of storm surge amplification in the future climate. Energy budget analysis shows that allowing flooding over low-lying areas leads to a significant energy loss and reduces the storm surge height in the estuary. © 2019. American Geophysical Union. All Rights Reserved.</t>
  </si>
  <si>
    <t>2-s2.0-85071460263"</t>
  </si>
  <si>
    <t>10.1016/j.ocemod.2019.101421</t>
  </si>
  <si>
    <t>https://www.scopus.com/inward/record.uri?eid=2-s2.0-85069875480&amp;doi=10.1016%2fj.ocemod.2019.101421&amp;partnerID=40&amp;md5=bbfaf2440d6674204c26602c5335c5cb</t>
  </si>
  <si>
    <t>A depth-integrated high resolution (down to 25–50 m) tide and storm surge model has been developed for the Alaska region with a focus on the coasts of western Alaska. The model uses the ADCIRC basin-to-channel scale unstructured grid circulation code forced with Climate Forecast System version 2 reanalysis meteorology. The tidal solution has been validated at 121 shelf and nearshore stations, with lower overall errors than a data assimilated tidal model (FES2012). The ADCIRC model shows considerable skill at simulating tide and coastal surge, and resulting overland flooding on the Yukon–Kuskokwim Delta, during both summer and winter storms. The root-mean-square-error of the model does not exceed 20 cm at any station, outperforming the Global Ocean Forecasting System (GOFS 3.1), a 1/12∘ data assimilated ocean general circulation model which is coupled to sea ice physics. The ADCIRC model incorporates the effect of sea ice through parameterizations of the wind drag coefficient, modifying the air–sea momentum transfer under ice coverage. Three large winter storms with distinctly different ice coverages along the coasts of western Alaska were chosen to exhibit the variable effect of sea ice on the resulting storm surge. Under forming coastal ice coverage, local increases in water levels due to ice is seen in coastal areas, and under predominantly dense pack ice, an increase in momentum transfer in the marginal sea ice at the shelf break leads to an increase in sea levels across the entire Bering Sea, both commensurate with observations. Under the most variable ice fields, results are mixed, in part due to uncertainties in the air–sea–ice drag parameterization such as related to the assumption that sea ice drift and wind velocities are always well correlated. Including a description of sea ice drift and current speeds explicitly in the air–sea–ice drag formulation and considering wave–surge–ice interaction should improve the description of momentum transferred to the water column and resulting simulation of surge. © 2019 Elsevier Ltd</t>
  </si>
  <si>
    <t>2-s2.0-85069875480"</t>
  </si>
  <si>
    <t>10.1080/01431161.2019.1577578</t>
  </si>
  <si>
    <t>https://www.scopus.com/inward/record.uri?eid=2-s2.0-85064542305&amp;doi=10.1080%2f01431161.2019.1577578&amp;partnerID=40&amp;md5=64b6fbef58d68201d5cb92d843334e0a</t>
  </si>
  <si>
    <t>Glacial lakes are widely distributed across glaciated mountainous regions such as Southeast Tibet (ST). As a result of climate change, glacial lakes have expanded continually in ST over recent five decades, and ST is seriously suffering from glacial lake outburst floods (GLOFs). Hence, glacial lake investigations and hazard assessments of GLOFs are very necessary to perform and are of great practical significance for this area. The region running from Ranwu to Tongmai (RTR) in ST was selected as a study area. To assess hazard degrees of GLOFs, nine factors (F1–F9) were selected from glacial characteristics: the scale of glacial lakes, meteorological conditions, moraine dam parameters and downstream gullies. Average monthly (May to September) land surface temperatures (LSTs), temperature change rates, and average annual precipitation levels were first calculated using Moderate Resolution Imaging Spectroradiometer (MODIS) LST product and Tropical Rainfall Measuring Mission (TRMM) precipitation data. Then, glacial lake areas, downstream gully slopes, distances to glacial lakes, upper glacier areas, average gradients of upper glaciers, and terminal moraine dam widths were obtained based on Thematic Mapper (TM) and Operational Land Imager (OLI) images and Digital Elevation Model (DEM) data. Finally, the fuzzy comprehensive assessment (FCA) method was used to assess hazard degrees of GLOFs in the study area. According to the results, 135 glacial lakes existed during the study periods, five new glacial lakes formed due to lake collapse and snow and ice melt, and one disappeared due to GLOFs. The number of glacial lakes in the area increased from 130 in 1986 to 134 in 2015, and the total area of glacial lakes increased from 832.77 ha in 1986 to 850.51 ha in 2015 due to lake expansion and GLOFs. Of the 134 glacial lakes present in 2015, 10 are identified as high hazardous lakes, eight are identified as medium hazardous lakes, two are considered low hazardous lakes, and 114 are considered extremely low hazardous lakes. The results illustrate hazard levels of GLOFs in ST, which can help guide future hazard prevention in the area. © 2019, © 2019 Informa UK Limited, trading as Taylor &amp; Francis Group.</t>
  </si>
  <si>
    <t>2-s2.0-85064542305"</t>
  </si>
  <si>
    <t>10.1016/j.jenvman.2019.04.056</t>
  </si>
  <si>
    <t>https://www.scopus.com/inward/record.uri?eid=2-s2.0-85066084748&amp;doi=10.1016%2fj.jenvman.2019.04.056&amp;partnerID=40&amp;md5=a3313fa0566f16424fd356fdf0431087</t>
  </si>
  <si>
    <t>Like many estuaries in the world, salinity levels in the Delaware River and Estuary are expected to increase due to a deepened navigational channel and sea-level rise. This study estimated operational cost increases resulting from increased ambient salinity likely to be incurred at PSEG-Hope Creek, an evaporatively cooled electricity generating station. To estimate cost increases, a linked physical-economic model was developed to generate daily forecasts of salinity and the resulting changes in facility's cooling water treatment and pumping requirements. Salinity increases under potential future bathymetric configurations were simulated using a hydrodynamic model. On an equivalent annual basis (discounted at 5%), average cost increases were $0.4M per year, or approximately 0.1% of estimated total annual operating costs for the facility. Methods developed here could be employed at other facilities anticipating future salinity increases. Results inform cost-benefit analyses for dredging projects and contribute to estimates of the indirect costs to society from carbon emissions through sea-level rise. Future research refinements can focus on modeling changes in suspended sediment concentrations and estimating their impacts on operational costs. © 2019 Elsevier Ltd</t>
  </si>
  <si>
    <t>2-s2.0-85066084748"</t>
  </si>
  <si>
    <t>10.1016/j.earscirev.2019.102876</t>
  </si>
  <si>
    <t>https://www.scopus.com/inward/record.uri?eid=2-s2.0-85067233129&amp;doi=10.1016%2fj.earscirev.2019.102876&amp;partnerID=40&amp;md5=332e69a2ec11763dc068eeedc3f9fcd3</t>
  </si>
  <si>
    <t>The very largest glacier outburst floods have been termed ‘megafloods’ given their volume and peak discharge. That definition might be revised because those floods have become understood due to their distinctive and pervasive landscape impacts. At least three floods in Iceland can be categorized as megafloods since they produced impressive bedrock canyons and giant fluvially-transported boulders. Glacier lake outburst floods (GLOFs) in Greenland might also have megaflood-type attributes given the enormous lake volumes drained. We therefore here present the first review of glacier outburst floods in Greenland: sites Isvand, Russell Glacier, Kuannersuit Glacier, Lake Tininnilik, two unnamed lakes near Amitsulooq Ice Cap, and Iluliallup Tasersua, Base Camp Lake, Lake Hullett, Qorlortorssup Tasia, Imaersartoq, Tordensø, North Midternæs and an outlet glacier of the A. P. Olsen Ice Cap. Overall, megaflood-type landscape impacts in Iceland tend to be best-preserved and most easily identified inland although there has also been extensive offshore sedimentation. There are very few reported impacts of glacier outburst floods in Greenland. In Greenland ice-dam failure causes frequent flooding compared to the volcanically-triggered floods in Iceland and this combined with the proximity of the Greenland glacier lakes to the coast means that most proglacial channels in Greenland are flood-hardened and most landscape impact is likely to be offshore in estuaries and fjords. Future floods with megaflood-type attributes will occur in Iceland induced by volcanic activity. In Greenland they will be induced by extreme weather and rapid ice melt. Any potential landscape impact of these future floods remains open to question. © 2019 Elsevier B.V.</t>
  </si>
  <si>
    <t>2-s2.0-85067233129"</t>
  </si>
  <si>
    <t>10.1007/s11069-019-03706-0</t>
  </si>
  <si>
    <t>https://www.scopus.com/inward/record.uri?eid=2-s2.0-85070290892&amp;doi=10.1007%2fs11069-019-03706-0&amp;partnerID=40&amp;md5=cdc852fccca7a778fdc6f225156e08df</t>
  </si>
  <si>
    <t>The salinization of freshwater-dependent coastal ecosystems precedes inundation by sea level rise. This type of saltwater intrusion places communities, ecosystems, and infrastructure at substantial risk. Risk perceptions of local residents are an indicator to gauge public support for climate change adaptation planning. Here, we document residential perspectives on the present and future threats posed by saltwater intrusion in a rural, low-lying region in coastal North Carolina, and we compare the spatial distribution of survey responses to physical landscape variables such as distance to coastline, artificial drainage density, elevation, saltwater intrusion vulnerability, and actual salinity measured during a synoptic field survey. We evaluate and discuss the degree of alignment or misalignment between risk perceptions and metrics of exposure to saltwater intrusion. Risk perceptions align well with the physical landscape characteristics, as residents with greater exposure to saltwater intrusion, including those living on low-lying land with high concentrations of artificial drainages, perceive greater risk than people living in low-exposure areas. Uncertainty about threats of saltwater intrusion is greatest among those living at higher elevations, whose properties and communities are less likely to be exposed to high salinity. As rising sea levels, drought, and coastal storms increase the likelihood of saltwater intrusion in coastal regions, integrated assessments of risk perceptions and physical exposure are critical for developing outreach activities and planning adaptation measures. © 2019, Springer Nature B.V.</t>
  </si>
  <si>
    <t>2-s2.0-85070290892"</t>
  </si>
  <si>
    <t>10.3390/geosciences9080330</t>
  </si>
  <si>
    <t>https://www.scopus.com/inward/record.uri?eid=2-s2.0-85070482705&amp;doi=10.3390%2fgeosciences9080330&amp;partnerID=40&amp;md5=0d1d04e51cf0e11b690f707267c260b9</t>
  </si>
  <si>
    <t>Along with rapid population growth in Vietnam, there is an increasing dependence on groundwater for various activities. An Giang province is known to be one of the agricultural intensification areas of The Vietnamese Mekong Delta (VMD). This study aimed to evaluate the spatiotemporal variation of groundwater quality for a period of ten years from 2009 to 2018 in An Giang. The weighted groundwater quality index (GWQI) was developed based on the fuzzy analytic hierarchy process (Fuzzy-AHP) for assigning weighted parameters. The results show that that shallow wells in the Northeast and Southeast regions of An Giang were mostly categorized under “bad water” quality with high arsenic (As) concentration over the years partly due to huge amounts of sediment deposition in monsoon season. Overall, the reason for the poor groundwater quality in An Giang was the combined effect of both natural and human activities. On the other hand, we detected high values of GWQI links with high As concentration in areas where people extract more groundwater for irrigation. Temporal variation of GWQI suggested that groundwater quality at eight wells has improved from 2009 to 2018 in the wet season as compared to the dry season. The reason behind the improvement of groundwater quality during wet season was the decrease in river discharge, which causes less deposition of suspended solids near the flood plains. Moreover, the filling of unused wells can reduce the movement of pollutants from unused wells to groundwater aquifers. Although there was not sufficient evidence to show the relationship between As and sediment concentration, the temporal reduction trend in river discharge and suspended solids was detected in An Giang. The understanding of groundwater quality can help policymakers protect and manage limited water resources in the long-term. © 2019 by the authors. Licensee MDPI, Basel, Switzerland.</t>
  </si>
  <si>
    <t>2-s2.0-85070482705"</t>
  </si>
  <si>
    <t>10.5194/esurf-7-549-2019</t>
  </si>
  <si>
    <t>https://www.scopus.com/inward/record.uri?eid=2-s2.0-85067615381&amp;doi=10.5194%2fesurf-7-549-2019&amp;partnerID=40&amp;md5=9eb8cacbfddd119ec1a1d78022f33e31</t>
  </si>
  <si>
    <t>We present a new algorithm for solving the common problem of flow trapped in closed depressions within digital elevation models, as encountered in many applications relying on flow routing. Unlike other approaches (e.g., the Priority-Flood depression filling algorithm), this solution is based on the explicit computation of the flow paths both within and across the depressions through the construction of a graph connecting together all adjacent drainage basins. Although this represents many operations, a linear time complexity can be reached for the whole computation, making it very efficient. Compared to the most optimized solutions proposed so far, we show that this algorithm of flow path enforcement yields the best performance when used in landscape evolution models. In addition to its efficiency, our proposed method also has the advantage of letting the user choose among different strategies of flow path enforcement within the depressions (i.e., filling vs. carving). Furthermore, the computed graph of basins is a generic structure that has the potential to be reused for solving other problems as well, such as the simulation of erosion. This sequential algorithm may be helpful for those who need to, e.g., process digital elevation models of moderate size on single computers or run batches of simulations as part of an inference study. © Author(s) 2019.</t>
  </si>
  <si>
    <t>2-s2.0-85067615381"</t>
  </si>
  <si>
    <t>10.1007/s11356-019-05470-x</t>
  </si>
  <si>
    <t>https://www.scopus.com/inward/record.uri?eid=2-s2.0-85066909794&amp;doi=10.1007%2fs11356-019-05470-x&amp;partnerID=40&amp;md5=f475195fd9c8b28147bcc7c96aed3ae6</t>
  </si>
  <si>
    <t>The increase of salt concentrations in influent wastewaters will be a consequence of the sea level rises in coastal areas due to climate change and the future use of seawater to flush toilets as a cost-attractive option for alternative water resources. Yet, little is known about the salinity effect on full-scale wastewater treatment plants (WWTPs) performance and on greenhouse gas (GHG) emissions, such as nitrous oxide (N2O). This study aimed at quantifying the N2O emissions of a full-scale biological aerated filter (BAF) and to correlate the dynamic behavior of the emissions with the process conditions and the periods of infiltration of seawater. A full-scale BAF was monitored for 3 months to assess both their gaseous and liquid N2O fluxes. The total average daily N2O emissions of the plant were 6.16 g N–N2O/kg of NH4–N removed. For the first time at full-scale, a correlation between the N2O emissions and the wastewater influent conductivity (salinity) was found, in which the increase in seawater infiltration in the sewer at high tide augments the daily N2O production and emission to 13.78 g N–N2O/kg of NH4–N removed. The proportional increase in influent conductivity and the N2O emission factor in this WWTP suggested that periods of high conductivity could serve as an indicator of increased N2O emissions by the plant. Furthermore, the operational conditions and the wastewater influent characteristics that influence the N2O emissions were identified as being the dissolved oxygen (DO) dynamics due to the filter washing steps, leading to rapid transitions from oxic to sub-oxic conditions, as well as the (re-)adaptation of microbial consortia due to the dynamics of the biofilm thickness associated to the daily washing process. This study shows the impact that the washing process and seawater infiltration has on the N2O emissions of a BAF and contributes to a better understanding of the operational conditions impacting the emissions in WWTPs. © 2019, Springer-Verlag GmbH Germany, part of Springer Nature.</t>
  </si>
  <si>
    <t>2-s2.0-85066909794"</t>
  </si>
  <si>
    <t>10.1016/j.compenvurbsys.2019.04.001</t>
  </si>
  <si>
    <t>https://www.scopus.com/inward/record.uri?eid=2-s2.0-85064075383&amp;doi=10.1016%2fj.compenvurbsys.2019.04.001&amp;partnerID=40&amp;md5=28a06adbc4a76aaf48ee5036dfd29e08</t>
  </si>
  <si>
    <t>Previous evaluation of flood risk overlooks the behavior and capacity of private stakeholders, thus limiting the application of adaptation policies. This study presents an agent-based model, applied to Miami-Dade County, FL, as the case study, to explore the public and private interaction in coastal flood adaptation and mitigation. The decision making of individuals' adaptive behavior is simulated based on the prospected theory under households' risk perception, insurance policies, and the local flood mitigation. The NFIP and private insurance policy are simulated separately to reflect the flood insurance market. Our results show that households' risk mitigation behaviors are clustered in high-risk coastal areas, including Miami-Beach and the east coast of the County. The overall flood risk is still high in the southern part of the County. To better reflect the flooding risk and address the affordability issue, a voucher coupled house elevation program could improve the insurance take-up rates as well as reduce the overall flood risk in the area. Results also indicate that private insurance would slightly increase if the NFIP's insurance rates increase. Afterward, four adaptation scenarios in response to future sea level rises are examined by considering the voucher-based insurance program and the local adaptation actions. Compared with the high-risk reduction but low coverage mitigation plan, more extensive coverage of public adaptation would better improve the overall adaptation outcome of the County, which indicates the importance of public participation in local risk mitigation and urban governance. © 2019 Elsevier Ltd</t>
  </si>
  <si>
    <t>2-s2.0-85064075383"</t>
  </si>
  <si>
    <t>10.5194/nhess-19-1895-2019</t>
  </si>
  <si>
    <t>https://www.scopus.com/inward/record.uri?eid=2-s2.0-85071547264&amp;doi=10.5194%2fnhess-19-1895-2019&amp;partnerID=40&amp;md5=58c16c5d0ef397b0a15c3d4580397f32</t>
  </si>
  <si>
    <t>Flood frequency curves are usually highly uncertain since they are based on short data sets of measured discharges or weather conditions. To decrease the confidence intervals, an efficient bootstrap method is developed in this study. The Rhine river delta is considered as a case study. We use a hydraulic model to normalize historic flood events for anthropogenic and natural changes in the river system. As a result, the data set of measured discharges could be extended by approximately 600 years. The study shows that historic flood events decrease the confidence interval of the flood frequency curve significantly, specifically in the range of large floods. This even applies if the maximum discharges of these historic flood events are highly uncertain themselves. © Author(s) 2019.</t>
  </si>
  <si>
    <t>2-s2.0-85071547264"</t>
  </si>
  <si>
    <t>10.3390/atmos10060346</t>
  </si>
  <si>
    <t>https://www.scopus.com/inward/record.uri?eid=2-s2.0-85068832754&amp;doi=10.3390%2fatmos10060346&amp;partnerID=40&amp;md5=b619db18308c7acb018313e0de03a602</t>
  </si>
  <si>
    <t>Typhoon-induced storm surges are catastrophic disasters in coastal areas worldwide, although typhoon surges are not extremely high in Taiwan. However, the rising water level around an estuary could be a block that obstructs the flow of water away from the estuary and indirectly forms an overflow in the middle or lower reaches of a river if the occurrence of the highest storm surge (HSS) coincides with the highest astronomical tide (HAT). Therefore, assessing the highest storm tide (HST, a combination of the HSS andHAT) hazard level along the coast of Taiwan is particularly important to an early warning of riverine inundation. This study hindcasted the storm surges of 122 historical typhoon events from 1979 to 2018 using a high-resolution, unstructured-grid, surge-wave fully coupled model and a hybrid typhoon wind model. The long-term recording measurements at 28 tide-measuring stations around Taiwan were used to analyze the HAT characteristics. The hindcasted HSSs of each typhoon category (the CentralWeather Bureau of Taiwan classified typhoon events into nine categories according to the typhoon's track) were extracted and superposed on the HATs to produce the individual potential HST hazard maps. Each map was classified into six hazard levels (I to VI). Finally, a comprehensive potential HST hazard map was created based on the superposition of the HSSs from 122 typhoon events and HATs. © 2019 by the authors.</t>
  </si>
  <si>
    <t>2-s2.0-85068832754"</t>
  </si>
  <si>
    <t>10.1016/j.pdisas.2019.100001</t>
  </si>
  <si>
    <t>https://www.scopus.com/inward/record.uri?eid=2-s2.0-85078616019&amp;doi=10.1016%2fj.pdisas.2019.100001&amp;partnerID=40&amp;md5=026fdac95f3f20a506919f65a1b7fc91</t>
  </si>
  <si>
    <t>This viewpoint reviews key assessments from the IPCC Special Report on Global Warming of 1.5 °C and examines the implications for the Sendai Framework for Disaster Risk Reduction (SFDRR). Disaster risks are expected to be higher at 1.5 °C and continue to increase at 2 °C. Current and future disaster risk management particularly those that deal with the impacts of coastal flooding, heat-related health impacts, sea level rise, and forest fires are to be strengthened, particularly the Arctic, Caribbean, SIDS and low-lying coastal areas are particularly at risk. SFRDRR implementation requires focusing on low-lying countries and Small Island Developing States, complemented with development of financial risk sharing and insurance mechanisms, and ensuring coherence between SFDRR, Paris Agreement and the Sustainable Development Goals. © 2019 The Author(s)</t>
  </si>
  <si>
    <t>2-s2.0-85078616019"</t>
  </si>
  <si>
    <t>10.3390/rs11091107</t>
  </si>
  <si>
    <t>https://www.scopus.com/inward/record.uri?eid=2-s2.0-85065737402&amp;doi=10.3390%2frs11091107&amp;partnerID=40&amp;md5=21797de058a4922db354675ba93217d5</t>
  </si>
  <si>
    <t>Salt marshes are changing due to natural and anthropogenic stressors such as sea level rise, nutrient enrichment, herbivory, storm surge, and coastal development. This study analyzes salt marsh change at Fire Island National Seashore (FIIS), a nationally protected area, using object-based image analysis (OBIA) to classify a combination of data fromWorldview-2 andWorldview-3 satellites, topobathymetric Light Detection and Ranging (LiDAR), and National Agricultural Imagery Program (NAIP) aerial imageries acquired from 1994 to 2017. The salt marsh classification was trained and tested with vegetation plot data. In October 2012, Hurricane Sandy caused extensive overwash and breached a section of the island. This study quantified the continuing effects of the breach on the surrounding salt marsh. The tidal inundation at the time of image acquisition was analyzed using a topobathymetric LiDAR-derived Digital Elevation Model (DEM) to create a bathtub model at the target tidal stage. The study revealed geospatial distribution and rates of change within the salt marsh interior and the salt marsh edge. TheWorldview-2/Worldview-3 imagery classification was able to classify the salt marsh environments accurately and achieved an overall accuracy of 92.75%. Following the breach caused by Hurricane Sandy, bayside salt marsh edge was found to be eroding more rapidly (F1, 1597 = 206.06, p &lt; 0.001). However, the interior panne/pool expansion rates were not affected by the breach. The salt marsh pannes and pools were more likely to revegetate if they had a hydrological connection to a mosquito ditch (χ2 = 28.049, p &lt; 0.001). The study confirmed that the NAIP data were adequate for determining rates of salt marsh change with high accuracy. The cost and revisit time of NAIP imagery creates an ideal open data source for high spatial resolution monitoring and change analysis of salt marsh environments. © 2019 by the authors.</t>
  </si>
  <si>
    <t>2-s2.0-85065737402"</t>
  </si>
  <si>
    <t>10.3390/ijgi8040197</t>
  </si>
  <si>
    <t>https://www.scopus.com/inward/record.uri?eid=2-s2.0-85066435499&amp;doi=10.3390%2fijgi8040197&amp;partnerID=40&amp;md5=656fb68ab1ea5ccdbd1f4a46fefc5b45</t>
  </si>
  <si>
    <t>Structural measures for retaining and distributing water—i.e., reservoirs, flood retention and power plants—play a key role to protect and feed a growing world population in a rapidly changing climate. In this work, we introduce an automated method to detect potential reservoir or retention area locations in digital terrain models. In this context, a potential reservoir is a larger terrain form that can be turned into an actual reservoir by constructing a dam. Based on contour lines derived from terrain models, potential reservoirs are found within a predefined range of dam lengths, and the locally optimal ones are then extracted. Our method is to be applied in the very early stages of project planning and for area-wide potential analysis. Tests in a 100 km2 study area bring promising results, but also show a certain sensitivity regarding terrain model quality and resolution. In total, 250–300 candidate polygons with a total volume of more than 6 million m3 were found. In order to facilitate further processing, these are stored as a GIS vector dataset. © 2019 by the authors</t>
  </si>
  <si>
    <t>2-s2.0-85066435499"</t>
  </si>
  <si>
    <t>10.21833/ijaas.2019.06.011</t>
  </si>
  <si>
    <t>https://www.scopus.com/inward/record.uri?eid=2-s2.0-85085987643&amp;doi=10.21833%2fijaas.2019.06.011&amp;partnerID=40&amp;md5=856e694ef44669f498cf0610a2994a3e</t>
  </si>
  <si>
    <t>This study was conducted to assess the crop damages due to flood and to develop flood risk maps in order to mitigate its future damages. For that purpose, field and satellite data was used to assess economic damages of Rice crop, prepare flood risk maps and to delineate possible flow paths for safe disposal of flood runoff in case of any future breach on the right side of the Indus river. For the current study, Landsat data for the years 2009 and 2011 along with ASTER Digital Elevation Model (DEM) were analyzed with ArcGIS 10.3, and ERDAS IMAGINE. The results of the study showed that about 247973.024 tons rice of worth 11.425 billion Pakistani rupees was damaged due to flood 2010 in Larkana Division. Moreover, the created flood risk map showed that most of the area of Larkana and Qamber-Shahdadkot has low elevation. Therefore, the risk of floods to these areas is high, while the Kashmore-Kandhkot district has a comparatively high altitude. Thus, the risk of flood is low in that district. The most prolonged flood flow path delineated from DEM using geospatial tools shows that the flow path starts from the southern part of Kashmore-Kandhkot, and then it enters Shikarpur and eventually disposes-off into Hamal Lake in Qamber-Shahdadkot which could be used for safe disposal in future flood scenarios to moderate the flood damages. © 2019 The Authors. Published by IASE.</t>
  </si>
  <si>
    <t>2-s2.0-85085987643"</t>
  </si>
  <si>
    <t>10.1016/j.envsci.2019.03.006</t>
  </si>
  <si>
    <t>https://www.scopus.com/inward/record.uri?eid=2-s2.0-85063030619&amp;doi=10.1016%2fj.envsci.2019.03.006&amp;partnerID=40&amp;md5=97822d55a7dc98d04fe5e3104cca7979</t>
  </si>
  <si>
    <t>Integration of flood risk in spatial planning is increasingly seen as a way to enhance cities’ resilience to the growing flood hazards, albeit its operationalisation remains challenging. This study aims to explain the reasons for this difficulty through the case study of Guangzhou, a Chinese delta city that is highly vulnerable to coastal, fluvial and pluvial flooding, particularly in the context of a changing climate and rapid expansion of the urban fabric. It does so by investigating the recognition of flood risk in spatial planning and vice-versa, of spatial issues in the flood risk management field, using framing analysis. The paper reveals that the integration of flood risk concerns in spatial planning in Guangzhou remains an emerging process, gradually shifting from informal to formal activities grounded in legislation. This happens through percolation of framing discourse from the flood risk management policy to spatial planning, leading to changes in problem setting, action scripts and the prescribed governance arrangements in the planning discourse. The vagueness of governance arrangements, however, undermines the integration of flood risk management in spatial planning. © 2019</t>
  </si>
  <si>
    <t>2-s2.0-85063030619"</t>
  </si>
  <si>
    <t>10.1080/00330124.2018.1531037</t>
  </si>
  <si>
    <t>https://www.scopus.com/inward/record.uri?eid=2-s2.0-85060170764&amp;doi=10.1080%2f00330124.2018.1531037&amp;partnerID=40&amp;md5=99b317d3b6dc6f8e57f6854799f471fb</t>
  </si>
  <si>
    <t>Sea level rise threatens coastal communities throughout the United States, and South Florida is on the front line. The iconic and built-up city of Miami Beach, Florida, has a well-developed, high-value property market, and the municipality has been lauded for proactively taking action to adapt to anticipated sea level rise. Moving beyond hyperbole and piecemeal evidence, we compile a comprehensive inventory of adaptation and mitigation measures implemented by various municipal agencies. We employ these data sets to measure exposure and readiness for the entire city and make a preliminary effort to develop a city vulnerability index. Our findings reveal that exposure throughout the city is high and that readiness is concentrated near stormwater drainage systems, leading to high vulnerability along the coast. When we compare the spatial patterns of the vulnerability index and the residential property values, we find a mismatch. The most vulnerable regions are characterized by high income, transiency, and an apparent unresponsiveness to sea level rise. No doubt our findings illustrate a lag effect, but if sea level rise increases, the real estate market could reach a tipping point unless state and federal agencies also fund more comprehensive adaptation. © 2019, © 2019 American Association of Geographers.</t>
  </si>
  <si>
    <t>2-s2.0-85060170764"</t>
  </si>
  <si>
    <t>10.3390/geosciences9060265</t>
  </si>
  <si>
    <t>https://www.scopus.com/inward/record.uri?eid=2-s2.0-85068818696&amp;doi=10.3390%2fgeosciences9060265&amp;partnerID=40&amp;md5=d853e59c23921294ac43fa1bbef4674a</t>
  </si>
  <si>
    <t>The southern New England coast of the United States is particularly vulnerable to land-falling hurricanes because of its east-west orientation. The impact of two major hurricanes on the city of Providence(Rhode Island, USA)during the middle decades of the 20th century spurred the construction of the Fox Point Hurricane Barrier(FPHB)to protect the city from storm surge flooding. Although the Rhode Island/Narragansett Bay area has not experienced a major hurricane for several decades, increased coastal development along with potentially increased hurricane activity associated with climate change motivates an assessment of the impacts of a major hurricane on the region. The ocean/estuary response to an extreme hurricane is simulated using a high-resolution implementation of the ADvanced CIRCulation(ADCIRC)model coupled to the Precipitation-Runoff Modeling System(PRMS). The storm surge response in ADCIRC is first verified with a simulation of a historical hurricane that made landfall in southern New England. The storm surge and the hydrological models are then forced with winds and rainfall from a hypothetical hurricane dubbed “Rhody”, which has many of the characteristics of historical storms that have impacted the region. Rhody makes landfall just west of Narragansett Bay, and after passing north of the Bay, executes a loop to the east and the south before making a second landfall. Results are presented for three versions of Rhody, varying in the maximum wind speed at landfall. The storm surge resulting from the strongest Rhody version(weak Saffir–Simpson category five)during the first landfall exceeds 7 m in height in Providence at the north end of the Bay. This exceeds the height of the FPHB, resulting in flooding in Providence. A simulation including river inflow computed from the runoff model indicates that if the Barrier remains closed and its pumps fail(for example, because of a power outage or equipment failure), severe flooding occurs north of the FPHB due to impoundment of the river inflow. These results show that northern Narragansett Bay could be particularly vulnerable to both storm surge and rainfall-driven flooding, especially if the FPHB suffers a power outage. They also demonstrate that, for wind-driven storm surge alone under present sea level conditions, the FPHB will protect Providence for hurricanes less intense than category five. © 2019 by the authors. Licensee MDPI, Basel, Switzerland.</t>
  </si>
  <si>
    <t>2-s2.0-85068818696"</t>
  </si>
  <si>
    <t>10.1007/s11069-019-03592-6</t>
  </si>
  <si>
    <t>https://www.scopus.com/inward/record.uri?eid=2-s2.0-85062705781&amp;doi=10.1007%2fs11069-019-03592-6&amp;partnerID=40&amp;md5=6aa7f849a46fccbc87a24fb66b875ce5</t>
  </si>
  <si>
    <t>Both the river network and the regions outside the estuary mouths in the Pearl River Delta (PRD) of China experienced significant changes from 1999 to 2014. A validated hydrodynamic model across the entire PRD and adjacent regions outside the estuary mouths is employed to simulate both present (circa 2014) and past conditions (circa 1999). The total net water flux of the PRD decreased. The flow division of the West River is increasing, with values of 3.63% and 4.66% for the Makou and Denglongshan sections, respectively. The flood flow division of the North River is correspondingly decreasing. The value of the flood levels significantly decreased (more than 2 m) in the upper portion of the PRD, moderately decreased in the middle of the PRD (more than 1.1 m) and slightly decreased in the bottom part of the PRD (less than 0.22 m). In addition, the effects of morphodynamic evolution in different regions (i.e., the river network, coastline and bathymetry changes outside the estuary mouth) on floods are quantified. The results indicate that the decreased net water flux was caused by the increased channel’s capacity and the gentler water-level profile from the downcutting riverbed of the river network. The uneven morphodynamic evolution of the riverbed of the river network was primarily responsible for changes in the flood flow division in the PRD, and morphological evolution outside the estuary mouth was primarily responsible for reallocation within the outlets. The downcutting riverbed in the river network was primarily responsible for the lower flood levels in the upper and middle portion of the PRD. Reclamation seemed to have barely affected the flood level. The deepening bathymetry outside the estuary mouth was mainly responsible for the decrease in the flood level in the bottom portion of the PRD. The downcutting riverbed may decrease the stability of the riverbank, increasing the flood risk. The morphodynamic evolution of both the river network and the regions outside the estuary mouth should be considered to avoid unwanted side effects when designing local projects and flood mitigation strategies for the PRD. © 2019, Springer Nature B.V.</t>
  </si>
  <si>
    <t>2-s2.0-85062705781"</t>
  </si>
  <si>
    <t>10.1007/s11852-018-0665-2</t>
  </si>
  <si>
    <t>https://www.scopus.com/inward/record.uri?eid=2-s2.0-85054339434&amp;doi=10.1007%2fs11852-018-0665-2&amp;partnerID=40&amp;md5=e758bee0b4a6fc8b9079bba60d9a9e75</t>
  </si>
  <si>
    <t>The Intergovernmental Panel on Climate Change estimates that sea-level rise over in the next 100 years will be enough to flood large areas and cause several environmental impacts. The municipality of Mangaratiba (Macroregion of Costa Verde, on the coast of the state of Rio de Janeiro) follows the worldwide trend of population growth in the coastal zone, with large buildings and a very early local commerce in its surroundings. Their beaches are exposed to environmental impacts caused by the relative sea-level rise, which can be intensified mainly by the pressures of anthropic activities. A simulation of the relative sea-level rise in the city of Mangaratiba was carried out, emphasizing the flood areas from the marine transgression. Therefore, with the overlay of the flooded area with the land use map, it was possible to quantify the flood in each one of the classes. Afterwards, through a bibliographical survey and application of interaction and listings matrices, it was possible to evaluate the probable environmental impacts from the flood mentioned above. The result showed that an increase in the relative sea-level in the study area would have several consequences such as coastal erosion, flooding, damage to areas of urban occupation and to the dunes, which could directly affect the infrastructure, housing and local tourism. © 2018, Springer Nature B.V.</t>
  </si>
  <si>
    <t>2-s2.0-85054339434"</t>
  </si>
  <si>
    <t>10.1007/s10040-019-01930-3</t>
  </si>
  <si>
    <t>https://www.scopus.com/inward/record.uri?eid=2-s2.0-85061664405&amp;doi=10.1007%2fs10040-019-01930-3&amp;partnerID=40&amp;md5=7a8f8ee885f6915ffc838a2dbe954826</t>
  </si>
  <si>
    <t>In many important coastal habitats, a combination of increasing soil salinization due to sea level rise, reduced precipitation and storm surges may induce regime shift from salinity-intolerant glycophytic vegetation to salinity-tolerant halophytic species. Early detection of regime shift due to salinity stress in vegetation may facilitate conservation efforts. It has been shown that the 18O value of water in the xylem of trees can be used as a surrogate for salinity in the rooting zone of plants. Coupling measured δ18O values in the tree xylem with simulated δ18O values in trees and salinity in the vadose zone can be used to investigate competitive responses of glycophytic versus halophytic trees. MANTRA-O18 simulations suggest that the impacts of salinization on diminishing the resilience of salinity-intolerant trees can be detected up to 25 years before the glycophytic trees are threatened with regime shift to halophytic species. This early detection provides critical lead time and valuable information and insights useful for planning adaptation strategy to mitigate against the adverse impacts of sea level rise and climate change. © 2019, Springer-Verlag GmbH Germany, part of Springer Nature.</t>
  </si>
  <si>
    <t>2-s2.0-85061664405"</t>
  </si>
  <si>
    <t>https://www.scopus.com/inward/record.uri?eid=2-s2.0-85073407993&amp;partnerID=40&amp;md5=d97b4e5dfca6e9fd072a2bb81e401706</t>
  </si>
  <si>
    <t>A solitary wave is commonly used in tsunami study for both physical and numerical models. A tsunami is categorized as a long wave which drastically changes its shape and speed when propagates in shallow water and land. In this paper, a physical model test of tsunami propagation based on Dam Break system to produce a tsunami-like wave was carried out. In a flume, finite reservoir length is set to sufficiently provide downstream length for propagation and run-up area. The downstream part is divided into two sections of bed configuration where it has flatbed as shallow water region and 1:20 of sloping beach model. The effect of the ratio of the reservoir depth to the initial downstream depth (d0/d1) is discussed. In addition, the tsunami inundation depth and run-up in land were also investigated. For comparison of results, numerical model similar to the physical one was conducted. The numerical model was based on a set of nonlinear shallow water equation that employed second-order explicit leap-frog finite difference scheme. The use of numerical approach using shallow water equation may not yield realistic results since the wave evolution in shallow water and coastal area has not sufficiently accommodated. The comparison between the models suggested that the numerical model consistently produce slightly higher run-up than its counterpart. This was probably due to the application of shallow water equation (SWE) in the numerical model which could not entirely solve vertical convection problems, breaking waves, and turbulence-related aspects that reduced run-ups energy. A fine tuning method to improve the numerical model run-ups is necessary by introducing proper artificial energy reduction mechanism in the numerical model especially at breaking condition. © 2019, Tsunami Society. All rights reserved.</t>
  </si>
  <si>
    <t>2-s2.0-85073407993"</t>
  </si>
  <si>
    <t>10.1007/s10584-018-2200-8</t>
  </si>
  <si>
    <t>https://www.scopus.com/inward/record.uri?eid=2-s2.0-85045757483&amp;doi=10.1007%2fs10584-018-2200-8&amp;partnerID=40&amp;md5=871caa4ff8905a37f21716eea04abc6b</t>
  </si>
  <si>
    <t>Australia’s coastline is exposed to climate change and sea-level rise impacts from erosion, inundation, and changes to storm tracks and intensity. It accommodates about 80% of the population. Around 250 local councils are responsible for coastal management, with very different capacities to undertake adaptation. A decision support framework was developed to support coastal managers seeking to understand present-day and future climate change, its impacts and possible response options. Extensive engagement was undertaken with practitioners before commencing the design and at all stages of the build, in order to ensure usefulness and usability. The resulting framework, CoastAdapt (coastadapt.com.au), provides comprehensive guidance and support, including understanding of climate change science, expected impacts, and adaptation options. It contains datasets on historical flooding</t>
  </si>
  <si>
    <t>10.1080/17538947.2018.1429503</t>
  </si>
  <si>
    <t>https://www.scopus.com/inward/record.uri?eid=2-s2.0-85041180830&amp;doi=10.1080%2f17538947.2018.1429503&amp;partnerID=40&amp;md5=55028146f12d1097d2b8f1dcc1b022de</t>
  </si>
  <si>
    <t>Depressions in raster digital elevation models (DEM) present a challenge for extracting hydrological networks. They are commonly filled before subsequent algorithms are further applied. Among existing algorithms for filling depressions, the Priority-Flood algorithm runs the fastest. In this study, we propose an improved variant over the fastest existing sequential variant of the Priority-Flood algorithm for filling depressions in floating-point DEMs. The proposed variant introduces a series of improvements and greatly reduces the number of cells that need to be processed by the priority queue (PQ), the key data structure used in the algorithm. The proposed variant is evaluated based on statistics from 30 experiments. On average, our proposed variant reduces the number of cells processed by the PQ by around 70%. The speed-up ratios of our proposed variant over the existing fastest variant of the Priority-Flood algorithm range from 31% to 52%, with an average of 45%. The proposed variant can be used to fill depressions in large DEMs in much less time and in the parallel implementation of the Priority-Flood algorithm to further reduce the running time for processing huge DEMs that cannot be dealt with easily on single computers. © 2018, © 2018 Informa UK Limited, trading as Taylor &amp; Francis Group.</t>
  </si>
  <si>
    <t>2-s2.0-85041180830"</t>
  </si>
  <si>
    <t>10.5194/gi-8-149-2019</t>
  </si>
  <si>
    <t>https://www.scopus.com/inward/record.uri?eid=2-s2.0-85067119371&amp;doi=10.5194%2fgi-8-149-2019&amp;partnerID=40&amp;md5=7bc3d8604b6a70da5fd4f839a59a8622</t>
  </si>
  <si>
    <t>We present the developmental considerations, design, and deployment of an autonomous modular terrestrial rover for ice-sheet exploration that is inexpensive, easy to construct, and allows for instrumentation customization. The total construction cost for this rover is less than USD&amp;thinsp</t>
  </si>
  <si>
    <t>10.5194/nhess-19-1067-2019</t>
  </si>
  <si>
    <t>https://www.scopus.com/inward/record.uri?eid=2-s2.0-85066100383&amp;doi=10.5194%2fnhess-19-1067-2019&amp;partnerID=40&amp;md5=baed5f626efa06b9e2f9e331224a2b5c</t>
  </si>
  <si>
    <t>Projections of sea level rise (SLR) will lead to increasing coastal impacts during extreme sea level events globally</t>
  </si>
  <si>
    <t>10.3390/cli7050069</t>
  </si>
  <si>
    <t>https://www.scopus.com/inward/record.uri?eid=2-s2.0-85073687725&amp;doi=10.3390%2fcli7050069&amp;partnerID=40&amp;md5=a4d9e082ba9e7496dfd2fc0c8179aa84</t>
  </si>
  <si>
    <t>Salinity intrusion through the estuaries in low-lying tide-dominated deltas is a serious threat that is expected to worsen in changing climatic conditions. This research makes a comparative analysis on the impact of salinity intrusion due to a reduced upstream discharge, a sea level rise, and cyclonic conditions to find which one of these event dominates the salinity intrusion. A calibrated and validated salinity model (Delft3D) and storm surge model (Delft Dashboard) are used to simulate the surface water salinity for different climatic conditions. Results show that the effects of the reduced upstream discharge, a sea level rise, and cyclones cause different levels of impacts in the Ganges-Brahmaputra-Meghna (GBM) delta along the Bangladesh coast. Reduced upstream discharge causes an increased saltwater intrusion in the entire region. A rising sea level causes increased salinity in the shallower coast. The cyclonic impact on saltwater intrusion is confined within the landfall zone. These outcomes suggest that, for a tide dominated delta, if a sea level rise (SLR) or cyclone occurred, the impact would be conditional and local. However, if the upstream discharge reduces, the impact would be gradual and along the entire coast. © 2019 by the authors.</t>
  </si>
  <si>
    <t>2-s2.0-85073687725"</t>
  </si>
  <si>
    <t>10.3390/rs11101208</t>
  </si>
  <si>
    <t>https://www.scopus.com/inward/record.uri?eid=2-s2.0-85066764426&amp;doi=10.3390%2frs11101208&amp;partnerID=40&amp;md5=a4780d0ba1b76290cd181433a1e23129</t>
  </si>
  <si>
    <t>Rapid invasion of Spartina alterniflora into Chinese coastal wetlands has attracted much attention. Many field and remote sensing studies have examined the spatio-temporal dynamics of S. alterniflora invasion</t>
  </si>
  <si>
    <t>10.1016/j.jenvman.2019.02.078</t>
  </si>
  <si>
    <t>https://www.scopus.com/inward/record.uri?eid=2-s2.0-85062692540&amp;doi=10.1016%2fj.jenvman.2019.02.078&amp;partnerID=40&amp;md5=b1f70784662c7296fc6abccccabcaa58</t>
  </si>
  <si>
    <t>Densely populated coastal regions are vulnerable to threats associated with climate change and variability, especially storms. In the United States, millions of people are repeatedly at risk of flooding and because this number will only continue to grow, the identification of the intersection of social vulnerability and physical risk to flood inundation is essential for both coastal planning and adaptation purposes. Although a key tool to identify vulnerable populations, most vulnerability models are built at the county or coarser scales, thereby hindering the effectiveness of mitigation and adaptation planning at community scales, which are more socially and physically diverse than what county-scale analyses can reveal. We present an integrated social and physical model of vulnerability at the block-group level of geography using census data to measure social variability based population and housing data and physical exposure based on the intersection of finished floor elevation of all buildings in coastal North Carolina, USA with flood hazards maps. We identify, in a spatially-explicit manner and at multiple levels of governance, areas of high social vulnerability and their intersection with areas of high physical exposure to inundation. We found that in the 28 coastal counties of North Carolina, 45.3% of the structures within the 100-year floodplain were structurally exposed to potential damage from inundation. Supporting our hypothesized patterns of vulnerability to inundation, a significant clustering of highly vulnerable block-groups were located in Albemarle and Eastern Carolina coastal regions, yet high vulnerability outliers were also located at significant distance away from the highly physically-exposed coastline. Our findings suggest that the high-resolution block-group level analysis identified multiple levels of vulnerability to inundation at the sub-county scale and provide essential information for effective hazard mitigation within scales ranging from the community to transboundary governing bodies. © 2019 Elsevier Ltd</t>
  </si>
  <si>
    <t>2-s2.0-85062692540"</t>
  </si>
  <si>
    <t>10.15243/jdmlm.2019.063.1789</t>
  </si>
  <si>
    <t>https://www.scopus.com/inward/record.uri?eid=2-s2.0-85083586450&amp;doi=10.15243%2fjdmlm.2019.063.1789&amp;partnerID=40&amp;md5=b16d56acc0e4aa40072d466949ff35b8</t>
  </si>
  <si>
    <t>Coastal areas are found in the dynamic zone at the interface between the three major natural systems of the Earth's surface. The phenomenon of shoreline change is one of the most frequent problems encountered in the coastal environment and is caused by natural processes that result in dynamic changes in the coastal area. Coastal area change can affect the vulnerability of the coastal environment and its properties, such as shoreline stabilization, flood control, sediment retention, natural protection and others. The method of integrating remote sensing data with geographic information system (GIS) techniques has been widely used to monitor and analyze the dynamics of shoreline change in coastal areas. The purpose of this study is to map and analyze the dynamics of shoreline change from 1978 to 2017 in the study area. An approach combining spectral value index and visual interpretation of Landsat images was used and proposed to indicate the separation of land and water bodies, for shoreline extraction. The normalized difference water index (NDWI) can be used as a spectral value index approach for differentiating land and water bodies. Furthermore, the analysis of shoreline changes was performed using the digital shoreline analysis system (DSAS). Based on calculations made using DSAS, it can be seen that the pattern of coastline change tends to be dominated by offshore erosion. The results of this study may also be important as input data for coastal hazard assessment as part of the effort to overcome the problem of flood tides. © 2016 Moscow State University of Psychology &amp; Education.</t>
  </si>
  <si>
    <t>2-s2.0-85083586450"</t>
  </si>
  <si>
    <t>10.1029/2018JC014165</t>
  </si>
  <si>
    <t>https://www.scopus.com/inward/record.uri?eid=2-s2.0-85065012425&amp;doi=10.1029%2f2018JC014165&amp;partnerID=40&amp;md5=fe555fb75b65aab263ba6ca5aa264669</t>
  </si>
  <si>
    <t>Small island developing states are among the most vulnerable areas to the impact of natural hazards and climate change. Flooding due to storm surges and extreme waves, coastal erosion, and salinization of freshwater lenses are already a serious threat and could lead to irreversible consequences in the coming decades. Reef flat mining is one of the most common practices to source the required material for the implementation of coastal protection measures, but concerns remain that partial removal of the protective reef could increase wave loading on the islands. However, the available data and knowledge on the effects of these mining pits are currently very limited. This study provides new insights on the effects that pits may have on nearshore hydrodynamics and wave runup. Results are based on a large numerical data set of fringing reefs, derived using the validated XBeach nonhydrostatic+ process-based model. Model results indicate that excavation pits cause a decrease in infragravity wave energy around the fundamental mode of the reef, which is partly caused by reduced wave transmission. Additionally, changes in sea and swell wave energy are attributed to reduced transmission, a decrease in wave dissipation, and (triad) wave–wave interaction. Furthermore, in 13% of all modeled cases, an increase in wave runup is observed, mainly due to more sea and swell wave energy reaching the shoreline. This probability is lowest for narrow pits relative to the reef flat width or pits located further from shore. © 2019. The Authors.</t>
  </si>
  <si>
    <t>2-s2.0-85065012425"</t>
  </si>
  <si>
    <t>10.1016/j.dib.2019.103975</t>
  </si>
  <si>
    <t>https://www.scopus.com/inward/record.uri?eid=2-s2.0-85066426552&amp;doi=10.1016%2fj.dib.2019.103975&amp;partnerID=40&amp;md5=a0ded674a63f5741be5400902d7b1b57</t>
  </si>
  <si>
    <t>This article presents an ArcGIS geodatabase of socio-demographic and physical characteristics derived from recent high resolution data sources to construct measures of population vulnerability to inundation in the 28 counties of coastal North Carolina, U.S.A. as presented in Pricope et al., 2019. The region is simultaneously densely populated, low-lying and exposed to recurrent inundation related to storms and incremental sea level rise. The data presented here can be used as a decision support tool in coastal planning, emergency management preparedness, designing adaptation strategies and developing strategies for coastal resilience. The socio-demographic data (population and housing) was derived from 228 tables at the block-group level of geography from the 2010 U.S. Census Bureau. These data were statistically analyzed, using Principal Component Analysis, to identify key factors and then used to construct a Social Vulnerability Index (SOVI) at the block-group level of geography which highlighted regions where socio-demographic characteristics such as family structure, race, housing (primarily owner vs. renter-occupied), special needs populations (e.g. elderly and group living), and household/family size play an overwhelmingly important role in determining community vulnerability from a social perspective. An index of physical exposure was developed using the National Flood Hazards Maps (available from North Carolina's Flood Risk Information System and FEMA) along with a novel building inventory dataset available from the North Carolina Department of Public Safety that contains the Finished-Floor Elevation of every structure in the state. We took advantage of the unprecedented high spatial resolution nature of the building inventory dataset to calculate an index of physical vulnerability to inundation of every block group in the 28 coastal counties relative to Base Flood elevations and identified hotspots where this intersection predisposes people to an increased risk of flooding. Here, we present the final derived dataset containing the social, physical and an integrative measure of vulnerability to flooding that can be used at multiple scales of analysis, starting with the regional, county, local, and neighborhood to identify areas of priority intervention for risk-reduction in coastal planning and emergency management preparedness as well as forward-looking adaptation strategies. © 2019 The Author(s)</t>
  </si>
  <si>
    <t>2-s2.0-85066426552"</t>
  </si>
  <si>
    <t>10.1016/j.geomorph.2018.11.005</t>
  </si>
  <si>
    <t>https://www.scopus.com/inward/record.uri?eid=2-s2.0-85056567808&amp;doi=10.1016%2fj.geomorph.2018.11.005&amp;partnerID=40&amp;md5=e58d4fe3ae05771ea60568acfc3e944b</t>
  </si>
  <si>
    <t>The development and evolution of islands along the lower Mississippi River were examined over a 50 year period, between 1965 and 2015. Fluvial islands were historically a fundamental component of the riparian corridor, serving as important ecological habitat for aquatic and terrestrial species. Their degradation was associated with channel engineering, leading to a pronounced single thread channel. Continued channel engineering in the latter twentieth century, however, is associated with a rapid increase in channel islands along the lower Mississippi River. The study utilizes a GIS framework to examine and analyze a range of geospatial data sets, including (i) lidar DEMs, (ii) historic aerial photos, (iii) historic and recent satellite imagery, (iv) historic topographic maps, and (vi) hydrologic data from gauging stations along the lower Mississippi River. Islands were digitized in Google Earth Pro and ArcGIS by identification of vegetation lines. Spatial data (polygons) were used to extract (clip) the LiDAR DEM data for subsequent analysis. The island data was statistically analyzed using a MANOVA and two-way t-test to examine the association of dikes with the morphologic characteristics of islands. The number of islands (&gt;1 ha) significantly increased over the five decade study period, from 105 in 1965, 206 in 1995, to 295 in 2015. The average size of islands decreased from 101 ha (hectare) to 63 ha, because so many new (small) islands formed within the dike fields. The total area of islands (within the river channel) increased from 103 km2 in 1965, 169 km2 in 1995, to 206 km2 in 2015. The total sediment storage within fluvial islands above the average low water surface is 1.81 billion m3. The lower Mississippi has sufficient coarse sediment to construct new riparian lands, despite the large historic decline in sediment load and overall channel bed degradation that occurred in response to large-scale engineering projects over much of the twentieth century. The new rapid growth and development of fluvial lands within the riparian corridor of the lower Mississippi is a positive outcome of an unintended geomorphic consequence, but one that requires additional management considerations. © 2018 Elsevier B.V.</t>
  </si>
  <si>
    <t>2-s2.0-85056567808"</t>
  </si>
  <si>
    <t>Environment and Behavior</t>
  </si>
  <si>
    <t>10.1177/0013916517748711</t>
  </si>
  <si>
    <t>https://www.scopus.com/inward/record.uri?eid=2-s2.0-85041280934&amp;doi=10.1177%2f0013916517748711&amp;partnerID=40&amp;md5=fd0a91edd68ce6f3e8985059e9a1cda3</t>
  </si>
  <si>
    <t>Understanding the impact of digital, interactive flood hazard maps and flood control systems on public flood risk perception could enhance risk communication and management. This study analyzed a survey of residents living near California’s Newport Bay Estuary and found that self-rated nonspatial perceptions of dread or concern over future flood impacts were positively associated with spatial awareness of flood-prone areas. Trust in flood control systems was associated with greater spatial flood hazard awareness but weaker nonspatial dread or concern, suggesting residents who witnessed and trust flood control systems developed a confident sense of flood-prone areas and that this confidence reduced the overall nonspatial sense of flood dread and concern. Viewing a flood hazard map eliminated differences in spatial hazard awareness between subgroups that existed prior to viewing a map, and viewing a map with estimated flood depth and greater spatial differentiation was associated with higher levels of postmap spatial awareness. © The Author(s) 2017.</t>
  </si>
  <si>
    <t>2-s2.0-85041280934"</t>
  </si>
  <si>
    <t>10.5194/nhess-19-973-2019</t>
  </si>
  <si>
    <t>https://www.scopus.com/inward/record.uri?eid=2-s2.0-85065337872&amp;doi=10.5194%2fnhess-19-973-2019&amp;partnerID=40&amp;md5=ad1c8259207ef6d4b90877c32d1fc7f4</t>
  </si>
  <si>
    <t>This study explores the uncertainty introduced in global assessments of coastal flood exposure and risk when not accounting for water-level attenuation due to land-surface characteristics. We implement a range of plausible water-level attenuation values for characteristic land-cover classes in the flood module of the Dynamic and Integrated Vulnerability Assessment (DIVA) modelling framework and assess the sensitivity of flood exposure and flood risk indicators to differences in attenuation rates. Results show a reduction of up to 44&amp;thinsp</t>
  </si>
  <si>
    <t>10.5194/tc-13-1089-2019</t>
  </si>
  <si>
    <t>https://www.scopus.com/inward/record.uri?eid=2-s2.0-85063892365&amp;doi=10.5194%2ftc-13-1089-2019&amp;partnerID=40&amp;md5=a803809574a81ffe29b318e93f9ff6e9</t>
  </si>
  <si>
    <t>Ice-wedge polygons are common features of lowland tundra in the continuous permafrost zone and prone to rapid degradation through melting of ground ice. There are many interrelated processes involved in ice-wedge thermokarst and it is a major challenge to quantify their influence on the stability of the permafrost underlying the landscape. In this study we used a numerical modelling approach to investigate the degradation of ice wedges with a focus on the influence of hydrological conditions. Our study area was Samoylov Island in the Lena River delta of northern Siberia, for which we had in situ measurements to evaluate the model. The tailored version of the CryoGrid 3 land surface model was capable of simulating the changing microtopography of polygonal tundra and also regarded lateral fluxes of heat, water, and snow. We demonstrated that the approach is capable of simulating ice-wedge degradation and the associated transition from a low-centred to a high-centred polygonal microtopography. The model simulations showed ice-wedge degradation under recent climatic conditions of the study area, irrespective of hydrological conditions. However, we found that wetter conditions lead to an earlier onset of degradation and cause more rapid ground subsidence. We set our findings in correspondence to observed types of ice-wedge polygons in the study area and hypothesized on remaining discrepancies between modelled and observed ice-wedge thermokarst activity. Our quantitative approach provides a valuable complement to previous, more qualitative and conceptual, descriptions of the possible pathways of ice-wedge polygon evolution. We concluded that our study is a blueprint for investigating thermokarst landforms and marks a step forward in understanding the complex interrelationships between various processes shaping ice-rich permafrost landscapes. © Author(s) 2019.</t>
  </si>
  <si>
    <t>2-s2.0-85063892365"</t>
  </si>
  <si>
    <t>10.3390/rs11101147</t>
  </si>
  <si>
    <t>https://www.scopus.com/inward/record.uri?eid=2-s2.0-85066735573&amp;doi=10.3390%2frs11101147&amp;partnerID=40&amp;md5=7c9c670abdf197c6412bdaa78f8858b4</t>
  </si>
  <si>
    <t>Dolines are important features strongly influencing the outcomes of groundwater vulnerability maps, subsidence risk and land use studies. Their relationship with subsurface features like epikarst, stresses the importance of doline mapping for environmental and hydrological management strategies. Current methodologies to map dolines from elevation models apply morphometric attributes on depressions, including a depth threshold, to filter depressed areas and to define dolines. However, the use of a single threshold tends to overlook dolines located in already depressed areas. In this work a new geographic information systems (GIS)-based methodology is proposed to identify karst depressions within digital elevation models, applying a multidepth threshold approach. The method statistically classifies depression intervals to identify dolines at variable depths. The method was tested in the Yucatan karst, displaying a final accuracy of 63% after testing different parameters. The results are affected by false positives due to the impossibility of verifying by imagery 190 possible dolines in areas of dense vegetation. Nevertheless, out of 655 estimated dolines, 464 match those located by imagery giving sensitivity and precision values of 85% and 71%, respectively. Comparing this methodology against single threshold outcomes, improvement is evident in doline mapping. Notwithstanding, its application and performance with lower and higher resolution elevation models must be investigated. © 2019 by the authors.</t>
  </si>
  <si>
    <t>2-s2.0-85066735573"</t>
  </si>
  <si>
    <t>10.1007/s12040-019-1146-1</t>
  </si>
  <si>
    <t>https://www.scopus.com/inward/record.uri?eid=2-s2.0-85064036156&amp;doi=10.1007%2fs12040-019-1146-1&amp;partnerID=40&amp;md5=f265e0ddcb2ab548945f9d67e76e9990</t>
  </si>
  <si>
    <t>Accurate demarcation of river basin boundaries is an important input for any programme connected with watershed management. In the present study, the boundary of the Varuna river basin is automatically derived using coarse- and medium-resolution digital elevation models (DEMs) of SRTM-30 m, ASTER-30 m, Cartosat-30 m, ALOS Palsar-12.5 m and Cartosat-10 m as well as manually through on-screen digitisation from a very high-resolution 1 m × 1 m remote sensing data available as Google Earth image. The study demonstrated the efficacy of on-screen digitisation from high-resolution Google Earth image supported by detailed field observations in the precision mapping of the place of origin of the Varuna River, its stream network and basin boundary when compared to the maps generated through automatic methods using DEMs of various resolutions. The Varuna river system takes its headwaters from the areas surrounding Umran and Dain ‘tals’ (shallow, large depressions/basins) but not from the west of Mau Aima town as has been previously reported. © 2019, Indian Academy of Sciences.</t>
  </si>
  <si>
    <t>2-s2.0-85064036156"</t>
  </si>
  <si>
    <t>10.1029/2019GL082491</t>
  </si>
  <si>
    <t>https://www.scopus.com/inward/record.uri?eid=2-s2.0-85065060463&amp;doi=10.1029%2f2019GL082491&amp;partnerID=40&amp;md5=bf9788b9e050fc94e7cc621a8c5a4231</t>
  </si>
  <si>
    <t>River deltas are built by cycles of lobe growth and abrupt channel shifts, or avulsions, that occur within the backwater zone of coastal rivers. Previous numerical models differ on the origin of backwater-scaled avulsion nodes and their consistency with experimental data. To unify previous work, we developed a numerical model of delta growth that includes backwater hydrodynamics, river mouth progradation, relative sea level rise, variable flow regimes, and cycles of lobe growth, abandonment, and reoccupation. For parameter space applicable to lowland deltas, we found that flow variability is the primary mechanism to cause persistent avulsion nodes by focusing aggradation within the backwater zone. Backwater-scaled avulsion nodes also occur under less likely scenarios of initially uniform bed slopes or during rapid relative sea level rise and marine transgression. Our findings suggest that flow variability is a fundamental control on long-term delta morphodynamics. ©2019. American Geophysical Union. All Rights Reserved.</t>
  </si>
  <si>
    <t>2-s2.0-85065060463"</t>
  </si>
  <si>
    <t>10.1080/08920753.2019.1596679</t>
  </si>
  <si>
    <t>https://www.scopus.com/inward/record.uri?eid=2-s2.0-85064268701&amp;doi=10.1080%2f08920753.2019.1596679&amp;partnerID=40&amp;md5=386153b4a9a199b33c7ff8d48b328f87</t>
  </si>
  <si>
    <t>Global sea-level rise (SLR) is among the most alarming aspects of anthropogenic climate change. The human impacts of SLR are experienced unequally between and within municipalities. Existing research has identified social variables that predict municipal adoption of adaptive SLR policy, but this work does not account for the locally specific social factors that shape particular policies to fit particular cases. This study describes social conceptions of the ocean and SLR policy for two coastal cities in western Washington: Aberdeen and Bainbridge Island. Examining conceptions of marine spaces provides insight into the complex process by which local physical and socio-demographic characteristics shape local policy. The study uses a grounded theoretical approach to content analyses, resulting in localized typologies of marine spaces as well as SLR policy profiles for each case. Results indicate that municipalities vary by both social conception of the ocean and SLR policy form. These findings elaborate upon the relationship between socioeconomic conditions and municipal climate change policy adoption, suggesting that in local media and policy discourse, the absence of relevant resources is related to adversarial conceptions of local marine spaces, while abundance of relevant resources is associated with a conception of marine spaces as natural resources. © 2019, © 2019 Taylor &amp; Francis.</t>
  </si>
  <si>
    <t>2-s2.0-85064268701"</t>
  </si>
  <si>
    <t>10.1007/s11111-019-00315-8</t>
  </si>
  <si>
    <t>https://www.scopus.com/inward/record.uri?eid=2-s2.0-85062719287&amp;doi=10.1007%2fs11111-019-00315-8&amp;partnerID=40&amp;md5=b1ecdb8575324a2baeca9a6ae08d55ff</t>
  </si>
  <si>
    <t>Louisiana lost nearly 5,000 km2 of its coastal land area due to relative sea level rise (including local, regional, and global factors driving relative sea level change) since 1932, mirroring both the hazards associated with sea level rise and the time horizons of sea level rise impacts expected this century. This represents an opportunity to examine the relationship between long-term population changes and shoreline change. Based on detailed land change data for the period 1932–2010 and a small area population estimation technique for the period 1940–2010, we examine intra-parish population changes in relation to shoreline changes for the one million plus residents living in the ten coastal parishes of Louisiana. We find that since 1940, only two of the ten coastal parishes exhibited landward population movement, which we define as movement perpendicular to the shoreline, exceeding 1 km. Three parishes exhibited seaward population movement in excess of 1 km. Overall, we find very little net intra-parish landward population movement for the region. Our findings suggest that coastal Louisiana’s historical population has not moved in concert with observed shoreline encroachment. We also find a potential tipping point related to population migration when a neighborhood loses at least 50% of its land area. Our findings suggest that this lack of landward population movement could be attributable to either localized adaptation strategies or migrations to other landward areas. © 2019, Springer Nature B.V.</t>
  </si>
  <si>
    <t>2-s2.0-85062719287"</t>
  </si>
  <si>
    <t>10.1002/dep2.69</t>
  </si>
  <si>
    <t>https://www.scopus.com/inward/record.uri?eid=2-s2.0-85075762547&amp;doi=10.1002%2fdep2.69&amp;partnerID=40&amp;md5=89a01ed7533a733bb3f315cfe89440f8</t>
  </si>
  <si>
    <t>Modern, tide-dominated and tide-influenced coastlines are characterized by a range of environments, including deltas, estuaries and lagoons. However, some tide-dominated basins and related sedimentary units in the rock record, such as the semi-enclosed, shallow, Utah–Idaho Trough foreland basin of the Jurassic Curtis Sea, do not correspond to any of these modern systems. Persistent aridity caused the characteristic severe starvation of perennial fluvial input throughout this basin, in which the informal lower, middle and upper Curtis, as well as the underlying Entrada Sandstone, and the overlying Summerville Formation were deposited. Wave energy was efficiently dissipated by the shallow basin's elongated morphology (approximately 800 × 150 km), as its semi-enclosed morphology further protected the system from significant wave impact. Consequently, the semi-enclosed, shallow-marine system was dominated by amplified tidal forces, resulting in a complex distribution of heterolithic deposits. Allocyclic forcing strongly impacted upon the system's intrinsic autocyclic processes as the lower Curtis was deposited. Short-lived relative sea-level variations, along with uplift and deformation episodes, resulted in the accumulation of three parasequences, each separated by traceable flooding and ravinement surfaces. The subsequent transgression, which defines the base of the middle Curtis, allowed for the shallow-marine part of the system to enter into tidal resonance as a consequence of the flooded basin reaching the optimal configuration of approximately 800 km in length, corresponding to an odd multiple of the quarter of the tidal wavelength given an average minimum water depth of 20–25 m. This resonant system overprinted the effects of allocyclic forcing and related traceable stratigraphic surfaces. However, the contemporaneous and neighbouring coastal dune field sedimentary rocks of the Moab Member of the Curtis Formation, characterized by five stacked aeolian sequences, as well as the supratidal deposits of the Summerville Formation, lingered to record allocyclic signals, as the Curtis Sea regressed. This study shows that a tide-dominated basin can enter into tidal resonance as it reaches its optimal morphological configuration, leading to the overprinting of otherwise dominant allocyclic processes by autocyclic behaviour. It is only by considering the sedimentological relationships of neighbouring and contemporaneous depositional systems that a full understanding of the dynamic stratigraphic history of a basin alternatively dominated by autocyclic and allocyclic processes can be achieved. © 2019 The Authors. The Depositional Record published by John Wiley &amp; Sons Ltd on behalf of International Association of Sedimentologists.</t>
  </si>
  <si>
    <t>2-s2.0-85075762547"</t>
  </si>
  <si>
    <t>10.2112/JCOASTRES-D-18-00034.1</t>
  </si>
  <si>
    <t>https://www.scopus.com/inward/record.uri?eid=2-s2.0-85065079411&amp;doi=10.2112%2fJCOASTRES-D-18-00034.1&amp;partnerID=40&amp;md5=5bee516792769a33be852d619fb06f52</t>
  </si>
  <si>
    <t>Vegetation is critical for coastal dune building and stabilization. However, dune vegetation can suffer significant damage from coastal hazards such as hurricanes, anthropogenic disturbances, and tidal flooding. The goal of this study was to evaluate the spatiotemporal dynamics of dune vegetation at South Padre Island, Texas, and to use changes in the landscape structure to better understand dune vegetation recovery from the impact of the 2008 Hurricane Dolly and overall dune vegetation resilience. Remotely sensed imagery was used in the format that was publicly available as Digital Orthophoto Quarterly Quadrangles captured from 1996 to 2016. Landscape metrics were used to quantify dune vegetation spatial structure and changes in the amount of and spatial distribution of dune vegetation. Results from classified images before and after Hurricane Dolly showed only a 5% decrease in dune vegetation cover in the 0.5-km2 study area</t>
  </si>
  <si>
    <t>10.1007/s11069-019-03600-9</t>
  </si>
  <si>
    <t>https://www.scopus.com/inward/record.uri?eid=2-s2.0-85068752377&amp;doi=10.1007%2fs11069-019-03600-9&amp;partnerID=40&amp;md5=9b362a8eafa38a9a3ef3b234a39c66d4</t>
  </si>
  <si>
    <t>Coastal forests can protect coastal areas from the effects of tsunamis. However, the coastal forests of Tohoku were destroyed by the Great East Japan Tsunami, which was triggered by a gigantic earthquake in the Pacific Ocean on 11 March 2011, causing considerable loss of life and widespread socioeconomic damage. To ensure they have a role in protecting coastal areas from the effects of tsunamis, we need to quantitatively evaluate the resistance of coastal forests to the effects of tsunamis. In this study, the critical velocities required to overturn or break the stems of Pinus thunbergii Parlat. trees were calculated from data collected during a field survey in Aomori Prefecture, Japan. The results showed that the damaged and undamaged trees had small and relatively large critical velocities, respectively. Further, trees with larger diameters tended to be overturned rather than broken. Our results are consistent with those of previous studies, which suggests that the critical velocity could be used to evaluate quantitatively evaluate the resistance of coastal forests to the effects of tsunamis. © 2019, Springer Nature B.V.</t>
  </si>
  <si>
    <t>2-s2.0-85068752377"</t>
  </si>
  <si>
    <t>10.1007/s11069-019-03629-w</t>
  </si>
  <si>
    <t>https://www.scopus.com/inward/record.uri?eid=2-s2.0-85069517524&amp;doi=10.1007%2fs11069-019-03629-w&amp;partnerID=40&amp;md5=0e38117d201dfecbbdfe7781856eb3ac</t>
  </si>
  <si>
    <t>The necessity of an effective risk management in urban coastal zone increases, while the climate change creates unpredictable natural hazards. It is therefore very important to develop and implement analytical tools able to assist decision-makers to reveal vulnerable areas and prioritize relevant mitigation and adaptation measures. This article focuses on the applicability of the Coastal City Flooding Vulnerability Index (CCFVI) in zones of coastal cities belonging to the same country and incorporating industrial activities. It targets at investigating the capacity of the CCFVI to adequately take account of the impact of the industrial characteristics that are developed in the study areas on their vulnerability to coastal flooding. The results reveal the reduced discriminative capacity of the “administrative and institutional” subsystem in a centrally planned governance model like the one followed in Greece. They furthermore indicate the need for adding a separate indicators’ subsystem, which will be able to measure the special features of the case study. Specifically, the industrial activity in the urban domain could severely impact the vulnerability of the area and should therefore be considered in designing the risk management plans for these areas. Moreover, the importance of weighting the indicators used in the vulnerability index calculation is emphasized. © 2019, Springer Nature B.V.</t>
  </si>
  <si>
    <t>2-s2.0-85069517524"</t>
  </si>
  <si>
    <t>10.5194/hess-23-2461-2019</t>
  </si>
  <si>
    <t>https://www.scopus.com/inward/record.uri?eid=2-s2.0-85066036772&amp;doi=10.5194%2fhess-23-2461-2019&amp;partnerID=40&amp;md5=0e2736ec8c90f46378b8253cb7a45464</t>
  </si>
  <si>
    <t>The coupled poro-mechanical behaviour of geologic-fluid systems is fundamental to numerous processes in structural geology, seismology, and geotechnics, but is frequently overlooked in hydrogeology. Substantial poro-mechanical influences on groundwater head have recently been highlighted in the Bengal Aquifer System, however, driven by terrestrial water loading across the Ganges-Brahmaputra-Meghna floodplains. Groundwater management in this strategically important fluvio-deltaic aquifer, the largest in southern Asia, requires a coupled hydro-mechanical approach which acknowledges poroelasticity. We present a simple partially coupled, 1-D poroelastic model of the Bengal Aquifer System, and explore the poro-mechanical responses of the aquifer to surface boundary conditions representing hydraulic head and mechanical load under three modes of terrestrial water variation. The characteristic responses, shown as amplitude and phase of hydraulic head in depth profile and of ground surface deflection, demonstrate (i) the limits to using water levels in piezometers to indicate groundwater recharge, as conventionally applied in groundwater resources management</t>
  </si>
  <si>
    <t>10.3390/land8050082</t>
  </si>
  <si>
    <t>https://www.scopus.com/inward/record.uri?eid=2-s2.0-85080982311&amp;doi=10.3390%2fland8050082&amp;partnerID=40&amp;md5=62b5175e61140dd179cf6ebeebbde2f8</t>
  </si>
  <si>
    <t>Ecosystem services (ESs) are increasingly being used by many countries around the world as a framework for addressing the United Nations (UN) Sustainable Development Goals (SDGs). This review article of the usability of Libyan soil databases for ESs and SDGs is the first of its kind for North Africa. The objectives of the article are to: describe the available soil resources of Libya in relation to an ES framework</t>
  </si>
  <si>
    <t>10.5194/os-15-651-2019</t>
  </si>
  <si>
    <t>https://www.scopus.com/inward/record.uri?eid=2-s2.0-85066856317&amp;doi=10.5194%2fos-15-651-2019&amp;partnerID=40&amp;md5=bae0adc4a82d7234568c485b16e3212c</t>
  </si>
  <si>
    <t>Extreme high sea levels (ESLs) caused by storm floods constitute a major hazard for coastal regions. We here quantify their long-term variability in the southern German Bight using simulations covering the last 1000 years. To this end, global earth system model simulations from the PMIP3 past1000 project are dynamically scaled down with a regionally coupled climate system model focusing on the North Sea. This approach provides an unprecedented long high-resolution data record that can extend the knowledge of ESL variability based on observations, and allows for the identification of associated large-scale forcing mechanisms in the climate system. While the statistics of simulated ESLs compare well with observations from the tide gauge record at Cuxhaven, we find that simulated ESLs show large variations on interannual to centennial timescales without preferred oscillation periods. As a result of this high internal variability, ESL variations appear to a large extent decoupled from those of the background sea level, and mask any potential signals from solar or volcanic forcing. Comparison with large-scale climate variability shows that periods of high ESL are associated with a sea level pressure dipole between northeastern Scandinavia and the Gulf of Biscay. While this large-scale circulation regime applies to enhanced ESL in the wider region, it differs from the North Atlantic Oscillation pattern that has often been linked to periods of elevated background sea level. The high internal variability with large multidecadal to centennial variations emphasizes the inherent uncertainties related to traditional extreme value estimates based on short data subsets, which fail to account for such long-term variations. We conclude that ESL variations as well as existing estimates of future changes are likely to be dominated by internal variability rather than climate change signals. Thus, larger ensemble simulations will be required to assess future flood risks. © 2019 Author(s).</t>
  </si>
  <si>
    <t>2-s2.0-85066856317"</t>
  </si>
  <si>
    <t>10.1007/s13157-018-1110-x</t>
  </si>
  <si>
    <t>https://www.scopus.com/inward/record.uri?eid=2-s2.0-85058381519&amp;doi=10.1007%2fs13157-018-1110-x&amp;partnerID=40&amp;md5=689a1710596180e15000e1fd0a4e3be5</t>
  </si>
  <si>
    <t>Coastal ecosystems are at risk across the globe due to combined effects of sea-level rise and human development. This threat is prevalent in the northeastern USA, where sea levels increase 2-6 mm annually. Much of this coastline is buffered by tidal marsh, directly linking monitoring of this ecosystem to effective coastal management into the future. We estimated local and regional elevations of tidal marshes from Maine to Virginia using real-time kinematic (RTK) technology, unmanned aircraft system (UAS) technology, and regional datasets from the National Elevation Dataset (NED) to evaluate elevation monitoring methods for coastal marshes. Locally we found that RTK-sourced elevation measurements are predicted well using the 1/9 arc-second NED layer, however UAS-derived DSMs did not predict RTK values well. Regionally we found the 1/9 arc-second NED explained 90% of the variation in RTK measurements, and this relationship was strongest in high marsh and terrestrial border across spatial scales. Additionally, we found that elevation increases from south to north in the majority of marsh cover types, indicating that continent-scale mechanisms may determine elevation relative to mean sea level. We suggest further work using UAS-sourced Digital Terrain Models and the NED as an economical substitute for RTK in higher-elevation cover types. © 2018, Society of Wetland Scientists.</t>
  </si>
  <si>
    <t>2-s2.0-85058381519"</t>
  </si>
  <si>
    <t>10.1016/j.ocemod.2019.03.004</t>
  </si>
  <si>
    <t>https://www.scopus.com/inward/record.uri?eid=2-s2.0-85062960173&amp;doi=10.1016%2fj.ocemod.2019.03.004&amp;partnerID=40&amp;md5=52ad060e204d268829587a9cc8d4d2a0</t>
  </si>
  <si>
    <t>The amount and extent of coastal flooding caused by hurricanes can be sensitive to the timing or speed of the storm. For storms moving parallel to the coast, the hazards can be stretched over a larger area. Hurricane Matthew was a powerful storm that impacted the southeastern U.S. during October 2016, moving mostly parallel to the coastline from Florida through North Carolina. In this study, three sources for atmospheric forcing are considered for a simulation of Matthew's water levels, which are validated against extensive observations, and then the storm's effects are explored on this long coastline. It is hypothesized that the spatial variability of Matthew's effects on total water levels is partly due to the surge interacting nonlinearly with tides. By changing the time of occurrence of the storm, differences in storm surge are observed in different regions due to the storm coinciding with other periods in the tidal cycles. These differences are found to be as large as 1 m and comparable to the tidal amplitude. A change in forward speed of the storm also should alter its associated flooding due to differences in the duration over which the storm impacts the coastal waters. With respect to the forward speed, the present study contributes to established results by considering the scenario of a shore-parallel hurricane. A faster storm caused an increase in peak water levels along the coast but a decrease in the overall volume of inundation. On the other hand, a slower storm pushed more water into the estuaries and bays and flooded a larger section of the coast. Implications for short-term forecasting and long-term design studies for storms moving parallel to long coastlines are discussed herein. © 2019 Elsevier Ltd</t>
  </si>
  <si>
    <t>2-s2.0-85062960173"</t>
  </si>
  <si>
    <t>10.1016/j.epsl.2019.02.023</t>
  </si>
  <si>
    <t>https://www.scopus.com/inward/record.uri?eid=2-s2.0-85062453722&amp;doi=10.1016%2fj.epsl.2019.02.023&amp;partnerID=40&amp;md5=a447f9f10e3da4a3c8a834a8fd8c438a</t>
  </si>
  <si>
    <t xml:space="preserve">                             Repeated biotic crises have become the hallmark for the Silurian with the three most significant marine turnover events being related to dramatic global environmental perturbations. Causal mechanisms linking these marine extinction events with positive carbon isotope (δ                             13                             C) excursions, paleoceanographic change, and climate remain poorly constrained. Here, we examine the positive δ                             13                             C excursion across the Llandovery/Wenlock boundary, and the associated Ireviken extinction event. This positive δ                             13                             C excursion has been interpreted to reflect a major change in global oceanographic-climate state and enhanced organic carbon burial. New geochemical data from two paleocean basins have been analyzed to determine local and global redox conditions using carbon- and sulfur-isotopes (δ                             34                             S), and iodine (I/Ca+Mg) proxies. The high-resolution δ                             13                             C and δ                             34                             S data from both sections show positive excursions indicative of global perturbations to each of these elemental cycles, with minimal temporal offsets between the two systems. Numerical box modeling of δ                             13                             C and δ                             34                             S data indicates that these isotopic shifts can be generated by significant increases in the burial of organic carbon and pyrite, which are most likely due to enhanced burial under euxinic (anoxic and sulfidic) conditions. Independently, I/(Ca+Mg) values point to locally anoxic bottom waters in the distal and deeper basinal setting in Nevada before, during, and after the Ireviken positive δ                             13                             C excursion. I/(Ca+Mg) values in the proximal shelf setting in Tennessee show relatively oxic waters during the onset of peak δ                             13                             C values, after which bottom-water oxygen concentrations dropped throughout the remainder of the excursion. This multiproxy paleoredox dataset provides the first direct evidence for local and global expansion of reducing marine conditions coincident with the Silurian biotic event and positive δ                             13                             C excursion. Integration of these geochemical data for local- and global-scale changes in marine redox conditions with the paleontological data and evidence for eustatic sea-level rise points toward a shoaling of anoxic and/or euxinic waters onto the shelf as a driver for the Ireviken extinction event.                          © 2019 Elsevier B.V.</t>
  </si>
  <si>
    <t>2-s2.0-85062453722"</t>
  </si>
  <si>
    <t>10.1007/s11069-019-03650-z</t>
  </si>
  <si>
    <t>https://www.scopus.com/inward/record.uri?eid=2-s2.0-85068794408&amp;doi=10.1007%2fs11069-019-03650-z&amp;partnerID=40&amp;md5=275668ce42b762a1fbb4f9dee3db8125</t>
  </si>
  <si>
    <t>Land subsidence in Changzhou City in the central Yangtze River Delta of China poses a serious threat to the safety of the environment and infrastructures. Excessive groundwater withdrawal, rapid urbanisation and industrial activities contribute to land subsidence in this area. In this study, we used the multi-temporal InSAR (MT-InSAR) technique to describe the spatiotemporal characteristics of land subsidence in Changzhou. Twenty-five ENVISAT ASAR and 29 TerraSAR-X images acquired from 2004 to 2013 were used to determine the rate and temporal evolution of land subsidence. We used the ERA-Interim model instead of spatiotemporal filtering in traditional MT-InSAR to mitigate the atmospheric phase screen. The InSAR-derived results were evaluated by comparing data from three time series methods and different bands (C and X bands), and accuracy was validated through levelling surveys and GPS measurements. For three regions, a distinct subsidence pattern was observed in major industrial areas with a maximum subsidence rate of up to − 39.9 mm/year. We also characterised the spatiotemporal variations of land subsidence in major industrial areas in Changzhou. The deformation of large-scale man-made linear features, namely high-speed railways, highway networks and a bridge, was analysed. The spatiotemporal characteristics and possible reasons for the observed subsidence were discussed to provide a reference for future urban development planning in Changzhou. © 2019, Springer Nature B.V.</t>
  </si>
  <si>
    <t>2-s2.0-85068794408"</t>
  </si>
  <si>
    <t>10.3390/rs11080907</t>
  </si>
  <si>
    <t>https://www.scopus.com/inward/record.uri?eid=2-s2.0-85065034133&amp;doi=10.3390%2frs11080907&amp;partnerID=40&amp;md5=eb8f4ee7d27c5238c6f6a082a37a1390</t>
  </si>
  <si>
    <t>Barrier islands are dynamic environments because of their position along the marine- estuarine interface. Geomorphology influences habitat distribution on barrier islands by regulating exposure to harsh abiotic conditions. Researchers have identified linkages between habitat and landscape position, such as elevation and distance from shore, yet these linkages have not been fully leveraged to develop predictive models. Our aim was to evaluate the performance of commonly used machine learning algorithms, including K-nearest neighbor, support vector machine, and random forest, for predicting barrier island habitats using landscape position for Dauphin Island, Alabama, USA. Landscape position predictors were extracted from topobathymetric data. Models were developed for three tidal zones: subtidal, intertidal, and supratidal/upland. We used a contemporary habitat map to identify landscape position linkages for habitats, such as beach, dune, woody vegetation, and marsh. Deterministic accuracy, fuzzy accuracy, and hindcasting were used for validation. The random forest algorithm performed best for intertidal and supratidal/upland habitats, while the K-nearest neighbor algorithm performed best for subtidal habitats. A posteriori application of expert rules based on theoretical understanding of barrier island habitats enhanced model results. For the contemporary model, deterministic overall accuracy was nearly 70%, and fuzzy overall accuracy was over 80%. For the hindcast model, deterministic overall accuracy was nearly 80%, and fuzzy overall accuracy was over 90%. We found machine learning algorithms were well-suited for predicting barrier island habitats using landscape position. Our model framework could be coupled with hydrodynamic geomorphologic models for forecasting habitats with accelerated sea-level rise, simulated storms, and restoration actions. © 2019 by the authors.</t>
  </si>
  <si>
    <t>2-s2.0-85065034133"</t>
  </si>
  <si>
    <t>10.1007/s11852-018-0672-3</t>
  </si>
  <si>
    <t>https://www.scopus.com/inward/record.uri?eid=2-s2.0-85056707134&amp;doi=10.1007%2fs11852-018-0672-3&amp;partnerID=40&amp;md5=87caa094c96752f1a34594762cd72d1f</t>
  </si>
  <si>
    <t>This study examines the morphology, lithological characteristic and controlling factors of coastal sediments in the northeast Gökova Graben (southwest Turkey). The northeast Gökova Graben is located in a region with several human settlements and tourism activities, in the summer. The analysis used in the study is field observation, Digital Elevation Model (DEM) analysis, 18 sieve (including statistical evaluations) and 18 X-ray Fluorescence (XRF) analyses. Due to the boundary of normal faults, predominantly faulted-rocky coasts are expected. However, four different coast types were determined in the northeast Gökova Graben. Evolution of these coast types is dependent on orientation of the normal faults and also distribution of different coastal rocks and rivers. The predominant coast type, rocky coasts are formed by faulted, high-resistant Jurassic-limestone. Owing to reworking and short transportation via brooks and the force of gravity, narrow gravely shingle beaches are only observable in front of the Quaternary-conglomerate cliff. Perennial streams form two different coasts. Long stream formed the wide sandy beach in the eastern end of Gulf. While short streams, which obliquely cut the graben, formed the sandy-gravely beach at the western end of the study area. Recent beachrock, coastal rock staining and wave notches are indicators for a stable sea level in the study area. Past sea level indicators are the hanging beachrocks and wave notches located in the western part of the study area. Past activities of the interior faults within the graben are responsible for ancient sea level fluctuations. Moreover, global warming increases the risk of sea level rise. A possible rise in the future sea-level may destroy narrow-gravely beaches. This risk may also threaten the wide sandy beach as well as the settlement in the area. © 2018, Springer Nature B.V.</t>
  </si>
  <si>
    <t>2-s2.0-85056707134"</t>
  </si>
  <si>
    <t>10.24043/isj.67</t>
  </si>
  <si>
    <t>https://www.scopus.com/inward/record.uri?eid=2-s2.0-85062493837&amp;doi=10.24043%2fisj.67&amp;partnerID=40&amp;md5=50b03c8c2cf951b6f73f5a9f1a626437</t>
  </si>
  <si>
    <t>As climate change accelerates, it brings with it numerous challenges to society and the natural world. Concepts such as vulnerability have emerged as a way of trying to understand people’s risk, despite there being a range of variables that can influence vulnerability and its temporal and spatial dimensions. Drawing from the well-known conceptualisation of vulnerability as a function of exposure, sensitivity, and adaptive capacity, this paper seeks to understand what variables are influencing and shaping vulnerability in Laamu Atoll, the Maldives, and produce a base of knowledge for future vulnerability reduction initiatives. Household questionnaires (n=412) were used on Laamu Atoll to ascertain locals’ perceptions of vulnerability based on livelihood resources, financial security, and climate-change experiences. Results show that peripherality, as a notion that describes the disparities between ‘core’ and ‘peripheral’ islands, is a key factor shaping vulnerability variables on Laamu Atoll. This has prompted an overarching recommendation for peripherality to be considered as a key dimension of vulnerability to climate change and an important consideration for existing and future human development and climate change policy and practice in Small Island Developing States. © 2019 — Institute of Island Studies, University of Prince Edward Island, Canada.</t>
  </si>
  <si>
    <t>2-s2.0-85062493837"</t>
  </si>
  <si>
    <t>10.2112/JCOASTRES-D-18-00007.1</t>
  </si>
  <si>
    <t>https://www.scopus.com/inward/record.uri?eid=2-s2.0-85065064163&amp;doi=10.2112%2fJCOASTRES-D-18-00007.1&amp;partnerID=40&amp;md5=c9f4d2e6ec4bc969d7edeb72cb388425</t>
  </si>
  <si>
    <t>In estuarine systems, inundation regime plays a vital role in shaping the physical and chemical characteristics of salt marsh ponds. Along the Texas Gulf Coast, salt marsh ponds are scattered across the coastal marsh landscape, with each pond possessing a varying degree of hydrological connectivity to adjacent estuarine waters. The timing, frequency, and magnitude of connection events can directly influence both the abiotic and biotic components of the ponds. To determine how the degree of hydrological connectivity impacts these systems, discriminant function analysis (DFA) was used to test the ability of environmental variables (e.g., pond size, vegetation, soil type, water column salinity, pH, dissolved oxygen, etc.), fish presence-absence data, and fish relative abundances to predict the level of connectivity of a subset of ponds. In addition, canonical correspondence analysis (CCA) was used to determine whether fish assemblage data (collected via seine and minnow traps) could determine whether pond conditions affect the composition of fish assemblages. Results from the DFA for environmental parameters showed that the model classified ponds correctly to their a priori connectivity classifications</t>
  </si>
  <si>
    <t>10.1029/2018JF004975</t>
  </si>
  <si>
    <t>https://www.scopus.com/inward/record.uri?eid=2-s2.0-85065449562&amp;doi=10.1029%2f2018JF004975&amp;partnerID=40&amp;md5=b6c418c5154c579730b9a60ebc1c1db6</t>
  </si>
  <si>
    <t>The natural surface area of many coastal and delta plains has been increased by land reclamation in response to growing populations. These reclaimed lands are often experiencing subsidence. The reclaimed South Flevopolder in the coastal plain of the Netherlands has experienced severe subsidence after its reclamation in 1968. The subsidence is caused by phreatic groundwater level lowering and the associated aeration of the former subaqueous shallow subsurface and increased effective stresses. In this study, surface elevation measurements that quantify the subsidence, conducted annually between 1968 and 1993, and in 2009 and 2012, have been used to constrain and estimate the parameters in models that describe subsidence. For the estimation an Ensemble Smoother with Multiple Data Assimilation was employed. For the forward models, we employed correlations for compression (primary consolidation and creep), oxidation, and shrinkage of coastal deposits. Shrinkage of the aerated clay and organic clay layers was found to be the main contributor to subsidence, and the measurements could be represented well. The quantification of the model parameters allows for better subsidence forecasts. The stochastic method that was employed further facilitates to define a quality measure for forecasts in terms of a covariance matrix or a confidence range. ©2019. The Authors.</t>
  </si>
  <si>
    <t>2-s2.0-85065449562"</t>
  </si>
  <si>
    <t>10.1029/2018JB017107</t>
  </si>
  <si>
    <t>https://www.scopus.com/inward/record.uri?eid=2-s2.0-85067845270&amp;doi=10.1029%2f2018JB017107&amp;partnerID=40&amp;md5=2e5919ed91e94f756e0c125d8fc71076</t>
  </si>
  <si>
    <t>The recent proliferation of high-resolution (&lt;3-m spatial resolution) digital topography data sets opens a spectrum of geodetic applications in differential topography, including the quantification of coseismic vertical displacement fields. Most investigations of coseismic vertical displacements to date rely, in part, on preevent or postevent lidar surveys that are intractable or nonexistent in many locales. Stereogrammetric digital surface models (DSMs) derived from high-resolution satellite optical imagery provide a new avenue for the retrieval of spatially dense vertical coseismic displacements on a global scale. In this study, we generated 2-m resolution preseismic and postseismic DSMs from satellite optical imagery spanning the 2013 Mw7.7 Baluchistan strike-slip earthquake that occurred on the Hoshab fault in southern Pakistan. We applied the Iterative Closest Point algorithm to the DSMs to quantify the coseismic vertical displacement field at a spatial resolution of 10–30 m and to generate 3-D coseismic strain tensors. We found that across-fault vertical offsets alternated between uplift and subsidence and varied between ~1 and 3 m in a nonsystematic manner along the Hoshab fault. We show that the preexisting topography and near-fault geomorphology are variably consistent and inconsistent with the displacement kinematics of the 2013 earthquake, and we argue that these relationships highlight varied slip sense history along the Hoshab fault. Notably, topography along the southern extents of the Hoshab fault requires different surface displacement kinematics than occurred in the 2013 earthquake, suggesting that the Hoshab fault accommodates varying senses of slip (bimodal slip) through time. ©2019. American Geophysical Union. All Rights Reserved.</t>
  </si>
  <si>
    <t>2-s2.0-85067845270"</t>
  </si>
  <si>
    <t>10.1007/s13157-018-1108-4</t>
  </si>
  <si>
    <t>https://www.scopus.com/inward/record.uri?eid=2-s2.0-85056671443&amp;doi=10.1007%2fs13157-018-1108-4&amp;partnerID=40&amp;md5=7da8502e378342c27f5364b6ca1066f3</t>
  </si>
  <si>
    <t>An algorithm developed to derive the morphology of depressional landscape features was applied to the Iowa portion of the Des Moines Lobe using high-resolution hydrologically corrected digital elevation models. In total, 173,171 topographically intact, drained upland depressions were identified, and their individual morphologies determined. The frequency distributions of maximum area of inundation, maximum depth, and maximum storage volume of depressions were described by a power-law function. Maximum storage volume was strongly related to maximum inundation area through a power-law model, the parameters of which differ from those reported for other areas of the North American Prairie Pothole Region. The spatial distributions, densities, and bulk morphological attributes of upland depressions within the DML-IA tend to be coincident with the region's distinctive glaciated sub-regions. © 2018, Society of Wetland Scientists.</t>
  </si>
  <si>
    <t>2-s2.0-85056671443"</t>
  </si>
  <si>
    <t>10.1016/j.cities.2018.10.007</t>
  </si>
  <si>
    <t>https://www.scopus.com/inward/record.uri?eid=2-s2.0-85058426883&amp;doi=10.1016%2fj.cities.2018.10.007&amp;partnerID=40&amp;md5=94af10e7dec3916e77dea0675147aa7c</t>
  </si>
  <si>
    <t>Sea-level rise (SLR) has drawn unprecedented attention from coastal communities around the world. In fact, many are already being affected and, in response, SLR vulnerability assessments have increasingly emerged in the US as the local communities' first attempt on the adaptation planning agenda. However, to date, little is known about these early planning endeavors in terms of how vulnerability is conceptualized and operationalized. By reviewing the current local SLR vulnerability assessments in the US, we find that most are only focusing on their biophysical exposure to SLR overlooking other important vulnerability factors including sensitivity and adaptive capacity. The limited number of SLR scenarios and the lack of consideration for extreme events are also considered as the major deficiencies. To fill these gaps, we propose a conceptual vulnerability assessment framework to operationalize the full concept of vulnerability and test it through a case study in the Tampa Bay region, Florida. By comparing the vulnerability results of the common practice with our proposed framework, we find large variances in the resulting findings stressing the importance of selecting the proper assessment approach. This paper finally concludes with urban planning and governance implications and future research directions. Coastal planner and managers wanting to improve their understanding of the communities' vulnerability to SLR will benefit from this study. © 2018</t>
  </si>
  <si>
    <t>2-s2.0-85058426883"</t>
  </si>
  <si>
    <t>10.1007/s11707-018-0746-4</t>
  </si>
  <si>
    <t>https://www.scopus.com/inward/record.uri?eid=2-s2.0-85065842002&amp;doi=10.1007%2fs11707-018-0746-4&amp;partnerID=40&amp;md5=c8f6f6e9ddb33e80769b568c8bbbb2b2</t>
  </si>
  <si>
    <t>Sea level rise (SLR) can cause water depth increase (WDI) and coastal inundation (CI). By applying the coupled FVCOM + SWAN model, this study investigates the potential impacts of WDI and CI, induced by a 1.0 m SLR, on storm surge and waves within the Yangtze River Estuary. A 1.0 m WDI decreases the maximum storm surge by 0.15 m and increases the maximum significant wave height by 0.35 m. The CI effect size is smaller when compared with WDI. CI decreases the maximum storm surge and significant wave height by 0.04 and 0.07 m, respectively. In the near-shore area, WDI significantly alters the local hydrodynamic environment, thereby stimulating changes in maximum storm surges and wave heights. Low-lying regions are negatively impacted by CI. Conversely, in deep-water areas, the relative change in water depth is minimal and the effect of CI is gradually enhanced. The combined effect of WDI and CI decreases the maximum surge by 0.31 m and increases the maximum significant wave height by 0.21 m. As a result, CI may be neglected when designing deep-water infrastructures. Nonetheless, the complex interactions between adoption and neglect of CI should be simulated to achieve the best seawall flood control standards and design parameters. © 2019, Higher Education Press and Springer-Verlag GmbH Germany, part of Springer Nature.</t>
  </si>
  <si>
    <t>2-s2.0-85065842002"</t>
  </si>
  <si>
    <t>10.2166/wp.2019.004</t>
  </si>
  <si>
    <t>https://www.scopus.com/inward/record.uri?eid=2-s2.0-85067516876&amp;doi=10.2166%2fwp.2019.004&amp;partnerID=40&amp;md5=4146f63606d16fcc85a3263d1fef934a</t>
  </si>
  <si>
    <t>In the United States, the national framework to address flood risk is the 50-year-old National Flood Insurance Program where the government bears the risk and private insurers handle customer policies. The program bundles insurance with flood mapping, floodplain management, and mitigation in the Federal Emergency Management Agency. Despite financial shortfalls and political controversy, evidence shows that public support is sufficient to continue and reform the program. Originally intended to transfer risk from taxpayers to insurance, the program recently required a taxpayer bailout after major hurricane-induced flood losses. Affordability of premiums is a major financial concern, even while premiums are forecast to rise. The flood mapping program is key to risk assessment, but it needs much improvement. The risk pool depends on compliance with floodplain resilience controls, which work better in riverine environments than in coastal zones. There is evidence of increased private sector interest in offering flood insurance. Politics raise questions about whether the needed reforms will succeed, but promising initiatives are to base premiums on risk, emphasize improvements in flood mapping, increase the involvement of private insurers in flood insurance, and increase responsibility of the state and local governments in flood risk resilience. © IWA Publishing 2019</t>
  </si>
  <si>
    <t>2-s2.0-85067516876"</t>
  </si>
  <si>
    <t>10.3390/rs11101152</t>
  </si>
  <si>
    <t>https://www.scopus.com/inward/record.uri?eid=2-s2.0-85066730901&amp;doi=10.3390%2frs11101152&amp;partnerID=40&amp;md5=56200b67a2676a556a1087feedfcd855</t>
  </si>
  <si>
    <t>Coastal lowland areas support much of the world population on only a small part of its terrestrial surface. Yet these areas face rapidly increasing land surface subsidence and flooding, and are most vulnerable to future sea level rise. The accurate and up to date digital terrain models (DTMs) that are required to predict and manage such risks are absent in many of the areas affected, especially in regions where populations are least developed economically and may be least resilient to such changes. Airborne LiDAR is widely seen as the most accurate data type for elevation mapping but can be prohibitively expensive, as are detailed field surveys across a broad geographic scale. We present an economical method that utilizes airborne LiDAR data along parallel flight lines ('strips') covering between 10% and 35% of the land depending on terrain characteristics, and manual interpolation. We present results for lowland areas in Central Kalimantan and East Sumatra (Indonesia), for which no accurate DTM currently exists. The study areas are covered with forest, plantations and agricultural land, on mineral soils and peatlands. The method is shown to yield DTM differences within 0.5 m, relative to full coverage LiDAR data, for 87.7-96.4% of the land surface in a range of conditions in 15 validation areas, and within 1.0 m for 99.3% of the area overall. After testing, the method was then applied to the entire eastern coastal zone of Sumatra, yielding a DTM at 100 m spatial resolution covering 7.1 Mha of lowland area from 1.45 Mha of effective LiDAR coverage. The DTM shows that 36.3%, or 2.6 Mha, of this area is below 2 m +MSL and, therefore, at risk of flooding in the near future as sea level rise continues. This DTM product is available for use in flood risk mapping, peatland mapping and other applications. © 2019 by the authors.</t>
  </si>
  <si>
    <t>2-s2.0-85066730901"</t>
  </si>
  <si>
    <t>10.1002/rra.3413</t>
  </si>
  <si>
    <t>https://www.scopus.com/inward/record.uri?eid=2-s2.0-85062801301&amp;doi=10.1002%2frra.3413&amp;partnerID=40&amp;md5=e88ed2ed80caa14dcb24731f680918cc</t>
  </si>
  <si>
    <t>In this paper we provide the first quantitative evidence of the spatial complexity of habitat diversity across the flow regime for locally anabranching channels and their potential increased biodiversity value in comparison to managed single-thread rivers. Ecohydraulic modelling is used to provide evidence for the potential ecological value of anabranching channels. Hydraulic habitat (biotopes) of an anabranched reach of the River Wear at Wolsingham, UK, is compared with an adjacent artificially straightened single-thread reach downstream. Two-dimensional hydraulic modelling was undertaken across the flow regime. Simulated depth and velocity data were used to calculate Froude number index, known to be closely associated with biotope type, allowing biotope maps to be produced for each flow simulation using published Froude number limits. The gross morphology of the anabranched reach appears to be controlling flow hydraulics, creating a complex and diverse biotope distribution at low and intermediate flows. This contrasts markedly with the near uniform biotope pattern modelled for the heavily modified single-thread reach. As discharge increases the pattern of biotopes altered to reflect a generally higher energy system, interestingly however, a number of low energy biotopes were activated through the anabranched reach as new subchannels became inundated and this process creates valuable refugia for macroinvertebrates and fish, during times of flood. In contrast, these low energy areas were not seen in the straightened single-thread reach. Model results suggest that anabranched channels have a vital role to play in regulating flood energy on river systems and in creating and maintaining hydraulic habitat diversity. © 2019 The Authors River Research and Applications Published by John Wiley &amp; Sons Ltd.</t>
  </si>
  <si>
    <t>2-s2.0-85062801301"</t>
  </si>
  <si>
    <t>10.1016/j.envsoft.2019.03.001</t>
  </si>
  <si>
    <t>https://www.scopus.com/inward/record.uri?eid=2-s2.0-85062971655&amp;doi=10.1016%2fj.envsoft.2019.03.001&amp;partnerID=40&amp;md5=de22397aa9e517c5881577518a630558</t>
  </si>
  <si>
    <t>A user-friendly system designed to understand local littoral processes and design/evaluate coastal interventions, named the Coastal Modeling System (SMCε) is presented. The system, which comprises a set of numerical models, state-of-the-art methodologies and numerical databases, is prepared to provide a method for coastal practitioners, researchers and decision-makers to address coastal issues, such as erosion and flooding or to evaluate coastal defense structures. The system incorporates a method to transfer numerically generated, calibrated and validated wave series to the surf zone</t>
  </si>
  <si>
    <t>10.1007/s11769-019-1042-2</t>
  </si>
  <si>
    <t>https://www.scopus.com/inward/record.uri?eid=2-s2.0-85066119865&amp;doi=10.1007%2fs11769-019-1042-2&amp;partnerID=40&amp;md5=ebc82bbe39d061bcd03f5effc9c5657e</t>
  </si>
  <si>
    <t>This paper attempts to assess the vulnerability to climate change of human communities in selected mouzas of Sagar Island, South 24 Parganas District of India. A primary household survey has been conducted to collect data on socio-demographic profile, livelihood strategy, health, food, water, social network, natural disaster and climate variation indicators, were selected for Livelihood Vulnerability Index (LVI) and Livelihood Vulnerability Index-Intergovernmental Panel on Climate Change (LVI-IPCC) analyses to measure and compare the vulnerability of mouzas (administrative unit) currently suffering from frequent flooding, coastal erosion and embankment breaching on an annual basis. Secondary data collected from the Indian Meteorological Department, the Water Resources Information System of India and the Global Sea Level Observing System have been used to identify dynamics of climate change by employing statistical and Geographic Information System (GIS) techniques. A GPS survey has been conducted to identify locations of embankment breaching, and satellite images obtained from the National Aeronautics and Space Administration and U.S. Geological Survey (NASA USGS) Government website have been applied to shoreline and land use change detection, using a supervised maximum likelihood classification. The results indicate that the study area has experienced increasing temperature, changing precipitation patterns, rise in sea level, higher storm surges, shoreline change, constant land loss, embankment breaching and changing land use, which have had impact on vulnerability, particularly of poorer people. The LVI (0.48 to 0.68) and LVI-IPCC (0.04 to 0.14) scores suggest that the populations of Dhablat, Bankimnagar, Sumatinagar, Muri Ganga and Sibpur mouzas are highly vulnerable (LVI scores of 0.60 to 0.68 and LVI-IPCC scores of 0.11 to 0.14) to climate change both because the communities are more exposed to it, and because poor access to food, health facilities and water makes them extremely sensitive to it and lowers their adaptive capacity. The findings of this study could be crucial to framing further development and adaptation strategies relating to climate change, and to safeguarding the estuarine ecosystem and the vulnerable population. © 2019, Science Press, Northeast Institute of Geography and Agroecology, CAS and Springer-Verlag GmbH Germany, part of Springer Nature.</t>
  </si>
  <si>
    <t>2-s2.0-85066119865"</t>
  </si>
  <si>
    <t>10.1007/s11852-018-0661-6</t>
  </si>
  <si>
    <t>https://www.scopus.com/inward/record.uri?eid=2-s2.0-85053620659&amp;doi=10.1007%2fs11852-018-0661-6&amp;partnerID=40&amp;md5=41b22216cea10c353eb0d4f08053c3a9</t>
  </si>
  <si>
    <t xml:space="preserve">                             With increasing sea levels and anthropogenic coastal pressure, it is more important than ever to develop coastal zone management techniques that are based on sound scientific methodologies. In this paper shoreline change rates were calculated for Port Eynon Bay, Gower, Wales, UK, using a two-step approach (areal and transect-based), to predict future shoreline position and propose management strategies. A Geographical Information System (Qgis) was utilised to calculate shoreline position from historical aerial photographic evidence covering a 60-year period (1944–2014). Results highlighted an increase in the vegetation of 0.41 km                             2                              and a seaward migration of the shoreline (0.3 m/yr.                             −1                             )</t>
  </si>
  <si>
    <t>10.1016/j.cageo.2019.01.020</t>
  </si>
  <si>
    <t>https://www.scopus.com/inward/record.uri?eid=2-s2.0-85061981013&amp;doi=10.1016%2fj.cageo.2019.01.020&amp;partnerID=40&amp;md5=451db633912bade7a217a0775d79d237</t>
  </si>
  <si>
    <t>We present a topographic processing tool, PriorityFlow, designed to improve the topographic input datasets which are required for physically based hydrologic models. PriorityFlow is available on GitHub, combines multiple processing approaches, and includes several key innovations over previous work: (1) a novel approach for incorporating a-priori stream network information with priority flood routing DEM processing, (2) improved slope calculations that incorporate flow directions, (3) options for incorporating slopes perpendicular to the primary flow direction, (4) more flexible options for defining subbasins and enforcing slopes along stream reaches. Here we document the approach and demonstrate the impact of topographic processing choices on hydrologic simulations. Results demonstrate that the modified priority flood algorithm can better reproduce observed stream networks without relying on traditional stream burning approaches. Additionally, we demonstrate the impact of slope processing options on runoff timing and magnitude. Specifically, we highlight the sensitivity of the hydrograph to slope processing choices along stream reaches. © 2019 Elsevier Ltd</t>
  </si>
  <si>
    <t>2-s2.0-85061981013"</t>
  </si>
  <si>
    <t>10.3390/rs11080901</t>
  </si>
  <si>
    <t>https://www.scopus.com/inward/record.uri?eid=2-s2.0-85065017347&amp;doi=10.3390%2frs11080901&amp;partnerID=40&amp;md5=e66efa327ad2495793b9e4c50f499efc</t>
  </si>
  <si>
    <t>Unmanned Aerial Vehicle (UAV) platforms have rapidly developed as tools for remote mapping at very high spatial resolutions. They have recently gained in popularity in many application fields owing to the versatility of platforms and sensors, ease of deployment, and a steady increase in computational power. Obtaining highly detailed topography data over very small scales is one of the more typical application domains. Here, we demonstrate this application using Structure from Motion (SfM) processing over a small river floodplain in Howard County (Maryland, USA). Evaluation of the derived bare-earth terrain model with state-of-the art LiDAR shows a trivial bias of 1.6 cm and a root mean square deviation (RMSD) of 39 cm. We then applied this terrain model to extract floodplain and river cross-section geometries of a small stream, important during high-magnitude urban flash flood events, with the aim to assess its value for floodplain inundation mapping and first order characterization of in-channel hydraulics. Initial findings agree with traditional stream and floodplain classification theory and thus show very promising results for this type of UAV usage. We expect this type of application to gain more momentum in the near future with the ever-growing importance of more detailed data in order to increase resilience to flood risk, especially in urban areas. © 2019 by the authors.</t>
  </si>
  <si>
    <t>2-s2.0-85065017347"</t>
  </si>
  <si>
    <t>10.3390/atmos10060296</t>
  </si>
  <si>
    <t>https://www.scopus.com/inward/record.uri?eid=2-s2.0-85068839197&amp;doi=10.3390%2fatmos10060296&amp;partnerID=40&amp;md5=8ff6c9f8d723656738e3d6e5841b2ef2</t>
  </si>
  <si>
    <t>The destructiveness and potential hazards brought to the Pearl River Delta (PRD) by the category-3 typhoon Hato in 2017 have been studied. The results show that wind flow is one of the key parameters influenced by tropical cyclones. The observed wind at Shenzhen station changed from median southwesterly and calm northerly to strong easterly during the evolution of Hato as it approached the PRD and during landfall, respectively. The peak wind intensity at the surface level and a height of 300 m reached over 17 m s-1 and 30 m s-1, respectively. In Zhuhai, the area closest to the landfall location, the situ observation shows that the maximum wind and the maximum gust on 23 August 2017 reached 29.9 m s-1 and over 50 m s-1, respectively, which is a record-breaking intensity compared with the highest recorded intensity during tropical cyclone (TC) activity in Vicente in 2012. The maximum sea level during 23 August 2017, with an added influence from the storm surge and the astronomical tide, was found to be over 3.9 m to the west of Hong Kong. Extreme high temperature was also recorded on 22 August 2017 before the landfall, with 38.4, 38, and 36.9 °C of daily maximum temperature in Shenzhen, Macao, and Hong Kong, respectively. Based on the heat index calculated with the temperature record at Shenzhen's station, the hot temperature hazard reached ""danger"" levels. On the other hand, a prominent air quality deterioration was observed on 21 August 2017. The concentrations rapidly increased to 1 time greater than those on the previous day in Hong Kong. The TC-induced sinking motion, continental advection, and less amount of cloud cover were observed before the landfall, and would be the possible factors causing the extreme high temperature and the poor air quality. This case study illustrates that the influences of Hato to the PRD were not only limited to their destructiveness during landfall, but also brought the extreme high temperature and poor air quality. © 2019 by the authors.</t>
  </si>
  <si>
    <t>2-s2.0-85068839197"</t>
  </si>
  <si>
    <t>10.1016/j.advwatres.2019.04.009</t>
  </si>
  <si>
    <t>https://www.scopus.com/inward/record.uri?eid=2-s2.0-85064444793&amp;doi=10.1016%2fj.advwatres.2019.04.009&amp;partnerID=40&amp;md5=4973bfab609466b02f8fdde2cedb238c</t>
  </si>
  <si>
    <t>A method to link bivariate statistical analysis and hydrodynamic modeling for flood hazard estimation in tidal channels and estuaries is presented and discussed for the general case where flood hazards are linked to upstream riverine discharge Q and downstream ocean level, H. Using a bivariate approach, there are many possible combinations of Q and H that jointly reflect a specific return period, T, raising questions about the best choice as boundary forcing in a hydrodynamic model. We show, first of all, how possible Q and H values depend on whether the definition of T corresponds to the probability of exceedance of “H OR Q” or “H AND Q”. We also show that flood hazards defined by “OR” return periods are more conservative than “AND” return periods. Finally, we introduce a new composite water surface profile to represent the spatially distributed hazard for return period T. The composite profile synthesizes hydrodynamic model results from the “AND” hazard scenario and two scenarios based on traditional univariate analysis, a “Marginal Q” scenario and a “Marginal H” scenario. © 2019 Elsevier Ltd</t>
  </si>
  <si>
    <t>2-s2.0-85064444793"</t>
  </si>
  <si>
    <t>10.1007/s11069-019-03648-7</t>
  </si>
  <si>
    <t>https://www.scopus.com/inward/record.uri?eid=2-s2.0-85068852433&amp;doi=10.1007%2fs11069-019-03648-7&amp;partnerID=40&amp;md5=ae8b470e524cb559afbd3a8304e7f995</t>
  </si>
  <si>
    <t>One of the most dangerous challenges to settlements in the UK comes from flooding. Currently, there is extensive map coverage of flood hazards zones in the UK; however, it is increasingly recognised that risk associated with natural hazards cannot be reduced solely by focussing on the hazard. There is also an urgent need for methods of evaluating and mapping flood vulnerability and risk in detail. Despite its significance, conventional flood risk assessment methodologies often underestimate likely levels of vulnerability in areas prone to hazards, yet it is the degree of vulnerability within a community that determines the consequences of any given hazard. The research presented proposes a general methodology to assess and map Coastal Flood Vulnerability and Risk at a detailed, micro-scale level. This captures aspects that are considered crucial and representative of reality (socio-economic, physical and resilient features). The methodology is then applied to a UK case study (city of Portsmouth). Environment Agency flood hazard data, National Census socio-economic data and Ordnance Survey topographic map data have been used to evaluate and map coastal flood vulnerability, examining neighbourhoods within census wards. This led to a subsequent analysis of Coastal Flood Risk, via the combination of a Coastal Flood Vulnerability Index and a Coastal Flood Hazard Index, for the Portsmouth ward Hilsea. This, consequently, identifies potential weaknesses that could lead to more effective targeting of interventions to improve resilience and reduce vulnerability in the long term and provides a basis for hazard and environmental managers/planners to generate comprehensive national/international vulnerability and risk assessments.</t>
  </si>
  <si>
    <t>10.3390/ijgi8050211</t>
  </si>
  <si>
    <t>https://www.scopus.com/inward/record.uri?eid=2-s2.0-85066323111&amp;doi=10.3390%2fijgi8050211&amp;partnerID=40&amp;md5=9a5c0123faadc45f1946be4a0f79d642</t>
  </si>
  <si>
    <t>Cropping intensity is one of the most important decisions made independently by farmers in Vietnam. It is a crucial variable of various economic and process-based models. Rice is grown under irrigated triple- and double-rice cropping systems and a rainfed single-rice cropping system in the Vietnamese Mekong Delta (VMD). These rice cropping systems are adopted according to the geographical location and water infrastructure. However, little work has been done to map triple-cropping of rice using Sentinel-1 along with the effects of water infrastructure on the rice cropping intensity decision. This study is focused on monitoring rice cropping patterns in the An Giang province of the VMD from March 2017 to March 2018. The fieldwork was carried out on the dates close to the Sentinel-1A acquisition. The results of dual-polarized (VV and VH) Sentinel-1A data show a strong correlation with the spatial patterns of various rice growth stages and their association with the water infrastructure. The VH backscatter (σ◦) is strongly correlated with the three rice growth stages, especially the reproductive stage when the backscatter is less affected by soil moisture and water in the rice fields. In all three cropping patterns, σ◦VV and σ◦VH show the highest value in the maturity stage, often appearing 10 to 12 days before the harvesting of the rice. A rice cropping pattern map was generated using the Support Vector Machine (SVM) classification of Sentinel-1A data. The overall accuracy of the classification was 80.7% with a 0.78 Kappa coefficient. Therefore, Sentinel-1A can be used to understand rice phenological changes as well as rice cropping systems using radar backscattering. © 2019 by the authors.</t>
  </si>
  <si>
    <t>2-s2.0-85066323111"</t>
  </si>
  <si>
    <t>10.1016/j.quaint.2019.04.005</t>
  </si>
  <si>
    <t>https://www.scopus.com/inward/record.uri?eid=2-s2.0-85063939607&amp;doi=10.1016%2fj.quaint.2019.04.005&amp;partnerID=40&amp;md5=91fda36752f3977cde534cb066cb9595</t>
  </si>
  <si>
    <t>The geo-spatial information in the river area is essential for river management such as river planning, flood analysis, and sediment load analysis. Recently, unmanned aerial vehicle (UAV) technology has been actively studied to acquire three-dimensional terrain data. However, the UAV acquired river terrain data is a digital surface model (DSM) that includes the height of a tree or grass in a river. It is different from the digital elevation model (DEM) required by river surveys. In this study, the ground point was extracted by using point cloud point obtained from UAV with Terra Scan software, and the DEM were constructed using the region growth algorithm. In order to evaluate the accuracy of the DEM data, the TRUE value of 100 test points was obtained by using virtual reference station (VRS) and total station survey equipment. As a result, the standard deviation of DSM and DEM were ±3.84 m and ±0.12 m, respectively. Furthermore, the cross section of DEM showed similar elevation values with cross section in the report of basic plan for Gap River. Therefore, DEM can be secured by applying the UAV point cloud based on region growth algorithm, and it can be effectively used for the river management tasks. © 2019</t>
  </si>
  <si>
    <t>2-s2.0-85063939607"</t>
  </si>
  <si>
    <t>10.3390/rs11080959</t>
  </si>
  <si>
    <t>https://www.scopus.com/inward/record.uri?eid=2-s2.0-85065012905&amp;doi=10.3390%2frs11080959&amp;partnerID=40&amp;md5=7571595c16469386903dba1c0f407d9a</t>
  </si>
  <si>
    <t>Accurate and up-to-date tidal flat mapping is of much importance to learning how coastal ecosystems work in a time of anthropogenic disturbances and rising sea levels, which will provide scientific instruction for sustainable management and ecological assessments. For large-scale and high spatial-resolution mapping of tidal flats, it is diffcult to obtain accurate tidal flat maps without multi-temporal observation data. In this study, we aim to investigate the potential and advantages of the freely accessible Landsat 8 Operational Land Imager (OLI) imagery archive and Google Earth Engine (GEE) for accurate tidal flats mapping. A novel approach was proposed, including multi-temporal feature extraction, machine learning classification using GEE and morphological post-processing. The 50 km buffer of the coastline from Hangzhou Bay to Yalu River in China's eastern coastal zone was taken as the study area. From the perspective of natural attributes and unexploited status of tidal flats, we delineated a broader extent comprising intertidal flats, supratidal barren flats and vegetated flats, since intertidal flats are major component of the tidal flats. The overall accuracy of the resultant map was about 94.4% from a confusion matrix for accuracy assessment. The results showed that the use of time-series images can greatly eliminate the effects of tidal level, and improve the mapping accuracy. This study also proved the potential and advantage of combining the GEE platform with time-series Landsat images, due to its powerful cloud computing platform, especially for large scale and longtime tidal flats mapping. © 2019 by the authors.</t>
  </si>
  <si>
    <t>2-s2.0-85065012905"</t>
  </si>
  <si>
    <t>10.1080/01431161.2019.1584926</t>
  </si>
  <si>
    <t>https://www.scopus.com/inward/record.uri?eid=2-s2.0-85062469258&amp;doi=10.1080%2f01431161.2019.1584926&amp;partnerID=40&amp;md5=80aeb490ccf8496bf9c85e729dfe9652</t>
  </si>
  <si>
    <t>We discuss the application of unmanned aerial systems (UASs) and UAS-derived data to model glacier topography for detecting and analysing slow and rapid changes in glacier surfaces. The study was conducted in East Antarctica in the austral summer 2016/2017. The surveyed areas included an eastern part of the Larsemann Hills, an Airfield of the Progress Station, an initial section of a Sledge route from the Progress to Vostok Stations, and a north-western margin of the Dålk Glacier. We used a Geoscan 201 Geodesy, a professional-grade flying-wing UAS. For the photogrammetric processing, we utilized the Agisoft PhotoScan software. The direct georeferencing approach was applied. Several high-resolution, multitemporal digital elevation models (DEMs) for surveyed areas were produced. The DEM accuracy was estimated in the absence of ground control points and reference DEMs. We determined the ice flow velocity within the Airfield area and the Sledge route zone, where marked points were installed and moved together with the ice surface. We found that UAS imagery can be used for real-time monitoring of open and some snow-covered crevasses of various sizes. Wind-driven snow microforms are also well recognizable on UAS-derived aerial images. The 2017 Dålk Glacier catastrophic subsidence demonstrated that monitoring and studying such events in glaciers and ice sheets are almost impossible without UASs. Optimal meteorological conditions were empirically determined for conducting unmanned aerial survey to obtain images suitable for subsequent photogrammetric processing and DEM generation. Finally, we discuss adaptation of equipment and software to the Antarctic environment. © 2019, © 2019 Informa UK Limited, trading as Taylor &amp; Francis Group.</t>
  </si>
  <si>
    <t>2-s2.0-85062469258"</t>
  </si>
  <si>
    <t>10.1007/s11069-019-03587-3</t>
  </si>
  <si>
    <t>https://www.scopus.com/inward/record.uri?eid=2-s2.0-85062771879&amp;doi=10.1007%2fs11069-019-03587-3&amp;partnerID=40&amp;md5=baede3dca317a89ec5fee8fb01d9152d</t>
  </si>
  <si>
    <t>In this study, the first ever Sea, Lake, Overland Surges from Hurricanes (SLOSH) grid was built for the Yucatan Peninsula. The SLOSH model was used to simulate storm surges in the coastal area of the states of Yucatan and Campeche (Mexico). Based on climatology, more than 39,900 hypothetical hurricanes covering all possible directions of motion were synthesized. The storm intensity (category), forward speed, radius of maximum winds and the tide anomaly were varied for each hypothetical track. According to these scenarios, the potential storm surge and associated inundation threat were computed. Subsequently, the Maximum Envelope of Water (MEOW) and the Maximum of the MEOWs (MOMs) were calculated to assess the flood hazard induced by tropical cyclones under varying conditions. In addition, for each MOM, the socioeconomic vulnerability aspects were taken into account in order to assess the hurricane flood risk for the states of Yucatan and Campeche. Results show that the most vulnerable areas are the surroundings of Terminos lagoon, Campeche City and its neighboring areas in the state of Campeche. For Yucatan, the towns located in the Northwest (Celestun, Hunucma and Progreso) and the eastern part of the state presented the highest risk values. The methodology used in this study can be applied to other coastal zones of Mexico as well as places with similar attributes. Furthermore, the MEOW and MOM are very useful as a decision-making tool for prevention, preparedness, evacuation plans, mitigation of the flood hazard and its associated risk, and also for insurance companies. © 2019, Springer Nature B.V.</t>
  </si>
  <si>
    <t>2-s2.0-85062771879"</t>
  </si>
  <si>
    <t>10.3390/HYDROLOGY6020056</t>
  </si>
  <si>
    <t>https://www.scopus.com/inward/record.uri?eid=2-s2.0-85070759104&amp;doi=10.3390%2fHYDROLOGY6020056&amp;partnerID=40&amp;md5=aa8afc92559d9028014a618b735d6532</t>
  </si>
  <si>
    <t>Urban flooding is a frequent problem affecting cities all over the world. The problem is more significant now that the climate is changing and urbanization trends are increasing. Various, physical hydrological models such as the Environmental Protection Agency Storm Water Management Model (EPA SWMM), MIKE URBAN-II and others, have been developed to simulate flooding events in cities. However, they require high accuracy mapping and a simulation of the underground storm drainage system. Sadly, this capability is usually not available for older or larger so-called megacities. Other hydrological model types are classified in the semi-physical category, like Cellular Automata (CA), require the incorporation of very fine resolution data. These types of data, in turn, demand massive computer power and time for analysis. Furthermore, available forecasting systems provide a way to determine total rainfall during extreme events, but they do not tell us what areas will be flooded. This work introduces an urban flooding tool that couples a rainfall-runoff model with a flood map database to expedite the alert process and estimate flooded areas. A 0.30-m Lidar Digital Elevation Model (DEM) of the study area (in this case Manhattan, New York City) is divided into 140 sub-basins. Several flood maps for each sub-basin are generated and organized into a database. For any forecasted extreme rainfall event, the rainfall-runoff model predicts the expected runoff volume at different times during the storm interval. The system rapidly searches for the corresponding flood map that delineates the expected flood area. The sensitivity analysis of parameters in the model show that the effect of storm inlet flow head is approximately linear while the effects of the threshold infiltration rate, the number of storm inlets, and the storm inlet flow reduction factor are non-linear. The reduction factor variation is found to exhibit a high non-linearity variation, hence requiring further detailed investigation. © 2019 by the authors.</t>
  </si>
  <si>
    <t>2-s2.0-85070759104"</t>
  </si>
  <si>
    <t>10.1080/17477891.2018.1540342</t>
  </si>
  <si>
    <t>https://www.scopus.com/inward/record.uri?eid=2-s2.0-85056151223&amp;doi=10.1080%2f17477891.2018.1540342&amp;partnerID=40&amp;md5=e79e61315caa2dd49b59c1fd905e5362</t>
  </si>
  <si>
    <t xml:space="preserve">                             Increasing urbanization and industrial development upstream of the Mekong River Delta of Vietnam (MRD) including the construction of a series of dams for hydroelectricity generation is changing the downstream risk of flooding. Concerns about the likely influence of global climate change and rising sea levels add further uncertainty to this risk that threatens the livelihood of farmers. With this in mind and in view of the under-developed state of the market for crop insurance in the MRD, we survey rice growers to explore their willingness-to-pay (WTP) for crop insurance by using a choice experiment. The experimental design comprised five attributes, including the type of peril covered–riverine flooding (flooding)</t>
  </si>
  <si>
    <t>10.1016/j.jenvman.2019.03.101</t>
  </si>
  <si>
    <t>https://www.scopus.com/inward/record.uri?eid=2-s2.0-85063929802&amp;doi=10.1016%2fj.jenvman.2019.03.101&amp;partnerID=40&amp;md5=fd1a8b8bc2edff9c49417959019a9dfa</t>
  </si>
  <si>
    <t>Bangladesh is a deltaic country and is highly vulnerable to climate change and sea level rise. This study explores population migration risk in relation to communal crisis due to socioeconomic vulnerability, drinking water scarcity, and health threats caused by salinity hazards. For this, we conducted a household questionnaire survey as well as, focus group discussions, key informant interviews, and field observations. To identify the drinking water salinity and migration risk, our theoretical process hypothesizes a new composite indexing approach. Salinity hazards and potable water crises have increased the spread of human diseases and treatment costs, while socioeconomic crisis and poverty are inseparable risks of coastal communities because of frequent cyclone hits. Recently, salinity hazards have added a new dimension to health insecurities and household financial instability. Results showed a high migration risk in the unions of Gabura, Munshigonj, Atulia, Burigoaliny, and Padmapukur (from highest risk to lowest), as these areas exhibit worsening situations with respect to drinking water scarcity, salinity hazards, and health hazards, and their adaptive capacities are significantly low. Furthermore, socioeconomic vulnerabilities to cyclone hits, salinity hazards, and severe drinking water scarcity may soon contribute to increased population migration in response to climate change, sea level rise, and the associated impacts of these trends. To tackle the future mass population migration problem, urgent action is required to improve socioeconomic conditions, and provide alternative sources of potable water and health care facilities. Hard and soft measures must be ensured to reconstruct vulnerable areas impacted by riverbank erosion, flooding, and waterlogging. Additionally, action should be taken to enhance local awareness of coastal disasters, their associated hazardous consequences, and possible mitigation and adaptation measures. © 2019 Elsevier Ltd</t>
  </si>
  <si>
    <t>2-s2.0-85063929802"</t>
  </si>
  <si>
    <t>10.1029/2018JC014814</t>
  </si>
  <si>
    <t>https://www.scopus.com/inward/record.uri?eid=2-s2.0-85068205537&amp;doi=10.1029%2f2018JC014814&amp;partnerID=40&amp;md5=20d43849e3dc0aac6e7a213ba864f006</t>
  </si>
  <si>
    <t>Submarine groundwater discharge (SGD) is a significant source of biogenic elements in estuaries, and relevant studies in karstic estuaries are scarce. Krka River Estuary (KRE), located on the eastern Adriatic Sea (Croatia), is a typical oligotrophic stratified karstic estuary. In this study, based on 226Ra and 228Ra, the total SGD flux into the KRE surface layer was estimated to be (12.8–16.2) × 105 m3/day. A conservative estimation of the fresh groundwater flux was (5.0–8.3) × 105 m3/day, which accounts for 10–17% of the Krka River discharge into the estuary. By establishing water and nutrient budgets in the KRE surface layer, we found that SGD dominated the nutrient sources, although it accounted for a small portion of the total inflow water. Specifically, net SGD-derived dissolved inorganic nitrogen (DIN) and silicates contributed 58–90% and 24–64%, respectively, to the total input fluxes. These results indicate that SGD was a major external nutrient source, in which net SGD-derived high DIN flux and high DIN to dissolved inorganic phosphorus ratio may affect productivity in the KRE ecosystem and nearby Adriatic Sea. Additionally, net SGD-derived dissolved inorganic carbon (DIC) flux in the KRE (1.53 mol · m2 · day) was much higher than those in most estuaries worldwide, suggesting that the DIC-enriched karst aquifers are important sources for global carbon cycle. Therefore, the impact of net SGD-derived DIC from karst aquifers on coastal seas will likely become more evident and substantial with further development of global climate change, such as sea level rise. ©2019. American Geophysical Union. All Rights Reserved.</t>
  </si>
  <si>
    <t>2-s2.0-85068205537"</t>
  </si>
  <si>
    <t>10.1016/j.earscirev.2019.04.005</t>
  </si>
  <si>
    <t>https://www.scopus.com/inward/record.uri?eid=2-s2.0-85065097085&amp;doi=10.1016%2fj.earscirev.2019.04.005&amp;partnerID=40&amp;md5=cc479873840cf83616813d9846ecb30e</t>
  </si>
  <si>
    <t>Since its first use in the late 80's, the term chevron has been employed in numerous studies to describe large U- and V-shaped ridges found in or near shorelines worldwide. Most studies have so far focused on Bahamian chevrons that are exclusively of Late Pleistocene age, and on the supposed Holocene chevrons found in S-Madagascar and Australia. In the Bahamas, these deposits have been interpreted as the product of extreme storms at the end of the last interglacial (LIG) warm period. In contrast, the extensive chevrons complex exposed in S-Madagascar and on the western coast of Australia have been associated with a tsunami induced by a meteorite impact. Finally, several authors have also proposed a non-catastrophic (i.e. eolian) origin based on the recognized importance of wind-related processes in these coastal areas, and term such deposits parabolic dunes. In this paper, we collect and synthesize existing data on the morphology, sedimentology and age of these chevrons, and review the different interpretations proposed in the literature with the aim to lay out a consistent database to assist further investigations on these important coastal morphologies. In addition, we generated a synthesis of wind data at the three study areas, which highlights the relationship between present wind regimes and chevrons morphologies. The ubiquity of chevrons (likely actually parabolic dunes) in coastal areas around the globe and their relationship with coastal processes makes them crucial archives for reconstructing past wind regimes. © 2019 Elsevier B.V.</t>
  </si>
  <si>
    <t>2-s2.0-85065097085"</t>
  </si>
  <si>
    <t>10.1080/03736245.2018.1541021</t>
  </si>
  <si>
    <t>https://www.scopus.com/inward/record.uri?eid=2-s2.0-85055864131&amp;doi=10.1080%2f03736245.2018.1541021&amp;partnerID=40&amp;md5=ebdec3e6089ba2a401b46834c78d3838</t>
  </si>
  <si>
    <t>Spatial ecological models of wetland systems are important tools for evaluating system response to changes in hydrological inputs, arising from anthropogenic manipulation or climate change. We present an approach using multiple species distribution models (SDMs) for floodplain macrophytes, based on empirical relationships with flood duration. 27 indicator species were identified for four floodplain classes in a seasonally pulsed distributary of the Okavango Delta, based on data from a field survey of 30 floodplain sites. Spatial hydrological history was constructed using a combination of Landsat and MODIS imagery, and ground-truthing. Relationships between duration and occurrence were used to construct general linear probability models (GLMs) of species along the hydroperiod gradient. The GLM parameters were then used to construct SDMs driven by a spatial hydrological model, which generates annual assessments of inundation duration in months in each 1km2 cell across the Delta. The modelled distribution fits were mostly robust (18 GLMs had p &lt; 0.05). Tests of model performance against a validation set of five floodplain sites showed an average of 87% correct predictions of presence. The strong performance of the models and the ability to produce map-based and quantitative output indicate good potential for use in assessment of basin development scenarios. © 2018, © 2018 The Society of South African Geographers.</t>
  </si>
  <si>
    <t>2-s2.0-85055864131"</t>
  </si>
  <si>
    <t>10.1007/s12040-019-1111-z</t>
  </si>
  <si>
    <t>https://www.scopus.com/inward/record.uri?eid=2-s2.0-85063915747&amp;doi=10.1007%2fs12040-019-1111-z&amp;partnerID=40&amp;md5=f14386ef95f1add71fb1e852f53e2ef5</t>
  </si>
  <si>
    <t>This study focuses on flash flood susceptibility modelling using geomorphometric ranking approach in the Ushairy Basin. In the study area, flash floods are highly unpredictable and the worst hydrometeorological disaster. An advanced spaceborne thermal emission and reflection radiometer global digital elevation model was used as input data in a geographic information system environment to delineate the target basin. A total of 17 sub-basins were delimited using a threshold of 4 km 2. The attribute information of each sub-basin was analysed to compute the geomorphometric parameters by applying Hortonian and Strahler geomorphological models. The results were analysed and categorised into five classes using statistical techniques, and the rank score was assigned to each class of all parameters depending on their relation with flash flood risk. In this study, 16 parameters were analysed to quantify the geomorphometric number of each sub-basin depicting the degree of flash flood susceptibility. The geomorphometric number of each sub-basin was linked to the geo-database for spatial visualisation. The analysis reveals that extremely high, very high, high and moderate sub-basins susceptible to flash floods were spread over an area of 55%, 8.5%, 23.7%, and 11.5%, respectively. It was found that out of total settlements, 53% are located in the extremely highly and very highly susceptible sub-basins. In the study area, the upper reaches are characterised by snow-covered peaks, steep slopes and high drainage densities (&gt;1.7km/km2). The analysis further indicated that the flash flood susceptibility increases with the increase in area, relief and relief ratio of the sub-basins. Model accuracy was assessed using primary data regarding past flood damages and human fatalities. Similarly, socio-demographic conditions of each sub-basin were also compared and linked to the extent of flash flood susceptibility. This study may assist the district government and district disaster management authority of Dir upper to initiate flood risk reduction strategies in highly susceptible zones of the Ushairy Basin. © 2019, Indian Academy of Sciences.</t>
  </si>
  <si>
    <t>2-s2.0-85063915747"</t>
  </si>
  <si>
    <t>10.1130/G45507.1</t>
  </si>
  <si>
    <t>https://www.scopus.com/inward/record.uri?eid=2-s2.0-85065549317&amp;doi=10.1130%2fG45507.1&amp;partnerID=40&amp;md5=3fc840686e09f6ed467d64a12528084e</t>
  </si>
  <si>
    <t>Delta plains host heavily populated and extensive agricultural areas with strong anthropogenic overprints on the natural evolution of these important landforms. Furthermore, modern delta plains have formed over a short geological time frame, representing immature end members to ancient counterparts in Earth's history-it could thus be argued that these are poor analogues for deciphering the sedimentary rock record. Our present study offers unique insight into the controls and potential extent of ancient deltas by investigation of the Triassic Boreal Ocean, where a large delta plain has been traced across &gt; 1.65 × 106 km2. We show by comparison that the Triassic Boreal Ocean delta plain is larger than all modern and known ancient counterparts. Supply-driven progradation of this delta system proceeded uninterrupted on a 106 yr scale, indicating relative sea-level stability during this period-in support of a Triassic Greenhouse without pronounced glaciations. Reconstructed paleo-bathymetric relief shows the Triassic Boreal Ocean to have been one order of magnitude smaller than modern equivalents, explaining its vast extent. Despite its extent, the delta plain shows similar geomorphological characteristics to many modern delta plains, supporting their validity as analogues to the ancient, although scales might vary significantly. © 2019 Geological Society of America.</t>
  </si>
  <si>
    <t>2-s2.0-85065549317"</t>
  </si>
  <si>
    <t>10.1007/s13753-019-0222-0</t>
  </si>
  <si>
    <t>https://www.scopus.com/inward/record.uri?eid=2-s2.0-85067364046&amp;doi=10.1007%2fs13753-019-0222-0&amp;partnerID=40&amp;md5=b9edb4bbc7d35e7d764b6bb1e526c2bd</t>
  </si>
  <si>
    <t>The 2007 European Union Floods Directive encouraged member nations to pursue a more integrated view of flood risks and management strategies, taking into account social vulnerabilities of residents. To date, most flood-risk analyses conducted by the Dutch government have focused on physical risk. This study utilizes fine-scale data to construct a social vulnerability index for 147 districts of the Dutch province of Zeeland, located in the Southwestern Delta and the scene of widespread devastation following the 1953 North Sea Flood. Factor analysis of 25 indicators of social vulnerability selected from related research in Europe and the United States results in seven factors explaining roughly 66% of the total variance. These factors of social vulnerability in Zeeland are urban density, low-income households, recent population change, female gender, train access, and self-employed and service-sector employment. The index was constructed using the top-loading variable in each of these factors, with weights determined by the variance explained by each factor. Scores range from a low of 0.20 in Schore, municipality of Kapelle, to the highest score of 0.64 in Oudelandse Hoeve of Terneuzen. The most vulnerable districts are located in South Zeeland, with eight of the 10 found in Terneuzen. The majority of less vulnerable districts are located in Zeeland’s central region. © 2019, The Author(s).</t>
  </si>
  <si>
    <t>2-s2.0-85067364046"</t>
  </si>
  <si>
    <t>10.1007/s41324-018-00236-y</t>
  </si>
  <si>
    <t>https://www.scopus.com/inward/record.uri?eid=2-s2.0-85073935515&amp;doi=10.1007%2fs41324-018-00236-y&amp;partnerID=40&amp;md5=cadebdcc0a73fecb7459659a3b30b7f8</t>
  </si>
  <si>
    <t>Climate change is one of the major threatens that coastal areas facing, and these coastal areas already stressed by large population. Past 4 decades tremendous tropical cyclones and associated flood are dismantled the coastline and resulted inundation and displacement of the coastal landforms. In the present study, coastal multi hazard vulnerability mapping has been carried out along the Krishna–Godavari deltaic plain, eastern coast of India. The study area consisting of four district include East Godavari, West Godavari, Krishna and Gundur which are the area affected by coastal hazards and climate variability. The area witnessed a high erosion rate up to 18 m/year in comparison to other regions in the state. Further this area exhibit low elevated topography, therefore sea level rise would lead to permanent inundation. In the study also identified about that 1147 sq km area is falling under multi hazard zone and around 102 coastal villages are under threat. This study revealed that the use of multi layer information combined with geospatial tools is most reliable and coast effective approach for disaster preparedness and adaptation. The result obtained from the present study may serve the baseline information for disaster management planning in the area. © 2019, Korean Spatial Information Society.</t>
  </si>
  <si>
    <t>2-s2.0-85073935515"</t>
  </si>
  <si>
    <t>10.1016/j.gloplacha.2019.03.018</t>
  </si>
  <si>
    <t>https://www.scopus.com/inward/record.uri?eid=2-s2.0-85063503851&amp;doi=10.1016%2fj.gloplacha.2019.03.018&amp;partnerID=40&amp;md5=b9a95bd5aa8205780661941021e0b547</t>
  </si>
  <si>
    <t>Distant swells produced by high latitude storms are poorly studied despite their significant impact on almost all major ocean basins. This article studies the consequences of extreme southern swells on the islands and atolls of French Polynesia by focusing on lagoon water filling. This phenomenon is a product of great water influx in the lagoon coming from waves breaking on the reef. This analysis is based on archives in Tahiti, and on surveys and interviews conducted in the Makemo Atoll (Tuamotu Archipelago) to identify the impacts of giant swells during August 2011 and July 1996. These swells have strongly affected all the archipelagos of the Western Pacific and have been strongly felt on the entire Pacific coastline of the American continent. In French Polynesia they caused a rise in the lagoons that reached 2.75 m (above the lowest astronomical tide), causing a major submersion event that strongly impacted the life of the inhabitants by destroying many resources on which they depended. Comparing the swells of 1996 and 2011, this article shows that the filling of the lagoon is largely determined by the duration of the intense wave event and not only by the maximum intensity reached by the swell. Finally, this article raises the question of how this phenomenon is taken into account in town / atoll planning, and the vulnerability of the coastlines of the intertropical zone to distant swells in the context of sea level rise and changes of atmospheric circulation. © 2019 Elsevier B.V.</t>
  </si>
  <si>
    <t>2-s2.0-85063503851"</t>
  </si>
  <si>
    <t>10.1029/2018JC014741</t>
  </si>
  <si>
    <t>https://www.scopus.com/inward/record.uri?eid=2-s2.0-85065048473&amp;doi=10.1029%2f2018JC014741&amp;partnerID=40&amp;md5=38fb73d1e6a58874f104991496f78e8b</t>
  </si>
  <si>
    <t>The state of Hawaii and city of Honolulu experienced an unprecedented number of minor flooding episodes during 2017 due to the combination of seasonal high tides and record-high mean sea levels. To quantify the impact of sea level rise on the tendency for flooding events to cluster in future years, we developed a hierarchical statistical model describing the number of days per year for which sea level exceeds a prescribed threshold in Honolulu as a function of annual mean sea level and the amplitude of the highest tides. Based on this model, we generate probabilistic projections of exceedance days per year for the 21st century, which show pronounced inflections in the frequency of exceedance days due to the interaction between sea level rise and long-period (18.6 year) modulation of tidal amplitude. Analysis of the projections demonstrates how planning for the “typical” future year can substantially underestimate flooding impacts during inevitable severe years that experience many more exceedance days than expected in a probabilistic sense. The projections also show the potential for rapid, subdecadal transitions from occasional to chronic threshold exceedance during the second half of the century, suggesting that implementation of adaptation and mitigation strategies may need to begin prior to the emergence of occasional minor impacts in affected areas. ©2019. American Geophysical Union. All Rights Reserved.</t>
  </si>
  <si>
    <t>2-s2.0-85065048473"</t>
  </si>
  <si>
    <t>10.1007/s11069-019-03643-y</t>
  </si>
  <si>
    <t>https://www.scopus.com/inward/record.uri?eid=2-s2.0-85069463425&amp;doi=10.1007%2fs11069-019-03643-y&amp;partnerID=40&amp;md5=dd55ce3de64c4eb92f0a5e0619ecb006</t>
  </si>
  <si>
    <t>Currently, the effect of dike breaches on downstream discharge partitioning and flood risk is not addressed in flood safety assessments. In a bifurcating river system, a dike breach may cause overland flows which can change downstream flood risk and discharge partitioning. This study examines how dike breaches and overflow affect overland flow patterns and discharges of the rivers of the Rhine delta. For extreme discharges, an increase in flood risk along the river branch with the smallest discharge capacity was found, while flood risk along the other river branches was reduced. Therefore, dike breaches and resulting overland flow patterns must be included in flood safety assessments. © 2019, The Author(s).</t>
  </si>
  <si>
    <t>2-s2.0-85069463425"</t>
  </si>
  <si>
    <t>10.1016/j.gca.2019.02.012</t>
  </si>
  <si>
    <t>https://www.scopus.com/inward/record.uri?eid=2-s2.0-85063193625&amp;doi=10.1016%2fj.gca.2019.02.012&amp;partnerID=40&amp;md5=8b3202ca2961d8ec23dbba0daf98039a</t>
  </si>
  <si>
    <t xml:space="preserve">                             Much debate exists on the extent to which early dolomites recrystallize and preserve the signature of their primary diagenetic setting. Here, we combine clumped isotopes thermometry with X-ray diffraction and thin section petrography to study dolomite recrystallization under shallow burial (&lt;1 km) conditions. We analysed 26 dolomite samples from two Miocene carbonate platforms on the Marion Plateau, NE Australia. Marion Plateau dolomites provide an ideal case study to examine the effects of recrystallization because of the relative simplicity of the geological setting, with simple subsidence, and several episodes of early dolomitization by normal sea water. Results show that Marion Plateau dolomites are very rich in calcium and their formation temperature inferred from clumped isotopes T(Δ                             47dol                             ) ranges between 12 and 35 °C. The apparent fluid composition (δ                             18                             O                             w(app)                             ) falls in the range of sea water composition, but a correlation between T(Δ                             47dol                             ), δ                             18                             O                             dol                             , and δ                             18                             O                             w(app)                              exists: the higher T(Δ                             47dol                             ), the higher δ                             18                             O                             w(app)                             . T(Δ                             47dol                             ) and δ                             18                             O                             w(app)                              increase with depth, whereas δ                             18                             O                             dol                              and δ                             13                             C                             dol                              tend to both decrease with depth. We interpret the correlation between T(Δ                             47dol                             ) and δ                             18                             O                             w(app)                              as evidence of shallow burial recrystallization via dissolution/re-precipitation. Modelling of the T(Δ                             47dol                             ), δ                             18                             O                             dol                             , and δ                             18                             O                             w(app)                              indicates that the recrystallization happened at very low water to rock ratio. Carbon isotopes δ                             13                             C are not reset during recrystallization and are probably inherited from the dolomitization process. This study shows that dolomite recrystallization has the potential to affect T(Δ                             47dol                             ) at depths shallower than previously demonstrated. It emphasizes the fact that high calcium dolomites (and possibly aragonite and high Mg-calcite) can have a range of T(Δ                             47dol                             ) before entering the solid-state reordering realm, and that in deeper buried basins, the range of measured T(Δ                             47dol                             ) could still to a large extent result from recrystallization via dissolution/re-precipitation processes.                          © 2019 Elsevier Ltd</t>
  </si>
  <si>
    <t>2-s2.0-85063193625"</t>
  </si>
  <si>
    <t>10.3390/geosciences9050239</t>
  </si>
  <si>
    <t>https://www.scopus.com/inward/record.uri?eid=2-s2.0-85067470534&amp;doi=10.3390%2fgeosciences9050239&amp;partnerID=40&amp;md5=866ca85a2b709087f2a1bfb2d3fe3226</t>
  </si>
  <si>
    <t>Portugal’s mainland has hundreds of thousands of people living in the Atlantic coastal zone, with numerous high economic value activities and a high number of infrastructures that must be adapted and protected from natural coastal hazards, namely, extreme storms and sea level rise (SLR). In the context of climate change adaptation strategies, a reliable and accurate assessment of the physical vulnerability to SLR is crucial. This study is a contribution to the implementation of flooding standards imposed by the European Directive 2007/60/EC, which requires each member state to assess the risk associated to SLR and floods caused by extreme events. Therefore, coastal hazard on the Atlantic Coast of Portugal’s mainland was evaluated for 2025, 2050, and 2100 over the whole extension due to SLR, with different sea level scenarios for different extreme event return periods. A coastal probabilistic flooding map was produced based on the developed probabilistic cartography methodology using geographic information system (GIS) technology. The Extreme Flood Hazard Index (EFHI) was determined on probabilistic flood bases using five probability intervals of 20% amplitude. For a given SLR scenario, the EFHI is expressed, on the probabilistic flooding maps for an extreme tidal maximum level, by five hazard classes ranging from 1 (Very Low) to 5 (Extreme). © 2019 by the authors. Licensee MDPI, Basel, Switzerland.</t>
  </si>
  <si>
    <t>2-s2.0-85067470534"</t>
  </si>
  <si>
    <t>10.1016/j.quaint.2019.01.018</t>
  </si>
  <si>
    <t>https://www.scopus.com/inward/record.uri?eid=2-s2.0-85060258798&amp;doi=10.1016%2fj.quaint.2019.01.018&amp;partnerID=40&amp;md5=4daf91db4fc8338d4ca47f3e8ff61b44</t>
  </si>
  <si>
    <t>This paper presents the paleogeographic reconstructions of flooded areas of the Tar - San Martín lacustrine system during the late Pleistocene - Holocene. The dimensions of lacustrine and glaciolacustrine levels of this basin are higher than the current levels of the lakes. The organic matter of lake levels recorded on stratigraphic profiles was described, sampled and dated using AMS, while other paleobathymetric indicators were also identified (height of the fan-delta apex and paleo-coast levels). Deriving out of the reconstruction of flooded areas it was established that the lake system was formed before 28 ka ago and would have reached its maximum expansion around 12 ka ago. The first hunter-gatherer occupation of the basin (11 ka)corresponds to the period of initial contraction of the lake system and the composition of the current configuration of the coastlines. This scenario would have allowed the exploration of western areas and the gradual incorporation of the forest to the action range of hunter-gatherer populations. Similarly, the levels of lakes Tar and San Martín would not have hindered the movement of human populations through the steppe throughout the Holocene. © 2019 Elsevier Ltd and INQUA</t>
  </si>
  <si>
    <t>2-s2.0-85060258798"</t>
  </si>
  <si>
    <t>10.3389/feart.2019.00081</t>
  </si>
  <si>
    <t>https://www.scopus.com/inward/record.uri?eid=2-s2.0-85067414432&amp;doi=10.3389%2ffeart.2019.00081&amp;partnerID=40&amp;md5=f1ba36d6e05f2d4bbec597df887b4be6</t>
  </si>
  <si>
    <t>Climate change will affect the coastline of the Baltic Sea through changes in sea level, storm surges and waves. In Denmark, a large part of the responsibility for climate adaptation lies with the local municipalities. The purpose of this study was to map the user needs for coastal climate change information of five municipalities in the Danish south western Baltic Sea and the Danish Coastal Authority in a cost-efficient way and to transform the mapping into local climate indicators. An interview template was customized to form the basis for telephone interviews of key stakeholders and systematic gathering of the results. The interest for the interviews was high, and response from the interviewed persons on the use of the template was very positive. During the interviews, it was clear that the municipalities have access to extensive information on the population and infrastructure, as well as detailed geographical information. The main interests were in very high quality storm surge warnings and present day and future extreme sea level and wave heights. This should be based on modeling of past storm surges and future changes, taking observations, and historical records into account. There was a big need for more detailed information than presently available, and for common scenarios, which will help the collaboration between municipalities. Within this study, the user requirements were used to define targeted climate indicators. Within the C3S CODEC project, the indicators will be provided for the municipalities, based on a downscaling of European scale storm surge, and wave simulations to local scale. © 2019 Madsen, Murawski, Blokhina and Su.</t>
  </si>
  <si>
    <t>2-s2.0-85067414432"</t>
  </si>
  <si>
    <t>10.1016/j.jsames.2019.02.012</t>
  </si>
  <si>
    <t>https://www.scopus.com/inward/record.uri?eid=2-s2.0-85063050602&amp;doi=10.1016%2fj.jsames.2019.02.012&amp;partnerID=40&amp;md5=85d872c9be5a64e454614e2bbdac5d1c</t>
  </si>
  <si>
    <t xml:space="preserve">                             South-eastern Brazil is as an important geological archive for understanding and reconstructing various plate tectonic stages of the Wilson Cycle. In the Neoproterozoic, the area of the today's South Atlantic passive continental margin (SAPCM: e.g. between São Paulo and Laguna) of south-eastern Brazil underwent subduction, followed by the collision of the contemporary plates of South America and Africa creating a Neoproterozoic orogeny within the supercontinent Gondwana. During the Palaeozoic and Lower Mesozoic (stage 1), the future SAPCM, as an intracratonic area, experienced erosion, denudation of the Neoproterozoic mobile belts (Pan African/Brasiliano orogeny), and large basin formation (Paraná Basin) (stage 2). Possibly plume-driven pre-to syn-rift (embryonic), ocean spreading (juvenile), and post-break up (mature) processes led to the recent evolution of the SAPCM since the Upper Mesozoic (stage 3). For the first time, this research aims to reconstruct the syn-to post-orogenic t-T-evolution of Neoproterozoic basement rocks of the SE coastal region of Brazil covering the entire geological evolution since the Late Neoproterozoic. Therefore, this study uses geochronological and thermochronological data combined with numerical modelling. This includes published geochronological data of Neoproterozoic basement samples such as U-Pb, Sm-Nd and Rb-Sr analyses, and low temperature thermochronology (LTT) data revealed by K/Ar,                              40                             Ar/                             39                             Ar analyses. To this existing LTT data set, we report new apatite (AFT) and zircon (ZFT) fission-track, and (U-Th-Sm)/He (AHe, ZHe) data. Numerical modelling of that LTT data attached to the existing geochronological data indicates the following evolution: - Stage 1: In the central part of the future SAPCM, the Pan African/Brasiliano post-orogenic cooling and exhumation (uplift and erosion of Neoproterozoic rocks to the surface) history occurs in three phases: (i) rapid Late Neoproterozoic exhumation, (ii) a period of relative thermal stability (temperatures of about 200–300 °C) in which rocks reside at upper crust levels during the Early Cambrian to Devonian, and (iii) a second rapid exhumation phase moving the Neoproterozoic basement rocks to the surface during the Devonian. The northern and southern parts indicate a distinct post-orogenic exhumation suggesting faster cooling and exhumation from the Late Neoproterozoic to Devonian/Carboniferous than in the central section. - Stage 2: A phase of subsidence leading to the formation of the Paraná Basin followed by pre-to syn-rift processes and the emplacement of the Paraná-Etendeka flood basalts. - Stage 3: Post-South Atlantic break up processes, such as erosion and exhumation.                          © 2019 Elsevier Ltd</t>
  </si>
  <si>
    <t>2-s2.0-85063050602"</t>
  </si>
  <si>
    <t>10.3390/ijgi8050231</t>
  </si>
  <si>
    <t>https://www.scopus.com/inward/record.uri?eid=2-s2.0-85066325230&amp;doi=10.3390%2fijgi8050231&amp;partnerID=40&amp;md5=08faba4a88a1f0a0d9d8fc4030fecacf</t>
  </si>
  <si>
    <t>Tropical cyclones are incredibly destructive and deadly, inflicting immense losses to coastal properties and infrastructure. Hurricane-induced coastal floods are often the biggest threat to life and the coastal environment. A quick and accurate estimation of coastal flood extent is urgently required for disaster rescue and emergency response. In this study, a combined Digital Elevation Model (DEM) based water fraction (DWF) method was implemented to simulate coastal floods during Hurricane Harvey on the South Texas coast. Water fraction values were calculated to create a 15 km flood map from multiple channels of the Advanced Technology Microwave Sound dataset. Based on hydrological inundation mechanism and topographic information, the coarse-resolution flood map derived from water fraction values was then downscaled to a high spatial resolution of 10 m. To evaluate the DWF result, Storm Surge Hindcast product and flood-reported high-water-mark observations were used. The results indicated a high overlapping area between the DWF map and buffered flood-reported high-water-marks (HWMs), with a percentage of more than 85%. Furthermore, the correlation coefficient between the DWF map and CERA SSH product was 0.91, which demonstrates a strong linear relationship between these two maps. The DWF model has a promising capacity to create high-resolution flood maps over large areas that can aid in emergency response. The result generated here can also be useful for flood risk management, especially through risk communication. © 2019 by the authors.</t>
  </si>
  <si>
    <t>2-s2.0-85066325230"</t>
  </si>
  <si>
    <t>10.1007/s11852-018-0671-4</t>
  </si>
  <si>
    <t>https://www.scopus.com/inward/record.uri?eid=2-s2.0-85057615083&amp;doi=10.1007%2fs11852-018-0671-4&amp;partnerID=40&amp;md5=e93b4dd2cedc54ebfdba94b8564121b4</t>
  </si>
  <si>
    <t>This is a description and review of the coastal dune lakes of Northwest Florida. Coastal dune lakes are globally rare, tannin-stained, and shallow irregularly shaped lakes within 2 miles of the coast. The lakes in Northwest Florida are unique ecosystems among costal dune lakes of the world due to an intermittent connection to the Gulf of Mexico during high tides, rain events, or storm surge. The connection allows for water exchange and a temporary or semi-permanent estuarine environment. Data and management practices for nineteen lakes in Walton County Florida is collected and described. Each lake has a unique shape, size, outflow length, and surroundings. Few data exist on the biological communities of the coastal dune lakes of Northwest Florida. Coastal dune lakes are threatened by anthropogenic impacts such as coastal development, climate change, and exotic/ invasive species. © 2018, Springer Nature B.V.</t>
  </si>
  <si>
    <t>2-s2.0-85057615083"</t>
  </si>
  <si>
    <t>10.1080/02626667.2019.1591623</t>
  </si>
  <si>
    <t>https://www.scopus.com/inward/record.uri?eid=2-s2.0-85063751618&amp;doi=10.1080%2f02626667.2019.1591623&amp;partnerID=40&amp;md5=f148b8c0be8fe6e4ad774c0565ab5166</t>
  </si>
  <si>
    <t>Hydrogeomorphic models allow parsimonious, fast and effective floodplain extent mapping using topographic data as the main input. Hydrogeomorphic approaches enforce the principle that floodplains are well-distinguished and unique landscape features within river corridors. We investigated the sensitivity of a hydrogeomorphic floodplain delineation algorithm, based on a hydrological power law, relating flow depth to contributing area, digital terrain model (DTM) resolution and river network hierarchy. In addition, we compared the results to other common floodplain mapping methods using standard flood-hazard maps as a reference. Taking the Arno River Basin, Italy, as a case study, our results show a dependency between the optimal power law parameters and DTM resolution, with larger parameter values required to reach optimal consistency with flood-hazard maps as DTM resolution increased. Floodplain mapping performance was also found to depend on stream order. We further tested the model consistency at a larger scale to evaluate its performance with respect to inundation maps in Hungary, Italy, Spain and the UK. Our study suggests that pre-defined power law parameters can be assumed, considering DTM resolution and stream order, supporting the use of the presented hydrogeomorphic model for large-scale floodplain mapping in ungauged basins where reference flood-hazard maps are not available. © 2019, © 2019 IAHS.</t>
  </si>
  <si>
    <t>2-s2.0-85063751618"</t>
  </si>
  <si>
    <t>10.1007/s11027-018-9831-y</t>
  </si>
  <si>
    <t>https://www.scopus.com/inward/record.uri?eid=2-s2.0-85058944315&amp;doi=10.1007%2fs11027-018-9831-y&amp;partnerID=40&amp;md5=6377478c25c7ae43d11604451484a7b3</t>
  </si>
  <si>
    <t>Sea levels have been rising at an increasing rate in the past decades, due to the increased ocean temperatures and glacier melt caused by global warming. The continued increase in sea levels will result in large-scale impacts in coastal areas as they are submerged by the sea. Locations not able to bear the costs of implementing protection and adaptation measures will have to be abandoned, resulting in social, economic, and environmental losses. The most important mitigation goal for sea level rise is to reduce or possibly revert carbon dioxide (CO2) emissions. However, given the magnitude and long time lag between emissions and impacts, new adaptation measures to reduce sea level rise should be proposed, developed and if possible, implemented. This paper suggests that submerged barriers or dams built in front of ice sheets and glaciers would contribute to reducing the ice melt in Greenland. The ten proposed barriers or dams in this paper could prevent the contribution to sea level rise by up to 5.3 m at a cost of US$ 0.275 billion a year. This is much lower when compared to adaptation measures to sea level rise around the world estimated to be US$ 1.4 trillion a year by 2100. © 2018, The Author(s).</t>
  </si>
  <si>
    <t>2-s2.0-85058944315"</t>
  </si>
  <si>
    <t>10.2112/SI94-147.1</t>
  </si>
  <si>
    <t>https://www.scopus.com/inward/record.uri?eid=2-s2.0-85072286939&amp;doi=10.2112%2fSI94-147.1&amp;partnerID=40&amp;md5=406ce3d2f2c7b1bb5d211094d478097e</t>
  </si>
  <si>
    <t>Coastal areas are prone to storm surge disasters, and a storm surge disaster will cause significant economic losses. Based on exponential utility, the paper studies how to purchase the proportional reinsurance to spread the risk of storm surge and how to distribute the surplus captain into risk market and risk-free market. In the whole paper, we describe the capital operation process using Brownian motion, and the model is the binary dependent claim risk model, through solving the corresponding Hamilton-Jacobi-Bellman Equation s, the paper gives the optimal strategy of investment and reinsurance in order to make the end utility of the storm surge disaster original insurance company maximum. © Coastal Education and Research Foundation, Inc. 2019.</t>
  </si>
  <si>
    <t>2-s2.0-85072286939"</t>
  </si>
  <si>
    <t>10.1007/s00382-018-4430-x</t>
  </si>
  <si>
    <t>https://www.scopus.com/inward/record.uri?eid=2-s2.0-85053472992&amp;doi=10.1007%2fs00382-018-4430-x&amp;partnerID=40&amp;md5=ddaed1d18de1d661571f6f492998fd80</t>
  </si>
  <si>
    <t xml:space="preserve">                             We assess the suitability of ECMWF Integrated Forecasting System (IFS) data for the global modeling of tropical cyclone (TC) storm surges. We extract meteorological forcing from the IFS at a 0.225° horizontal resolution for eight historical TCs and simulate the corresponding surges using the global tide and surge model. Maximum surge heights for Hurricanes Irma and Sandy are compared with tide gauge observations, with R                             2                             -values of 0.86 and 0.74 respectively. Maximum surge heights for the other TCs are in line with literature. Our case studies demonstrate that a horizontal resolution of 0.225° is sufficient for the large-scale modeling of TC surges. By upscaling the meteorological forcing to coarser resolutions as low as 1.0°, we assess the effects of horizontal resolution on the performance of surge modeling. We demonstrate that coarser resolutions result in lower-modeled surges for all case studies, with modeled surges up to 1 m lower for Irma and Nargis. The largest differences in surges between the different resolutions are found for the TCs with the highest surges. We discuss possible drivers of maximum surge heights (TC size, intensity, and coastal slope and complexity), and find that coastal complexity and slope play a more profound role than TC size and intensity alone. The highest surges are found in areas with complex coastlines (fractal dimension &gt; 1.10) and, in general, shallow coastlines. Our findings show that using high-resolution meteorological forcing is particularly beneficial for areas prone to high TC surges, since these surges are reduced the most in coarse-resolution datasets.                          © 2018, The Author(s).</t>
  </si>
  <si>
    <t>2-s2.0-85053472992"</t>
  </si>
  <si>
    <t>10.3390/geosciences9060260</t>
  </si>
  <si>
    <t>https://www.scopus.com/inward/record.uri?eid=2-s2.0-85068827015&amp;doi=10.3390%2fgeosciences9060260&amp;partnerID=40&amp;md5=906f4e40c17d1b76d3d2a1833c56d0f7</t>
  </si>
  <si>
    <t>The Ganges River receives inputs from highly populated cities of India(New Delhi, Calcutta, among others)and a strong influence of anthropogenic activities until reaching the Bay of Bengal. It is a seasonal river with 80% of discharges occurring between July and October during monsoon. The land-based activities next to the shore lead to discharges of untreated domestic and industrial euents, inputs of agricultural chemicals, discharges of organic matter(cremations), and discharges of chemicals from aquaculture farms. In spite of the UNESCO declaring Human Patrimony the National Park Sundarbans, located in the delta, contamination has increased over time and it dramatically intensifies during the monsoon period due to the flooding of the drainage basin. Vertical element distribution(Cd, Co, Hg, Ni, Pb, and Zn)was studied in sediments collected in different stations towards the Hügli Estuary. Results determined no vertical gradient associated with the analyzed sediment samples, which informs about severe sediment dynamic in the area that probably relates to tidal hydrodynamics and seasonal variation floods. The multivariate analysis results showed different associations among metals and in some cases between some of them(Co, Zn, Pb, and Cu)and the organic carbon. These allow the identification of different geochemical processes in the area and their relationship with the sources of contamination such as discharge of domestic and industrial euents and diffuse sources enhanced by the monsoons. Also, an environmental risk value was given to the studied area by comparing the analyzed concentrations to quality guidelines adopted in other countries. It showed an estimated risk associated with the concentration of the metal Cu measured in the area of Kadwip. © 2019 by the authors. Licensee MDPI, Basel, Switzerland.</t>
  </si>
  <si>
    <t>2-s2.0-85068827015"</t>
  </si>
  <si>
    <t>10.5194/os-15-583-2019</t>
  </si>
  <si>
    <t>https://www.scopus.com/inward/record.uri?eid=2-s2.0-85066851760&amp;doi=10.5194%2fos-15-583-2019&amp;partnerID=40&amp;md5=2e5f5fdf39cdbb880ecfffd41dc2dba1</t>
  </si>
  <si>
    <t>The Three Gorges Dam (TGD), located in the main stream of the Yangtze River, is the world's largest hydroelectric station in terms of installed power capacity. It was demonstrated that the TGD had caused considerable modifications in the downstream freshwater discharge due to its seasonal operation mode of multiple utilisation for flood control, irrigation, and power generation. To understand the impacts of the freshwater regulation of the TGD, an analytical model is adopted to explore how the operation of the TGD may affect the spatial-temporal patterns of tide-river dynamics in the Yangtze River estuary. We evaluated the effect of the TGD by comparing the changes in major tide-river dynamics in the post-TGD period (2003-2014) with those in the pre-TGD period (1979-1984). The results indicate that the strongest impacts occurred during the autumn and winter, corresponding to a substantial reduction in freshwater discharge during the wet-to-dry transition period and slightly increased discharge during the dry season. The underlying mechanism leading to changes in the tide-river dynamics lies in the alteration of freshwater discharge, while the impact of geometric change is minimal. Overall, the results suggest that the spatial-temporal pattern of tide-river dynamics is sensitive to the freshwater regulation of the TGD, so that the ecosystem function of the estuary may undergo profound disturbances. The results obtained from this study can be used to set scientific guidelines for water resource management (e.g. navigation, flood control, salt intrusion) in dam-controlled estuarine systems. © Author(s) 2019.</t>
  </si>
  <si>
    <t>2-s2.0-85066851760"</t>
  </si>
  <si>
    <t>10.3390/rs11101209</t>
  </si>
  <si>
    <t>https://www.scopus.com/inward/record.uri?eid=2-s2.0-85066744732&amp;doi=10.3390%2frs11101209&amp;partnerID=40&amp;md5=cb5a1ce854bba64b1402b3b781a4196e</t>
  </si>
  <si>
    <t>We describe a comprehensive analysis of the 469 European Global Positioning System (GPS) vertical position time series. The assumptions we present should be employed to perform the post-glacial rebound (PGR)-oriented comparison. We prove that the proper treatment of either deterministic or stochastic components of the time series is indispensable to obtain reliable vertical velocities along with their uncertainties. The statistical significance of the vertical velocities is examined</t>
  </si>
  <si>
    <t>10.1016/j.advwatres.2019.04.017</t>
  </si>
  <si>
    <t>https://www.scopus.com/inward/record.uri?eid=2-s2.0-85065198728&amp;doi=10.1016%2fj.advwatres.2019.04.017&amp;partnerID=40&amp;md5=eac189e165ab69823a0f95e284c1e47e</t>
  </si>
  <si>
    <t>Seagrasses are marine flowering plants that provide key ecological services. In recent decades, multiple stressors have caused a worldwide decline in seagrass beds. Changes in bottom friction associated with seagrass loss are expected to influence the ability of estuarine systems to trap sediment inputs through local and regional changes in hydrodynamics. Herein, we document a numerical study using six historical maps of seagrass distribution in Barnegat Bay, USA, to demonstrate that reductions in seagrass coverage destabilize estuarine systems, decreasing flood-dominance in areas affected by seagrass disappearance and increasing bed-shear stress values across the entire back-barrier basin. Furthermore, we reveal how seagrass decline has considerably increased the impact of wind-waves on marsh edges between 1968 and 2009. From a comparison with a numerical experiment without submerged aquatic vegetation, we estimate that up to 40% of the computed wave thrust on marsh boundaries can be reduced by seagrass beds and we find that the location of a seagrass patch in addition to its aerial extent plays a crucial role in this attenuation process. This study highlights the benefits of seagrass meadows in enhancing estuarine resilience and reducing marsh-edge retreat by wind-wave attack, which is recognized as a chief agent in lateral marsh loss. © 2019 Elsevier Ltd</t>
  </si>
  <si>
    <t>2-s2.0-85065198728"</t>
  </si>
  <si>
    <t>10.1007/s12517-019-4429-6</t>
  </si>
  <si>
    <t>https://www.scopus.com/inward/record.uri?eid=2-s2.0-85065132016&amp;doi=10.1007%2fs12517-019-4429-6&amp;partnerID=40&amp;md5=64d379d14dfc76402dfb47e10432b716</t>
  </si>
  <si>
    <t>Palaeochannels can be good possible reservoirs of groundwater and are good rechargeable aquifers. Bakulahi is a plain-fed tributary of the Sai River flowing from north-west to south-east direction with about 177-km length and about 841-km2 catchment area. It emanates from interconnected series of tals (large- to medium-sized shallow depressions) situated in the Raebareli district, Uttar Pradesh, India. Course of the Bakulahi River is shifted laterally and left many fluvial landforms—palaeochannels, oxbow lakes, meander cutoff, etc. The present study is based on the on-screen digitization of the Bakulahi River basin boundary, drainage network, palaeocourses, and other surface water bodies from high-resolution remote-sensing data (1 m × 1 m) available at Google Earth. The digitized details from remote sensing data are validated with some field observations. Different thematic maps are prepared by converting Google Earth feature files (.kmz/.kml) into GIS feature files (.shp) and importing layers into the GIS environment. There are about 115 palaeochannels covering about 137-km2 area (16.29%)</t>
  </si>
  <si>
    <t>10.1016/j.epsl.2019.01.045</t>
  </si>
  <si>
    <t>https://www.scopus.com/inward/record.uri?eid=2-s2.0-85062273451&amp;doi=10.1016%2fj.epsl.2019.01.045&amp;partnerID=40&amp;md5=6d61948844bec4db599d03d20bf5ae76</t>
  </si>
  <si>
    <t xml:space="preserve">                             Maritime Continent (MC) convection drives zonal and meridional climate modes, including the Australasian monsoon system, but its role in past global climate change remains uncertain. Here we use speleothem oxygen isotope (δ                             18                             O) records from a latitudinal transect across the MC, and a new critically located record for southwest Sulawesi, Indonesia, to reconstruct spatial hydroclimate variability in the Australasian monsoon domain over the last 40,000 yr. Our results show that atmospheric convection in the core MC region was reduced from ∼40,000 to 12,000 yr ago and strengthened rapidly only after the inundation of shallow continental shelves in the region, well after the onset of deglaciation. Interestingly, the millennial-scale climatic impacts of North Atlantic Heinrich events are not evident in Sulawesi. Together with climate model simulations, we demonstrate that changes in deep atmospheric convection dominate glacial–interglacial hydroclimate over the MC, whereas latitudinal shifts in the mean location of the InterTropical Convergence Zone control rainfall patterns during abrupt climate changes.                          © 2019</t>
  </si>
  <si>
    <t>2-s2.0-85062273451"</t>
  </si>
  <si>
    <t>10.3389/feart.2019.00102</t>
  </si>
  <si>
    <t>https://www.scopus.com/inward/record.uri?eid=2-s2.0-85067403890&amp;doi=10.3389%2ffeart.2019.00102&amp;partnerID=40&amp;md5=b68cd9e117485c1bf5b1271e97e9d30f</t>
  </si>
  <si>
    <t>Existing publicly available digital elevation models (DEMs) provide global-scale data but are often not precise enough for studying processes that depend on small-scale topographic features in rivers. For example, slope breaks and knickpoints in rivers can be important in understanding tectonic processes, and riffle-pool structures are important drivers of riverine ecology. More precise data (e.g., lidar) are available in some areas, but their spatial extent limits large-scale research. The upcoming Surface Water and Ocean Topography (SWOT) satellite mission is planned to launch in 2021 and will provide measurements of elevation and inundation extent of surface waters between 78° north and south latitude on average twice every 21 days. We present a novel noise reduction method for multitemporal river water surface elevation (WSE) profiles from SWOT that combines a truncated singular value decomposition and a slope-constrained least-squares estimator. We use simulated SWOT data of 85–145 km sections of the Po, Sacramento, and Tanana Rivers to show that 3–12 months of simulated SWOT data can produce elevation profiles with mean absolute errors (MAEs) of 5.38–12.55 cm at 100–200 m along-stream resolution. MAEs can be reduced further to 4–11 cm by averaging all observations. The average profiles have errors much lower than existing DEMs, allowing new advances in riverine research globally. We consider two case studies in geomorphology and ecology that highlight the scientific value of the more accurate in-river DEMs expected from SWOT. Simulated SWOT elevation profiles for the Po reveal convexities in the river longitudinal profile that are spatially coincident with the upward projection of blind thrust faults that are buried beneath the Po Plain at the northern termination of the Apennine Mountains. Meanwhile, simulated SWOT data for the Sacramento River reveals locally steep sections of the river profile that represent important habitat for benthic invertebrates at a spatial scale previously unrecognizable in large-scale DEMs presently available for this river. © 2019 Langhorst, Pavelsky, Frasson, Wei, Domeneghetti, Altenau, Durand, Minear, Wegmann and Fuller.</t>
  </si>
  <si>
    <t>2-s2.0-85067403890"</t>
  </si>
  <si>
    <t>10.1093/gji/ggz247</t>
  </si>
  <si>
    <t>https://www.scopus.com/inward/record.uri?eid=2-s2.0-85068592087&amp;doi=10.1093%2fgji%2fggz247&amp;partnerID=40&amp;md5=1fd2f7c1852e5355f1ac6ff591563adc</t>
  </si>
  <si>
    <t>Coastal populations are impacted by relative sea level variations,which consist both of absolute sea level variations and of vertical land motions. This paper focuses on the Southwest and Central Pacific region, a recognized vulnerable region to sea level rise and where a large range of vertical land motion dynamics is observed. We analyse vertical displacement rates obtained from Global Navigation Satellite Systems (GNSS) by different analysis centres. We study the role played by modelled parameters, such as step discontinuities (due to equipment changes, earthquakes, etc.), in the position time-series analysis. We propose a new modelling approach based on a joint inversion of GNSS position time-series from different analysis centres. The final uncertainty on the vertical land motion rates is estimated as a combination of the uncertainty due to the GNSS data processing itself and the uncertainty due to the stability of the reference frame in which the GNSS data are expressed.We find that the dominant trend in the Southwest and Central Pacific is a moderate subsidence, with an average rate of -1.1 mmyr-1, but significant variations are observed, with displacement rates varying from an uplift of 1.6±0.3 mmyr-1 to a subsidence of -5.4±0.3 mmyr-1. Taking into account the geodynamic context, we assess, for each station, the relevance of current estimates of linear vertical displacement rate and uncertainty for forecasting future coastal sea levels. © The Author(s) 2019.</t>
  </si>
  <si>
    <t>2-s2.0-85068592087"</t>
  </si>
  <si>
    <t>10.1002/dep2.74</t>
  </si>
  <si>
    <t>https://www.scopus.com/inward/record.uri?eid=2-s2.0-85075678301&amp;doi=10.1002%2fdep2.74&amp;partnerID=40&amp;md5=cc189a89725b46fc8ffb32230cb19986</t>
  </si>
  <si>
    <t>In the eastern part of the Karoo Basin of South Africa, the sedimentary record of the Late Palaeozoic Ice Age, the Dwyka Group, consists of an up to 200 m thick accumulation of massive to crudely stratified diamictite occasionally interstratified with siltstone, sandstone and conglomerate horizons. Three distinct sedimentary units, separated by intervening glacial erosion surfaces, are viewed as ice-margin fluctuation sequences. The lowermost one, resting on highly uneven, glacially abraded Archaean basement, has been interpreted as a grounding zone wedge deposited after the retreat and stabilization of the ice margin after the inundation of the Karoo Basin. The grounding zone wedge interpretation is based on its thickness (up to 100 m), the dominance of diamictite, and its facies assemblage and inferred depositional processes (rain-out of debris, dropstone dumping, mass and debris flow, till). Overlying the grounding zone wedge, deposits are sedimentary units interpreted as glaciofluvial or ice-contact delta and grounding zone wedges, respectively. By analogy with Quaternary sedimentary sequences, deposition of the Dwyka Group in the study area might have been very rapid (tens to hundreds of thousand years) and may hence correlate with the ultimate deglacial sequence of the Western Karoo Basin, as both successions are covered by the postglacial Ecca Group. Although commonly observed and imaged on modern, high-latitude continental shelves, grounding zone wedges have never been interpreted in the ancient geological record. This paper therefore outlines a model defining criteria necessary for their identification. © 2019 The Authors. The Depositional Record published by John Wiley &amp; Sons Ltd on behalf of International Association of Sedimentologists.</t>
  </si>
  <si>
    <t>2-s2.0-85075678301"</t>
  </si>
  <si>
    <t>10.1016/j.ijdrr.2018.11.007</t>
  </si>
  <si>
    <t>https://www.scopus.com/inward/record.uri?eid=2-s2.0-85057406989&amp;doi=10.1016%2fj.ijdrr.2018.11.007&amp;partnerID=40&amp;md5=b2b3d998d00a9bbc87b8cab90133234a</t>
  </si>
  <si>
    <t>Myanmar is one of the highest meteorological hazard risk countries in the world, owing to geographical factors such as a vast delta along the Ayeyarwady River. As the Ayeyarwady Region has suffered from seasonal floods in the monsoons since historical times, long earthen dykes were constructed in the 19th century during the British colonial period. As a result, one village was divided into two by a dyke about 150 years ago. The region was severely affected by floods in 2015. Most of the unprotected villages were inundated for two to three months, while villages inside of the dyke were protected. This research aims to identify strategies for long-term recovery related to housing, livelihood, and community activities in villages divided by the dyke in Hinthada Township using household surveys. The results show that unprotected villages have adapted their elevated houses against floods and planted water-resistant crops as an income source. Protected villages have relied on mitigation and maintenance of the dyke along with non-elevated houses, and have transformed their livelihoods in different ways. © 2018 The Authors</t>
  </si>
  <si>
    <t>2-s2.0-85057406989"</t>
  </si>
  <si>
    <t>10.1007/s11069-018-03566-0</t>
  </si>
  <si>
    <t>https://www.scopus.com/inward/record.uri?eid=2-s2.0-85060225209&amp;doi=10.1007%2fs11069-018-03566-0&amp;partnerID=40&amp;md5=e02afa88f8097d61435c41d31073a4c2</t>
  </si>
  <si>
    <t>The 485-km-long coastline of Odisha, a state in the northeastern part of the Indian peninsula, is potentially vulnerable to several disaster events that take place frequently. In addition to threats due to natural hazards, these coastal regions also face immense population and developmental pressures. The increase in the intensity and frequency of cyclones and accelerated sea level rise related to increased sea surface temperature have led to flooding, coastal erosion and shoreline retreat causing damage to coastal ecosystems and resources in these regions. In recognition of these risks, the present work demonstrates a GIS-based approach to assess the vulnerability of the 187-km stretch from Puri to Konark out of the total 485-km coastline using analytical hierarchy process (AHP). The present study focuses on computation of integrated coastal vulnerability index which is an integration of physical vulnerability index, geotechnical vulnerability index and social vulnerability index using AHP taking nine risk variables into consideration. An attempt has been made to demonstrate the state-of-the-art microzonation of the coastal stretch between Puri and Konark based on the vulnerability indices using geographical information system. © 2019, Springer Nature B.V.</t>
  </si>
  <si>
    <t>2-s2.0-85060225209"</t>
  </si>
  <si>
    <t>10.1007/s10584-018-2356-2</t>
  </si>
  <si>
    <t>https://www.scopus.com/inward/record.uri?eid=2-s2.0-85059704800&amp;doi=10.1007%2fs10584-018-2356-2&amp;partnerID=40&amp;md5=73bf1d5b2f54be51eb6b7fb0d6cbf1e8</t>
  </si>
  <si>
    <t>The objective of this study is to assess the global impact of sea level rise and to evaluate the effectiveness of adaptation. Global areas of inundation due to sea level rise are identified. The affected populations and the economic damage caused by inundation due to future climate change are estimated for a number of scenarios involving Representative Concentration Pathways (RCP) and Shared Socioeconomic Pathways (SSP). The effects of adaptation in coastal areas, specifically the effects of elevating dikes, are evaluated. According to study results, dikes 1 m in height may reduce the total inundated area by approximately 40% below the no-adaptation baseline under the same RCP. The cost of adaptation was estimated using an original cost database to establish the cost of protection in future socioeconomic scenarios. It was found that the incremental adaptation cost was less than the economic damage in almost all cases of RCP/SSP, providing an incentive to take action to respond to climate change. © 2019, The Author(s).</t>
  </si>
  <si>
    <t>2-s2.0-85059704800"</t>
  </si>
  <si>
    <t>10.1142/S1793431119500088</t>
  </si>
  <si>
    <t>https://www.scopus.com/inward/record.uri?eid=2-s2.0-85064858026&amp;doi=10.1142%2fS1793431119500088&amp;partnerID=40&amp;md5=0d5840a9002522f8534e86f23fb1f0d9</t>
  </si>
  <si>
    <t>It has been observed in different parts of the world that offshore earthquakes occurred in coastal regions were followed by tsunamis and catastrophic damages due to cascading effects. In this paper, an innovative methodology for the estimation of direct damage losses and resilience for a given community is presented. It combines two existent methodologies, including both earthquake and tsunami hazards. In detail, fragility functions related to earthquake intensity, ground failure and tsunami inundation are combined with regional hazard data to estimate damages and direct economic losses of buildings and bridges. The coastal city of Seaside in Oregon has been used as a case study and as one of the most vulnerable town in the Pacific North United States due to the proximity of a nearfield Cascadia Subduction Zone. The results indicate that, when the earthquake and the subsequent tsunami inundation are considered together, there is an overwhelming increase in the loss estimates in comparison to the case when the tsunami is separately considered. © 2019 World Scientific Publishing Company.</t>
  </si>
  <si>
    <t>2-s2.0-85064858026"</t>
  </si>
  <si>
    <t>10.1016/j.jag.2018.09.011</t>
  </si>
  <si>
    <t>https://www.scopus.com/inward/record.uri?eid=2-s2.0-85057599699&amp;doi=10.1016%2fj.jag.2018.09.011&amp;partnerID=40&amp;md5=00165bad4d7c3c204c6d122a7e196b7a</t>
  </si>
  <si>
    <t>Satellite Remote Sensing, with both optical and SAR instruments, can provide distributed observations of snow cover over extended and inaccessible areas. Both instruments are complementary, but there have been limited attempts at combining their measurements. We describe a novel approach to produce monthly maps of dry and wet snow areas through application of data fusion techniques to MODIS fractional snow cover and Sentinel-1 wet snow mask, facilitated by Google Earth Engine. The method is demonstrated in a 55,000 km2 river basin in the Indian Himalayan region over a period of ∼2.5 years, although it can be applied to any areas of the world where Sentinel-1 data are routinely available. The typical underestimation of wet snow area by SAR is corrected using a digital elevation model to estimate the average melting altitude. We also present an empirical model to derive the fractional cover of wet snow from Sentinel-1. Finally, we demonstrate that Sentinel-1 effectively complements MODIS as it highlights a snowmelt phase which occurs with a decrease in snow depth but no/little decrease in snowpack area. Further developments are now needed to incorporate these high resolution observations of snow areas as inputs to hydrological models for better runoff analysis and improved management of water resources and flood risk. © 2018 Elsevier B.V.</t>
  </si>
  <si>
    <t>2-s2.0-85057599699"</t>
  </si>
  <si>
    <t>10.1029/2018EF001071</t>
  </si>
  <si>
    <t>https://www.scopus.com/inward/record.uri?eid=2-s2.0-85063645000&amp;doi=10.1029%2f2018EF001071&amp;partnerID=40&amp;md5=ed27c4981249331f325235c413c080a4</t>
  </si>
  <si>
    <t>Despite widespread efforts to implement climate services, there is almost no literature that systematically analyzes users' needs. This paper addresses this gap by applying a decision analysis perspective to identify what kind of mean sea level rise (SLR) information is needed for local coastal adaptation decisions. We first characterize these decisions, then identify suitable decision analysis approaches and the sea level information required, and finally discuss if and how these information needs can be met given the state of the art of sea level science. We find that four types of information are needed: (i) probabilistic predictions for short-term decisions when users are uncertainty tolerant; (ii) high-end and low-end SLR scenarios chosen for different levels of uncertainty tolerance; (iii) upper bounds of SLR for users with a low uncertainty tolerance; and (iv) learning scenarios derived from estimating what knowledge will plausibly emerge about SLR over time. Probabilistic predictions can only be attained for the near term (i.e., 2030–2050) before SLR significantly diverges between low and high emission scenarios, for locations for which modes of climate variability are well understood and the vertical land movement contribution to local sea levels is small. Meaningful SLR upper bounds cannot be defined unambiguously from a physical perspective. Low- to high-end scenarios for different levels of uncertainty tolerance and learning scenarios can be produced, but this involves both expert and user judgments. The decision analysis procedure elaborated here can be applied to other types of climate information that are required for mitigation and adaptation purposes.</t>
  </si>
  <si>
    <t>10.1007/s13157-018-1028-3</t>
  </si>
  <si>
    <t>https://www.scopus.com/inward/record.uri?eid=2-s2.0-85044582067&amp;doi=10.1007%2fs13157-018-1028-3&amp;partnerID=40&amp;md5=2c3a4f557df667c2ef2bf19145dc296b</t>
  </si>
  <si>
    <t>Salt marshes of the northeastern United States are dynamic landscapes where the tidal flooding regime creates patterns of plant zonation based on differences in elevation, salinity, and local hydrology. These patterns of zonation can change quickly due to both natural and anthropogenic stressors, making tidal marshes vulnerable to degradation and loss. We compared several remote sensing techniques to develop a tool that accurately maps high- and low-marsh zonation to use in management and conservation planning for this ecosystem in the northeast USA. We found that random forests (RF) outperformed other classifier tools when applied to the most recent National Agricultural Imagery Program (NAIP) imagery, NAIP derivatives, and elevation data between coastal Maine and Virginia, USA. We then used RF methods to classify plant zonation within a 500-m buffer around coastal marsh delineated in the National Wetland Inventory. We found mean classification accuracies of 94% for high marsh, 76% for low marsh zones, and 90% overall map accuracy. The detailed output is a 3-m resolution continuous map of tidal marsh vegetation communities and cover classes that can be used in habitat modeling of marsh-obligate species or to monitor changes in marsh plant communities over time. © 2018, Society of Wetland Scientists.</t>
  </si>
  <si>
    <t>2-s2.0-85044582067"</t>
  </si>
  <si>
    <t>10.1016/j.jhydrol.2018.11.072</t>
  </si>
  <si>
    <t>https://www.scopus.com/inward/record.uri?eid=2-s2.0-85059188159&amp;doi=10.1016%2fj.jhydrol.2018.11.072&amp;partnerID=40&amp;md5=f7c0c69ba091de1d770302758a705d5a</t>
  </si>
  <si>
    <t>The Indian Ocean which is home to many islands and the low-lying coastal zones have attracted considerable attention due to regional sea level changes. In this study, we examine regional changes in sea level of the Indian Ocean and potential coastal flooding impacts by using tide gauge data. Various interpolation methods are evaluated to predict values at locations where data is unavailable. Based on the cross-validation analysis, the radial basis function is identified as the most optimal interpolation method and is used to analyze the spatial patterns of sea level changes. The analysis reveals that Bangladesh, Seychelles, and Cocos (Keeling) Islands have relatively high rates of sea level rise. These regions would thus be highly vulnerable to coastal flooding induced by the accelerating sea level rise in future decades, posing significant threats to coastal communities and ecosystems. Flooding impacts are examined through inundation mapping in a geographic information system (GIS) environment. In addition, relationships between regional factors (sea surface temperature, air temperature, and vertical land motions) affecting sea level rise are investigated. Our findings indicate that vertical land motion is an important factor affecting sea level changes for the regions of Seychelles and Cocos Islands. There is a strong relationship between air temperature and sea level rise for all studied regions. This study is a first attempt to examine regional changes in sea level of the Indian Ocean and potential coastal flooding impacts by using tide gauge data. The methods used in this study can be applied to other coastal regions around the world. © 2018 Elsevier B.V.</t>
  </si>
  <si>
    <t>2-s2.0-85059188159"</t>
  </si>
  <si>
    <t>10.1016/j.jhydrol.2018.12.008</t>
  </si>
  <si>
    <t>https://www.scopus.com/inward/record.uri?eid=2-s2.0-85058617737&amp;doi=10.1016%2fj.jhydrol.2018.12.008&amp;partnerID=40&amp;md5=4494ad9315ca7054088eaa8317cee3f7</t>
  </si>
  <si>
    <t>Climate-stressed groundwater resources present a growing challenge for protecting food security and economic sustainability, notably in Small Island Developing States (SIDS). These states are some of the most vulnerable to climate stress because of their large coastlines, vulnerability to rising sea levels, weak access to reliable surface water, and limited food production capacity for handling increased groundwater scarcity. Impacts of climate stressed groundwater resources brought on by irrigation and growing urban demand in SIDS continue to receive widespread attention by both scientists and policymakers. Policies that limit pumping to protect aquifer sustainability reduce short-term economic welfare by unknown amounts that would otherwise be secured by both urban and irrigation water users. Yet, little scholarly research has addressed economic impacts of climate-water stress for the special needs of SIDS for which urban and irrigation pumping compete hydrologically and economically over long time periods. The original contribution of this work is to address that gap by employing downscaled data on precipitation from Representative Concentration Pathways (RCP) climate scenarios. Its novel contribution is to conceptualize, develop, apply, and interpret an integrated hydro-economic framework to understand interconnected physical and economic linkages from managing an unconfined regional aquifer system under each of three climate and two policy scenarios. The application is to Barbados, a SIDS, for which current and future irrigation and urban demands compete for water. The framework integrates groundwater hydrology, climate scenarios, economics, land use, and groundwater management, with the intent to mitigate impacts of climate stress on current economic values of water as well as protecting future aquifer sustainability. Results provide a framework to guide water management for SIDS vulnerable to climate stress for which water of the right quantity, quality, timing, location, and price are essential elements of economic development. © 2018 Elsevier B.V.</t>
  </si>
  <si>
    <t>2-s2.0-85058617737"</t>
  </si>
  <si>
    <t>10.31035/cg2018061</t>
  </si>
  <si>
    <t>https://www.scopus.com/inward/record.uri?eid=2-s2.0-85089514839&amp;doi=10.31035%2fcg2018061&amp;partnerID=40&amp;md5=36d72c139607c254b8bc57e9042c0292</t>
  </si>
  <si>
    <t>Bulletins of China's National Sea Level show that the average rising rate of sea-levels in China is 3.3 mm/a over the past 40 years, with an obviously accelerated rising trend in the last decade. The rate of relative sea-level rise of the Yangtze River Delta reached &gt;10 mm/a after considering the land subsidence, and Bohai Bay is even greater than 25 mm/a. The impact of the sea level rise to the coastal area will be greater in the coming years, so carrying out an assessment of this rising trend is urgent. This paper, taking the coastal area of Tianjin and Hebei as examples, comprehensively evaluates the impact of sea-level rise through multitemporal remote sensing shoreline interpretation, ground survey verification, elevation measurements for both seawall and coastal lowlands. The results show that the average elevation of the measured coastal areas of Tianjin and Hebei is about +4 m, and the total area of &gt;100 km2 is already below the present mean sea level. More than 270 km, ca. 31% of the total length of the seawall, cannot withstand a 1-in-100-year storm surge. Numerical simulations of the storm flooding on the west coast of Bohai Bay, for 1-in-50-years, 1-in-100-years, 1-in-200-years and 1-in-500-years, show that if there were no coastal dykes, the maximum flooding area would exceed 3000 km2, 4000 km2, 5300 km2 and 7200 km2, respectively. The rising sea has a direct and potential impact on the coastal lowlands of Tianjin and Hebei. Based on the latest development in international sea-level rise prediction research, this paper proposes 0.5 m, 1.0 m and 1.5 m as low, middle and high sea level rise scenarios by 2100 for the study area, and combines the land subsidence and other factors to the elevation of the existing seawall. Comprehensive evaluation results indicate that even in the case of a low scenario, the existing seawall will not be able to withstand a 1-in-100-years storm surge in 2030, and the potential flooding areas predicted by the model will become a reality in the near future. Therefore, the seawall design in the coastal areas of Tianjin and Hebei must consider the combined effects of land subsidence, sea level rise and the extreme storm surges caused by it. ©2019 China Geology Editorial Office. © 2019 Elsevier B.V. All rights reserved</t>
  </si>
  <si>
    <t>2-s2.0-85089514839"</t>
  </si>
  <si>
    <t>10.1029/2018EF001070</t>
  </si>
  <si>
    <t>https://www.scopus.com/inward/record.uri?eid=2-s2.0-85061264075&amp;doi=10.1029%2f2018EF001070&amp;partnerID=40&amp;md5=58e4519e71e54ef77f37e3a721c072d4</t>
  </si>
  <si>
    <t>Sea-level rise along low-lying coasts of the world's passive continental margins should, on average, drive net shoreline retreat over large spatial scales (&gt;102 km). A variety of natural physical factors can influence trends of shoreline erosion and accretion, but trends in recent rates of shoreline change along the U.S. Atlantic Coast reflect an especially puzzling increase in accretion, not erosion. A plausible explanation for the apparent disconnect between environmental forcing and shoreline response along the U.S. Atlantic Coast is the application, since the 1960s, of beach nourishment as the predominant form of mitigation against chronic coastal erosion. Using U.S. Geological Survey shoreline records from 1830–2007 spanning more than 2,500 km of the U.S. Atlantic Coast, we calculate a mean rate of shoreline change, prior to 1960, of −55 cm/year (a negative rate denotes erosion). After 1960, the mean rate reverses to approximately +5 cm/year, indicating widespread apparent accretion despite steady (and, in some places, accelerated) sea-level rise over the same period. Cumulative sediment input from decades of beach-nourishment projects may have sufficiently altered shoreline position to mask “true” rates of shoreline change. Our analysis suggests that long-term rates of shoreline change typically used to assess coastal hazard may be systematically underestimated. We also suggest that the overall effect of beach nourishment along of the U.S. Atlantic Coast is extensive enough to constitute a quantitative signature of coastal geoengineering and may serve as a bellwether for nourishment-dominated shorelines elsewhere in the world. ©2019. The Authors.</t>
  </si>
  <si>
    <t>2-s2.0-85061264075"</t>
  </si>
  <si>
    <t>10.3390/land8030050</t>
  </si>
  <si>
    <t>https://www.scopus.com/inward/record.uri?eid=2-s2.0-85075181331&amp;doi=10.3390%2fland8030050&amp;partnerID=40&amp;md5=8a9fe1a6c67674a14134ccdac3ee05d1</t>
  </si>
  <si>
    <t>Generating land capability class guidelines at a watershed scale has become a priority in sustainable agricultural land use. This study analyzed the area of cultivated land use situated on the non-arable land-capability class in the Jema watershed in the Upper Blue Nile River Basin. Soil surveys, meteorological ground observations, a digital elevation model (DEM) at 30 m, Meteosat at 10 km × 10 km and Landsat at 30 m were used to generate the sample soil texture class, average annual total rainfall (ATRF in mm), terrain, slope (%), elevation (m a.s.l) and land-use land cover (%). The land capability class was analyzed by considering raster layers of terrain, the average ATRF and soil texture. Geo-statistics was employed to fit a surface of soil texture and average ATRF estimates. An overlay technique was used to compute the proportion of cultivated land placed on non-arable land. As per the results of the terrain analysis, the elevation (m a.s.l) of the watershed is in the range of 1895 to 3518 m. The slope was found to be in the range of 0 to 45%. The amount of estimated rainfall ranged from 1640 to 131 mm with value declined from the lower to the higher elevation. Clay loam, clay and heavy clay were found to be the major soil texture classes. Four land capability classes, i.e., II, III, IV (arable) and V (non-arable), were identified with proportions of 28.56%, 45.74%, 22.16% and 3.54%, respectively. Seven land-use land covers were identified, i.e., annual crop land, grazing land, bush land, bare land, settlement land, forestland and water bodies, with proportions of 42.1, 35.9, 8.90, 8.3, 2.6, 2.1, and 0.2, respectively. Around 1707.7 ha of land in the watershed is categorized under non-arable land that cannot be used for annual crop cultivation at any level of intensity. Around 437 ha (3.5%) of land was cultivated on non-arable land. To conclude, the observed unsustainable crop land use could maximize soil loss in upstream regions and siltation and flooding downstream. The annual crop land use that was observed on non-arable land needs to be replaced with perennial crops, pasture and/or forest land uses. © 2019 by the authors. Licensee MDPI, Basel, Switzerland.</t>
  </si>
  <si>
    <t>2-s2.0-85075181331"</t>
  </si>
  <si>
    <t>10.1016/j.gloenvcha.2019.02.004</t>
  </si>
  <si>
    <t>https://www.scopus.com/inward/record.uri?eid=2-s2.0-85061431703&amp;doi=10.1016%2fj.gloenvcha.2019.02.004&amp;partnerID=40&amp;md5=e25890fd8521f571034759238090d9b6</t>
  </si>
  <si>
    <t>Flood management and adaptation are important elements in sustaining farming production in the Vietnamese Mekong Delta (VMD). While over the past decades hydraulic development introduced by the central government has substantially benefited the rural economy, it has simultaneously caused multiple barriers to rural adaptation. We investigate the relational practices (i.e., learning interactions) taking place within and across the flood management and adaptation boundaries from the perspective of social learning. We explore whether and how adaptive knowledge (i.e., experimental and experiential knowledge) derived from farmers’ everyday adaptation practices contributes to local flood management and adaptation policies in the selected areas. We collected data through nine focus groups with farmers and thirty-three interviews with government officials, environmental scientists, and farmers. Qualitative analysis suggests that such processes are largely shaped by the institutional context where the boundary is embedded. This study found that while the highly bureaucratic operation of flood management creates constraints for feedback, the more informal arrangements set in place at the local level provide flexible platforms conducive to open communication, collaborative learning, and exchange of knowledge among the different actors. This study highlights the pivotal role of shadow systems that provide space for establishing and maintaining informal interactions and relationships between social actors (e.g., interactions between farmers and extension officials) in stimulating and influencing, from the bottom-up, the emergence of adaptive knowledge about flood management and adaptation in a local context. © 2019 Elsevier Ltd</t>
  </si>
  <si>
    <t>2-s2.0-85061431703"</t>
  </si>
  <si>
    <t>10.1029/2019GL082014</t>
  </si>
  <si>
    <t>https://www.scopus.com/inward/record.uri?eid=2-s2.0-85062642722&amp;doi=10.1029%2f2019GL082014&amp;partnerID=40&amp;md5=f1f125d6829a468444e5c2861af5d4f0</t>
  </si>
  <si>
    <t>In 2016, Hurricane Matthew accounted for 25% of the annual riverine C loading to the Neuse River Estuary-Pamlico Sound, in eastern North Carolina. Unlike inland watersheds, dissolved organic carbon (DOC) was the dominant component of C flux from this coastal watershed and stable carbon isotope and chromophoric dissolved organic matter evidence indicated the estuary and sound were dominated by wetland-derived terrigenous organic matter sources for several months following the storm. Persistence of wetland-derived DOC enabled its degradation to carbon dioxide (CO2), which was supported by sea-to-air CO2 fluxes measured in the sound weeks after the storm. Under future increasingly extreme weather events such as Hurricane Matthew, and most recently Hurricane Florence (September 2018), degradation of terrestrial DOC in floodwaters could increase flux of CO2 from estuaries and coastal waters to the atmosphere. ©2019. American Geophysical Union. All Rights Reserved.</t>
  </si>
  <si>
    <t>2-s2.0-85062642722"</t>
  </si>
  <si>
    <t>10.3390/rs11040437</t>
  </si>
  <si>
    <t>https://www.scopus.com/inward/record.uri?eid=2-s2.0-85062574135&amp;doi=10.3390%2frs11040437&amp;partnerID=40&amp;md5=e7b440e318d6a3c67b00dc59172c8ea0</t>
  </si>
  <si>
    <t>Barrier islands (BIs) have been designated as the first line of defense for coastal human assets against rising sea level. Global mean sea level may rise from 0.21 to 0.83 m by the end of 21st century as predicted by the Intergovernmental Panel on Climate Change (IPCC). Although the Indus Delta covers an area of 41,440 km2 surrounded by a chain of BIs, this may result in an encroachment area of 3750 km2 in Indus Delta with each 1 m rise of sea level. This study has used a long-term (1976 to 2017) satellite data record to study the development, movement and dynamics of BIs located along the Indus Delta. For this purpose, imagery from Landsat Multispectral Scanner (MSS), Thematic Mapper (TM), Enhanced Thematic Mapper Plus (ETM+), and Operational Land Imager (OLI) sensors was used. From all these sensors, the Near Infrared (NIR) band (0.7-0.9 μm) was used for the delineation and extraction of the boundaries of 18 BIs. It was found that the area and magnitude of these BIs is so dynamic, and their movement is so great that changes in their positions and land areas have continuously been changing. Among these BIs, 38% were found to be vulnerable to oceanic factors, 37% were found to be partially vulnerable, 17% remained partially sustainable, and only 8% of these BIs sustained against the ocean controlling factors. The dramatic gain and loss in area of BIs is due to variant sediment budget transportation through number of floods in the Indus Delta and sea-level rise. Coastal protection and management along the Indus Delta should be adopted to defend against the erosive action of the ocean. © 2019 by the authors.</t>
  </si>
  <si>
    <t>2-s2.0-85062574135"</t>
  </si>
  <si>
    <t>10.3390/rs11050590</t>
  </si>
  <si>
    <t>https://www.scopus.com/inward/record.uri?eid=2-s2.0-85062989671&amp;doi=10.3390%2frs11050590&amp;partnerID=40&amp;md5=36fa8a29e150241499c653d3166d5e20</t>
  </si>
  <si>
    <t>High spatial resolution coastal Digital Elevation Models (DEMs) are crucial to assess coastal vulnerability and hazards such as beach erosion, sedimentation, or inundation due to storm surges and sea level rise. This paper explores the possibility to use high spatial-resolution Pleiades (pixel size = 0.7 m) stereoscopic satellite imagery to retrieve a DEM on sandy coastline. A 40-km coastal stretch in the Southwest of France was selected as a pilot-site to compare topographic measurements obtained from Pleiades satellite imagery, Real Time Kinematic GPS (RTK-GPS) and airborne Light Detection and Ranging System (LiDAR). The derived 2-m Pleiades DEM shows an overall good agreement with concurrent methods (RTK-GPS and LiDAR</t>
  </si>
  <si>
    <t>10.1007/s12517-019-4309-0</t>
  </si>
  <si>
    <t>https://www.scopus.com/inward/record.uri?eid=2-s2.0-85061626675&amp;doi=10.1007%2fs12517-019-4309-0&amp;partnerID=40&amp;md5=c57d7826ec7d381eb383615aba701a72</t>
  </si>
  <si>
    <t xml:space="preserve">                             Elongated lenses of palustrine limestone interbedded with Mio-Pleistocene fluvial sands were exposed within a sand quarry in the north of Kuwait. Detailed field investigations, thorough petrographic and nanoscopic examinations and geochemical analysis revealed that they were originally precipitated as carbonate microbialite in isolated freshwater ponds scattered within a fluvial floodplain. These lacustrine microbialites were subjected to intermittent drying and wetting conditions and eventually altered to pseudobrecciated nodular palustrine limestone through several pedogenic and early diagenetic processes. The pedogenesis is exhibited by cracking, nodulization, mottling, pseudomicrokarst and root traces. The desiccation macrocracks are filled with siliciclastic sands derived from short-lived flash floods. Diagenesis is represented by aggradational neomorphism of micrite, cementation of cracks and voids by sparry calcite and precipitation of biogenic needle-fibre calcite. Concurrently, the cracks filled with siliciclastic sands have been calcretized, forming an embedded interapalustrine calcrete. Mottling postdates the early diagenesis and is manifested by pseudoclotted texture and abundant black spots and dendrites, which may have been developed by the marmorization of iron and manganese ions due to the seasonal fluctuation of groundwater. The δ                             13                             C and δ                             18                             O values are mostly comparable with those of closed freshwater lakes</t>
  </si>
  <si>
    <t>10.1111/gcb.14486</t>
  </si>
  <si>
    <t>https://www.scopus.com/inward/record.uri?eid=2-s2.0-85058012412&amp;doi=10.1111%2fgcb.14486&amp;partnerID=40&amp;md5=31ee0eb7bb46bb046053d38ed0bcb580</t>
  </si>
  <si>
    <t>Sea level rise and changes in precipitation can cause saltwater intrusion into historically freshwater wetlands, leading to shifts in microbial metabolism that alter greenhouse gas emissions and soil carbon sequestration. Saltwater intrusion modifies soil physicochemistry and can immediately affect microbial metabolism, but further alterations to biogeochemical processing can occur over time as microbial communities adapt to the changed environmental conditions. To assess temporal changes in microbial community composition and biogeochemical activity due to saltwater intrusion, soil cores were transplanted from a tidal freshwater marsh to a downstream mesohaline marsh and periodically sampled over 1 year. This experimental saltwater intrusion produced immediate changes in carbon mineralization rates, whereas shifts in the community composition developed more gradually. Salinity affected the composition of the prokaryotic community but did not exert a strong influence on the community composition of fungi. After only 1 week of saltwater exposure, carbon dioxide production doubled and methane production decreased by three orders of magnitude. By 1 month, carbon dioxide production in the transplant was comparable to the saltwater controls. Over time, we observed a partial recovery in methane production which strongly correlated with an increase in the relative abundance of three orders of hydrogenotrophic methanogens. Taken together, our results suggest that ecosystem responses to saltwater intrusion are dynamic over time as complex interactions develop between microbial communities and the soil organic carbon pool. The gradual changes in microbial community structure we observed suggest that previously freshwater wetlands may not experience an equilibration of ecosystem function until long after initial saltwater intrusion. Our results suggest that during this transitional period, likely lasting years to decades, these ecosystems may exhibit enhanced greenhouse gas production through greater soil respiration and continued methanogenesis. © 2018 John Wiley &amp; Sons Ltd</t>
  </si>
  <si>
    <t>2-s2.0-85058012412"</t>
  </si>
  <si>
    <t>10.3390/atmos10030104</t>
  </si>
  <si>
    <t>https://www.scopus.com/inward/record.uri?eid=2-s2.0-85063515952&amp;doi=10.3390%2fatmos10030104&amp;partnerID=40&amp;md5=f5a7c29429b5f408e2818f5d4ffad289</t>
  </si>
  <si>
    <t>Cities located in the transitional zone between Taihang Mountains and North China plain run high flood risk in recent years, especially urban waterlogging risk. In this paper, we take Shijiazhuang, which is located in this transitional zone, as the study area and proposed a new flood risk assessment model for this specific geographical environment. Flood risk assessment indicator factors are established by using the digital elevation model (DEM), along with land cover, economic, population, and precipitation data. A min-max normalization method is used to normalize the indices. An analytic hierarchy process (AHP) method is used to determine the weight of each normalized index and the geographic information system (GIS) spatial analysis tool is adopted for calculating the risk map of flood disaster in Shijiazhuang. This risk map is consistent with the reports released by Hebei ProvincialWater Conservancy Bureau and can provide reference for flood risk management. © 2019 by the authors. Licensee MDPI, Basel, Switzerland.</t>
  </si>
  <si>
    <t>2-s2.0-85063515952"</t>
  </si>
  <si>
    <t>10.5194/nhess-19-353-2019</t>
  </si>
  <si>
    <t>https://www.scopus.com/inward/record.uri?eid=2-s2.0-85061725282&amp;doi=10.5194%2fnhess-19-353-2019&amp;partnerID=40&amp;md5=8ea78d4bc73046bf229a157c41263631</t>
  </si>
  <si>
    <t>Bangladesh, one of the most disaster-prone countries in the world, has a dynamic delta with 123 polders protected by earthen dikes. Cyclone-induced storm surges cause severe damage to these polders by overtopping and breaching the dikes. A total of 19 major tropical storms have hit the coast in the last 50 years, and the storm frequency is likely to increase due to climate change. The present paper presents an investigation of the inundation pattern in a protected area behind dikes due to floods caused by storm surges and identifies possible critical locations of dike breaches. Polder 48 in the coastal region, also known as Kuakata, was selected as the study area. A HEC-RAS 1-D-2-D hydrodynamic model was developed to simulate inundation of the polder under different scenarios. Scenarios were developed by considering tidal variations, the angle of the cyclone at landfall, possible dike breach locations and sea level rise due to climate change according to the Fifth Assessment Report (AR5) of the Intergovernmental Panel on Climate Change (IPCC). A storm surge for a cyclone event with a 1-in-25-year return period was considered for all the scenarios. The primary objective of this research was to present a methodology for identifying the critical location of dike breaching, generating a flood risk map (FRM) and a probabilistic flood map (PFM) for the breaching of dikes during a cyclone. The critical location of the dike breach among the chosen possible locations was identified by comparing the inundation extent and damage due to flooding corresponding to the developed scenarios. A FRM corresponding to the breaching in the critical location was developed, which indicated that settlements adjacent to the canals in the polders were exposed to higher risk. A PFM was developed using the simulation results corresponding to the developed scenarios, which was used to recommend the need of appropriate land use zoning to minimize the vulnerability to flooding. The developed hydrodynamic model can be used to forecast inundation, to identify critical locations of the dike requiring maintenance and to study the effect of climate change on flood inundation in the study area.&lt;/p&gt; The frequency and intensity of the cyclones around the world are likely to increase due to climate change, which will require resource-intensive improvement of existing or new protection structures for the deltas. The identification and prioritization of the maintenance of critical locations of dike breaching can potentially prevent a disaster. The use of non-structural tools such as land use zoning with the help of flood risk maps and probabilistic flood maps has the potential to reduce risk and damage. The method presented in this research can potentially be utilized for deltas around the world to reduce vulnerability and flood risk due to dike breaching caused by cyclone-induced storm surge. © 2019. This work is distributed under the Creative Commons Attribution 4.0 License.</t>
  </si>
  <si>
    <t>2-s2.0-85061725282"</t>
  </si>
  <si>
    <t>10.1016/j.envsoft.2018.11.017</t>
  </si>
  <si>
    <t>https://www.scopus.com/inward/record.uri?eid=2-s2.0-85057621490&amp;doi=10.1016%2fj.envsoft.2018.11.017&amp;partnerID=40&amp;md5=9096f7089a034a6e9aa16aa429fca65f</t>
  </si>
  <si>
    <t>A freely accessible model-aided satellite altimeter-based daily water level forecasting system using simple regression analysis is proposed for the Mekong River with feasibility study being performed. In the Mekong Delta (MD), where Regional Flood Management and Mitigation Center (RFMMC) does not provide forecasting, ocean tides strongly impact river levels and were specifically addressed by the sum of 5-term sinusoidal function. Forecasting skills of our system are quite promising in the MD, although RFMMC's forecasting system has better skills than ours in the Mekong mainstem upstream of MD. In contrast to current operational system, our system circumvents the need of frequent altimeter samplings in the upstream by using the Variable Infiltration Capacity (VIC) macroscale hydrologic model with 0.1° resolution. The proposed forecasting system is computationally efficient without the need of complex hydrodynamic modeling, making such approach globally applicable for river basins and deltas with comparable forecasting skill and minimal computational cost. © 2018 Elsevier Ltd</t>
  </si>
  <si>
    <t>2-s2.0-85057621490"</t>
  </si>
  <si>
    <t>Journal of Lightwave Technology</t>
  </si>
  <si>
    <t>10.1109/JLT.2018.2885226</t>
  </si>
  <si>
    <t>https://www.scopus.com/inward/record.uri?eid=2-s2.0-85058115811&amp;doi=10.1109%2fJLT.2018.2885226&amp;partnerID=40&amp;md5=4df5d549255724e9eded2598628db5da</t>
  </si>
  <si>
    <t>In this work, we give, for the first time to our knowledge, a theoretical model of chaotic delta correlation for detecting Fresnel reflections. Based on this model, a novel optical fiber sensor for remote liquid level sensing is proposed and demonstrated. By using a 13.5 mW chaotic laser with 9 GHz bandwidth and a simply designed sensing unit, proof-of-concept experiments show this type of sensor can conduct remote liquid level sensing with a sensing distance as long as 40 km and a measurement accuracy of around 10 mm. Its theoretical maximum accuracy can be adjusted by changing the bandwidth of the chaotic laser, which can conveniently be achieved by adjusting the power of the feedback beam injected into distributed feedback semiconductor laser diode (DFB-LD). This type of liquid level sensor may have applications involving remote liquid level sensing, e.g., warning of the flood, monitoring of oil storage in tanks, sensing of dangerous chemical liquids, monitoring water-level in nuclear power stations, etc. © 1983-2012 IEEE.</t>
  </si>
  <si>
    <t>2-s2.0-85058115811"</t>
  </si>
  <si>
    <t>10.1007/s11852-018-0633-x</t>
  </si>
  <si>
    <t>https://www.scopus.com/inward/record.uri?eid=2-s2.0-85049898034&amp;doi=10.1007%2fs11852-018-0633-x&amp;partnerID=40&amp;md5=565f5e6531234727c5642fd82acbd25e</t>
  </si>
  <si>
    <t>The evolution of coastal and transitional environments depends upon the interplay of human activities and natural drivers, two factors that are strongly connected and many times conflicting. The urge for efficient tools for characterising and predicting the behaviour of such systems is nowadays particularly pressing, especially under the effects of a changing climate, and requires a deeper understanding of the connections among different drivers and different scales. To this aim, the present paper reviews the results of a set of interdisciplinary and coordinated experiences carried out in the Adriatic Sea (north-eastern Mediterranean region), discussing state-of-the art methods for coastal dynamics assessment and monitoring, and suggests strategies towards a more efficient coastal management. Coupled with detailed geomorphological information, the methodologies currently available for evaluating the different components of relative sea level rise facilitate a first identification of the flooding hazard in coastal areas, providing a fundamental element for the prioritization and identification of the sustainability of possible interventions and policies. In addition, hydro- and morpho-dynamic models are achieving significant advances in terms of spatial resolution and physical insight, also in a climatological context, improving the description of the interactions between meteo-oceanographic processes at the regional scale to coastal dynamics at the local scale. We point out that a coordinated use of the described tools should be promptly promoted in the design of survey and monitoring activities as well as in the exploitation of already collected data. Moreover, expected benefits from this strategy include the production of services and infrastructures for coastal protection with a focus on short-term forecast and rapid response, enabling the implementation of an event-oriented sampling strategy. © 2018, Springer Nature B.V.</t>
  </si>
  <si>
    <t>2-s2.0-85049898034"</t>
  </si>
  <si>
    <t>10.3390/geosciences9030124</t>
  </si>
  <si>
    <t>https://www.scopus.com/inward/record.uri?eid=2-s2.0-85065223302&amp;doi=10.3390%2fgeosciences9030124&amp;partnerID=40&amp;md5=7466af0464b5dfab9ae65088fff410cc</t>
  </si>
  <si>
    <t>The sub-Saharan African coast is experiencing fast-growing urbanization, particularly around major cities. This threatens the equilibrium of the socio-ecosystems where they are located and on which they depend: underground water resources are exploited with a disregard for sustainability; land is reclaimed from wetlands or lagoons; built-up areas, both formal and informal, grow without adequate urban planning. Together, all these forces can result in land surface deformation, subsidence or even uplift, which can increase risk within these already fragile socio-ecosystems. In particular, in the case of land subsidence, the risk of urban flooding can increase significantly, also considering the contribution of sea level rise driven by climate change. Monitoring such fast-changing environments is crucial to be able to identify key risks and plan adaptation responses to mitigate current and future flood risks. Persistent scatterer interferometry (PSI) with synthetic aperture radar (SAR) is a powerful tool to monitor land deformation with high precision using relatively low-cost technology, also thanks to the open access data of Sentinel-1, which provides global observations every 6 days at 20-m ground resolution. In this paper, we demonstrate how it is possible to monitor land subsidence in urban coastal areas by means of permanent scatterer interferometry and Sentinel-1, exploiting an automatic procedure based on an integration of the Sentinel Application Platform (SNAP) and the Stanford Method for Persistent Scatterers (StaMPS). We present the results of PSI analysis over the cities of Banjul (the Gambia) and Lagos (Nigeria) showing a comparison of results obtained with TerraSAR-X, Constellation of Small Satellites for the Mediterranean Basin Observation (COSMO-SkyMed) and Environmental Satellite advanced synthetic aperture radar (Envisat-ASAR) data. The methodology allows us to highlight areas of high land deformation, information that is useful for urban development, disaster risk management and climate adaptation planning.</t>
  </si>
  <si>
    <t>10.1016/j.jenvman.2018.11.104</t>
  </si>
  <si>
    <t>https://www.scopus.com/inward/record.uri?eid=2-s2.0-85059318246&amp;doi=10.1016%2fj.jenvman.2018.11.104&amp;partnerID=40&amp;md5=cd1741c3d4755c18fa38d55f581ad492</t>
  </si>
  <si>
    <t>Facing sea-level rise, scientists recommend adaptation measures to relocate the most vulnerable assets. This is of particular interest regarding coastal land use management issues. In order to address the acceptability of these measures, we use the choice experiment method to assess residents' preferences for different relocation policy measures that differs according to four attributes. A survey was implemented in the South of France involving 240 people evenly distributed between coastal and hinterland residents. The latent class logit modelling reveals the heterogeneity of preferences via two classes depending on risk perception: residents who may be described as “unaware individualists”, generally opposed to relocation, and those who display “informed solidarity”, generally in favour of this policy. Furthermore, people the more frequently exposed to the risk reveal an optimism bias. © 2018 Elsevier Ltd</t>
  </si>
  <si>
    <t>2-s2.0-85059318246"</t>
  </si>
  <si>
    <t>10.1080/07900627.2018.1437713</t>
  </si>
  <si>
    <t>https://www.scopus.com/inward/record.uri?eid=2-s2.0-85042211607&amp;doi=10.1080%2f07900627.2018.1437713&amp;partnerID=40&amp;md5=775c7cadeced5fb020e28a44b58febee</t>
  </si>
  <si>
    <t>The rural landscapes of the Vietnamese Mekong Delta have undergone a dramatic change, where flood management and adaptation are at the forefront. This article investigates how these synergies facilitate policy change. Drawing on qualitative information from the literature, focus group discussions, and interviews, the article argues that there are confrontational but complementary effects between them, which evolve towards adaptive co-management. Collaborative learning between local governments and farmers enables shared understanding of water management drawbacks, leading to policy change. The article recommends that more attention be given to this approach to guide strategic water policy development in the region. © 2018, © 2018 Informa UK Limited, trading as Taylor &amp; Francis Group.</t>
  </si>
  <si>
    <t>2-s2.0-85042211607"</t>
  </si>
  <si>
    <t>10.1016/j.catena.2018.12.032</t>
  </si>
  <si>
    <t>https://www.scopus.com/inward/record.uri?eid=2-s2.0-85059464713&amp;doi=10.1016%2fj.catena.2018.12.032&amp;partnerID=40&amp;md5=d7fe3bf740e183decc703db2cdf2608b</t>
  </si>
  <si>
    <t>Delineation of flood extents is an important task in various disciplines. Traditional sophisticated hydrodynamic or alternative non-hydrodynamic approaches can be used depending on the availability and quality of input data and, in particular, the purpose of the delineation. This work focuses on testing the accuracy of flooded areas computed by GIS-based non-hydrodynamic AIZM tool, which is undemanding in terms of input data and technological requirements. The flood delineation is carried out on the basis of flood height at a single point and its spreading along a stream line over a digital elevation model (DEM). In order to assess the tool's performance, flood inundations have been computed along 60 river reaches in the Czech Republic and compared with benchmarks inundations: (1) real flood events that occurred in 1997, 2002 and 2006, as mapped from aerial and satellite imagery and (2) flood hazard maps designed for flood events of 5-, 20- and 100-year return periods. The accuracy of the outputs is examined and interpreted in the context of the river reaches’ specificities to identify generally favourable conditions as well as the key limitations of the model. The results outline that under certain conditions, the AIZM tool can be used as a reliable tool for flood extent delineation in data scarce areas (e.g. lacking hydrodynamic constants and channel bathymetry), for reconstruction of past flood events or for preliminary estimation of flooded areas. © 2018 Elsevier B.V.</t>
  </si>
  <si>
    <t>2-s2.0-85059464713"</t>
  </si>
  <si>
    <t>10.1016/j.quaint.2018.06.026</t>
  </si>
  <si>
    <t>https://www.scopus.com/inward/record.uri?eid=2-s2.0-85048950164&amp;doi=10.1016%2fj.quaint.2018.06.026&amp;partnerID=40&amp;md5=e2486ead7751d9eb127130065815e8c5</t>
  </si>
  <si>
    <t>For many river basins, flood maps have not been developed, especially in developing countries. Generally, flood hazard maps are generated by a modeling process based on past flood events and require a large amount of input data for the basin. The present study aims to delineate flood-prone areas in the Mekong River Basin from geomorphological features by using linear binary classifiers and receiver operating characteristics (ROC) analysis. Our method investigates the performance of five single features and six composite indices associated with flood hazards. The results indicate that elevation difference to the nearest river network has the best performance among all single features and composite indices with predicted abilities success rate SR = 63.15% and modified success rate MSR = 78.21%. This study shows that the combination of linear binary classifiers and ROC analysis can be used to detect flood-prone areas not only in small basins but also in a large basin such as the Mekong River Basin. This approach is advantageous for basins that lack observation data because the method does not require a large amount of basin information (i.e. all features and indices are derived from a digital elevation model). The outcomes of this study can provide useful information for identifying areas that are prone to flooding. © 2018 Elsevier Ltd and INQUA</t>
  </si>
  <si>
    <t>2-s2.0-85048950164"</t>
  </si>
  <si>
    <t>10.1111/tgis.12516</t>
  </si>
  <si>
    <t>https://www.scopus.com/inward/record.uri?eid=2-s2.0-85059352876&amp;doi=10.1111%2ftgis.12516&amp;partnerID=40&amp;md5=9de2c3830b4842db72bf5318a6a2ed2c</t>
  </si>
  <si>
    <t>Depression filling is a critical step in distributed hydrological modeling using digital elevation models (DEMs). The traditional Priority-Flood (PF) approach is widely used due to its relatively high efficiency when dealing with a small-sized DEM. However, it seems inadequate and inefficient when dealing with large high-resolution DEMs. In this work, we examined the relationship between the PF algorithm calculation process and the topographical characteristics of depressions, and found significant redundant calculations in the local micro-relief areas in the conventional PF algorithm. As such calculations require more time when dealing with large DEMs, we thus propose a new variant of the PF algorithm, wherein redundant points and calculations are recognized and eliminated based on the local micro-relief water-flow characteristics of the depression-filling process. In addition, depressions and flatlands were optimally processed by a quick queue to improve the efficiency of the process. The proposed method was applied and validated in eight case areas using the Shuttle Radar Topography Mission digital elevation model (SRTM-DEM) with 1 arc-second resolution. These selected areas have different data sizes. A comparative analysis among the proposed method, the Wang and Liu-based PF, the improved Barnes-based PF, the improved Zhou-based PF, and the Planchon and Darboux (P&amp;D) algorithms was conducted to evaluate the accuracy and efficiency of the proposed algorithm. The results showed that the proposed algorithm is 43.2% (maximum) faster than Wang and Liu's variant of the PF method, with an average of 31.8%. In addition, the proposed algorithm achieved similar performance to the improved Zhou-based PF algorithm, though our algorithm has the advantage of being simpler. The optimal strategies using the proposed algorithm can be employed in various landforms with high efficiency. The proposed method can also achieve good depression filling, even with large amounts of DEM data. © 2018 John Wiley &amp; Sons Ltd</t>
  </si>
  <si>
    <t>2-s2.0-85059352876"</t>
  </si>
  <si>
    <t>10.5194/acp-19-3673-2019</t>
  </si>
  <si>
    <t>https://www.scopus.com/inward/record.uri?eid=2-s2.0-85063270943&amp;doi=10.5194%2facp-19-3673-2019&amp;partnerID=40&amp;md5=afe15d051fa9e8eafbb7759a579307bc</t>
  </si>
  <si>
    <t>Cold frontal passages usually promote quick removal of atmospheric pollutants over North China (e.g. the Beijing-Tianjin-Hebei region). However, in the Yangtze River Delta (YRD), cold fronts may bring air pollutants from the polluted North China Plain (NCP), thereby deteriorating the air quality in the YRD. In this study, a cold frontal passage and a subsequent stable weather event over YRD during 21-26 January 2015 was investigated with in situ observations and Weather Research and Forecasting - Community Multiscale Air Quality Modeling System simulations. Observations showed a burst of PM2.5 pollution and an obvious southward motion of PM2.5 peaks on the afternoon of 21 January, suggesting a strong inflow of highly polluted air masses to YRD by a cold frontal passage. Model simulations revealed an existing warm and polluted air mass over YRD ahead of the frontal zone, which climbed to the free troposphere along the frontal surface as the cold front passed, increasing the PM2.5 concentration at high altitudes. Strong north-westerly frontal airflow transported particles from the highly polluted NCP to the YRD. As the frontal zone moved downstream of YRD, high pressure took control over the YRD, which resulted in a synoptic subsidence that trapped PM2.5 in the boundary layer. After the cold frontal episode, a uniform pressure field took control over the YRD. Locally emitted PM2.5 started to accumulate under the weak winds and stable atmosphere. Tagging of PM2.5 by geophysical regions showed that the PM2.5 contribution from the YRD itself was 35% and the contribution from the NCP was 29% during the cold frontal passage. However, under the subsequent stable weather conditions, the PM2.5 contribution from the YRD increased to 61.5% and the contribution from the NCP decreased to 14.5 %. The results of this study indicate that cold fronts are potential carriers of atmospheric pollutants when there are strong air pollutant sources in upstream areas, which may deteriorate air quality in downstream regions. © 2019 Author(s).</t>
  </si>
  <si>
    <t>2-s2.0-85063270943"</t>
  </si>
  <si>
    <t>10.1016/j.jafrearsci.2018.10.016</t>
  </si>
  <si>
    <t>https://www.scopus.com/inward/record.uri?eid=2-s2.0-85059303147&amp;doi=10.1016%2fj.jafrearsci.2018.10.016&amp;partnerID=40&amp;md5=a62a3fa447c9d6cfa150f90c48da6a81</t>
  </si>
  <si>
    <t xml:space="preserve">                             Urban flooding is increasingly pervasive, with dreadful impacts on people and development assets. Whilst the frequency of occurrence of this hazard, mainly from pluvial events, is of fundamental importance in climate change and earth sciences research, the severity of its impacts motivates major debates within the context of flood risk management and sustainable urban development. The present study focuses on the development of a novel flood model, as a contribution to meeting the challenges of flood risk assessment within data poor urban areas such as in Nigeria. The new model combines the full functionality of cellular automata (CA) framework with a semi-implicit finite difference numerical scheme (SIFDS), whilst the resulting algorithms were programmed within MATLAB                             TM                              programming platform. In this study, computation complexity and distributed topographic data requirement, both which are associated with flood modelling, and which tend to present a major limitation to flood modelling in the developing countries (DCs) are being addressed. A highly urbanized area within the Lagos metropolis of Nigeria was chosen as a case study to validate the model and to simulate the July 10th 2011 flooding event. A 2-m horizontal resolution LiDAR DEM, published Manning's friction coefficients and rainfall intensity, were used as data inputs into the new flood model. Simulated results compared well with actual flooding inundations, reported by urban residents, and detailed in some literature and by the media. The Pearson correlation coefficient (r) between predicted flood depth and estimated values is 0.968. It is expected that the challenges of urban flooding in Lagos particularly and in the DCs generally will be better addressed if robust, but low-cost flood models are developed and utilized in the assessment of flood damage.                          © 2018 Elsevier Ltd</t>
  </si>
  <si>
    <t>2-s2.0-85059303147"</t>
  </si>
  <si>
    <t>10.1134/S0001437019020073</t>
  </si>
  <si>
    <t>https://www.scopus.com/inward/record.uri?eid=2-s2.0-85066859827&amp;doi=10.1134%2fS0001437019020073&amp;partnerID=40&amp;md5=12b67691c504ca0e94064d8aa0e5137b</t>
  </si>
  <si>
    <t>Abstract: The object of direct study is the accumulative coast of King Edward Bay on the island of South Georgia of the Antarctic microcontinent of the same name. Neotectonic uplift of the island is causing accumulative coastal processes in the conjugate zone between land and sea in areas with relative tectonic subsidence. Geological and geomorphological studies and mathematical modeling of the coastal zone lithodynamics make it possible to identify the main factors of its current state and substantiate the forecast for development in the 21st century. The choice of object is dictated by the demand for different information with respect to its association with the area of active international tourism and the possibility of obtaining original geological and geomorphological material under the Shirshov Institute of Oceanology’s Antarctic research program. © 2019, Pleiades Publishing, Inc.</t>
  </si>
  <si>
    <t>2-s2.0-85066859827"</t>
  </si>
  <si>
    <t>10.1029/2018JC014718</t>
  </si>
  <si>
    <t>https://www.scopus.com/inward/record.uri?eid=2-s2.0-85063480407&amp;doi=10.1029%2f2018JC014718&amp;partnerID=40&amp;md5=ce44ae2307cf18f19764e3a9a4f82de0</t>
  </si>
  <si>
    <t>This paper describes a framework in which artificial extreme sea levels (ESLs) can be generated for use in flood risk analyses. Such analyses require large numbers of events to accurately assess the risk associated with certain return water levels and quantify uncertainties surrounding the temporal variability of ESL events. Stochastic models satisfy this requirement as they are computationally inexpensive, and thus, many thousands of events may be generated over a very short period of time. As a case study, we have developed a stochastic model for the German Baltic Sea coast capable of simulating the temporal behavior of ESLs. To do this, high-resolution water level data from 45 tide-gauges have been used as model input. At each location, observed ESLs are identified and parameterized. Artificial ESLs are generated using Monte Carlo simulations based on the parametric distribution functions fitted to the parameterized observed ESLs. We show that the method outlined here provides an accurate representation of ESLs at all tide-gauges tested. However, the model is limited by the availability, length, and quality of high-resolution water level data. Due to the rarity of ESLs in the German Baltic Sea, including historical measurements into the stochastic procedure allows for the generation of artificial ESLs more in-line with past extremes. ©2019. American Geophysical Union. All Rights Reserved.</t>
  </si>
  <si>
    <t>2-s2.0-85063480407"</t>
  </si>
  <si>
    <t>10.1007/s13280-018-1061-8</t>
  </si>
  <si>
    <t>https://www.scopus.com/inward/record.uri?eid=2-s2.0-85047949136&amp;doi=10.1007%2fs13280-018-1061-8&amp;partnerID=40&amp;md5=b63423cdcf6fc0278ea5076240997018</t>
  </si>
  <si>
    <t>The impacts of climate change are of particular concern to the coastal region of tropical countries like India, which are exposed to cyclones, floods, tsunami, seawater intrusion, etc. Climate-change adaptation presupposes comprehensive assessment of vulnerability status. Studies so far relied either on remote sensing-based spatial mapping of physical vulnerability or on certain socio-economic aspects with limited scope for upscaling or replication. The current study is an attempt to develop a holistic and robust framework to assess the vulnerability of coastal India at different levels. We propose and estimate cumulative vulnerability index (CVI) as a function of exposure, sensitivity and adaptive capacity, at the village level, using nationally comparable and credible datasets. The exposure index (EI) was determined at the village level by decomposing the spatial multi-hazard maps, while sensitivity (SI) and adaptive capacity indices (ACI) were estimated using 23 indicators, covering social and economic aspects. The indicators were identified through the literature review, expert consultations, opinion survey, and were further validated through statistical tests. The socio-economic vulnerability index (SEVI) was constructed as a function of sensitivity and adaptive capacity for planning grassroot-level interventions and adaptation strategies. The framework was piloted in Sindhudurg, a coastal district in Maharashtra, India. It comprises 317 villages, spread across three taluks viz., Devgad, Malvan and Vengurla. The villages in Sindhudurg were ranked based on this multi-criteria approach. Based on CVI values, 92 villages (30%) in Sindhudurg were identified as highly vulnerable. We propose a decision tool for identifying villages vulnerable to changing climate, based on their level of sensitivity and adaptive capacity in a two-dimensional matrix, thus aiding in planning location-specific interventions. Here, vulnerability indicators are classified and designated as ‘drivers’ (indicators with significantly high values and intervention priority) and ‘buffers’ (indicators with low-to-moderate values) at the village level. The framework provides for aggregation or decomposition of CVI and other sub-indices, in order to plan spatial contingency plans and enable swift action for climate adaptation. © 2018, Royal Swedish Academy of Sciences.</t>
  </si>
  <si>
    <t>2-s2.0-85047949136"</t>
  </si>
  <si>
    <t>International Journal of Urban and Regional Research</t>
  </si>
  <si>
    <t>10.1111/1468-2427.12758</t>
  </si>
  <si>
    <t>https://www.scopus.com/inward/record.uri?eid=2-s2.0-85062239146&amp;doi=10.1111%2f1468-2427.12758&amp;partnerID=40&amp;md5=83268767949d519ed4c7f9523d357519</t>
  </si>
  <si>
    <t>Coastal megacities across Asia have experienced devastating floods in recent years. Studies project dramatic increases in populations prone to chronic flooding and potential permanent inundation of densely populated urban areas in future decades. The uncertainties presented by future flood risks disrupt prevalent state visions of globalization-driven prosperity. The emerging reality of a shift in relationship between water and urban settlements has begun driving recalibration of power relations around a range of issues, including longstanding contestations over infrastructure delivery, housing, land rights and political representation. Flood mitigation efforts have played out in debates over displacement and eviction, and distributional concerns about the costs and benefits of these initiatives. This article develops a conceptual framework for assessing the implications of projections of flood risk for urban political theory. The article begins by identifying political contestations that emerge around the varied ways water intersects with urban processes—through dynamics of permeability, flow and drainage, aquifers and pipes, and coastal defense. It then explores how projections of the crisis of flooding have reshaped three contemporary debates in urban politics: those around property rights and the question of ‘informality’; around neoliberalization and financialization; and around the rescaling of the state. Finally, it briefly deploys this framework to examine the case of Jakarta.</t>
  </si>
  <si>
    <t>10.1111/1752-1688.12717</t>
  </si>
  <si>
    <t>https://www.scopus.com/inward/record.uri?eid=2-s2.0-85059878472&amp;doi=10.1111%2f1752-1688.12717&amp;partnerID=40&amp;md5=e5f62422ddf4f51eeabd423fd9d98253</t>
  </si>
  <si>
    <t>The widespread construction of levees has reduced river–floodplain connectivity and altered associated fluvial processes in many river systems. Despite the recognition that levees can alter floodplain connectivity, few studies have examined the role of levees in reducing floodplain areas at large watershed scales. This paper explores the application of a hydrogeomorphic floodplain inundation model in the Wabash Basin, located in the Midwestern United States, to assess changes in floodplain area in levee-protected areas. We evaluate 10- and 30-m topographic resolutions and spatially examine the influence of levees on floodplain area in relation to river network attributes. Generally, floodplains in levee-protected areas were influenced by topographic resolution, stream order, and elevation details of levees found in topography datasets. We show, when compared to Federal Emergency Management Agency maps, our approach underpredicts floodplain area when using 10-m resolution topography data but only slightly overpredicts when using 30-m resolution data. After removing details of levees from topography data, we found changes in floodplain area varied spatially, but basin-aggregate results changed little compared to topography datasets that contain levees, though larger floodplain areas were produced in some regions where levees were removed. This work contributes to a growing research emphasis on using hydrogeomorphic floodplain models to understand floodplain disconnectivity. © 2019 American Water Resources Association</t>
  </si>
  <si>
    <t>2-s2.0-85059878472"</t>
  </si>
  <si>
    <t>10.1007/s10584-019-02369-x</t>
  </si>
  <si>
    <t>https://www.scopus.com/inward/record.uri?eid=2-s2.0-85060478124&amp;doi=10.1007%2fs10584-019-02369-x&amp;partnerID=40&amp;md5=e34b21ecc68082dba7ec9d875ec88d15</t>
  </si>
  <si>
    <t xml:space="preserve">                             Salinity response to sea-level rise is evaluated for a low-gradient, tidally active estuary, the lower St. Johns River, Florida. A high-resolution numerical model is forced by continuous data of water levels and freshwater inflows for the offshore and upstream boundaries, respectively. The modeling approach is configured for salinity simulation over a 10-year record, 1997–2007, and validated at four salinity-gauging stations inside the river. The initial condition of salinity field was found to be a critical factor in the numerical simulation. Adjustments in the initial salinity condition of ± 10% required 6–9 months for the model salinity solution to dynamically equilibrate with the applied boundary conditions. Model predictions of salinity response to sea-level rise of 0.05, 0.15, and 0.30 m were diagnosed in terms of salinity change. Salinity was found to increase over the entire river, regardless of the magnitude of sea-level rise. Linear rates of salinity increase were predicted as high as 6 ppt m                             −1                              inside the river. The change in salinity was nonuniform throughout the system and exhibited a moderate-to-strong nonlinear component. The results uncover a hotspot in the river where salinity was predicted to increase as much as ~ 2.3 ppt due to the nonlinear system response to sea-level rise.                          © 2019, Springer Nature B.V.</t>
  </si>
  <si>
    <t>2-s2.0-85060478124"</t>
  </si>
  <si>
    <t>10.3390/cli7040049</t>
  </si>
  <si>
    <t>https://www.scopus.com/inward/record.uri?eid=2-s2.0-85064718866&amp;doi=10.3390%2fcli7040049&amp;partnerID=40&amp;md5=45e720077118f098fb151bd841bdb4db</t>
  </si>
  <si>
    <t>This study presents the results of an impact analysis of climate change on salinization and the long-term availability of drinking water resources along the river Lek, a tidal branch of the Rhine delta, and a potential mitigation measure. To this end, a one-dimensional modelling approach was used that enabled studying 50 years of variation in discharge and tide in current and future climate. It was found that all locations are increasingly vulnerable to salt intrusion caused by the combination of sea level rise and decreasing river discharges. This affects both the yearly average chloride concentration and long duration exceedances of the threshold value of 150 mg/L. It was also found that diverting a higher fresh water discharge to the Lek of several tens of cubic meters per second reduces the risk of salinization at the upstream inlet locations. However, the increased influence of seawater intrusion on the drinking water inlets cannot be fully compensated for by this measure. The potential gain of the extra water for the drinking water inlets along the Lek has to be balanced against the impact of this measure on water levels and stream flows in other parts of the river system. © 2019 by the authors.</t>
  </si>
  <si>
    <t>2-s2.0-85064718866"</t>
  </si>
  <si>
    <t>10.3390/RS11060609</t>
  </si>
  <si>
    <t>https://www.scopus.com/inward/record.uri?eid=2-s2.0-85076012780&amp;doi=10.3390%2fRS11060609&amp;partnerID=40&amp;md5=5047b0db0db9153d3b33a05a461fd1bf</t>
  </si>
  <si>
    <t>Detailed vegetation maps are needed for wetland conservation and restoration as different vegetation communities have distinct water requirements. It is a continuous challenge to map the distribution of different wetland types on a regional scale, and a trade-off between the categorical details and availability of resources to ensure broad applications is often necessary for operational mapping. Here, we evaluated the capacity and performance of statistical learning in discriminating wetland types using Landsat time series and geomorphological variables computed from Light Detection and Ranging (LiDAR) and Shuttle Radar Topography Mission (SRTM) digital elevation model (DEM). Our study showed that there was a discrimination limit of statistical learning in wetland mapping. The approach was clearly inadequate in distinguishing certain wetland types. In semiarid Australia, our results suggested that the appropriate level for floodplain wetland mapping included four classes: tree-dominated woodlands, shrublands, vegetated swamps, and non-flood-dependent terrestrial communities. Our results also demonstrated that the geomorphological metrics significantly improved the accuracy of wetland classification. Furthermore, geomorphological metrics derived from the freely available coarser resolution SRTM DEM were as beneficial for wetland mapping as those extracted from finer scale commercially-based LiDAR DEM. The finding enables the widespread applications of our approach, as both data sources are freely available globally. © 2019 by the authors. Licensee MDPI, Basel, Switzerland.</t>
  </si>
  <si>
    <t>2-s2.0-85076012780"</t>
  </si>
  <si>
    <t>10.1016/j.scitotenv.2018.11.104</t>
  </si>
  <si>
    <t>https://www.scopus.com/inward/record.uri?eid=2-s2.0-85056728335&amp;doi=10.1016%2fj.scitotenv.2018.11.104&amp;partnerID=40&amp;md5=d059aaca3eef6ed0ab5821e1ad5c0af8</t>
  </si>
  <si>
    <t>The Po River delta is characterized by a large system of shallow lagoons, wetlands, and reclaimed lands. Like many other deltaic regions, the Po Delta has largely subsided due to natural processes and anthropogenic activities, with a strong impact on its geomorphological evolution and significant socio- economic consequences. This paper aimed at highlighting the evolution of the study area over the last 120 years, analysing the land-uses changes in relation to the land subsidence, and using these findings to discuss the main management issues of this fragile low lying area in the decades to come. The analysis of the land use evolution from 1892 to 2015 and the information derived from the metrics measurement suggest a simplification of the land use with a decrease of the saltmarsh extent and an enlargement of the agricultural cover. The analysis of land subsidence, mainly due to gas-bearing groundwater withdrawal, confirms a strong impact on the delta territory, and in particular on its geomorphological asset. In the early 1900s the elevation of the delta plain ranged between −1.0 and +1.6 m above msl, while in 2007 it reduced between −2.8 to +0.3 m above msl. The land reclamation projects have largely increased the farmland usable for crop production but the concurrent loss of land elevation has resulted in a territory extremely difficult to be managed. Because of its elevation, the delta is particularly vulnerable to weather and marine events. As a consequence, the present management of the area is mainly aimed at maintaining the agricultural productivity. Unfortunately, if the human impacts will continue with the actual trend, the stability of the natural ecosystems, such as the wetlands, which represent important socioeconomic realities, will be further undermined. Surely, the conservation of these natural environments should be a priority in the future land use management. © 2018 Elsevier B.V.</t>
  </si>
  <si>
    <t>2-s2.0-85056728335"</t>
  </si>
  <si>
    <t>10.1029/2018JF004861</t>
  </si>
  <si>
    <t>https://www.scopus.com/inward/record.uri?eid=2-s2.0-85061294350&amp;doi=10.1029%2f2018JF004861&amp;partnerID=40&amp;md5=18c2a4b11739619e0448c0e5929e909f</t>
  </si>
  <si>
    <t>The role of intertidal creek networks in overmarsh circulation is not well constrained. In this study, we systematically remove intertidal creeks from a high-resolution salt marsh digital elevation model and conduct new flow simulations with each iteration. Overall, removal of first- and second-order creeks reduced drainage density by 65%, and this had a negligible effect on overmarsh circulation and tracer distribution. However, upon removal of third- and fourth-order creeks, drainage density was reduced by 80% of the original value, and changes in peak velocity magnitude across various spatial and temporal scales reveal a system-wide switch from ebb to flood dominance. This response coincides with the interruption of topographically connected creeks that facilitate the direct exchange of water and tracer between the marsh interior and the larger subtidal system. Further, this reduction in hydraulic connectivity gives rise to less expansive tracer dispersal and a systematic decline in tracer residence time. Together, these results reveal that for the Groves Creek marsh, lower-order intertidal creeks have a minor role in overmarsh circulation, while higher-order creeks increase the potential for short circuiting of flow</t>
  </si>
  <si>
    <t>10.1016/j.ijdrr.2018.10.015</t>
  </si>
  <si>
    <t>https://www.scopus.com/inward/record.uri?eid=2-s2.0-85055993889&amp;doi=10.1016%2fj.ijdrr.2018.10.015&amp;partnerID=40&amp;md5=3ced1620819ff2f569a1a486de552be8</t>
  </si>
  <si>
    <t>On November 15, 2017, a high intensity convective storm, reaching 300 mm in 13 h in the core zone of the event, hit the western part of the region of Attica in Greece, causing a catastrophic flash flood in the town of Mandra and a tragic loss of 24 people, making it the most deadly flood in the country, in a period of 40 years. The research team surveyed the area during and after the flood using a combination of systematic ground and aerial observations with the aid of an unmanned aerial vehicle (UAV), aiming to reconstruct the basic physical and hydrological characteristics of the flood and its impacts. The analysis produced detailed flood extent and depth maps that provided a comprehensive description of the physical characteristics of floodwaters across the inundated area. Peak discharge was estimated, using a UAV-derived digital surface model, at two locations, corresponding to the two main tributaries and indicated an impressive hydrological response, between 9 and 10 m3/s/km2. Impact analysis on the basis of these observations showed an extensive diversity, including effects in geomorphology, vegetation, buildings, infrastructure and human population. Analysis of meteorological, botanical and geomorphological evidence lead to the conclusion that this flash flood was a very rare event. Results demonstrate that the combination of aerial and ground observations allow an enhanced and holistic reconstruction of a flash flood and its impacts with high accuracy, leading to the conclusion that the approach used has a significant potential in many aspects of flood disaster investigations. © 2018 Elsevier Ltd</t>
  </si>
  <si>
    <t>2-s2.0-85055993889"</t>
  </si>
  <si>
    <t>10.1016/j.jenvman.2018.11.039</t>
  </si>
  <si>
    <t>https://www.scopus.com/inward/record.uri?eid=2-s2.0-85059300323&amp;doi=10.1016%2fj.jenvman.2018.11.039&amp;partnerID=40&amp;md5=b172b52160267323f55b1c81ef4f854e</t>
  </si>
  <si>
    <t>This study integrates publicly available datasets to provide a county-based assessment of socio-economic disparities of population exposure to flood hazards in the United States. Statistical analyses were applied to reveal the national trends and local deviations from the trends. Results show that approximately 21.8 million (6.87% of) U.S. population are exposed to 100-year-flood in 2015, and most of the exposure is near water bodies (e.g. ocean and rivers). Additionally, communities near water bodies are more responsive to potential flood hazards by avoiding residence in flood zones than inland communities. At the national scale, economically disadvantaged population are more likely to reside in flood zones than outside. At the local scale, economically disadvantaged population tend to reside in flood zones in inland areas, while coastal flood zones are more occupied by wealthier and elderly people. These findings point to an alarming situation of inland communities where people are generally less responsive to flood hazards and people in flood zones are in a lower economic condition. Using “hot spot” analysis, local clusters of disadvantaged population groups with high flood exposure were identified. Overall, this study provides important baseline information for policymaking at different levels of administration and pinpoints local areas where diversified and ad hoc strategies are needed to mitigate flood risk in communities with diverse socio-economic conditions. This study provides empirical evidence of socio-economic disparities and environmental injustice associated with flood exposure in the U.S. and offers valuable insights to the underlying factors. © 2018 Elsevier Ltd</t>
  </si>
  <si>
    <t>2-s2.0-85059300323"</t>
  </si>
  <si>
    <t>10.1007/s41742-018-0141-8</t>
  </si>
  <si>
    <t>https://www.scopus.com/inward/record.uri?eid=2-s2.0-85060225161&amp;doi=10.1007%2fs41742-018-0141-8&amp;partnerID=40&amp;md5=8543830c59d8247c3137ac1a9dcbf03f</t>
  </si>
  <si>
    <t>These days with population growth and consequence of water shortage, treated wastewater is used as an alternative source in agricultural and industrial purposes. Moreover, emerging and growing impacts of climate change, which have exacerbated the climate hazards, have placed a challenge to the management of hydrosystems including waste water treatment plants which provide treated wastewater Therefore, ensuring the proper performance of these facilities, in terms of acceptable effluent concentration, is imperative. This objective could be achieved by assessing the systems reliability, from standpoint quality of effluent, namely successful performance of facility within acceptable quality standards. This study presents a quantitative and qualitative framework for obtaining the reliability of three different waste water treatment plants at the times of coastal flooding. Coastal flooding can cause a failure in WWTP in two different ways</t>
  </si>
  <si>
    <t>10.1007/s13201-018-0881-9</t>
  </si>
  <si>
    <t>https://www.scopus.com/inward/record.uri?eid=2-s2.0-85060569066&amp;doi=10.1007%2fs13201-018-0881-9&amp;partnerID=40&amp;md5=aba623adda2a7a9a42a47894a71f970e</t>
  </si>
  <si>
    <t>Coastal cities contrive to spread their transformative influence both into the hinterland, along the coastline, and into the coastal waters themselves. These effects will be intensified in urban agglomerations as the concentration of population and allied activities are more pronounced there compared to the inland regions. Indian coastal cities are no exception, and it is high time to delineate these hazard-prone regions and implement proper mitigation and adaptation strategies at city scale. This review article provides an assessment regarding quantification, management and climate change impacts of flood risks in Surat, Mumbai, Chennai and Kolkata, which are the most populated coastal cities in India. The flood impacts considered in the existing or prevailing analyses are associated with adverse effects on population, land use of cities, transportation and economy caused by different types of riverine and urban flooding, though coastal flooding, tsunami and storm surge effects are less studied. Mumbai and Kolkata are relatively progressive in the assessment of flood risks and adaptation. The present article also suggests strategies to evaluate the relative progress in the assessment of past and future risks and adaptation. We also discuss the mitigation and adaptation strategies considering the historical importance of these cities. We propose that the strategies should be implemented considering public opinion and should be initialized at the grass root level. Though it is technically difficult to re-plan the city structures in the current scenario, it is possible to adapt to and mitigate the effects of natural hazards through suitable planning and management with the integrated cooperation and involvement of citizens and government as well. © 2018, The Author(s).</t>
  </si>
  <si>
    <t>2-s2.0-85060569066"</t>
  </si>
  <si>
    <t>10.1080/10807039.2019.1578947</t>
  </si>
  <si>
    <t>https://www.scopus.com/inward/record.uri?eid=2-s2.0-85063091142&amp;doi=10.1080%2f10807039.2019.1578947&amp;partnerID=40&amp;md5=8f642ae8b405d00f180932b75f5f2f54</t>
  </si>
  <si>
    <t>A severe problem of water supply in eastern coastal India is the saline water intrusion into aquifers due to growing industrialization, urbanization, groundwater withdrawals and sea-level rise. The present study investigated the groundwater quality and sea intrusion in a coastal area of southern India using different techniques. A total of 122 groundwater samples were collected during May 2014 representing summer (SUM) and August 2014 representing southwest monsoon (SWM), and analyzed for 12 chemical parameters (Na+, K+, Ca2+, Mg2+, Cl−, SO42−, HCO3−, NO3−, F− PO4−, Si and TDS). Water quality index (WQI) was used to determine the groundwater quality. The WQI suggests that more samples during SWM are classified as poor quality than in SUM due to multiple factors seawater intrusion, ion exchange, excess withdrawal, sewages impact and agricultural activity. The spatial of Cl−, EC and WQI indicate that Cl− and EC related to poor quality groundwater. Saline water mixing index indicates greater percentage (35%) of samples during SWM, influenced by seawater intrusion noted toward western and eastern localities of the study area. The SEAWAT model attempted describes seawater intrusion noted along the eastern stretches of the study area owing to excess withdrawal and simulation for 50 years suggests further migration inland. © 2019, © 2019 Taylor &amp; Francis Group, LLC.</t>
  </si>
  <si>
    <t>2-s2.0-85063091142"</t>
  </si>
  <si>
    <t>10.1016/j.margeo.2019.01.009</t>
  </si>
  <si>
    <t>https://www.scopus.com/inward/record.uri?eid=2-s2.0-85060751612&amp;doi=10.1016%2fj.margeo.2019.01.009&amp;partnerID=40&amp;md5=4c2881e991dcc95d7f7802e9da58ab82</t>
  </si>
  <si>
    <t xml:space="preserve">                             This paper investigates the response of a mixed sand and gravel (MSG) barrier coastline to storms and sudden relative sea-level change using the numerical model XBeach-G. The barrier beaches of southern Hawke's Bay, New Zealand provide a natural laboratory for the work owing to spatial variability in instantaneous land deformation that occurred during the 1931 Hawke's Bay earthquake. Historic (1931) and contemporary (2017) morphodynamics of one tectonically uplifted (+1.5 m) and one subsided (−0.78 m) barrier were modelled under energetic waves (H                             s                              1–6 m). XBeach-G was designed to simulate pure gravel beach morphodynamics, but despite this, the model demonstrated high quantitative skill when calibrated for the MSG coast. Results reveal the storm impact regimes of each profile and potential linkages to decadal-scale barrier development observed in historical beach profile data. Storm-swash processes at the uplifted profile indicate long-term barrier stability due to a lack of change at the barrier crest, and ridge building observed in model simulations provides a potential formative mechanism for decadal-scale beach progradation. At the subsided barrier, modelled historic crest build-up (up to 0.3 m) and narrowing (over 5 m) indicate an overtopping mode of response to sudden relative sea-level rise. Simulation results are consistent with historical beach profile observations that also show chronic narrowing of the subsided barrier through time. Simulations of the modern barrier draw attention to the possibility that it may be on a trajectory toward catastrophic breakdown under extreme conditions, but further work is needed to distinguish the relative importance of historical sudden sea-level rise versus deficits in sediment supply to this shoreline.                          © 2019</t>
  </si>
  <si>
    <t>2-s2.0-85060751612"</t>
  </si>
  <si>
    <t>10.3368/le.95.1.1.19</t>
  </si>
  <si>
    <t>https://www.scopus.com/inward/record.uri?eid=2-s2.0-85062891507&amp;doi=10.3368%2fle.95.1.1.19&amp;partnerID=40&amp;md5=7d0f7b21e868c45a1c98b05ff99a6b05</t>
  </si>
  <si>
    <t>Coastal communities are facing the dual threat of increasing sea level rise (SLR) and swelling populations, causing challenging policy problems. To help inform policy makers, this paper explores the property price impact of structures that help protect against SLR, using a novel and spatially explicit dataset of coastal features. Results indicate that adaptation structures can have a significant positive impact on waterfront home prices, with the most vulnerable homes seeing the largest impacts. The Chesapeake Bay is facing increasing pressure from SLR, and this is one of the first papers to report that local property markets are incorporating that threat. © 2019 by the Board of Regents of the University of Wisconsin System.</t>
  </si>
  <si>
    <t>2-s2.0-85062891507"</t>
  </si>
  <si>
    <t>10.1016/j.scitotenv.2018.10.309</t>
  </si>
  <si>
    <t>https://www.scopus.com/inward/record.uri?eid=2-s2.0-85055641726&amp;doi=10.1016%2fj.scitotenv.2018.10.309&amp;partnerID=40&amp;md5=78a14dd61b49b4ab868534925f94ccb1</t>
  </si>
  <si>
    <t>The Baixo Vouga Lagunar (BVL) is part of Ria de Aveiro coastal lagoon in Portugal, which is classified as a Special Protection Area under the European Habitats and Birds Directives. This part of the system, corresponding to the confluence of the Vouga River with the lagoon, is very important culturally and socioeconomically for the local communities, taking place several human activities, especially agriculture. To prevent salt water intrusion from the Ria de Aveiro into agriculture fields, a floodbank was initiated in the 90's. In frame of ongoing changes in Ria de Aveiro hydrodynamics, the existing floodbank will be now extended, introducing further changes in the ecological dynamics of the BVL and its adjacent area. As a consequence, the water level in the floodbank downstream side is expected to rise, increasing the submersion period in tidal wetlands, and leading to coastal squeeze. The aim of this study is to apply an ecosystem based-management approach to mitigate the impacts on biodiversity resulting from the management plan. To do so, we have modelled the implications of the changes in several hydrological and environmental variables on four saltmarsh species and habitats distribution, as well as on their associated ecosystem services, both upstream and downstream of the floodbank. The ecosystem services of interest were prioritized by stakeholders' elicitation, which were then used as an input to a spatial multi-criteria analysis aimed to find the best management actions to compensate for the unintended loss of biodiversity and ecosystem services in the BVL. According to our results, the main areas to be preserved in the BVL were the traditional agricultural mosaic fields</t>
  </si>
  <si>
    <t>10.5194/nhess-19-299-2019</t>
  </si>
  <si>
    <t>https://www.scopus.com/inward/record.uri?eid=2-s2.0-85060968900&amp;doi=10.5194%2fnhess-19-299-2019&amp;partnerID=40&amp;md5=a1908482ee289b0148de855a07a00e45</t>
  </si>
  <si>
    <t xml:space="preserve">                             This research aimed to assess the tsunami flow velocity and height reduction produced by a planned elevated road parallel to the coast of Banda Aceh, called the Banda Aceh Outer Ring Road (BORR). The road will transect several lagoons, settlements, and bare land around the coast of Banda Aceh. Beside its main function to reduce traffic congestion in the city, the BORR is also proposed to reduce the impacts of future tsunamis. The Cornell Multi-grid Coupled Tsunami Model (COMCOT) was used to simulate eight scenarios of the tsunami. One of them was based on the 2004 Indian Ocean tsunami. Two magnitudes of earthquake were used, that is, 8.5 and 9.15M                             w                             . Both the earthquakes were generated from the same source location as in the 2004 case, around the Andaman Sea. Land use data of the innermost layer of the simulation area were adopted based on the 2004 condition and the land use planning of the city for 2029. The results of this study reveal that the tsunami inundation area can be reduced by about 9% by using the elevated road for the earthquake of magnitude 9.15M                             w                              and about 22% for the earthquake of magnitude 8.5M                             w                             . Combined with the land use planning 2029, the elevated road could reduce the maximum flow velocities behind the road by about 72 %. Notably, the proposed land use for 2029 will not be sufficient to deliver any effects on the tsunami mitigation without the elevated road structures. We recommend the city to construct the elevated road as this could be part of the co-benefit structures for tsunami mitigation. The proposed BORR appears to deliver a significant reduction of impacts of the smaller intensity tsunamis compared to the 2004 Indian Ocean tsunami.                          © Author(s) 2019.</t>
  </si>
  <si>
    <t>2-s2.0-85060968900"</t>
  </si>
  <si>
    <t>10.1193/101917EQS218M</t>
  </si>
  <si>
    <t>https://www.scopus.com/inward/record.uri?eid=2-s2.0-85064825134&amp;doi=10.1193%2f101917EQS218M&amp;partnerID=40&amp;md5=a4a1f9bf23481006bdc6f293d64dccfa</t>
  </si>
  <si>
    <t>Tsunami alerts following severe earthquakes usually affect large geographical regions and require people to evacuate to higher safety zones. However, evacuation routes may be hindered by building debris and vehicles, thus leading to longer evacuation times and an increased risk of loss of life. Herein, we apply an agent-based model to study the evacuation situation of the coastal city of Iquique, north Chile, where most of the population is exposed to inundation from an incoming tsunami. The study evaluates different earthquake scenarios characterized by different ground motion intensities in terms of the evacuation process within a predefined inundation zone. Evacuating agents consider the microscale interactions with cars and other people using a collision avoidance algorithm. Results for the no ground shaking scenario are compared for validation with those of a real evacuation drill done in 2013 for the entire city. Finally, a parametric analysis is performed with ten different levels of ground motion intensity, showing that evacuation times for 95% of the population increase in 2.5 min on average when considering the effect of building debris. © 2019, Earthquake Engineering Research Institute.</t>
  </si>
  <si>
    <t>2-s2.0-85064825134"</t>
  </si>
  <si>
    <t>10.1080/08920753.2019.1564952</t>
  </si>
  <si>
    <t>https://www.scopus.com/inward/record.uri?eid=2-s2.0-85063139369&amp;doi=10.1080%2f08920753.2019.1564952&amp;partnerID=40&amp;md5=27c89696403f88192a27cb2dde9b6282</t>
  </si>
  <si>
    <t>Climate change is increasing the speed at which tangible coastal cultural heritage is changing in character or being lost through weathering, erosion, and inundation. Damages to coastal archeological sites, loss of access to historical sites, and the alteration of cultural landscapes will force changes in the way researchers can study sites, tourists can enjoy places, and descendant communities who have lived in particular areas for time immemorial, and local community members can utilize and relate to landscapes. In the USA, the National Park Service is a primary coastal cultural resource management organization. The National Park Service has been working on climate change adaptation for cultural resources for over a decade</t>
  </si>
  <si>
    <t>10.1007/s11069-018-3540-4</t>
  </si>
  <si>
    <t>https://www.scopus.com/inward/record.uri?eid=2-s2.0-85057328606&amp;doi=10.1007%2fs11069-018-3540-4&amp;partnerID=40&amp;md5=9918ff0bdda4c1e59bca5657d52f637a</t>
  </si>
  <si>
    <t>The terrain characteristics determine the hydrological response behaviour of watershed systems and have serious effect on incidence and magnitude of floods. Assessment of floods in watershed systems is one of the most complex processes in hydrological investigations. Therefore, this study evaluates the influence of watershed terrain characteristics on flood vulnerability of Markanda River basin in north-west India based on geospatial techniques coupled with field data. This basin is subjected to frequent floods during monsoons (July–September) causing heavy damage to agriculture and other infrastructure. For this study, Cartosat-1-based digital elevation model was used as input data in geographic information system to delineate the Markanda basin and its sub-basins. Subsequently, various watershed characteristics (linear, areal, shape and relief) were selected, measured, calculated and interlinked to evaluate the degree of flood vulnerability. These selected characteristics were both directly and inversely proportional to flooding behaviour. The results of these parameters were analysed and categorized into three classes using simple statistical technique, and then, rank score was assigned to each class of all selected parameters depending on its relation to flood hazard. Apart from this, flood vulnerability was recognized and categorized into high, moderate and low degree of hazard. Analysis reveals that about 7, 21 and 72% area of the basin is vulnerable to high, moderate and low degree of floods, respectively. High flood vulnerable areas are located in upper reaches where about 2.8% of human population is settled. These reaches are characterized by steep slopes, impermeable and barren surfaces and high basin relief. The accuracy of vulnerable areas was assessed through secondary data pertaining to past floods damages such as number of affected villages, households and population, economic losses, relief released, crop damages and human casualties. The findings of this study can assist disaster managers in initiating the flood mitigation measures in highly vulnerable areas of Markanda basin in north-west India. © 2018, Springer Nature B.V.</t>
  </si>
  <si>
    <t>2-s2.0-85057328606"</t>
  </si>
  <si>
    <t>10.1029/2018EF001089</t>
  </si>
  <si>
    <t>https://www.scopus.com/inward/record.uri?eid=2-s2.0-85062323386&amp;doi=10.1029%2f2018EF001089&amp;partnerID=40&amp;md5=115cd769228c11fd222b26c6bf54648f</t>
  </si>
  <si>
    <t>Flood exposure is increasing in coastal communities due to rising sea levels. Understanding the effects of sea level rise (SLR) on frequency and consequences of coastal flooding and subsequent social and economic impacts is of utmost importance for policymakers to implement effective adaptation strategies. Effective strategies may consider impacts from cumulative losses from minor flooding as well as acute losses from major events. In the present study, a statistically coherent Mixture Normal-Generalized Pareto Distribution model was developed, which reconciles the probabilistic characteristics of the upper tail as well as the bulk of the sea level data. The nonstationary sea level condition was incorporated in the mixture model using Quantile Regression method to characterize variable Generalized Pareto Distribution thresholds as a function of SLR. The performance validity of the mixture model was corroborated for 68 tidal stations along the Contiguous United States (CONUS) coast with long-term observed data. The method was subsequently employed to assess existing and future coastal minor and major flood frequencies. The results indicate that the frequency of minor and major flooding will increase along all CONUS coastal regions in response to SLR. By the end of the century, under the “Intermediate” SLR scenario, major flooding is anticipated to occur with return period less than a year throughout the coastal CONUS. However, these changes vary geographically and temporally. The mixture model was reconciled with the property exposure curve to characterize how SLR might influence Average Annual Exposure to coastal flooding in 20 major CONUS coastal cities. ©2019. The Authors.</t>
  </si>
  <si>
    <t>2-s2.0-85062323386"</t>
  </si>
  <si>
    <t>10.1111/bre.12314</t>
  </si>
  <si>
    <t>https://www.scopus.com/inward/record.uri?eid=2-s2.0-85054314453&amp;doi=10.1111%2fbre.12314&amp;partnerID=40&amp;md5=fe8852fdbb8dfd29401f2fc50b998b45</t>
  </si>
  <si>
    <t xml:space="preserve">                             To date, quantification of individual components that contribute to shallow and deep-seated subsidence in passive margin deltas worldwide has proven problematic. A new, regional gridded chronostratigraphic dataset for the Lower Mississippi Delta region, derived from 80,928 well reports across the northern Gulf of Mexico (GOM), has bridged the disparity between geodetic mean rates measuring total land surface subsidence across annual-to-decadal timescales and the deep-seated stratigraphic subsidence rates that record isostatic response over timescales of &gt;10                             4                              years. Through a quantitative assessment of gridded chronostratigraphic surfaces, sections, and subsidence rates extending from the Middle Pleistocene (0.58 Ma) to the Late Pliocene (3.85 Ma), we identify both temporal and spatial variability in deep-seated subsidence across the northern GOM. Targeted deep-seated subsidence data extracted across prior GOM Holocene sea-level sample locations have revealed more than an order of magnitude greater rates of isostatic compensation in the Mississippi depocentre versus similar GOM sea-level control sites in Florida and Alabama, casting doubt on efforts towards a representative Holocene sea-level curve. Spatial variability in subsidence was also assessed locally in both the strike and dip directions to assess the contributions of growth faults. Fault throw displacement magnitude was discovered to decrease with depth, accounting for less than half of the total deep-seated subsidence record of the Middle Pleistocene. Temporal subsidence complexities were also revealed including a direct, inverse logarithmic relationship between subsidence rate and time indicating variable subsidence component controls across different timescales. Despite the spatial and temporal complexities, this dataset serves as the first regional baseline for deep-seated subsidence rates across the northern GOM.                          © 2018 The Authors. Basin Research © 2018 John Wiley &amp; Sons Ltd, European Association of Geoscientists &amp; Engineers and International Association of Sedimentologists</t>
  </si>
  <si>
    <t>2-s2.0-85054314453"</t>
  </si>
  <si>
    <t>10.1016/j.advwatres.2019.02.007</t>
  </si>
  <si>
    <t>https://www.scopus.com/inward/record.uri?eid=2-s2.0-85061939437&amp;doi=10.1016%2fj.advwatres.2019.02.007&amp;partnerID=40&amp;md5=fbf542d3edb2451dff30febf401a4cab</t>
  </si>
  <si>
    <t>Simulation of flood inundation at metric resolution is important for making hazard information useful to a wide range of end-users involved in flood risk management, and addressing the alarming increase in flood losses that have been observed over recent decades. However, high data volumes and computational demands make this challenging over large spatial extents comparable to the metropolitan areas of major cities where flood impacts are concentrated, especially for time-sensitive applications such as forecasting and repetitive simulation for uncertainty assessment. Additionally, several factors present difficulties for numerical solvers including combinations of steep and flat topography that promote transcritical flows, the need to resolve flow in relatively narrow features such as drainage channels and roadways in urban areas which channel flood water during extreme events, and the need to depict compound hazards resulting from the interaction of pluvial, fluvial and coastal flooding. A new flood inundation model is presented here to address these challenges. The Parallel Raster Inundation Model (PRIMo) solves the shallow-water equations on an upscaled grid that is far coarser than the underlying raster digital topographic model (DTM), and uses a subgrid modeling approach so that the solution benefits from DTM-scale topographic data. Additionally, an approximate Riemann solver is applied in an innovative way to integrate fluxes between cells, as needed to update the solution by the finite volume method, which makes the method applicable to subcritical, supercritical and transcritical flows. PRIMo is implemented using a two-dimensional domain decomposition approach to Single Process Multiple Data (SPMD) parallel computing, and overlapping communications and computations are implemented to yield ideal parallel scaling for well-balanced test cases. With both a subgrid model and ideal parallel scaling, the model can scale to meet the demands of any application. Several benchmarks are presented to demonstrate predictive skill and the potential for timely, whole-city, metric-resolution flooding simulations. Limitations of the methods and opportunities for improvements are also presented. © 2019 Elsevier Ltd</t>
  </si>
  <si>
    <t>2-s2.0-85061939437"</t>
  </si>
  <si>
    <t>10.1029/2017JF004576</t>
  </si>
  <si>
    <t>https://www.scopus.com/inward/record.uri?eid=2-s2.0-85061288521&amp;doi=10.1029%2f2017JF004576&amp;partnerID=40&amp;md5=0c1123a72390a04381167c27cdcd4b8a</t>
  </si>
  <si>
    <t>To simplify the complex hydrological variability of flow conditions, experiments on delta evolution are often conducted using a representative channel-forming flood flow and results are related to field settings using an intermittency factor, defined as the fraction of time in flood. Although this factor provides an approximation of dominant flow conditions and makes modeling deltas easier by turning their complex hydraulics into a single representative value, little is known about how this generalization affects delta processes. We conducted experiments with periodic flow conditions to determine the effects of intermittent discharges on fan deltas. For each run, the magnitude of floods was held constant, but the duration changed, thus varying the intermittency factor, between 1 and 0.2. Floods consisted of higher water and sediment discharge, while base flow periods had lower water discharge and sediment input ceased, causing the system to become erosional during these periods. We find that as the duration of floods decreases, the delta topset is larger in area with a shallower slope due to reworking on the topset during base flow conditions. During base flows, the experimental system adjusts toward a new equilibrium state that in turn acts as the initial condition for subsequent flood periods. These results suggest that the adjustment timescale is a factor in determining the behavior of deltas and their channels. We conclude that both periods of flood when most of the sediment is supplied to the system and periods of base flow when topset sediment is reworked contribute to delta dynamics. © 2019. American Geophysical Union. All Rights Reserved.</t>
  </si>
  <si>
    <t>2-s2.0-85061288521"</t>
  </si>
  <si>
    <t>10.3390/atmos10020061</t>
  </si>
  <si>
    <t>https://www.scopus.com/inward/record.uri?eid=2-s2.0-85061250934&amp;doi=10.3390%2fatmos10020061&amp;partnerID=40&amp;md5=a4bbddf28e47b44741f9afcfcd4b7e10</t>
  </si>
  <si>
    <t>The variability of storm surge poses a significant threat to coastal areas. A new metric named Accumulated Storm surge Potential Impact (ASPI) is proposed based on a new intensity parameter that removes other components from storm surge-induced water level rise. This new metric quantifies storm surge threat by combining frequency and intensity. The results show that storm surge threat has increased since the late 1990s due to greater general storm surges. The extreme storm surge threat did not follow the increasing trend until the mid-2000s. Different regional distribution patterns are found along this coast. The storm surge threat exhibited a -++ zonal tripole pattern, the negative phase was along the north coastline of Hangzhou Gulf and the positive phase was from the center to southern coast area of Zhejiang province and along the eastern coast area of Leizhou Peninsula. Long-term storm surge threats change spatial distribution pattern in three periods. More precarious threats from the center to southern coast areas of Zhejiang province illustrated a poleward shift of storm surge threats consistent with the trend of long-term tropical cyclone landfall. Meanwhile, the strong threat along the eastern coast line of Leizhou Peninsula was sustained from 1960 to 1995, then became weaker from 1996 to 2015. The evolution pattern of storm surge threat along the southeastern coastline of China could be applied for coastal adaptation research under climate change scenarios. © 2019 by the authors.</t>
  </si>
  <si>
    <t>2-s2.0-85061250934"</t>
  </si>
  <si>
    <t>10.1016/j.catena.2018.10.005</t>
  </si>
  <si>
    <t>https://www.scopus.com/inward/record.uri?eid=2-s2.0-85054433924&amp;doi=10.1016%2fj.catena.2018.10.005&amp;partnerID=40&amp;md5=7b49cf9d6a3ae38e6441c26905c83411</t>
  </si>
  <si>
    <t>Soil legacy data is ubiquitous and usually contains routine soil analysis information. In Iran, like most places, legacy soil data constitutes genetic horizon soil information recorded from excavated soil profiles. Describing and sampling from each genetic horizon is assumed to be heterogeneous from site to site. Digital soil mapping (DSM) using observed data is valuable because it provides a means to exploit the available information together with leveraging commonly available information by way of environmental covariates. It creates a much more detailed view of soil at the landscape scale. The purpose of this paper is to model and map the spatial distribution of nitrogen, phosphorous and boron at four standardized depths: 0–15, 15–30, 30–60, 60–100 cm, in an area of 7300 ha in the north west of Iran, and compare different model types. To circumvent the issue of heterogeneous soil depth observations from site to site, mass-preserving soil depth function splines were used to harmonise the soil profile observed data to the aforementioned standard depths. This facilitated the spatial modelling of each of the target variables for each standard depth with the aim of creating digital soil maps. Twenty-three covariates were extracted from a publically available digital elevation model (DEM) as well as freely available Landsat 8 ETM+ imagery. The DEM-derivative covariates used in this study were divided into three main categories: i) Morphometry</t>
  </si>
  <si>
    <t>10.3390/rs11030277</t>
  </si>
  <si>
    <t>https://www.scopus.com/inward/record.uri?eid=2-s2.0-85061368885&amp;doi=10.3390%2frs11030277&amp;partnerID=40&amp;md5=3e802fcebd008aa62c85cfd691144304</t>
  </si>
  <si>
    <t>Vertical land motion at tide gauges influences sea level rise acceleration; this must be addressed for interpreting reliable sea level projections. In recent years, tide gauge records for the Eastern coast of Korea have revealed rapid increases in sea level rise compared with the global mean. Pohang Tide Gauge Station has shown a +3.1 cm/year sea level rise since 2013. This study aims to estimate the vertical land motion that influences relative sea level rise observations at Pohang by applying a multi-track Persistent Scatter Interferometric Synthetic Aperture Radar (PS-InSAR) time-series analysis to Sentinel-1 SAR data acquired during 2015–2017. The results, which were obtained at a high spatial resolution (10 m), indicate vertical ground motion of −2.55 cm/year at the Pohang Tide Gauge Station; this was validated by data from a collocated global positioning system (GPS) station. The subtraction of InSAR-derived subsidence rates from sea level rise at the Pohang Tide Gauge Station is 6 mm/year; thus, vertical land motion significantly dominates the sea level acceleration. Natural hazards related to the sea level rise are primarily assessed by relative sea level changes obtained from tide gauges; therefore, tide gauge records should be reviewed for rapid vertical land motion along the vulnerable coastal areas.</t>
  </si>
  <si>
    <t>Duke Environmental Law and Policy Forum</t>
  </si>
  <si>
    <t>https://www.scopus.com/inward/record.uri?eid=2-s2.0-85067001111&amp;partnerID=40&amp;md5=0efee1693b7e86811b2e67cfb3533a4d</t>
  </si>
  <si>
    <t>The past decade has brought on some of the worst cases of flooding due to natural disasters and the resulting leaching of some of the most hazardous environmental contaminants back into nearby, often lowincome, communities. Natural disasters are not “great equalizers” when it comes to recovery. Lower-income individuals are more likely to live in neighborhoods that are more susceptible to flooding and are near industrial areas and hazardous waste sites, leaving them more vulnerable to toxic leaks from storm damage. There is also a serious inequity when it comes to access to recovery based on average income levels of neighborhoods. More affluent people are relocating out of flood zones, while housing prices decline and poorer families move in. These trends will continue, all while federal resources are often not enough to sustain or even rebuild areas most in need and those in power are not doing enough to address disaster prevention. We are experiencing stronger hurricanes on the Gulf Coast and Eastern Seaboard, which scientists have shown is due to climate change. In the past two years, we have seen storms that have created flooding of biblical proportion in Texas and North Carolina, yet these states continue to build in areas known to flood for the sake of economic development and tourism. And, they do so with little regard to the scientific consensus of the impending impact of hurricanes and flooding on coastal areas of the United States. As cities assess modifications to zoning, land use, and real estate development, it is critical to acknowledge climate science, however inconvenient, and take measures to address disaster preparedness, aimed particularly at helping the most vulnerable communities. Instead of waiting for changes to federal environmental laws, this article argues that state legislators and city planners should be planning and executing rules that acknowledge climate data</t>
  </si>
  <si>
    <t>10.1007/s10236-018-01245-z</t>
  </si>
  <si>
    <t>https://www.scopus.com/inward/record.uri?eid=2-s2.0-85060735134&amp;doi=10.1007%2fs10236-018-01245-z&amp;partnerID=40&amp;md5=db146fc07c4965c75e4dc1b05f2da5ae</t>
  </si>
  <si>
    <t>The combined hazard of large waves occurring at an extreme high water could increase the risk of coastal flooding. Wave-tide interaction processes are known to modulate the wave climate in regions of strong tidal dynamics, yet this process is typically omitted in flood risk assessments. Here, we investigate the role of tidal dynamics in the nearshore wave climate (i.e. water depths &gt; 10 m), with the hypothesis that larger waves occur during high water, when the risk of flooding is greater, because tidal dynamics alter the wave climate propagating into the coast. A dynamically coupled wave-tide model “COAWST” was applied to the Irish Sea for a 2-month period (January–February 2014). High water wave heights were simulated to be 20% larger in some regions, compared with an uncoupled approach, with clear implications for coastal hazards. Three model spatial resolutions were applied (1/60°, 1/120°, 1/240°), and, although all models displayed similar validation statistics, differences in the simulated tidal modulation of wave height were found (up to a 10% difference in high water wave height)</t>
  </si>
  <si>
    <t>10.1007/s11069-018-3528-0</t>
  </si>
  <si>
    <t>https://www.scopus.com/inward/record.uri?eid=2-s2.0-85056725043&amp;doi=10.1007%2fs11069-018-3528-0&amp;partnerID=40&amp;md5=a03cf34aa2bc6f93213aaad7c3466c68</t>
  </si>
  <si>
    <t>Defining the surface hydrological parameters represents a crucial factor for the sustainable development purposes. In areas with heavy precipitation and rugged topography, these parameters control the occurrence of some natural hazards, from which the flash flood gets the most attention. Traditional methods for the assessment of the surface hydrological parameters are costly, time-consuming and provide information for limited geographic extent. On the other hand, remotely sensed data provide a cost-effective, rapid and wide aerial coverage with adequate accuracy. Geospatial analysis of these remotely sensed data provides a suitable and effective method for the reconnaissance determination of the surface hydrological parameters. In this work, digital elevation models, Landsat 8 satellite images as well as digital maps of soil and land use for Kyushu Island were acquired and analyzed using geographic information system. Surface hydrological parameters were determined in terms of watershed boundaries, soil moisture, initial abstraction as well as flash flood potentiality. Results of this research show a great correlation with historical flash flood events that occurred in the island. The northern parts of the island are subjected to the threat of flash floods. A follow-up is recommended in some areas on the island. As a conclusion, the geospatial analysis performs an accurate reconnaissance method for hydrological analysis at regional scale, which in turn guides the detailed field observation saving time and cost. © 2018, Springer Nature B.V.</t>
  </si>
  <si>
    <t>2-s2.0-85056725043"</t>
  </si>
  <si>
    <t>10.1007/s10666-018-9622-6</t>
  </si>
  <si>
    <t>https://www.scopus.com/inward/record.uri?eid=2-s2.0-85049128205&amp;doi=10.1007%2fs10666-018-9622-6&amp;partnerID=40&amp;md5=22e1f11ff597eac2637fce87b220d256</t>
  </si>
  <si>
    <t>Sea-level rise impacts on salt marsh for Guana Tolomato Matanzas National Estuarine Research Reserve are investigated using field measurements (six sites within the marsh) and a tide-marsh equilibrium model (Hydro-MEM). The hydrodynamic component of the model enables for prediction of spatially variable tidal data (mean low water and mean high water), which are coupled with a marsh equilibrium model (MEM) for prediction of spatially based biomass productivity of Spartina alterniflora. The field measurements corroborate the model results by way of prediction of relatively productive marsh at four of the six sites (percent coverage of Spartina alterniflora of 30–41%, canopy height of 0.27–0.67 m and simulated biomass density of greater than 750 g m−2 over at least half of the local area within 500-m radii of the measurement sites) and relatively limited marsh at the two other sites (percent coverage of Spartina alterniflora of 3–5%, canopy height of 0.11–0.29 m, and simulated biomass density of greater than 750 g m−2 over less than one-tenth of the local area within 500-m radii of the measurement sites). The model is applied in a coupled fashion for 50 years of time into the future using ten 5-year increments, where each increment of Hydro-MEM accounts for the natural accretion of the marsh, an update of the digital elevation model and bottom-friction parameterization, and the subsequent feedback to the hydroperiod and marsh productivity. Hydro-MEM is shown to exhibit rate-sensitivity with respect to sea-level rise exceeding the marsh accretion rate, whereby a sudden loss of marsh elevation occurs in such instances of marsh destabilization. Demonstrating rate-critical transition, the model proves flexible to account for the non-homogeneous and transient nature of the fast-slow variables, whereby the marsh migrates away from the tidal creeks and further into the upland zones. Practical implication of the model results is illustrated by identifying zones of lands into which marsh will be able to migrate and where existing marsh will not survive under increasing sea level. Post-analysis compares the final model output against land use/cover zonation to correct the 50-year simulation results of marsh productivity for elevation-appropriate regions but that are developed, freshwater, or otherwise inappropriate land type for salt-marsh habitat. © 2018, Springer International Publishing AG, part of Springer Nature.</t>
  </si>
  <si>
    <t>2-s2.0-85049128205"</t>
  </si>
  <si>
    <t>10.1016/j.scitotenv.2018.11.478</t>
  </si>
  <si>
    <t>https://www.scopus.com/inward/record.uri?eid=2-s2.0-85057742544&amp;doi=10.1016%2fj.scitotenv.2018.11.478&amp;partnerID=40&amp;md5=16718bdb62ddc1e2bd4c559381657dff</t>
  </si>
  <si>
    <t>Storms impact coastal areas often causing damages and losses at occupied areas. On a scenario of increasing human occupation at coastal zones and under climate change conditions (including sea level rise and increasing frequency of extreme sea levels), the consequences of storms are expected to be amplified if no adaptation or further management actions are implemented. The selection of the best possible coastal management measures, considering both costs and effectiveness, will be mandatory in the future, in order to optimise resources. This work analyses the performance of risk reduction measures (beach nourishment and receptors - house and infrastructures - removal), using a decision support system comprised by a morphodynamic numerical model (XBeach) and a Bayesian network based on the source-pathway-receptor concept. The effectiveness of the risk reduction measures is then assessed by a simple index expressing the consequences to the receptors. The approach was tested at Faro Beach by evaluating its performance for a particular storm, Emma (Feb/March 2018), which fiercely impacted the southern coast of Portugal. The output results from the modelling were compared to field observations of the actual damages caused by the storm. The combined use of both measures or the solely use of the nourishment would avoid almost all observed impacts from this storm. The work is pioneer on demonstrating the use of a decision support system for coastal regions validated against observed impacts for a high-energy storm event. The methodology and the proposed index are adaptable to any sandy coastal region and can be used to test (and improve) management options at a broad number of coastal areas worldwide, minimizing implementation costs and reducing the risk to the occupation and to the people. © 2018 Elsevier B.V.</t>
  </si>
  <si>
    <t>2-s2.0-85057742544"</t>
  </si>
  <si>
    <t>10.1080/17477891.2018.1512469</t>
  </si>
  <si>
    <t>https://www.scopus.com/inward/record.uri?eid=2-s2.0-85052141514&amp;doi=10.1080%2f17477891.2018.1512469&amp;partnerID=40&amp;md5=c37d234037553ffce25bccae82e13457</t>
  </si>
  <si>
    <t>Coastal areas around the world are threatened by an accelerated sea level rise (SLR), storm surges and coastal flooding related to climate change. These threats, together with the land use pattern of coastal areas, could create a dangerous mix for coastal communities and could result in major socio-economic and environmental consequences. Apart from human settlements, seaports are likely to be most vulnerable to climate change because they are located at areas exposed to SLR and storm surges or at mouths of rivers susceptible to flooding. To remain efficient and resilient, seaports must anticipate the impacts of climate change and proactively prepare for SLR, increased flooding, and more frequent extreme storm events. This paper presents the analytical and empirical aspects of an integrated vulnerability index (VI) for small raft harbours based on the methodology of the IPCC for coastal vulnerability assessment. Six corresponding steps are adopted to assess the fishing ports VI (VIP-F) considering geophysical and socio-economic parameters. The proposed index is applied to 47 fishing boats and small commercial harbours of Lesvos, Greece. The proposed methodology can be adapted for assessing the vulnerability of major ports. © 2018, © 2018 Informa UK Limited, trading as Taylor &amp; Francis Group.</t>
  </si>
  <si>
    <t>2-s2.0-85052141514"</t>
  </si>
  <si>
    <t>10.5194/os-15-147-2019</t>
  </si>
  <si>
    <t>https://www.scopus.com/inward/record.uri?eid=2-s2.0-85061931700&amp;doi=10.5194%2fos-15-147-2019&amp;partnerID=40&amp;md5=5f6b05582345d04992828e0b63cfd680</t>
  </si>
  <si>
    <t>An established tidal model, validated for present-day conditions, is used to investigate the effect of large levels of sea-level rise (SLR) on tidal characteristics around Australasia. SLR is implemented through a uniform depth increase across the model domain, with a comparison between the implementation of coastal defences or allowing low-lying land to flood. The complex spatial response of the semi-diurnal M&lt;span classCombining double low line""inline-formula""&gt;2&lt;/span&gt; constituent does not appear to be linear with the imposed SLR. The most predominant features of this response are the generation of new amphidromic systems within the Gulf of Carpentaria and large-amplitude changes in the Arafura Sea, to the north of Australia, and within embayments along Australia's north-west coast. Dissipation from M&lt;span classCombining double low line""inline-formula""&gt;2&lt;/span&gt; notably decreases along north-west Australia but is enhanced around New Zealand and the island chains to the north. The diurnal constituent, K&lt;span classCombining double low line""inline-formula""&gt;1&lt;/span&gt;, is found to decrease in amplitude in the Gulf of Carpentaria when flooding is allowed. Coastal flooding has a profound impact on the response of tidal amplitudes to SLR by creating local regions of increased tidal dissipation and altering the coastal topography. Our results also highlight the necessity for regional models to use correct open boundary conditions reflecting the global tidal changes in response to SLR. © Author(s) 2019.</t>
  </si>
  <si>
    <t>2-s2.0-85061931700"</t>
  </si>
  <si>
    <t>10.3390/geosciences9020077</t>
  </si>
  <si>
    <t>https://www.scopus.com/inward/record.uri?eid=2-s2.0-85063139129&amp;doi=10.3390%2fgeosciences9020077&amp;partnerID=40&amp;md5=da1bcc7cec46ed4d008f2600cfd77f44</t>
  </si>
  <si>
    <t>This research aims to develop a framework using the Geographic Information System (GIS) to perform modeling and mapping of flood spatiotemporal variation in urban micro-watersheds. The GIS-framework includes a workflow of several methods and processes including delineation of urban watershed, generation of runoff hydrographs, and time series mapping of inundation depths and flood extent. This framework is tested in areas previously known to have experienced flooding at the University of Nevada, Las Vegas main campus, including Black Parking Lot (Blacklot) and East Mall. Calibration is performed by varying Digital Elevation Model (DEM) resolution, rainfall temporal resolution, and clogging factor whereas validation is performed using flood information from news reports and photographs. The testing at the Blacklot site resulted in calibration at 5 m DEM resolution and clogging factor of 0.83. The flood model resulted in an error of 24% between the estimated (26 inches/66 cm) and actual (34 inches/86.36 cm) flood depths. The estimated flood extents are consistent with the reported conditions and observed watermarks in the area. The flood beginning time estimated from the model is also consistent with the news reports. The testing at East Mall site also shows consistent results. The GIS framework provides spatiotemporal maps of flood inundation for visualization of flood dynamics. This research provides insight into flood modeling and mapping for a storm drain inlet-based watershed. © 2019 by the authors. Licensee MDPI, Basel, Switzerland.</t>
  </si>
  <si>
    <t>2-s2.0-85063139129"</t>
  </si>
  <si>
    <t>10.1007/s11069-018-3493-7</t>
  </si>
  <si>
    <t>https://www.scopus.com/inward/record.uri?eid=2-s2.0-85054414854&amp;doi=10.1007%2fs11069-018-3493-7&amp;partnerID=40&amp;md5=cb45ecc388a5795b42f431adac4eda50</t>
  </si>
  <si>
    <t>Population vulnerability from tsunamis is a function of the number and location of individuals in hazard zones and their ability to reach safety before wave arrival. Previous tsunami disasters can provide insight on likely evacuation behavior, but post-disaster assessments have not been used extensively in evacuation modeling. We demonstrate the utility of post-disaster assessments in pedestrian evacuation modeling for tsunami hazards and use the US territory of American Samoa as our case study. We model pedestrian travel times out of tsunami inundation zones recreated for the 2009 Mw 8.1 Samoa earthquake, as well as for a probable maximum tsunami zone for future threats. Modeling assumptions are guided by fatality trends and observations of 2009 evacuation behavior, including insights on departure delays, environmental cues, transportation mode, and demographic characteristics. Differences in actual fatalities from the 2009 disaster and modeled population vulnerability suggest that a single set of estimated travel times to safety does not fully characterize evacuation potential of a dispersed, at-risk population. Efforts to prepare coastal communities in American Samoa for future tsunamis may be challenging given substantial differences in wave characteristics and evacuation potential of the probable maximum hazard compared to the 2009 event.                          © 2018, The Author(s).</t>
  </si>
  <si>
    <t>2-s2.0-85054414854"</t>
  </si>
  <si>
    <t>10.1016/j.ecoleng.2018.11.020</t>
  </si>
  <si>
    <t>https://www.scopus.com/inward/record.uri?eid=2-s2.0-85057476490&amp;doi=10.1016%2fj.ecoleng.2018.11.020&amp;partnerID=40&amp;md5=0f7441739eed294d495fd6825d03fec9</t>
  </si>
  <si>
    <t>Dune erosion exposes coastal communities to greater risks of sea level rise, severe storm surge impact, flooding and property damage. This study evaluated the contribution of vegetation roots to dune erosion volume reduction using an analytical solution of a wave impact model. A resistance coefficient obtained from direct field measurements of dune shear strength and root density at South Padre Island, Texas, U.S.A was introduced into the analytical solution. Findings show that resistance of coastal dunes to erosion depends on vegetation type</t>
  </si>
  <si>
    <t>10.1080/14693062.2018.1482823</t>
  </si>
  <si>
    <t>https://www.scopus.com/inward/record.uri?eid=2-s2.0-85048366276&amp;doi=10.1080%2f14693062.2018.1482823&amp;partnerID=40&amp;md5=41f63b6c7a2227b0515ed8f19f1f11a9</t>
  </si>
  <si>
    <t>The increasing number of coastal floods in recent years in France has resulted in the design of new adaptation principles for the most endangered coastal areas. The aim of the government is to reduce the vulnerability of these areas by relocating property and infrastructure. These measures have, however, come up against considerable opposition from the population concerned. Using a survey of 421 inhabitants of Hyères, a coastal town in the South of France, this article proposes the study of resistance to relocation through the creation of an index for resistance that incorporates attachment to place, residential mobility and risk perception. The results show a correlation for the index and distance from the sea that highlights the existence of conflicting interests with adaptation measures depending upon population categories. Key policy insights In France, although coastal flooding risk is a key issue in numerous populated coastal areas, coastal dwellers show little willingness to relocate. Resistance to relocation can be assessed through a composite index integrating place attachment, residential mobility and risk perception. Application of such an index shows a correlation between willingness to relocate and distance from the sea. Conflicts of interest with adaptation measures also depend on the age of the dwellers, their standard of living and on home ownership. © 2018, © 2018 Informa UK Limited, trading as Taylor &amp; Francis Group.</t>
  </si>
  <si>
    <t>2-s2.0-85048366276"</t>
  </si>
  <si>
    <t>10.1007/s11069-019-03573-9</t>
  </si>
  <si>
    <t>https://www.scopus.com/inward/record.uri?eid=2-s2.0-85060523627&amp;doi=10.1007%2fs11069-019-03573-9&amp;partnerID=40&amp;md5=4334dbb6007ca4d85cf4182622d708a3</t>
  </si>
  <si>
    <t>Formal engineering hurricane evacuation studies have not typically considered inland flooding explicitly, though it has been shown repeatedly to be a major cause of damage and loss of life in hurricanes. In addition, coastal flooding and strong winds are often treated in a decoupled manner, so that the correlation between them is not captured. The recently introduced Integrated Scenario-based Evacuation (ISE) computational framework offers one approach to achieving evacuation decision support based on a representation of the hazard that considers coastal flooding, inland flooding, and wind in an integrated manner. Using a case study application of the ISE framework for Hurricane Matthew (2016) approaching the North Carolina coast, we evaluate the influence of including inland flooding on the resulting recommended evacuation plan (where and when official evacuation orders are to be issued) and the plan’s performance in terms of risk reduction and travel time increase. Results provide insight into managing hurricane evacuation with consideration of inland flooding. They suggest that in some cases inland areas should be evacuated just as coastal areas are</t>
  </si>
  <si>
    <t>10.1016/j.ejrh.2018.12.006</t>
  </si>
  <si>
    <t>https://www.scopus.com/inward/record.uri?eid=2-s2.0-85059953890&amp;doi=10.1016%2fj.ejrh.2018.12.006&amp;partnerID=40&amp;md5=60d95c9eeea034f46ae11c4b27aa3af6</t>
  </si>
  <si>
    <t>Study region: The Upper Niger and Bani River basins in West Africa. Study focus: The growing demand for food, water, and energy led Mali and Guinea to develop ambitious hydropower and irrigation plans, including the construction of a new dam and the extension of irrigation schemes. These two developments will take place upstream of sensible ecosystem hotspots while the feasibility of development plans in terms of water availability and sustainability is questionable. Where agricultural development in past decades focused mainly on intensifying dry-season crops cultivation, future plans include extension in both the dry and wet seasons. New hydrological insights for the region: Today's irrigation demand corresponds to 7% of the average annual Niger discharge and could account to one third in 2045. An extension of irrigated agriculture is possible in the wet season, while extending dry-season cropping would be largely compromised with the one major existing Sélingué dam. An additional large Fomi or Moussako dam would not completely satisfy dry-season irrigation demands in the 2045 scenario but would reduce the estimated supply gap from 36% to 14%. However, discharge peaks may decrease by 40% reducing the inundated area in the Inner Niger Delta by 21%, while average annual discharge decreases by 30%. Sustainable development should therefore consider investments in water-saving irrigation and management practices to enhance the feasibility of the envisaged irrigation plans instead of completely relying on the construction of a flow regime altering dam. © 2019 The Authors</t>
  </si>
  <si>
    <t>2-s2.0-85059953890"</t>
  </si>
  <si>
    <t>10.1016/j.ejrh.2018.11.003</t>
  </si>
  <si>
    <t>https://www.scopus.com/inward/record.uri?eid=2-s2.0-85058939658&amp;doi=10.1016%2fj.ejrh.2018.11.003&amp;partnerID=40&amp;md5=f200e66cd4b54c29cdf3c1e1735cff3d</t>
  </si>
  <si>
    <t>Study region: The study area is the Iishana sub-basin located in north-central Namibia. The basin is characterised by low-lying interconnected ephemeral drainage networks locally known as Iishana. In the past decade, the basin has experienced frequent droughts and flooding events due to recent weather anomalies possibly enhanced by the sprawling urban development. Study focus: Although extensive studies have been conducted on water availability in the basin, no attempts have been made to update existing hydrological maps which provide limited information on the impacts of geo-hydrological dynamics in the area. The aim of this study was to test the effectiveness of the Advanced Land Observing Satellite Digital Elevation Model (ALOS DEM) for drainage network extraction. ArcHydro tools were used for drainage feature extraction. Validation of extracted networks was based on field observations and delineated networks from earth observation data and Normalized Difference Wetness Index (NDWI). The accuracy of extracted drainage networks was assessed through visual observation of data overlay and the coefficient of line correspondence (CLC). New hydrological insights: The resulting drainage networks will be used to update the current hydrographic map of the area which will aid in the development of flood and drought mitigating measures for environmental management. The CLC computed metric obtained a 0.91 match between extracted and delineated drainage networks. The results show that ALOS DEM is capable of extracting drainage networks within the Iishana sub-basin. © 2018 The Authors</t>
  </si>
  <si>
    <t>2-s2.0-85058939658"</t>
  </si>
  <si>
    <t>10.3390/rs11050585</t>
  </si>
  <si>
    <t>https://www.scopus.com/inward/record.uri?eid=2-s2.0-85063007621&amp;doi=10.3390%2frs11050585&amp;partnerID=40&amp;md5=84779dbf57cde06b8eb14aacd6de3071</t>
  </si>
  <si>
    <t>Artificial lands or islands reclaimed from the sea due to their vast land spaces and air are suitable for the construction of airports, harbors, and industrial parks, which are convenient for human and cargo transportation. However, the settlement process of reclamation foundation is a problem of public concern, including soil consolidation and water recharge. Xiamen New Airport, one of the largest international airports in China, has been under construction on marine reclamation land for three years. At present, the airport has reached the second phase of construction, occupying 15.33 km2. The project will last about twenty years. To investigate the temporal and spatial evolution of ground settlement associated with land reclamation, Sentinel-1 synthetic aperture radar (SAR) data, including intensity images and phase measurements, were considered. A total of 82 SAR images acquired by C-band Sentinel-1 satellite covering the time period from August 2015 to October 2018 were collected. First, the spatial evolution process of land reclamation was analyzed by exploring the time series of SAR image intensity maps. Then, the small baseline subset InSAR (SBAS-InSAR) technique was used to retrieve ground deformation information over the past three years for the first time since land reclamation. Results suggest that the reclaimed land experienced remarkable subsidence, especially after the second phase of land reclamation. Furthermore, 26 ground settlement areas (i.e., 0.015% of the whole area) associated with land reclamation were uncovered over an area of more than 1200 km2 of the Xiamen coastal area from January 2017 to October 2018. This study offers important guidance for the next phase of land reclamation and the future construction of Xiamen New Airport. © 2019 by the authors.</t>
  </si>
  <si>
    <t>2-s2.0-85063007621"</t>
  </si>
  <si>
    <t>10.1016/j.wace.2019.100196</t>
  </si>
  <si>
    <t>https://www.scopus.com/inward/record.uri?eid=2-s2.0-85062713936&amp;doi=10.1016%2fj.wace.2019.100196&amp;partnerID=40&amp;md5=9d57e4ed7fd6e8edfbfcc3f2e5c0c4de</t>
  </si>
  <si>
    <t>Tropical cyclone induced storm surge and associated onshore flooding poses significant danger and havoc to life, property and infrastructure during the time of landfall. Coastal belt along the East coast of India is thickly populated and also highly vulnerable to impact of tropical cyclones. Real-time forecasting system that provides reliable estimates on possible storm surge height, envelope and extent of onshore flooding has potential socio-economic benefits. Conventional methods use state-of-art numerical models or ensemble of models that are computationally expensive and highly time consuming during real-time operations. This study proposes an alternate approach using soft computing techniques such as Artificial Neural Network (ANN) for the prediction of storm surge and onshore flooding. The proposed network architecture is proven to be viable and highly cost-effective consistently maintaining high level of computational accuracy (&gt;92%) thereby finding potential real-time application. As a case study, the efficacy of ANN model in simulating storm-tide and extent of onshore flooding associated with the 1999 Odisha Super cyclone have been examined. Pre-computed scenarios of storm-tide and inundation data were used to train ANN model for the entire Odisha coast with a success rate of 99%. After the training phase, computational time in prediction of storm surge and inundation is quite rapid (in order of seconds) as compared to any conventional model. Validation exercise performed to skill assess the robustness of ANN model using archived records of storm-tide and inundation obtained an accuracy of 92% and 94% respectively. Results obtained are quite encouraging demonstrating the efficacy of ANN model for real-time application and effectiveness for disaster risk reduction during tropical cyclone activity. © 2019</t>
  </si>
  <si>
    <t>2-s2.0-85062713936"</t>
  </si>
  <si>
    <t>10.1016/j.wasec.2019.100024</t>
  </si>
  <si>
    <t>https://www.scopus.com/inward/record.uri?eid=2-s2.0-85062953724&amp;doi=10.1016%2fj.wasec.2019.100024&amp;partnerID=40&amp;md5=b7756fd3a9bfa68b5fe9ccf9d74dfe48</t>
  </si>
  <si>
    <t>Salinization of freshwater and soils is a global phenomenon that adversely affects 500 million people, particularly in low-lying river deltas. Impacts of salinity on food and water security and agricultural livelihoods are well documented and reviewed herein, along with additional effects on human health that have received less attention and warrant further study. Populations forced to consume saline waters display increased occurrence of diseases such as hypertension in Bangladesh, particularly among the rural poor in coastal areas. This review synthesizes knowledge on socio-hydrological drivers of salinization in large river deltas globally. Multiple drivers arise at different scales and include agricultural practices, upstream water diversion, and relative sea level rise and can be amplified through feedback from inappropriate adaptation strategies. Understanding deltas as truly coupled socio-hydrologic systems is critical to anticipate these feedbacks. © 2019 Elsevier B.V.</t>
  </si>
  <si>
    <t>2-s2.0-85062953724"</t>
  </si>
  <si>
    <t>10.1111/1755-6724.13767</t>
  </si>
  <si>
    <t>https://www.scopus.com/inward/record.uri?eid=2-s2.0-85062095143&amp;doi=10.1111%2f1755-6724.13767&amp;partnerID=40&amp;md5=dbea9c229f10b79b0f2d866edeac2642</t>
  </si>
  <si>
    <t>The Upper Paleozoic (Carboniferous to Permian) succession in the east margin of the Ordos Basin in the North China Craton has a potential to contain significant hydrocarbon resources, though attention have been mainly attracted for its successful development of coalbed methane (CBM). To improve the previous resource estimates and evaluate the hydrocarbon play possibilities, this study incorporated new discoveries of hydrocarbon units and their stratigraphic relation with source rocks, hydrocarbon migration and trapping configurations. Continuous hydrocarbon accumulation units were identified within the Upper Paleozoic, including the Taiyuan, Shanxi and Xiashihezi formations with great tight gas potential, and the Taiyuan and Shanxi formations also containing shale gas and CBM. Different strata combinations are identified with coal deposition and favour for continuous gas accumulations, including the tidal flat, deltaic and fluvial systems distributed in most of the study areas. Methane was not only generated from the thick coal seams in the Taiyuan and Shanxi formations, but also from shale and dark mudstones. The coal, shale and tight sandstones are proved of remarkable gas content and hydrocarbon indications, and the gas saturation of tight sandstones decreases upward. The stacked deposit combinations vary isochronally in different areas, while the coal seams were developed stably showing good gas sources. Two key stages control the hydrocarbon enrichment, the continuous subsidence from coal forming to Late Triassic and the anomalous paleo-geothermal event happened in Early Cretaceous, as indicated by the fluid inclusions evidence. Extensive areas show good hydrocarbon development potential presently, and more works should be focused on the evaluation and selection of good reservoir combinations. © 2019 Geological Society of China</t>
  </si>
  <si>
    <t>2-s2.0-85062095143"</t>
  </si>
  <si>
    <t>10.1016/j.jenvman.2018.10.044</t>
  </si>
  <si>
    <t>https://www.scopus.com/inward/record.uri?eid=2-s2.0-85057153015&amp;doi=10.1016%2fj.jenvman.2018.10.044&amp;partnerID=40&amp;md5=2189cc294118c6b30e413a74178a5b7b</t>
  </si>
  <si>
    <t>Large floodplain lakes provide riparian habitat, are sediment and nutrient sinks, help control flow connectivity and flooding along rivers, and are both used by humans and strongly impacted by human activity. However, water level in many remote large floodplain lakes, especially in developing countries, is often monitored inconsistently or not at all. In this study, a novel method for estimating large lake water level using passive, optical remote sensing data combined with any digital elevation model (DEM) is presented. The method obtains water level estimates at 30 m2 resolution using Landsat, in this case in conjunction with SRTM elevation data, nested within a 240 m2 grid “fishnet”. A probabilistic mean of elevation values for all water-designated pixels (between 5% and 95% filled within each grid) produces lake water levels often accurate to within ±50 cm of gauged reference data on Lake Curuai in the Amazon River and Tonle Sap Lake along the Mekong River. The method is relatively insensitive to cloud cover, especially as lake size increases. This study is the first to use solely passive optical remote sensing data for water level estimation and thus could be used to produce accurate, long-term estimations of water level in many large lakes globally. The use of optical sensors to obtain lake water level is both an important complement and potential alternative to methods that use active sensors. © 2018 Elsevier Ltd</t>
  </si>
  <si>
    <t>2-s2.0-85057153015"</t>
  </si>
  <si>
    <t>10.1016/j.scitotenv.2018.09.121</t>
  </si>
  <si>
    <t>https://www.scopus.com/inward/record.uri?eid=2-s2.0-85053930935&amp;doi=10.1016%2fj.scitotenv.2018.09.121&amp;partnerID=40&amp;md5=534fb756e895238045829a607449db33</t>
  </si>
  <si>
    <t>It is widely recognized that the complex relationship between humans, soil, and water has become increasingly complicated due to anthropogenic activities, and is further expected to worsen in the future as a result of population dynamics and climate change. The present study aims at shedding light on the multifaceted links between floods, landscape modifications, and population dynamics in anthropogenic coastal lowlands, using a large flood-prone area (the Polesine Region, northeastern Italy) as a significant case study. Based on the analysis of historical events and the results of hydraulic modeling, it is shown that human interventions on both the landscape and the subsoil have substantially altered the flood dynamics, exacerbating hydraulic hazard. Furthermore, the combined analysis of people and assets exposure to inundation reveals that flood risk is not properly taken into account in land-use planning, nor it is properly understood by people living in areas subject to low-probability, high-impact flood events. © 2018</t>
  </si>
  <si>
    <t>2-s2.0-85053930935"</t>
  </si>
  <si>
    <t>10.1016/j.quaint.2018.09.010</t>
  </si>
  <si>
    <t>https://www.scopus.com/inward/record.uri?eid=2-s2.0-85053726277&amp;doi=10.1016%2fj.quaint.2018.09.010&amp;partnerID=40&amp;md5=1a9bf7ae2208ac2aa5f191da74d75814</t>
  </si>
  <si>
    <t xml:space="preserve">                             Archaeological data provide evidence of human inhabitation in the Danube Delta since the Early Neolithic with once flourishing human settlements such is the case of Enisala and Babadag settlements. Their remains dating back from Eneolithic (Enisala) or Iron Age (Babadag) or from their revivals in Antiquity and Medieval Age have been found on higher grounds (i.e. hillslope terrace) in the immediate vicinity of Babadag and Razelm lakes and of the reedmarsh developed in-between the lakes. The settlements benefited from their strategical position defined by the intersection of the terrestrial routes linking the northern and southern Dobrudja with the navigation ways to the Black Sea via a shallow but open lagoon prior to Antiquity and later, post 7                             th                              c. BC, via Dunavăț branch of the Danube that extended the southern delta by successive open-coast deltaic lobes formation (2600-1300 yrs BP). This study documents the landscape transformation of the region since Early Neolithic to the present, based on sedimentological, chronostratigraphic, mineralogical, geochemical, magnetometric, macro- and microfauna analyses which altogether led to the identification of main stages: i) high floodplain (before 8000 BP), ii) wetlands (8000-7500 yrs BP), iii) shallow marine bay (7500–6000/5500 yrs BP), iv) lagoon (5500-460 yrs BP) and v) reedmarsh (460 yrs BP – present). Each type of landscape that succeeded in the Enisala-Babadag region is described in relation with shoreline position, (ground)water depth and Danube Delta development. Additionally, the tectonic subsidence of the studied wetlands (0.5–0.8 mm/yr) was assessed and its effects on the landscape changes and long-term morphodynamics are discussed.                          © 2018 Elsevier Ltd and INQUA</t>
  </si>
  <si>
    <t>2-s2.0-85053726277"</t>
  </si>
  <si>
    <t>10.3390/data4010046</t>
  </si>
  <si>
    <t>https://www.scopus.com/inward/record.uri?eid=2-s2.0-85070828784&amp;doi=10.3390%2fdata4010046&amp;partnerID=40&amp;md5=ac6e9669d78e7123c10ec24f94565db3</t>
  </si>
  <si>
    <t>Digital elevation models (DEMs) based on LiDAR surveys provide critical information for predicting the vulnerability of coastal areas to sea-level rises. Due to the poor penetration of LiDAR pulses in marsh vegetation, bare-earth DEMs for coastal wetlands are often subject to positive elevation bias, and thus underestimate vulnerability. This data publication includes comprehensive elevation surveys from seven coastal wetlands in coastal New Jersey, and an evaluation of the accuracy and positive elevation bias of each publically available DEM. Resampling the DEMs at a coarser resolution, replacing cell values using the minimum value in a wider search window (4 m), removed this positive elevation bias with no loss of accuracy. © 2019 by the authors. Licensee MDPI, Basel, Switzerland.</t>
  </si>
  <si>
    <t>2-s2.0-85070828784"</t>
  </si>
  <si>
    <t>10.1016/j.heliyon.2019.e01487</t>
  </si>
  <si>
    <t>https://www.scopus.com/inward/record.uri?eid=2-s2.0-85064674104&amp;doi=10.1016%2fj.heliyon.2019.e01487&amp;partnerID=40&amp;md5=c0de8f241ff81a9c2b93d9fa5f75700d</t>
  </si>
  <si>
    <t>There have been few reviews of the effectiveness of the management of coastal mangrove protected areas and coastal land use planning at all levels in the Mekong Delta, Vietnam. Ben Tre province provides a good case study to enable the assessment of typical management practices in the provinces of the Delta. The study aims to critically review the current strategies for managing the Ben Tre coast and to consider what changes are required to ensure effective coastal management. The current coastal management strategies only dealt with symptoms and worked temporarily. There has been insufficient coordination in land use planning and coastal management among the Ben Tre government agencies, substantially contributing to mangrove loss and degradation. Natural regeneration of local mangrove species and secondary succession, although having been practically effective for protecting from coastal erosion, have not been used as coastal management measures. Three strategies, hold the existing defence line, managed realignment, and no active intervention, are recommended to assist in managing the Ben Tre coast for adaptation to climate change and sea level rise, and livelihood improvement. © 2019 The Authors</t>
  </si>
  <si>
    <t>2-s2.0-85064674104"</t>
  </si>
  <si>
    <t>10.1007/s00024-019-02145-z</t>
  </si>
  <si>
    <t>https://www.scopus.com/inward/record.uri?eid=2-s2.0-85063209423&amp;doi=10.1007%2fs00024-019-02145-z&amp;partnerID=40&amp;md5=4055ab2fa9f5f14b65ec0dd57fc9b2e7</t>
  </si>
  <si>
    <t>On September 28th, 2018, a powerful earthquake (Mw 7.5) struck the Island of Sulawesi in Indonesia. The earthquake was followed by a destructive and deadly tsunami that hit the Bay of Palu. A UNESCO international tsunami survey team responded to the disaster and surveyed 125 km of coastline along the Palu Bay up to the earthquake epicentre region. The team performed 78 tsunami runup and inundation height measurements throughout the surveyed coastline. Measured values reached 9.1 m for the runup height and 8.7 m for the inundation height, both at Benteng village. The survey team also identified ten large coastal sectors that collapsed into the sea of Palu Bay after the earthquake. The distribution of the measured tsunami data within Palu Bay exhibits a clear localised impact suggesting the contribution of secondary non-seismic local sources to the generation of the tsunami. Findings of the field reconnaissance are discussed to provide an insight into the remaining debated source of the Palu tsunami. © 2019, Springer Nature Switzerland AG.</t>
  </si>
  <si>
    <t>2-s2.0-85063209423"</t>
  </si>
  <si>
    <t>10.1080/08920753.2019.1551012</t>
  </si>
  <si>
    <t>https://www.scopus.com/inward/record.uri?eid=2-s2.0-85057091127&amp;doi=10.1080%2f08920753.2019.1551012&amp;partnerID=40&amp;md5=8719c7ce48bb01093488bbd1f29159c2</t>
  </si>
  <si>
    <t>Sea-level rise (SLR) is not just a future trend; it is occurring now in most coastal regions across the globe. It thus impacts not only long-range planning in coastal environments, but also emergency preparedness. Its inevitability and irreversibility on long time scales, in addition to its spatial non-uniformity, uncertain magnitude and timing, and capacity to drive non-stationarity in coastal flooding on planning and engineering timescales, create unique challenges for coastal risk-management decision processes. This review assesses past United States federal efforts to synthesize evolving SLR science in support of coastal risk management. In particular, it outlines the: (1) evolution in global SLR scenarios to those using a risk-based perspective that also considers low-probability but high-consequence outcomes, (2) regionalization of the global scenarios, and (3) use of probabilistic approaches. It also describes efforts to further contextualize regional scenarios by combining local mean sea-level changes with extreme water level projections. Finally, it offers perspectives on key issues relevant to the future uptake, interpretation, and application of sea-level change scenarios in decision-making. These perspectives have utility for efforts to craft standards and guidance for preparedness and resilience measures to reduce the risk of coastal flooding and other impacts related to SLR.</t>
  </si>
  <si>
    <t>10.3390/rs11030357</t>
  </si>
  <si>
    <t>https://www.scopus.com/inward/record.uri?eid=2-s2.0-85061371258&amp;doi=10.3390%2frs11030357&amp;partnerID=40&amp;md5=2e095fb5c016ee13f4378c94ac83bb24</t>
  </si>
  <si>
    <t>Aquaculture is one of the fastest growing primary food production sectors in India and ranks second behind China. Due to its growing economic value and global demand, India's aquaculture industry experienced exponential growth for more than one decade. In this study, we extract land-based aquaculture at the pond level for the entire coastal zone of India using large-volume time series Sentinel-1 synthetic-aperture radar (SAR) data at 10-m spatial resolution. Elevation and slope from Shuttle Radar Topographic Mission digital elevation model (SRTM DEM) data were used for masking inappropriate areas, whereas a coastline dataset was used to create a land/ocean mask. The pixel-wise temporal median was calculated from all available Sentinel-1 data to significantly reduce the amount of noise in the SAR data and to reduce confusions with temporary inundated rice fields. More than 3000 aquaculture pond vector samples were collected from high-resolution Google Earth imagery and used in an object-based image classification approach to exploit the characteristic shape information of aquaculture ponds. An open-source connected component segmentation algorithm was used for the extraction of the ponds based on the difference in backscatter intensity of inundated surfaces and shape metrics calculated from aquaculture samples as input parameters. This study, for the first time, provides spatial explicit information on aquaculture distribution at the pond level for the entire coastal zone of India. Quantitative spatial analyses were performed to identify the provincial dominance in aquaculture production, such as that revealed in Andhra Pradesh and Gujarat provinces. For accuracy assessment, 2000 random samples were generated based on a stratified random sampling method. The study demonstrates, with an overall accuracy of 0.89, the spatio-temporal transferability of the methodological framework and the high potential for a global-scale application. © 2019 by the authors.</t>
  </si>
  <si>
    <t>2-s2.0-85061371258"</t>
  </si>
  <si>
    <t>10.1016/j.envsoft.2018.11.001</t>
  </si>
  <si>
    <t>https://www.scopus.com/inward/record.uri?eid=2-s2.0-85056672500&amp;doi=10.1016%2fj.envsoft.2018.11.001&amp;partnerID=40&amp;md5=9effd6c3a8228a032c40f514db23fb11</t>
  </si>
  <si>
    <t>The emplacement of lava flows is mainly controlled by the topography, which is an essential input parameter to all numerical simulation models. The sensitivity of these models to the uncertainties in topographic data, and the consequent error propagation, may have non-negligible effects on the accuracy and reliability of the modelling of the lava flow hazard. Quantified analysis of the model sensitivity is thus of primary importance in constraining the uncertainty in the prospected lava inundation hazard, with implications for civil protection purposes. We assess the impact of errors, uncertainties and level of detail in topographic data on the lava flow emplacement modelled by the MAGFLOW cellular automaton. We show that the most influential external factors are rheology and vent geolocation, and that increasing the automaton resolution improves the accuracy of simulations, while making them more sensitive to perturbations in topographic data. © 2018 Elsevier Ltd</t>
  </si>
  <si>
    <t>2-s2.0-85056672500"</t>
  </si>
  <si>
    <t>10.1111/1468-2427.12743</t>
  </si>
  <si>
    <t>https://www.scopus.com/inward/record.uri?eid=2-s2.0-85062206327&amp;doi=10.1111%2f1468-2427.12743&amp;partnerID=40&amp;md5=2ea1f1c90f90a1e9070a6209431e54b0</t>
  </si>
  <si>
    <t>Academic and policy literatures on urban climate resilience tend to emphasize ‘good planning’ as the primary means for addressing the growing risk of flooding in Asia's coastal megacities. Cities have come to rely on disaster and climate resilience plans to future-proof their landscapes and protect vulnerable populations. Yet while data is collected, models are built and plans are drafted, environmentally destructive development practices continue unabated and often unchallenged. This article examines and seeks to explain the contradictions between a growing awareness of the risks of climate-induced flooding in resilience plans and the continuation of development practices widely acknowledged to exacerbate those risks. It analyzes these contradictions in the context of Mumbai and Kolkata, India's largest coastal cities, which are facing the severest threats from climate-induced flooding. Based on analyses of key resilience planning documents and both planned and unplanned developments in some of Mumbai's and Kolkata's most ecologically sensitive areas, our analysis reveals that resilience planning, promoted by the central government and international consultants, and presented in locally produced ‘fantasy plans’, fails to address the risks of climate-change-related flooding owing to tendencies to sidestep questions of politics, power and the distributional conflicts that shape urban development. We conclude that efforts to reduce urban flood risk would benefit from the research, methods and analytic concepts used to critically study cities, but significant gaps remain between these fields. © 2019 Urban Research Publications Limited</t>
  </si>
  <si>
    <t>2-s2.0-85062206327"</t>
  </si>
  <si>
    <t>10.1016/j.geomorph.2018.10.017</t>
  </si>
  <si>
    <t>https://www.scopus.com/inward/record.uri?eid=2-s2.0-85056189664&amp;doi=10.1016%2fj.geomorph.2018.10.017&amp;partnerID=40&amp;md5=29854818eb098208449a85b1a2c59864</t>
  </si>
  <si>
    <t>Identification and characterization of a relict landscape in the Black Hills of South Dakota has provided insight into the postuplift history (~30 Ma to present). A new watershed decomposition technique has been developed that utilizes high-resolution digital elevation models and traditional long valley profiles to identify the location and extent of the relict landscape as well as its geomorphic characteristics. Results identified an expansive relict landscape at elevation in the center of the Black Hills that contains fluvially mature features such as low-gradient channels and broad flood valleys. Moreover, the relict landscape and associated watersheds that drain it are undergoing active fluvial incision via knickzone migration. This observation suggested that the Black Hills were once much more subdued than today. At present, channel confinement, lack of potential floodwater storage, and steepened stream gradients exists in reaches of active incision downstream of the relict landscape. Large paleofloods influenced by these processes have been well documented and have been restricted to the narrow and steep canyons that drain the relict landscape. Therefore, active fluvial incision into the Black Hills influences the ability of more recent (Holocene) large floods to leave substantial evidence of their occurrence inside incised canyon walls and should also be considered when studying watershed factors influencing large flood events on the flanks of the Black Hills. © 2018 Elsevier B.V.</t>
  </si>
  <si>
    <t>2-s2.0-85056189664"</t>
  </si>
  <si>
    <t>10.1016/j.progress.2017.10.003</t>
  </si>
  <si>
    <t>https://www.scopus.com/inward/record.uri?eid=2-s2.0-85035814320&amp;doi=10.1016%2fj.progress.2017.10.003&amp;partnerID=40&amp;md5=84db8c0202c628020692ad6bc586d95d</t>
  </si>
  <si>
    <t>We develop an analytical repertoire for understanding historical interrelationships between water infrastructure, regional environmental politics, and large-scale coastal ecosystems. In doing so, we scrutinize how notions of urban resilience, climate adaptation, and ecosystem-based infrastructure are influencing contemporary planning practice. Our account from New Orleans and the Mississippi River Delta traces several large-scale hydrological engineering projects with origins in the early 20th century, which aimed to restructure the landscape for more effective maritime transportation, flood protection, and urban drainage. The account then turns to a discussion of a massive and ongoing planning project, which aims to restore the historical dynamics of the Mississippi River Delta, diverting the river into nearby coastal wetlands to provide storm protection for vulnerable communities, most especially New Orleans. Our analysis shows how the development of water infrastructure systems in the region produced cleavages in the region's body politic and eco-hydrology, generating disputes that threaten to slow or obstruct the plan's implementation. The study shows how the forms and discourses of political contention in the present are deeply informed by past decisions regarding the placement, operation, and maintenance of water infrastructures in the region. The conflicts that emerge from these cleavages comprise the primary obstacle facing ecosystem-based strategies aimed at securing New Orleans and other major settlements in the region from storm surges. This raises fundamental challenges for planning practice, which are explored here through a discussion of situational dissensus, conflicting rationalities, and pathways for democratic institutional innovation. © 2017</t>
  </si>
  <si>
    <t>2-s2.0-85035814320"</t>
  </si>
  <si>
    <t>10.1007/s11852-018-0636-7</t>
  </si>
  <si>
    <t>https://www.scopus.com/inward/record.uri?eid=2-s2.0-85049958370&amp;doi=10.1007%2fs11852-018-0636-7&amp;partnerID=40&amp;md5=f3245c340a0d1bc7091867098af053e0</t>
  </si>
  <si>
    <t>Complex hazards associated with climate change are increasing the vulnerability of urban coastal areas around the globe. This was particularly evident in the UK during the winter of 2013–14 when many coastal areas and infrastructure suffered from unprecedented storms, flooding and erosion. Given the value and importance of urban environments, there is a real need to assess the vulnerability of towns and cities on the United Kingdom (UK) coastline on the basis of the latest projected climate scenarios. Accordingly, a modified Physical Coastal Vulnerability Index (PCVI) was developed in which beach width and coastal slope are considered the most critical physical parameters. The PCVI can be used to rank spatial coastal cells into four classes of vulnerability (from extremely low to high) and to map coastal vulnerability using GIS. As a case study, this approach was applied to the city of Southampton</t>
  </si>
  <si>
    <t>10.1016/j.catena.2018.11.004</t>
  </si>
  <si>
    <t>https://www.scopus.com/inward/record.uri?eid=2-s2.0-85056228459&amp;doi=10.1016%2fj.catena.2018.11.004&amp;partnerID=40&amp;md5=ea5b5b6bc0f13c6d6638ce8af6e03e2c</t>
  </si>
  <si>
    <t>Torrent control works, such as grade control dams and sediment retention dams, are structural measures for controlling debris flows and debris floods. In spite of the widespread presence of such hydraulic structures in steep mountain streams worldwide, there are still few studies monitoring the effects of check dams on sediment dynamics. The use of repeated topographic surveys allows us to characterize debris-flow activity at multiple temporal and spatial scales and its interaction with torrent control works. Structure from Motion (SfM) technique paired with Multi-View Stereo (MVS) algorithms represents a low-cost opportunity to conduct such multi-temporal surveys. This enables us to better study the effects of individual debris flows, track geomorphic changes and evaluate the effectiveness of torrent control works (e.g. check dams). The effect of check dams on sediment dynamics is investigated by means of multi-temporal topographic surveys before and after debris-flow events in the Moscardo torrent (eastern Italian Alps) where two check dams have recently been built. Multi-temporal SfM based on images taken from the ground in combination with imagery taken by an Unmanned Aerial Vehicle (UAV) is used to obtain DEMs and to study topographic changes through the comparison of repeat DEMs (DEM of Difference, i.e. DoD). The results show that the new check dams considerably modified sediment dynamics in the studied channel but their performance cannot be considered satisfactory. The sediment flowed around the upstream check dam on the right wing, while deep erosion observed downstream of the check dam threatened to undermine the foundation's stability. Moreover, debris-flow lobes deposited upstream of the check dams could act as sources of sediment further increasing downstream debris-flow volume. The analysis proposed in this work could help improve design strategies and permitting the identification of a proper site for check dam building. © 2018 Elsevier B.V.</t>
  </si>
  <si>
    <t>2-s2.0-85056228459"</t>
  </si>
  <si>
    <t>10.1016/j.jag.2018.09.007</t>
  </si>
  <si>
    <t>https://www.scopus.com/inward/record.uri?eid=2-s2.0-85062821537&amp;doi=10.1016%2fj.jag.2018.09.007&amp;partnerID=40&amp;md5=8eb79851f819c612b283a1da6cb9b831</t>
  </si>
  <si>
    <t>This study describes a method to map shoreline indicators on a sandy beach. The hypothesis is that, on this beach, spectral albedo is predominantly determined by moisture content and water lines can, therefore, be detected as albedo contrasts. A laboratory experiment is performed to relate moisture content to image albedo, and supervised edge detection is subsequently used to map the shoreline indicators with remote sensing imagery. The algorithm is tested with data from visible, near-infrared and shortwave-infrared wavelength regions. These results are compared to shoreline indicators obtained by a field survey and a shoreline indicator derived from a digital elevation model. Both the water line present when the imagery was acquired, as well as the maximum extent of the last flood, can be detected as a single edge. Older high water lines are confused with the last high water line and appear dispersed, as there are multiple debris lines present on the beach. The low water line, usually in saturated sand, also appears dispersed due to the presence of channels and troughs. Shorelines are constant moving boundaries, which is why shoreline indicators are used as a proxy. Unlike a mathematical indicator that is based on an elevation model, our method is more sensitive to the dynamic nature of shorelines. Supervised edge-detection is a technique for generating reproducible measurements of shoreline indicator positions over time, and aids in the monitoring of coastline migration. © 2018 Elsevier B.V.</t>
  </si>
  <si>
    <t>2-s2.0-85062821537"</t>
  </si>
  <si>
    <t>10.3319/TAO.2018.11.15.04</t>
  </si>
  <si>
    <t>https://www.scopus.com/inward/record.uri?eid=2-s2.0-85063282390&amp;doi=10.3319%2fTAO.2018.11.15.04&amp;partnerID=40&amp;md5=f29cda186ee42db427f657ad94718600</t>
  </si>
  <si>
    <t>Bangladesh has experienced multiple freshwater issues including salinization from monsoonal floods and groundwater over-pumping that induces severe land subsidence. Therefore, using satellite observations to virtually build a monitoring network becomes an efficient and innovative means. We focus on the Sylhet Mymensingh haor area that has the highest annual precipitation and the largest inundation area in northeastern Bangladesh. The modified normalized difference water index is first used to extract water area from MODIS and Landsat-5/-7/-8 optical imageries. A weekly flood chance model is then created from a sequence of images to recover water extent from the cloud-covered images. Using MODIS images for water identification achieves an overall accuracy of 84% in rainy season and 41% in dry season as validated with Sentinel-1A radar images. This model can be further used to refine the Shuttle Radar Topography Mission digital elevation model (DEM). As compared with ICESat laser altimetry, the root-mean-square of the height difference is improved from 1.65 - 1.16 m after DEM modification. By combining the recovered water area and the refined DEM, surface water volume (WV) is quantified. A comparison with the Gravity Recovery And Climate Experiment (GRACE) gravimetry retrieved equivalent water heights (EWHs) in 2002 - 2015 is conducted, where the correlation coefficient and root-mean-square of the equivalent water height (EWH) difference are 91.7% and 0.09 m, respectively. © 2019 Chinese Geoscience Union. All rights reserved.</t>
  </si>
  <si>
    <t>2-s2.0-85063282390"</t>
  </si>
  <si>
    <t>10.1007/s10584-019-02382-0</t>
  </si>
  <si>
    <t>https://www.scopus.com/inward/record.uri?eid=2-s2.0-85061243164&amp;doi=10.1007%2fs10584-019-02382-0&amp;partnerID=40&amp;md5=7d382a42c89ba05ddb07aa88397bffa9</t>
  </si>
  <si>
    <t>In coming decades, sea level rise associated with climate change will make some communities uninhabitable. Managed retreat, or planned relocation, is a proactive response prior to catastrophic necessity. Managed retreat has disruptive health, sociocultural, and economic impacts on communities that relocate. Health impacts include mental health, social capital, food security, water supply, sanitation, infectious diseases, injury, and health care access. We searched peer-reviewed and gray literature for reports on small island or coastal communities at various stages of relocation primarily due to sea level rise. We reviewed these reports to identify public health impacts and barriers to relocation. We identified eight relevant small communities in the USA (Alaska, Louisiana, and Washington), Panama, Fiji, Papua New Guinea, Solomon Islands, and Vanuatu. Affected populations range from 60 to 2700 persons and are predominantly indigenous people who rely on subsistence fishing and agriculture. Few reports directly addressed public health issues. While some relocations were successful, barriers to relocation in other communities include place attachment, potential loss of livelihoods, and lack of funding, suitable land, community consensus, and governance procedures. Further research is needed on the health impacts of managed retreat and how to facilitate population resilience. Studies could include surveillance of health indicators before and after communities relocate due to sea level rise, drought, or other environmental hazards. Lessons learned may inform relocation of both small and large communities affected by climate change. © 2019, Springer Nature B.V.</t>
  </si>
  <si>
    <t>2-s2.0-85061243164"</t>
  </si>
  <si>
    <t>10.1007/s11852-018-0650-9</t>
  </si>
  <si>
    <t>https://www.scopus.com/inward/record.uri?eid=2-s2.0-85053483760&amp;doi=10.1007%2fs11852-018-0650-9&amp;partnerID=40&amp;md5=9f1f8f8613c51e4aed603565481423f3</t>
  </si>
  <si>
    <t>It is recognized that climate variability has had detrimental impacts on integrity of coastal natural resources. It is also known that coastal communities have been relying on those natural resources for their livelihoods in different ways. It is from this interdependence that this study was proposed, to analyse the role of coastal resources in sustaining community livelihoods of the coastal communities in the changing climate in two villages, Msinga and Nyamisati, all based in Rufiji district, Tanzania. The study employed the mixed method design whereby household questionnaires,-key informant interviews, focus group discussions, field observations and literature review were used to collect primary and secondary data. Findings show that coastal resources including fish and mangrove are impacted by sea level rise, storm surges, tropical storms, droughts, floods and change in salinity conditions eventually compromising their integrity. Consequently livelihoods that depend on these resources such as fisheries and agriculture in the delta have declined in productivity over the past 10 years, causing food insecurity to majority of households. People have been adapting in different ways with respect to climate change impacts mainly through the use of social networks and coastal resources utilization particularly sale of fish, mangrove logs and timber. However, utilization of such resources was unsustainable as it entailed overexploitation and use of prohibited fishing gears and unlawful harvesting of mangrove. Nonetheless, coastal communities are still vulnerable to climate change impacts owing to low resource base, whereby women are the most vulnerable group due to poor participation in decision making at family level. Besides, to monitor coastal resources utilization, institutions were put in place through policy and legal frameworks. Enforcement of bylaws with respect to resources utilization such as permits for mangrove and fisheries utilization and ban of agriculture in the delta was meant to make coastal natural resources more resilient to the impacts of climate change. However, some of enforcements of some bylaws made community members prone to impacts of climate variability and change by being landless. The study recommends the integration of participatory approaches regarding the natural coastal resources management including capacity building to women in order to build their resilience to impacts of climate variability and change. © 2018, Springer Nature B.V.</t>
  </si>
  <si>
    <t>2-s2.0-85053483760"</t>
  </si>
  <si>
    <t>10.1016/j.ocemod.2019.02.009</t>
  </si>
  <si>
    <t>https://www.scopus.com/inward/record.uri?eid=2-s2.0-85062438275&amp;doi=10.1016%2fj.ocemod.2019.02.009&amp;partnerID=40&amp;md5=468f7d6b400bf396046c493fb3879275</t>
  </si>
  <si>
    <t>Three-dimensional numerical simulations of a tidally dominated estuary within the Gulf of Maine are performed using the Regional Ocean Modeling System (ROMS) and validated with observations of sea surface elevation and velocity time series obtained between 1975 and 2016. The model is forced at the ocean boundary with tidal constituents (M2, S2, N2, O1, K1), a time series of observed subtidal elevations and discharge from seven rivers that drain into the estuary. Harmonic analysis is used to determine the tidal dissipation characteristics and generation of overtides within the system. Amplitude decay and phase shift of the dominant semidiurnal (M2) tidal component shows good agreement with observations throughout the main channel of the Piscataqua River and over the channels and mudflats of the Great Bay. The model simulates harmonic growth of the overtides across the spectrum, and indicates a spatial evolution of the tide consistent with a shoaling wave that evolves from a skewed elevation profile with ebb dominance in the lower parts of the estuary, to a more asymmetric, pitched-forward shape consistent with flood dominance. The M4 constituent has spatial variation qualitatively similar to the observations but has magnitudes that are under-predicted in the complex bathymetric region of the Piscataqua River where much of the M2 tidal dissipation occurs. The M6 tidal constituent agrees well with the observations throughout the estuary suggesting that frictional effects on harmonic growth are well modeled. Root-mean-square model-data differences in velocities (~0.05 m/s) and sea surface elevation (~0.1 m) agree to within about 10% of the tidal amplitudes. Differences between model simulations with and without subtidal oscillations in the estuary are small, suggesting that interactions between the tide and other low frequency (subtidal) mean flows are weak and can be ignored when considering tidal dynamics. Including average fresh water discharge in the model does not affect the behavior of the tidal flows, but can generate high frequency baroclinic velocities potentially important to mixing within the estuary. © 2019 Elsevier Ltd</t>
  </si>
  <si>
    <t>2-s2.0-85062438275"</t>
  </si>
  <si>
    <t>10.1002/esp.4530</t>
  </si>
  <si>
    <t>https://www.scopus.com/inward/record.uri?eid=2-s2.0-85056751246&amp;doi=10.1002%2fesp.4530&amp;partnerID=40&amp;md5=c4e22cff814fb34d12e0b89f6189ff08</t>
  </si>
  <si>
    <t>The geomorphic evolution of the Jordan River in recent decades indicates that interaction between incision and high-magnitude floods controls sinuosity changes under increasing mouth gradients during base-level fall. The evolution of the river was analyzed based on digital elevation models, remotely sensed imagery, hydrometric data, and a hydraulic model. The response varies along the river. Near the river mouth, where incision rate is high and a deep channel forms, overbank flooding is less likely. There, large floods exert high shear stress within the confined channel, increasing sinuosity. Upstream, near the migrating knickzone channel gradients also increase, incision is more moderate and floods continue to overtop the banks, favoring meander chute cutoffs. The resulting channel has a downstream well-confined meandering segment and an upstream low-sinuosity segment. These new insights regarding spatial differences along an incising channel can improve interpretations of the evolution of ancient planforms and floodplains that responded to base-level decline. © 2018 John Wiley &amp; Sons, Ltd. © 2018 John Wiley &amp; Sons, Ltd.</t>
  </si>
  <si>
    <t>2-s2.0-85056751246"</t>
  </si>
  <si>
    <t>10.3390/rs11040464</t>
  </si>
  <si>
    <t>https://www.scopus.com/inward/record.uri?eid=2-s2.0-85062491574&amp;doi=10.3390%2frs11040464&amp;partnerID=40&amp;md5=0e28263a89b0f9224c400ce88c97e6dc</t>
  </si>
  <si>
    <t>River terraces are the principal geomorphic features for unraveling tectonics, sea level, and climate conditions during the evolutionary history of a river. The increasing availability of high-resolution topography data generated by low-cost Unmanned Aerial Systems (UAS) and modern photogrammetry offer an opportunity to identify and characterize these features. In this paper, we assessed the capabilities of UAS-based Structure-from-Motion (SfM) photogrammetry, coupled with a river terrace detection algorithm for mapping of river terraces over a 1.9 km2 valley of complex terrain setting, with a focus on the performance of this latest technology over such complex terrains. With the proposed image acquisition approach and SfM photogrammetry, we constructed a 3.8 cm resolution orthomosaic and digital surface model (DSM). The vertical accuracy of DSM was assessed against 196 independent checkpoints measured with a real-time kinematic (RTK) GPS. The results indicated that the root mean square error (RMSE) and mean absolute error (MAE) were 3.1cm and 2.9 cm, respectively. These encouraging results suggest that this low-cost, logistically simple method can deliver high-quality terrain datasets even in the complex terrain, competitive with those obtained using more expensive laser scanning. A simple algorithm was then employed to detect river terraces from the generated DSM. The results showed that three levels of river terraces and a high-level floodplain were identified. Most of the detected river terraces were confirmed by field observations. Despite the highly erosive nature of fluvial systems, this work obtained good results, allowing fast analysis of fluvial valleys and their comparison. Overall, our results demonstrated that the low-cost UAS-based SfM technique could yield highly accurate ultrahigh-resolution topography data over complex terrain settings, making it particularly suitable for quick and cost-effective mapping of micro to medium-sized geomorphic features under such terrains in remote or poorly accessible areas. Methods discussed in this paper can also be applied to produce highly accurate digital terrain data over large spatial extents for some other places of complex terrains. © 2019 by the authors.</t>
  </si>
  <si>
    <t>2-s2.0-85062491574"</t>
  </si>
  <si>
    <t>10.1016/j.jhydrol.2019.02.015</t>
  </si>
  <si>
    <t>https://www.scopus.com/inward/record.uri?eid=2-s2.0-85061773417&amp;doi=10.1016%2fj.jhydrol.2019.02.015&amp;partnerID=40&amp;md5=501379d8844bde0ffa404f3f9ed360b6</t>
  </si>
  <si>
    <t>In this paper, we study long-term coastal flood risk of Lingang New City, Shanghai, considering 100- and 1000-year coastal flood return periods, local seal-level rise projections, and long-term ground subsidence projections. TanDEM-X satellite data acquired in 2012 were used to generate a high-resolution topography map, and multi-sensor InSAR displacement time-series were used to obtain ground deformation rates between 2007 and 2017. Both data sets were then used to project ground deformation rates for the 2030s and 2050s. A 2-D flood inundation model (FloodMap-Inertial) was employed to predict coastal flood inundation for both scenarios. The results suggest that the sea-level rise, along with land subsidence, could result in minor but non-linear impacts on coastal inundation over time. The flood risk will primarily be determined by future exposure and vulnerability of population and property in the floodplain. Although the flood risk estimates show some uncertainties, particularly for long-term predictions, the methodology presented here could be applied to other coastal areas where sea level rise and land subsidence are evolving in the context of climate change and urbanization. © 2019 Elsevier B.V.</t>
  </si>
  <si>
    <t>2-s2.0-85061773417"</t>
  </si>
  <si>
    <t>10.3390/rs11171985</t>
  </si>
  <si>
    <t>https://www.scopus.com/inward/record.uri?eid=2-s2.0-85071975608&amp;doi=10.3390%2frs11171985&amp;partnerID=40&amp;md5=362a6b576f82555cb21e371f032c28e1</t>
  </si>
  <si>
    <t>River deltas and estuaries belong to the most significant coastal landforms on our planet and are usually very densely populated. Nearly 600 million people live in river deltas, benefiting from the large variety of locational advantages and rich resources. Deltas are highly dynamic and vulnerable environments that are exposed to a wide range of natural and man-made threats. Sustainable management of river deltas therefore requires a holistic assessment of historic and recent ongoing changes and the dynamics in settlement sprawl, land cover and land use change, ecosystem development, as well as river and coastline geomorphology, all of which is difficult to achieve solely with traditional land-based surveying techniques. This review paper presents the potential of Earth Observation for analyses and quantification of land surface dynamics in the large river deltas globally, emphasizing the different geo-information products that can be derived from medium resolution, high resolution and highest resolution optical, multispectral, thermal and SAR data. Over 200 journal papers on remote sensing related studies for large river deltas and estuaries have been analyzed and categorized into thematic fields such as river course morphology, coastline changes, erosion and accretion processes, flood and inundation dynamics, regional land cover and land use dynamics, as well as the monitoring of compliance with respect to anthropogenic activity such as industry expansion-related habitat destruction. Additionally, our own exemplary analyses are interwoven into the review to visualize related delta work. © 2019 by the authors.</t>
  </si>
  <si>
    <t>2-s2.0-85071975608"</t>
  </si>
  <si>
    <t>10.1029/2018JC014694</t>
  </si>
  <si>
    <t>https://www.scopus.com/inward/record.uri?eid=2-s2.0-85060345345&amp;doi=10.1029%2f2018JC014694&amp;partnerID=40&amp;md5=86debcfad3ae2ce9428307fd8c7a375e</t>
  </si>
  <si>
    <t>Ocean tides have experienced large-scale changes over the past century, in concert with regionally variable global mean sea level (MSL) rise. Additionally, there can be coherencies between MSL and tidal fluctuations that are active at shorter time scales. This combination of water level variabilities may enhance the probabilities of exceeding flood levels under high-tide events, leading to increased frequency of short-term coastal inundation and nuisance flooding. Previous studies have established the tidal anomaly correlation (TAC) method to analyze covariability of individual tidal components and MSL in the Pacific Ocean, as well as their combination as a proxy for the change in the highest astronomical tide (δ-HAT). Here we extend this methodology to new regions and perform analyses of 170 tide gauges in the North Atlantic Ocean, considering the eight largest gravitational tides and seven overtides. Results indicate that nearly all gauges (95%) exhibit strong individual TACs in one or more tidal constituents, and over half show significant δ-HATs, with a near-equal occurrence of positive and negative tendencies. The most coherent connections of tides and MSL were found on the U.S. East Coast and in the marginal waters of Europe. At some locations, all tidal variabilities act in the same direction, which may amplify possible flood level. At other locations major parts of the tidal spectrum may counteract the MSL rise and partially mitigate extreme water levels due to tidal evolution. In either case, an understanding of regional tidal changes correlated to MSL changes can be instructive in guiding future coastal development efforts. ©2018. American Geophysical Union. All Rights Reserved.</t>
  </si>
  <si>
    <t>2-s2.0-85060345345"</t>
  </si>
  <si>
    <t>https://www.scopus.com/inward/record.uri?eid=2-s2.0-85075056519&amp;partnerID=40&amp;md5=0255acb36d1a41c6cab5eefeca0f25ab</t>
  </si>
  <si>
    <t>Unmanned Aerial Systems (UASs) are widely used for various applications, especially for large-scale mapping of flood plains. The Unmanned Aerial Vehicles (UAVs) act as a bridge to fill the gap between the satellite and the field scale, as they provide an alternative to temporal and spatial resolution to the satellite imagery and can be directly linked to the terrestrial measurements. In the study, UAV-derived point clouds are used to create very high-resolution surface models based on Structure from Motion (SfM) technique, which is applied for the creation of 3-D models from unstructured imagery and frequently used in conjunction with UAVs. Thus, seasonal hydrogeomorphological changes in the Boğaçay River flood plain in Antalya Province have been evaluated by using fine resolution UAV-derived orthophotos and Digital Surface Models (DSMs). The monitored landscape changes were determined to have the utmost influence on the multihazard performance of the bridges, which are located on the study region. Further, in the light of this information, the seismic performance of reinforced concrete (RC) bridge infrastructure was determined via static pushover methods. In the study region, the scour depths were determined to reach maximum of 2.2 meters under the bridge piers. The scour-induced reduction in pile lateral displacement capacities was detected to deteriorate the seismic performance of the bridges. © by PSP.</t>
  </si>
  <si>
    <t>2-s2.0-85075056519"</t>
  </si>
  <si>
    <t>10.3390/rs11161918</t>
  </si>
  <si>
    <t>https://www.scopus.com/inward/record.uri?eid=2-s2.0-85069922375&amp;doi=10.3390%2frs11161918&amp;partnerID=40&amp;md5=f3c7067e44b6020a7791e88b6ef7a18b</t>
  </si>
  <si>
    <t>Climatological changes occur globally but have local impacts. Increased storminess, sea level rise and more powerful waves are expected to batter the coastal zone more often and more intense. To understand climate change impacts, regional bathymetry information is paramount. A major issue is that the bathymetries are often non-existent or if they do exist, outdated. This sparsity can be overcome by space-borne satellite techniques to derive bathymetry. Sentinel-2 optical imagery is collected continuously and has a revisit-time around a few days depending on the orbital-position around the world. In this work, Sentinel-2 imagery derived wave patterns are extracted using a localized radon transform. A discrete fast-Fourier (DFT) procedure per direction in Radon space (sinogram) is then applied to derive wave spectra. Sentinel-2 time-lag between detector bands is employed to compute the spectral wave-phase shift and depth using the gravity wave linear dispersion. With this novel technique, regional bathymetries are derived at the test-site of Capbreton, France with an root mean squared (RMS)-error of 2.58 m and a correlation coefficient of 0.82 when compared to the survey for depths until 30 m. With the proposed method, the 10 m Sentinel-2 resolution is sufficient to adequately estimate bathymetries for a wave period of 6.5 s or greater. For shorter periods, the pixel resolution does not allow to detect a stable celerity. In addition to the wave-signature enhancement, the capability of the Radon Transform to augment Sentinel-2 20 m resolution imagery to 10 m is demonstrated, increasing the number of suitable bands for the depth inversion. © 2019 by the authors.</t>
  </si>
  <si>
    <t>2-s2.0-85069922375"</t>
  </si>
  <si>
    <t>European Journal of Geography</t>
  </si>
  <si>
    <t>https://www.scopus.com/inward/record.uri?eid=2-s2.0-85077275909&amp;partnerID=40&amp;md5=9993df1aa7398986913b640ef644f8e7</t>
  </si>
  <si>
    <t>The spatial distribution of 665 soil sampling sites in the arsenic contaminated floodplain of the Ogosta River in the Northwest of Bulgaria is analysed against geomorphological parameters computed from a precise digital terrain model. The study aims at partitioning and classifications of hidden patterns of the morphographic features of the river floodplain, which to be used for the explanation of the arsenic dispersal in the polluted soils at a further stage. The field sites are split into 4 clusters using K-means algorithm with the following variables: elevation, distance to the river, vertical distance to channel network, multiresolution index of valley bottom flatness and a modified topographic SAGA wetness index. It is found that each cluster is related to a distinct area in the valley and is in good agreement with the distribution of the previously determined geomorphological units, as well as with the extent of a simulated historic flood. © Association of European Geographers.</t>
  </si>
  <si>
    <t>2-s2.0-85077275909"</t>
  </si>
  <si>
    <t>10.1007/s00382-018-4225-0</t>
  </si>
  <si>
    <t>https://www.scopus.com/inward/record.uri?eid=2-s2.0-85047127813&amp;doi=10.1007%2fs00382-018-4225-0&amp;partnerID=40&amp;md5=366ff22ac9987d32e3765a6365807c70</t>
  </si>
  <si>
    <t xml:space="preserve">                             Changes between two time slices (1961–1990 and 2071–2100) in hydroclimatological conditions for South America have been examined using an ensemble of regional climate models. Annual mean precipitation (P), evapotranspiration (E) and potential evapotranspiration (E                             P                             ) are jointly considered through the balances of land water and energy. Drying or wetting conditions, associated with changes in land water availability and atmospheric demand, are analysed in the Budyko space. The water supply limit (E limited by P) is exceeded at about 2% of the grid points, while the energy limit to evapotranspiration (E = E                             P                             ) is overall valid. Most of the continent, except for the southeast and some coastal areas, presents a shift toward drier conditions related to a decrease in water availability (the evaporation rate E/P increases) and, mostly over much of Brazil, to an increase in the aridity index (Ф = E                             P                             /P). These changes suggest less humid conditions with decreasing surface runoff over Amazonia and the Brazilian Highlands. In contrast, Argentina and the coasts of Ecuador and Peru are characterized by a tendency toward wetter conditions associated with an increase of water availability and a decrease of aridity index, primarily due to P increasing faster than both E and E                             P                             . This trend towards wetter soil conditions suggest that the chances of having larger periods of flooding and enhanced river discharges would increase over parts of southeastern South America. Interannual variability increases with Ф (for a given time slice) and with climate change (for a given aridity regimen). There are opposite interannual variability responses to the cliamte change in Argentina and Brazil by which the variability increases over the Brazilian Highlands and decreases in central-eastern Argentina.                          © 2018, Springer-Verlag GmbH Germany, part of Springer Nature.</t>
  </si>
  <si>
    <t>2-s2.0-85047127813"</t>
  </si>
  <si>
    <t>Australian Journal of Earth Sciences</t>
  </si>
  <si>
    <t>10.1080/08120099.2018.1512524</t>
  </si>
  <si>
    <t>https://www.scopus.com/inward/record.uri?eid=2-s2.0-85055523192&amp;doi=10.1080%2f08120099.2018.1512524&amp;partnerID=40&amp;md5=ca8f7f09414eca6a46eec788bc4238ed</t>
  </si>
  <si>
    <t>Tectono-stratigraphic analysis of the Eocene PY4 Sag, Pearl River Mouth Basin, reveals that the evolution of normal faulting exerted an important control on the basin infill patterns. Seismic, well log and core data jointly indicate the Eocene Wenchang Formation can be subdivided into four third-order sequences that are related to early rift (WSQ1), rift climax (WSQ2–3) and late rift (WSQ4) stages. During the early rift stage, the PY4 Sag was defined by three, small-sized depocentres</t>
  </si>
  <si>
    <t>10.3133/sir20195004</t>
  </si>
  <si>
    <t>https://www.scopus.com/inward/record.uri?eid=2-s2.0-85147792692&amp;doi=10.3133%2fsir20195004&amp;partnerID=40&amp;md5=65c55eb7fc434403153a2eeee8530300</t>
  </si>
  <si>
    <t>Libraries of digital flood-inundation maps that spanned a combined 37.2-mile reach of the Meramec River that extended upstream from Eureka, Missouri, to downstream near the confluence of the Meramec and Mississippi Rivers were created by the U.S. Geological Survey (USGS) in cooperation with the U.S. Army Corps of Engineers, Metropolitan St. Louis Sewer District, Missouri Department of Transportation, Missouri American Water, Federal Emergency Management Agency Region 7, and the cities of Pacific, Eureka, Wildwood, and Arnold. The flood-inundation maps, which can be accessed through the USGS Flood Inundation Mapping Science website at https://water.usgs.gov/osw/flood_inundation/, depict estimates of the areal extent and depth of flooding corresponding to selected water levels (stages) at the cooperative USGS streamgages for the Meramec River near Eureka, Mo. (USGS station 07019000), the Meramec River at Valley Park, Mo. (USGS station 07019130), the Meramec River at Fenton, Mo. (USGS station 07019210), and the Meramec River at Arnold, Mo. (USGS station 07019300). Near-real-time stage data at these streamgages may be obtained from the USGS National Water Information System at https://doi.org/10.5066/F7P55KJN or the National Weather Service (NWS) Advanced Hydrologic Prediction Service at https://water.weather.gov/ahps/, which also forecasts flood hydrographs at these sites (listed as NWS sites erkm7, vllm7, fnnm7, and arnm7, respectively).Flood profiles were computed for the stream reach by means of a calibrated one-dimensional step-backwater hydraulic model. The model was calibrated using a stage-discharge relation at the Meramec River near Eureka, Mo., streamgage (USGS station 07019000) and documented high-water marks from the flood of December 2015 through January 2016.The calibrated hydraulic model was used to compute water-surface profiles: 1 set for the Meramec River near Eureka, Mo., streamgage (USGS station 07019000)</t>
  </si>
  <si>
    <t>10.1029/2018GL080942</t>
  </si>
  <si>
    <t>https://www.scopus.com/inward/record.uri?eid=2-s2.0-85060173599&amp;doi=10.1029%2f2018GL080942&amp;partnerID=40&amp;md5=f459f23d62475e0c9c96cd4bc82013b3</t>
  </si>
  <si>
    <t xml:space="preserve">                             Western North American (WNA) glaciers outside of Alaska cover 14,384 km                             2                              of mountainous terrain. No comprehensive analysis of recent mass change exists for this region. We generated over 15,000 multisensor digital elevation models from spaceborne optical imagery to provide an assessment of mass change for WNA over the period 2000–2018. These glaciers lost 117 ± 42 gigatons (Gt) of mass, which accounts for up to 0.32 ± 0.11 mm of sea level rise over the full period of study. We observe a fourfold increase in mass loss rates between 2000–2009 [−2.9 ± 3.1 Gt yr                             −1                             ] and 2009–2018 [−12.3 ± 4.6 Gt yr                             −1                             ], and we attribute this change to a shift in regional meteorological conditions driven by the location and strength of upper level zonal wind. Our results document decadal-scale climate variability over WNA that will likely modulate glacier mass change in the future.                          ©2018. The Authors.</t>
  </si>
  <si>
    <t>2-s2.0-85060173599"</t>
  </si>
  <si>
    <t>10.1080/03736245.2018.1562365</t>
  </si>
  <si>
    <t>https://www.scopus.com/inward/record.uri?eid=2-s2.0-85059915322&amp;doi=10.1080%2f03736245.2018.1562365&amp;partnerID=40&amp;md5=3e5bfdf3ddd8990b70ea2603e29f4b89</t>
  </si>
  <si>
    <t>Climate change will impact rural livelihoods in Southern Africa in unprecedented ways. Successful responses must account for intersecting social and ecological factors that determine natural resource access for people living in changing social-ecological systems. However, much of the existing scholarly literature treats natural resource access as a dynamic social process, while often failing to account for how it is also ecologically variable. The social-ecological systems literature more holistically considers social and ecological aspects of resource use, but rarely considers how livelihoods themselves are social-ecological. This paper advances the argument that livelihoods are a useful entry point for understanding the complex and intersecting social-ecological factors that impact natural resource use. Findings are presented from a mixed-methods research project in the variable wetland environment of the Okavango Delta of Botswana to show how participation in various fishing practices is determined by a complex combination of flooding variability, environmental governance, and social relations tied to gender and ethnicity. This article contributes to the literatures on natural resource access and social-ecological systems, increases knowledge about rural livelihoods in Botswana, and provides broader insight into how governance of social-ecological livelihood systems throughout southern Africa are likely to be challenged by climate change. © 2019, © 2019 The Society of South African Geographers.</t>
  </si>
  <si>
    <t>2-s2.0-85059915322"</t>
  </si>
  <si>
    <t>10.2112/JCOASTRES-D-17-00086.1</t>
  </si>
  <si>
    <t>https://www.scopus.com/inward/record.uri?eid=2-s2.0-85060951039&amp;doi=10.2112%2fJCOASTRES-D-17-00086.1&amp;partnerID=40&amp;md5=49591f2ded97e6300003e8ebb91b204f</t>
  </si>
  <si>
    <t xml:space="preserve">                             Knowledge of the surface radiation balance and associated components in intertidal wetlands is essential to the understanding of the ecosystem. The aim of this study is to assess the behavior of the radiation balance (or net radiation) and its components in a salt marsh environment (Bahía Blanca Estuary, Argentina), taking into consideration two different tidal conditions: nonflooded salt marsh (NFS) and flooded salt marsh (FS). In situ measurements were made during a 1-year period. An adequate measurement system to record meteorological and oceanographic parameters by using a floating structure was implemented. The results showed that the tide led to an increase of 5% in net radiation for a typical summer day (NFS = 3485 W m                             -2                              d                             -1                             </t>
  </si>
  <si>
    <t>10.1029/2018WR023025</t>
  </si>
  <si>
    <t>https://www.scopus.com/inward/record.uri?eid=2-s2.0-85060996622&amp;doi=10.1029%2f2018WR023025&amp;partnerID=40&amp;md5=7cf7dd4e86a0b570d0d7d537ca8a8b01</t>
  </si>
  <si>
    <t>Manmade reservoirs are important components of the terrestrial water balance. Thus, considering the hydro-climatic effects of reservoirs is important in water cycle studies at a river basin to global scales</t>
  </si>
  <si>
    <t>RA'E GA - O Espaco Geografico em Analise</t>
  </si>
  <si>
    <t>https://www.scopus.com/inward/record.uri?eid=2-s2.0-85091040655&amp;partnerID=40&amp;md5=a5b405d37abdebaa184847ec04113524</t>
  </si>
  <si>
    <t>The morphometric characterization of watersheds has great importance and appliance for the prediction of phenomena such as floods. The objective of this study was to delimitate and characterize morphometrically the hydrographic basins that encompass the urban area of the Municipality of Dourados / MS – Brazil, which derived from estimated physical variables obtained by applying a license-free GIS software. Based on a Digital Elevation Model (DEM), the following microcatchment characteristics were determined: area, perimeter, slope, altitude, and watercourse orders. Four morphometric parameters that express a direct or inverse relationship with the water quantity factors of a hydrographic source were calculated and analyzed, being them: compactness coefficient, shape factor, circularity index, and drainage density. By comparing the studied basin results, it was observed that Água Limpa, Água Boa, and Laranja Azeda basin streams are more susceptible to flooding, especially considering the measurement factor and drainage density. © 2019 Universidade Federal do Parana. All rights reserved.</t>
  </si>
  <si>
    <t>2-s2.0-85091040655"</t>
  </si>
  <si>
    <t>10.1080/19475705.2018.1561528</t>
  </si>
  <si>
    <t>https://www.scopus.com/inward/record.uri?eid=2-s2.0-85069438530&amp;doi=10.1080%2f19475705.2018.1561528&amp;partnerID=40&amp;md5=e8d2ad4da58efe4428a781a733666ec2</t>
  </si>
  <si>
    <t>Ground deformation areas can be monitored with geomatic methodologies which provide high-precision and high-resolution data. One example is digital aerial photogrammetry, which can be used to reconstruct ground deformations over long periods (80–90 years) with multi-temporal surveys. This technique was used to survey the planimetric deformations of the Po River Delta (PRD), characterized in the past by considerable land subsidence due to intensive pumping of methane water from 1938 to 1961. In the last few decades, land subsidence has been greatly reduced, but is still high compared with natural values, and has influenced the coastline of areas not protected by embankments. In this work, multi-temporal digital photogrammetry was used to study the evolution of the PRD coastline from 1944 to 2014 in the course of seven photogrammetric surveys (1944, 1955, 1962, 1977, 1999, 2008 and 2014). Results of the multi-temporal analysis were correlated with available subsidence rates (from levelling, for the past, and from synthetic aperture radar, for the period 1992–2017): this study show agreement between land subsidence and areas submerged by the sea, although they are also greatly influenced by human activities and sea level rise which increasingly exposing the area to the risk of widespread flooding. © 2019, © 2019 The Author(s). Published by Informa UK Limited, trading as Taylor &amp; Francis Group.</t>
  </si>
  <si>
    <t>2-s2.0-85069438530"</t>
  </si>
  <si>
    <t>10.15244/pjoes/89983</t>
  </si>
  <si>
    <t>https://www.scopus.com/inward/record.uri?eid=2-s2.0-85063421405&amp;doi=10.15244%2fpjoes%2f89983&amp;partnerID=40&amp;md5=8fe6d934a802ae1ed717721348897969</t>
  </si>
  <si>
    <t xml:space="preserve">                             The construction of gates in watercourses could change the original hydrological and hydrodynamic processes of drainage basins, eventually having a widespread cumulative influence on river habitat and fish resources. In this study, the hydrodynamic force in the Yongjiang River basin, China, was calculated using the MIKE FLOOD model, including water depth and flow velocity. Subsequently, the habitat conditions suitable for yellowcheek carp were used to analyse ecologically suitable flow for this target species during the spawning period at the main spawning site (Fenghua River). Different schemes of simultaneous operation of the dam gates on the Fenghua and Yaojiang rivers were simulated after gate construction on the Yongjiang River estuary, and their influence on fish spawning and migration in the main stream was investigated. During the fish spawning period, the ecological flow for facilitating yellowcheek carp spawning in the Fenghua River was 160 m                             3                             /s. The discharged water flow of gates increased to 90 and 250 m                             3                             /s, respectively, in the tributaries of the Yaojiang and Yongjiang rivers, causing the average flow velocity of the target watercourse to increase by 0.2 m/s. Based on our results, we provide recommendations for regulating water flow to enhance ecological watershed planning after gate construction along watercourses.                          © 2019, HARD Publishing Company. All rights reserved.</t>
  </si>
  <si>
    <t>2-s2.0-85063421405"</t>
  </si>
  <si>
    <t>SEPM Special Publications</t>
  </si>
  <si>
    <t>10.2110/sepmsp.108.03</t>
  </si>
  <si>
    <t>https://www.scopus.com/inward/record.uri?eid=2-s2.0-85070195561&amp;doi=10.2110%2fsepmsp.108.03&amp;partnerID=40&amp;md5=975fd375a3bf9fbfe8214d0e86d21f8e</t>
  </si>
  <si>
    <t>A common belief about tidal sedimentation is that tides are always larger near the equator and negligible at high latitudes. This belief appears to be based on equilibrium tidal theory that predicts the existence of two ocean–surface bulges centered at low latitudes</t>
  </si>
  <si>
    <t>10.1002/qj.3469</t>
  </si>
  <si>
    <t>https://www.scopus.com/inward/record.uri?eid=2-s2.0-85062657145&amp;doi=10.1002%2fqj.3469&amp;partnerID=40&amp;md5=a06cbd5a13bd289f9d00da31bd3b0921</t>
  </si>
  <si>
    <t>Large-eddy simulation (LES) output for a case of thin stratocumulus off the coast of California is examined in a mixed-layer analysis framework to identify the specific mechanisms responsible for governing the evolution of the cloud system. An equation for cloud-base height tendency isolates the individual cloud-modulating mechanisms that control the evolution of boundary-layer liquid-water static energy (Sl) and total water mixing ratio (qT). With a suitable spin-up procedure, the control simulation performs admirably compared with observed estimates of liquid water content, vertical velocity variance, and radiative fluxes sampled during an aircraft field campaign. Investigation of the cloud response to various environmental forcing scenarios was addressed through a suite of sensitivity simulations, including variations in subsidence velocity, surface fluxes, wind shear near the inversion, and radiative forcing. In the control simulation, rising cloud-base tendencies are associated with entrainment warming/drying and short-wave absorption, whereas lowering cloud-base tendencies are driven by long-wave cooling. Even in the presence of substantial afternoon solar heating, entrainment fluxes remained active. The thin cloud demonstrated unexpected resiliency, with mixed-layer analysis indicating that, as the short-wave flux decreases later in the afternoon, the relative contribution of long-wave cooling often becomes large enough to offset entrainment warming/drying and result in a reversal of cloud-base tendency. The evolution of cloud-base tendency is found to be insensitive to the net radiative flux divergence for most of the simulations (liquid water path ranging from ~10–50 g/m2). Error analysis in comparison with LES Sl and qT budgets suggests that our method of entrainment flux calculation could be improved by a more complete understanding of entrainment-layer physics. © 2018 Royal Meteorological Society</t>
  </si>
  <si>
    <t>2-s2.0-85062657145"</t>
  </si>
  <si>
    <t>10.1515/geo-2019-0060</t>
  </si>
  <si>
    <t>https://www.scopus.com/inward/record.uri?eid=2-s2.0-85075466236&amp;doi=10.1515%2fgeo-2019-0060&amp;partnerID=40&amp;md5=96b58db7aa67e141d71777f7a99e79de</t>
  </si>
  <si>
    <t>Natural hazards are the most significant threats in rural areas of Romania, while landslides, floods and bank river erosion are the geomorphological processes that impose the greatest risk in the Moldavian Plateau. We have identified 189 of disappeared, displaced and partially affected villages (in the area between Siret and Prut Rivers), using old cartographic materials as primary tool, and overlapping them with the present situation: ortophoto imagery and LiDAR derived high-resolution Digital Elevation Models (DEMs). The main natural hazards that affected the settlements were landslides (63%), floods (26%) and river bank erosion processes (11%) and in 19% of the cases the settlement completely disappeared. We also present seven study cases, three for landslides, three for floods and one for river bank erosion in order to detail how these natural hazards impacted the physical environment of the settlements. In the Moldavian Plateau the mentioned natural hazards played an important role in the dynamics of the settlement network, with variations induced mainly by the socio-political characteristics and not necessarily by the frequency variation of the natural hazard events. Such studies are needed in order to depict the vulnerability and risk scenarios, especially for the back-analysis, but also considering that future climate changes might impose changes in hazard, vulnerability and risk associated to settlements. © 2019 G. Vaculisteanu et al., published by De Gruyter 2019.</t>
  </si>
  <si>
    <t>2-s2.0-85075466236"</t>
  </si>
  <si>
    <t>10.1080/00167487.2019.12094065</t>
  </si>
  <si>
    <t>https://www.scopus.com/inward/record.uri?eid=2-s2.0-85109182861&amp;doi=10.1080%2f00167487.2019.12094065&amp;partnerID=40&amp;md5=9ff848d8ca4fbb699178afa3275ff669</t>
  </si>
  <si>
    <t>Global climate change is giving rise to a world characterised by novel human-environment interactions. At the coast, higher than average population growth, concentrated within static conurbations means that climatic changes here are likely to generate high-risk outcomes. Coastal erosion and flooding are two such outcomes with the potential to cause trillions of pounds worth of losses in the near future. Many studies have sought to quantify the extent of erosion and flooding in various locations. However, there is a lack of research into the interaction between erosion and flooding. This article explores the importance of erosion-flooding interaction for effective coastal risk management policy. Blakeney Point, a mixed sand-gravel barrier on the UK's North Norfolk coast, is used to explore three expressions of erosion-flooding interaction: the role of coastal morphology, the importance of shoreline position, and the occurrence of extreme storm events. At Blakeney Point, and elsewhere, the potential for unforeseen risk-generating scenarios suggests that erosion- flooding interaction ought to be incorporated into future coastal risk management policy. © Geography 2019.</t>
  </si>
  <si>
    <t>2-s2.0-85109182861"</t>
  </si>
  <si>
    <t>10.1029/2019EF001216</t>
  </si>
  <si>
    <t>https://www.scopus.com/inward/record.uri?eid=2-s2.0-85070313764&amp;doi=10.1029%2f2019EF001216&amp;partnerID=40&amp;md5=8a4d8034fc261d7a38b39f89230f9471</t>
  </si>
  <si>
    <t>Surge hazards induced by tropical cyclones have caused substantial economic losses and casualties for coastal communities worldwide. Under projected sea level rise (SLR), it is not well understood how the probabilistic surge hazard may change. Coastal planning and engineering usually adopt the “bathtub” method to evaluate the surge-SLR response, where surge with SLR is considered to be the exact summation of the two. This method has been shown by previous studies to be unreliable. Studies on surge-SLR response either use a low-fidelity model setup or rely on individual storm's surge to represent the probabilistic surge due to the high computational burden. Herein, we use high-fidelity numerical models in the Tampa region, West Florida, consider 188 synthetic storms and four SLR scenarios, and investigate the surge-SLR response and its physical drivers. Compared to the direct summation of present-day surge and SLR amount, results show that the probabilistic surge with SLR can be 1.0 m larger, while different individual storm's surge with the same magnitude can be 1.5 m larger or 0.1 m smaller, indicating the importance of not relying on a limited number of surge events to assess the probabilistic surge response to SLR. Investigation of the physical drivers shows that distinct topographic features of the study area and storm forward speed notably affect the surge-SLR response. When considering 1.3 m or larger SLR in the study area, complex topography, and large surge events, the effects of SLR on the probabilistic surge are hard to predict and should be investigated more carefully. ©2019. The Authors.</t>
  </si>
  <si>
    <t>2-s2.0-85070313764"</t>
  </si>
  <si>
    <t>Bulletin of the South Ural State University, Series: Mathematical Modelling, Programming and Computer Software</t>
  </si>
  <si>
    <t>10.14529/mmp190306</t>
  </si>
  <si>
    <t>https://www.scopus.com/inward/record.uri?eid=2-s2.0-85072163200&amp;doi=10.14529%2fmmp190306&amp;partnerID=40&amp;md5=e4b1ae55e56ce8403202cafdab7c89ee</t>
  </si>
  <si>
    <t>Based on a fundamentally new approach, we present a complete mathematical model for estimating the mass of water in the flooded coastal relief, taking into account the water in the basin of the reservoir in a given region. Taking into account stochastic studies, we construct an approximate model of the relief of the reservoir basin bottom, as well as the relief of a possible section of the flooding of this basin coastline. The modelling is based on the empirical data of measurements of the reservoir depths, as well as on the study on the architecture of the lines of the coastal maps of the possible flooding zone. Based on the measurements of the depths and bumps of the bottom surface, we verify the hypothesis that the use of the two-dimensional Gauss distribution is adequate. Numerous confirmation of this hypothesis on the basis of empirical measurements allows to use localized elliptic Gauss surfaces as a model function in order to construct an approximate model of hillocks and valleys. At the same time, the coordinates of local extremes of the depths, as well as the values of these extremes are constant. In order to simulate the surfaces of the underwater slopes, we construct planes according to depth measurements. This simulation is not a real copy, but is stochastic in nature and allows to take into account the main goal of the model, i.e. a full adequate estimation of the water mass of the flooded coastal relief included the water in the basin of the reservoir in the region. The equation of the model of the entire flooded region includes all local functions constructed for the mounds and troughs of the reservoir, as well as the functions of the planes of the slope models. For an approximate construction of the surface equations of the coastal zone, we use maps with detailed level lines as empirical data. © 2019 South Ural State University. All rights reserved.</t>
  </si>
  <si>
    <t>2-s2.0-85072163200"</t>
  </si>
  <si>
    <t>10.3390/rs11141675</t>
  </si>
  <si>
    <t>https://www.scopus.com/inward/record.uri?eid=2-s2.0-85071589686&amp;doi=10.3390%2frs11141675&amp;partnerID=40&amp;md5=91972cf47b4d3869fd6eb9cf14d5cab4</t>
  </si>
  <si>
    <t>This work describes a new procedure aimed to semi-automatically identify clusters of active persistent scatterers and preliminarily associate them with different potential types of deformational processes over wide areas. This procedure consists of three main modules: (i) ADAfinder, aimed at the detection of Active Deformation Areas (ADA) using Persistent Scatterer Interferometry (PSI) data</t>
  </si>
  <si>
    <t>Asia Pacific Journal of Tourism Research</t>
  </si>
  <si>
    <t>10.1080/10941665.2019.1653338</t>
  </si>
  <si>
    <t>https://www.scopus.com/inward/record.uri?eid=2-s2.0-85070934402&amp;doi=10.1080%2f10941665.2019.1653338&amp;partnerID=40&amp;md5=9f62425ca4e18c281acaad26e99f8d2f</t>
  </si>
  <si>
    <t>This study analyses short- and long-term adaptation strategies for the tourism sector in Vietnam’s Mekong Delta that arose out of empirical research. The study evaluates the adaptation approach for government authorities, businesses, and tourists to manage climate change-related threats of rising temperature, irregular rainfall, sea-level rise, severe storms, and increasing salinity. In addition, the study points out the main responsibilities for realizing climate change adaptation in the tourism sector. The study figures that there are some differences between government authorities, businesses and tourists’ perspectives on recommended approaches to adapt to climate change. However, current strategies are very short-term and operate at the individual institutional level. © 2019, © 2019 Asia Pacific Tourism Association.</t>
  </si>
  <si>
    <t>2-s2.0-85070934402"</t>
  </si>
  <si>
    <t>AAPG Memoir</t>
  </si>
  <si>
    <t>10.1306/13642172M1183803</t>
  </si>
  <si>
    <t>https://www.scopus.com/inward/record.uri?eid=2-s2.0-85083484130&amp;doi=10.1306%2f13642172M1183803&amp;partnerID=40&amp;md5=23d485c0bf0bf65b0d35fa708416c22f</t>
  </si>
  <si>
    <t>The Minjur Formation crops out along the eastern rim of the Arabian shield and consists of alternating sandstone and shales with minor carbonates. Informally subdivided into lower and upper units, the Minjur Formation records depositional environments ranging from alluvial to marginal marine with tidally influenced channels. The stacking patterns reflect delta or shoreline progradation and retrogradation, recording an overall coarsening upward character. In outcrop, the Minjur Formation was dated as Norian by conodonts near the base. In the subsurface, palynology has established a fourfold biostratigraphic subdivision extending from latest Carnian–early Norian to latest Rhaetian–Pliensbachian (Triassic–Early Jurassic). This study improves the understanding of Minjur stratigraphy and presents a depositional model based on surface–subsurface correlation. Subsequent to a period of subaerial exposure in the west, transgression in the early middle Norian was marked by marginal marine environments, with peak marine influence in the mid–late Norian and corresponding to the maximum flooding interval Tr80. This was followed by development of a gently inclined alluvial or coastal plain. An intra-Rhaetian hiatus separates the Lower Minjur Formation from the Upper Minjur Formation (base of TSS AP7[?]), and a variety of depositional environments are represented, including alluvial fans proximally, grading to fluvial to coastal plain and shallow marine environments distally. Copyright ©2019 by The American Association of Petroleum Geologists.</t>
  </si>
  <si>
    <t>2-s2.0-85083484130"</t>
  </si>
  <si>
    <t>10.1127/zdgg/2019/0169</t>
  </si>
  <si>
    <t>https://www.scopus.com/inward/record.uri?eid=2-s2.0-85063687612&amp;doi=10.1127%2fzdgg%2f2019%2f0169&amp;partnerID=40&amp;md5=22130afa83dd28ab215504b152af95fc</t>
  </si>
  <si>
    <t>Clay mineral components of decalcified &lt;2 and &lt;0.2 μm grain size fractions of Albian claystones from the eastern part of the Lower Saxony Basin (Gifhorn Trough) are studied by X-ray diffractometry and illite K-Ar radioisotopic dating. Of the nine samples investigated, one is from an outcrop and the remaining are taken at different depths (160–1402 m) from four boreholes located in the vicinity of salt diapirs. Their specific influence on processes of clay mineral diagenesis are described here. Within the &lt;2 μm fractions illite and kaolinite are the abundant detrital clay minerals, while chlorite is rare. The high portions of montmorillonite may have been formed from terrestrial or submarine altered volcanic ash particles, which are enriched also in former tuff layers. Montmorillonite is replaced successively with burial depth by I/S-mixed layers, whose illite portion is increasing from 20 to 80 % and – in a former tuff layer – even to 90 %. This systematic change cannot be explained here exclusively by the maximum former subsidence of the different samples, it rather suggests an influence of electrolyte-potassium rich fluids originating from the salt domes. These fluids could have infiltrated the nearby clayey sediments only at sufficient permeabilities and thus before maximum subsidence and compaction was reached. Thus, salinisation of Albian sediments possibly occurred at the latest in the early Late Cretaceous, and at any rate, alteration of montmorillonite into illite preceded the Santonian inversion. The K-Ar ages of the detrital illite vary between 243.7 Ma (&lt;2 μm fraction) and 216.1 Ma (&lt;0.2 μm fraction), while those of authigenic illite from the former tuff layer outline dates between 194.1 Ma (&lt;2 μm fraction) and 170.7 Ma (&lt;0.2 μm fraction), being unexpectedly older than the sedimentation age (about 100 Ma). The scattering ages of the remaining samples of both fractions apparently result from different mixtures between detrital and authigenic illite and thus are mixed ages. It is assumed that the abnormal K-Ar ages of authigenic illite are due to “excess argon” from recrystallised K-minerals within the salt domes, followed by a transfer of Ar into the adjoining sediments, an adsorption by montmorillonite and during its diagenesis incorporation into the growing I/S-mixed layers. © 2019 E. Schweizerbart’sche Verlagsbuchhandlung, Stuttgart, Germany.</t>
  </si>
  <si>
    <t>2-s2.0-85063687612"</t>
  </si>
  <si>
    <t>Geographical Journal</t>
  </si>
  <si>
    <t>10.1111/geoj.12312</t>
  </si>
  <si>
    <t>https://www.scopus.com/inward/record.uri?eid=2-s2.0-85069827674&amp;doi=10.1111%2fgeoj.12312&amp;partnerID=40&amp;md5=440d7c153ca07ecb4daeeed241557e94</t>
  </si>
  <si>
    <t>Relocation of communities is widely expected to be an adaptive response to sea-level rise, albeit a last resort after exhausting other adaptation options. It is a phenomenon, however, from which there are few examples to learn. This paper examines relocation processes underway in three low-lying coastal villages in Fiji, each affected by coastal erosion and flooding. Drawing on the concept of “everyday agency,” it considers how environmental changes and planned relocation initiatives are resisted, accommodated, or shaped through daily activities and decision-making. For residents of these three villages, climate change adaptation is not only a matter of adapting to environmental changes, but a process of actively steering a way through unfolding dimensions of planned relocation. The findings respond to increasingly audible calls to recognise the agency of people living in climate-vulnerable places, and to highlight everyday responses to climate impacts and adaptation initiatives. The information, practices and views in this article are those of the author(s) and do not necessarily reflect the opinion of the Royal Geographical Society (with IBG). © 2019 Royal Geographical Society (with the Institute of British Geographers).</t>
  </si>
  <si>
    <t>2-s2.0-85069827674"</t>
  </si>
  <si>
    <t>10.1007/s10584-018-2203-5</t>
  </si>
  <si>
    <t>https://www.scopus.com/inward/record.uri?eid=2-s2.0-85052139409&amp;doi=10.1007%2fs10584-018-2203-5&amp;partnerID=40&amp;md5=163526fac4f48962a58fb0c1586dc3e6</t>
  </si>
  <si>
    <t>The law should be a critical tool in promoting and directing climate change adaptation in the USA. This should be particularly true in the nation’s extensive coastal zone, much of which is subject to increasing rates of sea level rise, coastal erosion, increasing numbers of increasingly powerful storms, and saltwater intrusion. However, significant coastal infrastructure hampers many coastal adaptation strategies by making retreat both expensive and politically unpalatable. This article examines the specific role of insurance and other financing programs in coastal adaptation strategies. Insurance operates primarily to mitigate risk. The article focuses specifically on the National Flood Insurance Program (NFIP), which is now driven by coastal catastrophes and is close to bankruptcy</t>
  </si>
  <si>
    <t>10.1016/j.quaint.2017.03.010</t>
  </si>
  <si>
    <t>https://www.scopus.com/inward/record.uri?eid=2-s2.0-85016767048&amp;doi=10.1016%2fj.quaint.2017.03.010&amp;partnerID=40&amp;md5=12d211fa75a89dadabf6ab7bd889c18d</t>
  </si>
  <si>
    <t>Settlement locations in delta landscapes change through time because of cultural and natural dynamics. We assessed the impact of natural-landscape dynamics on settlement-location shifts for the Rhine-Meuse delta in the Netherlands during the Roman and early-medieval periods (12 BCE–450 CE and 450–1050 CE respectively). During this time interval major landscape and cultural changes occurred in this area, with river avulsions and changes in flooding frequency coinciding with changing settlement patterns. In the delta plain, the relatively high and dry alluvial ridges of abandoned or active rivers were most favourable for habitation. Settlement location and elevation patterns were reconstructed in these landscape units using a high-resolution elevation map of the alluvial ridges. By integrating high-resolution palaeo-environmental and archaeological datasets for this period, we were able to spatially analyse the trends and to assess the effect of environmental changes on habitation. Results show that settlements progressively shifted towards higher areas between 250 and 750 CE, on average by 20 cm over this period deltawide, which was coeval with an increased frequency of severe Rhine floods. The observed spatial differences demonstrate that this trend is most notable in the least-elevated segments of the study area. In areas where new large river branches developed, settlements show a strong shift towards higher-elevated parts of the landscape or even became completely abandoned. The river probably caused floods to be more frequent and more severe in these areas. Despite the clear link between changing settlement positions and floods during the studied time interval, floods do not seem to have caused long-term abandonment of major parts of the study area. © 2017 Elsevier Ltd and INQUA</t>
  </si>
  <si>
    <t>2-s2.0-85016767048"</t>
  </si>
  <si>
    <t>10.1038/sdata.2018.309</t>
  </si>
  <si>
    <t>https://www.scopus.com/inward/record.uri?eid=2-s2.0-85060031660&amp;doi=10.1038%2fsdata.2018.309&amp;partnerID=40&amp;md5=de703ea5aecd64c37765f46515261054</t>
  </si>
  <si>
    <t>Identifying floodplain boundaries is of paramount importance for earth, environmental and socioeconomic studies addressing riverine risk and resource management. However, to date, a global floodplain delineation using a homogeneous procedure has not been constructed. In this paper, we present the first, comprehensive, high-resolution, gridded dataset of Earth’s floodplains at 250-m resolution (GFPLAIN250m). We use the Shuttle Radar Topography Mission (SRTM) digital terrain model and set of terrain analysis procedures for geomorphic floodplain delineations. The elevation data are processed by a fast geospatial tool for floodplain mapping available for download at https://github.com/fnardi/GFPLAIN. The GFPLAIN250m dataset can support many applications, including flood hazard mapping, habitat restoration, development studies, and the analysis of human-flood interactions. To test the GFPLAIN250m dataset, we perform a consistency analysis with floodplain delineations derived by flood hazard modelling studies in Europe. © The Author(s) 2019.</t>
  </si>
  <si>
    <t>2-s2.0-85060031660"</t>
  </si>
  <si>
    <t>10.5194/nhess-19-237-2019</t>
  </si>
  <si>
    <t>https://www.scopus.com/inward/record.uri?eid=2-s2.0-85060618603&amp;doi=10.5194%2fnhess-19-237-2019&amp;partnerID=40&amp;md5=b3199abd389be32047bdc51cfbb35d04</t>
  </si>
  <si>
    <t>Flooding is a natural disaster which affects thousands of riverside, coastal, and urban communities causing severe damage. River flood mapping is the process of determining inundation extents and depth by comparing historical river water levels with ground surface elevation references. This paper aims to map flood hazard areas under the influence of the Uruguay River, Itaqui (southern Brazil), using a calibration digital elevation model (DEM), historic river level data and geoprocessing techniques. The temporal series of maximum annual level records of the Uruguay River, for the years 1942 to 2017, were linked to the Brazilian Geodetic System using geometric leveling and submitted for descriptive statistical analysis and probability. The DEM was calibrated with ground control points (GCPs) of high vertical accuracy based on post-processed high-precision Global Navigation Satellite System surveys. Using the temporal series statistical analysis results, the spatialization of flood hazard classes on the calibrated DEM was assessed and validated. Finally, the modeling of the simulated flood level was visually compared against the flood area on the satellite image, which were both registered on the same date. The free DEM calibration model indicated high correspondence with GCPs (R                             2                              = 0:81</t>
  </si>
  <si>
    <t>10.3390/geosciences9120501</t>
  </si>
  <si>
    <t>https://www.scopus.com/inward/record.uri?eid=2-s2.0-85075799504&amp;doi=10.3390%2fgeosciences9120501&amp;partnerID=40&amp;md5=eeb7449894c7d9179e2aa5d2505ea099</t>
  </si>
  <si>
    <t>The inner continental shelf is regarded as a repository of hyperpycnal flow (HF) deposits the analysis of which may contribute to hydrogeological risk assessment in coastal areas. In line with the source to sink paradigm, we examined the dynamics of the coastal watersheds facing the Salerno Gulf (Southern Tyrrhenian Sea) in generating hyperpycnal flows and investigated the shallow marine sediment record to verify their possible occurrence in the recent past. Thus, the morphometric properties (hypsometric integral, hypsometric skewness, hypsometric kurtosis, density skewness and density kurtosis) of the watersheds together with the potential rivers’ discharge and sediment concentration, calculated by applying altitude-and extent-based experimental relations, allowed to detect the rivers that were prone to producing HFs. In the shallow marine environment record of the last 2 kyr, anomalous sedimentation, possibly linked to HF events, was identified by comparing the sand-mud ratio (S/M) down-core—at three sites off the main river mouths—to the expected S/M calculated by applying the relation governing the present-day distribution of sand at the seabed in the Salerno Gulf. A return period of major HF events ≤ 0.1 kyr can be inferred for rivers which fall into the category “dirty rivers”. In these cases, the watersheds have a hypsometric index ranging between 0.2 and 0.3, coastal plains not exceeding 30% of the entire catchment area and a maximum topographic height ≥1000 m. A return period of about 0.3 kyr has been inferred for the “moderately dirty rivers”. In these other cases, about 50% of the watersheds develop into a low gradient coastal plain and have a hypsometric index ranging between 0.09 and 0.2. The observations on land and offshore have been complemented to reach a more comprehensive vision of the coastal area dynamics. The method here proposed corroborates the effectiveness of the source to sink approach and is applicable to analogous sediment records in temperate continental shelves which encompass the last 3 kyr, a time interval in which the oscillations of relative sea level can be overlooked. © 2019 by the authors. Licensee MDPI, Basel, Switzerland.</t>
  </si>
  <si>
    <t>2-s2.0-85075799504"</t>
  </si>
  <si>
    <t>10.3133/sir20185169</t>
  </si>
  <si>
    <t>https://www.scopus.com/inward/record.uri?eid=2-s2.0-85147792671&amp;doi=10.3133%2fsir20185169&amp;partnerID=40&amp;md5=80a8f81ccdfed494b44bc8937be77f1e</t>
  </si>
  <si>
    <t>In 2016, digital flood-inundation maps along the shoreline of Lake Champlain in Addison, Chittenden, Franklin, and Grand Isle Counties in Vermont and northern Clinton County in New York were created by the U.S. Geological Survey (USGS) in cooperation with the International Joint Commission (IJC). This report discusses the creation of updated static digital flood-inundation mapping, in 2018, to include the entire shoreline of Lake Champlain in the United States. The flood-inundation maps, which can be accessed through the USGS Flood Inundation Mapping Science website at http://water.usgs.gov/osw/flood_inundation/, depict estimates of the areal extent of flooding corresponding to selected water-surface elevations (stages) at the USGS lake gages on Lake Champlain.As a result of the record setting floods of May 2011 in Lake Champlain and the Richelieu River, the U.S. and Canadian governments requested that the IJC issue a reference for a study to identify how flood forecasting, preparedness, and mitigation could be improved in the Lake Champlain–Richelieu River Basin. The IJC submitted the Lake Champlain–Richelieu River Plan of Study to the governments of Canada and the United States in 2013. The flood-inundation maps in this study are one aspect of the task work outlined in the IJC 2013 Plan of Study.Wind and seiche effects (standing oscillating wave with a long wavelength) that can influence flooding along the Lake Champlain shoreline were not represented. The flood-inundation maps reflect 11 stages for Lake Champlain that are static for the entire area of the lake. Near-real-time stages at the USGS gages on Lake Champlain may be obtained from the USGS National Water Information System website at http://waterdata.usgs.gov/ (https://doi.org/10.5066/F7P55KJN) or from the National Weather Service Advanced Hydrologic Prediction Service at http://water.weather.gov/ahps/.Updated static flood-inundation boundary extents were created for Lake Champlain in Franklin, Chittenden, Addison, Rutland, and Grand Isle Counties in Vermont and Clinton, Essex, and Washington Counties in New York by using recently acquired (2009, 2012, 2014, and 2015) light detection and ranging (lidar) data. The corresponding flood-inundation maps may be referenced to any of the four active USGS lake gages on Lake Champlain. Of these four active lake gages, USGS lake gage 04295000, Richelieu River (Lake Champlain) at Rouses Point, N.Y.</t>
  </si>
  <si>
    <t>Bulletin of the Mineral Research and Exploration</t>
  </si>
  <si>
    <t>10.19111/bulletinofmre.501543</t>
  </si>
  <si>
    <t>https://www.scopus.com/inward/record.uri?eid=2-s2.0-85072542294&amp;doi=10.19111%2fbulletinofmre.501543&amp;partnerID=40&amp;md5=a2cb3ea80f6fcf421914aa7c289d1416</t>
  </si>
  <si>
    <t>Early–middle Miocene reefal limestones are overlain disconformably by late Serravallian–early Tortonian incised valley-fill deposits of Dağpazarı formation in the Mut Basin. Dağpazarı formation is composed of mudstone, siltstone, sandstone and conglomerates. Facies associations of the formation are: fluvial, lagoon, shoal-water delta, shoreface, beach and barrier island deposits. Loxoconcha tumida Brady and Loxoconcha sp. in the gray mudstones indicate the freshwater influence and decrease in salinity. Hemicyprideis sp. documents brackish water conditions. The shoreface sandstones alternating with the lagoonal mudstones, and oyster-rich beach deposits in different levels of the sequence indicate episodes of marine connections. The age of the Dağpazarı formation is provided by the planktonic foraminifera from the marine mudstones and marls below and above the formation, and corresponds to the MMi8–MMi10 biostratigraphic interval, which spans the late Serravallian–early Tortonian. Late Serravallian eustatic sea-level fall caused to the quick shallowing of the Mut Basin and subaerial exposure of the reefal limestones at the basin margin. Thus, the incised valley, formed upon the reefal limestones of the Mut formation. This incised valley reflects a regional forced regression and unconformity. The Dağpazarı formation was deposited within this incised valley following an early Tortonian relative sea-level rise. © 2019 General Directorate of Mineral Research and Exploration (MTA). All rights reserved.</t>
  </si>
  <si>
    <t>2-s2.0-85072542294"</t>
  </si>
  <si>
    <t>10.1002/wcc.602</t>
  </si>
  <si>
    <t>https://www.scopus.com/inward/record.uri?eid=2-s2.0-85068507066&amp;doi=10.1002%2fwcc.602&amp;partnerID=40&amp;md5=b526a774a46dcde9287f22df7f616c3f</t>
  </si>
  <si>
    <t>Tropical cyclones (TCs) can have severe impacts on Australia. These include extreme rainfall and winds, and coastal hazards such as destructive waves, storm surges, estuarine flooding, and coastal erosion. Various aspects of TCs in the Australian region have been documented over the past several decades. In recent years, increasing emphasis has been placed on human-induced climate change effects on TCs in the Australian region and elsewhere around the globe. However, large natural variability and the lack of consistent long-term TC observations have often complicated the detection and attribution of TC trends. Efforts have been made to improve TC records for Australia over the past decades, but it is still unclear whether such records are sufficient to provide better understanding of the impacts of natural climate variability and climate change. It is important to note that the damage costs associated with tropical cyclones in Australia have increased in recent decades and will continue to increase due to growing coastal settlement and infrastructure development. Therefore, it is critical that any coastal infrastructure planning and engineering decisions, as well as disaster management decisions, strongly consider future risks from tropical cyclones. A better understanding of tropical cyclones in a changing climate will provide key insights that can help mitigate impacts of tropical cyclones on vulnerable communities. An objective assessment of the Australian TCs at regional scale and its link with climate variability and change using improved and up-to-date data records is more imperative now than before. This article is categorized under: Paleoclimates and Current Trends &gt; Modern Climate Change. © 2019 Wiley Periodicals, Inc.</t>
  </si>
  <si>
    <t>2-s2.0-85068507066"</t>
  </si>
  <si>
    <t>10.1029/2019GL082717</t>
  </si>
  <si>
    <t>https://www.scopus.com/inward/record.uri?eid=2-s2.0-85076467021&amp;doi=10.1029%2f2019GL082717&amp;partnerID=40&amp;md5=e82a7a95d35ba013ec306023c5e03729</t>
  </si>
  <si>
    <t>On 28 September 2018, a strike‐slip earthquake occurred in Palu, Indonesia, and was followed by a series of tsunami waves that devastated the coast of Palu Bay. The tsunami was recorded at the Pantoloan tide gauge station with a peak amplitude of ~2 m above the water level and struck at high tide. We use the Pantoloan tsunami waveform and synthetic aperture rada displacement data in a joint inversion to estimate the vertical displacement around the narrow bay. Our inversion result suggests that the middle of the bay was uplifted up to 0.8 m, while the other parts of the bay subsided by up to 1 m. However, this seafloor displacement model alone cannot fully explain the observed tsunami inundation. The observed tsunami inundation heights and extents could be reproduced by a tsunami inundation simulation with a source model that combined the estimated vertical displacement with multiple subaerial-submarine landslides. Plain Language Summary The tsunami that devastated Palu and other coastal towns inside Palu Bay on 28 September 2018 was recorded at a sea level monitoring station in Pantoloan. The recorded tsunami wave data are used in an inversion method to estimate the source of the tsunami in the form of an initial seafloor displacement. We found that the seafloor displacement was the main cause of the large tsunami. Satellite images and field survey data suggest that landslides around multiple river deltas also generated local tsunami waves. Our numerical simulations of the tsunami inundation show that the disaster was caused by a combination of the sudden ground and seafloor changes from the earthquake, landslides, and the high tide at the time of the event. ©2019. American Geophysical Union. All Rights Reserved.</t>
  </si>
  <si>
    <t>2-s2.0-85076467021"</t>
  </si>
  <si>
    <t>Geomorphologie: Relief, Processus, Environnement</t>
  </si>
  <si>
    <t>10.4000/geomorphologie.12945</t>
  </si>
  <si>
    <t>https://www.scopus.com/inward/record.uri?eid=2-s2.0-85070949515&amp;doi=10.4000%2fgeomorphologie.12945&amp;partnerID=40&amp;md5=2a0dbb078387620e4a55305eba533ca7</t>
  </si>
  <si>
    <t>In the Val horens ski resort (Savoie, France), more than 79 infrastructure elements related to ropeway transport systems are located on permafrost. During the last decade, three of them (two top stations and a pylon located around 3,000 m a.s.l.) experienced destabilization which required important adjustment and stabilization work. his study investigates the destabilization of the pylon #2 of the horens funitel that occurred during the Summer 2016. Its foundations were afected by horizontal displacement and subsidence, causing a metric shit of the pylon top with respect to the cable. he pylon was built on a rock glacier which morphology was severely altered by earth work aiming to develop a ski slope. A multidisciplinary analysis was conducted in order to understand the processes that led to the pylon destabilization with a focus on the role of the morphological alterations of anthropogenic origin on the rock glacier dynamic. We used (i) a stratigraphic data analysis from boreholes and (ii) a subsurface analysis based on geophysics (Electrical Resistivity Tomography proiles) to understand the rock glacier internal structure, while (iii) geomorphological surface modiications were investigated by comparing digital terrain models obtained by aerial photogrammetry before and ater the earthwork. his study highlights the preparatory role of the earthwork and a non-control of the surface water low in an ice-rich environment such as a rock glacier. © Groupe français de géomorphologie.</t>
  </si>
  <si>
    <t>2-s2.0-85070949515"</t>
  </si>
  <si>
    <t>https://www.scopus.com/inward/record.uri?eid=2-s2.0-85064253114&amp;partnerID=40&amp;md5=7efc8fef699dcbb421bccdacaf83a471</t>
  </si>
  <si>
    <t>The manuscript is addressed to engineers involved in geoecological monitoring for mining sector. Interferometric Synthetic Aperture Radar, abbreviated InSAR, is one of the growing technologies that use satellite images in various fields of study such as: lift earth’s crust, digital terrain modelling (DTM), subsidence/strains, landslides or hazards and many others. InSAR can provide extensive monitoring data, from large geographic areas, without using expensive instruments or put humans’ subjects in jeopardy. Most mines can affect the landscapes within different systems, as Geotopes or Geofacies, therefore monitoring the geographic areas from and surrounding a mining perimeter can provide valuable information required for assessing the geoecological effects on the environment. With over a decade experience in mining ecology and many various projects conducted within the Romanian national program of closed mines monitoring, the authors concluded that InSAR Technology combined with geoecological principles represent a good approach to evaluate the severity of mining operations impact referring to topo-stability inabilities of landscape, as a general method. In the same time, for a better understanding, the manuscript presents a case study regarding to tailing ponds topo-stability evaluation as an example of how to link InSAR and Geoecology. © 2019, World Scientific and Engineering Academy and Society. All Rights Reserved.</t>
  </si>
  <si>
    <t>2-s2.0-85064253114"</t>
  </si>
  <si>
    <t>10.1016/j.quaint.2017.03.009</t>
  </si>
  <si>
    <t>https://www.scopus.com/inward/record.uri?eid=2-s2.0-85015834394&amp;doi=10.1016%2fj.quaint.2017.03.009&amp;partnerID=40&amp;md5=58f8b810c49a3e9ad8047a8e4adf9db9</t>
  </si>
  <si>
    <t>River landscapes can be regarded as amongst the most densely populated regions in the world. Despite their dynamic nature and their susceptibility to natural hazards, pull factors such as fertile soils and trade connections always have attracted people to these regions. During the Roman (12 BCE – 450 CE) and early-medieval periods (450 CE–1050) the Rhine-Meuse delta in the Netherlands underwent significant simultaneous cultural and environmental changes such as changing settlement patterns, the collapse of the Roman limes, changing flooding regimes and river avulsions. Past route networks are influenced by both cultural and natural dynamics and are therefore a useful tool to better understand the complex interaction between these dynamics. By applying and enhancing recently-developed methods of modelling route networks in dynamic lowlands, this study reconstructs connectivity patterns in the Rhine-Meuse delta. Based on newly-available high-resolution geoscientific and archaeological data, network-friction maps and route networks were calculated for three time slices: 100 CE, 500 and 900. These modelled networks were validated using archaeologically-excavated infrastructural and isolated finds. Additionally the amount of network stability between these networks was calculated. Results show that for each of the route zones a clear correlation exist between the modelled network and the occurrence of infrastructural and isolated finds. Although clear periodic differences between these correlations percentages are visible. Despite the dynamic nature of the research area the routes show clear signs of network stability, with 80% of the 500 CE network being persistent with their 100 CE counterparts. Between 500 CE and 900 CE the persistence percentage slightly rises to 81% indicating a similar level of network stability. This shows that large parts of the Rhine-Meuse delta were persistently used during the Roman period and Early Middle Ages despite local settlement dynamics and changing natural settings. © 2017 Elsevier Ltd and INQUA</t>
  </si>
  <si>
    <t>2-s2.0-85015834394"</t>
  </si>
  <si>
    <t>10.1515/geo-2019-0050</t>
  </si>
  <si>
    <t>https://www.scopus.com/inward/record.uri?eid=2-s2.0-85074726413&amp;doi=10.1515%2fgeo-2019-0050&amp;partnerID=40&amp;md5=704797aef9e2ebfb7f140e6eba13fa3c</t>
  </si>
  <si>
    <t>We analysed spatial development of traditional and modern settlements on active alluvial fans in the Upper Sava Valley (NW Slovenia), by using old cadastral data from the beginning of the 19th century, time series of aerial photographs from the middle of the 20th century and recent building cadastre. The valley is surrounded by the mountainous Julian Alps in the south and the Karavanke Mountains in the north where there is a lack of space for settlements due to steep slopes that are increasing the danger of slope processes, torrential processes and floods. By using a very high-resolution 1m LiDAR digital elevation model, we defined the morphometry of alluvial fans and the characteristics of the drainage system of contributing tributaries. We classified the areas according to the threat posed by the modelled torrents and debris flows. We analysed the resilience of settlement in different periods from this perspective and evaluated the integration of natural processes effects in modern spatial planning projects. We found that geomorphic processes threaten a relatively large proportion of some new and old settlements on alluvial fans and that safe planning of areas of settlement has been successful neither in the past nor in recent decades. © 2019 Mateja Breg Valjavec, Blaž Komac, published by De Gruyter.</t>
  </si>
  <si>
    <t>2-s2.0-85074726413"</t>
  </si>
  <si>
    <t>10.5194/nhess-19-1601-2019</t>
  </si>
  <si>
    <t>https://www.scopus.com/inward/record.uri?eid=2-s2.0-85070249410&amp;doi=10.5194%2fnhess-19-1601-2019&amp;partnerID=40&amp;md5=5db4b35c4dbf02742c753c68469a6c6f</t>
  </si>
  <si>
    <t>Climate change impacts on extreme water levels (WLs) at two United States Pacific Northwest estuaries are investigated using a multicomponent process-based modeling framework. The integrated impact of climate change on estuarine forcing is considered using a series of sub-models that track changes to oceanic, atmospheric, and hydrologic controls on hydrodynamics. This modeling framework is run at decadal scales for historic (1979-1999) and future (2041-2070) periods with changes to extreme WLs quantified across the two study sites. It is found that there is spatial variability in extreme WLs at both study sites with all recurrence interval events increasing with further distance into the estuary. This spatial variability is found to increase for the 100-year event moving into the future. It is found that the full effect of sea level rise is mitigated by a decrease in forcing. Short-recurrence-interval events are less buffered and therefore more impacted by sea level rise than higher-return-interval events. Finally, results show that annual extremes at the study sites are defined by compound events with a variety of forcing contributing to high WLs. © 2019 Author(s).</t>
  </si>
  <si>
    <t>2-s2.0-85070249410"</t>
  </si>
  <si>
    <t>10.22146/ijg.27328</t>
  </si>
  <si>
    <t>https://www.scopus.com/inward/record.uri?eid=2-s2.0-85069654969&amp;doi=10.22146%2fijg.27328&amp;partnerID=40&amp;md5=b65c688dfdb213a921500c592d9f217b</t>
  </si>
  <si>
    <t>TThe information of sea level rise was needed in the Indonesia as archipelago country to management risk and development coastal area. This research study took in West Sumatra waters, because the majority people have lived in coastal area and some areas is located below 100 m above Mean Sea Level (MSL). The sea level data was taken from multi-satellite altimetry, they are Topex/Poseidon, Jason-1, and Jason-2. The period of data started from 1993 until 2015. Preliminary data processing of satellite altimetry was done by global test and post-processing of satellite altimetry data. The sea level rise analysis done by linear regression methods. Linear regression formula of sea level rise in West Sumatra Waters during the period was y = 1.586 + 0.0000113x. The change of sea level during period 1993 until 2015 was 3.394 cm with mean sea level rise value was 1.35 mm/year. © 2018 Faculty of Geography UGM and The Indonesian Geographers Association</t>
  </si>
  <si>
    <t>2-s2.0-85069654969"</t>
  </si>
  <si>
    <t>10.3133/sir20195009</t>
  </si>
  <si>
    <t>https://www.scopus.com/inward/record.uri?eid=2-s2.0-85147792667&amp;doi=10.3133%2fsir20195009&amp;partnerID=40&amp;md5=780775134daaad1879419c4b4a88873a</t>
  </si>
  <si>
    <t>Digital flood-inundation maps for a 16.4-mile reach of the Yellow River in Gwinnett County, Georgia, from 0.5 mile upstream from River Drive to Centerville Highway (Georgia State Route 124) were developed to depict estimates of the areal extent and depth of flooding corresponding to selected water levels (stages) at two U.S. Geological Survey (USGS) streamgages in the mapped area. The maps for the 9.0-mile reach from 0.5 mile upstream from River Drive to Stone Mountain Highway (U.S. Route 78) are referenced to the streamgage Yellow River near Snellville, Ga. (station 02206500), and the maps for the 7.4-mile reach from Stone Mountain Highway to Centerville Highway are referenced to the streamgage Yellow River at Ga. 124, near Lithonia, Ga. (02207120). Real-time stage information from these streamgages can be used with these maps to estimate near real-time areas of inundation. The forecasted peak-stage information for the USGS streamgages Yellow River near Snellville, Ga. (02206500), and Yellow River at Ga. 124, near Lithonia, Ga. (02207120), can be used in conjunction with the maps developed for this study to show predicted areas of flood inundation.A one-dimensional step-backwater model was developed using the U.S. Army Corps of Engineers Hydrologic Engineering Center's River Analysis System (HEC–RAS) software for the Yellow River and was used to compute flood profiles for a 16.4-mile reach of the Yellow River. The hydraulic model was then used to simulate 16 water-surface profiles at 1.0-foot (ft) intervals at the Yellow River near Snellville streamgage and 17 water-surface profiles at 1.0-ft intervals at the Yellow River near Lithonia streamgage. At the Yellow River near Snellville streamgage, the profiles ranged from a stage of 18.0 ft, which is 819.1 ft above the North American Vertical Datum of 1988 (NAVD 88), to a stage of 33.0 ft, which is 834.1 ft above NAVD 88. At the Yellow River near Lithonia streamgage, the profiles ranged from the National Weather Service action stage of 13.0 ft, which is 732.5 ft above NAVD 88, to a stage of 29.0 ft, which is 748.5 ft above NAVD 88. The simulated water-surface profiles were then combined with a geographic information system digital elevation model—derived from light detection and ranging (lidar) data having a 5.0-ft horizontal resolution—to delineate the area flooded at each 1.0-ft interval of stream stage for both streamgages. © 2019 U.S. Geological Survey.</t>
  </si>
  <si>
    <t>2-s2.0-85147792667"</t>
  </si>
  <si>
    <t>Geologiya i Geofizika Yuga Rossii</t>
  </si>
  <si>
    <t>10.23671/VNC.2019.2.31981</t>
  </si>
  <si>
    <t>https://www.scopus.com/inward/record.uri?eid=2-s2.0-85172471380&amp;doi=10.23671%2fVNC.2019.2.31981&amp;partnerID=40&amp;md5=11c6b2ec7a257dcc0e0568846fb551d7</t>
  </si>
  <si>
    <t>Landslide is a major geological hazard, which poses serious threat to human population and various infrastructures. Landslides occur very often together with other natural disasters such as earthquakes, floods or snow melting and volcanoes that play role of triggering mechanism for landslides. Mountainous areas are vulnerable to landslides and have also been affected by earthquakes. Mountainous and coastal areas are the most affected regions. Landslides cause huge damage in the world and kill many people each year. Paper is devoted to landslides research on the base of risk analysis, assessment, management and reduction concept. Landslide Risk Management is seen as a series of events leading to landslides risk reduction and avoiding. It includes landslides monitoring, landslide forecast, engineering works, slopes strengthen, insurance and others. Paper also considered India, China and Russia case studies including Kolka disaster on 20 September 2002 and other related disasters. Kazbek volcanic center is characterized by the complex interrelationship of various hazardous geological processes. Disasters of 2002 and 2014 caused by ice-rock fall govern importance of investigation of the area. The network recorded a collapse of the mass of ice and rocks in the region of the Devdorak glacier on May 17, 2014 and the movement of the formed stone-ice avalanche. In India, the Himalayas are prone to landslides, particularly n monsoon season, from months of June to October. Various types of landslides occur in Himalayas, including block slumping, debris flow, debris slide, rock fall, rotational slip and slump. Generally landslides are triggered by heavy or prolonged rainfall. Landslides cause severe damage to lives and property while also causing disruption in communication networks and movement of traffic. © 2019, Geophysical Institute of the Vladikavkaz Scientific Centre of the Russian Academy of Sciences. All rights reserved.</t>
  </si>
  <si>
    <t>2-s2.0-85172471380"</t>
  </si>
  <si>
    <t>10.1111/1755-6724.14276</t>
  </si>
  <si>
    <t>https://www.scopus.com/inward/record.uri?eid=2-s2.0-85083267325&amp;doi=10.1111%2f1755-6724.14276&amp;partnerID=40&amp;md5=1034c2a3d382d0dbb8e2b27aa6175cc7</t>
  </si>
  <si>
    <t>Land subsidence is a worldwide geohazard consisting in the lowering of the ground surface due to natural and human-induced processes occurring in the shallow and deep subsoil. Over the last two decades, land subsidence has caused damages and widespread impacts to a variety of infrastructures in coastal cities (Ma et al., 2011</t>
  </si>
  <si>
    <t>10.14710/geoplanning.6.2.89-98</t>
  </si>
  <si>
    <t>https://www.scopus.com/inward/record.uri?eid=2-s2.0-85131855613&amp;doi=10.14710%2fgeoplanning.6.2.89-98&amp;partnerID=40&amp;md5=93ddd315fff1562ab2624fd63ebbacc2</t>
  </si>
  <si>
    <t>The West Branch of the Little River in Stowe, Lamoille County, Vermont has been widely studied, and this area is regularly subject to flooding. The West Branch joins the Little River, which flows into the Winooski and drains into Lake Champlain. This area has undergone extensive development as an economic response to the ski resort industry over the past 50 years, and the recreational pathway is on the banks of the river. The Little River is adjusting to the loss of historic floodplain area, channel modifications (straightening and gravel mining), and runoff changes. In this project, a DEM with 10 and 30 meters resolution will be used to determine the watershed area for the outlet point at the south of Stowe for hydrological analysis. This project intends to describe the watershed flow direction with a unit hydrograph that shows when water discharge at the outlet is at its height during a rainfall event and produce the floods prediction map by predicting the nature of flood events to help in planning and responding to flood events effectively using ArcGIS Pro 2.0. The results show the time it takes water to flow to the outlet ranges from 0 seconds (rain that falls on the outlet itself) to over 8 hours and 46 minutes. The amount of water has accumulated, indicating that water will flow at its fastest when funneling toward the outlet point downstream of the town with no exception, indicating that water will flow at its fastest when funneling toward the outlet point downstream of the town. © 2019 GJGP-UNDIP.</t>
  </si>
  <si>
    <t>2-s2.0-85131855613"</t>
  </si>
  <si>
    <t>10.17645/up.v4i1.1469</t>
  </si>
  <si>
    <t>https://www.scopus.com/inward/record.uri?eid=2-s2.0-85064750317&amp;doi=10.17645%2fup.v4i1.1469&amp;partnerID=40&amp;md5=2b04978f9c938a1874626405744768da</t>
  </si>
  <si>
    <t>In this article three different responses are taken as the starting point how different types of disruption could be dealt with. These responses-repair, bounce back and grow stronger-are combined with three disruptions (sea level rise, storm surge and heavy rainfall), and then tested in three case studies. The result of the investigation is that anti-fragility (grow stronger) is a preferential approach to create delta landscapes that become stronger under influence of a disruption. Anti-fragility is for this research subdivided in three main characteristics, abundance of networks, adaptivity and counterintuitivity, which are used to analyse the three case study propositions. The type of response, type of disruption, characteristic of anti-fragility and the qualities of the case study area itself determine the design proposition and the outcome. In all cases this approach has led to a stronger and safer landscape. The concept of anti-fragility impacts on the period before a disruption, during and also after the disruptive impact. This gives it a better point of departure in dealing with uncertain or unprecedented hazards and disruptions. © 2019 by the author</t>
  </si>
  <si>
    <t>International Journal of Marine and Coastal Law</t>
  </si>
  <si>
    <t>10.1163/15718085-13431094</t>
  </si>
  <si>
    <t>https://www.scopus.com/inward/record.uri?eid=2-s2.0-85072611417&amp;doi=10.1163%2f15718085-13431094&amp;partnerID=40&amp;md5=e3367b8a818ed29695e569b0f0663c9b</t>
  </si>
  <si>
    <t>Climate change-induced sea-level rise will result in the partial or complete inundation of low-lying coastal areas and insular features. The consequences of this include the loss of baselines from which maritime zones are established. The loss of baselines raises a number of legal questions, in particular concerning the legal status of maritime entitlements and in some cases the potential loss of statehood. Solutions proposed include maintaining existing baselines or outer limits of maritime zones, or the construction de novo of artificial islands. This article examines the current state of international law under the international climate-change regime and the law of the sea in relation to adaptation and adaptive measures, such as maintaining of baselines, island fortification and the construction of artificial islands. In addition, the article explores the question as to whether measures such as maintaining baselines would constitute adaptive measures under the existing climate-change regime. © Koninklijke Brill NV, Leiden, 2019</t>
  </si>
  <si>
    <t>2-s2.0-85072611417"</t>
  </si>
  <si>
    <t>10.1029/2018JF004763</t>
  </si>
  <si>
    <t>https://www.scopus.com/inward/record.uri?eid=2-s2.0-85060579387&amp;doi=10.1029%2f2018JF004763&amp;partnerID=40&amp;md5=4ffb93c01869975eefbc4eae1c8b3a5c</t>
  </si>
  <si>
    <t>Shoal margin collapses of several million cubic meters have occurred in the Western Scheldt estuary, the Netherlands, on average five times a year over the last decades. While these collapses involve significant volumes of material, their effect on the channel-shoal morphology is unknown. We hypothesize that collapses dynamicize the channel-shoal interactions, which could impact the ecological functioning, flood safety, and navigation in the estuary. The objective is to investigate how locations, probability, type, and volume of shoal margin collapse affect the channel-shoal dynamics. We implemented an empirically validated parameterization for shoal margin collapses and tested its effect on simulated estuary morphological development in a Delft3D schematization of the Western Scheldt. Three sets of scenarios were analyzed for near-field and far-field effects on flow pattern and channel-shoal morphology: (1) an observed shoal margin collapse of 2014, (2) initial large collapses on 10 locations, and (3) continuous collapses predicted by our novel probabilistic model over a time span of decades. Results show that a single shoal margin collapse only affects the local dynamics in the longitudinal flow direction and dampen out within a year for typical volumes, whereas larger disturbances that reach the seaward or landward sill at tidal channel junctions grow. The direction of the strongest tidally averaged flow determined the redistribution of the collapsed sediment. We conclude that adding the process of shoal margin collapses increases the channel-shoal interactions and that in intensively dredged estuaries shoal margins oversteepen, amplifying the number of collapses, but because of dredging the natural morphological response is interrupted. ©2019. The Authors.</t>
  </si>
  <si>
    <t>2-s2.0-85060579387"</t>
  </si>
  <si>
    <t>Brazilian Archives of Biology and Technology</t>
  </si>
  <si>
    <t>10.1590/1678-4324-2019180211</t>
  </si>
  <si>
    <t>https://www.scopus.com/inward/record.uri?eid=2-s2.0-85081233369&amp;doi=10.1590%2f1678-4324-2019180211&amp;partnerID=40&amp;md5=0b8cad82b7e7e35245e1630eea5ac52f</t>
  </si>
  <si>
    <t>Mangroves are tropical and subtropical flooded forests that generally develop in estuarine areas over unstable sediments protected from the action of waves in the intertidal zone with an environment characterized by a great diversity of fauna and flora. Thus, the present study aimed to evaluate the levels of heavy metals that are absorbed by mangrove oysters, in estuarine systems in the Alagoas coast by determining the concentrations of Fe, Cu, Mn, Zn, Cd and Cr. Two areas, which consisted of both a collection during the rainy season and the dry season, were selected for sampling of mangrove oysters. In each collection, seven samples were collected, at seven different points, where each sample contained four oysters. In the laboratory the oysters were dried at 105°C for 72 hours and then macerated. It was then digested with 10 ml of a solution comprising a combination of 4:1 nitric acid and hydrochloric acid, initially in 1h at 40°C, followed by 3 hours at 140°C. In General, the medians followed the order Zn &gt; Fe &gt; Mn &gt; Cu &gt; Cr &gt; Cd in MMELC and Zn &gt; Cu &gt; Fe &gt; Mn &gt; Cr &gt; Cd in Meirim River. It is concluded that the Crassostrea rhizophorae oysters from the studied environments presented concentrations of all the metals proposed in the research and demonstrates its accumulating and bioindicator character. © 2018 by the authors.</t>
  </si>
  <si>
    <t>2-s2.0-85081233369"</t>
  </si>
  <si>
    <t>10.1155/2019/9530135</t>
  </si>
  <si>
    <t>https://www.scopus.com/inward/record.uri?eid=2-s2.0-85074487039&amp;doi=10.1155%2f2019%2f9530135&amp;partnerID=40&amp;md5=59b6df3fdb6de4b604425cb61f6dfb7e</t>
  </si>
  <si>
    <t>The Su-Xi-Chang area is located in the Yangtze River Delta in southeastern Jiangsu Province, China. More than 2 m cumulative land subsidence has occurred since 1980s. A range of monitoring programs, geological investigations, and numerical modeling has been implemented in order to establish a regional rehabilitation plan. In this paper, the column element settlement model (CESM) has been established to investigate the coupling effect of soil self-weight, upper loads, and groundwater withdrawal on land subsidence. The model has been verified by comparing with the land subsidence records in Changzhou and further applied to the investigation area. The results show that extensive groundwater withdrawal is the main cause of the land subsidence. Settlement caused by soil self-weight increases with the depth and decreases with upper loads, while settlement caused by upper loads increases with the intensity of upper loads and decreases with depth. The proportion of ground settlement caused by soil self-weight, upper loads, and groundwater withdrawal is also investigated. © 2019 Yang Chen et al.</t>
  </si>
  <si>
    <t>2-s2.0-85074487039"</t>
  </si>
  <si>
    <t>10.3319/TAO.2019.05.27.01</t>
  </si>
  <si>
    <t>https://www.scopus.com/inward/record.uri?eid=2-s2.0-85079630699&amp;doi=10.3319%2fTAO.2019.05.27.01&amp;partnerID=40&amp;md5=9cb3dc6f5d260a9ed3cae2688f54f586</t>
  </si>
  <si>
    <t>At 23:50 (local time, UTC+8) on 6 February 2018, a shallow earthquake of magnitude 6.2 on Richter scale occurred at the coastal area of Hualien, inducing significant fault activities on the Milun and Lingding Faults, and caused ruptured surface, damaged infrastructures and collapsed buildings. To understand the influence of the earthquake, this paper investigates the affected areas after the earthquake by using the network RTK to measure more than one hundred benchmarks set up by various government agencies for surface deformation measurement. The results of the investigation showed that the Milun Terrace moved along the Milun Fault in a left lateral motion with a reverse component in the northern part of the terrace for about 70 cm relative to the west side of the fault. Most of the reported damage occurred near the fault. Around the Lingding Fault, most reported surface ruptures and landslides occurred at the northern section of the Coastal Range, which moved northward for about 50 cm relative to the west side of the fault. Surface rupture of the Lingding Fault was observed from the northern tip of the Coastal Range to near Yuemei Bridge. In between two faults, the area showed significant subsidence regardless of their directions of horizontal coseismic motion. The subsidence can be as high as 50 cm near the southern end of the Milun Fault. © 2019 Chinese Geoscience Union. All rights reserved.</t>
  </si>
  <si>
    <t>2-s2.0-85079630699"</t>
  </si>
  <si>
    <t>10.5194/nhess-19-287-2019</t>
  </si>
  <si>
    <t>https://www.scopus.com/inward/record.uri?eid=2-s2.0-85060928169&amp;doi=10.5194%2fnhess-19-287-2019&amp;partnerID=40&amp;md5=2b3c235db9d3ac71b1620ff2333815af</t>
  </si>
  <si>
    <t>&lt;p&gt;Coastal vulnerability is evaluated against inundation risk triggered by wave run-up through the evaluation of vulnerability levels (referred to as VLs) introduced by &lt;span classCombining double low line""cit"" idCombining double low line""xref-text.1""&gt;&lt;a hrefCombining double low line""#bib1.bibx5""&gt;Bosom and Jiménez&lt;/a&gt; (&lt;a hrefCombining double low line""#bib1.bibx5""&gt;2011&lt;/a&gt;)&lt;/span&gt;. VLs are assessed through different wave climate characterizations, referring to regional (offshore wave climate) or local (nearshore wave climate) scales. The study is set along the Bay of Lalzit, a coastal area near Durrës (Albania). The analysis reveals that the results vary due to uncertainties inherent in the run-up estimation, showing that the computational procedure should be developed by taking into account detailed information about the local wave climate. Different approaches in choosing wave characteristics for run-up estimation significantly affect the estimate of shoreline vulnerability. The analysis also shows the feasibility and challenges of applying VL estimates in contexts characterized by limited data availability through targeted field measurements of the coast geomorphology and an overall understanding of the recent coastal dynamics and related controlling factors.&lt;/p&gt;. © Author(s) 2019.</t>
  </si>
  <si>
    <t>2-s2.0-85060928169"</t>
  </si>
  <si>
    <t>10.1007/s10584-018-2363-3</t>
  </si>
  <si>
    <t>https://www.scopus.com/inward/record.uri?eid=2-s2.0-85059701217&amp;doi=10.1007%2fs10584-018-2363-3&amp;partnerID=40&amp;md5=528f97b686a6864ea8447fd2cad419b0</t>
  </si>
  <si>
    <t>Sea level rise and extreme weather events threaten the livelihoods and possibly the long-term existence of whole island nations. While the media, policy, and often scientific arenas essentially focus their attention on Small Island Developing States (SIDS), which are widely recognised as hotspots of global climate change, the situation of the numerous other vulnerable island territories has been relatively neglected. As a result, the focus on SIDS has paved the way for mainstream adaptation research and, in turn, for biases in the interpretation of climate change vulnerability and risks of small islands in general. Here, we argue that such an overly narrow scope severely limits our understanding of island-specific issues that influence island societies’ adaptability to on-going and future climate change. This article reviews the current perspective on challenges and opportunities for climate change adaptation on SIDS and compares it with other types of island territories, especially dependent islands of continental states and semi-autonomous sub-national island jurisdictions (SNIJ). This comparison reveals that despite critical socio-political differences between the respective island types, more general lessons can be learned as island territories at large face similar issues both regarding the drivers of vulnerability and exposure and the adaptation measures needed. We propose an analytical framework for looking ‘beyond SIDS’ that includes the recognition of critical issues (asymmetrical governance structures, archipelagic constellations, inter-island connections) that shape island societies’ vulnerability and leeway for adaptation to climate-related hazards. © 2019, Springer Nature B.V.</t>
  </si>
  <si>
    <t>2-s2.0-85059701217"</t>
  </si>
  <si>
    <t>https://www.scopus.com/inward/record.uri?eid=2-s2.0-85075524523&amp;partnerID=40&amp;md5=db974257c33a488ac0ad176f970afc7d</t>
  </si>
  <si>
    <t>The main target of this study is to classify the landforms of Wadi Al-Mujib Canyon, as considered one of the main Wadi draining towards the Dead Sea. Based on Topographic Position Index (TPI), and depend upon Shuttle Radar Topography Mission (SRTM) data for preparing digital elevation model (DEM) which is available with 30*30 m ground resolution. By using the TPI, the landforms were classified into both Slope Position index and landform types. Landform categories were generated by combined two TPI grids at different scales (neighborhoods: (a 1km radius and 2km radius). TPI defended as: algorithms of Weiss and Jenness used to measure the topographic slope positions and automated landform classifications. TPI values are depended upon the cell size, type, elevation, and the standard deviation (SD) of TPI. By using TPI, the study area classified into slope position index with 6 classes</t>
  </si>
  <si>
    <t>10.1080/08920753.2019.1525260</t>
  </si>
  <si>
    <t>https://www.scopus.com/inward/record.uri?eid=2-s2.0-85060045478&amp;doi=10.1080%2f08920753.2019.1525260&amp;partnerID=40&amp;md5=d849c2f70948021f1e49b717ae23f267</t>
  </si>
  <si>
    <t>We evaluated the potential economic impacts of increasing sea level rise (SLR) along the Mexican Caribbean where there are major gaps in our understanding of the mechanisms controlling flooding duration and frequency associated to future ecological and economic impacts. We determined the negative economic impact of SLR on infrastructure in the largest urban centers (Cancun, Isla Mujeres, Playa del Carmen, Puerto Morelos and Cozumel) in the state of Quintana Roo (Mexico) that are considered the largest tourism “hot spots” (resort cities) in the country. The tourism industry in this coastal area injects &gt;8 billion dollars year                             −1                              to the Mexican economy. Our conservative economic assessment regarding the impact of SLR, under a 1 m scenario for all coastal cities is $330 million USD. Further projections for worst scenarios (SLR &gt;2 m) show a non-linear trend where the cost of inaction can reach up to $1.4 billion USD (2 m SLR scenario) and $2.3 billion USD (3 m SLR scenario). This potential loss of infrastructure, as construction cost, is staggering and represents a robust baseline to start evaluating with more detail future impacts of climate variability and change on the Mexican Caribbean coastline.                          © 2019, © 2019 Taylor &amp; Francis.</t>
  </si>
  <si>
    <t>2-s2.0-85060045478"</t>
  </si>
  <si>
    <t>https://www.scopus.com/inward/record.uri?eid=2-s2.0-85079416368&amp;partnerID=40&amp;md5=46ae99e282811790e8b0ec0422519581</t>
  </si>
  <si>
    <t>The transformation of two intertidal environments from northern Spain during the last 150 years shows an evolution from a tidal flat into a salt marsh environment, with an intermediate transitional stage. The environment of deposition was reconstructed based on benthic foraminifera and sand content. Sediments were put into a temporal framework using short-lived radioisotope activities and heavy metal concentrations. The observed natural evolution responds to the availability of abundant sediment and the current sea-level rise scenario, where intertidal environments are trying to adapt to increasing flooding periods by accreting sediment rapidly. © 2019 Sociedad Geologica de Espana. All rights reserved.</t>
  </si>
  <si>
    <t>2-s2.0-85079416368"</t>
  </si>
  <si>
    <t>10.1016/j.scitotenv.2018.08.139</t>
  </si>
  <si>
    <t>https://www.scopus.com/inward/record.uri?eid=2-s2.0-85052133737&amp;doi=10.1016%2fj.scitotenv.2018.08.139&amp;partnerID=40&amp;md5=61d5c60537901a6c9d4d145744d3fe8c</t>
  </si>
  <si>
    <t>Deltas are especially vulnerable to climate change given their low-lying location and exposure to storm surges, coastal and fluvial flooding, sea level rise and subsidence. Increases in such events and other circumstances are contributing to the change in the environmental conditions in the deltas, which translates into changes in the productivity of ecosystems and, ultimately, into impacts on livelihoods and human well-being. Accordingly, climate change will affect not only the biophysical conditions of deltaic environments but also their economic circumstances. Furthermore, these economic implications will spill over to other regions through goods and services supply chains and via migration. In this paper we take a wider view about some of the specific studies within this Special Issue. We analyse the extent to which the biophysical context of the deltas contributes to the sustainability of the different economic activities, in the deltas and in other regions. We construct a set of environmental-extended multiregional input-output databases and Social Accounting Matrices that are used to trace the flow of provisioning ecosystem services across the supply chains, providing a view of the links between the biophysical environment and the economic activities. We also integrate this information into a Computable General Equilibrium model to assess how the changes in the provision of natural resources due to climate change can potentially affect the economies of the deltas and linked regions, and how this in turn affects economic vulnerability and sustainability in these regions. © 2018</t>
  </si>
  <si>
    <t>2-s2.0-85052133737"</t>
  </si>
  <si>
    <t>10.1016/j.crm.2019.04.004</t>
  </si>
  <si>
    <t>https://www.scopus.com/inward/record.uri?eid=2-s2.0-85064712586&amp;doi=10.1016%2fj.crm.2019.04.004&amp;partnerID=40&amp;md5=4f89a53e1bc44784fe5c3ae8ff4bf540</t>
  </si>
  <si>
    <t>The El Niño-Southern Oscillation (ENSO) in 2016 adversely affected Vietnam particularly in the Mekong River Delta (MRD), where more than 90% of the country's rice export is produced annually. During that time, salinity intrusion and drought significantly affected agricultural production in the area. Furthermore, flooding is another recurring event in the area that is increasing in frequency. An assessment conducted by CGIAR Centers showed that even as warnings were provided by the government for the 2016 ENSO, these were not translated into appropriate preparations and responsive actions for agriculture. To address this critical issue, the Department of Crop Production (DCP) of the Ministry of Agriculture and Rural Development (MARD) of Vietnam, and CGIAR Research Program on Climate Change, Agriculture and Food Security in Southeast Asia (CCAFS-SEA) collaborated to develop and test an participatory approach for mapping climate risks and adaptive interventions (CS-MAP) to recognize climate-related risks, identify potentially affected areas and develop regional and provincial adaptation plans for rice production. The CS-MAP is a participatory approach involving experts from various local and national offices for: (1) identifying climate-related risks</t>
  </si>
  <si>
    <t>10.2112/SI92-008.1</t>
  </si>
  <si>
    <t>https://www.scopus.com/inward/record.uri?eid=2-s2.0-85118119283&amp;doi=10.2112%2fSI92-008.1&amp;partnerID=40&amp;md5=1848b39601758b7cc0c15f53618537a9</t>
  </si>
  <si>
    <t>The analysis of ecosystems and topographic factors (relief, slope, and orientation) in the southern-central part of Cuba facilitated the evaluation of the coastal exposure to storm surge. This work used the natural habitat exposure rank and the Manning coefficient of each ecosystem as a means of evaluating the protective role of the ecosystems in coastal storm surge flooding. The study area is a low elevation coastal zone (LECZ), with relief measuring between 0 and 1.5 m in 24% of the area. It is mostly covered by natural vegetation and mangrove, with gentle slopes, oriented toward the south and southwest. From 1975 to 2014, decreases in the Manning coefficient and the natural habitat exposure ranking reduced the exposure to storm surge flooding. As a result of this analysis, it is possible to differentiate two zones in the study area according to their distinct spatial combinations of topographic factors and ecosystem changes. © 2022</t>
  </si>
  <si>
    <t>2-s2.0-85118119283"</t>
  </si>
  <si>
    <t>Geographical Research</t>
  </si>
  <si>
    <t>10.1111/1745-5871.12342</t>
  </si>
  <si>
    <t>https://www.scopus.com/inward/record.uri?eid=2-s2.0-85065640680&amp;doi=10.1111%2f1745-5871.12342&amp;partnerID=40&amp;md5=7976d6058fbf8c743a1ed88e67c3073c</t>
  </si>
  <si>
    <t>Recent studies of elevated carbonate boulder deposits on several rock islands near Bangkok have indicated that Thailand's capital city may not be as protected from typhoon strikes as previously thought. Here, new evidence is presented for past high-energy wave (HEW) events in the form of statistically significant patterns of boulder alignment on exposed rocky shorelines of Ko Larn island. The long-axis orientations of 193 coastal sandstone boulders were analysed across four study sites. Several scenarios for the unimodal, bimodal, and polymodal patterns found can be envisaged. Either the most recent HEW event was the strongest—in which case most clasts were rearranged unimodally (one observation site), or the strongest HEW event was earlier and subsequent weaker ones realigned only smaller boulders to produce bimodal or polymodal patterns (three observation sites). Inferred northeastward or eastward onshore flow directions are consistent with palaeo-typhoons penetrating into the Bay of Bangkok on northwestward curving tracks. The calculated minimum flow velocities required to transport all sampled boulders are 5.5–7.8 m s−1, similar to other findings throughout the Asia-Pacific region. It was observed that the absence of a fitted boulder geomorphology lends credence to the earlier proposed time frame of 150–200 years between typhoon phases in the upper Gulf of Thailand. The current work has provided additional insights into the characteristics of past HEW events that have a possibility of reoccurring again at some time in the future. Our findings continue to raise awareness for a reassessment of the risks of coastal hazards for the Chao Phraya River delta and densely populated Bangkok, for which storm surge modelling should be an urgent priority, so as to give better perceptions on how typhoon-driven marine incursion would impact the city. © 2019 Institute of Australian Geographers</t>
  </si>
  <si>
    <t>2-s2.0-85065640680"</t>
  </si>
  <si>
    <t>ASM Science Journal</t>
  </si>
  <si>
    <t>https://www.scopus.com/inward/record.uri?eid=2-s2.0-85072227689&amp;partnerID=40&amp;md5=4f9814f52e47a4ebce981b4ca190bd3f</t>
  </si>
  <si>
    <t>Mean Sea Surface (MSS) is the displacement of the sea surface in respect to a numerical model of the earth and it nearly takes after geoids. However, the coastal tide gauges provided to certain coastal areas are limited to ocean studies. Tide gauges are usually installed at coastal areas and only a few stations have long records and adequate geographical distribution. To solve these problems, the use of Satellite Altimeter technology is required. The aim of this study was to produce a new localized mean sea surface model over Malaysian seas using multi-mission satellite altimeters from 1993 to 2017. To understand variations in SSH during the monsoon season, sea surface height climatology data were generated and the average sea surface height data were used to determine the localized MSS of Malaysian Seas. Satellite altimeters are important to producing MSS models that support oceanographic and geophysical studies such as sea level rise studies and tidal predictions. A comparison between altimetry data and tide gauge observations showed good agreement with correlations higher than 0.9 and a Root Mean Square Error (RMSE) lower than 0.1 meter. Then, a localized mean sea surface model was generated using the spatial average of SSH climatology data for a 25 year time period to obtain a high-resolution MSS model. Localized MSS is an important reference for several applications such as charting datum, sea level change, and derivation of mean dynamic topography. © Academy of Sciences Malaysia 2019.</t>
  </si>
  <si>
    <t>2-s2.0-85072227689"</t>
  </si>
  <si>
    <t>Frontiers in Communication</t>
  </si>
  <si>
    <t>10.3389/fcomm.2019.00007</t>
  </si>
  <si>
    <t>https://www.scopus.com/inward/record.uri?eid=2-s2.0-85087636641&amp;doi=10.3389%2ffcomm.2019.00007&amp;partnerID=40&amp;md5=8a3de8f3857cb56377e7ea9f5578e498</t>
  </si>
  <si>
    <t>Cognitive impediments and global warming's gradual pace, among other factors, have inhibited some people from detecting climate change's everyday effects. This results in global warming often being perceived as a non-urgent, non-personal, threat that inhibits larger-scale collective action combatting climate change and public will regarding such action. Extreme weather events that global warming causes or exacerbates (e.g., hurricanes, flooding, heat, and droughts), however, are memorable due to their high emotional, social, and economic costs. Sea level rise is an especially salient American issue, given recent heightened storm surges, and the large population-segment who live in or near coastal areas with dangerous flooding risks. In this experiment, we show that providing American participants with U.S.-specific information about the economic and/or geographic/cartological effects and risks of sea level rise results in (a) an increased acceptance of oceanic rise as a phenomenon that is concerning and caused by global warming, and (b) an increased acceptance, in general, of global warming's anthropogenic nature. Communicating sea level rise information also led to (c) a general decrease in nationalism and (d) changes in the perceived effectiveness of mitigation strategies for sea level rise-specifically (d1) a decrease in the perceived effectiveness of constructing sea walls /dikes and (d2) an increase in the perceived effectiveness of phasing out fossil fuel usage. Overall, we find that communicating striking information about this oceanic by-product of global warming is an effective way to motivate acceptance and engagement with the issue of climate change in a reasonably broad manner. The experimental findings replicate, extend, and dovetail with prior experiments by our laboratory, bringing up to six the number of brief interventions (i.e., of roughly 5 or fewer minutes) that have been proven to increase people's science-normative beliefs about global warming. Our laboratory's website, HowGlobalWarmingWorks.org, offers samples of these materials, which additionally include surprising statistics, textual and video explanations of global warming's mechanism, and a contrast of Earth's temperature rise since the 1880's vs. the U.S. stock market rise since then.  © 2019 Velautham, Ranney and Brow.</t>
  </si>
  <si>
    <t>2-s2.0-85087636641"</t>
  </si>
  <si>
    <t>Exploration Geophysics</t>
  </si>
  <si>
    <t>10.1080/22020586.2019.12073121</t>
  </si>
  <si>
    <t>https://www.scopus.com/inward/record.uri?eid=2-s2.0-85138681987&amp;doi=10.1080%2f22020586.2019.12073121&amp;partnerID=40&amp;md5=27bbd5abc808713884f01c376e7c1876</t>
  </si>
  <si>
    <t>Definition of the basement architecture within the Ceduna Sub-basin is poorly understood due to the depth of the basin and limited deep crustal geophysical datasets. This study uses seismic interpretation of BightSPAN™ deep crustal seismic lines combined with 2D forward models of the gravity to define the basement architecture in the Ceduna Sub-basin. Gravity forward models identify two depocentres with maximum depths of 25 km overlying thinned continental crust. Syn-rift sedimentary packages are several km thick and underlie up to 10 km of post-kinematic Cretaceous deltaic sequences. Regional Moho models contain only sparse data points offshore and isostatic residual gravity data suggests substantial local variation in the depth to Moho. This local variation in the Moho surface is interpreted as boudinage of a weak lower crust along crustal shear zones. A gradual increase in basement density towards the continent-ocean transition suggests a diffuse rather than distinct boundary between continental and oceanic crust. The results of this work are used to constrain the tectonic evolution, particularly in terms of the subsidence history and uplift and erosional pulses recorded on the seismic data in the Ceduna Delta (Hill et al., this volume) and then used as input for finite element numerical models of rifting (Farrington et al., this volume). © 2019, Taylor and Francis. All rights reserved.</t>
  </si>
  <si>
    <t>2-s2.0-85138681987"</t>
  </si>
  <si>
    <t>IWMI Research Report</t>
  </si>
  <si>
    <t>10.5337/2019.200</t>
  </si>
  <si>
    <t>https://www.scopus.com/inward/record.uri?eid=2-s2.0-85069728530&amp;doi=10.5337%2f2019.200&amp;partnerID=40&amp;md5=56cf6c19aabddc7bf73b9e94e795b982</t>
  </si>
  <si>
    <t>A study was conducted to explore the synergies and trade-offs between built and natural infrastructure in the Tana River Basin. A simple framework for better understanding the interactions and co-dependencies between water-related built and natural infrastructure was developed. To evaluate the costs and benefits associated with the current built infrastructure, empirical relationships were determined quantifying the links between river flow and ecosystem services. Depending on rainfall, river flow and other factors, the benefits vary from year to year, but a conservative estimate of the average cumulative value of six key waterdependent services (i.e., floodplain grazing, riverbank gardening and recession agriculture, freshwater fisheries, marine and estuarine fisheries, coastal shrimp fisheries and beach nourishment) in the lower basin is USD 152 million per year. The large dams built in the basin have significantly increased overall financial returns by creating new revenue streams (i.e., hydropower and irrigation) and by reducing the adverse impacts of large floods. Overall, average annual revenue has increased to USD 298 million. Nonetheless, the dams have also reduced the benefits that accrue from moderate floods with the greatest losses in the agriculture sector. Although they benefit from increased flood protection, impoverished pastoralists and smallholder farmers lose the most revenue</t>
  </si>
  <si>
    <t>10.1080/23249676.2017.1355756</t>
  </si>
  <si>
    <t>https://www.scopus.com/inward/record.uri?eid=2-s2.0-85041632596&amp;doi=10.1080%2f23249676.2017.1355756&amp;partnerID=40&amp;md5=8b4dc80d9c853c66ac5659f3505980cb</t>
  </si>
  <si>
    <t>Early planning decisions which take into account the impact of climate change have to be made under uncertainty. Thus, the explicit investigation of the level of uncertainty in climate impact research is becoming increasingly important. This article focusses on uncertainties in a climate impact assessment for the Weser estuary, Germany. The basis is a mean sea level rise scenario which is studied with a 3D baroclinic impact model. Uncertainties due to model parameters, structural limitations of the model, boundary conditions, the scenario uncertainty and variability in the impact model are discussed. The uncertainties due to natural variability and roughness are investigated by means of changes in high and low water levels. The results show that the uncertainty related to the impact model and the chosen model parameters in this study is small compared to the uncertainty induced by the natural variability and the boundary conditions. © 2017, © 2017 IAHR and WCCE.</t>
  </si>
  <si>
    <t>2-s2.0-85041632596"</t>
  </si>
  <si>
    <t>https://www.scopus.com/inward/record.uri?eid=2-s2.0-85066467857&amp;partnerID=40&amp;md5=384ecfb75b507b2f508cb25b558050f7</t>
  </si>
  <si>
    <t>The study on the characteristics of precipitation, stream surface discharge, and physiographic factors in influencing flood vulnerability at Cimanuk Watershed, West Java is essential since Cimanuk Delta is one of the most growing river delta in West Java. Furthermore, regression based model between flood as dependant variable has been regarded as the most suitable approach. Highest rate of monthly, daily average, daily precipitations, and high stream discharge were focused in November to April. Therefore, higher probability of flood occurence in Cimanuk watershed may concentrated only in those months. Correlation between highest rate of stream discharge's occurence frequency and the occurence frequency of highest rate of monthly, daily average, and daily precipitations were 0.807, 0.960, 0.162 respectively. The highest rate of stream discharge can be determined by measuring the highest rate of monthly, daily average, and daily precipitations. However, it should be kept in mind that the highest rate of daily precipitation hold insignificant correlation with stream discharge. In all months of the year, the factors have positive effect on flood vulnerability are precipitation, soil type, and land cover, but the slope has negative effect. © Penerbit UMT.</t>
  </si>
  <si>
    <t>2-s2.0-85066467857"</t>
  </si>
  <si>
    <t>10.1175/JHM-D-18-0219.1</t>
  </si>
  <si>
    <t>https://www.scopus.com/inward/record.uri?eid=2-s2.0-85070073294&amp;doi=10.1175%2fJHM-D-18-0219.1&amp;partnerID=40&amp;md5=da0ec11a99e539b1cfb84c53a812aa65</t>
  </si>
  <si>
    <t>The typical complex orography of the Mediterranean coastal areas support the formation of the so-called back-building mesoscale convective systems (MCS) producing torrential rainfall often resulting in flash floods. As these events are usually very small-scaled and localized, they are hardly predictable from a hydrometeorological standpoint, frequently causing a significant amount of fatalities and socioeconomic damage. Liguria, a northwestern Italian region, is characterized by small catchments with very short hydrological response time and is thus extremely prone to the impacts of back-building MCSs. Indeed, Liguria has been hit by three intense back-building MCSs between 2011 and 2014, causing a total death toll of 20 people and several hundred millions of euros of damages. Consequently, it is necessary to use hydrometeorological forecasting frameworks coupling the finescale numerical weather prediction (NWP) outputs with rainfall-runoff models to provide timely and accurate streamflow forecasts. Concerning the aforementioned back-buildingMCS episodes that recently occurred in Liguria, this work assesses the predictive capability of a hydrometeorological forecasting framework composed by a kilometer-scale cloud-resolving NWP model (WRF), including a 6-h cycling 3DVAR assimilation of radar reflectivity and conventional weather stations data, a rainfall downscaling model [Rainfall Filtered Autoregressive Model (RainFARM)], and a fully distributed hydrological model (Continuum). A rich portfolio of WRF 3DVAR direct and indirect reflectivity operators has been explored to drive the meteorological component of the proposed forecasting framework. The results confirm the importance of rapidly refreshing and data intensive 3DVAR for improving the quantitative precipitation forecast, and, subsequently, the flash flood prediction in cases of back-building MCS events. © 2019 American Meteorological Society.</t>
  </si>
  <si>
    <t>2-s2.0-85070073294"</t>
  </si>
  <si>
    <t>10.1080/02626667.2019.1578463</t>
  </si>
  <si>
    <t>https://www.scopus.com/inward/record.uri?eid=2-s2.0-85062448847&amp;doi=10.1080%2f02626667.2019.1578463&amp;partnerID=40&amp;md5=b37d10529af8dc4e9dec8df329838469</t>
  </si>
  <si>
    <t>We have developed a flood water level estimation method that only employs satellite images and a DEM. The method involves three steps: (1) discriminating flood areas and identifying clumps of each flood area, (2) extracting the edges of the identified flood area using a buffering technique, and (3) performing spatial interpolation to transform the extracted elevation to flood water levels. We compared the estimated flood water levels with the observed ones. The RMSE using the RADARSAT was 1.99 and 1.30 m at river and floodplain points, respectively, whereas the RMSE using the MODIS was 4.33 and 1.33 m at the river and floodplain points, respectively. Given that most errors are attributed to the DEM, the method exhibited good performance. Furthermore, the method reproduced the flow directions and flood water level changes during the flooding period. Thus, we demonstrated that the characteristics of flood inundation can be understood even when ground observation data cannot be obtained. © 2019, © 2019 IAHS.</t>
  </si>
  <si>
    <t>2-s2.0-85062448847"</t>
  </si>
  <si>
    <t>10.2112/SI92-006.1</t>
  </si>
  <si>
    <t>https://www.scopus.com/inward/record.uri?eid=2-s2.0-85066032689&amp;doi=10.2112%2fSI92-006.1&amp;partnerID=40&amp;md5=2f9e453834ea411169260d3d24c45620</t>
  </si>
  <si>
    <t>The groundwater-surface water relationship in coastal floodplains is key to wetland management. Coastal floodplains are prone to river overflow and groundwater upwelling, so climate change may increase the vulnerability of people and infrastructure. This study was carried out on the coastal plain of Veracruz, Mexico where, in 2010, Hurricane Karl produced a river flood and the coastal city of Veracruz-Boca del Río suffered many losses. The objective was to understand river-groundwater flooding and how seasonality in local groundwater flow is related to flood type, site topography and the wetland vegetation in this coastal zone. To this end, 31 piezometers and time series flow data from two hydrometric stations were monitored monthly, and remote images were used to classify land use and vegetation. The frequency and extent of an extreme river flood (caused by Hurricane Karl in 2010) and groundwater flood were documented. The results show that the 2010 river flood can be classified as an extreme flood with a return period of 50-100 years, inundating 60.5% of the rural area, 39.5% of the natural vegetation and roads, and 4.8% of the city. Groundwater floods occur every year in the low-lying areas of the floodplain, which correspond to discharge zones covered by wetlands. Different flood types require different solutions</t>
  </si>
  <si>
    <t>Journal of Environmental Law and Litigation</t>
  </si>
  <si>
    <t>https://www.scopus.com/inward/record.uri?eid=2-s2.0-85068240789&amp;partnerID=40&amp;md5=1a126a3fd04c43c766979fbb98570508</t>
  </si>
  <si>
    <t>The Niger Delta region of Nigeria has been inundated with oil pollution since the beginning of oil exploitation in the 1960s. The pollution has led to environmental degradation, which has adversely affected the lives of the inhabitants and ruined the local economy of the region. This Article discusses the condition of the Niger Delta environment and its inhabitants from the perspective of intergenerational rights, equity, and justice. It analyzes the role of domestic and foreign legal norms-both statutory and case law-in the quest to balance economic development with environmental sustainability, equity, and justice in Nigeria's petroleum sector. This Article argues that while Nigeria has enacted much legislation to protect the Niger Delta environment and its inhabitants from the impact of petroleum exploitation, the legislation remained largely unenforced until the recent decisions of courts at the domestic, foreign, and subregional levels that moved to enforce the laws. It concludes that these judicial decisions and more recent legislation have unlocked new ways of enforcing intergenerational rights and ensuring environmental justice and equity in the Niger Delta. © 2019 University of Oregan. All rights reserved.</t>
  </si>
  <si>
    <t>2-s2.0-85068240789"</t>
  </si>
  <si>
    <t>Environmental Engineering and Management Journal</t>
  </si>
  <si>
    <t>https://www.scopus.com/inward/record.uri?eid=2-s2.0-85077445613&amp;partnerID=40&amp;md5=a6acde5932f25d56549cb86bd67320f8</t>
  </si>
  <si>
    <t>Soil salinization is becoming worldwide one of the most serious land degradation issues. Seawater intrusion in upper aquifers is responsible for the largest proportion of salt-affected agricultural lands in coastal areas. In this study, the impact of different irrigation strategies on the salinity of a maize cultivated field located in the coastal plain of Ravenna, Italy, was simulated with the FAO AquaCrop model. Model calibration was supported by comparison with remote-sensed and field collected crop data. Ten irrigation scenarios were tested by varying the irrigation season length, the soil moisture threshold for irrigation (TI), and the irrigation depth (ID), in presence or absence of flooded pipe drains (FD) to create a fresh-water lens preventing salt rising from brackish groundwater. FD show to be more effective in countering soil salinization than strategies exclusively based on supplying enough water to obtain salt leaching (SL). The best result, in terms of both fodder maize yield and salinization control, is achieved with the combination: FD immediately after sowing, irrigation inhibited in May, TI set at 50% of soil readily available water (RAW), and ID modulated to exceed field capacity and obtain SL. The worse strategy is revealed to be the non-FD scenario, coupled with no irrigation in May and August, TI ranging between 65 and 80% of soil RAW depletion, and ID set at 50 mm. Even if water-conservative, this approach results in high soil salinization and leads to significant yield decrease. © 2019 Gheorghe Asachi Technical University of Iasi, Romania. All rights reserved.</t>
  </si>
  <si>
    <t>2-s2.0-85077445613"</t>
  </si>
  <si>
    <t>10.1080/22020586.2019.12073098</t>
  </si>
  <si>
    <t>https://www.scopus.com/inward/record.uri?eid=2-s2.0-85138728769&amp;doi=10.1080%2f22020586.2019.12073098&amp;partnerID=40&amp;md5=ed02c2f0f5d54b4c0301d35c96c09b50</t>
  </si>
  <si>
    <t>A regional, high-quality seismic traverse from the coast to oceanic crust across the Bight Basin has been assembled and interpreted in detail, then balanced, restored, decompacted and replaced at paleo-water depths. The Late Cretaceous Ceduna Delta developed above a Late Jurassic-Early Cretaceous rift basin in three stages punctuated by significant pulses of uplift and erosion across areas &gt;100 km wide and with up to 1 km of erosion. The Cenomanian White Pointer delta prograded into deepening water and hence underwent gravitational collapse. This was terminated in the Santonian when the Antarctic margin was pulled out from below, thus supplying heat to a remnant thicker outer margin crust causing doming and erosion. Importantly, this established the saucer-shaped geometry of the Ceduna Delta that persisted throughout its development, so that any hydrocarbons generated in the southern half of the basin would have migrated towards this outer margin high. The Tiger Formation was deposited in shallow water in a full rift basin prior to breakup which was followed by regional thermal subsidence. The Hammerhead delta developed on the newly formed passive margin, but was terminated by another pulse of uplift and erosion, perhaps associated with a Paleogene change in plate motion at the end of the Cretaceous. Finite element modelling of this proposed tectonic evolution will test its validity and predict hydrocarbon generation and migration through time. © 2019, Taylor and Francis. All rights reserved.</t>
  </si>
  <si>
    <t>2-s2.0-85138728769"</t>
  </si>
  <si>
    <t>10.15446/esrj.v23n4.71706</t>
  </si>
  <si>
    <t>https://www.scopus.com/inward/record.uri?eid=2-s2.0-85079127827&amp;doi=10.15446%2fesrj.v23n4.71706&amp;partnerID=40&amp;md5=b750198c6596b60b4f38277158b87367</t>
  </si>
  <si>
    <t>The activation of erosive processes on the slopes of the drainage catchments in the Ecuadorian coastal region represents a serious environmental problem that results in a loss of soil resource with the consequent reduction in agricultural productivity, increasing lack of areas with vegetation, and decreased water quality. These issues increase, among other things, the probability of flooding. The purpose of this research is to zone soil erosion risk in the Manabí province, which is located on the Ecuadorian coast. The methodology is supported by the employment of Geographic Information Technologies (GIT) in order to access and process information of interest, such as: precipitation data with which to calculate the R Factor of the Universal Soil Loss Equation (USLE)</t>
  </si>
  <si>
    <t>https://www.scopus.com/inward/record.uri?eid=2-s2.0-85077219426&amp;partnerID=40&amp;md5=ac33949bc93b265268559d0763cc1cf8</t>
  </si>
  <si>
    <t>Waituna Lagoon, near Invercargill, South Island, New Zealand, is a land-locked freshwater lagoon. It supports a variety of threatened species and is part of the ecologically significant Awarua Wetland Ramsar site. Periodically, the gravel lagoon barrier is manually opened to facilitate drainage of surrounding farmland and flushing of nutrient-rich water, turning the lagoon into an estuarine state until the barrier naturally closes. This report provides an assessment of potential climate change-related impacts on the lagoon, based on existing information. Projected increases in rainfall, freshwater inflows, flood events and inundation of surrounding land over the next several decades are likely to contribute to lower lagoon-bed light levels and higher levels of nutrients and sediment entering the lagoon. Such changes may increase algae growth and inhibit the growth of Ruppia spp., desirable native aquatic grasses. Nutrient and sediment inputs are known drivers of lagoon regime shifts (from a desirable macrophyte (freshwater plants)-dominated state to an undesirable algal-dominated state) and are closely linked to declines in water quality. If freshwater inflows increase as predicted, the lagoon will either need to be opened more frequently or the threshold for opening will need to be raised. This raises issues about land use around the lagoon and the long-term sustainability of the current manual opening regime. With ongoing sea level rise, the boundary of the lagoon is likely to shift landward and the intertidal zone is likely to shrink, which may affect wading birds that forage in the intertidal zone. Due to the complexity of the lagoon system, uncertainties about the trajectories of change in climate and sea level and the responses of the lagoon ecosystem, further research and ongoing monitoring is recommended as well as an adaptative management approach. This could include a variety of strategies for managing the lagoon and its biodiversity under both increasing freshwater inflow and saltwater inundation conditions. © November 2019, Department of Conservation. T.</t>
  </si>
  <si>
    <t>2-s2.0-85077219426"</t>
  </si>
  <si>
    <t>Geopersia</t>
  </si>
  <si>
    <t>10.22059/geope.2018.255122.648378</t>
  </si>
  <si>
    <t>https://www.scopus.com/inward/record.uri?eid=2-s2.0-85069457460&amp;doi=10.22059%2fgeope.2018.255122.648378&amp;partnerID=40&amp;md5=0ef22b983286b5ae503261fb00c7b947</t>
  </si>
  <si>
    <t>Extreme coastal inundation associated with the 2004 Indian Ocean and 1945 Makran tsunamigenic-earthquakes highlight the risk of tsunamis to coastlines of the northern Oman Sea. Foraminifera have been used as indicators of paleotsunamis in the past where allochthonous tests, found in low-energy environments such as in coastal lagoons, ponds, and marshes, indicate marine overwash. In this study, we constrain the modern distributions of foraminifera from coastal Iran so that they may be used to identify and interpret (e.g. assess provenance) paleotsunami deposits in the geologic record. We collected surface sediment samples from sixteen sites within the study area from Chabahar to Gawater Bays on the Makran coast of Iran, selecting locations impacted by the 1945 Makran tsunami. Foraminifera obtained from these locations are dominated by supratidal, intertidal, and subtidal species, with minor abundances of planktic taxa. Samples collected from study locations are characterized by abundances of iron-stained and heavily corroded (e.g. edge rounded and pitted) individuals. Cluster analysis was used to determine three foraminiferal assemblages within the Makran coastal zone: subtidal, intertidal and supratidal. Characterizing modern distributions of foraminifera along the Makran coast of Iran will aid in identifying the provenance of older overwash deposits previously identified in this region. © 2019 University of Tehran.</t>
  </si>
  <si>
    <t>2-s2.0-85069457460"</t>
  </si>
  <si>
    <t>10.2151/jmsj.2019-065</t>
  </si>
  <si>
    <t>https://www.scopus.com/inward/record.uri?eid=2-s2.0-85076096569&amp;doi=10.2151%2fjmsj.2019-065&amp;partnerID=40&amp;md5=baaae357e197559b3ecf82112e33ed42</t>
  </si>
  <si>
    <t>In this study, the climatological characteristics of object-based precipitation systems (OPSs) and moisture development are analyzed over the South China Sea (SCS) during the sharp transition of the summer monsoon onset. The satellite-observed statistics of the OPSs showed that over the 20-day pre-onset period, OPSs of small (&lt; 100 km) to medium size (100 – 300 km) are active over the lands surrounding the SCS. The pre-onset composite mean shows a basin-scale (~ 1000 km) local circulation with anomalous subsidence over the ocean, and ocean convection is mostly suppressed. Over the 20-day post-onset period, large (&gt; 300 km) OPSs develop over the coastal ocean and contribute to over 60 % of the total precipitation. The number of large OPSs observed significantly increases along with the sharp moisture buildup within 10 days after the onset. The moisture budget suggests that the local contribution from convective vertical mixing is the major moisture source during the first pentad after the onset. The relationship between moisture buildup and convection organization is then examined using a set of idealized cloud-resolving model (CRM) experiments, with a land–ocean configuration approximating the SCS basin. The CRM appropriately represents the observed development of coastal convection. In the noshear environment, a strong basin-scale circulation is formed, which suppresses the ocean moisture development. When large-scale vertical wind shear is imposed to represent the changes of large-scale circulation during the onset pentad, organized convection systems are increased over the coastal ocean and propagate toward the open ocean, accompanied by fast ocean moistening within 5 – 10 days. © The Author(s) 2019.</t>
  </si>
  <si>
    <t>2-s2.0-85076096569"</t>
  </si>
  <si>
    <t>Journal of the National Science Foundation of Sri Lanka</t>
  </si>
  <si>
    <t>10.4038/jnsfsr.v47i3.9280</t>
  </si>
  <si>
    <t>https://www.scopus.com/inward/record.uri?eid=2-s2.0-85073733322&amp;doi=10.4038%2fjnsfsr.v47i3.9280&amp;partnerID=40&amp;md5=e3566c23ca82a06f4f79816c7142aa05</t>
  </si>
  <si>
    <t>Many parts of Sri Lanka are vulnerable to extreme rainfall events leading to floods and droughts. This study was focused on a trend analysis of climate extremes derived from daily rainfall records. The daily rainfall data from 13 meteorological stations representing different geographical regions in Sri Lanka for the period 1961-2010 were chosen. The analysis was carried out separately for summer half year (March-August) and winter half year (September-February) to capture the possible changes in two growing seasons, Yala and Maha. Magnitudes of trends were derived using linear regression analysis while the statistical significance was determined using the Mann-Kendall test. Spatial maps were used to study the regional differences in climate extremes. Extreme rainfall events were found to be isolated events without coherent increasing or decreasing trends. However, statistically significant increasing (decreasing) trends were observed for number of dry days (wet days) ranging from 1.1 to 3.1 days/decade in most parts of the island during the summer half year, except for the coastal areas of the dry zone. No increasing or decreasing trends in extremes were observed for the winter half year. Based on the analysis, it was concluded that there is widespread climate change leading to increasing (decreasing) dry days (wet days) during the summer half year receiving rainfall predominantly from the South-West monsoon. However, mixed results were obtained for the winter half year. © 2019, National Science Foundation. All rights reserved.</t>
  </si>
  <si>
    <t>2-s2.0-85073733322"</t>
  </si>
  <si>
    <t>10.1080/19475705.2019.1604573</t>
  </si>
  <si>
    <t>https://www.scopus.com/inward/record.uri?eid=2-s2.0-85069489814&amp;doi=10.1080%2f19475705.2019.1604573&amp;partnerID=40&amp;md5=4c3deb47f17c5643c89844582392ee4c</t>
  </si>
  <si>
    <t>In comprehending flood model results, we performed sensitivity analyses and evaluated how different combinations of digital elevation model (DEM) resolution and Manning’s roughness affect flood maps produced from a 2D hydraulic model. Moreover, we analysed how the estimation of accuracy can further be influenced by the performance measure and the area’s topography. Various combinations of DEM and Manning’s n produced different results, in terms of quantified performance in relation to actual flood extent and the generated flood boundaries. High-resolution DEMs performed better with higher Manning’s n while lower n values were better for lower resolution DEMs. Furthermore, although lower resolution DEMs (25 and 50 m) received higher quantified performances, there are more discrepancies in the flood maps and water surface elevations (WSE) produced by them. The current statistical estimators of model performance do not necessarily provide an accurate estimate of which combination of DEM resolution and roughness are more suitable for application to modelling. Different statistical estimates have different assumptions, which can affect the model selection. Therefore, a more holistic approach towards model selection should be adopted that gives equal importance to statistical estimators, as well as the quality of flood inundation extents. © 2019, © 2019 The Author(s). Published by Informa UK Limited Trading as Taylor &amp; Francis Group.</t>
  </si>
  <si>
    <t>2-s2.0-85069489814"</t>
  </si>
  <si>
    <t>10.3390/rs11010025</t>
  </si>
  <si>
    <t>https://www.scopus.com/inward/record.uri?eid=2-s2.0-85059940333&amp;doi=10.3390%2frs11010025&amp;partnerID=40&amp;md5=a64c47f3c8b89fb64b5d88caa4b0b87f</t>
  </si>
  <si>
    <t>The number of reservoirs is rapidly increasing owing to the growth of the world's economy and related energy and water needs. Yet, for the vast majority of reservoirs around the world, their locations and related information, especially for newly dammed reservoirs, are not readily available due to financial, political, or legal considerations. This study proposes an automated method of identifying newly dammed reservoirs from time series of MODIS-derived NDWI (normalized difference water index) images. Its main idea lies in the detection of abrupt changes in the NDWI time series that are associated with land-to-water conversion due to the reservoir impoundment. The proposed method is tested in the upper reach of the Yellow River that is severely regulated by constructed reservoirs. Our results show that five newly dammed reservoirs were identified in the test area during 2000-2018. Validated against high-resolution Google Earth imagery, our method is effective to determine both locations of the emerging medium-size reservoirs and the timing of their initial water impoundments. Such information then allows for a refined calculation of the reservoir inundation extents and storage capacities through the combination of higher-resolution Landsat imagery and SRTM DEM. The comparison of our estimated reservoir areas and capacities against documented information further indicates that the integration of multi-mission remote sensing data may provide useful information for understanding reservoir operations and impacts on river discharges. Our method also demonstrates a potential for regional or global inventory of emerging reservoirs, which is crucial to assessing human impacts on river systems and the global water cycle. © 2018 by the authors.</t>
  </si>
  <si>
    <t>2-s2.0-85059940333"</t>
  </si>
  <si>
    <t>10.1029/2018JC014865</t>
  </si>
  <si>
    <t>https://www.scopus.com/inward/record.uri?eid=2-s2.0-85071055003&amp;doi=10.1029%2f2018JC014865&amp;partnerID=40&amp;md5=5c8bb3c6830ea614486681701543216c</t>
  </si>
  <si>
    <t>This study investigates the capacity of a Spartina alterniflora meadow to attenuate waves during storm events based on field observations in the Chesapeake Bay. These observations reveal that environmental conditions including the ratio between water depth and plant height (hr), the ratio between wave height (HS) and water depth, and current directions impact the wave height decay. Further, we present empirical representations of the bulk drag coefficient (Cd) as a function of the Keulegan-Carpenter (KC) and Reynolds (Re) numbers, and the hr ratio. When applying the distinction between current directions, this representation exhibits better agreement when using the Re (ρ2 = 54%) and hr (ρ2 = 77%) than with the KC (ρ2 = 39%). Furthermore, we show that the representation of Cd can be improved by using a hr-based modified Re and KC formulation, yielding correlations of 76% (modified Re) and 78% (modified KC). The proposed expressions are validated during another storm and predicted HS computed within the marsh results in a root-mean-square error of 0.014 m, overestimating the largest HS (0.22 m) by 18%. Finally, these expressions are applied to several hypothetical sea conditions. Under similar vegetation characteristics, HS of 1.55 and 0.8 m (close to a 10,000- and 100-year recurrence interval storm) are attenuated by 50% and 70%, respectively, at 250 m from the marsh edge. This study provides evidence that validates the saltmarsh wave attenuation capacity during storms, quantifies this attenuation, and supports the transferability of the existing formulas in the literature across similar coastal marshes. ©2019. American Geophysical Union. All Rights Reserved.</t>
  </si>
  <si>
    <t>2-s2.0-85071055003"</t>
  </si>
  <si>
    <t>10.1080/00330124.2018.1455524</t>
  </si>
  <si>
    <t>https://www.scopus.com/inward/record.uri?eid=2-s2.0-85047145226&amp;doi=10.1080%2f00330124.2018.1455524&amp;partnerID=40&amp;md5=91ea57c40b9b4a656a10de5ca78a8af9</t>
  </si>
  <si>
    <t>Research within geography and related disciplines has directed much attention to the coupled interactions between social and ecological systems. These studies have usefully analyzed the multifaceted, temporal, and scalar dimensions of human–environment interactions and how future environmental change will continue to challenge human resource needs. Political ecology research has also made contributions in this regard, particularly by emphasizing livelihood systems, impacts of conservation and development, agricultural production, and environmental governance. Yet although political ecology research has contributed to socioecological systems scholarship, much of this work has been situated within dryland environments or marine ecosystems that have particular biophysical features. Comparatively, wetland environments that experience dynamic flooding regimes warrant further attention from political ecology. This article engages with the findings from an ongoing research project that is evaluating the impacts of flooding variability for rural livelihoods in the Okavango Delta of Botswana. We outline some of the main findings from this work by concentrating on two themes central to political ecology: access and governance. We conclude by arguing that the Okavango Delta should be understood as a hydrosocial waterscape that encompasses a variety of socioecological relationships within the region, as well as the power relations operating at a variety of scales that both produce and govern them. © 2018, © 2018 by American Association of Geographers.</t>
  </si>
  <si>
    <t>2-s2.0-85047145226"</t>
  </si>
  <si>
    <t>10.1080/00330124.2018.1501709</t>
  </si>
  <si>
    <t>https://www.scopus.com/inward/record.uri?eid=2-s2.0-85058412576&amp;doi=10.1080%2f00330124.2018.1501709&amp;partnerID=40&amp;md5=cd074a270c0534106b9c269cabd71411</t>
  </si>
  <si>
    <t>Integral to the geographic discipline are cross-cultural analyses, many of which use languages outside of the researcher’s own. There are few analyses, however, that address issues of translation that are inherently geographic</t>
  </si>
  <si>
    <t>10.3390/rs11172034</t>
  </si>
  <si>
    <t>https://www.scopus.com/inward/record.uri?eid=2-s2.0-85071989591&amp;doi=10.3390%2frs11172034&amp;partnerID=40&amp;md5=a51d907343aef9c12d3b5971f1a6a42e</t>
  </si>
  <si>
    <t>The Red River Delta (RRD), including 11 provinces, is one of the four largest rice-growing areas in Vietnam. Tropical storms often occur and cause serious flooding from May to October annually in the RRD, which strongly affects the productivity of the summer-autumn rice, one of two main rice crops. Therefore, the rapid assessment of damaged rice area by flooding inundation is critical for farmers and the government. In this study, we proposed a methodology for quick estimation of rice areas damaged by flooding using Sentinel 1A (S1A) imagery. Firstly, the latest rice map was produced. Then, a Near Real-Time (NRT) flood map, which is estimated from S1A images at the closest time to a flooding event, was generated by excluding the yearly permanent map from the temporal water map. Our experiment was conducted for the assessment of damaged rice area by flooding from the tropical storm named Son-Tinh, which happened on 19-21 July 2018. A Support Vector Machine (SVM) classifier was applied on time-series of S1A VV with VH data (VVVH) to obtain a rice map for the winter-spring season of 2018 with 90.5% Overall Accuracy (OA) and 2.37% difference (12,544 ha) from the General Statistics Office (GSO) of Vietnam's reports for the whole region. Then, the Otsu thresholding method was applied for permanent water surface extraction and NRT flood mapping. The estimated damaged area was compared to available provincial and communal statistics for validation and further analysis. Right after the Son-Tinh storm, the estimation of inundated rice was approximately 50% of the total rice area in the RRD (271,092 ha). As a result, rice damage level strongly corresponds to the inundation period. In addition, the rice-flooding frequency map over the RRD was estimated to show rice fields suffering a high risk of flooding during the rainy season in the RRD. Our experiment's results highlight the potential of using Synthetic-Aperture Radar (SAR) imagery for fast monitoring and assessment of paddy rice areas affected by flooding at a large scale in the RRD region. © 2019 by the authors.</t>
  </si>
  <si>
    <t>2-s2.0-85071989591"</t>
  </si>
  <si>
    <t>10.3390/rs11020128</t>
  </si>
  <si>
    <t>https://www.scopus.com/inward/record.uri?eid=2-s2.0-85060679688&amp;doi=10.3390%2frs11020128&amp;partnerID=40&amp;md5=6e32df6831a4bca3114312f9b397dc33</t>
  </si>
  <si>
    <t>Soil salinity caused by climate change associated with rising sea level is considered as one of the most severe natural hazards that has a negative effect on agricultural activities in the coastal areas in most tropical climates. This issue has become more severe and increasingly occurred in the Mekong River Delta of Vietnam. The main objective of this work is to map soil salinity intrusion in Ben Tre province located on the Mekong River Delta of Vietnam using the Sentinel-1 Synthetic Aperture Radar (SAR) C-band data combined with five state-of-the-art machine learning models, Multilayer Perceptron Neural Networks (MLP-NN), Radial Basis Function Neural Networks (RBF-NN), Gaussian Processes (GP), Support Vector Regression (SVR), and Random Forests (RF). For this purpose, 63 soil samples were collected during the field survey conducted from 4-6 April 2018 corresponding to the Sentinel-1 SAR imagery. The performance of the five models was assessed and compared using the root-mean-square error (RMSE), the mean absolute error (MAE), and the correlation coefficient (r). The results revealed that the GP model yielded the highest prediction performance (RMSE = 2.885, MAE = 1.897, and r = 0.808) and outperformed the other machine learning models. We conclude that the advanced machine learning models can be used for mapping soil salinity in the Delta areas</t>
  </si>
  <si>
    <t>10.2112/JCOASTRES-D-17-00223.1</t>
  </si>
  <si>
    <t>https://www.scopus.com/inward/record.uri?eid=2-s2.0-85060911472&amp;doi=10.2112%2fJCOASTRES-D-17-00223.1&amp;partnerID=40&amp;md5=8cbdff02980c4eebb25af75b3bd757f6</t>
  </si>
  <si>
    <t>In order to better understand the efficacy of efforts to educate the public about the risks of hurricane storm surge, links on the local National Weather Service (NWS) website and various media outlets were used to recruit 575 Charleston-area residents to complete two anonymous internet-based surveys. Most participants knew that storm surge was the primary risk from a hurricane in low-lying areas, particularly younger, new residents with less prior experience with hurricanes. One in five participants indicated that the NWS always or usually overstates the dangers of hurricanes, although most participants actually overestimated the accuracy of NWS track forecasts. Many users of a hurricane storm-tide visualization model anticipated more storm surge than they would actually receive in various hurricane scenarios. After model usage, there was a noted increase in user understanding of the importance of landfall location on the amount of storm surge, particularly among women and older participants. Comparing surveys completed before and after model usage, there was no change in the number of users that claimed they would evacuate for a hurricane scenario that produced a small storm tide, but there was a substantial increase in the number that claimed they would evacuate for a hurricane scenario that produced a large storm tide, particularly among younger and new residents. A quarter of users stated they would have reconsidered living in their current home if they had investigated the model prior to their move. Thus, significant evidence exists to demonstrate the effectiveness of this type of model in improving risk awareness among users. © 2019 Coastal Education and Research Foundation, Inc.</t>
  </si>
  <si>
    <t>2-s2.0-85060911472"</t>
  </si>
  <si>
    <t>10.1080/11104929.2019.1630058</t>
  </si>
  <si>
    <t>https://www.scopus.com/inward/record.uri?eid=2-s2.0-85088540416&amp;doi=10.1080%2f11104929.2019.1630058&amp;partnerID=40&amp;md5=99aea20807b06a0ca9c6832eb665bbef</t>
  </si>
  <si>
    <t>In Egypt, most of the residential areas lay on cohesive soil (clay) in the Nile valley and Delta and comprises of extensive irrigation network. Several regulators and barrages are located on the irrigation network. One of the sides effects of these regulators is the rising of water levels in the upstream causing the groundwater levels rising in the residential areas. The dewatering process becomes urgent in such areas to prevent the buildings from deterioration. Dewatering process causes an increase in effective stress and consolidation settlement. Esna city was selected to be the area of interest. This area has suffered from groundwater rising since the construction of the new Esna barrage in 1995 and due to the high surface water levels of some irrigation canals such as Ramady canal. The objective of this research is to assess the impact of different operating scenarios on soil subsidence and groundwater, and reaching the optimum scenario. Two maps were interpolated for the expected subsidence and desirable water levels from the most suitable scenario. © 2019, © 2019 The Author(s). Published by Informa UK Limited, trading as Taylor &amp; Francis Group.</t>
  </si>
  <si>
    <t>2-s2.0-85088540416"</t>
  </si>
  <si>
    <t>10.1029/2018JC014695</t>
  </si>
  <si>
    <t>https://www.scopus.com/inward/record.uri?eid=2-s2.0-85060821799&amp;doi=10.1029%2f2018JC014695&amp;partnerID=40&amp;md5=59722dd190ef5543ac589dd24c1c76c8</t>
  </si>
  <si>
    <t>The lunar nodal cycle, produced by the varying declination of the Moon over a period of 18.61 years, drives changes in tidal amplitude globally. However, constraining the range of changes in tidal amplitude that can be expected over a nodal cycle from real observations is rarely considered for coastal hazard planning. In this study, we use hourly tide gauge observations with record lengths &gt;19 years from 574 stations distributed worldwide to examine the contribution of the nodal modulation to monthly high water levels. Our results show that the influence of the lunar nodal cycle on high water levels is largest at tide gauge stations located in the Gulf of Tonkin, English Channel, and Bristol Channel, amounting up to 30 cm in range, suggesting that in the coming decades the impact of the nodal cycle on high water levels in those regions could be greater than that of global mean sea level rise, which is up to 17 cm by 2030, according to the Intergovernmental Panel on Climate Change fifth assessment report projections. We also examine the phase of nodal modulation and show that the estimated phases exhibit two clusters: one cluster (111° ± 10°) corresponds with the locations having a diurnal form of tides, whereas the other cluster (−59° ± 11°) corresponds with the locations exhibiting a semidiurnal form of tides. Nodal modulation in the diurnal and semidiurnal locations will peak again in 2025 and 2034, respectively, resulting in enhanced potential for coastal hazard in the respective regions. ©2019. The Authors.</t>
  </si>
  <si>
    <t>2-s2.0-85060821799"</t>
  </si>
  <si>
    <t>10.1080/17445647.2019.1604438</t>
  </si>
  <si>
    <t>https://www.scopus.com/inward/record.uri?eid=2-s2.0-85065650883&amp;doi=10.1080%2f17445647.2019.1604438&amp;partnerID=40&amp;md5=96977acdd8f3cf81729fdd79e8f05c09</t>
  </si>
  <si>
    <t>In this article we present a detailed litho-structural map of the Oltrepo Pavese, a sector of the Northern Apennines, Southern Lombardy, Italy. Lithology and geological structures are an important basis for different disciplines of Earth Sciences. In particular, for the assessment of earth surface processes such as soil erosion, mass movements, flooding, etc. The Oltrepo Pavese is characterised by a complex geology and related tectonic settings. In this study, we conducted a comprehensive lithological mapping approach considering existing geological maps, and detailed field surveys. The lithotypes have been subdivided into 11 classes based on the dominant outcropping lithologies. Integrating bibliographic data and a detailed Digital Terrain Analysis of a high-resolution DTM (5 m) we detected faults, folds and tectonic lineaments in the study area. The final result is represented by a litho-structural map of the Oltrepo Pavese-area, consisting in two shape files elaborated in an open source GIS environment. © 2019 The Author(s).</t>
  </si>
  <si>
    <t>2-s2.0-85065650883"</t>
  </si>
  <si>
    <t>10.1007/s10584-018-2191-5</t>
  </si>
  <si>
    <t>https://www.scopus.com/inward/record.uri?eid=2-s2.0-85046537032&amp;doi=10.1007%2fs10584-018-2191-5&amp;partnerID=40&amp;md5=db17d31888e1cd4996dcd3a468f75a9b</t>
  </si>
  <si>
    <t>As sea level rises and storm frequency and severity increase, communities worldwide are investing in coastline management projects to maintain beach widths and dunes that support recreational amenities and mitigate storm risks. These projects are costly, and differences in property owners’ returns from maintaining wide beaches will influence community-level support for investment in shoreline defense. One way to account for these differences is by funding the project through a tax instrument that imposes the heaviest cost on residents who benefit most from beach nourishment. Some communities along the US east coast have adopted this approach. We use an agent-based model to evaluate how the imposition of project costs affects coastline management over the long-term. Charging higher tax rates on oceanfront properties reduces desired beach width among those owners but increases desired width for owners of inland properties. The aggregate impact on beach width depends on coastline shape and development patterns that determine the balance between these two groups, heterogeneity of beach width preferences and climate change beliefs, and levels of participation in local politics. Overall, requiring property owners who benefit most from beach nourishment to bear the highest cost results in wider beaches. The result suggests that delineating tax rates to account for unequal benefits of local public goods across taxpayers could facilitate local investment in climate change adaptation. © 2018, Springer Science+Business Media B.V., part of Springer Nature.</t>
  </si>
  <si>
    <t>2-s2.0-85046537032"</t>
  </si>
  <si>
    <t>10.3390/ijgi8010037</t>
  </si>
  <si>
    <t>https://www.scopus.com/inward/record.uri?eid=2-s2.0-85061131768&amp;doi=10.3390%2fijgi8010037&amp;partnerID=40&amp;md5=52ed22a5e6da1d2459f82b421f1c4001</t>
  </si>
  <si>
    <t>As fluvial pollution may endanger the quality of water and solids transported by rivers, mapping and evaluation of historically polluted fluvial sediments is an urgent topic. The Ploučnice River and its floodplain were polluted by local uranium mining from 1971-1989. We have studied this river since 2013 using a combination of diverse methods, including geoinformatics, to identify pollution hotspots in floodplains and to evaluate the potential for future reworking. Archival information on pollution history and past flooding was collected to understand floodplain dynamics and pollution heterogeneity. Subsequently, a digital terrain model based on laser scanning data and data analysis were used to identify the sites with river channel shifts. Finally, non-invasive geochemical mapping was employed, using portable X-ray fluorescence and gamma spectrometers. The resulting datasets were processed with geostatistical tools. One of the main outputs of the study was a detailed map of pollution distribution in the floodplain. The results showed a relationship between polluted sediment deposition, past channel shifts and floodplain development. We found that increased concentration of pollution occurred mainly in the cut-off meanders and lateral channel deposits from the mining period, the latter in danger of reworking (reconnecting to the river) in the coming decades. © 2019 by the authors.</t>
  </si>
  <si>
    <t>2-s2.0-85061131768"</t>
  </si>
  <si>
    <t>10.3133/sir20185125</t>
  </si>
  <si>
    <t>https://www.scopus.com/inward/record.uri?eid=2-s2.0-85097989210&amp;doi=10.3133%2fsir20185125&amp;partnerID=40&amp;md5=91329b8f1af5666d6ab47b2d1699725a</t>
  </si>
  <si>
    <t>The U.S. Geological Survey, in cooperation with Broward County Environmental Planning and Resilience Division, has developed county-scale and local-scale groundwater/surface-water models to study the potential for increased inundation and flooding in eastern Broward County that are due to changes in future climate and sea-level rise. These models were constructed by using MODFLOW 2005, with the surface-water system represented by using the Surface-Water Routing process and a new Urban Runoff process. The local-scale model allowed the use of finer grid resolution in a selected area of the county, whereas the county-scale model provided boundary conditions for the local-scale model and insight into the hydrologic behavior of the larger system. The aquifer layering, properties, and boundaries relied heavily on a previous three-dimensional variable-density solute-transport model of the same area developed by the U.S. Geological Survey. The surface-water system within these new models actively simulates a part of the extensive canal network by using level-pool routing and active structure operations within the Surface-Water Routing process. These models were used to simulate a historical base-case period (1990–99) by using measured data and regional climate model rainfall and potential evapotranspiration output. The simulated flow and water-level results generally captured the behavior of the hydrologic system. A future period (2060–69) was simulated by using regional climate model rainfall and potential evapotranspiration output representing a wetter and drier future and low, intermediate, and high sea-level rise projections. The results were used to evaluate the potential effects on the surface-water drainage system, coastal-structure operation, and wet-season groundwater levels.Future period simulations using the county-scale model indicate that (1) the effects of the changing climate and sea level are much more evident in eastern and coastal areas of Broward County compared to western areas, with increases in groundwater level nearly equivalent to sea-level rise</t>
  </si>
  <si>
    <t>10.5194/os-15-61-2019</t>
  </si>
  <si>
    <t>https://www.scopus.com/inward/record.uri?eid=2-s2.0-85060944405&amp;doi=10.5194%2fos-15-61-2019&amp;partnerID=40&amp;md5=b7fde438cf60d2e74314ced198c4c01b</t>
  </si>
  <si>
    <t>Although tide gauges are the primary source of data used to calculate multi-decadal- to century-scale rates of relative sea-level change, we question the usefulness of tide-gauge data in rapidly subsiding low-elevation coastal zones (LECZs). Tide gauges measure relative sea-level rise (RSLR) with respect to the base of associated benchmarks. Focusing on coastal Louisiana, the largest LECZ in the United States, we find that these benchmarks (&lt;span classCombining double low line""inline-formula""&gt;&lt;i&gt;n&lt;/i&gt;Combining double low line35&lt;/span&gt;) are anchored an average of 21.5&amp;thinsp</t>
  </si>
  <si>
    <t>10.3390/rs11020131</t>
  </si>
  <si>
    <t>https://www.scopus.com/inward/record.uri?eid=2-s2.0-85060685948&amp;doi=10.3390%2frs11020131&amp;partnerID=40&amp;md5=fb8b3822490dad03e4b248e7e35afedc</t>
  </si>
  <si>
    <t>Marine-terminating glaciers dominate the evolution of the Greenland Ice Sheet (GrIS) and its contribution to sea-level rise. Widespread glacier acceleration has been linked to the warming of ocean waters around the periphery of Greenland but a lack of information on the bathymetry of the continental shelf and glacial fjords has limited our ability to understand how subsurface, warm, salty ocean waters of Atlantic origin (AW) reach the glaciers and melt them from below. Here, we employ high-resolution, airborne gravity data (AIRGrav) in combination with multibeam echo sounding (MBES) data, to infer the bathymetry of the coastal areas of Northwest Greenland for NASA's Ocean Melting Greenland (OMG) mission. High-resolution, AIRGrav data acquired on a 2 km spacing, 150 m ground clearance, with 1.5 mGal crossover error, is inverted in three dimensions to map the bathymetry. To constrain the inversion away from MBES data, we compare two methods: one based on the Direct Current (DC) shift of the gravity field (absolute minus observed gravity) and another based on the density of the bedrock. We evaluate and compare the two methods in areas with complete MBES coverage. We find the lowest standard error in bed elevation (±60 m) using the DC shift method. When applied to the entire coast of Northwest Greenland, the three-dimensional inversion reveals a complex network of connected sea bed channels, not known previously, that provide natural and varied pathways for AW to reach the glaciers across the continental shelf. The study demonstrates that the gravity approach offers an efficient and practical alternative to extensive ship mapping in ice-filled waters to obtain information critical to understanding and modeling ice-ocean interaction along ice sheet margins. © 2019 by the authors.</t>
  </si>
  <si>
    <t>2-s2.0-85060685948"</t>
  </si>
  <si>
    <t>10.3390/geosciences9070323</t>
  </si>
  <si>
    <t>https://www.scopus.com/inward/record.uri?eid=2-s2.0-85071247538&amp;doi=10.3390%2fgeosciences9070323&amp;partnerID=40&amp;md5=f0389f6ad73a4f17cda7927ccc47c5d6</t>
  </si>
  <si>
    <t>Digital elevation model (DEM) has been frequently used for the reduction and management of flood risk. Various classification methods have been developed to extract DEM from point clouds. However, the accuracy and computational efficiency need to be improved. The objectives of this study were as follows: (1) to determine the suitability of a new method to produce DEM from unmanned aerial vehicle (UAV) and light detection and ranging (LiDAR) data, using a raw point cloud classification and ground point filtering based on deep learning and neural networks (NN)</t>
  </si>
  <si>
    <t>10.1002/hyp.13320</t>
  </si>
  <si>
    <t>https://www.scopus.com/inward/record.uri?eid=2-s2.0-85057715610&amp;doi=10.1002%2fhyp.13320&amp;partnerID=40&amp;md5=c5acfb92257daea6187e3f65ac52babf</t>
  </si>
  <si>
    <t>The hydrology of the San Francisco Bay-Delta estuary (the Delta) has been significantly modified over the past 150 years to serve a variety of human needs for water supply and food production, albeit with adverse ecological impacts. These adverse impacts, in concert with evolving societal values, have motivated change in the estuary's water management to promote ecosystem restoration goals while continuing to support human uses. Understanding historical flow patterns, as well as the environmental functions provided by these flow patterns, is critical to restoration planning. Building upon previous work on outflow trends from the Delta to San Francisco Bay, this paper evaluates historical trends in key interior Delta flows spanning nine decades (1922–2016) and presents an attribution of these trends to various anthropogenic drivers. We reconstructed historical time series records at four key locations in the interior of the Delta</t>
  </si>
  <si>
    <t>10.1016/j.scitotenv.2018.07.353</t>
  </si>
  <si>
    <t>https://www.scopus.com/inward/record.uri?eid=2-s2.0-85051145506&amp;doi=10.1016%2fj.scitotenv.2018.07.353&amp;partnerID=40&amp;md5=819ee138655e4e9a5e313ad5d82b619c</t>
  </si>
  <si>
    <t>Floodplains perform several important ecosystem services, including storing water during precipitation events and reducing peak flows, thus reducing flooding of downstream communities. Understanding the relationship between flood inundation and floodplains is critical for ecosystem and community health and well-being, as well as targeting floodplain and riparian restoration. Many communities in the United States, particularly those in rural areas, lack inundation maps due to the high cost of flood modeling. Only 60% of the conterminous United States has Flood Insurance Rate Maps (FIRMs) through the U.S. Federal Emergency Management Agency (FEMA). We developed a 30-meter resolution flood inundation map of the conterminous United States (CONUS) using random forest classification to fill the gaps in the FIRM. Input datasets included digital elevation model (DEM)-derived variables, flood-related soil characteristics, and land cover. The existing FIRM 100-year floodplains, called the Special Flood Hazard Area (SHFA), were used to train and test the random forests for fluvial and coastal flooding. Models were developed for each hydrologic unit code level four (HUC-4) watershed and each 30-meter pixel in the CONUS was classified as floodplain or non-floodplain. The most important variables were DEM-derivatives and flood-based soil characteristics. Models captured 79% of the SFHA in the CONUS. The overall F1 score, which balances precision and recall, was 0.78. Performance varied geographically, exceeding the CONUS scores in temperate and coastal watersheds but were less robust in the arid southwest. The models also consistently identified headwater floodplains not present in the SFHA, lowering performance measures but providing critical information missing in many low-order stream systems. The performance of the random forest models demonstrates the method's ability to successfully fill in the remaining unmapped floodplains in the CONUS, while using only publicly available data and open source software. © 2018</t>
  </si>
  <si>
    <t>2-s2.0-85051145506"</t>
  </si>
  <si>
    <t>International Journal of Global Warming</t>
  </si>
  <si>
    <t>10.1504/IJGW.2019.101093</t>
  </si>
  <si>
    <t>https://www.scopus.com/inward/record.uri?eid=2-s2.0-85069725484&amp;doi=10.1504%2fIJGW.2019.101093&amp;partnerID=40&amp;md5=d0640a5ac2171b9d62ebf79c5c1f27a5</t>
  </si>
  <si>
    <t>Sea level rise is becoming a threat to the coastal areas, and a number of coastal cities will face the risk of sea level rise in the near future (2050-2100). However, adaptation strategies for coastal areas, especially of Turkey, are lacking. This study aims to construct a general framework for denoting impacts of sea level rise due to climate change in coastal cities and to propose adaptation strategies against these effects. It evaluates different aspects and scales, with focus on geographical/morphological, administrative and spatial/functional aspects and global, regional, national, urban and architectural scales. The discussion on the coastal areas is elaborated through the case of Turkey. Figured out by the related literature on coastal cities and elaborated through the case of Turkey, this comprehensive framework is intended to be used also for different coastal cities having a risk of sea level rise. © 2019 Inderscience Publishers. All rights reserved.</t>
  </si>
  <si>
    <t>2-s2.0-85069725484"</t>
  </si>
  <si>
    <t>10.5194/nhess-19-53-2019</t>
  </si>
  <si>
    <t>https://www.scopus.com/inward/record.uri?eid=2-s2.0-85059896017&amp;doi=10.5194%2fnhess-19-53-2019&amp;partnerID=40&amp;md5=bfdcceec6e55aeb5955360375edde3f7</t>
  </si>
  <si>
    <t>Landslides and floods, particularly flash floods, occurred recently in many Mediterranean catchments as a consequence of heavy rainfall events, causing damage and sometimes casualties. The high hazard is often associated with high vulnerability deriving from intense urbanization, in particular along the coastline where streams are habitually culverted. The necessary risk mitigation strategies should be applied at the catchment scale with a holistic approach, avoiding spot interventions. In the present work, a high-risk area, hit in the past by several floods and concurrent superficial landslides due to extremely localized and intense rain events, has been studied. A total of 21 small catchments have been identified: only some of them have been hit by extremely damaging past events, but all lie in the intense-rain high-hazard area and are strongly urbanized in the lower coastal zone. The question is what would happen if an intense rain event should strike one of the not previously hit catchments</t>
  </si>
  <si>
    <t>Projections</t>
  </si>
  <si>
    <t>10.1162/00c13b77.765f84a4</t>
  </si>
  <si>
    <t>https://www.scopus.com/inward/record.uri?eid=2-s2.0-85147858798&amp;doi=10.1162%2f00c13b77.765f84a4&amp;partnerID=40&amp;md5=118a835cc10013e47b399bcc645faaad</t>
  </si>
  <si>
    <t>Recently, the Bangkok Metropolitan Administration, real estate developers, and the national military government of the Kingdom of Thailand have rediscovered their interest in Bangkok's Chao Phraya riverfront. In 2015, plans surfaced to build a bike lane next to the river to create public space and to enhance the flood protection of the delta capital. Quickly, however, environmental and social activists mobilized against the plan's negative ecological and social impacts. In this paper, I draw on assemblage theory to focus on the practices of two environmental NGOs. I discuss their use of social media, socio-material artifacts, and subversive events to create space for alternative planning proposals. The particular theoretical assemblage perspective is chosen to attend to the materiality and partial agency of non-human actants, such as the river itself and the objects used by the NGOs to mount resistance. © 2019 Authors. All rights reserved.</t>
  </si>
  <si>
    <t>2-s2.0-85147858798"</t>
  </si>
  <si>
    <t>10.1080/24749508.2018.1525670</t>
  </si>
  <si>
    <t>https://www.scopus.com/inward/record.uri?eid=2-s2.0-85078722684&amp;doi=10.1080%2f24749508.2018.1525670&amp;partnerID=40&amp;md5=99e2b59a2a900bfacbfd356c9759cdb9</t>
  </si>
  <si>
    <t>The present study helps to understand the relation between the different morphometric parameters to delineate the drainage characteristics of the Ghaghghar River Basin (GRB), Son Valley, India. Shuttle Radar Topographic Mission (SRTM) data were used to prepare the Digital Elevation Model (DEM), Aspect, Drainage, and Slope maps by using ArcGIS 10 software. The Ghaghghar River is third-order stream that exhibits dendritic to sub-dendritic pattern. The trails drainage patterns are also observed in some areas of the basin which may be due to the effect of regional tectonics. The mean bifurcation ratio is 5.1 showing normal basin which is somehow controlled by structural disturbances. High bifurcation ratio (&gt;10) determines that the region is subjected to strong structural control on the drainage. Drainage density (0.36) shows very coarse drainage texture also having positive correlation with stream frequency. The elongation ratio is 0.64 along with circulatory ratio (0.6) shows elongated nature of the basin. The low values of drainage density and stream frequency imply that surface run-off is not quickly removed from the basin, making it susceptible to flooding and gully have very little effect on the extent to which the surface has been lowered by agents of denudation. © 2018 The Author(s). Published by Informa UK Limited, trading as Taylor &amp; Francis Group.</t>
  </si>
  <si>
    <t>2-s2.0-85078722684"</t>
  </si>
  <si>
    <t>10.26471/cjees/2019/014/076</t>
  </si>
  <si>
    <t>https://www.scopus.com/inward/record.uri?eid=2-s2.0-85059909797&amp;doi=10.26471%2fcjees%2f2019%2f014%2f076&amp;partnerID=40&amp;md5=c7bf4a63999b044e80bad48d41aa66b6</t>
  </si>
  <si>
    <t>The downstream area of the Yellow River is a suspended river and has constantly threatened the security of Kaifeng city. The Yellow River is one of the main forces driving the geomorphological characteristics evolution of Kaifeng city. Recent developments in unmanned aerial vehicle remote sensing system (UAVRSS) technology mean that research can now include both macroscopic and microscopic remotely sensed data. This paper utilized a digital elevation model (DEM) obtained using UAVRSS technology and evaluated the DEM and digital orthophoto map (DOM) of a given transect to analyze the geomorphological characteristics from the macroscopic and microscopic perspectives. Results of this research show that: the surface elevation near the Iron Pagoda is 88.44 m, the spire elevation is 143.618 m and the height is 55.183 m. The downstream area of the Yellow River in the Kaifeng city area is a typical suspended river. The surface elevation rises from 88.44m in Kaifeng city to 105 m near the Yellow River levee, while the elevation of the Yellow River is 92.25 m. The Yellow River is about 4 m above Kaifeng city and the river embankment is 16.56 m above the city. On a macro level, the transect elevation gradually decreases from north to south, which exhibits a stepwise pattern called the Four Typical Ladders. On a micro level, the most geomorphological changes were seen in the North Wall, the city-protection dike and the embankment. Those drastic changes were mainly influenced by the Yellow River floods, three major defense projects, and other human activities. The Yellow River remains the major of safety hazard to Kaifeng's steady and healthy development. Communities in Kaifeng city need to take a more active role in safeguarding their security and continuously aiding in flood control by recognizing the importance of major local defense projects. © 2019 Carpathian Journal of Earth and Environmental Sciences.</t>
  </si>
  <si>
    <t>2-s2.0-85059909797"</t>
  </si>
  <si>
    <t>10.1016/j.gloplacha.2018.11.003</t>
  </si>
  <si>
    <t>https://www.scopus.com/inward/record.uri?eid=2-s2.0-85056968645&amp;doi=10.1016%2fj.gloplacha.2018.11.003&amp;partnerID=40&amp;md5=18cd7f9ce98571ab1b1ac68506d79b3e</t>
  </si>
  <si>
    <t>The Earth's cryosphere represents a huge climate-sensitive carbon reservoir capable of releasing carbon dioxide (CO2) and methane (CH4) from permafrost soils or gas reservoirs capped by permafrost and ice caps upon rising global temperatures. Carbon release from these reservoirs has the potential to further accelerate global warming. Present day cryosphere demise is a focus of scientific research. The potential role of cryosphere carbon reservoirs in Mesozoic climate perturbations is even lesser known and currently underinvestigated. In contrast to previous views of a constantly warm Early Jurassic period, virtually lacking a cryosphere, recent studies have identified icehouse conditions for this time interval. Following these icehouse conditions, global warming occurred during the early Toarcian (~183 Ma) and was accompanied by a major carbon cycle anomaly as manifested in recurring negative carbon isotope excursions (CIEs). We propose that an initially volcanic-driven gentle rise of atmospheric temperature in the Early Toarcian triggered a melt-down of Earth's cryosphere which during the preceding Pliensbachian had expanded to the mid-latitudes and thus was highly vulnerable to warming. The rapid release of greenhouse gases, mainly as 13C-depleted CH4, or its oxidation product CO2, is recorded in the carbon isotope ratios of sedimentary organic matter and carbonates. Toarcian sediments display a series of orbitally-forced negative CIEs characterized by a frequency shift from eccentricity to obliquity cycles comparable to Pleistocene climate rhythms. This pattern is explained by a self-sustaining destabilization of labile cryosphere carbon reservoirs which started at mid-latitudes where eccentricity is most effective and then rhythmically progressed poleward to latitudes where obliquity dominates. The hitherto underestimated presence of a temperature-sensitive Pliensbachian cryosphere constituted an essential precondition for the early Toarcian climate change and its associated sea-level rise. The Pliensbachian cooling had transferred water into the terrestrial cryosphere causing a severe sea-level fall. Transgressive pulses at the Pliensbachian-Toarcian boundary and in the early Toarcian occurred concomitant to rising global temperatures and resulted from the meltdown of continental ice caps. This ice-volume effect and the massive discharge of freshwater into the oceans is well preserved in the exceptionally low δ18O values of carbonates formed during the cryosphere demise and sea-level increase. Carbon and oxygen isotope ratios, climate and sea-level shifts thus underpin the presence of an Early Jurassic cryosphere and thereby highlight the role of glacio-eustatic mechanisms as main drivers of late Pliensbachian to early Toarcian geodynamics. © 2018</t>
  </si>
  <si>
    <t>2-s2.0-85056968645"</t>
  </si>
  <si>
    <t>International Journal of Physical Modelling in Geotechnics</t>
  </si>
  <si>
    <t>10.1680/jphmg.16.00026</t>
  </si>
  <si>
    <t>https://www.scopus.com/inward/record.uri?eid=2-s2.0-85059851239&amp;doi=10.1680%2fjphmg.16.00026&amp;partnerID=40&amp;md5=1ada9c72cfdf1c57c667cf8991188212</t>
  </si>
  <si>
    <t>Liquefaction flow slides in sand have been investigated during an extensive experimental research programme during the period 1973-1977 on behalf of the design of the storm surge barrier in the Oosterschelde estuary. The programme included more than a hundred tests in large- and medium-sized flumes on submerged, loosely packed sand bodies. Each sand body had a horizontal surface and a very steep, supported slope as initial boundaries. Retrogressing liquefaction flow slides with high retrogression velocity and large retrogression distance occurred in several tests with very loosely packed sand. Retrogression velocities and distances in the other tests were just a fraction of those in first mentioned tests, although liquefaction occurred in some of them. The test set-up, measurements and results of the tests are described in this paper. An interpretation of the liquefaction flow slide process as a sequence of several interacting sub-processes is presented as well. Finally, tentative scaling rules are given and compared with observations. © 2019 ICE Publishing. All rights reserved.</t>
  </si>
  <si>
    <t>2-s2.0-85059851239"</t>
  </si>
  <si>
    <t>10.1029/2018JF004857</t>
  </si>
  <si>
    <t>https://www.scopus.com/inward/record.uri?eid=2-s2.0-85059871559&amp;doi=10.1029%2f2018JF004857&amp;partnerID=40&amp;md5=5aaca96d4196427b9243262ea83d9d33</t>
  </si>
  <si>
    <t>Anticipated sea level rise (SLR) threatens intertidal areas and associated ecosystems in estuaries worldwide. There is a need to develop validated modeling tools to assess the impact of SLR on estuarine morphodynamics. This study explores the morphological impact of SLR on a channel-shoal system in San Pablo Bay, a subembayment of San Francisco Bay, California, using a 3-D, process-based modeling approach (Delft3D) including density currents and wave action. The Bay underwent considerable morphologic development in response to variations in fluvial sediment load and discharge associated with a period of hydraulic mining for gold and later damming in the watershed. The availability of a unique 150-year, 30-year sequenced, bathymetric data set provided a rare opportunity for model validation. We investigate a 250-year period of morphodynamic evolution including a 150-year hindcast and a 100-year forecast with different SLR scenarios. The model shows significant skill in hindcasting volumes and patterns of bathymetric development during both net depositional (1856–1951) and erosional (1951–onward) periods. Forecasts show that SLR alters the Bay's erosional trend to a depositional trend again. Despite increased sediment trapping rates, the intertidal mudflats drown under all modeled SLR scenarios (42, 84, and 167 cm by end of the 21st century). Our work highlights the potential of using process-based models to assess the morphodynamic impact of SLR. The study also suggests that SLR can greatly increase the loss of intertidal area when landward migration is not possible. Sustainable management strategies are required to safeguard these valuable intertidal habitats. ©2018. The Authors.</t>
  </si>
  <si>
    <t>2-s2.0-85059871559"</t>
  </si>
  <si>
    <t>10.1007/s12517-018-4110-5</t>
  </si>
  <si>
    <t>https://www.scopus.com/inward/record.uri?eid=2-s2.0-85059354419&amp;doi=10.1007%2fs12517-018-4110-5&amp;partnerID=40&amp;md5=02cd348b9a68ab3966bc8b7d131cf36b</t>
  </si>
  <si>
    <t xml:space="preserve">                             Impact assessment of coal mining of Gare IV/6 Coal Block (GCB) on river water (Kelo River) and groundwater and the interaction between them were studied through hydrological studies like water-level monitoring, short and long-term river flow measurements, isotopic characteristics, and groundwater flow modeling. The hydrological study reveals that the groundwater flow is towards the Kelo River and the river is acting as effluent in nature. The flow direction is parallel to Kelo River in the downstream of the GCB. The isotopic study suggests that the Kelo River water is enriched with δ                              18                             O/                             16                             O ratio as compared to watershed samples. Flow modeling suggests that the Kelo River, which is adjacent to the boundary of GCB, may contribute 88.38 m                             3                             /day of groundwater. The groundwater effluence forms a meager component of the total groundwater effluence estimated for the entire length of the Kelo River passing through the study area. Based on the groundwater flow model results it is suggested that the proposed mining operation in GCB will not have any impact on the Kelo River water flow. The suspected seepage from the Kelo River flooding on the GCB is unlikely as the hydraulic gradient is towards the Kelo River. It is suggested to have a buffer zone and an embankment between Kelo River and GCB to prevent flooding from river water breaching. The present study provides an overall understanding of the hydrogeological conditions in and around mining area which will help in safe mining operations so that any hazard or threat to the local community may be prevented.                          © 2018, Saudi Society for Geosciences.</t>
  </si>
  <si>
    <t>2-s2.0-85059354419"</t>
  </si>
  <si>
    <t>10.1016/j.ocemod.2018.12.001</t>
  </si>
  <si>
    <t>https://www.scopus.com/inward/record.uri?eid=2-s2.0-85057739675&amp;doi=10.1016%2fj.ocemod.2018.12.001&amp;partnerID=40&amp;md5=ec8b6c8e4a3e1c60f2a97bd84ee23621</t>
  </si>
  <si>
    <t>Operational forecasting systems are important for disaster risk reduction. In this work we implement a coupled storm surge and tidal model on an unstructured grid over Europe towards the development of a pan-European Storm Surge Forecasting System (EU-SSF). The skill to predict tidal, surge and total water levels was evaluated based on measurements from 208 tidal gauge stations. Results show satisfactory performance for the two atmospheric forcing datasets tested, a High Resolution Forecast and ERA-INTERIM reanalysis, both provided by the European Center for Medium range Weather Forecast. For tidal predictions, the total RSS is equal to 0.197 m, lower than the values estimated by the global tidal model FES2004, and outperformed only by FES2012 (RSS = 0.05 m), which however is a product of data assimilation. Storm surge validation results show good predictive skill, with 0.04 m &lt; RMSE &lt; 0.21 m and %RMSE within 4%–22%. Coupling with tides results in improved storm surge level predictions, with RMSE reducing by up to 0.033 m. The areas benefiting most from the coupling are the North Sea and the English Channel, resulting in up to 2% reduction of the %RMSE. Increasing the resolution of atmospheric forcing also improves the predictive skill, leading to a reduction of RMSE up to 0.06 m in terms of the extremes, especially in shallow areas where wind is the main driver for surge production. We propose a setup for operational pan-European storm surge forecasting combining tidal levels from the FES2012 model and storm surge residuals from the EU-SSF setup which couples meteorological and astronomic tides. © 2018 The Authors</t>
  </si>
  <si>
    <t>2-s2.0-85057739675"</t>
  </si>
  <si>
    <t>10.1016/j.gloplacha.2018.11.005</t>
  </si>
  <si>
    <t>https://www.scopus.com/inward/record.uri?eid=2-s2.0-85057092018&amp;doi=10.1016%2fj.gloplacha.2018.11.005&amp;partnerID=40&amp;md5=6fe03f05e8b7350cdb933639a28d98d6</t>
  </si>
  <si>
    <t>We analyze the sea level rise along the Bohai Sea, the Yellow Sea, the East China Sea, and the South China Sea (the “China Seas”) coastline using 25 tide gauge records beginning with Macau in 1925, but with most starting during the 1950s and 60s. The main problem in estimating sea level rise for the period is the lack of vertical land movement (VLM) data for the tide gauge stations. We estimated VLM using satellite altimetry covering the 18 stations with records spanning 1993–2016. The results show that many tide gauge stations, typically in cities, have undergone significant subsidence due to groundwater extraction. After removing the VLM from tide gauge records, the 1993–2016 sea level rise rate is 3.2 ± 1.1 mm/yr, and 2.9 ± 0.8 mm/yr over the longer 1980–2016 period. We estimate the steric sea level contribution to be up to 0.9 ± 0.3 mm/yr, and contributions from ice mass loss from glaciers and ice sheets of up to 1.1 ± 0.1 mm/yr over the last 60 years. Contributions from VLM range between −4.5 ± 1.0 mm/yr and 1.4 ± 1.3 mm/yr across the stations. Projections of coastal sea level probability distributions under future climate scenarios show that the steric factor is the main contributor under both the RCP 4.5 and High-end RCP 8.5 scenarios except in the upper tails under High-end RCP 8.5 when the Antarctic ice sheet makes the greatest contribution. By 2100 we expect median coastal sea level rises at the stations of 48–61 cm under RCP 4.5, and 84–99 cm under High-end RCP 8.5 scenario. © 2018 Elsevier B.V.</t>
  </si>
  <si>
    <t>2-s2.0-85057092018"</t>
  </si>
  <si>
    <t>European Journal of Mechanics, B/Fluids</t>
  </si>
  <si>
    <t>10.1016/j.euromechflu.2018.01.001</t>
  </si>
  <si>
    <t>https://www.scopus.com/inward/record.uri?eid=2-s2.0-85044768721&amp;doi=10.1016%2fj.euromechflu.2018.01.001&amp;partnerID=40&amp;md5=3e505a306f4ce7756b65e688476460c5</t>
  </si>
  <si>
    <t>Despite the recognized impact of tidal bores on estuarine ecosystems, the large scale mechanism of bore formation in convergent alluvial estuaries is still under investigation. So far, field data exist only for a small number of estuaries, while numerical simulations employ the shallow water equations mainly focusing on the small-scale and local processes. In this work, firstly we apply the fully nonlinear weakly dispersive Serre–Green–Naghdiequations to simulate the tide propagation in a convergent estuary of idealized form, verifying that the local dispersion effects, responsible for the appearance of the secondary waves, do not influence the tidal bore onset, which only results from the large scale processes of amplification/damping and distortion of the incoming wave. In a second part, we numerically investigate (225 runs) the estuarine parameter space in order to identify the physical conditions that lead to tidal bore generation. In this parameter space, we determine a critical curve which divides estuaries according to tidal bore occurrence. As a result of this investigation we have shown that bore formation is controlled by the competition between two physical processes: (a) the knee-shaped distortion of the tidal wave, with flood dominance and eventually bore inception</t>
  </si>
  <si>
    <t>10.1080/02697459.2018.1546918</t>
  </si>
  <si>
    <t>https://www.scopus.com/inward/record.uri?eid=2-s2.0-85057342503&amp;doi=10.1080%2f02697459.2018.1546918&amp;partnerID=40&amp;md5=721fc0ea410b893120a2e52f62979409</t>
  </si>
  <si>
    <t>This article presents a case study on the implementation of the Thames Estuary 2100 Plan in the Royal Docks, a regeneration project in the East of London. On paper, the Thames Estuary 2100 Plan advances the shift from traditional flood control to flood resilience, because of its long-term horizon, estuary-wide approach, and emphasis on floodplain management. In practice, however, we identify three frictions between vision and reality: a lack of local ownership of the plan, a lack of clear guidance for floodplain management, and limited capacities with local authority. These frictions suggest an ongoing ‘public-public divide’ in decentralized governance. © 2018, © 2018 Informa UK Limited, trading as Taylor &amp; Francis Group.</t>
  </si>
  <si>
    <t>2-s2.0-85057342503"</t>
  </si>
  <si>
    <t>10.1016/j.margeo.2018.11.005</t>
  </si>
  <si>
    <t>https://www.scopus.com/inward/record.uri?eid=2-s2.0-85056776565&amp;doi=10.1016%2fj.margeo.2018.11.005&amp;partnerID=40&amp;md5=94e8bfadc4ea24f41709566505770ce6</t>
  </si>
  <si>
    <t>Tidal inlets, a common feature along coastlines globally, can be significantly affected by the impacts of global climate variabilities. Computational models provide the best opportunity to assess future changes to the dynamics of inlet systems. In this paper, the morphodynamic response of a gravel-dominated meso-tidal estuary inlet to Sea Level Rise (SLR) is discussed based on three future SLR scenarios. It uses a process-based computational coastal area model. The study's test site is the meso-tidal Deben Estuary inlet in the UK; it is very morphodynamically active and has a unique sediment environment, is used as the test site of this study. The modelling results reveal that the morphological response of Deben inlet is sensitive to the SLR scenario. Rising sea levels give rise to increased hydrodynamic and morphodynamic activities at and around the inlet. The ebb delta, which is a prominent morphodynamic feature of this inlet, shows greater instability as a result of increased sea levels. It is possible that the inlet may deviate significantly from its current morphodynamic regime in the future as a result of the changes imposed by higher sea levels.</t>
  </si>
  <si>
    <t>10.1016/j.crm.2018.12.002</t>
  </si>
  <si>
    <t>https://www.scopus.com/inward/record.uri?eid=2-s2.0-85058790434&amp;doi=10.1016%2fj.crm.2018.12.002&amp;partnerID=40&amp;md5=47cb5c5404aed3afef832316e3788246</t>
  </si>
  <si>
    <t>Purpose: The Ca Mau Peninsula, a sub-region of the Vietnamese Mekong Delta, plays an extremely important and decisive role in the country's food security. Due to the influence of complex hydrological regime, annual intrusion of sea water in the dry season has caused barriers and constraints for existing agricultural practices. However, the projection of saline simulation indicated that the occurrence of salt intrusion is likely further inland and severe intensity in the Hau River and coastal areas of the Ca Mau Peninsula in line with the rise of sea levels under climate change effects. This paper aims to propose mitigation and adaptation measures of salt tolerance for sustainable agricultural development in the Ca Mau Peninsula up to 2030 in accordance with projected scenarios of sea level rise. Methodology: The study inherited the results of forecasting salt intrusion in scenarios of sea level rise until 2030 by using the MIKE 11 HD-AD model in a previous research of the authors, in order to suggest mitigation and adaptation measures against salt intrusion for agricultural activities in the Ca Mau Peninsula. The documents relating to salt tolerance of crops, state of irrigation structures and land use were also collected and analyzed to provide more information for better proposed solutions. Findings: The paper presents some feasible measures to mitigate and adapt salt intrusion as sea level rise under impacts of climate change including appropriate land use planning</t>
  </si>
  <si>
    <t>Omega (United Kingdom)</t>
  </si>
  <si>
    <t>10.1016/j.omega.2017.12.009</t>
  </si>
  <si>
    <t>https://www.scopus.com/inward/record.uri?eid=2-s2.0-85044509391&amp;doi=10.1016%2fj.omega.2017.12.009&amp;partnerID=40&amp;md5=42f62d3d96e59491c6db5f9ca00c4b23</t>
  </si>
  <si>
    <t>Flood protection is of major importance to many flood-prone regions and involves substantial investment and maintenance costs. Modern flood risk management often requires determining a cost-efficient protection strategy, i.e., one which has the lowest possible long run cost and which satisfies flood protection standards imposed by the regulator throughout the entire planning horizon. There are two challenges that complicate the modeling: (i) uncertainty - many of the important parameters on which the strategies are based (e.g. the sea level rise) are uncertain, and will be known only in the future, and (ii) adjustability - decisions implemented at later time stages need to adapt to the realized uncertainty values. We develop a new mathematical model addressing both issues, based on recent advances in integer robust optimization, and we apply it to the Rhine Estuary - Drechtsteden area in the Netherlands. Our approach shows, among others, that (i) considering 40% uncertainty about the sea level rise leads to a solution with less than 10% increase in the total cost, (ii) solutions taking the uncertainty into account are cheaper in the long run if the ‘bad scenarios’ for the uncertainty materialize, even if the ‘optimistic solutions’ are allowed to be repaired later on, and (iii) the optimal here-and-now investment decisions change when uncertainty and adjustability are included in the model. © 2018 Elsevier Ltd</t>
  </si>
  <si>
    <t>2-s2.0-85044509391"</t>
  </si>
  <si>
    <t>10.1016/j.rsase.2018.10.006</t>
  </si>
  <si>
    <t>https://www.scopus.com/inward/record.uri?eid=2-s2.0-85055871009&amp;doi=10.1016%2fj.rsase.2018.10.006&amp;partnerID=40&amp;md5=5977c53721ba86ace1e82bb447fa4917</t>
  </si>
  <si>
    <t>The persistent phenomenon of climate change has resulted in increased dryness and incidence of intermittent drought event as well as advancement of Sahara desert into the Sudano-Sahelian region of northern Nigeria. Part of the effect of this climate variability is increased intensity of rainfall albeit reduction in total amount rainfall, consequently producing high runoff, low infiltration and eventually creating the problem of water scarcity, which has adversely affected crop production, culminating in crop failures and pest infestation in some cases. Adaptation scheme involving rainwater management such as capturing and storing water for future use represents the best possible alternative to the current situation and possibly future scenario. In this study, sites suitable for location of water storage structures were delineated in the Sokoto-Rima basin by combining eight factors considered important in suitability analysis for water storage structures. The factors considered are land use/cover, soil, geology, slope, drainage density, lineament density, distance to drainage and precipitation. The factors were classified with each class assigned preference value based on insights from previous studies and knowledge of the study area. The factors were integrated through weighted overlay analysis using factors’ weights computed from Analytical Hierarchy Process. The result of the suitability analysis showed that 3% (131.89 km2) area of Sokoto-Rima basin is considered to be highly suitable, 9% (486.19 km2) of the basin area is moderately suitable, 11% (596.05 km2) of the basin area have low stability for siting water storage structures while 77% (3967.62 km2) of the basin is not suitable. Further combination of suitability layer, drainage network, cross-section graph generated from digital elevation model and triangulated Irregular Network (TIN) enable selection of six potential sites for which parameters such as base elevation, outlet elevation, surface area, storage capacity and flood extent were computed. © 2018 Elsevier B.V.</t>
  </si>
  <si>
    <t>2-s2.0-85055871009"</t>
  </si>
  <si>
    <t>10.1029/2018JC014313</t>
  </si>
  <si>
    <t>https://www.scopus.com/inward/record.uri?eid=2-s2.0-85059672884&amp;doi=10.1029%2f2018JC014313&amp;partnerID=40&amp;md5=7aca2b691e0ad993d3d2d78fda8f6a62</t>
  </si>
  <si>
    <t>Since the late nineteenth century, channel depths have more than doubled in parts of New York Harbor and the tidal Hudson River, wetlands have been reclaimed and navigational channels widened, and river flow has been regulated. To quantify the effects of these modifications, observations and numerical simulations using historical and modern bathymetry are used to analyze changes in the barotropic dynamics. Model results and water level records for Albany (1868 to present) and New York Harbor (1844 to present) recovered from archives show that the tidal amplitude has more than doubled near the head of tides, whereas increases in the lower estuary have been slight (&lt;10%). Channel deepening has reduced the effective drag in the upper tidal river, shifting the system from hyposynchronous (tide decaying landward) to hypersynchronous (tide amplifying). Similarly, modeling shows that coastal storm effects propagate farther landward, with a 20% increase in amplitude for a major event. In contrast, the decrease in friction with channel deepening has lowered the tidally averaged water level during discharge events, more than compensating for increased surge amplitude. Combined with river regulation that reduced peak discharges, the overall risk of extreme water levels in the upper tidal river decreased after channel construction, reducing the water level for the 10-year recurrence interval event by almost 3 m. Mean water level decreased sharply with channel modifications around 1930, and subsequent decadal variability has depended both on river discharge and sea level rise. Channel construction has only slightly altered tidal and storm surge amplitudes in the lower estuary. ©2018. American Geophysical Union. All Rights Reserved.</t>
  </si>
  <si>
    <t>2-s2.0-85059672884"</t>
  </si>
  <si>
    <t>10.1111/disa.12296</t>
  </si>
  <si>
    <t>https://www.scopus.com/inward/record.uri?eid=2-s2.0-85050862506&amp;doi=10.1111%2fdisa.12296&amp;partnerID=40&amp;md5=29c86e8a02c2ad3591ff45f4e7dd9610</t>
  </si>
  <si>
    <t>Storm surge often is the most destructive consequence of hurricanes and tropical storms, causing significant economic damage and loss of life. Many coastal communities that are located in high-risk areas vis-à-vis hurricanes and tropical storms are prepared for moderate (between six and eight feet) storm surges. Such preparation, though, is not commensurate with more severe, but less frequent, storm surges (greater than eight feet). These gaps in preparedness have serious implications for community resilience. This paper explores elements of the vulnerability and resilience of coastal communities during major storm surge events, drawing on Volusia County, Florida, United States, as a case study. It simulates the impacts of five hurricanes (Categories I–V) and their associated storm surges on local infrastructure systems, populations, and access to resources. The results suggest that Volusia County is subject to a ‘tipping point’, where surge damage from Category IV storms is significantly greater than that from Category III and lower hurricanes. © 2018 The Author(s). Disasters © Overseas Development Institute, 2018</t>
  </si>
  <si>
    <t>2-s2.0-85050862506"</t>
  </si>
  <si>
    <t>10.3390/rs11010012</t>
  </si>
  <si>
    <t>https://www.scopus.com/inward/record.uri?eid=2-s2.0-85059938707&amp;doi=10.3390%2frs11010012&amp;partnerID=40&amp;md5=2f48916d68c528f36fb87d3f35ca17cf</t>
  </si>
  <si>
    <t>Anthropogenic development of floodplains and alteration to natural hydrological regimes have resulted in extensive loss of off-channel habitat. Interest has grown in restoring these habitats as an effective conservation strategy for numerous aquatic species. This study developed a process to reproducibly identify areas of former stream meanders to assist future off-channel restoration site selections. Three watersheds in Iowa and Minnesota where off-channel restorations are currently being conducted to aid the conservation of the Topeka Shiner (Notropis topeka) were selected as the study area. Floodplain depressions were identified with LiDAR-derived digital elevation models, and their morphologic and topographic characteristics were described. Classification tree models were developed to distinguish relic streams and oxbows from other landscape features. All models demonstrated a strong ability to distinguish between target and non-target features with area under the receiver operator curve (AUC) values ≥ 0.82 and correct classification rates ≥ 0.88. Solidity, concavity, and mean height above channel metrics were among the first splits in all trees. To compensate for the noise associated with the final model designation, features were ranked by their conditional probability. The results of this study will provide conservation managers with an improved process to identify candidate restoration sites. © 2018 by the authors.</t>
  </si>
  <si>
    <t>2-s2.0-85059938707"</t>
  </si>
  <si>
    <t>10.1016/j.geomorph.2018.09.024</t>
  </si>
  <si>
    <t>https://www.scopus.com/inward/record.uri?eid=2-s2.0-85054176393&amp;doi=10.1016%2fj.geomorph.2018.09.024&amp;partnerID=40&amp;md5=465fbc845a52eacf6636508ab55ec24a</t>
  </si>
  <si>
    <t>Detection of 100-year floodplains is one of the major tasks in flood risk management. In recent years, a variety of DEM-based methods have been developed for preliminary estimations of 100-year floodplains over large regions. The higher efficiency of these methods for large-scale problems and data-scarce regions compared to the conventional hydrodynamic methods is a big advantage. However, unlike considerable advances in the field of probabilistic mapping by hydrodynamic models, these methods are mostly deterministic and cannot provide a probabilistic presentation of the floodplains. In this study, a new method is proposed to combine both advantages of probabilistic mapping compared to deterministic ones and DEM-based methods against conventional models. This method includes a probabilistic function, which uses a morphologic feature, Height Above Nearest Drainage (HAND), as the independent variable. HAND is defined as the difference in elevation between a given point and the nearest stream based on the flow direction and can be calculated from a Digital Elevation Model (DEM). The parameters of the probabilistic function are determined by using a heuristic optimization algorithm named Particle Swarm Optimization (PSO) by minimizing the error of a predicted 100-year floodplain map compared to a reference map. The results illustrate that a linear function with one parameter is an appropriate function for the study site. In addition, a comparison of the proposed method with its deterministic version demonstrates the higher effectiveness and reliability of the proposed probabilistic method for a flat watershed where the overpredictions and underpredictions generated by a deterministic threshold method are reduced. © 2018 Elsevier B.V.</t>
  </si>
  <si>
    <t>2-s2.0-85054176393"</t>
  </si>
  <si>
    <t>10.2166/nh.2018.040</t>
  </si>
  <si>
    <t>https://www.scopus.com/inward/record.uri?eid=2-s2.0-85055745027&amp;doi=10.2166%2fnh.2018.040&amp;partnerID=40&amp;md5=f3c33324925cf3e7af2fc37f8ccb436d</t>
  </si>
  <si>
    <t>Flood mapping is a crucial element of flood risk management. In small and ungauged basins, empirical and regionalization approaches are often adopted to estimate the design hydrographs that represent input data in hydraulic models. In this study, two basins were selected in Slovakia and different methodologies for flood mapping were tested highlighting the role of digital elevation model (DEM) resolution, hydrologic modeling and the hydraulic model. Two DEM resolutions (2 m and 20 m) were adopted. Two hydrologic approaches were employed: a regional formula for peak flow estimation and the EBA4SUB model. Two hydraulic approaches (HEC-RAS and FLO-2D) were selected. Different combinations of hydrologic and hydraulic modeling were tested, under different spatial resolutions. Regarding the DEM resolution, results showed its fundamental importance in the low relief area while its effect was secondary in the moderate relief area. Regarding the hydrologic modeling, results confirmed that it affects the results of the flood areas in the same way independently of DEM resolution and that when using event-based models, the hydrograph shape determination is fundamental. Regarding the hydraulic modeling, this was the step where major differences in the flood area estimation were found. © IWA Publishing 2019.</t>
  </si>
  <si>
    <t>2-s2.0-85055745027"</t>
  </si>
  <si>
    <t>10.1111/gcb.14429</t>
  </si>
  <si>
    <t>https://www.scopus.com/inward/record.uri?eid=2-s2.0-85055649647&amp;doi=10.1111%2fgcb.14429&amp;partnerID=40&amp;md5=6bc06e0dc898b7847d40650d67d66384</t>
  </si>
  <si>
    <t>Sea level rise (SLR) threatens coastal wetlands worldwide, yet the fate of individual wetlands will vary based on local topography, wetland morphology, sediment dynamics, hydrologic processes, and plant-mediated feedbacks. Local variability in these factors makes it difficult to predict SLR effects across wetlands or to develop a holistic regional perspective on SLR response for a diversity of wetland types. To improve regional predictions of SLR impacts to coastal wetlands, we developed a model that addresses the scale-dependent factors controlling SLR response and accommodates different levels of data availability. The model quantifies SLR-driven habitat conversion within wetlands across a region by predicting changes in individual wetland hypsometry. This standardized approach can be applied to all wetlands in a region regardless of data availability, making it ideal for modeling SLR response across a range of scales. Our model was applied to 105 wetlands in southern California that spanned a broad range of typology and data availability. Our findings suggest that if wetlands are confined to their current extents, the region will lose 12% of marsh habitats (vegetated marsh and unvegetated flats) with 0.6 m of SLR (projected for 2050) and 48% with 1.7 m of SLR (projected for 2100). Habitat conversion was more drastic in wetlands with larger proportions of marsh habitats relative to subtidal habitats and occurred more rapidly in small lagoons relative to larger sites. Our assessment can inform management of coastal wetland vulnerability, improve understanding of the SLR drivers relevant to individual wetlands, and highlight significant data gaps that impede SLR response modeling across spatial scales. This approach augments regional SLR assessments by considering spatial variability in SLR response drivers, addressing data gaps, and accommodating wetland diversity, which will provide greater insights into regional SLR response that are relevant to coastal management and restoration efforts. © 2018 John Wiley &amp; Sons Ltd</t>
  </si>
  <si>
    <t>2-s2.0-85055649647"</t>
  </si>
  <si>
    <t>10.1007/s11769-018-0996-9</t>
  </si>
  <si>
    <t>https://www.scopus.com/inward/record.uri?eid=2-s2.0-85052933184&amp;doi=10.1007%2fs11769-018-0996-9&amp;partnerID=40&amp;md5=4d34807dfcb3e743245c0899b7c6a947</t>
  </si>
  <si>
    <t>Global research progress on coastal flooding was studied using a bibliometric evaluation of publications listed in the Web of Science extended scientific citation index. There was substantial growth in coastal flooding research output, with increasing publications, a higher collaboration index, and more references during the 1995–2016 period. The USA has taken a dominant position in coastal flooding research, with the US Geological Survey leading the publications ranking. Research collaborations at institutional scales have become more important than those at global scales. International collaborative publications consistently drew more citations than those from a single country. Furthermore, coastal flooding research included combinations of multi-disciplinary categories, including ‘Geology’ and ‘Environmental Sciences &amp; Ecology’. The most important coastal flooding research sites were wetlands and estuaries. While numerical modeling and 3S (Remote sensing, RS</t>
  </si>
  <si>
    <t>10.1038/s41598-018-21928-3</t>
  </si>
  <si>
    <t>https://www.scopus.com/inward/record.uri?eid=2-s2.0-85042536148&amp;doi=10.1038%2fs41598-018-21928-3&amp;partnerID=40&amp;md5=f2eb930f30f744c6bc52a899c9d4fc35</t>
  </si>
  <si>
    <t>From the 1950s, the Po delta, one of the largest anthropogenic world deltas, has been subjected to a fast degradation and shoreline retreat due a marked reduction of sediment supply, mainly controlled by human impacts/factors, including subsidence. Through the interpretation of satellite images, coupled with the analysis of the flow discharge, and of the annual frequency of marine storms, we show that recently (&gt;2010) the Po River has resumed delta progradation, especially in its northern portion. This happens after decades of erosion, followed by alternating regrowth and degradation phases, indicating conditions of substantial stability (1970-2000). Today the delta shows aggradation of new mouth-bars at the main distributary mouth, a clear evidence of active constructive processes. The ongoing trend marks a countertendency compared to many deltas worldwide. © 2018 The Author(s).</t>
  </si>
  <si>
    <t>2-s2.0-85042536148"</t>
  </si>
  <si>
    <t>10.5194/tc-12-3891-2018</t>
  </si>
  <si>
    <t>https://www.scopus.com/inward/record.uri?eid=2-s2.0-85058528475&amp;doi=10.5194%2ftc-12-3891-2018&amp;partnerID=40&amp;md5=f5cbbfa2393b78b18609367f4140c06d</t>
  </si>
  <si>
    <t xml:space="preserve">                             A set of supraglacial ponds filled rapidly between April and July 2017 on Changri Shar Glacier in the Everest region of Nepal, coalescing into a ∼ 180 000m                             2                              lake before sudden and complete drainage through Changri Shar and Khumbu glaciers (15-17 July).We use PlanetScope and Pleiádes satellite orthoimagery to document the system's evolution over its very short filling period and to assess the glacial and proglacial effects of the outburst flood.We also use highresolution stereo digital elevation models (DEMs) to complete a detailed analysis of the event's glacial and geomorphic effects. Finally, we use discharge records at a stream gauge 4 km downstream to refine our interpretation of the chronology and magnitude of the outburst. We infer largely subsurface drainage through both of the glaciers located on its flow path, and efficient drainage through the lower portion of Khumbu Glacier. The drainage and subsequent outburst of 1.36±0.19×10                             6                              m                             3                              of impounded water had a clear geomorphic impact on glacial and proglacial topography, including deep incision and landsliding along the Changri Nup proglacial stream, the collapse of shallow englacial conduits near the Khumbu terminus and extensive, enhanced bank erosion at least as far as 11 km downstream below Khumbu Glacier. These sudden changes destroyed major trails in three locations, demonstrating the potential hazard that short-lived, relatively small glacial lakes pose.                          © 2018 Author(s).</t>
  </si>
  <si>
    <t>2-s2.0-85058528475"</t>
  </si>
  <si>
    <t>10.1007/s11069-018-3460-3</t>
  </si>
  <si>
    <t>https://www.scopus.com/inward/record.uri?eid=2-s2.0-85053024337&amp;doi=10.1007%2fs11069-018-3460-3&amp;partnerID=40&amp;md5=0029c99f5dff4bf1eb84f34590faa4ab</t>
  </si>
  <si>
    <t>Probabilistic Tsunami Hazard Analysis (PTHA) can be used to evaluate and quantify tsunami hazards for planning of integrated community-level preparedness, including mitigation of casualties and dollar losses, and to study resilient solutions for coastal communities. PTHA can provide several outputs such as the intensity measures (IMs) of the hazard quantified as a function of the recurrence interval of a tsunami event. In this paper, PTHA is developed using a logic tree approach based on numerical modeling for tsunami generated along the Cascadia Subduction Zone. The PTHA is applied to a community on the US Pacific Northwest Coast located in Newport, Oregon. Results of the PTHA are provided for five IMs: inundation depth, flow speed, specific momentum flux, arrival time, and duration of inundation. The first three IMs are predictors of tsunami impact on the natural and built environment, and the last two are useful for tsunami evacuation and immediate response planning. Results for the five IMs are presented as annual exceedance probability for sites within the community along several transects with varying bathymetric and topographic features. Community-level characteristics of spatial distribution of each IM for three recurrence intervals (500, 1000, 2500 year) are provided. Results highlight the different pattern of IMs between land and river transects, and significant magnitude variation of IMs due to complex bathymetry and topographic conditions at the various recurrence intervals. IMs show relatively higher magnitudes near the coastline, at the low elevation regions, and at the harbor channel. In addition, results indicate a positive correlation between inundation depth and other IMs near the coastline, but a weaker correlation at inland locations. Values of the Froude number ranged 0.1–1.0 over the inland inundation area. In general, the results in this study highlight the spatial differences in IMs and suggest the need to include multiple IMs for resilience planning for a coastal community subjected to tsunami hazards. © 2018, Springer Nature B.V.</t>
  </si>
  <si>
    <t>2-s2.0-85053024337"</t>
  </si>
  <si>
    <t>10.5194/nhess-18-2859-2018</t>
  </si>
  <si>
    <t>https://www.scopus.com/inward/record.uri?eid=2-s2.0-85056092301&amp;doi=10.5194%2fnhess-18-2859-2018&amp;partnerID=40&amp;md5=199c06afec0b0c32f30558470e285c9a</t>
  </si>
  <si>
    <t>Flooding is an imminent natural hazard threatening most river deltas, e.g. the Mekong Delta. An appropriate flood management is thus required for a sustainable development of the often densely populated regions. Recently, the traditional event-based hazard control shifted towards a risk management approach in many regions, driven by intensive research leading to new legal regulation on flood management. However, a large-scale flood risk assessment does not exist for the Mekong Delta. Particularly, flood risk to paddy rice cultivation, the most important economic activity in the delta, has not been performed yet. Therefore, the present study was developed to provide the very first insight into delta-scale flood damages and risks to rice cultivation. The flood hazard was quantified by probabilistic flood hazard maps of the whole delta using a bivariate extreme value statistics, synthetic flood hydrographs, and a large-scale hydraulic model. The flood risk to paddy rice was then quantified considering cropping calendars, rice phenology, and harvest times based on a time series of enhanced vegetation index (EVI) derived from MODIS satellite data, and a published rice flood damage function. The proposed concept provided flood risk maps to paddy rice for the Mekong Delta in terms of expected annual damage. The presented concept can be used as a blueprint for regions facing similar problems due to its generic approach. Furthermore, the changes in flood risk to paddy rice caused by changes in land use currently under discussion in the Mekong Delta were estimated. Two land-use scenarios either intensifying or reducing rice cropping were considered, and the changes in risk were presented in spatially explicit flood risk maps. The basic risk maps could serve as guidance for the authorities to develop spatially explicit flood management and mitigation plans for the delta. The land-use change risk maps could further be used for adaptive risk management plans and as a basis for a cost-benefit of the discussed land-use change scenarios. Additionally, the damage and risks maps may support the recently initiated agricultural insurance programme in Vietnam. © 2018 Author(s).</t>
  </si>
  <si>
    <t>2-s2.0-85056092301"</t>
  </si>
  <si>
    <t>10.5194/nhess-18-3311-2018</t>
  </si>
  <si>
    <t>https://www.scopus.com/inward/record.uri?eid=2-s2.0-85058625889&amp;doi=10.5194%2fnhess-18-3311-2018&amp;partnerID=40&amp;md5=0de7b46d83ece9f3525b6602099b108b</t>
  </si>
  <si>
    <t>&lt;p&gt;Atmospheric river (AR) systems play a significant role in the simultaneous occurrence of high coastal water levels and heavy precipitation in the Netherlands. Based on observed precipitation values (E-OBS) and the output of a numerical storm surge model (WAQUA/DSCMv5) forced with ERA-Interim sea level pressure and wind fields, we find that the majority of compound events (CEs) between 1979 and 2015 have been accompanied by the presence of an AR over the Netherlands. In detail, we show that CEs have a 3 to 4 times higher chance of occurrence on days with an AR over the Netherlands compared to any random day (i.e. days without knowledge on presence of an AR). In contrast, the occurrence of a CE on a day without AR is 3 times less likely than on any random day. Additionally, by isolating and assessing the prevailing sea level pressure (SLP) and sea surface temperature (SST) conditions with and without AR involvement up to 7 days before the events, we show that the presence of ARs constitutes a specific type of forcing conditions that (i) resemble the SLP anomaly patterns during the positive phase of the North Atlantic Oscillation (NAO+) with a north-south pressure dipole over the North Atlantic and (ii) cause a cooling of the North Atlantic subpolar gyre and eastern boundary upwelling zone while warming the western boundary of the North Atlantic. These conditions are clearly distinguishable from those during compound events without the influence of an AR which occur under SLP conditions resembling the East Atlantic (EA) pattern with a west-east pressure dipole over northern Europe and are accompanied by a cooling of the West Atlantic. Thus, this study shows that ARs are a useful tool for the early identification of possible harmful meteorological conditions over the Netherlands and supports an effort for the establishment of an early warning system. © 2018 Author(s).</t>
  </si>
  <si>
    <t>2-s2.0-85058625889"</t>
  </si>
  <si>
    <t>10.1007/s10661-018-7048-x</t>
  </si>
  <si>
    <t>https://www.scopus.com/inward/record.uri?eid=2-s2.0-85055613433&amp;doi=10.1007%2fs10661-018-7048-x&amp;partnerID=40&amp;md5=de75ad99d8aa1a9df681b2f0fd262d36</t>
  </si>
  <si>
    <t>Coastal tsunami amplitudes were calculated to identify areas susceptible to tsunami hazard at selected locations of the coast of Karnataka, west of India, due to earthquakes in the Makran Subduction Zone. This is the first time that the probabilistic tsunami hazard assessment along this study area has been attempted. A series of earthquake source scenarios with magnitudes of Mw 8.0, Mw 8.5, and a mega thrust of Mw 9.1 were modeled by using the Community Model Interface for Tsunami interface with the MOST model of Titov and Synolakis (J. Waterway, Port, Coastal and Ocean Engineering, 121(6), 308–316, 1995). As per the previous occurrences, the two least magnitudes are probable, while Mw 9.1 is a worst-case scenario as described by Heidarzadeh et al. (Ocean Engineering, 36(5), 368–376, 2009) and the same is reported by Burbidge et al. (Geoscience Australia Professional Opinion No. 2009/11) as high magnitude. These are not at all historical earthquakes or specifically from historical catalogues. The results of modeling show that all the seven coastal locations are inundated barely in our worst-case scenario with maximum water levels in the range of 100–200 cm. The first tsunami wave strikes the coast within 4–5 h of earthquake occurrence. © 2018, Springer Nature Switzerland AG.</t>
  </si>
  <si>
    <t>2-s2.0-85055613433"</t>
  </si>
  <si>
    <t>10.1007/s11852-018-0612-2</t>
  </si>
  <si>
    <t>https://www.scopus.com/inward/record.uri?eid=2-s2.0-85044464468&amp;doi=10.1007%2fs11852-018-0612-2&amp;partnerID=40&amp;md5=d20baf7637f0c8fbf126162bd2f735c2</t>
  </si>
  <si>
    <t>Portuguese coastal areas are of current major concern due to the continuous expansion of a strong urbanization, accentuated development of economic activities, resilient land use and general population growth. A particular attention has been given to the shoreline evolution, pointing out evidences of critical coastal sectors that are prone to suffer adverse consequences of climate changes direct impacts. Areas where climate change and sea-level rise effects will be stronger include, among others, coastal sectors associated to soft rocky or mobile substrate shores and/or low morphological shores with recognized marked erosion trend. Within this context, the knowledge of the geological setting is imperative as different lithologies have distinct resistance and behavior against marine erosion. The available digital geological Portuguese cartography at 1:25000 scale is not suitable to well characterize the geology within the context of small geographic areas or within the perspective of costal management. Hence, the National Laboratory of Energy and Geology (LNEG) developed a prototype to evaluate the potential of the integrated “geological and coastal hazard mapping” at a 1:3000 resolution scale. The combination of detailed geology and historical coastline displacement information, in a single map, constitute a new and valuable cartographic product to support coastal managers and general users of littoral regions. The application of the prototype to the entire Portuguese coastal areas will be carried out by LNEG and digital information will be available at LNEG GeoPortal (http://geoportal.lneg.pt/). © 2018, Springer Science+Business Media B.V., part of Springer Nature.</t>
  </si>
  <si>
    <t>2-s2.0-85044464468"</t>
  </si>
  <si>
    <t>10.1029/2018JF004757</t>
  </si>
  <si>
    <t>https://www.scopus.com/inward/record.uri?eid=2-s2.0-85056415377&amp;doi=10.1029%2f2018JF004757&amp;partnerID=40&amp;md5=ee93f93b4d0fb52f0734abbc7dc78d47</t>
  </si>
  <si>
    <t>Deltas, which are often densely populated, have become more vulnerable to flooding due to increasing rates of sea-level rise and decreasing sediment supply. These landscapes grow through the successive stacking of delta lobes, as abrupt changes in the river's course episodically alter the river mouth's location. The dynamics of these channel avulsions determine the location and size of delta lobes. We use a newly developed coupled model of river and coastal processes to explore how changing wave climates (varying wave heights and offshore approach angles) and a range of sea-level rise rates affect avulsion processes and large-scale delta morphology. Although the relative impacts of the fluvial sediment flux and wave influence have long been studied and more recently quantified, we find that the sign and magnitude of wave climate diffusivity both play important roles in determining not only delta morphology but also avulsion dynamics. We also find, surprisingly, that increasing sea-level rise rates do not always accelerate avulsions. If the river channel is prograding rapidly enough, relative to the rate of sea-level rise, then avulsion frequency will not be significantly affected by the rate of sea-level rise. This finding highlights important differences between wave and river-dominated deltas, as well as between prototypical deltas and experimental deltas created in the lab. The wave climate, sea-level rise rate, and critical superelevation required to trigger an avulsion all play important roles in determining the degree of autogenic variability operating in delta systems, which has implications for both avulsion dynamics and interpretation of delta stratigraphy. ©2018. American Geophysical Union. All Rights Reserved.</t>
  </si>
  <si>
    <t>2-s2.0-85056415377"</t>
  </si>
  <si>
    <t>10.1016/j.ijdrr.2018.02.030</t>
  </si>
  <si>
    <t>https://www.scopus.com/inward/record.uri?eid=2-s2.0-85043533256&amp;doi=10.1016%2fj.ijdrr.2018.02.030&amp;partnerID=40&amp;md5=e17380b762ce4ec1f786aaa4d243e319</t>
  </si>
  <si>
    <t>By the later part of the 21st Century, our planet will be faced with compelling climatic circumstances requiring tradeoffs to maintain viable environmental conditions and standards of living. The prognosis for people near coastlines and waterways is particularly dire without decisive actions that capitalize on shared strengths such as ecosystems. One clear opportunity is the regenerative services and co-benefits of natural infrastructure that reduce the impacts of environmental disasters as magnified by climatic change. Certainly, nature-based solutions are increasingly being viewed as critical actions to reduce societal risk. However, to advance the use of natural infrastructure through eco-engineering, there is a need to clarify the science regarding risk reduction effectiveness, develop agreeable principles, standards, and designs, and grow a demonstration site network responsive to circumstances faced by communities around the globe. In addition, there is a need to consider the legal, policy, and regulatory obstacles and opportunities for natural infrastructure within local to national contexts (i.e., science-based building codes, architectural design criteria, incentive policies, etc.). Ultimately, the integration of science, designs, and policy coupled with installation within several global resource management processes (IWRM, ICZM, etc.) will help establish eco-engineering standards. Supportive coastal, river, and urban examples from around the world are used to illustrate the current state of knowledge, model this integration of science, design, and policy, serve as initial “benchmark site” and finally help define guiding principles for the emerging field of eco-engineering. © 2018 Elsevier Ltd</t>
  </si>
  <si>
    <t>2-s2.0-85043533256"</t>
  </si>
  <si>
    <t>10.3390/rs10111702</t>
  </si>
  <si>
    <t>https://www.scopus.com/inward/record.uri?eid=2-s2.0-85057129434&amp;doi=10.3390%2frs10111702&amp;partnerID=40&amp;md5=d3e5c4b868ab594d399c0c863a2deaac</t>
  </si>
  <si>
    <t>This study presents the retrieval of rice paddy height using single polarization (single-pol) interferometric SAR (InSAR) data by means of model-based height inversion without an external DEM. A total of eight TanDEM-X (TDX) scenes were used and the TDX images were; acquired using a large cross-track baseline configuration during the TDX Science Phase (June–August 2015). A single-pol inversion approach for a flooded rice field is proposed and evaluated over the Buan test site in South Korea. A novel approach is adopted for the estimation of the ground (i.e., water level) interferometric phase within a flooded rice paddy from TDX data acquired during a period of early rice growth. It is consequently possible to apply the model-based inversion algorithm to the single-pol InSAR data. Rice height maps during the rice growth cycle presented and validated by field measurements. The results demonstrated the high performance of the inversion with a correlation coefficient of 0.78 and an RMSE of 0.10 m. The proposed methodology will be useful to monitor rice plants and to predict a gross rice yield, along with dual and fully polarimetric interferometric SAR data.</t>
  </si>
  <si>
    <t>10.1190/INT-2018-0012.1</t>
  </si>
  <si>
    <t>https://www.scopus.com/inward/record.uri?eid=2-s2.0-85083075262&amp;doi=10.1190%2fINT-2018-0012.1&amp;partnerID=40&amp;md5=30fdcc4c69796e8fd7f4ff973d43f249</t>
  </si>
  <si>
    <t>A late Pleistocene delta (Hainan palaeo river delta, HNPD hereafter) exceeding 25,000 km2  offshore Hainan Island, northwestern South China Sea (SCS), is investigated using high-resolution seismic and core data to understand the relationship between subaqueous delta development and climate drivers during the Last Glacial Period. The seismic data indicate general progradational configurations toward the southwest or southeast, indicating that the sediments from the eastern slope offshore southwestern Hainan Island were transported southwestward and southeastward. The average thickness of the delta sediment is approximately 35 m, and it has an arcuate shape surrounding the eastern slope. Therefore, the sediment provenances of the HNPD were mainly from the Red River drainage and Hainan Island. Comparison between the core dating results and the global sea-level curve indicates that the delta formed mainly during marine isotope stage 4 (65–56 ka). The topography of the basin, the sea-level change from low stand to high stand, and the southward oceanic currents driven by the glacial-period strong winter monsoon all contributed to the formation of the delta. Because the development of the delta required large riverine sediment input, we speculate that the main reason that the delta’s development ceased was the migration of the river channel along the eastern slope. Based on a comparison between the palaeobathymetric scenarios derived from published sea-level curves and the delta stratigraphy identified from the seismic profiles and cores, we have determined a possible range of relative sea level between 65 and 56 ka for the southwestern coast of Hainan Island, which might also be applicable for a broader region, i.e., the northern SCS.</t>
  </si>
  <si>
    <t>10.5194/adgeo-45-389-2018</t>
  </si>
  <si>
    <t>https://www.scopus.com/inward/record.uri?eid=2-s2.0-85059066015&amp;doi=10.5194%2fadgeo-45-389-2018&amp;partnerID=40&amp;md5=508df6ca5eef1e572acb453c15c02292</t>
  </si>
  <si>
    <t>The monitoring of hazardous events through change detection has an important role in the emergency management. Such actions can be performed shortly after the hazardous event for first rapid mapping but also over longer periods of time for recovery purposes and risk mapping. The use of medium resolution free-of-charge multi-spectral satellite imagery for purposes of flood extension and impact monitoring can be extremely valuable due to their ability to offer an ""easy"" and remote access to information, even in cases of extreme weather conditions, but also due to their high compatibility with GIS environments. The case study regards Centa River estuary that hosts an important archaeological site of Albenga within the boundaries of its riverbed. The authors propose a workflow that uses Copernicus Sentinel-2 data to provide the comparison changes firstly in the single relevant bands and successively in the indexes NDVI e NDWI, suitable for the estimation of water component. The results of this study were useful for observing the extension of the flooded area, to evaluate its impact on the archaeological remains and to further propose more targeted UAV-born and ground survey. © Author(s) 2018.</t>
  </si>
  <si>
    <t>2-s2.0-85059066015"</t>
  </si>
  <si>
    <t>10.1007/s10113-018-1397-4</t>
  </si>
  <si>
    <t>https://www.scopus.com/inward/record.uri?eid=2-s2.0-85052095675&amp;doi=10.1007%2fs10113-018-1397-4&amp;partnerID=40&amp;md5=c4d4373f55a5257023506403a8e164ed</t>
  </si>
  <si>
    <t>The quantitative analysis of hurricane impacts on coastal development in the Caribbean is surprisingly infrequent and many tools to assess physical vulnerability to sea level rise (SLR) are insufficient to evaluate risk in coastal areas exposed to wave attack during extreme events. This paper proposes a practical methodology to quantify coastal hazards and evaluate SLR impact scenarios in coastal areas, providing quantitative input for coastal vulnerability analysis. We illustrate the implementation of the proposed methodology with results from a site-specific analysis. We quantify how storm wave impacts penetrate farther inland and reach higher elevations for increasing SLR conditions. We also show that the increase in elevation of storm wave impacts is more than the nominal increase in mean sea level, and that elevation increase may be on the order of up to twice the nominal SLR. By developing design parameters for multiple scenarios, as opposed to the determination of a single SLR value for design established by consensus, this approach generates information that we argue encourages resilient design and embedding future adaptation in coastal design. We discuss how government planners and regulators, as well as real estate developers, lenders, and investors, can improve coastal planning and resilient design of coastal projects by using this approach. © 2018, Springer-Verlag GmbH Germany, part of Springer Nature.</t>
  </si>
  <si>
    <t>2-s2.0-85052095675"</t>
  </si>
  <si>
    <t>10.1080/15481603.2018.1460934</t>
  </si>
  <si>
    <t>https://www.scopus.com/inward/record.uri?eid=2-s2.0-85045331925&amp;doi=10.1080%2f15481603.2018.1460934&amp;partnerID=40&amp;md5=e72af5e5fdf4fdb914fae6ab77a61419</t>
  </si>
  <si>
    <t>Coastal wetlands are among the most productive ecosystems globally but have experienced dramatic degradation and loss within the past several decades. Vegetation biomass of coastal wetlands is not only the key component of blue carbon storage but also plays an important role in vertical accretion, important for maintaining these habitats under relative sea-level rise. Remote sensing offers a cost-effective approach to study vegetation biomass at a broad spatial scale. We developed statistical models to predict peak aboveground green biomass of Spartina alterniflora and Juncus roemerianus, two dominant species of salt marshes using WorldView-2 satellite imagery at the Grand Bay National Estuarine Research Reserve (NERR) on the Mississippi coast in the northern Gulf of Mexico. The model accounted for nested data structures in the sampled biomass, assimilated uncertainties from data, parameters and model structures, and helped determine the best vegetation index among a variety of commonly-used indices to predict aboveground green biomass. We developed a series of mixed-effects models, which included different combinations of fixed effect(s), random intercept, and random slope(s). The fixed effects were species and one of the 60 vegetation indices derived from a WorldView-2 image obtained on 6 October 2012. The random effect used was site. We implemented the models in a Bayesian framework and selected the best model structure and vegetation index based on minimum posterior predictive loss and deviance information criterion. The results showed that the best vegetation index to predict peak green biomass was the green chlorophyll index derived from the reflectance values of band 8 (near-infrared) and band 3 (green), and its effect on biomass prediction varied among sites. The inclusion of species as a fixed effect improved the model prediction. The study demonstrated the need to account for spatial dependence of data in developing a robust model, and the importance of the second WorldView-2 near-infrared band (860–1040 nm) in predicting aboveground green biomass for the Grand Bay NERR. The analysis using mixed-effects modeling in Bayesian inference which coherently combined field and WorldView-2 data with uncertainties accounted for provides a robust and nondestructive tool for resource managers to monitor the status of coastal wetlands at a high spatial resolution in a timely manner. Through this study, we hope to emphasize the importance of appropriately accounting for nested data structures using mixed-effects models and promote wider application of Bayesian inference to facilitate assimilation of uncertainties in remote sensing applications. © 2018, © 2018 Informa UK Limited, trading as Taylor &amp; Francis Group.</t>
  </si>
  <si>
    <t>2-s2.0-85045331925"</t>
  </si>
  <si>
    <t>10.1007/s12517-018-4039-8</t>
  </si>
  <si>
    <t>https://www.scopus.com/inward/record.uri?eid=2-s2.0-85056359202&amp;doi=10.1007%2fs12517-018-4039-8&amp;partnerID=40&amp;md5=7950540b692324f5f6eece09b7f84e97</t>
  </si>
  <si>
    <t>An examination of river channels has ability to provide substantial information regarding the geomorphic characteristics, control of lithology, tectonic uplift and geomorphic evolution during the geological past of an area. In this paper, a detailed study of geomorphic and structural investigation has been carried out for Pravara basin, Maharashtra, with the help of 90-m resolution SRTM DEM and geospatial techniques. Drainage network analysis performed in this paper demonstrates the general geomorphic characteristics, while the analysis of longitudinal profile synthesises lithological control over Pravara basin. Pravara is a 6th order drainage basin, encompassing an area of 2637 km2. Bifurcation ratio reveals low to moderate structural control. Due to the hard rock lithology, the drainage density and stream frequency are low, and it indicates higher permeability in the sub-surface layers. The shape parameters denote that Pravara is highly elongated and it is easier to control floods in this basin. Relief parameters show very steep slope and higher vulnerability to the slope failure in some areas. Upstream of Pravara river has shown that series of breaks and knickzones indicate active erosion and acute lithological control on the channel. Major breaks are observed only in the main channel whereas in two major tributaries, no such breaks found, instead these tributaries are characterised by several knickzones which indicate regional variation in the lithological physiognomies. Different lithological stages on knickpoint and channel incision substantiate rejuvenation of Pravara river in several phases during geological past. The geospatial methodology carried out in this study can be pragmatic elsewhere around this world to recognise the geomorphic appearances and lithological control of a drainage basin. © 2018, Saudi Society for Geosciences.</t>
  </si>
  <si>
    <t>2-s2.0-85056359202"</t>
  </si>
  <si>
    <t>10.3390/geosciences8120452</t>
  </si>
  <si>
    <t>https://www.scopus.com/inward/record.uri?eid=2-s2.0-85058472114&amp;doi=10.3390%2fgeosciences8120452&amp;partnerID=40&amp;md5=07ea41168511aa0e90147b1291eab30e</t>
  </si>
  <si>
    <t>Climate change will likely affect the effectiveness of future management of coastal ecosystems, impacting communities that reside within the coastal area. In order to formulate appropriate adaptation counter-measures it is important to understand the actual vulnerability of the communities that depend on these ecosystems. The present research proposes a tool for assessing the vulnerability of coastal communities to climate change by combining survey results with secondary and observed data available from national and local governments. The study focused on fisheries, given that they constitute the source of livelihood for many communities in developing countries such as Vietnam. The results showed that two coastal wards in Binh Thuan province, Vietnam, are highly vulnerable to the impacts of climate change, mainly because of their dependence on fisheries and the topography of the area. The seasonality of their source of livelihood affects the adaptive capacity of residents, making it less likely that they will be able to successfully adapt to changes in fishery resources that could be brought about by climate change. The results also showed that the communities are particularly vulnerable to sea level rise, given that they are both located in the immediate vicinity of the sea and are particularly low in elevation. © 2018 by the authors. Licensee MDPI, Basel, Switzerland.</t>
  </si>
  <si>
    <t>2-s2.0-85058472114"</t>
  </si>
  <si>
    <t>10.1111/1755-6724.13735</t>
  </si>
  <si>
    <t>https://www.scopus.com/inward/record.uri?eid=2-s2.0-85059065281&amp;doi=10.1111%2f1755-6724.13735&amp;partnerID=40&amp;md5=68a923be7664935b6fb0ef695efbdd56</t>
  </si>
  <si>
    <t>Water-rich clay to sand suspensions show a shear rate dependent flow behavior and knowledge of the appropriate rheological model is relevant for sedimentological, industrial and hydraulic studies. We present experimental rheological measurements of water-rich (40 to 60 wt%) clay to silt (population A) and silt to sand (population B) suspensions mixed in different proportions. The data evidence a shear rate dependent shear thinning-shear thickening transition. At lower shear rates, the suspensions organize in chains of particles, whereas at higher shear rates, these chains disrupt so increasing the viscosity. The viscosity, consistency and yield stress decrease as the A+B fraction decreases as the content of B particles increases. This behavior reflects the competing effects of the lubrication and frictional processes as a function of particle size and water content. Transitional flows form by the incorporation of small amounts of the finer fraction while ‘oceanic floods’ form at the estuary of rivers and the submarine debris-flows increase their velocity by incorporating water. The critical Reynolds number of the studied suspensions is ∼2000±100 suggesting that the grainsize plays a major role in the laminar to turbulent transition. Our results have implications for the modeling of sediment flows and the hazard related to floods. © 2018 Geological Society of China</t>
  </si>
  <si>
    <t>2-s2.0-85059065281"</t>
  </si>
  <si>
    <t>10.1007/s11852-018-0627-8</t>
  </si>
  <si>
    <t>https://www.scopus.com/inward/record.uri?eid=2-s2.0-85047912496&amp;doi=10.1007%2fs11852-018-0627-8&amp;partnerID=40&amp;md5=06bd921131b039f2602b8a8a43f681d7</t>
  </si>
  <si>
    <t>Storm Xynthia crossed France’s western coast between 28th February and 1st March 2010. It hit the Vendée and Charente-Maritime departments hardest, as storm surge flooded up to 23,000 ha of coastal agricultural areas (i.e. polders), causing severe damage to farming operations. However, farm-level damage in the aftermath of seawater flooding is an issue that has rarely been explored in the literature. Here we investigated the effects of storm Xynthia on agriculture at the farm scale. We focused on the case study of Saint Laurent de la Prée research farm, a mixed crop–livestock system that was severely hit. All damages were described and economic losses were quantified for the years 2010 and 2011. The results show numerous consequences of the storm in terms of crop and fodder production losses, but also farm infrastructure repairs, crop restoration and animal health problems. Economic damage costs were high, reaching €71,720 in 2010 (€500/ha flooded) and €56,195 (€390/ha) in 2011 for the case study farm. The discussion highlights the farm-level impacts of seawater flooding and the crucial factors that can explain the damage caused to agriculture by storm events in coastal areas. The results are also discussed in the wider context of global warming which is expected to cause sea level rise and more frequent storm events in the future. The vulnerability of coastal agricultural areas to storms thus exposes broader issues of coastal flooding risk management and specifically the allied protection–remediation–adaptation measures. The conclusions underline the need for future research to address prospective scenarios and subsequent adaptive strategies. © 2018, Springer Science+Business Media B.V., part of Springer Nature.</t>
  </si>
  <si>
    <t>2-s2.0-85047912496"</t>
  </si>
  <si>
    <t>10.3389/feart.2018.00223</t>
  </si>
  <si>
    <t>https://www.scopus.com/inward/record.uri?eid=2-s2.0-85063665389&amp;doi=10.3389%2ffeart.2018.00223&amp;partnerID=40&amp;md5=72dabc4e2a8737f2e931d3e91fed4a3d</t>
  </si>
  <si>
    <t>Submerged flanks of volcanic islands are prone to hazards including submarine landslides that may trigger damaging tsunamis and sediment-laden seafloor flows (called “turbidity currents”). These hazards can break seafloor infrastructure which is critical for global communications and energy transmission. Small Island Developing States are particularly vulnerable to these hazards due to their remote and isolated nature, small size, high population densities, and weak economies. Despite their vulnerability, few detailed offshore surveys exist for such islands, resulting in a geohazard “blindspot,” particularly in the South Pacific. Understanding how these hazards are triggered is important</t>
  </si>
  <si>
    <t>10.31035/cg2018073</t>
  </si>
  <si>
    <t>https://www.scopus.com/inward/record.uri?eid=2-s2.0-85080936687&amp;doi=10.31035%2fcg2018073&amp;partnerID=40&amp;md5=02943f5fa9d8e816eb8b5cd061d44cd4</t>
  </si>
  <si>
    <t>Shandong has more than 70% of natural coasts are under erosion. Coastal erosion started from the 1970's and became a very serious problem at 1990's. The dramatic decrease of sediment supplies from rivers caused rapid erosion at the delta and estuary areas, especially in the abandoned Yellow River Delta. Most sandy coasts along the Peninsula were eroded due to lack of sand supply and interruption of alongshore sediment drift, sand dredging from the beach or the offshore area caused serious erosion during short time. Sea-level rise causes slow but constant shoreline retreats and became a more serious threat. Different types of hard solutions for coastal protection against erosion were used in Shandong. Seawalls are most widely used, especially at the Yellow River Delta and city center waterfront. Groynes, jetties and breakwater are used on the north and east sandy coast of the Peninsula. Hard approaches are effective to protect the coast erosion but not change the erosion causes and led secondary impact on the coast. Soft engineering solution or the combined solutions are taken into acts. Beach nourishment is mostly considered as the better soft solution, especially to those tourists attracting sandy beaches along the Shandong coast. Long term monitoring and continuous lessons learning from the coastal erosion management will be adaptive for better coast solution in the future. © 2019 Elsevier B.V.</t>
  </si>
  <si>
    <t>2-s2.0-85080936687"</t>
  </si>
  <si>
    <t>10.1016/j.ecolmodel.2018.09.015</t>
  </si>
  <si>
    <t>https://www.scopus.com/inward/record.uri?eid=2-s2.0-85056299459&amp;doi=10.1016%2fj.ecolmodel.2018.09.015&amp;partnerID=40&amp;md5=719940dbd49124f0e7901a4658861ba4</t>
  </si>
  <si>
    <t>This study (i) presents a coupled vegetation-soil model adapted to perennial C4 seasonally flooded semi-arid grasslands; and (ii) applies the model to evaluate changes in the annual productivity of the grasslands of the Tana River Delta, Kenya, under changing flooding conditions. Main plant growth processes are modelled within coupled plant carbon balance and soil water budget modules: photosynthesis, allocation of photosynthates, respiration, translocation of root phytomass to aerial phytomass, senescence and litter production. Aerial phytomass can also be subtracted from the system, to simulate grazing or cutting. New features concern the inclusion of effects of floods on energy conversion efficiency, photosynthate allocation, senescence and litter production. The vegetation model, composed of four phytomass compartments (leaves, stems, roots, aerial dead matter), simulates three main growth phases related to flooding: floods, a post-flood phase and a non-flooded phase. It was designed to be used with limited climatic data. Data collected during a 14-month experiment (2010–2012) in the Tana River Delta, Kenya, in which different irrigation and cutting treatments and flood events were recorded, were used for calibration and validation purposes. Fourteen parameters, selected through a sensitivity analysis, were calibrated on half of these treatments. Uncertainty in parameter estimation was expressed through a stochastic ensemble of simulations. The remaining independent data were used for model validation. Overall, the model predictions are in good agreement with the experimental data. This model can be used to assess the impact of rain variability, grazing or flooding patterns on the annual primary productivity of Sub-Saharan floodplain grasslands composed mainly of Echinochloa stagnina (Retz) P. Beauv. In particular, simulations for the Tana River Delta suggest that past changes in the hydrological regime of the river, as well as future changes due to the construction of hydroelectric infrastructure, have led and will certainly lead to an important decrease of the floodplain grassland productivity. As local and regional livestock keeping activities rely heavily on the dry seasons’ grazing resources available within the wetland, future development plans should seriously consider the negative effects of these changes on local activities and livelihoods.</t>
  </si>
  <si>
    <t>10.1016/j.jag.2018.07.016</t>
  </si>
  <si>
    <t>https://www.scopus.com/inward/record.uri?eid=2-s2.0-85062366522&amp;doi=10.1016%2fj.jag.2018.07.016&amp;partnerID=40&amp;md5=c470359f2d588bf189a4a98c0cb6b2c9</t>
  </si>
  <si>
    <t>River morphology dynamics and river bank erosion were mapped using multi-temporal images acquired in June 2014 and June 2015 by an Unmanned Airborne Vehicle (UAV). The selected study sites are located in two dynamic parts of the floodplain of the river Buëch in the Hautes-Alpes province in south-eastern France. The images were processed using the Structure from Motion algorithm into high spatial resolution OrthoMosaics of 5 cm pixel size and DEMs (Digital Elevation Model) of 10 cm pixel size. The positional and vertical accuracy of the UAV products were evaluated using Real Time Kinematic GPS (RTK-GPS) points measurements of markers laid out in the floodplain during image acquisition. Obtained accuracies are centimeters to decimeters. River morphology such as channel displacements, gravel bank displacement and avulsions were evaluated using the OrthoMosaics. The Buëch river shows mainly braided river properties but at locations some meandering river properties were observed. Bank erosion volume calculations were made by comparing the high spatial resolution DEMs of 2014 and 2015. Accuracy of bank erosion assessment was evaluated using RTK-GPS transects of known sites of bank erosion. Bank retreat could be mapped at centimeter to decimeter detail but sometimes hampered by overhanging vegetation, water glitter and shadows. Our conclusions are that time-series of high spatial resolution UAV images can be acquired in a flexible and easy way, the individual images can nowadays be processed in a straightforward way into suitable products i.e. OrthoMosaics and DEMs which are valuable products for land administrators having a responsibility to survey and monitor rivers and control them. Accuracy of the UAV products is high in XYZ direction and sufficient for river monitoring purposes and for designing management measures. © 2018 Elsevier B.V.</t>
  </si>
  <si>
    <t>2-s2.0-85062366522"</t>
  </si>
  <si>
    <t>10.2166/wp.2018.198</t>
  </si>
  <si>
    <t>https://www.scopus.com/inward/record.uri?eid=2-s2.0-85060689842&amp;doi=10.2166%2fwp.2018.198&amp;partnerID=40&amp;md5=eb6d60976eb5b6d4a8ceb72a672c1a8f</t>
  </si>
  <si>
    <t>The formation of vulnerability to natural hazards consists of many driving factors that represent multi-facets of the subjected system. However, the interactions among these components remain unclear and have not been clarified. Examining these internal relationships helps to improve the accuracy of vulnerability assessments and provides needed focus in flood management. This study employed partial least squares structural equation modeling (PLS-SEM) to discover the interrelationship of household flood vulnerability determinants in Cambodia’s floodplain and Vietnam’s Mekong River Delta. The results show that demographics and social capital have direct influences on flood exposure. In this paper, socioeconomic status can reduce flood effect levels through the mediation of coping capacity. In addition, heterogeneity was also observed between Vietnamese and Cambodian families, highlighting the influence of context on understanding social vulnerability. As the two countries are under threat from hydropower and climate change that profoundly affect flooding, flood management strategies should be improved. The study suggests that the focus should be placed with socioeconomic and coping capacity to sustainably strengthen resilience against flooding. © IWA Publishing 2018.</t>
  </si>
  <si>
    <t>2-s2.0-85060689842"</t>
  </si>
  <si>
    <t>10.1016/j.rsase.2018.08.003</t>
  </si>
  <si>
    <t>https://www.scopus.com/inward/record.uri?eid=2-s2.0-85052896692&amp;doi=10.1016%2fj.rsase.2018.08.003&amp;partnerID=40&amp;md5=291b3dd378685424d83c68765629a221</t>
  </si>
  <si>
    <t>The collapse of Fundão dam in Mariana, Minas Gerais, Brazil, released more than 50 million cubic meters of ore tailings into the environment, representing the world's largest mining disaster. Three analyses estimating the forest loss to the ore tailings were produced soon after the collapse but the values varied threefold between them due to differences in objective and spatial resolution. Our aim was to estimate the riverside forest loss due to the flooding of the ore tailings. We analyzed Landsat Normalized Difference Vegetation Indexes (NDVI) with the digital elevation model (DEM) specific for flooded forest and limited to analyze an area floodable and contiguous from the water stream. Our forest loss quantification resulted in the same order of magnitude than the two of previous estimates. The area other than forest flooded by the ore tailings accounted for 1176.6 ha. The loss of the forest area due to the collapse was 457.6 ha and concentrated along the first 74 km from the Fundão Dam. © 2018 Elsevier B.V.</t>
  </si>
  <si>
    <t>2-s2.0-85052896692"</t>
  </si>
  <si>
    <t>10.5194/nhess-18-2969-2018</t>
  </si>
  <si>
    <t>https://www.scopus.com/inward/record.uri?eid=2-s2.0-85056630797&amp;doi=10.5194%2fnhess-18-2969-2018&amp;partnerID=40&amp;md5=555815917f66690f5772ca7dd630322a</t>
  </si>
  <si>
    <t>Coastal communities and assets are exposed to flooding and erosion hazards due to extreme storm events, which may increase in intensity due to climatological factors in the incoming future. Coastal managers are tasked with developing risk-management plans mitigating risk during all phases of the disaster cycle. This necessitates rapid, time-efficient post-event beach surveys that collect physical data in the immediate aftermath of an event. Additionally, the inclusion of local stakeholders in the assessment process via personal interviews captures the social dimension of the impact of the event. In this study, a local protocol for post-event assessment, the quick-response protocol, was tested on a pilot site on the Emilia-Romagna (Italy) coast in the aftermath of an extreme meteorological event that occurred in February 2015. Physical data were collected using both real-time kinematic Geographical Positions Systems and unmanned aerial vehicle platforms. Local stakeholders were interviewed by collecting qualitative information on their experiences before, during, and after the event. Data comparisons between local and regional surveys of this event highlighted higher data resolution and accuracy at the local level, enabling improved risk assessment for future events of this magnitude. The local survey methodology, although improvable from different technical aspects, can be readily integrated into regional surveys for improved data resolution and accuracy of storm impact assessments on the regional scale to better inform coastal risk managers during mitigation planning. © 2018 Copernicus. All rights reserved.</t>
  </si>
  <si>
    <t>2-s2.0-85056630797"</t>
  </si>
  <si>
    <t>10.1038/s41598-018-32658-x</t>
  </si>
  <si>
    <t>https://www.scopus.com/inward/record.uri?eid=2-s2.0-85054088086&amp;doi=10.1038%2fs41598-018-32658-x&amp;partnerID=40&amp;md5=4ec23732ad551d1d767f669ebdbd1e8b</t>
  </si>
  <si>
    <t>Planning community resilience to sea level rise (SLR) requires information about where, when, and how SLR hazards will impact the coastal zone. We augment passive flood mapping (the so-called “bathtub” approach) by simulating physical processes posing recurrent threats to coastal infrastructure, communities, and ecosystems in Hawai‘i (including tidally-forced direct marine and groundwater flooding, seasonal wave inundation, and chronic coastal erosion). We find that the “bathtub” approach, alone, ignores 35–54 percent of the total land area exposed to one or more of these hazards, depending on location and SLR scenario. We conclude that modeling dynamic processes, including waves and erosion, is essential to robust SLR vulnerability assessment. Results also indicate that as sea level rises, coastal lands are exposed to higher flood depths and water velocities. The prevalence of low-lying coastal plains leads to a rapid increase in land exposure to hazards when sea level exceeds a critical elevation of ~0.3 or 0.6 m, depending on location. At ~1 m of SLR, land that is roughly seven times the total modern beach area is exposed to one or more hazards. Projected increases in extent, magnitude, and rate of persistent SLR impacts suggest an urgency to engage in long-term planning immediately. © 2018, The Author(s).</t>
  </si>
  <si>
    <t>2-s2.0-85054088086"</t>
  </si>
  <si>
    <t>10.1016/j.jhydrol.2018.09.060</t>
  </si>
  <si>
    <t>https://www.scopus.com/inward/record.uri?eid=2-s2.0-85054447762&amp;doi=10.1016%2fj.jhydrol.2018.09.060&amp;partnerID=40&amp;md5=f24425713d3ac6b36ee1cabd22feb47a</t>
  </si>
  <si>
    <t>The longitudinal functional connectivity of river systems refers to the process-based connections between upstream and downstream areas and is fundamental to understanding the dynamic and nonlinear hydrological behaviour of river basins. However, the quantification of such connectivity remains a challenge due to the absence of a consensus on the appropriate data and methods, especially in delta plains. In this study, based on the difference between water level fluctuations at adjacent stations, a new and quantitative longitudinal functional connectivity index (LFCI) was developed for delta plains. Focusing on the Taihu Plain, we then analysed the spatial-temporal changes in the LFCI during 1960–2012 and investigated the correlations between the LFCI and climate change and human activities. We found that the decadal, annual and seasonal changes in the average LFCI all presented slightly increasing trends in the recent 50 period, but the annual average LFCI increased significantly after 1978</t>
  </si>
  <si>
    <t>https://www.scopus.com/inward/record.uri?eid=2-s2.0-85057816448&amp;partnerID=40&amp;md5=7ecd84425a70b13cafc06e329a9e0eef</t>
  </si>
  <si>
    <t>This study analyzes the sedimentary characteristics and evolution of Denglouku formation. There are 5 types of subfacies developed: alluvial fan, fan delta, braided river, braided river delta and lacustrine facies. Influenced by tectonic activity, the sedimentary facies types are different in different sedimentary periods. In the early stage of the transition period named D1 member period, the deposition is significantly controlled by the fault depression, resulting in rapid unloading of the sediments. Five large-scale divided faulted depressions and two small faulted depressions have been developed. During the late stage of the transition period named D2 member period, the unified sediment unloading area is formed, and the lake area expanded, which developed alluvial fan, fan delta, braided river, braided river delta and lacustrine deposits. Taking the community of the floodplain and lacustrine contact zone as a boundary, the western part mainly developed alluvial fan and braided river sedimentary system from the provenance highland in the western and northern, the east part mainly developed lacustrine facies massively. Among them, the fan delta front and braided delta front subfacies are the main enrichment reservoirs for oil and gas, which is the favorable subfacies of oil and gas exploration in the future. © 2018, National Institute of Science Communication and Information Resources (NISCAIR). All rights reserved.</t>
  </si>
  <si>
    <t>2-s2.0-85057816448"</t>
  </si>
  <si>
    <t>10.1002/rra.3349</t>
  </si>
  <si>
    <t>https://www.scopus.com/inward/record.uri?eid=2-s2.0-85052961641&amp;doi=10.1002%2frra.3349&amp;partnerID=40&amp;md5=1909ad8158d4fa7d15bc69efff3d7862</t>
  </si>
  <si>
    <t>Sandbars along the Colorado River in Grand Canyon National Park, USA, are an important recreational resource used as campsites by over 25,000 river runners and hikers annually. The number and size of campsites decreased following the completion of Glen Canyon Dam in 1963 due to reductions of sediment that replenish sandbars and increases in vegetation cover caused by flow regulation. Campsite area continues to decrease despite the use of controlled floods to rebuild sandbars. We quantify the relative magnitude of factors that contribute to changes in campsite size, such as fluvial deposition and erosion, gullying, and vegetation expansion with analysis of four-band aerial imagery and digital elevation models. Campsite area declined by 37% between 2002 and 2016 (an average of 161 m2 per site at long-term monitoring sites). Two drivers contributed to campsite area change: (a) short-term gains and losses associated with controlled floods and flood-deposit erosion and (b) long-term one-directional loss of campsite area caused by vegetation encroachment. There was more erosion and slope change at sites in critical reaches—sections of river where campsites are infrequent or in high demand—than in noncritical reaches. Vegetation continues to expand at campsites under flow regulation, particularly in noncritical reaches. Although controlled floods have contributed to short-term increases in sandbar size, long-term increases in campsite area have not occurred because of sandbar erosion between controlled floods and vegetation expansion. Manual vegetation removal may need to be considered in future management strategies. © 2018 John Wiley &amp; Sons, Ltd.</t>
  </si>
  <si>
    <t>2-s2.0-85052961641"</t>
  </si>
  <si>
    <t>10.1029/2017JC013397</t>
  </si>
  <si>
    <t>https://www.scopus.com/inward/record.uri?eid=2-s2.0-85057714835&amp;doi=10.1029%2f2017JC013397&amp;partnerID=40&amp;md5=7abf2903bea97841b164048a52f8a525</t>
  </si>
  <si>
    <t>Dye-release and numerical modeling experiments are conducted to investigate horizontal dispersion in a partially mixed estuary. Longitudinal dispersion of a dye patch shows marked flood-ebb asymmetry in the first two tidal cycles after a dye release, with most of the dispersion occurring during ebb tides. There are large differences in the dispersion rate between spring and neap tides. Due to increased vertical mixing during spring tides, a dye patch quickly extends from the bottom to the surface and is exposed to the vertical shear in the entire water column, enhancing longitudinal dispersion. In contrast, most of the dye patch is limited to the bottom few meters during the neap tides. Although decreased vertical mixing during neap tides facilitates longitudinal dispersion, the vertical shear across the thin dye patch in the bottom layer is much weaker than the full water column shear in spring tides. Decreased shear leads to reduced longitudinal dispersion. After four tidal cycles, the second moment of the dye patch increases with time in the along-channel direction at a power of between 2 and 3. The longitudinal dispersion rate varies as the four thirds power of the dye patch size, indicating scale-dependent diffusion. ©2018. American Geophysical Union. All Rights Reserved.</t>
  </si>
  <si>
    <t>2-s2.0-85057714835"</t>
  </si>
  <si>
    <t>10.5194/hess-22-5967-2018</t>
  </si>
  <si>
    <t>https://www.scopus.com/inward/record.uri?eid=2-s2.0-85057194927&amp;doi=10.5194%2fhess-22-5967-2018&amp;partnerID=40&amp;md5=fc1b1f575740f2868641708c77c1d388</t>
  </si>
  <si>
    <t>The production of spatially accurate representations of potential inundation is often limited by the lack of available data as well as model complexity. We present in this paper a new approach for rapid inundation mapping, MHYST, which is well adapted for data-scarce areas; it combines hydraulic geometry concepts for channels and DEM data for floodplains. Its originality lies in the fact that it does not work at the cross section scale but computes effective geometrical properties to describe the reach scale. Combining reach-scale geometrical properties with 1-D steady-state flow equations, MHYST computes a topographically coherent relation between the “height above nearest drainage” and streamflow. This relation can then be used on a past or future event to produce inundation maps. The MHYST approach is tested here on an extreme flood event that occurred in France in May–June 2016. The results indicate that it has a tendency to slightly underestimate inundation extents, although efficiency criteria values are clearly encouraging. The spatial distribution of model performance is discussed and it shows that the model can perform very well on most reaches, but has difficulties modelling the more complex, urbanised reaches. MHYST should not be seen as a rival to detailed inundation studies, but as a first approximation able to rapidly provide inundation maps in data-scarce areas.</t>
  </si>
  <si>
    <t>10.1007/s10113-018-1360-4</t>
  </si>
  <si>
    <t>https://www.scopus.com/inward/record.uri?eid=2-s2.0-85047827934&amp;doi=10.1007%2fs10113-018-1360-4&amp;partnerID=40&amp;md5=e4c880ff9394b71ee15a057a97da2fa4</t>
  </si>
  <si>
    <t>This contribution presents an assessment of the potential vulnerabilities to climate variability and change (CV &amp; C) of the critical transportation infrastructure of Caribbean Small Island Developing States (SIDS). It focuses on potential operational disruptions and coastal inundation forced by CV &amp; C on four coastal international airports and four seaports in Jamaica and Saint Lucia which are critical facilitators of international connectivity and socioeconomic development. Impact assessments have been carried out under climatic conditions forced by a 1.5 °C specific warming level (SWL) above pre-industrial levels, as well as for different emission scenarios and time periods in the twenty-first century. Disruptions and increasing costs due to, e.g., more frequent exceedance of high temperature thresholds that could impede transport operations are predicted, even under the 1.5 °C SWL, advocated by the Alliance of Small Island States (AOSIS) and reflected as an aspirational goal in the Paris Climate Agreement. Dynamic modeling of the coastal inundation under different return periods of projected extreme sea levels (ESLs) indicates that the examined airports and seaports will face increasing coastal inundation during the century. Inundation is projected for the airport runways of some of the examined international airports and most of the seaports, even from the 100-year extreme sea level under 1.5 °C SWL. In the absence of effective technical adaptation measures, both operational disruptions and coastal inundation are projected to increasingly affect all examined assets over the course of the century. © 2018, Springer-Verlag GmbH Germany, part of Springer Nature.</t>
  </si>
  <si>
    <t>2-s2.0-85047827934"</t>
  </si>
  <si>
    <t>10.3390/hydrology5040052</t>
  </si>
  <si>
    <t>https://www.scopus.com/inward/record.uri?eid=2-s2.0-85059233485&amp;doi=10.3390%2fhydrology5040052&amp;partnerID=40&amp;md5=26437d88763e32e57662c536860a7f59</t>
  </si>
  <si>
    <t>Hydraulic modeling is a fundamental tool for managing and mitigating flood risk. Developing low resolution hydraulic models, providing consistent inundation simulations with shorter running time, as compared to high-resolution modeling, has a variety of potential applications. Rapid coarse resolution flood models can support emergency management operations as well as the coupling of hydrodynamic modeling with climate, landscape and environmental models running at the continental scale. This work sought to investigate the uncertainties of input parameters and bidimensional (2D) flood wave routing simulation results when simplifying the terrain mesh size. A procedure for fluvial channel bathymetry interpolation and floodplain terrain data resampling was investigated for developing upscaled 2D inundation models. The proposed terrain processing methodology was tested on the Tiber River basin evaluating coarse (150 m) to very coarse (up to 700 m) flood hazard modeling results. The use of synthetic rectangular cross sections, replacing surveyed fluvial channel sections, was also tested with the goal of evaluating the potential use of geomorphic laws providing channel depth, top width and flow area when surveyed data are not available. Findings from this research demonstrate that fluvial bathymetry simplification and DTM resampling is feasible when the terrain data resampling and fluvial cross section interpolation are constrained to provide consistent representation of floodplain morphology, river thalweg profile and channel flow area. Results show the performances of low-resolution inundation simulations running in seconds while maintaining a consistent representation of inundation extents and depths. © 2018 by the authors.</t>
  </si>
  <si>
    <t>2-s2.0-85059233485"</t>
  </si>
  <si>
    <t>10.2112/JCOASTRES-D-17-00211.1</t>
  </si>
  <si>
    <t>https://www.scopus.com/inward/record.uri?eid=2-s2.0-85056726036&amp;doi=10.2112%2fJCOASTRES-D-17-00211.1&amp;partnerID=40&amp;md5=763d34c7ef2052ba44e7dac2ade03139</t>
  </si>
  <si>
    <t>Amante, C.J., 2018. Estimating coastal digital elevation model uncertainty. Integrated bathymetric-topographic digital elevation models (DEMs) are representations of Earth's solid surface that extend across the coastal land-water interface. DEMs are fundamental to the modeling of coastal processes, including tsunami, storm-surge, and sea-level-rise inundation. Vertical errors in coastal DEMs are deviations in elevation values from the actual seabed or land surface, which originate from the (1) elevation measurements, (2) datum transformation that converts bathymetric and topographic measurements to a common vertical reference system, (3) spatial resolution of the DEM, and (4) interpolative gridding technique that estimates elevations in areas unconstrained by measurements. The magnitude and spatial distribution of the vertical errors are typically unknown, and a DEM uncertainty surface is a statistical assessment of the likely magnitude of these errors. The National Oceanic and Atmospheric Administration National Centers for Environmental Information develops DEMs for United States' coastal communities. This study describes a methodology to derive uncertainty surfaces that estimate coastal DEM vertical errors at the DEM cell-level. A coastal DEM south of Sarasota, Florida is the case study for deriving uncertainty surfaces. Results indicate that large vertical uncertainty exists in deeper waters offshore with sparse echo-sounder measurements, and small vertical uncertainty exists on flat terrains with dense light detection and ranging measurements. The estimated uncertainty can be propagated into the modeling of coastal processes that utilize DEMs by deriving numerous plausible DEM realizations within the uncertainty bounds. The numerous DEMs realizations can then produce an ensemble of coastal modeling results, and in turn, better-informed coastal management decisions. © Coastal Education and Research Foundation, Inc. 2018.</t>
  </si>
  <si>
    <t>2-s2.0-85056726036"</t>
  </si>
  <si>
    <t>10.1017/njg.2018.11</t>
  </si>
  <si>
    <t>https://www.scopus.com/inward/record.uri?eid=2-s2.0-85054920940&amp;doi=10.1017%2fnjg.2018.11&amp;partnerID=40&amp;md5=6c34db4aaa8eafc1be8c108fd063c608</t>
  </si>
  <si>
    <t>The urbanised peat-rich coastal-deltaic plain of the Netherlands is severely subsiding due to human-induced phreatic groundwater level lowering, as this causes peat layers to compress and oxidise. To determine the potential susceptibility of this area to future subsidence by peat compression and oxidation, the effects of lowering present-day phreatic groundwater levels were quantitatively evaluated using a subsidence model. Input were a 3D geological subsurface voxel-model, modelled phreatic groundwater levels, and functions for peat compression and oxidation. Phreatic groundwater levels were lowered by 0.25 and 0.5m, and the resulting peat compression and oxidation over periods of 15 and 30 years were determined. The model area comprised the major cities Amsterdam and Rotterdam, and their surrounding agricultural lands. The results revealed that for these scenarios agricultural areas may subside between 0.3 and 0.8m</t>
  </si>
  <si>
    <t>10.1007/s11852-018-0625-x</t>
  </si>
  <si>
    <t>https://www.scopus.com/inward/record.uri?eid=2-s2.0-85048004471&amp;doi=10.1007%2fs11852-018-0625-x&amp;partnerID=40&amp;md5=7b5bb0fb0c1f71e5d4ca1fa2db5b14de</t>
  </si>
  <si>
    <t>The Canary Islands have a long coastline with varying levels of exposure to severe sea conditions. Frequent states of alert and emergency in some parts of their coastline are commonly related to the occurrence of extreme wave conditions. Among the phenomena directly driven by the waves when reaching the shore are the wave run-up and overtopping. Both the study of the flood level, including its variability, and the associated risks are key tools in the planning and management of coastal zones. The aim of this research is to examine the probability of occurrence of run-up events capable of exceeding different topographical levels, for estimating the risk level associated with flooding of the different areas in which the Boca Barranco Beach can be divided, in terms of their nature and use. This beach is located on the island of Gran Canaria, Spain, and is part of the site of scientific interest of Jinámar. A large wave dataset is used as input to a high-resolution numerical model for propagating offshore wave conditions to shallow waters in the study area. Furthermore, the morphology of the study area is reproduced by combining different bathymetric databases. Finally, the probability of occurrence of different levels of run-up and the corresponding levels of consequences are assigned, to assess the flood risk in the different areas of the beach, which are presented in a risk map of flooding in the study area. © 2018, Springer Science+Business Media B.V., part of Springer Nature.</t>
  </si>
  <si>
    <t>2-s2.0-85048004471"</t>
  </si>
  <si>
    <t>10.1002/joc.5724</t>
  </si>
  <si>
    <t>https://www.scopus.com/inward/record.uri?eid=2-s2.0-85052378342&amp;doi=10.1002%2fjoc.5724&amp;partnerID=40&amp;md5=dad32d58931d669fa1391d1c05fe8041</t>
  </si>
  <si>
    <t>Extreme precipitation and associated flooding cause severe damage to society and the environment. Future climate projections suggest an intensification of precipitation extremes in many regions. However, there is an increasing need for climate change impact assessment at higher spatial resolution, particularly for regions with complex geography such as Southeast Asia (SEA). In this study, we analysed the NASA Earth Exchange 0.25° resolution daily precipitation projections from an ensemble of 20 climate models under two emission scenarios RCP4.5 and RCP8.5. The variability in future precipitation projections is analysed and quantified for six geographical subregions, two climatological regions (wet and dry), and the low-elevation coastal zones in SEA. Various aspects of precipitation structure are studied using indices that characterize precipitation amount, number of heavy precipitation days, extreme precipitation amount, and maximum daily precipitation at annual and seasonal scales. The results show substantial increases in mean and extreme precipitation in many parts of SEA by the end of the 21st century under both emission scenarios, thus increasing the region's vulnerability to precipitation-driven hazards. The projected centennial increase in total annual precipitation relative to the baseline period of 1970–1999 when averaged over all land grid cells is about 15% under RCP8.5 scenario, with larger values (∼20%) over mainland SEA and Philippines and smaller values (∼6%) in Java island. The projected changes in extreme precipitation are stronger compared to the total annual precipitation under both emission scenarios. The New Guinea and Java regions show the largest and smallest increases in annual maximum daily precipitation, with ensemble mean values of 30 and 17%, respectively, under RCP8.5 scenario. The results also reveal large inter-model spread in projected changes, particularly during boreal winter and summer months. © 2018 Royal Meteorological Society</t>
  </si>
  <si>
    <t>2-s2.0-85052378342"</t>
  </si>
  <si>
    <t>10.1007/s10584-018-2334-8</t>
  </si>
  <si>
    <t>https://www.scopus.com/inward/record.uri?eid=2-s2.0-85056736581&amp;doi=10.1007%2fs10584-018-2334-8&amp;partnerID=40&amp;md5=5edd2870d5d56fe8d952fad558c70f38</t>
  </si>
  <si>
    <t>Large-area coastal exposure and impact analysis has focussed on using sea-level rise (SLR) scenarios and has placed little emphasis on socioeconomic scenarios, while neglecting spatial variations of population dynamics. We use the Dynamic Interactive Vulnerability Assessment (DIVA) Framework to assess the population exposed to 1 in 100-year coastal flood events under different population scenarios, that are consistent with the shared socioeconomic pathways (SSPs)</t>
  </si>
  <si>
    <t>10.1038/s41598-018-25410-y</t>
  </si>
  <si>
    <t>https://www.scopus.com/inward/record.uri?eid=2-s2.0-85046700037&amp;doi=10.1038%2fs41598-018-25410-y&amp;partnerID=40&amp;md5=afb72036b81041f4e4952907693a7abc</t>
  </si>
  <si>
    <t>Broad scale assessments of impacts associated with sea level rise have mainly been undertaken using ocean water level data from tide gauges located in harbours and ports assuming that these can be applied directly in mapping inundation throughout estuaries. On many coasts, however, exposure to sea level rise comes about through inundation adjacent to rivers and estuaries, in many instances far from the ocean. In this study, we examine the potential impacts of sea level rise within the diverse estuaries of South East Australia. We use an extensive and long-term water level data set, which show that water levels within the different types of estuaries vary from ocean water levels. We map potential inundation scenarios for each estuary using an approach which improves on the commonly used bath tub method by allowing for variation in tidal processes both between and along estuaries. We identify considerable exposure to future sea level rise, and variable suitability of the bath tub method within different estuaries. Exposure is particularly high around tidal lake systems, where reduced tidal ranges have allowed development to occur in relative proximity to present sea level, and around larger coastal rivers, which feature extensive low-lying plains exposed to potential inundation. © 2018 The Author(s).</t>
  </si>
  <si>
    <t>2-s2.0-85046700037"</t>
  </si>
  <si>
    <t>10.1016/j.coldregions.2018.08.009</t>
  </si>
  <si>
    <t>https://www.scopus.com/inward/record.uri?eid=2-s2.0-85052907368&amp;doi=10.1016%2fj.coldregions.2018.08.009&amp;partnerID=40&amp;md5=4d20cd5c2ddbd14dd1aa89e8435c8ec5</t>
  </si>
  <si>
    <t>Major ice jams forming in the lower reaches of Peace River during the spring breakup of the ice cover are the main agents of flooding and replenishment of the Peace–Athabasca Delta ecosystem. Their paucity following construction of the Bennett Dam (1968) and the potential impacts of climate change have raised concerns regarding habitat degradation. The most recent ice-jam flood, which occurred in 2014, was the fifth in the post-regulation period. Relative to previous occasions, the 2014 event was monitored in considerable detail. Unusually complete water level recordings at Delta hydrometric stations, high-water-mark elevations, and aerial observations furnish adequate quantitative evidence for application of numerical models. Ice-jam modelling capability is essential to quantification of flow magnitudes that help replenish the Delta and can facilitate assessment of climate-change impacts on flood frequency and development of adaptation strategies. Following a brief chronology of the 2014 ice breakup in the lower Peace River and presentation of key hydrometric data, the user-friendly, public-domain model HEC-RAS is briefly described and its setup for the lower Peace River outlined. It is then calibrated and validated on two ice jam configurations that occurred on distinct dates. Application of the calibrated model to different ice-jam scenarios indicated that jams of moderate, rather than extreme, length are more effective in flooding of the Delta. © 2018</t>
  </si>
  <si>
    <t>2-s2.0-85052907368"</t>
  </si>
  <si>
    <t>https://www.scopus.com/inward/record.uri?eid=2-s2.0-85077390277&amp;partnerID=40&amp;md5=a28ef0e39e21050cc177fdbb94adc831</t>
  </si>
  <si>
    <t>Rural fresh water and sanitation (RFWS) is one of vulnerable sector in the context of climate change (CC). However, vulnerability to CC of RFWS has not yet been assessed in-depth and hardly considered the integrated approach via index method. This study thus aimed to establish vulnerability indicators to CC of RFWS for a comprehensive assessment. By literature review, factors reflecting exposure, sensitivity, and adaptive capacity to CC of RFWS were sufficiently and systematically determined. Expert consulting method was then applied to complete the indicator set, consisting of 53 indicators. There were 22 variables reflecting the exposure to temperature, precipitation, storm, flood, riverbank landslide, saltwater intrusion, and drought</t>
  </si>
  <si>
    <t>10.1080/01431161.2018.1504341</t>
  </si>
  <si>
    <t>https://www.scopus.com/inward/record.uri?eid=2-s2.0-85051781750&amp;doi=10.1080%2f01431161.2018.1504341&amp;partnerID=40&amp;md5=38cec3e6371113c97c199480cf8d9423</t>
  </si>
  <si>
    <t>Across the oceans shorelines, monitoring the topography of the intertidal zone is generally challenging. The present study is motivated by the recognized role of the intertidal topography in the near-shore hydrodynamics. We consider the region of Chittagong (northern Bay of Bengal) because of its propensity to powerful cyclone surges and associated inundation hazard. So as to curb the lack of in situ knowledge of intertidal topography, we present an original procedure relying on spaceborne optical imagery. Our method essentially amounts to a water line detection performed at various tidal levels. We apply our procedure to the recent PROBA-V (Project for On-Board Autonomy-Vegetation) multi-spectral imagery mission. The first step of our procedure concerns the shoreline extraction. PROBA-V imagery consists of four bands (Red, Blue, near-infrared–NIR, short-wave infrared–SWIR), which are then combined to generate an artificial red-green-blue (RGB) image. This RGB image is then converted into the hue-saturation-value (HSV) colour space. A simple thresholding is applied to hue and value channels to separate water masses from land masses. This process is applied to several images taken at different water levels (i.e. different parts of the tidal cycle) and the corresponding water lines are inferred. To estimate the altitude level of the water lines, we rely on tidal observations from two gauges located at Chittagong and Cox’s Bazar. We operate an ad-hoc extrapolation of the point-wise gauge data to generate a synthetic tidal water level record all along the shoreline. These synthetic tidal heights are then combined with the shorelines to generate the final digital elevation model (DEM). The DEM we generated covers a 40-km long stretch of shoreline around Chittagong city. We assessed this DEM by comparison with two independent data sets based on in situ surveys as well as on Pléiades spaceborne stereoscopy. We conclude that our DEM is accurate within 1 m to 2 m, which is within the error bar of these validation data sets. Our procedure being essentially objective, it is easy to automate, for processing of other imagery satellite, including at high resolution and/or in real time. © 2018, © 2018 Informa UK Limited, trading as Taylor &amp; Francis Group.</t>
  </si>
  <si>
    <t>2-s2.0-85051781750"</t>
  </si>
  <si>
    <t>10.1007/s11069-018-3486-6</t>
  </si>
  <si>
    <t>https://www.scopus.com/inward/record.uri?eid=2-s2.0-85053906090&amp;doi=10.1007%2fs11069-018-3486-6&amp;partnerID=40&amp;md5=ad403d4229268a61ac8c9dd7d9be196e</t>
  </si>
  <si>
    <t>The Bolivian Andes have experienced sustained and widespread glacier mass loss in recent decades. Glacier recession has been accompanied by the development of proglacial lakes, which pose a glacial lake outburst flood (GLOF) risk to downstream communities and infrastructure. Previous research has identified three potentially dangerous glacial lakes in the Bolivian Andes, but no attempt has yet been made to model GLOF inundation downstream from these lakes. We generated 2-m resolution DEMs from stereo and tri-stereo SPOT 6/7 satellite images to drive a hydrodynamic model of GLOF flow (HEC-RAS 5.0.3). The model was tested against field observations of a 2009 GLOF from Keara, in the Cordillera Apolobamba, and was shown to reproduce realistic flood depths and inundation. The model was then used to model GLOFs from Pelechuco lake (Cordillera Apolobamba) and Laguna Arkhata and Laguna Glaciar (Cordillera Real). In total, six villages could be affected by GLOFs if all three lakes burst. For sensitivity analysis, we ran the model for three scenarios (pessimistic, intermediate, optimistic), which give a range of ~ 1100 to ~ 2200 people affected by flooding</t>
  </si>
  <si>
    <t>10.1016/j.icarus.2017.09.014</t>
  </si>
  <si>
    <t>https://www.scopus.com/inward/record.uri?eid=2-s2.0-85030865864&amp;doi=10.1016%2fj.icarus.2017.09.014&amp;partnerID=40&amp;md5=2f11c69a4ed7800853e9ef9581f10aa8</t>
  </si>
  <si>
    <t>The dwarf planet Ceres has been explored by NASA's Dawn spacecraft with the goal of characterizing its geology, mineralogy, topography, shape, and internal structure. One outcome of this exploration is the production of geologic maps, meant to unveil the geologic history of Ceres. In this paper, we present the geologic map of the Ac-6 Haulani quadrangle (Lat. 22°S-22°N, Long. 0°–72°E) based on Low Altitude Mapping Orbit (LAMO) (∼35 m/pixel) data supplemented with color and spectral data, as well as a digital terrain model from the High Altitude Mapping Orbit (HAMO) (∼135 m/pixel, vertical accuracy of about 10 m). The 34 km diameter Haulani crater is one of the youngest features on Ceres and the most prominent one in the quadrangle. Haulani was formed on a topographical transition in north–south direction and shows a complex morphology with a variety of lobate flows and tectonic features. Multiple cracks and depressions around the crater indicate the failure of subsurface material. These were likely formed by the subsidence of material due to the instability of the subsurface. The mapping of Ac-6 Haulani suggests that Ceres is built up of layers with different material properties. We propose that Ceres has a solid crust and a variable ice-rich subsurface consistent with previous and recent models of Ceres' interior. © 2017 Elsevier Inc.</t>
  </si>
  <si>
    <t>2-s2.0-85030865864"</t>
  </si>
  <si>
    <t>10.3390/geosciences8120437</t>
  </si>
  <si>
    <t>https://www.scopus.com/inward/record.uri?eid=2-s2.0-85058496752&amp;doi=10.3390%2fgeosciences8120437&amp;partnerID=40&amp;md5=a04d10338e5c1139dc34c78c8a5fcc3c</t>
  </si>
  <si>
    <t>This work analyzes the components of the total water level (TWL) that cause flooding in a tropical coastal area (Nha Trang beach, Southeast of Vietnam), and examines their link with global mean sea level rise (GMSLR). Interactions between the wave induced run-up (R) and astronomical tide (AT) were responsible for 43% of the 35 flooding events identified between 1993 and 2015. Most of these events (97%) took place during the winter monsoon season, when long-lasting extreme R and positive non-tidal residual (NTR) are likely to occur. Removal of the GMSLR trend from the NTR was found to affect the flood occurrence of 17% of these events, while the trend in wave height did not have any detectable impact. Our research highlights the direct connection between global climate changes and coastal flooding events. © 2018 by the authors. Licensee MDPI, Basel, Switzerland.</t>
  </si>
  <si>
    <t>2-s2.0-85058496752"</t>
  </si>
  <si>
    <t>10.1186/s13717-018-0144-6</t>
  </si>
  <si>
    <t>https://www.scopus.com/inward/record.uri?eid=2-s2.0-85054154444&amp;doi=10.1186%2fs13717-018-0144-6&amp;partnerID=40&amp;md5=85c314d933828c44693676d4e6c0ecb4</t>
  </si>
  <si>
    <t>Introduction: Flood recession farming, locally known as molapo farming, is an important livelihood activity for the subsistence farming community around the Okavango Delta. The study was aimed at investigating the influence of cultivation frequency on non-crop species composition. It was carried out in the peripheral settlements of Shorobe, Makalamabedi and Lake Ngami. Methods: Vegetation sampling was conducted from March to April 2016 in 36 fields of varying historical cultivation frequencies. The cultivation frequencies were 5, 10 and 15 years with an uncropped control site. Sampling was done in 1-m2 quadrats placed 10 m apart along a line transect. Shannon’s diversity and equitability indices were used to compare diversity for each cultivation frequency within and across the study sites. The Kruskal–Wallis test was used to investigate significant differences in diversity between cultivation frequencies. Rank of abundance was used to determine the association of weeds with the cultivation frequencies. Results: Cultivation frequency did not influence species diversity (p &gt; 0.05) at either Lake Ngami or Shorobe. Species evenness was significantly different (p &lt; 0.05) between the cultivation frequencies at Shorobe, but not at either Makalamabedi or Lake Ngami. There was a significant difference (p &lt; 0.05) in diversity indexes across the four cultivation frequencies. The 5-year frequency recorded the highest median score (Md = 1.352) while the 15-year frequency recorded the lowest median score (Md = 1.035). Corchorus tridens was the most abundant non-crop species at the 5- and 15-year frequencies. Cynodon dactylon was most abundant in the 10-year frequency while Cyperus esculentus was most abundant in uncropped fields. Conclusions: Cultivation frequency influenced weed species diversity and composition in flood recession farming. Flood recession farming fields were dominated by common weed species which are also troublesome in dryland arable farming. Uncropped sites were composed of wetland species that tolerate some dry periods or seasonal flood plains. © 2018, The Author(s).</t>
  </si>
  <si>
    <t>2-s2.0-85054154444"</t>
  </si>
  <si>
    <t>10.1007/s11852-018-0619-8</t>
  </si>
  <si>
    <t>https://www.scopus.com/inward/record.uri?eid=2-s2.0-85045725187&amp;doi=10.1007%2fs11852-018-0619-8&amp;partnerID=40&amp;md5=60cb80fd8e64f038777888847c8d2350</t>
  </si>
  <si>
    <t>Climate change intensifies the pressure on the coastal zone, endangering ecosystems, socioeconomic activities and coastal infrastructure, with direct impact on the economy of these areas. Although coastal hazard effects have been widely studied, the lack of information in local scale prevents a more effective urban and natural resources management. In order to assess coastal sensitivity and the population exposure to sea level rise, this study evaluated and adapted an index to represent sectors more likely to suffer from the effects of erosion and flooding along the coast of Santa Catarina Island, Brazil. A methodology centred on segmentation and index-based strategies was adapted to the local conditions, using criteria representing coastal geomorphology and dynamics to assess natural sensitivity, which was combined with census data to represent population exposure. Santa Catarina Island was chosen as a test site for three reasons: (a) the existence of a full set of previous data</t>
  </si>
  <si>
    <t>10.1080/01431161.2018.1490977</t>
  </si>
  <si>
    <t>https://www.scopus.com/inward/record.uri?eid=2-s2.0-85049564730&amp;doi=10.1080%2f01431161.2018.1490977&amp;partnerID=40&amp;md5=e26db859dbdcd108a146014dc2a406ca</t>
  </si>
  <si>
    <t>River deltas are very complex environments vulnerable to flooding. Most of the world’s deltas are facing the immediate threat of land subsidence that jeopardizes the safety of millions of people worldwide. In Italy, the Po River Delta (PRD) (Northeast Italy) is an area historically affected by high rate of subsidence due to natural and anthropic factors. Even if the subsidence rates remarkably reduced during the last three decades, this process continues to be alarming in particular in low-lying sectors and along the coastline, where the loss of elevation, combined with the sea-level rise, increases the risk related to flooding. In this study, we monitored the subsidence affecting the entire PRD area with advanced differential interferometric synthetic aperture radar (A-DInSAR) techniques applied to three C-band SAR data sets acquired by the European Remote Sensing satellites, Environmental Satellite, and Sentinel-1A satellite in the last 25 years (from 1992 to 2017). The results of the interferometric processing, consisting of both mean velocity and displacement time series along the satellite line of sight, validated by comparison with levelling and global positioning system measurements, show increasing subsidence moving from the inland to the coastline, with maximum deformation velocities, for the most recent data, in the order of −30 mm year−1. In particular, many embankments near the coastal area are affected by high values of subsidence, which increase the flooding hazard of the entire deltaic territory. This work shows the importance of adopting A-DInSAR techniques to update the knowledge of the extent and rates of deformation of subsiding areas in low-lying territories such as river deltas. The outputs of such monitoring can be of primary importance for the future protection of the territory and the flooding risk mitigation. © 2018, © 2018 Informa UK Limited, trading as Taylor &amp; Francis Group.</t>
  </si>
  <si>
    <t>2-s2.0-85049564730"</t>
  </si>
  <si>
    <t>10.1016/j.envsci.2018.09.015</t>
  </si>
  <si>
    <t>https://www.scopus.com/inward/record.uri?eid=2-s2.0-85054090771&amp;doi=10.1016%2fj.envsci.2018.09.015&amp;partnerID=40&amp;md5=4e301a968d89a56d077a95a8b1a940e4</t>
  </si>
  <si>
    <t>San Francisco Bay, the largest estuary on the Pacific Coast of North America, is heavily encroached by a metropolitan region with over 7 million inhabitants. Urban development and infrastructure, much of which built over landfill and at the cost of former baylands, were placed at very low elevations. Sea level rise (SLR) poses a formidable challenge to these highly exposed urban areas and already stressed natural systems. “Green” or ecosystem-based, adaptation is already on the way around the Bay. Large scale wetland restoration projects have already been concluded, and further action now often requires articulation with the reinforcement of flood defense structures, given the level of urban encroachment. While levee setback, or removal, would provide greater environmental benefit, the need to protect urban areas and infrastructure has led to the trial of ingenious solutions for promoting wetland resilience while upgrading the level of protection provided by levees. We analyzed the region's environmental governance and planning structure, through direct observation, interviews with stakeholders, and study of planning documents and projects. We present two examples where actual implementation of SLR adaptation has led, or may lead to, the need to revise standards and practices or require uneasy choices between conflicting public interests. Among the region's stakeholders, there is an increasing awareness of the risks related to SLR, but the institutional arrangements are complex, and communication between the different public agencies/departments is not always as streamlined as it could be. Some agencies and departments need to adapt their procedures in order to remove institutional barriers to adaptation, but path dependence is an obstacle. There is evidence that more frank and regular communication between public actors is needed. It also emphasizes the benefits of a coordination of efforts and strategies, something that was eroded in the transition from central-government-led policies to a new paradigm of local-based adaptive governance. © 2018 Elsevier Ltd</t>
  </si>
  <si>
    <t>2-s2.0-85054090771"</t>
  </si>
  <si>
    <t>10.1016/j.envsoft.2018.07.022</t>
  </si>
  <si>
    <t>https://www.scopus.com/inward/record.uri?eid=2-s2.0-85053205747&amp;doi=10.1016%2fj.envsoft.2018.07.022&amp;partnerID=40&amp;md5=e786bc54bfd343490bf3335a81253dd8</t>
  </si>
  <si>
    <t>Coupled models of coastal hazards, ecosystems, socioeconomics, and landscape management in conjunction with alternative scenario analysis provide tools that can allow decision-makers to explore effects of policy decisions under uncertain futures. Here, we describe the development and assessment of a set of model-based alternative future scenarios examining climate and population driven landscape dynamics for a coastal region in the U.S. Pacific Northwest. These scenarios incorporated coupled spatiotemporal models of climate and coastal hazards, population and development, and policy and assessed a variety of landscape metrics for each scenario. Coastal flooding and erosion were probabilistically simulated using 99 future 95-year climate scenarios. Five policy scenarios were iteratively co-developed by researchers and stakeholders in Tillamook County, Oregon. Results suggest that both climate change and management decisions have a significant impact across the landscape, and can potentially impact geographic regions at different magnitudes and timescales. © 2018 Elsevier Ltd</t>
  </si>
  <si>
    <t>2-s2.0-85053205747"</t>
  </si>
  <si>
    <t>10.1016/j.geomorph.2018.08.020</t>
  </si>
  <si>
    <t>https://www.scopus.com/inward/record.uri?eid=2-s2.0-85052153049&amp;doi=10.1016%2fj.geomorph.2018.08.020&amp;partnerID=40&amp;md5=0f153ee5810f2a7ef8bd739343654738</t>
  </si>
  <si>
    <t>One of the most destructive tropical cyclones ever to strike the U.S., Hurricane Katrina made landfall along the Mississippi coast on 29th August 2005. The Mississippi-Alabama (MS-AL) barrier islands were subjected to storm breaching, area reduction, and vegetation loss caused by a number of parameters including salt spray, saltwater flooding, mechanical damage (e.g., ablation of bark from tree trunks), removal of plants and their soil substrate by scouring, burial under sand, and a 10-month, post-storm period of low rainfall. Repeated acquisitions of remotely-sensed data served as an essential tool in quantifying vegetated and total land area before and after the storm, and post-storm ecological community type and topographic elevation. Vegetated land area continued to decline on some islands in the first year following the storm. However, by November 2007, only 2.2 years after the storm, total vegetated land area had recovered to 72, 96, 77, 93, and 82%, and total subaerial land area to 97, 94, 33, 100, and 104%, of pre-Katrina values on Cat, W. Ship, E. Ship, Horn, and Petit Bois islands by natural re-growth and sediment accretion, respectively. Comparing ecological community-type maps that were developed from field and remotely-sensed data with LiDAR-derived digital elevation models determined that year 2010 ecological community type changed distinctively at the decimeter scale as mean surface elevation ranged from 0.1 m to 1.2 m. Storm-related changes in ecological community type included subtidal to supratidal sand flat, low marsh to wet or dry herbland, and woodland to wet herbland/shrubland. © 2018 Elsevier B.V.</t>
  </si>
  <si>
    <t>2-s2.0-85052153049"</t>
  </si>
  <si>
    <t>10.1007/s11001-017-9333-4</t>
  </si>
  <si>
    <t>https://www.scopus.com/inward/record.uri?eid=2-s2.0-85033361474&amp;doi=10.1007%2fs11001-017-9333-4&amp;partnerID=40&amp;md5=d31dae36355ccbf87dd8295d8ea7dedb</t>
  </si>
  <si>
    <t>This study presents an analysis of the single-channel high-resolution shallow seismic reflection data from Lake Erçek, eastern Anatolia, to provide key information on the deformational elements, on the fault patterns and on the overall tectonic structure of the Lake Erçek Basin. High-resolution seismic data reveal major structural and deformational features, including N–S trending normal faults and W–E trending reverse faults bounding the Lake Erçek Basin, basement highs and folded structures along the marginal sections of the lake. The N–S trending normal faults asymmetrically control the steep western margin and the gentle eastern deltaic section, while the W–E trending reverse faults appear at the northern and southern margins. The N–S trending normal faults, half-graben structure, and the gradual thickening of sediments in the Erçek Basin toward the fault scarps strongly suggest an extensional tectonic regime resulting from an N–S compression. The Erçek Basin is an extension-controlled depocenter</t>
  </si>
  <si>
    <t>10.1016/j.rsase.2018.09.001</t>
  </si>
  <si>
    <t>https://www.scopus.com/inward/record.uri?eid=2-s2.0-85053378594&amp;doi=10.1016%2fj.rsase.2018.09.001&amp;partnerID=40&amp;md5=7218bc8f11b3c04a99220bbe0d950ac7</t>
  </si>
  <si>
    <t>Himachal Pradesh is in the western part of the Indian Himalaya which is environmentally fragile and susceptible to natural disasters. Flash flood disaster is a major problem in the state due to its diverse topography combined with meteorological and morphological conditions. In the present study, detailed terrain information was used to identify the causes of natural disaster. Remote Sensing data such as Landsat 8 satellite data and ASTER (DEM) coupled with geological and geomorphological data were utilized in a Geographical Information System (GIS) environment for the estimation of flash flood risk in 20 sub-watersheds of Beas valley. Morphometric analysis was used to estimate the flash flood risk levels of sub-watersheds. Drainage characteristics, slope, and wetness index were analyzed by a set of parameters relevant to flash flood risks. All the sub-watersheds were assigned with a rank according to the compound value analyzed for all the given parameters. After analysis of compound values, it was observed that an area of 555 km2 which is 47% of the total area was in very high priority and very highly susceptible to the flash flood occurrences. In the entire watershed, more than 90% of the total area was found to be highly vulnerable to flash floods. Such zonations using RS/GIS can assist policymakers in taking appropriate and timely measures for the reduction of flash floods. This can initiate appropriate corrective measures and reduce the risk of heavy loss of life and property. © 2018 Elsevier B.V.</t>
  </si>
  <si>
    <t>2-s2.0-85053378594"</t>
  </si>
  <si>
    <t>10.1016/j.tourman.2018.05.005</t>
  </si>
  <si>
    <t>https://www.scopus.com/inward/record.uri?eid=2-s2.0-85047415802&amp;doi=10.1016%2fj.tourman.2018.05.005&amp;partnerID=40&amp;md5=a7612ea21c6e383274053c28ed109d97</t>
  </si>
  <si>
    <t>Florida, one of the world's most visited tourist destinations, holds one of the most vulnerable positions as a result of climate change. Through a quantitative survey, this study gathered the responses of 432 tourists who had previously visited Florida, with a hypothetical scenario of changed climatic conditions. The examination of the tourist perspective showed the presence of ample sunshine and factors related to beach comfort as the reasons for choosing the destination. In a scenario were beaches disappear and tropical diseases become more widespread, the majority of respondents stated they would choose a different destination. However, respondents would reconsider their intentions if adaptation measures such as reduced prices, coastal habitat conservation and measures to protect beaches from erosion and coastal areas from inundation were in place. The findings suggest that seasonal and geographic shifts in tourism demand could be mitigated by the implementation of adaptation measures at the destination level. © 2018 Elsevier Ltd</t>
  </si>
  <si>
    <t>2-s2.0-85047415802"</t>
  </si>
  <si>
    <t>10.1016/j.jag.2018.03.013</t>
  </si>
  <si>
    <t>https://www.scopus.com/inward/record.uri?eid=2-s2.0-85065016147&amp;doi=10.1016%2fj.jag.2018.03.013&amp;partnerID=40&amp;md5=b98ed99f42af6cfb47c957d4ab68a3ca</t>
  </si>
  <si>
    <t>Destructive storm surges bring large waves and unusually high surges of water to coastal areas, resulting in many human casualties and significant economic loss. In this study, an unstructured grid wave-current coupled model was developed for the Bohai Sea, China, using the ADCIRC (ADvanced CIRCulation) and SWAN (Simulating WAves Nearshore) models to simulate 32 disastrous storm surge events from 1985 to 2014. The return storm surge elevation in the Bohai Sea using the Gumbel method is obtained and compared with previous results. It is found that extratropical cyclones and cold air play important roles in storm surges in the Laizhou Bay and have more influence than tropical cyclones. Moreover, the joint probabilities of surge and wave are obtained by using the Gumbel logistical model. The results show that the effect of waves in surge-wave joint probabilities on the central basin of the Bohai Sea is more significant than that on the Bohai Sea coast. By establishing a system to assess the relative risks of storm surges in the Bohai Sea, it is found that Laizhou Bay is in the greatest danger. © 2018</t>
  </si>
  <si>
    <t>2-s2.0-85065016147"</t>
  </si>
  <si>
    <t>10.1007/s10584-018-2327-7</t>
  </si>
  <si>
    <t>https://www.scopus.com/inward/record.uri?eid=2-s2.0-85056838001&amp;doi=10.1007%2fs10584-018-2327-7&amp;partnerID=40&amp;md5=71a3e76d9a40fd8011cfd9bf439098e1</t>
  </si>
  <si>
    <t>Coastal land use in the USA is regulated by a chain of integrated federal to local policies that emphasize preservation of open space, public access, and the environment. Are these policies prepared to achieve lawfully stated objectives under accelerating sea level rise? To test the efficacy of these policies during the past century of slowly rising sea level, and thus their potential effectiveness under future accelerated sea level rise, we quantify land use on a section of windward Oʻahu coast, 1928–2015. Data show a shift from stable/accreting shorelines and wide beaches, to expanding erosion and beach loss concurrent with increasing development and seawall construction; trends at odds with policy objectives. Shoreline hardening increased 63%. Net shoreline change shifted from stable/accreting to erosional on 74% of the coast. More than 45% of this shift was due to flanking (erosion triggered by nearby hardening). Five geomorphic settings were analyzed. Prior to local coastal policy, from 1928 to 1975, headland beaches were mildly erosional with average change rates − 0.07 ± 0.1 m/yr. Beaches in all other geomorphic categories accreted. Between 1975 and 2015, following enactment of coastal zone management policy, average change in all geomorphologies shifted to erosional, coastal development and seawall construction expanded, average beach width declined. Today, nearly 20% of beach length has been lost; 55% of beaches have narrowed. Failure to achieve policy goals under slow, historic sea level rise (1.2 to 1.4 mm/yr) implies preserving beaches, open space, and public access will require new policies, or more effective ways for implementing existing policies, in a future characterized by accelerated sea level rise.</t>
  </si>
  <si>
    <t>Geochemistry, Geophysics, Geosystems</t>
  </si>
  <si>
    <t>10.1029/2018GC007574</t>
  </si>
  <si>
    <t>https://www.scopus.com/inward/record.uri?eid=2-s2.0-85057982155&amp;doi=10.1029%2f2018GC007574&amp;partnerID=40&amp;md5=a6902ff0fb4465bc2c1ca69efec11b71</t>
  </si>
  <si>
    <t xml:space="preserve">                             The Corinth Rift is one of the narrowest and fastest extending continental regions worldwide and has one of the highest seismicity rates in the Euro-Mediterranean region. At its western termination, several active faults are located beneath the city of Patras and the surrounding area, a region of major socioeconomic importance for Greece. Displacement rates for the period 2002–2010 obtained from ascending and descending ASAR/ENVISAT multitemporal interferometry are combined with Global Positioning System measurements from permanent and campaign stations to produce a map of vertical and east-west ground velocities. Cross sections are produced in order to quantify the deformation rates with higher precision. In the vertical, the motion combines tectonic deformation, urban subsidence, and subsidence due to deltaic sediments compaction. In the city of Patras and through the gulf of Patras, the northern continuation of the 2008 Movri earthquake fault is connected to the oblique transform zone of Rio. Further east, our observations suggest the existence of postseismic deformation at Aigion in the 15 years following the M                             w                              = 6.2, 15 June 1995 Aigion earthquake. The inferred deforming zone, assuming a simple slow slipping model, is located at the western end of the 1995 fault, with radius ~3.5 km, centroid depth ~4 km, and cumulated postseismic moment representing 28% of the coseismic. Alluvial fan deltas subside due to their compaction with a gradient that increases toward the shore. Several of those deltas are located in the hanging-wall of active faults.                          ©2018. American Geophysical Union. All Rights Reserved.</t>
  </si>
  <si>
    <t>2-s2.0-85057982155"</t>
  </si>
  <si>
    <t>10.1007/s12517-018-4068-3</t>
  </si>
  <si>
    <t>https://www.scopus.com/inward/record.uri?eid=2-s2.0-85057256755&amp;doi=10.1007%2fs12517-018-4068-3&amp;partnerID=40&amp;md5=a865539a403d78c12c6c450ca334b19b</t>
  </si>
  <si>
    <t>An attempt to carry out morphometric, statistical, and hazard analyses using ASTER data and GIS technique of Wadi El-Mathula watershed, Central Eastern Desert, Egypt. Morphometric analysis with application of GIS technique is essential to delineate drainage networks; basin geometry, drainage texture, and relief characteristics, through detect forty morphometric parameters of the study watershed and its sub-basins. Extract new drainage network map with DEM, sub-basin boundaries, stream orders, drainage networks, slope, drainage density, flow direction maps with more details is very necessary to analyze different morphometric and hydrologic applications for the study basin. Statistical analysis of morphometric parameters was done through cluster analysis, regression equations, and correlation coefficient matrix. Clusters analyses detect three independents variables which are stream number, basin area, and stream length have a very low linkage distance of 0.001 (at very high similarity of 99.95%) in a cluster with the basin width. Main channel length and basin perimeter (at very high similarity of 99.83%) are in a cluster with basin length. Using the regression equations and graphical correlation matrix indicates the mathematical relationships and helps to predict the behavior between any two variables. Hazard analysis and hazard degree assessment for each sub-basin were performed. The hazardous factors were detected and concluded that most of sub-basins are classified as moderately to highly hazardous. Finally, we recommended that the flood possibilities should be taken in consideration during future development of these areas.</t>
  </si>
  <si>
    <t>10.3390/rs10111673</t>
  </si>
  <si>
    <t>https://www.scopus.com/inward/record.uri?eid=2-s2.0-85057088214&amp;doi=10.3390%2frs10111673&amp;partnerID=40&amp;md5=fe6cc58cfdf707802e1d950db6c555d1</t>
  </si>
  <si>
    <t>Satellite remote sensing is a powerful tool to map flooded areas. In recent years, the availability of free satellite data significantly increased in terms of type and frequency, allowing the production of flood maps at low cost around the world. In this work, we propose a semi-automatic method for flood mapping, based only on free satellite images and open-source software. The proposed methods are suitable to be applied by the community involved in flood hazard management, not necessarily experts in remote sensing processing. As case studies, we selected three flood events that recently occurred in Spain and Italy. Multispectral satellite data acquired by MODIS, Proba-V, Landsat, and Sentinel-2 and synthetic aperture radar (SAR) data collected by Sentinel-1 were used to detect flooded areas using different methodologies (e.g., Modified Normalized Difference Water Index, SAR backscattering variation, and supervised classification). Then, we improved and manually refined the automatic mapping using free ancillary data such as the digital elevation model-based water depth model and available ground truth data. We calculated flood detection performance (flood ratio) for the different datasets by comparing with flood maps made by official river authorities. The results show that it is necessary to consider different factors when selecting the best satellite data. Among these factors, the time of the satellite pass with respect to the flood peak is the most important. With co-flood multispectral images, more than 90% of the flooded area was detected in the 2015 Ebro flood (Spain) case study. With post-flood multispectral data, the flood ratio showed values under 50% a few weeks after the 2016 flood in Po and Tanaro plains (Italy), but it remained useful to map the inundated pattern. The SAR could detect flooding only at the co-flood stage, and the flood ratio showed values below 5% only a few days after the 2016 Po River inundation. Another result of the research was the creation of geomorphology-based inundation maps that matched up to 95% with official flood maps. © 2018 by the authors.</t>
  </si>
  <si>
    <t>2-s2.0-85057088214"</t>
  </si>
  <si>
    <t>10.1016/j.gloenvcha.2018.09.006</t>
  </si>
  <si>
    <t>https://www.scopus.com/inward/record.uri?eid=2-s2.0-85054265970&amp;doi=10.1016%2fj.gloenvcha.2018.09.006&amp;partnerID=40&amp;md5=f3097afb7d285bb50220d323cb830e28</t>
  </si>
  <si>
    <t>A Bayesian network model is developed to explore the interaction between physical and social processes that influence mitigation decisions and outcomes for extreme events. The network includes statistical relationships for event occurrence and magnitude; uncertainty in the parameters of these models; a high degree of variability in the sequence of events that occurs in any given time interval, and the possibility of long-term trends in the frequency, magnitude and impact of events. The model is applied to coastal storm surge events in the New York City (NYC) area. A 50 cm increase in sea level is predicted to approximately double the expected cumulative damage over a 40-year period. A 20% increment in storm frequency yields a further predicted increase of about 18% in the cumulative damage. The uncertainties in long-term trends associated with climate change may be reduced by scientific studies. However the value of this information is affected both by study accuracy and the extent of its trust, acceptance and utilization by decision makers. Implications of this are assessed in the model, showing that the probability of regret is notably reduced when climate study results are used to support mitigation decisions. This is demonstrated even when the studies have relatively low accuracy, moreso when they exhibit good or perfect accuracy. Based on model insights and limitations, further research needs are identified to better understand extreme event risk perception and management in coupled human-environmental systems.</t>
  </si>
  <si>
    <t>10.1016/j.jag.2018.07.022</t>
  </si>
  <si>
    <t>https://www.scopus.com/inward/record.uri?eid=2-s2.0-85062512810&amp;doi=10.1016%2fj.jag.2018.07.022&amp;partnerID=40&amp;md5=c567a5db33a4495c676a4d839d284add</t>
  </si>
  <si>
    <t>Rice is the most important food crop in Asia and rice exports can significantly contribute to a country's GDP. Vietnam is the third largest exporter and fifth largest producer of rice, the majority of which is grown in the Mekong Delta. The cultivation of rice plants is important, not only in the context of food security, but also contributes to greenhouse gas emissions, provides man-made wetlands as an ecosystem, sustains smallholders in Asia and influences water resource planning and run-off water management. Rice growth can be monitored with Synthetic Aperture Radar (SAR) time series due to the agronomic flooding followed by rapid biomass increase affecting the backscatter signal. With the advent of Sentinel-1 a wealth of free and open SAR data is available to monitor rice on regional or larger scales and limited data availability should not be an issue from 2015 onwards. We used Sentinel-1 SAR time series to estimate rice production in the Mekong Delta, Vietnam, for three rice seasons centered on the year 2015. Rice production for each growing season was estimated by first classifying paddy rice area using superpixel segmentation and a phenology based decision tree, followed by yield estimation using random forest regression models trained on in situ yield data collected by surveying 357 rice farms. The estimated rice production for the three rice growing seasons 2015 correlates well with data at the district level collected from the province statistics offices with R2s of 0.93 for the Winter–Spring, 0.86 for the Summer–Autumn and 0.87 for the Autumn–Winter season. © 2018 Elsevier B.V.</t>
  </si>
  <si>
    <t>2-s2.0-85062512810"</t>
  </si>
  <si>
    <t>10.1038/s41598-018-35823-4</t>
  </si>
  <si>
    <t>https://www.scopus.com/inward/record.uri?eid=2-s2.0-85058168386&amp;doi=10.1038%2fs41598-018-35823-4&amp;partnerID=40&amp;md5=f529273426836e68f81a0a7174170067</t>
  </si>
  <si>
    <t>The Mekong River Basin (MRB) is undergoing unprecedented changes due to the recent acceleration in large-scale dam construction. While the hydrology of the MRB is well understood and the effects of some of the existing dams have been studied, the potential effects of the planned dams on flood pulse dynamics over the entire Lower Mekong remains unexamined. Here, using hydrodynamic model simulations, we show that the effects of flow regulation on downstream river-floodplain dynamics are relatively predictable along the mainstream Mekong, but flow regulations could potentially disrupt the flood dynamics in the Tonle Sap River (TSR) and small distributaries in the Mekong Delta. Results suggest that TSR flow reversal could cease if the Mekong flood pulse is dampened by 50% and delayed by one-month. While flood occurrence in the vicinity of the Tonle Sap Lake and middle reach of the delta could increase due to enhanced low flow, it could decrease by up to five months in other areas due to dampened high flow, particularly during dry years. Further, areas flooded for less than five months and over six months are likely to be impacted significantly by flow regulations, but those flooded for 5–6 months could be impacted the least. © 2018, The Author(s).</t>
  </si>
  <si>
    <t>2-s2.0-85058168386"</t>
  </si>
  <si>
    <t>10.3390/geosciences8110412</t>
  </si>
  <si>
    <t>https://www.scopus.com/inward/record.uri?eid=2-s2.0-85056837287&amp;doi=10.3390%2fgeosciences8110412&amp;partnerID=40&amp;md5=457565f9d4713c1e4b40dc12e0367e87</t>
  </si>
  <si>
    <t>Typhoon Jebi struck Japan on the 4 September 2018, damaging and inundating many coastal areas along Osaka Bay due to the high winds, a storm surge, and wind driven waves. In order to understand the various damage mechanisms, the authors conducted a field survey two days after the typhoon made landfall, measuring inundation heights and depths at several locations in Hyogo Prefecture. The survey results showed that 0.18–1.27 m inundation depths were caused by Typhoon Jebi. As parts of the survey, local residents were interviewed about the flooding, and a questionnaire survey regarding awareness of typhoons and storm surges, and their response to the typhoon was distributed. The authors also mapped the location of some of the containers that were displaced by the storm surge, aiming to provide information to validate future simulation models of container displacement. Finally, some interesting characteristics of the storm surge are summarized, such as possible overtopping at what had initially been thought to be a low risk area (Suzukaze town), and lessons learnt in terms of disaster risk management are discussed. © 2018 by the authors. Licensee MDPI, Basel, Switzerland.</t>
  </si>
  <si>
    <t>2-s2.0-85056837287"</t>
  </si>
  <si>
    <t>10.5194/nhess-18-3063-2018</t>
  </si>
  <si>
    <t>https://www.scopus.com/inward/record.uri?eid=2-s2.0-85057017391&amp;doi=10.5194%2fnhess-18-3063-2018&amp;partnerID=40&amp;md5=80015b2a3c3998db1110255c946e13c1</t>
  </si>
  <si>
    <t>When floods hit inhabited areas, great losses are usually registered in terms of both impacts on people (i.e., fatalities and injuries) and economic impacts on urban areas, commercial and productive sites, infrastructures, and agriculture. To properly assess these, several parameters are needed, among which flood depth is one of the most important as it governs the models used to compute damages in economic terms. This paper presents a simple yet effective semiautomatic approach for deriving very precise inundation depth. First, precise flood extent is derived employing a change detection approach based on the normalized difference flood index computed from high-resolution synthetic aperture radar imagery. Second, by means of a high-resolution lidar digital elevation model, water surface elevation is estimated through a statistical analysis of terrain elevation along the boundary lines of the identified flooded areas. Experimental results and quality assessment are given for the flood that occurred in the Veneto region, northeastern Italy, in 2010. In particular, the method proved fast and robust and, compared to hydrodynamic models, it requires sensibly less input information. © 2018 Author(s).</t>
  </si>
  <si>
    <t>2-s2.0-85057017391"</t>
  </si>
  <si>
    <t>10.1038/s41598-018-33156-w</t>
  </si>
  <si>
    <t>https://www.scopus.com/inward/record.uri?eid=2-s2.0-85054887882&amp;doi=10.1038%2fs41598-018-33156-w&amp;partnerID=40&amp;md5=43bbd046cd183776cd604bd1a20ba9f0</t>
  </si>
  <si>
    <t>Tsunami modelling of potential and historic events in Australia’s Sydney Harbour quantifies the potentially damaging impacts of an earthquake generated tsunami. As a drowned river valley estuary exposed to distant source zones, these impacts are predominantly high current speeds (&gt;2 m/s), wave amplification and rapid changes in water level. Significant land inundation only occurs for scenarios modelled with the largest waves (9.0 MW source). The degree of exposure to the open ocean and the geomorphology of locations within the Harbour determine the relative level of these impacts. Narrow, shallow channels, even those sheltered from the open ocean, create a bottleneck effect and experience the highest relative current speeds as well as elevated water levels. The largest maximum water levels (&gt;8 m) occur in exposed, funnel-shaped bays and wave amplification is greatest at locations exposed to the open ocean: &gt;7 times deep water wave heights for 9.0 MW source waves. Upstream attenuation rates of runup and maximum water level show a linear correlation with wave height parameters at the 100 m depth contour and may provide some predictive capabilities for potential tsunami impacts at analogous locations. In the event of a tsunami in Sydney Harbour, impacts may threaten marine traffic and infrastructure. © 2018, The Author(s).</t>
  </si>
  <si>
    <t>2-s2.0-85054887882"</t>
  </si>
  <si>
    <t>10.1016/j.accre.2019.01.002</t>
  </si>
  <si>
    <t>https://www.scopus.com/inward/record.uri?eid=2-s2.0-85060191086&amp;doi=10.1016%2fj.accre.2019.01.002&amp;partnerID=40&amp;md5=28e94fc81918b5068b82955c6e33364a</t>
  </si>
  <si>
    <t>The mean sea level, extreme sea level, and astronomical tide in Hangzhou Bay were analyzed using the tide gage data from 1978 to 2017 in Tanxu station, and the effects of rising sea levels on floods were estimated. The mean sea level in Hangzhou Bay showed a significant rising trend of 4.6 mm per year in 1978–2017. This rate was much higher than the mean sea level of the China seas, and the extreme sea level in Hangzhou Bay increased at the rate of 0.011 m per year. During 1978–2017, the mean tide range increased at the rate of 1.30 cm per year. The amplitude of M2 significantly increased at the rate of 0.57 cm per year, whereas the phase lag decreased at the rate of −0.21° per year. The amplitude and phase lag of the K1 tidal component slightly decreased at the rate of −0.03 cm per year and −0.07° per year, respectively. The changes in extreme sea level in Hangzhou Bay were mainly caused by variations in mean sea level. The coastal areas of Hangzhou Bay at risk from flooding due to the 100-year sea level return will increase by about 400 km2 by 2050. © 2019 National Climate Center (China Meteorological Administration)</t>
  </si>
  <si>
    <t>2-s2.0-85060191086"</t>
  </si>
  <si>
    <t>10.24043/isj.64</t>
  </si>
  <si>
    <t>https://www.scopus.com/inward/record.uri?eid=2-s2.0-85062783207&amp;doi=10.24043%2fisj.64&amp;partnerID=40&amp;md5=3cf070a13b2346bbcd2558149e10c23c</t>
  </si>
  <si>
    <t>In recent years island communities have actively adapted in response to a complex combination of changes that has shaped life on the islands, and this has had gendered consequences. The gender ramifications of adaptation on islands are still largely neglected in adaptation policies, although they are increasingly being addressed in the scientific literature. Understanding gendered consequences is indispensable for a critical comprehension of adaptation on islands. It would help avoid the formulation of adaptation policies that tend to focus only on technical problems and solutions. Such solutions potentially run the risk of reducing island problems to only biophysical issues such as sea level rise or problems attributed to the size and isolation of the islands. This paper investigates the consequences of adaptation for the mobility of both women and men on two islands in the Maldives, a small island developing state (SIDS) that has experienced unprecedented changes in recent decades. The focus on mobility stems from the fact that it forms an integral social and cultural part of island life. Although gender and mobility are intrinsically linked, the gendered consequences of adaptation for mobility are understudied. This study used qualitative interviews to collect narratives. The results show that the adaptation interviewees describe from their living memory has only exacerbated gender inequality by influencing the mobility of men and women in different ways. © 2018 - Institute of Island Studies, University of Prince Edward Island, Canada.</t>
  </si>
  <si>
    <t>2-s2.0-85062783207"</t>
  </si>
  <si>
    <t>10.3390/hydrology5040068</t>
  </si>
  <si>
    <t>https://www.scopus.com/inward/record.uri?eid=2-s2.0-85059227989&amp;doi=10.3390%2fhydrology5040068&amp;partnerID=40&amp;md5=c73b3373aadb66fca800dc109c204940</t>
  </si>
  <si>
    <t>In recent years, advanced methods for measuring riverbank migration have been used to understand the process of river planform evolution. However, the role of the so-called outer secondary cell in the hydraulic pattern in bank erosion remains unclear. For this purpose, a natural river meander with high curvature bends and steep riverbanks was chosen to quantify bank migration by high-resolution terrestrial laser scanning of three patches along two river bends in four time intervals. The first two time intervals were seasonal, from spring to autumn, and with relatively few water level changes, whereas the third and fourth time intervals were short, just before and after single flood peak events. The yielded point clouds were filtered and digital elevation models (DEMs) were created. These DEMs were used to analyze bank retreat, riverbank morphology, and slope gradient changes in order to understand the role of the outer secondary cell in these processes. In addition, it is shown that storm events causing short peaks in river discharge are less important for river migration than longer-lasting medium discharge. © 2018 by the authors.</t>
  </si>
  <si>
    <t>2-s2.0-85059227989"</t>
  </si>
  <si>
    <t>10.3390/rs10122020</t>
  </si>
  <si>
    <t>https://www.scopus.com/inward/record.uri?eid=2-s2.0-85058897089&amp;doi=10.3390%2frs10122020&amp;partnerID=40&amp;md5=8c7e22f23e5b69a628b2a745350d2003</t>
  </si>
  <si>
    <t>Mangrove forests are important coastal ecosystems and are crucial for the equilibrium of the global carbon cycle. Monitoring and mapping of mangrove forests are essential for framing knowledge-based conservation policies and funding decisions by governments and managers. The purpose of this study was to monitor mangrove forest dynamics in the Quanzhou Bay Estuary Wetland Nature Reserve. To achieve this goal, we compared and analyzed the spectral discrimination among mangrove forests, mudflats and Spartina using multi-seasonal Landsat images from 1990, 1997, 2005, 2010, and 2017. We identified the spatio-temporal distribution of mangrove forests by combining an optimal segmentation scale model based on object-oriented classification, decision tree and visual interpretation. In addition, mangrove forest dynamics were determined by combining the annual land change area, centroid migration and overlay analysis. The results showed that there were advantages in the approaches used in this study for monitoring mangrove forests. From 1990 to 2017, the extent of mangrove forests increased by 2.48 km2, which was mostly converted from mudflats and Spartina. Environmental threats including climate change and sea-level rise, aquaculture development and Spartina invasion, pose potential and direct threats to the existence and expansion of mangrove forests. However, the implementation of reforestation projects and Spartina control plays a substantial role in the expansion of mangrove forests. It has been demonstrated that conservation activities can be beneficial for the restoration and succession of mangrove forests. This study provides an example of how the application of an optimal segmentation scale model and multi-seasonal images to mangrove forest monitoring can facilitate government policies that ensure the effective protection of mangrove forests. © 2018 by the authors.</t>
  </si>
  <si>
    <t>2-s2.0-85058897089"</t>
  </si>
  <si>
    <t>10.5194/nhess-18-3363-2018</t>
  </si>
  <si>
    <t>https://www.scopus.com/inward/record.uri?eid=2-s2.0-85059439349&amp;doi=10.5194%2fnhess-18-3363-2018&amp;partnerID=40&amp;md5=328d092fff339de71a303c01fa7608f6</t>
  </si>
  <si>
    <t>Megacities are predominantly concentrated along coastlines, making them exposed to a diverse mix of natural hazards. The assessment of climatic hazard risk to cities rarely has captured the multiple interactions that occur in complex urban systems. We present an improved method for urban multi-hazard risk assessment. We then analyze the risk of New York City as a case study to apply enhanced methods for multi-hazard risk assessment given the history of exposure to multiple types of natural hazards which overlap spatially and, in some cases, temporally in this coastal megacity. Our aim is to identify hotspots of multi-hazard risk to support the prioritization of adaptation strategies that can address multiple sources of risk to urban residents. We used socioeconomic indicators to assess vulnerabilities and risks to three climate-related hazards (i.e., heat waves, inland flooding and coastal flooding) at high spatial resolution. The analysis incorporates local experts' opinions to identify sources of multi-hazard risk and to weight indicators used in the multi-hazard risk assessment. Results demonstrate the application of multi-hazard risk assessment to a coastal megacity and show that spatial hotspots of multi-hazard risk affect similar local residential communities along the coastlines. Analyses suggest that New York City should prioritize adaptation in coastal zones and consider possible synergies and/or trade-offs to maximize impacts of adaptation and resilience interventions in the spatially overlapping areas at risk of impacts from multiple hazards. © 2017 BMJ Publishing Group.All right reserved.</t>
  </si>
  <si>
    <t>2-s2.0-85059439349"</t>
  </si>
  <si>
    <t>10.1007/s00343-019-7146-9</t>
  </si>
  <si>
    <t>https://www.scopus.com/inward/record.uri?eid=2-s2.0-85059005148&amp;doi=10.1007%2fs00343-019-7146-9&amp;partnerID=40&amp;md5=327ba9c9b5e61a231a5be255e9961ee3</t>
  </si>
  <si>
    <t>The North Yellow Sea (NYS) is characterized by strong land-sea interaction and paleoenvironmental changes with sea-level fluctuations during the late Quaternary. However, large-time scale depositional stratigraphy in this area and its relationship with sea-level changes remain unresolved. Highresolution seismic profiles from NYS were subdivided into eleven seismic units (U1 to U11 in descending order). A 70.6-m-long borehole (DLC70-2) from localities on seismic profiles, analyzed for lithology, microfossil assemblages and geochronology, comprises eleven sedimentary units (D1 to D11 in descending order), which were clearly correlated with the eleven seismic units. These units constitute four distinctive sequences (SQ1 to SQ4 from top to bottom) bounded by three sequence boundaries (S3, S5 and S10) with obvious depositional hiatus, correlated with sea-level lowstands of MIS2, MIS4 and MIS6, respectively. The lowermost SQ4 below S10, has been identified only upper part of transgressive systems tract (TST) (D11, tidal flat facies in early MIS6). SQ3 overlying S10 consists of a set of lowstand systems tracts (LST) (D10, fluvial to incised-channel filling facies in late MIS6), TST and highstand systems tracts (HST) (D9 to D6, interactive deposits of neritic and littoral facies in MIS5 and early MIS4). SQ2 above S5 is composed of LST (D5, channel-filling facies in late MIS4) and TST (D4, littoral to estuary facies in early-middle MIS3), but lack of HST resulting from subaerial exposure and channel incising during the Last Glacial Maximum (LGM). The uppermost SQ1 overlying S3 comprises LST (D3, channel-filling to flooding plain or marsh facies in MIS2), Holocene TST (D2, littoral and tidal sand ridge facies) and HST (D1, neritic facies). The unusual depositional stratigraphy was largely dominated by sea-level fluctuations and the Bohai Strait topography. This study confirms that TSTs are relative continuous and widely distributed, while LSTs vary considerably in thickness and lateral extent since MIS6 in NYS. © 2018, Chinese Society for Oceanology and Limnology, Science Press and Springer-Verlag GmbH Germany, part of Springer Nature.</t>
  </si>
  <si>
    <t>2-s2.0-85059005148"</t>
  </si>
  <si>
    <t>10.5194/nhess-18-3383-2018</t>
  </si>
  <si>
    <t>https://www.scopus.com/inward/record.uri?eid=2-s2.0-85059430017&amp;doi=10.5194%2fnhess-18-3383-2018&amp;partnerID=40&amp;md5=b97153ceda6932ea9f183ac1da72fb92</t>
  </si>
  <si>
    <t>This paper aims to demonstrate the technical feasibility of a historical study devoted to French nuclear power plants (NPPs) which can be prone to extreme coastal flooding events. It has been shown in the literature that the use of historical information (HI) can significantly improve the probabilistic and statistical modeling of extreme events. There is a significant lack of historical data on coastal flooding (storms and storm surges) compared to river flooding events. To address this data scarcity and to improve the estimation of the risk associated with coastal flooding hazards, a dataset of historical storms and storm surges that hit the Nord-Pas-de-Calais region during the past five centuries was created from archival sources, examined and used in a frequency analysis (FA) in order to assess its impact on frequency estimations. This work on the Dunkirk site (representative of the Gravelines NPP) is a continuation of previous work performed on the La Rochelle site in France. Indeed, the frequency model (FM) used in the present paper had some success in the field of coastal hazards and it has been applied in previous studies to surge datasets to prevent coastal flooding in the La Rochelle region in France.In a first step, only information collected from the literature (published reports, journal papers and PhD theses) is considered. Although this first historical dataset has extended the gauged record back in time to 1897, serious questions related to the exhaustiveness of the information and about the validity of the developed FM have remained unanswered. Additional qualitative and quantitative HI was extracted in a second step from many older archival sources. This work has led to the construction of storm and coastal flooding sheets summarizing key data on each identified event. The quality control and the cross-validation of the collected information, which have been carried out systematically, indicate that it is valid and complete in regard to extreme storms and storm surges. Most of the HI collected is in good agreement with other archival sources and documentary climate reconstructions. The probabilistic and statistical analysis of a dataset containing an exceptional observation considered as an outlier (i.e., the 1953 storm surge) is significantly improved when the additional HI collected in both literature and archives is used. As the historical data tend to be extreme, the right tail of the distribution has been reinforced and the 1953 ""exceptional"" event does not appear as an outlier any more. This new dataset provides a valuable source of information on storm surges for future characterization of coastal hazards. © 2017 BMJ Publishing Group.All right reserved.</t>
  </si>
  <si>
    <t>2-s2.0-85059430017"</t>
  </si>
  <si>
    <t>10.1007/s10236-018-1218-9</t>
  </si>
  <si>
    <t>https://www.scopus.com/inward/record.uri?eid=2-s2.0-85052663100&amp;doi=10.1007%2fs10236-018-1218-9&amp;partnerID=40&amp;md5=a9f9fecf1392f809b095a3ed4d852b62</t>
  </si>
  <si>
    <t>Typhoon-induced waves and surges are important when predicting potential hazards near coastal regions. In this paper, we applied a coupled modeling system for ocean–wave interaction to examine prediction capabilities for typhoon-induced waves and surges around the Korean Peninsula. To identify how ocean–wave coupling impacts wave and surge simulations during typhoon conditions, a set of comparative experiments was performed during Typhoon Bolaven (2012): (1) a fully coupled ocean–wave model, (2) a one-way coupled ocean–wave model without surface current feedback and ocean-to-wave water levels, and (3) a stand-alone ocean model without considering wave-based sea surface roughness (SSR). When coupled with the ocean model, the surface current reduced significantly the wave height on the right-hand side of the advancing typhoon track and improved prediction accuracy along the southern coast of Korea. Compared with the observed surge levels, the simulated surge height yielded improved results for peak height magnitude and timing compared with the uncoupled model. For wave-to-surge feedback, we found that wave-induced SSR plays an important role by modulating wind stress in the surface layer. The modulated wind stress directly affected the surge height, which improved surge peak prediction during the typhoon. © 2018, Springer-Verlag GmbH Germany, part of Springer Nature.</t>
  </si>
  <si>
    <t>2-s2.0-85052663100"</t>
  </si>
  <si>
    <t>10.1007/s12517-018-4095-0</t>
  </si>
  <si>
    <t>https://www.scopus.com/inward/record.uri?eid=2-s2.0-85058229491&amp;doi=10.1007%2fs12517-018-4095-0&amp;partnerID=40&amp;md5=f3bf3b7cfdba0a5b124ec71af07dbe4c</t>
  </si>
  <si>
    <t>This paper investigates the application of logistic regression model for flood susceptibility mapping in southern Gaza Strip areas. At first, flood inventory maps were identified using Palestinian Water Authorities data and extensive field surveys. A total of 140 flood locations were identified, of which 70% were randomly used for data training and the remaining 30% were used for data validation. In this investigation, six causing flood variables from the spatial database were prepared, which are digital elevation model (DEM), topographic slope, flow accumulation, rainfall, land use/land cover (LULC), and soil type. Then, comprehensive statistical analysis techniques including Pearson’s correlation, multicollinearity, and heteroscedasticity analyses were used, to ensure that the regression assumptions are not violated. The uniqueness of the current study is its inclusiveness of influential causing flood parameters and vigorous statistical analyses that led to accurate flood prediction. Quantitatively, the proposed model is robust with very reasonable accuracy. The prediction and success rates are 76 and 81%, respectively. The practical and unique contribution of this investigation is the generation of flood susceptibility map for the region. This is a very useful tool for the decision makers in the Gaza Strip to reduce human harm and infrastructure losses. © 2018, Saudi Society for Geosciences.</t>
  </si>
  <si>
    <t>2-s2.0-85058229491"</t>
  </si>
  <si>
    <t>10.1080/01490419.2018.1504838</t>
  </si>
  <si>
    <t>https://www.scopus.com/inward/record.uri?eid=2-s2.0-85055502139&amp;doi=10.1080%2f01490419.2018.1504838&amp;partnerID=40&amp;md5=b39f1d12489239116dc5fe740105c3a3</t>
  </si>
  <si>
    <t>This article examines whether Digital Elevation Model (DEM) resolution affects the accuracy of predicted coastal inundation extent using LISFLOOD-FP, with application to a sandy coastline in New Jersey. DEMs with resolution ranging from 10 to 100 m were created using coastal elevation data from NOAA, using the North American Vertical Datum of 1988. A two-dimensional hydrodynamic flood model was developed in LISFLOOD-FP using each DEM, all of which were calibrated and validated against an observed 24-h tidal cycle and used to simulate a 1.5 m storm surge. While differences in predicted inundated area from all models were within 1.0%, model performance and computational time worsened and decreased with coarser DEM resolution, respectively. This implied that using a structured grid model for modeling coastal flood vulnerability is based on two trade-offs: high DEM resolution coupled with computational intensity, but higher precision in model predictions, and vice versa. Furthermore, water depth predictions from all DEMs were consistent. Using an integrated numerical modeling and GIS approach, a two-scale modeling strategy, where a coarse DEM is used to predict water levels for projection onto a fine DEM was found to be an effective, and computationally efficient approach for obtaining reliable estimates of coastal inundation extent. © 2018, © 2018 Informa UK Limited, trading as Taylor &amp; Francis Group.</t>
  </si>
  <si>
    <t>2-s2.0-85055502139"</t>
  </si>
  <si>
    <t>10.1038/s41598-018-29734-7</t>
  </si>
  <si>
    <t>https://www.scopus.com/inward/record.uri?eid=2-s2.0-85050793880&amp;doi=10.1038%2fs41598-018-29734-7&amp;partnerID=40&amp;md5=97704f50abc26382aedd94c8e7edbb91</t>
  </si>
  <si>
    <t>The Vietnamese Mekong Delta was formed by rapid transgression during the second half of the Holocene by deposition of mainly unconsolidated, fine-grained (clayey) sediments undergoing high compaction rates. The natural subsidence can seriously impact the already vulnerable delta plain as its low elevation exposes the delta to global sea level rise, flooding, salinization. Human activities such as groundwater pumping, infrastructural loading, sand mining and dam construction have exacerbated the effects of natural consolidation. Here we present a novel modeling study that has allowed to reproduce the formation and evolution of the Mekong delta over the past 4000 years. Using an adaptive finite-element mesh, the model properly simulates accretion and natural consolidation characterizing the delta evolution. Large soil grain motion and the delayed dissipation of pore-water overpressure are accounted for. We find that natural compaction of Holocene deposits following delta evolution exceeds predicted values of absolute sea level rise. The unprecedented high rates (up to ~20 mm/yr) threaten the lower delta plain with permanent inundation and inevitably reduce the designed service life of flood defense structures along the coast. Total subsidence and sediment delivery to the delta plain will determine its future elevation and vulnerability to relative sea level rise. © 2018, The Author(s).</t>
  </si>
  <si>
    <t>2-s2.0-85050793880"</t>
  </si>
  <si>
    <t>10.1038/s41558-018-0315-6</t>
  </si>
  <si>
    <t>https://www.scopus.com/inward/record.uri?eid=2-s2.0-85057020893&amp;doi=10.1038%2fs41558-018-0315-6&amp;partnerID=40&amp;md5=c71d9d87a673d75c72e278000bfecc67</t>
  </si>
  <si>
    <t>The ongoing emission of greenhouse gases (GHGs) is triggering changes in many climate hazards that can impact humanity. We found traceable evidence for 467 pathways by which human health, water, food, economy, infrastructure and security have been recently impacted by climate hazards such as warming, heatwaves, precipitation, drought, floods, fires, storms, sea-level rise and changes in natural land cover and ocean chemistry. By 2100, the world’s population will be exposed concurrently to the equivalent of the largest magnitude in one of these hazards if emmisions are aggressively reduced, or three if they are not, with some tropical coastal areas facing up to six simultaneous hazards. These findings highlight the fact that GHG emissions pose a broad threat to humanity by intensifying multiple hazards to which humanity is vulnerable. © 2018, Springer Nature Limited.</t>
  </si>
  <si>
    <t>2-s2.0-85057020893"</t>
  </si>
  <si>
    <t>10.1002/hyp.13283</t>
  </si>
  <si>
    <t>https://www.scopus.com/inward/record.uri?eid=2-s2.0-85055258897&amp;doi=10.1002%2fhyp.13283&amp;partnerID=40&amp;md5=75badbce254afd2d2ac0a8749c4f8ae5</t>
  </si>
  <si>
    <t>Coastal areas are being increasingly damaged by the expansion of seawater-intrusion areas. This study suggested a three-step method to prioritize the countermeasures adopted to reduce the areas affected by seawater intrusion. First, the most vulnerable area to damage from seawater intrusion was selected among 25 areas on the western coast of the Republic of Korea using three multicriteria decision-making (MCDM) methods. As a result, Taean-gun was selected as the most vulnerable area for seawater intrusion. Second, a numerical model called SEAWAT was configured to predict the areas where seawater intrusion could potentially occur. For future scenarios, Representative Concentration Pathways (RCPs) 4.5 and 8.5 were used as the sea-level rise scenarios. To predict the future use of groundwater, the future groundwater extraction rate was predicted using a linear regression of the groundwater-use data over the past 10 years. As a result, it was predicted that 68.5% of the total Taean-gun area would be affected by seawater intrusion for RCP 8.5 and current trends in groundwater use. Third, the effectiveness of the measures adopted for the reduction of seawater-intrusion areas were analysed by considering the projected future scenario and the local characteristics (including the total population, population density, groundwater-level distribution, salinity distribution, groundwater-use characteristics, and ground-elevation distribution) of the Taean-gun district. After considering the effects of the countermeasures adopted for the different locations in Taean-gun and the data related to seawater intrusion, the priority areas for applying countermeasures against seawater intrusion were determined using three MCDM methods. It was concluded that the Taean-myeon is a priority area for applying countermeasures. © 2018 John Wiley &amp; Sons, Ltd.</t>
  </si>
  <si>
    <t>2-s2.0-85055258897"</t>
  </si>
  <si>
    <t>10.1007/s10113-017-1256-8</t>
  </si>
  <si>
    <t>https://www.scopus.com/inward/record.uri?eid=2-s2.0-85034994108&amp;doi=10.1007%2fs10113-017-1256-8&amp;partnerID=40&amp;md5=c1eba169268be690b5416e8064d74a54</t>
  </si>
  <si>
    <t>Whilst future air temperature thresholds have become the centrepiece of international climate negotiations, even the most ambitious target of 1.5 °C will result in significant sea-level rise and associated impacts on human populations globally. Of additional concern in Arctic regions is declining sea ice and warming permafrost which can increasingly expose coastal areas to erosion particularly through exposure to wave action due to storm activity. Regional variability over the past two decades provides insight into the coastal and human responses to anticipated future rates of sea-level rise under 1.5 °C scenarios. Exceeding 1.5 °C will generate sea-level rise scenarios beyond that currently experienced and substantially increase the proportion of the global population impacted. Despite these dire challenges, there has been limited analysis of how, where and why communities will relocate inland in response. Here, we present case studies of local responses to coastal erosion driven by sea-level rise and warming in remote indigenous communities of the Solomon Islands and Alaska, USA, respectively. In both the Solomon Islands and the USA, there is no national government agency that has the organisational and technical capacity and resources to facilitate a community-wide relocation. In the Solomon Islands, communities have been able to draw on flexible land tenure regimes to rapidly adapt to coastal erosion through relocations. These relocations have led to ad hoc fragmentation of communities into smaller hamlets. Government-supported relocation initiatives in both countries have been less successful in the short term due to limitations of land tenure, lacking relocation governance framework, financial support and complex planning processes. These experiences from the Solomon Islands and USA demonstrate the urgent need to create a relocation governance framework that protects people’s human rights. © 2017, Springer-Verlag GmbH Germany, part of Springer Nature.</t>
  </si>
  <si>
    <t>2-s2.0-85034994108"</t>
  </si>
  <si>
    <t>10.1016/j.jog.2018.10.002</t>
  </si>
  <si>
    <t>https://www.scopus.com/inward/record.uri?eid=2-s2.0-85056641238&amp;doi=10.1016%2fj.jog.2018.10.002&amp;partnerID=40&amp;md5=7332ed00f512fd45f05b677eac694377</t>
  </si>
  <si>
    <t>We use a global compilation of geodetic (GPS) rates to reconstruct vertical land motion (VLM) using a Bayesian inference method. Trends of VLM are derived from almost 15,000 GPS position time-series retrieved from the Nevada Geodetic Laboratory. Our Transdimensional Regression (TR) method is based on Voronoi tessellation and self-adapts to the level of spatial structure contained in the database. It is thus suitable for our strongly heterogeneous dataset, both in terms of the geographical distribution and level of uncertainties, and provides at each location a probability density function for the rate of VLM. We apply the TR method to a set of globally distributed regions. At high latitudes the signal is dominated by Glacial Isostatic Adjustment (GIA)</t>
  </si>
  <si>
    <t>10.5194/essd-10-1591-2018</t>
  </si>
  <si>
    <t>https://www.scopus.com/inward/record.uri?eid=2-s2.0-85052965974&amp;doi=10.5194%2fessd-10-1591-2018&amp;partnerID=40&amp;md5=3ec8fa006984d9ec07650e9e9a9da34f</t>
  </si>
  <si>
    <t>Knowledge of aquifer thickness is crucial for setting up numerical groundwater flow models to support groundwater resource management and control. Fresh groundwater reserves in coastal aquifers are particularly under threat of salinization and depletion as a result of climate change, sea-level rise, and excessive groundwater withdrawal under urbanization. To correctly assess the possible impacts of these pressures we need better information about subsurface conditions in coastal zones. Here, we propose a method that combines available global datasets to estimate, along the global coastline, the aquifer thickness in areas formed by unconsolidated sediments. To validate our final estimation results, we collected both borehole and literature data. Additionally, we performed a numerical modelling study to evaluate the effects of varying aquifer thickness and geological complexity on simulated saltwater intrusion. The results show that our aquifer thickness estimates can indeed be used for regional-scale groundwater flow modelling but that for local assessments additional geological information should be included. The final dataset has been made publicly available (https://doi.pangaea.de/10.1594/PANGAEA.880771). © 2018 Georg Thieme Verlag.</t>
  </si>
  <si>
    <t>2-s2.0-85052965974"</t>
  </si>
  <si>
    <t>10.1007/s11707-018-0711-2</t>
  </si>
  <si>
    <t>https://www.scopus.com/inward/record.uri?eid=2-s2.0-85049560615&amp;doi=10.1007%2fs11707-018-0711-2&amp;partnerID=40&amp;md5=a4edffb92b478937702ac8fe14408dbb</t>
  </si>
  <si>
    <t>Flood hazard monitoring and mapping is of great importance because it represents a significant contribution to risk management. The present study investigated the flood event that occurred downstream from the transboundary Strymon River basin, more specifically at Serres basin–a reservoir-regulated basin, in the beginning of 2015. The focus of this study was to better understand the spatio-temporal dynamic of the flood and the causes that initiated the hazard. Within the Serres basin, the Strymon transboundary river outflows to Lake Kerkini, which regulates water flow downstream for irrigation purposes and flood protection. For this research, a dataset of Sentinel-1 SAR GRD images was collected and processed covering the period of October 2014‒October 2015 to investigate the water level changes in Lake Kerkini. Based on SAR images, binary water/non-water products and multitemporal RGB amplitude images were generated and interpreted. Sentinel-1 products have proved to be an effective tool on flood hazard dynamic extension mapping and estimation of water extent bodies retained by small reservoirs. In agreement with hydro-meteorological data and the high-resolution DEM, it was conceived that the flood event occurred due to the water volume flowing from upstream in the reservoir and the large amount of water draining from the tributaries into nearby sub-basins. Moreover, inefficient water management of the overwhelming water flow through the dam could further strengthen the flood event. The proposed approach, which is entirely based on open access remotely sensed data and processing tools, could be implemented in the same area for past flood events to produce archive retrospective data, as well as in other similar reservoir-regulated river basins in terms of water management and flood risk management. © 2018, Higher Education Press and Springer-Verlag GmbH Germany, part of Springer Nature.</t>
  </si>
  <si>
    <t>2-s2.0-85049560615"</t>
  </si>
  <si>
    <t>10.1016/j.geomorph.2018.07.015</t>
  </si>
  <si>
    <t>https://www.scopus.com/inward/record.uri?eid=2-s2.0-85050410768&amp;doi=10.1016%2fj.geomorph.2018.07.015&amp;partnerID=40&amp;md5=623f2faa14fb07928c815eba3e6a6f15</t>
  </si>
  <si>
    <t>The lower Guadiana River carves a wide canyon in the Variscan metamorphic rocks of the SW Iberian Peninsula and presents an exceptionally homogeneous and well-preserved case of a strath terrace (ST) some 40 km long and 400 m wide. The rocky surface or strath shows different characteristics and development stages. Upstream, the lateral erosion level forms a flooded riverbed, or submerged strath, that gradually rises above the thalweg and develops into an active floodplain. Downstream, below the 15 m high Pulo do Lobo waterfall, the strath is incised by an inner canyon that forms a terrace on both sides. The inner channel increasingly widens and the ST loses its longitudinal continuity, yet remains prone to flooding during extraordinary magnitude floods. To assess the factors controlling the formation of this ST, we examined the roles of key drivers of ST formation: lithological hardness, tectonic structures and climate change, using cosmogenic data to create a chronologic context. The ST developed favoured by a monotonous succession of phyllites, as shown by Schmidt hammer resistance data, and interbedded more resistant quartz veins do not significantly alter its flat configuration. Variscan structures and measured joints determine the main orientation of the river and control the drainage network pattern. The intersection of the N–S and NE-SW fractures promotes a wavy surface due to three-dimensional minor fold trains that act as discontinuities and play an important role in ST erosion through quarrying and plucking. However, we detected no evidence of ST deformation attributable to recent or Late Cenozoic tectonic activity. The upstream active riverbed progressively changes downstream into an ST. This implies that Be radiometric ages obtained at Pulo do Lobo may not represent the ST's genetic age but rather the time of dismantling of its alluvial or sedimentary cover. This means the strath surface formed prior to its cosmogenic age and was therefore controlled by a higher base level, indicating a higher sea level than the current one, given the downstream area studied. The Quaternary sea level fluctuations show records of only a few meters above the current level. Instead, the sea level low stand maintains an average depth of −60 m, reaching −140 m during the last glacial period. This low base level context could justify the strong incision of the inner channel within the ST, but not the age of strath surface genesis and expansion and thus this surface should have evolved previously. The highest possible sea level stand corresponds to the Pliocene transgression, which reached an elevation of 120 m in the region, covering Miocene paleorelief. The mouth of the Guadiana River at that time resembled a fluvio-deltaic embayment between the Algarve domain and the Guadalquivir depression, which was infilled with fluvial deposits at the end of the transgression. Collectively, these data suggest that cosmogenic dating would define the time of exhumation of this Pliocene sedimentary cover. Despite great variation of the ST ages, estimated incision rates at the knickpoint area are consistent with the total entrenchment of the Pulo do Lobo fall, especially if we consider that data correspond to an active erosion site. Highest erosion rates were found for the pothole area compared to those obtained for the higher ST surface. Radiometric ages correspond to the period of lowest Quaternary sea level and during which headward erosion would have been very active in the inner channel. The waterfall area shows more resistant lithology in its concentrated quartz veins, but this effect is inconspicuous at the ST surface. The regular gradient of 0.02 m/m and vast extension of this perched strath, linked upstream to the Guadiana riverbed, indicates a relic exhumed surface beneath its sedimentary cover. Notwithstanding the subsiding activity of the Gulf of Cádiz, the continental margin behaves as a tectonically stable block, which allows for the persistence of former morphologies in these ancient landscapes reshaped by bedrock river dissection. © 2018 Elsevier B.V.</t>
  </si>
  <si>
    <t>2-s2.0-85050410768"</t>
  </si>
  <si>
    <t>10.1016/j.ijdrr.2018.01.023</t>
  </si>
  <si>
    <t>https://www.scopus.com/inward/record.uri?eid=2-s2.0-85042088071&amp;doi=10.1016%2fj.ijdrr.2018.01.023&amp;partnerID=40&amp;md5=74e6c71f1d429fac4f03656435269f60</t>
  </si>
  <si>
    <t>This article uses data from an online survey-based experiment to investigate how risk communications and individual differences influence people's responses to approaching hurricane risks. Survey data were collected from 1716 residents of coastal areas of the USA affected by Hurricane Sandy. Respondents were randomly assigned to receive a combination of textual messages about a hypothetical approaching hurricane, including hazard-based, impact-based, and fear-based messages. The analysis examines how the experimental messages influenced respondents’ evacuation intentions, risk perceptions, efficacy beliefs, and perceptions of the information and its source. The influence of non-message factors, including respondents’ actual and perceived geographical exposure to hurricane-related risks, evacuation planning, and hurricane-related experiences, is also investigated. The results indicate that the high-impact and fear messages increased evacuation intentions, risk perceptions, and response efficacy, but the effects were small. The hazard message manipulations did not significantly influence most of the dependent variables examined</t>
  </si>
  <si>
    <t>10.1080/01431161.2018.1471549</t>
  </si>
  <si>
    <t>https://www.scopus.com/inward/record.uri?eid=2-s2.0-85046811473&amp;doi=10.1080%2f01431161.2018.1471549&amp;partnerID=40&amp;md5=27aca25688875fa266b3a7365c26323a</t>
  </si>
  <si>
    <t>The increasing pressures and hazards derived from human action and climate change make the implementation of coastal monitoring plans a requirement for assessing coastal responses and evolution. For this reason, this work aims to use unmanned aerial systems (UAS) in combination with Structure from Motion algorithms for detecting morphodynamic changes caused by a storm in Camposoto beach (SW Spain). This approach provided pre- and post-storm digital elevation models of the study area with root mean square vertical errors of 6.89 and 5.54 cm, respectively, that allowed the identification of storm-induced gain and loss of sediment using Geomorphic Change Detection software. Furthermore, it also captured the response of the system against the action of specific marine processes such as storm-induced swash, collision, and overwash. The results obtained highlight the importance of an optimum flight plan design (e.g. the use of 85–75% front and side image overlap, respectively) and enhance the suitability of the UAS technology to satisfy the demands and needs in coastal monitoring studies in comparison with the traditional techniques, namely aerial photogrammetry, satellite imagery, and/or light detection and ranging. © 2018, © 2018 Informa UK Limited, trading as Taylor &amp; Francis Group.</t>
  </si>
  <si>
    <t>2-s2.0-85046811473"</t>
  </si>
  <si>
    <t>10.1007/s11069-018-3392-y</t>
  </si>
  <si>
    <t>https://www.scopus.com/inward/record.uri?eid=2-s2.0-85048748492&amp;doi=10.1007%2fs11069-018-3392-y&amp;partnerID=40&amp;md5=2cfa7822a4cec0cb0a68c91c179bb36e</t>
  </si>
  <si>
    <t>Flood, a perennial phenomenon mainly in low lying deltaic areas and flood plain regions, can be viewed as beneficial for enhancing soil fertility and agricultural production, but also as one of the most destructive natural hazard endangering human life, property, economy and environment. Floods in lower Gangatic flood plain are annual event, especially Malda district of West Bengal has been severely affected by flood over the years by the mighty Ganga and its left bank tributaries during high stage of flow. Assessing risk from flood using composite hazard and vulnerability index has been a widely recognized tool which acts as an important element for formulation of policies aiming at flood risk reduction. The present investigation is an endeavor to assess risk due to flooding using analytical hierarchical processes incorporating flood hazard elements and vulnerability indicators in geographical information system environment. Flood hazard map has been prepared using selected morphological and hydrometerological elements whereas the vulnerability map has been produced using demographic, socio-economic and infrastructural elements. Finally, risk map of flood has been developed compiling both the above-mentioned aspects. The analysis concluded that the northern and western parts of the district are most risk prone from flood hazard than the eastern part. © 2018, Springer Nature B.V.</t>
  </si>
  <si>
    <t>2-s2.0-85048748492"</t>
  </si>
  <si>
    <t>10.3390/rs10081191</t>
  </si>
  <si>
    <t>https://www.scopus.com/inward/record.uri?eid=2-s2.0-85051656903&amp;doi=10.3390%2frs10081191&amp;partnerID=40&amp;md5=3e47f55707851ad9a7f6854b2f23670e</t>
  </si>
  <si>
    <t>The use of satellite SAR interferometric methods has significantly improved the monitoring of ground movements over the last decades, thus opening new possibilities for a more accurate interpretation of land subsidence and its driving mechanisms. TerraSAR-X has been extensively used to study land subsidence in the Venice Lagoon, Italy, with the aim of quantifying the natural and anthropogenic causes. In this paper, we review and update the main results achieved by three research projects supported by DLR AOs (German Aerospace Center Announcement of Opportunity) and conducted to test the capability of TerraSAR-X PSI (Persistent Scatterer Interferometry) to detect ground movements in the complex physiographic setting of the Venice transitional coastal environment. The investigations have been focused on the historical center of Venice, the lagoon inlets where the MoSE is under construction, salt marshes, and newly built-up areas in the littoral. PSI on stacks of stripmap TerraSAR-X images covering short- to long-time periods (i.e., the years 2008-2009, 2008-2011 and 2008-2013) has proven particularly effective to measure land subsidence in the Venice coastland. The very high spatial resolution (3 m) and the short repeat time interval (11 days) of the TerraSAR-X acquisitions make it possible to investigate ground movements with a detail unavailable in the past. The interferometric products, properly calibrated, allowed for a millimetric vertical accuracy of the land movements at both the regional and local scales, even for short-term analyses, i.e., spanning one year only. The new picture of the land movement resulted from processing TerraSAR-X images has significantly contributed to update the knowledge on the subsidence process at the Venice coast. © 2018 by the authors.</t>
  </si>
  <si>
    <t>2-s2.0-85051656903"</t>
  </si>
  <si>
    <t>10.1029/2017WR021426</t>
  </si>
  <si>
    <t>https://www.scopus.com/inward/record.uri?eid=2-s2.0-85055032262&amp;doi=10.1029%2f2017WR021426&amp;partnerID=40&amp;md5=decd55516c4151b597e59977e4bd0232</t>
  </si>
  <si>
    <t>Regulatory goals for the California Delta attempt to restore natural ecosystems through various water management efforts. Defining management criteria for restoration is challenging, given that the earliest data describing the hydrology of the region follow many decades of change associated with agricultural development, channel modification, and flood control. This study explores the hydrology of the 1850–1920 period by synthesizing new reconstructed precipitation, basin inflows, land use change, and levee construction time series, in a semidistributed hydrologic model. The model demonstrated that it is impossible to simultaneously reproduce estimated historical flood extents, frequencies, and durations given contemporary topography. Bounding cases were constructed to span potential water budget partitioning and suggest that the state of this region by the 1920s was hydrologically similar to that of the natural regime (i.e., flow experienced was depressed due to drought, but within the bounds of variability of the natural Delta system), partly due to the flow augmentation provided by flood control infrastructure and enhanced channel conveyance. The model suggests that levee construction, rather than land use change, had the greatest impact on Delta hydrology. This and other reconstructions, however, suggest that decreases in annual Delta outflows accelerated after 1920. Future efforts to reconstruct Delta hydrology should focus on improving information about the historical topography and channel geometry of the Central Valley river network, with a view to refining understanding of the natural and historical flood regime. ©2018. American Geophysical Union. All Rights Reserved.</t>
  </si>
  <si>
    <t>2-s2.0-85055032262"</t>
  </si>
  <si>
    <t>10.2112/SI81-002.1</t>
  </si>
  <si>
    <t>https://www.scopus.com/inward/record.uri?eid=2-s2.0-85058862681&amp;doi=10.2112%2fSI81-002.1&amp;partnerID=40&amp;md5=3ab19491d6eb02a9e422849fff558471</t>
  </si>
  <si>
    <t>The variations of the coastline have a great impact on the human activities. Natural mechanisms such as the nearshore sediment transport, non-climatic background geological processes (e.g., land subsidence) or the sea level variations are three important factors that control coastline position. During more than one century, the third process has been extensively studied, at a global scale, using datasets obtained from tide gauges. Sea level observations on the West African coastline are scarse. As an example, the tide gauges in Dakar (Senegal) and in Takoradi (Ghana), are the only ones in West Africa with temporal series longer than 40 years. Such limited amount of data difficults the devevelopment of sea level studies on the vast and variable coastal zone of West Africa. One of the reasons for the limited number of tide gauges is the fact that the majority of the nearshore zone is composed by sandy environments, where these instruments are difficult to install and maintain, In this context spatial altimetry rises as the most adequate solution to overcome this problem. In this study we perform a demonstration of the use of satellite altimetry products to estimate local sea level trends. The study site selected for this work is the Cap Vert peninsula, Sen egal, and the tide gauge from Dakar was used to validate the sea level trends computed using altimetric sea level observations. © Coastal Education and Research Foundation, Inc. 2018.</t>
  </si>
  <si>
    <t>2-s2.0-85058862681"</t>
  </si>
  <si>
    <t>Environmental Economics and Policy Studies</t>
  </si>
  <si>
    <t>10.1007/s10018-018-0212-2</t>
  </si>
  <si>
    <t>https://www.scopus.com/inward/record.uri?eid=2-s2.0-85042081797&amp;doi=10.1007%2fs10018-018-0212-2&amp;partnerID=40&amp;md5=32d2cb8fb7cb04de900ccceeacb3ebeb</t>
  </si>
  <si>
    <t>This paper investigates the vulnerability of households to climatic disasters in the low-lying atoll nation of Tuvalu. Small Island Developing States, particularly the atoll nations, are the most vulnerable to climatic change, and in particular to sea-level rise and its associated risks. Using the most recent household surveys available, we construct poverty and hardship profiles for households on the different islands of Tuvalu, and combine these with geographic and topographic information to assess the exposure differentials among different groups using spatial econometric models. Besides the observation that poor households are more vulnerable to negative shocks because they lack the resources to respond, we also find that they are also more likely to reside in areas highly exposed to disasters (closer to the coasts and at lower elevation) and have less ability to migrate (between and within the islands). © 2018, Society for Environmental Economics and Policy Studies and Springer Japan KK, part of Springer Nature.</t>
  </si>
  <si>
    <t>2-s2.0-85042081797"</t>
  </si>
  <si>
    <t>10.1111/1752-1688.12660</t>
  </si>
  <si>
    <t>https://www.scopus.com/inward/record.uri?eid=2-s2.0-85050956964&amp;doi=10.1111%2f1752-1688.12660&amp;partnerID=40&amp;md5=4fc526409792f77e8cde92b73a007201</t>
  </si>
  <si>
    <t>We present a Digital Elevation Model-based hydrologic analysis methodology for continental flood inundation mapping (CFIM), implemented as a cyberGIS scientific workflow in which a 1/3rd arc-second (10 m) height above nearest drainage (HAND) raster data for the conterminous United States (CONUS) was computed and employed for subsequent inundation mapping. A cyberGIS framework was developed to enable spatiotemporal integration and scalable computing of the entire inundation mapping process on a hybrid supercomputing architecture. The first 1/3rd arc-second CONUS HAND raster dataset was computed in 1.5 days on the cyberGIS Resourcing Open Geospatial Education and Research supercomputer. The inundation mapping process developed in our exploratory study couples HAND with National Water Model forecast data to enable near real-time inundation forecasts for CONUS. The computational performance of HAND and the inundation mapping process were profiled to gain insights into the computational characteristics in high-performance parallel computing scenarios. The establishment of the CFIM computational framework has broad and significant research implications that may lead to further development and improvement of flood inundation mapping methodologies. © 2018 American Water Resources Association</t>
  </si>
  <si>
    <t>2-s2.0-85050956964"</t>
  </si>
  <si>
    <t>10.1007/s00024-017-1649-0</t>
  </si>
  <si>
    <t>https://www.scopus.com/inward/record.uri?eid=2-s2.0-85053701154&amp;doi=10.1007%2fs00024-017-1649-0&amp;partnerID=40&amp;md5=234afa1a24816fb7539bbc0d721ed204</t>
  </si>
  <si>
    <t>Efficient detection and high-fidelity quantification of surface changes resulting from underground activities are important national and global security efforts. In this investigation, a team performed field-based topographic characterization by gathering high-quality photographs at very low altitudes from an unmanned aerial system (UAS)-borne camera platform. The data collection occurred shortly before and after a controlled underground chemical explosion as part of the United States Department of Energy’s Source Physics Experiments (SPE-5) series. The high-resolution overlapping photographs were used to create 3D photogrammetric models of the site, which then served to map changes in the landscape down to 1-cm-scale. Separate models were created for two areas, herein referred to as the test table grid region and the nearfield grid region. The test table grid includes the region within ~40 m from surface ground zero, with photographs collected at a flight altitude of 8.5 m above ground level (AGL). The near-field grid area covered a broader area, 90–130 m from surface ground zero, and collected at a flight altitude of 22 m AGL. The photographs, processed using Agisoft Photoscan® in conjunction with 125 surveyed ground control point targets, yielded a 6-mm pixel-size digital elevation model (DEM) for the test table grid region. This provided the ≤3 cm resolution in the topographic data to map in fine detail a suite of features related to the underground explosion: uplift, subsidence, surface fractures, and morphological change detection. The near-field grid region data collection resulted in a 2-cm pixel-size DEM, enabling mapping of a broader range of features related to the explosion, including: uplift and subsidence, rock fall, and slope sloughing. This study represents one of the first works to constrain, both temporally and spatially, explosion-related surface damage using a UAS photogrammetric platform</t>
  </si>
  <si>
    <t>10.1002/wcc.543</t>
  </si>
  <si>
    <t>https://www.scopus.com/inward/record.uri?eid=2-s2.0-85050508851&amp;doi=10.1002%2fwcc.543&amp;partnerID=40&amp;md5=a37bd71395cd2516414db21c3ce4b7bc</t>
  </si>
  <si>
    <t>Big Data Approaches (BDAs) refers to the combined use of historic datasets, incoming data streams, and the array of related technologies designed to shed new light on societal and environmental complexities through novel organizational, storage, and analytical capabilities. Despite widespread recognition of the commercial benefits of BDAs, application in the environmental domain is less well articulated. This represents a missed opportunity given that the dimensions used to characterize BDAs (volume, variety, velocity, and veracity) appear apt in describing the intractable challenges posed by global climate change. This paper employs coastal flood risk management as an illustrative case study to explore the potential applications in the environmental domain. Trends in global change including accelerating sea level rise, concentration of people and assets in low-lying areas and deterioration of protective coastal ecosystems are expected to manifest locally as increased future flood risk. Two branches of coastal flood risk management are considered. First, coastal flood risk assessment, focusing on better characterization of hazard sources, facilitative pathways, and vulnerable receptors. Second, flood emergency response procedures, focusing on forecasting of flooding events, dissemination of warnings, and response monitoring. Critical commentary regarding technical, contextual, institutional, and behavioral barriers to the implementation of BDAs is offered throughout including a discussion of two fundamental difficulties associated with applying BDAs to coastal flood risk management: the role of BDAs in the broader flood system and the skill requirements for a generation of data scientists capable of implementing Big Data Approaches. This article is categorized under: Social Status of Climate Change Knowledge &gt; Knowledge and Practice Climate, History, Society, Culture &gt; Technological Aspects and Ideas. © 2018 The Authors. WIREs Climate Change published by Wiley Periodicals, Inc.</t>
  </si>
  <si>
    <t>2-s2.0-85050508851"</t>
  </si>
  <si>
    <t>10.1093/GJI/GGY238</t>
  </si>
  <si>
    <t>https://www.scopus.com/inward/record.uri?eid=2-s2.0-85060949757&amp;doi=10.1093%2fGJI%2fGGY238&amp;partnerID=40&amp;md5=b70cc25065aed3173605ee7145036b53</t>
  </si>
  <si>
    <t>Unlike in the deep ocean, simulating the propagation of tsunamis in the coastal zone requires a non-linear model with a fine resolution bathymetry/topography to cope with the non-linearity and complex coastal morphology. Consequently, it raises considerable computational burdens that may not be suitable for a real-time tsunami forecasting. To overcome the issue, we utilize a precomputed tsunami database comprised of pairs of low- and high-resolution maximum tsunami elevations and flowdepths originating from various hypothetical earthquake scenarios. In the actual tsunami event, our algorithm requires only a low-resolution simulation result from a linear model as the input to generate the corresponding high-resolution inundation map. Therefore, the use of the non-linear model in the real-time computation can be circumvented. A dimensionality reduction or a projection to an optimal subspace is necessary to speed up the computation and possibly improve the accuracy. To that end, we construct a projection matrix based on a principal component analysis, commonly used in the computer vision field for pattern recognitions. We apply the proposed method to the 2011 Tohoku tsunami event and select the Rikuzentakata bay and Otsuchi bay as the study sites. The proposed algorithm produces the high-resolution inundation map within seconds using the low-resolution linear simulation result obtained in ~5 min, whereas a comparable inundation forecast accuracy by the direct non-linear forward model using a nested grid system takes ~40 min. © The Author(s) 2018.</t>
  </si>
  <si>
    <t>2-s2.0-85060949757"</t>
  </si>
  <si>
    <t>10.1002/rra.3299</t>
  </si>
  <si>
    <t>https://www.scopus.com/inward/record.uri?eid=2-s2.0-85050376514&amp;doi=10.1002%2frra.3299&amp;partnerID=40&amp;md5=b70d2310732fc5cf41d301765660c089</t>
  </si>
  <si>
    <t>This study examines the character of developing anabranched channel networks on the River Wear, north England, using metre-scale aerial LiDAR. DSM-DTM interpretation reveals a well-developed vegetation structure and a locally diverse terrain, dominated by an interlinked channel network split by low-elevation depositional areas with the gross morphology of the reach resembling that of a strongly active meandering/wandering channel suggesting that an anabranching network may develop within systems that were initially active meandering and wandering, evolving in line with floodplain vegetative succession. Utilization of the LiDAR DEM in the hydrological component of the CAESAR-Lisflood (version 1.4) morphodynamic model has generated local hydraulic variable estimates through the anabranched reaches for a range of flows. These data clearly demonstrate how elevated flows are transferred out of the primary channel and distributed along the interconnected secondary channel network, creating a diverse set of hydraulic environments. Areas between the channels rapidly become inundated as flows increase, dissipating flow energy. Shear stress estimates throughout the study site reveal a generally reduced ability to mobilize sediments and erode channel margins, in comparison with a single-thread reach immediately downstream. Anabranched secondary channels appear to operate in disequilibrium and act predominantly as aggradational zones, although with some evidence of scour at channel bifurcation and confluence points. It would appear that the topographic character of anabranching sites efficiently manages flood flow energy, activating secondary channels and low-elevation areas to distribute flood flows. These findings contrast with the hydraulic data from an adjacent single-thread reach, characterized by flood flows concentrated in-channel creating a high erosive potential. We propose that anabranching rivers could play an important role in natural flood and sediment management in many U.K. river systems. © 2018 John Wiley &amp; Sons, Ltd.</t>
  </si>
  <si>
    <t>2-s2.0-85050376514"</t>
  </si>
  <si>
    <t>10.1007/s10661-018-6953-3</t>
  </si>
  <si>
    <t>https://www.scopus.com/inward/record.uri?eid=2-s2.0-85053044476&amp;doi=10.1007%2fs10661-018-6953-3&amp;partnerID=40&amp;md5=b88e56363b82cc17a37ba4e44d1fef36</t>
  </si>
  <si>
    <t>Urbanization and climate change are causing numerous side effects on groundwater resources. In this study, an integrated modeling approach by linking soil and water application tool (SWAT), modular finite difference groundwater flow (MODFLOW), and three-dimensional variable-density groundwater flow coupled with multi-species solute and heat transport (SEAWAT) models were used to exhibit responses of groundwater systems, in terms of flow and salt concentrations to current and future climatic and anthropogenic changes. Future climate scenarios for periods of 2010–2040 were generated from the Canadian Global Coupled Model (CGCM) for scenarios A1B, B1, and A2 which was downscaled by the Long Ashton Research Station weather generator (LARS-WG) providing precipitation and temperature patterns for the period 2018–2040. The GCM’s outputs were applied to SWAT model to estimate recharge rate for the ten scenarios designed to assess the sensitivity of the aquifer to urbanization and climate change. The estimated recharge rate from SWAT was utilized as an input in numerical groundwater model to evaluate saltwater intrusion (SWI), changes in freshwater storage within the aquifer system, and changes in groundwater level. Based on the results of each scenario’s simulation, increase of pumping rate yield by future population growth will have more adverse effects on the unconfined aquifer. The derived information from this study can be used to improve future works by developing a better understanding of the managed and unmanaged response of freshwater storage and unconfined groundwater systems to climate change and anthropogenic activities. © 2018, Springer Nature Switzerland AG.</t>
  </si>
  <si>
    <t>2-s2.0-85053044476"</t>
  </si>
  <si>
    <t>10.1002/hyp.13214</t>
  </si>
  <si>
    <t>https://www.scopus.com/inward/record.uri?eid=2-s2.0-85050805413&amp;doi=10.1002%2fhyp.13214&amp;partnerID=40&amp;md5=218b3e5d57391ef41a2a7692a545c3b2</t>
  </si>
  <si>
    <t>This paper provides for the first time an experimental study where the impact of sea-level fluctuations and inland boundary head-level variations on freshwater–saltwater interface toe motion and transition zone dynamics was quantitatively analysed under transient conditions. The experiments were conducted in a laboratory flow tank where various (inland and coastal) head changes were imposed to the system and the response of the key seawater intrusion parameters was analysed with high spatial and temporal resolution. Two homogeneous aquifer systems of different grain size were tested. The numerical code SEAWAT was used for the validation. The results show that in cases of sea-level variations, the intruding wedge required up to twice longer time to reach a new steady-state condition than the receding wedge, which thereby extend the theory of timescale asymmetry between saltwater intrusion and retreat processes in scenarios involving sea-level fluctuations. The intruding and receding rates of the saltwater wedge were respectively similar in the scenario involving sea-level and the freshwater-level changes, despite change in transmissivity. The results show that, during the intrusion phase, the transition zone remains relatively insensitive, regardless of where the boundary head change occurs (i.e., freshwater drop or sea-level rise) or its magnitude. By contrast, a substantial widening of the transition zone was observed during the receding phase, with almost similar amplitude in the scenario involving a rise of the freshwater level compared with that caused by a drop of the saltwater level, provided that an equivalent absolute head change magnitude was used. This transition zone widening (occurring during saltwater retreat) was greater and extended over longer period in the low hydraulic conductivity aquifer, for both freshwater-level rise and sea-level drop scenarios. The concentration maps revealed that the widening mechanism was also enhanced by the presence of some freshwater sliding and into the wedge during saltwater retreat, which was thereafter sucked upward towards the interface because of density difference effects. © 2018 John Wiley &amp; Sons, Ltd.</t>
  </si>
  <si>
    <t>2-s2.0-85050805413"</t>
  </si>
  <si>
    <t>10.1016/j.cageo.2018.06.007</t>
  </si>
  <si>
    <t>https://www.scopus.com/inward/record.uri?eid=2-s2.0-85049326895&amp;doi=10.1016%2fj.cageo.2018.06.007&amp;partnerID=40&amp;md5=b914f6ea82841f6ec99db9db6f86d88c</t>
  </si>
  <si>
    <t>A proof of concept is presented on how to produce uncertainty-aware near real-time coastal flood inundation Web maps from water-level observations and predictions, which have been computed for tide gauge sites and made publicly accessible. The stochastic inundation simulation takes into account several sources of uncertainty, which have until now not been employed in either bathtub models or hydrodynamic models. The simulation is based on the Monte Carlo method. The feasibility of the proposed approach is demonstrated by an implementation using general-purpose computing on graphics processing units. The outcome of the research is that the current technologies enable the building of a novel system that connects to official data sources and that takes into account sources of uncertainty whose inclusion in the past has been avoided by being either weakly known or computationally too expensive. © 2018 Elsevier Ltd</t>
  </si>
  <si>
    <t>2-s2.0-85049326895"</t>
  </si>
  <si>
    <t>10.1007/s12517-018-3909-4</t>
  </si>
  <si>
    <t>https://www.scopus.com/inward/record.uri?eid=2-s2.0-85053514964&amp;doi=10.1007%2fs12517-018-3909-4&amp;partnerID=40&amp;md5=f7c41b9ea0fd944febc30668b28420d2</t>
  </si>
  <si>
    <t>The Qasr oil and gas field is located in the eastern part of the Shushan Basin in the northern Western Desert of Egypt. Sandstones of the Lower Cretaceous Alam El Bueib Formation are the main oil-bearing reservoirs in the field, and these reservoirs cannot be seismically detected. Consequently, modeling is important to predict the extension of the reservoirs. The present study adopts two types of modeling: structural and facies. Structural modeling is the incorporation of interpreted faults, horizons, and zones into a three-dimensional (3D) grid, while facies modeling distributes lithologic facies within the previously constructed 3D structural grid. All available geological information is utilized in facies modeling, including lithological interpretations from well logs, and sedimentary core and ditch cutting descriptions from mud logs. The structural analysis of the Alam El Bueib Formation in the Qasr Field showed several E-W to WNW-ESE fault systems. The geologic structure, combined with stratigraphy and facies architecture, establishes the framework for traps in this field. Lithology interpretation using electric well logs and mud logs showed four main facies: (1) channel sand, (2) flood plain siltstone, (3) lagoonal shale and mud, and (4) marine carbonates. Facies modeling of the six major units that comprise the Alam El Bueib Formation show variable sand channels deposited in fluvial to mixed deltaic and tidal environments. These channels are oriented N-S to NE-SW and form 20 to 100-ft-thick sandstone reservoirs. © 2018, Saudi Society for Geosciences.</t>
  </si>
  <si>
    <t>2-s2.0-85053514964"</t>
  </si>
  <si>
    <t>Environment and Planning C: Politics and Space</t>
  </si>
  <si>
    <t>10.1177/2399654417725077</t>
  </si>
  <si>
    <t>https://www.scopus.com/inward/record.uri?eid=2-s2.0-85050394697&amp;doi=10.1177%2f2399654417725077&amp;partnerID=40&amp;md5=896ec16c87e233cc45d818705271c363</t>
  </si>
  <si>
    <t>Adapting to climate change in the urban setting requires cooperation across scales, levels of government, organisational boundaries and policy sectors. The study presented in the paper explores governance of urban adaptation policies through the conceptual lens of multi-level governance and boundary spanning. It focuses on the South Wing of the Randstad in The Netherlands, an urban region that is heavily exposed to the negative impacts of climate change, particularly to flooding, due to its location in the Rhine-Meuse delta and concentration of population and economic activity. Yet, it is also a region with strong traditions of cooperation and a track record of pioneering urban climate change measures. The study investigates how the features of the wider institutional context, in which this urban region operates shape the governance of urban adaptation policies and how the contextual factors constrain the scope for spanning horizontal, vertical and temporal boundaries needed for delivering those policies and making the cities of that region more climate-proof. © The Author(s) 2017.</t>
  </si>
  <si>
    <t>2-s2.0-85050394697"</t>
  </si>
  <si>
    <t>10.1080/19475705.2018.1486891</t>
  </si>
  <si>
    <t>https://www.scopus.com/inward/record.uri?eid=2-s2.0-85062017696&amp;doi=10.1080%2f19475705.2018.1486891&amp;partnerID=40&amp;md5=dc33acf96e91f0bf513c6a36266d7569</t>
  </si>
  <si>
    <t>The purpose of this study is to achieve flood hazard map in terms of limited data and identify the elements exposed to the hazard of floods produced by Trotus¸ River in section belonging to the commune of Ghimes-Făget, Romania. In order to identify the elements exposed to flood hazard, a first step was to determine the potential depth of water in flood conditions, using three bands of flooding for 10, 100 and 1000 years return period and the digital elevation model. In a second step, we elaborated the hazard map and hazard classification according to the Swiss method of hazard assessment, then the thematic layers with buildings and infrastructure were vectorized from orthophotoplan and inventoried in the field, the land use map was extracted from the Corine Land Cover 2012 data set. The maps of the exposed elements have been achieved based on thematic layers and hazard map. The results of this study provide information about the degree of flood hazard and about the elements exposed to hazard, which allows us to identify vulnerability and quantify the risk in a new study and also support the population and authorities to develop prevention and intervention measures in case of flood hazard. © 2018 The Author(s).</t>
  </si>
  <si>
    <t>2-s2.0-85062017696"</t>
  </si>
  <si>
    <t>10.1007/s00024-018-1874-1</t>
  </si>
  <si>
    <t>https://www.scopus.com/inward/record.uri?eid=2-s2.0-85052984235&amp;doi=10.1007%2fs00024-018-1874-1&amp;partnerID=40&amp;md5=ad47ce2a0029d9649bfc0f69bc11a790</t>
  </si>
  <si>
    <t>In this paper, we present a novel technique for the objective detection of the geomorphological effects of flooding in riverbeds and floodplains using imagery acquired by unmanned aerial vehicles (UAVs, also known as drones) equipped with an panchromatic camera. The proposed method is based on the fusion of the two key data products of UAV photogrammetry, the digital elevation model (DEM), and the orthoimage, as well as derived qualitative information, which together serve as the basis for object-based segmentation and the supervised classification of fluvial forms. The orthoimage is used to calculate textural features, enabling detection of the structural properties of the image area and supporting the differentiation of features with similar spectral responses but different surface structures. The DEM is used to derive a flood depth model and the terrain ruggedness index, supporting the detection of bank erosion. All the newly derived information layers are merged with the orthoimage to form a multi-band data set, which is used for object-based segmentation and the supervised classification of key fluvial forms resulting from flooding, i.e., fresh and old gravel accumulations, sand accumulations, and bank erosion. The method was tested on the effects of a snowmelt flood that occurred in December 2015 in a montane stream in the Sumava Mountains, Czech Republic, Central Europe. A multi-rotor UAV was used to collect images of a 1-km-long and 200-m-wide stretch of meandering stream with fresh traces of fluvial activity. The performed segmentation and classification proved that the fusion of 2D and 3D data with the derived qualitative layers significantly enhanced the reliability of the fluvial form detection process. The assessment accuracy for all of the detected classes exceeded 90%. The proposed technique proved its potential for application in rapid mapping and detection of the geomorphological effects of flooding. © 2018, Springer International Publishing AG, part of Springer Nature.</t>
  </si>
  <si>
    <t>2-s2.0-85052984235"</t>
  </si>
  <si>
    <t>10.1007/s11852-017-0549-x</t>
  </si>
  <si>
    <t>https://www.scopus.com/inward/record.uri?eid=2-s2.0-85028026030&amp;doi=10.1007%2fs11852-017-0549-x&amp;partnerID=40&amp;md5=d0c480a2b093164502d8d55e5dc25fe9</t>
  </si>
  <si>
    <t>The recent high-resolution multibeam bathymetry surveys around Lipari Island allowed to evidence several submarine canyons, whose head often cut back up to very shallow water and at a few tens of meters far from the coast. These canyons are mainly located in the eastern and southern side of the island and are characterized by an ongoing retrogressive (landward) erosion, that also controlled the shape and the evolution of the coastline. The canyon heads are formed by minor slide scars. By coupling slide scar morphometry and simple numerical model we have been able to roughly estimate the potential tsunami wave amplitudes generated by related slope failures. Moreover, the retrogressive erosion of canyon heads can be claimed as a cause of the enhanced subsidence reported in the last few thousand years in the eastern part of Lipari, where the main villages are located. Based on these evidence, we propose a first assessment of the coastal hazard due to marine retrogressive activity in the largest and most densely populated island of the Aeolian Archipelago. © 2017, Springer Science+Business Media B.V.</t>
  </si>
  <si>
    <t>2-s2.0-85028026030"</t>
  </si>
  <si>
    <t>10.1007/s00190-018-1166-7</t>
  </si>
  <si>
    <t>https://www.scopus.com/inward/record.uri?eid=2-s2.0-85049921694&amp;doi=10.1007%2fs00190-018-1166-7&amp;partnerID=40&amp;md5=6ab13a074728d47f0c4ced9d21270aee</t>
  </si>
  <si>
    <t>In this paper, we consistently estimate geodetic parameters such as weekly 3-D station coordinates, Earth orientation parameters (EOP) including daily x/y-pole coordinates and the excess length of day Δ LOD , and selected weekly Earth’s gravitational field (Stokes) coefficients up to degree and order 6 from Satellite Laser Ranging measurements to up to 11 geodetic satellites. The SLR constellation consists of LAGEOS-1/2, Etalon-1/2, Stella, Starlette, Ajisai, Larets, LARES, BLITS and WESTPAC, and its observations cover a time span of 38 years ranging from February 16, 1979, to April 30, 2017. If multiple satellites with various altitudes and orbit inclinations are combined, correlations between estimated parameters are significantly reduced. This allows us (i) to investigate the ability of satellite constellations to reduce existing correlations and (ii) to estimate reliable parameters with higher precision compared to the standard 4-satellite constellation (LAGEOS-1/2, Etalon-1/2) which is currently used by the International Laser Ranging Service for the determination of the Terrestrial Reference Frame (TRF) and EOP products. In particular, the Stokes coefficients, EOP and TRF datum parameters (three translations, three rotations, one scale factor), which are highly correlated with satellite-specific orbit parameters, are improved. From our investigations, we found for an 11-satellite solution compared to the above-mentioned 4-satellite solution a decrease in the scatter of the TRF datum parameters of up to 37%, the transformation residuals are decreased by up to 22%, the scatter of the EOP is decreased by up to 22%, and their mean values are decreased by up to 84% w.r.t. the reference solutions. The largest improvement is obtained for the Stokes coefficients which significantly benefit from a combination of multiple satellites (inclinations and orbit altitudes). In total, single coefficients are improved by up to 93% and the overall improvement is up to 74%. Moreover, it could be clearly identified that Ajisai significantly disturbs the TRF solution due to an erroneous center-of-mass correction. We further quantify the impact of specific satellites on the determination of different geodetic parameters and finally evaluate the potential of the existing SLR-tracked spherical satellite constellation to support the goals of GGOS. © 2018, Springer-Verlag GmbH Germany, part of Springer Nature.</t>
  </si>
  <si>
    <t>2-s2.0-85049921694"</t>
  </si>
  <si>
    <t>10.1007/s10236-018-1190-4</t>
  </si>
  <si>
    <t>https://www.scopus.com/inward/record.uri?eid=2-s2.0-85049601464&amp;doi=10.1007%2fs10236-018-1190-4&amp;partnerID=40&amp;md5=8d7ed020ec702f4b7ce8ce3233be14bf</t>
  </si>
  <si>
    <t>Planning and design of coastal protection rely on information about the probabilities of very severe storm tides and the possible changes that may occur in the course of climate change. So far, this information is mostly provided in the form of high percentiles obtained from frequency distributions or return values. More detailed information and assessments of events that may cause extreme damages or have extreme consequences at the coast are so far still unavailable. We describe and compare two different approaches that may be used to identify highly unlikely but still physically possible and plausible events from model simulations. Firstly, in the case when consistent wind and tide-surge data are available, different metrics such as the height of the storm surge can be derived directly from the simulated water levels. Secondly, in cases where only atmospheric data are available, the so called effective wind may be used. The latter is the projection of the horizontal wind vector on that direction which is most effective in producing surges at the coast. Comparison of events identified by both methods show that they can identify extreme events but that knowledge of the effective wind alone does not provide sufficient information to identify the highest storm surges. Tracks of the low-pressure systems over the North Sea need to be investigated to find those cases, where the duration of the high wind is too short to induce extreme storm tides. On the other hand, factors such as external surges or variability in mean sea level may enhance surge heights and are not accounted for in estimates based on effective winds only. Results from the analysis of an extended data set suggest that unprecedented storm surges at the German North Sea coast are possible even without taking effects from rising mean sea level into account. The work presented is part of the ongoing project “Extreme North Sea Storm Surges and Their Consequences” (EXTREMENESS) and represents the first step towards an impact assessment for very severe storm surges which will serve as a basis for development of adaptation options and evaluation criteria. © 2018, Springer-Verlag GmbH Germany, part of Springer Nature.</t>
  </si>
  <si>
    <t>2-s2.0-85049601464"</t>
  </si>
  <si>
    <t>10.1111/1365-2664.13190</t>
  </si>
  <si>
    <t>https://www.scopus.com/inward/record.uri?eid=2-s2.0-85052058913&amp;doi=10.1111%2f1365-2664.13190&amp;partnerID=40&amp;md5=33911a30981771999a23c794209639e2</t>
  </si>
  <si>
    <t>Climate change is expected to impact many species and ecosystem services, although it is difficult to predict when and how these impacts may arise. Due to this uncertainty, it is difficult to plan management actions, such as designating protected areas, intended to adapt to climate change impacts. The danger of ignoring uncertainty is that resulting plans may fail to achieve conservation objectives, yet this is not usually incorporated in conservation planning. Recent studies have accounted for uncertainty by applying Modern Portfolio Theory—an approach for risk-sensitive resource allocation used in the finance sector—to conservation planning. However, these approaches are not directly applicable to many conservation planning problems that typically include discrete site selection, multiple conservation objectives and a consideration of connectivity. We extend previous applications of Modern Portfolio Theory by incorporating these additional conservation planning requirements in the context of designing a reserve system and apply it to conserving coastal wetlands and associated ecosystem services under uncertain rates of sea-level rise. This allows us to identify an optimal set of properties to preserve, while maintaining connectivity for landward migration of wetlands and accounting for risk. We compare spatial plans that resulted from our risk-sensitive approach to reserve selection that ignored risk to determine whether, and how, explicitly accounting for risk alters planning outcomes. We demonstrate that incorporating sea-level rise, but ignoring uncertainty, is a high-risk strategy, even when planning for the worst-case sea-level rise scenario. In contrast, diversifying site selection through Modern Portfolio Theory can ensure the supply of ecosystem services by reducing the risk of failure across all sea-level rise scenarios. Synthesis and applications. Climate change will continue to drive profound changes to socio-ecological systems that are difficult to predict. In this context, risk reduction in spatial planning is a neglected but essential strategy for avoiding comprehensive failure and improving the long-term effectiveness of conservation efforts. Modern Portfolio Theory, as presented here to account for the characteristics of real-world conservation planning problems, provides a rigorous way forward in dealing explicitly with risk for many conservation planning exercises. © 2018 The Authors. Journal of Applied Ecology © 2018 British Ecological Society</t>
  </si>
  <si>
    <t>2-s2.0-85052058913"</t>
  </si>
  <si>
    <t>10.1007/s00015-018-0309-4</t>
  </si>
  <si>
    <t>https://www.scopus.com/inward/record.uri?eid=2-s2.0-85046459093&amp;doi=10.1007%2fs00015-018-0309-4&amp;partnerID=40&amp;md5=87a0cb91e78648c4aa0f05c947284f52</t>
  </si>
  <si>
    <t>Franchthi Cave, bordering Kiladha Bay, in Greece, is a key archaeological site, due to its long occupation time, from ~ 40,000 to ~ 5000 year BP. To date, no clear evidence of Neolithic human dwellings in the cave was found, supporting the assumption that Neolithic people may have built a village where there is now Kiladha Bay. During the Neolithic period/Early Holocene, wide areas of the bay were indeed emerged above sea level. Bathymetric and seismic data identified a terrace incised by a valley in ~ 1 to 2 m sediment depth. Eight sediment cores, up to 6.3-m-long, were retrieved and analysed using petrophysical, sedimentological, geochemical, and chronostratigraphic methods. The longest core extends into the exposure surface, consisting of a layer of carbonate rubble in a finer matrix, representing weathering processes. Dated organic remains place this unit at ~ 8500 cal year BP. It is overlain by stiff silty mud representing an estuarine environment. This mud is capped by reduced sediments with roots marking an exposure surface. A shell-layer, dated to ~ 6300 cal year BP, overlies this terrestrial sequence, reflecting the marine transgression. This layer occurs at 10.8 mbsl, 7.7 m deeper than the global sea level at that time, suggesting tectonic subsidence in the area. It is overlain by finer-grained marine carbonate-rich sediments. The top of the core shows traces of eutrophication, pebbles and marine shells, all likely a result of modern anthropogenic processes. These results are interpreted in the context of human occupation: the exposed surface contains pottery sherds, one dating to the Early to Middle Neolithic period, indicating that Neolithic people were present in this dynamic landscape interacting with a migrating coastline. Even if the artefacts are isolated, future investigations of the submerged landscape off Franchthi Cave might lead to the discovery of a Neolithic village, which eventually became buried under marine sediments. © 2018, Swiss Geological Society.</t>
  </si>
  <si>
    <t>2-s2.0-85046459093"</t>
  </si>
  <si>
    <t>10.1007/s10236-018-1184-2</t>
  </si>
  <si>
    <t>https://www.scopus.com/inward/record.uri?eid=2-s2.0-85049073795&amp;doi=10.1007%2fs10236-018-1184-2&amp;partnerID=40&amp;md5=14b6e15a2a3eb0f6a3080040d5c605dc</t>
  </si>
  <si>
    <t>This study focuses on the medium scale morphodynamics of the tidal flat and channel system Fedderwarder Priel, located in the Outer Weser estuary (Wadden Sea, Germany). Tidal channels and adjacent flats are highly dynamic systems whose morphologic evolution are driven by tidal, wind, and wave forcings. These coastal environments are an important ecosystem and react to changes in hydrodynamic conditions in various spatial and temporal scales. Based on annual medium-resolution digital elevation models from 1998 to 2016, we describe changes in the surface area over depth with hypsometries and use vertical dynamic trends in order to analyze and visualize the morphologic evolution of the Fedderwarder Priel and adjacent tidal channels. It is shown that several intertidal flats rise in the order of 1.3 to 5.6 cm/year. The findings indicate that the Outer Weser estuary was not in an equilibrium state for the investigated period, and tidal flats accreted with a rate exceeding mean sea level rise. © 2018, Springer-Verlag GmbH Germany, part of Springer Nature.</t>
  </si>
  <si>
    <t>2-s2.0-85049073795"</t>
  </si>
  <si>
    <t>10.5194/nhess-18-2127-2018</t>
  </si>
  <si>
    <t>https://www.scopus.com/inward/record.uri?eid=2-s2.0-85051419693&amp;doi=10.5194%2fnhess-18-2127-2018&amp;partnerID=40&amp;md5=edec2a738f033c2878eb2dce58732880</t>
  </si>
  <si>
    <t>An upscaling of flood risk assessment frameworks beyond regional and national scales has taken place during recent years, with a number of large-scale models emerging as tools for hotspot identification, support for international policymaking, and harmonization of climate change adaptation strategies. There is, however, limited insight into the scaling effects and structural limitations of flood risk models and, therefore, the underlying uncertainty. In light of this, we examine key sources of epistemic uncertainty in the coastal flood risk (CFR) modelling chain: (i) the inclusion and interaction of different hydraulic components leading to extreme sea level (ESL), (ii) the underlying uncertainty in the digital elevation model (DEM), (iii) flood defence information, (iv) the assumptions behind the use of depth-damage functions that express vulnerability, and (v) different climate change projections. The impact of these uncertainties on estimated expected annual damage (EAD) for present and future climates is evaluated in a dual case study in Faro, Portugal, and on the Iberian Peninsula. The ranking of the uncertainty factors varies among the different case studies, baseline CFR estimates, and their absolute and relative changes. We find that uncertainty from ESL contributions, and in particular the way waves are treated, can be higher than the uncertainty of the two greenhouse gas emission projections and six climate models that are used. Of comparable importance is the quality of information on coastal protection levels and DEM information. In the absence of large datasets with sufficient resolution and accuracy, the latter two factors are the main bottlenecks in terms of large-scale CFR assessment quality. © 2018 Copernicus GmbH. All rights reserved.</t>
  </si>
  <si>
    <t>2-s2.0-85051419693"</t>
  </si>
  <si>
    <t>10.5194/nhess-18-2785-2018</t>
  </si>
  <si>
    <t>https://www.scopus.com/inward/record.uri?eid=2-s2.0-85055727386&amp;doi=10.5194%2fnhess-18-2785-2018&amp;partnerID=40&amp;md5=e7f37941b9299f7a6f92cbe6a739e131</t>
  </si>
  <si>
    <t>Tools for estimating probabilities of flooding hazards caused by the simultaneous effect of sea level and waves are needed for the secure planning of densely populated coastal areas that are strongly vulnerable to climate change. In this paper we present a method for combining location-specific probability distributions of three different components: (1) long-term mean sea level change, (2) short-term sea level variations and (3) wind-generated waves. We apply the method at two locations in the Helsinki archipelago to obtain total water level estimates representing the joint effect of the still water level and the wave run-up for the present, 2050 and 2100. The variability of the wave conditions between the study sites leads to a difference in the safe building levels of up to 1 m. The rising mean sea level in the Gulf of Finland and the uncertainty related to the associated scenarios contribute notably to the total water levels for the year 2100. A test with theoretical wave run-up distributions illustrates the effect of the relative magnitude of the sea level variations and wave conditions on the total water level. We also discuss our method's applicability to other coastal regions. © Author(s) 2018.</t>
  </si>
  <si>
    <t>2-s2.0-85055727386"</t>
  </si>
  <si>
    <t>10.1029/2018JC013834</t>
  </si>
  <si>
    <t>https://www.scopus.com/inward/record.uri?eid=2-s2.0-85052400315&amp;doi=10.1029%2f2018JC013834&amp;partnerID=40&amp;md5=620551a4bdde31e1411660fb59024cc6</t>
  </si>
  <si>
    <t>Knowledge of tidal flows in rivers and estuaries is often scarce yet vital in determining flushing properties and sediment transport rates. While many rivers still remain ungauged, methodological difficulties often arise in gauged systems, resulting in short flow records compared to historical water level data. Notwithstanding, discharge reconstructions in estuaries are possible using indirect methods based on long-term tidal data. In this paper, we revisit the method of cubature, integrating the continuity equation for discharges at different sections. The method consists in computing temporal changes in water volume from simultaneous tidal heights readings along the river and storage width estimations. These water balance estimates remain challenging to produce, because they require spatial interpolation of gappy tidal records and an accurate representation of inundated areas over time. Improvements on the method are made by using a 1-D nonstationary tidal harmonic model that provides continuous tidal data along the estuary, with no temporal or spatial gaps. Second, a 2-D finite element discretization is used to compute the time-varying wetted surface area, relying on detailed topographic data over intertidal flats. The method is applied to the St. Lawrence fluvial estuary (SLFE) and validated against discharge data collected along nine cross sections of the river, reaching relative RMSE below 4% of the diurnal tidal discharge range at downstream locations and below 9% upstream. One year reconstructions conducted in the SLFE also show the potential of the method to reproduce the tidal discharge variability along the tidal-river continuum, for a wide range of temporal scales. ©2018. American Geophysical Union and Her Majesty the Queen in Right of Canada.</t>
  </si>
  <si>
    <t>2-s2.0-85052400315"</t>
  </si>
  <si>
    <t>10.1080/15715124.2017.1387125</t>
  </si>
  <si>
    <t>https://www.scopus.com/inward/record.uri?eid=2-s2.0-85032213112&amp;doi=10.1080%2f15715124.2017.1387125&amp;partnerID=40&amp;md5=c93ad19c874dde983ff634d319a2dad0</t>
  </si>
  <si>
    <t>In the next future, cities located in coastal areas are likely to suffer for climatic changes more than all other human systems. The demographic growth, combined with sea-level rise and global warming related to natural causes and anthropogenic activities, endanger those systems. Thence, to effectually cope with new climate forcing, coastal cities need improvements to be sustainable, resilient and liveable, applying flexible design approaches rather than a traditional one. The paper highlights such concepts presenting two case studies of important coastal cities: Venice, in Northern Italy, and Jakarta, the capital city of Indonesia. Although characterized by completely different climatic conditions and living habits, these two metropolises are highly impacted by humans and threatened by similar factors like subsidence and sea-level rise, which increase their exposure to future calamities principally driven by climate change but strictly related to anthropic pressures. The present situation shows that, for the future, the resilience of coastal megalopolis can be increased only using a mix of approaches at various levels, spanning from technical measures to adaptable planning instruments that consider future uncertainties. © 2017 International Association for Hydro-Environment Engineering and Research.</t>
  </si>
  <si>
    <t>2-s2.0-85032213112"</t>
  </si>
  <si>
    <t>10.3390/rs10101566</t>
  </si>
  <si>
    <t>https://www.scopus.com/inward/record.uri?eid=2-s2.0-85055451743&amp;doi=10.3390%2frs10101566&amp;partnerID=40&amp;md5=760b853fc636f5f3b611f9d46b7d3404</t>
  </si>
  <si>
    <t>Increasing flood hazards worldwide due to the intensification of hydrological events and the development of adaptation-mitigation strategies are key challenges that society must address. To minimize flood damages, one of the crucial factors is the identification of flood prone areas through fluvial hydraulic modelling in which a detailed knowledge of the terrain plays an important role for reliable results. Recent studies have demonstrated the suitability of the Reduced Cost Aerial Precision Photogrammetry (RC-APP) technique for fluvial applications by accurate-detailed-reliable Digital Terrain Models (DTMs, up to: ≈ 100 point/m2</t>
  </si>
  <si>
    <t>10.1134/S0097807818050305</t>
  </si>
  <si>
    <t>https://www.scopus.com/inward/record.uri?eid=2-s2.0-85058499633&amp;doi=10.1134%2fS0097807818050305&amp;partnerID=40&amp;md5=e3a0309b35d8ff6c82248d3103256ea4</t>
  </si>
  <si>
    <t>The present paper looks at the application of modern technology of numerical modelling to simulate natural and human-induced river floods of residential areas. The modelling is based on the use of 2D shallow-water equations and 3D digital terrain models. The application of adaptive mesh generator and effective algorithms of parallel computing using NVIDIA graphics processors with CUDA technology enables calculating the areas and depths of flooding in a big city, taking into account all residential, industrial, and road constructions. Each one of them is specifically singled out on the mesh. This enables the reproduction of the real course of a flood well. © 2018, Pleiades Publishing, Ltd.</t>
  </si>
  <si>
    <t>2-s2.0-85058499633"</t>
  </si>
  <si>
    <t>10.1016/j.catena.2018.05.036</t>
  </si>
  <si>
    <t>https://www.scopus.com/inward/record.uri?eid=2-s2.0-85047723095&amp;doi=10.1016%2fj.catena.2018.05.036&amp;partnerID=40&amp;md5=bb4d73f0bb8d1ee990d33bf639e5f356</t>
  </si>
  <si>
    <t>Relative sea-level rise (SLR) raises geomorphic base levels, displaces salt water and tidal or backwater effects inland, and changes the hydrology of aquatic and upland environments. On an all-other-things-being equal basis, we can predict some transitions associated with SLR. However, in real coastal landscapes, all other things are not equal. Factors other than sea-level influence geomorphic, hydrological, and ecological processes and controls, environmental interactions often complicate or obscure process-response relationships, and local disturbances may interrupt or overprint them. In this study relationships among coastal environments in North Carolina, USA were investigated as they respond to changes in multiple environmental gradients driven by relative sea level rise, to determine the extent to which the spatial complexity of landscape response can be explained by environmental gradients. Spatial adjacency graphs reflecting observed patterns of contiguity were derived empirically, and five key environmental gradients related to relative sea-level were identified (elevation, hydroperiod, salinity, vegetation, and process regime). The spectral radius of the spatial adjacency graph indicates a complex system that on the landscape level cannot be described or modeled based on linear gradients or successional relationships. Yet, spectral graph theory measures show that the complexity of the system can be fully explained, in the aggregate, by the five identified gradients, despite some redundancy of information therein. This indicates that coastal responses to SLR should be assessed based on multiscalar, nested environmental gradients rather than a single advancing front of change or linear sequence. © 2018</t>
  </si>
  <si>
    <t>2-s2.0-85047723095"</t>
  </si>
  <si>
    <t>10.1016/j.scitotenv.2018.03.244</t>
  </si>
  <si>
    <t>https://www.scopus.com/inward/record.uri?eid=2-s2.0-85044473610&amp;doi=10.1016%2fj.scitotenv.2018.03.244&amp;partnerID=40&amp;md5=bbf29adcd9e2b54202d0bcabf3debfcf</t>
  </si>
  <si>
    <t>Land subsidence is a concern in many coastal plains worldwide, particularly in the low-lying areas already facing sea level rise due to climate change, and much still needs to be done, with respect to both mapping land subsidence and gaining a comprehensive understanding of the relevant cause-effect relationships. Land subsidence of the northern coastal plain encompassing the Friuli Venezia Giulia (FVG) region in Italy, remains, to the authors’ knowledge, poorly investigated. This coastland includes low-lying agricultural and urban areas and highly valuable lagoon environments, archaeological and touristic sites, and industrial zones. Here, we resolve land subsidence in the coastal plain between the Tagliamento River delta and the Isonzo River mouth over the period 1992–2010 using Envisat ASAR and ERS1/2 interferometric datasets. We identify a large variability of the land subsidence and a spatial gradient that ranges from less than 1 mm/year in the high southwestern plain toward the littoral to more than 5 mm/year close to the Tagliamento River delta. A comparison between the 2003–2010 and 1992–2000 sinking rates depicts quite similar behaviors of the process over the two time spans. The analysis indicates unclear correlations between ground movements and the typical driving mechanisms acting in the north Adriatic coastal plains, such as the variability of the morphological setting, the subsoil characteristics and the land use. We reason that multi-component mechanisms contribute to the observed image of the subsidence in the FVG coastland. Specifically, anthropogenic activities, e.g., groundwater exploitations, hydraulic reclamations and the development of newly built-up areas, are superposed to natural mechanisms related to the spatial variability of the subsoil characteristics, typical of transitional coastal environments. © 2018 Elsevier B.V.</t>
  </si>
  <si>
    <t>2-s2.0-85044473610"</t>
  </si>
  <si>
    <t>10.2112/JCOASTRES-D-17-00129.1</t>
  </si>
  <si>
    <t>https://www.scopus.com/inward/record.uri?eid=2-s2.0-85048233114&amp;doi=10.2112%2fJCOASTRES-D-17-00129.1&amp;partnerID=40&amp;md5=ea72501754312239188f0acbcdaf041e</t>
  </si>
  <si>
    <t>Delta regions are dynamic and rich environments with diverse economic activities and are often densely populated. Deltas are being shaped by multiple drivers, including changes in sediment delivery to the coastal zone due to catchment changes, especially construction of dams on major rivers, intensified agriculture and/or aquaculture, mining, urbanisation, human-induced subsidence, climate change, and sea-level rise. These environmental challenges have significant implications for the livelihoods of delta residents. Thus, the integrated assessment of deltas is now attracting the attention of the scientific research community to analyse and understand deltas as coupled biophysical and socioeconomic systems. Most attention has been focussed on the major deltas. This review focusses on the smaller but regionally significant Volta delta, Ghana. Previous scientific studies are limited, with more focus upstream on the Volta River basin. Many contemporary problems are recognised in the Volta delta, especially erosion and flooding of the open coast fringe, such as at the town of Keta. However, these problems are treated independently, which may hinder identifying the root causes and the most effective solutions. Equally, the emergence of new problems might be anticipated and hence better managed or even avoided. This paper reviews the present delta with emphasis on biophysical processes and socioeconomic characteristics and considers in particular the current drivers and challenges. With this information, a research agenda will be established for a more systemic approach to understanding the Volta delta, including its residents and development.</t>
  </si>
  <si>
    <t>10.3390/geosciences8080275</t>
  </si>
  <si>
    <t>https://www.scopus.com/inward/record.uri?eid=2-s2.0-85051033000&amp;doi=10.3390%2fgeosciences8080275&amp;partnerID=40&amp;md5=499e6bf0779e1a2157a958e007b3623a</t>
  </si>
  <si>
    <t>Given the increase in flood events in recent years, accurate flood risk assessment is an important component of flood mitigation in urban areas. This research aims to develop updated and accurate flood risk maps in the Don River Watershed within the Great Toronto Area (GTA). The risk maps use geographical information systems (GIS) and multi-criteria analysis along with the application of Analytical Hierarchy Process methods to define and quantify the optimal selection of weights for the criteria that contribute to flood risk. The flood hazard maps were generated for four scenarios, each with different criteria (S1, S2, S3, and S4). The base case scenario (S1) is the most accurate, since it takes into account the floodplain map developed by the Toronto and Region Conservation Authority. It also considers distance to streams (DS), height above nearest drainage (HAND), slope (S), and the Curve Number (CN). S2 only considers DS, HAND, and CN, whereas S3 considers effective precipitation (EP), DS, HAND, and S. Lastly, S4 considers total precipitation (TP), DS, HAND, S, and CN. In addition to the flood hazard, the social and economic vulnerability was included to determine the total flood vulnerability in the watershed under three scenarios</t>
  </si>
  <si>
    <t>10.1029/2018JD028445</t>
  </si>
  <si>
    <t>https://www.scopus.com/inward/record.uri?eid=2-s2.0-85054069321&amp;doi=10.1029%2f2018JD028445&amp;partnerID=40&amp;md5=609bcedfde857853b145a0a0b0a64788</t>
  </si>
  <si>
    <t>We addressed the variations of surface melt in Greenland in association with summertime atmospheric conditions from 2000 to 2014. We quantified melt as the number of melt days (NMD), cumulative and maximum melt extent (based on microwave radiometer data), and modeled melt amount. Interannual variations of the maximum melt extent, occurring in timescales of days, differed from those in NMD, cumulative melt extent, and modeled melt amount, which accumulate over the entire melt season. Averaged over the Greenland ice sheet, interannual variations in total column water strongly correlated with NMD (squared correlation coefficient 0.83), cumulative melt extent (0.84), and modeled melt amount (0.82). Significant but less strong correlations were detected between NMD and the Greenland Blocking Index, NMD and North Atlantic Oscillation Index, as well as the modeled melt amount and NAOI. The NMD was strongly linked with the strength of the total column water anomaly in the coastal areas. In individual summers, positive anomalies in southerly winds coincided with positive NMD anomalies. At the eastern coast, positive NMD anomalies occurred under stronger downslope winds, suggesting that subsidence heating dominated over cold-air advection from the inner ice sheet. Differences between the summers of extreme melt in 2012 and minimal melt in 2013 were partly explained by the larger (smaller) occurrence of air masses of southwesterly (southeasterly) origin in 2012 than 2013 at northeastern Greenland. For the 15-year period, the occurrence of northeasterly air-mass origin at Summit was the variable with strongest (negative) correlation with the maximum melt extent. ©2018. American Geophysical Union. All Rights Reserved.</t>
  </si>
  <si>
    <t>2-s2.0-85054069321"</t>
  </si>
  <si>
    <t>10.3319/TAO.2018.05.07.01</t>
  </si>
  <si>
    <t>https://www.scopus.com/inward/record.uri?eid=2-s2.0-85054866407&amp;doi=10.3319%2fTAO.2018.05.07.01&amp;partnerID=40&amp;md5=3158d93e9ef1175fda1bc287d7e74628</t>
  </si>
  <si>
    <t>The Taiwan coastal areas are facing predicted sea-level rise effects in the global climate change context. Better understanding of the mechanisms and forcing factors driving the geomorphological evolution of Taiwan's coastline is essential. We highlight the potential of small river estuaries as archives of coastal evolution and provide a paleo-environmental reconstruction of the Gangkou River estuary based on results from a combined methodological approach using geomorphological, sedimentological, and geochronological analyses. A consistent chronology was established by combining Optically Stimulated Luminescence (OSL) dating, as well as radiocarbon dating techniques. A distinct beach-rock layer allowed firm correlation of six investigated coastal profiles. Eustatic sea level change was identified as the primary coastal and estuarine landscape development forcing factor in the study area. Tectonic forcing could also be detected from the investigated sites, but has to be regarded as a subordinate secondary forcing factor. The Gangkou River estuary developed in the early Holocene at about 8 ka and was fully developed by the time the Holocene sea-level maximum was reached. With the sea-level dropping until modern times, estuarine zone relocation and a transition to terrestrial processes was initiated, leading to development of the current coastal dune system since about 2.5 ka. Major dune building phases correlate with the climate change associated with the Little Ice Age (LIA) event and stabilised towards recent times, which is in accordance with regional and over-regional coastal Aeolian records in Taiwan. © 2018 Chinese Geoscience Union. All rights reserved.</t>
  </si>
  <si>
    <t>2-s2.0-85054866407"</t>
  </si>
  <si>
    <t>10.1016/j.geomorph.2018.07.005</t>
  </si>
  <si>
    <t>https://www.scopus.com/inward/record.uri?eid=2-s2.0-85050106949&amp;doi=10.1016%2fj.geomorph.2018.07.005&amp;partnerID=40&amp;md5=1dc5ec3684e35357df7ffae6cf8e6c8e</t>
  </si>
  <si>
    <t>The veneer of artificial (anthropogenic) deposits present beneath contemporary cities is commonly markedly heterogeneous, particularly in cities such as London with a history of two millennia of development. To what extent can the analysis of borehole data, historical land use maps and digital terrain models provide adequate assessment of such heterogeneity? Two adjacent London boroughs, City of London and Tower Hamlets, are selected because of their contrasting historical development and current land use. Statistical comparison of the variations in deposit thickness is related to the natural Holocene topography, underlying geological deposits (non-anthropogenic deposits) and heights of overlying buildings. Estimates of the volume (~67 million m3) and mass (~100 million tonnes) of the deposits and additional volume (~359 million m3) and mass (~25 million tonnes) of buildings provides indication of additional loading that may cause local compaction or regional subsidence, a concern during a time of rising global sea level. Extrapolated across Greater London, the mass of anthropogenic deposits is estimated at ~6 billion tonnes. Assessment of the compositional variations within the artificial deposits provides an approximation of accumulation rates post-World War II. A potential event horizon, coincident with the early 1940s Blitz, could not be demonstrated as an extensive marker, but distinct lithological compositions for post-World War II strata are broadly coincident with the globally resolved signals marking the start of the Anthropocene Epoch. © 2018 Elsevier B.V.</t>
  </si>
  <si>
    <t>2-s2.0-85050106949"</t>
  </si>
  <si>
    <t>10.1029/2018WR022937</t>
  </si>
  <si>
    <t>https://www.scopus.com/inward/record.uri?eid=2-s2.0-85052611616&amp;doi=10.1029%2f2018WR022937&amp;partnerID=40&amp;md5=7cd7d774ca4c2f71336fec6605589eea</t>
  </si>
  <si>
    <t>A tidal bore is a positive wave traveling upstream along the estuary of a river, generated by a relatively rapid rise of the tide, often enhanced by the funneling shape of the estuary. The swell produced by the tide grows and its front steepens as the flooding tide advances inland, promoting the formation of a sharp front wave, that is, the tidal bore. Because of the many mechanisms and conditions involved in the process, it is difficult to formulate an effective criterion to predict the bore formation. In this preliminary analysis, aimed at bringing out the main processes and parameters that control tidal bore formation, the degrees of freedom of the problem are largely reduced by considering a rectangular channel of constant width with uniform flow, forced downstream by rising the water level at a constant rate. The framework used in this study is extremely simple, yet the problem is still complex, and the solution is far from being trivial. From the results of numerical simulations, three distinctive behaviors emerged related to conditions in which a tidal bore forms, a tidal bore does not form, and a weak bore forms</t>
  </si>
  <si>
    <t>10.1146/annurev-environ-102017-025835</t>
  </si>
  <si>
    <t>https://www.scopus.com/inward/record.uri?eid=2-s2.0-85055325018&amp;doi=10.1146%2fannurev-environ-102017-025835&amp;partnerID=40&amp;md5=d222ece07ba3269cf9886a4bd541c0b2</t>
  </si>
  <si>
    <t>Differentiating the impacts of climate change between 1.5°C and 2°C requires a regional and sector-specific perspective. Whereas for some regions and sectors the difference in climate variables might be indistinguishable from natural variability, other areas especially in the tropics and subtropics will experience significant shifts. In addition to region-specific changes in climatic conditions, vulnerability and exposure also differ substantially across the world. Even small differences in climate hazards can translate into sizeable impact differences for particularly vulnerable regions or sectors. Here, we review scientific evidence of regional differences in climate hazards at 1.5°C and 2°C and provide an assessment of selected hotspots of climate change, including small islands as well as rural, urban, and coastal areas in sub-Saharan Africa and South Asia, that are particularly affected by the additional 0.5°C global mean temperature increase. We interlink these with a review of the vulnerability and exposure literature related to these hotspots to provide an integrated perspective on the differences in climate impacts between 1.5°C and 2°C. © 2018 by Annual Reviews. All rights reserved.</t>
  </si>
  <si>
    <t>2-s2.0-85055325018"</t>
  </si>
  <si>
    <t>10.1016/j.catena.2018.06.003</t>
  </si>
  <si>
    <t>https://www.scopus.com/inward/record.uri?eid=2-s2.0-85048069740&amp;doi=10.1016%2fj.catena.2018.06.003&amp;partnerID=40&amp;md5=2509b6b72d76fa56c0635e7f5fb83252</t>
  </si>
  <si>
    <t>This paper portrays the application of Fuzzy Cognitive Maps (FCMs) to elicit expert views on current condition and future scenario of coastal susceptibility to erosion in Bangladesh. The geomorphological characteristic of the coastal area is highly dynamic where land erosion and accretion with different rates are constant phenomena. This research focuses on three coastal zones: western, central and eastern that comprise the entire coastal area of the country. Using ‘Mental Modeler’ software this study quantified experts’ judgements on the issue and developed FCMs by way of arranging workshops. At the basis, this study identified 33 factors of susceptibility to erosion for current baseline conditions. Considering future projections of hydro-climatic phenomena, this study accentuated potential factors of susceptibility to erosion for future scenario under three time-slices: near-future (2020), future (2050) and far-future (2080). The results generated from FCMs show that some factors such as sedimentation, soft and unconsolidated soils, shelf bathymetry, funnel shape of the Bay of Bengal, wave action, river discharge, monsoon wind, cyclone and storm surges, excessive monsoon rain, high tidal energy, variations of tidal range and sea level rise are highly influential that yielded higher centrality scores for both current and future susceptibility of the area to erosion. The experts’ interpretations demonstrate that the future susceptibility to erosion might be higher in the central zone compared to the western and eastern zones of the coastal area. This is the first time that FCM based approach was applied to evaluate expert views on coastal susceptibility to erosion for the country. This study suggests coastal managers, planners and policymakers to consider the current and future factors of susceptibility of coastal lands for taking specific measures options. This study is also significant from socio-economic and demographic contexts of any densely populated coastal area like Bangladesh. © 2018 Elsevier B.V.</t>
  </si>
  <si>
    <t>2-s2.0-85048069740"</t>
  </si>
  <si>
    <t>10.1007/s11852-017-0573-x</t>
  </si>
  <si>
    <t>https://www.scopus.com/inward/record.uri?eid=2-s2.0-85034210759&amp;doi=10.1007%2fs11852-017-0573-x&amp;partnerID=40&amp;md5=2bd50c09f302c280cc330e7c470a17b3</t>
  </si>
  <si>
    <t>Anthropic pressure has caused severe variations of Mediterranean coastal areas currently hosting about 480 million people. The replacement of natural land covers with crops and urban environment coupled with the reduction of sediment supply to the coast, subsidence, Relative Sea Level Rise and the high frequency of storm events, have caused severe shoreline erosion. In this paper, we stress the key role of historical maps, topographic maps and free satellite images to forecast the rates of coastline changes and to recognize the main features of past landscapes as tools for risk reduction. This data was recorded into a Geographical Information System dedicated to coastal management that allows to compare different coastal zones and elaborate maps. The analysis was applied to the case study of Volturno Coastal Plain (VCP), extending from the town of Mondragone to Patria Lake (Campania Region, Southern Italy). Indeed, the intense territorial modification that occurred between the seventies and eighties, coupled with the exposure to coastal erosion, make the VCP a good test area. The spatial analysis algorithms allowed to outline the main features of past landscapes and how they changed from roman times to present while the coastal evolution (erosion, accretion) and possible future coastal trend was assessed with the Digital Shoreline Analysis System (DSAS) software. Starting from the Bourbon domain, the reclamation caused the first great territorial change (e.g. wetlands were transformed into agricultural lands, regimentation of surperficial water) but the negative effects of antrophic pressure, as the intense urbanization of the coastal belt, emerged in the seventies of the last century. The shoreline position was defined for 9 time intervals (from 1817 to 2012) as the ratio of the distance between two shorelines and the relative elapsed time. Moreover, for the 1957–1998 and 1998–2012 time windows, the shoreline trends were calculated with the weighted linear regression method. The first trend pointed out an intensive erosional phase (mean value: 5 m/yr) for a wide sector close to the Volturno River mouth, the eroded sediment nourished the beaches of other coastal sectors. This phase was related to the reduction of River sediment supply mainly due to the construction of the Ponte Annibale dam on the Volturno River. The second (1998–2012) showed an alternation of erosion and accretion sectors due to a sediment starved condition to deltaic zone and to a sequence of 52 sea protection works in the Gaeta Gulf. Furthermore, the regression values of more recent time interval, was assumed as a scenario to draw the probable shoreline position in 2022. The overlay of this shoreline on the Technical Maps of Campania Region at 1:5000 scale highlighted the urban area that could be exposed to damages. © 2017, Springer Science+Business Media B.V.</t>
  </si>
  <si>
    <t>2-s2.0-85034210759"</t>
  </si>
  <si>
    <t>10.1016/j.jseaes.2018.07.034</t>
  </si>
  <si>
    <t>https://www.scopus.com/inward/record.uri?eid=2-s2.0-85051128168&amp;doi=10.1016%2fj.jseaes.2018.07.034&amp;partnerID=40&amp;md5=66456760da20daa2847fd197544e02e7</t>
  </si>
  <si>
    <t>The increase of anthropogenic activities has triggered global sea level rise to threaten many low-lying and unprotected coastal areas. Without measures, global sea levels will continue to rise at an accelerating rate in the 21st century. This paper quantifies sea level trends around the Malaysian seas using measurements from multiple altimeter missions over 1993–2015. Sea level anomalies (SLAs) are determined using data from the Radar Altimeter Database System (RADS) covering 8 altimeter missions. We use an enhanced processing strategy to optimize sea surface heights from RADS for the derivation of SLAs, including filtering, data gridding and moving average. Tidal height measurements at eight tide gauge stations around Peninsular Malaysia and East Malaysia are used to assess SLAs from altimetry. Our assessment results in similar patterns of SLAs, high correlation coefficients (&gt;0.9) and small (few cm) root mean square differences (RMSE) between SLAs from altimetry and tide gauges over the same period. Sea level trends are determined by the robust fit regression analysis for the SLA time series. Our result shows that sea level rise trends around Malaysia range from 3.27 ± 0.12 mm yr−1 off eastern Malaysia to 4.95 ± 0.15 mm yr−1 west of Malaysia. Over 1993–2015, the mean rising rate around Malaysia is 4.22 ± 0.12 mm yr−1, and the cumulative sea level rise is 0.05 m. This paper predicts the impact of such rising sea levels on environment, urban planning and climatology in the coastal areas of Malaysia. © 2018 Elsevier Ltd</t>
  </si>
  <si>
    <t>2-s2.0-85051128168"</t>
  </si>
  <si>
    <t>10.1111/1752-1688.12661</t>
  </si>
  <si>
    <t>https://www.scopus.com/inward/record.uri?eid=2-s2.0-85050996536&amp;doi=10.1111%2f1752-1688.12661&amp;partnerID=40&amp;md5=829d2e768289e86b157062eb0e1e8eb2</t>
  </si>
  <si>
    <t>River channel geometry is an important input to hydraulic and hydrologic models. Traditional approaches to quantify river geometry have involved surveyed river cross sections, which cannot be extended to ungaged basins. In this paper, we describe a method for developing a synthetic rating curve to relate flow to water level in a stream reach based on reach-averaged channel geometry properties developed using the Height above Nearest Drainage (HAND) method. HAND uses a digital elevation model (DEM) of the terrain and computes the elevation difference between each land surface cell and the stream bed cell to which it drains. Taking increments in water level in the stream, HAND defines the inundation zone and a water depth grid within this zone, and the channel characteristics are defined from this water depth grid. We apply our method to the Blanco River (Texas) and the Tar River (North Carolina) using 10-m terrain data from the United States Geological Survey (USGS) 3D Elevation Program (3DEP) dataset. We evaluate the method's performance by comparing the reach-average stage-river geometry relationships and rating curves to those from calibrated Hydrologic Engineering Center's River Analysis System (HEC-RAS) models and USGS gage observations. The results demonstrate that after some adjustment, the river geometry information and rating curves derived from HAND using national-coverage datasets are comparable to those obtained from hydraulic models or gage measurements. We evaluate the inundation extent and show our approach is able to capture the majority of the Federal Emergency Management Agency (FEMA) 100-year floodplain. © 2018 American Water Resources Association</t>
  </si>
  <si>
    <t>2-s2.0-85050996536"</t>
  </si>
  <si>
    <t>10.3390/rs10081257</t>
  </si>
  <si>
    <t>https://www.scopus.com/inward/record.uri?eid=2-s2.0-85051666513&amp;doi=10.3390%2frs10081257&amp;partnerID=40&amp;md5=a1ec190cc961b72435df27e64489a7af</t>
  </si>
  <si>
    <t>Very high-resolution satellite imagery (≤5 m resolution) has become available on a spatial and temporal scale appropriate for dynamic wetland management and conservation across large areas. Estuarine wetlands have the potential to be mapped at a detailed habitat scale with a frequency that allows immediate monitoring after storms, in response to human disturbances, and in the face of sea-level rise. Yet mapping requires significant fieldwork to run modern classification algorithms and estuarine environments can be difficult to access and are environmentally sensitive. Recent advances in unoccupied aircraft systems (UAS, or drones), coupled with their increased availability, present a solution. UAS can cover a study site with ultra-high resolution ( &lt; 5 cm) imagery allowing visual validation. In this study we used UAS imagery to assist training a Support Vector Machine to classify WorldView-3 and RapidEye satellite imagery of the Rachel Carson Reserve in North Carolina, USA. UAS and field-based accuracy assessments were employed for comparison across validation methods. We created and examined an array of indices and layers including texture, NDVI, and a LiDAR DEM. Our results demonstrate classification accuracy on par with previous extensive fieldwork campaigns (93% UAS and 93% field forWorldView-3</t>
  </si>
  <si>
    <t>10.1002/eap.1759</t>
  </si>
  <si>
    <t>https://www.scopus.com/inward/record.uri?eid=2-s2.0-85052749790&amp;doi=10.1002%2feap.1759&amp;partnerID=40&amp;md5=1684ffb36a3539877770c52add0b462d</t>
  </si>
  <si>
    <t>The transport of terrestrial plant matter into coastal waters is important to regional and global biogeochemical cycles, and methods for assessing and predicting fluxes in such dynamic environments are needed. We investigated the hypothesis that upon reconnection of a floodplain wetland to its mainstem river, organic matter produced in the wetland would reach other parts of the ecosystem. If so, we can infer that the organic matter would ultimately become a source for the food web in the mainstem river and estuary. To accomplish this, we adapted numerical hydrodynamic and transport modeling methods to estimate the mass of particulate organic matter (POM) derived from the annually senescent aboveground parts of herbaceous marsh plants (H-POM). The Finite-Volume Community Ocean Model (FVCOM), parameterized with flow, tide, and aboveground biomass data, simulated H-POM mobilization from fluid shear stress during tidal exchange, flooding, and variable river flow</t>
  </si>
  <si>
    <t>10.1007/s11069-017-3067-0</t>
  </si>
  <si>
    <t>https://www.scopus.com/inward/record.uri?eid=2-s2.0-85032005642&amp;doi=10.1007%2fs11069-017-3067-0&amp;partnerID=40&amp;md5=b8749108583002e2ab7312112e89c618</t>
  </si>
  <si>
    <t>The assessment of vulnerability provides valuable knowledge in the risk assessment steps of a risk governance process. Given the multiscale, multilevel, and multisectorial aspects of flood risk, the diversified entities that directly and indirectly intervene in risk management require specific outputs from the assessment studies. Urban areas in estuarine margins are particularly exposed and vulnerable to flooding. Such interface conditions are found in the Old City Centre of the Seixal, located in the Tagus estuary, Portugal. Here, two distinct methodologies were applied for the assessment of territorial vulnerability. A regional, lower-scale, methodology explores the application of the statistical procedure based on the SoVI® at the statistical block level. A second, local and higher-scale, methodology is based in data collected through field matrices at the building and statistical sub-block level. Comparison of results revealed that the lower-scale assessment provides information on the vulnerability drivers at the regional and municipal level. Nevertheless, only at a higher-scale, it is possible to characterize and differentiate the smaller geographical units of analysis that compose the Old City Centre of Seixal. The lower-scale vulnerability assessment allows a strategic response, based on adaptation measures such as spatial planning, institutional capacity building and public awareness. The local level assessment provides more accurate knowledge to support local emergency planning and the allocation of operational and material resources at the urban level. Nevertheless, rather than antagonistic, both models can be considered as complementary, having in mind the requirements of an holistic flood risk governance model. © 2017, Springer Science+Business Media B.V.</t>
  </si>
  <si>
    <t>2-s2.0-85032005642"</t>
  </si>
  <si>
    <t>10.1007/s12517-018-3933-4</t>
  </si>
  <si>
    <t>https://www.scopus.com/inward/record.uri?eid=2-s2.0-85054084373&amp;doi=10.1007%2fs12517-018-3933-4&amp;partnerID=40&amp;md5=a1f09c3def89d59947a4538ff245cc4e</t>
  </si>
  <si>
    <t>Flood is one of the most common natural hazard that take place almost everywhere around the world except the polar regions. Flood damage can be reduced through implementing proper management and policies. Flood is a common hazard in Vaitarna basin, Maharashtra, and occurs once in every 2 to 3 years; it causes severe damage to life and properties. Present days, remote sensing and geographic information system are very comprehensive tools for the assessment of hydrological analysis and hazard management. These tools are also capable to deliver quite an accurate result in a cost- and time-effective manner. Thus, in this paper, an attempt has been made to identify critical zones, which are having a higher vulnerability to the flood in the Vaitarna basin through remote sensing and geospatial approach. Total nine influencing factors, such as elevation, slope, distance from the river, rainfall, flow accumulation, land use, geology, topographic wetness index, and curvature have been assessed individually as well as integrated in GIS software by assigning relative weights through the analytical hierarchy process (AHP) approach. As a result of this study, a final flood map has been prepared and the regions having very high flood potentiality are identified. The resultant map has shown about 20% of the total area in Vaitarna basin is having a very high probability of flood, and these regions are requiring some serious attention of governmental or non-governmental bodies to reduce the flood risk. The analytical hierarchy process (AHP) method proposed in this study is capable to provide an accurate result for flood mapping and can be easily applied to other regions around the world for the management and prevention of the flood hazard.</t>
  </si>
  <si>
    <t>10.1080/24694452.2018.1426436</t>
  </si>
  <si>
    <t>https://www.scopus.com/inward/record.uri?eid=2-s2.0-85044232267&amp;doi=10.1080%2f24694452.2018.1426436&amp;partnerID=40&amp;md5=53b53ea614503a306bbc7f94464c126d</t>
  </si>
  <si>
    <t>Communities' risk perceptions can influence their abilities to cope with coastal hazards such as hurricanes and coastal flooding. Our study presents an initial effort to examine the relationship between community resilience and risk perception at the county level, through innovative construction of aggregate variables. Using the 2012 Gulf Coast Climate Change Survey merged with historical hurricane data and community resilience indicators, we first apply a spatial statistical model to construct a county-level risk perception indicator based on survey responses. Next, we employ regression to reveal the relationship between contextual hurricane risk factors and community resilience on one hand and county-level perceptions of hurricane risks on the other. Results of this study are directly applicable in the policymaking domain as many hazard mitigation plans and adaptation policies are designed and implemented at the county level. Specifically, two major findings stand out. First, the contextual hurricane risks represented by peak height of storm surge associated with the last hurricane landfall and land area exposed to historical storm surge flooding positively affect county-level risk perceptions. This indicates that another threat of hurricanes—wind risks—needs to be clearly communicated with the public and fully incorporated into hazard mitigation plans and adaptation policies. Second, two components of community resilience—higher levels of economic resilience and community capital—are found to lead to heightened perceptions of hurricane risks, which suggests that concerted efforts are needed to raise awareness of hurricane risks among counties with less economic and community capital. © 2018, © 2018 by American Association of Geographers.</t>
  </si>
  <si>
    <t>2-s2.0-85044232267"</t>
  </si>
  <si>
    <t>10.3390/geosciences8090335</t>
  </si>
  <si>
    <t>https://www.scopus.com/inward/record.uri?eid=2-s2.0-85053274807&amp;doi=10.3390%2fgeosciences8090335&amp;partnerID=40&amp;md5=2a8d456caceba13a53db90d58f6f3120</t>
  </si>
  <si>
    <t>Erosion is one of the major issues currently facing coastal areas. Some consequences of this process are beach loss and higher flood risk, which will likely be exacerbated given ongoing sea-level rise. With this in mind, those responsible for conservation and management decisions need appropriate tools with which to identify critical coastal areas, as well as to analyse, interpret, and visualise them with the appropriate geomorphological and environmental background. The aim of this work was to present a methodology for improving the analysis and interpretation of coastal erosion rates, as well as to guarantee wide access and dissemination of erosion data. To that end, an approach for the production, management, and dissemination of shoreline erosion data for the Andalusian coast in Southern Spain was developed. This approach enables the analysis and interpretation of the erosion rates in coasts by linking erosion rates with geomorphological and thematic information using a data model. Additionally, this methodology was proven to be a valid and appropriate tool for the design of a web-based viewer, being the best way to represent the erosion rates obtained every 50 m of shore for the entire Andalusian coast, being an exposed coastal front 917 km long. This is particularly useful for integrated coastal zone management schemes, enabling quick and easy access to valuable information. © 2018 by the authors. Licensee MDPI, Basel, Switzerland.</t>
  </si>
  <si>
    <t>2-s2.0-85053274807"</t>
  </si>
  <si>
    <t>10.1007/s10236-018-1214-0</t>
  </si>
  <si>
    <t>https://www.scopus.com/inward/record.uri?eid=2-s2.0-85052630006&amp;doi=10.1007%2fs10236-018-1214-0&amp;partnerID=40&amp;md5=c53bbea1146ea565f315c8fb16b7777a</t>
  </si>
  <si>
    <t>To respond to the need for preventing offshore and coastal accidents, damage and flooding, a state-of-the-art coastal wave forecast system for the East Coast of Korea waters is being developed. Given that the quality of the input wind has been identified as the main factor influencing the quality of the wave results, the effectiveness of adjusting the wind fields by means of data assimilation using the ensemble Kalman filter technique has been explored. In this article the model setup, the data assimilation parameters and the validation of the predictions during stormy periods is described. The validation shows that the model is able to provide predictions of coastal waves fulfilling available benchmarks</t>
  </si>
  <si>
    <t>10.1007/s11852-017-0548-y</t>
  </si>
  <si>
    <t>https://www.scopus.com/inward/record.uri?eid=2-s2.0-85029438158&amp;doi=10.1007%2fs11852-017-0548-y&amp;partnerID=40&amp;md5=21651b86dc4dcab079b638ee9c0cebd6</t>
  </si>
  <si>
    <t>In the ancient territory of the Greek settlement of Metaponto and its Chora (Ionian sector of Basilicata, southern Italy) geomorphological mapping, GIS-supported statistics, and landform topographic features were investigated and combined to extract settlement rules and site dynamics. Analyses of environmental dynamics as well as of spatial and temporal settlement evolution were carried through an integrated approach that, starting from a detailed geomorphological analysis, tried to extract the spatial relationships between archaeological site locations and landform/landscape features. Spatial analysis was used to investigate the relationships between environmental parameters and archaeological sites. The advantages to develop a predictive model using Archeological Spatial Evaluation (ASE) analysis lay in the possibility to deeply study the relationships between man and the environment. In the present study, the analysis was carried out in a pioneering way in the ~400 km2 Metaponto territory in order to robustly validate - in the aftermath data - human and territorial dynamics. A model describing interactions between sites and parameters such as elevation, slope, aspect, landforms, land use, and distances from rivers was constructed. Sensibility maps were produced, which will help archaeologists to know how many and which are the parameters increasing the probability to find new archaeological sites as well as how the main geomorphological features of the study area, contextualized within the most likely paleoclimate scenario, affect ancient site arrangement though time. The preferential occupation of mid-altitude marine terraces, and the consequence spreading of agriculture on these territories, is likely due to the existence of well-developed soil profiles on them. Clearly colonists recognized that on these landform units there were the better conditions for the development of massive agricultural practices: since the SP age (4,1 to 2,0 Kyr B.P.) the settlers expands inland looking for most fertile territories as well as for areas sufficiently protected (being far away from the coast). The increase in farmhouses on the top of marine terraces from the FC up to EC-EE periods and the modifications of settlement distribution (gradual abandonment of alluvial) in the Metaponto area is likely related to the acceleration of alluvial processes. The progressive decrease of human occupation during the Hellenistic up to the Roman Age is clearly consequence of the Roman conquest. However, a role played by the increase in flooding occurrence in the coastal plain/floodplains of the main rivers in triggering the abandonment of these territories and marking the beginning of the decadent phases should not be neglected. Productive areas (locally associated to farmhouses) are preferential set along the fluvial incisions (sometime associated to farmhouses), thus implying that productive area setting is strongly linked to the presence of rivers, and of their lower rank tributaries, both as an intrinsic need of manufacturing and to facilitate the spreading of products. From the Classical to the Hellenistic Age until the Roman Age, Necropolis are spread in the entire area, from marine terraces to alluvial plain. On the other hand, Sacred areas - which appearance is recorded starting from the Colony Foundation Age - exhibits a settlement continuity in the study area starting from this time up to the entire Roman period, and the sacred areas setting is strictly associated to the category of Settlement. © 2017, Springer Science+Business Media B.V.</t>
  </si>
  <si>
    <t>2-s2.0-85029438158"</t>
  </si>
  <si>
    <t>10.1016/j.quaint.2018.04.022</t>
  </si>
  <si>
    <t>https://www.scopus.com/inward/record.uri?eid=2-s2.0-85045564648&amp;doi=10.1016%2fj.quaint.2018.04.022&amp;partnerID=40&amp;md5=9c90830f97f5c2294e65cad545eda9ac</t>
  </si>
  <si>
    <t>Rapid growth of Asian megacities, exemplified by the megacity of Bangkok, Thailand, with a population of over 10 million inhabitants, means that an increasing number of people are living in low-lying coastal areas exposed to hazards such as typhoons. While Bangkok has always been considered not to be at risk from typhoon strikes, recent discoveries of elevated carbonate boulder deposits have started to question this assumption. This work reports on findings from the islands of Ko Khang Khao and Ko Phai, farther north and west than earlier studies, and adds to the existing body of evidence for prehistorical typhoon-driven high energy marine inundation (HEMI) events penetrating northwards into the Bay of Bangkok. Elevated carbonate boulder deposits up to 6 m amsl indicate that these were emplaced by waves generating onshore minimum flow velocities between 3.0 and 5.5 m/s, consistent with typhoon-impacted coastlines elsewhere in the tropical Asia-Pacific region. When viewed in conjunction with other data from the Bay of Bangkok their chronologies indicate age clusters around four major phases of activity in AD 600–700, AD 900–1000, AD 1150–1250 and AD 1400–1650. At 250 years duration, the last phase of activity was the longest, but it has also been followed by the longest period of quiescence that has coincided with rapid urban growth in and around the city of Bangkok. The re-occurrence of typhoon-driven HEMI events on the scale of the prehistorical events reported here would threaten all the low-lying coasts in the Bay of Bangkok, including the Chao Phraya delta, and as such these results indicate an urgent need to re-evaluate coastal hazards for the region. © 2018 Elsevier Ltd and INQUA</t>
  </si>
  <si>
    <t>2-s2.0-85045564648"</t>
  </si>
  <si>
    <t>Water Supply</t>
  </si>
  <si>
    <t>10.2166/ws.2018.008</t>
  </si>
  <si>
    <t>https://www.scopus.com/inward/record.uri?eid=2-s2.0-85052868489&amp;doi=10.2166%2fws.2018.008&amp;partnerID=40&amp;md5=f1cf13005f62dd14e7b0cd8ffbf1cb54</t>
  </si>
  <si>
    <t>Flood control with polders is prevalent in East China. Their impact on flood processes is critically important for flood control, but has not been well documented. The Qinhuai River Basin was selected as the study area. A Hydrologic Engineering Center – River Analysis System (HEC-RAS) hydraulic model was developed to simulate and predict storm flood processes and the associated impact of polders. The study shows that the HEC-RAS model is capable of simulating the impact of polders on flood processes in the Qinhuai River Basin. The polders increased the water level outside of the polders. The polders in upstream watersheds have a greater impact on the water level than polders close to basin outlets when individually distributed. The maximum water level at Dongshan section shows an increasing trend for different sized flood with the increasing number of polders in the basin, and a linear increasing trend associated with urbanization. The smaller the flood scale is, the greater the maximum water level changes. © 2018 The Authors.</t>
  </si>
  <si>
    <t>2-s2.0-85052868489"</t>
  </si>
  <si>
    <t>10.1016/j.geomorph.2018.07.009</t>
  </si>
  <si>
    <t>https://www.scopus.com/inward/record.uri?eid=2-s2.0-85050145772&amp;doi=10.1016%2fj.geomorph.2018.07.009&amp;partnerID=40&amp;md5=c84b332e22e2ded4b964d5f2a2424c52</t>
  </si>
  <si>
    <t>In the Johnsbach Valley (Austria), a medium size non-glaciated torrent catchment, enormous amounts of sediment have been made available due to the brittle dolomite bedrock. This occurs mainly in the Zwischenmäuerstrecke (ZMS) (English translation: “reach between the walls”) and presents a major challenge to local river management. Within a renaturation project, which followed several decades of disturbance (flood protection and gravel mining) in the ZMS, it is of particular importance to understand where the sediments come from and the transport pathways through the system to prepare future forecasts. In the present study, we investigate the recent sediment cascade in a comprehensive analysis of the ZMS that was achieved by means of airborne laser scanning campaigns in 2010 and 2015. The current bedload yield at the outlet was measured using an integrative bedload monitoring system. Historical data from 1954 was used to illustrate the effects of the mining period on the former sediment routing. Finally, we evaluated the expected sediment transport rates in the near future. The results show that from the hillslopes sediments are mainly transported via the active side trenches to the main channel (~7000 m3 yr−1). The sediment transport in the Johnsbach River consists mainly in relocating the periodically occurring sediment entries of the side trenches. The bedload transport rates at the outlet sum up to annual bedload yields of 2000 m3 yr−1 to almost 12,000 m3 yr−1 during the observation period. Especially those areas inside the side trenches that were heavily affected by gravel mining (excavated amount of sediment during the mining period: ~25,000 m3 yr−1) are now accumulating sediment since the end of this period (~8000 m3 yr−1). Future scenarios will depend heavily on the progress in the mining affected side channels. The impacts of this period are continuously being reworked and a natural sediment flow will adjust in the near future. The sediment input into the Johnsbach River will rise significantly and could lead to a doubling in the annual sediment yield at the outlet compared to now. In particular, the reaches along the Johnsbach River following the confluences with the mining affected side trenches are already showing morphological changes due to the recently imported sediments. © 2018</t>
  </si>
  <si>
    <t>2-s2.0-85050145772"</t>
  </si>
  <si>
    <t>10.1016/j.wace.2018.08.002</t>
  </si>
  <si>
    <t>https://www.scopus.com/inward/record.uri?eid=2-s2.0-85053439934&amp;doi=10.1016%2fj.wace.2018.08.002&amp;partnerID=40&amp;md5=aab711b626975ead6dcf0e9f6d2aea3f</t>
  </si>
  <si>
    <t>Jakarta is a capital city of Indonesia located in the delta of Ciliwung river. This city suffers annual flooding with some serious damage for certain extreme rainfall events, especially occurring at the upper parts of the Ciliwung watershed. In 1992 rainy season, flooding in Jakarta was scattered in 61 sites. In 1996, the flooding increased to 90 sites, and further increased in the rainy season of 2002 to be 159 sites. Jakarta experienced a major flooding on 9–10 February 2015 after having seen two occurrences of major flooding in the two preceding years 2013 and 2014 (Siswanto et al., 2017). Such extreme flooding events might become more frequent in the future due to the impacts of land use and climate change (Kure et al., 2014). To reduce the magnitude and frequency of further flooding, on-site as well as off-site program actions need to be taken comprehensively. This paper is specifically aimed at, firstly understanding the main problems causing flooding in the coastal area of Jakarta, and secondly proposing medium and long-term solutions from the perspective of an integrated watershed management approach. The proposed solution will also include institutional and financial arrangements in a cross-administrative boundary situation. © 2018 The Authors</t>
  </si>
  <si>
    <t>2-s2.0-85053439934"</t>
  </si>
  <si>
    <t>10.1016/j.enggeo.2018.06.016</t>
  </si>
  <si>
    <t>https://www.scopus.com/inward/record.uri?eid=2-s2.0-85049857670&amp;doi=10.1016%2fj.enggeo.2018.06.016&amp;partnerID=40&amp;md5=b642a43b8dd48a8b004ed83baf6e9a77</t>
  </si>
  <si>
    <t>The catastrophic Tangjiawan landslide, triggered by the 2008 Wenchuan earthquake, blocked the Duba River, impounding one of the most dangerous coseismic barrier lakes in Beichuan, China. The lake was drained by an artificial spillway within one month after the earthquake to minimize the potential dam-breach flooding risk. However, on September 5, 2016, this landslide was reactivated and dammed the river again, creating a 20-m high dam at the same location and resulting in the formation of a barrier lake with a volume of 0.6 million m3. The day after the event we carried out a field investigation of the landslide and obtained a high-resolution image and DEM using UAV. The satellite images from 2005, 2008, 2010 and 2015 were also collected to analyze the evolution of the landslide. Together with multi-temporal DEMs, the geometry and volumes of the displaced mass and the landslide dams and barrier lakes were calculated using image interpretation and 3D spatial analysis with GIS. This landslide is of great scientific interest, as it presents a good example of multiple reactivation of a pre-historical giant landslide under different triggering conditions: a reactivation of an older landslide during the Wenchuan earthquake, and a second reactivation during a rainfall event several years later. Meanwhile from the hazard assessment and prevention perspective, it is also representative as it dammed the river twice in 2008 and 2016, posing threats to both upstream and downstream areas. We infer that the successive landslides in this region could be caused by the strong tectonic activities: including earthquakes and high average uplifting rate. The results of landslide volume analysis using multi-temporal DEMs, contribute to the landslide mechanism analysis, and suggest that the landslide volume estimation is effected by the landslide type, landslide rupture surface location, and resolution of DEM. We also compare the performance of different empirical models of landslide stability and dam-breach flood parameters and discuss their application during the quick assessment of the potential hazard of the landslide dams. Generally, the successive landslide dams at the Tangjiawan site are caused by the successive landslide reactivations on an anti-dip slope controlled by strong tectonic activity and river erosion, involve with a mass of loose materials of previous landslide deposition, and possess high flood risk to the downstream area. The experience gained in this work can be used to assist the hazard assessment and the planning of the emergency measures for similar landslide dams in the future. © 2018 Elsevier B.V.</t>
  </si>
  <si>
    <t>2-s2.0-85049857670"</t>
  </si>
  <si>
    <t>10.1007/s00704-017-2338-8</t>
  </si>
  <si>
    <t>https://www.scopus.com/inward/record.uri?eid=2-s2.0-85037369542&amp;doi=10.1007%2fs00704-017-2338-8&amp;partnerID=40&amp;md5=b58d7eff9ceb8bb56ea17900077c8616</t>
  </si>
  <si>
    <t>Sea level rise is one of the manifestations of climate change and may cause a threat to the coastal regions. Estimates from global circulation models (GCMs) are either not available on coastal locations due to their coarse spatial resolution or not reliable since the mismatch between (interpolated) GCM estimates at coastal locations and actual observation over historical period is significantly different. We propose a semi-empirical framework to model the local sea level rise (SLR) using the possibly existing relationship between local SLR and regional atmospheric/oceanic variables. Selection of set of input variables mostly based on the literature bears the signature of both atmospheric and oceanic variables that possibly have an effect on SLR. The proposed approach offers a method to extract the combined information hidden in the regional fields of atmospheric/oceanic variables for a specific target coastal location. Generality of the approach ensures the inclusion of more variables in the set of inputs depending on the geographical location of any coastal station. For demonstration, 14 coastal locations along the Indian coast and islands are considered and a set of regional atmospheric and oceanic variables are considered. After development and validation of the model at each coastal location with the historical data, the model is further used for future projection of local SLR up to the year 2100 for three different future emission scenarios represented by representative concentration pathways (RCPs)—RCP2.6, RCP4.5, and RCP8.5. The maximum projected SLR is found to vary from 260.65 to 393.16 mm (RCP8.5) by the end of 2100 among the locations considered. Outcome of the proposed approach is expected to be useful in regional coastal management and in developing mitigation strategies in a changing climate. © 2017, Springer-Verlag GmbH Austria, part of Springer Nature.</t>
  </si>
  <si>
    <t>2-s2.0-85037369542"</t>
  </si>
  <si>
    <t>10.1016/j.geomorph.2018.05.005</t>
  </si>
  <si>
    <t>https://www.scopus.com/inward/record.uri?eid=2-s2.0-85047088162&amp;doi=10.1016%2fj.geomorph.2018.05.005&amp;partnerID=40&amp;md5=d29cd81dfd4d40809047c7a94ba373a2</t>
  </si>
  <si>
    <t>The incision and aggradation of the Pativilca alluvial fan delta system in the western Peruvian Andes through Quaternary time can be traced in detail using well-exposed fill terraces studied by a combination of cosmogenic nuclide dating, terrace mapping and paleo-erosion rate calculations. Two alluvial terraces have been dated through depth-profile exposure dating using in-situ 10Be. The dating results return an age for the abandonment of the terrace at 200 ± 90 ka in Pativilca and 1.2 Ma ± 0.3 Ma in Barranca. These new ages complete the database of previously dated terrace fills in the valley. Together with the results of the terrace mapping and the absolute ages of the terraces, we show that the valley fills are made up of at least four terraces</t>
  </si>
  <si>
    <t>10.1007/s11069-018-3331-y</t>
  </si>
  <si>
    <t>https://www.scopus.com/inward/record.uri?eid=2-s2.0-85046456261&amp;doi=10.1007%2fs11069-018-3331-y&amp;partnerID=40&amp;md5=13790e333c409f7a2a24b9381638be78</t>
  </si>
  <si>
    <t>In many parts of Canada, limited data are available for hydrodynamic model inputs, and the ability to generate quality flood grids through 1D, 2D or 3D methods is nonviable. In this paper, the capability of simplified flood models, which rely solely on digital terrain models (DTMs), was explored to assess the quality and speed of their results. Results were validated against historic floods in two locations. Three non-physics-based simplified conceptual flood models were tested: (1) planar method, (2) inclined plane and (3) height above nearest drainage network (HAND) model. The accuracy and performance were evaluated using three criteria: inundation extent, water depth and computation time. Findings show that the HAND model is the best predictor of inundation extent, with Probability of Detection and Critical Success Index being higher than 0.90 in both study areas. Though the preprocessing time for the HAND model is lengthy, once completed, the time to simulate flooding at a variety of water levels is rapid, making this model the most suitable choice for web-based, on-demand flood inundation mapping. Knowledge of the fit of these flood models and associated uncertainty can be helpful to emergency managers such that they can better understand exposure and vulnerability while preparing flood response plans. © 2018, Springer Science+Business Media B.V., part of Springer Nature.</t>
  </si>
  <si>
    <t>2-s2.0-85046456261"</t>
  </si>
  <si>
    <t>10.1016/j.envsci.2018.06.019</t>
  </si>
  <si>
    <t>https://www.scopus.com/inward/record.uri?eid=2-s2.0-85051672985&amp;doi=10.1016%2fj.envsci.2018.06.019&amp;partnerID=40&amp;md5=b15aeadf4abef1440621122af5b1af14</t>
  </si>
  <si>
    <t>Climate change triggers major alterations to coastal zones worldwide. Quantification of these adverse impacts to coastal ecosystems is often done on a coarse scale of global regions. Consistent local scale estimates of physical impacts on ecosystems and monetary assessment of associated losses are scarce, especially in developing countries. With aim of facilitating such assessment, which is increasingly required, here we propose a coherent three-step framework and subsequently apply it to quantify potential sea level rise-driven alterations in the monetary value of ecosystem services in the coastal area of Semarang in Indonesia. Within this framework, we (1) quantify the present value of coastal ecosystem services by using economic valuation techniques; (2) identify the potential impacts of relative sea level rise (RSLR)-induced inundation on ecosystem services (for the year 2100 inundation scenarios); and (3) monetize these impacts by developing a novel scenario-based approach. The results show that full inundation (scenario A with 4 m RSLR) poses a median loss of 90% (US$ 2.8 – 3.5) and 25% (US$ 90 – 113) to the present art and fishery values per hectare, while amenity service is expected to lose upto 50% (US$ 3700 – 5400) of its present value. Additionally, recreation value of the coastal ecosystems in three selected sites (Marina and Maron beaches, and Plumbon estuary) will decrease by 70% (US$ 15,460 – 19,820) per hectare. However, in scenario B (RSLR of 1.1 m) with a 50% inundated area, these losses are estimated approximately 40% less than for scenario A. It is expected that researchers and policy makers may apply this approach in their areas of interest to gain a better understanding of the likely costs of sea level rise-driven environmental damages along coasts, ultimately contributing to the sustainable management of coastal environment in Indonesia and possibly in other developing countries.</t>
  </si>
  <si>
    <t>10.1080/24694452.2017.1421896</t>
  </si>
  <si>
    <t>https://www.scopus.com/inward/record.uri?eid=2-s2.0-85044058997&amp;doi=10.1080%2f24694452.2017.1421896&amp;partnerID=40&amp;md5=7248daa3661a9437ceec85dc2e7e0634</t>
  </si>
  <si>
    <t>Studies on how variables of community resilience to natural hazards interact as a system that affects the final resilience (i.e., their dynamical linkages) have rarely been conducted. Bayesian network (BN), which represents the interdependencies among variables in a graph while expressing the uncertainty in the form of probability distributions, offers an effective way to investigate the interactions among different resilience components and addresses the natural–human system as a whole. This article employs a BN to study the interdependencies of ten resilience variables and population change in the Lower Mississippi River Basin (LMRB) at the census block group scale. A genetic algorithm was used to identify an optimal BN where population change, a cumulative resilience indicator, was the target variable. The genetic algorithm yielded an optimized BN model with a cross-validation accuracy of 67 percent over a period of 906 generations. Six variables were found to have direct impacts on population change, including level of threat from coastal hazards, hazard damage, distance to coastline, employment rate, percentage of housing units built before 1970, and percentage of households with a female householder. The remaining four variables were indirect variables, including percentage agriculture land, percentage flood zone area, percentage owner-occupied house units, and population density. Each variable has a conditional probability table so that its impacts on the probability of population change can be evaluated as it propagates through the network. These probabilities could be used for scenario modeling to help inform policies to reduce vulnerability and enhance disaster resilience. © 2018, © 2018 by American Association of Geographers.</t>
  </si>
  <si>
    <t>2-s2.0-85044058997"</t>
  </si>
  <si>
    <t>10.1016/j.scitotenv.2018.03.234</t>
  </si>
  <si>
    <t>https://www.scopus.com/inward/record.uri?eid=2-s2.0-85044571787&amp;doi=10.1016%2fj.scitotenv.2018.03.234&amp;partnerID=40&amp;md5=6ef23d9fa8a198b1071865c616418989</t>
  </si>
  <si>
    <t>Deltas are precarious environments experiencing significant biophysical, and socio-economic changes with the ebb and flow of seasons (including with floods and drought), with infrastructural developments (such as dikes and polders), with the movement of people, and as a result of climate and environmental variability and change. Decisions are being taken about the future of deltas and about the provision of adaptation investment to enable people and the environment to respond to the changing climate and related changes. The paper presents a framework to identify options for, and trade-offs between, long term adaptation strategies in deltas. Using a three step process, we: (1) identify current policy-led adaptations actions in deltas by conducting literature searches on current observable adaptations, potential transformational adaptations and government policy; (2) develop narratives of future adaptation policy directions that take into account investment cost of adaptation and the extent to which significant policy change/political effort is required; and (3) explore trade-offs that occur within each policy direction using a subjective weighting process developed during a collaborative expert workshop. We conclude that the process of developing policy directions for adaptation can assist policy makers in scoping the spectrum of options that exist, while enabling them to consider their own willingness to make significant policy changes within the delta and to initiate transformative change.</t>
  </si>
  <si>
    <t>10.1029/2018JB016109</t>
  </si>
  <si>
    <t>https://www.scopus.com/inward/record.uri?eid=2-s2.0-85054564291&amp;doi=10.1029%2f2018JB016109&amp;partnerID=40&amp;md5=5fbda4a9c2f6464364437d9ede987d20</t>
  </si>
  <si>
    <t>The high elevation of the onshore fore-arc platform in northern Chile cannot be accounted for by previously proposed tectonic mechanisms such as coastal underplating and coseismic deformation, whose topographic effects are restricted to the coastal zone. Subduction channels have been recognized both in modern and fossil noncollisional convergent margins, yet their role on fore-arc surface elevation has not been sufficiently explored. Long-term viscoelastic flow in a strengthened, finite-thickness subduction channel promotes coupled offshore fore-arc subsidence and onshore fore-arc platform uplift. We propose that the onset of protracted hyperaridity in the coastal zone of northern Chile starved the trench of sediments, inducing a rise in shear stress at the top of the subduction channel sufficient to trigger hundreds of meters of uplift of the onshore fore-arc basin surface, most of which took place by the middle Miocene. This is consistent with latitudinal correlations between coastal precipitation, trench sediment thickness and onshore fore-arc topography along the Chilean margin, and with available paleoclimatic and paleotopographic evidence in northern Chile. ©2018. American Geophysical Union. All Rights Reserved.</t>
  </si>
  <si>
    <t>2-s2.0-85054564291"</t>
  </si>
  <si>
    <t>10.1007/s11069-017-3152-4</t>
  </si>
  <si>
    <t>https://www.scopus.com/inward/record.uri?eid=2-s2.0-85040865174&amp;doi=10.1007%2fs11069-017-3152-4&amp;partnerID=40&amp;md5=426b11c2c35153ca906e30a5d1d24dca</t>
  </si>
  <si>
    <t>Tsunami hazard in coastal areas susceptible to flooding, although reduced (in terms of probability of occurrence), may pose a high risk. Therefore, in these areas, a detailed evacuation planning of the affected population is required as a risk mitigation measure. The knowledge and enforcement of evacuation routes may reduce the population vulnerability, making it more resilient and reducing risk. This paper presents a GIS approach for modelling evacuation routes based on the optimal path search problem, of the graph theory, which is implemented on ArcCasper tool. The methodology proposed considers the elements involved in the evacuation process, the worst credible tsunami inundation scenario (hazard extent and travel time), the number of people that needs to be evacuated in different time scenarios, the safe areas or destination points of the evacuation routes, the roads network characteristics and finally the time available to evacuate. The knowledge of those elements allows predicting some possible outcomes of the evacuation, such as the arrival time of the evacuees to a shelter and the identification of congestion hot spots resulting from the application of a flocking model which simulates the path to be used by evacuees avoiding obstacles. The municipality of Cascais was used to test the methodology proposed in this study. Cascais is one of the largest urban centres located about 25 km west of Lisbon, Portugal, with a high density of infrastructure along the coastline whereby most of the population and economic activities are exposed to a tsunami. The results, presented in the form of maps, allow identifying the optimal evacuation routes as well as the unfeasible routes. This crucial information could be used to the evacuation optimization regarding the location of meeting points and vertical shelters as well as to improve the accessibility of the areas to be evacuated. © 2018, Springer Science+Business Media B.V., part of Springer Nature.</t>
  </si>
  <si>
    <t>2-s2.0-85040865174"</t>
  </si>
  <si>
    <t>10.1007/s11069-018-3414-9</t>
  </si>
  <si>
    <t>https://www.scopus.com/inward/record.uri?eid=2-s2.0-85050984785&amp;doi=10.1007%2fs11069-018-3414-9&amp;partnerID=40&amp;md5=bab7fb80fc2791483d6b86f225e09192</t>
  </si>
  <si>
    <t>Vizianagaram–Srikakulam coastal shoreline consisting of beaches, mangrove swamps, tidal channel and mudflats is one of the vulnerable coasts in Andhra Pradesh, India. Five site-specific parameters, namely rate of geomorphology, coastal elevation, coastal slope, shoreline change and mean significant wave height, were chosen for constructing coastal vulnerability index and assessing coastal landscape vulnerability. The findings revealed a shift of 2.5 km in shoreline towards the land surface because of constant erosion and that of 1.82 km towards the sea due to accretion during 1997–2017. The rate of high erosion was found in zones IV and V, and high accretion was found in zones II and III. Coastal vulnerability index analysis revealed constant erosion along shoreline and sea level rise in the study area. Most of the coast in zone V has recorded very high vulnerability due to erosion, high slope, significant wave height and sea level rise. Erosion and accretion, significant wave height, sea level rise and slope are attributed to high vulnerability in zones III and IV. Zone II recorded moderate vulnerability. Relatively lower slope, mean sea wave height and sea level rise have made this zone moderately vulnerable. Very low vulnerability was found in zone I, and low vulnerability was recorded in zone II. Accretion, low slope and low sea level rise were found to be causative factors of lower vulnerability. Thus, zones III, IV and V should be accorded higher priorities for coastal management. The findings can be helpful in coastal land planning and management and preparing emergency plans of the coastal ecosystems. © 2018, Springer Nature B.V.</t>
  </si>
  <si>
    <t>2-s2.0-85050984785"</t>
  </si>
  <si>
    <t>10.1016/j.envsoft.2018.05.011</t>
  </si>
  <si>
    <t>https://www.scopus.com/inward/record.uri?eid=2-s2.0-85049325883&amp;doi=10.1016%2fj.envsoft.2018.05.011&amp;partnerID=40&amp;md5=92ea0bd7aef8710f09c7457e855f85ca</t>
  </si>
  <si>
    <t>Flood inundation models are increasingly used for a wide variety of river and coastal management applications. Nevertheless, the computational effort to run these models remains a substantial constraint on their application. In this study four developments to the LISFLOOD-FP 2D flood inundation model have been documented that: 1) refine the parallelisation of the model; 2) reduce the computational burden of dry cells; 3) reduce the data movements between CPU and RAM; and 4) vectorise the core numerical solver. The value of each of these developments in terms of compute time and parallel efficiency was tested on 12 test cases. For realistic test cases, improvements in single core performance of between 4.2x and 8.4x were achieved, which when combined with parallelisation on 16 cores resulted in computation times 34-60x shorter than previous LISFLOOD-FP models on one core. Results were compared to a sample of commercial models for context.</t>
  </si>
  <si>
    <t>10.1007/s00382-017-4006-1</t>
  </si>
  <si>
    <t>https://www.scopus.com/inward/record.uri?eid=2-s2.0-85034237690&amp;doi=10.1007%2fs00382-017-4006-1&amp;partnerID=40&amp;md5=006190586fa6be36bea184a7756ffe90</t>
  </si>
  <si>
    <t>In the era of global warning, the insight of future climate and their changing extremes is critical for climate-vulnerable regions of the world. In this study, we have conducted a robust assessment of Regional Climate Model (RCM) results in a monsoon-dominated region within the new Coupled Model Intercomparison Project Phase 5 (CMIP5) and the latest Representative Concentration Pathways (RCP) scenarios. We have applied an advanced bias correction approach to five RCM simulations in order to project future climate and associated extremes over Bangladesh, a critically climate-vulnerable country with a complex monsoon system. We have also generated a new gridded product that performed better in capturing observed climatic extremes than existing products. The bias-correction approach provided a notable improvement in capturing the precipitation extremes as well as mean climate. The majority of projected multi-model RCMs indicate an increase of rainfall, where one model shows contrary results during the 2080s (2071–2100) era. The multi-model mean shows that nighttime temperatures will increase much faster than daytime temperatures and the average annual temperatures are projected to be as hot as present-day summer temperatures. The expected increase of precipitation and temperature over the hilly areas are higher compared to other parts of the country. Overall, the projected extremities of future rainfall are more variable than temperature. According to the majority of the models, the number of the heavy rainy days will increase in future years. The severity of summer-day temperatures will be alarming, especially over hilly regions, where winters are relatively warm. The projected rise of both precipitation and temperature extremes over the intense rainfall-prone northeastern region of the country creates a possibility of devastating flash floods with harmful impacts on agriculture. Moreover, the effect of bias-correction, as presented in probable changes of both bias-corrected and uncorrected extremes, can be considered in future policy making. © 2017, Springer-Verlag GmbH Germany, part of Springer Nature.</t>
  </si>
  <si>
    <t>2-s2.0-85034237690"</t>
  </si>
  <si>
    <t>10.1016/j.jsames.2018.04.016</t>
  </si>
  <si>
    <t>https://www.scopus.com/inward/record.uri?eid=2-s2.0-85049434802&amp;doi=10.1016%2fj.jsames.2018.04.016&amp;partnerID=40&amp;md5=2c91c4790ddb5fb74368d27a67a1dfe5</t>
  </si>
  <si>
    <t>Sediment gravity flows comprise gravity-driven underflows with a large concentration of suspended load. Along the downslope transport, flow transformations from laminar to turbulent conditions or vice-versa can take place due to several factors, including the incorporation and segregation of clay into, or from the flow. These flow changes may produce hybrid behavior and resulting hybrid event beds. Flow transformation and hybrid events are widely discussed in marine settings, but studies on lacustrine environments are rare. The Ediacaran Western Santa Bárbara Rift represents one stage of the development of the Camaquã Basin and includes both cohesive (debrites) and non-cohesive (turbidites) gravity flow deposits associated with braidplain deltas deposited in shallow lake. A range of cohesive and non-cohesive density flow facies is here discussed in terms of triggering mechanism, genetic processes and related flow transformations. The analysis of aerial images combined with outcrop descriptions allowed the identification and mapping of key stratigraphic surfaces and therefore associated systems tracts. Sedimentological and gamma-ray logs, sampling and laboratory analyses (optical microscopy, X-ray diffraction –XRD - and Scanning Electron Microscopy – SEM) were performed to define facies and facies associations. Microscopy was useful to identify vermiculite as an important matrix component. The position of distinct facies within the genetic stratigraphic framework allowed the construction of a generalized facies tract model. The basinward shift of facies indicates three flow transformations, in addition to hybrid flows. Substrate erosion, and ensuing incorporation and fragmentation of mud clasts into turbulent flows caused changes from fluidal to plastic flow rheology. Generalized facies tracts suggest fluvial floods (and resulting hyperpycnal flows) as the triggering mechanism for the subaqueous density flows herein described. © 2018 Elsevier Ltd</t>
  </si>
  <si>
    <t>2-s2.0-85049434802"</t>
  </si>
  <si>
    <t>10.1029/2018EF000909</t>
  </si>
  <si>
    <t>https://www.scopus.com/inward/record.uri?eid=2-s2.0-85053670109&amp;doi=10.1029%2f2018EF000909&amp;partnerID=40&amp;md5=1de6530e91f2bf09776b1e963c9efea2</t>
  </si>
  <si>
    <t>Anomalous atmosphere-ocean conditions in the tropical Pacific associated with the El Niño-Southern Oscillation (ENSO) drive interannual variations in mean and extreme sea levels. Climate change may lead to more frequent extreme ENSO events in the future. Therefore, it is important to enhance our understanding of ENSO's influence on coastal flood impacts. We assessed ENSO's influence on extreme sea levels using a global reanalysis of tides and storm surges. This allows for a full coverage of the global coastline from 1979 to 2014. A mean sea level component is added to account for steric effects. This results in a substantial improvement in the representation of the seasonal and interannual variability. Our results show significant correlations across the Pacific between ENSO and extreme sea levels (expressed as 95th annual percentiles), which is consistent with previous studies based on tide gauge observations. Average anomalies in the annual percentiles over El Niño years compared to neutral years show similar patterns. When examining total sea levels, results are largely statistically insignificant. This is because in many regions large tidal variability dominates over the other components. Combining sea levels with an inundation and impact model shows that ENSO has a significant but small effect on the number of people potentially exposed to flooding at the globally aggregated scale. Our results demonstrate that a model-based approach allows for an assessment of the influence of ENSO on coastal flood impacts and could be used to assess impacts of future changes in ENSO. ©2018. The Authors.</t>
  </si>
  <si>
    <t>2-s2.0-85053670109"</t>
  </si>
  <si>
    <t>10.1016/j.jag.2018.03.011</t>
  </si>
  <si>
    <t>https://www.scopus.com/inward/record.uri?eid=2-s2.0-85064094068&amp;doi=10.1016%2fj.jag.2018.03.011&amp;partnerID=40&amp;md5=e50afd3d7ba4703e558819065de5caf1</t>
  </si>
  <si>
    <t>The LeiZhou Peninsula is situated at the southern tip of mainland China with frequent tropical cyclone activity. Its special feature of large-scaled westward concaved coastline results in complex storm-induced hydrodynamic processes in a variety of spatial scales. Statistics show that the surge distributions in the east LeiZhou Peninsula are sensitive to the landfall location and moving direction of the storm tracks. This paper provides a detailed assessment to investigate the nearshore and coastal responses to different tropical cyclone behaviours in this region. A high-resolution integrally-coupled wave and circulation model (FVCOM-SWAVE) on a large-domain unstructured mesh containing the northern South China Sea is applied in this study. The model is validated by observed water level records during three typical typhoon events of Krovanh (2003), Kai-tak (2012) and Mujigae (2015). Induced by the right-handed cyclone wind rotation at the northern hemisphere, surges at ZhanJiang and NanDu perform as set-up processes when the storm lands to the south of the ZhanJiang Bay and as mixtures of slight set-up and medium set-down when the storm lands to the north of the ZhanJiang Bay. For set-up cases, the storm tracks with moving direction of WNW (α = 10° ∼ 30°) are more likely to cause heavy surges. Complex coastal morphology has great impacts on the surge distributions. For outer-bay coastlines, the area at the distance of 1 × RMW ∼ 1.5 × RMW right to the cyclone track is most dangerous prone to high surge. For inner-bay areas, three high-risk regions—the NanSan Channel, the HuGuang branch of the ZhanJiang Bay and west coast of the LeiZhou Bay—are more likely to generate violent surges because of their westward narrowing-down configurations. Protected by a narrow entrance oriented to ESE, surge variations in the ZhanJiang Bay are less sensitive to the variations of landfall location and moving direction than that in the LeiZhou Bay. © 2018</t>
  </si>
  <si>
    <t>2-s2.0-85064094068"</t>
  </si>
  <si>
    <t>10.1007/s12524-018-0810-2</t>
  </si>
  <si>
    <t>https://www.scopus.com/inward/record.uri?eid=2-s2.0-85050566673&amp;doi=10.1007%2fs12524-018-0810-2&amp;partnerID=40&amp;md5=3e807903b4f3504af7c12df26834da9b</t>
  </si>
  <si>
    <t>Differential interferometric synthetic aperture radar (DInSAR) is a novel remote sensing technique to measure earth surface deformation. It is capable of obtaining dense information related to the deformation of a large area efficiently, economically and effectively. Therefore, DInSAR is a promising technology for monitoring the earth surface deformation related to some natural hazardous events, such as earthquake, volcano eruption, land subsidence, landslide. In present study, Conventional DInSAR technique have been applied to a mineral rich zone, coming under the Khetri copper belt, a part of Northern Aravali range of hillocks in India, predominant with mining activities since late 1960’s to address the possibility of deformation phenomena due to hard rock underground metal mining. Four interferometric SAR data sets of Radarsat-2 was used for the study area to address the subsidence/uplift phenomena. Further, results obtained from conventional DInSAR technique using Radarsat-2 data sets compared with results obtained from ground based observation technique for its validity. In both the techniques, deformation results obtained in terms of average subsidence rate in mm (quarterly basis) of points under study within mining zone of Mine-A has well agreed to each other. Further, it has been observed that average subsidence rate in mm (quarterly basis) obtained from space based observation and ground based observation are 5.6 and 6.67, respectively over the points under study in mining zone of Mine-A. © 2018, Indian Society of Remote Sensing.</t>
  </si>
  <si>
    <t>2-s2.0-85050566673"</t>
  </si>
  <si>
    <t>10.1371/journal.pone.0206200</t>
  </si>
  <si>
    <t>https://www.scopus.com/inward/record.uri?eid=2-s2.0-85055612799&amp;doi=10.1371%2fjournal.pone.0206200&amp;partnerID=40&amp;md5=beafee119af9e12b8cc6bdfa93f2b987</t>
  </si>
  <si>
    <t>Storm surge is often the greatest threat to life and critical infrastructures during hurricanes and violent storms. Millions of people living in low-lying coastal zones and critical infrastructure within this zone rely on accurate storm surge forecast for disaster prevention and flood hazard mitigation. However, variability in residual sea level up-estuary, defined here as observed sea level minus predicted tide, can enhance total water levels; variability in the surge thus needs to be captured accurately to reduce uncertainty in site specific hazard assessment. Delft3D-FLOW is used to investigate surge variability, and the influence of storm surge timing on barotropic tide-surge propagation in a tide-dominant estuary using the Severn Estuary, south-west England, as an example. Model results show maximum surge elevation increases exponentially up-estuary and, for a range of surge timings consistently occurs on the flood tide. In the Severn Estuary, over a distance of 40 km from the most upstream tide gauge at Oldbury, the maximum surge elevation increases by 255%. Up-estuary locations experience short duration, high magnitude surge elevations and greater variability due to shallow-water effects and channel convergence. The results show that surge predictions from forecasting systems at tide gauge locations could under-predict the magnitude and duration of surge contribution to up-estuary water levels. Due to the large tidal range and dynamic nature of hyper-tidal estuaries, local forecasting systems should consider changes in surge elevation and shape with distance up-estuary from nearby tide gauge sites to minimize uncertainties in flood hazard assessment.</t>
  </si>
  <si>
    <t>10.1007/s10236-018-1193-1</t>
  </si>
  <si>
    <t>https://www.scopus.com/inward/record.uri?eid=2-s2.0-85049555968&amp;doi=10.1007%2fs10236-018-1193-1&amp;partnerID=40&amp;md5=1a9656c3124179e4306ffc70dc0e2107</t>
  </si>
  <si>
    <t>Tropical storms and hurricanes in the western North Atlantic Ocean can impact the US East Coast in several ways. Direct effects include storm surges, winds, waves, and precipitation and indirect effects include changes in ocean dynamics that consequently impact the coast. Hurricane Matthew [October, 2016] was chosen as a case study to demonstrate the interaction between an offshore storm, the Gulf Stream (GS) and coastal sea level. A regional numerical ocean model was used, to conduct sensitivity experiments with different surface forcing, using wind and heat flux data from an operational hurricane-ocean coupled forecast system. An additional experiment used the observed Florida Current (FC) transport during the hurricane as an inflow boundary condition. The experiments show that the hurricane caused a disruption in the GS flow that resulted in large spatial variations in temperatures with cooling of up to ~ 4 °C by surface heat loss, but the interaction of the winds with the GS flow also caused some local warming near fronts and eddies (relative to simulations without a hurricane). A considerable weakening of the FC transport (~ 30%) has been observed during the hurricane (a reduction of ~ 10 Sv in 3 days</t>
  </si>
  <si>
    <t>10.3390/rs10091438</t>
  </si>
  <si>
    <t>https://www.scopus.com/inward/record.uri?eid=2-s2.0-85053624719&amp;doi=10.3390%2frs10091438&amp;partnerID=40&amp;md5=bfaf99a89801d56663caf64dfb00c873</t>
  </si>
  <si>
    <t>In paddy soils in the Mekong Delta, soil archaea emit substantial amounts of methane. Reproducing ground flux data using only satellite-observable explanatory variables is a highly transparent method for evaluating regional emissions. We hypothesized that PALSAR-2 (Phased Array type L-band Synthetic Aperture RADAR) can distinguish inundated soil from noninundated soil even if the soil is covered by rice plants. Then, we verified the reproducibility of the ground flux data with satellite-observable variables (soil inundation and cropping calendar) and with hierarchical Bayesian models. Furthermore, inundated/noninundated soils were classified with PALSAR-2. The model parameters were successfully converged using the Hamiltonian-Monte Carlo method. The cross-validation of PALSAR-2 land surface water coverage (LSWC) with several inundation indices of MODIS (Moderate Resolution Imaging Spectroradiometer) and AMSR-2 (Advanced Microwave Scanning Radiometer-2) data showed that (1) high PALSAR-2-LSWC values were detected even when MODIS and AMSR-2 inundation index values (MODIS-NDWI and AMSR-2-NDFI) were low and (2) low values of PALSAR-2-LSWC tended to be less frequently detected as the MODIS-NDWI and AMSR-2-NDFI increased. These findings indicate the potential of PALSAR-2 to detect inundated soils covered by rice plants even when MODIS and AMSR-2 cannot, and show the similarity between PALSAR-2-LSWC and the other two indices for nonvegetated areas. © 2018 by the authors.</t>
  </si>
  <si>
    <t>2-s2.0-85053624719"</t>
  </si>
  <si>
    <t>10.1016/j.envsoft.2018.05.006</t>
  </si>
  <si>
    <t>https://www.scopus.com/inward/record.uri?eid=2-s2.0-85049328177&amp;doi=10.1016%2fj.envsoft.2018.05.006&amp;partnerID=40&amp;md5=67ab541dfcb0fa45545437a3fde4c9c8</t>
  </si>
  <si>
    <t>Sea-level rise poses considerable risks to coastal communities, ecosystems, and infrastructure. Decision makers are faced with uncertain sea-level projections when designing a strategy for coastal adaptation. The traditional methods are often silent on tradeoffs as well as the effects of tail-area events and of potential future learning. Here we reformulate a simple sea-level rise adaptation model to address these concerns. We show that Direct Policy Search yields improved solution quality, with respect to Pareto-dominance in the objectives, over the traditional approach under uncertain sea-level rise projections and storm surge. Additionally, the new formulation produces high quality solutions with less computational demands than an intertemporal optimization approach. Our results illustrate the utility of multi-objective adaptive formulations for the example of coastal adaptation and point to wider-ranging application in climate change adaptation decision problems. © 2018 Elsevier Ltd</t>
  </si>
  <si>
    <t>2-s2.0-85049328177"</t>
  </si>
  <si>
    <t>10.1016/j.scitotenv.2018.04.395</t>
  </si>
  <si>
    <t>https://www.scopus.com/inward/record.uri?eid=2-s2.0-85046652108&amp;doi=10.1016%2fj.scitotenv.2018.04.395&amp;partnerID=40&amp;md5=ea6b7e1bb60e71cd3151e19c29b0eca3</t>
  </si>
  <si>
    <t>Tidal marshes are both important sites of in situ methylmercury production and can be landscape sources of methylmercury to adjacent estuarine systems. As part of a regional investigation of the Hg-contaminated Penobscot River and Bay system, the tidal fluxes of total suspended solids, total mercury and methylmercury into and out of a regionally important mesohaline fluvial marsh complex, Mendall Marsh, were intensively measured over several tidal cycles and at two spatial scales to assess the source-sink function of the marsh with respect to the Penobscot River. Over four tidal cycles on the South Marsh River, the main channel through which water enters and exits Mendall Marsh, the marsh was a consistent sink over typical 12-h tidal cycles for total suspended solids (8.2 to 41 g m−2), total Hg (9.2 to 47 μg m−2), total filter-passing Hg (0.4 to 1.1 μg m−2), and total methylmercury (0.2 to 1.4 μg m−2). The marsh's source-sink function was variable for filter-passing methylmercury, acting as a net source during a large spring tide that inundated much of the marsh area and that is likely to occur during approximately 17% of tidal cycles. Additional measurements on a small tidal channel draining approximately 1% of the larger marsh area supported findings at the larger scale, but differences in the flux magnitude of filter-passing fractions suggest a highly non-conservative transport of these fractions through the tidal channels. Overall the results of this investigation demonstrate that Mendall Marsh is not a significant source of mercury or methylmercury to the receiving aquatic systems (Penobscot River and Bay). While there is evidence of a small net export of filter-passing (&lt;0.4 μm pore size) methylmercury under some tidal conditions, the mass involved represents &lt;3% of the mass of filter-passing methylmercury carried by the Penobscot River. © 2018</t>
  </si>
  <si>
    <t>2-s2.0-85046652108"</t>
  </si>
  <si>
    <t>10.1177/0975425318783587</t>
  </si>
  <si>
    <t>https://www.scopus.com/inward/record.uri?eid=2-s2.0-85052228840&amp;doi=10.1177%2f0975425318783587&amp;partnerID=40&amp;md5=eab29426c97f81e73d92d73cc9673b3b</t>
  </si>
  <si>
    <t>Located in the centre of the Mekong Delta (MD), Can Tho City (CTC), with a development history of more than three centuries, has affirmed its strategic position as an interregional centre. The city on Hau river is blessed by nature with the identity of a delta landscape associated with riverine dynamics. First, this article presents the development history of CTC, and the correlation between its urbanization history and the existing characteristics of the urban landscape. Then, this study further analyses challenges in urban development, assessing existing water infrastructure and opportunities of current urban and rural landscapes. Finally, urban landscape design strategies have been discussed to suggest improved resilience of the city with flood management in the context of climate change. © 2018 National Institute of Urban Affairs (NIUA).</t>
  </si>
  <si>
    <t>2-s2.0-85052228840"</t>
  </si>
  <si>
    <t>10.1016/j.envsoft.2018.06.010</t>
  </si>
  <si>
    <t>https://www.scopus.com/inward/record.uri?eid=2-s2.0-85049299207&amp;doi=10.1016%2fj.envsoft.2018.06.010&amp;partnerID=40&amp;md5=1bfa7ee78d9f8be2220d726caf5eb332</t>
  </si>
  <si>
    <t>High accuracy models are required for informed decision making in urban flood management. This paper develops a new holistic framework for using information collected from multiple sources for setting parameters of a 2D flood model. This illustrates the importance of identifying key urban features from the terrain data for capturing high resolution flood processes. A Cellular Automata based model CADDIES was used to simulate surface water flood inundation. Existing reports and flood photos obtained via social media were used to set model parameters and investigate different approaches for representing infiltration and drainage system capacity in urban flood modelling. The results of different approaches to processing terrain datasets indicate that the representation of urban micro-features is critical to the accuracy of modelling results. The constant infiltration approach is better than the rainfall reduction approach in representing soil infiltration and drainage capacity, as it describes the flood recession process better. This study provides an in-depth insight into high resolution flood modelling. © 2018 Elsevier Ltd</t>
  </si>
  <si>
    <t>2-s2.0-85049299207"</t>
  </si>
  <si>
    <t>10.1016/j.scitotenv.2018.04.141</t>
  </si>
  <si>
    <t>https://www.scopus.com/inward/record.uri?eid=2-s2.0-85046130923&amp;doi=10.1016%2fj.scitotenv.2018.04.141&amp;partnerID=40&amp;md5=bce979be117577b2dd90b4c3622ef11a</t>
  </si>
  <si>
    <t>An increasing number of people lives in coastal zones with a subsurface consisting of heterogenic soft-soil sequences. Many of these sequences contain substantial amounts of peat. While population growth and urbanization continues in coastal zones, they are threatened by global sea-level rise and land subsidence. Peat compaction and oxidation, caused by loading and drainage, are important contributors to land subsidence, and hence relative sea-level rise, in peat-rich coastal zones. Especially built-up areas, having densely-spaced urban assets, are heavily impacted by land subsidence, in terms of livelihoods and damage-related costs. Yet, built-up areas have been largely avoided in peat compaction and oxidation field studies. Consequently, essential information on the relative contributions of both processes to total subsidence and underlying mechanisms, which is required for developing effective land use planning strategies, is lacking. Therefore, we quantified subsidence due to peat compaction and oxidation in built-up areas in the Rhine-Meuse delta, The Netherlands, using lithological borehole data and measurements of dry bulk density, organic matter, and CO2 respiration. We reconstructed subsidence over the last 1000 years of up to ~4 m, and recent subsidence rates of up to ~140 mm·yr−1 averaged over an 11-year time span. The amount and rate of subsidence due to peat compaction and oxidation is variable in time and space, depending on the Holocene sequence composition, overburden thickness, loading time, organic-matter content, and groundwater-table depth. In our study area, the potential for future subsidence due to peat compaction and oxidation is substantial, especially where the peat layer occurs at shallow depth and is relatively uncompacted. We expect this is the case for many peat-rich coastal zones worldwide. We propose to use subsurface-based spatial planning, using specific subsurface information mentioned above, to inform land use planners about the most optimal building sites in organo-clastic coastal zones. © 2018</t>
  </si>
  <si>
    <t>2-s2.0-85046130923"</t>
  </si>
  <si>
    <t>10.3390/rs10101579</t>
  </si>
  <si>
    <t>https://www.scopus.com/inward/record.uri?eid=2-s2.0-85055424210&amp;doi=10.3390%2frs10101579&amp;partnerID=40&amp;md5=4c5443686bc22d60967c07bfbdfe9b86</t>
  </si>
  <si>
    <t>Eastern Siberia is characterized by widespread permafrost thawing and subsequent thermokarst development. Estimation of the impacts of the predicted rise in precipitation and air temperatures under climate change requires quantitative knowledge about the spatial distribution of thermokarst development. In the last few years, unmanned aerial systems (UAS) and structure-from-motion multi-view stereo (SfM-MVS) photogrammetry attracted a tremendous amount of interest for acquiring high-definition topographic data. This study detected characteristics of thermokarst landforms using UAS and SfM-MVS photogrammetry at a disused airfield (3.0 ha) and for arable land that was previously used for farming (6.3 ha) in the Churapcha area, located on the right bank of the Lena River in central Yakutia. Orthorectified photographs and digital terrain models with spatial resolutions of 4.0 cm and 8.0 cm, respectively, were obtained for this study. At the disused airfield site and the abandoned arable land, 174 and 867 high-centered polygons that developed after the 1990s were detected, respectively. The data showed that the average diameter and average area of the polygons at the disused airfield site were 11.6 m and 111.2 m2, respectively, while those of the polygons in the abandoned arable land were 7.4 m and 46.8 m2, respectively. The abandoned arable land was characterized by smaller polygons and a higher polygon density. The differences in polygon size for the abandoned arable land and the disused airfield site indicate a difference in the ice wedge distributions and thermokarst developments. The subsidence rate was estimated as 2.1 cm/year for the disused airfield site and 3.9 cm/year for the abandoned arable land. © 2018 by the authors.</t>
  </si>
  <si>
    <t>2-s2.0-85055424210"</t>
  </si>
  <si>
    <t>10.1017/njg.2018.7</t>
  </si>
  <si>
    <t>https://www.scopus.com/inward/record.uri?eid=2-s2.0-85054592326&amp;doi=10.1017%2fnjg.2018.7&amp;partnerID=40&amp;md5=e717aca3e2f33cb0d8b639e88309befb</t>
  </si>
  <si>
    <t>Rising sea levels due to climate change can have severe consequences for coastal populations and ecosystems all around the world. Understanding and projecting sea-level rise is especially important for low-lying countries such as the Netherlands. It is of specific interest for vulnerable ecological and morphodynamic regions, such as the Wadden Sea UNESCO World Heritage region. Here we provide an overview of sea-level projections for the 21st century for the Wadden Sea region and a condensed review of the scientific data, understanding and uncertainties underpinning the projections. The sea-level projections are formulated in the framework of the geological history of the Wadden Sea region and are based on the regional sea-level projections published in the Fifth Assessment Report of the Intergovernmental Panel on Climate Change (IPCC AR5). These IPCC AR5 projections are compared against updates derived from more recent literature and evaluated for the Wadden Sea region. The projections are further put into perspective by including interannual variability based on long-Term tide-gauge records from observing stations at Den Helder and Delfzijl. We consider three climate scenarios, following the Representative Concentration Pathways (RCPs), as defined in IPCC AR5: The RCP2.6 scenario assumes that greenhouse gas (GHG) emissions decline after 2020</t>
  </si>
  <si>
    <t>10.1016/j.jhydrol.2018.08.008</t>
  </si>
  <si>
    <t>https://www.scopus.com/inward/record.uri?eid=2-s2.0-85051680236&amp;doi=10.1016%2fj.jhydrol.2018.08.008&amp;partnerID=40&amp;md5=a951b815395dde63bc41d06d195569b7</t>
  </si>
  <si>
    <t>Flood modelling in data-sparse regions have been always limited to empirical, statistical or geomorphic approaches that are suitable to produce regional hazard maps. Such coarse resolution maps are not adapted for basin-scale applications, small to medium sized basins (&lt;1000 km2), especially when detailed estimates of flows and water levels of a particular event is required and hence cannot replace the hydrological/hydraulic modelling. The latter is a challenging task in data-sparse regions characterized by floods of typical duration times of a few hours which offer little opportunity for real-time recording by traditional rain-gauge networks, remote sensing or satellite imaging. Such data sparseness is not always compatible with the resolution, in both space and time, of the hydrological and hydraulic models. We propose a framework for flood modelling using sparse data from a coupled hydrological-hydraulic model constrained by past storm events and post-event measurements in space. The approach is applied to the Awali river basin (301 km2), in Lebanon, particularly to simulate the investigated early January 2013 extreme flood event, which is considered one of the largest events in the last three decades. The hydrological model was calibrated and evaluated with 12 past storm events aiming at defining narrow parameter ranges and uncertainty was performed with Monte Carlo simulations for these parameter ranges. The hydraulic model, based on a fine resolution DEM, was simulated using hydrological outflows and validated with 27 post-event measurements in space of high water marks. The resulting outflow values were satisfactory, and uncertainty was reduced when compared with arbitrarily wide parameter ranges. The hydrological model performance was highly variable but for the hydraulic model, 93% of the observed water levels fall within the simulated uncertainty bounds with an RMSE error of 0.26 m. The proposed framework allows mapping the possible inundation and can be compared to other approaches dealing with model complexity and associated performances. © 2018 Elsevier B.V.</t>
  </si>
  <si>
    <t>2-s2.0-85051680236"</t>
  </si>
  <si>
    <t>10.3390/geosciences8090324</t>
  </si>
  <si>
    <t>https://www.scopus.com/inward/record.uri?eid=2-s2.0-85052621046&amp;doi=10.3390%2fgeosciences8090324&amp;partnerID=40&amp;md5=fa68331c8be3c9c4e2f6962da2149d75</t>
  </si>
  <si>
    <t>Wave and tide induced sediment transport pathways and rates govern the morphological evolution of estuarine systems. An understanding of the morphodynamics of these systems is required to maintain their commercial, biological and recreational value. The morphodynamics of Port Stephens estuary, a micro-tidal estuary located on a wave dominated southeast coast of Australia were investigated using bathymetric surveys and current velocity data from several locations over the estuary. This provided detailed insight into the rates and direction of movement for the main sedimentary features of the system, and how these features interact with the processes that drive their evolution. We used these findings to develop a conceptual model for estuarine morphodynamics that accounts for fair weather and storm conditions. Our model explains how sediment eroded from the estuarine beaches is trapped by the adjacent flood-tide delta. The model is applicable to fetch-limited estuaries that do not have offshore sources of sediment, where the tidal currents are weak in relation to the incident ocean waves, and that have a wide, stable entrance through which ocean waves can propagate into the estuary. The model is multi-scale in that it encapsulates both short-term and local process, and large scale evolution of an estuary</t>
  </si>
  <si>
    <t>10.1016/j.jsames.2018.05.018</t>
  </si>
  <si>
    <t>https://www.scopus.com/inward/record.uri?eid=2-s2.0-85050077066&amp;doi=10.1016%2fj.jsames.2018.05.018&amp;partnerID=40&amp;md5=d25354be4dfbadfa232e179738c10bdb</t>
  </si>
  <si>
    <t>Overexploited aquifers in drylands require a thorough assessment in order to get the best insight possible of their hydrogeological behavior and groundwater resource. With this aim we develop an integrated methodology, using the northern part of the Pampa del Tamarugal Aquifer (PTA), at the Atacama Desert, Northern Chile, as testing site. This multidisciplinary assessment was completed including 34 direct piezometric measurements in boreholes, 92 geophysical soundings (TDEM) and 9 stream gauging. Main results show strong correlation between a well-defined contrast of resistivity and the water-table of the unconfined aquifer (dry unsaturated zone ≥ 100 Ω.m vs saline groundwater in the saturated zone ≈ 10 Ω.m). TDEM results helped to map the piezometric levels and reassess the limits of the PTA. The eastern limit of the aquifer, delimited up to now by the basin floor, is repositioned from 10 to 50 km eastward in the Andean Piedmont, indicating larger groundwater reserves than those described previously. A high-resistivity anomaly (∼200 Ω.m) in the apex of alluvial fans reveals that frequent flood events cause rapid flows through the coarse permeable deposits leaching the vadose zone and contributing to recharge the aquifer (temporary recharge process). However, the updated piezometric map indicates the piedmont as the area where most of the aquifer recharge takes place. In the piedmont, at the downstream of tectonic structures or substratum outcrops, stream discharge changes reveal perennial river losses contributing to a located and permanent recharge of the PTA. This groundwater recharge process would be the main contribution to the aquifer recharge. By taking into account the regional geology, the results are summarized in a new conceptual model redefining the geometry, the spatial distribution of groundwater levels, the boundary conditions and the complex recharge processes (different flow magnitudes) in the northern part of the PTA. Finally, this study indicates an integrated and efficient methodology, providing original results that are useful for the characterization of other aquifers located in arid piedmonts and hillslopes. © 2018 Elsevier Ltd</t>
  </si>
  <si>
    <t>2-s2.0-85050077066"</t>
  </si>
  <si>
    <t>10.1002/met.1719</t>
  </si>
  <si>
    <t>https://www.scopus.com/inward/record.uri?eid=2-s2.0-85050485597&amp;doi=10.1002%2fmet.1719&amp;partnerID=40&amp;md5=48d99485478b834f2721cc3ad3de417e</t>
  </si>
  <si>
    <t>A medium- to long-range forecast highlighting periods with an increased likelihood of coastal flooding is useful to United Kingdom governments and response agencies when considering proactive, large-scale and multiregional responses. For this purpose, a new operational forecasting tool called Coastal Decider was developed for use by the Flood Forecasting Centre (FFC). Coastal Decider is used for internal preparedness within the FFC and provides the likelihood of coastal flooding around the UK, which is associated with the occurrence of specific predefined weather patterns in combination with high astronomical tides. Forecasts are available for medium-range and monthly time-scales using output from several ensemble prediction systems, whereby ensemble members are objectively assigned to the closest matching weather pattern definition. Ensemble members already clustered by weather pattern are then grouped to provide objective probabilities of a broader cluster of coastal-risk weather patterns occurring. The coastal-risk weather patterns were objectively derived for 21 coastal sites by relating daily historical weather pattern classifications to a wave hindcast, using a Met Office configuration of WAVEWATCH III, as well as observed skew surges, derived using tide-gauge data from the British Oceanographic Data Centre (BODC). Finally, metrics based on the pressure-anomaly difference between ensemble members and their assigned weather patterns, alongside forecasts of daily maximum 10 m wind speed are used to estimate the magnitude of coastal flooding. © 2018 Crown Copyright, Met Office. Meteorological Applications © 2018 Royal Meteorological Society</t>
  </si>
  <si>
    <t>2-s2.0-85050485597"</t>
  </si>
  <si>
    <t>10.1007/s13280-017-1009-4</t>
  </si>
  <si>
    <t>https://www.scopus.com/inward/record.uri?eid=2-s2.0-85042440658&amp;doi=10.1007%2fs13280-017-1009-4&amp;partnerID=40&amp;md5=38e818db7737a0e29b6db10a4dd9018a</t>
  </si>
  <si>
    <t>Climate change and accelerating socioeconomic developments increasingly challenge flood-risk management in the Vietnamese Mekong River Delta—a typical large, economically dynamic and highly vulnerable delta. This study identifies and addresses the emerging challenges for flood-risk management. Furthermore, we identify and analyse response solutions, focusing on meaningful configurations of the individual solutions and how they can be tailored to specific challenges using expert surveys, content analysis techniques and statistical inferences. Our findings show that the challenges for flood-risk management are diverse, but critical challenges predominantly arise from the current governance and institutional settings. The top-three challenges include weak collaboration, conflicting management objectives and low responsiveness to new issues. We identified 114 reported solutions and developed six flood management strategies that are tailored to specific challenges. We conclude that the current technology-centric flood management approach is insufficient given the rapid socioecological changes. This approach therefore should be adapted towards a more balanced management configuration where technical and infrastructural measures are combined with institutional and governance resolutions. Insights from this study contribute to the emerging repertoire of contemporary flood management solutions, especially through their configurations and tailoring to specific challenges. © 2018, The Author(s).</t>
  </si>
  <si>
    <t>2-s2.0-85042440658"</t>
  </si>
  <si>
    <t>10.1016/j.geomorph.2018.06.011</t>
  </si>
  <si>
    <t>https://www.scopus.com/inward/record.uri?eid=2-s2.0-85049344939&amp;doi=10.1016%2fj.geomorph.2018.06.011&amp;partnerID=40&amp;md5=232b9f43b315a62cc844034d469bb194</t>
  </si>
  <si>
    <t>Traditional drainage systems combining man-made channels and subsurface tile drains have been used since Roman times to control water excess in Mediterranean lowland regions, favouring adequate soil water regime for agriculture purposes. However, mechanization of agriculture, abandonment or land use changes lead to a progressive deterioration of these drains in the last decades. The effects of these structures on hydrological and sediment dynamics have been previously analyzed in a small Mediterranean lowland catchment (Can Revull, Mallorca, Spain, 1.4 km2) by establishing an integrated sediment budget with a multi-technique approach. Moreover, the recent advances in morphometric techniques enable the completion of this analysis by the accurate identification of active areas (i.e. sources, pathway links, and sinks) and improve the understanding of (de-)coupling mechanisms of water and sediment linkages. In this study, the Borselli's index of connectivity (IC; Cavalli et al. (2013)'s version) derived from a LiDAR-based high resolution DEM (&gt;1 pt m−2; RMSE &lt; 0.2 m) was used to evaluate the spatial patterns of sediment connectivity of the catchment under two different scenarios: (1) the current scenario, including an accurate representation of the 3800 m of artificial channels and levees (CS - Channelled Scenario), and (2) a hypothetical scenario in which these anthropogenic features were removed (US - Unchannelled Scenario). Design and configuration of the drainage system in Can Revull generated changes favouring lateral decoupling between different compartments, with hillslopes-floodplain and floodplain-channels relationships, showing a general decrease of IC values, and high longitudinal connectivity along the artificial channel network. Field observations corroborated these results: structures enabled rapid drainage of the water excess also promoting low surface runoff within the field crops, proving to be an effective management practice for erosion control in agricultural Mediterranean lowland catchments. By contrast, US demonstrated that the abandonment of the current agricultural practices and the subsequent destruction of the drainage system could lead the higher soil loss rates owning to more intense/effective processes of sediment connectivity.</t>
  </si>
  <si>
    <t>Fossil Record</t>
  </si>
  <si>
    <t>10.5194/fr-21-213-2018</t>
  </si>
  <si>
    <t>https://www.scopus.com/inward/record.uri?eid=2-s2.0-85052717460&amp;doi=10.5194%2ffr-21-213-2018&amp;partnerID=40&amp;md5=5a67d8211502ae1017d4e3d1c708d325</t>
  </si>
  <si>
    <t>Marine microorganisms trapped in amber are extremely rare in the fossil record, and the few existing inclusions recovered so far originate from very few pieces of Cretaceous amber from France. Marine macroscopic inclusions are also very rare and were recently described from Cretaceous Burmese amber and Early Miocene Mexican amber. Whereas a coastal setting for the amber source forests is generally proposed, different scenarios have been suggested to explain how these marine inclusions can become trapped in a resin of terrestrial origin. These scenarios include an introduction of marine organisms (i) through high tides, (ii) from storms and resulting in flooding of the littoral/estuarine forest floor, (iii) in resin dropped into the sea in mangrove-type settings, or (iv) by wind and sea spray. We investigated the possibility of a wind-driven introduction of marine microorganisms into tree resins using modern coastal conifer forests with the highly resinous Cook pine (Araucaria columnaris) in New Caledonia as a model for the Cretaceous amber forests from France. By exposing fresh resin surfaces on the seaward side of the trees and the collection of older in situ resins, we confirmed that marine microorganisms can become trapped on sea-exposed resin, along with remnants from terrestrial organisms, and salt crystals. We suggest that, for cases where only a few marine inclusions are discovered in an amber deposit, an origin from aeolian background deposition is feasible. However, a more energetic but possibly still aeolian event is likely needed to explain the high numbers of marine microorganisms embedded in pieces of Cretaceous amber from France. © 2018 Author(s).</t>
  </si>
  <si>
    <t>2-s2.0-85052717460"</t>
  </si>
  <si>
    <t>10.1007/s10236-018-1181-5</t>
  </si>
  <si>
    <t>https://www.scopus.com/inward/record.uri?eid=2-s2.0-85049015783&amp;doi=10.1007%2fs10236-018-1181-5&amp;partnerID=40&amp;md5=4775be54f2f639b11074cf2a6d3150c1</t>
  </si>
  <si>
    <t>We present an idealized network model for storm surges in the Wadden Sea, specifically including a time-dependent wind forcing (wind speed and direction). This extends the classical work by H.A. Lorentz who only considered the equilibrium response to a steady wind forcing. The solutions obtained in the frequency domain for the linearized shallow-water equations in a channel are combined in an algebraic system for the network. The velocity scale that is used for the linearized friction coefficient is determined iteratively. The hindcast of the storm surge of 5 December 2013 produces credible time-varying results. The effects of storm and basin parameters on the peak surge elevation are the subject of a sensitivity analysis. The formulation in the frequency domain reveals which modes in the external forcing lead to the largest surge response at coastal stations. There appears to be a minimum storm duration, of about 3–4 h, that is required for a surge to attain its maximum elevation. The influence of the water levels at the North Sea inlets on the Wadden Sea surges decreases towards the shore. In contrast, the wind shearing generates its largest response near the shore, where the fetch length is at its maximum. © 2018, The Author(s).</t>
  </si>
  <si>
    <t>2-s2.0-85049015783"</t>
  </si>
  <si>
    <t>10.5194/nhess-18-2203-2018</t>
  </si>
  <si>
    <t>https://www.scopus.com/inward/record.uri?eid=2-s2.0-85051754742&amp;doi=10.5194%2fnhess-18-2203-2018&amp;partnerID=40&amp;md5=9c3972a8e553a9f9c94f83c6a673f01d</t>
  </si>
  <si>
    <t>We study the sedimentary record of past tsunamis along the coastal area west of Alexandria (NW Egypt) taking into account the occurrence of major historical earthquakes in the eastern Mediterranean. The two selected sites at Kefr Saber (∼32 km west of Marsa-Matrouh city) and ∼ 10 km northwest of El Alamein village are coastal lagoons protected by 2–20 m-high dunes parallel to the shoreline. Field data were collected by (1) coastal geomorphology along estuaries, wedge-protected and dune-protected lagoons; and (2) identification and spatial distribution of paleotsunamis deposits using five trenches (1.5 m-depth) at Kefr Saber and twelve cores (1 to 2.5 m-depth) at El Alamein. Detailed logging of sedimentary sections was conducted using X-rays, grain size and sorting, total organic and inorganic matter, bulk mineralogy, magnetic susceptibility, and radiocarbon dating to identify past tsunamis records. Generally of low energy, the stratigraphic succession made of coastal lagoon and alluvial deposits includes intercalated high-energy deposits made of mixed fine and coarse sand with broken shells, interpreted as catastrophic layers correlated with tsunami deposits. Radiocarbon dating of 46 samples consist in mixed old (&gt;13 000 BP) and young (&lt;5500 BP), dated charcoal and shells in sedimentary units correlate with the 24 June AD 1870 (Mw 7.5), 8 August AD 1303 (Mw ∼ 8) and 21 July AD 365 (Mw 8–8.5) large tsunamigenic earthquakes that caused inundation along the Alexandria and northern Egyptian shoreline. Our results point out the size and recurrence of past tsunamis and the potential for future tsunami hazards on the Egyptian coastline and the eastern Mediterranean regions.</t>
  </si>
  <si>
    <t>10.21163/GT_2018.132.07</t>
  </si>
  <si>
    <t>https://www.scopus.com/inward/record.uri?eid=2-s2.0-85056330346&amp;doi=10.21163%2fGT_2018.132.07&amp;partnerID=40&amp;md5=1805d5ec2f98ff6fbc9170a03633f7fb</t>
  </si>
  <si>
    <t>The risk associated with urban flooding is expected to increase significantly in the future as a result of urbanization and climate change. It is therefore necessary to develop new strategies and tools for managing urban floods. With the increase of impervious surfaces in urban areas, due to rainfall rainwater on the surface tends to accumulate in ponds. The delimitation of these areas is important because they outline possible areas vulnerable to flooding. In this paper we have proposed the automatic identification of these ponds by developing an algorithm using the Model Builder tool of ArcGIS program. The model was applied to LiDAR data for the city of Wrocław in Poland, a city with a high risk of urban flooding. The Model Builder tool successfully delimits the ponds at the ground surface based on a Digital Elevation Model (DEM), without being necessary a manual intervention, thus saving time and energy for the users. © 2018, Asociatia Geographia Technica. All rights reserved.</t>
  </si>
  <si>
    <t>2-s2.0-85056330346"</t>
  </si>
  <si>
    <t>10.3390/quat1020015</t>
  </si>
  <si>
    <t>https://www.scopus.com/inward/record.uri?eid=2-s2.0-85064314911&amp;doi=10.3390%2fquat1020015&amp;partnerID=40&amp;md5=a0da3eb39393e72ad223f6358daf589a</t>
  </si>
  <si>
    <t>Collisional mountain belts commonly develop intramontane basins from mechanical and isostatic subsidence during orogenic development. These frequently display a relict top surface, evidencing a change interval from basin infilling to erosion often via capture or overspill. Such surfaces provide markers that inform on orogenic growth patterns via climate and base level interplay. Here, we describe the top surface from the Sorbas Basin, a key intramontane basin within the Betic Cordillera (SE Spain). The surface is fragmentary comprising high elevation hilltops and discontinuous ridges developed onto the variably deformed final basin infill outcrop (Gochar Formation). We reconstruct surface configuration using DEM interpolation and apply10Be/26Al cosmonuclides to assess surface formation timing. The surface is a degraded Early Pleistocene erosional pediment developed via autogenic switching of alluvial fan streams under stable dryland climate and base level conditions. Base-level lowering since the Middle Pleistocene focused headwards incision up interfan drainages, culminating in fan head capture and fan morphological preservation within the abandoned surface. Post abandonment erosion has lowered the basin surface by 31 m (average) and removed ~5.95 km3 of fill. Regional basin comparisons reveal a phase of Early Pleistocene surface formation, marking landscape stability following the most recent Pliocene-Early Pleistocene mountain building. Post-surface erosion rate quantification is low and in accordance with10Be denudation rates typical of the low uplift Betic Cordillera. © 2018 by the authors. Licensee MDPI, Basel, Switzerland.</t>
  </si>
  <si>
    <t>2-s2.0-85064314911"</t>
  </si>
  <si>
    <t>10.1007/s11852-017-0574-9</t>
  </si>
  <si>
    <t>https://www.scopus.com/inward/record.uri?eid=2-s2.0-85034042782&amp;doi=10.1007%2fs11852-017-0574-9&amp;partnerID=40&amp;md5=a8f6adf8743343d88f65a215ee233444</t>
  </si>
  <si>
    <t>The Coastal Vulnerability and Exposure Degree (CVED) of the Gran Canaria Island and the coastal risk of Playa de Las Canteras (Las Palmas de G.C.) have been assessed by means of a GIS analysis. The evaluation of coastal vulnerability (H) has been performed by using two different levels of analysis: the first one regarding the entire Island (Coastal Vulnerability Index method - CVI), the second one regarding specifically Las Canteras Beach, selected for its socio-economic importance (Coastal Vulnerability Assessment method - CVA). The application of the CVI method, based on geologic-geomorphologic and meteomarine data easily available, has allowed the regional scale assessment of coastal vulnerability (H) along the Gran Canaria coastline and, therefore, the individuation of more critical coast stretches deserving further analysis. The application of the CVA method, based on more specific morphologic-sedimentary beach features that allow to consider both the beach retreat due to storm surge and the coastal inundation due to run-up on the beach, has provided a large scale detail on the coastal vulnerability of Las Canteras Beach. Socio-economic and damage indexes have been determined for the 15 coastal municipalities included in the study area and, by means of the resulting matrix product, the degree of exposure (Ex) along the Gran Canaria coast has been assessed. Finally, the combination of coastal vulnerability and exposure levels has allowed to obtain the Coastal Vulnerability and Exposure Degree (CVED) for the entire Island and the risk levels that characterize specifically Las Canteras Beach. Major results in terms of CVED highlight prevailing low vulnerability and exposure levels along the western coast, and overall high vulnerability and exposure levels along the eastern coast, from Las Palmas de G.C. to San Bartolomé de Tirajana. The focus made on Playa de Las Canteras has allowed to identify the areas characterized by medium and high risk levels that represent approximately one third (940 m) of the entire beach and are located in its central part. The used two-level analysis approach has proved its efficiency by highlighting the degree of coastal vulnerability along the study coast and, especially, more critical coast stretches (CVI method) such as the Playa de Las Canteras that can be successfully analysed with the CVA approach allowing for a large-scale assessment of risk aspects, essential for a correct definition of priority management strategies. Results obtained with the present study, along with the awareness of the increasing phenomena of coastal erosion and marine flooding arising on the mid-long term due to the effects of global climate change, highlight the need for the competent public administrations of Gran Canaria to develop a strategic approach to coastal management and sustainable development that considers as a whole socio-economic values and natural resources, coastal vulnerability and exposure degree, and risk aspects. © 2017, Springer Science+Business Media B.V.</t>
  </si>
  <si>
    <t>2-s2.0-85034042782"</t>
  </si>
  <si>
    <t>European Planning Studies</t>
  </si>
  <si>
    <t>10.1080/09654313.2018.1490393</t>
  </si>
  <si>
    <t>https://www.scopus.com/inward/record.uri?eid=2-s2.0-85048772238&amp;doi=10.1080%2f09654313.2018.1490393&amp;partnerID=40&amp;md5=21e0755c208e9e8dbcff1085c74bc692</t>
  </si>
  <si>
    <t>Resilience is held as a promising concept to produce a paradigm shift from traditional flood control to an integration of flood risk management and spatial planning. Central ideas to the resilience narrative are that ‘nothing is certain except uncertainty itself’ and ‘adaptability’ is key to ‘governing the unknown’. However, this terminology is far from clear, yet increasingly used, which raises the question how it is made sense of in practice. To answer this question, we examine two long-term flood risk management strategies in the London and Rotterdam region with a policy framing perspective (i.e. the English Thames Estuary 2100 Plan and the Dutch Delta Programme). In both strategies, uncertainties are a key concern, leading to adaptive strategic plans. Reconstructing the framing processes shows that the English adopted a ‘scientific pragmatism’ frame and the Dutch a ‘joint fact-finding’ frame. While this led to different governance approaches, there are also striking parallels. Both cases use established methods such as scenario planning and monitoring to ‘manage’ uncertainties. Similarly to previous turns in flood risk management, the resilience narrative seems to be accommodated in a technical-rational way, resulting in policy strategies that are maintaining the status quo rather than bringing about a paradigm shift. © 2018, © 2018 The Author(s). Published by Informa UK Limited, trading as Taylor &amp; Francis Group.</t>
  </si>
  <si>
    <t>2-s2.0-85048772238"</t>
  </si>
  <si>
    <t>10.2112/SI82-015.1</t>
  </si>
  <si>
    <t>https://www.scopus.com/inward/record.uri?eid=2-s2.0-85056826685&amp;doi=10.2112%2fSI82-015.1&amp;partnerID=40&amp;md5=5d601433e67d2904168518c0b9445df4</t>
  </si>
  <si>
    <t>Huang, H., 2018. Research on intelligent measurement methods of land area inundated by seawater in coastal cities under rainy season conditions. In: Ashraf, M.A. and Chowdhury, A.J.K. (eds.), Coastal Ecosystem Responses to Human and Climatic Changes throughout Asia. At present, intelligent measurement methods for accurately measuring land area submerged by seawater with GIS is difficult. Therefore, this article proposes a kind of intelligent measuring method for land area submerged by seawater in a coastal city based on improved Zernike moment within a rainy season environment. Based on Gauss projections, our research used the arithmetic mean method and the Pauta criterion to build the measurement model, and then used the edge detection operator to detect the land edge that was submerged by seawater, through a gray-weighted operation, which provided calculations of the basic parameters of the land submerged by the sea through interlayer interpolation and the arc tangent extrapolation methods. Experimental result shows that the method proposed in this article has a high degree of measurement accuracy. © Coastal Education and Research Foundation, Inc. 2018.</t>
  </si>
  <si>
    <t>2-s2.0-85056826685"</t>
  </si>
  <si>
    <t>10.1002/rra.3296</t>
  </si>
  <si>
    <t>https://www.scopus.com/inward/record.uri?eid=2-s2.0-85053010433&amp;doi=10.1002%2frra.3296&amp;partnerID=40&amp;md5=0a25f9e8a03025dd7110030f8aed0e99</t>
  </si>
  <si>
    <t>Hydrogeomorphic approaches for floodplain modelling are valuable tools for water resource and flood hazard management and mapping, especially as the global availability and accuracy of terrain data increases. Digital terrain models implicitly contain information about floodplain landscape morphology that was produced by hydrologic processes over long time periods, as well as recent anthropogenic modifications to floodplain features and processes. The increased availability of terrain data and distributed hydrologic datasets provide an opportunity to develop hydrogeomorphic floodplain delineation models that can quickly be applied at large spatial scales. This research investigates the performance of a hydrogeomorphic floodplain model in two large urbanized and gauged river basins in the United States, the Susquehanna and the Wabash basins. The models were calibrated by a hydrologic data scaling technique, implemented through regression analyses of USGS peak flow data to estimate floodplain flow levels across multiple spatial scales. Floodplain model performance was assessed through comparison with 100-year Federal Emergency Management Agency flood hazard maps. Results show that the hydrogeomorphic floodplain maps are generally consistent with standard flood maps, even when significantly and systematically varying scaling parameters within physically feasible ranges, with major differences that are likely due to infrastructure (levees, bridges, etc.) in highly urbanized areas and other locations where the geomorphic signature of fluvial processes has been altered. This study demonstrates the value of geomorphic information for large-scale floodplain mapping and the potential use of hydrogeomorphic models for evaluating human-made impacts to floodplain ecosystems and patterns of disconnectivity in urbanized catchments. Copyright © 2018 John Wiley &amp; Sons, Ltd.</t>
  </si>
  <si>
    <t>2-s2.0-85053010433"</t>
  </si>
  <si>
    <t>10.5194/hess-22-2637-2018</t>
  </si>
  <si>
    <t>https://www.scopus.com/inward/record.uri?eid=2-s2.0-85046763868&amp;doi=10.5194%2fhess-22-2637-2018&amp;partnerID=40&amp;md5=a507c52d906f021423dd889bfa495e8b</t>
  </si>
  <si>
    <t>Flood risks across the Pearl River basin, China, were evaluated using a peak flood flow dataset covering a period of 1951-2014 from 78 stations and historical flood records of the past 1000 years. The generalized extreme value (GEV) model and the kernel estimation method were used to evaluate frequencies and risks of hazardous flood events. Results indicated that (1) no abrupt changes or significant trends could be detected in peak flood flow series at most of the stations, and only 16 out of 78 stations exhibited significant peak flood flow changes with change points around 1990. Peak flood flow in the West River basin increased and significant increasing trends were identified during 1981-2010</t>
  </si>
  <si>
    <t>10.1016/j.jenvman.2018.03.116</t>
  </si>
  <si>
    <t>https://www.scopus.com/inward/record.uri?eid=2-s2.0-85044871870&amp;doi=10.1016%2fj.jenvman.2018.03.116&amp;partnerID=40&amp;md5=76c349f425f8e5719007ca6d29bb361c</t>
  </si>
  <si>
    <t>Large areas of the Vietnamese Mekong Delta floodplains (VMDF) are protected by high dikes to facilitate three rice crops per year. While this has increased rice production, there is evidence that triple rice systems have negative long-term effects, both environmental and economic. Double rice cropping, or other alternatives, may be more advantageous. We analyzed the costs and benefits of intensive rice systems over time and compared these with alternatives farming systems, based on data collected via field surveys and interviews with farmers in two provinces in the VMDF. Results show that farmers in areas with dikes high enough for triple rice production incurred rising production costs over time. Production costs were 58%–91% higher in high-dike, triple crop areas, than in low-dike double rice crop areas. Higher production costs are mainly the result of increased fertilizer and pesticide use. Profitability of triple rice farming systems was initially 57% more compared to double crop systems. After about 15 years, however, triple rice farmers earned only 6% more than double crop counterparts. Our results indicate that alternative farming systems, such as rice combined with vegetables, fisheries or other flood-based livelihood, could offer greater benefits than intensive rice monocultures. Importantly, these higher benefits can be obtained without the environmental costs and impact currently endured across the delta with triple rice cultivation in high dikes. © 2018 Elsevier Ltd</t>
  </si>
  <si>
    <t>2-s2.0-85044871870"</t>
  </si>
  <si>
    <t>New Zealand Geographer</t>
  </si>
  <si>
    <t>10.1111/nzg.12186</t>
  </si>
  <si>
    <t>https://www.scopus.com/inward/record.uri?eid=2-s2.0-85044147798&amp;doi=10.1111%2fnzg.12186&amp;partnerID=40&amp;md5=d80a35d8d87425809383e99d1234ef34</t>
  </si>
  <si>
    <t>New remote sensing techniques, such as airborne laser scanning (LiDAR), have led to a dramatic increase in terrain information, providing new opportunities for landform analysis. A major advance in using LiDAR-derived high-resolution topography (HRT) is the capability to provide an accurate and detailed terrain morphology. This study aims to use LiDAR HRT to identify palaeochannels of the Manawatu River (New Zealand) using an automated procedure based on the statistical analysis of landform curvature. The approach can provide rapid assessment and classification of floodplain topography. The proposed analysis is crucial, especially for intensively used floodplains requiring effective flood management and mitigation. © 2018 New Zealand Geographical Society</t>
  </si>
  <si>
    <t>2-s2.0-85044147798"</t>
  </si>
  <si>
    <t>10.1016/j.gloenvcha.2018.05.003</t>
  </si>
  <si>
    <t>https://www.scopus.com/inward/record.uri?eid=2-s2.0-85047433202&amp;doi=10.1016%2fj.gloenvcha.2018.05.003&amp;partnerID=40&amp;md5=cc67bccc5d9405528b8989c77f0dafbe</t>
  </si>
  <si>
    <t>While sea-level rise could flood and displace hundreds of millions of people, a range of studies have shown that adaptation in the form of coastal protection can be very effective and cost-efficient in reducing coastal impacts. All of these studies have, however, investigated adaptation decisions within one given sea-level rise and one given socio-economic scenario, which is at odds with the actual decision problem coastal planers are facing in that they need to decide across scenarios. This study takes first steps at filling this gap by assessing for which parts of the global coastline coastal protection is economically robust across 21st century global mean sea-level rise from 0.3 m to 2.0 m, the five Shared Socio-economic Pathways and discount rates from 0 to 6%. We find that for 92,500 km of the global coastline it is economically robust to invest in protection (i.e. protection is cheaper than not protecting under every scenario considered). While these 92,500 km cover only 13% of the global coastline, they account for 90% of global coastal floodplain population and for 96% of assets in the global coastal floodplain. For 451,000 km of the global coastline (65%) covering 0.2% of coastal floodplain population and 0.2% of coastal floodplain assets globally, it is economically robust not to invest in protection. Our results suggest bifurcating coastal futures. On the one hand, richer, densely populated and urban areas are likely to be protected through higher and higher dikes. On the other hand, poorer rural areas will struggle to maintain safe human settlements and are likely to eventual retreat from the coast, raising difficult policy questions concerning transfer payments, compensation and liability for loss and damage. © 2018 Elsevier Ltd</t>
  </si>
  <si>
    <t>2-s2.0-85047433202"</t>
  </si>
  <si>
    <t>10.1002/esp.4324</t>
  </si>
  <si>
    <t>https://www.scopus.com/inward/record.uri?eid=2-s2.0-85041236277&amp;doi=10.1002%2fesp.4324&amp;partnerID=40&amp;md5=5a17a0a52148ca86233dd0383cf10ab9</t>
  </si>
  <si>
    <t>First discovered in Poland, glacial curvilineations (GCLs) are enigmatic landforms comprising parallel sets of sinuous ridges and troughs of metres amplitude and around 150 m wavelength, found within kilometres-wide valleys interpreted as being produced by meltwater flowing subglacially. Their morphological and sedimentary characteristics and association with tunnel valleys has been described for some prominent Polish examples. From these observations the existing hypothesis is that they form as a consequence of erosion by longitudinal vortices that develop in subglacial floods. Here we report, for the first time, GCLs found along the southern sector of the Laurentide Ice Sheet in three northern states of the USA. Using mapping and topographic analysis from high resolution digital elevation models we report observations on their morphological properties and landform associations. We find aspects of their context and morphology difficult to explain using the existing hypothesis. We instead suggest that these glacial curvilineations are produced by subglacial bank and slope failures that locally widen tunnel valleys, or that occur near subglacial lake shorelines. Further investigation is required to test this hypothesis and to ascertain the mechanisms of proposed mass movements, which may have occurred by rotational or translational slope failure or by creep deformation. Our preferred mechanism is that such movements occurred where subglacial water was emplaced over previously perma-frozen ground. Under such circumstances, sediment blocks thawed by the water may then easily glide over a frozen décollement at low slope angles</t>
  </si>
  <si>
    <t>10.1007/s10113-017-1178-5</t>
  </si>
  <si>
    <t>https://www.scopus.com/inward/record.uri?eid=2-s2.0-85025089431&amp;doi=10.1007%2fs10113-017-1178-5&amp;partnerID=40&amp;md5=e466e9b0b74e8fc9f01467aafd34de7d</t>
  </si>
  <si>
    <t>In this study, we look at the role which water policy entrepreneurs play in promoting and stimulating climate adaptation measures in international river basins. In a Dutch-German case study in the Rhine delta, we explore the range of strategies that policy entrepreneurs employ in cross-border water management to effectively anchor and embed climate adaptation in the water policy debate. We focus on climate adaptation on the local and regional scale in the Deltarhine region where increased flooding and prolonged drought periods are expected under the current climate change scenarios with a considerable impact on flood protection, agricultural activities, drinking water and ecosystem development. We analyse the impact of policy entrepreneurs while coping with the challenging cross-border setting and dealing with structural differences in national systems such as the legal and institutional framework. It is shown that whilst the European water guidelines advocate a river basin approach across borders, the guidelines do not (yet) play a catalyst role regarding climate adaptation, and the presence and activities of policy entrepreneurs contribute in putting climate adaptation on the cross-border policy agenda. Finally, marked differences in the presence of entrepreneurs in Germany and the Netherlands are observed for which two important complementary explanations are offered relating to contextual elements of power asymmetry and dependency as well as different policy styles and organisational cultures in both countries. © 2017, The Author(s).</t>
  </si>
  <si>
    <t>2-s2.0-85025089431"</t>
  </si>
  <si>
    <t>10.15625/0866-7187/40/2/11107</t>
  </si>
  <si>
    <t>https://www.scopus.com/inward/record.uri?eid=2-s2.0-85138626514&amp;doi=10.15625%2f0866-7187%2f40%2f2%2f11107&amp;partnerID=40&amp;md5=9248e792764d7c1f03019f866396adbf</t>
  </si>
  <si>
    <t>Climate change induced sea-level rise (SLR) is on its increase globally. Regionally the lowlands of China, Vietnam, Bangladesh, and islands of the Malaysian, Indonesian and Philippine archipelagos are among the world’s most threatened regions. Sea-level rise has major impacts on the ecosystems and society. It threatens coastal populations, economic activities, and fragile ecosystems as mangroves, coastal salt-marches and wetlands. This paper provides a summary of the current state of knowledge of sea level-rise and its effects on both human and natural ecosystems. The focus is on coastal urban areas and low lying deltas in South-East Asia and Vietnam, as one of the most threatened areas in the world. About 3 mm per year reflects the growing consensus on the average SLR worldwide. The trend speeds up during recent decades. The figures are subject to local, temporal and methodological variation. In Vietnam the average values of 3.3 mm per year during the 1993-2014 period are above the worldwide average. Although a basic conceptual understanding exists that the increasing global frequency of the strongest tropical cyclones is related with the increasing temperature and SLR, this relationship is insufficiently understood. Moreover the precise, complex environmental, economic, social, and health impacts are currently unclear. SLR, storms and changing precipitation patterns increase flood risks, in particular in urban areas. Part of the current scientific debate is on how urban agglomeration can be made more resilient to flood risks. Where originally mainly technical interventions dominated this discussion, it becomes increasingly clear that proactive special planning, flood defense, flood risk mitigation, flood preparation, and flood recovery are important, but costly instruments. Next to the main focus on SLR and its effects on resilience, the paper reviews main SLR associated impacts: Floods and inundation, salinization, shoreline change, and effects on mangroves and wetlands. The hazards of SLR related floods increase fastest in urban areas. This is related with both the increasing surface major cities are expected to occupy during the decades to come and the increasing coastal population. In particular Asia and its meg-acities in the southern part of the continent are increasingly at risk. The discussion points to complexity, interdisciplinarity, and the related uncertainty, as core characteristics. An integrated combination of mitigation, adaptation and resilience measures is currently considered as the most indicated way to resist SLR today and in the near future. © 2018, Publishing House of Natural Science and Technology, VAST. All rights reserved.</t>
  </si>
  <si>
    <t>2-s2.0-85138626514"</t>
  </si>
  <si>
    <t>Bulletin of the Atomic Scientists</t>
  </si>
  <si>
    <t>10.1080/00963402.2018.1461951</t>
  </si>
  <si>
    <t>https://www.scopus.com/inward/record.uri?eid=2-s2.0-85046270240&amp;doi=10.1080%2f00963402.2018.1461951&amp;partnerID=40&amp;md5=8e6defadb0efde86408127a97f87b886</t>
  </si>
  <si>
    <t>If anthropogenic greenhouse gas emissions are not drastically curtailed within the next two to three decades, sea-level rise will displace tens of millions of people worldwide–and potentially many more–in the latter decades of the current century and the early decades of the next. Displacements are already taking place in small communities situated in erosion-prone, low-lying coastal locations. The scale and geographical distribution of displacements will expand as atoll states and densely populated coastal deltas and coastal plains experience growing damage from tropical cyclones, storm surges, and king tides. Many coastal settlements around the world are experiencing rapid population growth, which further increases the number of people at risk. Governments will need to invest heavily in protective infrastructure for high-population-density settlements and to develop strategies for organized relocations of people from high-risk locations that will need to be abandoned. Experience suggests that the costs will be beyond the means of many less-developed and middle-income countries, and that the socioeconomic well-being of those who must relocate will be heavily compromised. An anticipatory “migration with dignity” strategy proposed by the government of Kiribati may be one way to avert worst-case displacement scenarios. © 2018 Bulletin of the Atomic Scientists.</t>
  </si>
  <si>
    <t>2-s2.0-85046270240"</t>
  </si>
  <si>
    <t>10.1111/1752-1688.12626</t>
  </si>
  <si>
    <t>https://www.scopus.com/inward/record.uri?eid=2-s2.0-85042081956&amp;doi=10.1111%2f1752-1688.12626&amp;partnerID=40&amp;md5=164ab4a7714a3ffd29f921a55667cdc3</t>
  </si>
  <si>
    <t>The objective of this study was to determine the accuracy of five different digital image processing techniques to map flood inundation extent with Landsat 8–Operational Land Imager satellite imagery. The May 2016 flooding event in the Hempstead region of the Brazos River, Texas is used as a case study for this first comprehensive comparison of classification techniques of its kind. Five flood water classification techniques (i.e., supervised classification, unsupervised classification, delta-cue change detection, Normalized Difference Water Index [NDWI], modified NDWI [MNDWI]) were implemented to characterize flooded regions. To identify flood water obscured by cloud cover, a digital elevation model (DEM)–based approach was employed. Classified floods were compared using an Advanced Fitness Index to a “reference flood map” created based on manual digitization, as well as other data sources, using the same satellite image. Supervised classification yielded the highest accuracy of 86.4%, while unsupervised, MNDWI, and NDWI closely followed at 79.6%, 77.3%, and 77.1%, respectively. Delta-cue change detection yielded the lowest accuracy with 70.1%. Thus, supervised classification is recommended for flood water classification and inundation map generation under these settings. The DEM-based approach used to identify cloud-obscured flood water pixels was found reliable and easy to apply. It is therefore recommended for regions with relatively flat topography. © 2018 American Water Resources Association</t>
  </si>
  <si>
    <t>2-s2.0-85042081956"</t>
  </si>
  <si>
    <t>10.1016/j.jag.2018.02.009</t>
  </si>
  <si>
    <t>https://www.scopus.com/inward/record.uri?eid=2-s2.0-85046720695&amp;doi=10.1016%2fj.jag.2018.02.009&amp;partnerID=40&amp;md5=ef7b60661585a79a1f1d53b14afbc2e0</t>
  </si>
  <si>
    <t>Shoreline change has been an increasing concern for low-lying and vulnerable coastal zones worldwide, especially in estuarine delta regions, which generally have significant economic development, large human settlements and infrastructures. Thus, long time-series shoreline change data are useful for understanding how shorelines respond to natural and anthropogenic activities, as well as for providing greater insights into coastal protection and sustainable development in the future. For the first time, this study analyzes 55 years of spatiotemporal shoreline changes in Shanghai, China, by integrating the historical Declassified Intelligence Satellite Photography (DISP) and Landsat time series data at five-year intervals from 1960 to 2015. Twelve shorelines were interpreted from DISP and Landsat images. The spatiotemporal changes in the shorelines were explored at five-year intervals within the study period for the Shanghai mainland and islands. The results indicate that shorelines in Shanghai accreted significantly over the last 55 years, but different accretion patterns were observed in Chongming Dongtan. The rate of shoreline change varied in different areas, and the most noticeable expansions were Chongming Beitan, Chongming Dongtan, Hengsha Dongtan, and Nanhuizui. The length of the entire shoreline increased by 25.7% from 472.6 km in 1960 to 594.2 km in 2015. Due to the shoreline changes, the Shanghai area expanded by 1,192.5 km2 by 2015, which was an increase of 19.9% relative to its 1960 area. The Digital Shoreline Analysis System (DSAS) was used to compute rate-of-change statistics. Between 1960 and 2015, 10.6% of the total transects exceeded 3 km of Net Shoreline Movement (NSM), with a maximum value of approximately 20 km at eastern Hengsha Island. The average Weighted Linear Regression Rate (WLR) of the Shanghai shoreline was 52.2 m/yr from 1960 to 2015</t>
  </si>
  <si>
    <t>10.1007/s00382-017-3911-7</t>
  </si>
  <si>
    <t>https://www.scopus.com/inward/record.uri?eid=2-s2.0-85029591872&amp;doi=10.1007%2fs00382-017-3911-7&amp;partnerID=40&amp;md5=52adbf58d7a462b106c76808dd286118</t>
  </si>
  <si>
    <t>Changes in the regional hydrodynamics of the region of the South Atlantic near the east coast of Brazil were evaluated from the beginning to the end of the century. The analysis was based on the anomalies from two downscaling experiments using the HadGEM2-ES outputs for the historical and RCP4.5 runs from the Coupled Model Inter-comparison Project phase 5. The anomalies between the experiments were collected in a system of two nested grids, with 1 / 3 ∘ and 1 / 12 ∘ horizontal resolutions. A northward displacement of the Brazil Current (BC), a southward BC transport intensification, and a 1.44 ∘C increase of the mean values of sea surface temperatures were observed. The sea level rise (SLR) was projected up until 2100 across the study area, and the spatial variations were shown to have an average on SLR rate of 7.30 mm year- 1 for those regions close to the coast. These results highlight the importance of studying climate change and applying methods to enable the evaluation of its effects on coastal zones, especially for regions with few existing studies, such as the Brazilian continental shelf area. © 2017, Springer-Verlag GmbH Germany.</t>
  </si>
  <si>
    <t>2-s2.0-85029591872"</t>
  </si>
  <si>
    <t>10.1080/17565529.2017.1301865</t>
  </si>
  <si>
    <t>https://www.scopus.com/inward/record.uri?eid=2-s2.0-85015903118&amp;doi=10.1080%2f17565529.2017.1301865&amp;partnerID=40&amp;md5=4622ff45a6519755fceb651b989d58aa</t>
  </si>
  <si>
    <t>The link between household energy conservation and climate change is clearly identifiable, although energy consumers may not necessarily recognize the connection. Conservation of household energy has been conceptualized as a consequence of various reasons including pro-environmental behaviour, financial or habitual, and as a response to first-hand experience of climate hazards. While previous research has overly focused on the relationship between pro-environment and energy conservation at the household level, only few studies have examined the relationship between past experience of climate hazards such as droughts, storms and floods and household energy conservation, in the context of developing countries. Using complementary log-log regression analysis, this study aims to examine the association between first-hand experience of extreme climate events and household energy conservation behaviour among coastal residents in Cambodia. The results suggest that first-hand experience of climate hazards has positive association with reduced energy consumption by households in coastal communities in Cambodia. Furthermore, awareness of climate change influenced household energy conservation. Individuals who noticed changes in ambient temperature changes as well as changes in rain fall season over the past five years were more likely to reduce household energy consumption. Likewise, those who indicated that climate change is occurring rapidly were more likely to reduce energy consumption. On the whole, women and rural residents were less likely to report household energy reduction. While individual actions are necessary and constitute the significant first step in reducing energy consumption, policies aimed at shifting public actions towards sustainable energy use must reinforce beyond household level to ensure energy efficiency. © 2017, © 2017 Informa UK Limited, trading as Taylor &amp; Francis Group.</t>
  </si>
  <si>
    <t>2-s2.0-85015903118"</t>
  </si>
  <si>
    <t>10.1007/s11852-018-0605-1</t>
  </si>
  <si>
    <t>https://www.scopus.com/inward/record.uri?eid=2-s2.0-85043686593&amp;doi=10.1007%2fs11852-018-0605-1&amp;partnerID=40&amp;md5=e8787d5c6cdbe85939441bcbb92751ae</t>
  </si>
  <si>
    <t>In estuaries, land-surface and tidal elevation conspire to influence the amount of salt-water inundation in a specific location, ultimately affecting the distribution of estuary vegetation. Plants vary in their tolerances to salinity and inundation. Understanding even small changes in land-surface elevation at a site scale provides relevant information to managers seeking to design effective long-term restoration projects. Restoration of estuary habitats has been identified as a tool to mediate some anticipated effects of climate change, including flooding from sea-level rise, precipitation regimes, and storminess. Further, habitat restoration that is effective in the face of climate uncertainty is critical to the sustainable production of seafood and maintenance of ecosystem functions. We offer a simple method that links tidal elevations to upslope topography, allowing managers to determine where tidal inundation of upslope areas may occur. This method does not require complex modeling, rather we combine existing high-accuracy tide-gage information with LiDAR imagery. However, we found that if LiDAR is not flown at low tide, or at consistent tidal heights, it poses significant challenges in the interpretation of tidal elevations. Where LiDAR is consistently collected at low tide, this method of linking the tidal datum to upslope topography is not data-intensive, and does not require long-term data collection. Along with locally specific information, the types of map products that can be developed using this method should identify places that may be potentially vulnerable to salt-water inundation, along with places that may be effective migration corridors for marshes and other habitats. © 2018, This is a U.S. government work and its text is not subject to copyright protection in the United States</t>
  </si>
  <si>
    <t>10.1108/IJCCSM-07-2017-0149</t>
  </si>
  <si>
    <t>https://www.scopus.com/inward/record.uri?eid=2-s2.0-85043482402&amp;doi=10.1108%2fIJCCSM-07-2017-0149&amp;partnerID=40&amp;md5=f9a6f429e0ae493800e8a2268a450f33</t>
  </si>
  <si>
    <t>Purpose: This study aims to show a case study of ecosystem-based adaptation (EbA) measures to increase coastal system’s resilience to extreme weather events and sea-level rise (SLR) implemented at Kiyú (Uruguayan coast of the Rio de la Plata river estuary). Design/methodology/approach: A participatory process involving the community and institutional stakeholders was carried out to select and prioritise adaptation measures to reduce the erosion of sandy beaches, dunes and bluffs due to extreme wind storm surge and rainfall, SLR and mismanagement practices. The recovery of coastal ecosystems was implemented through soft measures (green infrastructure) such as revegetation with native species, dune regeneration, sustainable drainage systems and the reduction of use pressures. Findings: Main achievements of this case study include capacity building of municipal staff and stakeholders, knowledge exchanges with national-level decision makers and scientists and the incorporation of EbA approaches by subnational-level coastal governments. To consolidate EbA, the local government introduced innovations in the coastal management institutional structure. Originality/value: The outcomes of the article include, besides the increase in the resilience of social-ecological systems, the strengthening of socio-institutional behaviour, structure and sustainability. This experience provides insights for developing a strategy for both Integrated Coastal Management and climate adaptation at the national scale. © 2018, Inti Carro, Leonardo Seijo, Gustavo J. Nagy, Ximena Lagos and Ofelia Gutierrez.</t>
  </si>
  <si>
    <t>2-s2.0-85043482402"</t>
  </si>
  <si>
    <t>10.1007/s13157-017-0985-2</t>
  </si>
  <si>
    <t>https://www.scopus.com/inward/record.uri?eid=2-s2.0-85036511601&amp;doi=10.1007%2fs13157-017-0985-2&amp;partnerID=40&amp;md5=9d7be4bd878c33a667f694014821d505</t>
  </si>
  <si>
    <t>Wetland area has decreased in most parts of the world and remains threatened by human pressures. However, wetland loss is difficult to accurately detect, delineate and quantify. While wetland distribution is influenced mainly by landform, LiDAR data provide accurate digital elevation models that can be used to delineate wetlands. Our objective was to map wetland loss at a fine-scale using LiDAR data and historical aerial photographs based on a functional typology that identifies potential, existing and efficient wetlands. The study focused on a 132 km2 site with valley bottom wetlands located in western France. Boundaries of potential wetlands were extracted from a LiDAR-derived Digital Terrain Model that was standardized according to channel network elevation. We identified existing wetlands using interpretation of aerial photographs acquired in 1952, 1978 and 2012. We used multiple correspondence analysis to identify different types of wetland loss. Results show that potential wetlands were successfully delineated at 1:5000 (88–90% overall accuracy) and that 14% of existing wetland area was lost. This highlights the importance of identifying “negotiation areas” where wetland restoration is a priority. The results also reveal two main types of wetland loss based on area, geomorphic context, land cover and period of loss. © 2017, Society of Wetland Scientists.</t>
  </si>
  <si>
    <t>2-s2.0-85036511601"</t>
  </si>
  <si>
    <t>10.1080/02626667.2018.1464166</t>
  </si>
  <si>
    <t>https://www.scopus.com/inward/record.uri?eid=2-s2.0-85047951212&amp;doi=10.1080%2f02626667.2018.1464166&amp;partnerID=40&amp;md5=d6ffe29777e763437bb9b7d10d71d3d7</t>
  </si>
  <si>
    <t>The main objective of this study was to quantify the error associated with input data, including various resolutions of elevation datasets and Manning’s roughness for travel time computation and floodplain mapping. This was accomplished on the test bed, the Grand River (Ohio, USA) using the HEC-RAS model. LiDAR data integrated with survey data provided conservative predictions, whereas coarser elevation datasets provided a positive difference in the travel time (11.03–15.01%) and inundation area (32.56–44.52%). The minimum differences in travel time and inundation area were 0.50–4.33% and 3.55–7.16%, respectively, when the result from LiDAR integrated with survey data was compared with a 10-m DEM integrated with survey data. The results suggest that a 10-m DEM in the channel and LiDAR data in the floodplain combined with survey data would be appropriate for a flood warning system. Additionally, Manning’s roughness of the channel section was found to be more sensitive than that of the floodplain. The decrease in inundation area was highest (8.97%) for the lower value of Manning’s roughness. © 2018 IAHS.</t>
  </si>
  <si>
    <t>2-s2.0-85047951212"</t>
  </si>
  <si>
    <t>10.5194/nhess-18-1493-2018</t>
  </si>
  <si>
    <t>https://www.scopus.com/inward/record.uri?eid=2-s2.0-85047875163&amp;doi=10.5194%2fnhess-18-1493-2018&amp;partnerID=40&amp;md5=580d1f683f98efd2d9dc8adf342d1c82</t>
  </si>
  <si>
    <t>Flood mapping and estimation of the maximum water depth are essential elements for the first damage evaluation, civil protection intervention planning and detection of areas where remediation is needed. &lt;br&gt;&lt;br&gt; In this work, we present and discuss a methodology for mapping and quantifying flood severity over floodplains. The proposed methodology considers a multiscale and multi-sensor approach using free or low-cost data and sensors. We applied this method to the November 2016 Piedmont (northwestern Italy) flood. We first mapped the flooded areas at the basin scale using free satellite data from low- to medium-high-resolution from both the SAR (Sentinel-1, COSMO-Skymed) and multispectral sensors (MODIS, Sentinel-2). Using very- and ultra-high-resolution images from the low-cost aerial platform and remotely piloted aerial system, we refined the flooded zone and detected the most damaged sector. The presented method considers both urbanised and non-urbanised areas. Nadiral images have several limitations, in particular in urbanised areas, where the use of terrestrial images solved this limitation. Very- and ultra-high-resolution images were processed with structure from motion (SfM) for the realisation of 3-D models. These data, combined with an available digital terrain model, allowed us to obtain maps of the flooded area, maximum high water area and damaged infrastructures. © Author(s) 2018.</t>
  </si>
  <si>
    <t>2-s2.0-85047875163"</t>
  </si>
  <si>
    <t>10.1080/15715124.2018.1433185</t>
  </si>
  <si>
    <t>https://www.scopus.com/inward/record.uri?eid=2-s2.0-85041534322&amp;doi=10.1080%2f15715124.2018.1433185&amp;partnerID=40&amp;md5=81668c3bf495f7d3ba0486249008bd47</t>
  </si>
  <si>
    <t>In the Netherlands, the central government, water authorities, provinces and municipalities are working together on a new Delta Program on Flood Risk Management and Fresh Water Supply (DP). Its primary goal is to protect the Netherlands against floods and ensure the availability of fresh water, now and for future generations. The DP has developed a new, adaptive management concept: the Adaptive Delta Management (ADM) approach. ADM is defined as ‘a smart and intelligent way of taking account of uncertainties and dependencies in decision-making on Delta Management with a view to reducing the risk of overspending or underinvestment’. Important features of DP are: (i) involving multiple stakeholders in a joint decision-making process to enhance ownership, legitimacy and feasibility</t>
  </si>
  <si>
    <t>10.1080/15715124.2017.1411921</t>
  </si>
  <si>
    <t>https://www.scopus.com/inward/record.uri?eid=2-s2.0-85038101773&amp;doi=10.1080%2f15715124.2017.1411921&amp;partnerID=40&amp;md5=d1369e6c2c92bbe4fc60158b8dd1eef9</t>
  </si>
  <si>
    <t>Large lowland rivers and deltas with high concentrations of human activities are vulnerable to different forms of global environmental change and depend upon effective flood management. This study utilizes the approaches and experiences of the lower Mississippi (Louisiana) and lower Rhine Rivers (the Netherlands) to examine the development of integrated flood management (IFM). The development of an ‘integrated’ approach to flood management informed by climate change science and oriented to environmental restoration is strongly present in Europe, and the Netherlands in particular. The epic 2005 New Orleans flood disaster associated with Hurricanes Katrina–Rita represented a paradigm change in flood management with international implications, and in particular the management of embanked floodplains. In contrast to the ‘incremental’ evolutionary model of flood management in the Netherlands, the US and lower Mississippi are characterized by large ‘pendulum’ style changes in flood management, alternating from federal- to local-scale dominance with the environmental change being a lower priority. An important distinction between the lower Rhine and Mississippi is the governmental structure of management, and particularly the role of local-scale entities. US flood management is more top-down than Dutch flood management, with Dutch water boards having more input into water management than US levee boards. The Dutch approach, by comparison, provides elasticity to develop a true ‘integrated’ approach to flood management adaptable to global environmental change and suited for environmental management and restoration. The 2005 New Orleans and Gulf Coast flood disaster initiated a new era of US flood management characterized by the return of a robust federal presence, and stimulated an international exchange of ideas regarding IFM that embraces climate change science and environmental restoration. © 2017, © 2017 The Author(s). Published by Informa UK Limited, trading as Taylor &amp; Francis Group.</t>
  </si>
  <si>
    <t>2-s2.0-85038101773"</t>
  </si>
  <si>
    <t>10.1016/j.geomorph.2018.04.001</t>
  </si>
  <si>
    <t>https://www.scopus.com/inward/record.uri?eid=2-s2.0-85046168142&amp;doi=10.1016%2fj.geomorph.2018.04.001&amp;partnerID=40&amp;md5=c5bea966eb6c26f15bb81f66d14091ad</t>
  </si>
  <si>
    <t>Barrier systems around the world are experiencing accelerated sea-level rise, reduced sediment supply, and frequent hurricane impacts. However, detailed quantitative field-based studies concerning the response to these external forcing mechanisms are scarce, particularly on the scale of entire islands. The Mississippi – Alabama barrier island chain, located along the U.S. Gulf of Mexico coastline has lost land on the order of hectares per year since records began in the 1840s, putting mainland coastal communities and important ecosystems at risk. Here we present an analysis of Light Detection and Ranging (LiDAR) digital elevation models, revealing erosional/depositional patterns and geomorphologic changes around the most vulnerable of these islands, Ship Island. Four LiDAR datasets (2004, 2007, 2010, and 2012), capturing the complete topography of the island and some bathymetry in the inlet and surrounding shallows to depths of up to 8 m, are used to investigate subaerial and subaqueous sediment volume changes between these years. The impact of Hurricane Katrina, which produced the highest storm surge ever recorded in the United States, is captured in the 2004–2007 dataset. During this time, sediment comparable to 1.5 times the 2004 subaerial island volume was lost from the area included in the topographic/bathymetric dataset. Only 1/5 of this volume was recovered to this area between 2007 and 2010. The island returned to a state of sediment loss between 2010 and 2012, albeit within the error bounds, while the areal extent of the islands continued to increase. This study examines the impact severe storm events can have on vulnerable barrier islands. It highlights the importance of utilizing 3D datasets that include both topographic and bathymetric data for morphodynamic analyses of barrier island systems. © 2018 Elsevier B.V.</t>
  </si>
  <si>
    <t>2-s2.0-85046168142"</t>
  </si>
  <si>
    <t>10.1007/s10668-017-9960-6</t>
  </si>
  <si>
    <t>https://www.scopus.com/inward/record.uri?eid=2-s2.0-85018739131&amp;doi=10.1007%2fs10668-017-9960-6&amp;partnerID=40&amp;md5=38fa0cde5462ee9c16ff08113a1d8f2d</t>
  </si>
  <si>
    <t>Climate change can cause significant (un)foreseen changes in the fisheries sector. However, adaptation has the potential to moderate some of the impacts. This paper explores the challenges faced by both freshwater and marine fisheries sector in addressing climate change and teases out intervention measures from 21 African countries. The paper uses document analysis and draws selected analysis parameters from the grounded theory. The data are obtained from the United Nations Framework Convention on Climate Change National Communication reports. Among the key adaptation measures emerging from the analysis are: fish breeding, integrated coastal management, putting in place appropriate policies, water and flood management as well as research and development. The study concludes that adaptation in the African fisheries sector should be prioritised, an aspect that could also apply elsewhere in the world to enhance food security. © 2017, Springer Science+Business Media Dordrecht.</t>
  </si>
  <si>
    <t>2-s2.0-85018739131"</t>
  </si>
  <si>
    <t>10.1007/s40710-018-0295-6</t>
  </si>
  <si>
    <t>https://www.scopus.com/inward/record.uri?eid=2-s2.0-85047638735&amp;doi=10.1007%2fs40710-018-0295-6&amp;partnerID=40&amp;md5=a4d6416849efd3f01a0a79138a8d27c1</t>
  </si>
  <si>
    <t>Littoral plains are exposed to natural phenomena, such as sea-waves, tides, rainfalls and sea-level rise, but also to human pressure, determining a growing exposure of the natural and man-made environments to hazard conditions. Through this work, a new kind of multiple approach is proposed to evaluate the coastal risk due to erosion processes, which was first tested on the Calabria Tyrrhenian coast. The resulting data show that 35% of the coastal stretches are classified into very high risk category, 30% into high risk, 28% into medium risk and only 7% into low risk. The coastal areas, characterized by high and very high levels of risk, are formed by sandy beaches and are distributed mainly at the northern side of the regional coastline while the southern part, distinguished mainly by rocky outlines, shows lower risk levels. The comparison between the calculated risk values and the real conditions of the damage state shows a good correspondence, testifying the pertinence of the new methodology. The latter is based on indices with data easily available, making the procedure fast and simple to use and applicable mainly in large scale surveys. The achieved good results suggest that the new methodology used to evaluate the coastal risk condition may be also extended to other Mediterranean beaches. © 2018, Springer International Publishing AG, part of Springer Nature.</t>
  </si>
  <si>
    <t>2-s2.0-85047638735"</t>
  </si>
  <si>
    <t>10.1016/j.jag.2018.01.016</t>
  </si>
  <si>
    <t>https://www.scopus.com/inward/record.uri?eid=2-s2.0-85049926224&amp;doi=10.1016%2fj.jag.2018.01.016&amp;partnerID=40&amp;md5=eae72c687d88fba8e8dd81911401e844</t>
  </si>
  <si>
    <t>Storm surge is one of the most serious ocean disasters in the world. Risk assessment of storm surge disaster for coastal areas has important implications for planning economic development and reducing disaster losses. Based on risk assessment theory, this paper uses coastal hydrological observations, a numerical storm surge model and multi-source remote sensing data, proposes methods for valuing hazard and vulnerability for storm surge and builds a storm surge risk assessment model. Storm surges in different recurrence periods are simulated in numerical models and the flooding areas and depth are calculated, which are used for assessing the hazard of storm surge; remote sensing data and GIS technology are used for extraction of coastal key objects and classification of coastal land use are identified, which is used for vulnerability assessment of storm surge disaster. The storm surge risk assessment model is applied for a typical coastal city, and the result shows the reliability and validity of the risk assessment model. The building and application of storm surge risk assessment model provides some basis reference for the city development plan and strengthens disaster prevention and mitigation.</t>
  </si>
  <si>
    <t>10.1029/2017JF004401</t>
  </si>
  <si>
    <t>https://www.scopus.com/inward/record.uri?eid=2-s2.0-85050497739&amp;doi=10.1029%2f2017JF004401&amp;partnerID=40&amp;md5=3275348d23266c4d7408e2aa394c678e</t>
  </si>
  <si>
    <t>Sea cliff retreat rates are expected to accelerate with rising sea levels during the 21st century. Here we develop an approach for a multimodel ensemble that efficiently projects time-averaged sea cliff retreat over multidecadal time scales and large (&gt;50 km) spatial scales. The ensemble consists of five simple 1-D models adapted from the literature that relate sea cliff retreat to wave impacts, sea level rise (SLR), historical cliff behavior, and cross-shore profile geometry. Ensemble predictions are based on Monte Carlo simulations of each individual model, which account for the uncertainty of model parameters. The consensus of the individual models also weights uncertainty, such that uncertainty is greater when predictions from different models do not agree. A calibrated, but unvalidated, ensemble was applied to the 475-km-long coastline of Southern California (USA), with four SLR scenarios of 0.5, 0.93, 1.5, and 2 m by 2100. Results suggest that future retreat rates could increase relative to mean historical rates by more than twofold for the higher SLR scenarios, causing an average total land loss of 19–41 m by 2100. However, model uncertainty ranges from ±5 to 15 m, reflecting the inherent difficulties of projecting cliff retreat over multiple decades. To enhance ensemble performance, future work could include weighting each model by its skill in matching observations in different morphological settings. Published 2018. This article is a US Government work and is in the public domain in the USA.</t>
  </si>
  <si>
    <t>2-s2.0-85050497739"</t>
  </si>
  <si>
    <t>10.1007/s11430-017-9200-4</t>
  </si>
  <si>
    <t>https://www.scopus.com/inward/record.uri?eid=2-s2.0-85047168811&amp;doi=10.1007%2fs11430-017-9200-4&amp;partnerID=40&amp;md5=d8c90906f4b4b098957dfde794cf8eed</t>
  </si>
  <si>
    <t>The tidal limit is the key interface indicating whether water levels will be affected by tidal waves, which is of great significance to navigation safety and regional flood control. Due to limitations in research methods, recent changes in the Yangtze River tidal limit, caused by sea level rise and large-scale engineering projects, urgently need to be studied. In this study, spectrum analysis was undertaken on measured water level data from downstream Yangtze River hydrological stations from 2007 to 2016. The bounds of the tidal limit were identified through comparisons between the spectra and red noise curves, and the fluctuation range and characteristics were summarized. The results showed that: (1) During the extremely dry period, when the flow rate at Jiujiang station was about 8440 m3 s−1, the tidal limit was near Jiujiang; whereas during the flood season, when the flow rate at Jiujiang station was about 66700 m3 s−1, the tidal limit was between Zongyang Sluice and Chikou station. (2) From the upper to lower reach, the effect of the Jiujiang flow rate on the tidal limit weakens, while the effect of the Nanjing tidal range increases. The tidal limit fluctuates under similar flow rates and tidal ranges, and the fluctuation range increases with increasing flow rate and decreasing tidal range. (3) With the continued influence of rising sea levels and construction in river basin estuaries, the tidal limit may move further upstream.</t>
  </si>
  <si>
    <t>10.1007/s12524-018-0775-1</t>
  </si>
  <si>
    <t>https://www.scopus.com/inward/record.uri?eid=2-s2.0-85047392075&amp;doi=10.1007%2fs12524-018-0775-1&amp;partnerID=40&amp;md5=5ebaed3596f228c0aab8428890e44247</t>
  </si>
  <si>
    <t>Comparative examination of Survey of India Topographical Map sheets of 1972–1973 survey and satellite data of 1999, 2006, 2007, 2008 and 2017 period has revealed that the niche point of Ganga river has shifted about 2.9 km upstream (westward) from immediate west of Faizullahpur (in 1973) to the south of Rangpura (by 2017). The sectoral migration of the Ganga channel in Jahangirwa–Phaphamau–Faizullahpur–Jhusi sector has been characterised by oscillations and conspicuous westerly shift in Phaphamau–Faizullahpur segment. The channel oscillation has been very pronounced between 2008 and 2017. The relict channels in the immediate west (upstream) of Phaphamau bridge are evidences of the new pathway carved out by Ganga River during the recent years and may again serve as easy pathways for flood waters during heavy precipitation in the catchment area of the river. Digital Elevation Model of the study area highlights the conspicuous oscillations (of Ganga River) and consequent successive migration within the river valley. The oscillatory migration of the Ganga channel makes its future path very unpredictable and this is turn poses potential risk not only to both the northern and southern bank abutments (of the Phaphamau bridge) but also to the northern and eastern parts of the holy city of Allahabad. In view of this additional protection work is required in the upstream of Phaphamau bridge and also in Phaphamau–Jhusi stretch in the downstream. © 2018, Indian Society of Remote Sensing.</t>
  </si>
  <si>
    <t>2-s2.0-85047392075"</t>
  </si>
  <si>
    <t>10.1016/j.accre.2018.05.005</t>
  </si>
  <si>
    <t>https://www.scopus.com/inward/record.uri?eid=2-s2.0-85049043344&amp;doi=10.1016%2fj.accre.2018.05.005&amp;partnerID=40&amp;md5=bd47b03820f33a352d5c3cc2731eed55</t>
  </si>
  <si>
    <t>The Yangtze River Delta characterized by a dense population and a rapidly developing economy is highly vulnerable to sea-level rise. The data from the China Oceanic Information Network and the Zhejiang Provincial Hydrology Bureau are used to analyze sea-level rise. The rate of sea-level rise in the delta was 2.4 mm per year in 1981–2015. The annual sea-level at Daishan, Dinghai, and Dongtou stations in the south wing of the delta were 4.3, 3.1, and 5 mm per year respectively over the same period. The 10-year averaged results at each station also indicate a perceptible trend of sea-level rise. Sea-level rise is contributed to a larger proportion of intensified erosion, ranging from 3% to 14% in the delta. Meanwhile, the 100-year return period of tidal level has decreased to the 50-year rank at Dongtou and Dinghai stations. Moreover, the arrival time of tidal bores at Yanguan is 4 min earlier under sea-level rise of 0.145 m than that of 0 m. The height of tidal bores and the velocities at the surface and bottom layers have an increase under sea-level rise. The maximum increases of high and low tide levels are 0.122 m and 0.016 m while the maximum increases of the velocities at the surface and bottom layers are 0.07 m s−1 and 0.05 m s−1, respectively. Sea-level rise will bring about the damage of seawall, thus the design standard of constructing seawalls should adopt a higher level to minimize the associated risks in the Yangtze River Delta and its south wing. © 2018 National Climate Center (China Meteorological Administration)</t>
  </si>
  <si>
    <t>2-s2.0-85049043344"</t>
  </si>
  <si>
    <t>10.1016/j.scitotenv.2018.02.111</t>
  </si>
  <si>
    <t>https://www.scopus.com/inward/record.uri?eid=2-s2.0-85041541301&amp;doi=10.1016%2fj.scitotenv.2018.02.111&amp;partnerID=40&amp;md5=0e1caacd95bdf8d1a111abb1b645d3dd</t>
  </si>
  <si>
    <t>South Florida's water infrastructure and ecosystems are under pressure from socio-economic growth. Understanding the region's water resources management tradeoffs is essential for developing effective adaptation strategies to cope with emerging challenges such as climate change and sea level rise, which are expected to affect many other regions in the future. We describe a network-based hydro-economic optimization model of the system to investigate the tradeoffs, incorporating the economic value of water in urban and agricultural sectors and economic damages due to urban flooding while also accounting for water supply to sustain fragile ecosystems such as the Everglades and coastal estuaries. Results illustrate that maintaining high reliability of urban water supply under scenarios of reduced water availability (i.e., drier climate conditions) may trigger economic losses to the Everglades Agricultural Area, which will likely become more vulnerable as competition over scarce water resources increases. More pronounced economic losses are expected in urban and agricultural areas when flows to the Everglades are prioritized. Flow targets for coastal estuaries are occasionally exceeded under optimal flow allocations to various demand nodes, indicating that additional storage may be needed to maintain the environmental integrity of the estuarine ecosystems. Wetter climate conditions, on the other hand, generally lead to increased flows throughout the system with positive effects on meeting water demands, although flood mitigation efforts will necessitate additional releases to the estuaries. Strengths and limitations of the hydro-economic model are discussed. © 2018 Elsevier B.V.</t>
  </si>
  <si>
    <t>2-s2.0-85041541301"</t>
  </si>
  <si>
    <t>10.5194/nhess-18-1247-2018</t>
  </si>
  <si>
    <t>https://www.scopus.com/inward/record.uri?eid=2-s2.0-85046136540&amp;doi=10.5194%2fnhess-18-1247-2018&amp;partnerID=40&amp;md5=c20129f830173f9ed3cc560530b6821d</t>
  </si>
  <si>
    <t>Reefs and sand dunes are critical morphological features providing natural coastal protection. Reefs dissipate around 90% of the incident wave energy through wave breaking, whereas sand dunes provide the final natural barrier against coastal flooding. The storm impact on coastal areas with these features depends on the relative elevation of the extreme water levels with respect to the sand dune morphology. However, despite the importance of barrier reefs and dunes in coastal protection, poor management practices have degraded these ecosystems, increasing their vulnerability to coastal flooding. The present study aims to theoretically investigate the role of the reef-dune system in coastal protection under current climatic conditions at Puerto Morelos, located in the Mexican Caribbean Sea, using a widely validated nonlinear non-hydrostatic numerical model (SWASH). Wave hindcast information, tidal level, and a measured beach profile of the reef-dune system in Puerto Morelos are employed to estimate extreme runup and the storm impact scale for current and theoretical scenarios. The numerical results show the importance of including the storm surge when predicting extreme water levels and also show that ecosystem degradation has important implications for coastal protection against storms with return periods of less than 10 years. The latter highlights the importance of conservation of the system as a mitigation measure to decrease coastal vulnerability and infrastructure losses in coastal areas in the short to medium term. Furthermore, the results are used to evaluate the applicability of runup parameterisations for beaches to reef environments. Numerical analysis of runup dynamics suggests that runup parameterisations for reef environments can be improved by including the fore reef slope. Therefore, future research to develop runup parameterisations incorporating reef geometry features (e.g. reef crest elevation, reef lagoon width, fore reef slope) is warranted. © 2018 Author(s).</t>
  </si>
  <si>
    <t>2-s2.0-85046136540"</t>
  </si>
  <si>
    <t>10.5194/hess-22-3777-2018</t>
  </si>
  <si>
    <t>https://www.scopus.com/inward/record.uri?eid=2-s2.0-85050181286&amp;doi=10.5194%2fhess-22-3777-2018&amp;partnerID=40&amp;md5=0d3f157f5d013384a8aede9f9484c85f</t>
  </si>
  <si>
    <t>In a warmer climate, it is expected that precipitation intensities will increase, and form a considerable risk of high-impact precipitation extremes. This study applies three methods to transform a historic extreme precipitation event in the Netherlands to a similar event in a future warmer climate, thus compiling a ""future weather"" scenario. The first method uses an observation-based non-linear relation between the hourly-observed summer precipitation and the antecedent dew-point temperature (the Pi-Td relation). The second method simulates the same event by using the convective-permitting numerical weather model (NWP) model HARMONIE, for both present-day and future warmer conditions. The third method is similar to the first method, but applies a simple linear delta transformation to the historic data by using indicators from The Royal Netherlands Meteorological Institute (KNMI)'14 climate scenarios. A comparison of the three methods shows comparable intensity changes, ranging from below the Clausius-Clapeyron (CC) scaling to a 3 times CC increase per degree of warming. In the NWP model, the position of the events is somewhat different</t>
  </si>
  <si>
    <t>10.1080/10106049.2016.1273399</t>
  </si>
  <si>
    <t>https://www.scopus.com/inward/record.uri?eid=2-s2.0-85045075533&amp;doi=10.1080%2f10106049.2016.1273399&amp;partnerID=40&amp;md5=a531e106d551375ea13c1027136770f9</t>
  </si>
  <si>
    <t>It is important to understand the Solimões River seasonal hydrological cycle and its dynamics to support systematic environmental monitoring efforts in the Amazon region. These are essential to the contingency response to possible accidents in the existing oil transportation network. This study seeks to map the environmental sensitivity to oil spills in the surroundings of Coari city, Amazonas State (AM). A computational method was employed representing the seasonal inundation phenomenon fluctuations, together with data from the Digital Elevation Model generated by the Shuttle Radar Topography Mission. These were matched with Coari fluviometric time series information and a Japanese Earth Resources Satellite-1 (JERS-1 SAR) geo-referenced mosaic of the Global Rain Forest Mapping Project. In this context, a mathematical morphology technique (watershed) integrated with all aforementioned data applying MatLab and ArcGIS computing resources generated results that enabled a better spatio-temporal understanding of the Amazon seasonal dynamics. Thus, the principal product of the research was the Coari fluvial oil spill sensitivity index map based on segmented inundation levels obtained with the proposed methodology. © 2017 Informa UK Limited, trading as Taylor &amp; Francis Group.</t>
  </si>
  <si>
    <t>2-s2.0-85045075533"</t>
  </si>
  <si>
    <t>10.5194/gmd-11-1641-2018</t>
  </si>
  <si>
    <t>https://www.scopus.com/inward/record.uri?eid=2-s2.0-85046153719&amp;doi=10.5194%2fgmd-11-1641-2018&amp;partnerID=40&amp;md5=669340e95aa20c8271c064ecc40ce1ab</t>
  </si>
  <si>
    <t>We propose the implementation of the Soil and Landscape Evolution Model (Salem) for the spatiotemporal investigation of soil parent material evolution following a lithologically differentiated approach. Relevant parts of the established Geomorphic/Orogenic Landscape Evolution Model (GOLEM) have been adapted for an operational Geographical Information System (GIS) tool within the open-source software framework System for Automated Geoscientific Analyses (SAGA), thus taking advantage of SAGA's capabilities for geomorphometric analyses. The model is driven by palaeoclimatic data (temperature, precipitation) representative of periglacial areas in northern Germany over the last 50 000 years. The initial conditions have been determined for a test site by a digital terrain model and a geological model. Weathering, erosion and transport functions are calibrated using extrinsic (climatic) and intrinsic (lithologic) parameter data. First results indicate that our differentiated Salem approach shows some evidence for the spatiotemporal prediction of important soil parental material properties (particularly its depth). Future research will focus on the validation of the results against field data, and the influence of discrete events (mass movements, floods) on soil parent material formation has to be evaluated. © 2018 Author(s).</t>
  </si>
  <si>
    <t>2-s2.0-85046153719"</t>
  </si>
  <si>
    <t>10.1016/j.geomorph.2018.02.025</t>
  </si>
  <si>
    <t>https://www.scopus.com/inward/record.uri?eid=2-s2.0-85043484003&amp;doi=10.1016%2fj.geomorph.2018.02.025&amp;partnerID=40&amp;md5=c2d3e3296206eb4b6b337621296e3016</t>
  </si>
  <si>
    <t>We use morphotectonic analysis to study the tectonic uplift history of the southeastern Ethiopian Plateau (SEEP). Based on studies conducted on the Northwestern Ethiopian Plateau, steady-state and pulsed tectonic uplift models were proposed to explain the growth of the plateau since ~30 Ma. We test these two models for the largely unknown SEEP. We present the first quantitative morphotectonic study of the SEEP. First, in order to infer the spatial distribution of the tectonic uplift rates, we extract geomorphic proxies including normalized steepness index ksn, hypsometric integral HI, and chi integral χ from the Advanced Spaceborne Thermal Emission and Reflection Radiometer (ASTER) digital elevation model (DEM). Second, we compare these rates with the thickness of flood basalt that we estimated from geological maps. Third, to constrain the timing of regional tectonic uplift, we develop a knickpoint celerity model. Fourth, we compare our results to those from the Northwestern Ethiopian Plateau to suggest a possible mechanism to explain regional tectonic uplift of the entire Ethiopian Plateau. We find an increase in tectonic uplift rates from the southeastern escarpments of the Afar Depression in the northeast to that of the Main Ethiopian Rift to the southwest. We identify three regional tectonic uplift events at ~11.7, ~6.5, and ~4.5 Ma recorded by the development of regionally distributed knickpoints. This is in good agreement with ages of tectonic uplift events reported from the Northwestern Ethiopian Plateau. © 2017 Elsevier B.V.</t>
  </si>
  <si>
    <t>2-s2.0-85043484003"</t>
  </si>
  <si>
    <t>10.3390/land7020056</t>
  </si>
  <si>
    <t>https://www.scopus.com/inward/record.uri?eid=2-s2.0-85047851235&amp;doi=10.3390%2fland7020056&amp;partnerID=40&amp;md5=33de4d1fb14b6964776564fa569d6067</t>
  </si>
  <si>
    <t>Today low-lying coastal areas around the world are threatened by climate change-related hazards. The identification of highly vulnerable coastal areas is of great importance for the development of coastal management plans. The purpose of this study is to assess the physical and social vulnerability of the Peloponnese (Greece) to coastal hazards. Two indices were estimated: The Coastal Vulnerability Index (CVI) and the Social Vulnerability Index (SVI). CVI allows six physical variablesto be related in a quantitative manner whilethe proposed SVI in this studycontains mainly demographic variables and was calculated for 73 coastal municipal communities. The results reveal that 17.2% of the shoreline (254.8 km) along the western and northwestern coast of the Peloponnese, as well as at the inner Messiniakos and Lakonikos Gulfs, is of high and very high physical vulnerability. High and very high social vulnerabilities characterize communities along the northwestern part of the study area, along the coasts of the Messinian and Cape Malea peninsulas, as well as at the western coast of Saronikos Gulf. © 2018 by the authors.</t>
  </si>
  <si>
    <t>2-s2.0-85047851235"</t>
  </si>
  <si>
    <t>10.1080/13658816.2018.1444165</t>
  </si>
  <si>
    <t>https://www.scopus.com/inward/record.uri?eid=2-s2.0-85043720914&amp;doi=10.1080%2f13658816.2018.1444165&amp;partnerID=40&amp;md5=1ec5930a7611604637e3a3e48de3ff64</t>
  </si>
  <si>
    <t>As sea level is projected to rise throughout the twenty-first century due to climate change, there is a need to ensure that sea level rise (SLR) models accurately and defensibly represent future flood inundation levels to allow for effective coastal zone management. Digital elevation models (DEMs) are integral to SLR modelling, but are subject to error, including in their vertical resolution. Error in DEMs leads to uncertainty in the output of SLR inundation models, which if not considered, may result in poor coastal management decisions. However, DEM error is not usually described in detail by DEM suppliers; commonly only the RMSE is reported. This research explores the impact of stated vertical error in delineating zones of inundation in two locations along the Devon, United Kingdom, coastline (Exe and Otter Estuaries). We explore the consequences of needing to make assumptions about the distribution of error in the absence of detailed error data using a 1 m, publically available composite DEM with a maximum RMSE of 0.15 m, typical of recent LiDAR-derived DEMs. We compare uncertainty using two methods (i) the NOAA inundation uncertainty mapping method which assumes a normal distribution of error and (ii) a hydrologically correct bathtub method where the DEM is uniformly perturbed between the upper and lower bounds of a 95% linear error in 500 Monte Carlo Simulations (HBM+MCS). The NOAA method produced a broader zone of uncertainty (an increase of 134.9% on the HBM+MCS method), which is particularly evident in the flatter topography of the upper estuaries. The HBM+MCS method generates a narrower band of uncertainty for these flatter areas, but very similar extents where shorelines are steeper. The differences in inundation extents produced by the methods relate to a number of underpinning assumptions, and particularly, how the stated RMSE is interpreted and used to represent error in a practical sense. Unlike the NOAA method, the HBM+MCS model is computationally intensive, depending on the areas under consideration and the number of iterations. We therefore used the HBM+ MCS method to derive a regression relationship between elevation and inundation probability for the Exe Estuary. We then apply this to the adjacent Otter Estuary and show that it can defensibly reproduce zones of inundation uncertainty, avoiding the computationally intensive step of the HBM+MCS. The equation-derived zone of uncertainty was 112.1% larger than the HBM+MCS method, compared to the NOAA method which produced an uncertain area 423.9% larger. Each approach has advantages and disadvantages and requires value judgements to be made. Their use underscores the need for transparency in assumptions and communications of outputs. We urge DEM publishers to move beyond provision of a generalised RMSE and provide more detailed estimates of spatial error and complete metadata, including locations of ground control points and associated land cover.</t>
  </si>
  <si>
    <t>10.1029/2017JD027866</t>
  </si>
  <si>
    <t>https://www.scopus.com/inward/record.uri?eid=2-s2.0-85050490579&amp;doi=10.1029%2f2017JD027866&amp;partnerID=40&amp;md5=cadeeea228e63830931f5229e8fe56d2</t>
  </si>
  <si>
    <t>The semiarid Salt and Verde River Basins in Arizona are susceptible to atmospheric river (AR)-related flooding. To understand the precipitation-related impacts of climate change on extreme ARs affecting Arizona, a pseudo-global warming method was used. High-resolution control and future simulations of five intense historical AR events that affected the Salt and Verde River Basins in Central Arizona were carried out using the Weather Research and Forecasting regional climate model. The pseudo-global warming approach for future simulations involved adding a temperature delta at different vertical levels to the historical initial and lateral boundary conditions of the input data while keeping constant relative humidity. The deltas were calculated using projected changes toward end of the 21st century from an ensemble of nine Global Climate Models for the Representative Concentration Pathway (RCP) 8.5. Future simulations showed an overall increase in vertically integrated transport of vapor and upward moisture flux at cloud base over the region for all events. The changes in precipitation at both domain and basin levels were highly spatially heterogeneous. Precipitation increased in all future simulations; but in general, this increase remained less than the increase in column-integrated water vapor. It was found that in most cases, cloud ice content decreased while cloud water content increased, indicating the increased role of warm-rain processes in producing precipitation in the future simulations. Freezing levels rose by more than 600 m, and this along with increased temperature and greater role of warm-rain processes led to a decrease of more than 80% in the amount of frozen precipitation during the events.</t>
  </si>
  <si>
    <t>https://www.scopus.com/inward/record.uri?eid=2-s2.0-85051602234&amp;partnerID=40&amp;md5=cf8df057aac4ff72bdeff20a5d5df641</t>
  </si>
  <si>
    <t>This study used an unmanned aerial vehicle (UAV) that was designed and produced to monitor rapidly occurring landslides in forest areas. It aimed to determine the location data for the study area using image sensors integrated into the UAV. The study area was determined as the landslide sites located in the Taşlıçiftlik campus of Gaziosmanpaşa University, Turkey. It was determined that landslide activities were on going in the determined study area and data was collected regarding the displacement of materials. Additionally, it was observed that data about landslides may be collected in a fast and sensitive way using UAVs, and this method is proposed as a new approach. Flights took place over a total of five different periods. In order to determine the direction and coordinate variables for the developed model, eight Ground Control Points (GCPs), whose coordinates were obtained using the GNSS method, were placed on the study area. In each period, approximately 190 photographs were investigated. The photos obtained were analyzed using the Pix4D software. At the end of each period, the Root Mean Square and Ground Sample Distance (GSD) values of the GCPs were calculated. Orthomosaic and digital surface models (DSM) were produced for the location and height model. The results showed that max RMS=±3.3 cm and max GSD=3.57 cm. When the first and fifth periods were compared, the highest spatial displacement value ΔS=111.0 cm, the highest subsidence value Δh=37.3 cm and the highest swelling value Δh=28.6 cm were measured. © 2018, Croatian Geodetic Society. All rights reserved.</t>
  </si>
  <si>
    <t>2-s2.0-85051602234"</t>
  </si>
  <si>
    <t>10.1007/s11852-017-0542-4</t>
  </si>
  <si>
    <t>https://www.scopus.com/inward/record.uri?eid=2-s2.0-85026842721&amp;doi=10.1007%2fs11852-017-0542-4&amp;partnerID=40&amp;md5=72a0bc3680c2a33e1b7d81c01c4d7922</t>
  </si>
  <si>
    <t>Markgrafenheide-Hütelmoor covers a total area of 1000 ha (about 490 ha are coastal moor) and a coastline of about 6 km. This touristy area belongs to the city of Rostock in Germany. As response to sea level rise and heavy coastal erosion, the small seaside resort Markgrafenheide received a comprehensive storm surge protection until 2006. Subsequently, the adjacent Hütelmoor was flooded with the aim to restore it as a brackish coastal moor. Coastal protection measures at the Baltic Sea coastline were abandoned to enable natural dynamics, a coastal realignment and salt water intrusions. The entire process until full implementation took 14 years and was associated with very problematic public participation and a strong local polarization. Based on a literature and media review, two surveys, and expert interviews we retrospectively document and analyse the planning process with focus on public information, perception and participation. The local population and holidaymakers did not perceive coastal changes and if, did not associate them with climate change. Interviewees remembered single storm surges, but felt save from it and sea level rise was not perceived as a threat. 89% said that they feel insufficiently informed about the combined coastal protection wetland restoration measure, but did not use the offered information possibilities. 81% had their information from newspapers and freely distributed advertisers. It seems that insufficient information was the major reason for the problems with local acceptance and public participation. The media played a dominating role. The decline of traditional newspapers and the growths of free advertisers seemed to have a negative impact on quality of information and favoured a polarization. Additionally, we discuss local specifics like the cultural background (GDR history), traditions, frustration and the relatively old population and their role in public participation. We strongly promote a pro-active and long-term information and public relation strategy. © 2017, Springer Science+Business Media B.V.</t>
  </si>
  <si>
    <t>2-s2.0-85026842721"</t>
  </si>
  <si>
    <t>10.1007/s12594-018-0904-z</t>
  </si>
  <si>
    <t>https://www.scopus.com/inward/record.uri?eid=2-s2.0-85047627108&amp;doi=10.1007%2fs12594-018-0904-z&amp;partnerID=40&amp;md5=4cac676cecc7357de2bafca1c4f7a24a</t>
  </si>
  <si>
    <t>Soil erosion by water has been a major problem since man introduced agriculture in the landscape. Soil erosion is a common hazard which is steadily increasing as a result of human activities in many parts of the world. Hunter Valley of NSW is located in subtropical eastern Australia. The region is known for its diversity in landscape that includes wide floodplains, extensive estuarine wetlands, undulating country, escarpments and rugged sandstone gorges. The region is also well known for wine production. The Hunter Valley has a long history of soil erosion following the European settlement 150 years ago. Currently there have been renewed human activities in the south central part of the region for coal mining, leading to clearance of vegetation and disturbance of soil. The present study addresses the issue of soil erosion in a part of Hunter Region by employing the Revised Universal Soil Loss Equation (RUSLE, Renard et al., 1977) model. The results indicate that the average annual soil loss from the area is 0.7 kg/m2/year, which is well beyond the tolerance limit of the soil. Statistical relationships between soil loss and each parameter of the RUSLE equation were obtained and it was found that C factor has significant influence on the average soil loss in the area. An overall picture that emerges out of the study is that the region is continuing to suffer as a result of disturbance in natural environment from the historical times till present. © 2018, Geological Society of India.</t>
  </si>
  <si>
    <t>2-s2.0-85047627108"</t>
  </si>
  <si>
    <t>10.1080/19475705.2018.1470112</t>
  </si>
  <si>
    <t>https://www.scopus.com/inward/record.uri?eid=2-s2.0-85048151752&amp;doi=10.1080%2f19475705.2018.1470112&amp;partnerID=40&amp;md5=284c867a01e9902d68711c20685f2e99</t>
  </si>
  <si>
    <t>Coastlines are dynamic environments, with their Eco-geomorphology controlled by a complex range of natural and anthropic processes. Estuarine environments and associated wetland ecosystems are a critical shoreline types with regards to biodiversity, and are particularly susceptible to the influence of sea-level rise. This project applied future sea-level rise of Intergovernmental Panel on Climate Change (IPCC) hydro-scenarios to assess its impact on the ecogeomorphic aspects of coastal ecosystems in terms of risk assessment and sustainability. Comerong Island is used as a case study and is compared with other surrounding ocean-influenced and lagoonal deltas to assess the regional effects of sea-level rise. Applying the IPCC scenarios to the chosen geomorphic coastal data-sets resulted in a hydro-geomorphic model that shows the study site was already under pressure in 2015, with significant land area projected to be lost by 2050 and 2100. These findings are also expected to occur across the remaining estuaries in southeastern Australia. Applying this broad-scale, multi-strand application of geoinformatics simulation (GIS &amp; RS), together with the various IPCC sealevel rise scenarios, will be necessary to assess future ecosystem sustainability management plans for coastal zones worldwide. © 2018 The Author(s).</t>
  </si>
  <si>
    <t>2-s2.0-85048151752"</t>
  </si>
  <si>
    <t>10.1080/08920753.2018.1474067</t>
  </si>
  <si>
    <t>https://www.scopus.com/inward/record.uri?eid=2-s2.0-85053711025&amp;doi=10.1080%2f08920753.2018.1474067&amp;partnerID=40&amp;md5=876227023d9f204a3fafa817e7f62506</t>
  </si>
  <si>
    <t>The benefits of coastal adaptation depend on both the conservation of coastal assets and effects on other ecosystem services. Evaluating these benefits requires approaches that can disentangle values related to the assets that are conserved and the methods through which conservation is achieved. This article illustrates paired theoretical and empirical models designed to quantify values related to the methods and outcomes of coastal adaptation. Particular attention is given to valuation challenges associated with dual outcomes that influence human welfare both directly and indirectly. An illustrative empirical application is drawn from a stated preference, discrete choice experiment implemented in the coastal communities of Waterford and Old Saybrook, Connecticut, United States, grounded in storm and flooding scenarios developed for the Coastal Resilience decision-support platform. Results enable estimation of households’ willingness to pay for outcomes such as the reduction of flood risk for coastal homes and the protection of services from coastal marshes and beaches. These estimates enable the evaluation of tradeoffs in social value related to the use of alternative adaptation strategies. Comparison across communities illustrates how differences in context can lead to variations in values and tradeoffs. © 2018, © 2018 Taylor &amp; Francis.</t>
  </si>
  <si>
    <t>2-s2.0-85053711025"</t>
  </si>
  <si>
    <t>10.1080/15715124.2017.1411926</t>
  </si>
  <si>
    <t>https://www.scopus.com/inward/record.uri?eid=2-s2.0-85041106085&amp;doi=10.1080%2f15715124.2017.1411926&amp;partnerID=40&amp;md5=5dc9531adda4cc6b3df02ece42f4ed9c</t>
  </si>
  <si>
    <t>As a consequence of the disastrous Xynthia storm surge on 27–28 February 2010, France has significantly modified the country’s regulations related to flood risk management through implementation of the national plan for mitigation and management of the flash submersions (Plan Submersions Rapides). The paper describes the results of ‘CRISMA - Modelling crisis management for improved action and preparedness’, a collaborative research and development project co-funded by the European Community (2011–2014), which developed a generic framework for implementation of simulation-based decision support systems in different domains of the natural or industrial risks (floods, snowstorms, earthquakes, forest fires, accidental pollutions, mass accidents). In particular, the paper addresses the CRISMA-WAVE application of the framework regarding simulation of submersion effects at a range of temporal and spatial scales, preparedness planning and assessment of impacts depending on scenarios based on mitigation options for managing the inundation risks in the pilot area, Charente-Maritime county. In addition, an example of a complex regulatory study implementing a flood prevention action programme along the Northern Sea coast in order to provide an overall mid- and long-term intervention strategy regarding the combined risk of river floods and marine submersion, making use of CRISMA-WAVE methods and tools, is presented. The simulation capacity of the platform appears to provide a very good analytic support to find negotiated solutions corresponding to a consensus of all the stakeholders. The prevention strategy developed for the area is based on a solidarity principle between coastal areas and land areas. Adaptation of the territory to the increased risks due to the climate change will need tens of years to be effective. © 2018, © 2018 International Association for Hydro-Environment Engineering and Research.</t>
  </si>
  <si>
    <t>2-s2.0-85041106085"</t>
  </si>
  <si>
    <t>10.1111/1752-1688.12609</t>
  </si>
  <si>
    <t>https://www.scopus.com/inward/record.uri?eid=2-s2.0-85034237226&amp;doi=10.1111%2f1752-1688.12609&amp;partnerID=40&amp;md5=6fe02ebe8ded9d3bb949b27ee22f62ce</t>
  </si>
  <si>
    <t>Information on flood inundation extent is important for understanding societal exposure, water storage volumes, flood wave attenuation, future flood hazard, and other variables. A number of organizations now provide flood inundation maps based on satellite remote sensing. These data products can efficiently and accurately provide the areal extent of a flood event, but do not provide floodwater depth, an important attribute for first responders and damage assessment. Here we present a new methodology and a GIS-based tool, the Floodwater Depth Estimation Tool (FwDET), for estimating floodwater depth based solely on an inundation map and a digital elevation model (DEM). We compare the FwDET results against water depth maps derived from hydraulic simulation of two flood events, a large-scale event for which we use medium resolution input layer (10 m) and a small-scale event for which we use a high-resolution (LiDAR</t>
  </si>
  <si>
    <t>10.1002/dep2.38</t>
  </si>
  <si>
    <t>https://www.scopus.com/inward/record.uri?eid=2-s2.0-85052902234&amp;doi=10.1002%2fdep2.38&amp;partnerID=40&amp;md5=a2afe4d45f0de86140fd58d4a2ae46da</t>
  </si>
  <si>
    <t>Tsunamis are marked by distinct phases of uprush during coastal inundation and backwash when tsunami water recedes. Especially in the case of a steep coastal profile, the return flow may operate in a Froude-supercritical regime, eroding the flooded area and transporting large volumes of sediment seawards. Important sediment accumulation occurs when the supercritical flow goes through a hydraulic jump where it becomes subcritical upon deceleration. An inferred example in coarse-grained, mixed carbonates from the Lower Pleistocene on Rhodes (Greece) is described, with offshore bars up to 10 m long with scour-and-fill structures and steep antidune stratification. In finer-grained sandy depositional systems such structures may be much longer, up to hundreds of metres. It is suggested here that, analogous to some turbidite beds, the apparent lack of structures or the presence of faint stratification that is common for graded sand layers within marine tsunamiites may in fact consist of extremely low-angle, landward-dipping backset-strata that formed under a landward-migrating hydraulic jump during the basinward retreat of tsunami water. Numerical simulations that focus on the internal stratification of backwash-generated offshore bars support this hypothesis. The recognition of such deposits in the sedimentary record enlarges the toolbox for assessing the past frequency of tsunamis in coastal areas. © 2018 The Authors. The Depositional Record published by John Wiley &amp; Sons Ltd on behalf of International Association of Sedimentologists.</t>
  </si>
  <si>
    <t>2-s2.0-85052902234"</t>
  </si>
  <si>
    <t>10.1016/j.jhydrol.2018.04.043</t>
  </si>
  <si>
    <t>https://www.scopus.com/inward/record.uri?eid=2-s2.0-85045689893&amp;doi=10.1016%2fj.jhydrol.2018.04.043&amp;partnerID=40&amp;md5=0e452667602063ab838a11b6ff7a7e81</t>
  </si>
  <si>
    <t>Newly available, more detailed and accurate elevation data sets, such as Digital Elevation Models (DEMs) generated on the basis of imagery from terrestrial LiDAR (Light Detection and Ranging) systems or Unmanned Aerial Vehicles (UAVs), can be used to improve flood-model input data and consequently increase the accuracy of the flood modelling results. This paper presents the first application of the MBlend merging method and assesses the impact of combining different DEMs on flood modelling results. It was demonstrated that different raster merging methods can have different and substantial impacts on these results. In addition to the influence associated with the method used to merge the original DEMs, the magnitude of the impact also depends on (i) the systematic horizontal and vertical differences of the DEMs, and (ii) the orientation between the DEM boundary and the terrain slope. The greater water depth and flow velocity differences between the flood modelling results obtained using the reference DEM and the merged DEMs ranged from −9.845 to 0.002 m, and from 0.003 to 0.024 m s−1 respectively</t>
  </si>
  <si>
    <t>10.3390/geosciences8050163</t>
  </si>
  <si>
    <t>https://www.scopus.com/inward/record.uri?eid=2-s2.0-85047763101&amp;doi=10.3390%2fgeosciences8050163&amp;partnerID=40&amp;md5=2ad986f1a70d4c84d74ebfd962393959</t>
  </si>
  <si>
    <t>Sediment transport is a key evolution process of rivers and water basins. This process can pose flood hazards to nearby areas. The Eulerian and Lagrangian methods are usually employed to describe sediment transport in mountain rivers. The application of different methods was proposed by scientists to analyze specific aspects of solid transport, however a complete understanding still alludes us. After a brief review of the most common methods, the coupling of three different methods is proposed and tested in order to study sediment dynamics, and its spatial and temporal variability, in mountain rivers. Tracers, painted bed patches, and digital elevation model (DEM) comparisons are used to characterize sediment transport at both a micro-scale short-term and a macro-scale long-term level on a test reach on Caldone River, Italy. Information about travel distance, critical diameters, active width, and morphological evolution was sought. We focused on how water discharge is changing the relationships between different measurement techniques. High discharge events force the channel to behave in a unique way, while low discharge events generate more intrinsic variability. Only measurement technique coupling can overcome this issue. Results are encouraging and show the potential of a mixed Eulerian-Lagrangian approach. © 2018 by the authors. Licensee MDPI, Basel, Switzerland.</t>
  </si>
  <si>
    <t>2-s2.0-85047763101"</t>
  </si>
  <si>
    <t>10.1016/j.earscirev.2017.01.010</t>
  </si>
  <si>
    <t>https://www.scopus.com/inward/record.uri?eid=2-s2.0-85011552291&amp;doi=10.1016%2fj.earscirev.2017.01.010&amp;partnerID=40&amp;md5=fb07f4d0b0cb8b9681ac018cbdaae5a5</t>
  </si>
  <si>
    <t>In southern Mexico, the Sierra Madre del Sur (SMS) preserves the record of a long-lived magmatic arc that vanished diachronically during Paleogene-early Miocene time, decreasing in age to the southeast. The magmatic record consists of a coastal plutonic belt dominated by granites and granodiorites with minor mafic and intermediate intrusions and an inland volcanic belt dominated by intermediate and silicic volcanic centers. The juxtaposition of the plutonic belt with the trench indicates the removal of most of the Paleogene forearc during the Oligocene. Abundant evidence indicates that subduction erosion played a significant role in the reconfiguration of the continental margin of southern Mexico following cessation of magmatism. This is evident in the subsidence of continental segments contiguous to the present trench and the loss of lower continental crust as inferred from the present shape of the wedge, as well as in the estimations of the former crustal thickness based on geobarometry of the exposed levels of plutonic complexes. The Late Cretaceous-Cenozoic decreasing age trend in the SMS shows three time intervals in which magmatism ceased at different rates. The general southeastward younging trend of magmatism, as well as the left-lateral shear zones of the central and coastal zones of the Sierra Madre del Sur, in combination with constraints imposed by the prevalent model of the Caribbean plate evolution have been invoked to consider the Chortís block as the removed segment during margin truncation. The main drawbacks of this model are the mismatch in the chronology of migmatitic complexes of northern Chortís and the Xolapa terrane in the continental margin of southern Mexico, and the presence of the Late Cretaceous to present unperturbed marine sequence in the Gulf of Tehuantepec in the assumed trajectory of the Chortís block. These considerations and the subduction erosion evidence suggest a more complex scenario than having Chortís juxtaposed immediately adjacent to the present-day margin. There are alternative possibilities to explain removal of the forearc, ranging from a western provenance for the Chortís block, as has been suggested in other models, to intermediate positions for Chortís with a more southern trajectory with respect to the present-day trench. Such a trajectory would leave a broad zone with shear strain structures more susceptible to removal by subduction erosion after the passage of the trench-trench transform triple junction. This would reconcile the evidence of subduction erosion and the indications of the northwestern provenance of the Chortís block. © 2017 Elsevier B.V.</t>
  </si>
  <si>
    <t>2-s2.0-85011552291"</t>
  </si>
  <si>
    <t>10.1016/j.jag.2018.01.015</t>
  </si>
  <si>
    <t>https://www.scopus.com/inward/record.uri?eid=2-s2.0-85064070336&amp;doi=10.1016%2fj.jag.2018.01.015&amp;partnerID=40&amp;md5=ac9ef67403eb3010c0c0fdaa8fcff40f</t>
  </si>
  <si>
    <t>China's southeast coastal areas frequently suffer from storm surge due to the attack of tropical cyclones (TCs) every year. Hazards induced by TCs are complex, such as strong wind, huge waves, storm surge, heavy rain, floods, and so on. The atmospheric and oceanic hazards cause serious disasters and substantial economic losses. This paper, from the perspective of hazard group, sets up a multi-factor evaluation method for the risk assessment of TC hazards using historical extreme data of concerned atmospheric and oceanic elements. Based on the natural hazard dynamic process, the multi-factor indicator system is composed of nine natural hazard factors representing intensity and frequency, respectively. Contributing to the indicator system, in order of importance, are maximum wind speed by TCs, attack frequency of TCs, maximum surge height, maximum wave height, frequency of gusts ≥ Scale 8, rainstorm intensity, maximum tidal range, rainstorm frequency, then sea-level rising rate. The first four factors are the most important, whose weights exceed 10% in the indicator system. With normalization processing, all the single-hazard factors are superposed by multiplying their weights to generate a superposed TC hazard. The multi-factor evaluation indicator method was applied to the risk assessment of typhoon-induced atmospheric and oceanic hazard group in typhoon-prone southeast coastal cities of China. © 2018 Elsevier B.V.</t>
  </si>
  <si>
    <t>2-s2.0-85064070336"</t>
  </si>
  <si>
    <t>10.1029/2017JC013741</t>
  </si>
  <si>
    <t>https://www.scopus.com/inward/record.uri?eid=2-s2.0-85050808148&amp;doi=10.1029%2f2017JC013741&amp;partnerID=40&amp;md5=4549fffe8a80a1071597fc3be1ddfc6d</t>
  </si>
  <si>
    <t>The role of meteorologically induced water level oscillations (MIWLOs) on bottom shear stresses in a freshwater estuary in the Great Lakes is investigated. Atmospheric data including air pressure, wind speed and direction, and radar reflectivity are compiled, and comprehensive field measurements including velocity profiles, water levels, river discharges, and bottom sediment properties in the Manistique River (MR) estuary, Michigan, are conducted. Wavelet and cross-wavelet analysis reveals that large velocity events (&gt;0.5 m/s) in the MR estuary are generated by high-frequency MIWLOs (i.e., meteotsunamis and high-frequency seiches) induced by energetic oscillations in air pressure and/or wind speed and direction with periods below 2 hr. Measured velocity profiles reveal that MIWLO-dominated conditions can increase bottom shear stress by an order of magnitude in comparison with river-dominated flow conditions. The hydrodynamic model indicates that bottom shear stresses under both the downstream and upstream flows during the MIWLO-dominated event were significantly larger than those during river-dominated conditions. The interactions of MIWLOs and flood flows can significantly alter the bottom shear stresses in the main river channel, and MIWLOs are revealed to be the principal resuspension mechanism in areas such as the upstream tributary branches where flood flows individually do not cause resuspension. Furthermore, the role of MIWLOs asymmetry in fresh water Great Lakes estuaries on velocity residuals and net sediment transport is revealed and discussed. Overall, this paper fills important knowledge gaps in the role of MIWLOs on sediment transport in enclosed basin estuaries, thus providing essential information for coastal management and estuarine remediation. ©2018. The Authors.</t>
  </si>
  <si>
    <t>2-s2.0-85050808148"</t>
  </si>
  <si>
    <t>10.3390/rs10050798</t>
  </si>
  <si>
    <t>https://www.scopus.com/inward/record.uri?eid=2-s2.0-85047532687&amp;doi=10.3390%2frs10050798&amp;partnerID=40&amp;md5=13c7077325757b5ab9adc1da1b82c3ab</t>
  </si>
  <si>
    <t>Glacier recession driven by climate change produces glacial lakes, some of which are hazardous. Our study assesses the evolution of three of the most hazardous moraine-dammed proglacial lakes in the Nepal Himalaya-Imja, Lower Barun, and Thulagi. Imja Lake (up to 150 m deep</t>
  </si>
  <si>
    <t>Brazilian Journal of Oceanography</t>
  </si>
  <si>
    <t>10.1590/s1679-87592018021906603</t>
  </si>
  <si>
    <t>https://www.scopus.com/inward/record.uri?eid=2-s2.0-85062105336&amp;doi=10.1590%2fs1679-87592018021906603&amp;partnerID=40&amp;md5=a162f07b06e80aaaf7497d2cb2b84017</t>
  </si>
  <si>
    <t xml:space="preserve">                             São Marcos Bay is an estuarine complex with semidiurnal tides that can reach more than 7 m during equinoctial spring tides. It is situated in the second largest Brazilian coastline and is subjected to continuous human activities holding an important port complex of Latin America. In order to contribute to the knowledge about the structure of the phytoplankton in a macrotidal systems, this study aims to evaluate the phytoplankton community and its relationship with environmental conditions in the São Marcos Bay. Five surveys in 2010 and 2011 were carried out on four sampling points during the rainy and dry seasons. Samples were taken during the flood and ebb phases at neap tides. Hydrological parameters were correlated with biological data (phytoplankton composition, abundance and biomass) using statistical analysis. The phytoplankton biomass (chlorophyll a) characterized the bay as quite productive (10.43±7.62 mg m                             -3                             ) with the nanophytoplankton as the dominant fraction. Seasonal variation was observed in phytoplankton abundance with higher values (34,262±18,422 cells L                             -1                             ) in the rainy season. Diatoms were the most important phytoplankton group, pointing out Nitzschia sp., Diploneis weissflogii and Synedra sp. as the dominant species. This study revealed that the composition of phytoplankton community was mainly influenced by the local dynamics, governed by macrotides, and precipitation regime that mostly contributed to the seasonal fluctuations of the environmental conditions, such as salinity, dissolved oxygen, and nutrients.                          © 2018, Universidade de Sao Paulo. All rights reserved.</t>
  </si>
  <si>
    <t>2-s2.0-85062105336"</t>
  </si>
  <si>
    <t>10.1016/j.scitotenv.2017.12.088</t>
  </si>
  <si>
    <t>https://www.scopus.com/inward/record.uri?eid=2-s2.0-85037980598&amp;doi=10.1016%2fj.scitotenv.2017.12.088&amp;partnerID=40&amp;md5=b0b7a862822af2e3ad7c667888e111d5</t>
  </si>
  <si>
    <t>This study developed the potential regulation capacity (PRC) and actual regulation capacity (ARC) to characterize the flood regulation function of river systems in the delta plains. Spatial autocorrelation and the grey relational analysis were then employed to investigate the spatial-temporal change of the flood regulation function in the urbanization process, of which the results revealed its spatial coupling and quantitative relation with the urbanization process and river systems changes in the Taihu Plain. The results indicated that: (1) the PRC exhibited a 20.3%-decrease during the 1960s to the 2010s, though its change exhibited significant structural and hierarchical differences. The global distributions of the PRCs all presented insignificant clustered characteristics, and the local distribution of smaller PRC regions with a high flood risk was stable</t>
  </si>
  <si>
    <t>10.1080/1523908X.2017.1348287</t>
  </si>
  <si>
    <t>https://www.scopus.com/inward/record.uri?eid=2-s2.0-85023169051&amp;doi=10.1080%2f1523908X.2017.1348287&amp;partnerID=40&amp;md5=930be92c8a69a531c5d8f7f726c0603c</t>
  </si>
  <si>
    <t>Recently the Vietnamese government has endorsed a long-term policy plan in which it is proposed to restore controlled seasonal flooding in the upper regions of the Vietnamese part of the Mekong delta. Restoring controlled flooding would contrast a period of several decades characterized by a dominant flood prevention approach to enable intensive rice production in the delta. This article investigates a series of long-term policy plans, which have been developed for the Mekong delta since the 1960s, on their take on flood control sensu flood prevention, or the opposite, controlled seasonal flooding. By doing so it is demonstrated how perspectives on flood management have gradually evolved and, in the specific case of suggesting controlled flooding, have been framed in various ways by various actors. Contemporary proposals for controlled seasonal flooding are supported by actors ranging from governmental institutes to environmental NGOs, and connect to on-going debates about environmental challenges and sustainable development of the Mekong delta. We adopt a systems approach to analyze social, environmental and technological dynamics in the Mekong delta, and discuss whether the different interpretations of controlled flooding may contribute to the long-term sustainability of the delta. © 2017 The Author(s). Published by Informa UK Limited, trading as Taylor &amp; Francis Group.</t>
  </si>
  <si>
    <t>2-s2.0-85023169051"</t>
  </si>
  <si>
    <t>10.1111/tgis.12453</t>
  </si>
  <si>
    <t>https://www.scopus.com/inward/record.uri?eid=2-s2.0-85051807671&amp;doi=10.1111%2ftgis.12453&amp;partnerID=40&amp;md5=14ad84feaec716906404827344152150</t>
  </si>
  <si>
    <t>This research proposed a parallelized approach to scaling up the calculation of inundation height, the minimum sea-level rise required to inundate a cell on a digital elevation model, which is based on Dijkstra's algorithm for shortest-path calculations on a graph. Our approach is based on the concepts of spatial decomposition, calculate-and-correct, and a master/worker parallelization paradigm. The approach was tested using the U.S. Coastal Relief Model (CRM) dataset from the National Geophysical Data Center on a multicore desktop computer and various supercomputing resources through the U.S. Extreme Science and Engineering Discovery Environment (XSEDE) program. Our parallel implementation not only enables computations that were larger than previously possible, but also significantly outperforms serial implementations with respect to running time and memory footprint as the number of processing cores increases. The efficiency of the scalability seemed to be tied to tile size and flattened out at a certain number of workers. © 2018 John Wiley &amp; Sons Ltd</t>
  </si>
  <si>
    <t>2-s2.0-85051807671"</t>
  </si>
  <si>
    <t>10.3390/rs10070983</t>
  </si>
  <si>
    <t>https://www.scopus.com/inward/record.uri?eid=2-s2.0-85050458987&amp;doi=10.3390%2frs10070983&amp;partnerID=40&amp;md5=084ca5480394908313d69d3f141a5ca3</t>
  </si>
  <si>
    <t>We monitored the growth of 22 retrogressive thaw slumps (RTS), dramatic erosion features associated with thaw of permafrost, in the Noatak Valley of northern Alaska using high-resolution structure-from-motion digital photogrammetry. We created time-series of 3-6 Digital Elevation Models (DEMs) and orthophoto mosaics during the time period from 2010-2016 at each slump, using high-resolution digital single-lens reflex (SLR) photographs taken from airplanes or helicopters. DEMs created using airborne GPS camera locations were adequate to detect elevations changes as small as 10 to 15 cm. Measurements made on these DEMs and orthophotographs showed slump growth rates of up to 38 m yr-1, with the fastest rates on slumps with scarps of moderate height (1 to 4 m) exposing Pleistocene glacial ice. Most of the slumps grew at constant or declining rates during the study, apparently as a result of the slumps encountering more gentle topography as they expanded upslope. Sedimentation was predominantly on the slump floor within 40 m of the active scarp, and the zone of accumulation migrated upslope with the scarp, away from adjacent water bodies. This study demonstrates that low-cost cameras coupled with airborne GPS and no ground control are suitable for monitoring geomorphic change on the order of decimeters and are a powerful tool for monitoring in remote settings. © 2018 by the authors.</t>
  </si>
  <si>
    <t>2-s2.0-85050458987"</t>
  </si>
  <si>
    <t>10.1007/s11069-018-3292-1</t>
  </si>
  <si>
    <t>https://www.scopus.com/inward/record.uri?eid=2-s2.0-85045077652&amp;doi=10.1007%2fs11069-018-3292-1&amp;partnerID=40&amp;md5=35f6426803492ed581c39912844795f4</t>
  </si>
  <si>
    <t>Large-scale climate models (LCM) have been used to understand climate change and its effects, but there remains a concern about their inability fully to reflect local contexts and about a high degree of their uncertainty. Through a case study that involved residents of a coastal community in Central Vietnam, this paper presents how local people perceive climate change and characterize climate impacts on their life. Findings of the study show that local people perceive a variety of important manifestations of climate change, especially temperature, rainfall, sea level rise and monsoons, although they have limited ideas about future climate change. In addition, local people unpack the complexity of climate impacts through interactions among climatic events, livelihoods and the five capitals (physical, natural, financial, human and social resources). Findings of the research suggest that it will be necessary to move away from viewing coastal villages in Vietnam as homogenous units with shared climate experiences, and to combine both local experience and scientific evidence based on LCMs to promote the synergies and address the limitations of the two sources of information for climate interventions at the local level. © 2018, Springer Science+Business Media B.V., part of Springer Nature.</t>
  </si>
  <si>
    <t>2-s2.0-85045077652"</t>
  </si>
  <si>
    <t>10.1111/geoj.12250</t>
  </si>
  <si>
    <t>https://www.scopus.com/inward/record.uri?eid=2-s2.0-85044757087&amp;doi=10.1111%2fgeoj.12250&amp;partnerID=40&amp;md5=73676f62aa221aede8fe437c23aedef8</t>
  </si>
  <si>
    <t>A key skill that geomorphologists possess is the ability to use multi-scale perspectives in their interpretations of landscapes. One way to gain these perspectives is with the use of nested hierarchical frameworks. In fluvial geomorphology, such frameworks help with assessment of large-scale controls (e.g., tectonic activity, climate change) on the pattern and dynamics of smaller-scale physical features (e.g., channels, floodplains, bars), and conversely illustrate how these smaller-scale features provide the building blocks from which to make interpretations of fluvial processes and dynamics over larger spatial and temporal scales. Given the rapid pace of technological developments, the range of relatively inexpensive tools available for visualising and mapping landscapes at different spatial scales is expanding exponentially. In this paper, which focuses on the World Heritage-listed Okavango Delta in Botswana, we demonstrate how various visualisations generated by different technologies at different spatial scales (catchment, landscape unit, reach, site and geomorphic unit) are providing critical baseline information to enhance interpretation and communication of fluvial geomorphology, with potential application in water resources management. In particular, our nested hierarchical approach could be used as an interactive communication tool for non-specialists and embedded within existing and future management plans for the Delta. The construction of nested hierarchies that synthesise information and analyses can be a valuable addition to the environmental manager's toolkit. The information, practices and views in this article are those of the author(s) and do not necessarily reflect the opinion of the Royal Geographical Society (with IBG). © 2018 Royal Geographical Society (with the Institute of British Geographers).</t>
  </si>
  <si>
    <t>2-s2.0-85044757087"</t>
  </si>
  <si>
    <t>10.1111/geoj.12244</t>
  </si>
  <si>
    <t>https://www.scopus.com/inward/record.uri?eid=2-s2.0-85033694840&amp;doi=10.1111%2fgeoj.12244&amp;partnerID=40&amp;md5=9361eb2aa2a57e3a541837933c647be9</t>
  </si>
  <si>
    <t>The ability of people to respond successfully to environmental variability is determined by their existing vulnerabilities and social-ecological relationships. At the same time, dominant policy and scholarly approaches to adaptation remain apolitical and pay inadequate attention to the links between structural vulnerability and adaptive capacity. Using a case study from the dynamic wetland environment of the Okavango Delta, Botswana, this paper draws on work in political ecology, vulnerability studies, and the emerging field of transformative adaptation to emphasise the need for an anticipatory approach to adaptation. While flooding variability is an inherent part of life in the Okavango Delta, high floods in 2009, 2010 and 2011 displaced hundreds of residents from their homes and inundated many floodplain agricultural fields past the point of production. A combination of household interviews, participant observation sessions, and household surveys was used to investigate the impacts of these flooding events, responses to them, and the implications of those responses. Findings reveal that the Government of Botswana began to regulate wetland-based livelihoods more strictly during the years the high floods occurred, and to encourage residents to switch permanently to dryland livelihoods. While these state-sponsored strategies appear to be practical responses to flooding variability, they ultimately result in decreased adaptive capacity for some people, especially members of the Bayei tribe. This group typically subsists from wetland-based livelihoods and has strong cultural ties to the waters of the Delta. By situating these findings within the historical context of marginalisation of ethnic minorities and rural communities in the country, and considering them in the light of predictions of future increases in environmental variability in the Okavango Delta, the paper identifies sites of potential transformation that would lead to improved adaptive capacities for vulnerable groups, in advance of the most significant impacts of climate change. The information, practices and views in this article are those of the author(s) and do not necessarily reflect the opinion of the Royal Geographical Society (with IBG). © 2017 The Author. The Geographical Journal published by John Wiley &amp; Sons Ltd on behalf of Royal Geographical Society (with the Institute of British Geographers).</t>
  </si>
  <si>
    <t>2-s2.0-85033694840"</t>
  </si>
  <si>
    <t>10.1007/s10113-018-1313-y</t>
  </si>
  <si>
    <t>https://www.scopus.com/inward/record.uri?eid=2-s2.0-85043714303&amp;doi=10.1007%2fs10113-018-1313-y&amp;partnerID=40&amp;md5=f2b038a122dc9867412d77ad1b804b21</t>
  </si>
  <si>
    <t>This article proposes an innovative approach to assess the benefits of adapting to sea level rise (SLR) in a coastal area on a regional scale. The valuation framework integrates coastal ecosystem services, together with urban and agricultural assets. We simulate the impacts of a progressive 1 m rise in sea level in the twenty-first century and an extreme flooding event in 2100 for four contrasted adaptation scenarios (Denial, “Laissez-faire”, Protection and Retreat). The assessment involves coupling the results of hazard-modelling approaches with different economic valuation methods, including direct damage functions and methods used in environmental economics. The framework is applied to the French Mediterranean sandy coastline. SLR will result in major land-use changes at the 2100 time horizon: relocation or densification of urban areas, loss of agricultural land, increase in lagoon areas and modification of wetlands (losses, migration or extension of ecosystems). Total benefits of public adaptation options planned in advance could reach €31.2 billion for the period 2010–2100, i.e. €69,000 per inhabitant (in the study area) in 2010 or €135 million/km of coastline. Our results highlight the importance of (i) raising awareness to ensure that public services and coastal managers can anticipate the consequences of SLR and (ii) incorporating coastal ecosystems into the assessment of the adaptation options. Our findings could provide a basis for participatory foresight approaches to build coastline adaptation pathways. © 2018, Springer-Verlag GmbH Germany, part of Springer Nature.</t>
  </si>
  <si>
    <t>2-s2.0-85043714303"</t>
  </si>
  <si>
    <t>10.3390/geosciences8050152</t>
  </si>
  <si>
    <t>https://www.scopus.com/inward/record.uri?eid=2-s2.0-85047730834&amp;doi=10.3390%2fgeosciences8050152&amp;partnerID=40&amp;md5=34dcef6b63838017f5b578c86db8e97a</t>
  </si>
  <si>
    <t>A northern ocean of Mars is still debated and, if it existed, it may have accompanied valley networks and/or outflow channels, which may have led to the emplacement of a large amount of water to the northern lowlands during the Noachian and/or Hesperian times. However, it is unclear how and under what conditions (submarine or subaerial) geologic features such as mounds and giant polygons formed in the northern lowlands. The densely-distributed mounds in Chryse and Acidalia Planitia, &gt;1000 km-wide basins of the northern plains, were suggested to be ancient mud volcanoes formed in an aqueous setting, which is controversial (i.e., mud vs. igneous and submarine vs. subaerial). However, these mounds have not been quantitatively well characterized, particularly with respect to their detailed topography. Here we generated forty digital elevation models (DEMs) with resolution of up to 1 m/pixel from High Resolution Imaging Science Experiment (HiRISE) stereo image pairs, and we accurately measured the morphometric parameters of ~1300 mounds within the southern part of the Acidalia basin. Their heights and diameters resulted in good accordance with those of mud and igneous volcanoes in submarine/subaerial settings on Earth. Maximum depths of their source reservoirs vary from ~30 to ~450 m for a subaqueous setting and from ~110 to ~860 m for a subaerial setting, both of which are consistent with fluid expulsion from the ~100–4500 m-thick flood deposits (Vastitas Borealis Formation, VBF). On the basis of the morphometric values, we estimated rheological properties of materials forming the mounds and found them consistent with a mud flow origin, which does not rule out an igneous origin. The conditions of possible submarine mud or igneous volcanoes may have harbored less hazardous environments for past life on Mars than those on an ocean-free surface. © 2018 by the authors. Licensee MDPI, Basel, Switzerland.</t>
  </si>
  <si>
    <t>2-s2.0-85047730834"</t>
  </si>
  <si>
    <t>10.1007/s10064-017-1089-1</t>
  </si>
  <si>
    <t>https://www.scopus.com/inward/record.uri?eid=2-s2.0-85021059064&amp;doi=10.1007%2fs10064-017-1089-1&amp;partnerID=40&amp;md5=a0f22d94908a84c3e1d1d61cc612227e</t>
  </si>
  <si>
    <t>Coastal and offshore regions, regarded as key zones for earth science, are vulnerable to the effects of natural and anthropogenic factors because of the complicated interactions between the land, ocean, and atmosphere. Rapid social-economic growth has changed the geological environment of the earth, and a series of geological hazards have been seriously intensified, especially in coastal and offshore areas. Previous researches have indicated that coastal and marine engineering construction or resource exploitation tends to exacerbate geo-environmental hazards to varying degrees. These geo-hazards may include coastal erosion, coastal subsidence, seawater intrusion, and seabed instability. In this paper, we review the characteristics of and advances in typical coastal and marine geo-environmental hazards that are intensified by human activities, as well as the associated impacts. The main anthropogenic factors that exacerbate coastal and marine geo-hazards are summarized, and the influencing mechanisms of those factors are analyzed and discussed in detail. In addition, to achieve a sustainable development of the marine economy, prevention and control measures related to such geo-environmental hazards are briefly proposed and discussed. © 2017, Springer-Verlag GmbH Germany.</t>
  </si>
  <si>
    <t>2-s2.0-85021059064"</t>
  </si>
  <si>
    <t>10.1016/j.compenvurbsys.2018.01.013</t>
  </si>
  <si>
    <t>https://www.scopus.com/inward/record.uri?eid=2-s2.0-85044506043&amp;doi=10.1016%2fj.compenvurbsys.2018.01.013&amp;partnerID=40&amp;md5=2263b69fd4ae62a5d5fa1d88cfa17d23</t>
  </si>
  <si>
    <t>Delineation of flood hazard and flood risk areas is a critical issue, but practical difficulties regularly make complete achievement of the task a challenge. In data-scarce environments (e.g. ungauged basins, large-scale analyses), useful information about flood hazard exposure can be obtained using geomorphic methods. In order to advance this field of research, we implemented in the QGIS environment an automated DEM-based procedure that exhibited high accuracy and reliability in identifying the flood-prone areas in several test sites located in Europe, the United States and Africa. This tool, named Geomorphic Flood Area tool (GFA tool), enables rapid and cost-effective flood mapping by performing a linear binary classification based on the recently proposed Geomorphic Flood Index (GFI). The GFA tool provides a user-friendly strategy to map flood exposure over large areas. A demonstrative application of the GFA tool is presented in which a detailed flood map was derived for Romania. © 2018 Elsevier Ltd</t>
  </si>
  <si>
    <t>2-s2.0-85044506043"</t>
  </si>
  <si>
    <t>10.1007/s11069-018-3281-4</t>
  </si>
  <si>
    <t>https://www.scopus.com/inward/record.uri?eid=2-s2.0-85045099675&amp;doi=10.1007%2fs11069-018-3281-4&amp;partnerID=40&amp;md5=27400df0d02074fdbb539d63740e1985</t>
  </si>
  <si>
    <t>River flooding has been causing extensive losses to life and property, which is a serious concern worldwide. To minimize these losses, suitable planning and management practices are required for the floodplain mapping. Flash floods occur almost every year in the deltaic region of Brahmani and Baitarani river basins in India, during the monsoon season. Generally, 1D modelling is considered as a regular practice. But nowadays, model formulations include 1D for the representation of river channels and 2D for representing river floodplains. In the absence of uniform observations, a hybrid model (1D–2D coupled model) has been developed for this deltaic region to identify the extent of inundation and its depth during the flooding, since 1D models alone do not provide detailed information of flooding. Thus, a well-known 2D river hydrodynamic model iRIC was externally coupled with 1D (SWAT and SWMM) models to simulate and visualize flood scenarios and to identify the flood-prone areas. The hydrological model SWAT was calibrated and validated for Brahmani river deltaic basin, with the observed discharge data available. However for Baitarani river basin, observed flow data were missing and only gauge data were available at few monitoring stations. Hence, for Baitarani river basin, the SWMM model was developed and calibrated with the help of Monte Carlo method. Finally, the SWAT- and SWMM-based tributary stream flow outputs were fed together into the iRIC hydrodynamic model as input for flood inundation mapping. The discharge and water gauge data were used for the calibration and validation. The results obtained from the coupled model were found to be in good agreement with the observed data (RMSE value is 0.77 and 0.79 during calibration and validation, respectively), which enabled identification of the flood-prone areas. The developed model may be used as a tool for effective planning and management of natural disasters such as flash floods. © 2018, Springer Science+Business Media B.V., part of Springer Nature.</t>
  </si>
  <si>
    <t>2-s2.0-85045099675"</t>
  </si>
  <si>
    <t>10.1007/s10113-017-1269-3</t>
  </si>
  <si>
    <t>https://www.scopus.com/inward/record.uri?eid=2-s2.0-85039072287&amp;doi=10.1007%2fs10113-017-1269-3&amp;partnerID=40&amp;md5=fd68f872cc6cfdd8b1236ffc5180f1cc</t>
  </si>
  <si>
    <t>Sustainable urban infrastructure transition is perhaps the biggest challenge confronting cities in the global south in a time of climate change. Fast-growing cities are increasingly faced with deficiencies in the provisioning of public infrastructures, such as delivering water and sewage treatment and mitigating the risk of flooding to large segments of the population. Problems such as flooding encapsulate both structural and individual dimensions of adaptation. In this paper, we present a conceptual framework to analyze urban adaptation to increasing flood risk in the capital city of Belem in the Brazilian Amazon. Our analysis focuses on two domains of adaptive capacity to floods: generic capacity (provisioning of basic infrastructure and services) and specific capacity (effective flooding response, proactive strategies for risk reduction). We combined data from census sector and household semi-structured interviews, focus group discussions, observational and archival data, and photo documentation to analyze both capacities in the city of Belém. Our findings indicated deficiency and intra-urban variability of both generic (water supply, sanitation, waste management, and adequate storm drainage) and specific capacities (specific individual and community and political actions for flood mitigation). However, significant inequalities exist across sectors of the population. Poorest urban sectors present higher deficits of generic adaptive capacity related to infrastructure. The expansion of vast areas of informal settlements, lack of basic infrastructure, and failed projects to reduce flood risk also challenge the specific adaptive capacity of households. A perception of corruption associated with public projects and high levels of violence also prevent cooperation and collective action among residents affected by flooding. © 2017, Springer-Verlag GmbH Germany, part of Springer Nature.</t>
  </si>
  <si>
    <t>2-s2.0-85039072287"</t>
  </si>
  <si>
    <t>10.1007/s12594-018-0912-z</t>
  </si>
  <si>
    <t>https://www.scopus.com/inward/record.uri?eid=2-s2.0-85047650844&amp;doi=10.1007%2fs12594-018-0912-z&amp;partnerID=40&amp;md5=bb046076daf0939de9bd0136daaa2b0c</t>
  </si>
  <si>
    <t>Demand for irrigation water increases day by day along with meteorological vagaries and extension of irrigated area in the drought-prone Barind area of Bangladesh. This increasing stress on water resource is gradually making the area water scare. The study is aimed at studying the morphometric parameters of the Atrai-Sib river basin in the Barind area and on their relevance in water resource management based on satellite images and SRTM DEM. Computation and delineation of linear and areal aspects of the river basin and its morphometric components reveals that stream order ranges from first to eighth order showing dendritic drainage pattern. The basin represents homogeneity of soil texture; possibility of flash flood after heavy rainfall with low discharge of runoff; and is not largely affected by structural disturbance. Moderate drainage density of the river basin area indicates semipermeable soil lithology with moderate vegetation. Mean bifurcation ratio of the basin is calculated as 3.92 and elongation ratio 0.75, which indicate elongated shape of the river basin with low to moderate relief bounded in the east and west by ‘moderate to steep’ sloping land area. It reveals a flatter peak of runoff flow for longer duration and gravity flow of water. The gentle but undulating slope of the basin represents ‘excellent’ category for groundwater management as the site is favorable for infiltration due to maximum time of runoff water percolation. The east facing slopes of the basin show higher moisture content and higher vegetation than the west-facing slope. The land use pattern of the area shows that major part (95.29%) comes under the cultivated land which will support future river basin development and management. Results obtained from the study would be useful in categorization of river basins for future water resource development and management, and selection of suitable sites for water conservation structures such as check dam, percolation tank, artificial recharge of groundwater through MAR technique etc.</t>
  </si>
  <si>
    <t>10.3390/rs10071152</t>
  </si>
  <si>
    <t>https://www.scopus.com/inward/record.uri?eid=2-s2.0-85050458212&amp;doi=10.3390%2frs10071152&amp;partnerID=40&amp;md5=c8ac7ae258d4c40ff8bf2059c51a1b44</t>
  </si>
  <si>
    <t>Yedoma-extremely ice-rich permafrost with massive ice wedges formed during the Late Pleistocene-is vulnerable to thawing and degradation under climate warming. Thawing of ice-rich Yedoma results in lowering of surface elevations. Quantitative knowledge about surface elevation changes helps us to understand the freeze-thaw processes of the active layer and the potential degradation of Yedoma deposits. In this study, we use C-band Sentinel-1 InSAR measurements to map the elevation changes over ice-rich Yedoma uplands on Sobo-Sise Island, Lena Delta with frequent revisit observations (as short as six or 12 days). We observe significant seasonal thaw subsidence during summer months and heterogeneous inter-annual elevation changes from 2016-17. We also observe interesting patterns of stronger seasonal thaw subsidence on elevated flat Yedoma uplands by comparing to the surrounding Yedoma slopes. Inter-annual analyses from 2016-17 suggest that our observed positive surface elevation changes are likely caused by the delayed progression of the thaw season in 2017, associated with mean annual air temperature fluctuations. © 2018 by the authors.</t>
  </si>
  <si>
    <t>2-s2.0-85050458212"</t>
  </si>
  <si>
    <t>10.1007/s11852-018-0597-x</t>
  </si>
  <si>
    <t>https://www.scopus.com/inward/record.uri?eid=2-s2.0-85042938048&amp;doi=10.1007%2fs11852-018-0597-x&amp;partnerID=40&amp;md5=092c77f59f2863fca182e7c09b37e4c0</t>
  </si>
  <si>
    <t>Over 350 European Integrated Coastal Zone Management (ICZM) ‘best practice’ case studies are documented in the OURCOAST online public database, to ensure that lessons learned from experiences and practices are shared and improve coastal management practices. However, concrete criteria for ‘best practice’ are missing and a critical evaluation of the success of these case studies did not take place. We present an indicator-based tool and methodology that allows assessing the progress towards sustainability of ICZM measures. An indicator-based tool was applied to 18 thematically different coastal case studies using two different methods: a fast screening and an analysis in-depth assessment. Both methods used help to identify strengths and weaknesses of ICZM and their contribution to sustainable development. However, indicator scores were highly affected by evaluators’ background and perception. The tool is user-friendly and easy to apply, it indicates what progress has made towards sustainability and to which extent targets have been met. © 2018, The Author(s).</t>
  </si>
  <si>
    <t>2-s2.0-85042938048"</t>
  </si>
  <si>
    <t>10.1016/j.compenvurbsys.2018.01.002</t>
  </si>
  <si>
    <t>https://www.scopus.com/inward/record.uri?eid=2-s2.0-85042727131&amp;doi=10.1016%2fj.compenvurbsys.2018.01.002&amp;partnerID=40&amp;md5=0ce1f92c8d9b00ccb1f2cdfd85c0834a</t>
  </si>
  <si>
    <t>Assessing changing coastal flood risk becomes increasingly uncertain across multi-decadal timeframes. This uncertainty is a fundamental complexity faced in vulnerability assessments and adaptation planning. Robust decision making (RDM) and dynamic adaptive policy pathways (DAPP) are two state-of-the-art decision support methods that are useful in such situations. In this study we use RDM to identify a small set of conditions that cause unacceptable impacts from coastal flooding, signifying that an adaptation tipping point is reached. Flexible adaptation pathways can then be designed using the DAPP framework. The methodology is illustrated using a case study in Australia and underpinned by a geographic information system model. The results suggest that conditions identified in scenario discovery direct the attention of decision-makers towards a small number of uncertainties most influential on the vulnerability of a community to changing flood patterns. This can facilitate targeted data collection and coastal monitoring activities when resources are scarce. Importantly, it can also be employed to illustrate more broadly how uncontrolled societal development, land use and historic building regulations might exacerbate flood impacts in low-lying urban areas. Notwithstanding the challenges that remain around simulation modelling and detection of environmental change, the results from our study suggest that RDM can be embedded within a DAPP framework to better plan for changing coastal flood risks. © 2018 Elsevier Ltd</t>
  </si>
  <si>
    <t>2-s2.0-85042727131"</t>
  </si>
  <si>
    <t>10.1007/s12524-018-0749-3</t>
  </si>
  <si>
    <t>https://www.scopus.com/inward/record.uri?eid=2-s2.0-85045146346&amp;doi=10.1007%2fs12524-018-0749-3&amp;partnerID=40&amp;md5=fb0573f665271780386c5288452a0bf3</t>
  </si>
  <si>
    <t>In many flood prone river basins, water inundates vast areas of land causing loss of life and heavy damage to the dwellings in flood plains. It also impacts agricultural productivity and cause severe economic losses. One of the reasons for flooding in plains of Brahmaputra valley in north east India is embankment breaching. In this study, an attempt was made for probabilistic flood hazard modelling of July 2008 embankment breaching scenario of Brahmaputra river at Matmara village, Lakhimpur district in Assam, based on various numerical simulations with the help of Center for Computational Hydro science and Engineering hydro-dynamic model. The methodology was applied over 2146 km2 flood prone area. Data inputs in the study include: Advanced Spaceborne Thermal Emission and Reflection Radiometer Digital Elevation Model, Pre-flood and Post flood satellite images of Landsat Enhanced Thematic Mapper Plus (ETM+) and other ancillary data. The simulation was carried out for various discharge levels based on flood frequency analysis. The result of the model includes spatial variations of inundated water depth and water velocity. The results were validated by comparing it with the post-flood ETM+ data and flood situation status report of National Informatics Centre. Flood hazard maps were prepared by carrying out a spatial analysis of simulated inundation depth and velocity. It was seen that the majority of flooded area fell into the very high and high categories. This information can be used to plan appropriate cost effective flood mitigation schemes. © 2018, Indian Society of Remote Sensing.</t>
  </si>
  <si>
    <t>2-s2.0-85045146346"</t>
  </si>
  <si>
    <t>10.1016/j.jag.2018.01.006</t>
  </si>
  <si>
    <t>https://www.scopus.com/inward/record.uri?eid=2-s2.0-85049924239&amp;doi=10.1016%2fj.jag.2018.01.006&amp;partnerID=40&amp;md5=25d7e94fd962f5c95d5964d0faa41db2</t>
  </si>
  <si>
    <t>This is a study of the storm surge trends in some of the typhoon-prone coastal areas of China. An unstructured-grid, storm surge-wave-tide coupled model was established for the coastal areas of Zhejiang, Fujian and Guangdong provinces. The coupled model has a high resolution in coastal areas, and the simulated results compared well with the in situ observations and satellite altimeter data. The typhoon-induced storm surges along the coast of the study areas were simulated based on the established coupled model for the past 20 years (1997–2016). The simulated results were used to analyze the trends of the storm surges in the study area. The extreme storm surge trends along the central coast of Fujian Province reached up to 0.06 m/y, significant at the 90% confidence level. The duration of the storm surges greater than 1.0 and 0.7 m had an increasing trend along the coastal area of northern Fujian Province, significant at confidence levels of 70%–91%. The simulated trends of the extreme storm surges were also validated by observations from two tide gauge stations. Further studies show that the correlation coefficient (RTE) between the duration of the storm surge greater than 1 m and the annual ENSO index can reach as high as 0.62, significant at the 99% confidence level. This occurred in a location where the storm surge trend was not significant. For the areas with significant increasing storm surge trends, RTE was small and not significant. This study identified the storm surge trends for the full complex coastline of the study area. These results are useful both for coastal management by the government and for coastal engineering design. © 2018 Elsevier B.V.</t>
  </si>
  <si>
    <t>2-s2.0-85049924239"</t>
  </si>
  <si>
    <t>10.1016/j.ijdrr.2018.03.019</t>
  </si>
  <si>
    <t>https://www.scopus.com/inward/record.uri?eid=2-s2.0-85044949587&amp;doi=10.1016%2fj.ijdrr.2018.03.019&amp;partnerID=40&amp;md5=7a270b8185d69ea46a6039688680cb30</t>
  </si>
  <si>
    <t>Small island developing states (SIDS) are characterised by their small size, remoteness and their dispersal in vulnerable regions globally. In Mauritius, rapid economic growth and expansion of suburban and coastal settlements in flood risk zones have exacerbated challenges from increased vulnerability of local communities to frequent flooding and inadequate resilience. While most studies are devoted to coastal flooding due to sea level rise, inland flooding aggravated by human settlements on exposed areas and by human-environment interaction is rarely considered. Generally, studies have focused on immediate flood impacts rather than on post-event recovery factors that reduce resilience and lead to the inability to recover through successive events. This includes living through onslaught of secondary hazards post-event. This study (2008–2014) focuses on the recovery and resilience of a flood-prone community living in a suburban area of Port-Louis, the capital of Mauritius. A mixed method of quantitative and qualitative approaches was used to examine the recovery and resilience of the community at household level. Results from quantitative analysis showed significant associations at p ≤ 0.05 between variables relating to recovery and those of income level, literacy level, and household size with children, and/or elderly persons. Qualitative results from focus group interviews indicated that social inequity and environmental injustice hindered recovery among low-income households. However, some resilience was present through community capital, with solidarity in times of adversity amongst some community sub-groups. Outcomes from a participatory exercise showed that experiential knowledge of how to cope with floods was crucial in resilience-building strategies of households and communities. © 2018 Elsevier Ltd</t>
  </si>
  <si>
    <t>2-s2.0-85044949587"</t>
  </si>
  <si>
    <t>10.1029/2017WR022318</t>
  </si>
  <si>
    <t>https://www.scopus.com/inward/record.uri?eid=2-s2.0-85051083152&amp;doi=10.1029%2f2017WR022318&amp;partnerID=40&amp;md5=29c7a13d68cdb6472ecc6101bedea882</t>
  </si>
  <si>
    <t>Flood modeling is highly influenced by topography data set. Lower resolution digital elevation models (DEMs) are usually used because of their availability and less computational burden when they are used in modeling applications. However, low accuracy of these DEMs yields to even lower accuracy in flood risk analysis through spatial modeling. This study aims to explore the DEM resolution effects on coastal flood risk assessments. For this purpose, deterministic and probabilistic approaches are employed for flood inundation modeling utilizing hydrologically connected bathtub method. High-resolution light detection and ranging (LiDAR) DEM is considered as the most accurate data from which different resolution maps are obtained using resampling techniques. This is incorporated into an error analysis framework along with U.S. Geological Survey (USGS) National Elevation Dataset (NED) DEMs. The probabilistic framework is developed by simulating the spatial variability of elevation errors compared to LiDAR DEM through a Monte Carlo-based method called sequential Gaussian simulation. The proposed methodology is applied to the lower Manhattan in New York City. By integrating the flood model into the developed framework, flood inundation probability at each grid cells is obtained. Furthermore, using the concept of accuracy-efficiency tradeoffs, a framework for selecting a suitable spatial resolution for probabilistic flood risk assessment has been suggested. The results show that by exercising a range of options presented in this paper, a broader insight into mapping resolution can be provided, improving flood assessment, evacuation zones, and mitigation plans depending upon the data availability in a region. ©2018. American Geophysical Union. All Rights Reserved.</t>
  </si>
  <si>
    <t>2-s2.0-85051083152"</t>
  </si>
  <si>
    <t>10.5194/nhess-18-1681-2018</t>
  </si>
  <si>
    <t>https://www.scopus.com/inward/record.uri?eid=2-s2.0-85048928974&amp;doi=10.5194%2fnhess-18-1681-2018&amp;partnerID=40&amp;md5=098e8d5f0ff0da1cbfccec5cbe122261</t>
  </si>
  <si>
    <t>Coastal flooding in the northern Yucatán Peninsula is mainly associated with storm surge events triggered by high-pressure cold front systems. This study evaluates the hydrodynamic processes of the Chelem lagoon, Mexico and the flooding threat from cold fronts for the neighbouring town of Progreso. A 30-year water-level hindcast (excluding wave set-up) was performed because of the lack of long-term tide gauge records. In order to assess the relative contribution from wave set-up and residual and astronomical tides to total flooding, the two worst storm scenarios in terms of maximum residual tide (Event A) and maximum water level (Event B) were simulated. Numerical results suggest that during Event A the wave set-up contribution reaches 0.35 at the coast and 0.17m inside the lagoon, and these values are smaller for Event B (0.30 and 0.14 m, respectively). Results of the effect of the tidal phase on wave set-up and residual sea level show that (i) the wave set-up contribution increases during ebb tide and decreases during flood tide at the Chelem inlet, (ii) the residual tide is larger (smaller) near low (high) or receding (rising) tide, and (iii) maximum flooding occurs when the storm peak coincides with rising or high tide. The numerical results confirm the important role of wave set-up on the assessment of coastal flooding in micro-tidal coastal environments. © Author(s) 2018.</t>
  </si>
  <si>
    <t>2-s2.0-85048928974"</t>
  </si>
  <si>
    <t>10.1016/j.gloplacha.2018.03.005</t>
  </si>
  <si>
    <t>https://www.scopus.com/inward/record.uri?eid=2-s2.0-85044932759&amp;doi=10.1016%2fj.gloplacha.2018.03.005&amp;partnerID=40&amp;md5=9c59079d94d46c14d8a9121e513fbc66</t>
  </si>
  <si>
    <t>The current and ongoing expansion of urban areas worldwide represents the largest mass migration in human history. It is well known that the world's coastal zones are associated with large and growing concentrations of population, urban development and economic activity. Among coastal environments, deltas have long been recognized for both benefits and hazards. This is particularly true on the Asian megadeltas, where the majority of the world's deltaic populations reside. Current trends in urban migration, combined with demographic momentum suggest that the already large populations on the Asian megadeltas will continue to grow. In this study, we combine recently released gridded population density (circa 2010) with a newly developed night light change product (1992 to 2012) and a digital elevation model to quantify the spatial distribution of population and development on the nine Asian megadeltas. Bivariate distributions of population as functions of elevation and coastal proximity quantify potential exposure of deltaic populations to flood and coastal hazards. Comparison of these distributions for the Asian megadeltas show very different patterns of habitation with peak population elevations ranging from 2 to 11 m above sea level over a wide range of coastal proximities. Over all nine megadeltas, over 174 million people reside below a peak population elevation of 7 m. Changes in the spatial extent of anthropogenic night light from 1992 to 2012 show widely varying extents and changes of lighted urban development. All of the deltas except the Indus show the greatest increases in night light brightness occurring at elevations &lt;10 m. At global and continental scales, growth of settlements of all sizes takes the form of evolving spatial networks of development. Spatial networks of lighted urban development in Asia show power law scaling properties consistent with other continents, but much higher rates of growth. The three largest networks of development in China all occur on deltas and adjacent lowlands, and are growing faster than the rest of the urban network in China. Since 2000, the Huanghe Delta + North China Plain urban network has surpassed the Japanese urban network in size and may soon connect with the Changjiang Delta + Yangtze River urban network to form the largest conurbation in Asia. © 2018</t>
  </si>
  <si>
    <t>2-s2.0-85044932759"</t>
  </si>
  <si>
    <t>10.1007/s10236-018-1151-y</t>
  </si>
  <si>
    <t>https://www.scopus.com/inward/record.uri?eid=2-s2.0-85046274236&amp;doi=10.1007%2fs10236-018-1151-y&amp;partnerID=40&amp;md5=47f3e033adf13a1880c137ddf7cdfb56</t>
  </si>
  <si>
    <t>A localized truncation error analysis with complex derivatives (LTEA+CD) is applied recursively with advanced circulation (ADCIRC) simulations of tides and storm surge for finite element mesh optimization. Mesh optimization is demonstrated with two iterations of LTEA+CD for tidal simulation in the lower 200 km of the St. Johns River, located in northeast Florida, and achieves more than an over 50% decrease in the number of mesh nodes, relating to a twofold increase in efficiency, at a zero cost to model accuracy. The recursively generated meshes using LTEA+CD lead to successive reductions in the global cumulative truncation error associated with the model mesh. Tides are simulated with root mean square error (RMSE) of 0.09–0.21 m and index of agreement (IA) values generally in the 80s and 90s percentage ranges. Tidal currents are simulated with RMSE of 0.09–0.23 m s−1 and IA values of 97% and greater. Storm tide due to Hurricane Matthew 2016 is simulated with RMSE of 0.09–0.33 m and IA values of 75–96%. Analysis of the LTEA+CD results shows the M2 constituent to dominate the node spacing requirement in the St. Johns River, with the M4 and M6 overtides and the STEADY constituent contributing some. Friction is the predominant physical factor influencing the target element size distribution, especially along the main river stem, while frequency (inertia) and Coriolis (rotation) are supplementary contributing factors. The combination of interior- and boundary-type computational molecules, providing near-full coverage of the model domain, renders LTEA+CD an attractive mesh generation/optimization tool for complex coastal and estuarine domains. The mesh optimization procedure using LTEA+CD is automatic and extensible to other finite element-based numerical models. Discussion is provided on the scope of LTEA+CD, the starting point (mesh) of the procedure, the user-specified scaling of the LTEA+CD results, and the iteration (termination) of LTEA+CD for mesh optimization. © 2018, Springer-Verlag GmbH Germany, part of Springer Nature.</t>
  </si>
  <si>
    <t>2-s2.0-85046274236"</t>
  </si>
  <si>
    <t>10.1016/j.geomorph.2018.01.029</t>
  </si>
  <si>
    <t>https://www.scopus.com/inward/record.uri?eid=2-s2.0-85044633008&amp;doi=10.1016%2fj.geomorph.2018.01.029&amp;partnerID=40&amp;md5=c5109dee4dbbdb9d734a296d42729a10</t>
  </si>
  <si>
    <t>The distortion of the tide in estuaries, bays and coastal areas is the result of the generation of overtides due to the non-linear effects associated with friction, advection, and the finite effects of the tidal amplitude in shallow waters. The Beira estuary is classified as macrotidal, with a large ratio of S2/M2. Typical tides ranges from 6 m and 0.8 m, during springs and neaps tides, respectively. As a consequence of this large fortnightly tidal amplitude difference and the estuarine morphology, asymmetry inversions occur. Two types of tidal asymmetries were investigated in this paper, one considering tidal duration asymmetry (time difference between rising and falling tide) and the other, related to tidal velocity asymmetry (unequal magnitudes of flood and ebb peaks currents). In the Beira estuary when we examine the tidal duration asymmetry, flood dominance is observed during spring tide periods (negative time difference between rising and falling tide), while ebb dominance appears during neap tides (positive time difference between rising and falling tide). A 2DH hydrodynamic model was implemented to analyze this asymmetry inversion. The model was calibrated with water-level data measured at the Port of Beira and current data measured along the estuary. The model was run for different scenarios considering tidal constituents at the ocean boundary, river discharge and the morphology of the estuary. River discharge did not show significant effects on the tidal duration asymmetry. Through comparison of the scenarios, it was shown that the incoming ocean tide at the boundary has an ebb-dominant asymmetry, changing to flood-dominant only during spring tides due to the effect of shoaling and friction within the estuary. During neap tides, the propagation occurs mainly in the channels, and ebb dominance remains. The interplay between the estuary morphodynamics was thus identified and the relation between tidal duration asymmetry and tidal velocity asymmetry was observed. While fortnightly inversion in the tidal duration asymmetry is explained by the presence of channels and sandbanks, at the same time, the tidal velocity asymmetry acts as a positive feedback mechanism for bank formation and sediment retention. © 2018 Elsevier B.V.</t>
  </si>
  <si>
    <t>2-s2.0-85044633008"</t>
  </si>
  <si>
    <t>10.5194/essd-10-1185-2018</t>
  </si>
  <si>
    <t>https://www.scopus.com/inward/record.uri?eid=2-s2.0-85049154634&amp;doi=10.5194%2fessd-10-1185-2018&amp;partnerID=40&amp;md5=fff54c608c5b26ad40301be8ea18aa90</t>
  </si>
  <si>
    <t>Assessing the impact of changes on the environment driven by natural or anthropogenic forcers includes the comparison between antecedent and post-event conditions. The latter is particularly relevant in order to better understand to which extent those changes actually impact or alter a particular environment and associated services and to determine the resilience of a system. In this regard, it becomes essential to create or provide databases to inform about baseline conditions. Here, we present a database that integrates surficial sediment samples collected and analysed for textural characterization within the framework of a series of research projects over circa 20 years. Collected samples along the south-western Atlantic margin of the Iberian Peninsula extend from estuaries and beaches to the adjacent continental shelf. For the case of the more dynamic environments, namely coastal sandy barriers, samples were repeated over time in order to capture the intrinsic variability of the system. Examples of the utility of this data set for a variety of purposes and environments are also included within this paper through three examples. Therefore, here we show the added value of the database as it can be used to assess the impact of a particular event or activity at an estuary by providing baseline conditions, evaluate the continental shelf sediment suitability for nourishment activities, or contribute to the understanding of the morphodynamics and classification of beaches. Finally, it is worth stating the importance of such databases to analyse medium- to long-term variability as the one induced by sea level rise, changes in storminess, or human activities. © 2018 Author(s).</t>
  </si>
  <si>
    <t>2-s2.0-85049154634"</t>
  </si>
  <si>
    <t>10.1007/s11852-018-0598-9</t>
  </si>
  <si>
    <t>https://www.scopus.com/inward/record.uri?eid=2-s2.0-85046623500&amp;doi=10.1007%2fs11852-018-0598-9&amp;partnerID=40&amp;md5=6bb0efb94c1ab56505fe442d76ca1d58</t>
  </si>
  <si>
    <t>Aggregated results from twenty years of community-engaged assiduous restoration of severely degraded coastal littoral systems in New Zealand (NZ) reveal numerous fundamental and substantive natural improvements to dune form, function, and storm resilience. This is accomplished by simple, low-cost exclusive utilisation of the variably threatened local indigenous dune plant species. These valuable and innovative enhancements succeed countless decades of cascading consequences from numerous impacts instigated by historic (and frequently continuing) damaging effects on those previously natural coastal dune ecosystems – impacts that subsequently induced problematic littoral retreat – the true root cause of prevailing coastal erosion. The durable reversals were often generated in less than two decades, contemporaneously with adverse storm surge and sea level rise conditions. Research reveals many global dune ecosystems are afflicted with analogous normalised degradation and erosion difficulties, with the earliest active circumvention recorded in sixteenth century Denmark (McKelvey 1999). Historic plus current pressures such as coastal settlement impacts and continuing agricultural use of dunelands similarly threaten numerous global littoral margins, alongside recent concerns regarding the compounding effects of climate change. Successful, affordable, diligent dune restoration work pioneered in NZ has extensive benefits for other nations experiencing similarly challenging attrition on degraded coastal zones. Persuasive data is presented to validate the numerous persistently accrued benefits of this cost-effective and enduring coastal adaptation response. © 2018, Springer Science+Business Media B.V., part of Springer Nature.</t>
  </si>
  <si>
    <t>2-s2.0-85046623500"</t>
  </si>
  <si>
    <t>10.2112/JCOASTRES-D-18A-00001.1</t>
  </si>
  <si>
    <t>https://www.scopus.com/inward/record.uri?eid=2-s2.0-85049857041&amp;doi=10.2112%2fJCOASTRES-D-18A-00001.1&amp;partnerID=40&amp;md5=6d0a459bf8d038c620da9c0eb8b7c337</t>
  </si>
  <si>
    <t>Over the last decade the concept of ""king tides"" has become a common colloquial term to describe higher than normal high tides. The terminology originated in 2009, when Australia experienced their highest seasonal tides in almost 20 years. In response, a public engagement program, ""The King Tides Project</t>
  </si>
  <si>
    <t xml:space="preserve"> was formed that has since spread globally. Discrepancies regarding the definition and frequency of king tides can be identified between the different initiatives. This communication analyzes the multifaceted and contradictory meanings of king tides and concludes by providing a holistic and comprehensive definition. © Coastal Education and Research Foundation, Inc. 2018.§Article§Scopus§2-s2.0-85049857041</t>
  </si>
  <si>
    <t>10.1371/journal.pone.0196278</t>
  </si>
  <si>
    <t>https://www.scopus.com/inward/record.uri?eid=2-s2.0-85047484975&amp;doi=10.1371%2fjournal.pone.0196278&amp;partnerID=40&amp;md5=766ae39fbfee4afa58aa3c71c660ae1a</t>
  </si>
  <si>
    <t>Lake Okeechobee, FL, USA, has been subjected to intensifying cyanobacterial blooms that can spread to the adjacent St. Lucie River and Estuary via natural and anthropogenically-induced flooding events. In July 2016, a large, toxic cyanobacterial bloom occurred in Lake Okeechobee and throughout the St. Lucie River and Estuary, leading Florida to declare a state of emergency. This study reports on measurements and nutrient amendment experiments performed in this freshwater-estuarine ecosystem (salinity 0–25 PSU) during and after the bloom. In July, all sites along the bloom exhibited dissolved inorganic nitrogen-to-phosphorus ratios &lt; 6, while Microcystis dominated (&gt; 95%) phytoplankton inventories from the lake to the central part of the estuary. Chlorophyll a and microcystin concentrations peaked (100 and 34 μg L-1, respectively) within Lake Okeechobee and decreased eastwards. Metagenomic analyses indicated that genes associated with the production of microcystin (mcyE) and the algal neurotoxin saxitoxin (sxtA) originated from Microcystis and multiple diazotrophic genera, respectively. There were highly significant correlations between levels of total nitrogen, microcystin, and microcystin synthesis gene abundance across all surveyed sites (p &lt; 0.001), suggesting high levels of nitrogen supported the production of microcystin during this event. Consistent with this, experiments performed with low salinity water from the St. Lucie River during the event indicated that algal biomass was nitrogen-limited. In the fall, densities of Microcystis and concentrations of microcystin were significantly lower, green algae co-dominated with cyanobacteria, and multiple algal groups displayed nitrogen-limitation. These results indicate that monitoring and regulatory strategies in Lake Okeechobee and the St. Lucie River and Estuary should consider managing loads of nitrogen to control future algal and microcystin-producing cyanobacterial blooms. This is an open access article, free of all copyright, and may be freely reproduced, distributed, transmitted, modified, built upon, or otherwise used by anyone for any lawful purpose. The work is made available under the Creative Commons CC0 public domain dedication.</t>
  </si>
  <si>
    <t>2-s2.0-85047484975"</t>
  </si>
  <si>
    <t>10.1016/j.scitotenv.2018.02.184</t>
  </si>
  <si>
    <t>https://www.scopus.com/inward/record.uri?eid=2-s2.0-85042350658&amp;doi=10.1016%2fj.scitotenv.2018.02.184&amp;partnerID=40&amp;md5=dcdf2539c8729f1e02e5c55c3c44da08</t>
  </si>
  <si>
    <t>Saltwater intrusion (SWI) into root zone in low-lying coastal areas can affect the survival and spatial distribution of various vegetation species by altering plant communities and the wildlife habitats they support. In this study, a baseline model was developed based on FEMWATER to simulate the monthly variation of root zone salinity of a geo-typical area located at the Cape Canaveral Barrier Island Complex (CCBIC) of coastal east-central Florida (USA) in 2010. Based on the developed and calibrated baseline model, three diagnostic FEMWATER models were developed to predict the extent of SWI into root zone by modifying the boundary values representing the rising sea level based on various sea-level rise (SLR) scenarios projected for 2080. The simulation results indicated that the extent of SWI would be insignificant if SLR is either low (23.4 cm) or intermediate (59.0 cm), but would be significant if SLR is high (119.5 cm) in that infiltration/diffusion of overtopping seawater in coastal low-lying areas can greatly increase root zone salinity level, since the sand dunes may fail to prevent the landward migration of seawater because the waves of the rising sea level can reach and pass over the crest under high (119.5 cm) SLR scenario. © 2018 Elsevier B.V.</t>
  </si>
  <si>
    <t>2-s2.0-85042350658"</t>
  </si>
  <si>
    <t>10.1007/s11069-018-3236-9</t>
  </si>
  <si>
    <t>https://www.scopus.com/inward/record.uri?eid=2-s2.0-85042600216&amp;doi=10.1007%2fs11069-018-3236-9&amp;partnerID=40&amp;md5=4e1550f32234186d25e66336c3cb507a</t>
  </si>
  <si>
    <t>The adverse impact of climate change-associated extreme weather events is becoming more significant globally, particularly the flood impact on coastal and low-lying areas such as the Pearl River Delta (PRD). This study applied the framework to obtain order-of-magnitude estimations of human damages from future flood disasters caused by sea level rise for Hong Kong and the PRD region in southern China by 2050 and 2100. The assessment framework employs statistical analysis to combine global historical flood damage data with national development indicators and local sea level characteristics to assess the potential damages. Following the terminology of the Intergovernmental Panel on Climate Change Special Report on Extreme Events, the three determinants of disaster risk (climate extreme, exposure and vulnerability) are quantified in our framework. It is found that without adaptation, sea level rise will significantly increase the flood risk in this region. For instance, in the PRD region, with a 75-cm sea level rise by 2100, the deaths and displacements from a 100-year flood are estimated to be around 200 and 1.5 million, respectively. Our results provide motivation for regional authorities to adopt a long-term adaptation plan to reduce exposure and vulnerability to flooding, thus managing the risks in this region. Furthermore, with appropriate datasets available, our framework allows the assessment of the effects of flooding in other areas and/or the quantitative evaluation of potential losses from other climate-related hazards such as heat waves. © 2018, Springer Science+Business Media B.V., part of Springer Nature.</t>
  </si>
  <si>
    <t>2-s2.0-85042600216"</t>
  </si>
  <si>
    <t>10.1117/1.JRS.12.036008</t>
  </si>
  <si>
    <t>https://www.scopus.com/inward/record.uri?eid=2-s2.0-85055466171&amp;doi=10.1117%2f1.JRS.12.036008&amp;partnerID=40&amp;md5=8961310d349ee383e42cd2f8808b0ff9</t>
  </si>
  <si>
    <t>This work was supported by the National Center for Space Studies in the framework of the future mission surface water and ocean topography (SWOT). The estuarine zones with their complex hydrodynamics represent a great challenge for the future SWOT mission. The Seine estuary was selected by the SWOT Science Definition Team for the calibration/validation of the mission. Thus the aim of this study is to investigate the temporal hydrodynamic variability in the Seine estuary and the SWOT ability to reproduce this variability and hydrodynamic phenomena. For this, we used several statistical techniques and frequency analyses applied on the tide-gauge measurements of the Seine estuary and on SWOT simulated data. SWOT samples (SWOT simulated data) have been extracted synthetically from observations using the number of overpasses per repeat cycle [21 days (d)] in order to study the ability of SWOT to reproduce the time variability of the hydrodynamics. Results have demonstrated similar frequencies of multiyear, annual, and intraannual along the estuary from the Seine discharge to the Cherbourg sea level. The 11- to 22-d frequency has been only observed for estuarine and coastal time series suggesting the tide effect in these contexts. The distribution of levels has shown a high influence of tides and discharges at the downstream and the upstream, respectively. Low frequencies of water level are explained by the climate patterns of North Atlantic Oscillation with a mean range of 65%, whereas the high frequencies are associated to the periods of flooding and stormy events. Finally, simulated SWOT samples of water level show a better restitution of observations for high overpasses number. The results have shown a better restitution of hydrodynamic variability by SWOT in the river and upstream of estuary than in the downstream of estuary and coastal zone: In the estuary downstream and the coast, the annual mode is underexpressed while the 3-month (m) mode is overexpressed, which means the annual mode is underestimated and the 3-m mode is amplified by SWOT. © 2018 Society of Photo-Optical Instrumentation Engineers (SPIE). © 2018 Society of Photo-Optical Instrumentation Engineers (SPIE).</t>
  </si>
  <si>
    <t>2-s2.0-85055466171"</t>
  </si>
  <si>
    <t>10.5751/ES-10004-230239</t>
  </si>
  <si>
    <t>https://www.scopus.com/inward/record.uri?eid=2-s2.0-85049608614&amp;doi=10.5751%2fES-10004-230239&amp;partnerID=40&amp;md5=2f113521a9416e28ac0cc61f84ce4cef</t>
  </si>
  <si>
    <t>Coastal areas are exposed to changing patterns of mobility and increasingly extreme weather events, offering unique opportunities to study the complexity of adaptation to global changes and the diversity of responses to risk. How individuals and communities respond to risk varies widely, however traditional rationalist and economic based understandings have proved limited in explaining responses to risk. Increasingly social science, and specifically, a focus on peoples’ relationships with their local places is providing a useful approach to understanding human responses to place based change. We bring together literature on sense of place, mobility, risk perception, and adaptation and develop a conceptual model to highlight the dynamic links between these processes. In particular we concentrate on a way of understanding risk that focuses on the role of different types of attachments to place. We explore this model using a pilot study (n = 70) and present data that indicates how different types of place attachments are significant in whether people perceive themselves to be at risk of flooding. Our review and results emphasize the interconnectivity of social and environmental change, and suggests that by identifying particular place attachments, as shaped by mobility, we can deepen our understanding of how communities choose to respond to risk. © 2018 by the author(s).</t>
  </si>
  <si>
    <t>2-s2.0-85049608614"</t>
  </si>
  <si>
    <t>10.3390/geosciences8050178</t>
  </si>
  <si>
    <t>https://www.scopus.com/inward/record.uri?eid=2-s2.0-85047748975&amp;doi=10.3390%2fgeosciences8050178&amp;partnerID=40&amp;md5=1194093dac89a10685f278277caff0ca</t>
  </si>
  <si>
    <t>Coastal zones currently face severe weaknesses and are subject to high-risk situations. Tropical storm events can contribute to the occurrence of these high-risk situations by causing storm surges with high water levels and, consequently, episodes of wave-overtopping and coastal flooding. This work considers a series of storm scenarios and analyzes their impacts through numerical modeling. Firstly, historical storm tracks and intensities are characterized for the Portuguese northern coast in terms of probability of occurrence. Secondly, several storm events with a high potential of occurrence are generated using a specific tool of the DelftDashboard interface for Delft3D software. Hydrodynamic models are then used to generate an ensemble of simulations to assess the storms’ effects on coastal water levels. Based on the statistical data of the numerical modeling results, a synthesis of the coastal storms’ impacts at different locations within the study area is performed. Depending on the storm category, surge heights can reach 1.10 m above tide levels under simulated conditions on the Portuguese northwestern coast. © 2018 by the authors. Licensee MDPI, Basel, Switzerland.</t>
  </si>
  <si>
    <t>2-s2.0-85047748975"</t>
  </si>
  <si>
    <t>10.5194/nhess-18-1937-2018</t>
  </si>
  <si>
    <t>https://www.scopus.com/inward/record.uri?eid=2-s2.0-85049997823&amp;doi=10.5194%2fnhess-18-1937-2018&amp;partnerID=40&amp;md5=abc3406c024171de32ef04bf0f0d293d</t>
  </si>
  <si>
    <t>The possibility of utilizing statistical dependence methods in coastal flood hazard calculations is investigated since flood risk is rarely a function of just one source variable but usually two or more. Source variables in most cases are not independent as they may be driven by the same weather event, so their dependence, which is capable of modulating their joint return period, has to be estimated before the calculation of their joint probability. Dependence and correlation may differ substantially from one another since dependence is focused heavily on tail (extreme) percentiles. The statistical analysis between surge and wave is performed over 32 river ending points along European coasts. Two sets of almost 35-year hindcasts of storm surge and wave height were adopted, and results are presented by means of analytical tables and maps referring to both correlation and statistical dependence values. Further, the top 80 compound events were defined for each river ending point. Their frequency of occurrence was found to be distinctly higher during the cold months, while their main low-level flow characteristics appear to be mainly in harmony with the transient nature of storms and their tracks. Overall, significantly strong values of positive correlations and dependencies were found over the Irish Sea</t>
  </si>
  <si>
    <t>10.24043/isj.17</t>
  </si>
  <si>
    <t>https://www.scopus.com/inward/record.uri?eid=2-s2.0-85035239606&amp;doi=10.24043%2fisj.17&amp;partnerID=40&amp;md5=4e614fa285e816fb4801f876711e312f</t>
  </si>
  <si>
    <t>Coastal zones and small islands are among the areas most impacted by global climate change and face great challenges for adaptation. While being considered as particularly vulnerable, many coastal communities, nevertheless, have long traditions of living not only by but with the sea. If such ecotones―places where ecosystems intersect―have features distinct from purely continental regions, the question is how life with the shore translates into adaptability towards environmental change. Life at the shore shapes emergent social relationships, local traditions, and collective memory. At the same time, issues such as tourism development, demographic change, and national and international administrations influence how environmental challenges in coastal areas are addressed. In this paper, I analyse how place-specific social structures and conflicting influences in ecotones affect adaptability to sea-level rise in coastal areas. This research draws on quantitative and qualitative data from a comparative study of two case studies, a coastal town and an archipelago, in Southwest England. © 2018 — Institute of Island Studies, University of Prince Edward Island, Canada.</t>
  </si>
  <si>
    <t>2-s2.0-85035239606"</t>
  </si>
  <si>
    <t>10.1016/j.ijdrr.2018.02.012</t>
  </si>
  <si>
    <t>https://www.scopus.com/inward/record.uri?eid=2-s2.0-85042386643&amp;doi=10.1016%2fj.ijdrr.2018.02.012&amp;partnerID=40&amp;md5=a8d67bfa56d791d47de03810a798debc</t>
  </si>
  <si>
    <t>Sea level rise causes saltwater intrusion and flooding of agricultural land and ultimately threatens the livelihoods of farm households in the delta region of Myanmar. Empirical research on the effects of climate change on the delta's agriculture and an assessment of the vulnerability are becoming necessary. This study explores the vulnerability of farm households to sea level rise using two methods: the Livelihood Vulnerability Index (LVI), which is comprised of 37 indicators, and the Socioeconomic Vulnerability Index (SeVI), which contains 35 indicators. Interviews with 178 farmers were conducted in Bogale, Pyapon and Dedaye Townships in Pyapon District. In addition, 7 focus group discussions were performed, with at least 2 discussions in each Township. Both methods identify Bogale to be the most vulnerable Township, followed by Dedaye and Pyapon Townships. Following the LVI approach, Bogale Township has the highest sensitivity to climate effects and the highest exposure to natural hazards, but also a higher adaptive capacity than the other townships. In contrast using the SeVI approach, Bogale was found to have the highest sensitivity and exposure to natural hazards but the lowest adaptive capacity score. The study found that the climate change adaptation measures taken by the farmers are important to limit vulnerable to the adverse effects of climate change and thus promotion of the adaptive capacity of farmers is important for the delta region of Myanmar. © 2018 Elsevier Ltd</t>
  </si>
  <si>
    <t>2-s2.0-85042386643"</t>
  </si>
  <si>
    <t>10.1111/1365-2664.13086</t>
  </si>
  <si>
    <t>https://www.scopus.com/inward/record.uri?eid=2-s2.0-85040861352&amp;doi=10.1111%2f1365-2664.13086&amp;partnerID=40&amp;md5=eaf3c4e3ad35e17aa3baccb50085aaf1</t>
  </si>
  <si>
    <t>The açaí palm Euterpe oleracea Mart. in the Amazon river delta has seen rapid expansion to meet increased demand for its fruit. This has been achieved by transforming lowland forest habitats (floodplains) into simplified agroforests and intensive plantation in upland areas. As açaí palm makes an important contribution to the economy and food security of local communities, identifying management approaches that support biodiversity and ecosystem processes that underpin fruit production on açaí farms is essential. We compared flower-visitor communities and açaí fruit production in floodplain forests and upland plantations, across gradients of local management intensity (i.e. açaí density per ha) and surrounding forest cover. The relative contribution of biotic pollination and degree of pollen limitation were assessed using insect exclusion and hand-pollination experiments. We found that açaí flower visitors are highly diverse (c. 200 distinct taxa) and had variable responses to disturbance. Bee visitation was higher in floodplains and positively related to surrounding forest cover, but other flower visitors, including specialised curculionid beetles, were unresponsive to changes in surrounding forest cover. However, intensive management practices (i.e. high açaí palm densities) in floodplains and uplands had contrasting effects on flower-visitor communities, with flower-visitor richness being lower on intensively managed floodplain farms and ant densities being higher on intensive upland farms. Pollination experiments revealed açaí palm to be highly dependent on biotic pollination. Fruit set in open-pollinated inflorescences was positively related to flower-visitor richness and specialised curculionid beetle visitation, whereas the presence of ants on inflorescences had a negative effect. Synthesis and applications. Our study shows that pollinators are essential for açaí fruit production, but that intensive farming practices have eroded the relationship between surrounding forest cover and ecosystem function in floodplains (i.e. conversion of native forest into simplified agroforests) and increased the frequency of antagonistic interactions in uplands (e.g. high ant densities). These findings underline the value of extensive management practices, such as the maintenance of other tree species within farms and adjacent unmanaged forest patches, to ensure the long-term sustainability of açaí fruit production in the Amazon river delta. © 2018 The Authors. Journal of Applied Ecology © 2018 British Ecological Society</t>
  </si>
  <si>
    <t>2-s2.0-85040861352"</t>
  </si>
  <si>
    <t>10.1016/j.gloplacha.2018.05.006</t>
  </si>
  <si>
    <t>https://www.scopus.com/inward/record.uri?eid=2-s2.0-85047603512&amp;doi=10.1016%2fj.gloplacha.2018.05.006&amp;partnerID=40&amp;md5=77070cd8e31d7325241d6b439116b41c</t>
  </si>
  <si>
    <t>The impact of glacial lake development on the evolution of glaciers in the Himalaya is poorly quantified, despite the increasing prevalence of supraglacial and proglacial water bodies throughout the region. In this study we examine changes in the geometry, velocity and surface elevation of nine lake-terminating and nine land-terminating glaciers in the Everest region of the central Himalaya over the time period 2000 to 2015. The land-terminating glaciers we examined all decelerated (mean velocity change of −0.16 to −5.60 m a−1 for different glaciers), thinned most in their middle reaches, and developed a more gently sloping surface (−0.02 to −0.37° change) down-glacier over the period 2000–2015. The lake-terminating glaciers we examined all retreated (0.46 to 1.42 km), became steeper (0.04 to 8.68° change), and showed maximum thinning towards their termini, but differed in terms of their dynamics, with one group of glaciers accelerating (mean speed-up of 0.18 to 8.04 m a−1) and the other decelerating (mean slow-down of −0.36 m a−1 to −8.68 m a−1). We suggest that these two scenarios of glacier evolution each represent a different phase of glacial lake expansion</t>
  </si>
  <si>
    <t>10.1007/s10113-018-1311-0</t>
  </si>
  <si>
    <t>https://www.scopus.com/inward/record.uri?eid=2-s2.0-85044038741&amp;doi=10.1007%2fs10113-018-1311-0&amp;partnerID=40&amp;md5=f11ab4ff80eaba1cdf78a05a3348fcf8</t>
  </si>
  <si>
    <t>Even if climate change mitigation is successful, sea levels will keep rising. With subsidence, relative sea-level rise represents a long-term threat to low-lying deltas. A large part of coastal Bangladesh was analysed using the Delta Dynamic Integrated Emulator Model to determine changes in flood depth, area and population affected given sea-level rise equivalent to global mean temperature rises of 1.5, 2.0 and 3.0 °C with respect to pre-industrial for three ensemble members of a modified A1B scenario. Annual climate variability today (with approximately 1.0 °C of warming) is potentially more important, in terms of coastal impacts, than an additional 0.5 °C warming. In coastal Bangladesh, the average depth of flooding in protected areas is projected to double to between 0.07 and 0.09 m when temperatures are projected at 3.0 °C compared with 1.5 °C. In unprotected areas, the depth of flooding is projected to increase by approximately 50% to 0.21–0.27 m, whilst the average area inundated increases 2.5 times (from 5 to 13% of the region) in the same temperature frame. The greatest area of land flooded is projected in the central and north-east regions. In contrast, lower flood depths, less land area flooded and fewer people are projected in the poldered west of the region. Over multi-centennial timescales, climate change mitigation and controlled sedimentation to maintain relative delta height are key to a delta’s survival. With slow rates of sea-level rise, adaptation remains possible, but further support is required. Monitoring of sea-level rise and subsidence in deltas is recommended, together with improved datasets of elevation. © 2018, The Author(s).</t>
  </si>
  <si>
    <t>2-s2.0-85044038741"</t>
  </si>
  <si>
    <t>10.1016/j.jhydrol.2018.04.041</t>
  </si>
  <si>
    <t>https://www.scopus.com/inward/record.uri?eid=2-s2.0-85046367670&amp;doi=10.1016%2fj.jhydrol.2018.04.041&amp;partnerID=40&amp;md5=0517ac4a87b4b929bf7c728776eb8201</t>
  </si>
  <si>
    <t>Hydrological and hydrodynamic models are core tools for simulation of large basins and complex river systems associated to wetlands. Recent studies have pointed towards the importance of online coupling strategies, representing feedbacks between floodplain inundation and vertical hydrology. Especially across semi-arid regions, soil-floodplain interactions can be strong. In this study, we included a two-way coupling scheme in a large scale hydrological-hydrodynamic model (MGB) and tested different model structures, in order to assess which processes are important to be simulated in large semi-arid wetlands and how these processes interact with water budget components. To demonstrate benefits from this coupling over a validation case, the model was applied to the Upper Niger River basin encompassing the Niger Inner Delta, a vast semi-arid wetland in the Sahel Desert. Simulation was carried out from 1999 to 2014 with daily TMPA 3B42 precipitation as forcing, using both in-situ and remotely sensed data for calibration and validation. Model outputs were in good agreement with discharge and water levels at stations both upstream and downstream of the Inner Delta (Nash-Sutcliffe Efficiency (NSE) &gt;0.6 for most gauges), as well as for flooded areas within the Delta region (NSE = 0.6</t>
  </si>
  <si>
    <t>10.1002/esp.4308</t>
  </si>
  <si>
    <t>https://www.scopus.com/inward/record.uri?eid=2-s2.0-85041608919&amp;doi=10.1002%2fesp.4308&amp;partnerID=40&amp;md5=30e3e6e73c46ca0ee19c758a9c090bc2</t>
  </si>
  <si>
    <t>Erosion of hard-rock coastal cliffs is understood to be caused by a combination of both marine and sub-aerial processes. Beach morphology, tidal elevation and significant wave heights, especially under extreme storm conditions, can lead to variability in wave energy flux to the cliff-toe. Wave and water level measurements in the nearshore under energetic conditions are difficult to obtain and in situ observations are rare. Here we use monthly cliff-face volume changes detected using terrestrial laser scanning alongside beach morphological changes and modelled nearshore hydrodynamics to examine how exposed cliffs respond to changes in extreme wave conditions and beach morphology. The measurements cover the North Atlantic storms of 2013 to 2014 and consider two exposed stretches of coastline (Porthleven and Godrevy, UK) with contrasting beach morphology fronting the cliffs</t>
  </si>
  <si>
    <t>10.1007/s11769-017-0926-2</t>
  </si>
  <si>
    <t>https://www.scopus.com/inward/record.uri?eid=2-s2.0-85033494723&amp;doi=10.1007%2fs11769-017-0926-2&amp;partnerID=40&amp;md5=05c91e92ccab3ac779fca214f59bbf02</t>
  </si>
  <si>
    <t>Aquaculture ponds are one of the fastest-growing land use types in valuable and fertile coastal areas and have caused serious environmental problems. Quantitative assessment of the extent, spatial distribution, and dynamics of aquaculture ponds is of utmost importance for sustainable economic development and scientific management of land and water resources in the coastal area. An object- oriented classification approach was applied to Landsat images acquired over three decades to investigate the long-term change of aquaculture ponds in the coastal region of the Yellow River Delta. The results indicated that the aquaculture ponds in the study area undergone a sharp expansion from 40.38 km2 in 1983 to 1406.89 km2 in 2015, and the fast expansion occurred during the period of 2010–2015 and 1990–2000. Natural wetlands, especially mudflat, and cropland were main land use types contributing to the increase of aquaculture ponds. The patches of aquaculture ponds were consequently prevalence in the north of the Yellow River Estuary and landscape metrics indicated an increase of the aquaculture ponds of the study area in the quantity and complexity. The expansion of aquaculture ponds inevitably had negative effects on the coastal environment, including loss of natural wetlands, water pollution and land subsidence, etc. The results from this study provide baseline data and valuable information for efficiently planning and managing aquaculture practices and for effectively implementing adequate regulations and protection measures. © 2018, Science Press, Northeast Institute of Geography and Agricultural Ecology, CAS and Springer-Verlag GmbH Germany, part of Springer Nature.</t>
  </si>
  <si>
    <t>2-s2.0-85033494723"</t>
  </si>
  <si>
    <t>10.1007/s12145-017-0326-2</t>
  </si>
  <si>
    <t>https://www.scopus.com/inward/record.uri?eid=2-s2.0-85030703958&amp;doi=10.1007%2fs12145-017-0326-2&amp;partnerID=40&amp;md5=dc05d487084dc6cab79e272a01f70c55</t>
  </si>
  <si>
    <t>The objective of this work was the estimation of time-space hydraulic (water depth, flow velocity) and morphological (sediment transport and bank erosion) characteristics in the downstream part of a Mediterranean stream under current and future climatic conditions. The two-dimensional hydraulic model MIKE 21C was used, which has been developed specifically to simulate 2D flow and morphological changes in rivers. The model is based on an orthogonal curvilinear grid and comprises two parts: (a) the hydrodynamic part and (b) the morphological changes part. The curvilinear grid and the bathymetry file were generated using a very high-resolution DEM (1 m × 1 m). Time series discharge data from a hydrometric station introduced in the hydrodynamic part of the model. Regarding the morphological part of the model, field measurements of suspended sediment concentration and of bank erosion were used. The model was calibrated and verified using field data that were collected during high and low flow discharges. Model simulation was in good agreement with field observations as indicated by a variety of statistical measures. Next, for predicting the riverbank change, future meteorological data and river flow data for the next 10 years (2017–2027) were employed. These data series were created according to a lower and a higher emission climate change scenario. Based on the results, an increase in rainfall intensity may cause significant changes in river banks after 10 years (more than 5 m of soil loss in river meanders). Using the obtained simulation results, extreme hydrological events such as floods transporting large sediment loads and changes in river morphology can be monitored. The proposed methodology was applied to the downstream part of the Koiliaris River Basin in Crete, Greece. © 2017, Springer-Verlag GmbH Germany.</t>
  </si>
  <si>
    <t>2-s2.0-85030703958"</t>
  </si>
  <si>
    <t>10.1029/2017JC013434</t>
  </si>
  <si>
    <t>https://www.scopus.com/inward/record.uri?eid=2-s2.0-85047610325&amp;doi=10.1029%2f2017JC013434&amp;partnerID=40&amp;md5=3b7221fff95c76c6005fcb9b7efbbf2d</t>
  </si>
  <si>
    <t>We apply a coupled circulation-wave model to simulate extreme sea levels induced by tropical cyclones at the basin scale. We quantify storm tides, surges, waves, and their interactions for historical tropical cyclones (1988-2015) in the western North Atlantic Ocean. Comparisons between model results and field observations along the U.S. East and Gulf Coasts indicate that the overall performance of the model is satisfactory, with a root-mean-square error, bias, and Willmott skill of, respectively, 0.31, 20.04 m, and 0.9 for storm tides and 1.94 m, 20.22 m, and 0.87 for significant wave heights. Model results show that the highest surge levels were generated in Western Long Island Sound and NY/NJ Harbor, along the coasts of the Carolinas and Southwest Florida, near the Mississippi River delta, and along the coasts of Louisiana and East Texas. We find that the nonlinear tide-surge interaction is often significant, but its contribution to peak storm tides induced by the most extreme events (i.e., storms that caused storm tides larger than 2 m) was moderate (212% to 5%). We find that the maximum wave setup was relatively large (tens of cm) in most coastal regions, but it did not necessarily coincide with the peak storm tide. The contribution of wave setup to peak storm tides induced by the most extreme events was less than 17%. Finally, we show that while some offshore storms did not affect the coastal areas with high storm surges or strong winds, they generated the largest historical wave setup at the coast. © 2018. The Authors.</t>
  </si>
  <si>
    <t>2-s2.0-85047610325"</t>
  </si>
  <si>
    <t>10.2112/JCOASTRES-D-17-00074.1</t>
  </si>
  <si>
    <t>https://www.scopus.com/inward/record.uri?eid=2-s2.0-85045664293&amp;doi=10.2112%2fJCOASTRES-D-17-00074.1&amp;partnerID=40&amp;md5=cd5ee5321af4211a0c5c76822298fa8f</t>
  </si>
  <si>
    <t>Much of the previous research on coastal deltaic land building has focused on the planform delta dimensions; whereas this research focuses on shifts in vertical elevation and deltaic island edge cross-sectional morphology in relation to a proposed conceptual model of deltaic island edge morphological development. This study was conducted using data collected from the Wax Lake Delta in the northern Gulf of Mexico. Island edge cross-sectional elevation profiles were extracted from a 2012 LIDAR elevation survey. Four morphometric variables (levee width, interior slope, mean elevation range, and total elevation range) were selected to describe the shape of each of these profiles, and each profile was also assigned to an age class, which was determined based on mapping of historic deltaic island extent from aerial imagery. Multivariate analysis of variance was used to test the effect of age class and distance from the upstream end of the island on these four morphometric variables. Results indicated that both age and the distance within age were statistically significant predictors of island edge cross-sectional morphology. Field-surveyed elevation transects also followed the predicted pattern of morphologic change and illustrated that the shifts in morphology can occur very rapidly within this system—over a matter of a few months—as the result of a single large river flood. High soil percent organic matter was also found to correlate to high elevation in field-surveyed transects, indicating that biological processes such as organic matter production and accretion may also play an important role in morphological development of deltaic floodplain wetlands.</t>
  </si>
  <si>
    <t>10.1007/s10584-017-1999-8</t>
  </si>
  <si>
    <t>https://www.scopus.com/inward/record.uri?eid=2-s2.0-85013761118&amp;doi=10.1007%2fs10584-017-1999-8&amp;partnerID=40&amp;md5=498a4207535f748486f0411ddfc7a0b6</t>
  </si>
  <si>
    <t>The planning and phasing of adaptation responses are essential to tackle uncertainties and ensure positive outcomes while adapting to changing circumstances. Understanding the evolution of coping and adaptation responses and their capacities is a prerequisite for preparing an effective flood management plan for the future. The aim of this paper is to determine the effect of coping capacity on longer term adaptation responses in a flood risk management system. The objectives, requirements, targets, design, and performance of flood protection measures will have to be determined after taking into account, or in conjunction with, the coping capacities. A methodology has been developed and demonstrated based on an adaptation pathway approach to account for coping capacities and to assess the effect of these on flood protection measures. Application of this methodology for flood protection measures in Can Tho City in the Mekong Delta shows the effect of considering coping capacity for flood protection measures and the value in delaying the occurrence of tipping points. Coping measures such as elevating property floor levels can postpone the tipping points when dikes are no longer effective. Consideration of coping capacity in the system improves adaptation responses and leads to better adaptation outcomes. © 2017, Springer Science+Business Media Dordrecht.</t>
  </si>
  <si>
    <t>2-s2.0-85013761118"</t>
  </si>
  <si>
    <t>10.1007/s10708-017-9777-8</t>
  </si>
  <si>
    <t>https://www.scopus.com/inward/record.uri?eid=2-s2.0-85019651752&amp;doi=10.1007%2fs10708-017-9777-8&amp;partnerID=40&amp;md5=2c32cb213b45be04c972bf37d2124071</t>
  </si>
  <si>
    <t>Impacts of climate change have been observed in natural systems and are expected to intensify in future decades (IPCC in Contribution of Working Groups I, II and III to the Fifth Assessment Report of the Intergovernmental Panel on Climate Change IPPC, Geneva, 2014). Governments are seeking to establish adaptive measures for minimizing the effects of climate change on vulnerable citizen groups, economic sectors and critical infrastructure (Adger et al. in Global Environ Change 15(2):77–86, 2005. doi:10.1016/j.gloenvcha.2004.12.005</t>
  </si>
  <si>
    <t>10.1007/s11069-018-3277-0</t>
  </si>
  <si>
    <t>https://www.scopus.com/inward/record.uri?eid=2-s2.0-85044354942&amp;doi=10.1007%2fs11069-018-3277-0&amp;partnerID=40&amp;md5=eeb8f92d09cf03c1c96e578166f07032</t>
  </si>
  <si>
    <t>Tsunamis are some of the most destructive types of natural hazards that can affect coastal areas. To optimize tsunami mitigation measures, it is important to estimate the potential casualties that can result from one of these events. Taking into account tsunami awareness and the possible evacuation behavior of at-risk individuals is necessary to estimate the number of casualties, though most of the research carried out to date has not considered detailed evacuation behavior when conducting simulations. In the present study, the authors proposed a new approach to estimating the number of tsunami casualties, based on a tsunami evacuation simulation model that considers the evacuation behavior of local residents, tourists and beach users. Such behavior parameters were incorporated by analyzing the results from previous questionnaires surveys. The model was applied to Yuigahama Beach in Kamakura City, Japan, with the aim of assessing potential tsunami casualties and providing suggestions regarding tsunami mitigation measures. The authors conducted seven tsunami inundation simulations for different earthquake scenarios, and then casualties were estimated considering six different evacuation scenarios. Based on the simulation results, it appears particularly important to attempt to improve the intended evacuation behavior of both the local population and visitors. Particularly, providing information about safe places and the routes to reach them is necessary, as prompt evacuation and heading to higher ground were found to be insufficient behavior to save lives during a tsunami event. © 2018, Springer Science+Business Media B.V., part of Springer Nature.</t>
  </si>
  <si>
    <t>2-s2.0-85044354942"</t>
  </si>
  <si>
    <t>10.1016/j.ijdrr.2017.11.003</t>
  </si>
  <si>
    <t>https://www.scopus.com/inward/record.uri?eid=2-s2.0-85033562529&amp;doi=10.1016%2fj.ijdrr.2017.11.003&amp;partnerID=40&amp;md5=35870b1d13c690c5dc07abbd165ca94c</t>
  </si>
  <si>
    <t>Global warming has negatively influenced the quality of life of many people, especially those who live in coastal areas. Sea-level-rise in northern Java, Indonesia, has impacted coastal cities prone to flooding and inundation. This study reports the extent to which spatial planning, mandated by the Indonesian Law 26/2007 to minimise the risk of people and improve their resilience, has taken into account hydro-meteorological hazard of Semarang City in northern Java. Geographic Information System (GIS) based spatial analyses were used to predict the anticipated vulnerability of the area based on the combined effect of two processes, namely, a tendency towards land subsidence and an increase in sea level. Further, by overlaying the current and projected vulnerability maps to the year 2031 with the planned land use of the city in the same timeframes, results show that most precincts with anticipated flooding and inundation are residential, industrial, and commercial areas, indicating that the current spatial land use plan has not adequately accounted for the hazard. The methodology employed in this study should prove of use for other cities on the littoral. © 2017 Elsevier Ltd</t>
  </si>
  <si>
    <t>2-s2.0-85033562529"</t>
  </si>
  <si>
    <t>10.1016/j.geomorph.2018.01.013</t>
  </si>
  <si>
    <t>https://www.scopus.com/inward/record.uri?eid=2-s2.0-85044275356&amp;doi=10.1016%2fj.geomorph.2018.01.013&amp;partnerID=40&amp;md5=1fcb7d5343d729ba99f16ab5f8e262b1</t>
  </si>
  <si>
    <t>Stable fluvial armors are found in river systems under conditions of partial sediment transport and limited sediment supply, a common occurrence in nature. Stable armoring is also readily recreated in experimental flumes. Initially, this bed stabilizing phenomenon was examined for different flow discharges and solely related to surface coarsening and bedload transport reduction. The models developed suggest a specific armor composition (i.e., texture) dependent on the parent bed material and formative discharge. Following developments in topographic remote sensing, recent research suggests that armor structure is an important control on bed stability and roughness. In this paper, replicated flume runs during which digital elevation models (DEMs) were collected from both exposed and flooded gravel beds are used to interpret armoring manifestations and to assess their replicability. A range of methodologies was used for the analysis, providing information on (i) surface grain size and orientation, (ii) bed-elevation distributions, (iii) the spatial coherence of the elevations at the grain-scale, (iv) surface slope and aspect, (v) grain imbrication and (vi) the spatial variability in DEM properties. The bed-surface topography was found to be more responsive than bed-material size to changes in flow strength. Our experimental results also provide convincing evidence that gravel-beds' response to water-work during parallel degradation is unique (i.e., replicable) given the formative parameters. Based on this finding, relationships between the armors' properties and formative parameters are proposed, and are supported by adding extensive data from previous research. © 2017</t>
  </si>
  <si>
    <t>2-s2.0-85044275356"</t>
  </si>
  <si>
    <t>10.1080/10406026.2018.1442545</t>
  </si>
  <si>
    <t>https://www.scopus.com/inward/record.uri?eid=2-s2.0-85043312090&amp;doi=10.1080%2f10406026.2018.1442545&amp;partnerID=40&amp;md5=539d8be7fa6992ab374a61976318085c</t>
  </si>
  <si>
    <t>Sea level rise is a growing problem for U.S. local governments. Retreat from threatened coastlines is the most economically and environmentally sound adaptation strategy in some areas. But many citizens will not retreat voluntarily, and localities cannot compel retreat without paying to condemn private land. One solution to this bind is for localities to withdraw certain services from highly threatened areas, forcing residents to either retreat or internalize some costs of remaining. This approach risks the 14th Amendment takings liability, but with community engagement, careful planning, and sound legal strategy, local governments can probably withhold services to facilitate retreat without incurring liability. © 2018 Taylor &amp; Francis Group, LLC.</t>
  </si>
  <si>
    <t>2-s2.0-85043312090"</t>
  </si>
  <si>
    <t>Geosphere</t>
  </si>
  <si>
    <t>10.1130/GES01551.1</t>
  </si>
  <si>
    <t>https://www.scopus.com/inward/record.uri?eid=2-s2.0-85044605277&amp;doi=10.1130%2fGES01551.1&amp;partnerID=40&amp;md5=b25336017468a2bf13c91669e6ef1b5c</t>
  </si>
  <si>
    <t>In the northwestern Lake Tahoe Basin, Pleistocene basaltic and trachyandesitic lavas form a small volcanic field comprising ~1 km3 of lava that erupted from seven vents. Most of these lavas erupted subaerially and produced lava flows. However, where they flowed into an early Lake Tahoe (Proto- Tahoe), they produced deltas consisting of hydrovolcanic breccias as well as pillow lavas draped downslope, pillow breccias, hyaloclastites, and mixtures of lava and wet sediments. Consequently, various former shorelines of Proto-Tahoe are marked by subaerial lava flows overlying subaqueous lava deltas. Isolated explosive interactions produced lapilli tuffcones that built upward from vents on the lake floor or grew as littoral cones where subaerial lava flows crossed the shoreline. Six new 40Ar/39Ar ages define three Pleistocene episodes when lava erupted subaerially and flowed into Proto-Tahoe. Three cycles of canyon damming by lava and down-cutting occurred at the outlet of Proto-Tahoe in the Truckee River Canyon. The canyon was dammed at 2.3 Ma by basaltic lavas at Rampart, which raised lake level from ~1897 m above sea level to 2048 m. The canyon was again dammed at 2.1 Ma by basaltic lavas at the outlet of Proto-Tahoe near Rampart, which raised lake levels from ~1914 m to 2073 m. And finally, the canyon was again dammed at 0.94 Ma by trachyandesitic lavas at Thunder Cliffs, which raised lake level to 2085 m. Hence, ancient shorelines that are nearly 200 m above the present lake level are documented at 0.94, 2.1, and 2.3 Ma. The present outlet of Lake Tahoe through the Truckee River canyon has been operative for at least 2.3 million years. Even though the three lava dams are now eroded away, the repeated construction (and removal by erosion) of lava dams has diminished the erosion and deepening of the Truckee River Canyon that otherwise would have occurred. Hence, the soft-sediment sill of Lake Tahoe has been protected, which has helped to maintain the great depth of the lake (500 m). The timing of this repetitive volcanic activity raises implications for future volcanic eruptions and their hazards. The lake could be dammed by lava again causing extensive shoreline flooding as its level rose, or rapid dam failure could cause extensive downstream flooding along the Truckee River on its path to Reno. © 2018 The Authors.</t>
  </si>
  <si>
    <t>2-s2.0-85044605277"</t>
  </si>
  <si>
    <t>10.3390/rs10040528</t>
  </si>
  <si>
    <t>https://www.scopus.com/inward/record.uri?eid=2-s2.0-85045989267&amp;doi=10.3390%2frs10040528&amp;partnerID=40&amp;md5=56eb1a1b73517b00b1500ea5a2007531</t>
  </si>
  <si>
    <t>In coastal and semi-enclosed seas, the mean local sea level can significantly influence the magnitude of flooding in inundation areas. Using the cyclostationary empirical orthogonal function (CSEOF) method, we examine the spatial patterns and temporal variations of annual sea level cycle in the Baltic Sea based on satellite altimetry data, tide gauge data, and regional model reanalysis during 1993 and 2014. All datasets demonstrate coherent spatial and temporal annual sea level variability, although the model reanalysis shows a smaller interannual variation of annual sea level amplitude than other datasets. A large annual sea level cycle is observed in the Baltic Sea, except in the Danish straits from December to February. Compared with altimetry data, tide gauge data exhibit a stronger annual sea level cycle in the Baltic Sea (e.g., along the coasts and in the Gulf of Finland and the Gulf of Bothnia), particularly in the winter. Moreover, the maps of the maximum and minimum annual sea level amplitude imply that all datasets underestimate the maximum annual sea level amplitude. Analysis of the atmospheric forcing factors (e.g., sea level pressure, North Atlantic Oscillation (NAO), winds and air temperature), which may contribute to the interannual variation of the annual sea level cycle shows that both the zonal wind and winter NAO (e.g., from December to March) are highly correlated with the annual cycle variations in the tide gauge data in 1900-2012. In the altimetry era (1993-2014), all the atmospheric forcing factors are linked to the annual sea level cycle variations, particularly in 1996, 2010 and 2012, when a significant increase and drop of annual sea level amplitude are observed from all datasets, respectively. © 2018 by the authors.</t>
  </si>
  <si>
    <t>2-s2.0-85045989267"</t>
  </si>
  <si>
    <t>10.1016/j.margeo.2018.01.011</t>
  </si>
  <si>
    <t>https://www.scopus.com/inward/record.uri?eid=2-s2.0-85041449519&amp;doi=10.1016%2fj.margeo.2018.01.011&amp;partnerID=40&amp;md5=9fdab19629d5fd716e86f250b11076cc</t>
  </si>
  <si>
    <t>Barrier island response and recovery to storms, and island transgression with relative sea level rise, can be influenced by the framework geology. The influence of framework geology on barrier island geomorphology has previously been examined in areas where the framework is rhythmic alongshore or consists of an isolated paleo-channel or headland. The purpose of this paper is to examine the influence of framework geology on beach and dune geomorphology at Padre Island National Seashore (PAIS), Texas, USA, where the framework geology is variable alongshore. Alongshore beach and dune morphometrics and offshore bathymetric profiles were extracted from a combined topography and bathymetry digital elevation model (DEM) using an automated approach along the ~100 km study area, and an electromagnetic induction (EMI) survey was used to map the subsurface framework geology. Wavelet decomposition, Global Wavelet (GW), and bicoherence analyses were used to test for spatial relationships between and within the extracted alongshore metrics. GW trendlines demonstrate that beach and dune morphometrics are structurally controlled. Hotspots in wavelet coherence plots between framework geology and alongshore island morphometrics indicate that the paleo-channels dissecting the island influence beach and dune morphology, with large dunes found in the area directly landward of the paleochannels. Bicoherence analysis of alongshore beach and dune morphometrics indicates that low-frequency oscillations due to framework geology interact with higher-frequency oscillations, with greater small-scale variability in the dune line directly landward of the paleo-channels. These results suggest that the paleo-channels of PAIS non-linearly influence beach and dune morphology, which in turn alters the response of the island to storms and sea level rise. It is argued that an understanding of the framework geology is key to predicting island response to sea level rise and framework geology needs to be included in barrier island models. This paper demonstrates that an irregular framework geology influences small-scale coastal processes, and creates interactions across scales that influence beach and dune morphology and affects barrier island response to storms and sea level rise. © 2018 Elsevier B.V.</t>
  </si>
  <si>
    <t>2-s2.0-85041449519"</t>
  </si>
  <si>
    <t>10.5194/esurf-6-239-2018</t>
  </si>
  <si>
    <t>https://www.scopus.com/inward/record.uri?eid=2-s2.0-85044780853&amp;doi=10.5194%2fesurf-6-239-2018&amp;partnerID=40&amp;md5=a1d48abfbc8cd10ff1f2ddc325e95155</t>
  </si>
  <si>
    <t>Salt marshes filter pollutants, protect coastlines against storm surges, and sequester carbon, yet are under threat from sea level rise and anthropogenic modification. The sustained existence of the salt marsh ecosystem depends on the topographic evolution of marsh platforms. Quantifying marsh platform topography is vital for improving the management of these valuable landscapes. The determination of platform boundaries currently relies on supervised classification methods requiring near-infrared data to detect vegetation, or demands labour-intensive field surveys and digitisation. We propose a novel, unsupervised method to reproducibly isolate salt marsh scarps and platforms from a digital elevation model (DEM), referred to as Topographic Identification of Platforms (TIP). Field observations and numerical models show that salt marshes mature into subhorizontal platforms delineated by subvertical scarps. Based on this premise, we identify scarps as lines of local maxima on a slope raster, then fill landmasses from the scarps upward, thus isolating mature marsh platforms. We test the TIP method using lidar-derived DEMs from six salt marshes in England with varying tidal ranges and geometries, for which topographic platforms were manually isolated from tidal flats. Agreement between manual and unsupervised classification exceeds 94g% for DEM resolutions of 1gm, with all but one site maintaining an accuracy superior to 90g% for resolutions up to 3gm. For resolutions of 1gm, platforms detected with the TIP method are comparable in surface area to digitised platforms and have similar elevation distributions. We also find that our method allows for the accurate detection of local block failures as small as 3 times the DEM resolution. Detailed inspection reveals that although tidal creeks were digitised as part of the marsh platform, unsupervised classification categorises them as part of the tidal flat, causing an increase in false negatives and overall platform perimeter. This suggests our method may benefit from combination with existing creek detection algorithms. Fallen blocks and high tidal flat portions, associated with potential pioneer zones, can also lead to differences between our method and supervised mapping. Although pioneer zones prove difficult to classify using a topographic method, we suggest that these transition areas should be considered when analysing erosion and accretion processes, particularly in the case of incipient marsh platforms. Ultimately, we have shown that unsupervised classification of marsh platforms from high-resolution topography is possible and sufficient to monitor and analyse topographic evolution. © Author(s) 2018.</t>
  </si>
  <si>
    <t>2-s2.0-85044780853"</t>
  </si>
  <si>
    <t>10.1080/13658816.2017.1407415</t>
  </si>
  <si>
    <t>https://www.scopus.com/inward/record.uri?eid=2-s2.0-85035089397&amp;doi=10.1080%2f13658816.2017.1407415&amp;partnerID=40&amp;md5=38c80e2cdf927f3755870e38994aae3d</t>
  </si>
  <si>
    <t>This study developed a spatial dynamic model to examine the coupled natural–human responses in the form of changes in population and associated developed land area in the Lower Mississippi River Basin region. The goal was to identify key socioeconomic factors (utility) and environmental factors (hazard damages, elevation, and subsidence rate) that affected population changes, as well as to examine how population changes affected the local utility and the local environment reciprocally. We first applied areal interpolation techniques with the volume-preserving property to transform all the data at Year 2000 into a unified 3 km by 3 km cellular space. We then built an Elastic Net model to extract 12 variables from a set of 33 for the spatial dynamic model. Afterward, we calibrated the neighborhood effects with a genetic algorithm and use the spatial dynamic model to simulate population and developed land area in 2010. Furthermore, we took a Monte Carlo approach for analyzing the uncertainty of the model outcome. Our accuracy assessment shows that the model on average slightly overpredicts the number of population and the developed land percentage at 2010, as indicated by the low values of mean absolute deviation (MAD) due to quantity. On the other hand, the MADs due to allocation are larger than the MADs due to quantity, with most outliers found in the New Orleans region where population and urban development declined significantly during 2000–2010 after Hurricane Katrina. The proposed model sheds light on the complex relationships between coastal hazards and human responses and provides useful insights to strategic development for coastal sustainability. © 2017 Informa UK Limited, trading as Taylor &amp; Francis Group.</t>
  </si>
  <si>
    <t>2-s2.0-85035089397"</t>
  </si>
  <si>
    <t>Royal Society Open Science</t>
  </si>
  <si>
    <t>10.1098/rsos.171651</t>
  </si>
  <si>
    <t>https://www.scopus.com/inward/record.uri?eid=2-s2.0-85045313011&amp;doi=10.1098%2frsos.171651&amp;partnerID=40&amp;md5=cc4e7604fc734bad6c47a460677bf3e9</t>
  </si>
  <si>
    <t>Taphonomic analysis of fossil material can benefit from including the results of actualistic decay experiments. This is crucial in determining the autochthony or allochthony of fossils of juvenile and adult Isisfordia duncani, a basal eusuchian from the Lower Cretaceous (upper Albian) distal-fluvial-deltaic lower Winton Formation near Isisford. The taphonomic characteristics of the I. duncani fossils were documented using a combination of traditional taphonomic analysis alongside already published actualistic decay data from juvenile Crocodylus porosus carcasses. We found that the I. duncani holotype, paratypes and referred specimens show little signs of weathering and no signs of abrasion. Disarticulated skeletal elements are often found in close proximity to the rest of the otherwise articulated skeleton. The isolated and disarticulated skeletal elements identified, commonly cranial, maxillary and mandibular elements, are typical of lag deposits. The holotype QM F36211 and paratype QM F34642 were classified as autochthonous, and the remaining I. duncani paratypes and referred specimens are parautochthonous. We propose that I. duncani inhabited upper and lower delta plains near the Eromanga Sea in life. Their carcasses were buried in sediment-laden floodwaters in delta plain overbank and distributary channel deposits. Future studies should refer to I. duncani as a brackish water tolerant species. © 2018 The Authors.</t>
  </si>
  <si>
    <t>2-s2.0-85045313011"</t>
  </si>
  <si>
    <t>10.1016/j.jhydrol.2018.01.056</t>
  </si>
  <si>
    <t>https://www.scopus.com/inward/record.uri?eid=2-s2.0-85042265770&amp;doi=10.1016%2fj.jhydrol.2018.01.056&amp;partnerID=40&amp;md5=70427c225bc79d29cd6328a4c737f64e</t>
  </si>
  <si>
    <t>Digital Elevation Model (DEM) is one of the most important controlling factors determining the simulation accuracy of hydraulic models. However, the currently available global topographic data is confronted with limitations for application in 2-D hydraulic modeling, mainly due to the existence of vegetation bias, random errors and insufficient spatial resolution. A hydraulic correction method (HCM) for the SRTM DEM is proposed in this study to improve modeling accuracy. Firstly, we employ the global vegetation corrected DEM (i.e. Bare-Earth DEM), developed from the SRTM DEM to include both vegetation height and SRTM vegetation signal. Then, a newly released DEM, removing both vegetation bias and random errors (i.e. Multi-Error Removed DEM), is employed to overcome the limitation of height errors. Last, an approach to correct the Multi-Error Removed DEM is presented to account for the insufficiency of spatial resolution, ensuring flow connectivity of the river networks. The approach involves: (a) extracting river networks from the Multi-Error Removed DEM using an automated algorithm in ArcGIS</t>
  </si>
  <si>
    <t>10.1007/s11027-017-9750-3</t>
  </si>
  <si>
    <t>https://www.scopus.com/inward/record.uri?eid=2-s2.0-85021103059&amp;doi=10.1007%2fs11027-017-9750-3&amp;partnerID=40&amp;md5=9424168a130049e830fcebe9bc7787ae</t>
  </si>
  <si>
    <t>This paper describes a comparative study of four different cases on vulnerability, hazards and adaptive capacity to climate threats in coastal areas and communities in four developing countries: Bangladesh, Brazil, Cameroon and Uruguay. Coastal areas are vulnerable to sea-level rise (SLR), storm surges and flooding due to their (i) exposure, (ii) concentration of settlements, many of which occupied by less advantaged groups and (iii) the concentration of assets and services seen in these areas. The objective of the paper is twofold: (i) to evaluate current evidence of coastal vulnerability and adaptive capacity and (ii) to compare adaptation strategies being implemented in a sample of developing countries, focusing on successful ones. The followed approach for the case evaluation is based on (i) documenting observed threats and damages, (ii) using indicators of physical and socioeconomic vulnerability and adaptive capacity status and (iii) selecting examples of successful responses. Major conclusions based on cross-case comparison are (a) the studied countries show different vulnerability, adaptive capacity and implementation of responses, (b) innovative community-based (CBA) and ecosystem-based adaptation (EbA) and (c) early warning systems are key approaches and tools to foster climate resilience. A recommendation to foster the resilience of coastal communities and services is that efforts in innovative adaptation strategies to sea-level rise should be intensified and integrated with climate risk management within the national adaption plans (NAPAs) in order to reduce the impacts of hazards. © 2017, Springer Science+Business Media B.V.</t>
  </si>
  <si>
    <t>2-s2.0-85021103059"</t>
  </si>
  <si>
    <t>10.1016/j.ocemod.2018.01.006</t>
  </si>
  <si>
    <t>https://www.scopus.com/inward/record.uri?eid=2-s2.0-85044724080&amp;doi=10.1016%2fj.ocemod.2018.01.006&amp;partnerID=40&amp;md5=af64cd1fd16770138d55108d534b2dba</t>
  </si>
  <si>
    <t>Wave setup corresponds to the increase in mean water level along the coast associated with the breaking of short-waves and is of key importance for coastal dynamics, as it contributes to storm surges and the generation of undertows. Although overall well explained by the divergence of the momentum flux associated with short waves in the surf zone, several studies reported substantial underestimations along the coastline. This paper investigates the impacts of the wave-induced circulation that takes place in the surf zone on wave setup, based on the analysis of 3D modelling results. A 3D phase-averaged modelling system using a vortex force formalism is applied to hindcast an unpublished field experiment, carried out at a dissipative beach under moderate to very energetic wave conditions (Hm0=6m at breaking and Tp=22s). When using an adaptive wave breaking parameterisation based on the beach slope, model predictions for water levels, short waves and undertows improved by about 30%, with errors reducing to 0.10 m, 0.10 m and 0.09 m/s, respectively. The analysis of model results suggests a very limited impact of the vertical circulation on wave setup at this dissipative beach. When extending this analysis to idealized simulations for different beach slopes ranging from 0.01 to 0.05, it shows that the contribution of the vertical circulation (horizontal and vertical advection and vertical viscosity terms) becomes more and more relevant as the beach slope increases. In contrast, for a given beach slope, the wave height at the breaking point has a limited impact on the relative contribution of the vertical circulation on the wave setup. For a slope of 0.05, the contribution of the terms associated with the vertical circulation accounts for up to 17% (i.e. a 20% increase) of the total setup at the shoreline, which provides a new explanation for the underestimations reported in previously published studies. © 2018 Elsevier Ltd</t>
  </si>
  <si>
    <t>2-s2.0-85044724080"</t>
  </si>
  <si>
    <t>10.1016/j.geomorph.2017.11.016</t>
  </si>
  <si>
    <t>https://www.scopus.com/inward/record.uri?eid=2-s2.0-85035112098&amp;doi=10.1016%2fj.geomorph.2017.11.016&amp;partnerID=40&amp;md5=2ade6a613fe8c0b999d7364306756c54</t>
  </si>
  <si>
    <t>The Manawatu incised-valley estuary was rapidly infilled between 12,000–4700 cal. yr BP. A combination of empirical measurements of sedimentation rates, a reconstruction of relative sea-level (RSL) change, and digital elevation models of key surfaces within the Holocene sedimentary fill of the valley were integrated to produce a numerical model to investigate the influence of the system controls of sea-level change, sediment flux, and accommodation space on the rapid infilling history of the palaeo-estuary. The numerical model indicates that sediment flux into the palaeo-estuary was greatest during the Holocene marine transgression between 12,000–8000 years BP. The average rate of sediment deposition in the estuary during this period was ~ 1.0 M m3 yr− 1. This rapid rate of sedimentation was controlled by the rate of accommodation space creation, as regulated by the rate of sea-level rise and the antecedent configuration of the valley. By the time sea levels stabilised c. 7500 cal. yr BP, the palaeo-estuary had been substantively infilled. Limited accommodation space resulted in rapid infilling of the central basin, though sediment flux into the estuary between 7100 and 4500 cal. yr BP was at a lower rate of 234,000 m3 yr− 1. The limited accommodation space also influenced hydrodynamic conditions in the estuarine central basin, driving export of fine-grained sediment from the estuary. Once the accommodation space of the estuarine basin was infilled sediment bypassed the system, with a consequent reduction in the sedimentation rate in the valley. More accurate partitioning of the sources of sediment driving the infilling is necessary to quantify sediment bypassing. Post-depositional lowering of RSL index points from the valley is driven by neotectonics and sediment compaction. © 2017 Elsevier B.V.</t>
  </si>
  <si>
    <t>2-s2.0-85035112098"</t>
  </si>
  <si>
    <t>Acta Geophysica Sinica</t>
  </si>
  <si>
    <t>10.6038/cjg2018L0098</t>
  </si>
  <si>
    <t>https://www.scopus.com/inward/record.uri?eid=2-s2.0-85054750516&amp;doi=10.6038%2fcjg2018L0098&amp;partnerID=40&amp;md5=bf8bf77b9cfaf6d37a7f78e0198bd445</t>
  </si>
  <si>
    <t>The tsunami wave characteristics have been widely used as crucial parameters to characterize potential destruction. The characterization has better adaptability especially for the disaster caused by the near-field extreme tsunami events. However, analyzing the losses caused by the historical tsunami events, we can conclude that the strong current induced by tsunamis is the main cause of damage in the coastal zone and harbors. The rapid water level change caused by continental shelf and harbors oscillations may lead to strong current. It may be a threat to maritime facilities. Effective response and reduced tsunami current hazards will be a new challenge for tsunami warning services and maritime emergency management. It was particularly urgent to develop numerical forecasting methods and tsunami warning guidance products for tsunami vortex flows in bays and harbors. It's very meaningful for us to comprehensively understand and assess the characteristics of tsunami disasters in harbors. Due to limitation of field observation and lack of knowledge on the generation of tsunami vortex flows, the most of research on tsunami mainly focus on the characteristics of tsunami waves and tsunami-induced flooding. There is few research on the tsunami-induced currents, which may result in incomplete understanding of tsunami disaster in harbors and bays. Three high resolution tsunami numerical models were established for harbors which located in Hawaiian Islands based on nonlinear shallow water equation model (MOST). The horizontal resolution are all up to 10 meter. Far-field tsunami wave and current characteristics from Tohoku-oki earthquake are analyzed relied on finite-fault rupture model. The simulated results show that the tsunami characteristics in all the three harbors and their adjacent areas are in good agreement with the measured results. The refinement tsunami models are credible. This paper also highlight that tsunamis damage is not exclusively caused by surges that result in coastal inundation. There may be small amplitude accompanied by strong currents. We present the results of numerical investigation that how scenario-maximum amplitudes and tsunami-induced currents vary due to the different input conditions. The following conclusions were drawn from the above studies. First, the spatial distribution characteristics of tsunami surge and currents in harbors are distinctly different, which is related to tsunami standing wave behaviors. Second, tsunami current has much greater spatial sensitivity relative to spatial variability of wave amplitude, and it is strong around the harbor entrance. The spatiotemporal evolution of tsunami currents has a stronger response to the uncertainties of input conditions than tsunami wave amplitude. The accurate simulation for tsunami-induced current is more challenging. Third, the influence on the accuracy of tsunami current simulation caused by the input uncertainties were responsibility for the error of tsunami risk assessment. So reasonable input conditions are critical to accurate tsunami flows estimating. Finally, the results of this paper can help us to comprehensively understand the characteristics of coastal tsunami disaster from surge and tsunami currents. They were very helpful for improving tsunami warning technology. So as to provide more scientific decision support products for disaster emergency management in future. © 2018, Science Press. All right reserved.</t>
  </si>
  <si>
    <t>2-s2.0-85054750516"</t>
  </si>
  <si>
    <t>10.1080/19475683.2018.1450787</t>
  </si>
  <si>
    <t>https://www.scopus.com/inward/record.uri?eid=2-s2.0-85044233267&amp;doi=10.1080%2f19475683.2018.1450787&amp;partnerID=40&amp;md5=6e8be8cdfe833866f9fa0555069b9708</t>
  </si>
  <si>
    <t>Rapid flood mapping is critical for timely damage assessment and post-event recovery support. Remote sensing provides spatially explicit information for the mapping process, but its real-time imagery is often not available due to bad weather conditions during the event. Using the 2015 South Carolina Flood in downtown Columbia as a case study, this article proposes a novel approach to retrieve near real-time flood probability map by integrating the post-event remote sensing data with the real-time volunteered geographic information (VGI). Relying on each VGI point, an inverse distance weighted height filter was introduced to build a probability index distribution (PID) layer from the high-resolution digital elevation model (DEM) data. For each PID layer, a Gaussian kernel was developed to extract its moisture weight from the normalized difference water index (NDWI) of an EO-1 Advanced Land Imager (ALI) image. Finally, a normalized flood probability map was produced by chaining the moisture weighted PIDs in a Python environment. Results indicate that, by adding the wetness information from post-event satellite observations, the proposed model could provide near real-time flood probability distribution with real-time social media, which is of great importance for emergency responders to quickly identify areas in need of immediate attention. © 2018 Informa UK Limited, trading as Taylor &amp; Francis Group.</t>
  </si>
  <si>
    <t>2-s2.0-85044233267"</t>
  </si>
  <si>
    <t>Learning, Culture and Social Interaction</t>
  </si>
  <si>
    <t>10.1016/j.lcsi.2017.11.002</t>
  </si>
  <si>
    <t>https://www.scopus.com/inward/record.uri?eid=2-s2.0-85035223713&amp;doi=10.1016%2fj.lcsi.2017.11.002&amp;partnerID=40&amp;md5=25c6cae3fde3388a92e81282bec39963</t>
  </si>
  <si>
    <t>The social-ecological systems of the Vietnamese Mekong Delta (VMD) are under stress driven by accelerating impacts of climate change, upstream hydropower development, and local flood management policies. These combined complexities have prompted the rural societies to make significant efforts to adapt to changing conditions. While local adaptation represents diverse patterns of communication and interactions across the social sectors, far less attention has been given to how these learning processes occur in the rural communities of practice. This paper attempts to delineate the learning dynamics in which farming households are key practitioners. The mixed methods approach that guides data collection includes focus group discussions, in-depth interviews with key informants and household surveys. The analysis suggests that social learning plays a significant role in facilitating the adoption and dissemination of experiential and experimental knowledge across geographical boundaries. This study highlights important aspects of households’ social learning system characterized by informal networks with various forms of bonding and bridging relationships. These learning patterns suggest that informal communication is a dominant learning approach in the rural delta. This study contributes to advancing the theoretical and empirical knowledge of social learning and its policy implications for rural development in the VMD. © 2017 Elsevier Ltd</t>
  </si>
  <si>
    <t>2-s2.0-85035223713"</t>
  </si>
  <si>
    <t>10.1002/joc.5235</t>
  </si>
  <si>
    <t>https://www.scopus.com/inward/record.uri?eid=2-s2.0-85041450855&amp;doi=10.1002%2fjoc.5235&amp;partnerID=40&amp;md5=1185ccd8f8131d80f9ca6d53e6d45a7e</t>
  </si>
  <si>
    <t>Extratropical cyclones often produce extreme and hazardous weather conditions, such as high winds, heavy precipitation, blizzard conditions, and flooding, all of which have detrimental environmental/physical and socio-economic impacts. Furthermore, storm interaction with the ocean produces additional hazards, with major local impacts, including inundation and coastal erosion. The North American west coast is influenced by the North Pacific storm track and by ‘atmospheric river’ events while the east coast is particularly influenced by winter storms that track along two favoured routes: the St. Lawrence Valley and the Eastern Seaboard. Reanalysis provides an invaluable tool for studying the characteristics of storm events that are identified as causing the most severe impacts. However, reanalysis products differ substantially in spatial resolution, model physics, assimilation approach, and the data that are assimilated. This study evaluates the representation of storm activity along the mid-latitude North American coastlines by six global reanalyses: NCEP-1, NCEP-2, ERA-Interim, Modern-Era Retrospective analysis for Research and Applications (MERRA), Climate Forecast System Reanalysis (CFSR), and Twentieth Century Reanalysis Version 2 (20CR). Storm activity representation is evaluated at annual and seasonal timescales (JFM, AMJ, JAS, OND, and ‘extended winter’ ONDFM) during the 1979–2010 time period through comparison with selected meteorological stations using single-point surface pressure-based proxies of extratropical storm activity. Stations are selected on the basis of record length, reporting frequency, coastal proximity, and relatively uniform spatial distribution. Comparisons are made using data extracted from the reanalysis grid box centre that is closest to each selected station. All reanalyses are found to successfully represent most aspects of mid-latitude North American coastal strong storm activity, annually and seasonally, along both coasts. Nevertheless, ERA-Interim, MERRA, and CFSR provide the better representations of mid-latitude North American coastal strong storm activity, with ERA-Interim performing best overall. © 2017 Royal Meteorological Society</t>
  </si>
  <si>
    <t>2-s2.0-85041450855"</t>
  </si>
  <si>
    <t>10.3390/rs10040657</t>
  </si>
  <si>
    <t>https://www.scopus.com/inward/record.uri?eid=2-s2.0-85045997205&amp;doi=10.3390%2frs10040657&amp;partnerID=40&amp;md5=57a8251d5dad87657cd77df6a266d4dd</t>
  </si>
  <si>
    <t>Satellite altimeters can capture storm surges generated by typhoons and tropical storms, if the satellite flies over at the right time. In this study, we show TOPEX/Poseidon altimeter-observed storm surge features offSoutheast China on 10 October 1994 during Typhoon Seth. We then use a three-dimensional, barotropic, finite-volume community ocean model (FVCOM) to simulate storm surges. An innovative aspect is that satellite data are used to calibrate the storm surge model to improve model performance, by adjusting model wind forcing fields (the National Center for Environment Prediction (NCEP) reanalysis product) in reference to the typhoon best-track data. The calibration reduces the along-track root-mean-square (RMS) difference between model and altimetric data from 0.15 to 0.10 m. It also reduces the RMS temporal difference from 0.21 to 0.18 m between the model results and independent tide-gauge data at Xiamen. In particular, the calibrated model produces a peak storm surge of 1.01 m at 6:00 10 October 1994 at Xiamen, agreeing with tide-gauge data</t>
  </si>
  <si>
    <t>10.1007/s11852-017-0575-8</t>
  </si>
  <si>
    <t>https://www.scopus.com/inward/record.uri?eid=2-s2.0-85031998204&amp;doi=10.1007%2fs11852-017-0575-8&amp;partnerID=40&amp;md5=285d68f623122deb8edeff5d06ed68ad</t>
  </si>
  <si>
    <t>Vegetation cover is an important indicator of the hydrology, habitat suitability, and carbon storage of wetlands. The effective management of wetland vegetation requires a good understanding of how human activities affect vegetation cover. In this study, using China’s Yellow River Delta as a case study, we examined the factors that have influenced the delta’s vegetation cover since 1980. Based on structural equation modeling, we tested the impacts of seashore reclamation activities, including tidal embankment construction, port construction, and land reclamation, on vegetation cover. Other potentially important factors, such as population, road construction, precipitation, and rising sea levels, were incorporated into the analyses. Our results showed that seashore reclamation activities have had increasingly negative effects on vegetation cover over time. In contrast, ecological restoration projects and the development of ecotourism in the wetlands have improved vegetation cover. The impact of natural conditions in the delta (temperature, precipitation, and sea level rise) showed no consistent trend, but overall, seem to have had a positive effect. These findings have significant implications for conservation and the management of reclamation activities in the Yellow River Delta. © 2017, Springer Science+Business Media B.V.</t>
  </si>
  <si>
    <t>2-s2.0-85031998204"</t>
  </si>
  <si>
    <t>10.1175/JPO-D-17-0189.1</t>
  </si>
  <si>
    <t>https://www.scopus.com/inward/record.uri?eid=2-s2.0-85044724473&amp;doi=10.1175%2fJPO-D-17-0189.1&amp;partnerID=40&amp;md5=4103beb11ce24d5b9012b0bc6d0aa31a</t>
  </si>
  <si>
    <t>The roles of straining and dissipation in controlling stratification are derived analytically using a vertical salinity variance method. Stratification is produced by converting horizontal variance to vertical variance via straining, that is, differential advection of horizontal salinity gradients, and stratification is destroyed by the dissipation of vertical variance through turbulent mixing. A numerical model is applied to the Changjiang estuary in order to demonstrate the salinity variance balance and how it reveals the factors controlling stratification. The variance analysis reveals that dissipation reaches its maximum during spring tide in the Changjiang estuary, leading to the lowest stratification. Stratification increases from spring tide to neap tide because of the increasing excess of straining over dissipation. Throughout the spring-neap tidal cycle, straining is almost always larger than dissipation, indicating a net excess of production of vertical variance relative to dissipation. This excess is balanced on average by advection, which exports vertical variance out of the estuarine region into the plume. During neap tide, tidal straining shows a general tendency of destratification during the flood tide and restratification during ebb, consistent with the one-dimensional theory of tidal straining. During spring tide, however, positive straining occurs during flood because of the strong baroclinicity induced by the intensified horizontal salinity gradient. These results indicate that the salinity variance method provides a valuable approach for examining the spatial and temporal variability of stratification in estuaries and coastal environments. © 2018 American Meteorological Society.</t>
  </si>
  <si>
    <t>2-s2.0-85044724473"</t>
  </si>
  <si>
    <t>10.5194/nhess-18-795-2018</t>
  </si>
  <si>
    <t>https://www.scopus.com/inward/record.uri?eid=2-s2.0-85043498611&amp;doi=10.5194%2fnhess-18-795-2018&amp;partnerID=40&amp;md5=9b77b8c18f6ca1d3ceaf2934d0818067</t>
  </si>
  <si>
    <t>Tropical cyclones (TCs) result in widespread damage associated with strong winds, heavy rainfall and storm surge. TC Yasi was one of the most powerful TCs to impact the Queensland coast since records began. Prior to Yasi, the SSTs in the Coral Sea were higher than average by 1-2ĝ€°C, primarily due to the 2010/2011 La Niña event. In this study, a conceptually simple idealised sensitivity analysis is performed using a high-resolution regional model to gain insight into the influence of SST on the track, size, intensity and associated rainfall of TC Yasi. A set of nine simulations with uniform SST anomalies of between ĝ'4 and 4ĝ€°C applied to the observed SSTs are analysed. The resulting surface winds and pressure are used to force a barotropic storm surge model to examine the influence of SST on the associated storm surge of TC Yasi. &lt;br&gt;&lt;br&gt; An increase in SST results in an increase in intensity, precipitation and integrated kinetic energy of the storm</t>
  </si>
  <si>
    <t>10.1007/s10236-018-1133-0</t>
  </si>
  <si>
    <t>https://www.scopus.com/inward/record.uri?eid=2-s2.0-85041176263&amp;doi=10.1007%2fs10236-018-1133-0&amp;partnerID=40&amp;md5=04a4a16ebc3d97580977d3e89b3eea41</t>
  </si>
  <si>
    <t>This study shows that storm surge model performance in the North Sea is mostly unaffected by the application of temporal variations of surface drag due to changes in sea state provided the choice of a suitable constant Charnock parameter in the sea-state-independent case. Including essential meteorological features on smaller scales and minimising interpolation errors by increasing forcing data resolution are shown to be more important for the improvement of model performance particularly at the high tail of the probability distribution. This is found in a modelling study using WAQUA/DCSMv5 by evaluating the influence of a realistic air-sea momentum transfer parameterization and comparing it to the influence of changes in the spatial and temporal resolution of the applied forcing fields in an effort to support the improvement of impact and climate analysis studies. Particular attention is given to the representation of extreme water levels over the past decades based on the example of the Netherlands. For this, WAQUA/DCSMv5 is forced with ERA-Interim reanalysis data. Model results are obtained from a set of different forcing fields, which either (i) include a wave-state-dependent Charnock parameter or (ii) apply a constant Charnock parameter (αCh = 0.032) tuned for young sea states in the North Sea, but differ in their spatial and/or temporal resolution. Increasing forcing field resolution from roughly 79 to 12 km through dynamically downscaling can reduce the modelled low bias, depending on coastal station, by up to 0.25 m for the modelled extreme water levels with a 1-year return period and between 0.1 m and 0.5 m for extreme surge heights. © 2018, Springer-Verlag GmbH Germany, part of Springer Nature.</t>
  </si>
  <si>
    <t>2-s2.0-85041176263"</t>
  </si>
  <si>
    <t>10.3390/rs10020329</t>
  </si>
  <si>
    <t>https://www.scopus.com/inward/record.uri?eid=2-s2.0-85042532041&amp;doi=10.3390%2frs10020329&amp;partnerID=40&amp;md5=1dba2076892191a9edbc7c4cfa7498a7</t>
  </si>
  <si>
    <t>Large-scale reclamation projects during the past decades have been recognized as one of the driving factors behind land subsidence in coastal areas. However, the pattern of temporal evolution in reclamation settlements has rarely been analyzed. In this work, we study the spatio-temporal evolution pattern of Linggang New City (LNC) in Shanghai, China, using space-borne synthetic aperture radar interferometry (InSAR) methods. Three data stacks including 11 X-band TerraSAR-X, 20 L-band ALOS PALSAR, and 35 C-band ENVISAT ASAR images were used to retrieve time series deformation from 2007 to 2010 in the LNC. An InSAR analysis from the three data stacks displays strong agreement in mean deformation rates, with coefficients of determination of about 0.9 and standard deviations for inter-stack differences of less than 4 mm/y. Meanwhile, validations with leveling data indicate that all the three data stacks achieved millimeter-level accuracies. The spatial distribution and temporal evolution of deformation in the LNC as indicated by these InSAR analysis results relates to historical reclamation activities, geological features, and soil mechanisms. This research shows that ground deformation in the LNC after reclamation projects experienced three distinct phases: primary consolidation, a slight rebound, and plateau periods. © 2018 by the authors.</t>
  </si>
  <si>
    <t>2-s2.0-85042532041"</t>
  </si>
  <si>
    <t>10.1016/j.quaint.2017.12.042</t>
  </si>
  <si>
    <t>https://www.scopus.com/inward/record.uri?eid=2-s2.0-85040462541&amp;doi=10.1016%2fj.quaint.2017.12.042&amp;partnerID=40&amp;md5=825cae454f6a3ab93733403de7d82a6a</t>
  </si>
  <si>
    <t>The 2011 Tohoku earthquake and tsunami caused heavy damage in low-lying river valleys of the Sanriku coast, northeastern Japan. The landward extent of inundation by the tsunami varied considerably among the valleys, indicating that tsunami runups were strongly affected by the subaerial fluvial morphology of the valleys. We used detailed tsunami inundation maps to investigate tsunami runups along river valleys along the Sanriku coast, considering both the protected areas landward of coastal seawalls and levees (protected zone) and areas on the river side of levees (channel zone). We determined the mean longitudinal slopes of all river valleys and used them in conjunction with published tsunami inundation maps to determine the distances and heights of tsunami runups in 68 valleys along the Sanriku coast. Runup heights tended to be higher and inundation distances longer in the channel zone than in the protected zone. Comparisons of runups among valleys with different longitudinal valley slopes showed that inundation distance decreased with increasing valley slope, and that runup height increased with increasing slope. During runup, some of the kinetic energy of a tsunami is consumed as frictional work and some is transformed upslope to potential energy. The steeper the longitudinal slope, the greater the amount of energy transformed and stored as potential energy and, consequently, the amount of energy consumed by frictional work declines and inundation distance shortens. In the protected zone, more energy is consumed by frictional work during destruction of artificial structures such as houses, and inundation distance is shorter than in the channel zone. Our analysis of 2011 tsunami data clarified relationship among tsunami runups, shoreline-tsunami heights, geometry of the coastline, and longitudinal valley slopes. Among Sanriku ria coast, coastline geometry appears to be a secondary influence on the shoreline-tsunami height and runup. That the shoreline-tsunami height was not the dominant influence on tsunami runup emphasizes the importance of subaerial topography on tsunami runup, especially in narrow steep valleys, which are often of the topography along coasts that face plate margins. © 2017 Elsevier Ltd and INQUA</t>
  </si>
  <si>
    <t>2-s2.0-85040462541"</t>
  </si>
  <si>
    <t>10.2112/JCOASTRES-D-16-00198.1</t>
  </si>
  <si>
    <t>https://www.scopus.com/inward/record.uri?eid=2-s2.0-85043477037&amp;doi=10.2112%2fJCOASTRES-D-16-00198.1&amp;partnerID=40&amp;md5=75982f2418d7495fe6e5707d33870857</t>
  </si>
  <si>
    <t>Wave run-up is defined as the maximum vertical extent of wave up-rush on a beach or structure above the sea water level from wave breaking. Wave run-up is responsible for beach and dune erosion and can be an important component of coastal flooding. Run-up can be estimated using either empirical formulations or sophisticated wave-breaking models with high computational demand. On the other hand, meta-models are efficient approximations of physical-process models that enable researchers to obtain long-term time series of wave dynamics. These hybrid models are developed by combining statistical techniques and numerical models. In this study, a methodology to transform offshore sea conditions to long-term time series of wave run-up is described. The methodology combined the construction of two meta-models of offshore wave propagation to coastal areas and of nearshore wave transformation to run-up. Clustering techniques were then implemented to select a subset of spectral patterns of the offshore conditions for nearshore transfer and a subset of sea states for reconstructing the run-up. Multivariate, radial-basis functions were then fitted to the outputs of the wave propagation and wave run-up simulations to reconstruct the time series of sea-state parameters in shallow water and the time series of run-up. This methodology was applied to Palm Beach on the Gold Coast (QLD, Australia). The nearshore wave climate was validated quantitatively, whereas the reconstructed wave run-up and total water-level time series was validated with a qualitative approximation, confirming that this methodology is capable of accurately transforming the offshore wave conditions into run-up time series. The total water levels were also reconstructed to show the applicability of the results to probabilistic flood-risk analyses. © Coastal Education and Research Foundation, Inc. 2018.</t>
  </si>
  <si>
    <t>2-s2.0-85043477037"</t>
  </si>
  <si>
    <t>10.1016/j.geomorph.2017.09.040</t>
  </si>
  <si>
    <t>https://www.scopus.com/inward/record.uri?eid=2-s2.0-85030451132&amp;doi=10.1016%2fj.geomorph.2017.09.040&amp;partnerID=40&amp;md5=391f5687850b7377a7f01ebb867a6a20</t>
  </si>
  <si>
    <t>Modern deltas are dependent on human-mediated freshwater and sediment fluxes. Changes to these fluxes impact delta biogeophysical functioning and affect the long-term sustainability of these landscapes for human and for natural systems. Here we present contemporary estimates of long-term mean sediment balance and relative sea level rise across 46 global deltas. We model scenarios of contemporary and future water resource management schemes and hydropower infrastructure in upstream river basins to explore how changing sediment fluxes impact relative sea level rise in delta systems. Model results show that contemporary sediment fluxes, anthropogenic drivers of land subsidence, and sea level rise result in delta relative sea level rise rates that average 6.8 mm/y. Assessment of impacts of planned and under-construction dams on relative sea level rise rates suggests increases on the order of 1 mm/y in deltas with new upstream construction. Sediment fluxes are estimated to decrease by up to 60% in the Danube and 21% in the Ganges-Brahmaputra-Meghna if all currently planned dams are constructed. Reduced sediment retention on deltas caused by increased river channelization and management has a larger impact, increasing relative sea level rise on average by nearly 2 mm/y. Long-term delta sustainability requires a more complete understanding of how geophysical and anthropogenic change impact delta geomorphology. Local and regional strategies for sustainable delta management that focus on local and regional drivers of change, especially groundwater and hydrocarbon extraction and upstream dam construction, can be highly impactful even in the context of global climate-induced sea level rise. © 2017 The Authors</t>
  </si>
  <si>
    <t>2-s2.0-85030451132"</t>
  </si>
  <si>
    <t>10.5194/hess-22-1065-2018</t>
  </si>
  <si>
    <t>https://www.scopus.com/inward/record.uri?eid=2-s2.0-85041722168&amp;doi=10.5194%2fhess-22-1065-2018&amp;partnerID=40&amp;md5=0a6b962a31bb0cd789990a4ce5ebb343</t>
  </si>
  <si>
    <t>For a large beach nourishment called the Sand Engine-constructed in 2011 at the Dutch coast-we have examined the impact of coastal forcing (i.e. natural processes that drive coastal hydro- A nd morphodynamics) and groundwater recharge on the growth of a fresh groundwater lens between 2011 and 2016. Measurements of the morphological change and the tidal dynamics at the study site were incorporated in a calibrated three-dimensional and variable-density groundwater model of the study area. Simulations with this model showed that the detailed incorporation of both the local hydro- A nd morphodynamics and the actual recharge rate can result in a reliable reconstruction of the growth in fresh groundwater resources. In contrast, the neglect of tidal dynamics, land-surface inundations, and morphological changes in model simulations can result in considerable overestimations of the volume of fresh groundwater. In particular, wave runup and coinciding coastal erosion during storm surges limit the growth in fresh groundwater resources in dynamic coastal environments, and should be considered at potential nourishment sites to delineate the area that is vulnerable to salinization. © 2017 Author.</t>
  </si>
  <si>
    <t>2-s2.0-85041722168"</t>
  </si>
  <si>
    <t>10.1007/s12517-018-3525-3</t>
  </si>
  <si>
    <t>https://www.scopus.com/inward/record.uri?eid=2-s2.0-85045629150&amp;doi=10.1007%2fs12517-018-3525-3&amp;partnerID=40&amp;md5=5a78d084c5a8a9a17ca55dc80d08948e</t>
  </si>
  <si>
    <t>This paper provides a comparative analysis of flooding in Warri and Port Harcourt urban areas. The purpose is to isolate identical policies and strategies which may proof effective for flood mitigation in the two geographically related urban areas. The data used in the study were collected through field measurements, observations, interviews, and questionnaire administration and from the states’ agencies for flood management. Data analyses were based on descriptive statistical tools. Results revealed the flood characteristics, impacts, coping mechanisms and that risk-oriented planning which is essential for protection of floodplain occupants is neglected in the areas. The urban drainage systems are inadequate; the existing ones underperform and the municipal authorities have no well-articulated policies/arrangements through which repairs/maintenance/clearance of the drains would be regularly and speedily provided to ensure that they function properly and sustainably. Rehabilitation services are provided irregularly and in an ad hoc manner, based on the resources and priorities of the state governments. The paper recommends that governments and residents of flood-prone areas must address the key causes of deficits in urban drains and, in addition, intervene at critical stages of the flood build-up process in order to reduce flood damage and hasten storm water evacuation.</t>
  </si>
  <si>
    <t>10.5194/nhess-18-463-2018</t>
  </si>
  <si>
    <t>https://www.scopus.com/inward/record.uri?eid=2-s2.0-85041896045&amp;doi=10.5194%2fnhess-18-463-2018&amp;partnerID=40&amp;md5=5f8ed6b276e8a807891fb3fe09ec161f</t>
  </si>
  <si>
    <t>Many previous modelling studies have considered storm-tide and riverine flooding independently, even though joint-probability analysis highlighted significant dependence between extreme rainfall and extreme storm surges in estuarine environments. This study investigates compound flooding by quantifying horizontal and vertical differences in coastal flood risk estimates resulting from a separation of storm-tide and riverine flooding processes. We used an open-source version of the Delft3D model to simulate flood extent and inundation depth due to a storm event that occurred in June 2016 in the Shoalhaven Estuary, south-eastern Australia. Time series of observed water levels and discharge measurements are used to force model boundaries, whereas observational data such as satellite imagery, aerial photographs, tidal gauges and water level logger measurements are used to validate modelling results. The comparison of simulation results including and excluding riverine discharge demonstrated large differences in modelled flood extents and inundation depths. A flood risk assessment accounting only for storm-tide flooding would have underestimated the flood extent of the June 2016 storm event by 30 % (20.5 km2). Furthermore, inundation depths would have been underestimated on average by 0.34 m and by up to 1.5 m locally. We recommend considering storm-tide and riverine flooding processes jointly in estuaries with large catchment areas, which are known to have a quick response time to extreme rainfall. In addition, comparison of different boundary set-ups at the intermittent entrance in Shoalhaven Heads indicated that a permanent opening, in order to reduce exposure to riverine flooding, would increase tidal range and exposure to both storm-tide flooding and wave action.</t>
  </si>
  <si>
    <t>2-s2.0-85041896045"</t>
  </si>
  <si>
    <t>10.3390/atmos9030107</t>
  </si>
  <si>
    <t>https://www.scopus.com/inward/record.uri?eid=2-s2.0-85044065081&amp;doi=10.3390%2fatmos9030107&amp;partnerID=40&amp;md5=2344fe503c0be47e3ac4f8e8b03ca9ba</t>
  </si>
  <si>
    <t>Coastline change often results from social and natural factors, such as human activities in the coastal zone, long-term and short-term sea level change, hurricane occurrences, subsequent recovery, and so on. Tracking coastline change is essential to deepen our understanding of coastal responses to these factors. Such information is also required for land use planning and sustainable development of coastal zones. In this context, we aimed to collect all available Landsat data (TM: Thematic Mapper, ETM+: Enhanced Thematic Mapper Plus and OLI: Operational Land Imager) over 1986-2015 for tracking the coastline dynamic and estimating its change rate in the State of Texas, USA. First, the land vs. water maps at an annual scale were derived from the satellite images. The border between land and water represents the coastline in this study. Second, the annual land area was obtained to characterize the coastline dynamic and a linear regression model was used for estimating the change rate. We also analyzed the potential driving factors of the observed coastline change. The results reveal that the coastline in the State of Texas changed at a rate of -0.154±0.063 km2/year from 1986 to 2015, which indicates that the coastline has mainly experienced an erosion over the past three decades. Specifically, 52.58% of the entire coastline retreated to the land while a 47.42% portion advanced to the ocean. Long-term sea level rise can result in the erosion of coastline. Hurricane occurrences can explain the relatively strong coastline erosion. Besides, significant difference between the coastline change rate with a higher curvature and a lower curvature was observed. This study establishes a general method for detecting coastline change at large spatial and long-term temporal scales, by using remote sensing that can give fundamental information on coastline change. This is important for making scientific and reasonable policies of sustainable development of coastal zones. © 2018 by the author.</t>
  </si>
  <si>
    <t>2-s2.0-85044065081"</t>
  </si>
  <si>
    <t>Clean - Soil, Air, Water</t>
  </si>
  <si>
    <t>10.1002/clen.201800049</t>
  </si>
  <si>
    <t>https://www.scopus.com/inward/record.uri?eid=2-s2.0-85045133852&amp;doi=10.1002%2fclen.201800049&amp;partnerID=40&amp;md5=c6c924e8f41c53acb5675879c74514ef</t>
  </si>
  <si>
    <t>In the tidal salt marshes, the spatial variation of soil carbon (C) quality along the vegetation zones is still unclear. Here, a study is conducted in the mudflat, open shrubland, and dense shrubland in the Liaohe Delta, Northeast China, and soil organic C (OC) stock, particulate organic matter C (POMC), and aggregate-associated OC in the 0–15 and 15–30 cm depths are investigated along these vegetation zones. Among the three vegetation zones, dense shrubland had the greatest soil OC stock, open shrubland had the lowest value, and mudflat had an intermediate value. In each soil depth, dense shrubland generally had higher soil OC and POMC concentrations, and POMC/OC ratio compared to mudflat and open shrubland, respectively. Moreover, dense shrubland had a greater proportion of macro-aggregates (&gt;0.25 mm in diameter) and OC content in the macro-aggregates than mudflat and open shrubland, respectively. In addition, the OC content in the soil macro-aggregates positively correlated with soil POMC concentration. These results suggest that the high spatial variability in soil OC quantity and quality along the vegetation zones should be incorporated to accurately develop regional C budget in coastal wetlands in the Liaohe Delta, and also imply that a shift in vegetation zones induced by sea level rise could potentially cause substantial changes in the quantity and quality of soil OC in the tidal salt marshes. © 2018 WILEY-VCH Verlag GmbH &amp; Co. KGaA, Weinheim</t>
  </si>
  <si>
    <t>2-s2.0-85045133852"</t>
  </si>
  <si>
    <t>10.1016/j.catena.2017.11.026</t>
  </si>
  <si>
    <t>https://www.scopus.com/inward/record.uri?eid=2-s2.0-85038242335&amp;doi=10.1016%2fj.catena.2017.11.026&amp;partnerID=40&amp;md5=71378d37ab766eb28011e75ba1a84773</t>
  </si>
  <si>
    <t>Mangrove swamp rice cultivation is important for food security in some countries of West Africa including Sierra Leone. In this agro-ecology, rice is cultivated during the rainy season when freshwater flows in the rivers and salt and acidity concentrations have reduced to non-toxic levels. Rice yields in the mangrove ecosystem of Sierra Leone are higher than in other agro-ecologies and weed, disease and pest pressures are minimal. However, salinity, acidity and crabs negatively affect rice productivity in the mangrove swamps. Due to the differences in levels of flooding, salinity and acid sulphate conditions of mangrove swamp soils, it is assumed that there is variability of soil properties of mangrove swamps along the associated river, which may impact the choice of suitable rice varieties and soil management practices. The purpose of this study was to understand the soil physical and chemical properties of mangrove swamp soils along the Great Scarcies River of Sierra Leone. A soil sampling survey was designed and implemented using transects to collect composite soil samples of 1 ha area at 0–0.2 m depth at 11 different sites located from the estuary of the Great Scarcies River to approximately 35 km inland. The soil samples were air-dried, processed and analyzed for selected physical and chemical properties by recommended methods. Statistical analysis generated mean, standard deviations, coefficient of variation, correlation matrix and principal components. The high variability in soil physical and chemical characteristics of mangrove swamp soils along the Great Scarcies River could be attributed to the complex interactions between the twice daily tidal inundations and depositions of soil organic matter, physical particles and nutrients onto the mangrove swamp soils along the river. The result of this is a soil fertility gradient down-stream. © 2017 Elsevier B.V.</t>
  </si>
  <si>
    <t>2-s2.0-85038242335"</t>
  </si>
  <si>
    <t>10.1016/j.ocemod.2017.12.001</t>
  </si>
  <si>
    <t>https://www.scopus.com/inward/record.uri?eid=2-s2.0-85040653851&amp;doi=10.1016%2fj.ocemod.2017.12.001&amp;partnerID=40&amp;md5=98a7eca8c467f2b9d961834e971bf190</t>
  </si>
  <si>
    <t>In the tidal ebb-cycle at the Mouth of the Columbia River, strong density and velocity fronts sometimes form perpendicular to the coast at the edges of the freshwater plume. They are distinct from previously analyzed fronts at the offshore western edge of the plume that evolve as a gravity-wave bore. We present simulation results to demonstrate their occurrence and investigate the mechanisms behind their frontogenesis and evolution. Tidal velocities on average ranged between 1.5 m s−1 in flood and 2.5 m s−1 in ebb during the brief hindcast period. The tidal fronts exhibit strong horizontal velocity and buoyancy gradients on a scale ∼ 100 m in width with normalized relative vorticity (ζz/f) values reaching up to 50. We specifically focus on the front on the northern edge of the plume and examine the evolution in plume characteristics such as its water mass gradients, horizontal and vertical velocity structure, vertical velocity, turbulent vertical mixing, horizontal propagation, cross-front momentum balance, and Lagrangian frontogenetic tendencies in both buoyancy and velocity gradients. Advective frontogenesis leads to a very sharp front where lateral mixing near the grid-resolution limit arrests its further contraction. The negative vorticity within the front is initiated by the positive bottom drag curl on the north side of the Columbia estuary and against the north jetty. Because of the large negative vorticity and horizontal vorticity gradient, centrifugal and lateral shear instability begins to develop along the front, but frontal fragmentation and decay set in only after the turn of the tide because of the briefness of the ebb interval. © 2017 Elsevier Ltd</t>
  </si>
  <si>
    <t>2-s2.0-85040653851"</t>
  </si>
  <si>
    <t>Journal of the Atmospheric Sciences</t>
  </si>
  <si>
    <t>10.1175/JAS-D-17-0248.1</t>
  </si>
  <si>
    <t>https://www.scopus.com/inward/record.uri?eid=2-s2.0-85047067562&amp;doi=10.1175%2fJAS-D-17-0248.1&amp;partnerID=40&amp;md5=fd95ba0210968eb7557ad656b024f372</t>
  </si>
  <si>
    <t>Inland squall lines respond to the stable marine atmospheric boundary layer (MABL) as they move toward a coastline and offshore. As a storm's cold pool collides with the marine layer, characteristics of both determine the resulting convective forcing mechanism over the stable layer and storm characteristics. Idealized numerical experiments exploring a parameter space of MABL characteristics show that the postcollision forcing mechanism is determined by the buoyancy of the cold pool relative to the MABL. When the outflow is less buoyant, storms are forced by a cold pool within the marine environment. When the buoyancies are equivalent, a hybrid cold pool-internal gravity wave develops after the collision. The collision between a cold pool and less buoyant MABL initiates internal waves along the stable layer, regardless of MABL depth. These waves are inefficient at lifting air into the storm, and ascent from the trailing cold pool is needed to support deep convection. Storm intensity decreases with deeper and less buoyant MABLs, in part due to the reduction in elevated instability. Precipitation is enhanced just prior to the collision between a storm and the deepest marine layers. Storms modify their environment downstream, leading to the development of a moist adiabatic unstable layer and a lowering of the level of free convection (LFC) to below the top of the deepest marine layer. An MABL moving as a sea breeze into the storm-modified air successfully lifts parcels to the new LFC, generating convective towers ahead of the squall line. This mechanism may contribute to increased coastal flash flooding risks during observed events. © 2018 American Meteorological Society.</t>
  </si>
  <si>
    <t>2-s2.0-85047067562"</t>
  </si>
  <si>
    <t>10.1007/s13412-017-0443-8</t>
  </si>
  <si>
    <t>https://www.scopus.com/inward/record.uri?eid=2-s2.0-85041014201&amp;doi=10.1007%2fs13412-017-0443-8&amp;partnerID=40&amp;md5=b787743bb865886164d741c6f9f16a76</t>
  </si>
  <si>
    <t>As part of a larger transdisciplinary sea level rise (SLR) research project, six face-to-face, repeated focus groups with stakeholders (coastal resource managers and environmental communications professionals) were conducted in three states (Alabama, Florida, Mississippi) in the northern Gulf of Mexico. The purpose was to collect input on development of the project’s scientific research and models and gather future project outreach recommendations. This paper reports on the outreach-related results, which synergistically grew to encompass not only project-specific outreach but also broader concerns of stakeholders pertaining to risk communication. Participants believed outreach on SLR preparation was urgently needed and could be facilitated with a multifaceted targeted approach despite various challenges. Analysis revealed five target audience recommendations, six message content and format recommendations, and eight message delivery recommendations. Overall, the study provides empirical support for the perceived value and added benefits of social science, particularly qualitative methods, to foment transdisciplinary projects and for effective SLR communication. The paper concludes with a discussion of connections to the transdisciplinary research and risk communication literature followed by practical and future research implications. © 2017, AESS.</t>
  </si>
  <si>
    <t>2-s2.0-85041014201"</t>
  </si>
  <si>
    <t>10.1002/joc.5426</t>
  </si>
  <si>
    <t>https://www.scopus.com/inward/record.uri?eid=2-s2.0-85041278755&amp;doi=10.1002%2fjoc.5426&amp;partnerID=40&amp;md5=5a815527e67fd3404296784721d76fa5</t>
  </si>
  <si>
    <t>The far eastern tropical Pacific experienced a rapid, marked warming in early 2017, causing torrential rains along the west coast of South America with a significant societal toll in Peru and Ecuador. This strong coastal El Niño was largely unpredicted, even a few weeks before its onset, and it developed differently from either central or eastern events. Here we provide an overview of the event, its impacts and concomitant atmospheric circulation. It is proposed that a remotely forced, sustained weakening of the free tropospheric westerly flow impinging the subtropical Andes leads to a relaxation of the southeasterly (SE) trades off the coast, which in turn may have warmed the eastern Pacific throughout the weakening of upwelling in a near-coastal band and the lessening of the evaporative cooling farther offshore. © 2018 Royal Meteorological Society</t>
  </si>
  <si>
    <t>2-s2.0-85041278755"</t>
  </si>
  <si>
    <t>10.1038/s41558-018-0088-y</t>
  </si>
  <si>
    <t>https://www.scopus.com/inward/record.uri?eid=2-s2.0-85042533919&amp;doi=10.1038%2fs41558-018-0088-y&amp;partnerID=40&amp;md5=397b03072082a47c81188730d07cece6</t>
  </si>
  <si>
    <t>Coastal communities are threatened by sea-level changes operating at various spatial scales; global to regional variations are associated with glacier and ice sheet loss and ocean thermal expansion, while smaller coastal-scale variations are also related to atmospheric surges, tides and waves. Here, using 23 years (1993–2015) of global coastal sea-level observations, we examine the contribution of these latter processes to long-term sea-level rise, which, to date, have been relatively less explored. It is found that wave contributions can strongly dampen or enhance the effects of thermal expansion and land ice loss on coastal water-level changes at interannual-to-multidecadal timescales. Along the US West Coast, for example, negative wave-induced trends dominate, leading to negative net water-level trends. Accurate estimates of past, present and future coastal sea-level rise therefore need to consider low-frequency contributions of wave set-up and swash.</t>
  </si>
  <si>
    <t>10.5194/hess-22-1875-2018</t>
  </si>
  <si>
    <t>https://www.scopus.com/inward/record.uri?eid=2-s2.0-85043997851&amp;doi=10.5194%2fhess-22-1875-2018&amp;partnerID=40&amp;md5=ded9aac51513fcc76efcbc467609c09e</t>
  </si>
  <si>
    <t>Recent flood dynamics of the Mekong Delta have raised concerns about an increased flood risk downstream in the Vietnamese Mekong Delta. Accelerated high dike building on the floodplains of the upper delta to allow triple cropping of rice has been linked to higher river water levels in the downstream city of Can Tho. This paper assesses the hydraulic impacts of upstream dike construction on the flood hazard downstream in the Vietnamese Mekong Delta. We combined the existing one-dimensional (1-D) Mekong Delta hydrodynamic model with a quasi-two-dimensional (2-D) approach. First we calibrated and validated the model using flood data from 2011 and 2013. We then applied the model to explore the downstream water dynamics under various scenarios of high dike construction in An Giang Province and the Long Xuyen Quadrangle. Calculations of water balances allowed us to trace the propagation and distribution of flood volumes over the delta under the different scenarios. Model results indicate that extensive construction of high dikes on the upstream floodplains has had limited effect on peak river water levels downstream in Can Tho. Instead, the model shows that the impacts of dike construction, in terms of peak river water levels, are concentrated and amplified in the upstream reaches of the delta. According to our water balance analysis, river water levels in Can Tho have remained relatively stable, as greater volumes of floodwater have been diverted away from the Long Xuyen Quadrangle than the retention volume lost due to dike construction. Our findings expand on previous work on the impacts of water control infrastructure on flood risk and floodwater regimes across the delta. © Author(s) 2018.</t>
  </si>
  <si>
    <t>2-s2.0-85043997851"</t>
  </si>
  <si>
    <t>10.1002/2016JC012623</t>
  </si>
  <si>
    <t>https://www.scopus.com/inward/record.uri?eid=2-s2.0-85042621073&amp;doi=10.1002%2f2016JC012623&amp;partnerID=40&amp;md5=44a36829ed7882246238608fb9b435a3</t>
  </si>
  <si>
    <t>Numerical model experiments are used to study the effects of multiple channel bends on estuarine dynamics and, in particular, on secondary flows. These effects are demonstrated by comparing experiments with two different idealized trumpet-shaped estuaries, one straight and another one with a ∼8 km meandering section in the middle of the estuary. Meanders complicate the flow field by introducing secondary processes. For instance, meanders increase turbulence and associated mixing locally within the water column, as well as outside the meandering portion. Furthermore, meanders transform up to 30% of the along-channel momentum into secondary circulation. Production of turbulence and secondary currents is different at flood and ebb tidal phases. At flood, meanders lead to unstable stratification and increased turbulence. At ebb, the flow develops a helical pattern and adjusts to the channel curvature with minimal decrease in density stability. The secondary circulation asymmetry is caused by an interplay between the across-channel baroclinic pressure gradient force and the centrifugal force. During ebb both forces enhance each other, whereas they oppose during flood. As a consequence of this interaction between baroclinic forcing and curving morphology, ebb flows and horizontal buoyancy fluxes increase relative to flood. The enhanced ebb dominance shifts a density front toward the mouth of the estuary, thus reducing salt intrusion. © 2018. American Geophysical Union. All Rights Reserved.</t>
  </si>
  <si>
    <t>2-s2.0-85042621073"</t>
  </si>
  <si>
    <t>10.5194/nhess-18-669-2018</t>
  </si>
  <si>
    <t>https://www.scopus.com/inward/record.uri?eid=2-s2.0-85042878625&amp;doi=10.5194%2fnhess-18-669-2018&amp;partnerID=40&amp;md5=efb315d5cccb376e34e587c052ca42d2</t>
  </si>
  <si>
    <t>Tropical cyclones (TCs) and sea level rise (SLR) cause major problems including beach erosion, saltwater intrusion into groundwater, and damage to infrastructure in coastal areas. The magnitude and extent of damage is predicted to increase as a consequence of future climate change and local factors. Upward reef growth has attracted attention for its role as a natural breakwater, reducing the risks of natural disasters to coastal communities. However, projections of change in the risk to coastal reefs under conditions of intensified TCs and SLR are poorly quantified. In this study we projected the wave height and water level on Melekeok reef in the Palau Islands by 2100, based on wave simulations under intensified TCs (significant wave height at the outer ocean: SWHoĝ€-Combining double low lineĝ€-8.7-11.0ĝ€-m</t>
  </si>
  <si>
    <t>10.1016/j.geomorph.2018.01.011</t>
  </si>
  <si>
    <t>https://www.scopus.com/inward/record.uri?eid=2-s2.0-85044651596&amp;doi=10.1016%2fj.geomorph.2018.01.011&amp;partnerID=40&amp;md5=0e1c4919b923da605c88253fbe533ccb</t>
  </si>
  <si>
    <t>High resolution digital terrain models (DTMs) generated from airborne LiDAR data and supplemented by field evidence are used to map glacial landform assemblages dating from the last glaciation (Midlandian glaciation</t>
  </si>
  <si>
    <t>10.1016/j.aeolia.2017.08.006</t>
  </si>
  <si>
    <t>https://www.scopus.com/inward/record.uri?eid=2-s2.0-85028918954&amp;doi=10.1016%2fj.aeolia.2017.08.006&amp;partnerID=40&amp;md5=4f4ff2b3f64134a28a6e607b05017f1a</t>
  </si>
  <si>
    <t>Vegetated coastal dunes have the capacity to keep up with sea-level rise by accumulating and stabilizing wind-blown sand. In Europe, this is attributed to marram grass (Ammophila arenaria), a coastal grass species that combines two unique advantages for dune-building: (1) a very high tolerance to burial by wind-blown sand, and (2) more vigorous growth due to positive feedback to sand burial. However, while these vegetation characteristics have been demonstrated, observational data has not been used to model a function to describe the growth response of Ammophila to sand burial. Studies that model coastal dune development by incorporating positive feedback, as a result, may be hampered by growth functions that are unvalidated against field data. Therefore, this study aims to parameterize an empirical relationship to model the growth response of Ammophila to burial by wind-blown sand. A coastal foredune along a nourished beach in the Netherlands was monitored from April 2015 to April 2016. High-resolution geospatial data was acquired using an Unmanned Aerial Vehicle (UAV). Growth response of Ammophila, expressed by changes in Normalized Difference Vegetation Index (Δ NDVI) and vegetation cover (Δ Cover), is related to a sand burial gradient by fitting a Gaussian function using nonlinear quantile regression. The regression curves indicate an optimal burial rate for Ammophila of 0.31 m of sand per growing season, and suggest (by extrapolation of the data) a maximum burial tolerance for Ammophila between 0.78 (for Δ Cover) and 0.96 m (for Δ NDVI) of sand per growing season. These findings are advantageous to coastal management: maximizing the potential of Ammophila to develop dunes maximizes the potential of coastal dunes to provide coastal safety. © 2017 Elsevier B.V.</t>
  </si>
  <si>
    <t>2-s2.0-85028918954"</t>
  </si>
  <si>
    <t>10.3390/hydrology5010010</t>
  </si>
  <si>
    <t>https://www.scopus.com/inward/record.uri?eid=2-s2.0-85046864543&amp;doi=10.3390%2fhydrology5010010&amp;partnerID=40&amp;md5=da37d7457d5ea023f4e852df426b1ee0</t>
  </si>
  <si>
    <t>Estimating maximum possible rainfall is of great value for flood prediction and protection, particularly for regions, such as Canada, where urban and fluvial floods from extreme rainfalls have been known to be a major concern. In this study, a methodology is proposed to forecast real-time rainfall (with one month lead time) using different number of spatial inputs with different orders of lags. For this purpose, two types of models are used. The first one is a machine learning data driven-based model, which uses a set of hydrologic variables as inputs, and the second one is an empirical-statistical model that employs the multi-criteria decision analysis method for rainfall forecasting. The data driven model is built based on Artificial Neural Networks (ANNs), while the developed multi-criteria decision analysis model uses Technique for Order of Preference by Similarity to Ideal Solution (TOPSIS) approach. A comprehensive set of spatially varying climate variables, including geopotential height, sea surface temperature, sea level pressure, humidity, temperature and pressure with different orders of lags is collected to form input vectors for the forecast models. Then, a feature selection method is employed to identify the most appropriate predictors. Two sets of results from the developed models, i.e., maximum daily rainfall in each month (RMAX) and cumulative value of rainfall for each month (RCU), are considered as the target variables for forecast purpose. The results from both modeling approaches are compared using a number of evaluation criteria such as Nash-Sutcliffe Efficiency (NSE). The proposed models are applied for rainfall forecasting for a coastal area in Western Canada: Vancouver, British Columbia. Results indicate although data driven models such as ANNs work well for the simulation purpose, developed TOPSIS model considerably outperforms ANNs for the rainfall forecasting. ANNs show acceptable simulation performance during the calibration period (NSE up to 0.9) but they fail for the validation (NSE of 0.2) and forecasting (negative NSE). The TOPSIS method delivers better rainfall forecasting performance with the NSE of about 0.7. Moreover, the number of predictors that are used in the TOPSIS model are significantly less than those required by the ANNs to show an acceptable performance (7 against 47 for forecasting RCU and 6 against 32 for forecasting RMAX). Reliable and precise rainfall forecasting, with adequate lead time, benefits enhanced flood warning and decision making to reduce potential flood damages. © 2018 by the authors.</t>
  </si>
  <si>
    <t>2-s2.0-85046864543"</t>
  </si>
  <si>
    <t>10.3390/rs10020258</t>
  </si>
  <si>
    <t>https://www.scopus.com/inward/record.uri?eid=2-s2.0-85042531335&amp;doi=10.3390%2frs10020258&amp;partnerID=40&amp;md5=830849929a3a3d2cac72d858d282e75a</t>
  </si>
  <si>
    <t>Western Alaska's Yukon-Kuskokwim Delta (YKD) spans nearly 67,200 km2 and is among the largest and most productive coastal wetland ecosystems in the pan-Arctic. Permafrost currently forms extensive elevated plateaus on abandoned floodplain deposits of the outer delta, but is vulnerable to disturbance from rising air temperatures, inland storm surges, and salt-kill of vegetation. As pan-Arctic air and ground temperatures rise, accurate baseline maps of permafrost extent are critical for a variety of applications including long-term monitoring, understanding the scale and pace of permafrost degradation processes, and estimating resultant greenhouse gas dynamics. This study assesses novel, high-resolution techniques to map permafrost distribution using LiDAR and IKONOS imagery, in tandem with field-based parameterization and validation. With LiDAR, use of a simple elevation threshold provided a permafrost map with 94.9% overall accuracy</t>
  </si>
  <si>
    <t>10.1371/journal.pone.0192132</t>
  </si>
  <si>
    <t>https://www.scopus.com/inward/record.uri?eid=2-s2.0-85045193624&amp;doi=10.1371%2fjournal.pone.0192132&amp;partnerID=40&amp;md5=2aab557831d6bc9c9eae87fa8fc00f35</t>
  </si>
  <si>
    <t>Coastal risks are increasing from both development and climate change. Interest is growing in the protective role that coastal nature-based measures (or green infrastructure), such as reefs and wetlands, can play in adapting to these risks. However, a lack of quantitative information on their relative costs and benefits is one principal factor limiting their use more broadly. Here, we apply a quantitative risk assessment framework to assess coastal flood risk (from climate change and economic exposure growth) across the United States Gulf of Mexico coast to compare the cost effectiveness of different adaptation measures. These include nature-based (e.g. oyster reef restoration), structural or grey (e.g., seawalls) and policy measures (e.g. home elevation). We first find that coastal development will be a critical driver of risk, particularly for major disasters, but climate change will cause more recurrent losses through changes in storms and relative sea level rise. By 2030, flooding will cost $134–176.6 billion (for different economic growth scenarios), but as the effects of climate change, land subsidence and concentration of assets in the coastal zone increase, annualized risk will more than double by 2050 with respect to 2030. However, from the portfolio we studied, the set of cost-effective adaptation measures (with benefit to cost ratios above 1) could prevent up to $57–101 billion in losses, which represents 42.8–57.2% of the total risk. Nature-based adaptation options could avert more than $50 billion of these costs, and do so cost effectively with average benefit to cost ratios above 3.5. Wetland and oyster reef restoration are found to be particularly cost-effective. This study demonstrates that the cost effectiveness of nature-based, grey and policy measures can be compared quantitatively with one another, and that the cost effectiveness of adaptation becomes more attractive as climate change and coastal development intensifies in the future. It also shows that investments in nature-based adaptation could meet multiple objectives for environmental restoration, adaptation and flood risk reduction. © 2018 Reguero et al. This is an open access article distributed under the terms of the Creative Commons Attribution License, which permits unrestricted use, distribution, and reproduction in any medium, provided the original author and source are credited.</t>
  </si>
  <si>
    <t>2-s2.0-85045193624"</t>
  </si>
  <si>
    <t>10.1175/JCLI-D-16-0907.1</t>
  </si>
  <si>
    <t>https://www.scopus.com/inward/record.uri?eid=2-s2.0-85040945586&amp;doi=10.1175%2fJCLI-D-16-0907.1&amp;partnerID=40&amp;md5=1b8bc47099ada30e05472592f6799c67</t>
  </si>
  <si>
    <t>Inversion layers in the lower troposphere appear centered at two heights, 1.5 and 4 km, over the northwestern coast of the South China Sea in late boreal winter. The mechanisms of these dual inversion layers are investigated with thermal budget and composite analyses of the JRA-55 dataset. The thermal budget analysis classifies inversion layers between the levels of 700 and 600 hPa into two types. One type is related to high pressure moving southward along the eastern edge of the Tibetan Plateau</t>
  </si>
  <si>
    <t>10.1007/s10113-017-1260-z</t>
  </si>
  <si>
    <t>https://www.scopus.com/inward/record.uri?eid=2-s2.0-85036574943&amp;doi=10.1007%2fs10113-017-1260-z&amp;partnerID=40&amp;md5=c094b2c18ce2763742d4643a6c4b5c96</t>
  </si>
  <si>
    <t>Most studies of major disasters focus on the impacts of the event and the short-term responses. Some evaluate the underlying causes of vulnerability, but few follow-up events years later to evaluate the consequences of early framings of the recovery process. The objective of this study was to improve understanding of the influence that recovery narratives have had on how decisions and actions are undertaken to recover from a disaster, and what influence this has had in turn, on long-term resilience. The study drew on comparisons and insights from four case studies in Southeast Asia: (1) local innovations that led to new policies for living with floods in the Mekong Delta in Vietnam following the 2001 Mekong River floods; (2) livelihood and infrastructure responses in Prey Veng, Cambodia, after the 2001 and 2011 Mekong River floods; (3) the role of the Panglima Laot, a traditional fisheries management institution, in the recovery process following the 2004 Indian Ocean tsunami in Aceh province, Indonesia; and (4) the challenges faced by small and medium enterprises in a market area following the 2011 floods in Bangkok, Thailand. This study identified alternative narratives on the purpose and means of ‘recovery’ with implications for who ultimately benefits and who remains at risk. The study also found both formal and informal loss and damage systems were involved in recoveries. The findings of this study are important for improving the performance of loss and damage systems, both existing and planned, and, ultimately, supporting more climate resilient development that is inclusive.</t>
  </si>
  <si>
    <t>10.1007/s10236-017-1114-8</t>
  </si>
  <si>
    <t>https://www.scopus.com/inward/record.uri?eid=2-s2.0-85038366254&amp;doi=10.1007%2fs10236-017-1114-8&amp;partnerID=40&amp;md5=2a1885831d39e382be54e012b512bab8</t>
  </si>
  <si>
    <t>A numerical modeling study of the influence of the lateral flow on the estuarine exchange flow was conducted in the north passage of the Changjiang estuary. The lateral flows show substantial variabilities within a flood-ebb tidal cycle. The strong lateral flow occurring during flood tide is caused primarily by the unique cross-shoal flow that induces a strong northward (looking upstream) barotropic force near the surface and advects saltier water toward the northern part of the channel, resulting in a southward baroclinic force caused by the lateral density gradient. Thus, a two-layer structure of lateral flows is produced during the flood tide. The lateral flows are vigorous near the flood slack and the magnitude can exceed that of the along-channel tidal flow during that period. The strong vertical shear of the lateral flows and the salinity gradient in lateral direction generate lateral tidal straining, which are out of phase with the along-channel tidal straining. Consequently, stratification is enhanced at the early stage of the ebb tide. In contrast, strong along-channel straining is apparent during the late ebb tide. The vertical mixing disrupts the vertical density gradient, thus suppressing stratification. The impact of lateral straining on stratification during spring tide is more pronounced than that of along-channel straining during late flood and early ebb tides. The momentum balance along the estuary suggests that lateral flow can augment the residual exchange flow. The advection of lateral flows brings low-energy water from the shoal to the deep channel during the flood tide, whereas the energetic water is moved to the shoal via lateral advection during the ebb tide. The impact of lateral flow on estuarine circulation of this multiple-channel estuary is different from single-channel estuary. A model simulation by blocking the cross-shoal flow shows that the magnitudes of lateral flows and tidal straining are reduced. Moreover, the reduced lateral tidal straining results in a decrease in vertical stratification from the late flood to early ebb tides during the spring tide. By contrast, the along-channel tidal straining becomes dominant. The model results illustrate the important dynamic linkage between lateral flows and estuarine dynamics in the Changjiang estuary. © 2017, Springer-Verlag GmbH Germany.</t>
  </si>
  <si>
    <t>2-s2.0-85038366254"</t>
  </si>
  <si>
    <t>10.1016/j.scitotenv.2017.11.224</t>
  </si>
  <si>
    <t>https://www.scopus.com/inward/record.uri?eid=2-s2.0-85034851308&amp;doi=10.1016%2fj.scitotenv.2017.11.224&amp;partnerID=40&amp;md5=d27debd90e1113cdf125e64fcea7e668</t>
  </si>
  <si>
    <t>We compared the effects of three key environmental factors of coastal flooding: sea level rise (SLR), land subsidence (LS) and bathymetric change (BC) in the coastal areas of Shanghai. We use the hydrological simulation model MIKE 21 to simulate flood magnitudes under multiple scenarios created from combinations of the key environmental factors projected to year 2030 and 2050. Historical typhoons (TC9711, TC8114, TC0012, TC0205 and TC1109), which caused extremely high surges and considerable losses, were selected as reference tracks to generate potential typhoon events that would make landfalls in Shanghai (SHLD), in the north of Zhejiang (ZNLD) and moving northwards in the offshore area of Shanghai (MNS) under those scenarios. The model results provided assessment of impact of single and compound effects of the three factors (SLR, LS and BC) on coastal flooding in Shanghai for the next few decades. Model simulation showed that by the year 2030, the magnitude of storm flooding will increase due to the environmental changes defined by SLR, LS, and BC. Particularly, the compound scenario of the three factors will generate coastal floods that are 3.1, 2.7, and 1.9 times greater than the single factor change scenarios by, respectively, SLR, LS, and BC. Even more drastically, in 2050, the compound impact of the three factors would be 8.5, 7.5, and 23.4 times of the single factors. It indicates that the impact of environmental changes is not simple addition of the effects from individual factors, but rather multiple times greater of that when the projection time is longer. We also found for short-term scenarios, the bathymetry change is the most important factor for the changes in coastal flooding</t>
  </si>
  <si>
    <t>10.1016/j.compenvurbsys.2017.11.004</t>
  </si>
  <si>
    <t>https://www.scopus.com/inward/record.uri?eid=2-s2.0-85034569453&amp;doi=10.1016%2fj.compenvurbsys.2017.11.004&amp;partnerID=40&amp;md5=34c5d57ec98ef4a7064429b49784034f</t>
  </si>
  <si>
    <t>Hydrological infrastructure such as pumps, floodgates (or sluice gates), dams, embankments, and flood barriers are invaluable assets used for controlling water in flood-prone areas such coastal cities. These infrastructure components are often vulnerable to damage or failure due to the impact of floodwaters, thus leaving people and urban property exposed to flood hazards. To minimise the failure of hydrological infrastructure during intense flooding events, it is important to identify the most vulnerable components and to invest scarce resources in reducing their vulnerability. Using the concepts of exposure, susceptibility and resilience, this study proposes a graph-based network approach for measuring the vulnerability of hydrological infrastructure to flood damage in coastal cities. In this graph-based approach, hydrological infrastructures are represented as network nodes and the waterways as edges. The proposed vulnerability assessment approach is applied to measure and rank the vulnerability of floodgates in one of the most exemplary coastal cities - Jakarta, Indonesia. The results show that the proposed solution is both useful in highlighting the most vulnerable infrastructure components and also providing clues as to what actions can be taken to minimise infrastructure vulnerability. More so, the solution was found to be useful in identifying potential locations within the city of Jakarta, where additional infrastructure are required to improve resilience to flooding. This type of information about infrastructure vulnerability and resilience actions is vital to decision-making authorities responsible for planning, flood preparedness and priority-based allocation of resources for the maintenance of flood control infrastructure in coastal cities. © 2017 Elsevier Ltd</t>
  </si>
  <si>
    <t>2-s2.0-85034569453"</t>
  </si>
  <si>
    <t>10.3390/hydrology5010014</t>
  </si>
  <si>
    <t>https://www.scopus.com/inward/record.uri?eid=2-s2.0-85046841922&amp;doi=10.3390%2fhydrology5010014&amp;partnerID=40&amp;md5=cad5d4c6e71c185ebb464471c43d0704</t>
  </si>
  <si>
    <t>Global Climate Change is one of the dire challenges facing the international community today. Coastal zones are vulnerable to its impacts. An effective approach with long-term prospects in addressing climate change impacts is it's mainstreaming into development agenda of sectoral policies. A comprehensive risk and vulnerability assessment is a pre-requisite to ensure that the right adaptive response is taken for effective integration into developmental plans. The objective of this study is to evaluate and prioritize risks, vulnerability and adaptation issues of current and anticipated impacts of climate change on the coastal zone of The Gambia. The study will also give a methodological contribution for assessing risks, vulnerability and adaptation from the sub-national to local levels. The relevance of this study will be to create a link between the sub-national and local levels in order to facilitate the integration and mainstreaming of climate change into sectoral and local policies for more climate-resilient communities. This will aid in the promotion of strategic investment of constrained developmental resources to actualize successfully dynamic coping strategies, elude 'maladaptation' and less compelling responsive measures. A purposive expert sampling technique was used in selecting respondents for the study. The findings of the study reveal that by the end of the 21st century, the climatic variables likely to have the highest impact on the coastal zone of The Gambia are 'increased flood severity' and 'increased temperature'. The coastal zone of The Gambia showed a high vulnerability to these climate change variables. The suggested adaptive response in addressing the impacts of increased flood intensity in the study area includes</t>
  </si>
  <si>
    <t>10.1002/2017EF000676</t>
  </si>
  <si>
    <t>https://www.scopus.com/inward/record.uri?eid=2-s2.0-85042594188&amp;doi=10.1002%2f2017EF000676&amp;partnerID=40&amp;md5=e046bbf2c17b09b303f7a395e61318a8</t>
  </si>
  <si>
    <t>Worldwide, humans are facing high risks from natural hazards, especially in coastal regions with high population densities. Rising sea levels due to global warming are making coastal communities' infrastructure vulnerable to natural disasters. The present study aims to provide a coupling approach of vulnerability and resilience through restoration and conservation of lost or degraded coastal natural habitats to reclamation under different climate change scenarios. The integrated valuation of ecosystems and tradeoffs model is used to assess the current and future vulnerability of coastal communities. The model employed is based on seven different biogeophysical variables to calculate a natural hazard index and to highlight the criticality of the restoration of natural habitats. The results show that roughly 25% of the coastline and more than 5 million residents are in highly vulnerable coastal areas of mainland China, and these numbers are expected to double by 2100. Our study suggests that restoration and conservation in recently reclaimed areas have the potential to reduce this vulnerability by 45%. Hence, natural habitats have proved to be a great defense against coastal hazards and should be prioritized in coastal planning and development. The findings confirm that natural habitats are critical for coastal resilience and can act as a recovery force of coastal functionality loss. Therefore, we recommend that the Chinese government prioritizes restoration (where possible) and conservation of the remaining habitats for the sake of coastal resilience to prevent natural hazards from escalating into disasters. © 2018 The Authors.</t>
  </si>
  <si>
    <t>2-s2.0-85042594188"</t>
  </si>
  <si>
    <t>10.1016/j.jhydrol.2017.12.024</t>
  </si>
  <si>
    <t>https://www.scopus.com/inward/record.uri?eid=2-s2.0-85038011514&amp;doi=10.1016%2fj.jhydrol.2017.12.024&amp;partnerID=40&amp;md5=0df0a3db89036078a33d29ceee808a11</t>
  </si>
  <si>
    <t>The Vietnamese Mekong Delta (VMD) is a region of utmost importance to Vietnam's national food security. However, the availability of required freshwater resources (from both surface and groundwater sources) is currently under great threats due to dry season salinity intrusion, surface water pollution, and over-exploitation of groundwater. Global climate change, sea level rise, and upstream and in situ development activities may worsen the situation. Assuming that adaptive management could be a promising strategy to address the increasingly complex and unpredictable water-related problems in the VMD, we design and apply a framework to identify the extent to which the governance regime in this region exhibits conditions that are likely to promote adaptive freshwater management. Using both primary and secondary data, our analysis reveals that the prospects for adaptive water management in the study area are limited since several conditions were not present. We observe among others limitations in vertical and horizontal integration and public participation, restraints in knowledge and information sharing, inadequate policy development and implementation, and insufficient diversification of financial resources. Following our findings, we conclude the paper with recommendations both for national, regional and local policy interventions and for future research. © 2017</t>
  </si>
  <si>
    <t>2-s2.0-85038011514"</t>
  </si>
  <si>
    <t>10.3390/ijgi7030105</t>
  </si>
  <si>
    <t>https://www.scopus.com/inward/record.uri?eid=2-s2.0-85044504540&amp;doi=10.3390%2fijgi7030105&amp;partnerID=40&amp;md5=64b25b74e56c8b7522201fe0c2c8501e</t>
  </si>
  <si>
    <t>The increasing number of floods and the severity of their consequences, which is caused by phenomena, such as climate change and uncontrolled urbanization, create a growing need to develop operational procedures and tools for accurate and timely flood mapping and management. Synthetic Aperture Radar (SAR), with its day, night, and cloud-penetrating capacity, has proven to be a very useful source of information during calibration of hydrodynamic models considered indispensable tools for near real-time flood forecasting and monitoring. The paper begins with the analysis of radar signatures of temporal series of SAR data, by exploiting the short revisit time of the images that are provided by the Cosmo-SkyMed constellation of four satellites, in combination with a Digital Elevation Model for the extraction of flood extent and spatially distributed water depth in a flat area with complex topography during a flood event. These SAR-based hazard maps were then used to perform a bi-dimensional hydraulic model calibration on the November 2010 flood event at the mouth of the Bradano River in Basilicata, Italy. Once the best fit between flood predictions of hydrodynamic models was identified and the efficacy of SAR data in correcting hydrodynamic inconsistencies with regard to reliable assessment of flood extent and water-depth maps was shown by validation with the December 2013 Bradano River event. Based on calibration and validation results, the paper aims to show how the combination of the time series of Synthetic Aperture Radar (SAR) and Digital Elevation Model (DEM) derived water-depth maps with the data from the hydrodynamic model can provide valuable information for flood dynamics monitoring in a flat area with complex topography. Future research should focus on the integration and implementation of the semi-automatic proposed method in an operational system for near real-time flood management. © 2018 by the authors.</t>
  </si>
  <si>
    <t>2-s2.0-85044504540"</t>
  </si>
  <si>
    <t>10.1002/2017WR021872</t>
  </si>
  <si>
    <t>https://www.scopus.com/inward/record.uri?eid=2-s2.0-85044281037&amp;doi=10.1002%2f2017WR021872&amp;partnerID=40&amp;md5=bdb069552c19489608fd346f61c82b41</t>
  </si>
  <si>
    <t>Initially observed in the semiarid basins of southwestern USA, earth fissures due to aquifer over-exploitation are presently threatening a large number of subsiding basins in various countries worldwide. Different mechanics have been proposed to explain this process, such as differential compaction, horizontal movements, and fault reactivation. Numerical modeling and prediction of this major geohazard caused by overuse of groundwater resources are challenging because of two main requirements: shifting from the classical continuous to discontinuous geomechanics and incorporating two-dimensional features (the earth fissures) into large three-dimensional (3-D) modeling domain (the subsiding basin). In this work, we proposed a novel modeling approach to simulate earth fissure generation and propagation in 3-D complex geological settings. A nested two-scale approach associated with an original nonlinear elastoplastic finite element/interface element simulator allows modeling the mechanics of earth discontinuities, in terms of both sliding and opening. The model is applied on a case study in Wuxi, China, where groundwater pumping between 1985 and 2004 has caused land subsidence larger than 2 m. The model outcomes highlight that the presence of a shallow (∼80 m deep) bedrock ridge crossing the Yangtze River delta is the key factor triggering the earth fissure development in this area. Bending of the alluvial deposits around the ridge tip and shear stress due to the uneven piezometric change and asymmetrical shape of the bedrock have caused the earth fissure to onset at the land surface and propagate downward to a maximum depth of about 20–30 m. Maximum sliding and opening are computed in the range of 10–40 cm, in agreement with the order of magnitude estimated in the field. © 2018. American Geophysical Union. All Rights Reserved.</t>
  </si>
  <si>
    <t>2-s2.0-85044281037"</t>
  </si>
  <si>
    <t>10.1109/JSTARS.2017.2784784</t>
  </si>
  <si>
    <t>https://www.scopus.com/inward/record.uri?eid=2-s2.0-85041191997&amp;doi=10.1109%2fJSTARS.2017.2784784&amp;partnerID=40&amp;md5=41986a2a6c48f359d046b37c9833c0be</t>
  </si>
  <si>
    <t>Paddy Rice is the prevalent land cover in the mosaicked landscape of the Hanoi Capital Region, Vietnam. In this study, we map double and single crop rice in Hanoi using a random forest algorithm and a time-series of Sentinel-1 SAR imagery at 10 and 20 m resolution using VV-only, VH-only, and both polarizations. We compare spatial and areal variation and quantify input band importance, estimate crop growth stages, estimate rice field/collective metrics using Fragstats with image segmentation, and highlight the importance of the results for land use and land cover. Results suggest double crop rice ranged from 208 000 to 220 000 ha with 20-m resolution imagery accounting for the most area in all polarizations. Based on accuracy assessment, we found 10 m data for VV/VH to have highest overall accuracy (93.5%, ±1.33%), while VV at 10 and 20 m had lowest overall accuracies (90.9%, ±1.57</t>
  </si>
  <si>
    <t>10.2166/wst.2018.038</t>
  </si>
  <si>
    <t>https://www.scopus.com/inward/record.uri?eid=2-s2.0-85044987076&amp;doi=10.2166%2fwst.2018.038&amp;partnerID=40&amp;md5=0579bed2220ad793526769415742f3a4</t>
  </si>
  <si>
    <t>In the context of climate change, salinity intrusion into rivers has been, and will be, one of the most important issues for coastal water resources management. A combination of changes, including increased temperature, change in regional rainfall, especially sea level rise (SLR) related to climate change, will have significant impacts on this phenomenon. This paper presents the outcomes of a study conducted in the Mekong Delta of Vietnam (MKD) for evaluating the effect of sea water intrusion under a new SLR scenario. Salinity intrusion was simulated by one-dimensional (1D) modeling. The relative sea level projection was constructed corresponding to the RCP 6.0 emission scenario for MKD based on the statistical downscaling method. The sea level in 2050 is projected to increase from 25 cm to 30 cm compared to the baseline period (in 2000). Furthermore, the simulated results suggested that salinity greater than 4 g/l, which affects rice yield, will intrude up to 50-60 km into the river. Approximately 30,000 ha of agricultural area will be affected if the sea level rise is 30 cm. © 2018 IWA Publishing.</t>
  </si>
  <si>
    <t>2-s2.0-85044987076"</t>
  </si>
  <si>
    <t>10.1016/j.catena.2017.09.016</t>
  </si>
  <si>
    <t>https://www.scopus.com/inward/record.uri?eid=2-s2.0-85032901559&amp;doi=10.1016%2fj.catena.2017.09.016&amp;partnerID=40&amp;md5=acc57c95d9af99d55834a651e0fdc1a0</t>
  </si>
  <si>
    <t>Sea level rise, one of the most evident effects of recent climate change, is already impacting coastal ecosystems. Because of its low relief, population increase and economic development during the last century, the Celestun lagoon is highly vulnerable to global change, including sea level rise. Here, we study a sediment core from a tropical saltmarsh to evaluate the impact of sea level rise on sediment accretion and carbon fluxes. Some geochemical indicators in a 210Pb dated sediment core showed clear signals of marine influence. This was reflected on increased accretion rates, from 0.3 ± 0.1 mm yr− 1 in ≈ 1941 to 2.9 ± 1.2 mm yr− 1 in 2012. These accretion rates were similar to eustatic sea level rise, and mean acceleration ranged from 0.037–0.22 mm yr− 2, implying a SLR by 2100 ranging from 14 to 86 cm. The one-century (1917–2013) organic carbon stock in sediments was calculated to be 10.1 ± 0.2 Mg C ha− 1. During the same period, the organic carbon flux, corrected for organic carbon degradation, increased from 7 ± 3 g C m− 2 yr− 1 to 73 ± 26 g C m− 2 yr− 1, attributed to the impact of sea level rise in this ecosystem. This work shows that tropical saltmarshes may provide useful information on sea level rise, and the presented methodology may be used where instrumental records do not exist or they are too short. © 2017 Elsevier B.V.</t>
  </si>
  <si>
    <t>2-s2.0-85032901559"</t>
  </si>
  <si>
    <t>10.3390/geosciences8030091</t>
  </si>
  <si>
    <t>https://www.scopus.com/inward/record.uri?eid=2-s2.0-85044596303&amp;doi=10.3390%2fgeosciences8030091&amp;partnerID=40&amp;md5=53e895e713b39e63296f5dc6631018c3</t>
  </si>
  <si>
    <t>Shelf morphology and sedimentary regimes are influenced by processes operating at different temporal and spatial scales and are important records of sea level changes and sediment supply and/or carbonate production. The northern continental shelf of Espírito Santo (Brazil) contains evidence of different sedimentary regimes that distribute diverse and complex marine habitats. Herein, seabed morphology, acoustic images of the seafloor (side scan sonar and sub-bottom profiler), and sediment samples were used to investigate the influence of sedimentary regimes on physical marine habitat distribution. Seabed mapping is also integrated with available data on fisheries to understand the influence of shelf morphology and sedimentology in the usage of distinct fishing gears. The results indicate five morpho-sedimentary facies: terrigenous mud, terrigenous sand, rhodolith beds, carbonate gravel with rhodoliths, and hardground. Through an integrated analysis of the geomorphology and sedimentary distribution, two morpho-sedimentary domains were identified: a sediment-fed shelf adjacent to the Doce River associated with a major mud depocenter and a delta front morphology characterized by gentle slopes and low terrain ruggedness, and a sediment-starved shelf dominated by carbonate sedimentation showing an irregular morphology associated with higher slopes and terrain ruggedness. These contrasting morpho-sedimentary domains are a result of sedimentary responses to sea level fluctuation during Late Quaternary, specially, during the deglaciation processes after the Last Glacial Maximum. The morphological and sedimentary contrasts along the area define the physical habitat distribution. The sediment supply regime area is associated with a terrigenous fine/muddy sedimentation bed, which control the local morphology and favors coastal and delta front progradation. This physical habitat is a well-known shrimp-fishing ground where intense trawling takes place, as well as gillnet fisheries targeting weakfish and croakers. The accommodation regime or low sediment influx area is characterized by carbonate sedimentation associated with hardgrounds and rhodolith beds. In contrast, this physical habitat with scarce sediment supply, facilitates extensive benthic colonization by crustose coralline algae (CCA), which is primarily associated to line fisheries, longlines, and spearfishing. Rhodoliths show a high diversity of CCA and the occurrence of an endemic kelp species. Long-term processes such as relative sea level fluctuations and sediment supply are a legacy for the distribution of benthic habitats, and their resulting morphology can be a surrogate for predicting fishing activities or a first-base analysis for marine spatial planning. Available low-resolution bathymetric datasets can be a powerful tool, if applied with caution and in a regional scale approach. Here, terrain variables (terrain slope and ruggedness) derived from an extensive available (low-resolution and interpolated) bathymetric dataset distinguished two contrasting morphological domains characterized by rugged and smooth/flat seabeds. © 2018 by the authors. Licensee MDPI, Basel, Switzerland.</t>
  </si>
  <si>
    <t>2-s2.0-85044596303"</t>
  </si>
  <si>
    <t>10.5194/nhess-18-997-2018</t>
  </si>
  <si>
    <t>https://www.scopus.com/inward/record.uri?eid=2-s2.0-85044995080&amp;doi=10.5194%2fnhess-18-997-2018&amp;partnerID=40&amp;md5=8112bae6efef6d77df6206c2a48a0f7a</t>
  </si>
  <si>
    <t>Winds, waves and storm surges can inflict severe damage in coastal areas. In order to improve preparedness for such events, a better understanding of storm-induced coastal flooding episodes is necessary. To this end, this paper highlights the use of atmospheric downscaling techniques in order to improve wave and storm surge hindcasts. The downscaling techniques used here are based on existing European Centre for Medium-Range Weather Forecasts reanalyses (ERA-20C, ERA-40 and ERA-Interim). The results show that the 10ĝ€km resolution data forcing provided by a downscaled atmospheric model gives a better wave and surge hindcast compared to using data directly from the reanalysis. Furthermore, the analysis of the most extreme mid-latitude cyclones indicates that a four-dimensional blending approach improves the whole process, as it assimilates more small-scale processes in the initial conditions. Our approach has been successfully applied to ERA-20C (the 20th century reanalysis). © Author(s) 2018.</t>
  </si>
  <si>
    <t>2-s2.0-85044995080"</t>
  </si>
  <si>
    <t>Area</t>
  </si>
  <si>
    <t>10.1111/area.12355</t>
  </si>
  <si>
    <t>https://www.scopus.com/inward/record.uri?eid=2-s2.0-85020511275&amp;doi=10.1111%2farea.12355&amp;partnerID=40&amp;md5=e17236d3886e31e02219f5c4e516496b</t>
  </si>
  <si>
    <t>In times of climate change and global ecosystem degradation, Small Island Developing States (SIDS) are both showcases and indicators for global social-ecological dynamics. Resilience is among the most prominent concepts to assess and improve communities’ capacity to adapt to environmental changes, described as adaptability. But how environmental pressures are perceived, and how this perception translates into action and specific behavioural patterns, is regionally different and depends on cultural, historical and cognitive contexts. Within the cultural and regional framing, different knowledge systems can be identified, which affect perception of and behaviour towards environmental concerns. Knowledge systems can be competing, because they are influenced by different and changing cultural identities, experiences, worldviews, norms and (unequal) power relations. How do competing knowledge systems influence adaptability? And how can we learn from them, respectively? By means of qualitative and quantitative empirical research on The Bahamas, we show how different knowledge systems translate into different modes of responding to specific environmental pressures, such as sea-level rise. The understanding of historicity and temporality, experience and learning processes, and institutional settings, which frame people's knowledge of their environment, is important for understanding potentials for adaptability. The information, practices and views in this article are those of the author(s) and do not necessarily reflect the opinion of the Royal Geographical Society (with IBG). © 2017 Royal Geographical Society (with the Institute of British Geographers).</t>
  </si>
  <si>
    <t>2-s2.0-85020511275"</t>
  </si>
  <si>
    <t>10.1002/2017WR021440</t>
  </si>
  <si>
    <t>https://www.scopus.com/inward/record.uri?eid=2-s2.0-85044733388&amp;doi=10.1002%2f2017WR021440&amp;partnerID=40&amp;md5=8079cc971ba309175fd1849fdd9103d2</t>
  </si>
  <si>
    <t>A community capacity to cope with flood hazards, or community flood resilience, emerges from the interplay of hydrological and social processes. This interplay can be significantly influenced by the flood control strategy adopted by a society, i.e., how a society sets its desired flood protection level and strives to achieve this goal. And this interplay can be further complicated by rising land-sea level differences, seasonal water level fluctuations, and economic change. But not much research has been done on how various forms of flood control strategies affect human-flood interactions under these disturbances and therefore flood resilience in the long run. The current study is an effort to address these issues by developing a conceptual model of human-flood interaction mediated by flood control strategies. Our model extends the existing model of Yu et al. (2017), who investigated the flood resilience of a community-based flood protection system in coastal Bangladesh. The major extensions made in this study are inclusions of various forms of flood control strategies (both adaptive and nonadaptive ones), the challenge of rising land-sea level differences, and various high tide level scenarios generated from modifying the statistical variances and averages. Our results show that adaptive forms of flood control strategies tend to outperform nonadaptive ones for maintaining the model community's flood protection system. Adaptive strategies that dynamically adjust target flood protection levels through close monitoring of flood damages and social memories of flood risk can help the model community deal with various disturbances. © 2018. American Geophysical Union. All Rights Reserved.</t>
  </si>
  <si>
    <t>2-s2.0-85044733388"</t>
  </si>
  <si>
    <t>10.1016/j.jafrearsci.2017.12.003</t>
  </si>
  <si>
    <t>https://www.scopus.com/inward/record.uri?eid=2-s2.0-85044385997&amp;doi=10.1016%2fj.jafrearsci.2017.12.003&amp;partnerID=40&amp;md5=8273dc9b33f97ab4e36f5db7f2662d63</t>
  </si>
  <si>
    <t>Subsurface basement topography in the Nigerian portion of the Benin Basin has been studied using borehole data of wells drilled to the basement and one strike line of seismic section. Two areas of a sharp drop in topography with a horst in between were observed in the study area. These features were projected to a seismic section in the offshore area of the Benin basin. The result depicts the structural features as horst and grabens coinciding with the Avon platform bounded on the right side by Ise graben, and the Orimedu graben to the left. The observed relationship of the grabens with the present day location of Avon Canyon on the seismic section also suggests an active subsidence along fractured zones. The subsidence, which probably is occurring along similar fracture zones in the Gulf of Guinea, could be responsible for the occasionally reported seismicity on the margin of West Africa. A detailed seismographic study of the fracture zones is recommended. © 2018 Elsevier Ltd</t>
  </si>
  <si>
    <t>2-s2.0-85044385997"</t>
  </si>
  <si>
    <t>10.3390/rs10030408</t>
  </si>
  <si>
    <t>https://www.scopus.com/inward/record.uri?eid=2-s2.0-85044229490&amp;doi=10.3390%2frs10030408&amp;partnerID=40&amp;md5=9c12443557f0db3c3e9874927b575d69</t>
  </si>
  <si>
    <t>The identification and measurement of ground deformations in urban areas is of great importance for determining the vulnerable parts of the cities that are prone to geohazards, which is a crucial element of both sustainable urban planning and hazard mitigation. Interferometric synthetic aperture radar (InSAR) time series analysis is a very powerful tool for the operational mapping of ground deformation related to urban subsidence and landslide phenomena. With an analysis spanning almost 25 years of satellite radar observations, we compute an InSAR time series of data from multiple satellites (European Remote Sensing satellites ERS-1 and ERS-2, Envisat, Sentinel-1A, and its twin sensor Sentinel-1B) in order to investigate the spatial extent and rate of ground deformation in the megacity of Istanbul. By combining the various multi-track InSAR datasets (291 images in total) and analysing persistent scatterers (PS-InSAR), we present mean velocity maps of ground surface displacement in selected areas of Istanbul. We identify several sites along the terrestrial and coastal regions of Istanbul that underwent vertical ground subsidence at varying rates, from 5 ± 1.2 mm/yr to 15 ± 2.1 mm/yr. The results reveal that the most distinctive subsidence patterns are associated with both anthropogenic factors and relatively weak lithologies along the Haramirede valley in particular, where the observed subsidence is up to 10 ± 2 mm/yr. We show that subsidence has been occurring along the Ayamama river stream at a rate of up to 10 ± 1.8 mm/yr since 1992, and has also been slowing down over time following the restoration of the river and stream system. We also identify subsidence at a rate of 8 ± 1.2 mm/yr along the coastal region of Istanbul, which we associate with land reclamation, as well as a very localised subsidence at a rate of 15 ± 2.3 mm/yr starting in 2016 around one of the highest skyscrapers of Istanbul, which was built in 2010. © 2018 by the authors.</t>
  </si>
  <si>
    <t>2-s2.0-85044229490"</t>
  </si>
  <si>
    <t>10.1016/j.coldregions.2017.10.011</t>
  </si>
  <si>
    <t>https://www.scopus.com/inward/record.uri?eid=2-s2.0-85034846999&amp;doi=10.1016%2fj.coldregions.2017.10.011&amp;partnerID=40&amp;md5=8a46d12f20cb69f1b816b485a8d70d29</t>
  </si>
  <si>
    <t>Permafrost is vulnerable to rapid changes in climate, and increasing air temperatures have recently resulted in the increase of active layer thickness, thaw subsidence and warming of the underlying permafrost. Such changes have important implications for geotechnical properties and the stability of infrastructures in permafrost-affected areas. Many studies focus on the sensitivity of the active layer with respect to changes in climate conditions, but few assess the sensitivity of active layer thermal properties in relation to sediment types and soil water contents, and the importance of direct measurements of thermal property sensitivity with respect to soil water content compared to default physical relationships incorporated in process-based models. In this study, we use on-site data and samples to measure thermal conductivity (TC) at different gravimetric water/ice contents (GWC) in frozen and thawed permafrost. The samples, obtained from an emerged delta and an alluvial fan in the Zackenberg Valley, NE Greenland, are characterized by contrasting grain-size distribution and mineralogy. We calibrated a coupled heat and water transfer model, the “CoupModel”, to simulate permafrost temperatures at two sites on the delta. The sites have different snow depth characteristics and were simulated using both observed and default values of TC, and observed liquid soil water content. The results show that depth- and sediment type-specific TC values are crucial for a successful model simulation, and that transfer function derived values of TC are useful for modeling permafrost temperatures as long as site- and depth-specific grain size distribution and ice contents are defined. A thicker snow pack increased ground surface temperatures and resulted in a 1 °C higher annual mean ground temperature at the depth of zero annual amplitude. Permafrost temperatures increased by 1.5 °C and 3.5 °C at the depth of 18 m with 3 °C and 6 °C ground surface warming, but warming combined with increased soil water content had no important additional effect on the thermal regime when ground surface temperatures were prescribed as upper boundary conditions. Precipitation in the form of snow, however, may have a larger effect on ground temperatures directly, due to the surface temperature changes, than will the subsequent changes in thermal properties following increase in soil water content. © 2017 The Authors</t>
  </si>
  <si>
    <t>2-s2.0-85034846999"</t>
  </si>
  <si>
    <t>10.1016/j.envsoft.2017.11.030</t>
  </si>
  <si>
    <t>https://www.scopus.com/inward/record.uri?eid=2-s2.0-85036462705&amp;doi=10.1016%2fj.envsoft.2017.11.030&amp;partnerID=40&amp;md5=91834fe8fe935d5f8b5994649a19887b</t>
  </si>
  <si>
    <t>Storm-induced saltwater intrusion (SISWI) often starts with (i) overtopping/breaching of a coastal barrier followed by (ii) hinterland inundation and (iii) subsequent vertical seawater intrusion behind the barrier. Though these three processes are naturally successive, they are often analysed separately. However, the necessity of considering these processes as fully coupled has been increasingly recognised. This study, therefore, addresses the modelling of these processes in an integrated approach. The previous related studies are examined and four coupling scenarios are proposed. Thus, a new modelling scenario, utilising the model XBeach for simulating overtopping/breaching and subsequent flooding and SEAWAT for simulating the SISWI, is chosen for application to a case study in northern Germany. Moreover, the study addresses the mitigation of SISWI using a subsurface drainage network. The simulation results illustrate the high efficiency of such drainage in shortening the remediation time as well as in limiting salt intrusion to the deeper freshwater aquifers. © 2017 Elsevier Ltd</t>
  </si>
  <si>
    <t>2-s2.0-85036462705"</t>
  </si>
  <si>
    <t>10.1016/j.ejrh.2017.12.002</t>
  </si>
  <si>
    <t>https://www.scopus.com/inward/record.uri?eid=2-s2.0-85039852370&amp;doi=10.1016%2fj.ejrh.2017.12.002&amp;partnerID=40&amp;md5=6324308e890a7cf4e2a8083a95592b2a</t>
  </si>
  <si>
    <t>Study region The Mekong floodplains and delta are among the most agriculturally productive and biologically diverse waterscapes of the world, but sea level rise, land subsidence, and the proposed upstream development of over 126 hydropower dams and extensive delta-based water infrastructure have raised concern due to potential impacts on the hydrology of the region. Study focus This study aims to quantify the effects of water infrastructure development, land subsidence and sea level rise on hydrological regimes of the Mekong floodplains and delta through the development and application of a hydrodynamic model. New hydrological insights for the region Depending on hydrological characteristics of each region (river-dominated, transitional or tidal), the influence of each potential driver may vary. The operation of proposed hydropower dams would change river-dominated upper floodplain's water levels by 26 to 70% and −0.8 to −5.9% in the dry and wet season respectively, but the impact diminishes throughout the floodplains. In the wet season, the upper Vietnamese Delta changes from a transitional stage to a river-dominated stage, and localized water infrastructure development in the upper delta has the greatest effect on water levels in the region. Land subsidence combined with sea level rise could have the greatest future influence on flooding in the delta if current rates are extrapolated. Sustainable water management strategies are thus necessary to mitigate changes in the floodplains and delta and increase resilience to sea level rise and land subsidence. © 2017 The Authors</t>
  </si>
  <si>
    <t>2-s2.0-85039852370"</t>
  </si>
  <si>
    <t>10.1080/17565529.2017.1291401</t>
  </si>
  <si>
    <t>https://www.scopus.com/inward/record.uri?eid=2-s2.0-85013683013&amp;doi=10.1080%2f17565529.2017.1291401&amp;partnerID=40&amp;md5=6e90040f3594c38a36110c87b77cffce</t>
  </si>
  <si>
    <t>The severity of climatic changes threatening urban coastal areas is introducing and intensifying environmental hazards that are endangering physical safety and livelihood security. This paper considers retreat, one of three broad adaptation options proposed by the Intergovernmental Panel on Climate Change, as a possible climate change adaptation strategy for low-income communities in less developed nations. Resettlement as climate change adaptation is a developing concept, with minimal guidelines and academic literature on the topic. Thus, this review expands beyond climate change, considering three literature themes surrounding resettlement: (1) climate change, (2) hazard and natural disasters (i.e. floods, hurricanes, and earthquakes), and (3) economic development (i.e. dam construction and natural resource extraction). The review extracts successful resettlement planning and approaches, as well as the lessons learned, to identify five principles for resettlement in a climate change context: Proactivity, Communication and Participation, Permanence, Compensation, and Livelihood Protection. The results of the analysis suggest five principles that can be used as a guideline for implementing resettlement as climate change adaptation for low-income and informal communities in less developed nations. Ultimately, these recommendations can be used to assess the appropriateness and feasibility of employing resettlement as managed retreat in less developed nations. © 2017 Informa UK Limited, trading as Taylor &amp; Francis Group.</t>
  </si>
  <si>
    <t>2-s2.0-85013683013"</t>
  </si>
  <si>
    <t>10.1007/s10668-017-9908-x</t>
  </si>
  <si>
    <t>https://www.scopus.com/inward/record.uri?eid=2-s2.0-85009476496&amp;doi=10.1007%2fs10668-017-9908-x&amp;partnerID=40&amp;md5=d8518f960e456ce52ac7590276da5daf</t>
  </si>
  <si>
    <t>The Central Vietnamese coast faces increasing impacts on the local livelihoods of coastal communities as a result of the increasing natural hazards which include tropical storms, heavy rains, and floods. A challenge for the local populations is improving their adaptation capacity to climate change hazards in a sustainable way. This study deals with the impacts of climate change-associated hazards and adaptation capacity in coastal communes of the Ky Anh district, Ha Tinh province along the coast in Central Vietnam. A combination of the Stakeholder Delphi technique and the DPSIR (drivers–pressures–states–impacts–responses) framework was used. Delphi questionnaires allowed assessing the consensus among the respondents of a stakeholder group. Twenty questions and 20 statements were listed reflecting the DPSIR components. Thirty-six panel members, which were randomly selected from four stakeholder groups which included local authorities, farmers, fishermen, and fish traders, were involved in a two-round Delphi process. The results show that, both agricultural and non-agricultural sectors are main drivers (D)</t>
  </si>
  <si>
    <t>Journal of Geographical Systems</t>
  </si>
  <si>
    <t>10.1007/s10109-018-0266-5</t>
  </si>
  <si>
    <t>https://www.scopus.com/inward/record.uri?eid=2-s2.0-85045063506&amp;doi=10.1007%2fs10109-018-0266-5&amp;partnerID=40&amp;md5=e34d7acdbd27dffe32cdbfae0313c424</t>
  </si>
  <si>
    <t>The run-up and overtopping by sea waves are two of the main processes that threaten coastal structures, leading to flooding, destruction of both property and the environment, and harm to people. To build early warning systems, the consequences and associated risks in the affected areas must be evaluated. It is also important to understand how these two types of spatial information integrate with sensor data sources and the risk assessment methodology. This paper describes the relationship between consequences and risk maps, their role in risk management and how the HIDRALERTA system integrates both aspects in its risk methodology. It describes a case study for Praia da Vitória Port, Terceira Island, Azores, Portugal, showing that the main innovations in this system are twofold: it represents the overtopping flow and consequent flooding, which are critical for coastal and port areas protected by maritime structures, and it works also as a risk assessment tool, extremely important for long-term planning and decision-making. Moreover, the implementation of the system considers possible known variability issues, enabling changes in its behaviour as needs arise. This system has the potential to become a useful tool for the management of coastal and port areas, due to its capacity to effectively issue warnings and assess risks. © 2018, Springer-Verlag GmbH Germany, part of Springer Nature.</t>
  </si>
  <si>
    <t>2-s2.0-85045063506"</t>
  </si>
  <si>
    <t>10.1007/s11852-018-0592-2</t>
  </si>
  <si>
    <t>https://www.scopus.com/inward/record.uri?eid=2-s2.0-85040679916&amp;doi=10.1007%2fs11852-018-0592-2&amp;partnerID=40&amp;md5=eaf21938041b4364f07f7166ed520478</t>
  </si>
  <si>
    <t>We analysed coastline movements between 2000 and 2016 along the 24.5 km of the mesohaline region of the North bank of the Gironde estuary (France). This sector is identified as hosting the largest expanse of salt marshes of the estuary and as an important breeding and stopover site for different marshland passerines of conservation concern. Our results from the study area reveal an average shore retreat of 14.74 ± 0.50 m over the period, corresponding to a loss of 49.96 ha of intertidal wetlands (i.e. 2.04 ha per kilometer of coastline) and reaching on average of more than 30 m for 42% of the coastline. This erosion dynamic, explained by a significant perturbation of the estuary’s hydro-sedimentary dynamic (due to decreases in freshwater discharges and relative sea level rise) highlights the rapid disruption that can occur in estuarine eco-complexes in response to global change. Given the impacts that estuarine intertidal wetland losses have on carrying capacity for marshland passerines, experimental management approaches are being tested in the study area to compensate for losses already observed and to anticipate those expected. These approaches reveal in particular that partial reconnection of agricultural polders to tide influences with a regulation system for water ingress may allow interesting trade-off between maintaining polders with agricultural activities such as grazing and conservation plans for vegetation of intertidal salt marshes exploitable by marshland passerines. © 2018, Springer Science+Business Media B.V., part of Springer Nature.</t>
  </si>
  <si>
    <t>2-s2.0-85040679916"</t>
  </si>
  <si>
    <t>10.1002/joc.5368</t>
  </si>
  <si>
    <t>https://www.scopus.com/inward/record.uri?eid=2-s2.0-85045960136&amp;doi=10.1002%2fjoc.5368&amp;partnerID=40&amp;md5=37fe74b42ef563fb9cf922f026f6d59b</t>
  </si>
  <si>
    <t>Instream flooding in coastal areas becomes more severe when heavy precipitation and high tide occur simultaneously. Flood modelling under such conditions requires the joint design of precipitation and tide. Data of 24-h heavy precipitation and the corresponding daily high tidal level in the Xixiang basin, south China were used. Annual maxima and peaks over threshold sampling methods were applied to construct the precipitation and tidal level series. The joint distribution of precipitation and tide was derived by Archimedean copulas and their joint return period was calculated by the Kendall measure function. Then, equalized frequency and most likely weight function methods were employed for the joint design of precipitation and tide. Results showed that for the peaks over threshold sampling heavy precipitation coincided with more and greater high tidal levels. The general normal distribution was found to fit the marginals of precipitation and tide well, but the location, scale and shape parameters of two sampling methods differed markedly for heavy precipitation and slightly for high tidal level. Although the dependence of heavy precipitation and high tidal level was quite small and positive, Archimedean copulas effectively modelled the joint distribution of precipitation and tide. Based on the equalized frequency method, the joint design precipitation and tide using Gumbel–Hougaard copula for the peaks over threshold sampling was safer than that for the annual maxima sampling. However, for the most likely weight method design pairs remarkably tended to the lower heavy precipitation and the higher high tidal level. If the sampling method and the joint distribution were determined, a reciprocal situation for the design pairs of precipitation and tide occurred for a given joint return period, that is, a greater design value of heavy precipitation corresponded to a smaller design value of high tidal level, and vice versa. Therefore, which design method was safer was underdetermined. © 2017 Royal Meteorological Society</t>
  </si>
  <si>
    <t>2-s2.0-85045960136"</t>
  </si>
  <si>
    <t>10.3390/rs10020188</t>
  </si>
  <si>
    <t>https://www.scopus.com/inward/record.uri?eid=2-s2.0-85042541277&amp;doi=10.3390%2frs10020188&amp;partnerID=40&amp;md5=386f4893cd3e5524bcbf95599c45e1ab</t>
  </si>
  <si>
    <t>The contribution to sea level rise from Patagonian icefields is one of the largest mass losses outside the large ice sheets of Antarctica and Greenland. However, only a few studies have provided large-scale assessments in a spatially detailed way to address the reaction of individual glaciers in Patagonia and hence to better understand and explain the underlying processes. In this work, we use repeat radar interferometric measurements of the German TerraSAR-X-Add-on for Digital Elevation Measurements (TanDEM-X) satellite constellation between 2011/12 and 2016 together with the digital elevation model from the Shuttle Radar Topography Mission (SRTM) in 2000 in order to derive surface elevation and mass changes of the Southern Patagonia Icefield (SPI). Our results reveal a mass loss rate of -11.84 ± 3.3 Gt·a-1 (corresponding to 0.033 ± 0.009 mm·a-1 sea level rise) for an area of 12573 km2 in the period 2000-2015/16. This equals a specific glacier mass balance of -0.941 ± 0.19 m w.e.·a-1 for the whole SPI. These values are comparable with previous estimates since the 1970s, but a magnitude larger than mass change rates reported since the Little Ice Age. The spatial pattern reveals that not all glaciers respond similarly to changes and that various factors need to be considered in order to explain the observed changes. Our multi-temporal coverage of the southern part of the SPI (south of 50.3° S) shows that the mean elevation change rates do not vary significantly over time below the equilibrium line. However, we see indications for more positive mass balances due to possible precipitation increase in 2014 and 2015. We conclude that bi-static radar interferometry is a suitable tool to accurately measure glacier volume and mass changes in frequently cloudy regions. We recommend regular repeat TanDEM-X acquisitions to be scheduled for the maximum summer melt extent in order to minimize the effects of radar signal penetration and to increase product quality. © 2018 by the authors.</t>
  </si>
  <si>
    <t>2-s2.0-85042541277"</t>
  </si>
  <si>
    <t>10.5194/hess-22-1543-2018</t>
  </si>
  <si>
    <t>https://www.scopus.com/inward/record.uri?eid=2-s2.0-85042699549&amp;doi=10.5194%2fhess-22-1543-2018&amp;partnerID=40&amp;md5=fa4f77e451992153da03f16ece483439</t>
  </si>
  <si>
    <t>Quantification of surface water storage in extensive floodplains and their dynamics are crucial for a better understanding of global hydrological and biogeochemical cycles. In this study, we present estimates of both surface water extent and storage combining multi-mission remotely sensed observations and their temporal evolution over more than 15 years in the Mackenzie Delta. The Mackenzie Delta is located in the northwest of Canada and is the second largest delta in the Arctic Ocean. The delta is frozen from October to May and the recurrent ice break-up provokes an increase in the river's flows. Thus, this phenomenon causes intensive floods along the delta every year, with dramatic environmental impacts. In this study, the dynamics of surface water extent and volume are analysed from 2000 to 2015 by combining multi-satellite information from MODIS multispectral images at 500 m spatial resolution and river stages derived from ERS-2 (1995-2003), ENVISAT (2002-2010) and SARAL (since 2013) altimetry data. The surface water extent (permanent water and flooded area) peaked in June with an area of 9600 km2 (±200 km2) on average, representing approximately 70 % of the delta's total surface. Altimetry-based water levels exhibit annual amplitudes ranging from 4 m in the downstream part to more than 10 m in the upstream part of the Mackenzie Delta. A high overall correlation between the satellite-derived and in situ water heights (R &gt; 0.84) is found for the three altimetry missions. Finally, using altimetry-based water levels and MODIS-derived surface water extents, maps of interpolated water heights over the surface water extents are produced. Results indicate a high variability of the water height magnitude that can reach 10 m compared to the lowest water height in the upstream part of the delta during the flood peak in June. Furthermore, the total surface water volume is estimated and shows an annual variation of approximately 8.5 km3 during the whole study period, with a maximum of 14.4 km3 observed in 2006. The good agreement between the total surface water volume retrievals and in situ river discharges (R Combining double low line 0.66) allows for validation of this innovative multi-mission approach and highlights the high potential to study the surface water extent dynamics. © Author(s) 2018.</t>
  </si>
  <si>
    <t>2-s2.0-85042699549"</t>
  </si>
  <si>
    <t>10.3390/rs10040494</t>
  </si>
  <si>
    <t>https://www.scopus.com/inward/record.uri?eid=2-s2.0-85045981435&amp;doi=10.3390%2frs10040494&amp;partnerID=40&amp;md5=763d32f1c3b4a6d0ea01436392e9ee19</t>
  </si>
  <si>
    <t>In permafrost areas, seasonal freeze-thaw cycles result in upward and downward movements of the ground. For some permafrost areas, long-term downward movements were reported during the last decade. We measured seasonal and multi-year ground movements in a yedoma region of the Lena River Delta, Siberia, in 2013-2017, using reference rods installed deep in the permafrost. The seasonal subsidence was 1.7 ± 1.5 cm in the cold summer of 2013 and 4.8 ± 2 cm in the warm summer of 2014. Furthermore, we measured a pronounced multi-year net subsidence of 9.3 ± 5.7 cm from spring 2013 to the end of summer 2017. Importantly, we observed a high spatial variability of subsidence of up to 6 cm across a sub-meter horizontal scale. In summer 2013, we accompanied our field measurements with Differential Synthetic Aperture Radar Interferometry (DInSAR) on repeat-pass TerraSAR-X (TSX) data from the summer of 2013 to detect summer thaw subsidence over the same study area. Interferometry was strongly affected by a fast phase coherence loss, atmospheric artifacts, and possibly the choice of reference point. A cumulative ground movement map, built from a continuous interferogram stack, did not reveal a subsidence on the upland but showed a distinct subsidence of up to 2 cm in most of the thermokarst basins. There, the spatial pattern of DInSAR-measured subsidence corresponded well with relative surface wetness identified with the near infra-red band of a high-resolution optical image. Our study suggests that (i) although X-band SAR has serious limitations for ground movement monitoring in permafrost landscapes, it can provide valuable information for specific environments like thermokarst basins, and (ii) due to the high sub-pixel spatial variability of ground movements, a validation scheme needs to be developed and implemented for future DInSAR studies in permafrost environments. © 2018 by the authors.</t>
  </si>
  <si>
    <t>2-s2.0-85045981435"</t>
  </si>
  <si>
    <t>10.1007/s13157-017-0977-2</t>
  </si>
  <si>
    <t>https://www.scopus.com/inward/record.uri?eid=2-s2.0-85039869033&amp;doi=10.1007%2fs13157-017-0977-2&amp;partnerID=40&amp;md5=7430eb284bd49c48b20a87c57a78becd</t>
  </si>
  <si>
    <t>Wetland plants are subject to a range of physical stresses (e.g. inundation, salinity) that affect their productivity or health, which in turn may translate into wetland soils that vary in resistance to physical perturbations in the coastal setting. A primary goal of this study was to test a newly developed instrument designed to measure in-situ resistance to shear failure (soil strength) of marsh soils. The Wetland Soil Strength Tester (WSST) was used at 11 marsh types in coastal Louisiana, where soil bulk density ranged from organic to mineral (0.02–1.24 g cm−3). Based on analyses of live and dead components of both above and belowground biomass, live belowground biomass explained the most variation in marsh soil strength among the vegetation types. The WSST was capable of detecting in-situ live root biomass differences for 8 of 11 marsh types, where only the young deltaic marsh types were not significant. For all the sample plots (n = 227), an increase of 10-Nm soil strength corresponded to an increase of 200 g m−2 of live belowground biomass (R2 = 0.35, p &lt; 0.0001). WSST measurements, combined with other monitoring data, may help in the assessment of wetland condition. © 2017, Society of Wetland Scientists.</t>
  </si>
  <si>
    <t>2-s2.0-85039869033"</t>
  </si>
  <si>
    <t>10.3390/hydrology5010013</t>
  </si>
  <si>
    <t>https://www.scopus.com/inward/record.uri?eid=2-s2.0-85045346866&amp;doi=10.3390%2fhydrology5010013&amp;partnerID=40&amp;md5=b583f6dc875327263215063ad3ea5b40</t>
  </si>
  <si>
    <t>Hurricane events combine ocean storm surge penetration with inland runoff flooding. This article presents a new methodology to determine coastal flood levels caused by the combination of storm surge and surface runoff. The proposed approach couples the Simulating Waves Nearshore model and the Advanced Circulation (ADCIRC) model with the Gridded Surface Subsurface Hydrologic Analysis (GSSHA) two-dimensional hydrologic model. Radar precipitation data in a 2D hydrologic model with a circulation model allows simulation of time and spatially varied conditions. The method was applied to study flooding scenarios occurring during the passage of Hurricane Georges (1998) on the east coast of Puerto Rico. The combination of storm surge and surface runoff produced a critical scenario, in terms of flood depth, at this location. The paper describes the data collection process, circulation and hydrologic models, their assemblage and simulation scenarios. Results show that peak flow from inland runoff and peak flow due to storm surge did not coincide in the coastal zone</t>
  </si>
  <si>
    <t>10.1016/j.geomorph.2017.11.017</t>
  </si>
  <si>
    <t>https://www.scopus.com/inward/record.uri?eid=2-s2.0-85037369927&amp;doi=10.1016%2fj.geomorph.2017.11.017&amp;partnerID=40&amp;md5=06ad66c0d0a7ea4ba511a99cc86aff0f</t>
  </si>
  <si>
    <t>Boulders are frequently dislodged from rock platforms, transported and deposited along coastal zones by high-magnitude storm waves or tsunamis. Their size and shape are often controlled by the thickness of bedding planes as well as by high-angle to bedding fracture network. We investigate these processes along two coastal areas of Favignana Island by integrating geological data for 81 boulders, 49 rupture surfaces (called sockets) and fracture orientation and spacing with four radiocarbon dates, numerical hydrodynamic analysis, and hindcast numerical simulation data. Boulders are scattered along the carbonate platform as isolated blocks or in small groups, which form, as a whole, a discontinuous berm. Underwater surveys also highlight free boulders with sharp edges and sockets carved out in the rock platform. Boulders are composed of ruditic- to arenitic-size clastic carbonates. Their size ranges from 0.6 to 3.7 m, 0.55 to 2.4 m, and 0.2 to 1 m on the major (A), medium (B), and minor (C) axes, respectively. The highest value of mass estimation is 12.5 t. Almost all of boulders and sockets are characterized by a tabular or bladed shape. The comparisons between a) the fractures spacing and the length of A- and B-axes, and b) the frequency peaks of C-axis with the recurrent thickness of beds measured along the coastal zone demonstrate the litho-structural control in the size and shape of joint-bounded boulders. These comparisons, together with the similarity between the shapes of the boulders and those of the sockets as well as between the lithology of boulders and the areas surrounding the sockets, suggest that blocks originate by detachment from the platform edge. Thus, the most common pre-transport setting is the joint-bounded scenario. Hydrodynamic equations estimate that the storm wave heights necessary to initiate the transport of blocks diverge from ~ 2 m to ~ 8 m for joint-bounded boulders and from few tens of centimeters up to ~ 11 m for submerged boulders. The comparison between the wave heights at the breaking point of the coastal zones with the results of hydrodynamic equations shows that waves approaching the coastline are able to transport all surveyed boulders. Our data suggest that boulders have been transported by several storm events, even in very recent times. © 2017 Elsevier B.V.</t>
  </si>
  <si>
    <t>2-s2.0-85037369927"</t>
  </si>
  <si>
    <t>10.1007/s11368-017-1827-9</t>
  </si>
  <si>
    <t>https://www.scopus.com/inward/record.uri?eid=2-s2.0-85028956787&amp;doi=10.1007%2fs11368-017-1827-9&amp;partnerID=40&amp;md5=9e779e53eb10882e390efc519af2be5f</t>
  </si>
  <si>
    <t>Purpose: Previous studies demonstrated that microorganisms had an important role in the mercury (Hg) methylation process in the water and sediments of Three Gorges Reservoir (TGR). The purpose of this research was to analyze the microbial methylation of Hg in the soils and sediments of the water-level-fluctuating zone (WLFZ) of TGR. Materials and methods: Different types of soils, sediment (≤ 155 m), semi-inundated soil (≥ 155 m), and non-inundated soil (≥ 175 m) of the WLFZ of Shibao (S), Zhenxi (Z), and Tujing (T) were investigated. Real-time PCR, terminal restriction fragment length polymorphism (T-RFLP), cloning, sequencing, and phylogenetic analysis were used to analyze the abundance and diversity of dsrB, hgcA, and mcrA genes, and their relationship with the levels of total Hg (THg), MeHg, and several biogeochemical factors that probably affected microbial methylation reaction. Results and discussion: THg concentrations in different soil types of the WLFZ of TGR did not show significant differences (p &gt; 0.05) in site S, while there were significant differences (p &lt; 0.05) of MeHg levels in different soil types of the three sites. Phylogenetic analyses found that the dominant groups of microorganisms with dsrB in the sediment and non-inundated soil in site S differed remarkably. Microorganisms that probably related with Hg methylation mainly distributed in the sediment, with δ-proteobacteria as the dominant class. Real-time PCR found that soil MeHg levels correlated positively with the resident quantities of microorganisms with dsrB. The abundance of dsrB was much higher than that of hgcA which may indicate that only a small part of sulfate-reducing bacteria (SRB) related with Hg methylation. Conclusions: Soil MeHg levels correlated positively with the resident quantities of microorganisms with the dsrB gene. The phylogenetic analysis indicated that SRB that probably related with Hg methylation distributed mainly in the sediment, rather than in the non-inundated soil. © 2017, Springer-Verlag GmbH Germany.</t>
  </si>
  <si>
    <t>2-s2.0-85028956787"</t>
  </si>
  <si>
    <t>10.1126/sciadv.aao3270</t>
  </si>
  <si>
    <t>https://www.scopus.com/inward/record.uri?eid=2-s2.0-85044633759&amp;doi=10.1126%2fsciadv.aao3270&amp;partnerID=40&amp;md5=8c03775a2a24770417ac88b34cbbed34</t>
  </si>
  <si>
    <t>We used a first-of-its-kind comprehensive scenario approach to evaluate both the vertical and horizontal response of tidal wetlands to projected changes in the rate of sea-level rise (SLR) across 14 estuaries along the Pacific coast of the continental United States. Throughout the U.S. Pacific region, we found that tidal wetlands are highly vulnerable to end-of-century submergence, with resulting extensive loss of habitat. Using higher-range SLR scenarios, all high and middle marsh habitatswere lost, with 83%of current tidalwetlands transitioning to unvegetated habitats by 2110. The wetland area lost was greater in California and Oregon (100%) but still severe in Washington, with 68% submerged by the end of the century. The only wetland habitat remaining at the end of the century was low marsh under higherrange SLR rates. Tidal wetland loss was also likely under more conservative SLR scenarios, including loss of 95% of high marsh and 60%of middle marsh habitats by the end of the century. Horizontal migration of most wetlands was constrained by coastal development or steep topography, with just two wetland sites having sufficient upland space for migration and the possibility for nearly 1:1 replacement, making SLR threats particularly high in this region and generally undocumented.With low vertical accretion rates and little upland migration space, Pacific coast tidal wetlands are at imminent risk of submergence with projected rates of rapid SLR. © 2018 The Authors.</t>
  </si>
  <si>
    <t>2-s2.0-85044633759"</t>
  </si>
  <si>
    <t>10.3390/geosciences8020047</t>
  </si>
  <si>
    <t>https://www.scopus.com/inward/record.uri?eid=2-s2.0-85041624847&amp;doi=10.3390%2fgeosciences8020047&amp;partnerID=40&amp;md5=fc2bc479f3b23823f70cc0ef0c027be6</t>
  </si>
  <si>
    <t>In this research, a visiting class on disaster preparedness education for higher-grade elementary school students (10–11 years old) was conducted in Wakayama prefecture, which is exposed to Nankai Trough earthquakes, and in different parts of the three prefectures whose coasts were most affected by the 2011 Great East Japan Earthquake: Fukushima (Western inland), Miyagi (North side out of the tsunami inundation area and Northern inland), and Iwate (Medium inland). Group activities with game-like elements were conducted. To examine whether this initiative improves schoolchildren’s awareness of disaster-prevention, surveys were conducted before, immediately after, and one month after the classes. Results indicate differences in awareness depending on regional characteristics of the schoolchildren’s residential area. The data obtained at each school varied according to whether the school was in a region that had experienced disaster in the recent past, or if the school was in a region where there is a recognized risk of disaster in the future. Classes in regions with recent disaster experience showed increased awareness of threats and prevention after the disaster-prevention class</t>
  </si>
  <si>
    <t>10.1016/j.gloplacha.2018.01.007</t>
  </si>
  <si>
    <t>https://www.scopus.com/inward/record.uri?eid=2-s2.0-85041452940&amp;doi=10.1016%2fj.gloplacha.2018.01.007&amp;partnerID=40&amp;md5=5a71544971eefe94b9d89b90c227b764</t>
  </si>
  <si>
    <t>The South China coast, especially the Pearl River Estuary (PRE) region, is prosperous and densely populated, but vulnerable to sea level changes. Sea level anomalies (SLA) during 1954–2012 from tide gauge station data and regional SLAs during 1993–2012 from satellite altimetry are analyzed and compare to the El Niño–Southern Oscillation (ENSO). Results show that sea level declines during El Niño events and rises during La Niña. Sea level in the PRE responds to ENSO with ~3–month lag. The ENSO can cause sea level in the PRE to fluctuate from −8.70 to 8.11 cm. Sea level cycles of 3 and 5 years are related to ENSO. The ENSO mechanism affecting sea level in the PRE was analyzed by identifying dominant regional and local forces. Weak/strong SLAs in most El Niño/La Niña events may be attributed to less/more seawater transport driven by anomalously weak/strong north winds and local anomalously high/low sea level pressure. Wind-driven coastal current is the predominant factor. It generated coastal seawater volume transport along a ~160 km wide cross section to decrease by 21.07% in a typical El Niño period (January 2010) and increase by 44.03% in a typical La Niña period (January 2011) as compared to an ENSO neutral situation (January 2013). Results of sea level rise and its potential mechanism provide insight for disaster protection during extreme El Niño/La Niña events. © 2018 Elsevier B.V.</t>
  </si>
  <si>
    <t>2-s2.0-85041452940"</t>
  </si>
  <si>
    <t>10.1016/j.scitotenv.2017.09.314</t>
  </si>
  <si>
    <t>https://www.scopus.com/inward/record.uri?eid=2-s2.0-85032176002&amp;doi=10.1016%2fj.scitotenv.2017.09.314&amp;partnerID=40&amp;md5=edeb74ffbacb07c635a52ddb12f1ebb5</t>
  </si>
  <si>
    <t>Over 25% of Mississippi River delta plain (MRDP) wetlands were lost over the past century. There is currently a major effort to restore the MRDP focused on a 50-year time horizon, a period during which the energy system and climate will change dramatically. We used a calibrated MRDP marsh elevation model to assess the costs of hydraulic dredging to sustain wetlands from 2016 to 2066 and 2016 to 2100 under a range of scenarios for sea level rise, energy price, and management regimes. We developed a subroutine to simulate dredging costs based on the price of crude oil and a project efficiency factor. Crude oil prices were projected using forecasts from global energy models. The costs to sustain marsh between 2016 and 2100 changed from $128,000/ha in the no change scenario to ~$1,010,000/ha in the worst-case scenario for sea level rise and energy price, an ~ 8-fold increase. Increasing suspended sediment concentrations, which is possible using managed river diversions, raised created marsh lifespan and decreased long term dredging costs. Created marsh lifespan changed nonlinearly with dredging fill elevation and suspended sediment level. Cost effectiveness of marsh creation and nourishment can be optimized by adjusting dredging fill elevation to the local sediment regime. Regardless of management scenario, sustaining the MRDP with hydraulic dredging suffered declining returns on investment due to the convergence of energy and climate trends. Marsh creation will likely become unaffordable in the mid to late 21st century, especially if river sediment diversions are not constructed before 2030. We recommend that environmental managers take into consideration coupled energy and climate scenarios for long-term risk assessments and adjust restoration goals accordingly. © 2017 Elsevier B.V.</t>
  </si>
  <si>
    <t>2-s2.0-85032176002"</t>
  </si>
  <si>
    <t>10.1002/2017JC013355</t>
  </si>
  <si>
    <t>https://www.scopus.com/inward/record.uri?eid=2-s2.0-85041174394&amp;doi=10.1002%2f2017JC013355&amp;partnerID=40&amp;md5=eccf860bbe78bf4e98918aafe7ce8036</t>
  </si>
  <si>
    <t>This study presents a novel methodology to estimate the impact of local sea level rise and extreme surges and waves in coastal areas under climate change scenarios. The methodology is applied to the Ebro Delta, a valuable and vulnerable low-lying wetland located in the northwestern Mediterranean Sea. Projections of local sea level accounting for all contributions to mean sea level changes, including thermal expansion, dynamic changes, fresh water addition and glacial isostatic adjustment, have been obtained from regionalized sea level projections during the 21st century. Particular attention has been paid to the uncertainties, which have been derived from the spread of the multi-model ensemble combined with seasonal/inter-annual sea level variability from local tide gauge observations. Besides vertical land movements have also been integrated to estimate local relative sea level rise. On the other hand, regional projections over the Mediterranean basin of storm surges and wind-waves have been used to evaluate changes in extreme events. The compound effects of surges and extreme waves have been quantified using their joint probability distributions. Finally, offshore sea level projections from extreme events superimposed to mean sea level have been propagated onto a high resolution digital elevation model of the study region in order to construct flood hazards maps for mid and end of the 21st century and under two different climate change scenarios. The effect of each contribution has been evaluated in terms of percentage of the area exposed to coastal hazards, which will help to design more efficient protection and adaptation measures. © 2018. American Geophysical Union. All Rights Reserved.</t>
  </si>
  <si>
    <t>2-s2.0-85041174394"</t>
  </si>
  <si>
    <t>10.1002/joc.5334</t>
  </si>
  <si>
    <t>https://www.scopus.com/inward/record.uri?eid=2-s2.0-85034953287&amp;doi=10.1002%2fjoc.5334&amp;partnerID=40&amp;md5=b8a6df1df00b8e0fecf9e57fed7664c1</t>
  </si>
  <si>
    <t>An evaluation of 23 models, participating in the Coupled Model Inter-comparison Project phase 5 (CMIP5), in representing extreme precipitation indices (EPI), over the Eastern Mediterranean (EM) and the Fertile Crescent (FC), was performed. The models ensemble was then used to predict the EPIs evolution in the 21st century under (Representative Concentration Pathway, RCP) RCP4.5 and RCP8.5 scenarios. Models' performance was determined with respect to gridded precipitation observations from the APHRODITE project. The ensemble mean was found to perform relatively well in capturing the EM steep precipitation gradient, the FC structure and the EPI trends in the observations period (1970–2000). Over the EM, CMIP5 models agree on a future decrease in the following three EPIs</t>
  </si>
  <si>
    <t>10.2112/JCOASTRES-D-17-00068.1</t>
  </si>
  <si>
    <t>https://www.scopus.com/inward/record.uri?eid=2-s2.0-85043466472&amp;doi=10.2112%2fJCOASTRES-D-17-00068.1&amp;partnerID=40&amp;md5=eda8985fd32d151bc2eaea8faf5b8b38</t>
  </si>
  <si>
    <t>The estimated rate of global eustatic sea-level rise (RSLR) associated with the formation of 36 of the world's coastal deltas was calculated for the last 22,000 years. These deltas are located in a variety of environmental settings with respect to tidal range, isostasy, and climate. After correcting the original uncalibrated radiocarbon age estimates to calibrated years, 90% of the deltas appear to have formed at an average age of 8109 ± 122 before present (BP) and a median age of 7967 BP. This age corresponds to a period of significant deceleration in the RSLR to between 5 mm y-1 and 10 mm y-1, and is in agreement with two regional estimates of vegetation growth limits with respect to RSLR. This RSLR tipping point for delta formation can be used to inform forecasts of delta resiliency under conditions of climate change and concomitant SLR. The RSLR is accelerating and will likely be several times higher than the formation tipping point by the end of this century. Hence, the world's deltaic environments are likely to be lost within the same time frame. © Coastal Education and Research Foundation, Inc. 2018.</t>
  </si>
  <si>
    <t>2-s2.0-85043466472"</t>
  </si>
  <si>
    <t>10.1007/s11625-017-0427-3</t>
  </si>
  <si>
    <t>https://www.scopus.com/inward/record.uri?eid=2-s2.0-85014350091&amp;doi=10.1007%2fs11625-017-0427-3&amp;partnerID=40&amp;md5=ba7968d65af6b782221b9220bc8c8617</t>
  </si>
  <si>
    <t>Mangrove ecosystems are valuable and productive coastal ecosystems that provide several ecosystem services. Nevertheless, trivialization of the value of mangrove ecosystems has led to their decline at an annual global rate of 1–2%. Degradation undermines the resilience of these ecosystems and threatens the continuous supply of goods and services that they provide. Diverse mangroves that contribute to the well-being of coastal communities characterize Kenya’s coastal region. Despite their importance, 0.7% of the mangroves are destroyed annually. In this study, the value of mangroves with regard to coastal flood risk reduction was estimated via a case study of the Tana Delta, Kenya. The valuation was calculated using the total economic value framework where both direct and indirect use values that influence flood risk are calculated using flood-avoided damage approach and local market prices. For comparative purposes, all the estimates presented in this paper were standardized to the 2015 US$/ha equivalent value using the United States Consumer Price Index for all urban consumers. The net value of mangroves for flood reduction was estimated to be between US$238/ha/yr and US$311/ha/yr. The skewed distribution was largely attributed to a variation in flood frequency and mangrove forest density. © 2017, Springer Japan.</t>
  </si>
  <si>
    <t>2-s2.0-85014350091"</t>
  </si>
  <si>
    <t>10.1007/s10113-017-1252-z</t>
  </si>
  <si>
    <t>https://www.scopus.com/inward/record.uri?eid=2-s2.0-85034648409&amp;doi=10.1007%2fs10113-017-1252-z&amp;partnerID=40&amp;md5=42b6d030907b82826e81456ef7e68194</t>
  </si>
  <si>
    <t>Present day and future social vulnerability, flood risk, and disadvantage across the UK are explored using the UK Future Flood Explorer. In doing so, new indices of neighbourhood flood vulnerability and social flood risk are introduced and used to provide a quantitative comparison of the flood risks faced by more and less socially vulnerable neighbourhoods. The results show the concentrated nature of geographic flood disadvantage. For example, ten local authorities account for 50% of the most socially vulnerable people that live in flood prone areas. The results also highlight the systematic nature of flood disadvantage. For example, flood risks are higher in socially vulnerable communities than elsewhere</t>
  </si>
  <si>
    <t>10.3390/land7010034</t>
  </si>
  <si>
    <t>https://www.scopus.com/inward/record.uri?eid=2-s2.0-85058007330&amp;doi=10.3390%2fland7010034&amp;partnerID=40&amp;md5=cc847c6a84d1e0ca231ccea068155c9a</t>
  </si>
  <si>
    <t>Indonesia, as an archipelagic nation, has about 150 million people (60%) living in coastal areas. Such communities are increasingly vulnerable to the effects of change, in the form of sea level rise and stronger, more intense storms. Population growth in coastal areas will also increase the disaster risk mainly because of climate change-related effects such as flooding, droughts, and tidal floods. This study examines the dynamic changes of urban population and urban villages in three decadal periods, from 1990, 2000, to 2010. To highlight different disasters that are increasingly tied to climate change, the analysis was conducted in the northern coastal area of Central Java province using village potential (PODES) data, which are routinely collected by the government. Results show that about 41% of people in Central Java province live in the northern coastal region and 50% live in urban areas. The numbers of hazard events within a distance range of 0-40 km from the shoreline are: flooding (non-tidal)-335</t>
  </si>
  <si>
    <t>10.1002/2017JB015084</t>
  </si>
  <si>
    <t>https://www.scopus.com/inward/record.uri?eid=2-s2.0-85048058533&amp;doi=10.1002%2f2017JB015084&amp;partnerID=40&amp;md5=c8967be9405ab8daf042cede5d37dbb3</t>
  </si>
  <si>
    <t>Persistent scatterer interferometric analyses were conducted on a stack of 84 Environmental Satellite's Advanced Synthetic Aperture Radar scenes spanning 7 years (2004 to 2010) over the entire Nile Delta of Egypt and surroundings (area: 40,416 km2) to monitor the ongoing spatial and temporal land deformation, identify the factors controlling the deformation, and model the interplay between sea level rise and land subsidence to identify areas and populations threatened by sea encroachment by the end of the 21st century. Findings include the following: (1) general patterns of subsidence (average rate: −2.4 mm/year) in the northern delta, near-steady to slight subsidence in the southern delta (average rate: 0.4 mm/year), separated by a previously mapped flexure zone (minimum width: 20–40 km) undergoing uplift (average rate: 2.5 mm/year); (2) high subsidence rates (up to −8.9 mm/year) over the north central and northeastern delta (area: ~4,815 km2), possibly due to compaction of recent (&lt;3,500 years old), thick (&gt;5 m) silt and clay-rich Holocene sediments; (3) high subsidence rates (up to −9.7 mm/year) in areas where the highest groundwater extraction rates were reported in southern delta (Menoufia governorate) and in reclaimed desert land in the western delta (Beheira governorate); (4) high subsidence rates (up to −9.7 mm/year) over onshore gas fields, notably the Abu Madi gas field, where high gas extraction rates have been recorded; and (5) using extracted deformation rates, high-resolution TanDEM-X digital elevation model, a eustatic sea level rise of 0.44 m, and applying a bathtub inundation model, an estimated 2,660 km2 in northern delta will be inundated by year 2100.</t>
  </si>
  <si>
    <t>10.1016/j.jafrearsci.2017.12.023</t>
  </si>
  <si>
    <t>https://www.scopus.com/inward/record.uri?eid=2-s2.0-85042143659&amp;doi=10.1016%2fj.jafrearsci.2017.12.023&amp;partnerID=40&amp;md5=71d3973aa26b2ae4b702bd3638858cfa</t>
  </si>
  <si>
    <t>The Niger River Delta is a prolific hydrocarbon province and a mega-delta of economic and environmental relevance. To understand patterns of its recent shoreline evolution (1923–2013) in response to the Niger River hydrology, and establish the role played by forces of Nature and Human, available topographic and satellite remote sensing data, combined with hydro-climatic (rainfall and runoff) data were analyzed.
Results indicate that the entire delta coastline dramatically receded: 82% of the &gt;400 km-long coast retreated, during the period 1950–1987; and 69% between 2007 and 2012. Prior to 1950, there was a continuation of seaward advancement along 53–74% of the delta coast. The 1950–1987 shoreline recession coincided with occurrences of two major events in the Niger River basin; these are downward trends in hydro-climatic conditions (the great droughts of the 1970s-1980s), and dam construction on the Lower Niger River at Kainji (1964–1968). The 2007–2012 event corresponded with the extensive channel dredging during 2009–2012 in the Lower Niger River from the coastal town of Warri in the south to Baro in the north. Remarkably, the largest net shoreline advancement recorded in 74% of the entire delta area occurred within a year (2012–2013), which we link to increased sediment supply to the coast caused by the ‘2012’ floods, adjudged the worst floods in the entire Niger River Basin in the last few decades. With both anthropogenic and environmental factors inducing delta evolution, only innovative river and coastal management can determine the fortune of the future coastal development of the Niger Delta.</t>
  </si>
  <si>
    <t>10.30638/eemj.2018.050</t>
  </si>
  <si>
    <t>https://www.scopus.com/inward/record.uri?eid=2-s2.0-85045070289&amp;doi=10.30638%2feemj.2018.050&amp;partnerID=40&amp;md5=f6a078e6575bbd461591f88d781f4447</t>
  </si>
  <si>
    <t>Dam construction in Cuba and their use for freshwater aquaculture development are explained. Some of the environmental impacts of Cuban freshwater reservoirs, particularly in fisheries, the salinization of coastal lands, and effects on marine fisheries, are reviewed and analyzed. Some argumentation and explanations given are in response to remarks on the impact of Cuban dams on species composition of reservoir fishery landings and on coastal marine fisheries. The main impacts of dams are on estuarine and adjacent coastal lagoons. The reduction (85%) of freshwater flow over coastal lagoons had increase salinity in more than 15‰, temperature (about 4-5°C), sedimentation (50-60%), and has decreased nutrient inputs. However, the nutrient concentrations of coastal waters are still at the mesotrophic level and the influence of underground water and increased urban and industrial effluents to more than 160,000 tons/year are suggested as possible additional nutrient sources. The main impact of dams on coastal waters are on coastal lagoons and river deltas, with negative consequences for the fishery of several euryhaline species, although is not the principal cause of the decrease of marine fishery landings. River dams have also accelerated the natural ageing process of coastal lagoons, especially because their sediments are not removed in the absence of river floods. Several practical actions are recommended to mitigate the negative effects of dams and to increase fish production in freshwater reservoirs and coastal lagoons. A polyculture program is recommended, based on the integrated “Vallicoltura” system principles to rehabilitate coastal lagoons, including the use of mechanization to remove bottom sediments. © 2018, Gheorghe Asachi Technical University of Iasi, Romania. All rights reserved.</t>
  </si>
  <si>
    <t>2-s2.0-85045070289"</t>
  </si>
  <si>
    <t>10.1002/hyp.11472</t>
  </si>
  <si>
    <t>https://www.scopus.com/inward/record.uri?eid=2-s2.0-85043519379&amp;doi=10.1002%2fhyp.11472&amp;partnerID=40&amp;md5=2a0ef42cae7fa9277d54f2798798c049</t>
  </si>
  <si>
    <t>Policies, measures, and models geared towards flood prevention and managing surface waters benefit from high quality data on the presence and characteristics of drainage ditches. As a cost and labour effective alternative for acquiring such data through field surveys, we propose a method (a) to extract vector data representing ditch drainage networks based on local morphologic features derived from high resolution digital elevation models (DEM) and (b) to identify possible connections in the ditch network by calculating a probability of the connectivity using a logistic regression where the predictor variables are characteristics of the ditch centre lines or derived from the DEM. Using Light Detection and Ranging (LiDAR) derived DEMs with a 1 m resolution, the method was developed and tested for a mixed agricultural residential area in north-eastern Belgium. The derived ditch segments had an error of omission of 8% and an error of commission of 5%. The original positional accuracy of the centre lines of the extracted ditches was 0.6 m and could be improved to 0.4 m by shifting each vertex to the position of the lowest LiDAR point located within a radius equal to the spatial resolution of the used DEM. About 69% of the false disconnections in the network were identified and corrected leading to a reduction of the unconnected parts of the ditch network by 71%. The extracted and connected network approximated the reference ditch network fairly well. Copyright © 2018 John Wiley &amp; Sons, Ltd.</t>
  </si>
  <si>
    <t>2-s2.0-85043519379"</t>
  </si>
  <si>
    <t>10.1007/s13157-017-0968-3</t>
  </si>
  <si>
    <t>https://www.scopus.com/inward/record.uri?eid=2-s2.0-85034261594&amp;doi=10.1007%2fs13157-017-0968-3&amp;partnerID=40&amp;md5=2dce156b0ed570d59f97caf3c7db6ac4</t>
  </si>
  <si>
    <t>Tidal marshes are important sources of atmospheric methane</t>
  </si>
  <si>
    <t>10.1016/j.pce.2018.02.011</t>
  </si>
  <si>
    <t>https://www.scopus.com/inward/record.uri?eid=2-s2.0-85042850278&amp;doi=10.1016%2fj.pce.2018.02.011&amp;partnerID=40&amp;md5=d2ae47711aac3881874bedf182c0cadc</t>
  </si>
  <si>
    <t>Plant samples including roots, stems and leaves of Phragmites australis and Suaeda salsa were collected in the short-term flooding and tidal flooding wetlands of the Yellow River Delta of China. Six heavy metals (e.g., As, Cd, Cr, Cu, Pb, and Zn) were measured in roots, stems and leaves of each plant species using inductively coupled plasma atomic absorption spectrometry (ICP-AAS) to investigate the levels, and transfer capabilities of heavy metals in these two plant species. Our results showed that in the tidal flooding wetlands, the contents of As, Cr and Cd in roots of Phragmites australis and Suaeda salsa were higher than those in their stems and leaves. Suaeda salsa showed higher contents of Pb and Zn in leaves than those in roots and stems, whereas lower levels of Pb and Zn were observed in Phragmites australis. In the short-term flooding wetlands, heavy metal contents exhibited a big difference between different tissues of Phragmites australis and Suaeda salsa, and both plant species showed higher levels of Pb and Zn in leaves. Suaeda salsa roots enriched more As and Cd, whereas higher enrichment levels were observed in Phragmites australis leaves, which indicated different transfer capacities of these two wetland plants. The transfer factors for stems and leaves of Phragmites australis in the tidal flooding wetlands significantly differed from those in the short-term flooding wetlands, however, no significant differences in transfer factors for stems and leaves of Suaeda salsa were observed between these two types of wetlands. © 2018 Elsevier Ltd</t>
  </si>
  <si>
    <t>2-s2.0-85042850278"</t>
  </si>
  <si>
    <t>10.1111/1745-5871.12265</t>
  </si>
  <si>
    <t>https://www.scopus.com/inward/record.uri?eid=2-s2.0-85041931644&amp;doi=10.1111%2f1745-5871.12265&amp;partnerID=40&amp;md5=defbb7877f8a0add9526633acb3f68fa</t>
  </si>
  <si>
    <t>Invasive vegetation species can lead to major changes in the geomorphology of coastal systems. Within temperate estuaries in the southern hemisphere, especially Australia and New Zealand, the cordgrass Spartina spp. has become established. These species are highly invasive, and their prolific growth leads to the development of supratidal environments in formerly intertidal and subtidal environments. Here, we quantified the impact of Spartina invasion on the geomorphology and sequestration capacity of carbon in the sediments of Anderson Inlet, Victoria, Australia. Spartina was first introduced to the area in the 1930s to aid in land reclamation and control coastal erosion associated with coastal development. We found that Spartina now dominates the intertidal areas of the Inlet and promotes accretion (18 mm/year) causing the formation of over 108 ha of supratidal islands over the past 100 years. These newly formed islands are calculated to potentially contain over 5.5 million tonnes of CO2 equivalent carbon. Future management of the inlet and other Spartina-dominated environments within Australian presents a dilemma for resource managers</t>
  </si>
  <si>
    <t>10.1080/10807039.2017.1395685</t>
  </si>
  <si>
    <t>https://www.scopus.com/inward/record.uri?eid=2-s2.0-85041381898&amp;doi=10.1080%2f10807039.2017.1395685&amp;partnerID=40&amp;md5=56faae4fdfe909c1059245de4a7fd20d</t>
  </si>
  <si>
    <t>A proposed coal-fired power plant at Rampal, Bangladesh will produce over 38 million tons of ash during 60 years of operation at 90% electric load generation capacity. The ash disposal pond would be full in twelve years even if half of all fly ash is used in concrete and brick production, leaving at least 20 million tons of ash with a disposal plan that is limited to surface impoundment and unlined fills, which are known to cause groundwater and surface water pollution. At Rampal, probable storm tides of 7.4 meters would breach the ash pond walls during the operational life of the coal plant, potentially resulting in catastrophic failure and massive spills of ash. Seasonal monsoon flooding would cause the ash pond itself to overflow, releasing huge volumes of contaminated water. Ash disposal for the proposed coal-fired power plant at Rampal, Bangladesh, would release toxic heavy metals into the waterways of the Sundarbans Delta and Bay of Bengal, which is a World Heritage Site and includes globally important mangroves, endangered aquatic species, and a fishery that feeds hundreds of thousands of poor people. The economic damage cost of the Rampal Plant could exceed $US 100 million dollars per year. © 2018 Taylor &amp; Francis Group, LLC.</t>
  </si>
  <si>
    <t>2-s2.0-85041381898"</t>
  </si>
  <si>
    <t>10.1007/s00024-017-1687-7</t>
  </si>
  <si>
    <t>https://www.scopus.com/inward/record.uri?eid=2-s2.0-85045956673&amp;doi=10.1007%2fs00024-017-1687-7&amp;partnerID=40&amp;md5=d95aa901d63cde8e46337e84f5093782</t>
  </si>
  <si>
    <t>Historical records have shown that tsunami have affected the Caribbean region in the past. However infrequent, recent studies have demonstrated that they pose a latent hazard for countries within this basin. The Hazard Assessment Working Group of the ICG/CARIBE-EWS (Intergovernmental Coordination Group of the Early Warning System for Tsunamis and Other Coastal Threats for the Caribbean Sea and Adjacent Regions) of IOC/UNESCO has a modeling subgroup, which seeks to develop a modeling platform to assess the effects of possible tsunami sources within the basin. The CaribeWave tsunami exercise is carried out annually in the Caribbean region to increase awareness and test tsunami preparedness of countries within the basin. In this study we present results of tsunami inundation using the CaribeWave15 exercise scenario for four selected locations within the Caribbean basin (Colombia, Costa Rica, Panamá and Puerto Rico), performed by tsunami modeling researchers from those selected countries. The purpose of this study was to provide the states with additional results for the exercise. The results obtained here were compared to co-seismic deformation and tsunami heights within the basin (energy plots) provided for the exercise to assess the performance of the decision support tools distributed by PTWC (Pacific Tsunami Warning Center), the tsunami service provider for the Caribbean basin. However, comparison of coastal tsunami heights was not possible, due to inconsistencies between the provided fault parameters and the modeling results within the provided exercise products. Still, the modeling performed here allowed to analyze tsunami characteristics at the mentioned states from sources within the North Panamá Deformed Belt. The occurrence of a tsunami in the Caribbean may affect several countries because a great variety of them share coastal zones in this basin. Therefore, collaborative efforts similar to the one presented in this study, particularly between neighboring countries, are critical to assess tsunami hazard and increase preparedness within the countries. © 2017, Springer International Publishing AG.</t>
  </si>
  <si>
    <t>2-s2.0-85045956673"</t>
  </si>
  <si>
    <t>10.4102/jamba.v10i1.356</t>
  </si>
  <si>
    <t>https://www.scopus.com/inward/record.uri?eid=2-s2.0-85047113929&amp;doi=10.4102%2fjamba.v10i1.356&amp;partnerID=40&amp;md5=2964bd53d33a119c78e97bf056cbea73</t>
  </si>
  <si>
    <t>The northern coast of the Central Java province is considered to be the critical area of flood path. The area is vulnerable to floods because of incessant rain and/or sea-level rise, resulting in suffering to people and the deterioration of the ecosystem. A number of measures have been implemented to manage the problem of floods, although the results are not noteworthy. It is obvious that infrastructure capacity for flood control, community awareness and other multiple factors significantly contribute to averting the problem of flooding in the area. This study aimed to determine the level of flood-zone vulnerability, the level of community resilience to floods and the influence of vulnerability aspects on community resilience. Interviews were conducted to outline the resilience model. A quantitative method was employed to analyse the data. The results of this study indicated that the exposure aspect is the greatest variable in describing flood vulnerability. At the same time, the greatest variables determining community resilience are damages, followed by losses and personal casualties. Among the flood vulnerability aspects are the exposure and adaptive capacities that determine the community resilience of the northern coast of Central Java. © 2018. The Authors.</t>
  </si>
  <si>
    <t>2-s2.0-85047113929"</t>
  </si>
  <si>
    <t>10.1111/1752-1688.12554</t>
  </si>
  <si>
    <t>https://www.scopus.com/inward/record.uri?eid=2-s2.0-85041304048&amp;doi=10.1111%2f1752-1688.12554&amp;partnerID=40&amp;md5=3fdea29d6439de6365ca0a3836c8e02d</t>
  </si>
  <si>
    <t>River networks based on Digital Elevation Model (DEM) data differ depending on the DEM resolution, accuracy, and algorithms used for network extraction. As spatial scale increases, the differences diminish. This study explores methods that identify the scale where networks obtained by different methods agree within some margin of error. The problem is relevant for comparing hydrologic models built around the two networks. An example is the need to compare streamflow prediction from the Hillslope Link Model (HLM) operated by the Iowa Flood Center (IFC) and the National Water Model (NWM) operated by the National Water Center of the National Oceanic and Atmospheric Administration. The HLM uses landscape decomposition into hillslopes and channel links while the NWM uses the NHDPlus dataset as its basic spatial support. While the HLM resolves the scale of the NHDPlus, the outlets of the latter do not necessarily correspond to the nodes of the HLM model. The authors evaluated two methods to map the outlets of NHDPlus to outlets on the IFC network. The methods compare the upstream areas of the channels and their spatial location. Both methods displayed similar performance and identified matches for about 80% of the outlets with a tolerance of 10% in errors in the upstream area. As the aggregation scale increases, the number of matches also increases. At the scale of 100 km2, 90% of the outlets have matches with tolerance of 5%. The authors recommend this scale for comparing the HLM and NWM streamflow predictions. © 2017 American Water Resources Association</t>
  </si>
  <si>
    <t>2-s2.0-85041304048"</t>
  </si>
  <si>
    <t>10.1515/geo-2018-0054</t>
  </si>
  <si>
    <t>https://www.scopus.com/inward/record.uri?eid=2-s2.0-85058054605&amp;doi=10.1515%2fgeo-2018-0054&amp;partnerID=40&amp;md5=06774159a097ed328ba02e9aefa8d29c</t>
  </si>
  <si>
    <t>The Urban Agglomeration in Yangtze River Delta is one of the most important economic and industrial regions in China. The City of Changzhou is one of the most important industrial citys in Yangtze River Delta Urban Agglomeration. Activities here include groundwater exploration. Groundwater overexploitation has contributed to the major land deformation in this city. The severity and magnitude of land deformation over time were investigated in Changzhou City. A Small Baseline Subset Interferometric Synthetic Aperture Radar (SBAS-InSAR) technology, provides a useful tool in measuring urban land deformation. In this study, a time series of COSMO-SkyMed and Sentinel-1A SAR images covering Changzhou City were acquired. SBAS-InSAR imaging technique was used to survey the extent and severity of land deformation associated with the exploitation of groundwater in Changzhou City. Leveling data was used to validate the SBAR-InSAR productions, the error of SBAR-InSAR annual subsidence results was within 2 mm. The results showed that three main land subsidence zones were detected at Xinbei, Tianning and Wujin District. Four subsidence points were selected to analyze the temporal and spatial evolution characteristics of land subsidence. The subsidence rate of P1 to P4 was-2.48 mm/year,-12.78 mm/year,-18.09 mm/year, and-12.69 mm/year respectively. Land subsidence over Changzhou showed a trend of slowing down from 2011 to 2017, especially in Wujin District. SBAR-InSAR derived land deformation that correlates with the water level change in six groundwater stations. Indicated that with groundwater rebound, the land rebound obviously, and the maximum rebound vale reached 9.13 mm. © 2018 Deliang Chen et al.</t>
  </si>
  <si>
    <t>2-s2.0-85058054605"</t>
  </si>
  <si>
    <t>10.1504/IJGW.2018.095993</t>
  </si>
  <si>
    <t>https://www.scopus.com/inward/record.uri?eid=2-s2.0-85056385191&amp;doi=10.1504%2fIJGW.2018.095993&amp;partnerID=40&amp;md5=91e51bea59032652012f7037311086bf</t>
  </si>
  <si>
    <t>In the delta areas of Myanmar, saltwater intrusion and flooding increasingly cause reductions in cultivated area and crop productivity, thereby threatening livelihoods that are dependent on agriculture. A household’s vulnerability to these phenomena is determined by demographic factors and the social and economic characteristics of farm households. This paper has two main objectives: firstly to evaluate the factors determining farm households’ vulnerability and, secondly, to study the correlation statistics between these factors. Based on a sample of 178 respondents, this study found that smallholders were most vulnerable to natural hazards, with an average household vulnerability score of 0.608, compared to households with larger landholdings which have a score of 0.589. Moreover, the Spearman correlation test reveals that 14 out of the 23 selected variables were significantly correlated with the household vulnerability index. Copyright © 2018 Inderscience Enterprises Ltd.</t>
  </si>
  <si>
    <t>2-s2.0-85056385191"</t>
  </si>
  <si>
    <t>10.1007/s11069-017-3042-9</t>
  </si>
  <si>
    <t>https://www.scopus.com/inward/record.uri?eid=2-s2.0-85029594987&amp;doi=10.1007%2fs11069-017-3042-9&amp;partnerID=40&amp;md5=b32c29120ddf8d824156466b402578e1</t>
  </si>
  <si>
    <t>Coastal regions are the areas most threatened by natural hazards, with floods being the most frequent and significant threat in terms of their induced impacts, and therefore, any management scheme requires their evaluation. In coastal areas, flooding is a hazard associated with various processes acting at different scales: coastal storms, flash floods, and sea level rise (SLR). In order to address the problem as a whole, this study presents a methodology to undertake a preliminary integrated risk assessment that determines the magnitude of the different flood processes (flash flood, marine storm, SLR) and their associated consequences, taking into account their temporal and spatial scales. The risk is quantified using specific indicators to assess the magnitude of the hazard (for each component) and the consequences in a common scale. This allows for a robust comparison of the spatial risk distribution along the coast in order to identify both the areas at greatest risk and the risk components that have the greatest impact. This methodology is applied on the Maresme coast (NW Mediterranean, Spain), which can be considered representative of developed areas of the Spanish Mediterranean coast. The results obtained characterise this coastline as an area of relatively low overall risk, although some hot spots have been identified with high-risk values, with flash flooding being the principal risk process. © 2017, The Author(s).</t>
  </si>
  <si>
    <t>2-s2.0-85029594987"</t>
  </si>
  <si>
    <t>10.3390/geosciences8010008</t>
  </si>
  <si>
    <t>https://www.scopus.com/inward/record.uri?eid=2-s2.0-85040251971&amp;doi=10.3390%2fgeosciences8010008&amp;partnerID=40&amp;md5=55b9561f596d7cb820754c4d850040b1</t>
  </si>
  <si>
    <t>The Volturno Plain is one of the largest alluvial plains of peninsular Italy, which is one of the most susceptible plains to coastal hazards. This area is characterized by both natural and human-induced subsidence. This present study is based on the post-processing, analysis and mapping of the available Persistent Scatterer interferometry datasets. The latter were derived from the combination of both ascending and descending orbits of three different radar satellite systems during an observation period of almost two decades (June 1992–September 2010). The main output of this study is a map of vertical deformation, which provides new insights into the areal variability of the ground deformation processes (subsidence/uplift) of Volturno plain over the last few decades. The vertical displacement values obtained by the post-processing of the interferometric data show that the Volturno river plain is characterized by significant subsidence in the central axial sectors and in the river mouth area. Moderate uplift is detected in the eastern part of the plain, whereas other sectors of the study area are characterized by moderate subsidence and/or stability. On the basis of the analyzed subsoil stratigraphy, we inferred that the subsidence recorded in the Volturno plain is mainly a consequence of a natural process related to the compaction of the fluvial and palustrine deposits that form the alluvial plain. The anthropic influences (e.g., water exploitation, urbanization) are substantially considered to be an additional factor that may enhance subsidence only locally. The uplift mapped in the eastern sector of the plain is related to the tectonic activity. The study of the subsidence in the Volturno plain is a valuable tool for river flood analyses and the assessment of the coastal inundation hazards and related risk mitigation. © 2018 by the authors. Licensee MDPI, Basel, Switzerland.</t>
  </si>
  <si>
    <t>2-s2.0-85040251971"</t>
  </si>
  <si>
    <t>CyberGeo</t>
  </si>
  <si>
    <t>10.4000/cybergeo.29000</t>
  </si>
  <si>
    <t>https://www.scopus.com/inward/record.uri?eid=2-s2.0-85042060979&amp;doi=10.4000%2fcybergeo.29000&amp;partnerID=40&amp;md5=fee21d45e87288b4dee48ee2eff2f67b</t>
  </si>
  <si>
    <t>Knowledge regarding the systemic vulnerability of coastal territories to erosion and flood has progressed during the last decades thanks to the consideration of hazards but also of other components such as the stakes, the management and the social representations of the coastal risks. However, in numerous cases the development and urbanization of coastal territories submitted to the coastal risks continues. It results in the increase of exposed populations as well as in the increase of the cost of exposed properties, increasing in return their vulnerability. So, in the objective to improve the management strategies and to strengthen the memory of the risk, the need to specify the characteristics of hazards remains important. In this sense, the intensity, the area of distribution and the duration of action of hazards, as well as the magnitude of the forcing and their probability of occurrence require better definition. In this perspective, an approach based on the analysis of hazards of erosion and flooding is led on the coasts of Brittany for the contemporary period, stretching from the end of the 18thcentury to 2010. The data is inventoried from diverse local and regional written and iconographic archives. The intensity, the area of distribution and the duration of (immediate) action are determined from this inventory. The magnitude of the forcing, and consequently the probability of occurrence of these hazards by level of magnitude is more delicate to define. The magnitude, or, more exactly, the size (or severity) cannot depend on the level of the impacts even though we rarely have quantified data through historical data. Thus, an evaluation of the magnitude is proposed by taking into account, for every hazard identified regionally, the diversity of the impacts and the diversity of the forcing which generated it. The results show that they follow a power law which confirms, as for diverse hazards, the existence of a link between size and frequency of these hazards. The probability of occurrence can be computed to specify the annual, the ten-year or the centennial hazards for the region and also the associated uncertainties. These five main characters being specified and quantified, a Comparison of hazards over time becomes possible. Most importantly, they become usable to establish a regional “memory” of coastal hazards. Their future evolution could also be monitored within the framework of a future observatory of coastal risks. © CNRS-UMR Géographie-cités 8504.</t>
  </si>
  <si>
    <t>2-s2.0-85042060979"</t>
  </si>
  <si>
    <t>10.1016/j.jenvman.2017.10.075</t>
  </si>
  <si>
    <t>https://www.scopus.com/inward/record.uri?eid=2-s2.0-85034433844&amp;doi=10.1016%2fj.jenvman.2017.10.075&amp;partnerID=40&amp;md5=7bc5fbc73fc2550519f040229102d351</t>
  </si>
  <si>
    <t>The coastal region bordering the East coast of India is a thickly populated belt exposed to high risk and vulnerability from natural hazards such as tropical cyclones. Tropical cyclone frequencies that develop over the Bay of Bengal (average of 5–6 per year) region are much higher as compared to the Arabian Sea thereby posing a high risk factor associated with storm surge, inland inundation, wind gust, intense rainfall, etc. The Odisha State in the East coast of India experiences the highest number of cyclone strikes as compared to West Bengal, Andhra Pradesh, and Tamil Nadu. To express the destructive potential resulting from tropical cyclones the Power Dissipation Index (PDI) is a widely used metric globally. A recent study indicates that PDI for cyclones in the present decade have increased about six times as compared to the past. Hence there is a need to precisely ascertain the coastal vulnerability and risk factors associated with high intense cyclones expected in a changing climate. As such there are no comprehensive studies attempted so far on the determination of Coastal Vulnerability Index (CVI) for Odisha coast that is highly prone to cyclone strikes. With this motivation, the present study makes an attempt to investigate the physical, environmental, social, and economic impacts on coastal vulnerability associated with tropical cyclones for the Odisha coast. The study also investigates the futuristic projection of coastal vulnerability over this region expected in a changing climate scenario. Eight fair weather parameters along with storm surge height and onshore inundation were used to estimate the Physical Vulnerability Index (PVI). Thereafter, the PVI along with social, economic, and environmental vulnerability was used to determine the overall CVI using the GIS based approach. The authors believe that the comprehensive nature of this study is expected to benefit coastal zone management authorities. © 2017 Elsevier Ltd</t>
  </si>
  <si>
    <t>2-s2.0-85034433844"</t>
  </si>
  <si>
    <t>10.1016/j.jenvman.2017.10.018</t>
  </si>
  <si>
    <t>https://www.scopus.com/inward/record.uri?eid=2-s2.0-85031801258&amp;doi=10.1016%2fj.jenvman.2017.10.018&amp;partnerID=40&amp;md5=0ce062de9571a6b894696a16f6db029b</t>
  </si>
  <si>
    <t>Coastal wetlands sequester large amounts of carbon in their soils, effectively removing carbon dioxide from the atmosphere and acting as a carbon sink. In this paper, we estimate the economic value of carbon sequestered by wetlands in the Delaware Estuary. We estimate the value of the current stock of wetlands, the value of the historic loss of wetlands, and under a range of different scenarios the expected future loss. We use historical topographic maps and Land Cover inventories of the Delaware Estuary to measure the acreage of tidal wetlands in nine distinct time periods from 1778 to 2011. Using these data, we estimate an annual rate of wetland loss of 1.03 km2. Coupling observed land cover change with exogenous factors including sea-level rise, population pressure, and channel dredging, we estimate changes in tidal wetland area under a range of future scenarios for our expected future economic loss estimates. © 2017 Elsevier Ltd</t>
  </si>
  <si>
    <t>2-s2.0-85031801258"</t>
  </si>
  <si>
    <t>10.1016/j.icarus.2017.09.034</t>
  </si>
  <si>
    <t>https://www.scopus.com/inward/record.uri?eid=2-s2.0-85031506368&amp;doi=10.1016%2fj.icarus.2017.09.034&amp;partnerID=40&amp;md5=8dc26cf9d9a11c893b83461cd321553f</t>
  </si>
  <si>
    <t>The Jezero crater open-basin lake contains two well-exposed fluvial sedimentary deposits formed early in martian history. Here, we examine the geometry and architecture of the Jezero western delta fluvial stratigraphy using high-resolution orbital images and digital elevation models (DEMs). The goal of this analysis is to reconstruct the evolution of the delta and associated shoreline position. The delta outcrop contains three distinct classes of fluvial stratigraphy that we interpret, from oldest to youngest, as: (1) point bar strata deposited by repeated flood events in meandering channels</t>
  </si>
  <si>
    <t>10.18055/finis13457</t>
  </si>
  <si>
    <t>https://www.scopus.com/inward/record.uri?eid=2-s2.0-85051799510&amp;doi=10.18055%2ffinis13457&amp;partnerID=40&amp;md5=4a6b8d244e8623f5e67cd0d55f758ad4</t>
  </si>
  <si>
    <t>Baixa Pombalina is the historical downtown area of Lisbon city, close to the Tagus estuary, accommodating many economic activities namely tourism. This paper assesses and maps the vulnerability of the area, at the neighbourhood scale, to flood episodes and sea level rise. The methodology outlines how the different components of vulnerability are tackled, while considering the importance of the local context in the definition of composite indexes. Twenty -two vulnerability hotspots were found, for which six adaptation options are proposed to be embedded into the Plano de Pormenor currently in place. © 2018 Universidade de Lisboa.</t>
  </si>
  <si>
    <t>2-s2.0-85051799510"</t>
  </si>
  <si>
    <t>10.1007/s11852-016-0467-3</t>
  </si>
  <si>
    <t>https://www.scopus.com/inward/record.uri?eid=2-s2.0-84995395756&amp;doi=10.1007%2fs11852-016-0467-3&amp;partnerID=40&amp;md5=e74d0078eac6d9cebf9769474c9aa940</t>
  </si>
  <si>
    <t>Climate change induces non-linear and unevenly distributed changes, such rising sea levels and extreme weather events that materialise on the regional level and considerably contribute to changes in the social fabric of regions, communities and places. Because of the need for societal responses, an in-depth understanding of individual and collective forms of engagement with climate change is of growing relevance. To contribute to close this gap, this paper applies a place-based approach for investigating how people’s place attachments and meanings inform individual and collective engagement with climate change. As a case study, the district of North Frisia (Germany) was chosen, a region between climate-change vulnerability and renewable-energy potential. Qualitative interviews and a household survey with coastal dwellers of the municipality of Reußenköge have been conducted, a group discussion with the Country Youth (Landjugend) and further interviews with experts from government, companies and associations spread over North Frisia and in Kiel. The results reveal two main findings: firstly, place-dependent attachments and meanings play a pivotal role for understanding people’s engagement with climate change, and secondly, the behavioural dimension of engagement involves diverse adaptation and mitigation measures adopted on individual and collective level. In sum, the findings conceptually and empirically reveal the importance of memories, experiences, knowledge and creativity for how people engage with climate change, but also exhibit the importance of policies mobilising community-based actions. © 2016, Springer Science+Business Media Dordrecht.</t>
  </si>
  <si>
    <t>2-s2.0-84995395756"</t>
  </si>
  <si>
    <t>10.1016/j.geomorph.2017.10.019</t>
  </si>
  <si>
    <t>https://www.scopus.com/inward/record.uri?eid=2-s2.0-85033592064&amp;doi=10.1016%2fj.geomorph.2017.10.019&amp;partnerID=40&amp;md5=34b118b7e7b2360006062fe12c4df2a0</t>
  </si>
  <si>
    <t>Typhoons Megi (2010) and Saola (2012) brought torrential rainfall which triggered regional landslides and flooding hazards along Provincial Highway No. 9 in northeastern Taiwan. To reduce property loss and saving lives, this study combines multi-hazard susceptibility assessment with environmental geology map a rock mass rating system (RMR), remote sensing analysis, and micro-topography interpretation to develop an integrated landslide hazard assessment approach and reflect the intrinsic state of slopeland from the past toward the future. First, the degree of hazard as indicated by historical landslides was used to determine many landslide regions in the past. Secondly, geo-mechanical classification of rock outcroppings was performed by in-situ investigation along the vulnerable road sections. Finally, a high-resolution digital elevation model was extracted from airborne LiDAR and multi-temporal remote sensing images which was analyzed to discover possible catastrophic landslide hotspot shortly. The results of the analysis showed that 37% of the road sections in the study area were highly susceptible to landslide hazards. The spatial distribution of the road sections revealed that those characterized by high susceptibility were located near the boundaries of fault zones and in areas of lithologic dissimilarity. Headward erosion of gullies and concave-shaped topographic features had an adverse effect and was the dominant factor triggering landslides. Regional landslide reactivation on this coastal highway are almost related to the past landslide region based on hazard statistics. The final results of field validation demonstrated that an accuracy of 91% could be achieved for forecasting geohazard followed by intense rainfall events and typhoons. © 2017 Elsevier B.V.</t>
  </si>
  <si>
    <t>2-s2.0-85033592064"</t>
  </si>
  <si>
    <t>10.1016/j.quaint.2016.07.035</t>
  </si>
  <si>
    <t>https://www.scopus.com/inward/record.uri?eid=2-s2.0-84996508327&amp;doi=10.1016%2fj.quaint.2016.07.035&amp;partnerID=40&amp;md5=35f4a0fabeba7c99031b46c4c2c5b44e</t>
  </si>
  <si>
    <t>Here we evaluate the changes in dinoflagellate cyst assemblages and intraspecies morphometric variability in dominant Black Sea species during MIS 5−1 in sediment recovered from DSDP Site 380. Twenty-three taxa represent the majority of the 16,000 cysts tabulated. Qualitative assessment of assemblage composition indicates that the taxa are distributed in three ecological assemblages</t>
  </si>
  <si>
    <t>Anuario do Instituto de Geociencias</t>
  </si>
  <si>
    <t>10.11137/2018_3_434_444</t>
  </si>
  <si>
    <t>https://www.scopus.com/inward/record.uri?eid=2-s2.0-85063755563&amp;doi=10.11137%2f2018_3_434_444&amp;partnerID=40&amp;md5=85e8a49c37eeb6e5b455452d9821de72</t>
  </si>
  <si>
    <t>The Pantanal basin formation and evolution are not well known and explained. This work brings new information showing the structural control over the physical environment of the Pantanal, one of the most important regions all around the world due to its biodiversity. We used different data sets from remote sensing data, the first set is a corrected SRTM (shuttle radar topographic mission) altimetric data and the second is a map of the major lineaments of Pantanal extracted from photointerpretation of satellite images. Both sets were confronted with the official borderlines of Pantanal and to other two limits defined by phytogeography and remote sensing images. It is possible to show that there is a good match between the internal limits of Pantanal and the interpreted lineaments. The altitudes decrease from N to S and from E to W and the slope analysis shows that this declivity is not homogeneous on these directions. The height difference between adjacent blocks is about 3 or 4 meters. Moreover, different regions have different mean altitudes and slope, although the slope inside each block is homogeneous. Considering Pantanal as a Cenozoic active basin, this paper proposes that the neotectonic controls these blocks and so the water flow in the basin, which in turn controls the fauna and flora of the region. © 2018</t>
  </si>
  <si>
    <t>10.5200/baltica.2018.31.09</t>
  </si>
  <si>
    <t>https://www.scopus.com/inward/record.uri?eid=2-s2.0-85064761702&amp;doi=10.5200%2fbaltica.2018.31.09&amp;partnerID=40&amp;md5=82b77af47bff4a2d9c77d7f98dfbb65f</t>
  </si>
  <si>
    <t>The river delta regions are usually most vulnerable to flooding due to small changes in terrain elevation and river - sea interaction. The trends of increased frequency of flooding and an increased duration of the high water events are evident in many regions. In this study, we analyse the most extreme (severe) flood events in the Nemunas Delta region of Lithuania. The study focuses on the causes of floods and their changes over 1926-2016. Analysing specific case studies and comparing them with related studies of other researchers, we present an original interpretation of the variability of flood parameters. The aim of the study is to demonstrate that the analysis of flood events must be based on the identification of the drivers of individual floods. This is especially true for the lower reaches and the delta regions of rivers situated within the North European Plain. Historically, an intense melting of snow appeared to be the main cause of severe flooding in this region. The results of this study, however, show that the situation has rapidly changed over the last 30 years and large areas can be flooded even if the snow water equivalent over the whole basin is relatively low. © Baltica 2018.</t>
  </si>
  <si>
    <t>2-s2.0-85064761702"</t>
  </si>
  <si>
    <t>10.5194/nhess-18-207-2018</t>
  </si>
  <si>
    <t>https://www.scopus.com/inward/record.uri?eid=2-s2.0-85040725652&amp;doi=10.5194%2fnhess-18-207-2018&amp;partnerID=40&amp;md5=4e9b23663bc898d0c73c1001e5654911</t>
  </si>
  <si>
    <t>A modelling chain was implemented in order to propose a realistic appraisal of the risk in coastal areas affected by overflowing as well as overtopping processes. Simulations are performed through a nested downscaling strategy from regional to local scale at high spatial resolution with explicit buildings, urban structures such as sea front walls and hydraulic structures liable to affect the propagation of water in urban areas. Validation of the model performance is based on hard and soft available data analysis and conversion of qualitative to quantitative information to reconstruct the area affected by flooding and the succession of events during two recent storms. Two joint probability approaches (joint exceedance contour and environmental contour) are used to define 100-year offshore conditions scenarios and to investigate the flood response to each scenario in terms of (1) maximum spatial extent of flooded areas, (2) volumes of water propagation inland and (3) water level in flooded areas. Scenarios of sea level rise are also considered in order to evaluate the potential hazard evolution. Our simulations show that for a maximising 100-year hazard scenario, for the municipality as a whole, 38% of the affected zones are prone to overflow flooding and 62% to flooding by propagation of overtopping water volume along the seafront. Results also reveal that for the two kinds of statistic scenarios a difference of about 5% in the forcing conditions (water level, wave height and period) can produce significant differences in terms of flooding like +13.5% of water volumes propagating inland or +11.3% of affected surfaces. In some areas, flood response appears to be very sensitive to the chosen scenario with differences of 0.3 to 0.5m in water level. The developed approach enables one to frame the 100-year hazard and to characterize spatially the robustness or the uncertainty over the results. Considering a 100-year scenario with mean sea level rise (0.6m), hazard characteristics are dramatically changed with an evolution of the overtopping/overflowing process ratio and an increase of a factor 4.84 in volumes of water propagating inland and 3.47 in flooded surfaces.</t>
  </si>
  <si>
    <t>2-s2.0-85040725652"</t>
  </si>
  <si>
    <t>10.1007/s12524-017-0670-1</t>
  </si>
  <si>
    <t>https://www.scopus.com/inward/record.uri?eid=2-s2.0-85019848517&amp;doi=10.1007%2fs12524-017-0670-1&amp;partnerID=40&amp;md5=ce57abf7d5580b6314100c583801e71e</t>
  </si>
  <si>
    <t>Flash flood assessment and management are necessary for municipal, urban growth planning and emergency action plans. By using the Hydrologic Engineering Centers River Analysis System software, we can model flash flood events and calculate water surface profiles over the length of the modeled stream. After collecting elevation points by using GPS method, the digital elevation model can be calculated for the study area. Najran city has main flood stream passes beside King Abdullah Road based on facts and previous works. A small study area including the mainstream of Wady Najran and King Abdullah Road has chosen as test site. The used methodology has also been proved efficiently for identifying flood inundation maps. Water extent area overlapped by 52–86% for both used methods. At discharge Q = 15 m3/s, the road needs to be protected from the flood. © 2017, Indian Society of Remote Sensing.</t>
  </si>
  <si>
    <t>2-s2.0-85019848517"</t>
  </si>
  <si>
    <t>10.18520/cs/v114/i06/1338-1345</t>
  </si>
  <si>
    <t>https://www.scopus.com/inward/record.uri?eid=2-s2.0-85044205940&amp;doi=10.18520%2fcs%2fv114%2fi06%2f1338-1345&amp;partnerID=40&amp;md5=3cd25eb4800e781659aec01bcbf52863</t>
  </si>
  <si>
    <t>Coastal landforms play an important role in protecting deltaic areas from erosion due to the action of waves. However, landforms in the deltas are dynamic and vulnerable to changes due to the effect of natural disasters like floods and cyclones. Automatic detection of dynamic landforms from satellite data can provide important inputs for effective coastal zone management. In this study, we developed an Object-Based Image Analysis (OBIA) technique to identify and map landforms in the Krishna delta, east coast of India using Resourcesat-2 LISS-IV multispectral image (5.8 m) and digital elevation model (DEM) (4 m). Since landforms are represented at multiple scales, the plateau objective function method was used to select appropriate scales during multiresolution segmentation. Knowledge-based rules in OBIA, using the parameters tone, texture, shape and context derived from satellite images and height from DEM were developed for classification of landforms. A total of 11 landforms (beach, beach ridge, swale, tidal creek, marsh, spit, barrier bar, mangrove, natural levee, channel island and channel bar) were mapped using this approach. High detection accuracy of these landforms indicates that the method developed has the potential for geomorphological mapping of dynamic landforms in low lying deltaic areas. © 2018 Current Science Association, Bengaluru.</t>
  </si>
  <si>
    <t>2-s2.0-85044205940"</t>
  </si>
  <si>
    <t>10.1002/qj.3188</t>
  </si>
  <si>
    <t>https://www.scopus.com/inward/record.uri?eid=2-s2.0-85038636683&amp;doi=10.1002%2fqj.3188&amp;partnerID=40&amp;md5=8438c86a5717f3173b28a87e1856b4b4</t>
  </si>
  <si>
    <t>The passage of three cold fronts (CFs) over the Gulf of Mexico was simulated with the Weather Research and Forecasting model to study the mechanisms associated with the formation of a jet parallel to the Sierra Madre Oriental (SMOr) mountain range near the port of Veracruz. Dew-point temperature (Td = 20 °C) and available convective potential energy best simulated the horizontal propagation of the intense CFs over the Gulf, and equivalent potential temperature helped identify the vertical position of the fronts. Additional simulations with reduced topography showed that mountain heights exceeding 2.5 km, where the SMOr is closest to the coast, were crucial for the formation of a coastal barrier jet. The Froude number (Fr &lt; 1) and the ageostrophic component of the wind at low levels were used to identify the formation of the jet</t>
  </si>
  <si>
    <t>African Journal of Hospitality, Tourism and Leisure</t>
  </si>
  <si>
    <t>https://www.scopus.com/inward/record.uri?eid=2-s2.0-85047861008&amp;partnerID=40&amp;md5=075e6fdec92ad793fdb231adb0d8aa4a</t>
  </si>
  <si>
    <t>Second homes tourism comprises an important component of the discourse in tourism geographies, since its re-emergence in the literature in the late 1990s. Second homes are often situated in amenity-rich areas within pristine natural environments along coastal areas, river banks and lakes. However, these 'untouched' environments within remote rural municipalities are often characterised by limited financial capital and thus a weakened adaptive capacity to adapt to the increasing threats of sea level rise, flooding, drought and storms, which are projected to amplify in severity and frequency under climate change. Second homes often involve large onceoff capital investments, which coupled with their permanent physical location heightens the climate change vulnerability of the owners. We therefore argue that second homes tourism is particularly vulnerable to the threats of climate change. This article considers the potential impact of climate change on second homes in a variety of localities in South Africa, through a critical integration of the existing literature on both second homes and climate change and tourism for South Africa. Through outlining the key areas of concern, the researcjers map out possible adaptation strategies for second home owners. © 2018 AJHTL.</t>
  </si>
  <si>
    <t>2-s2.0-85047861008"</t>
  </si>
  <si>
    <t>10.3390/hydrology5030039</t>
  </si>
  <si>
    <t>https://www.scopus.com/inward/record.uri?eid=2-s2.0-85055336791&amp;doi=10.3390%2fhydrology5030039&amp;partnerID=40&amp;md5=537709349f1eedf2ee36333e4e8cc4b5</t>
  </si>
  <si>
    <t>Flood modelling and mapping typically entail flood frequency estimation, hydrodynamic modelling and inundation mapping, which require specific datasets that are often unavailable in developing regions due to financial, logistical, technical and organizational challenges. This review discusses fluvial (river) flood modelling and mapping processes and outlines the data requirements of these techniques. This paper explores how open-access remotely sensed and other geospatial datasets can supplement ground-based data and high-resolution commercial satellite imagery in data sparse regions of developing countries. The merits, demerits and uncertainties associated with the application of these datasets, including radar altimetry, digital elevation models, optical and radar images, are discussed. Nigeria, located within the Niger river basin of West Africa is a typical data-sparse country, and it is used as a case study in this review to evaluate the significance of open-access datasets for local and transboundary flood analysis. Hence, this review highlights the vital contribution that open access remotely sensed data can make to flood modelling and mapping and to support flood management strategies in developing regions. © 2019 by the authors.</t>
  </si>
  <si>
    <t>2-s2.0-85055336791"</t>
  </si>
  <si>
    <t>10.1002/2017GL075963</t>
  </si>
  <si>
    <t>https://www.scopus.com/inward/record.uri?eid=2-s2.0-85041011695&amp;doi=10.1002%2f2017GL075963&amp;partnerID=40&amp;md5=6fbfa596fdabd69707383580f1ac3872</t>
  </si>
  <si>
    <t>Tidal response to sea-level rise (SLR) varies in different coastal systems. To provide a generic pattern of tidal response to SLR, a systematic investigation was conducted using numerical techniques applied to idealized and realistic estuaries, with model results cross-checked by analytical solutions. Our results reveal that the response of tidal range to SLR is nonlinear, spatially heterogeneous, and highly affected by the length and bathymetry of an estuary and weakly affected by the estuary convergence with an exception of strong convergence. Contrary to the common assumption that SLR leads to a weakened bottom friction, resulting in increased tidal amplitude, we demonstrate that tidal range is likely to decrease in short estuaries and in estuaries with a narrow channel and large low-lying shallow areas. ©2017. American Geophysical Union. All Rights Reserved.</t>
  </si>
  <si>
    <t>2-s2.0-85041011695"</t>
  </si>
  <si>
    <t>10.1016/j.envsoft.2017.11.008</t>
  </si>
  <si>
    <t>https://www.scopus.com/inward/record.uri?eid=2-s2.0-85034623284&amp;doi=10.1016%2fj.envsoft.2017.11.008&amp;partnerID=40&amp;md5=57d37226768beb36f0cd753ef22bba16</t>
  </si>
  <si>
    <t>This study sheds light on the coupling of potential flood risk and drainage infrastructure resilience of low-lying areas of a coastal urban watershed to evaluate flood hazards and their possible driving forces. Copulas analyses with the aid of joint probability of simultaneous occurrence help characterize the complexity for hazard classification based on subsequent exposure to inundation under varying levels of adaptive capacity. Adaptive measures of consideration include traditional flood proofing structures and low impact development facilities for a coastal urban watershed - the Cross Bayou watershed, near Tampa Bay, Florida. Findings indicate that coupling flood risk and infrastructure resilience is achievable through the careful formulation of flood risk associated with a resilience metric, which is a function of the predicted hazards, vulnerability, and adaptive capacity. The results also give insights into improving existing methodologies for municipalities in flood management practices such as incorporating a multi-criteria flood impact assessment that couples risk and resilience in a common evaluation framework. © 2017 Elsevier Ltd</t>
  </si>
  <si>
    <t>2-s2.0-85034623284"</t>
  </si>
  <si>
    <t>Journal of Hospitality and Tourism Insights</t>
  </si>
  <si>
    <t>10.1108/JHTI-10-2017-0004</t>
  </si>
  <si>
    <t>https://www.scopus.com/inward/record.uri?eid=2-s2.0-85071603526&amp;doi=10.1108%2fJHTI-10-2017-0004&amp;partnerID=40&amp;md5=d5c00b4c6e23c9c885daa5fa89995c2c</t>
  </si>
  <si>
    <t>Purpose: The purpose of this paper is to present an overview of the vulnerability of Florida’s coastal destinations to climate change and the costs of the adaptation measures required to cope with the impacts of climate change in a range of current and future scenarios. Design/methodology/approach: The paper illustrates a range of current and projected climate change scenarios in Florida, the challenges the state is already experiencing in dealing with the impacts of climate change and some of the measures adopted to date in three particularly vulnerable coastal destinations, namely Fort Lauderdale, Miami Beach and Sarasota. Findings: Although tourism is the number one industry in Florida, the state holds a particularly vulnerable position with respect to climate change. The vacuum of political will to address these issues at the state level is thus of particular concern given the vulnerable position of Florida’s coastal areas. With nearly 10 percent of its land area lying at less than one meter above the present sea level, adaptation is especially urgent in Florida. The local government of Florida’s cities such as Fort Lauderdale, Miami Beach and Sarasota are not willing to surrender to sea level rise (SLR). However, without a strong political will to address climate change at the state and federal levels, the costs of adapting to an escalating SLR are becoming progressively unsustainable. Originality/value: This illustrative case study paper provides a contemporary synthesis of the implications for Florida’s coastal tourism destinations of rising sea levels and those adaptation strategies deemed appropriate in the search for their longer-term sustainability. © 2018, Emerald Publishing Limited.</t>
  </si>
  <si>
    <t>2-s2.0-85071603526"</t>
  </si>
  <si>
    <t>10.3390/rs10121915</t>
  </si>
  <si>
    <t>https://www.scopus.com/inward/record.uri?eid=2-s2.0-85061121829&amp;doi=10.3390%2frs10121915&amp;partnerID=40&amp;md5=915f8fb27ec8ac5286bc57a091441fd9</t>
  </si>
  <si>
    <t>Hydromorphological data for many estuaries worldwide is scarce and usually limited to offshore tidal amplitude and remotely-sensed imagery. In many projects, information about morphology and intertidal area is needed to assess the effects of human interventions and rising sea-level on the natural depth distribution and on changing habitats. Habitat area depends on the spatial pattern of intertidal area, inundation time, peak flow velocities and salinity. While numerical models can reproduce these spatial patterns fairly well, their data need and computational costs are high and for each case a new model must be developed. Here, we present a Python tool that includes a comprehensive set of relations that predicts the hydrodynamics, bed elevation and the patterns of channels and bars in mere seconds. Predictions are based on a combination of empirical relations derived from natural estuaries, including a novel predictor for cross-sectional depth distributions, which is dependent on the along-channel width profile. Flow velocity, an important habitat characteristic, is calculated with a new correlation between depth below high water level and peak tidal flow velocity, which was based on spatial numerical modelling. Salinity is calculated from estuarine geometry and flow conditions. The tool only requires an along-channel width profile and tidal amplitude, making it useful for quick assessments, for example of potential habitat in ecology, when only remotely-sensed imagery is available. © 2018 by the authors.</t>
  </si>
  <si>
    <t>2-s2.0-85061121829"</t>
  </si>
  <si>
    <t>10.1111/1477-8947.12141</t>
  </si>
  <si>
    <t>https://www.scopus.com/inward/record.uri?eid=2-s2.0-85034631575&amp;doi=10.1111%2f1477-8947.12141&amp;partnerID=40&amp;md5=269bf2cdba9fbfd74393640fbea14b37</t>
  </si>
  <si>
    <t>Scientific findings confirm that Small Island Developing States (SIDS) in the Caribbean are experiencing droughts and sea level rises that are contributing to saline intrusion of underground aquifers and surface water sources. This paper, using Trinidad as a case study, analyses water governance challenges in meeting Sustainable Development Goal (SDG) 6, which addresses the sustainability of water resources. Interviews were conducted with professionals from multi-disciplinary backgrounds. Also, data provided by the water agency were analysed to evaluate water governance practices. The main contribution of this paper is the generation of a blend of policies, good practices and tools to confront growing threats to water security and to attain sustainable development in Caribbean SIDS in an era of climate change and increasing non-climatic stressors. The paper concludes that economic, environmental and human resources, reformed administrative and legislative systems, and technological tools are fundamental to achieving good water governance. Moreover, an array of complementary policies and technologies is needed to resolve water governance issues. However, political will to implement sustainable water resources management is the greatest challenge in attaining SDG 6. © 2017 The Authors. Natural Resources Forum © 2017 United Nations</t>
  </si>
  <si>
    <t>2-s2.0-85034631575"</t>
  </si>
  <si>
    <t>Oxford Development Studies</t>
  </si>
  <si>
    <t>10.1080/13600818.2017.1328046</t>
  </si>
  <si>
    <t>https://www.scopus.com/inward/record.uri?eid=2-s2.0-85019672861&amp;doi=10.1080%2f13600818.2017.1328046&amp;partnerID=40&amp;md5=ceccae5002cb089b29ea5e64b2d6dc5f</t>
  </si>
  <si>
    <t>In September 2012, the Niger Delta (Nigeria) experienced a severe flood. By conducting a differences-in-differences estimation (as well as qualitative interviews), this paper studies the effects of the flood and of relief aid provided by an oil company on relational capability, a concept which covers bonding, bridging, and linking aspects of social capital (SC). We find that the flood increased bonding SC, measured as trust in the community, but reduced bridging SC, measured as participation together with unknown people in common-interest projects. The aid distributed to some people, on the other hand, was associated with higher bridging SC. The aid was not distributed according to flood damages but mostly according to social status. Our findings emphasize how a disaster can affect the repartition of bonding and bridging SC in the short term. They also highlight the need to build social cohesion in vulnerable communities from a longer-term and institutional perspective. © 2017 Oxford Department of International Development.</t>
  </si>
  <si>
    <t>2-s2.0-85019672861"</t>
  </si>
  <si>
    <t>10.1007/s11069-017-3036-7</t>
  </si>
  <si>
    <t>https://www.scopus.com/inward/record.uri?eid=2-s2.0-85029151024&amp;doi=10.1007%2fs11069-017-3036-7&amp;partnerID=40&amp;md5=3b45af5cdb867e373102a12d7c18e0e7</t>
  </si>
  <si>
    <t>Bangladesh is a country that comprises much of the world’s largest delta, formed from the Ganges, Brahmaputra, and Meghna (GBM) rivers and their tributaries. Flooding is a fact of life in Bangladesh where up to two-thirds of the country is flooded annually from combined monsoonal rains and Himalayan snowmelt. For this reason, understanding flood dynamics on both local and regional scales is critical. However, flood hazard studies to date typically rely on single flooding events to create flood maps and to evaluate flood hazards using satellite imagery. Here we use geographic information systems to analyze weekly water level data from 304 river gauges and over 1200 groundwater gauges from the Bangladesh Water Development Board to determine the spatial and temporal changes in flood depth and extent. These data cover an eight year period from 2002 to 2010 and provide a temporal resolution that match or are better than that of available satellite imagery. Country-wide ground and surface water levels and corresponding annual flooding events were determined along with groundwater level, flooding, and precipitation trends in Bangladesh at multiple scales. We find that while precipitation within the GBM basin has steadily increased through the time series, the average country-wide inundation depth and absolute water level has been decreasing. These respective trends could be attributed to improved flood management strategies in Bangladesh and surrounding countries that are within the GBM basin, as well as fluctuating weather patterns, declining volume of Himalayan snowmelt runoff, dam construction upriver from the GBD both within and outside the Bangladesh border, and increased groundwater abstraction of shallow groundwater aquifers for sustaining life in the eighth most populous country in the world. © 2017, Springer Science+Business Media B.V.</t>
  </si>
  <si>
    <t>2-s2.0-85029151024"</t>
  </si>
  <si>
    <t>10.1007/s11368-017-1807-0</t>
  </si>
  <si>
    <t>https://www.scopus.com/inward/record.uri?eid=2-s2.0-85027834390&amp;doi=10.1007%2fs11368-017-1807-0&amp;partnerID=40&amp;md5=30ce6ce713dc5bc84678b56eb020f92d</t>
  </si>
  <si>
    <t>Purpose: The spatial distributions of organic pollutants, polycyclic aromatic hydrocarbons (PAHs), and polar pesticides were studied in the floodplain of a Middle European lowland river (the Ohře River, Czech Republic) to evaluate their possible use for pollution chemostratigraphy. Materials and methods: The floodplain evolution and internal structure were evaluated from historical maps, a digital terrain model, and electric resistivity tomography (ERT) at sampling sites. The approximate age of the sediments was inferred from pollution by Cu, Pb, and Sn (sixteenth century and younger), as well as Hg and U (nineteenth to twentieth centuries), based on the known history of metal mining in the Ohře catchment. Results and discussion: Polycyclic aromatic hydrocarbons, as non-polar persistent pollutants, have a stable stratigraphic distribution, with peak concentrations attributed to the local peak in the use of coal under low environmental concern from the middle nineteenth century to the late twentieth century as well as a minor peak due to more ancient charcoal production. Polar pesticides range from partially migrating (e.g. atrazine, simazine, and chloridazon) to very mobile ones with depth profiles that are not related to the sediment stratigraphy (e.g., chloroxuron and acetochlor). The post-depositional pollution maxima of the latter are near the contacts of more permeable channel sands and overlay finer, less permeable deposits near the accumulation of mobile elements (Ca, Mn) and minor secondary maxima for Hg and U pollutants. Conclusions: Polycyclic aromatic hydrocarbons can be used for pollution chemostratigraphy</t>
  </si>
  <si>
    <t>Fundamental and Applied Hydrophysics</t>
  </si>
  <si>
    <t>10.7868/S2073667318010069</t>
  </si>
  <si>
    <t>https://www.scopus.com/inward/record.uri?eid=2-s2.0-85048867905&amp;doi=10.7868%2fS2073667318010069&amp;partnerID=40&amp;md5=17129f58ec30c6c397a796cfc22f2942</t>
  </si>
  <si>
    <t>The flooding mechanism in the Kuban River Delta, caused by the rise of the level of the Sea of Azov due to atmospheric impact, was investigated with the use of the tightly-coupling numerical model ADCIRC+SWAN. The aforesaid model is implemented on an unstructured mesh with high spatial resolution, including the Kuban Delta, the Sea of Azov, and the Kerch Strait. As an atmospheric forcing, the following items were used - wind of different gradations of speed and direction, uniform in space</t>
  </si>
  <si>
    <t>10.1016/j.wasman.2017.10.012</t>
  </si>
  <si>
    <t>https://www.scopus.com/inward/record.uri?eid=2-s2.0-85031489646&amp;doi=10.1016%2fj.wasman.2017.10.012&amp;partnerID=40&amp;md5=446b6868643dafecc4a426234f57176c</t>
  </si>
  <si>
    <t>The geomorphology of the Italian territory causes the incidence of many disasters like earthquakes and floods, with the consequent production of large volumes of waste. The management of such huge flows, produced in a very short time, may have a high impact on the whole emergency response. Moreover, historical data related to disaster waste management are often not easily accessible</t>
  </si>
  <si>
    <t>10.1504/IJGW.2018.094312</t>
  </si>
  <si>
    <t>https://www.scopus.com/inward/record.uri?eid=2-s2.0-85052894316&amp;doi=10.1504%2fIJGW.2018.094312&amp;partnerID=40&amp;md5=d293976646c2a9b01bf71ae8f63dedc4</t>
  </si>
  <si>
    <t>Many climate-sensitive areas and communities are insufficiently prepared for climate change induced natural disasters due to a mismatch of perceptions and the risks and economic limitations associated with these disasters. The Mekong Delta of Vietnam, which is home to a growing population that currently stands at 17.2 million people, has been experiencing more frequent and severe flooding, especially in Soc Trang Province. Historical and present-day images obtained using an uncrewed aerial vehicle and satellites showed rapid erosion of coastal areas and damage to infrastructure for flood control. A perception survey on more than a thousand residents conducted in 2014 showed that the adaptations pursued at the community level were limited by economic factors and education level. Finally, multiple strategies harmonised with local ecosystems and livelihoods were proposed to protect the area against climate change induced events. Copyright © 2018 Inderscience Enterprises Ltd.</t>
  </si>
  <si>
    <t>2-s2.0-85052894316"</t>
  </si>
  <si>
    <t>10.1016/j.crm.2018.10.001</t>
  </si>
  <si>
    <t>https://www.scopus.com/inward/record.uri?eid=2-s2.0-85055286869&amp;doi=10.1016%2fj.crm.2018.10.001&amp;partnerID=40&amp;md5=1d4d67111a7c224f471f644b0f828d96</t>
  </si>
  <si>
    <t>In the Gash Delta of Eastern Sudan, spate irrigation (flood-recession farming) contributes substantially to rural livelihoods by providing better yields than rainfed dryland farming. However, spate irrigation farmers are challenged by the unpredictability of flooding. In recent decades, the number of farmers practicing spate irrigation has decreased, due to varying rainfall intensity and frequency, insufficient infrastructure and farmers’ limited capacity to manage such variations. One solution that may help farmers face such challenges is for them to access real-time water-related information by using smart Information and Communication a Technology (ICT). This paper shows how integrating remote sensing, Geographical Information Systems (GIS), flood-forecasting models and communication platforms can, in near real time, alert smallholder farmers and relevant government departments about incoming floods, using the Gash basin of Sudan as an example. The Ministry of Water Resources of Sudan used the findings of this study to transform farmers’ responses to flood arrival from being ‘reactive’ to planning for the flood event. Intensive on-site and institutional efforts to build the capacity of farmers, farmer organizations, development departments and officers of the Ministry helped to develop the initiative from simply sending ‘emergency alerts’ to enabling stakeholders to visually see the flood event unfolding in the region and to plan accordingly for storing water, operating spate-irrigation systems and undertaking cropping activities. The research, initially conducted on a 60 × 60 km site, was later extended to the entire Gash basin. The paper outlines how to develop tools that can monitor plot-specific information from satellite measurements, and supply detailed and specific information on crops, rather than providing very general statements on crop growth. Farmers are able to use such tools to optimize their farm profits by providing water to their crops in the right place, at the right time and in the right quantity. Finally, the work demonstrates the high potential of combining technology, namely remote sensing data and simple a agro-meteorological model with limited parameters, for large-scale monitoring of spate irrigation systems and information sharing to advise farmers as to how to apply this information to their managerial decisions. © 2018 The Authors</t>
  </si>
  <si>
    <t>2-s2.0-85055286869"</t>
  </si>
  <si>
    <t>Planetary and Space Science</t>
  </si>
  <si>
    <t>10.1016/j.pss.2017.11.007</t>
  </si>
  <si>
    <t>https://www.scopus.com/inward/record.uri?eid=2-s2.0-85034030374&amp;doi=10.1016%2fj.pss.2017.11.007&amp;partnerID=40&amp;md5=7d6556917aface01e6611e2f372b5199</t>
  </si>
  <si>
    <t>Highland crater Lalande (4.45°S, 8.63°W</t>
  </si>
  <si>
    <t>10.21837/pmjournal.v16.i8.540</t>
  </si>
  <si>
    <t>https://www.scopus.com/inward/record.uri?eid=2-s2.0-85059261773&amp;doi=10.21837%2fpmjournal.v16.i8.540&amp;partnerID=40&amp;md5=a0a05a6b2b1ea478c30ec30cb96e1abd</t>
  </si>
  <si>
    <t>This paper discusses the use of tsunami modelling to refine the strategies to be used in coastal architectural and planning design works in effort to minimize future tsunami impacts on the coastal buildings. The ability to recreate the characteristics of the 2004 Sumatran Tsunami waves and their impacts is the reason to use computer simulation as the main tool of this research project. The Cornell Multi-Grid Coupled Tsunami Model (COMCOT) programme has been chosen to generate a series of tsunami events onto a one-kilometre-square area of Kuala Muda (north-west of Peninsular Malaysia) coastal area. COMCOT is expected to help practitioners and researchers make the best possible designs for this tsunami-threatened near-beach area. It has the capability to simulate the entire lifespan of a tsunami inclusive of the characteristics and the behaviour of the waves once it inundates the design area. It creates an opportunity to better understand and evaluate the performance of proposed designs in order to achieve the most tsunami-resistant design. The 2004 Sumatran Tsunami waves are considered the worst case scenario this area will experience. Therefore, the waves generated act upon proposed settlement patterns and buildings which are iteratively modified to achieve minimum tsunami damage. COMCOT outputs are used to propose coastal architectural design strategies for present and future near-beach area developments, especially in the north-western coast of Malaysia. The final Tsunami Responsive Architecture (TRA) design is intended to be culturally acceptable, and to be extended with or without modification to suit other coastal areas at risk of tsunami. © 2018 by MIP.</t>
  </si>
  <si>
    <t>2-s2.0-85059261773"</t>
  </si>
  <si>
    <t>Geografia Fisica e Dinamica Quaternaria</t>
  </si>
  <si>
    <t>10.4461/GFDQ.2018.41.2</t>
  </si>
  <si>
    <t>https://www.scopus.com/inward/record.uri?eid=2-s2.0-85059460590&amp;doi=10.4461%2fGFDQ.2018.41.2&amp;partnerID=40&amp;md5=399ca9ef80645a50627c2e21670f698f</t>
  </si>
  <si>
    <t xml:space="preserve">                             This paper documents the evolution of the urban geomorphological setting of the historical heart of the city of Genoa (Liguria, Italy). Since the Middle Ages, the city and its harbour have progressively grown, reaching their greatest extent in the 1950s. Today it has an area of 8.5 km                             2                              and it includes seven small catchments with surfaces ranging from 0.5 to 2.4 km                             2                             . Their urbanized surface ranges from just less than 30% up to more than 80%. Human interventions have almost completely reshaped and modified the original morphology. The identification of artificial landforms built over the former natural landforms was carried out through multi-temporal cartographical and photographical comparison, and the analysis of geo-thematic cartography and documentation by the Basin Master Plan (Piano di Bacino) and Genoa City Hall Plan. In addition stratigraphy data from the regional database were analysed and several geomorphological surveys were carried out in the area. Artificial landforms were mapped by applying an experimental geomorphological classification currently being developed by the Working Groups of the Italian Association of Physical Geography and Geomorphology (AIGEO). The main geomorphic modifications are: slope fillings retained by walls (mainly due to roads and buildings)</t>
  </si>
  <si>
    <t>10.1016/j.wsj.2018.02.004</t>
  </si>
  <si>
    <t>https://www.scopus.com/inward/record.uri?eid=2-s2.0-85117520116&amp;doi=10.1016%2fj.wsj.2018.02.004&amp;partnerID=40&amp;md5=3a3b223cf60ee454c9aa19d6bed6bb42</t>
  </si>
  <si>
    <t>Lands in the Everglades Agricultural Area (EAA) can be used for increased water storage in order to relieve coastal estuaries of excess runoff in the rainy season. The goals of this study were: (1) to quantify the environmental and economic tradeoffs of different water storage scenarios using water tolerant sugarcane cultivars</t>
  </si>
  <si>
    <t>Journal of Seismology</t>
  </si>
  <si>
    <t>10.1007/s10950-017-9691-z</t>
  </si>
  <si>
    <t>https://www.scopus.com/inward/record.uri?eid=2-s2.0-85028861830&amp;doi=10.1007%2fs10950-017-9691-z&amp;partnerID=40&amp;md5=103704b0914590be2efcf8a460ff772b</t>
  </si>
  <si>
    <t>Liquefaction-induced ground failure is one amongst the leading causes of infrastructure damage due to the impact of large earthquakes in unconsolidated, non-cohesive, water saturated alluvial terrains. The city of Kolkata is located on the potentially liquefiable alluvial fan deposits of Ganga-Bramhaputra-Meghna Delta system with subsurface litho-stratigraphic sequence comprising of varying percentages of clay, cohesionless silt, sand, and gravel interbedded with decomposed wood and peat. Additionally, the region has moderately shallow groundwater condition especially in the post-monsoon seasons. In view of burgeoning population, there had been unplanned expansion of settlements in the hazardous geological, geomorphological, and hydrological conditions exposing the city to severe liquefaction hazard. The 1897 Shillong and 1934 Bihar-Nepal earthquakes both of Mw 8.1 reportedly induced Modified Mercalli Intensity of IV–V and VI–VII respectively in the city reportedly triggering widespread to sporadic liquefaction condition with surface manifestation of sand boils, lateral spreading, ground subsidence, etc., thus posing a strong case for liquefaction potential analysis in the terrain. With the motivation of assessing seismic hazard, vulnerability, and risk of the city of Kolkata through a consorted federal funding stipulated for all the metros and upstart urban centers in India located in BIS seismic zones III, IV, and V with population more than one million, an attempt has been made here to understand the liquefaction susceptibility condition of Kolkata under the impact of earthquake loading employing modern multivariate techniques and also to predict deterministic liquefaction scenario of the city in the event of a probabilistic seismic hazard condition with 10% probability of exceedance in 50 years and a return period of 475 years. We conducted in-depth geophysical and geotechnical investigations in the city encompassing 435 km2 area. The stochastically synthesized bedrock ground motion for both the 1897 and 1934 earthquakes on non-linear analysis of local site conditions through DEEPSOIL Geotechnical analysis package present surface level peak ground acceleration of the order of 0.05–0.14 g for the 1934 Bihar-Nepal earthquake while for the 1897 Shillong earthquake it is found to be in the range of 0.03–0.11 g. The factor of safety (FOS) against liquefaction, the probability of liquefaction (PL), the liquefaction potential index (LPI), and the liquefaction risk index are estimated under the influence of these two earthquakes wherein the city is classified into severe (LPI &gt; 15), high (5 &lt; LPI ≤ 15), moderate (0 &lt; LPI ≤ 5), and non-liquefiable (LPI = 0) susceptibility zones. While the 1934 Bihar-Nepal earthquake induced moderate to severe liquefaction hazard condition in the city in mostly the deltaic plain and interdistributary marsh geomorphologic units with 13.5% sites exhibiting moderate hazard with a median LPI of 1.8, 8.5% sites depicting high with a median LPI of 9.1 and 4% sites with a median LPI of 18.9 exhibiting severe hazard condition, 1897 Shillong earthquake induced mostly non-liquefaction condition with very few sites depicting moderate and high liquefaction hazard. A conservative liquefaction hazard scenario of the city on the other hand estimated through deterministic approach for 10% probability of exceedance in 50 years predicts a high hazard zone in the 3.5–19 m depth region with FOS &lt; 1 and PL &gt; 65% comprising of coarse-grained sediments of sand, silty sand, and clayey silty sand in mostly the deltaic plain geomorphologic unit with 39.1% sites depicting severe liquefaction hazard with a median LPI of 28.3. A non-linear regression analysis on both the historical and deterministic liquefaction scenarios in PL versus LPI domain with ± 1 standard deviation confidence bound generated a cubic polynomial relationship between the two liquefaction hazard proxies. This study considered a bench mark for other cities in the country and elsewhere forms an integral part of the mega-seismic microzonation endeavors undertaken in all the earthquake-prone counties in the world. © 2017, Springer Science+Business Media B.V.</t>
  </si>
  <si>
    <t>2-s2.0-85028861830"</t>
  </si>
  <si>
    <t>10.1007/s11852-016-0433-0</t>
  </si>
  <si>
    <t>https://www.scopus.com/inward/record.uri?eid=2-s2.0-84964067892&amp;doi=10.1007%2fs11852-016-0433-0&amp;partnerID=40&amp;md5=2345285519e6d2694f2b05d9af588ccf</t>
  </si>
  <si>
    <t>Anthropogenic climate change constitutes a main challenge for the Wadden Sea. Accelerated sea level rise, increasing temperatures and changing wind climate may strongly alter present structures and functions of the ecosystem with negative consequences both for nature conservation and for coastal risk management. Being aware of these challenges, Schleswig-Holstein State Government decided to establish an integrated climate change adaptation strategy for the Schleswig-Holstein sector of the Wadden Sea. The strategy was adopted in June 2015. It aims at the long-term maintenance of present functions and structures as well as the integrity of the Wadden Sea ecosystem in a changing climate. The strategy was prepared by a project group consisting of representatives from State authorities as well as from nature conservation organisations and local institutions. First outcome of the strategy is that extra adaptation measures will not be necessary in the coming decades. However, pending on the future rate of sea level rise, shoreline erosion and sediment deficits in the Wadden Sea will increase and sooner or later drowning of tidal flats and terrestrial habitats like beaches, primary dunes and salt marshes will start. At the time when management measures to counteract the negative developments become expedient from a nature conservation viewpoint as well as for coastal risk management, adequate actions with minimized ecological interferences are possible. It is assumed that balancing the sediment deficits as the main adaptation measure may be implemented most efficiently by concentrating sediment suppletion at locations where natural forces organize redistribution in the Wadden Sea. Local technical coastal risk management measures like the strengthening of sea defences will, nevertheless, remain necessary as well. © 2016, Springer Science+Business Media Dordrecht.</t>
  </si>
  <si>
    <t>2-s2.0-84964067892"</t>
  </si>
  <si>
    <t>https://www.scopus.com/inward/record.uri?eid=2-s2.0-85066148231&amp;partnerID=40&amp;md5=8787a441add1464afec689d8440a8562</t>
  </si>
  <si>
    <t>Tidal Link Canal has been one of the causes of seawater intrusion and coastal erosion along the coastal areas of Sindh Pakistan. The literature reviews, along with satellite images and tidal data were analyzed to investigate the causes and impacts of seawater intrusion along the coastal areas of Badin and Sujawal districts of Sindh. This study represents that seawater intrusion has taken place up to 70 km upstream from the mouth of Tidal Link Canal and about 2.95 million acres agricultural land has been affected by seawater intrusion. Meanwhile, on the basis of satellite data 30 m year-1 average erosion rate was estimated for the past 17 years in tidal link canal. However sea water intrusion and coastal erosion are have a devastating environmental and social impact along the Left Bank Outfall Drain site, thus the whole ecosystem of lakes is facing serious threat. The fresh water lakes as well as agricultural lands and ground water have been affected by seawater intrusion and coastal erosion. During the southwest monsoon, the neighboring sea in the south inundates vast area with salt water through tidal link drain. Extensive field investigations and a high resolution coastal ocean model are urgently needed for future study to fully understand the dynamic process in this coastal region. © 2018, India Meteorological Department. All rights reserved.</t>
  </si>
  <si>
    <t>2-s2.0-85066148231"</t>
  </si>
  <si>
    <t>10.3986/ac.v47i1.5000</t>
  </si>
  <si>
    <t>https://www.scopus.com/inward/record.uri?eid=2-s2.0-85053609867&amp;doi=10.3986%2fac.v47i1.5000&amp;partnerID=40&amp;md5=8aeb384971f0c7ceab8d0f078d6ca809</t>
  </si>
  <si>
    <t>Fascinating and fragile environments as are the underground estuaries, need to be studied, understood and protected for present and future generations. Even if wide and abundant bibliography related to tides and their behaviour with respect to the external estuaries is available, none dealed with the estuary caves and the related hydrogeology. This paper aims to partially fill this gap presenting a preliminary study done at the Puerto Princesa Underground River (PPUR), in the Palawan Island (Philippines). The data was collected during the last expedition (November 2016) organised by La Venta, in which some of the authors took part. During the survey, the cave has been instrumented with in continuous diver data-logger devices (CTD) recording temperature (T), electrical conductivity (EC) and water level fluctuations. Longitudinal and vertical water hydrogeological profiles of the cave were realised with the aim of understanding the dynamics of the waters during different hydrogeological regimes in combination with salt water intrusion. In addition, a bathymetric profile was done to better identify the point where to realise the vertical logs. A significant rainstorm occurred during the expedition, lasting for approximately 12 hours resulting in 80 mm of rain, and its effects gave the re searchers the opportunity to analyse the hydrodynamics of the flowing waters during a flood. In normal flow conditions, the longitudinal logs highlighted the presence of freshwater inlets and the vertical logs testified to a clear stratification of the waters (freshwaters at the surface and brackish waters at the bottom). During floods, the EC and T data showed evidence of a fast substitution of the resident waters. © 2018, Zalozba Z R C. All rights reserved.</t>
  </si>
  <si>
    <t>2-s2.0-85053609867"</t>
  </si>
  <si>
    <t>Journal of Water and Environment Technology</t>
  </si>
  <si>
    <t>10.2965/jwet.17-035</t>
  </si>
  <si>
    <t>https://www.scopus.com/inward/record.uri?eid=2-s2.0-85048293064&amp;doi=10.2965%2fjwet.17-035&amp;partnerID=40&amp;md5=b5f1ff68186736b1325b408c45c8baf6</t>
  </si>
  <si>
    <t>This study uses stable isotope ratios to investigate the influences of terrestrial inputs of organic matter on the water properties and bottom sediments of coastal seas. The carbon stable isotope ratio (δ13C) of particulate organic carbon (POC) and the C/N ratio of particulate organic matter (POM) were obtained following a flood event in 2004, and under normal weather conditions in 2005, from the Seto Inland Sea, Japan. The δ13C of the bottom sediments was also measured in 2005. Under normal weather conditions, POM was derived mainly from phytoplankton, which sank to the seabed and became incorporated into the bottom sediments. During the flood event, terrestrial POC spread over 60 km from the source, and the extent of the influence was much larger than that seen in other coastal seas in Japan. The salinity distributions, as well as the concentration and stable isotope ratio of POM, indicated that residual currents such as estuarine circulation may play an important role in spreading terrestrial POC. The longitudinal gradient of δ13C-POC in the sediments indicated that the terrestrial POC also impacted on the composition of the seabed deposits. © 2018 Japan Society on Water Environment.</t>
  </si>
  <si>
    <t>2-s2.0-85048293064"</t>
  </si>
  <si>
    <t>https://www.scopus.com/inward/record.uri?eid=2-s2.0-85068611958&amp;partnerID=40&amp;md5=a45bda8d3b4a4f9a9af7909e90296e77</t>
  </si>
  <si>
    <t>Cloudburst is one of the most devastating and frequently occurring natural hazardous events in Indian Himalayan region. Localized deep cumulus convective clouds have a capability of giving enormous amount of rainfall over a limited horizontal area, within a short span of time. Whenever, such events occur, lead to flash floods causing landslides, house collapses, dislocation of traffic and human casualties on a large scale. Therefore, it is necessary to predict the cloudburst inundation zones accurately to avoid damage associated with them. For this, high resolution Digital Elevation Model generated from CartoSat-1 (Stereo pair) were integrated in MIKE 11 Hydrodynamic 1D model to generate longitudinal profile of the study area and to find water level, peak discharge, flow velocity, flow width at different reaches along the Asi ganga and Bhagirathi river, to know the Cloudburst flood inundation scenario. On 3rd August, 2012 one of the major Cloudburst event occurred in Asi Ganga Valley in Indian Himalayan region which was considered for simulation of hydrodynamic model. For a Cloudburst event, 100 mm/hr rainfall was considered for the simulation of the hydrodynamic model. It is observed that the discharge rise from 50 m3/s to 549.164 m3/s (an abrupt increase of about 10 times) within 1 hr at Sangamchetty in Asi Ganga river and at Joshiyara area rise from 600 m3/s to 3378.69 m3/s (an abrupt increase of about 5 times) within 4 hr in Bhagirathi river. Similarly, the water level rises around 3 m and 6 m in Asi Ganga and Bhagirathi rivers respectively. Flash Flood inundation areas due to Cloudburst on 3rd August, 2012 were demarcated from the simulation results in GIS environment. © 2018, India Meteorological Department. All rights reserved.</t>
  </si>
  <si>
    <t>2-s2.0-85068611958"</t>
  </si>
  <si>
    <t>10.1007/s12583-017-0812-y</t>
  </si>
  <si>
    <t>https://www.scopus.com/inward/record.uri?eid=2-s2.0-85034243396&amp;doi=10.1007%2fs12583-017-0812-y&amp;partnerID=40&amp;md5=61d1abb592ef7b8019c8fdae7a50604f</t>
  </si>
  <si>
    <t>Carbonates of Central Luconia, Malaysia, had been serving as hydrocarbon reservoirs for more than 25 years. However, the relationship and impacts of extensive tectonic events to the growth of Miocene carbonates in Central Luconia have not been revealed sufficiently. In this work, two carbonates platforms in the southern part of Central Luconia were used for detailed interpretation and seismic based structural restoration. This work had provided new insight for the interpretation of carbonate growth in Central Luconia and its association with the surrounding tectonic. This work suggested three possible tectonic evolutions from Late Oligocene to Pliocene are responsible for the growth of carbonates in Central Luconia. These stages are equivalent with pre-carbonate stage (Late Oligocene–Early Miocene), syn-carbonate stage (Middle–Late Miocene) and post-carbonate stage (Pliocene). Rifting of the South China Sea and subduction of proto-South China Sea are believed to be responsible for the development of faulting during pre-carbonate stage, while movement of the ancient Baram Line is thought to control the parallel striking direction of normal faults during syncarbonate stage. Finally, subsidence and compaction due to the overburden clastic materials from the prograding deltas is considered as the main reason for the impacts of gravitational tectonics in this area, which corresponding to the post-carbonate stage. © 2017, China University of Geosciences and Springer-Verlag GmbH Germany, part of Springer Nature.</t>
  </si>
  <si>
    <t>2-s2.0-85034243396"</t>
  </si>
  <si>
    <t>10.1016/j.geomorph.2017.09.032</t>
  </si>
  <si>
    <t>https://www.scopus.com/inward/record.uri?eid=2-s2.0-85032386389&amp;doi=10.1016%2fj.geomorph.2017.09.032&amp;partnerID=40&amp;md5=d4d92b7fb18df56d726849ae56a3f4a1</t>
  </si>
  <si>
    <t>The floodplain geomorphology of large lowland rivers is intricately related to aquatic ecosystems dependent upon flood pulse dynamics. The alligator gar (Atractosteus spatula) is native to the Lower Mississippi River and dependent upon floodplain backwater areas for spawning. In this study we utilize a geospatial approach to develop a habitat suitability index for alligator gar that explicitly considers hydrologic connectivity and the floodplain geomorphology along a frequently inundated segment of the Lower Mississippi River. The data sets include Landsat imagery, a high-resolution LiDAR digital elevation model (DEM), National Hydrography Dataset (NHD), and hydrologic and geomorphic data. A habitat suitability index is created based on the extent and frequency of inundation, water depth, temperature, and vegetation. A comparison between the remote sensing approach and the NHD revealed substantial differences in the area and location of water bodies available for alligator gar spawning. The final habitat suitability index indicates that a modest proportion (19%) of the overall embanked floodplain is available for alligator gar spawning. Opportunities exist for management efforts to utilize engineered and natural geomorphic features to facilitate hydrologic connectivity at flow levels below flood stage that would expand the habitat of alligator gar across the floodplain. The study results have direct implications regarding environmental restoration of the Lower Mississippi, an iconic example of an embanked meandering river floodplain. © 2017 Elsevier B.V.</t>
  </si>
  <si>
    <t>2-s2.0-85032386389"</t>
  </si>
  <si>
    <t>10.1080/10807039.2017.1421452</t>
  </si>
  <si>
    <t>https://www.scopus.com/inward/record.uri?eid=2-s2.0-85041229140&amp;doi=10.1080%2f10807039.2017.1421452&amp;partnerID=40&amp;md5=2d7a534a8a1e796cd9d985c06f7779c5</t>
  </si>
  <si>
    <t>This study provides an integrated approach using geographical information system (GIS) based on a multi-criteria approach (MCDA) to assess coastal vulnerability, resulting from human activity, population density, erosion, and climate change-induced sea level rise. A coastal vulnerability index (CVI) for erosion and floods was calculated and mapped (∼24 km in length</t>
  </si>
  <si>
    <t>10.2495/EID180321</t>
  </si>
  <si>
    <t>https://www.scopus.com/inward/record.uri?eid=2-s2.0-85055188565&amp;doi=10.2495%2fEID180321&amp;partnerID=40&amp;md5=cd6759bdb0e880d50c07e66ebd0db23c</t>
  </si>
  <si>
    <t>This study focuses on the generation of a high resolution digital surface model (DSM) using unmanned aerial vehicle (UAV)-based aerial photography to be utilized in the two-dimensional (2D) hydrodynamic model analyses to investigate the effects of possible flood events in the city centre of Kirsehir, Turkey. One of the most important sources of uncertainty in hydrodynamic models is the resolution of used DSM. Changing DSM resolution can cause serious differences in the simulation results about flood extents, water depths, and flow velocities. Therefore, in complex urban areas, high resolution topographic data is a prerequisite to more accurately simulate the movement of water and thereby to take adequate measures for reducing the most likely flood effects. The use of UAV technologies in the production of topographic data is an appropriate solution for situations when airborne light detection and ranging (LiDAR) or satellite-based remote sensing techniques cannot be implemented due to cost, schedule, and resolution issues. Moreover, terrestrial solutions are much more time-consuming and difficult to apply than UAV-based aerial photography in a complex urban area with intensive vehicle and pedestrian traffic. In this study, the topographic data is obtained by using 2212 geo-referenced images taken on 25 different flight routes over an area of 3.24 km2 using a DJI Matrice 600 UAV-drone equipped with a Zenmuse X5 camera with 15 mm DJI lens. The ground sampling distance of the produced digital surface model is 4.32 cm/pixel, and the localization accuracy, root mean square error (RMSE), of the model is 5.1 cm and 12.7 cm for the horizontal and vertical planes, respectively. The results show that high-resolution digital surface models, which can be used as inputs in 2D flood models for preparing flood hazard and flood risk maps, can be produced with relatively low cost and within a short time using UAV imagery. © 2018 WIT Press.</t>
  </si>
  <si>
    <t>2-s2.0-85055188565"</t>
  </si>
  <si>
    <t>10.7868/S207366731802003X</t>
  </si>
  <si>
    <t>https://www.scopus.com/inward/record.uri?eid=2-s2.0-85048965117&amp;doi=10.7868%2fS207366731802003X&amp;partnerID=40&amp;md5=318065f33f3df74cb952a82697d19cf9</t>
  </si>
  <si>
    <t>The intense erosion of shores of the Kotlin Island in the Gulf of Finland during the last 70 years can lead to the complete disappearance of sandy beaches of the western Kotlin Island in the near future. We assess the intensity of the coastal erosion of the western Kotlin Island and propose the method of artificial sand nourishment in order to maintain the sandy beaches. The geological near-shore and onshore surveys revealed the following features of the western Kotlin Island coastal zone: 1) significant sediment deficit</t>
  </si>
  <si>
    <t>10.1080/17445647.2018.1517700</t>
  </si>
  <si>
    <t>https://www.scopus.com/inward/record.uri?eid=2-s2.0-85063916747&amp;doi=10.1080%2f17445647.2018.1517700&amp;partnerID=40&amp;md5=8c56affdf4c84342c55ec1197f66a9c9</t>
  </si>
  <si>
    <t>In 1936, the completion of Hoover Dam on the Colorado River in Nevada and Arizona created Lake Mead, the largest reservoir in the United States. When the lake reached capacity in 1941 several canyons and valleys were flooded, along with two towns, several mines, farm fields, and roads. The area had not been surveyed archaeologically and little detailed information exists about the vegetation and geology of this region. The map reconstructions the geography of the area in 1930 before Lake Mead was constructed, showing roads, towns, mines, physical features, and private property, and was created using a range of historical United States Geological Survey (USGS) maps, a digital elevation model (DEM) providing underwater elevations, and other historical sources. The map includes portions of southern Nevada and northwest Arizona, United States, and is at a scale of 1:210,000. It is hoped that the map may draw attention to the lost geographies of other localities across the United States due to the more than 84,000 dams and reservoirs in the country. © 2018 The Author(s). Published by Informa UK Limited, trading as Taylor &amp; Francis Group on behalf of Journal of Maps.</t>
  </si>
  <si>
    <t>2-s2.0-85063916747"</t>
  </si>
  <si>
    <t>Journal of Himalayan Earth Sciences</t>
  </si>
  <si>
    <t>https://www.scopus.com/inward/record.uri?eid=2-s2.0-85060389893&amp;partnerID=40&amp;md5=9f4d815fb8a5da522b6d83014986d525</t>
  </si>
  <si>
    <t>The Early to Middle Cretaceous Chichali and overlying Lumshiwal formations from the Nizampur Basin, Pakistan have been investigated to link the reservoir quality with stratal deposition, diagenetic modifications and sequence stratigraphy. The Chichali Formation revealed laterite, glauconitic sandstone and carbonaceous green shale lithofacies, representing middle to outer ramp depositional setting. The presence of bioclastic sandy limestone, quartz arenite and glauconitic sandstone lithofacies within the overlying Lumshiwal Formation represented an inter-tidal to inner ramp depositional setting. The calcite, hematite, smectite, ferroan dolomite and glauconite occurred as cement in the coarse grained facies of the Chichali Formation, thereby reducing porosity, however, grain fracture porosity, and dolomitization, intergranular and dissolution porosity resulted in porosity increase. The overlying Lumshiwal Formation showed both physical, and chemical compaction, authigenic mineralization, cementation and late-stage dissolution. The dominant cement types in the Lumshiwal Formation are calcite, ferroan dolomite, smectite, illite and quartz-overgrowth cements. The primary intergranular porosity, and late-stage diagenetic dissolution-and dolomitization-induced secondary porosity added to the reservoir quality of the Lumshiwal Formation. The sequence stratigraphic analysis revealed that Chichali Formation is deposited during transgressive system tract of 2nd order depositional cycle. The transgression-associated glauconitic sandstone facies of the Chichali Formation acts as a good reservoir, which is bounded by carbonaceous green shale associated with maximum flooding surface. The Lumshiwal Formation is deposited in the regressive 2nd order cycle and is represented by delta plain facies. The quartz arenites represents excellent reservoir potential in the Lumshiwal Formation. © 2018, National Centre of Excellence in Geology. All rights reserved.</t>
  </si>
  <si>
    <t>2-s2.0-85060389893"</t>
  </si>
  <si>
    <t>10.1016/j.crm.2018.04.003</t>
  </si>
  <si>
    <t>https://www.scopus.com/inward/record.uri?eid=2-s2.0-85047082214&amp;doi=10.1016%2fj.crm.2018.04.003&amp;partnerID=40&amp;md5=939f2ed95c088666cd0027dd3ea00e86</t>
  </si>
  <si>
    <t>Island societies are being disproportionately affected by climate change, a situation likely to continue for some decades. Using an example of an island affected by multiple climate-linked stressors, a situation likely to become more common in the future, this paper examines the nature of these, the ways they are perceived and responded to by local residents, and how these people believe environmental changes might unfold in the future. Yadua Island has one settlement (Denimanu), where most of the 170 residents sustain themselves largely by fishing and farming. Like most Pacific Island settlements, Denimanu is coastal and has experienced progressive shoreline erosion that, a decade ago, washed away a row of houses. In 2012, a storm surge (during Tropical Cyclone Evan) demolished most of the remaining bure (traditional dwellings) in the village. The Fiji Government relocated the affected families to a new upslope location (Korovou), 80–230 m from the beach, and up to 20 m above mean sea level. In March 2017, heavy rain caused a landslide at the back of Denimanu that endangered the primary school, forcing its abandonment. Some questionnaires were given to representative members of the community in an attempt to understand and quantify the pressures that Yadua Island people are subject to, and how they plan to manage them. All respondents believed that climate change has affected their livelihoods and will continue to do so in the future. Clear majorities stated that climate change – especially higher temperatures and increased frequency/magnitudes of heavy-rain events – had negatively affected the supply of marine and terrestrial foods. Most respondents noted increased temperature and decreased precipitation. Clear majorities stated they would eventually relocate their homes further inland, and would consider planting mangroves. Most participants were contemplating the effects of climate change (especially sea-level rise) on food supply, prompting them to consider relocating lowland crop production further inland and planting crops that are more tolerant of saline groundwater and/or periodic wave over-wash. The people of Denimanu recognise how the environment has been changing but debate the ultimate cause of this and therefore how best to respond. It is likely that Yadua will become impacted more by tropical cyclones and sea-level rise (in particular) in the future. To be effective and sustainable, adaptation strategies should acknowledge residents’ worldviews and beliefs rather than try to uncritically substitute them. © 2018 The Authors</t>
  </si>
  <si>
    <t>2-s2.0-85047082214"</t>
  </si>
  <si>
    <t>10.1002/esp.4234</t>
  </si>
  <si>
    <t>https://www.scopus.com/inward/record.uri?eid=2-s2.0-85040720167&amp;doi=10.1002%2fesp.4234&amp;partnerID=40&amp;md5=5b81fe47ad3012cc0baa757af0533019</t>
  </si>
  <si>
    <t>Floodplains and terraces in river valleys play important roles in the transport dynamics of water and sediment. While flat areas in river valleys can be identified from LiDAR data, directly characterizing them as either floodplain or terraces is not yet possible. To address this challenge, we hypothesize that, since geomorphic features are strongly coupled to hydrological and hydraulic dynamics and their associated variability, there exists a return frequency, or possibly a narrow band of return frequencies, of flow that is associated with floodplain formation</t>
  </si>
  <si>
    <t>10.1002/joc.5184</t>
  </si>
  <si>
    <t>https://www.scopus.com/inward/record.uri?eid=2-s2.0-85021804697&amp;doi=10.1002%2fjoc.5184&amp;partnerID=40&amp;md5=42b286c5d9347ffec123ac8dcc399e8c</t>
  </si>
  <si>
    <t>The Indian Ocean region is one among the six major cyclone prone regions in the world with an annual average of about five to six cyclones. Prior studies conducted for this region are location-specific and confined to storm surge characteristic and associated inundation. A detailed study to develop precomputed scenarios on storm surge and inundation maps for the entire Indian coast is still lacking for emergency preparedness. An effort in this direction can drastically reduce preparedness time in the eventuality of a real cyclone approaching its landfall location for effective coastal zone management measures. The present study is a motivation in this direction leading to the generation of a comprehensive data set on storm surges and associated coastal flooding for entire Odisha coast located in the east coast of India and that can be extended to other coastal regions as well. Historically, the Odisha State experiences highest number of cyclone strikes with the highest risk of exposure to storm surge and inundation. The novelty of this study is in the preparation of a comprehensive storm data set using synthetic tracks simulated with various combinations of landfall location, angle of attack, intensity, and forward translation speed. It also generates possible storm surge and inundation associated with intensified cyclones expected in a changing climate scenario. Further, the study also correlates power dissipation index with storm tide all along this coast. The distribution of surge height follows a third-order polynomial to wind speed. An in-depth analysis was also carried out to understand the characteristics of storm surge height and extent of coastal inundation with respect to coastal geomorphology, angle of attack, and varying forward speed of cyclones. The authors believe that information and analysis from this comprehensive data set will have immense potential in understanding the impacts from tropical cyclone climatology and disaster management applications. © 2017 Royal Meteorological Society</t>
  </si>
  <si>
    <t>2-s2.0-85021804697"</t>
  </si>
  <si>
    <t>10.1016/j.envsci.2017.11.003</t>
  </si>
  <si>
    <t>https://www.scopus.com/inward/record.uri?eid=2-s2.0-85034430881&amp;doi=10.1016%2fj.envsci.2017.11.003&amp;partnerID=40&amp;md5=44ae3a2c153e22bc1da520a80efc865b</t>
  </si>
  <si>
    <t>Local government organisations in coastal Australia have historically commissioned studies aimed at understanding risks in their locality to future sea level rise as a starting point for developing adaptation strategies to climate change. Therefore, the success of the overall adaptation activities of local government are strongly influenced by the way those initial risk studies are scoped and conducted, and how the outputs of those studies underpin subsequent adaptation planning activities within the organization. Mainstreaming of adaptation planning activities within local government is critical in terms of getting stakeholder support and required resources for its implementation. This paper analyses a sample of these coastal risk assessment studies across seven states and territories in Australia, with an aim to critically investigate the current state of practice among coastal local governments. First, we develop a typology of studies that have been undertaken by or for practitioners to understand coastal climate change risks, and discuss the applicability of the studies within the policy-making context of local government. Second, we identify a set of sample studies from the ‘grey literature’ through a systematic process and investigate to what extent they adhere to best practice risk management guidelines and principles, such as ISO31000. Third, we interview stakeholders from top performing studies to identify how/if the risk studies helped their organization in progressing their adaptation planning. We find that there is a significant inconsistency among terminologies in the coastal climate change risk assessment unpublished literature as studies use “risk”, vulnerability” and “hazard” concepts interchangeably despite their separate objectives and aims. Most studies perform poorly in evaluating risk against broader organizational criteria. Subsequently, it is difficult to integrate the findings of such studies into a broader organizational risk register, limiting opportunities for identified coastal climate change risks to be integrated into councils’ long-term strategic decision making. Conversely, the follow up interviews of studies that performed well in scoping and consultation in our assessment demonstrate that these aspects were beneficial to stakeholders in terms of informing adaptation planning. Importantly, the findings presented in this paper confirm the need for a consistent risk assessment approach for local councils in the coastal zone to underpin successful adaptation planning. This is a critical issue, not only for Australia, but for local government organisations globally given that sea level rise is a projected threat for all populated coastal regions worldwide. © 2017 Elsevier Ltd</t>
  </si>
  <si>
    <t>2-s2.0-85034430881"</t>
  </si>
  <si>
    <t>10.1007/s10113-017-1189-2</t>
  </si>
  <si>
    <t>https://www.scopus.com/inward/record.uri?eid=2-s2.0-85025097123&amp;doi=10.1007%2fs10113-017-1189-2&amp;partnerID=40&amp;md5=54b67f9f7f84c61e311e605a7b35fae4</t>
  </si>
  <si>
    <t>Existing narratives and population projections of the global-scale Shared Socioeconomic Pathways (SSPs) do not capture regional differences in socioeconomic development in the Mediterranean region. In this study, we regionalize the global SSPs to account for differences in coastal population development between northern, eastern, and southern countries of the region. First, we develop coastal SSP narratives that include region-specific elements and differentiate between geographical regions. Based on these narratives, we derive coastal population growth rates that vary for each SSP as well as between coastal, inland, rural, and urban areas. We apply these growth assumptions to observed population growth patterns in a spatially explicit manner. The Mediterranean coastal SSPs thereby reflect socioeconomic development patterns across countries as well as coastal versus inland development within countries. Our results show that coastal population in the Mediterranean increases across SSPs 2–5 by 3% to 130% until 2100 except for SSP1, where population declines by almost 20% compared to 2010. We observe considerable differences between geographical regions and countries. In the Mediterranean north, coastal population declines in SSP1, SSP3, and SSP4 and experiences the highest increase of more than 100% in SSP5. In southern and eastern Mediterranean countries, the highest increase in coastal population takes place in SSP3 and amounts to almost 180% by 2100. The regionalized SSP narratives and population projections are intended for assessing future exposure, vulnerability, and impacts of population to coastal hazards and sea-level rise but can also be of use for a wider range of Impact, Adaptation, and Vulnerability (IAV) studies. © 2017, Springer-Verlag GmbH Germany.</t>
  </si>
  <si>
    <t>2-s2.0-85025097123"</t>
  </si>
  <si>
    <t>10.5751/ES-09822-230106</t>
  </si>
  <si>
    <t>https://www.scopus.com/inward/record.uri?eid=2-s2.0-85044922560&amp;doi=10.5751%2fES-09822-230106&amp;partnerID=40&amp;md5=e3fcbba36a26045d9946ca2f1d4f9315</t>
  </si>
  <si>
    <t>Since the mid-2000s, there has been increasing recognition of the promise of collaborative research and management for addressing complex issues in sustainably managing fresh water. A large variety of collaborative freshwater research and management processes is now evident around the world. However, how collective knowledge development, coproduction, or cocreation is carried out in an ethical manner is less well known. From the literature and our experiences as applied, transdisciplinary researchers and natural resource management practitioners, we seek to describe and explore these aspects of empirical cases of collaborative freshwater research and management. Drawing on cases from Indigenous community-based natural resource management in northern Australia, flood and drought risk management in Bulgaria, water management and climate change adaptation in the Pacific, and regional catchment and estuary management in Victoria and New South Wales in Australia, we identify lessons to support improved collaborative sustainable freshwater management research and practice. Cocreation represents an emerging approach to participation and collaboration in freshwater management research–practice and can be seen to constitute four interlinked and iterative phases: coinitiation, codesign, coimplementation, and coevaluation. For freshwater researchers and managers and their collaborators, paying attention to these phases and the ethical dilemmas that arise within each phase will support the cocreation of more effective and ethical research–practice through: sensitizing collaborators to the need for reflexivity in research–practice, proposing action research codesign as a method for managing emergent questions and outcomes, and supporting more equitable outcomes for collaborators through an emphasis on coevaluation and collaborative articulation of the links between research outputs and practice outcomes. © 2018 by the author(s).</t>
  </si>
  <si>
    <t>2-s2.0-85044922560"</t>
  </si>
  <si>
    <t>10.1007/s11852-017-0496-6</t>
  </si>
  <si>
    <t>https://www.scopus.com/inward/record.uri?eid=2-s2.0-85010953185&amp;doi=10.1007%2fs11852-017-0496-6&amp;partnerID=40&amp;md5=0267a3cc4f35ed3e7758f2ddafec76cd</t>
  </si>
  <si>
    <t>We document and analyse the implementation process of a large combined coastal protection realignment and nature protection rewetting scheme, covering about 1000 ha at the German Baltic coast. The assessment reviews local planning documents, includes a media analysis, a tourist survey, stakeholder interviews and we provide criteria for measuring success, derived from the Systems Approach Framework (SAF) concept. The full process in the Geltinger Birk took over 25 years and was finished in 2013. The early years were characterised by strong local opposition, a polarization of the local society, misinformation and negative media coverage. Land purchase, the establishment of a local information centre with an environmental manager, improved public participation, a more pro-active media strategy and the readiness to accept compromises finally enabled a successful implementation. Today, a comprehensive tourism information and guidance system exists and the area became a popular tourist place. 80% of all visitors point out the outstanding nature experience and 87% are positive about the combined coastal protection and restoration measure. Parallel, major stakeholders changed their attitude and today are positive about the situation. However, the long timespan between initiation of the process and implementation of the measure, calls for a systematic, guided management approach, like the SAF. Especially, because climate change, sea level rise and increasing pressures on the coasts require a much faster implementation of adaptation measures in future. © 2017, Springer Science+Business Media Dordrecht.</t>
  </si>
  <si>
    <t>2-s2.0-85010953185"</t>
  </si>
  <si>
    <t>10.1080/14693062.2016.1228520</t>
  </si>
  <si>
    <t>https://www.scopus.com/inward/record.uri?eid=2-s2.0-84999802552&amp;doi=10.1080%2f14693062.2016.1228520&amp;partnerID=40&amp;md5=fe5392eb9620e32fce04d8fc1870469d</t>
  </si>
  <si>
    <t>Place-based adaptation planning is an approach to address cross-sectoral and multi-level governance concerns as well as to build local adaptive capacity in vulnerable resource-dependent communities facing the adverse impacts of climate change. In contrast, sector-based adaptation planning focuses on addressing climate change impacts on individual economic sectors (e.g. fisheries or forestry) or sub-sectors (such as lobsters or timber). Yet, linking sectoral approaches with local adaptation policies is challenging. More effort is needed to identify opportunities for complementary adaptation strategies and policy integration to foster multiple benefits. In this article, we use a case study of fishery sector resources and municipal adaptation planning in Nova Scotia to demonstrate how meaningful entry points could catalyse policy integration and lead to co-benefits across multiple levels and stakeholder groups. Drawing on a fisheries systems and fish chain framework, we identify and assess several entry points for policy integration across sector- and place-based adaptation domains within coastal habitats, as well as harvesting, processing, and marketing sectors. The analysis highlights the multiple benefits of integrating local municipal adaptation plans with multi-scale resource sectors especially towards monitoring ecosystem changes, protecting essential infrastructure, and securing local livelihoods. POLICY RELEVANCE Climate change is having a growing impact on coastal communities around the world, with consequences for sea-level rise, critical habitats, essential infrastructure, and multiple economic sectors and industries. This Canadian case study demonstrates how municipal adaptation initiatives can be complementary to sector-based adaptation at both local and regional levels through various entry points across commodity production chains. Policy integration across place-based and sector-based adaptation processes should lead to multiple benefits such as conserving marine biodiversity, protecting essential infrastructure, and securing livelihoods. Our analysis, which focuses specifically on the fishery sector and coastal communities, shows that these co-benefits may arise particularly in such coastal-marine systems and provide policy lessons to terrestrial systems and other sectors. © 2016 Informa UK Limited, trading as Taylor &amp; Francis Group.</t>
  </si>
  <si>
    <t>2-s2.0-84999802552"</t>
  </si>
  <si>
    <t>https://www.scopus.com/inward/record.uri?eid=2-s2.0-85055287371&amp;partnerID=40&amp;md5=c631050123f5a2384fcc42e2b5355dc9</t>
  </si>
  <si>
    <t>Morocco is located in convergence zone between two major plates, the Eurasian and the African plates. Moroccan coastal regions are prone to tsunami hazard caused by major earthquakes located along this boundary. The rapid growth of population and expansion in infrastructures and economic settlements in Moroccan coastal areas make them more vulnerable to tsunami threat. Tsunami evacuation plan is an important tool to mitigate the tsunami impact, it's the most efficient way to save human lives before the waves reach the hazard zone areas. In this study, we propose a tsunami evacuation plan for the city of Tangier-Morocco for horizontal evacuation. This plan is designed considering the tsunami threat from tsunamigenic source located in the SW Iberian margin and using the inundation maps of the worst case scenario to define the flooding area. The evacuation plan is elaborated through modeling evacuation routes using Closet Facility tool implemented in ESRIS's ArcMap 10.2 geographic information system (GIS) software. The proposed evacuation plan give valuable information to local government authorities and emergency managers in order to implement an official evacuation plan for Tangier city. It also provides practical support to increase community resilience. © 2018, Tsunami Society. All rights reserved.</t>
  </si>
  <si>
    <t>2-s2.0-85055287371"</t>
  </si>
  <si>
    <t>10.1080/22797254.2018.1479622</t>
  </si>
  <si>
    <t>https://www.scopus.com/inward/record.uri?eid=2-s2.0-85049857289&amp;doi=10.1080%2f22797254.2018.1479622&amp;partnerID=40&amp;md5=bb3eb19780ea16592deb82f059555b3e</t>
  </si>
  <si>
    <t>In the last decades, ground deformations were investigated, analysed and monitored using several methods. As a consequence of a spreading urbanization, several phenomena, e.g. landslide and subsidence, were emphasized or triggered causing not only socio-economic damages, but, in some cases, also casualties. The investigation and mapping of these phenomena are important for both local authorities and civil protection in order to promote a higher conscientious urban planning and to highlight the more hazardous areas. Furthermore, the information are a key point for social development connected to the awareness of the environment and the related risk. The Achaia prefecture, in the north-eastern Peloponnese (Greece), close to the Gulf of Patras, is an area strongly affected by subsidence and landslides. Furthermore, this is an earthquake-prone area, a factor that can trigger some mass movements. For this region, a landslide inventory was realized with the help of the interpretation of Persistent Scatterers data, for the period 1992–2008, and high-resolution optical satellite images, available until 2016, in addition to the investigation of the landslide State of Activity. Moreover, for the coastal area, a section was investigated to evidence subsidence. © 2018, © 2018 The Author(s). Published by Informa UK Limited, trading as Taylor &amp; Francis Group.</t>
  </si>
  <si>
    <t>2-s2.0-85049857289"</t>
  </si>
  <si>
    <t>10.1186/s42501-018-0001-7</t>
  </si>
  <si>
    <t>https://www.scopus.com/inward/record.uri?eid=2-s2.0-85051257433&amp;doi=10.1186%2fs42501-018-0001-7&amp;partnerID=40&amp;md5=66dba0208d75016982baab205b9898d1</t>
  </si>
  <si>
    <t>Sedimentologic, oceanographic, and hydraulic engineering publications on hyperpycnal flows claim that (1) river flows transform into turbidity currents at plunge points near the shoreline, (2) hyperpycnal flows have the power to erode the seafloor and cause submarine canyons, and, (3) hyperpycnal flows are efficient in transporting sand across the shelf and can deliver sediments into the deep sea for developing submarine fans. Importantly, these claims do have economic implications for the petroleum industry for predicting sandy reservoirs in deep-water petroleum exploration. However, these claims are based strictly on experimental or theoretical basis, without the supporting empirical data from modern depositional systems. Therefore, the primary purpose of this article is to rigorously evaluate the merits of these claims. A global evaluation of density plumes, based on 26 case studies (e.g., Yellow River, Yangtze River, Copper River, Hugli River (Ganges), Guadalquivir River, Río de la Plata Estuary, Zambezi River, among others), suggests a complex variability in nature. Real-world examples show that density plumes (1) occur in six different environments (i.e., marine, lacustrine, estuarine, lagoon, bay, and reef)</t>
  </si>
  <si>
    <t>10.18848/1835-7156/CGP/v10i04/25-39</t>
  </si>
  <si>
    <t>https://www.scopus.com/inward/record.uri?eid=2-s2.0-85058933277&amp;doi=10.18848%2f1835-7156%2fCGP%2fv10i04%2f25-39&amp;partnerID=40&amp;md5=aa7c4979dab3069284bc1262ac7c59d2</t>
  </si>
  <si>
    <t>The impacts of climate change arising from flooding, the intrusion of high saline tidewater, rising temperature, wind storms, and rising Atlantic level are exacerbating significant threats to oil and gas critical installations in the Niger Delta. Understanding the hierarchies of vulnerable critical infrastructure could help assets managers in the industry to adopt sustainable adaptation measures against the looming impacts of climate change-induced stress on systems. In this article, the analytic hierarchy process (AHP) is implemented in prioritising vulnerable critical oil and gas infrastructure in the Niger Delta for effective and sustainable adaptation planning and response. A mix of an exploratory investigation involving interdisciplinary participants' engagement in focus groups were conducted in four multinational oil companies in the Niger Delta to elicit data for analysis. Participants in the study compared seven selected critical installations using an AHP questionnaire. A Mi-AHP spreadsheet analysis of stakeholders' perceptions revealed infrastructure vulnerability in hierarchical form: pipelines, terminals, roads/bridges, flow stations, loading bays, transformers/high voltage cables, and wellheads. The study shows that the vulnerability in the region is influenced by exposure, the presence of climate burdens, and proximity to inundated coastal areas below 4.5 meters above sea level. It also shows that critical systems are vulnerable due to interdependence and level of linkages that exist between directly vulnerable and non-directly vulnerable assets. Results also show that vulnerability in the region is due to critical perception, age and obsolescence, and weak adaptive capacity. This study furnished decision-makers in the oil and gas sector with information on which infrastructure is to be protected in terms of adaptation planning, investment, and implementation with particular attention on climate change. © Common Ground, Justin Udie, Subhes Bhattacharyya, Leticia Ozawa-Meida.</t>
  </si>
  <si>
    <t>2-s2.0-85058933277"</t>
  </si>
  <si>
    <t>Journal of Science Communication</t>
  </si>
  <si>
    <t>10.22323/2.17040802</t>
  </si>
  <si>
    <t>https://www.scopus.com/inward/record.uri?eid=2-s2.0-85058934919&amp;doi=10.22323%2f2.17040802&amp;partnerID=40&amp;md5=ea08268bb028b0e9f69f9001d8e2b69c</t>
  </si>
  <si>
    <t>In November 2016, within an Environmental studies course at the University of Venice, students carried out an experiment aimed at collecting scenarios of the Venetian coast's future starting from lessons learnt during the episode of storm surge 50 years ago (Aqua Granda flood). The students built scenarios able to anticipate the effect of sea level rise on coastal areas in Venice, based not only on scientific input but also on a methodology called ""Futurescape city Tours"" (FCT) involving inhabitants of the barrier islands of Lido and Pellestrina. This paper will explore three main questions: (i) Can participatory and experiential methodologies, such as FCT help students behave in an anticipatory and inclusive way in their future professional activities? (ii) Can we talk about post-normal science teaching? - i.e. one that acknowledges and works with science and other knowledges to address societal issues? (iii) Can such an approach challenge students thinking in relation to knowledge hierarchies? © 2018 The Author(s).</t>
  </si>
  <si>
    <t>2-s2.0-85058934919"</t>
  </si>
  <si>
    <t>10.1175/JAMC-D-17-0123.1</t>
  </si>
  <si>
    <t>https://www.scopus.com/inward/record.uri?eid=2-s2.0-85041234665&amp;doi=10.1175%2fJAMC-D-17-0123.1&amp;partnerID=40&amp;md5=23ea253b047a0afbb737355e3dc06da9</t>
  </si>
  <si>
    <t>Extratropical cyclones (ETCs) are responsible for most of the large storm-surge events in the northeastern United States. This study uses the ECMWF atmospheric reanalysis of the twentieth century (ERA-20C) and NOAA tide gauge data to examine the local, regional, and large-scale atmospheric circulation accompanying the 100 largest ETC-driven surge events at three locations along the northeastern coast of the United States: Sewells Point (Norfolk), Virginia</t>
  </si>
  <si>
    <t>10.15244/pjoes/68425</t>
  </si>
  <si>
    <t>https://www.scopus.com/inward/record.uri?eid=2-s2.0-85041135088&amp;doi=10.15244%2fpjoes%2f68425&amp;partnerID=40&amp;md5=1471e724524b8bb5546ea4a65cde7074</t>
  </si>
  <si>
    <t>We evaluated morphometric parameters of the Haro River drainage network to determine flooding potential in the river basin. The drainage network is derived from topographic maps while using shuttle radar topography mission digital elevation model (SRTM-DEM) and geographic information systems (GIS). A total of 2917 streams (dendritic to semi-dendritic) are recognized, among which 1,536 are identified as first-order streams, followed by 731 as second order, 360 as third order, 173 as fourth order, 78 as fifth order, and 39 as sixth order. Linear and areal morphometric parameters revealed lower values for form factor (0.25), stream frequency (0.99), and drainage density (0.84 km/ sq.km), which suggest that the basin is being elongated with permeable strata</t>
  </si>
  <si>
    <t>10.1590/s1679-87592018149406601</t>
  </si>
  <si>
    <t>https://www.scopus.com/inward/record.uri?eid=2-s2.0-85047427097&amp;doi=10.1590%2fs1679-87592018149406601&amp;partnerID=40&amp;md5=e66022f29b968431e0dd0a88acabcbe3</t>
  </si>
  <si>
    <t>The susceptibility of coastal environments to shifts in the biogeochemical cycles of carbon and nutrients driven by anthropogenic pressure and climate change is a real challenge for the scientific community. This paper evaluated the effects of an extreme rainfall event over the nutrients and carbonate parameters in two polluted tropical estuaries. Surface water samples were taken seasonally along a salinity gradient in the Capibaribe and Barra de Jangadas estuaries in order to investigate the spatial and seasonal variability of dissolved nutrients, chlorophyll-a, dissolved oxygen, total alkalinity, inorganic carbon, partial pressure of CO2 (pCO2) and CO2 fluxes. The increased riverine influence caused by the fluvial flooding during the extremely rainy season augmented the nitrogen concentrations in the plumes, which also presented reduced salinity, alkalinity and dissolved oxygen values. In the Capibaribe plume it has also shifted the mean CO2 flux value of - 4.01 mmolC m-2 d-1 during the dry season, to a positive mean flux of + 5.7 mmolC m-2 d-1 during the rainy season. Within the estuaries the BOD5,20 and dissolved phosphorus values were higher during the dry season (p&lt;0.0001), they showed positive correlation with the phytoplanktonic blooms that reached a chl-a value of 85 mg m-3 in the Capibaribe. The high alkalinity found in both estuaries, with mean values between dry and wet seasons respectively from 1808 to 1373 µmol kg-1 in the Capibaribe estuary and 1616 to 1058 µmol kg-1 in Barra de Jangadas estuary, may act as a buffer to the process of coastal acidification due to eutrophication. The increased rivers discharge lead to a greater transport of organic matter and nutrients to the coast, decreasing the oxygen availability and shifting the metabolic status of the estuarine plume to heterotrophic, whereas increased the water quality within the estuaries due the flushing promoted by the extreme rainfall event. © 2018, Universidade de Sao Paulo. All rights reserved.</t>
  </si>
  <si>
    <t>2-s2.0-85047427097"</t>
  </si>
  <si>
    <t>10.1080/15715124.2017.1411923</t>
  </si>
  <si>
    <t>https://www.scopus.com/inward/record.uri?eid=2-s2.0-85040968752&amp;doi=10.1080%2f15715124.2017.1411923&amp;partnerID=40&amp;md5=6a72464ec90b4df164ad5676cd8de12a</t>
  </si>
  <si>
    <t xml:space="preserve">                             Inaccurate components of hydrodynamic models can lead to inaccurate flood hazard simulations, particularly when models are applied to floods larger than the model calibration conditions, yet hazard information is usually sought for events which are more extreme than those documented by accurate historical measurements. Model components subject to error include the input hydrographs (and their exceedance probabilities), input roughness maps, representations of topography, bathymetry, the numerical solver and the model flow resistance equation. There is particular uncertainty surrounding the treatment of roughness and flow resistance in 2D flood models. Such models typically have low-resolution mapping of roughness compared to the mapping of topography. Significant areas with high roughness and low flow depth can occur with flood rise and fall, particularly with ‘direct rainfall’ models. Conventional flow resistance equations break down under these high relative roughness conditions. The formulation of friction within a hydrodynamic model code and derivation of depth-averaged flow resistance equations for 2D models are investigated. This study gives recommendations for improved mapping of roughness, new equations for better representing flow resistance in the modelling code, a nomograph for converting the more common ‘n’ roughness values to ‘Z                             o                             ’ roughness values and makes suggestions for better communication of model results.                          © 2018 International Association for Hydro-Environment Engineering and Research.</t>
  </si>
  <si>
    <t>2-s2.0-85040968752"</t>
  </si>
  <si>
    <t>10.1525/elementa.196</t>
  </si>
  <si>
    <t>https://www.scopus.com/inward/record.uri?eid=2-s2.0-85055780227&amp;doi=10.1525%2felementa.196&amp;partnerID=40&amp;md5=1eac6c068e49a372da0303ae34dc0fda</t>
  </si>
  <si>
    <t>Deltas are highly sensitive to erosion, flooding, and salinization with consequential agricultural productivity losses and out-migration, which is a preferred adaptive measure for the inhabitants of deltaic islands. This study investigates the associations between agricultural productivity decrease, household poverty and the probability of out-migration in the Indian Sundarban Delta (ISD). Using newly collected survey data from randomly selected households within the ISD, we analysed these relationships by means of descriptive statistics and regression modeling. Results suggest the significant positive association between a decrease in agricultural productivity and out-migration. The results further show that ceteris paribus, out-migration is negatively associated with household poverty, which is likely to be explained by the effect of remittances. The results yield important policy implications at the local level and can contribute to the progress towards sustainable livelihoods in these deltaic islands. © 2018 The Author(s).</t>
  </si>
  <si>
    <t>2-s2.0-85055780227"</t>
  </si>
  <si>
    <t>10.3390/rs10010040</t>
  </si>
  <si>
    <t>https://www.scopus.com/inward/record.uri?eid=2-s2.0-85040662647&amp;doi=10.3390%2frs10010040&amp;partnerID=40&amp;md5=2beab6261c1f618bed1b74d9566580bf</t>
  </si>
  <si>
    <t>Chiayi County is located in the largest alluvial plain of Taiwan with extensive aquaculture and rice farming sustained by water extracted from groundwater wells. Chiayi is a typical aquaculture area affected by land subsidence, yet such lands worldwide combine to provide nearly 90% of global aquaculture products, greatly reducing oceanic overfishing problems. This study uses precision leveling, multi-layer compaction monitoring well (MLCW) and spaceborne SAR interferometry (InSAR) to examine the cause and effect of land subsidence in Chiayi associated with groundwater extractions and changes. Heights at benchmarks in a leveling network are measured annually and soil compactions at 24-26 layers up to 300-m depths at 7 MLCWs are collected at one-month intervals. Over 2007-2011, 15 ALOS/PALSAR images are processed by the method of TCPInSAR to produce subsidence rates. All sensors show that land subsidence occur in most parts of Chiayi, with rates reaching 4.5 cm/year around its coast, a result of groundwater pumping from shallow to deep aquifers. MLCWs detect mm-accuracy seasonal soil compactions coinciding with groundwater level fluctuations and causing dynamic compactions. Compactions near Taiwan High Speed Rail may reduce the strength of the rail's supporting columns to degrade its safety. The SAR images yield subsidence rates consistent with those from leveling and compaction wells after corrections for systematic errors by the leveling result. Subsidence in Chiayi's coastal area leads to relative sea level rises at rates up to 15 times larger than the global eustatic sea level rising rate, a risk typical for world's aquaculture-rich regions. At the fish pond-covered Budai Township, InSAR identifies subsidence spots not detected by leveling, providing crucial geo-information for a sustainable land management for aquaculture industry.</t>
  </si>
  <si>
    <t>2-s2.0-85040662647"</t>
  </si>
  <si>
    <t>10.1007/s11430-017-9121-y</t>
  </si>
  <si>
    <t>https://www.scopus.com/inward/record.uri?eid=2-s2.0-85034646627&amp;doi=10.1007%2fs11430-017-9121-y&amp;partnerID=40&amp;md5=aae3667486cfc62cb487ca637e0d5096</t>
  </si>
  <si>
    <t>The East China coastal plain is one of the most important Neolithic culture areas in China, where rich archaeological sites including those producing the earliest domesticated rice are observed. It is also a place where landscape has experienced dramatic evolution during the Holocene when both sea level and climate changed, such that it is an ideal place for studying human-environment interaction. This study investigated over 2000 sites of pre-history and Shang and Zhou Dynasties, with 655 of which being Neolithic ages, by using DEM and GIS methods. The results suggest that the spatial and temporal distribution of Neolithic sites has largely been controlled by landscape evolution (particularly changes in coastal line), which ultimately governed by sea level changes. During early Holocene, Neolithic sites sparsely distributed in the intermountain basins of east Zhejiang Province, far from the influence of ocean. Over the period of 9–7 ka, the coastal plain (including the shelf) was largely submerged, only the feet of low hills to the south and southwest of the study area, and islands protruding the estuary, cradled limited number of settlements with characteristic “maritime components”. At about 7 ka, sea level rise decelerated prominently, while sediments supply in the drainage remained high value, the combination of which led to land formation and propagation. Vast space during this period facilitated the growth of settlements in both size and number. In the mean time, however, the coastal plain was vulnerable to extreme environmental events such as storms and flooding owning to its geomorphic nature, which exerted great influence on the rise and fall of Neolithic culture. © 2017, Science China Press and Springer-Verlag GmbH Germany, part of Springer Nature.</t>
  </si>
  <si>
    <t>2-s2.0-85034646627"</t>
  </si>
  <si>
    <t>10.1007/s10236-017-1120-x</t>
  </si>
  <si>
    <t>https://www.scopus.com/inward/record.uri?eid=2-s2.0-85035080170&amp;doi=10.1007%2fs10236-017-1120-x&amp;partnerID=40&amp;md5=84eb91de47ad892a627dc58e82d833d5</t>
  </si>
  <si>
    <t>Accurate forecast of sea-level heights in coastal areas depends, among other factors, upon a reliable coupling of a meteorological forecast system to a hydrodynamic and wave system. This study evaluates the predictive skills of the coupled circulation and wind-wave model system (ADCIRC+SWAN) for simulating storm tides in the Chesapeake Bay, forced by six different products: (1) Global Forecast System (GFS), (2) Climate Forecast System (CFS) version 2, (3) North American Mesoscale Forecast System (NAM), (4) Rapid Refresh (RAP), (5) European Center for Medium-Range Weather Forecasts (ECMWF), and (6) the Atlantic hurricane database (HURDAT2). This evaluation is based on the hindcasting of four events: Irene (2011), Sandy (2012), Joaquin (2015), and Jonas (2016). By comparing the simulated water levels to observations at 13 monitoring stations, we have found that the ADCIR+SWAN System forced by the following: (1) the HURDAT2-based system exhibited the weakest statistical skills owing to a noteworthy overprediction of the simulated wind speed</t>
  </si>
  <si>
    <t>10.1002/2017JB014695</t>
  </si>
  <si>
    <t>https://www.scopus.com/inward/record.uri?eid=2-s2.0-85040510635&amp;doi=10.1002%2f2017JB014695&amp;partnerID=40&amp;md5=25c2f1d0afd36da3ac36b240d995daa5</t>
  </si>
  <si>
    <t>Sea level rise presents a hazard for coastal populations, and the Mississippi Delta (MD) is a region particularly at risk due to the high rates of land subsidence. We apply a gravitationally self-consistent model of glacial and sediment isostatic adjustment (SIA) along with a realistic sediment load reconstruction in this region for the first time to determine isostatic contributions to relative sea level (RSL) and land motion. We determine optimal model parameters (Earth rheology and ice history) using a new high-quality compaction-free sea level indicator database. Using the optimal model parameters, we show that SIA can lower predicted RSL in the MD area by several meters over the Holocene and so should be taken into account when modeling these data. We compare modeled contemporary rates of vertical land motion with those inferred using GPS. This comparison indicates that isostatic processes can explain the majority of the observed vertical land motion north of latitude 30.7°N, where subsidence rates average about 1 mm/yr</t>
  </si>
  <si>
    <t>10.2495/SDP180111</t>
  </si>
  <si>
    <t>https://www.scopus.com/inward/record.uri?eid=2-s2.0-85062859052&amp;doi=10.2495%2fSDP180111&amp;partnerID=40&amp;md5=3624cd06a738b4395fcf2bfa3eac71bc</t>
  </si>
  <si>
    <t>The present study analyzes the vulnerability assessment as a tool and reference for a sustainable managing of the Natural Protected Area (NPA) San Jose del Cabo Estuary Mexico (ESJC). ESJC is a coastal oasis of fresh water located close to the Gulf of California mouth, and it is an important refuge for migratory birds and endemic species that inhabit the estuary. ESJC has been threatened by the rapid urbanization and tourist development in Los Cabos, which created negative effects such as land changes, sewage discharges and invasive species, affecting largely the quality of the estuary. In this context the main purpose of the study was to evaluate the vulnerability of every micro region of ESJC in order to propose management strategies of the NPA. We made a characterization and regionalization of ESJC. We propose an index (VI) based on indicators to represent the vulnerability, as well as the natural and socio-ecological pressures affecting the refuge. The VI was shaped adding fragility index (FI) and pressure index (PI). The FI and PI were created from the indicators that were normalized to dimensionless quantities ranging from 0 to 1. In result, the indexes infer a high vulnerability of the lagoon and the upstream area with natural vegetation: The FI shows the frailty due to runoffs, sediments, natural vegetation, endemic species and exposed population</t>
  </si>
  <si>
    <t>10.1134/S1995425518010110</t>
  </si>
  <si>
    <t>https://www.scopus.com/inward/record.uri?eid=2-s2.0-85042672141&amp;doi=10.1134%2fS1995425518010110&amp;partnerID=40&amp;md5=fffd88d804009a45bbfadcbcc09652c7</t>
  </si>
  <si>
    <t>This article provides a quantitative evaluation of aspects of the spatial heterogeneity of soil and vegetation cover of floodplains in relation to the microrelief using the example of floodplains of the Northern Dvina River delta. It is detected that the soil and vegetation cover of the floodplain meadows in the Northern Dvina Delta is a feature of a relief on a microlandscape level. This dependence displays itself in the specific structural features of some ingredients of the soil and vegetation cover. Due to the intrazonal localization of floodplain ecosystems, the results of a local survey, for example, in Arkhangelsk oblast of Russia, can be extrapolated to other regions of the country and the world. The relevance of the study of heterogeneity of soil and vegetation cover is based not only on fundamental aspects, but also on the needs of agricultural management. © 2018, Pleiades Publishing, Ltd.</t>
  </si>
  <si>
    <t>2-s2.0-85042672141"</t>
  </si>
  <si>
    <t>10.5194/tc-12-103-2018</t>
  </si>
  <si>
    <t>https://www.scopus.com/inward/record.uri?eid=2-s2.0-85040631016&amp;doi=10.5194%2ftc-12-103-2018&amp;partnerID=40&amp;md5=f7fe489c647638b80fe287f20130dbd9</t>
  </si>
  <si>
    <t>Due to the influence of the Indian monsoon, the Kangri Karpo Mountains in the south-east of the Tibetan Plateau is in the most humid and one of the most important and concentrated regions containing maritime (temperate) glaciers. Glacier mass loss in the Kangri Karpo is an important contributor to global mean sea level rise, and changes run-off distribution, increasing the risk of glacial-lake outburst floods (GLOFs). Because of its inaccessibility and high labour costs, information about the Kangri Karpo glaciers is still limited. Using geodetic methods based on digital elevation models (DEMs) derived from 1980 topographic maps from the Shuttle Radar Topography Mission (SRTM) (2000) and from TerraSAR-X/TanDEM-X (2014), this study has determined glacier elevation changes. Glacier area and length changes between 1980 and 2015 were derived from topographical maps and Landsat TM/ETM+/OLI images. Results show that the Kangri Karpo contained 1166 glaciers with an area of 2048.50 ± 48.65 km2 in 2015. Ice cover diminished by 679.51 ± 59.49 km2 (24.9 ± 2.2 %) or 0.71 ± 0.06 % a-1 from 1980 to 2015, although nine glaciers advanced. A glacierized area of 788.28 km2, derived from DEM differencing, experienced a mean mass loss of 0.46 ± 0.08 m w.e. a-1 from 1980 to 2014. Shrinkage and mass loss accelerated significantly from 2000 to 2015 compared to 1980-2000, consistent with a warming climate. © Author(s) 2018.</t>
  </si>
  <si>
    <t>2-s2.0-85040631016"</t>
  </si>
  <si>
    <t>Environmental and Planning Law Journal</t>
  </si>
  <si>
    <t>https://www.scopus.com/inward/record.uri?eid=2-s2.0-85067483857&amp;partnerID=40&amp;md5=c97bbe7f7225852479df2f8e9e704ac3</t>
  </si>
  <si>
    <t>Coastal Australia is particularly vulnerable to increasingly frequent violent storm events coupled with anticipated rise in sea level. Consequent risks starkly underscore crucial coastal land policies and statutory planning documents. However, current questioning in the State of New South Wales (NSW) of such public instruments has uncovered a critical link between flood risk mapping and land-use planning, property values and, in particular, inundation propensity of various coastal lands. A range of coastal properties will no longer be capable of meaningful utilisation, coalescing in an impending collision between settled Australian property law and property rights. The use of transferable development rights (TDRs) to achieve climate change adaptation and risk amelioration is a planning tool which this article explores as part of the compendium of tools to deal with increasingly impacted coastal lands. The potential of TDRs is canvassed in a case study on a fragile suburban beach, namely Collaroy, in northern Sydney. © 2018, Thomson Reuters (Professional) Australia Ltd. All rights reserved.</t>
  </si>
  <si>
    <t>2-s2.0-85067483857"</t>
  </si>
  <si>
    <t>10.1002/2017JF004244</t>
  </si>
  <si>
    <t>https://www.scopus.com/inward/record.uri?eid=2-s2.0-85039065394&amp;doi=10.1002%2f2017JF004244&amp;partnerID=40&amp;md5=9e37bdba3fb7fc7be35efd6d15882d8f</t>
  </si>
  <si>
    <t>Deltas form over basements of various slope configurations. While the morphodynamics of prograding deltas over single-slope basements have been studied previously, our understanding of delta progradation over segmented basements is still limited. Here we use experimental and analytical approaches to investigate the deltaic morphologies developing over two-slope basements with unequal subaerial and subaqueous slopes. For each case considered, the scaled profiles of the evolving delta collapse to a single profile for constant water and sediment influxes, allowing us to use the analytical self-similar profiles to investigate the individual effects of subaerial/subaqueous slopes. Individually varying the subaerial/subaqueous slopes exerts asymmetric effects on the morphologies. Increasing the subaerial slope advances the entire delta</t>
  </si>
  <si>
    <t>10.1002/2017EF000663</t>
  </si>
  <si>
    <t>https://www.scopus.com/inward/record.uri?eid=2-s2.0-85038249664&amp;doi=10.1002%2f2017EF000663&amp;partnerID=40&amp;md5=80c3856e78b28bf905da1c59587715de</t>
  </si>
  <si>
    <t>Mechanisms such as ice-shelf hydrofracturing and ice-cliff collapse may rapidly increase discharge from marine-based ice sheets. Here, we link a probabilistic framework for sea-level projections to a small ensemble of Antarctic ice-sheet (AIS) simulations incorporating these physical processes to explore their influence on global-mean sea-level (GMSL) and relative sea-level (RSL). We compare the new projections to past results using expert assessment and structured expert elicitation about AIS changes. Under high greenhouse gas emissions (Representative Concentration Pathway [RCP] 8.5), median projected 21st century GMSL rise increases from 79 to 146 cm. Without protective measures, revised median RSL projections would by 2100 submerge land currently home to 153 million people, an increase of 44 million. The use of a physical model, rather than simple parameterizations assuming constant acceleration of ice loss, increases forcing sensitivity: overlap between the central 90% of simulations for 2100 for RCP 8.5 (93–243 cm) and RCP 2.6 (26–98 cm) is minimal. By 2300, the gap between median GMSL estimates for RCP 8.5 and RCP 2.6 reaches &gt;10 m, with median RSL projections for RCP 8.5 jeopardizing land now occupied by 950 million people (versus 167 million for RCP 2.6). The minimal correlation between the contribution of AIS to GMSL by 2050 and that in 2100 and beyond implies current sea-level observations cannot exclude future extreme outcomes. The sensitivity of post-2050 projections to deeply uncertain physics highlights the need for robust decision and adaptive management frameworks. © 2017 The Authors.</t>
  </si>
  <si>
    <t>2-s2.0-85038249664"</t>
  </si>
  <si>
    <t>10.5200/baltica.2017.30.13</t>
  </si>
  <si>
    <t>https://www.scopus.com/inward/record.uri?eid=2-s2.0-85038224087&amp;doi=10.5200%2fbaltica.2017.30.13&amp;partnerID=40&amp;md5=e28faf77f654ff2b6dc0160a5a3af91b</t>
  </si>
  <si>
    <t>The objective of the article is to give a comprehensive assessment of the impact that physical geographical factors of the coastal environment have on the South Baltic seaside resorts in the way it is reflected in planning documents (comprehensive plans, regional and tourism development strategies) of South Baltic seaside territorial entities. The seaside resorts and the adjacent coastal protected nature areas, particularly coastal national parks and UNESCO biosphere reserves, are the main focus of this study. The contents of 141 valid documents of spatial planning, management and development has been analysed. The studied comprehensive development plans, tourism strategies and other documents demonstrate that virtually all seaside municipalities in the South Baltic Region express a strong concern in increasing risk of coastal erosion and sea level rise related to the global climate change. © Baltica 2017.</t>
  </si>
  <si>
    <t>2-s2.0-85038224087"</t>
  </si>
  <si>
    <t>10.7186/bgsm64201701</t>
  </si>
  <si>
    <t>https://www.scopus.com/inward/record.uri?eid=2-s2.0-85043469821&amp;doi=10.7186%2fbgsm64201701&amp;partnerID=40&amp;md5=067ae24ac00fa39810a3dc4dbc6d9060</t>
  </si>
  <si>
    <t>Productive Tertiary basins in Southeast Asia have essentially similar geodynamic developments, and share many hydrocarbon habitats and active petroleum systems. In order to facilitate understanding of the essential elements that contribute to the success of petroleum systems I have classified them into a number of groups or ‘associations’ according to their sedimentary facies. This facilitates use of them as valuable analogues. Five such facies associations, containing characteristic and distinct petroleum parameters have been recognised: (i) lacustrine (ii) paralic (iii) open marine shelf (iv) deeper marine and (v) pre-Tertiary. They belong to particular cycles or stages in basin development that provide the context within which the depositional environments and palaeogeography evolve. Lacustrine facies typify the early stages of synrift development in basins closer or more proximal to the Sundaland province in northern and western SE Asia. Open marine facies, on the other hand, typify the early postrift period and basins in palaeogeographically more distal areas, such as eastern Indonesia and The Philippines. Paralic and bathyal facies characterise the later stages of the synrift and postrift cycles and are widespread throughout the proximal and intermediate parts of the area. Pre-Tertiary source facies, which provide charge in parts of eastern Indonesia and Thailand, are mainly terrestrial in nature. These differences have important implications for petroleum occurrence, which can be summarised accordingly: • More proximal basins are dominated by lacustrine to paralic facies in the synrift cycle and have a mainly non-marine sedimentary fill. Petroleum systems with oil charge are dominant. • More distal basins are dominated by rapid postrift subsidence. In the open marine facies carbonate reservoirs are well-developed, while petroleum systems are mainly gas-prone. • Around Borneo thick late postrift passive margin delta sequences with oil- and gas-prone coaly source rocks and clastic reservoirs are developed in delta-top environments. Transported terrigenous organic material is commonly found in related deep marine environments and contributes to a marine source facies. Both give rise to prolific petroleum systems. • Many basins in the Sunda Shelf area lie in an intermediate situation, where a non-marine synrift is followed by a marine postrift cycle. Such basins benefit from lacustrine and paralic source rock and reservoir sequences in both the syn- and the postrift, and are often characterised by multiple petroleum systems. Evaluation of petroleum potential in Southeast Asian Tertiary basins requires a special approach: in most parts of the World, such as the Middle East and Northwest Europe, source rocks are of marine origin, are relatively consistent in type and quality and are located in well-defined formations of regional extent. In SE Asia the terrestrial and lacustrine source rocks are more difficult to locate, are variable in quality and are often distributed in thin beds throughout thick sequences. These differences mean that predictive extrapolations of charge quality and maturity, and therefore of basin prospectivity, are much more difficult in Southeast Asia: This probably explains why discoveries continue to be made after almost 130 years of exploration! © 2017 Geological Society of Malaysia. All rights reserved.</t>
  </si>
  <si>
    <t>2-s2.0-85043469821"</t>
  </si>
  <si>
    <t>10.1080/01431161.2017.1288306</t>
  </si>
  <si>
    <t>https://www.scopus.com/inward/record.uri?eid=2-s2.0-85012922314&amp;doi=10.1080%2f01431161.2017.1288306&amp;partnerID=40&amp;md5=532d80bcb3cec560ff5804192b2c58f0</t>
  </si>
  <si>
    <t>Located at the intersection of the triple junction between the Nazca, South American, and Antarctic plates, the Chilean territory is subject to active lithospheric deformations and seismicity. Taking the difference between the satellite altimetry (ALT) data that give the absolute sea level variation and the tide gauge (TG) observations that record the relative sea level variation, we computed the absolute vertical crustal motion of the TG sites. We used 11 TG stations along the Chilean coast and altimeter measurements from multi-satellite missions (Topex, Jason-1 (A), and Jason-2) in nearby waters. The ALT-TG vertical deformations were compared with trends obtained from GPS measurements, which showed good consistency in terms of a correlation coefficient of about 0.9 (in 8 of 11 stations). Our results reveal that the behaviour of the long-term vertical deformations along the Chilean coast presented an important spatial variability. We also estimated the sea level change (SLC) through a multivariate model involving linear trend and decadal and inter-decadal climatic influence</t>
  </si>
  <si>
    <t>10.3390/rs9121318</t>
  </si>
  <si>
    <t>https://www.scopus.com/inward/record.uri?eid=2-s2.0-85038213086&amp;doi=10.3390%2frs9121318&amp;partnerID=40&amp;md5=d38a777602007a0539025b83bc4818ee</t>
  </si>
  <si>
    <t>Mining typically involves extensive areas where environmental monitoring is spatially sporadic. New remote sensing techniques and platforms such as Structure from Motion (SfM) and unmanned aerial vehicles (UAVs) may offer one solution for more comprehensive and spatially continuous measurements. We conducted UAV campaigns in three consecutive summers (2015-2017) at a sub-Arctic mining site where production was temporarily suspended. The aim was to monitor a 0.5 km2 tailings impoundment and measure potential subsidence of tailings. SfM photogrammetry was used to produce yearly topographical models of the tailings surface, which allowed the amount of surface displacement between years to be tracked. Ground checkpoints surveyed in stable areas of the impoundment were utilized in assessing the vertical accuracy of the models. Observed surface displacements were linked to a combination of erosion, tailings settlement, and possible compaction of the peat layer underlying the tailings. The accuracy obtained indicated that UAV-assisted monitoring of tailings impoundments is sufficiently accurate for supporting impoundment management operations and for tracking surface displacements in the decimeter range. © 2017 by the author.</t>
  </si>
  <si>
    <t>2-s2.0-85038213086"</t>
  </si>
  <si>
    <t>10.1007/s41748-017-0017-7</t>
  </si>
  <si>
    <t>https://www.scopus.com/inward/record.uri?eid=2-s2.0-85067849019&amp;doi=10.1007%2fs41748-017-0017-7&amp;partnerID=40&amp;md5=1fda4d61a83fe624d31bd2b789df4594</t>
  </si>
  <si>
    <t>Background: Storm surge is one of the most severe disastrous hazards in the Southeast Asian region including Myanmar. In order to accurately and on time numerical prediction of a surge, it is a crucial task for disaster mitigation. Purpose: The objective of the study is to examine the predicted storm surge heights sensitivity with varying water depth. Storm parameters considered in the study include pressure drops, radius of maximum wind and duration of the storm and landfall angles in the Myanmar coast. Method: Traditional model for numerical prediction of the storm surge has some drawbacks such as a delayed intimation of expected storm surges. To overcome these shortcomings, this study used the Indian Institute of Technology, Delhi (IIT-D)-based surge model to explore the various factors of a surge in Myanmar. Results: The sensitivity results from the study demonstrate that the shallowness of the water depth and obtuse landfall angle in the Rakhine coast of Myanmar produce the highest surge height. It also shows that a fast-moving cyclone made a larger surge than slower one. The effects of wind stress forcing reveal that high-pressure drops and radius of maximum wind generate a larger surge. The peak surges are computed by the prediction model which compared to the observed values and found to be the most accuracy of the results. Conclusion: Thus, this surge model can provide an early (nearly 48 h) warming in the coastal regions of Myanmar. It can help to mitigate disaster from the consequences of storm surge in Myanmar by evacuating the local residents. © 2017, Springer International Publishing AG.</t>
  </si>
  <si>
    <t>2-s2.0-85067849019"</t>
  </si>
  <si>
    <t>10.1080/01431161.2017.1365387</t>
  </si>
  <si>
    <t>https://www.scopus.com/inward/record.uri?eid=2-s2.0-85051634433&amp;doi=10.1080%2f01431161.2017.1365387&amp;partnerID=40&amp;md5=6af7b781a2eaef224d07c572263ca25e</t>
  </si>
  <si>
    <t>The coastal floods induced by hurricane storm surge are frequent, costly, and deadly hazards. Accurately and quickly estimating the spatial extent of floods is highly important for relief and rescue operations. In this study, we present an approach to estimate the extent of large-scale coastal floods caused by Hurricane Sandy in late October 2012 using passive microwave remote-sensing data. The approach estimates the water fraction from coarse-resolution Advanced Technology Microwave Sounder (ATMS) data through mixed-pixel linear decomposition. Land and water sample regions generated by river density and land-cover data, the relationship of channels 3, 4, and 16, neighbourhood pixel searching, and the difference of ATMS channels 4 and 3 are all comprehensively taken into account to dynamically determine water and land end members. The difference in the water fraction at the basin scale before and after flooding is calculated to reduce the impacts of soil and vegetation and to avoid pixel-to-pixel errors. Based on the water fraction difference, using the physical characteristics of water inundation that always proceed from the lowest to the highest elevation points in a basin, the flood map derived from the coarse-resolution ATMS measurements was extrapolated to a higher spatial resolution of 100 m using topographic information. Together, these steps represent a water fraction and high-resolution flood (WFHF) mapping process. To evaluate the WFHF mapping methodology presented in this study, the corresponding ground observations (storm-tide sites and high-water-mark data) and the Federal Emergency Management Agency 3 m resolution Hurricane Sandy storm surge flooding (SSF) products are used. The results show that 88% of the storm-tide and high-water-mark sites were located within the WFHF-mapped flood area. There was also good agreement between our WFHF and the SSF areas, with an accuracy of 88% and a correlation of 0.94. Overall, the proposed WFHF methodology was able to produce high-quality and high-resolution flood maps over large-scale coastal areas. © 2017 Informa UK Limited, trading as Taylor &amp; Francis Group.</t>
  </si>
  <si>
    <t>2-s2.0-85051634433"</t>
  </si>
  <si>
    <t>10.5194/nhess-17-2271-2017</t>
  </si>
  <si>
    <t>https://www.scopus.com/inward/record.uri?eid=2-s2.0-85038366953&amp;doi=10.5194%2fnhess-17-2271-2017&amp;partnerID=40&amp;md5=e8cccebbacc1113b181550c2f68dc7ed</t>
  </si>
  <si>
    <t>As a consequence of climate change and land subsidence, coastal zones are directly impacted by sea-level rise. In some particular areas, the effects on the ecosystem and urbanisation are particularly enhanced. We focus on the Emilia-Romagna (E-R) coastal plain in Northern Italy, bounded by the Po river mouth to the north and by the Apennines to the south. The plain isâ 1/4â 130â km long and is characterised by wide areas below mean sea level, in part made up of reclaimed wetlands. In this context, several morphodynamic factors make the shore and back shore unstable. During next decades, the combined effects of land subsidence and of the sea-level rise as a result of climate change are expected to enhance the shoreline instability, leading to further retreat. The consequent loss of beaches would impact the economy of the region, which is tightly connected with tourism infrastructures. Furthermore, the loss of wetlands and dunes would threaten the ecosystem, which is crucial for the preservation of life and the environment. These specific conditions show the importance of a precise definition of the possible local impacts of the ongoing and future climate variations. The aim of this work is the characterisation of vulnerability in different sectors of the coastal plain and the recognition of the areas in which human intervention is urgently required. The Intergovernmental Panel on Climate Change (IPCC) Fifth Assessment Report (AR5) sea-level scenarios are merged with new high-resolution terrain models, current data for local subsidence and predictions of the flooding model &lt;q&gt;in-CoastFlood&lt;/q&gt; in order to develop different scenarios for the impact of sea-level rise projected to year 2100. First, the potential land loss due to the combined effect of subsidence and sea-level rise is extrapolated. Second, the increase in floodable areas as a result of storm surges is quantitatively determined. The results are expected to support the regional mitigation and adaptation strategies designed in response to climate change. © 2017 Author(s).</t>
  </si>
  <si>
    <t>2-s2.0-85038366953"</t>
  </si>
  <si>
    <t>Miscellanea Geographica</t>
  </si>
  <si>
    <t>10.1515/mgrsd-2017-0029</t>
  </si>
  <si>
    <t>https://www.scopus.com/inward/record.uri?eid=2-s2.0-85040916922&amp;doi=10.1515%2fmgrsd-2017-0029&amp;partnerID=40&amp;md5=7fa5844aacfa9f25f60014aa13e010ae</t>
  </si>
  <si>
    <t>It is five years since Hurricane Sandy heavily damaged the New York- New Jersey Metropolitan region, and the fuller character of the long-term response can be better understood. The long-term response to Hurricane Sandy and the flooding risks it illustrated are set in myriad of individual and collective decisions taken during the time following the event. While the physical vulnerability of this region to storm surge flooding and climate change risks including sea level rise has been well-documented within the scholarly literature, Sandy's impact placed decision-makingpost extreme events into the forefront of public and private discussions about the appropriate response. Some of the most fundamental choices were made by individual homeowners who houses were damaged and in some cases made uninhabitable following the storm. These individuals were forced to make decisions regarding where they would live and whether Sandy's impact would result in their moving. In the disaster recovery and rebuilding context, these early household struggles about whether to leave or stay are often lost in the wider and longer narrative of recovery. To examine this early phase, this paper presents results of a research study that documented the ephemeral evidence of the initial phase of recovery in coastal communities that were heavily impacted by Hurricane Sandy's storm surge and flooding. Hurricane Sandy and the immediate response to the storm created conditions for a potential large-scale transformation with respect to settlement of the coastal zone. In the paper, we examine and analyze survey and interview results of sixty-one residents and two dozen local stakeholders and practitioners to understand the stresses and transitions experienced by flooded households and the implications for the longer term resiliency of the communities in which they are located. © 2018 by William Solecki.</t>
  </si>
  <si>
    <t>2-s2.0-85040916922"</t>
  </si>
  <si>
    <t>10.1016/j.scitotenv.2017.07.078</t>
  </si>
  <si>
    <t>https://www.scopus.com/inward/record.uri?eid=2-s2.0-85023627359&amp;doi=10.1016%2fj.scitotenv.2017.07.078&amp;partnerID=40&amp;md5=7a49692abcf907a88733e6163bffbbd7</t>
  </si>
  <si>
    <t>Microbial Fe(III) reduction can make an excellent contribution to the bioremediation of contaminated environments and potentially reduce methanogenesis. Excessive input of phosphorus (P) by P fertilizer application and eutrophied irrigation water might have a substantial influence on the process of microbial Fe(III) reduction in flooded paddy soils. To evaluate the effect of P application on microbial Fe(III) reduction, the responses of Clostridium and Geobacteraceae communities to different concentrations of P addition (CK: 0 mmol P kg− 1 soil</t>
  </si>
  <si>
    <t>10.1080/19475705.2016.1271832</t>
  </si>
  <si>
    <t>https://www.scopus.com/inward/record.uri?eid=2-s2.0-85036450822&amp;doi=10.1080%2f19475705.2016.1271832&amp;partnerID=40&amp;md5=6ce056881072c24ab3f9ea14d50317e1</t>
  </si>
  <si>
    <t>In this study, we present a methodology to reconstruct a Paleo Digital Elevation Model (PDEM) to simulate the propagation of a tsunami similar to the one that occurred on the 1st November 1755 in Cascais, Portugal. The method combines historical data, GPS-measurements, and present-day topographic data to build the PDEM. Antique maps were geo-referenced and altitudinal information was reconstructed using historic descriptions. We used old documents to estimate the original landscape of several sites. Analyses and interpretation of these sources of information served to attribute and approximate elevations of both geomorphologic landforms and building features. We used antique maps to rebuild the boundaries of old river mouths and water courses. Finally, we use GPS-RTK to implement obtained elevation data along creek mouths to interpolate in channelled areas to get their slope. Using this methodology and a numerical tsunami simulation code, we reproduced a 1st November 1755-like flooding in Cascais, Portugal. Our results show that using the PDEM, we can reproduce the inundation described in all of the historical accounts. © 2017 The Author(s). Published by Informa UK Limited, trading as Taylor &amp; Francis Group.</t>
  </si>
  <si>
    <t>2-s2.0-85036450822"</t>
  </si>
  <si>
    <t>10.5775/fg.2017.111.d</t>
  </si>
  <si>
    <t>https://www.scopus.com/inward/record.uri?eid=2-s2.0-85051712765&amp;doi=10.5775%2ffg.2017.111.d&amp;partnerID=40&amp;md5=7e67e1e0ea02b8cbde961c209210986e</t>
  </si>
  <si>
    <t>The UAV technique, and more recently UAS systems, play an ever important role in various domains of research and practical activities. The increase in number of publications focusing on their applicability is spectacular. The objective of this study is to highlight the efficiency of an integrated command-overflight-taking photo system, in an area with obvious problems related to hydric hazards and risks. The quasi-circular shape, the petrography of the upper Ozana basin, its orientation and its opening to the air masses predominantly movement direction, represent just a few of the reasons why it was chosen as the case study. Also, the settlements are displayed on the valleys thread, and this confluence has a remuu potential, in case of isolated rains in the two related subbasins. The UAV Phantom 4 quadcopter, the UAS system, the DroneDeploy application, the UAVPhoto application, the Visual-SFM application, the Daisy algorithm, the micro triangulation network (mesh), the work surface textures, a hyper-resolution of orthophotoplan, DSM model with a 5 cm resolution etc. are the technical elements that made modelling at a very high detail possible. The probability flow rates that were used, were provided by the two hydrometric stations located very close to the study area. Theywere calculated using professional applications approved at the national gauging network level, using the established Kri.ki-Menkel and Pearson III statistical distributions. The cross-section profiles was performed in the 10.x ArcMap module, using the 3D Analyst extension, and the hydraulic calculation to obtain the average velocity was done using the Manning equation</t>
  </si>
  <si>
    <t>CESifo Economic Studies</t>
  </si>
  <si>
    <t>10.1093/cesifo/ifx007</t>
  </si>
  <si>
    <t>https://www.scopus.com/inward/record.uri?eid=2-s2.0-85039759738&amp;doi=10.1093%2fcesifo%2fifx007&amp;partnerID=40&amp;md5=587c30dceb84e4468050f9d21e27d078</t>
  </si>
  <si>
    <t>Projections of climatic and environmental changes have generated a growing effort to assess their implications for human migration. Because migration is always a multicausal phenomenon, this study aims to disentangle the impact of environmental factors from other migration-inducing factors to shed some light on the complex relationship between the environment and migration. Thus, we conducted quantitative microlevel studies in low-lying communities in two high-mobility countries-Ghana and Indonesia-that are particularly exposed to coastal hazards like erosion, land subsidence, storm surges and an increasing sea level, and are prone to flooding on a regular basis. Different measures of environmental threats were collected, ranging from individual perceptions over the household's distance to the coast to expert opinions. We analyzed the relationships using logistic regressions and controlled for contextual factors onmultiple levels. No statistically significant direct impacts of slowonset environmental events on migration decisions could be detected. Perceptions of storms, a clearly sudden-onset event, however, were found to be significantly linked to out-migration decisions in Ghana. These findings support the hypothesis that environmental factors are generally not a primary cause of migration, and their effects are rather context specific-especially for slow-onset changes. © The Author 2017. Published by Oxford University Press on behalf of Ifo Institute, Munich. All rights reserved.</t>
  </si>
  <si>
    <t>2-s2.0-85039759738"</t>
  </si>
  <si>
    <t>10.1007/s13753-017-0154-5</t>
  </si>
  <si>
    <t>https://www.scopus.com/inward/record.uri?eid=2-s2.0-85038947201&amp;doi=10.1007%2fs13753-017-0154-5&amp;partnerID=40&amp;md5=d6807a9a070f0a4372ad113a9fab0308</t>
  </si>
  <si>
    <t>This research develops and applies a system dynamics (SD) model for the strategic evaluation of environmental adaptation options for coastal communities. The article defines and estimates asset-based measures for community vulnerability, resilience, and adaptive capacity with respect to the environmental, economic, social, and cultural pillars of the coastal community under threat. The SD model simulates the annual multidimensional dynamic impacts of severe coastal storms and storm surges on the community pillars under alternative adaptation strategies. The calculation of the quantitative measures provides valuable information for decision makers for evaluating the alternative strategies. The adaptation strategies are designed model results illustrated for the specific context of the coastal community of Charlottetown, Prince Edward Island, Canada. The dynamic trend of the measures and model sensitivity analyses for Charlottetown—facing increased frequency of severe storms, storm surges, and sea-level rise—provide impetus for enhanced community strategic planning for the changing coastal environment. This research is presented as part of the International Community-University Research Alliance C-Change project “Managing Adaptation to Environmental Change in Coastal Communities: Canada and the Caribbean” sponsored by the Social Science and Humanities Research Council of Canada and the International Development Resource Centre. © 2017, The Author(s).</t>
  </si>
  <si>
    <t>2-s2.0-85038947201"</t>
  </si>
  <si>
    <t>10.1080/19475705.2017.1309463</t>
  </si>
  <si>
    <t>https://www.scopus.com/inward/record.uri?eid=2-s2.0-85019258645&amp;doi=10.1080%2f19475705.2017.1309463&amp;partnerID=40&amp;md5=92e965019071140cc78b0fbba6acc609</t>
  </si>
  <si>
    <t>The Grand Ethiopian Renaissance Dam (GERD) is constructed in a mountainous area where limited information has been collected on key environmental factors and which is lacking of information about site condition, hazards and environmental impacts. To deal with problems, the Shuttle Radar Topographic Mission (SRTM) DEM and Advanced Land Observation Satellite Phased Array type L-band Synthetic Aperture Radar (ALOSPALSAR) were used to map factors that can lead to the GERD failure and predict the flooded area in Sudan and seawater intrusion in the Nile Delta, Egypt. The results showed that the Nubian Block and the GERD site are structurally controlled by sets of faults. Their trends are in the NNE–SSW, NE–SW, and NNW–SSE directions and share the similar trends with the shear stress and African Rift, which created some alarm. The results indicated that the maximum extent of the Sudanese inundation area, as estimated from a DEM using a flood basin model, was about 667,228 km2 along the Blue Nile River and was at high risk. The results also showed that one-third of the Nile Delta will experience seawater intrusions when the groundwater table depletes 5 m below sea level. © 2017 The Author(s). Published by Informa UK Limited, trading as Taylor &amp; Francis Group.</t>
  </si>
  <si>
    <t>2-s2.0-85019258645"</t>
  </si>
  <si>
    <t>10.1016/j.scitotenv.2017.07.031</t>
  </si>
  <si>
    <t>https://www.scopus.com/inward/record.uri?eid=2-s2.0-85023636198&amp;doi=10.1016%2fj.scitotenv.2017.07.031&amp;partnerID=40&amp;md5=75da865fa214b4bb47f7908cdfe2b02b</t>
  </si>
  <si>
    <t>PM2.5 and O3 pollution are of concern for the Yangtze River Delta (YRD) region due to their adverse impact on human health. In conjunction with a complex distribution of emission sources, the synoptic circulation conditions control the temporal and spatial variability of air pollution levels and hence the pollution-related health burdens. In this study, a long-term synoptic circulation catalogue is developed by applying the automated Lamb weather type method to the ECMWF mean sea level pressure reanalysis for the YRD region during 2013–2016. Ten typical circulation types are examined in relation to the transport pathways and diffusion conditions, and then multi-site surface observations of PM2.5 and O3 are composited for different circulation conditions. The results show that each circulation type is characterized with distinct air mass origin, diffusion condition and air quality level. The anticyclonic type (Type A) corresponds to the highest regional PM2.5 concentration (68.5 μg/m3) due to the subsidence flow and long-range transport, while the westerly types (Types SW, W and NW) correspond to the higher regional maximum daily 8-h running average O3 (MDA8 O3) concentration (&gt; 100 μg/m3) due to favorable local meteorological conditions. Regional transport causes an east-high and west-low PM2.5 distribution in westerly types but a west-high and east-low PM2.5 distribution in easterly types (Types SE, E and NE). In contrast, nearly all the types show an east-high and west-low O3 distribution, suggesting the predominated impacts of precursor emissions. By using established exposure-response functions, the health impact assessment (HIA) shows that Type W poses the greatest public health risk with mean daily excess mortality of 77.3 (95% CI: 61.9, 92.6) deaths and O3 pollution accounts for approximately 70% of this health burden. © 2017 Elsevier B.V.</t>
  </si>
  <si>
    <t>2-s2.0-85023636198"</t>
  </si>
  <si>
    <t>10.1002/2017WR021344</t>
  </si>
  <si>
    <t>https://www.scopus.com/inward/record.uri?eid=2-s2.0-85039701579&amp;doi=10.1002%2f2017WR021344&amp;partnerID=40&amp;md5=ef463422e936cc214d90b504c2d37250</t>
  </si>
  <si>
    <t>One of the most critical impacts of sea level rise is that flooding suffered by ever larger settlements in tropical deltas will increase. Here we look at Ho Chi Minh City, Vietnam, and quantify the threats that coastal floods pose to safety and to the economy. For this, we produce flood maps through hydrodynamic modeling and, by combining these with data sets of exposure and vulnerability, we estimate two indicators of risk: the damage to assets and the number of potential casualties. We simulate current and future (2050 and 2100) flood risk using IPCC scenarios of sea level rise and socioeconomic change. We find that annual damage may grow by more than 1 order of magnitude, and potential casualties may grow 5–20-fold until the end of the century, in the absence of adaptation. Impacts depend strongly on the climate and socioeconomic scenarios considered. Next, we simulate the implementation of adaptation measures and calculate their effectiveness in reducing impacts. We find that a ring dike would protect the inner city but increase risk in more rural districts, whereas elevating areas at risk and dryproofing buildings will reduce impacts to the city as a whole. Most measures perform well from an economic standpoint. Combinations of measures seem to be the optimal solution and may address potential equity conflicts. Based on our results, we design possible adaptation pathways for Ho Chi Minh City for the coming decades</t>
  </si>
  <si>
    <t>10.1002/2017JC012730</t>
  </si>
  <si>
    <t>https://www.scopus.com/inward/record.uri?eid=2-s2.0-85038026296&amp;doi=10.1002%2f2017JC012730&amp;partnerID=40&amp;md5=1e0c214040e6d11726a380402c5cee9e</t>
  </si>
  <si>
    <t>Sea level rise increases the risk of storms and other short-term water-rise events, because it sets a higher water level such that coastal surges become more likely to overtop protections and cause floods. To protect coastal communities, it is necessary to understand the interaction among multiday and tidal sea level variabilities, coastal infrastructure, and sea level rise. We performed a series of numerical simulations for San Francisco Bay to examine two shoreline scenarios and a series of short-term and long-term sea level variations. The two shoreline configurations include the existing topography and a coherent full-bay containment that follows the existing land boundary with an impermeable wall. The sea level variability consists of a half-meter perturbation, with duration ranging from 2 days to permanent (i.e., sea level rise). The extent of coastal flooding was found to increase with the duration of the high-water-level event. The nonlinear interaction between these intermediate scale events and astronomical tidal forcing only contributes ∼1% of the tidal heights; at the same time, the tides are found to be a dominant factor in establishing the evolution and diffusion of multiday high water events. Establishing containment at existing shorelines can change the tidal height spectrum up to 5%, and the impact of this shoreline structure appears stronger in the low-frequency range. To interpret the spatial and temporal variability at a wide range of frequencies, Optimal Dynamic Mode Decomposition is introduced to analyze the coastal processes and an inverse method is applied to determine the coefficients of a 1-D diffusion wave model that quantify the impact of bottom roughness, tidal basin geometry, and shoreline configuration on the high water events.</t>
  </si>
  <si>
    <t>10.1002/2017GL076116</t>
  </si>
  <si>
    <t>https://www.scopus.com/inward/record.uri?eid=2-s2.0-85040068875&amp;doi=10.1002%2f2017GL076116&amp;partnerID=40&amp;md5=6cb108f0f9a580b4f38640a661fecd6f</t>
  </si>
  <si>
    <t>Climate change may affect ocean-driven coastal flooding regimes by both raising the mean sea level (msl) and altering ocean-atmosphere interactions. For reliable projections of coastal flood risk, information provided by different climate models must be considered in addition to associated uncertainties. In this paper, we propose a framework to project future coastal water levels and quantify the resulting flooding hazard to infrastructure. We use Bayesian Model Averaging to generate a weighted ensemble of storm surge predictions from eight climate models for two coastal counties in California. The resulting ensembles combined with msl projections, and predicted astronomical tides are then used to quantify changes in the likelihood of road flooding under representative concentration pathways 4.5 and 8.5 in the near-future (1998–2063) and mid-future (2018–2083). The results show that road flooding rates will be significantly higher in the near-future and mid-future compared to the recent past (1950–2015) if adaptation measures are not implemented. ©2017. American Geophysical Union. All Rights Reserved.</t>
  </si>
  <si>
    <t>2-s2.0-85040068875"</t>
  </si>
  <si>
    <t>10.1080/19475705.2016.1220025</t>
  </si>
  <si>
    <t>https://www.scopus.com/inward/record.uri?eid=2-s2.0-84983284917&amp;doi=10.1080%2f19475705.2016.1220025&amp;partnerID=40&amp;md5=30f2b5b72b11f395b81f4569a398a29e</t>
  </si>
  <si>
    <t>The aim of the present study is motivated to build an inundation library for a range of gauge heights, which can be used by decision-makers to anticipate the likely extent of inundation and provide quick response towards warning the habitation at threat. In the present study, two approaches for developing a series of static flood-inundation extent libraries for a range of potential flood levels using historical satellite images, gauge heights and digital elevation model (DEM) are demonstrated. First method is based on the geotagging of gauge height data with corresponding satellite observed inundation extent and the other method supplements the first method in the absence of adequate satellite data-sets by simulating inundation using gauge data and DEM for a range of gauge heights. Simulated inundation extents are validated with the satellite-derived reference inundation extents using spatial statistics, which measure the correspondence between the estimated and observed occurrence of events like probability of detection (POD), false-alarm ratio, and critical success index (CSI). A good correlation between the simulated inundation and satellite-derived inundation extents, with POD varying between 87% and 94%, CSI between 75% and 80% is observed. © 2016 National Remote Sensing Centre - ISRO. Published by Informa UK Limited, trading as Taylor &amp; Francis Group.</t>
  </si>
  <si>
    <t>2-s2.0-84983284917"</t>
  </si>
  <si>
    <t>10.1080/19475705.2017.1300607</t>
  </si>
  <si>
    <t>https://www.scopus.com/inward/record.uri?eid=2-s2.0-85017480180&amp;doi=10.1080%2f19475705.2017.1300607&amp;partnerID=40&amp;md5=493c9d7d82c717ce68e52fb7c3689b26</t>
  </si>
  <si>
    <t>Image processing and classification techniques are widely used for land use definition. They can also provide interesting applications in fluvial geomorphology, for outlining morpho-sedimentary features (bars, channels, banks and floodplain) at various temporal stages, in order to monitor the evolution of river systems. Frequent monitoring is especially important for streams, in terms of flood risk in urban areas. This study shows how techniques of supervised analysis can be applied to river systems, also under particular conditions, like after flood events (when large portions of riverbed and alluvial plain are covered with mud). The procedure starts from the classical photogrammetric techniques, based on multispectral classification, and goes on with post processing operations of pixel aggregation and shadow treatment. The classification also uses the elevation information provided by Digital Surface Model produced by photogrammetry. This paper introduces a new technique of remote sensing in fluvial areas that allows for both the identification and classification of the fluvial features in a post flooding condition. Application of the procedure over time permits the evolution of the fluvial dynamics to be monitored in an accurate and inexpensive way, particularly for flood event conditions which lead to major changes in the dynamics of riverbeds. © 2017 The Author(s). Published by Informa UK Limited, trading as Taylor &amp; Francis Group.</t>
  </si>
  <si>
    <t>2-s2.0-85017480180"</t>
  </si>
  <si>
    <t>10.3390/geosciences7040132</t>
  </si>
  <si>
    <t>https://www.scopus.com/inward/record.uri?eid=2-s2.0-85039739096&amp;doi=10.3390%2fgeosciences7040132&amp;partnerID=40&amp;md5=00c0ee6a959991588eda2abfaad779d6</t>
  </si>
  <si>
    <t>This study assessed the uncertainty in flood impact assessment (FIA) that may be introduced by errors in moderate resolution regional and moderate resolution global Digital Elevation Models (DEM). One arc-second National Elevation Dataset (NED) and one arc-second Shuttle Radar Topography Mission (SRTM) DEMs were selected to represent moderate resolution regional and global DEMs. The relative performance for scenarios based on each of the DEMs was compared to a “control” terrain (combination of surveyed river bathymetry and a 1/3 arc-second LiDAR for floodplains)-based scenario. Furthermore, a conveyance-based DEM correction technique was applied to the DEMs for investigating the suitability of the technique on selected DEMs, and determining subsequent improvement in the FIA. The May 2010 flood on the Cumberland River near Nashville, TN, was selected as the case study. It was found that the hydraulic properties necessary to implement the selected DEM correction technique could be more readily estimated from NED compared to SRTM. However, this study also prescribed alternate methods to extract necessary hydraulic properties if the DEM quality was compromised. NED-based hydrodynamic modeling resulted in a high overestimation of the simulated flood stage, but the SRTM-based model was unable to produce any reasonable result prior to DEM correction. Nevertheless, after DEM correction, both models became stable and produced less error. Error in simulated flood consequence (i.e., total structures affected and total loss in dollars) also dropped accordingly, following the DEM correction. Therefore, application of this conveyance-based correction technique is reasonably effective on both moderate-resolution regional and global DEMs. The effectiveness of the technique on moderate resolution global DEM underscores the potential for users of remote and data-poor areas. © 2017 by the authors. Licensee MDPI, Basel, Switzerland.</t>
  </si>
  <si>
    <t>2-s2.0-85039739096"</t>
  </si>
  <si>
    <t>https://www.scopus.com/inward/record.uri?eid=2-s2.0-85039841706&amp;partnerID=40&amp;md5=5a8b88537f761d499aa2aee7973532cd</t>
  </si>
  <si>
    <t>In the coastal zone, there is an increasing of socioeconomic development which related to coastal erosion problem and causes some damages to the geography of the coastal zone. Besides, the environmental effects also play its role that may affect the coastal area such as shoreline changes, wave condition, relative sea level rise and climate change. In order to cope with the problem, this paper aims to illustrate the relationship of risk factors for coastal erosion decision problem using Interval Type-2 Fuzzy Decision-making Trial and Evaluation Laboratory (IT2FDEMATEL) method which is the evaluation of the factors is modelled by fuzzy approach. The study identified the four main risk factors and fourteen critical criteria as a factor that contributes to the coastal erosion. Determining the associated element towards the problems regards a wary action in order to demonstrate a critical point of decision problems in a real application which involve uncertainty during decision process. The preference scale provided by the decision makers is calculated using trapezoidal type-2 fuzzy number instead of crisp numbers. In this paper, the finding indicates that the shoreline changes/evolution is the most important risk factors to lead the coastal erosion problems followed by climate change, relative sea level rise and wave condition. Thus, it is hoped that the findings could be beneficial to policy makers to underline the need to be undertaken in dealing with coastal erosion. © Penerbit UMT.</t>
  </si>
  <si>
    <t>2-s2.0-85039841706"</t>
  </si>
  <si>
    <t>10.1002/2016JF004081</t>
  </si>
  <si>
    <t>https://www.scopus.com/inward/record.uri?eid=2-s2.0-85038904025&amp;doi=10.1002%2f2016JF004081&amp;partnerID=40&amp;md5=c065bc642de4d4f4f29c0be9097a57e4</t>
  </si>
  <si>
    <t>The geomorphic response of channels to base-level fall is an important factor in landscape evolution. To better understand the complex interactions between the factors controlling channel evolution in an emerging continental shelf setting, we use an extensive data set (high-resolution digital elevation models, aerial photographs, and Landsat imagery) of a newly incising, perennial segment of Nahal (Wadi) HaArava, Israel. This channel responds to the rapid and progressive lowering of its base-level, the Dead Sea (&gt;30 m in ~35 years</t>
  </si>
  <si>
    <t>10.1016/j.ejrh.2017.10.006</t>
  </si>
  <si>
    <t>https://www.scopus.com/inward/record.uri?eid=2-s2.0-85034787096&amp;doi=10.1016%2fj.ejrh.2017.10.006&amp;partnerID=40&amp;md5=74eda6e83ae4fcfe717de7c429d98b49</t>
  </si>
  <si>
    <t>Study region The Guarani Aquifer System (GAS), São Paulo State, Brazil, an important freshwater resource regionally and part of a giant, transboundary system. Study focus Groundwaters have been sampled along a transect. Based on environmental tracers (REEs, Br, B, δ11B, Sr, 87Sr/86Sr) aquifer vulnerability and sustainability issues are identified. New hydrological insights for the region For sites near to aquifer outcrop, REE and Sr signatures (and relatively light δ13C) trace possible vertical recharge from flood basalts directly overlying the GAS. This highlights aquifer vulnerability where confined by fewer basalts and/or having cross-cutting fractures. 14C activities for these waters, however, suggest the impact of this recharge is significantly delayed in reaching the GAS. Anthropogenic sources for boron are not currently encountered</t>
  </si>
  <si>
    <t>10.1007/s11852-017-0525-5</t>
  </si>
  <si>
    <t>https://www.scopus.com/inward/record.uri?eid=2-s2.0-85028532296&amp;doi=10.1007%2fs11852-017-0525-5&amp;partnerID=40&amp;md5=a0f787c58d60c140e5be3eb84415a6b5</t>
  </si>
  <si>
    <t>Coastal dunes are delicate systems that are under threat from a variety of human and natural influences. Groundwater modelling can provide a better understanding of how these systems operate and can be a useful tool towards the effective management of a coastal dune system, e.g. by identifying strategically important locations for flora and fauna and guiding the planning of management operations through predicting impacts from climatic change, sea level rise and land use management. Most dune systems are small, typically of the size 10–100 km2, compared with inland groundwater systems. Applying conventional groundwater modelling approaches to these small systems presents a number of challenges due to the local scale of the system and the fact that the system boundaries (sea, drains, ponds etc.) are close to the main body of the aquifer. In this paper, two case studies will be presented using different modelling approaches to understand the groundwater balance in two dune systems in the UK. The studies demonstrate that, although conventional hydraulic models can describe the general system behaviour, a fuller understanding of the recharge mechanisms and system boundaries is needed to represent adequately system dynamics of small groundwater systems. © 2017, The Author(s).</t>
  </si>
  <si>
    <t>2-s2.0-85028532296"</t>
  </si>
  <si>
    <t>10.1016/j.quaint.2016.12.025</t>
  </si>
  <si>
    <t>https://www.scopus.com/inward/record.uri?eid=2-s2.0-85014111917&amp;doi=10.1016%2fj.quaint.2016.12.025&amp;partnerID=40&amp;md5=1e67e5f55fccb9f188a5288bd1c84362</t>
  </si>
  <si>
    <t>Estimation of the extreme Total Water Levels (TWLt) is critical for inundation modeling and risk analysis. TWLt consists of the extreme Storm Surge (SSt) and Astronomic Tide (ATt), which are strongly affected by local topography and have large spatial heterogeneity. One common method is to compute the TWLt using the long-term TWL recorded at the limited standard tide gauges and then interpolate them into areas without gauges (here called total interpolation), often generating large uncertainties. This study develops a residual interpolation method to estimate the extreme TWLt for those areas without standard tide gauges. The core of this method is first to compute the extreme ATt for the 2-year return period using the tidal datum at the dense secondary stations, and then the residuals of ATt between return periods of T (T = 10, 20, 50, 100, 200 and 500 years) and 2 years at the standard stations are interpolated into the secondary tide stations</t>
  </si>
  <si>
    <t>10.1080/15481603.2017.1339987</t>
  </si>
  <si>
    <t>https://www.scopus.com/inward/record.uri?eid=2-s2.0-85020520291&amp;doi=10.1080%2f15481603.2017.1339987&amp;partnerID=40&amp;md5=da74c744411116cd532c9a379feb2720</t>
  </si>
  <si>
    <t>The aim of this paper was to analyze the ground and low vegetation points of a Light Detection and Ranging (LiDAR) point cloud from the aspect of the generated digital terrain model (DTM). We determined the height difference between the surveyed surface and the DTM and the level of interspersion of ground and low vegetation points in a floodplain. Finally, we performed a supervised classification with topographic (elevation, slope and aspect) variables and an Normalized Difference Vegetation Index (NDVI) layer to identify swales and point bars as floodplain forms. Cross sections of field surveys provided reference data to express the magnitude of the bias on the DTM caused by the vegetation, and we proved that the bias can reach the 60% of the relative height and depth of the floodplain forms (mean error was 0.15 ± 0.12 m). A landscape metric, the Aggregation Index, provided an appropriate tool to analyze and quantify the interspersion of the ground and vegetation points: indicating a high level of interspersion of the classified points, i.e. proved that vegetation points where the last echoes reflected from the vegetation became ground points. Floodplain classification performed best with the common use of DTM, slope, aspect and NDVI coverages, with 71% overall accuracy. © 2017 Informa UK Limited, trading as Taylor &amp; Francis Group.</t>
  </si>
  <si>
    <t>2-s2.0-85020520291"</t>
  </si>
  <si>
    <t>10.2112/SI78-007.1</t>
  </si>
  <si>
    <t>https://www.scopus.com/inward/record.uri?eid=2-s2.0-85038366577&amp;doi=10.2112%2fSI78-007.1&amp;partnerID=40&amp;md5=2623e941827ae172d11e491a723d7462</t>
  </si>
  <si>
    <t>Denitrification in salt marshes can be an important removal mechanism for inorganic nitrogen, particularly in coastal estuaries subject to high nutrient loading and eutrophication. Barnegat Bay, New Jersey has had high nutrient loading in the northern part of the Bay and has exhibited symptoms of eutrophication. The first goal of this study was to examine seasonal denitrification, other N fluxes, and sediment oxygen demand in salt marshes of Barnegat Bay where inputs and concentrations of nutrients vary spatially within the Bay. Second, differences in N process rates among emergent vegetated marsh and permanently flooded isolated ponds were investigated. Finally, the percentage of the N load to the Bay removed by denitrification in the salt marshes of Barnegat Bay was calculated. It was hypothesized that denitrification rates would be the highest in summer and depend on water-column nutrient concentration. In addition, denitrification rate would be higher in vegetated marsh than in inundated ponds because of the aerobic/anaerobic interfaces present in marshes required by coupled nitrification–denitrification. Denitrification rate was three times greater in July than in October (p &lt; 0.05). There were significant differences among marshes in N fluxes related to local availability of nutrients in the water column. Denitrification rates in vegetated marsh on thin sediment layers were more variable than in ponds. Overall, denitrification removed an average of 27.9% ± 6.9% of the total N load transported to the Bay, highlighting the important ecosystem service that the marshes provide to the Bay.</t>
  </si>
  <si>
    <t>10.1007/s11769-017-0909-3</t>
  </si>
  <si>
    <t>https://www.scopus.com/inward/record.uri?eid=2-s2.0-85029052511&amp;doi=10.1007%2fs11769-017-0909-3&amp;partnerID=40&amp;md5=058c6231c169065efdc01e22e85e77d9</t>
  </si>
  <si>
    <t>Rising sea levels threaten the sustainability of coastal wetlands around the globe. The ability of coastal marshes to maintain their position in the intertidal zone depends on the accumulation of both organic and inorganic materials, and vegetation is important in these processes. To study the effects of vegetation type on surface elevation change, we measured surface accretion and elevation change from 2011 to 2016 using rod surface elevation table and feldspar marker horizon method (RSET-MH) in two Phragmites and two Suaeda marshes in the Liaohe River Delta. The Phragmites marshes exhibited higher rates of surface accretion and elevation change than the Suaeda marshes. The two Phragmites marsh sites had average surface elevation change rates at 8.78 mm/yr and 9.26 mm/yr and surface accretion rates at 17.56 mm/yr and 17.88 mm/yr, respectively. At the same time, the two Suaeda marsh sites had average surface elevation change rates at 5.77 mm/yr and 5.91 mm/yr and surface accretion rates at 13.42 mm/yr and 14.38 mm/yr, respectively. The elevation change rates in both the Phragmites marshes and the Suaeda marshes in the Liaohe River Delta could keep pace and even continue to gain elevation relative to averaged sea level rise in the Bohai Sea reported by the 2016 State Oceanic Administration, People’s Republic of China projection (2.4–5.5 mm/yr) in current situations. Our data suggest that vegetation is important in the accretionary processes and vegetation type could regulate the wetland surface elevation. However, the vulnerability of coastal wetlands in the Liaohe River Delta need further assessment considering the accelerated sea level rise, the high rate of subsidence, and the declining sediment delivery, especially for the Suaeda marshes. © 2017, Science Press, Northeast Institute of Geography and Agricultural Ecology, CAS and Springer-Verlag GmbH Germany.</t>
  </si>
  <si>
    <t>2-s2.0-85029052511"</t>
  </si>
  <si>
    <t>10.1016/j.jhydrol.2017.08.009</t>
  </si>
  <si>
    <t>https://www.scopus.com/inward/record.uri?eid=2-s2.0-85027575369&amp;doi=10.1016%2fj.jhydrol.2017.08.009&amp;partnerID=40&amp;md5=c5e74397190e10801b436be26cdf57e8</t>
  </si>
  <si>
    <t>Can we use Light Detection and Ranging (LiDAR), an emergent remote sensing technology with wide applications, to document floods with high accuracy? To explore the feasibility of this application, we propose a method to extract distributed inundation depths from a LiDAR survey conducted during flooding. This method consists of three steps: (1) collecting LiDAR data during flooding</t>
  </si>
  <si>
    <t>10.1007/s11852-017-0565-x</t>
  </si>
  <si>
    <t>https://www.scopus.com/inward/record.uri?eid=2-s2.0-85030872881&amp;doi=10.1007%2fs11852-017-0565-x&amp;partnerID=40&amp;md5=a596bb917310b193be594d2cc69344bf</t>
  </si>
  <si>
    <t>The coast of Bangladesh is funnel shaped. The narrowing of the Meghna estuary along with its peculiar topography creates a funneling effect that has a large impact on surge response. In order to have an accurate estimation of surge levels, the impacts of the estuary should be treated with due importance. To represent in detail the real complexities of the estuary, a very high resolution is required, which in turn necessitates more computational cost. Considering the facts into account, a location specific vertically integrated shallow water model in cylindrical polar coordinates is developed in this study to foresee water levels associated with a storm. A one-way nested grid technique is used to incorporate coastal complicities with minimum cost. In specific, a fine mesh scheme (FMS) capable of incorporating coastal complexities with acceptable accuracy is nested into a coarse mesh scheme (CMS) covering up to 15∘N latitude in the Bay of Bengal. The coastal and island boundaries are approximated through appropriate stair step representation and the model equations are solved by a conditionally stable semi-implicit finite difference technique using a structured C-grid. Numerical experiments are performed using the model to estimate water levels due to surge associated with the April 1991 and AILA, 2009 cyclones, which struck the coast of Bangladesh. Time series of tidal level is generated from an available tide table through a cubic spline interpolation method. The computed surge response is superimposed linearly with the generated time series of tidal oscillation to obtain the time series of total water levels. The model results exhibit a good agreement with observation and reported data. © 2017, Springer Science+Business Media B.V.</t>
  </si>
  <si>
    <t>2-s2.0-85030872881"</t>
  </si>
  <si>
    <t>10.30638/eemj.2017.232</t>
  </si>
  <si>
    <t>https://www.scopus.com/inward/record.uri?eid=2-s2.0-85038638558&amp;doi=10.30638%2feemj.2017.232&amp;partnerID=40&amp;md5=25a898dfca09d93b9099890161c369b0</t>
  </si>
  <si>
    <t>The problem of water and land pollution in the coastal area of the river Bor, downstream from the Bor flotation tailings, dates back to 70-year of the last century. The paper provides an attempt to restore this degraded area by flotation tailings using method of setting the neutralization layer of wasted lime –filler height 0.1 m between layers of flotation tailings and newly drifted 0.5 m height mold layer on top. The newly formed recultivated area can be used for food production, whether it is used for human consumption or food for domestic animals. The model of restoration comprehends agro-technical, technical and biological recultivation. This process is given in detail for the experimental area in Bor River riverside (Serbia) and it includes construction of access roads, protective dykes, protective embankment towards river, smoothing surfaces and filling in a layer of lime filler minimum height of 0.1 m (buffer zone) and filling the mold soil in layer of 0.5 m height. The developed model of restoration now awaits funds for its application on the experimental site. © 2017, Gh. Asachi Technical University of Iasi. All rights reserved.</t>
  </si>
  <si>
    <t>2-s2.0-85038638558"</t>
  </si>
  <si>
    <t>10.1016/j.quaint.2017.03.042</t>
  </si>
  <si>
    <t>https://www.scopus.com/inward/record.uri?eid=2-s2.0-85017347792&amp;doi=10.1016%2fj.quaint.2017.03.042&amp;partnerID=40&amp;md5=5809ae02e3e082a77ddf0ec92c1f811c</t>
  </si>
  <si>
    <t>Relative sea-level (RSL) observations for Marine Isotope Stage (MIS) 7 were obtained from three sites (Higashinada, Kakogawa and Mitsu) of the eastern Seto Inland Sea area, western Japan. We evaluated the magnitude of sea-level highstands during MIS 7 and the local tectonics based on RSL records of this coastal area. For this purpose, we analyzed diatom assemblages and sedimentary sulfur, and carried out tephra analysis. We also constructed a linear age model to determine the depositional ages of the sediments using altitudes of astronomical age control points obtained mainly from the present diatom data. At the Mitsu site, RSLs were estimated to be −22.87 ± 0.50 m at the MIS 7.5 highstand peak (234.6 ka), below −20.17 m at 211.2 ka, and below −20.00 m at 209.9 ka. With a tectonic subsidence rate of 0.11 ± 0.02 m/ka since the Last Interglacial Maximum at the Mitsu site, the elevation of the tectonically corrected MIS 7.5 highstand peak may have been +2.94 ± 5.19 m. The tectonically corrected sea-level elevations during MIS 7.3 are inferred to have been below +3.06 ± 4.72 m at 211.2 ka and below +3.09 ± 4.70 m at 209.9 ka. Comparisons between the diatom-inferred RSLs and the isotopically derived sea-level curve indicate that the MIS 7.3 highstand peak was above −18 m and may have been lower than the MIS 7.5 and 7.1 highstands. Based on the isotopically derived sea-level curve and the RSL data from Higashinada and Kakogawa, a tectonic subsidence rate of 0.26–0.32 m/ka was derived for Higashinada and a tectonic uplift rate of &gt;0.17 m/ka and &lt;0.29 m/ka was derived for Kakogawa. A relative uplift rate of &gt;0.43 m/ka and &lt;0.61 m/ka was derived along the traverse from Higashinada to Kakogawa. The uplift rate derived for Kakogawa relative to Mitsu is &gt; 0.26 m/ka and &lt;0.42 m/ka. These values indicate the intensity of crustal movements associated with active faulting of the Rokko–Awaji fault system along this tectonically active coast. © 2017 Elsevier Ltd and INQUA</t>
  </si>
  <si>
    <t>2-s2.0-85017347792"</t>
  </si>
  <si>
    <t>10.1080/08920753.2017.1349564</t>
  </si>
  <si>
    <t>https://www.scopus.com/inward/record.uri?eid=2-s2.0-85029954591&amp;doi=10.1080%2f08920753.2017.1349564&amp;partnerID=40&amp;md5=70fde443e085170d658cccd04939ad23</t>
  </si>
  <si>
    <t>Climate change adaptation presents a difficult challenge for coastal towns around the world, forcing local governments to plan for sea level rise in a contentious decision-making space. The concept of “adaptation pathways,” a diagnostic and analytical tool to assist in adaptive planning and decision-making, is gaining traction as a way of framing and informing climate adaptation. It provides decisionmakers a way to acknowledge the inter-temporal complexities and uncertainties associated with the novel dynamics of climate change and a mechanism to manage these challenges in the local context. In 2012, the Australian Government funded an 18-month program to provide decisionmakers in the coastal zone an opportunity to test the utility of the adaptation pathways concept for coastal climate adaptation. Using a selection of completed projects as case studies, we performed a document analysis to better understand the learnings from the projects. The main themes surrounded: (1) the utility of the adaptation pathway framework in developing options, (2) decision-making rationale and criteria, and (3) stakeholder participation in pathway development. A project participant survey was developed to further understand these themes. Our analysis reveals that “adaptation pathways” was generally framed narrowly and conservatively to emphasize extant economic, administrative and legal considerations over community, participatory, or exploratory ones. Although some case study projects were able to reach a point in the pathway discussion to actively involve stakeholders in their decision-making process, many case studies continued to build technical data as a method for defending policies and actions. These results indicate that coastal adaptation can take-up adaptation pathways as a useful concept for decision-making and planning; however, many councils may still require assistance in stakeholder communication processes in order to develop sociallyacceptable plans that take into account the full range of values affecting local coastal environments.</t>
  </si>
  <si>
    <t>10.1002/2017EF000607</t>
  </si>
  <si>
    <t>https://www.scopus.com/inward/record.uri?eid=2-s2.0-85031129103&amp;doi=10.1002%2f2017EF000607&amp;partnerID=40&amp;md5=c0b2259f52f2991fe667d5f9937cf6f7</t>
  </si>
  <si>
    <t>Future sea-level rise drives severe risks for many coastal communities. Strategies to manage these risks hinge on a sound characterization of the uncertainties. For example, recent studies suggest that large fractions of the Antarctic ice sheet (AIS) may rapidly disintegrate in response to rising global temperatures, leading to potentially several meters of sea-level rise during the next few centuries. It is deeply uncertain, for example, whether such an AIS disintegration will be triggered, how much this would increase sea-level rise, whether extreme storm surges intensify in a warming climate, or which emissions pathway future societies will choose. Here, we assess the impacts of these deep uncertainties on projected flooding probabilities for a levee ring in New Orleans, LA. We use 18 scenarios, presenting probabilistic projections within each one, to sample key deeply uncertain future projections of sea-level rise, radiative forcing pathways, storm surge characterization, and contributions from rapid AIS mass loss. The implications of these deep uncertainties for projected flood risk are thus characterized by a set of 18 probability distribution functions. We use a global sensitivity analysis to assess which mechanisms contribute to uncertainty in projected flood risk over the course of a 50-year design life. In line with previous work, we find that the uncertain storm surge drives the most substantial risk, followed by general AIS dynamics, in our simple model for future flood risk for New Orleans. © 2017 The Authors.</t>
  </si>
  <si>
    <t>2-s2.0-85031129103"</t>
  </si>
  <si>
    <t>10.1007/s11629-017-4573-y</t>
  </si>
  <si>
    <t>https://www.scopus.com/inward/record.uri?eid=2-s2.0-85033609828&amp;doi=10.1007%2fs11629-017-4573-y&amp;partnerID=40&amp;md5=36d10f4ed9e26f673bd105dfd8cc2237</t>
  </si>
  <si>
    <t>The assessment of the areas endangered by debris flows is a major issue in the context of mountain watershed management. Depending on the scale of analysis, different methods are required for the assessment of the areas exposed to debris flows. While 2-D numerical models are advised for detailed mapping of inundation areas on individual alluvial fans, preliminary recognition of hazard areas at the regional scale can be adequately performed by less data-demanding methods, which enable priority ranking of channels and alluvial fans at risk by debris flows. This contribution focuses on a simple and fast procedure that has been implemented for regional-scale identification of debris-flow prone channels and prioritization of the related alluvial fans. The methodology is based on the analysis of morphometric parameters derived from Digital Elevation Models (DEMs). Potential initiation sites of debris flows are identified as the DEM cells that exceed a threshold of slope-dependent contributing area. Channel reaches corresponding to debris flows propagation, deceleration and stopping conditions are derived from thresholds of local slope. An analysis of longitudinal profiles is used for the computation of the runout distance of debris flows. Information on erosion-resistant bedrock channels and sediment availability surveyed in the field are taken into account in the applications. A set of software tools was developed and made available (https://github.com/HydrogeomorphologyTools) to facilitate the application of the procedure. This approach, which has been extensively validated by means of field checks, has been extensively applied in the eastern Italian Alps. This contribution discusses potential and limitations of the method in the frame of the management of small mountain watersheds. © 2017, Science Press, Institute of Mountain Hazards and Environment, CAS and Springer-Verlag GmbH Germany, part of Springer Nature.</t>
  </si>
  <si>
    <t>2-s2.0-85033609828"</t>
  </si>
  <si>
    <t>10.1007/s11852-017-0532-6</t>
  </si>
  <si>
    <t>https://www.scopus.com/inward/record.uri?eid=2-s2.0-85026458637&amp;doi=10.1007%2fs11852-017-0532-6&amp;partnerID=40&amp;md5=17ae55a3ab40ee927f7a66c8eb438bf8</t>
  </si>
  <si>
    <t>Climate change-induced sea-level rise (SLR) is one of the greatest challenges of the low-lying coastal regions of the world. Adaptation to the rising sea level is considered the most appropriate response measure to face this global challenge. However, this requires a pragmatic approach that’s locally suitable. The first step would be projecting SLR locally under different scenarios and at different time slices. SLR projections for specific coastal regions, particularly for developing countries are seldom available and this study puts forth a research question as to what will be the SLR projections under different scenarios for the chosen study area, i.e. the Tamil Nadu and Puducherry coast of India. SimCLIM climate modeling software has been used to project SLR for the Tamil Nadu and Puducherry coast in India for four periods of time slice namely 2025, 2050, 2075 and 2100 for all four RCP scenarios viz., RCP 2.6, RCP 4.5, RCP 6.0 and RCP 8.5 of IPCC AR5. It has been estimated that the projected average medium range of SLR for the chosen study area may range from 7.12 cm to 36.98 cm for RCP 2.6</t>
  </si>
  <si>
    <t>10.1007/s11069-017-3025-x</t>
  </si>
  <si>
    <t>https://www.scopus.com/inward/record.uri?eid=2-s2.0-85028757240&amp;doi=10.1007%2fs11069-017-3025-x&amp;partnerID=40&amp;md5=e0644a075b626784537ddf45f00fd0b2</t>
  </si>
  <si>
    <t>Floods are one of the major threats to low-lying coastal lagoons, affecting people, socio-economic activities and ecosystem services. This work proposes a methodology to assess present and future flood hazard and risk in west-boundary low-lying coastal lagoons, using the Ria de Aveiro (Portugal) as case study. A multidisciplinary approach supported on Source–Pathway–Receptor–Consequence model combined with a GIS-based multi-criteria analysis was developed and applied. This comprised the following steps: (1) definition of present and future climate scenarios associated with oceanic, fluvial and combined events, combining sea levels and river discharges for different return periods</t>
  </si>
  <si>
    <t>10.1007/s11852-017-0534-4</t>
  </si>
  <si>
    <t>https://www.scopus.com/inward/record.uri?eid=2-s2.0-85026812169&amp;doi=10.1007%2fs11852-017-0534-4&amp;partnerID=40&amp;md5=64eaa6263d1cd6a97064991936819a15</t>
  </si>
  <si>
    <t>Coastal areas are exposed to many hazardous events often exacerbeted by the sea-level rise with its related effects. The knowledge of vulnerability make possible to plan the actions aimed at reducing the risk and promoting the development of a resilient community. In this frame, the evaluation of potential vulnerability of coastal area only due to the human presence is the topic of the geo-spatial model proposed in this work. At this aim, a dataset of urban areas and population of last 200 years was used to assess the trend of these two factors and four vulnerability indices: urban density, population density, occupied buildings density and buildings surplus. The urban density and population density indices communicate the human pressure due to the presence of men while occupied buildings density and buildings surplus indices identify the zones where accommodation measures, as land use changes, could be applied to improve the coastal system adaptive capacity. This model was implemented at both municipality and censual administrative unit scales and it is well transferable to other areas exposed to hazard, allowing a comparison among regions. The method was applied to the case study of Volturno coastal plain (VCP), located in the north-western zone of Campania Plain (Southern Italy): indeed, the exposure to many natural hazards (coastal erosion, marine inundation, subsidence, salt water intrusion) coupled with the intense urbanization make the VCP a good test area to validate the methodology here proposed. The model evidenced a low constant value of population growth and the achievement of a sill for the urban development after the nineties, moreover the greatest part of censual districts close to the VCP shoreline have a high percentage of total unoccupied buildings. These conditions make concrete the possibility to change the land use from urban to natural land for wide coastal sectors. © 2017, Springer Science+Business Media B.V.</t>
  </si>
  <si>
    <t>2-s2.0-85026812169"</t>
  </si>
  <si>
    <t>10.1016/j.rsase.2017.09.001</t>
  </si>
  <si>
    <t>https://www.scopus.com/inward/record.uri?eid=2-s2.0-85033610377&amp;doi=10.1016%2fj.rsase.2017.09.001&amp;partnerID=40&amp;md5=7e87c144154cda359ac3324de3b21c02</t>
  </si>
  <si>
    <t>This work aims to investigate the potential of the Small Baseline Subset (SBAS) to measure ground deformation in five open pit iron mines located in Carajás Mineral Province (Brazilian Amazon Region), characterized by torrential rains, using a set of 33 TerraSAR-X Stripmap images acquired during 1-year, from March 2012 to April 2013. For the interferometric processing, a coherence threshold of 45%, 4 looks, Delaunay Minimum Cost Flow (MCF), with a reference GeoEye-1 DEM were used. The SBAS measurements allowed obtaining a synoptic view of the mine complex, covering the infrastructure and benches, detecting the expected natural settlements on the top of waste piles, as well as detecting the deformation in some benches of one mine (N5W). Overall, the results were consistent with the in situ measurements, and so can be a useful tool for monitoring linear and nonlinear deformation in open pit mines located in a tropical rainforest environment, providing a synoptic view of the ground movement for alarm, planning and mining risk assessment. © 2017 The Authors</t>
  </si>
  <si>
    <t>2-s2.0-85033610377"</t>
  </si>
  <si>
    <t>10.3390/rs9101004</t>
  </si>
  <si>
    <t>https://www.scopus.com/inward/record.uri?eid=2-s2.0-85032864631&amp;doi=10.3390%2frs9101004&amp;partnerID=40&amp;md5=1bf6711b84e53274cf31ff05830fa93d</t>
  </si>
  <si>
    <t>Subways have been an important method for relieving traffic pressures in urban areas, but ground subsidence, during construction and operation, can be a serious problem as it may affect the safety of its operation and that of the surrounding buildings. Thus, conducting long-term ground deformation monitoring and modeling for subway networks are essential. Compared with traditional geodetic methods, the Persistent Scatterer Interferometric Synthetic Aperture Radar (PS-InSAR) technique offers wider coverage and denser measurements along subway lines. In this study, we mapped the surface deformation of the Guangzhou subway network with Advanced Synthetic Aperture Radar (ASAR) and Phased Array Type L-band Synthetic Aperture Radar (PALSAR) data using the Interferometric Point Target Analysis (IPTA) technique. The results indicate that newly excavated tunnels have regional subsidence with an average rate of more than 8 mm/year, as found on Lines Two, Three, Six, and GuangFo (GF). Furthermore, we determined the spatio-temporal subsidence behavior of subways with PALSAR in delta areas using Peck's formula and the logistic time model. We estimated the tunneling-related parameters in soft soil areas, which had not been previously explored. We examined a section of line GF, as an example, to estimate the ground settlement trough development. The results showed the maximum settlement increased from -5.2 mm to -23.6 mm and its ground loss ratio ranged from 1.5-8.7% between 13 July 2008 and 19 January 2011. In addition, we found that the tunnels in line GF will become stable after a period of about 2300 days in peak subsidence areas. The results show that the proposed approach can help explain the dynamic ground subsidence along a metro line. This study can provide references for urban subway projects in delta areas, and for the risk assessment of nearby buildings and underground pipelines along metro lines. © 2017 by the authors.</t>
  </si>
  <si>
    <t>2-s2.0-85032864631"</t>
  </si>
  <si>
    <t>10.1007/s11069-017-3018-9</t>
  </si>
  <si>
    <t>https://www.scopus.com/inward/record.uri?eid=2-s2.0-85027969935&amp;doi=10.1007%2fs11069-017-3018-9&amp;partnerID=40&amp;md5=cc77978dd908963c9f1afc64e6b00d14</t>
  </si>
  <si>
    <t>Densely populated coastal zones of India are highly exposed to natural environment. These are impacted by episodic natural events, continuous coastal process, gradually rising sea levels and coexisting human interventions. The present study is an attempt to assess the implication of the sea level rise and coastal slope in the coastal erosion for entire mainland of India. In this regard, two methods were employed to estimate the shoreline change rate (SCR): (1) satellite-derived SCR using the Landsat TM and ETM+ acquired during 1989–2001 and (2) SCR derived by Bruun Rule using the parameters coastal slope and sea level trend derived from satellite altimetry. Satellite-derived SCR has been compared with the shoreline change estimated based on Bruun Rule, revealing a better agreement with each other in terms of trend. Peaks of shoreline retreat calculated using Bruun model and satellite-observed SCR offset by 25–50 km. Offset in these peaks was observed due to net drift towards north in the east coast and south in the west coast of India, revealing the applicability of the Bruun Rule along the Indian coast. The present study demonstrates that coastal slope is an additional parameter responsible for the movement of shoreline along with sea level change. The results of satellite-derived SCR reveal the highest percentage of erosion along West Bengal coast with 70% followed by Kerala (65%), Gujarat (60%) and Odisha (50%). The coastlines of remaining states recorded less than 50% of coasts under erosion. Results of this study are proving critical inputs for the coastal management. © 2017, Springer Science+Business Media B.V.</t>
  </si>
  <si>
    <t>2-s2.0-85027969935"</t>
  </si>
  <si>
    <t>10.2112/JCOASTRES-D-16-00041.1</t>
  </si>
  <si>
    <t>https://www.scopus.com/inward/record.uri?eid=2-s2.0-85034455927&amp;doi=10.2112%2fJCOASTRES-D-16-00041.1&amp;partnerID=40&amp;md5=6f7ae1b8eb82da19d0fa7598a68f23a1</t>
  </si>
  <si>
    <t>In this study, a statistical model was set up using extreme value distribution theory to estimate the return periods for both the highest surge levels and the adjusted direct economic losses from storm surge disasters based on the historical database. The extreme value distribution theory has been widely applied in hydrology and coastal engineering, and one well-performing extreme distribution is the Gumbel distribution. Based on the Gumbel distribution, three parameter estimation methods were used to determine the best method for generating the Gumbel distribution functions; subsequently, the expressions for the return periods were derived. The least square method was identified as the best parameter-estimation method for this study. Comparisons were implemented among return periods of the highest surge levels with the adjusted direct economic loss, which showed that the linear functional relationship between these two indicators was not significant. This study also found there was strong spatial autocorrelation for the highest surge levels with the adjusted direct economic loss by employing spatial analysis along the China's coastline. Analysis based on comparisons among the return periods of the highest surge levels and the adjusted direct economic loss in three coastal regions showed different levels of return periods the regions tended to have. Furthermore, analysis of the variation in indicators between the former half and the latter half of the study period reflected the change in climate. The application of the extreme value distribution theory was extended to evaluate economic losses during a storm surge disaster, and the underlying relationships and the deviations between the highest surge levels and the adjusted direct economic loss were analyzed, which indicated the damages caused by storm surges did not completely depend on the surge level.</t>
  </si>
  <si>
    <t>10.1007/s13157-017-0948-7</t>
  </si>
  <si>
    <t>https://www.scopus.com/inward/record.uri?eid=2-s2.0-85029038070&amp;doi=10.1007%2fs13157-017-0948-7&amp;partnerID=40&amp;md5=533805b9771919af1a97eaae89356211</t>
  </si>
  <si>
    <t>The mechanism by which new deltaic wetlands form is a complex suite of biological and physical processes that can modify one another. Understanding these processes and their interactions is imperative to successful coastal restoration. This study investigated the relationship between belowground plant biomass and sediment cohesion. We hypothesized that greater root densities increase shear strength, variably across plant communities, and that these communities are associated with distinct inundation regimes. A significant relationship was found between belowground biomass and surface shear strength when accounting for sediment grain size, water content, and organic matter content. Sites dominated by native graminoids or woody species had significantly higher shear strengths than unvegetated areas. However, sites dominated by Phragmites australis or forbs did not differ significantly in shear strength from the unvegetated sites. Sites dominated by Phragmites australis were also subject to significantly higher inundation rates during the previous water year than any other vegetation type. These results suggest that vegetation community differences lead to differences in shear strength that result in locally differential erosion rates, in turn modifying future geomorphology, hydrology, sedimentation, and vegetation distribution. This feedback implies that certain vegetation communities in wetland restoration projects could not only impart immediate erosion resistance to the substrate, but affect the long-term potential for land creation. © 2017, Society of Wetland Scientists.</t>
  </si>
  <si>
    <t>2-s2.0-85029038070"</t>
  </si>
  <si>
    <t>10.1016/j.rsase.2017.08.007</t>
  </si>
  <si>
    <t>https://www.scopus.com/inward/record.uri?eid=2-s2.0-85034070505&amp;doi=10.1016%2fj.rsase.2017.08.007&amp;partnerID=40&amp;md5=e62c14be87c3d6478bf98fe6cc7b9e08</t>
  </si>
  <si>
    <t>Remote Sensing techniques with GIS were used to evaluate flash flood hazard in Wadi Qena. Wadi Qena represents a large, wide, dry and long valley slopes down from the south of the Galala height to the town of Qena. Its southern stretches considered as very promising land for the agriculture expansion. The surface area of Wadi Qena is about 15,588 km2. Flash flood hazard in Wadi Qena is evaluating by the integration of some quantitative geo-morphometric parameters and Tropical Rainfall Monitoring Mission (TRMM) satellite data of the last flashflood in 28th January 2013. Streams were automatically extracted from ASTER DEM data. Wadi Qena classified into 151 sub-basins. The various morphometric parameters of Wadi Qena sub-basins have been computed. flash flood hazard map of the most dangerous sub-basins was prepared by combining all the spatial layers of morphometric parameters for the sub-basins included in it by GIS analysis. the majority of the sub-basins range from low to medium hazard degree Except one sub-basin located at the eastern part of the wadi is classified as high hazard degree. This technique may help in evaluating the hydrographic basin and offers a base map delineating both recharge and flooding area. Flash flood has double-edged effects one is a destructive and life terminator, the second is a beneficent, if it can be controlled and directed for the development the community. This technique helps in diminishing the flood hazards and increases recharging the shallow aquifers. © 2017 Elsevier B.V.</t>
  </si>
  <si>
    <t>2-s2.0-85034070505"</t>
  </si>
  <si>
    <t>10.1016/j.jafrearsci.2016.10.013</t>
  </si>
  <si>
    <t>https://www.scopus.com/inward/record.uri?eid=2-s2.0-85006783298&amp;doi=10.1016%2fj.jafrearsci.2016.10.013&amp;partnerID=40&amp;md5=5d26afbc44375bc292ee8afd683ab8df</t>
  </si>
  <si>
    <t>This paper investigates the relevance of landforms to the subsidence of the Nile Delta using a high resolution topographic digital elevation model (DEM) and sets of multi-temporal Landsat satellite images. 195 topographic map sheets produced in 1946 at 1:25,000 scale were digitized, and the DEM was interpolated. The undertaken processing techniques have distinguished all the natural low-lying closed depressions from the artificial errors induced by the interpolation of the DEM. The local subsidence of these depressions from their surroundings reaches a maximum depth of 2.5 m. The regional subsidence of the Nile Delta has developed inverted topography, where the tracts occupied by the contemporary distributary channels are standing at higher elevations than the areas in between. This inversion could be related to the differences in the hydrological and sedimentological properties of underlying sediments, as the channels are underlain by water-saturated sands while the successions of clay and silt on flood plains are prone to compaction. Furthermore, the analysis of remote sensing and topographic data clearly show significant changes in the land cover and land use, particularly in the northern lagoons and adjacent sabkhas, which are dominated by numerous low subsiding depressions. The areas covered by water logging and ponds are increasing on the expense of agricultural areas, and aquaculture have been practiced instead. The precise estimation of subsidence rates and distribution should be worked out to evaluate probable changes in land cover and land use. © 2016 Elsevier Ltd</t>
  </si>
  <si>
    <t>2-s2.0-85006783298"</t>
  </si>
  <si>
    <t>10.1016/j.catena.2017.05.014</t>
  </si>
  <si>
    <t>https://www.scopus.com/inward/record.uri?eid=2-s2.0-85019863600&amp;doi=10.1016%2fj.catena.2017.05.014&amp;partnerID=40&amp;md5=38d36bfb43e650941630ad54d2d1ebd2</t>
  </si>
  <si>
    <t>The aim of the study was to evaluate the dynamics of soluble ions in the soils of a pinewood forest of the Mediterranean coastal area in the Province of Ravenna, Italy. A one year monitoring was carried out in four Entisols of the San Vitale pinewood forest, a vulnerable natural area due to subsidence and salt water intrusion. Ionic soluble forms were examined in saturated paste extracts (SPEs) and compared to groundwater soluble forms. Due to the local thermo-pluviometric conditions, both the water table depth and groundwater electrical conductivity (ECw) varied widely ranging respectively from 0 to − 162 cm in depth and from 2 to 28 dS·m− 1 in salinity content. As expected, this greatly influenced soluble ions concentrations in soil horizons, leading to variations in salt's speciation. In soils with a deep water table (Typic Ustipsamments), superficial horizons showed a prevalence of Ca2 + and HCO3– ion forms during the whole year, while in the deep horizons, Na+ and Cl− were the dominant ions. During summertime in soils with a shallow water table (Sodic Psammaquents), superficial ions enrichment was detected with Na+ and Cl− ions being prevalent. Autumn and winter rainfall provoked the leaching of both Na+ and especially of Cl− ions, leaving HCO3– as the main anion. In the soils with intermediate water table depth and moderate salinity (Aquic Ustipsamments), less relevant variations were observed. During winter the Ca2 + ion was the most present at the soil surface together with HCO3−. During summer Ca2 + and Cl− were the most present ions at the soil surface. At deeper horizons Na+ and Cl− ions always prevailed. The sodium adsorption ratio (SAR) reached the greatest values (&gt; 40) during summertime in Sodic Psammaquents superficial horizons and in Typic Ustipsamments deep horizons. On the basis of mixing curves, Na+ and Cl− displayed a conservative behavior and a likely sea origin. Both the Ca2 + and SO42 − ions appeared to be partially released from the solid soil fraction, while the Mg2 + ion seemed to be partially absorbed by the solid matrix. On the basis of the hydrochemical characterization of both groundwater and soil SPEs, it was possible to identify different refreshing and salinization processes along the soil profiles. The one year monitoring of both the whole soil profile and groundwater, never performed before, allows a better understanding of the presence of distinct plant species and disease symptoms. © 2017 Elsevier B.V.</t>
  </si>
  <si>
    <t>2-s2.0-85019863600"</t>
  </si>
  <si>
    <t>10.1080/08941920.2017.1315655</t>
  </si>
  <si>
    <t>https://www.scopus.com/inward/record.uri?eid=2-s2.0-85020273309&amp;doi=10.1080%2f08941920.2017.1315655&amp;partnerID=40&amp;md5=094dcccff3cbade584bed01a30e3b742</t>
  </si>
  <si>
    <t>The Okavango Delta in Botswana hosts abundant wildlife and a human population with diverse livelihoods. Representing a heterogeneous landscape nuanced by spatial and temporal variability, the region has recently seen an expansion of floodwaters with social impacts ranging from livelihood disruption to human displacement. This article reports on in-depth interviews conducted in 2012 regarding these transitions in Mababe, a community in the eastern Okavango Delta, to evaluate how dynamic environmental processes alter perceptions and livelihood responses. We focus on community members’ variable interactions with wildlife in spaces of human–wildlife overlap also experiencing change. While human–wildlife interactions can have negative effects, we find that perpetuating the common narrative of human–wildlife conflict overlooks how disruptions can usher in new relationships between people and animals. In order to move beyond the conflict narrative, we conclude that spatial and temporal context is essential to evaluate effects of dynamic, uneven, and sometimes unpredictable human–wildlife encounters. © 2017 Taylor &amp; Francis.</t>
  </si>
  <si>
    <t>2-s2.0-85020273309"</t>
  </si>
  <si>
    <t>10.3390/rs9101020</t>
  </si>
  <si>
    <t>https://www.scopus.com/inward/record.uri?eid=2-s2.0-85032871270&amp;doi=10.3390%2frs9101020&amp;partnerID=40&amp;md5=cc3e5835885d1ac1f68fde8924d38075</t>
  </si>
  <si>
    <t>The vulnerability of coastal systems to hazards such as storms and sea-level rise is typically characterized using a combination of ground and manned airborne systems that have limited spatial or temporal scales. Structure-from-motion (SfM) photogrammetry applied to imagery acquired by unmanned aerial systems (UAS) offers a rapid and inexpensive means to produce high-resolution topographic and visual reflectance datasets that rival existing lidar and imagery standards. Here, we use SfM to produce an elevation point cloud, an orthomosaic, and a digital elevation model (DEM) from data collected by UAS at a beach and wetland site in Massachusetts, USA.We apply existing methods to (a) determine the position of shorelines and foredunes using a feature extraction routine developed for lidar point clouds and (b) map land cover from the rasterized surfaces using a supervised classification routine. In both analyses, we experimentally vary the input datasets to understand the benefits and limitations of UAS-SfM for coastal vulnerability assessment. We find that (a) geomorphic features are extracted from the SfM point cloud with near-continuous coverage and sub-meter precision, better than was possible from a recent lidar dataset covering the same area</t>
  </si>
  <si>
    <t>10.1007/s11069-017-2964-6</t>
  </si>
  <si>
    <t>https://www.scopus.com/inward/record.uri?eid=2-s2.0-85024491237&amp;doi=10.1007%2fs11069-017-2964-6&amp;partnerID=40&amp;md5=dea6dfa2fb814a3b39a095da480363d3</t>
  </si>
  <si>
    <t>Storm surges are abnormal coastal sea level events caused by meteorological conditions such as tropical cyclones. They have the potential to cause widespread loss of life and financial damage and have done so on many occasions in the past. Accurate and timely forecasts are necessary to help mitigate the risks posed by these events. Operational forecasting models use discretisations of the governing equations for fluid flow to model the sea surface, which is then forced by surface stresses derived from a model wind and pressure fields. The wind fields are typically idealised and generated parametrically. In this study, wind field datasets derived from remotely sensed data are used to modify the model parametric wind forcing and investigate potential improvement to operational forecasting. We examine two methods for using analysis wind fields derived from remotely sensed observations of three hurricanes. Our first method simply replaces the parametric wind fields with its corresponding analysis wind field for a period of time. Our second method does this also but takes it further by attempting to use some of the information present in the analysis wind field to estimate future wind fields. We find that our methods do yield some forecast improvement, most notably for our second method where we get improvements of up to 0.29 m on average. Importantly, the spatial structure of the surge is changed in some places such that locations that were previously forecast small surges had their water levels increased. These results were validated by tide gauge data. © 2017, The Author(s).</t>
  </si>
  <si>
    <t>2-s2.0-85024491237"</t>
  </si>
  <si>
    <t>10.1111/1365-2664.12906</t>
  </si>
  <si>
    <t>https://www.scopus.com/inward/record.uri?eid=2-s2.0-85018823336&amp;doi=10.1111%2f1365-2664.12906&amp;partnerID=40&amp;md5=2490bf381e7f337d5bf5918e62cb0df8</t>
  </si>
  <si>
    <t>Nearshore ecosystems are increasingly recognized as critical habitats for fish of cultural, ecological and economic significance. These ecosystems are often densely inhabited by juvenile fish, highly productive and refuges from predation, leading ecologists to characterize them as nurseries. However, nearshore ecosystems are being transformed globally to support demands of growing coastal populations. Many shorelines are modified by armouring (e.g. seawalls, riprap) that minimizes erosion, and overwater structures (e.g. piers, docks) that facilitate waterfront use. These modifications affect the ecology of nearshore systems by restructuring, eliminating and shading shallow waters. Here, we review literature examining effects of armouring and overwater structures on coastal and estuarine fishes, and discuss how research and management can coordinate to minimize negative effects. Along armoured shorelines, fish assemblages differed from unarmoured sites, fish consumed less epibenthic and terrestrial prey, beach spawning was less successful and fish were larger. Under large overwater structures, visually oriented fish were less abundant and they fed less. Shade from overwater structures also interrupted localized movements of migratory fish. Thus, shoreline modifications impaired habitats by limiting feeding, reproduction, ontogenetic habitat shifts from shallow to deeper waters and connectivity. Research suggests that restoring shallow waters and substrate complexity, and minimizing shading underneath overwater structures, can rehabilitate habitats compromised by shoreline modifications. Synthesis and applications. Shoreline armouring and overwater structures often compromise fish habitats. These threats to nearshore fish habitats will become more severe as growing coastal populations and rising sea levels increase demands for shoreline infrastructure. Our ability to assess and rehabilitate nearshore fish habitats along modified shorelines will be enhanced by: focusing research attention on metrics that directly indicate fish habitat quality</t>
  </si>
  <si>
    <t>10.1080/08920753.2017.1345607</t>
  </si>
  <si>
    <t>https://www.scopus.com/inward/record.uri?eid=2-s2.0-85029923711&amp;doi=10.1080%2f08920753.2017.1345607&amp;partnerID=40&amp;md5=42a891c884fcadd6871227b43cbea2d2</t>
  </si>
  <si>
    <t>Coastal barrier systems around the world are experiencing higher rates of flooding and shoreline erosion. Property owners on barriers have made significant financial investments in physical protections that shield their nearby properties from these hazards, constituting a type of adaptation to shoreline change. Factors that contribute to adaptation on Plum Island, a developed beach and dune system on the North Shore of Massachusetts, are investigated here. Plum Island experiences patterns of shoreline change that may be representative of many inlet-associated beaches, encompassing an equivocal and dynamically shifting mix of erosion and accretion. In the face of episodic floods and fleeting erosive events, and driven by a combination of strong northeast storms and cycles of erosion and accretion, the value of the average Plum Island residence increases by 34% for properties on the oceanfront where protection comprises a publicly constructed soft structure. Even in the face of state policies that ostensibly discourage physical protection as a means of adaptation, coastal communities face significant political and financial pressures to maintain existing protective structures or to allow contiguous groups of property owners to build new ones through collective action. These factors mitigate against adapting to shoreline change by retreating from the coast, thereby potentially increasing the adverse effects of coastal hazards. © 2017 Taylor &amp; Francis.</t>
  </si>
  <si>
    <t>2-s2.0-85029923711"</t>
  </si>
  <si>
    <t>10.1007/s00024-017-1625-8</t>
  </si>
  <si>
    <t>https://www.scopus.com/inward/record.uri?eid=2-s2.0-85031752050&amp;doi=10.1007%2fs00024-017-1625-8&amp;partnerID=40&amp;md5=c600a77d56c232cce0c297e036c70013</t>
  </si>
  <si>
    <t>The paper provides a comprehensive review of all aspects of Adriatic Sea level research covered by the literature. It discusses changes occurring over millennial timescales and documented by a variety of natural and man-made proxies and post-glacial rebound models</t>
  </si>
  <si>
    <t>10.1007/s11069-017-2957-5</t>
  </si>
  <si>
    <t>https://www.scopus.com/inward/record.uri?eid=2-s2.0-85020740618&amp;doi=10.1007%2fs11069-017-2957-5&amp;partnerID=40&amp;md5=333b1d8235a8e8ed4c52f8b8373ba29d</t>
  </si>
  <si>
    <t>With many inhabited islands only at about 1 m above mean sea level, the Maldives is among the nations most threatened by coastal flooding and sea level rise. However, the understanding of recent coastal flood events in the Maldives is limited and is important to understanding future flood threats. This paper assesses (1) the sea level and wave climate of the Maldives, (2) the sea level and wave conditions during recent coastal flood events, and (3) the implications for flood management and future research. The analysis uses observed still water levels (1987–2015) and hindcast wave conditions (1979–2015). Two significant flood events on 10–13 April 1987 and 15–17 May 2007 are examined in detail. This shows that coastal flooding in the Maldives occurs due to multiple interacting sources. These include long-period (up to 20 s) energetic waves generated in the Southern Ocean combined with spring tides. Wave run-up (mainly wave set-up) appears an essential mechanism for a flood, but is currently poorly quantified. However, as sea levels continue to rise the conditions that produce a flood will occur more frequently, suggesting that flooding will become common in the Maldives. This analysis is a starting point for future research and highlights the need to continue research on flood sources, pathways and receptors, and plan adaptation measures. Priorities include monitoring of waves, sea levels and flood events, and a better understanding of set-up (and other shallow water processes over reefs). © 2017, Springer Science+Business Media B.V.</t>
  </si>
  <si>
    <t>2-s2.0-85020740618"</t>
  </si>
  <si>
    <t>10.1190/int-2017-0100.1</t>
  </si>
  <si>
    <t>https://www.scopus.com/inward/record.uri?eid=2-s2.0-85037089955&amp;doi=10.1190%2fint-2017-0100.1&amp;partnerID=40&amp;md5=cea9c6ee937826391e4421e1678f0fb1</t>
  </si>
  <si>
    <t>The Pannonian basin is an intra-orogenic extensional region floored by a complex system of Alpine orogenic terranes and oceanic suture zones. Its formation dates back to the beginning of the Miocene, and initial fluvial-lacustrine deposits pass into shallow to open marine strata including a large amount of calc-alkaline volcanic materials erupted during the culmination of the synrift phase. Onset of postrift phase occurred during the Late Miocene, when the basin became isolated and a large Pannonian Lake developed. Early lacustrine marls are overlain by turbiditic sandstones and silts related to a progradational shelf slope and a delta plain sequence passing upward into alluvial plain deposits and eolian sands. A remarkable unconformity at the top of lacustrine strata associated with a significant (4 to 7 my) time gap at large parts of the basin documents a neotectonic phase of activity, manifested by regional strike-slip faulting and km scale differential vertical movements, with erosion and redeposition. Subsidence and burial history modeling show that Middle and Late Miocene, fairly organic-rich marine and lacustrine (respectively) shales entered into oil-generation window at about the beginning of Pliocene in depocenters deeper than 2.5 to 3 km, and even reached the wet to dry gas generation zone at depths exceeding 4 to 4.5 km. Migration out of these kitchens has been going on since the latest Miocene towards basement highs, where anticlines and flower structures offered adequate trapping conditions for hydrocarbons. We argue that compaction of thick sedimentary piles, in addition to neotectonic structures has been also important in trap formation within the Pannonian basin. © 2018 Society of Exploration Geophysicists and American Association of Petroleum Geologists.</t>
  </si>
  <si>
    <t>2-s2.0-85037089955"</t>
  </si>
  <si>
    <t>10.1007/s10236-017-1101-0</t>
  </si>
  <si>
    <t>https://www.scopus.com/inward/record.uri?eid=2-s2.0-85029899353&amp;doi=10.1007%2fs10236-017-1101-0&amp;partnerID=40&amp;md5=d6d8cbe27a583691c1c4d09d49970aba</t>
  </si>
  <si>
    <t>The long-term morphodynamic evolution of tidal networks on tidal flats is investigated using a two-dimensional numerical model. We explore the physical processes related to the development of the morphology and the presence of equilibrium configurations. Tidal networks are simulated over a rectangular domain representing a tidal platform, a different setting compared to estuaries (subject to riverine influence) and lagoons (offshore bars constricting the flow). In the early and middle phases of the tidal network evolution, large sediment patches with rhombus-like shape form and gradually migrate in the flood direction, even though the overall sediment flux is ebb-directed. A cross-section-averaged “equilibrium” state is asymptotically approached after about 500 years. The area and peak discharge of the lower flat cross-sections at year 500 approximately show a 1:1 relationship, which is in agreement with field observations. We also show that model results are consistent with the Q-A relationship (peak discharge Q versus cross-sectional area A), which is obtained under the assumption of a constant Chézy friction. © 2017, Springer-Verlag GmbH Germany.</t>
  </si>
  <si>
    <t>2-s2.0-85029899353"</t>
  </si>
  <si>
    <t>10.1175/WAF-D-16-0218.1</t>
  </si>
  <si>
    <t>https://www.scopus.com/inward/record.uri?eid=2-s2.0-85032278218&amp;doi=10.1175%2fWAF-D-16-0218.1&amp;partnerID=40&amp;md5=ae05ddf8ffafd51f5af149d4609d619a</t>
  </si>
  <si>
    <t>Through a case study of Hurricane Arthur (2014), the Weather Research and Forecasting (WRF) Model and the Finite Volume Coastal Ocean Model (FVCOM) are used to investigate the sensitivity of storm surge forecasts to physics parameterizations and configurations of the initial and boundary conditions in WRF. The turbulence closure scheme in the planetary boundary layer affects the prediction of the storm intensity: the local closure scheme produces lower equivalent potential temperature than the nonlocal closure schemes, leading to significant reductions in the maximum surface wind speed and surge heights. On the other hand, higher-class cloud microphysics schemes overpredict the wind speed, resulting in large overpredictions of storm surge at some coastal locations. Without cumulus parameterization in the outermost domain, both the wind speed and storm surge are grossly underpredicted as a result of large precipitation decreases in the storm center. None of the choices for the WRF physics parameterization schemes significantly affect the prediction of Arthur's track. Sea surface temperature affects the latent heat release from the ocean surface and thus storm intensity and storm surge predictions. The large-scale atmospheric circulation models provide the initial and boundary conditions for WRF, and influence both the track and intensity predictions, thereby changing the spatial distribution of storm surge along the coastline. These sensitivity analyses underline the need to use an ensemble modeling approach to improve the storm surge forecasts. © 2017 American Meteorological Society.</t>
  </si>
  <si>
    <t>2-s2.0-85032278218"</t>
  </si>
  <si>
    <t>10.1016/j.ijdrr.2017.07.008</t>
  </si>
  <si>
    <t>https://www.scopus.com/inward/record.uri?eid=2-s2.0-85028702360&amp;doi=10.1016%2fj.ijdrr.2017.07.008&amp;partnerID=40&amp;md5=8b88cbbab6c3daa2319346d790b093f6</t>
  </si>
  <si>
    <t>Estuarine areas are often affected by flood episodes with significant infrastructural and human damages caused by the overlap of different triggering factors. Currently flood risk management practices are subject to increased scrutiny by the public and relevant stakeholders requiring rigorous justification by flood risk managers and careful validation of the technical options and human and financial resources allocated to the management practice. Therefore, flood risk diagnosis through historical sources might constitute an important and effective first approach to public policies validation. In this paper is presented an estuarine flood damage database based on historical information and discussed as to the extent these types of sources can contribute to improve estuarine flood risk management in the Tagus estuary (Portugal). The paper discusses the methodological findings and limitations and highlights the usefulness of historical information integrating the results into the International Risk Governance Council (IRGC) risk management framework. © 2017 Elsevier Ltd</t>
  </si>
  <si>
    <t>2-s2.0-85028702360"</t>
  </si>
  <si>
    <t>10.1016/j.geomorph.2017.09.026</t>
  </si>
  <si>
    <t>https://www.scopus.com/inward/record.uri?eid=2-s2.0-85032180145&amp;doi=10.1016%2fj.geomorph.2017.09.026&amp;partnerID=40&amp;md5=ee18451e151d6adc40599a356d5db5b7</t>
  </si>
  <si>
    <t>Barrier islands exhibit a range of landforms that reflect the complex and varied combination of coastal and aeolian processes realized over the evolution of the island. A detailed analysis of the topography can be used to describe the evolution of a barrier island and provide insight on how it may be affected by a change in sea level, storm activity and wind exposure patterns. Topographic anisotropy, or the directional dependence of relief of landforms, can be used to determine the relative importance of different processes to island evolution at a range of scales. This short communication describes the use of scale-dependent topographic anisotropy to characterize the structure of Santa Rosa Island in northwest Florida. Scale-dependent topographic relief and asymmetry were assessed from a LiDAR-derived DEM from May 2004, a few months before the island experienced widespread erosion and overwash during Hurricane Ivan. This application demonstrates how anisotropy can be used to identify unique scale-dependent structures that can be used to interpret the evolution of this barrier island. Results of this preliminary study further highlight the potential of using topographic anisotropy to controls on barrier island response and recovery to storms as well as island resiliency with sea level rise and storm activity. © 2017 Elsevier B.V.</t>
  </si>
  <si>
    <t>2-s2.0-85032180145"</t>
  </si>
  <si>
    <t>10.5194/nhess-17-1505-2017</t>
  </si>
  <si>
    <t>https://www.scopus.com/inward/record.uri?eid=2-s2.0-85029477235&amp;doi=10.5194%2fnhess-17-1505-2017&amp;partnerID=40&amp;md5=9cf584339eb15caa2a25c2f211bc0fd2</t>
  </si>
  <si>
    <t>Geomorphic impacts of a disastrous crevasse splay that formed in September 2015 and its post-formation modifications were quantitatively documented by using repeated, high-definition digital surface models (DSMs) of an inhabited and cultivated floodplain of the Kinu River, central Japan. The DSMs were based on pre-flood (resolution: 2ĝ€m) and post-flood (resolution: 1ĝ€m) aerial light detection and ranging (lidar) data from January 2007 and September 2015, respectively, and on structure-from-motion (SfM) photogrammetry data (resolution: 3.84ĝ€cm) derived from aerial photos taken by an unmanned aerial vehicle (UAV) in December 2015. After elimination of systematic errors among the DSMs and down-sampling of the SfM-derived DSM, elevation changes on the order of 10ĝ'1ĝ€m-including not only topography but also growth of vegetation, vanishing of flood waters, and restoration and repair works-were detected. Comparison of the DSMs showed that the volume eroded by the flood was more than twice the deposited volume in the area within 300-500ĝ€m of the breached artificial levee, where the topography was significantly affected. The results suggest that DSMs based on a combination of UAV-SfM and lidar data can be used to quantify, rapidly and in rich detail, topographic changes on floodplains caused by floods. © Author(s) 2017.</t>
  </si>
  <si>
    <t>2-s2.0-85029477235"</t>
  </si>
  <si>
    <t>10.1016/j.ijdrr.2017.09.030</t>
  </si>
  <si>
    <t>https://www.scopus.com/inward/record.uri?eid=2-s2.0-85029773834&amp;doi=10.1016%2fj.ijdrr.2017.09.030&amp;partnerID=40&amp;md5=ae92c8fc95860b1dda629a85827f9fdc</t>
  </si>
  <si>
    <t>The boundary between formal and informal urban development tends to be particularly blurred in African cities. The Densu Delta in western Greater Accra is a prime example where buildings have been erected outside formally regulated urban development, in an ecologically precarious site. As a result, more and more people and structures are exposed to inundation, coastal erosion and flooding, but they also develop creative strategies to cope with the risks and vulnerabilities related with these hazards. The role of institutions, understood as co-produced arrangements between people, towards shaping the distribution of vulnerability to flood risk has been assessed for two localities in the Densu Delta. The article combines qualitative data from interviews and field observations with quantitative spatial data monitoring urbanisation in Greater Accra. Institutional as well as bio-physical dynamics in space and time that shape the riskscape of urban flooding in the Densu Delta are revealed. They expose a highly diverse landscape of vulnerability to flooding that cannot be explained solely by the material environment. Instead, tinkering, re-invention and transformation of twilight institutions is found to shape the distribution of vulnerability. The insights gained are of particular relevance to disaster risk reduction in rapidly urbanising areas in the Global South. © 2017 The Authors</t>
  </si>
  <si>
    <t>2-s2.0-85029773834"</t>
  </si>
  <si>
    <t>10.1016/j.enggeo.2017.09.008</t>
  </si>
  <si>
    <t>https://www.scopus.com/inward/record.uri?eid=2-s2.0-85032690525&amp;doi=10.1016%2fj.enggeo.2017.09.008&amp;partnerID=40&amp;md5=25358a8f7fd28aecf7852ab8c9651017</t>
  </si>
  <si>
    <t>The Dosso degli Angeli reservoir is located along the coast of the Adriatic Sea, approximately 20 km north of Ravenna, Italy, in the nearby of the Comacchio Lagoons. The field was discovered in 1968 and the production started in 1971. The production strongly decreased from 1998 to 2004 and suspended in 2004. In 2012 Eni, the oil company managing the reservoir, has planned to complete the exploitation of the residual reserves over the period from 2013 to 2023. An elasto-plastic FE model provided by Eni was used to measure the expected residual land subsidence, whose maximum value will amount to 2.8 cm. In this work the environmental impact assessment of the expected land subsidence has been quantified on the lowlying coastland above the reservoir. Initially, the subsidence map has been used to quantify the displacement gradient ξ in correspondence of sensitive structures (bridges, pumping stations, lagoon embankments, historical buildings, power plants and a power lines) in order to assess the possible damages. Because the maximum ξ value amount to 1 × 10− 5, i.e. 1 mm over 100 m, no damage is expected to the structures. Moreover, hydrological (HEC-HMS) and hydraulic (HEC-RAS) models have been used to evaluate the possible effects of the land subsidence on the efficiency of the main drainage networks used to keep dry the area, which is mainly located below the mean sea level. The results have shown a negligible loss of efficiency of the drainage system. The study allows concluding that land subsidence due to the residual gas production from the Dosso degli Angeli reservoir will not affects the environment, hydraulic safety, and infrastructures of the Comacchio Lagoons and the lowlying coastland surrounding this precious natural environment. © 2017 Elsevier B.V.</t>
  </si>
  <si>
    <t>2-s2.0-85032690525"</t>
  </si>
  <si>
    <t>10.1016/j.earscirev.2017.07.010</t>
  </si>
  <si>
    <t>https://www.scopus.com/inward/record.uri?eid=2-s2.0-85029539641&amp;doi=10.1016%2fj.earscirev.2017.07.010&amp;partnerID=40&amp;md5=3cca238a2225d634330e3dfe53ff1264</t>
  </si>
  <si>
    <t>Storms are responsible for several hazards (e.g. overwash, erosion, inundation) in coastal areas, leading to the destruction of property and loss of life in populated areas. Various indicators are used to express potential storm impact and describe the associated hazards. The most commonly used indicators include either forcing parameters (e.g. wave height, sea level) or coastal morphologies (e.g. dune height or berm width). Whereas they do not represent the processes associated with storm induced hazards in coastal areas. Alternatively, a hazard could be better characterised if process-based indicators are used instead. Process-based indicators express the result of the forcing mechanisms acting over the coastal morphology and reflect both hydrodynamic and morphological characteristics. This work discusses and synthesizes the most relevant process-based indicators for sandy shores subject to overwash, erosion and inundation promoted by storms. Those include: overwash depth, potential and extent</t>
  </si>
  <si>
    <t>10.1016/j.envsci.2017.06.004</t>
  </si>
  <si>
    <t>https://www.scopus.com/inward/record.uri?eid=2-s2.0-85021054694&amp;doi=10.1016%2fj.envsci.2017.06.004&amp;partnerID=40&amp;md5=b2cc5479cf0e687815bb3f09d26fa23d</t>
  </si>
  <si>
    <t>Over the last years, the Spanish Mediterranean coastal area has undergone significant increase in the number of floods and their consequential damages. However, according to climatic records, this trend is more related to an exposure multiplication than with the increase of extreme rainfall events. Within this framework, it is interesting to evaluate how the different local governments have influenced on urban growth in flood-prone areas through a deficient spatial planning, also to evaluate its possible relation with sociodemographic factors. The proposed methodology is based on two institutional vulnerability index related to the local spatial planning intersection with the hydrological modelling data, and a multiple linear regression of these index value and several sociodemographic parameters (population, tourists, housings, etc…). The final results demonstrate how local governments increase exposure and its relationship to population growth, foreign tourist and economic causes. © 2017 Elsevier Ltd</t>
  </si>
  <si>
    <t>2-s2.0-85021054694"</t>
  </si>
  <si>
    <t>10.1002/esp.4185</t>
  </si>
  <si>
    <t>https://www.scopus.com/inward/record.uri?eid=2-s2.0-85023628211&amp;doi=10.1002%2fesp.4185&amp;partnerID=40&amp;md5=aa06b0b5900cfca043d77f0a3a958ae1</t>
  </si>
  <si>
    <t>Glacier retreat results in the formation and expansion, and sometimes outburst, of moraine-dammed lakes worldwide. Sudden outburst floods from such lakes have caused enormous damage to settlements and infrastructure located downstream. Such lakes located in the Himalayan region are highly prone to outburst floods due to climatic conditions and geotectonic settings. In this study, multi-temporal Landsat images from 2002–2014, digital elevation models (DEMs), geomorphic analysis and modelling were used to assess the changes in glacial lakes and the outburst susceptibility of moraine-dammed lakes in the Chandra–Bhaga basin of the north-western Indian Himalaya. An inventory of lakes was developed using satellite data, thematic maps and ground-based investigations for the Chandra–Bhaga basin. The total area of all glacial lakes (size &gt;5000 m2) increased by 47% from 2002 to 2014, with a pronounced increase of 57% for moraine-dammed lakes. Sixteen moraine-dammed lakes were identified and assessed for outburst susceptibility using the analytic hierarchy process (AHP). Forty-one reported glacial lake outburst flood (GLOF) events from moraine-dammed lakes in Himalayan regions were analysed, culminating in the identification of 11 critical factors for assessing outburst susceptibility using the AHP, including those related to the lake area and change, surrounding terrain characteristics, dam geometry, regional seismicity and rainfall history. The past three GLOF events in the Himalayan region were used to validate the method and to classify moraine-dammed lakes as having very high, high, medium or low outburst susceptibility. Eight lakes classified as very high and high outburst susceptibility should be further investigated in detail. The proposed AHP-based approach is suitable for first-order identification of critical lakes for prioritising future detailed investigation and monitoring of moraine-dammed glacial lakes in the Himalayan region. Copyright © 2017 John Wiley &amp; Sons, Ltd. Copyright © 2017 John Wiley &amp; Sons, Ltd.</t>
  </si>
  <si>
    <t>2-s2.0-85023628211"</t>
  </si>
  <si>
    <t>10.1007/s10584-017-2104-z</t>
  </si>
  <si>
    <t>https://www.scopus.com/inward/record.uri?eid=2-s2.0-85034647241&amp;doi=10.1007%2fs10584-017-2104-z&amp;partnerID=40&amp;md5=067e84f68f902c312634bf44b8f09f1b</t>
  </si>
  <si>
    <t>In the context of growing concern about the threat of flooding posed by climate change in coastal areas, the Spanish plan for coastal adaptation to climate change gave rise to stringent requirements on risk consequence estimates at the regional scale O (100 km). Within this framework, we propose a methodology that combines high space-time resolution climate information (reanalysis databases and projections), local data on exposure that accounts for the most relevant sectors, site-specific vulnerability functions, and flood risk consequence valuation, gridded at 5 m. This approach involves efficient multiple-forcing flood modeling, in which the connection between climate change and potential inundation is primarily established through the definition of a total water level index. This research tackles challenging issues, including the importance of incorporating the effects of existing coastal defenses and local wave effects in port areas, dealing with data at different spatial scales and sectors in an integrated way, and the impact of discounting. The results provide insights into the possible consequences of inaction for a range of future scenarios based on changes in climate and socio-economics over the most relevant sectors. With the goal of prioritizing adaptive action and the efficient assignment of funds, we propose a weight-based integration of the sectoral value-at-risk through the application of Bayesian techniques and expert judgment. The methodology described here was applied to a pilot case study on the coast of Asturias in northern Spain. © 2017, Springer Science+Business Media B.V.</t>
  </si>
  <si>
    <t>2-s2.0-85034647241"</t>
  </si>
  <si>
    <t>10.1016/j.jocm.2017.02.002</t>
  </si>
  <si>
    <t>https://www.scopus.com/inward/record.uri?eid=2-s2.0-85016611096&amp;doi=10.1016%2fj.jocm.2017.02.002&amp;partnerID=40&amp;md5=43300705889da932c89dcbffc28cc35c</t>
  </si>
  <si>
    <t>Coastal areas of the United States are vulnerable to substantial loss of lives and property damage from repeatedly occurring hurricanes and evacuation is the usual recourse to prevent loss of life when high storm surge threatens. The fundamental question in evacuation modeling is to explore the complex evacuation decision-making process leading to an individual's decision to evacuate or not during a hurricane threat. Recent studies suggest that the social network characteristics of individuals could potentially determine overall evacuation patterns. This study explores the joint evacuation decisions of individuals in personal networks by using ego-centric social network data obtained from Hurricane Sandy and by considering the nested structure of the ego-centric network data, i.e. close contacts (alters) as nested within an individual (ego). In this regard, the study develops a multinomial multilevel model of joint evacuation decisions at the dyadic (ego-alter tie) level utilizing a Hierarchical Generalized Linear Modeling (HGLM) approach. Model estimation results suggest factors that define a social tie (contact frequency, discussion topic and geographic proximity) significantly influence the evacuation decisions between individuals and their social partners. In addition, individuals’ (both ego and alter) own socio-demographics such as age, marital status, previous evacuation experience, evacuation order, household's type, size, location and proximity to a water body also affect the decision to evacuate. These findings are useful to help emergency managers implement efficient evacuation strategies and to facilitate planning by policymakers by determining fractions of people evacuating or not for a major hurricane within the context of their social networks. © 2017 Elsevier Ltd</t>
  </si>
  <si>
    <t>2-s2.0-85016611096"</t>
  </si>
  <si>
    <t>10.1093/gji/ggx307</t>
  </si>
  <si>
    <t>https://www.scopus.com/inward/record.uri?eid=2-s2.0-85040826576&amp;doi=10.1093%2fgji%2fggx307&amp;partnerID=40&amp;md5=77accd0691cb3576ed4e971c715668d9</t>
  </si>
  <si>
    <t>Convergence in the eastern Mediterranean of oceanic Nubia with Anatolia and the Aegean is complex and poorly understood. Large volumes of sediment obscure the shallow structure of the subduction zone, and since much of the convergence is accommodated aseismically, there are limited earthquake data to constrain its kinematics. We present new source models for recent earthquakes, combining these with field observations, published GPS velocities and reflection-seismic data to investigate faulting in three areas: the Florence Rise, SWTurkey and the Pliny and Strabo Trenches. The depths and locations of earthquakes reveal the geometry of the subducting Nubian plate NE of the Florence Rise, a bathymetric high that is probably formed by deformation of sediment at the surface projection of the Anatolia-Nubia subduction interface. In SW Turkey, the presence of a strike-slip shear zone has often been inferred despite an absence of strike-slip earthquakes. We show that the GPS-derived strain-rate field is consistent with extension on the orthogonal systems of normal faults observed in the region and that strike-slip faulting is not required to explain observed GPS velocities. Further SW, the Pliny and Strabo Trenches are also often interpreted as strike-slip shear zones, but almost all nearby earthquakes have either reverse-faulting or normal-faulting focal mechanisms. Oblique convergence across the trenches may be accommodated either by a partitioned system of strike-slip and reverse faults or by oblique slip on the Aegean-Nubia subduction interface. The observed late-Quaternary vertical motions of coastlines close to the subduction zone are influenced by the interplay between: (1) thickening of the material overriding the subduction interface associated with convergence, which promotes coastal uplift</t>
  </si>
  <si>
    <t>10.1016/j.geomorph.2017.07.003</t>
  </si>
  <si>
    <t>https://www.scopus.com/inward/record.uri?eid=2-s2.0-85030473401&amp;doi=10.1016%2fj.geomorph.2017.07.003&amp;partnerID=40&amp;md5=030bab7fda3a329850579a2eb2d194a2</t>
  </si>
  <si>
    <t>This paper presents reconstructions on natural levee development in the Rhine-Meuse delta, the Netherlands, during the first millennium CE, covering the full delta plain. It is the first study that performs this on a delta scale, which allows seeing the delta-wide trends on levee-forming controls and their feedbacks. We mapped the levee morphology and elevation by combining LiDAR imagery, lithological borehole data, soil mapping, radiocarbon dates, archaeological data, and GIS-reconstruction techniques. From the detailed levee reconstructions we quantified natural levee dimensions and evaluated the temporal changes therein. The dimensions and the changes therein were then linked to external forcings (increasing suspended sediment load, variable flooding intensity) and to natural preconditions (e.g., delta plain width, flood basin configuration). We show that natural preconditions are an important control on levee shape. This is demonstrated for the upper delta where the relatively narrow delta plain combined with strong compartmentation (i.e., the occurrence of many alluvial ridges and enclosed flood basins) caused the flood levels to be amplified allowing the natural levees to grow relatively high. Compartmentation also seems to have stimulated trapping of coarse-grained overbank sediments, explaining the clear downstream trend in levee width. This effect was probably further aided by the clearance of the riparian forests, mainly in the upstream and central delta, which caused the coarser fraction of the suspended load to be further dispersed into the flood basin leading to wider levees. In the first millennium CE several new river courses formed that avoided the areas of natural levee relief of abandoned alluvial ridges. On these fossil alluvial ridges, the topographical expression gradually reduced because of widespread flood basin trapping of overbank sediment, which led to topographic levelling. The natural levees that formed during this period along the new courses appear to be relatively high compared to precursor generations in the upper and central delta. This is most likely related to the increased suspended sediment supply and intense flooding regime during their formation. The hypotheses generated with this new delta-wide overview help to better understand the controls in the development of levees, which are important elements in river landscapes and in fluvial sedimentary records. © 2017 Elsevier B.V.</t>
  </si>
  <si>
    <t>2-s2.0-85030473401"</t>
  </si>
  <si>
    <t>10.1007/s11069-017-2985-1</t>
  </si>
  <si>
    <t>https://www.scopus.com/inward/record.uri?eid=2-s2.0-85023771091&amp;doi=10.1007%2fs11069-017-2985-1&amp;partnerID=40&amp;md5=64bdeb05201803430e914e0f58878833</t>
  </si>
  <si>
    <t>Coastal towns along the coast of Africa are among the most vulnerable to climate change impacts such as flooding and sea level rise. Yet, because coastal conditions in many parts of the region are poorly understood, knowledge on which population groups are at the most risk is less known, particularly in the Greater Accra Metropolitan Area (GAMA) of Ghana, where the capital city Accra is located. Without adequate information about the risk levels and why, the implementation of locally appropriate adaptation plans may be less effective. This study enriches our understanding of the levels of flood risks along the coast of GAMA and contributes knowledge to improve understanding of place-specific adaptation plans. The study uses data from a 300-household survey, stakeholder meetings, and interviews with local community leaders to construct an integrated vulnerability index. The index includes seven components made up of: dwelling type</t>
  </si>
  <si>
    <t>10.1002/2016WR020062</t>
  </si>
  <si>
    <t>https://www.scopus.com/inward/record.uri?eid=2-s2.0-85036515037&amp;doi=10.1002%2f2016WR020062&amp;partnerID=40&amp;md5=22c508d6b548a17f6e2e15e2a57797c6</t>
  </si>
  <si>
    <t>Water temperature is an important factor determining estuarine species habitat conditions. Water temperature is mainly governed by advection (e.g., from rivers) and atmospheric exchange processes varying strongly over time (day-night, seasonally) and the spatial domain. On a long time scale, climate change will impact water temperature in estuarine systems due to changes in river flow regimes, air temperature, and sea level rise. To determine which factors govern estuarine water temperature and its sensitivity to changes in its forcing, we developed a process-based numerical model (Delft3D Flexible Mesh) and applied it to a well-monitored estuarine system (the San Francisco Estuary) for validation. The process-based approach allows for detailed process description and a physics-based analysis of governing processes. The model was calibrated for water year 2011 and incorporated 3-D hydrodynamics, salinity intrusion, water temperature dynamics, and atmospheric coupling. Results show significant skill in reproducing temperature observations on daily, seasonal, and yearly time scales. In North San Francisco Bay, thermal stratification is present, enhanced by salinity stratification. The temperature of the upstream, fresh water Delta area is captured well in 2-D mode, although locally—on a small scale—vertical processes (e.g., stratification) may be important. The impact of upstream river temperature and discharge and atmospheric forcing on water temperatures differs throughout the Delta, possibly depending on dispersion and residence times. Our modeling effort provides a sound basis for future modeling studies including climate change impact on water temperature and associated ecological modeling, e.g., clam and fish habitat and phytoplankton dynamics. © 2017. American Geophysical Union. All Rights Reserved. This article has been contributed to by US Government employees and their work is in the public domain in the USA.</t>
  </si>
  <si>
    <t>2-s2.0-85036515037"</t>
  </si>
  <si>
    <t>10.1007/s12517-017-3214-7</t>
  </si>
  <si>
    <t>https://www.scopus.com/inward/record.uri?eid=2-s2.0-85031508453&amp;doi=10.1007%2fs12517-017-3214-7&amp;partnerID=40&amp;md5=4960f5d69d40bf1a9d2b36c5a21437f0</t>
  </si>
  <si>
    <t>The flood events observed during last years in the urban areas are subject of main interest for quantification of the hydro-climatic risks and climatic change to the regional scales. The establishment of a statistical relationship between the intensities of intense rains and the recurrence of these events allows us to determine the dimensions of the works according to a previously defined level of risk. They constitute today a leading tool for various users. This work concerns the study of the maximum annual rains, recorded at 49 stations in the northern Algeria. The objectives of this work are to determine the estimators who are the “intensity-duration-frequency” curves and to extract from these whole of information the b Montana climatic parameter to be regionalized for the calculating the river flow and for the dimensioning of the networks of cleansing in the event of insufficiency of data. Different durations going from 15 min to 24 h are studied. We utilised the collocated co-kriging as multivariate estimation method for interpolation in order to yield the space distribution maps of b Montana climatic parameter, with the benefit of using spatially correlated secondary variables, such as the digital elevation model and the distance from the coastline that are known at any localisation. All features led to choose the digital elevation model as covariate for interpolating b Montana values, yielding a better regionalisation of the studied climatic parameter. The geostatistical handling of b Montana values strictly related to auxiliary variables that constitute physical factors overcomes the data shortage in planning, managing and preventing the rain flood risk. © 2017, Saudi Society for Geosciences.</t>
  </si>
  <si>
    <t>2-s2.0-85031508453"</t>
  </si>
  <si>
    <t>10.1002/2017GL075432</t>
  </si>
  <si>
    <t>https://www.scopus.com/inward/record.uri?eid=2-s2.0-85031500051&amp;doi=10.1002%2f2017GL075432&amp;partnerID=40&amp;md5=cd4ddb7937ffe3c2057469362945f1da</t>
  </si>
  <si>
    <t>How important is hydrologic connectivity for surface water fluxes through heterogeneous floodplains, deltas, and wetlands? While significant for management, this question remains poorly addressed. Here we adopt spatial resistance averaging, based on channel and patch configuration metrics quantifiable from aerial imagery, to produce an upscaled rate law for discharge. Our model suggests that patch coverage largely controls discharge sensitivity, with smaller effects from channel connectivity and vegetation patch fractal dimension. However, connectivity and patch configuration become increasingly important near the percolation threshold and at low water levels. These effects can establish positive feedbacks responsible for substantial flow change in evolving landscapes (14–36%, in our Everglades case study). Connectivity also interacts with other drivers</t>
  </si>
  <si>
    <t>10.1038/nclimate3422</t>
  </si>
  <si>
    <t>https://www.scopus.com/inward/record.uri?eid=2-s2.0-85032700044&amp;doi=10.1038%2fnclimate3422&amp;partnerID=40&amp;md5=64f63165801214fa487aaeb39c22108d</t>
  </si>
  <si>
    <t>Under the Paris Agreement nations made pledges known as nationally determined contributions (NDCs), which indicate how national governments are evaluating climate risks and policy opportunities. We find that NDCs reveal important systematic patterns reflecting national interests and capabilities. Because the ocean plays critical roles in climate mitigation and adaptation, we created a quantitative marine focus factor (MFF) to evaluate how governments address marine issues. In contrast to the past, when oceans received minimal attention in climate negotiations, 70% of 161 NDCs we analysed include marine issues. The percentage of the population living in low-lying areas - vulnerable to rising seas - positively influences the MFF, but negotiating group (Annex 1 or small island developing states) is equally important, suggesting political motivations are crucial to NDC development. The analysis reveals gaps between scientific and government attention, including on ocean deoxygenation, which is barely mentioned. Governments display a keen interest in expanding marine research on climate priorities.</t>
  </si>
  <si>
    <t>2-s2.0-85032700044"</t>
  </si>
  <si>
    <t>10.1016/j.geoforum.2017.10.005</t>
  </si>
  <si>
    <t>https://www.scopus.com/inward/record.uri?eid=2-s2.0-85033661644&amp;doi=10.1016%2fj.geoforum.2017.10.005&amp;partnerID=40&amp;md5=4b5aaf9e81da721d08f99d90159ebbec</t>
  </si>
  <si>
    <t>The United States’ deeply racialized history currently operates below the surface of contemporary apolitical narratives on vulnerability mitigation and adaptation to sea-level rise. As communities, regulatory agencies, and policy-makers plan for rising seas, it is important to recognize the landscapes of race and deep histories of racism that have shaped the socio-ecological formations of coastal regions. If this history goes unrecognized, what we label colorblind adaptation planning is likely to perpetuate what Rob Nixon calls the “slow violence” of environmental racism, characterized by policies that benefit some populations while abandoning others. By colorblind adaptation planning, we refer to vulnerability mitigation and adaptation planning projects that altogether overlook racial inequality—or worse dismiss its systemic causes and explain away racial inequality by attributing racial disparities to non-racial causes. We contend that responses to sea-level rise must be attuned to racial difference and structures of racial inequality. In this article, we combine the theory of racial formation with the geographical study of environmental justice and point to the ways racial formations are also environmental. We examine vulnerability to sea-level rise through the process of racial coastal formation on Sapelo Island, Georgia, specifically analyzing its deep history, the uneven racial development of land ownership and employment, and barriers to African American participation and inclusion in adaptation planning. Racial coastal formation's potential makes way for radical transformation in climate change science not only in coastal areas, but other spaces as situated territorial racial formations. © 2017 The Authors</t>
  </si>
  <si>
    <t>2-s2.0-85033661644"</t>
  </si>
  <si>
    <t>10.1038/s41598-017-11544-y</t>
  </si>
  <si>
    <t>https://www.scopus.com/inward/record.uri?eid=2-s2.0-85029297517&amp;doi=10.1038%2fs41598-017-11544-y&amp;partnerID=40&amp;md5=cdd044cc4d353b1bf4938461362d2000</t>
  </si>
  <si>
    <t>Sea-level rise is beginning to cause increased inundation of many low-lying coastal areas. While most of Earth's coastal areas are at risk, areas that will be affected first are characterized by several additional factors. These include regional oceanographic and meteorological effects and/or land subsidence that cause relative sea level to rise faster than the global average. For catastrophic coastal flooding, when wind-driven storm surge inundates large areas, the relative contribution of sea-level rise to the frequency of these events is difficult to evaluate. For small scale ""nuisance flooding</t>
  </si>
  <si>
    <t xml:space="preserve"> often associated with high tides, recent increases in frequency are more clearly linked to sea-level rise and global warming. While both types of flooding are likely to increase in the future, only nuisance flooding is an early indicator of areas that will eventually experience increased catastrophic flooding and land loss. Here we assess the frequency and location of nuisance flooding along the eastern seaboard of North America. We show that vertical land motion induced by recent anthropogenic activity and glacial isostatic adjustment are contributing factors for increased nuisance flooding. Our results have implications for flood susceptibility, forecasting and mitigation, including management of groundwater extraction from coastal aquifers. © 2017 The Author(s).§Article§Scopus§2-s2.0-85029297517</t>
  </si>
  <si>
    <t>10.1111/bre.12193</t>
  </si>
  <si>
    <t>https://www.scopus.com/inward/record.uri?eid=2-s2.0-84964691969&amp;doi=10.1111%2fbre.12193&amp;partnerID=40&amp;md5=712742ff51924ab74ff42d699728a802</t>
  </si>
  <si>
    <t>This article focuses on the reinterpretation of well, seismic reflection, magnetic, gravimetric, surface wave and geological surface data, together with the acquisition of seismic noise data to study the Lower Tagus Cenozoic Basin tectono-sedimentary evolution. For the first time, the structure of the base of the basin in its distal and intermediate sectors is unravelled, which was previously only known in the areas covered by seismic reflection data (distal and small part of intermediate sectors). A complex geometry was found, with three subbasins delimited by NNE-SSW faults and separated by WNW-ESE to NW-SE oriented horsts. In the area covered by seismic reflection data, four horizons were studied: top of the Upper Miocene, Lower to Middle Miocene top, the top of the Palaeogene and the base of Cenozoic. Seismic data show that the major filling of the basin occurred during Upper Miocene. The fault pattern affecting Neogene and Palaeogene units derived here points to that of a polyphasic basin. In the Palaeogene, the Vila Franca de Xira (VFX) and a NNE-SSW trending previously unknown structure (ABC fault zone) probably acted as the major strike-slip fault zones of the releasing bend of a pull-apart basin, which produced a WNW-ESE to NW-SE fault system with transtensional kinematic. During the Neogene, as the stress regime rotated anticlockwise to the present NW-SE to WNW-ESE orientation, the VFX and Azambuja fault zones acted as the major transpressive fault zones and Mesozoic rocks overthrusted Miocene sediments. The reactivation of WNW-ESE to NW-SE fault systems with a dextral strike-slip component generated a series of horsts and grabens and the partitioning of the basin into several subbasins. Therefore, we propose a polyphasic model for the area, with the formation of an early pull-apart basin during the Palaeogene caused by an Iberia–Eurasia plates collision that later evolved into an incipient foreland basin along the Neogene due to a NW-SE to WNE-ESE oriented Iberia–Nubia convergence. This convergence is producing uplift in the area since the Quaternary except for the Tagus estuary subbasin around the VFX fault, where subsidence is observed. This may be due to the locking or the development of a larger component of strike-slip movement of the NNE-SSW to N-S thrust fault system with the exception of the VFX fault, which is more favourably oriented to the maximum compressive stress. © 2016 The Authors. Basin Research © 2016 John Wiley &amp; Sons Ltd, European Association of Geoscientists &amp; Engineers and International Association of Sedimentologists</t>
  </si>
  <si>
    <t>2-s2.0-84964691969"</t>
  </si>
  <si>
    <t>Scripta Nova</t>
  </si>
  <si>
    <t>https://www.scopus.com/inward/record.uri?eid=2-s2.0-85039904587&amp;partnerID=40&amp;md5=9f0a69805d52b5d078bdb574d8be7fd9</t>
  </si>
  <si>
    <t>In recent years, the Mediterranean coastal area have had an intense tourist-residential demand which absolutely changed the socio-territorial dynamic both coastal municipalities and adjacent locations. Among all the different construction models which broke this territorial dynamic, the resort urban model stands out for its representativeness and because it was quickly integrated into the local urban planning instruments. However, resorts, as the most of the recent urban developments, were built without any rational approach to environmental characteristics, mainly, those related to the surrounding area of several torrential water courses, the flood-prone areas. In this way, this work tries to evaluate the permissiveness level acquired by local planners, and also how resorts has influenced on the increasing number of floods. For this, the spatial planning cartography and flood hazard maps were combined into a GIS. © Francisco López Martínez y Alfredo Pérez Morales, 2017 and Scripta Nova, 2017.</t>
  </si>
  <si>
    <t>2-s2.0-85039904587"</t>
  </si>
  <si>
    <t>10.1002/2017GL074231</t>
  </si>
  <si>
    <t>https://www.scopus.com/inward/record.uri?eid=2-s2.0-85031418266&amp;doi=10.1002%2f2017GL074231&amp;partnerID=40&amp;md5=d12f646d16d6a57badfeeb0d605f62d1</t>
  </si>
  <si>
    <t>Downstream fining of bed sediment in alluvial rivers is usually gradual, but often an abrupt decrease in characteristic grain size occurs from about 10 to 1 mm, i.e., a gravel-sand transition (GST) or gravel front. Here we present an analytical model of GST migration that explicitly accounts for gravel and sand transport and deposition in the gravel reach, sea level change, subsidence, and delta progradation. The model shows that even a limited gravel supply to a sand bed reach induces progradation of a gravel wedge and predicts the circumstances required for the gravel front to advance, retreat, and halt. Predicted modern GST migration rates agree well with measured data at Allt Dubhaig and the Fraser River, and the model qualitatively captures the behavior of other documented gravel fronts. The analysis shows that sea level change, subsidence, and delta progradation have a significant impact on the GST position in lowland rivers. ©2017. American Geophysical Union. All Rights Reserved.</t>
  </si>
  <si>
    <t>2-s2.0-85031418266"</t>
  </si>
  <si>
    <t>10.1016/j.earscirev.2017.10.008</t>
  </si>
  <si>
    <t>https://www.scopus.com/inward/record.uri?eid=2-s2.0-85031734095&amp;doi=10.1016%2fj.earscirev.2017.10.008&amp;partnerID=40&amp;md5=0df06056746901d6a4589bee880fb962</t>
  </si>
  <si>
    <t>As the world's third largest delta and one of the world's most important biodiversity hotspots, the Mekong Delta provides both ecological and food security for its inhabitants. Nevertheless, the delta has been threatened by climate change and human activities, particularly the proliferation of hydropower development across the Mekong Basin since the 1990s. However, compared to the well-studied Holocene Mekong Delta, our understanding of the recent 50-year evolution of the Mekong Delta is not sufficient to address these threats. In this study, we used 43-year Landsat images from 1973 to 2015 to investigate the entirety of the Mekong Delta's shoreline, land area and geomorphological changes. We compiled a new and comprehensive GIS database of the dams and irrigations of the Mekong Basin. The goal was to improve our knowledge of the recent evolution of the Mekong Delta and to link the potential impacts of dams and other factors. Our results show that the Mekong Delta is experiencing a significant decrease in the shoreline progradation rate. Currently, 66% of the entire delta shoreline is under erosion. The erosion segments are mainly located on the eastern side of the Ca Mau Peninsula and northwestern side of the delta in the Gulf of Thailand (GoT). Most parts of the shorelines in the estuarine area are still growing, although river sediment continues to decrease. Geomorphological asymmetries, discontinuous shoreline shifts, and sandy beach-ridge sets can be observed in multitemporal images. The entire Mekong Delta experienced a shift from growing to shrinking around 2005 with the gradual increase of the total accumulated installed capacity of the dams over the entire river basin. In the near future, the realization of planned dams, extension of irrigation, groundwater withdrawal, uncontrolled riverbed mining, delta subsidence, sea level rise, and other factors will accelerate the ongoing delta erosion. © 2017 Elsevier B.V.</t>
  </si>
  <si>
    <t>2-s2.0-85031734095"</t>
  </si>
  <si>
    <t>10.1016/j.jafrearsci.2017.03.008</t>
  </si>
  <si>
    <t>https://www.scopus.com/inward/record.uri?eid=2-s2.0-85016049945&amp;doi=10.1016%2fj.jafrearsci.2017.03.008&amp;partnerID=40&amp;md5=64896ea5cd438ddda54b7c27cd6cfea8</t>
  </si>
  <si>
    <t>The hydrology of Wadi Al Saaf was investigated to estimate the quantitative parameters of flash flood and its interaction with the landuse using multitude of remote sensing data, digital elevation models (DEM), field work and topographic survey. The waste water is being conveyed into the lower part of this catchment through a transient drain “Al Saaf Drain” and the newly constructed treatment plant for “Al Saaf City”. The flash flood of May 2014 was completely trapped into the oxidation pools of the treatment plant and its surrounding low areas in the wadi floor. The active channels and accumulated water bodies of this flash flood were traced from the satellite images acquired shortly after the event. The DEM was analyzed into geographic information system (GIS) to estimate the distributed unit hydrograph given the application of Manning's for the open channel flow equation. The surveyed cross-sectional areas of the active channels and their equivalent hydraulic radii gave a mean peak discharge of 110 m3 per second. The estimated net discharge was 2.1 million cubic meters as calculated from the surveyed topography for the pools and depressions areas, which trapped that flash flood. The wadi is dominated by surface runoff as the percolation into the underlying alluvium is very limited due to the occurrence of thick Pliocene clays few meters below the surface. Furthermore, the seepage of waste water from “Al Saaf Drain” into the artificial depressions of the clay quarries has created massive ponds which are susceptible to breaching by the flash floods. Therefore, the interaction of flash floods with the water bodies in the catchment must be prevented in order to advert any negative environmental consequences. Moreover, the cultivation of edible crops with the waste water is being practiced</t>
  </si>
  <si>
    <t>10.1016/j.scitotenv.2017.05.221</t>
  </si>
  <si>
    <t>https://www.scopus.com/inward/record.uri?eid=2-s2.0-85019971335&amp;doi=10.1016%2fj.scitotenv.2017.05.221&amp;partnerID=40&amp;md5=c60a128aec2fa8790812dff3dd740307</t>
  </si>
  <si>
    <t>The environmental sustainability of the cultivation of grapes for the production of alcoholic beverages has been extensively analyzed in the literature from a Life Cycle Assessment perspective, although certain impact categories have been repeatedly neglected despite their importance, such as toxic emissions or the depletion of freshwater resources. Hence, the current study provides a detailed assessment of water footprint-related impact categories, including toxicity, for the cultivation of grapes for pisco production, an alcoholic beverage produced in coastal Peru in hyper-arid areas that suffer high levels of water scarcity. Characterization factors at a sub-watershed level were used to calculate water consumption impact assessment of grape production using the AWARE method. Site-specific toxic emissions were modelled using the PestLCI model, considering primary climate and soil data. The USEtox assessment method was then used to compute freshwater eco-toxicity with these data. Results demonstrate the high water footprint of irrigating vineyards in coastal Peru, especially considering the inefficient flooding irrigation process. In terms of water consumption, despite the high variability shown between sub-watersheds, the shift to other irrigation technologies must be analyzed with care due to the high competition for water existing in the area. Eutrophication potential showed particularly high values compared to the literature, whereas freshwater eco-toxicity impacts were relatively low due to the high volatilization of pesticides to air. Nevertheless, the lack of an adequate wastewater management system implies that the estimated potential toxic and eutrophying emissions may constitute a further environmental threat to water bodies. © 2017 Elsevier B.V.</t>
  </si>
  <si>
    <t>2-s2.0-85019971335"</t>
  </si>
  <si>
    <t>10.1007/s00704-016-1897-4</t>
  </si>
  <si>
    <t>https://www.scopus.com/inward/record.uri?eid=2-s2.0-84984829527&amp;doi=10.1007%2fs00704-016-1897-4&amp;partnerID=40&amp;md5=744c92bf0e60277cf71f4734431ed4ae</t>
  </si>
  <si>
    <t>Studies on sea level rise (SLR) in the context of climate change are gaining importance in the recent past. Whereas there is some clear evidence of SLR at global scale, its trend varies significantly from location to location. The role of different meteorological variables on sea level change (SLC) is explored. We hypothesise that the role of such variables varies from location to location and modelling of local SLC requires a proper identification of specific role of individual factors. After identifying a group of various local meteorological variables, Supervised Principal Component Analysis (SPCA) is used to develop a location specific Combined Index (CI). The SPCA ensures that the developed CI possesses highest possible association with the historical SLC at that location. Further, using the developed CI, an attempt is made to model the local sea level (LSL) variation in synchronous with the changing climate. The developed approach, termed as hydroclimatic semi-empirical approach, is found to be potential for local SLC at different coastal locations. The validated hydroclimatic approach is used for future projection of SLC at those coastal locations till 2100 for different climate change scenarios, i.e. different Representative Concentration Pathways (RCPs). Future hydrometeorological variables are obtained from Global Climate Models (GCMs) for different such scenarios, i.e. RCP2.6, RCP4.5 and RCP8.5. Effect of glacial isostatic readjustment (GIA) is not included in this study. However, if the reliable information on GIA is available for a location, the same can be arithmetically added to the final outcome of the proposed hydrometeorological approach. © 2016, Springer-Verlag Wien.</t>
  </si>
  <si>
    <t>2-s2.0-84984829527"</t>
  </si>
  <si>
    <t>10.1016/j.advwatres.2017.10.026</t>
  </si>
  <si>
    <t>https://www.scopus.com/inward/record.uri?eid=2-s2.0-85033567964&amp;doi=10.1016%2fj.advwatres.2017.10.026&amp;partnerID=40&amp;md5=1429f4e59d412cadb38d7fbaa640752f</t>
  </si>
  <si>
    <t>Estuarine regions can experience compound impacts from coastal storm surge and riverine flooding. The challenges in forecasting flooding in such areas are multi-faceted due to uncertainties associated with meteorological drivers and interactions between hydrological and coastal processes. The objective of this work is to evaluate how uncertainties from meteorological predictions propagate through an ensemble-based flood prediction framework and translate into uncertainties in simulated inundation extents. A multi-scale framework, consisting of hydrologic, coastal and hydrodynamic models, was used to simulate two extreme flood events at the confluence of the Passaic and Hackensack rivers and Newark Bay. The events were Hurricane Irene (2011), a combination of inland flooding and coastal storm surge, and Hurricane Sandy (2012) where coastal storm surge was the dominant component. The hydrodynamic component of the framework was first forced with measured streamflow and ocean water level data to establish baseline inundation extents with the best available forcing data. The coastal and hydrologic models were then forced with meteorological predictions from 21 ensemble members of the Global Ensemble Forecast System (GEFS) to retrospectively represent potential future conditions up to 96 hours prior to the events. Inundation extents produced by the hydrodynamic model, forced with the 95th percentile of the ensemble-based coastal and hydrologic boundary conditions, were in good agreement with baseline conditions for both events. The USGS reanalysis of Hurricane Sandy inundation extents was encapsulated between the 50th and 95th percentile of the forecasted inundation extents, and that of Hurricane Irene was similar but with caveats associated with data availability and reliability. This work highlights the importance of accounting for meteorological uncertainty to represent a range of possible future inundation extents at high resolution (∼m). © 2017 Elsevier Ltd</t>
  </si>
  <si>
    <t>2-s2.0-85033567964"</t>
  </si>
  <si>
    <t>10.1016/j.geomorph.2017.08.003</t>
  </si>
  <si>
    <t>https://www.scopus.com/inward/record.uri?eid=2-s2.0-85026784930&amp;doi=10.1016%2fj.geomorph.2017.08.003&amp;partnerID=40&amp;md5=07216a74f72ef80e176c54290a463d80</t>
  </si>
  <si>
    <t>Along the North Adriatic Sea coast (Italy), vulnerability to climate change is further aggravated by anthropogenic influences, such as strong subsidence rate due to deep groundwater and gas abstraction, tourism and industry impacts. In this context, conservation and restoration of coastal sand dunes become extremely important especially because of their importance in terms of ‘natural’ coastal defense. This paper proposes an innovative geomorphological approach based on Terrestrial Laser Scanning - TLS, which allows us to measure and monitor morphometric dune evolution with high precision and details. Several TLS surveys were performed along the Ravenna coast (Adriatic Sea, Italy) and the resulting Digital Elevation Models (DEMs) were analyzed in order to classify the foredune ridges in three geomorphological sub-zones. The topographic, areal and volumetric variations over time of geomorphological units were calculated by GIS tools in order to identify seasonal trends or particular pattern. Meteo-marine climate conditions were also analyzed and Principal Component Analysis (PCA) was performed to correlate changes in morphology with meteo-marine forcing factors, highlighting the ones that most influence dune evolution and dynamics. © 2017 Elsevier B.V.</t>
  </si>
  <si>
    <t>2-s2.0-85026784930"</t>
  </si>
  <si>
    <t>10.1111/bre.12200</t>
  </si>
  <si>
    <t>https://www.scopus.com/inward/record.uri?eid=2-s2.0-84971311483&amp;doi=10.1111%2fbre.12200&amp;partnerID=40&amp;md5=453cfaabb5067c0b4d280e7dde998ef5</t>
  </si>
  <si>
    <t>Recent advances in our understanding of palaeovalleys are largely guided by examples from passive margins, in which accommodation increases down depositional dip. This study tests these models against a dataset from the Pennsylvanian Breathitt Group of the central Appalachian foreland basin, USA. This fluvio-deltaic succession contains extensive erosionally based fluvio-estuarine sand bodies that can be tracked over 80 km down depositional dip from a proximal zone of high accommodation close to the orogenic margin to a distal, lower accommodation zone close to the cratonic margin of the basin. The sand bodies are up to 25 m thick, multi-storey and characterized in their lower parts by strongly amalgamated storeys containing sandy fluvial to estuarine bar accretion elements, and in their middle to upper parts by more fully preserved storeys up to 10 m thick and laterally extensive over 100s of metres. The upper storeys include abandonment channel-fills of heterolithic marine or marginal marine deposits or muddy to sandy point-bar elements. Three major regional-scale architectures include: (i) Tabular sand bodies that everywhere incise open marine prodelta and mouth bar facies and are interpreted as palaeovalleys formed during falling stage and lowstand systems tracts, when eustatic sea-level fall outpaced tectonic subsidence across the entire study area. (ii) Sand bodies that incise genetically related floodplain lake and/or bay-fill minor mouth bar deposits up depositional dip and open marine prodelta and mouth bar facies down dip. These stacked distributary channel deposits map down dip into palaeovalleys and formed when up dip subsidence rate resulted in positive, but reduced rate of accommodation creation, while lower tectonic subsidence rate down-dip resulted in incision. (iii) Sand bodies that incise genetically related floodplain, lake and/or bay-fill minor mouth bars up dip and pass down-dip into genetically related unconfined floodplain, prodelta and mouth bar deposits. These sand bodies represent stacked distributary channel fills and channel amalgamation was the product of high rates of lateral migration, typical of the behaviour of channels above their backwater reach. Case (2) sand bodies demonstrate that in rapidly subsiding foreland basins, cross-shelf palaeovalleys may form down depositional dip from aggradational, distributive fluival strata. Additionally, the genetic relationship between stacked distributary channels and palaeovalleys supports recent models for palaeovalley formation that emphasize diachronous, cut-and-fill during falling stage and lowstands of relative sea level. © 2016 The Authors. Basin Research © 2016 John Wiley &amp; Sons Ltd, European Association of Geoscientists &amp; Engineers and International Association of Sedimentologists</t>
  </si>
  <si>
    <t>2-s2.0-84971311483"</t>
  </si>
  <si>
    <t>10.1007/s11027-016-9717-9</t>
  </si>
  <si>
    <t>https://www.scopus.com/inward/record.uri?eid=2-s2.0-85029500359&amp;doi=10.1007%2fs11027-016-9717-9&amp;partnerID=40&amp;md5=273f364a74b86b7141ca7ffc73e3183b</t>
  </si>
  <si>
    <t>One of the most pressing issues in studying the impacts of sea level rise (SLR) triggered by climate change is understanding the development of the hazard of permanent coastal flooding. The issue persists because available approaches are based on the mapping of the inundated area where they explore the coastal flooding development across terrain elevations, that is—horizontally. In addition, they overlook the existing structures along or in the vicinity of the coastline, which have inherent hydraulic properties that may affect the development of such flooding. The purpose of this study is to develop a novel approach for assessing the development of permanent coastal flooding due to SLR at cross sections along the coastline, that is—vertically, in full consideration of underlying hydraulic properties of the existing coastline. An approach was developed using analogy of existing coastline to a contiguous weir. This approach was named crestline approach and was developed as a four step GIS-based approach that could be applied at any coastal zone. An example application on one of the top ranked cities in the world prone to the SLR threat has been provided to illustrate exactly how to apply the crestline approach. The novelty of this approach lies in its ability to accurately identify the specific locations where coastal flooding will initiate, in full consideration of existing natural/manmade coastal structures. This study is significant for the opportunities it provides to analysts and decision makers to better understand the development of permanent coastal flooding. © 2016, Springer Science+Business Media Dordrecht.</t>
  </si>
  <si>
    <t>2-s2.0-85029500359"</t>
  </si>
  <si>
    <t>10.1007/s11852-016-0456-6</t>
  </si>
  <si>
    <t>https://www.scopus.com/inward/record.uri?eid=2-s2.0-84986322604&amp;doi=10.1007%2fs11852-016-0456-6&amp;partnerID=40&amp;md5=8691134e6c60b77174de31c8f3895994</t>
  </si>
  <si>
    <t>Observations are reported on (i) groundwater recharge rates under various types of vegetation as measured with megalysimeters in the dunes, (ii) freshwater lenses along the Dutch North Sea coast in the early 1900s, and (iii) rainwater lenses that develop on top of laterally migrating, artificially recharged riverwater. Subsequently analytical methods are presented to estimate annual natural groundwater recharge as function of rainfall and vegetation, and to calculate the size, shape and transition zone of freshwater lenses on saline groundwater and rainwater lenses on infiltrated riverwater. An empirical correction factor, based on the hydraulic resistance of an aquitard within the freshwater lens, is proposed to account for the frequently observed reduction of the Ghyben-Herzberg ratio of 40. This factor raises the groundwater table, reduces the depth of the fresh/salt interface and increases the lens formation time. The suite of methods offers a tool box for knowledge based water management of dune systems, by rapidly predicting: (i) more or less autonomous changes due to sealevel rise, climate change and vegetation development</t>
  </si>
  <si>
    <t>Caribbean Geography</t>
  </si>
  <si>
    <t>https://www.scopus.com/inward/record.uri?eid=2-s2.0-85063672389&amp;partnerID=40&amp;md5=c9696fbf8f72366c5d040d3b137653a2</t>
  </si>
  <si>
    <t>Manzanilla beach in Cocos Bay is a barrier beach under threat from marine erosion due to the high energy environment of the Atlantic Ocean. It borders the Nariva Swamp, a Ramsar site, and the beach plays a critical role in the function of thisfragile wetland ecosystem. This relationship impacts the wetland as ongoing coastal erosion threatens the longevity of this wetland ecosystem. By virtue of its geographical location, it is exposed to Atlantic-generated storm events, and the threats are exacerbated due to its low relief The data show coastal erosion and storm surges have the potential for breaching the barrier beach, and vulnerability to tsunami threats further magnifies the possible impacts. This paper reviews studies on this environmentally sensitive area, including coastal erosion, storm surges, tsunamis and episodic wetland flooding. It examines management issues and challenges, outlines recommendations to minimize impacts from these hazards, and highlights interrelationships and dependencies in order to better manage the area as an ecosystem, rather than the ad hoc approaches currently the focus ofplanners. The paper provides more information to further our understanding of the dynamics and challenges of barrier beach systems to ensure sustainable development and maintenance of these volatile environments. This is required urgently if Trinidad &amp; Tobago is to adequately respond to the threat of climate change, especially sea level rise, and subsequently build its coastal resilience. © 2017 University of the West Indies. All rights reserved.</t>
  </si>
  <si>
    <t>2-s2.0-85063672389"</t>
  </si>
  <si>
    <t>10.5194/hess-21-5143-2017</t>
  </si>
  <si>
    <t>https://www.scopus.com/inward/record.uri?eid=2-s2.0-85029354100&amp;doi=10.5194%2fhess-21-5143-2017&amp;partnerID=40&amp;md5=08968e477627ccf05c30e076882b2b86</t>
  </si>
  <si>
    <t>Global-scale river models (GRMs) are core tools for providing consistent estimates of global flood hazard, especially in data-scarce regions. Due to former limitations in computational power and input datasets, most GRMs have been developed to use simplified representations of flow physics and run at coarse spatial resolutions. With increasing computational power and improved datasets, the application of GRMs to finer resolutions is becoming a reality. To support development in this direction, the suitability of GRMs for application to finer resolutions needs to be assessed. This study investigates the impacts of spatial resolution and flow connectivity representation on the predictive capability of a GRM, CaMa-Flood, in simulating the 2011 extreme flood in Thailand. Analyses show that when single downstream connectivity (SDC) is assumed, simulation results deteriorate with finer spatial resolution</t>
  </si>
  <si>
    <t>10.1007/s11111-017-0284-0</t>
  </si>
  <si>
    <t>https://www.scopus.com/inward/record.uri?eid=2-s2.0-85026467063&amp;doi=10.1007%2fs11111-017-0284-0&amp;partnerID=40&amp;md5=060bf8d01c72983f045589dfd23c038e</t>
  </si>
  <si>
    <t>Recently, there has been significant debate about whether ‘environmental migration’ can constitute a form of adaptation to environmental change, as opposed to forced or flight migration. The Foresight Report on Migration and Environmental Change (2011) suggested environmental factors are one driver of migration, as well as political, social, economic and demographic drivers, and that—under the right conditions—migration can be a form of adaptation to changing climatic conditions. However, this is dependent on migrants having adequate social and financial capital to undertake beneficial types of migration; it further argues that environmental change may result in ‘trapped populations’ whereby people who lack the necessary resources to re-establish livelihoods elsewhere may be left exposed to increasingly severe environmental shocks and stresses in situ. Research on the climate-migration nexus in West Africa has largely focused on out-migration from the semi-arid Sahel with more limited evidence about how sea flooding interacts with migration flows. This paper attempts to help fill this knowledge gap. Using data from a representative survey of households across three coastal communities in Ghana’s Volta River Delta, this paper concludes that exposure to sea flooding may not be a primary cause of out-migration as other community, economic and political factors influence migration intentions and decisions. Thus, it is important for planned adaptation interventions to be strengthened in situ to enable households, particularly farming households, sustain their livelihoods.</t>
  </si>
  <si>
    <t>10.1002/qj.3122</t>
  </si>
  <si>
    <t>https://www.scopus.com/inward/record.uri?eid=2-s2.0-85034641285&amp;doi=10.1002%2fqj.3122&amp;partnerID=40&amp;md5=67c775821a2a9e17a33ae76f77a5c856</t>
  </si>
  <si>
    <t>The Advanced Circulation (ADCIRC) hydrodynamic model has been utilized to report on the tidal characteristics and asymmetry for the head Bay of Bengal region and validated against limited available observations. The study investigates spatial and temporal variability of tides using the techniques of wavelet and time-series analysis at various locations, with special emphasis on major rivers Hooghly and Meghna. Tidal asymmetry with flood dominance was found to increase steadily upstream due to nonlinear energy transfer from principal components to higher harmonics. The low water-levels were increased upstream implying that attenuation by frictional dissipation dominates, over amplification due to channel convergence. Shallow water and mild depth gradient were discerned to be requisite factors in generating long-period nonlinear tides, and they have been found to amplify in concave deltaic regions where tides are funnelled. Additionally, spring-neap variations in bottom friction caused low water-level to occur during neap rather than spring tide along upper reaches of the tide-dominated rivers, leading to the formation of a forced fortnightly tide. It is notable that a fortnightly tidal component manifests itself even in the absence of river discharge input, contrary to common conception, indicating that shallow water interaction and coastal geomorphology alone can cause fortnightly dominance in tidal rivers. A weak monthly tidal component was also observed in the tidal rivers and the study proposes that it originates due to frictional modulation of monthly lunar tides. Dominance and amplification of long-period nonlinear tides in wide, convergent rivers may be attributed to resonance effects, in addition to effects of shoaling topography and convergent channel geometry. © 2017 Royal Meteorological Society</t>
  </si>
  <si>
    <t>2-s2.0-85034641285"</t>
  </si>
  <si>
    <t>10.1016/j.quaint.2017.04.009</t>
  </si>
  <si>
    <t>https://www.scopus.com/inward/record.uri?eid=2-s2.0-85017470553&amp;doi=10.1016%2fj.quaint.2017.04.009&amp;partnerID=40&amp;md5=244f7d0064997e5e9462c07860286251</t>
  </si>
  <si>
    <t>The ten kongduis (the transliteration of ephemeral flood gullies in Mongolian) are one of the main sediment sources of the upper reaches of the sediment-laden Yellow River in China. The basin form characteristics and their causal factors and environmental effects of the kongduis are important knowledge for understanding the geomorphic processes and for managing the kongduis. In this study, we extracted the drainage networks and watersheds of the kongduis from the DEM, calculated the geometric and structural indices of the watersheds and networks, investigated relations of the gully density with surface material composition, vegetation coverage and topography, and the relations of the sediment yield with gully density and other geometric indices of watersheds, and associated the gully density with the evolution stage of landforms of the basins. The results reveal that the ten kongduis are 5th - 6th order streams and their watersheds are long and narrow with a circularity ratio of 0.16–0.26, an elongation ratio of 0.29–0.43 and a power of drainage area of 0.89–4.52 in the power function between mainstream length and drainage area. Yet, the available data do not support the impacts of the geometric indices of watersheds on the sediment yield in the ten kongduis, and the insignificant relation between the specific sediment yield and drainage area denies the existence of scale effect in sediment yield in the kongduis. In contrast, the gully density is found to be closely and positively related with the sediment yield. The hypsometric integrals of the upstream reaches of the ten kongduis and the relation between gully density and hypsometric integral suggest that the kongduis are in the mature stage of landform evolution and the west five kongduis are in the early mature stage with a potential increase trend of gully density and a concomitant escalation of sediment yield in future. © 2017 Elsevier Ltd and INQUA</t>
  </si>
  <si>
    <t>2-s2.0-85017470553"</t>
  </si>
  <si>
    <t>10.3390/ijgi6100301</t>
  </si>
  <si>
    <t>https://www.scopus.com/inward/record.uri?eid=2-s2.0-85044593687&amp;doi=10.3390%2fijgi6100301&amp;partnerID=40&amp;md5=71284b812d53b5266987e131e21b8756</t>
  </si>
  <si>
    <t>Reliable water surface extraction is essential for river delineation and flood monitoring. Obtaining such information from fine resolution satellite imagery has attracted much interest for geographic and remote sensing applications. However, those images are often expensive and difficult to acquire. This study proposes a more cost-effective technique, employing freely available Landsat images. Despite its extensive spectrum and robust discrimination capability, Landsat data are normally of medium spatial resolution and, as such, fail to delineate smaller hydrological features. Based on Multivariate Mutual Information (MMI), the Landsat images were fused with Digital Surface Model (DSM) on the spatial domain. Each coinciding pixel would then contain not only rich indices but also intricate topographic attributes, derived from its respective sources. The proposed data fusion ensures robust, precise, and observer-invariable extraction of water surfaces and their branching, while eliminating spurious details. Its merit was demonstrated by effective discrimination of flooded regions from natural rivers for flood monitoring. The assessments we completed suggest improved extraction compared to traditional methods. Compared with manual digitizing, this method also exhibited promising consistency. Extraction using Dempster-Shafer fusion provided a 91.81% F-measure, 93.09% precision, 90.74% recall, and 98.25% accuracy, while using Majority Voting fusion resulted in an 84.91% F-measure, 75.44% precision, 97.37% recall, and 97.21% accuracy. © 2017 by the authors.</t>
  </si>
  <si>
    <t>2-s2.0-85044593687"</t>
  </si>
  <si>
    <t>10.1175/JPO-D-17-0027.1</t>
  </si>
  <si>
    <t>https://www.scopus.com/inward/record.uri?eid=2-s2.0-85035786190&amp;doi=10.1175%2fJPO-D-17-0027.1&amp;partnerID=40&amp;md5=9f1d6374a5f8b7cbf108f8f152f0973e</t>
  </si>
  <si>
    <t>Mooring, CTD, and ADCP observations were made in 2012 in and around the Toyama Trough (TT) cutting across a continental shelf along the Japanese coast of the Japan Sea between Noto Peninsula (NP) and Sado Island (SI) to investigate spatiotemporal characteristics of path transition of the coastal branch of the Tsushima Warm Current (CBTWC). Around SI, downstream of the TT boundary, a wavelike alongshore current perturbation, accompanied by sea level rise, was observed. This perturbation occurred after the seasonal amplification of the CBTWC around the NP on the upstream boundary of the TT. This process was delineated by the results of numerical experiments performed with a two-layer model using idealized topography. The model showed that a current path of the CBTWC shifted from alongshore mode to offshore mode bridged over the TT in association with the lee eddy development behind the NP toward the SI over the TT. This lee eddy is generated by positive vorticity induced over topographic discontinuity between the continental shelf off the northern coast of the NP and deeper region of the TT. The model indicated the period of eddy formation is 60-90 days if the volume transport is 1 Sv (1 Sv = 106 m3 s-1), whereas the observations showed the formation period was only 47 days at 1.2 Sv of volume transport. To explain this discrepancy, temporal variation of the CBTWC, vortex supply from preexisting eddies, or eddies caused by the scattering of coastal-trapped waves were suggested as new processes that accelerate the growth rate of the lee eddy. © 2017 American Meteorological Society.</t>
  </si>
  <si>
    <t>2-s2.0-85035786190"</t>
  </si>
  <si>
    <t>10.1016/j.jsames.2017.10.006</t>
  </si>
  <si>
    <t>https://www.scopus.com/inward/record.uri?eid=2-s2.0-85033440251&amp;doi=10.1016%2fj.jsames.2017.10.006&amp;partnerID=40&amp;md5=c5b3a30544c44430e8aef73bfd16e735</t>
  </si>
  <si>
    <t>Oligocene-Miocene ostracods biozones are proposed for the ∼65 m-thick platform carbonate succession exposed in the Northeastern Amazonia coast, Brazil. Previous biostratigraphic studies based on planktonic foraminifera, nannofossils and palynomorphs are poorly age constrained and have hindered the correlation with other units of the Atlantic Equatorial margin. Tectonic stability of the Northeastern Amazonia coast during Neogene, associated with reduced riverine inflow and continuous sea level rise, allowed the establishment of lagoon/mangroves, tidal channel and shallow platform settings favoring massive proliferation of benthic ostracods. The recurrence of these depositional systems along of entire Oligocene-Miocene succession contributed mainly for the preservation of typical assemblages of lagoonal ostracods. Among thirty-two ostracods genera identified, the most of them are generally polyhalines associated with a mesohaline genus as Perissocytheridea. Rare ostracods genera typical of offshore zone indicate limited oceanic connection with lagoon. Additionally, the rare presence of Cyprideis indicates a relatively stable salinity degree suggesting change in the lagoon dynamic until estuarine conditions. The ostracods comprise more than 100 species, ranging from Upper Oligocene to Lower Miocene with five index species correspondent to a single zone called the Cytherella stainforthi Zone that was subdivided in four sub-biozones: 1) Jugosocythereis pannosa, 2) Quadracythere brachypygaia, 3) Triebelina crumena and 4) Neocaudites macertus. This new zonation was calibrated with the Blow's and Wade's planktonic foraminifers zones (N.3 to N.7 zones corresponding to O6 to M4b of Wade) and with van den Bold's zonation in the Neogene Caribbean region. Ostracod assemblages described here provide an excellent biostragraphic framework for local, intrabasinal and regional correlation for the Oligocene-Miocene deposits of the Northeastern Amazonia coast and Caribbean regions. The strong similarity of to the Caribbean deposits open a discussion about the possible paleobiogeographic affinities between the biotas of the Equatorial Atlantic during the Neogene. © 2017 Elsevier Ltd</t>
  </si>
  <si>
    <t>2-s2.0-85033440251"</t>
  </si>
  <si>
    <t>10.5194/hess-21-5339-2017</t>
  </si>
  <si>
    <t>https://www.scopus.com/inward/record.uri?eid=2-s2.0-85032473246&amp;doi=10.5194%2fhess-21-5339-2017&amp;partnerID=40&amp;md5=aa4dac7fe22e50c173f2398a35eca9ce</t>
  </si>
  <si>
    <t>The Lake Taihu basin (36g 895g km2), one of the most developed regions in China located in the hinterland of the Yangtze River Delta, has experienced increasing flood risk. The largest flood in history occurred in 1999 with a return period estimate of 200 years, considerably larger than the current capacity of the flood defense with a design return period of 50 years. Due to its flat saucer-like terrain, the capacity of the flood control system in this basin depends on flood control infrastructures and peripheral tidal conditions. The Huangpu River, an important river of the basin connecting Lake Taihu upstream and Yangtze River estuaries downstream, drains two-fifths of the entire basin. Since the water level in the Huangpu River is significantly affected by the high tide conditions in estuaries, constructing an estuary gate is considered an effective solution for flood mitigation. The main objective of this paper is to assess the potential contributions of the proposed Huangpu Gate to the flood control capacity of the basin. To achieve this goal, five different scenarios of flooding conditions and the associated gate operations are considered by using numerical model simulations. Results of quantitative analyses show that the Huangpu Gate is effective for evacuating floodwaters. It can help to reduce both peak values and duration of high water levels in Lake Taihu to benefit surrounding areas along the Taipu Canal and the Huangpu River. The contribution of the gate to the flood control capacity is closely associated with its operation modes and duration. For the maximum potential contribution of the gate, the net outflow at the proposed site is increased by 52g %. The daily peak level is decreased by a maximum of 0.12g m in Lake Taihu, by maxima of 0.26-0.37 and 0.46-0.60g m in the Taipu Canal and the Huangpu River, respectively, and by 0.05-0.39g m in the surrounding areas depending on the local topography. It is concluded that the proposed Huangpu Gate can reduce flood risk in the Lake Taihu basin, especially in those low-lying surrounding areas along the Taipu Canal and the Huangpu River significantly, which is of great benefit to the flood management in the basin and the Yangtze River Delta.</t>
  </si>
  <si>
    <t>2-s2.0-85032473246"</t>
  </si>
  <si>
    <t>10.1002/2017EF000589</t>
  </si>
  <si>
    <t>https://www.scopus.com/inward/record.uri?eid=2-s2.0-85033675639&amp;doi=10.1002%2f2017EF000589&amp;partnerID=40&amp;md5=9fc46ffc71df19a19522707762ddbc9a</t>
  </si>
  <si>
    <t>We present new detail on how future sea-level rise (SLR) will modify nonlinear wave transformation processes, shoreline wave energy, and wave driven flooding on atoll islands. Frequent and destructive wave inundation is a primary climate-change hazard that may render atoll islands uninhabitable in the near future. However, limited research has examined the physical vulnerability of atoll islands to future SLR and sparse information are available to implement process-based coastal management on coral reef environments. We utilize a field-verified numerical model capable of resolving all nonlinear wave transformation processes to simulate how future SLR will modify wave dissipation and overtopping on Funafuti Atoll, Tuvalu, accounting for static and accretionary reef adjustment morphologies. Results show that future SLR coupled with a static reef morphology will not only increase shoreline wave energy and overtopping but will fundamentally alter the spectral composition of shoreline energy by decreasing the contemporary influence of low-frequency infragravity waves. “Business-as-usual” emissions (RCP 8.5) will result in annual wave overtopping on Funafuti Atoll by 2030, with overtopping at high tide under mean wave conditions occurring from 2090. Comparatively, vertical reef accretion in response to SLR will prevent any significant increase in shoreline wave energy and mitigate wave driven flooding volume by 72%. Our results provide the first quantitative assessment of how effective future reef accretion can be at mitigating SLR-associated flooding on atoll islands and endorse active reef conservation and restoration for future coastal protection. © 2017 The Authors.</t>
  </si>
  <si>
    <t>2-s2.0-85033675639"</t>
  </si>
  <si>
    <t>10.1016/j.jhydrol.2017.09.014</t>
  </si>
  <si>
    <t>https://www.scopus.com/inward/record.uri?eid=2-s2.0-85030449066&amp;doi=10.1016%2fj.jhydrol.2017.09.014&amp;partnerID=40&amp;md5=04cde8fc61330cb49207b049131c6519</t>
  </si>
  <si>
    <t>Freshwater lenses are generally of major interest for drinking water supply in coastal environments. Knowledge of the interrelations between ground surface elevation, sea level, inundation frequency, groundwater salinity and vegetation is also vital to understand coastal ecosystem functioning. This study provides an integrated analysis of these parameters at a barrier island in the North Sea that is currently developing under highly dynamic processes, but remains largely unaffected by humans. This study is particularly relevant in view of predicted sea-level rise and increasing storm frequencies, as the analysis of groundwater salinities at the water table, water level data and ground surface elevation reveal the pronounced influence of storm tides and inundation frequency on the water table salinity at the eastern part of the barrier island Spiekeroog, the so-called ‘Ostplate’, located off the northwest coast of Germany. The shallow freshwater is restricted to the elevated dune areas and shows spatial and temporal variations, depending on the time passed since the last storm tide. The water table salinities depend on inundation frequencies, whereby more than three flooding events in the year prior to sampling led to brackish water table salinities. Inundation frequency and water table salinity are both largely a function of ground surface elevation, and the dependence of water table salinity on the ground surface elevation can be quantified with an exponential function. Combining this function with digital elevation models enables the extrapolation and reconstruction of present and past water table salinity distributions within the study area, which overall show decreasing salinities with increasing ground surface elevation. Since the vegetation zonation also depends on the inundation frequency, an identified match between water table salinities and vegetation zones suggests that water table salinities may be inferred from vegetation maps in the future. © 2017 Elsevier B.V.</t>
  </si>
  <si>
    <t>2-s2.0-85030449066"</t>
  </si>
  <si>
    <t>10.18814/epiiugs/2017/v40i4/017028</t>
  </si>
  <si>
    <t>https://www.scopus.com/inward/record.uri?eid=2-s2.0-85036539042&amp;doi=10.18814%2fepiiugs%2f2017%2fv40i4%2f017028&amp;partnerID=40&amp;md5=71076584be34ac9622c692032eaf4c56</t>
  </si>
  <si>
    <t>As part of a broad assessment of climate change impacts in Morocco, an assessment of vulnerability and adaptation of coastal zones to sea-level rise was conducted. The Kenitra coast is socio-economically vulnerable to accelerated sea-level rise, due to its low topography and its high ecological and touristic value. In this study, the effects of future relative sea-level were evaluated for the low alluvial plain Atlantic (Kenitra coastal). This study area is potentially subject to coastal flooding due to its very low topography and because it is affected by a considerable subsidence. Using a GIS-based inundation analysis</t>
  </si>
  <si>
    <t>10.2112/JCOASTRES-D-16-00119.1</t>
  </si>
  <si>
    <t>https://www.scopus.com/inward/record.uri?eid=2-s2.0-85034441252&amp;doi=10.2112%2fJCOASTRES-D-16-00119.1&amp;partnerID=40&amp;md5=2d169c1e7afb73abf53c97db14692125</t>
  </si>
  <si>
    <t>The purpose of this study is to estimate the contribution of sea-level rise (SLR) in Ghana over the last decades and provide an estimation of shoreline retreat due to the projections of regional SLR. This study first analyzes historical shoreline change in Ghana from 1974 to 2015 using satellite images and orthophotos. Second, this study quantifies the SLR contribution to historical shoreline change using sea-level trend estimates from satellite observations, results from digital elevation model analysis, and shoreline change rates. This study finally makes predictions of shoreline in Ghana on the basis of modified Intergovernmental Panel on Climate Change Fifth Assessment Report representative concentration pathways (RCPs) scenarios for Ghana. On average, sea level has risen by about 5.3 cm over the last 21 years and accounts for only 31% of the observed annual coastal erosion rate (about 2 m/y) in Ghana. On the basis of the projected model ensemble-mean rise in sea-level (2.6, 4.5, and 8.5 RCPs) scenarios and assuming that SLR will also contribute to 31% of shoreline retreat in the future, by the year 2025, about 6.6, 4.7, and 5.8 m of coastland in Ghana with lowest slope range (0-0.4%) are projected to be inundated respectively. These projected changes increase to 19.8, 20.7, and 24.3 m by 2050 and further to 36.6, 51.6, and 83.9 m by 2100 for the 2.6, 4.5, and 8.5 RCPs respectively. The analysis that separates sea-level contribution to coastal change from other contributing factors could provide useful information about climate impact for coastal adaptation strategies. This study, however, recommends further research into the anthropogenic and other factors that contribute about 69% of the annual erosion rate in Ghana to help improve adaptation efforts. © Coastal Education and Research Foundation, Inc. 2017.</t>
  </si>
  <si>
    <t>2-s2.0-85034441252"</t>
  </si>
  <si>
    <t>10.1371/journal.pone.0187210</t>
  </si>
  <si>
    <t>https://www.scopus.com/inward/record.uri?eid=2-s2.0-85032919611&amp;doi=10.1371%2fjournal.pone.0187210&amp;partnerID=40&amp;md5=a2593056779ba2040d30bcb21ddbb0f3</t>
  </si>
  <si>
    <t>An investigation based on in-situ surveys combined with remote sensing and GIS analysis revealed fast shoreline retreat on the side of a major waterway, the Malamocco Marghera Channel, in the Lagoon of Venice, Italy. Monthly and long-term regression rates caused by ship wakes in a reclaimed industrial area were considered. The short-term analysis, based on field surveys carried out between April 2014 and January 2015, revealed that the speed of shoreline regression was insignificantly dependent on the distance from the navigation channel, but was not constant through time. Periods of high water levels due to tidal forcing or storm surges, more common in the winter season, are characterized by faster regression rates. The retreat is a discontinuous process in time and space depending on the morpho-stratigraphy and the vegetation cover of the artificial deposits. A GIS analysis performed with the available imagery shows an average retreat of 3-4 m/yr in the period between 1974 and 2015. Digitization of historical maps and bathymetric surveys made in April 2015 enabled the construction of two digital terrain models for both past and present situations. The two models have been used to calculate the total volume of sediment lost during the period 1968-2015 (1.19×106 m3). The results show that in the presence of heavy ship traffic, ship-channel interactions can dominate the morphodynamics of a waterway and its margins. The analysis enables a better understanding of how shallow-water systems react to the human activities in the post-industrial period. An adequate evaluation of the temporal and spatial variation of shoreline position is also crucial for the development of future scenarios and for the sustainable management port traffic worldwide. © 2017 Zaggia et al. This is an open access article distributed under the terms      of the Creative Commons Attribution License, which permits unrestricted use, distribution, and reproduction in any medium, provided the original author and source are credited.</t>
  </si>
  <si>
    <t>2-s2.0-85032919611"</t>
  </si>
  <si>
    <t>10.1007/s10584-017-2075-0</t>
  </si>
  <si>
    <t>https://www.scopus.com/inward/record.uri?eid=2-s2.0-85030545098&amp;doi=10.1007%2fs10584-017-2075-0&amp;partnerID=40&amp;md5=8910eb08830a8e21921be543831d5836</t>
  </si>
  <si>
    <t>In many coastal communities, the risks driven by storm surges are motivating substantial investments in flood risk management. The design of adaptive risk management strategies, however, hinges on the ability to detect future changes in storm surge statistics. Previous studies have used observations to identify changes in past storm surge statistics. Here, we focus on the simple and decision-relevant question: How fast can we learn from past and potential future storm surge observations about changes in future statistics? Using Observing System Simulation Experiments, we quantify the time required to detect changes in the probability of extreme storm surge events. We estimate low probabilities of detection when substantial but gradual changes to the 100-year storm surge occur. As a result, policy makers may underestimate considerable increases in storm surge risk over the typically long lifespans of major infrastructure projects. © 2017, The Author(s).</t>
  </si>
  <si>
    <t>2-s2.0-85030545098"</t>
  </si>
  <si>
    <t>10.1016/j.pss.2017.10.008</t>
  </si>
  <si>
    <t>https://www.scopus.com/inward/record.uri?eid=2-s2.0-85032176114&amp;doi=10.1016%2fj.pss.2017.10.008&amp;partnerID=40&amp;md5=6198e6c3518fddb07008cf54bb884011</t>
  </si>
  <si>
    <t>Putative fluvial dunes have been identified within the Athabasca Valles and associated network of channels on Mars. Previous published work identified and measured bedforms in Athabasca Valles using photoclinometry methods on 2–3 m/pixel resolution Mars Orbiter Camera Narrow Angle images, and argued that these were created by an aqueous megaflood that occurred between 2 and 8 million years ago. This event is likely to have occurred due to geological activity associated with the Cerberus Fossae fracture system at the source of Athabasca Vallis. The present study has used higher resolution, 25 cm/pixel images from the Mars Reconnaissance Orbiter HiRISE camera, as well as stereo-derived digital terrain models and GIS software, to re-measure and evaluate these bedforms together with data from newly discovered neighbouring fields of bedforms. The analysis indicates that the bedforms are aqueous dunes, in that they occur in channel locations where dunes would be expected to be preserved and moreover they have geometries very similar to megaflood dunes on Earth. Dune geometries are used to estimate megaflood discharge rates, including uncertainty, which results support previous flood estimates that indicate that a flood with a discharge of ∼2 × 106m3s−1 created these bedforms. © 2017 Elsevier Ltd</t>
  </si>
  <si>
    <t>2-s2.0-85032176114"</t>
  </si>
  <si>
    <t>10.1016/j.advwatres.2016.11.018</t>
  </si>
  <si>
    <t>https://www.scopus.com/inward/record.uri?eid=2-s2.0-85009460388&amp;doi=10.1016%2fj.advwatres.2016.11.018&amp;partnerID=40&amp;md5=e89a683287f108371e357272257320bf</t>
  </si>
  <si>
    <t>The association of cholera and climate has been extensively documented. However, determining the effects of changing climate on the occurrence of disease remains a challenge. Bimodal peaks of cholera in Bengal Delta are hypothesized to be linked to asymmetric flow of the Ganges and Brahmaputra rivers. Spring cholera is related to intrusion of bacteria-laden coastal seawater during low flow seasons, while autumn cholera results from cross-contamination of water resources when high flows in the rivers cause massive inundation. Coarse resolution of General Circulation Model (GCM) output (usually at 100 – 300 km)cannot be used to evaluate variability at the local scale(10–20 km),hence the goal of this study was to develop a framework that could be used to understand impacts of climate change on occurrence of cholera. Instead of a traditional approach of downscaling precipitation, streamflow of the two rivers was directly linked to GCM outputs, achieving reasonable accuracy (R2 = 0.89 for the Ganges and R2 = 0.91 for the Brahmaputra)using machine learning algorithms (Support Vector Regression-Particle Swarm Optimization). Copula methods were used to determine probabilistic risks of cholera under several discharge conditions. Key results, using model outputs from ECHAM5, GFDL, andHadCM3for A1B and A2 scenarios, suggest that the combined low flow of the two rivers may increase in the future, with high flows increasing for first half of this century, decreasing thereafter. Spring and autumn cholera, assuming societal conditions remain constant e.g., at the current rate, may decrease. However significant shifts were noted in the magnitude of river discharge suggesting that cholera dynamics of the delta may well demonstrate an uncertain predictable pattern of occurrence over the next century. © 2016 Elsevier Ltd</t>
  </si>
  <si>
    <t>2-s2.0-85009460388"</t>
  </si>
  <si>
    <t>Comptes Rendus - Geoscience</t>
  </si>
  <si>
    <t>10.1016/j.crte.2017.09.004</t>
  </si>
  <si>
    <t>https://www.scopus.com/inward/record.uri?eid=2-s2.0-85037059470&amp;doi=10.1016%2fj.crte.2017.09.004&amp;partnerID=40&amp;md5=3e5f7ad39303bacca2ffa238dad7df5c</t>
  </si>
  <si>
    <t>The rivers flowing into the Western Indian Ocean have steep headwater gradients and carry high sediment loads. In combination with strong tides and seasonal rainfall, these rivers create dynamic deltas with biodiversity-rich and productive ecosystems that, through flooding, have sustained indigenous use systems for centuries. However, river catchments are rapidly changing due to deforestation. Hydropower dams also increasingly alter flood characteristics, reduce sediment supply and contribute to coastal erosion. These impacts are compounded by climate change. Altogether, these changes affect the livelihoods of the delta users. Here, based on prior works that we and others have conducted in the region, we analyse the drivers of these hydro-ecological changes. We then provide recommendations for improved dam design and operations to sustain the underlying delta-building processes, the ecosystem values and the needs of the users. © 2017 Académie des sciences</t>
  </si>
  <si>
    <t>2-s2.0-85037059470"</t>
  </si>
  <si>
    <t>10.1007/s11252-017-0678-x</t>
  </si>
  <si>
    <t>https://www.scopus.com/inward/record.uri?eid=2-s2.0-85019632604&amp;doi=10.1007%2fs11252-017-0678-x&amp;partnerID=40&amp;md5=572a79526970a2f3ab9605e874cfc182</t>
  </si>
  <si>
    <t>Global warming is leading to increased frequency and severity of storms that are associated with flooding, increasing the risk to urban, coastal populations. This study examined perceptions of the relationship between severe storms, sea level rise, climate change and ecological barriers by a vulnerable environmental justice population in New Jersey. Patients using New Jersey’s Federally Qualified Health Centers were interviewed after Hurricane [Superstorm] Sandy because it is essential to understand the perceptions of uninsured, underinsured, and economically challenged people to better develop a resiliency strategy for the most vulnerable people. Patients (N = 355) using 6 centers were interviewed using a structured interview form. Patients were interviewed in the order they entered the reception area, in either English or Spanish. Respondents were asked to rate their agreement with environmental statements. Respondents 1) agreed with experts that “severe storms were due to climate change”, “storms will come more often”, and that “flooding was due to sea level rise”, 2) did not agree as strongly that “climate change was due to human activity”, 3) were neutral for statements that “Sandy damages were due to loss of dunes or salt marshes”. 4) did not differ as a function of ethnic/racial categories, and 5) showed few gender differences. It is imperative that the public understand that climate change and sea level rise are occurring so that they support community programs (and funding) to prepare for increased frequency of storms and coastal flooding. The lack of high ratings for the role of dunes and marshes in preventing flooding indicates a lack of understanding that ecological structures protect coasts, and suggests a lack of support for management actions to restore dunes as part of a coastal preparedness strategy. Perceptions that do not support a public policy of coastal zone management to protect coastlines can lead to increased flooding, extensive property damages, and injuries or loss of life. © 2017, Springer Science+Business Media New York.</t>
  </si>
  <si>
    <t>2-s2.0-85019632604"</t>
  </si>
  <si>
    <t>10.1016/j.jafrearsci.2017.07.019</t>
  </si>
  <si>
    <t>https://www.scopus.com/inward/record.uri?eid=2-s2.0-85026201051&amp;doi=10.1016%2fj.jafrearsci.2017.07.019&amp;partnerID=40&amp;md5=649c610929bf3d37c7e4e5a2d821af95</t>
  </si>
  <si>
    <t>Coastal areas are important regions in the world as they host huge population, diverse ecosystems and natural resources. However, owing to their settings, elevations and proximities to the sea, climate change (global warming) and human activities are threatening issues. Herein, we report the coastline changes and possible future threats related to sea level rise owing to global warming and human activities in the coastal region of Nigeria. Google earth images, Digital Elevation Model (DEM) and geological maps were used. Using google earth images, coastal changes for the past 43 years, 3 years prior to and after the construction of breakwaters along Goshen Beach Estate (Lekki) were examined. Additionally, coastline changes along Lekki Phase I from 2013 to 2016 were evaluated. The DEM map was used to delineate 0–2 m, 2–5 m and 5–10 m asl which correspond to undifferentiated sands and gravels to clays on the geological map. The results of the google earth images revealed remarkable erosion along both Lekki and Lekki Phase I, with the destruction of a lagoon in Lekki Phase I. Based on the result of the DEM map and geology, elevations of 0–2 m, 2–5 m and 5–10 m asl were interpreted as highly risky, moderately risky and risky respectively. Considering factors threatening coastal regions, the erosion and destruction of the lagoon along the Nigerian coast may be ascribed to sea level rise as a result of global warming and intense human activities respectively. © 2017 Elsevier Ltd</t>
  </si>
  <si>
    <t>2-s2.0-85026201051"</t>
  </si>
  <si>
    <t>10.3390/geosciences7040094</t>
  </si>
  <si>
    <t>https://www.scopus.com/inward/record.uri?eid=2-s2.0-85030671982&amp;doi=10.3390%2fgeosciences7040094&amp;partnerID=40&amp;md5=ced4caaf027b0c1badf951fb7c57832f</t>
  </si>
  <si>
    <t>This paper will assess the most recently available open access high-resolution optical satellite data (0.3 m-0.6 m) and its detection of buried ancient features versus ground based remote sensing tools. It also discusses the importance of CORONA satellite data to evaluate landscape changes over the past 50 years surrounding sites. The study concentrates on Egypt’s Nile Delta, which is threatened by rising sea and water tables and urbanization. Many ancient coastal sites will be lost in the next few decades, thus this paper emphasizes the need to map them before they disappear. It shows that high resolution satellites can sometimes provide the same general picture on ancient sites in the Egyptian Nile Delta as ground based remote sensing, with relatively sandier sedimentary and degrading tell environments, during periods of rainfall, and higher groundwater conditions. Research results also suggest potential solutions for rapid mapping of threatened Delta sites, and urge a collaborative global effort to maps them before they disappear. © 2017 by the authors. Licensee MDPI, Basel, Switzerland.</t>
  </si>
  <si>
    <t>2-s2.0-85030671982"</t>
  </si>
  <si>
    <t>10.1016/j.jvolgeores.2017.05.020</t>
  </si>
  <si>
    <t>https://www.scopus.com/inward/record.uri?eid=2-s2.0-85020395696&amp;doi=10.1016%2fj.jvolgeores.2017.05.020&amp;partnerID=40&amp;md5=4885ab311bbd22e29bb4525032590ed0</t>
  </si>
  <si>
    <t>Villarrica, Llaima, and Calbuco volcanoes are the most active and dangerous volcanoes in the Southern Andes, and we use Interferometric Synthetic Aperture Radar (InSAR) observations from multiple satellites (ERS-2, ENVISAT, ALOS, RADARSAT-2, COSMO-SkyMed, TerraSAR-X, Sentinel-1A and ALOS-2) to constrain ground deformation that spans episodes of unrest and eruption at all three volcanoes between 2002 and 2015. We find episodes of ground deformation at each volcano, which we invert using analytic elastic half-space models to make some of the first geophysical inferences about the source depths of potential magma chambers. At Llaima, we interpret that the VEI 2 April 3, 2009 eruption was preceded by ~ 6–15 cm of precursory ground uplift one month before from a source ~ 5 km below the surface on the western side of the edifice. The VEI 2 March 3, 2015 Villarrica eruption was followed by a short lived uplift of 5 cm in the SE part of the volcano from a source depth of ~ 6 km. The VEI 4 April 22–23, 2015 Calbuco eruption produced 12 cm of coeruptive subsidence from a source depth 8–11 km and offset ~ 2 km S from the summit. Importantly, we do not find clear evidence that the January 1, 2008, the March 3, 2015 and April 22, 2015 eruptions at Llaima, Villarrica and Calbuco volcanoes were preceded by either transient or continuous ground uplift. There are several possible explanations for the lack of precursory deformation at each volcano – it is possible that any precursory deformation occurred only hours before the eruption (e.g., at Calbuco), pre-eruptive inflation was canceled by co-eruptive subsidence (as we inferred happened during the April 2009 Llaima eruption), the pre-eruptive deformation was too small to be detectable in areas with persistent topography correlated phase delays, pressurized source are deep, or that open-vent volcanoes like Villarrica and Llaima do not pressurize. At all three volcanoes, X and C band interferograms decorrelate in a few weeks due to vegetation, snow and ice, and have persistent atmospheric phase delays that we find cannot be reliably removed with available global weather models. The low number of SAR acquisitions therefore makes it challenging to reliably measure unaliased deformation. We recommend a multi-satellite observing strategy with short repeat periods, frequently acquired high-resolution digital elevation models, and with acquisitions during every satellite overflight that may improve the temporal resolution of measurements. © 2017 Elsevier B.V.</t>
  </si>
  <si>
    <t>2-s2.0-85020395696"</t>
  </si>
  <si>
    <t>10.1016/j.margeo.2017.08.015</t>
  </si>
  <si>
    <t>https://www.scopus.com/inward/record.uri?eid=2-s2.0-85027994240&amp;doi=10.1016%2fj.margeo.2017.08.015&amp;partnerID=40&amp;md5=1c48a21894d89a16f19afc8ae572dcfa</t>
  </si>
  <si>
    <t>Chenier plain and mudflat development in the South Flank of the Yangtze Delta are examined by multi-disciplinary methods over different spatiotemporal scales and changing human-earth interactions. The study site contains a narrow belt of elongated ridge complexes that formed along the sediment-deficient open coast from 6500 to 4000 yr BP. Since then and until the past two decades, shoreline progradation has accelerated due to increasing sediment supply, fueling rapid deltaic expansion. Superimposed on this trend are a series of discrete sand-dominated ridges deposited during several stormy intervals. Tidal flat development is regulated by complex estuarine processes. Short-term morphodynamic variations at the site are caused by the alternations of tides and waves, while intermediate morphodynamic variations are controlled by the multi-decadal shifting of river stem channel and stormy climates. The ongoing rapid accretion on the tidal flats is predicted to continue into the near future because the estuarine buffer effect is expected to balance the adverse impacts of decreasing riverine sediment discharge and rising sea level. Technological developments during the last ~ 2000 years are exemplified by seawall construction against sea flooding, marking a transition from passive to active. Dike construction has been used more frequently and intensively to reclaim land since the 1970s, in support of the booming socioeconomic development in the region. Lessons from complex morphodynamic change and human-earth interactions in the Southern Yangtze Delta admonish us to not reclaim coastal wetland by lower-flat enclosures (constructing new dikes near the low waterline), while an optimal alternative would be to implement upper-flat enclosures (constructing new dikes around the high waterline) on the continuously accretionary tidal flats, with auxiliary biological restoration engineering, to satisfy both socioeconomic development and sustainable wetland conservancy. © 2017 Elsevier B.V.</t>
  </si>
  <si>
    <t>2-s2.0-85027994240"</t>
  </si>
  <si>
    <t>10.1016/j.apm.2017.06.011</t>
  </si>
  <si>
    <t>https://www.scopus.com/inward/record.uri?eid=2-s2.0-85028000398&amp;doi=10.1016%2fj.apm.2017.06.011&amp;partnerID=40&amp;md5=de2721c4eeced31bafe75c0164755ab0</t>
  </si>
  <si>
    <t>In this paper, we introduce the vulnerability and vulnerability index for systems described by cellular automata. A zone will be vulnerable to the space-time expansion of a given property during a time horizon if the property trajectory reaches the zone at a certain time. The space-time expansion of the property known as spreadability depends closely on the property definition, the cells properties and the transition function which governs the cellular automata evolution. These constraints exhibit two types of spreadability (inclusion sense and area sense) which affect vulnerable zones. When multiple zones are vulnerable during a given time horizon, we need criteria which describe whose are the most vulnerable. Then we consider iterative, average and global vulnerability index whose use depends on the considered phenomena. As an application we consider the flood phenomena. For this we use the two scale cellular automaton for flow dynamics modeling (2CAFDYM) over a given terrain. This application requires an adaptation of the general vulnerability index in order to take into account the both horizontal and vertical distributions of surface water. As practice application, we consider simulation for a basin in northern Morocco using a simulation software we have designed in Java Object Oriented Programming. Digital terrain model, geological maps and satellite image are used for input data. © 2017 Elsevier Inc.</t>
  </si>
  <si>
    <t>2-s2.0-85028000398"</t>
  </si>
  <si>
    <t>10.1073/pnas.1712433114</t>
  </si>
  <si>
    <t>https://www.scopus.com/inward/record.uri?eid=2-s2.0-85033717522&amp;doi=10.1073%2fpnas.1712433114&amp;partnerID=40&amp;md5=049cc03f4fde405bb89a6905623aaae5</t>
  </si>
  <si>
    <t>As global climate warms and sea level rises, coastal areas will be subject to more frequent extreme flooding and hurricanes. Geologic evidence for extreme coastal storms during past warm periods has the potential to provide fundamental insights into their future intensity. Recent studies argue that during the Last Interglacial (MIS 5e, ∼128–116 ka) tropical and extratropical North Atlantic cyclones may have been more intense than at present, and may have produced waves larger than those observed historically. Such strong swells are inferred to have created a number of geologic features that can be observed today along the coastlines of Bermuda and the Bahamas. In this paper, we investigate the most iconic among these features: massive boulders atop a cliff in North Eleuthera, Bahamas. We combine geologic field surveys, wave models, and boulder transport equations to test the hypothesis that such boulders must have been emplaced by storms of greater-than-historical intensity. By contrast, our results suggest that with the higher relative sea level (RSL) estimated for the Bahamas during MIS 5e, boulders of this size could have been transported by waves generated by storms of historical intensity. Thus, while the megaboulders of Eleuthera cannot be used as geologic proof for past “superstorms,” they do show that with rising sea levels, cliffs and coastal barriers will be subject to significantly greater erosional energy, even without changes in storm intensity. © 2017, National Academy of Sciences. All rights reserved.</t>
  </si>
  <si>
    <t>2-s2.0-85033717522"</t>
  </si>
  <si>
    <t>10.1007/s11069-017-3027-8</t>
  </si>
  <si>
    <t>https://www.scopus.com/inward/record.uri?eid=2-s2.0-85028759512&amp;doi=10.1007%2fs11069-017-3027-8&amp;partnerID=40&amp;md5=21ec02854e550ef40a3dabfef5ae41af</t>
  </si>
  <si>
    <t>After reviewing relevant climate impact assessment guidelines derived from those of the United States Country Study Program (USCSP), the Intergovernmental Panel on Climate Change (IPCC) and UNEP, the author adopted a set of impact assessment steps towards a methodological procedure for assessing vulnerability and adaptation (V and A) in a Bangladesh coastal cyclone-prone area. This paper classifies and prioritizes the intensity of V and A issues through weighting index values of two recent cyclones: ‘Sidr’ in 2007 and ‘Aila’ in 2009. This study offers a model using V and A techniques ideal for immediate policy-making in order to reduce future vulnerability at local level. © 2017, Springer Science+Business Media B.V.</t>
  </si>
  <si>
    <t>2-s2.0-85028759512"</t>
  </si>
  <si>
    <t>10.1038/s41598-017-11058-7</t>
  </si>
  <si>
    <t>https://www.scopus.com/inward/record.uri?eid=2-s2.0-85028681858&amp;doi=10.1038%2fs41598-017-11058-7&amp;partnerID=40&amp;md5=d0bf8dbc4f547c463e4f6e2119e99dc6</t>
  </si>
  <si>
    <t>In coastal ecosystems, climate change affects multiple environmental factors, yet most predictive models are based on simple cause-and-effect relationships. Multiple stressor scenarios are difficult to predict because they can create a ripple effect through networked ecosystem functions. Estuarine ecosystem function relies on an interconnected network of physical and biological processes. Estuarine habitats play critical roles in service provision and represent global hotspots for organic matter processing, nutrient cycling and primary production. Within these systems, we predicted functional changes in the impacts of land-based stressors, mediated by changing light climate and sediment permeability. Our in-situ field experiment manipulated sea level, nutrient supply, and mud content. We used these stressors to determine how interacting environmental stressors influence ecosystem function and compared results with data collected along elevation gradients to substitute space for time. We show non-linear, multi-stressor effects deconstruct networks governing ecosystem function. Sea level rise altered nutrient processing and impacted broader estuarine services ameliorating nutrient and sediment pollution. Our experiment demonstrates how the relationships between nutrient processing and biological/physical controls degrade with environmental stress. Our results emphasise the importance of moving beyond simple physically-forced relationships to assess consequences of climate change in the context of ecosystem interactions and multiple stressors. © 2017 The Author(s).</t>
  </si>
  <si>
    <t>2-s2.0-85028681858"</t>
  </si>
  <si>
    <t>10.1016/j.geomorph.2017.09.005</t>
  </si>
  <si>
    <t>https://www.scopus.com/inward/record.uri?eid=2-s2.0-85032201296&amp;doi=10.1016%2fj.geomorph.2017.09.005&amp;partnerID=40&amp;md5=5749cf312c5e2ebcc2255b383ad45b5a</t>
  </si>
  <si>
    <t>The Minnesota River and major tributaries have experienced large increases in discharge over the past century. Aerial photograph-based measurements of channel width were made for the 1938–2015 period at 16 multibend subreaches by digitizing the area between vegetation lines and dividing by centerline length. Results show considerable increases in width for the main stem (0.62 ± 0.10%/y) and major tributaries (0.31 ± 0.08%/y) but are inconclusive for smaller channels (width &lt; 25 m). Width change for a 146.5-km reach of the lower Minnesota River between 1938 and 2008 is similar to that from the subreach-scale analysis. Widening was associated with lateral centerline movement and temporal change in at-a-station hydraulic geometry for water surface width, indicating that widening is associated with cross-sectional change and not simply upward movement of the vegetation line. Digital elevation model analysis and regional hydraulic geometry show that the main stem and larger tributaries account for the vast majority (~ 85%) of bankfull channel volume. High-order channels are thus disproportionately responsible for sediment production through cross section enlargement, although floodplains or off-channel water bodies adjacent to these channels likely represent important sediment sinks. Because channel enlargement can play an important role in sediment production, it should be considered in sediment reduction strategies in the Minnesota River basin and carefully evaluated in other watersheds undergoing long-term increases in discharge. © 2017 Elsevier B.V.</t>
  </si>
  <si>
    <t>2-s2.0-85032201296"</t>
  </si>
  <si>
    <t>10.3390/rs9111194</t>
  </si>
  <si>
    <t>https://www.scopus.com/inward/record.uri?eid=2-s2.0-85034751222&amp;doi=10.3390%2frs9111194&amp;partnerID=40&amp;md5=a4138b45d90573d94e988922688d5fd5</t>
  </si>
  <si>
    <t>In this work, ground deformation of the Shanghai coastal area is inferred by using the multiple-satellite Differential Synthetic Aperture Radar interferometry (DInSAR) approach, also known as the minimum acceleration (MinA) combination algorithm. The MinA technique allows discrimination and time-evolution monitoring of the inherent two-dimensional components (i.e., with respect to east-west and up-down directions) of the ongoing deformation processes. It represents an effective post-processing tool that allows an easy combination of preliminarily-retrieved multiple-satellite Line-Of-Sight-projected displacement time-series, obtained by using one (or more) of the currently available multi-pass DInSAR toolboxes. Specifically, in our work, the well-known small baseline subset (SBAS) algorithm has been exploited to recover LOS deformation time-series from two sets of Synthetic Aperture Radar (SAR) data relevant to the coast of Shanghai, collected from 2014 to 2017 by the COSMO-SkyMed (CSK) and the Sentinel-1A (S1-A) sensors. The achieved results evidence that the Shanghai ocean-reclaimed areas were still subject to residual deformations in 2016, with maximum subsidence rates of about 30 mm/year. Moreover, the investigation has revealed that the detected deformations are predominantly vertical, whereas the east-west deformations are less significant. © 2017 by the authors.</t>
  </si>
  <si>
    <t>2-s2.0-85034751222"</t>
  </si>
  <si>
    <t>10.5194/tc-11-2463-2017</t>
  </si>
  <si>
    <t>https://www.scopus.com/inward/record.uri?eid=2-s2.0-85021115181&amp;doi=10.5194%2ftc-11-2463-2017&amp;partnerID=40&amp;md5=882330abecfd79c672812e1bddee5386</t>
  </si>
  <si>
    <t>The glaciers of the Cordillera Blanca, Peru, are rapidly retreating and thinning as a result of climate change, altering the timing, quantity and quality of water available to downstream users. Furthermore, increases in the number and size of proglacial lakes associated with these melting glaciers is increasing potential exposure to glacier lake outburst floods (GLOFs). Understanding how these glaciers are changing and their connection to proglacial lake systems is thus of critical importance. Most satellite data are too coarse for studying small mountain glaciers and are often affected by cloud cover, while traditional airborne photogrammetry and lidar are costly. Recent developments have made unmanned aerial vehicles (UAVs) a viable and potentially transformative method for studying glacier change at high spatial resolution, on demand and at relatively low cost. Using a custom designed hexacopter built for high-altitude (4000-6000ma.s.l.) operation, we completed repeat aerial surveys (2014 and 2015) of the debris-covered Llaca Glacier tongue and proglacial lake system. High-resolution orthomosaics (5 cm) and digital elevation models (DEMs) (10 cm) were produced and their accuracy assessed. Analysis of these datasets reveals highly heterogeneous patterns of glacier change. The most rapid areas of ice loss were associated with exposed ice cliffs and meltwater ponds on the glacier surface. Considerable subsidence and low surface velocities were also measured on the sediments within the pro-glacial lake, indicating the presence of extensive regions of buried ice and continued connection to the glacier tongue. Only limited horizontal retreat of the glacier tongue was observed, indicating that measurements of changes in aerial extent alone are inadequate for monitoring changes in glacier ice quantity. © 2017 Author(s).</t>
  </si>
  <si>
    <t>2-s2.0-85021115181"</t>
  </si>
  <si>
    <t>10.1016/j.cageo.2017.08.012</t>
  </si>
  <si>
    <t>https://www.scopus.com/inward/record.uri?eid=2-s2.0-85028593050&amp;doi=10.1016%2fj.cageo.2017.08.012&amp;partnerID=40&amp;md5=940a2780253dea8ccbc53f458ee58932</t>
  </si>
  <si>
    <t>The Hazard Exposure Reporting and Analytics (HERA) dynamic web application was created to provide a platform that makes research on community exposure to coastal-flooding hazards influenced by sea level rise accessible to planners, decision makers, and the public in a manner that is both easy to use and easily accessible. HERA allows users to (a) choose flood-hazard scenarios based on sea level rise and storm assumptions, (b) appreciate the modeling uncertainty behind a chosen hazard zone, (c) select one or several communities to examine exposure, (d) select the category of population or societal asset, and (e) choose how to look at results. The application is designed to highlight comparisons between (a) varying levels of sea level rise and coastal storms, (b) communities, (c) societal asset categories, and (d) spatial scales. Through a combination of spatial and graphical visualizations, HERA aims to help individuals and organizations to craft more informed mitigation and adaptation strategies for climate-driven coastal hazards. This paper summarizes the technologies used to maximize the user experience, in terms of interface design, visualization approaches, and data processing. © 2017</t>
  </si>
  <si>
    <t>2-s2.0-85028593050"</t>
  </si>
  <si>
    <t>10.1002/2017GL074443</t>
  </si>
  <si>
    <t>https://www.scopus.com/inward/record.uri?eid=2-s2.0-85030533168&amp;doi=10.1002%2f2017GL074443&amp;partnerID=40&amp;md5=c9c9181a0d07822d1c65634bd78ae1a1</t>
  </si>
  <si>
    <t>Glacial meltwater and ice calving contribute to the flood volume of glacial lakes such as Lake Merzbacher in the Tian Shan Mountains of central Asia. In this study, we simulated the lake's volume by constructing an empirical relationship between the area of Lake Merzbacher, determined from satellite images, and the lake's water storage, derived from digital elevation models. Results showed that the lake water supply rate before Glacial Lake Outburst Floods (GLOFs) generally agreed well with those during the GLOFs from 2009 to 2012 but not in 2008 and 2015. Furthermore, we found that the combination of glacial meltwater and ice calving is not enough to fully explain the supply rate during GLOFs in 1996 and 1999, suggesting other factors affect the supply rate during GLOFs as well. To examine this further, we compared the water supply rate before and during GLOF events in 1999 and 2008. We inferred that quickly released short-term and intermediate-term water storage by glaciers have likely contributed to both flood events in those years. This study highlights the need to improve our understanding of the supply component of outburst floods, such as irregularly released stored water may lead to GLOF events with generally three different types: case I (singular event-triggered englacial water release), case II (glacier melt due to temperature changes), and case III (englacial water release mixed with glacier melt). ©2017. American Geophysical Union. All Rights Reserved.</t>
  </si>
  <si>
    <t>2-s2.0-85030533168"</t>
  </si>
  <si>
    <t>10.1007/s00190-017-1024-z</t>
  </si>
  <si>
    <t>https://www.scopus.com/inward/record.uri?eid=2-s2.0-85018854948&amp;doi=10.1007%2fs00190-017-1024-z&amp;partnerID=40&amp;md5=ad6405f4661d9453d4be687e33dac5c3</t>
  </si>
  <si>
    <t>The existence of intra-plate deformation of the Sundaland platelet along its eastern edge in North Borneo, South-East Asia, makes it an interesting area that still is relatively understudied. In addition, the motion of the coastal area of North-West Borneo is directed toward a frontal fold-and-thrust belt and has been fueling a long debate on the possible geophysical sources behind it. At present this fold-and-thrust belt is not generating significant seismic activity and may also not be entirely active due to a decreasing shelfal extension from south to north. Two sets of Global Positioning System (GPS) data have been used in this study</t>
  </si>
  <si>
    <t>10.1002/joc.5113</t>
  </si>
  <si>
    <t>https://www.scopus.com/inward/record.uri?eid=2-s2.0-85019025363&amp;doi=10.1002%2fjoc.5113&amp;partnerID=40&amp;md5=af833f824f4344ac41c76a466e240d01</t>
  </si>
  <si>
    <t>The spatio-temporal variability of precipitation extremes was investigated over the southeast coastal region of China, based on daily precipitation records from 73 meteorological stations for the period of 1960–2014. The standardized precipitation index (SPI), rotated empirical orthogonal function (REOF), and wavelet analysis methods were used to assess the characteristics of dryness/wetness patterns, as well as their correlations with the El Niño/Southern Oscillation (ENSO). Most of the extreme indices exhibited increasing trends at the regional scale over the past 55 years and generally had larger magnitudes than in other regions, with heavy precipitation that was more concentrated in time. The annual total wet day precipitation (PRCPTOT), total precipitation on very wet days (R95p), and total precipitation on extremely wet days (R99p) displayed sharp increases, with magnitudes of 22.60 (P = 0.33), 21.50 (P = 0.02) and 7.80 (P = 0.06) mm decade−1, respectively. In contrast, the regional averaged maximum consecutive wet days (CWD) decreased by −0.10 days decade−1 (P = 0.48). The stations with sharp increases in extreme heavy precipitation were mainly located in the north and coastal areas. In addition, three dominant dryness/wetness patterns (REOFs) corresponding to different climatic partitions were identified. With regard to the time coefficients (PCs) of each REOF, no significant trend in PC1 was detected, while an increasing trend (P &lt; 0.001) in PC2 and decreasing trend (P &lt; 0.001) in PC3 were found. The evolution of dryness/wetness occurred over a 4- to 12-year period in the first three REOFs, and their PCs all had significant positive correlations with ENSO at a 12-month lag time. This study suggests that the risks of heavy precipitation and flooding are likely to increase in southeast China, particularly in the northern and coastal areas, and extreme events may be strengthened in the southern subtropical zone during certain seasons. © 2017 Royal Meteorological Society</t>
  </si>
  <si>
    <t>2-s2.0-85019025363"</t>
  </si>
  <si>
    <t>10.1007/s12524-016-0618-x</t>
  </si>
  <si>
    <t>https://www.scopus.com/inward/record.uri?eid=2-s2.0-84983504324&amp;doi=10.1007%2fs12524-016-0618-x&amp;partnerID=40&amp;md5=9fb6198285eee4d0b61656d2c8980557</t>
  </si>
  <si>
    <t>The dynamism of geomorphic provinces in fluvial systems present considerable ambiguities in mapping by remote sensing. This necessitates use of multiple satellite data to characterize such depositional provinces. We use, an integrated dataset to characterize the geomorphic provinces (e.g. active flood plain, older food plain, fan etc.) of the Kosi River (Bihar), India. This is done using contrast in spectral signatures derived from multispectral bands (of IRS-P6 LISS III), radiant temperature (from ETM+) and radar-roughness (from radar brightness image RISAT-1). ASTER DEM has been used in deriving topographic profiles. The optical imagery, enables regional characterization through direct tonal changes (e.g. active flood plain is brighter than older flood plain). The radiant temperatures show variations across provinces. Geomorphic transitions are represented by topographic breaks. Radar backscatter imagery, show differences in radar-return from different sub-provinces. Observations made using specific sensor characterize each provinces and is supplementary/complimentary to the parameter(s) from other sensors. © 2016, Indian Society of Remote Sensing.</t>
  </si>
  <si>
    <t>2-s2.0-84983504324"</t>
  </si>
  <si>
    <t>10.1080/23249676.2016.1184596</t>
  </si>
  <si>
    <t>https://www.scopus.com/inward/record.uri?eid=2-s2.0-85042498188&amp;doi=10.1080%2f23249676.2016.1184596&amp;partnerID=40&amp;md5=de14eb8cfa4def9a60f6ded4bccef66f</t>
  </si>
  <si>
    <t>Within the framework of different EU framework research projects (THESEUS and TIDE), investigations of the efficiency of artificial sandbanks in the mouth of the Elbe estuary for the mitigation of tidal energy and a better storm surge protection were carried out. The efficiency of the artificial sandbanks was analysed by means of two- and three-dimensional hydro- and morphodynamic models. The models calculate the water level and current velocities as well as the transport of dissolved constituents under mean and storm surge conditions. To allow the investigation of the effects of the artificial sandbanks on the water level and currents in the inner estuary, a high spatial grid resolution was used. Overall results of the investigations are presented and an outlook on how those measures can contribute to innovative risk mitigation is shown. © 2016 IAHR and WCCE.</t>
  </si>
  <si>
    <t>2-s2.0-85042498188"</t>
  </si>
  <si>
    <t>10.5194/hess-21-3991-2017</t>
  </si>
  <si>
    <t>https://www.scopus.com/inward/record.uri?eid=2-s2.0-85027346513&amp;doi=10.5194%2fhess-21-3991-2017&amp;partnerID=40&amp;md5=6650c5797398edafe094138900dac2be</t>
  </si>
  <si>
    <t>In the Vietnamese part of the Mekong Delta (VMD) the areas with three rice crops per year have been expanded rapidly during the last 15 years. Paddy-rice cultivation during the flood season has been made possible by implementing high-dyke flood defenses and flood control structures. However, there are widespread claims that the high-dyke system has increased water levels in downstream areas. Our study aims at resolving this issue by attributing observed changes in flood characteristics to high-dyke construction and other possible causes. Maximum water levels and duration above the flood alarm level are analysed for gradual trends and step changes at different discharge gauges. Strong and robust increasing trends of peak water levels and duration downstream of the high-dyke areas are found with a step change in 2000/2001, i.e. immediately after the disastrous flood which initiated the high-dyke development. These changes are in contrast to the negative trends detected at stations upstream of the high-dyke areas. This spatially different behaviour of changes in flood characteristics seems to support the public claims. To separate the impact of the high-dyke development from the impact of the other drivers - i.e. changes in the flood hydrograph entering the Mekong Delta, and changes in the tidal dynamics - hydraulic model simulations of the two recent large flood events in 2000 and 2011 are performed. The hydraulic model is run for a set of scenarios whereas the different drivers are interchanged. The simulations reveal that for the central VMD an increase of 9-13cm in flood peak and 15 days in duration can be attributed to high-dyke development. However, for this area the tidal dynamics have an even larger effect in the range of 19-32cm. However, the relative contributions of the three drivers of change vary in space across the delta. In summary, our study confirms the claims that the high-dyke development has raised the flood hazard downstream. However, it is not the only and not the most important driver of the observed changes. It has to be noted that changes in tidal levels caused by sea level rise in combination with the widely observed land subsidence and the temporal coincidence of high water levels and spring tides have even larger impacts. It is recommended to develop flood risk management strategies using the high-dyke areas as retention zones to mitigate the flood hazard downstream.&lt;/p&gt;. © 2017 Author(s).</t>
  </si>
  <si>
    <t>2-s2.0-85027346513"</t>
  </si>
  <si>
    <t>10.1117/1.JRS.11.036018</t>
  </si>
  <si>
    <t>https://www.scopus.com/inward/record.uri?eid=2-s2.0-85028533305&amp;doi=10.1117%2f1.JRS.11.036018&amp;partnerID=40&amp;md5=ccab597f8eaa78fd8a6812487121f45e</t>
  </si>
  <si>
    <t>Coastal regions are highly vulnerable to rising sea levels due to global warming. Previous Intergovernmental Panel on Climate Change (2013) predictions of 26 to 82 cm global sea level rise are now considered conservative. Subsequent investigations predict much higher levels which would displace 10% of the world's population living less than 10 m above sea level. Remote sensing and GIS technologies form the mainstay of models on coastal retreat and inundation to future sea-level rise. This study estimates the varying trends along the Krishna-Godavari (K-G) delta region. The rate of shoreline shift along the 330-km long K-G delta coast was estimated using satellite images between 1977 and 2008. With reference to a selected baseline from along an inland position, end point rate and net shoreline movement were calculated using a GIS-based digital shoreline analysis system. The results indicated a net loss of about 42.1 km2 area during this 31-year period, which is in agreement with previous literature. Considering the nature of landforms and EPR, the future hazard line (or coastline) is predicted for the area</t>
  </si>
  <si>
    <t>10.1007/s11069-017-2817-3</t>
  </si>
  <si>
    <t>https://www.scopus.com/inward/record.uri?eid=2-s2.0-85017597270&amp;doi=10.1007%2fs11069-017-2817-3&amp;partnerID=40&amp;md5=455f0290c4a7774a097c29f003da18f2</t>
  </si>
  <si>
    <t>Hurricanes and tropical storms represent one of the major hazards in coastal communities. Storm surge generated by strong winds and low pressure from these systems have the potential to bring extensive flooding in coastal areas. In many cases, the damage caused by the storm surge may exceed the damage from the wind resulting in the total collapse of buildings. Therefore, in coastal areas, one of the sources for major structural damage could be due to scour, where the soil below the building that serves as the foundation is swept away by the movement of the water. The existing methodologies to forecast hurricane flood damage do not differentiate between the different damage mechanisms (e.g., inundation vs. scour). Currently, there are no tools available that predominantly focus on forecasting scour-related damage for buildings. Such a tool could provide significant advantages for planning and/or preparing emergency responses. Therefore, the focus of this study was to develop a methodology to predict possible scour depth due to hurricane storm surges using an automated ArcGIS tool that incorporates the expected hurricane conditions (flow depth, velocity, and flood duration), site-specific building information, and the associated soil types for the foundation. A case study from Monmouth County (NJ), where the scour damages from 2012 Hurricane Sandy were recorded after the storm, was used to evaluate the accuracy of the developed forecasting tool and to relate the scour depth to potential scour damage. The results indicate that the developed tool provides relatively consistent results with the field observations. © 2017, Springer Science+Business Media Dordrecht.</t>
  </si>
  <si>
    <t>2-s2.0-85017597270"</t>
  </si>
  <si>
    <t>10.1016/j.jhydrol.2017.02.007</t>
  </si>
  <si>
    <t>https://www.scopus.com/inward/record.uri?eid=2-s2.0-85012929121&amp;doi=10.1016%2fj.jhydrol.2017.02.007&amp;partnerID=40&amp;md5=2b6502255afa085501cad1d9dd5b357b</t>
  </si>
  <si>
    <t>Due to the growing vulnerability of low-lying coastal zones to flooding by seawater, there is a current need for studies of the impact of such inundations on fresh groundwater resources. The knowledge from the literature is biased towards tropical atoll environments, and only few studies specifically investigated the effect of density-driven downward flow, even though its importance is widely acknowledged. The present study is based on previously unpublished hydrochemical data collected on the island of Baltrum following a devastating storm in 1962, which uniquely show the impact of seawater inundation on a freshwater lens in a siliciclastic aquifer. The field data show that about 3 kg of Cl per m2 of inundated land area, or 18 cm of seawater, infiltrated, and that elevated salinities persisted at the measurement depths of 4 and 6 m for at least 4 years, and at least for 6 years at greater depths. Numerical models support the assertion that the shape of the measured salinographs, i.e. an initial sharp rise in the salt concentration with time, followed by a continually-slowing decrease, must be attributed to density-driven salt fingering. Models that did not consider density effects fail to simulate the observed patterns. Transient recharge, model dimension and lateral flow modify the details of the simulation results, but in all models density-driven vertical flow dominates the overall system behaviour. The diminishing importance of density-driven flow at greater depths, however, in combination with slow recharge-driven flow rates prolongs flushing times, and enhances the risk of brackish-water up-coning when pumping is resumed too soon. © 2017 Elsevier B.V.</t>
  </si>
  <si>
    <t>2-s2.0-85012929121"</t>
  </si>
  <si>
    <t>10.1002/2016JC011770</t>
  </si>
  <si>
    <t>https://www.scopus.com/inward/record.uri?eid=2-s2.0-85029348283&amp;doi=10.1002%2f2016JC011770&amp;partnerID=40&amp;md5=b0c21c6bd203d24cedee289b169b2713</t>
  </si>
  <si>
    <t>Secular changes up to 7% in amplitude, as well as phase advances of 13 min of time per century in the diurnal and semidiurnal tidal constituents, have been found in previous investigations on the sea level record of San Francisco Bay, California. A numerical hydrodynamic model for barotropic tide is used to explore local causes that may contribute to the secular changes found in the tidal constituents. The results indicate that the morphological evolution of the seabed in the region of the ebb-tidal delta is a major factor that contribute to explain the secular changes observed in the tidal constituents in San Francisco Bay, besides of minor contributions from river flow changes and sea-level rise. © 2017. American Geophysical Union. All Rights Reserved.</t>
  </si>
  <si>
    <t>2-s2.0-85029348283"</t>
  </si>
  <si>
    <t>10.1007/s11069-017-2876-5</t>
  </si>
  <si>
    <t>https://www.scopus.com/inward/record.uri?eid=2-s2.0-85017504053&amp;doi=10.1007%2fs11069-017-2876-5&amp;partnerID=40&amp;md5=adf9de98bd600ede04fb3e5356e420e4</t>
  </si>
  <si>
    <t>The low seismic activity in the north of Chile has caused a significant accumulation of energy throughout the last two centuries. It is estimated that the energy stored could cause an earthquake of magnitude higher than 8.5 Mw. This earthquake poses a threat of tsunami to the coastal zone. The city of Iquique is at great risk due to the high demographic density and the long distances between the coastline and the safety zone. An agent-based simulation model has been developed with the objective of quantifying the answer of Iquique’s population under the threat of a tsunami. The model was validated through face validation, sensitivity analysis, and statistical analysis. Two evacuation policies were tested: the current evacuation policy and a policy that combines vertical and horizontal evacuation. The results show that in the diurnal scenario the current evacuation policy does not allow evacuating on time around 40% of Iquique’s population and that the risk may be reduced to 33% by incorporating vertical evacuation. This results are based on the time limit established by local authorities that stipulates a time of 20 min to reach the safety zone. Additionally, we consider an analysis of the simulation model combined with a flooding model. Our results show that the number of people at risk because of a tsunami is much lower than the estimates based on the criteria defined by local authorities. Considering an evacuation policy that combines vertical and horizontal evacuation, it is possible to evacuate over 1500 people more than with the current evacuation policy. © 2017, Springer Science+Business Media Dordrecht.</t>
  </si>
  <si>
    <t>2-s2.0-85017504053"</t>
  </si>
  <si>
    <t>10.1016/j.advwatres.2017.06.021</t>
  </si>
  <si>
    <t>https://www.scopus.com/inward/record.uri?eid=2-s2.0-85030566608&amp;doi=10.1016%2fj.advwatres.2017.06.021&amp;partnerID=40&amp;md5=c46b1c904ec4585adb1268803cdb44e5</t>
  </si>
  <si>
    <t>The Okavango Delta is a vast wetland wilderness in the middle of the Kalahari Desert of Botswana. It is a largely closed hydrological system with most water leaving the delta by evapotranspiration. In spite of this, the channels and swamps of the delta remain surprisingly low in salinity. To help understand the hydrological processes at work, we reanalyzed a previous inversion of data collected from a helicopter transient electromagnetic (HTEM) survey of the entire delta and performed an inversion of a high resolution dataset recorded during the same survey. Our results show widespread infiltration of fresh water to as much as ∼200 m depth into the regional saline aquifer. Beneath the western delta, freshwater infiltration extends to only about 80 m depth. Hydrological modeling with SEAWAT confirms that this may be due to rebound of the regional saltwater–freshwater interface following the cessation of surface flooding over this part of the delta in the 1880s. Our resistivity models also provide evidence for active and inactive saltwater fingers to as much as ∼100 m beneath islands. These results demonstrate the great extent of freshwater infiltration across the delta and also show that all vegetated areas along the delta's channels and swamps are potential locations for transferring solutes from surface water to an aquifer at depth. © 2017 Elsevier Ltd</t>
  </si>
  <si>
    <t>2-s2.0-85030566608"</t>
  </si>
  <si>
    <t>10.5194/esurf-5-369-2017</t>
  </si>
  <si>
    <t>https://www.scopus.com/inward/record.uri?eid=2-s2.0-85022228857&amp;doi=10.5194%2fesurf-5-369-2017&amp;partnerID=40&amp;md5=7b9137c8dc972bebd74f1027099645f7</t>
  </si>
  <si>
    <t>Floodplain and terrace features can provide information about current and past fluvial processes, including channel response to varying discharge and sediment flux, sediment storage, and the climatic or tectonic history of a catchment. Previous methods of identifying floodplain and terraces from digital elevation models (DEMs) tend to be semi-automated, requiring the input of independent datasets or manual editing by the user. In this study we present a new method of identifying floodplain and terrace features based on two thresholds: local gradient, and elevation compared to the nearest channel. These thresholds are calculated statistically from the DEM using quantile-quantile plots and do not need to be set manually for each landscape in question. We test our method against field-mapped floodplain initiation points, published flood hazard maps, and digitised terrace surfaces from seven field sites from the US and one field site from the UK. For each site, we use high-resolution DEMs derived from light detection and ranging (lidar) where available, as well as coarser resolution national datasets to test the sensitivity of our method to grid resolution. We find that our method is successful in extracting floodplain and terrace features compared to the field-mapped data from the range of landscapes and grid resolutions tested. The method is most accurate in areas where there is a contrast in slope and elevation between the feature of interest and the surrounding landscape, such as confined valley settings. Our method provides a new tool for rapidly and objectively identifying floodplain and terrace features on a landscape scale, with applications including flood risk mapping, reconstruction of landscape evolution, and quantification of sediment storage and routing. © 2017 Author(s).</t>
  </si>
  <si>
    <t>2-s2.0-85022228857"</t>
  </si>
  <si>
    <t>10.1002/rra.3084</t>
  </si>
  <si>
    <t>https://www.scopus.com/inward/record.uri?eid=2-s2.0-84991080551&amp;doi=10.1002%2frra.3084&amp;partnerID=40&amp;md5=0ee7087c8bbb4740386a2ebb2e66e6f5</t>
  </si>
  <si>
    <t>We examine how historic flooding in 2011 affected the geomorphic adjustments created by dam regulation along the approximately 120 km free flowing reach of the Upper Missouri River bounded upstream by the Garrison Dam (1953) and downstream by Lake Oahe Reservoir (1959) near the City of Bismarck, ND, USA. The largest flood since dam regulation occurred in 2011. Flood releases from the Garrison Dam began in May 2011 and lasted until October, peaking with a flow of more than 4200 m3 s−1. Channel cross-section data and aerial imagery before and after the flood were compared with historic rates of channel change to assess the relative impact of the flood on the river morphology. Results indicate that the 2011 flood maintained trends in island area with the loss of islands in the reach just below the dam and an increase in island area downstream. Channel capacity changes varied along the Garrison Segment as a result of the flood. The thalweg, which has been stable since the mid-1970s, did not migrate. And channel morphology, as defined by a newly developed shoaling metric, which quantifies the degree of channel braiding, indicates significant longitudinal variability in response to the flood. These results show that the 2011 flood exacerbates some geomorphic trends caused by the dam while reversing others. We conclude that the presence of dams has created an alternate geomorphic and related ecological stable state, which does not revert towards pre-dam conditions in response to the flood of record. This suggests that management of sediment transport dynamics as well as flow modification is necessary to restore the Garrison Segment of the Upper Missouri River towards pre-dam conditions and help create or maintain habitat for endangered species. Published 2016. This article is a U.S. Government work and is in the public domain in the USA. Published 2016. This article is a U.S. Government work and is in the public domain in the USA.</t>
  </si>
  <si>
    <t>2-s2.0-84991080551"</t>
  </si>
  <si>
    <t>10.2112/JCOASTRES-D-16-00139.1</t>
  </si>
  <si>
    <t>https://www.scopus.com/inward/record.uri?eid=2-s2.0-85028836042&amp;doi=10.2112%2fJCOASTRES-D-16-00139.1&amp;partnerID=40&amp;md5=1ccdd852c37c92184d03f2ef0e4a98f8</t>
  </si>
  <si>
    <t>This paper presents 20 years of wave hindcasting in the East Sea (Sea of Japan) to estimate return periods of storm waves at the east coast of South Korea for coastal risk management. The numerical results were validated against the measured data obtained at eight wave stations in the East Sea. The comparison of correlation coefficients of significant wave heights and wave periods, 0.81-0.95 and 0.70-0.88, respectively, between the numerical results and the measured data shows good agreement. Note that the numerical results agree well with the measurements despite the large computational grid size used. The storm waves on February 2008 were successfully simulated in the present study, and the computed peak periods at Gangneung Port showed good agreement with those measured, even though the coefficients of whitecapping dissipation were not modified. On the basis of 20 years of wave hindcasting results, extreme wave analysis was carried out using the peak-over-threshold method and the generalized Pareto distribution function. According to the extreme wave analysis, significant wave heights occurred at Sokcho and Gangneung on 23 October 2006, and were estimated to have a return period of 100 years. It was found that the waves generated by Typhoon Nabi (T0514) were the most severe in the East Sea during the simulation period. During this typhoon period, a 50-year wave appeared at Pohang, the southern East Sea. © Coastal Education and Research Foundation, Inc. 2017.</t>
  </si>
  <si>
    <t>2-s2.0-85028836042"</t>
  </si>
  <si>
    <t>10.5194/esurf-5-387-2017</t>
  </si>
  <si>
    <t>https://www.scopus.com/inward/record.uri?eid=2-s2.0-85023753394&amp;doi=10.5194%2fesurf-5-387-2017&amp;partnerID=40&amp;md5=ff30f6d0f0b70656b658f7e6187b587c</t>
  </si>
  <si>
    <t>Many of the world's deltas - home to major population centers - are rapidly degrading due to reduced sediment supply, making these systems less resilient to increasing rates of relative sea-level rise. The Mississippi Delta faces some of the highest rates of wetland loss in the world. As a result, multibillion dollar plans for coastal restoration by means of river diversions are currently nearing implementation. River diversions aim to bring sediment back to the presently sediment-starved delta plain. Within this context, sediment retention efficiency (SRE) is a critical parameter because it dictates the effectiveness of river diversions. Several recent studies have focused on land building along the open coast, showing SREs ranging from 5 to 30ĝ€%. Here we measure the SRE of a large relict crevasse splay in an inland, vegetated setting that serves as an appropriate model for river diversions. By comparing the mass fraction of sand in the splay deposit to the estimated sand fraction that entered it during its life cycle, we find that this mud-dominated sediment body has an SRE of ≥ĝ€75ĝ€%, i.e., dramatically higher than its counterparts on the open coast. Our results show that transport pathways for mud are critical for delta evolution and that SRE is highly variable across a delta. We conclude that sediment diversions located in settings that are currently still vegetated are likely to be the most effective in mitigating land loss and providing long-term sustainability. © Author(s) 2017.</t>
  </si>
  <si>
    <t>2-s2.0-85023753394"</t>
  </si>
  <si>
    <t>10.1080/17565529.2016.1146120</t>
  </si>
  <si>
    <t>https://www.scopus.com/inward/record.uri?eid=2-s2.0-84961390948&amp;doi=10.1080%2f17565529.2016.1146120&amp;partnerID=40&amp;md5=2dc27624f180d7545ce27a48c230eb5b</t>
  </si>
  <si>
    <t>The South American (SA) region is particularly vulnerable to climate change and El Niño Southern Oscillation (ENSO) events which threaten its economy and sustainable development. Therefore, climate adaptation is a regional priority. At least 6% of SA population live at low-elevation coastal zones (LECZ) exposed to sea-level rise, ENSO variability and storminess. This paper reviews some recent and current adaptation experiences in SA coasts focusing on (i) socioeconomic and vulnerability status, (ii) links between adaptation and sustainable development, and (iii) constraints to adaptation. Despite the regional economic growth and poverty reduction over the last decade, an adaptation deficit to current climate variability persists. Overall, SA countries show a poor link between public policies, adaptation, and theoretical-academic scope. Public adaptation efforts in coastal areas are mostly oriented towards risk assessment, vulnerability and reduction of impacts at urban and touristic settlements. Many experiences developed from the academy follow the community-based adaptation (CBA) approach mainstreamed into local plans. Adaptation constraints are linked with poverty, social priorities, allocation of resources and the multifaceted impacts of climate change. Two coastal CBA case studies in Venezuela and Uruguay based on scientific and local knowledge show that non-structural adaptation measures can improve the populations’ perception of risks, provided that stakeholders, mainly the community, are informed and integrated to define adaptation actions. There are lots of plans and less specific actions. We propose that the assessment of adaptation success has to rely on implementation and effectiveness criteria rather than solely on plans. © 2016 Informa UK Limited, trading as Taylor &amp; Francis Group.</t>
  </si>
  <si>
    <t>2-s2.0-84961390948"</t>
  </si>
  <si>
    <t>10.3390/ijgi6070203</t>
  </si>
  <si>
    <t>https://www.scopus.com/inward/record.uri?eid=2-s2.0-85026363794&amp;doi=10.3390%2fijgi6070203&amp;partnerID=40&amp;md5=b37ca45e733fcde2904e853daaf2f607</t>
  </si>
  <si>
    <t>As part of the contribution to flood disaster risk reduction, it is important to identify and characterize flood areas, locations, and durations. Multiple satellite-based flood mapping and monitoring are an imperative process and the fundamental part of risk assessment in disaster risk management. In this paper, the MODIS-derived synchronized floodwater index (SfWi) was used to detect the maximum extent of a nationwide flood based on annual time-series data of 2015 in order to maximize the application of optical satellite data. The selected three major rivers-i.e., Ganges, Brahmaputra, and Meghna (GBM), transboundary rivers running through the great floodplain delta lying between Bangladesh and eastern India-show that a propensity of flood risk was revealed by the temporal and spatial dynamics of the maximum flood extent during the 2015 monsoon season. Resultant flood maps showed that SfWi-indicated flood areas were small but more accurate than those derived from the single use of the MODIS-derived water index. The return period of SfWi-indicated maximum flood extent was confirmed to be about 20 years based on historical flood records. © 2017 by the author. Licensee MDPI.</t>
  </si>
  <si>
    <t>2-s2.0-85026363794"</t>
  </si>
  <si>
    <t>10.3390/rs9060510</t>
  </si>
  <si>
    <t>https://www.scopus.com/inward/record.uri?eid=2-s2.0-85021067675&amp;doi=10.3390%2frs9060510&amp;partnerID=40&amp;md5=882044da3089f2936a4d3287b0999652</t>
  </si>
  <si>
    <t>In this paper, we used Landsat imagery for water body identification to create a novel 36-year surface area extent time series for lakes Azuei (Haiti) and Enriquillo (Dominican Republic) aimed at illuminating the dramatic temporal changes of these two lakes not just at yearly but at monthly or even sub-monthly scales. We used the Normalized DifferenceWater Index (NDWI) to extract water features and we also used spatial differentiation and thresholding techniques to remove clouds and associated shadows from the scene that were then passed through gap filling algorithms to complete and extract the lake extent polygons. We also explored the challenges that arrive from trying to combine RS-based Digital Elevation Model data with locally collected bathymetric data to yield a seamless representation of the topographic features of the rift valley that contains the two lakes. This ""bathtub"" model was then meshed with the lake extent polygons to compute lake volumes, maximum depths, and geospatially referenced lake levels rating curves. We used this data to examine the lakes and their geospatial characteristics in the context of the lakes' growth/shrinking patterns. While we did not carry out a full hydrologic analysis we attempted to illuminate how specific lake levels cause what type of flooding and especially answered the questions if (a) Lake Azuei would ever spill into Lake Enriquillo, and (b) what the maximum lake levels need to be before spilling into neighboring watersheds. © 2017 by the authors.</t>
  </si>
  <si>
    <t>2-s2.0-85021067675"</t>
  </si>
  <si>
    <t>10.1007/s11069-017-2935-y</t>
  </si>
  <si>
    <t>https://www.scopus.com/inward/record.uri?eid=2-s2.0-85020087625&amp;doi=10.1007%2fs11069-017-2935-y&amp;partnerID=40&amp;md5=201ab3d4afcc9c7bd5c6c6be8bdd4f56</t>
  </si>
  <si>
    <t>The past 12 years have seen significant steps forward in the science and practice of coastal flood analysis. This paper aims to recount and critically assess these advances, while helping identify next steps for the field. This paper then focuses on a key problem, connecting the probabilistic characterization of flood hazards to their physical mechanisms. Our investigation into the effects of natural structure on the probabilities of storm surges shows that several different types of spatial-, temporal-, and process-related organizations affect key assumptions made in many of the methods used to estimate these probabilities. Following a brief introduction to general historical methods, we analyze the two joint probability methods used in most tropical cyclone hazard and risk studies today: the surface response function and Bayesian quadrature. A major difference between these two methods is that the response function creates continuous surfaces, which can be interpolated or extrapolated on a fine scale if necessary, and the Bayesian quadrature optimizes a set of probability masses, which cannot be directly interpolated or extrapolated. Several examples are given here showing significant impacts related to natural structure that should not be neglected in hazard and risk assessment for tropical cyclones including: (1) differences between omnidirectional sampling and directional-dependent sampling of storms in near coastal areas</t>
  </si>
  <si>
    <t>Water Resources and Rural Development</t>
  </si>
  <si>
    <t>10.1016/j.wrr.2017.04.002</t>
  </si>
  <si>
    <t>https://www.scopus.com/inward/record.uri?eid=2-s2.0-85019143483&amp;doi=10.1016%2fj.wrr.2017.04.002&amp;partnerID=40&amp;md5=f7f9e17ae1456231bc5a6c56c0909f91</t>
  </si>
  <si>
    <t>Flood control and irrigation play a significant role in supporting rice intensification and agricultural diversification in the Vietnamese Mekong Delta. Arising out of these mandatory policies have exhibited complicated realities surrounding the linkages between flood control schemes (dykes) and rural livelihoods. However, little has been known about how these development processes shape the social and physical landscapes of the delta, and how rural households have transformed their traditional livelihoods to adapt to change. This paper aims to investigate these household-led practices that have occurred in the wake of the scheme operation across three flood-prone areas in the delta. It employs the mixed methods approach that guides data collection using focus group discussions, in-depth interviews with key informants and household surveys. The analysis suggests that the rural communities have witnessed the dramatic transformation of livelihood practices to adapt to emerging social and environmental conditions. Household groups have devised and adopted a variety of livelihood strategies, which consequently gave rise to polarity among household groups. This study highlights the increased recognition of rural households’ role in contributing farming initiatives to the reframing process of local adaptation policies. © 2017</t>
  </si>
  <si>
    <t>2-s2.0-85019143483"</t>
  </si>
  <si>
    <t>10.1007/s11629-017-4633-3</t>
  </si>
  <si>
    <t>https://www.scopus.com/inward/record.uri?eid=2-s2.0-85029146658&amp;doi=10.1007%2fs11629-017-4633-3&amp;partnerID=40&amp;md5=9b519a050f4216e91f6fb30ab90bed03</t>
  </si>
  <si>
    <t>At 5:39 am on June 24, 2017, a landslide occurred in the village of Xinmo in Maoxian County, Aba Tibet and Qiang Autonomous Prefecture (Sichuan Province, Southwest China). On June 25, aerial images were acquired from an unmanned aerial vehicle (UAV), and a digital elevation model (DEM) was processed. Landslide geometrical features were then analyzed. These are the front and rear edge elevation, accumulation area and horizontal sliding distance. Then, the volume and the spatial distribution of the thickness of the deposit were calculated from the difference between the DEM available before the landslide, and the UAV-derived DEM collected after the landslide. Also, the disaster was assessed using high-resolution satellite images acquired before the landslide. These include QuickBird, Pleiades-1 and GF-2 images with spatial resolutions of 0.65 m, 0.70 m, and 0.80 m, respectively, and the aerial images acquired from the UAV after the landslide with a spatial resolution of 0.1 m. According to the analysis, the area of the landslide was 1.62 km2, and the volume of the landslide was 7.70 ± 1.46 million m3. The average thickness of the landslide accumulation was approximately 8 m. The landslide destroyed a total of 103 buildings. The area of destroyed farmlands was 2.53 ha, and the orchard area was reduced by 28.67 ha. A 2-km section of Songpinggou River was blocked and a 2.1-km section of township road No. 104 was buried. Constrained by the terrain conditions, densely populated and more economically developed areas in the upper reaches of the Minjiang River basin are mainly located in the bottom of the valleys. This is a dangerous area regarding landslide, debris flow and flash flood events. Therefore, in mountainous, high-risk disaster areas, it is important to carefully select residential sites to avoid a large number of casualties. © 2017, Science Press, Institute of Mountain Hazards and Environment, CAS and Springer-Verlag GmbH Germany.</t>
  </si>
  <si>
    <t>2-s2.0-85029146658"</t>
  </si>
  <si>
    <t>10.1080/01490419.2017.1342726</t>
  </si>
  <si>
    <t>https://www.scopus.com/inward/record.uri?eid=2-s2.0-85025836446&amp;doi=10.1080%2f01490419.2017.1342726&amp;partnerID=40&amp;md5=3b841383bfebbe6b35b95f3b8f359c56</t>
  </si>
  <si>
    <t>Changes in the height of the ocean can be described through the relative and absolute sea level changes depending on the geodetic reference the sea level records are related to. Satellite altimetry provides absolute sea level (ASL) measurements related to the global geodetic reference, whereas tide gauges provide relative sea level (RSL) measurements related to the adjacent land. This study aims at computing the ASL surfaces for different time epochs from combined satellite altimeter and tide gauge records. A method of sea level data fusion is proposed to enable modeling of the impact of present and future sea level changes on the coast. Sea surface modeling was investigated for ten different gridding methods commonly used for the interpolation of altimeter data over the open ocean and extrapolation over the coastal zones. The performance of gridding methods was assessed based on the comparison of the gridded altimeter data and corrected tide gauge measurements. Finally, the sea level surfaces related to the GRS80 global reference ellipsoid were computed for the Mediterranean Sea over the altimeter period. In addition, the current sea level trends were estimated from both sea level measurements. © 2017 Taylor &amp; Francis Group, LLC.</t>
  </si>
  <si>
    <t>2-s2.0-85025836446"</t>
  </si>
  <si>
    <t>10.1016/j.earscirev.2017.05.011</t>
  </si>
  <si>
    <t>https://www.scopus.com/inward/record.uri?eid=2-s2.0-85033697885&amp;doi=10.1016%2fj.earscirev.2017.05.011&amp;partnerID=40&amp;md5=6b08b2de578d5535f8351d5b31ba5ea8</t>
  </si>
  <si>
    <t>Environmental pressures from climate change and anthropogenic activities have increased the need for quantitative morphogenetic models of coasts and estuaries. These quantitative models enable geoscientists to explain and forecast coastal and estuarine morphogenetic processes. Reducing model (predictive) uncertainties requires increasing awareness and reconsideration of common fundamental principles upon which existing models have built. Based on a review of most of the existing morphogenetic models applicable on open oceanic coasts and in estuaries, we use the Exner equations to clarify the potential of individual models. Fundamental coastal and estuarine behaviours, and cautions required when implementing the models, are also discussed on the basis of the Exner equations. Major differences between and difficulties with these models are in the derivation and computation of vertical and horizontal sediment fluxes</t>
  </si>
  <si>
    <t>10.5194/os-13-589-2017</t>
  </si>
  <si>
    <t>https://www.scopus.com/inward/record.uri?eid=2-s2.0-85025151294&amp;doi=10.5194%2fos-13-589-2017&amp;partnerID=40&amp;md5=5284f345e2cca7ebd96e3fb81457621a</t>
  </si>
  <si>
    <t>In contrast to deep water waves, shallow water waves are influenced by bottom topography, which has consequences for the propagation of wave energy as well as for the energy and momentum exchange between the waves and the mean flow. The ERA-Interim reanalysis is used to assess the fraction of wave energy associated with shallow water waves in coastal regions in Europe. We show maps of the distribution of this fraction as well as time series statistics from eight selected stations. There is a strong seasonal dependence and high values are typically associated with winter storms, indicating that shallow water wave effects can occasionally be important even in the deeper parts of the shelf seas otherwise dominated by deep water waves.</t>
  </si>
  <si>
    <t>2-s2.0-85025151294"</t>
  </si>
  <si>
    <t>10.1007/s13157-017-0890-8</t>
  </si>
  <si>
    <t>https://www.scopus.com/inward/record.uri?eid=2-s2.0-85015181143&amp;doi=10.1007%2fs13157-017-0890-8&amp;partnerID=40&amp;md5=e58430d5e7c239fbff1cd63f72490346</t>
  </si>
  <si>
    <t>Increasing salinity due to sea level rise is an important factor influencing biogeochemical processes in estuarine wetlands, with the potential to impact greenhouse gas (GHG) emissions. However, there is little consensus regarding what salinity thresholds will significantly alter the production of GHGs or the physiochemical properties of wetland soils. This study used a fine-scale salinity gradient to determine the impact of seawater concentration on the potential production of CH4, CO2 and N2O and associated soil properties using bottle incubations of tidal freshwater marsh soils from the Min River estuary, SE China. Potential CH4 production was unaffected by salinities from 0 to 7.5‰, but declined significantly at 10‰ and above. Potential CO2 production was stimulated at intermediate salinities (5 to 7.5‰), but inhibited by salinities ≥15‰, while potential N2O production was unaffected by salinity. In contrast, soil dissolved organic carbon and NH4         +-N generally increased with salinity. Overall, this research indicates salinities of ~10–15‰ represent an important tipping point for biogeochemical processes in wetlands. Above this threshold, carbon mineralization is reduced and may promote vertical soil accretion in brackish and salinity wetlands. Meanwhile, low-level saltwater intrusion may leave wetlands vulnerable to submergence due to accelerated soil organic carbon loss. © 2017, Society of Wetland Scientists.</t>
  </si>
  <si>
    <t>2-s2.0-85015181143"</t>
  </si>
  <si>
    <t>10.1002/2016WR020339</t>
  </si>
  <si>
    <t>https://www.scopus.com/inward/record.uri?eid=2-s2.0-85026758954&amp;doi=10.1002%2f2016WR020339&amp;partnerID=40&amp;md5=e490217ba0cf9b599024d9811ba1a54d</t>
  </si>
  <si>
    <t>Tidal dynamics and especially storm surges can have an extensive impact on coastal fresh groundwater resources. Combined with the prospect of sea-level rise and the reliance of many people on these resources, this demonstrates the need to assess the vulnerability of coastal areas to these threats. In this study, we investigated the impact of tides and storm surges on coastal groundwater at a pilot location on the Dutch coast (viz., the Sand Engine). To monitor changes in groundwater salinity under a variety of conditions, we performed automated measurements with electrical resistivity tomography for a period of 2 months between November 2014 and January 2015. The obtained resistivity images were converted to salinity images, and these images served effectively as observations of the impact of tidal fluctuations, saltwater overwash during storm surges, and the recovery of the freshwater lens after land-surface inundations. Most of the observed changes in groundwater head and salinity could be reproduced with a two-dimensional variable-density groundwater flow and salt transport model. This shows that groundwater models can be used to make accurate predictions of the impact of tides and storm surges on fresh groundwater resources, given a thorough understanding of the (local) system. Comparisons of measurements and model simulations also showed that morphological changes and wave run-up can have a strong impact on the extent of land-surface inundations in (low-elevation) dynamic coastal environments, and can therefore substantially affect coastal fresh groundwater resources. © 2017. The Authors.</t>
  </si>
  <si>
    <t>2-s2.0-85026758954"</t>
  </si>
  <si>
    <t>10.5670/oceanog.2017.312</t>
  </si>
  <si>
    <t>https://www.scopus.com/inward/record.uri?eid=2-s2.0-85029580512&amp;doi=10.5670%2foceanog.2017.312&amp;partnerID=40&amp;md5=0b40cfcb17cb91f29c7e966ce29397ac</t>
  </si>
  <si>
    <t>Mangrove forests are highly productive ecosystems that provide many physical, societal, and ecological services in tropical and subtropical regions. Accurate prediction of the morphological evolution for these areas, in the face of global sea level rise and changes in sediment supply, requires understanding of interactions between vegetation growth, water flows, and sediment transport. Data presented from a wave exposed mangrove forest in the Mekong Delta, Vietnam, include unique measurements that resolved water flows in and around the aerial mangrove roots (known as pneumatophores) over scales from a few millimeters to hundreds of meters. Flows were highly turbulent, with turbulence values sometimes as large as those measured in surf zones. These energetic processes appear to stir up sediments, with small scour troughs observed around individual pneumatophores, and larger-scale scour around clusters of pneumatophores. The vegetation fringe (the boundary between forest and mudflat) was a particularly dynamic area, with elevated turbulence levels, greater vegetation densities, coarser sediments, and occasional wave breaking. Intense turbulent dissipation at the fringe then reduces the energy of shoreward-propagating waves, sheltering the forest interior. The small-scale processes appear to be linked with forest-wide patterns of sediment transport and deposition. We discuss these links in the context of the biophysical interactions that control the changing shapes of deltas worldwide. © 2017 by The Oceanography Society. All rights reserved.</t>
  </si>
  <si>
    <t>2-s2.0-85029580512"</t>
  </si>
  <si>
    <t>Marine Micropaleontology</t>
  </si>
  <si>
    <t>10.1016/j.marmicro.2017.06.003</t>
  </si>
  <si>
    <t>https://www.scopus.com/inward/record.uri?eid=2-s2.0-85025803338&amp;doi=10.1016%2fj.marmicro.2017.06.003&amp;partnerID=40&amp;md5=81de72b07298665f7ed8c35558048e6f</t>
  </si>
  <si>
    <t>We studied the foraminiferal distribution in two naturally grown salt marshes from the southern North Sea with respect to the tidal frame, salinity, grain size and pH. The salt marshes are situated on the landward sides of the islands of Sylt (Rantum, Germany) and Fanø (Sønderho, Denmark). In both study areas, foraminifera have a vertical distribution with respect to water level, but also show inter-site variability, which can be related to environmental differences (e.g., in salinity and pH) and different flooding dynamics of the coastal salt marsh (Rantum) and the tidal-creek salt marsh (Sønderho). We developed different transfer functions, based on the widely applied standardized water level index (SWLI) approach and on three flooding parameters (duration of submergence (DoS), mean submergence time (MST), and flooding frequency (FF)), in order to assess their predictive ability for relative sea-level estimates for the southern North Sea coastal region. The water-level data used for these approaches are determined based on local water-level conditions, corrected for tidal distortions using water-level measurements for the Sønderho salt marsh and the Rantum tide gauge. The SWLI approach shows a precision (root mean squared error of prediction (RMSEP) of 0.23 m), which is around 15% of the tidal range. All three flooding approaches show comparable results at around mean tide level to mean high water, while at higher elevations, foraminiferal distribution becomes non-linearly correlated to flooding parameters resulting in lower precision of &gt; 1.0 m. Our results suggest that the SWLI approach performs well and that the flooding approaches offer a suitable addition for assessing relative sea-level estimates in the North Sea region. We enhanced the knowledge on changing precision for tide level reconstructions along the elevational gradient in a storm dominated tidal area where elevation and flooding parameters are non-linear correlated. © 2017 Elsevier B.V.</t>
  </si>
  <si>
    <t>2-s2.0-85025803338"</t>
  </si>
  <si>
    <t>10.1002/2017JB014430</t>
  </si>
  <si>
    <t>https://www.scopus.com/inward/record.uri?eid=2-s2.0-85029446120&amp;doi=10.1002%2f2017JB014430&amp;partnerID=40&amp;md5=26aad4f06180ef79eb2d30afd7812729</t>
  </si>
  <si>
    <t>This paper proposes a stochastic approach to model the earthquake uncertainties in terms of the rupture location and the slip distribution for a future event, with an expected earthquake magnitude. Once the statistical properties of earthquake uncertainties are described, they are then propagated into the tsunami response and the inundation at assessed coastal areas. The slip distribution is modeled as a random field within a nonrectangular rupture area. The Karhunen-Lòeve (K-L) expansion method is used to generate samples of the random slip, and a translation model is employed to obtain target probability properties. A strategy is developed to specify the accuracy of the random samples in terms of numbers of subfaults of the rupture area and the truncation of the K-L expansion. The propagation of uncertainty into the tsunami response is performed by means of a Stochastic Reduced Order Model. To illustrate the methodology, we investigated a study case in north Chile. We first demonstrate that the stochastic approach generates consistent earthquake samples with respect to the target probability properties. We also show that the results obtained from SROM are more accurate than those obtained with classic Monte Carlo simulations. To validate the methodology, we compared the simulated tsunamis and the tsunami records for the 2014 Chilean earthquake. Results show that leading wave measurements fall within the tsunami sample space. At later times, however, there are mismatches between measured data and the simulated results, suggesting that other sources of uncertainties are as relevant as the uncertainty of earthquakes. ©2017. American Geophysical Union. All Rights Reserved.</t>
  </si>
  <si>
    <t>2-s2.0-85029446120"</t>
  </si>
  <si>
    <t>10.1007/s11069-017-2918-z</t>
  </si>
  <si>
    <t>https://www.scopus.com/inward/record.uri?eid=2-s2.0-85019695902&amp;doi=10.1007%2fs11069-017-2918-z&amp;partnerID=40&amp;md5=a872d929c82256619737e949fe882a29</t>
  </si>
  <si>
    <t>The potential impacts of tsunamis along the Catalan Coast (NW Mediterranean) are analysed using numerical modelling. The region is characterized by moderate to low seismic activity and by moderate- to low-magnitude earthquakes. However, the occurrence of historical strong earthquakes and the location of several active offshore faults in front of the coast suggest that the possibility of an earthquake-triggered tsunami is not negligible although of low probability. Up to five faults have been identified to generate tsunamis, being the highest associated possible seismic magnitudes of up to 7.6. Coastal flooding and port agitation are characterized using the Worst-case Credible Tsunami Scenario Analysis approach. The results show a multiple fault source contribution to tsunami hazard. The shelf dimensions and the existence of submerged canyons control the tsunami propagation. In wide shelves, waves travelling offshore may become trapped by refraction causing the wave energy to reach the coastline at some distance from the origin. The free surface water elevation increases at the head of the canyons due to the sharp depth gradients. The effects of potential tsunamis would be very harmful in low-lying coastal stretches, such as deltas, with a high population concentration, assets and infrastructures. The Ebro delta appears to be the most exposed coast, and about the 20% of the delta surface is prone to flooding due to its extremely low-lying nature. The activity at Barcelona port will be severely affected by inflow backflow current at the entrance of up to 2 m/s. © 2017, Springer Science+Business Media Dordrecht.</t>
  </si>
  <si>
    <t>2-s2.0-85019695902"</t>
  </si>
  <si>
    <t>10.1007/s12517-017-3112-z</t>
  </si>
  <si>
    <t>https://www.scopus.com/inward/record.uri?eid=2-s2.0-85027535098&amp;doi=10.1007%2fs12517-017-3112-z&amp;partnerID=40&amp;md5=f981da017b5081b932f939195dcbfb76</t>
  </si>
  <si>
    <t>The estuaries in the densely populated tropical coasts like Kerala (SW India) have been subjected to severe degradation due to various kinds of human interventions. Here, we report the case of environmental degradation of Paravur estuary in southern Kerala, southwest India, as an example. Large-scale extraction of alluvial deposits (sand and brick clay), improper engineering constructions, and other developmental initiatives are some of the interventions that have imposed immense stress on the system. Indiscriminate extraction of sand and clay has disrupted a major part of the drainage network at its upstream end, leaving the alluvial belt almost completely water logged. Land use changes show a significant increase in the water spread area of the estuary (6.31 to 7.85 km2), over the last century, with a concomitant decrease in alluvial/floodplain deposits (4.95 to 2.12 km2). The engineering interventions like the Flood Water Outlet System (FWOS) and its poor maintenance imposed marked changes in the sediment balance of the coastal zone, which ultimately led to the development of a flood tide island (FTI) (0.10 km2) in the estuary. The growth of the island, if not arrested by appropriate corrective measures, would lead to filling up of a greater part of the estuary at its southwestern end in the near future. The corresponding dearth of sand in the littoral zones on the other hand could exacerbate the hungry water effect of coastal waters. This, in turn, aggravates coastal erosion in the cliffed coast in the southern side of the FWOS. Considering the extent of human interventions in the estuary, an attempt has been made in this paper to address in detail about the different causes and effects of degradation of the system. Based on the study, a set of recommendations are also drawn to revive the Paravur estuary in particular and tropical estuaries of similar kinds in general. © 2017, Saudi Society for Geosciences.</t>
  </si>
  <si>
    <t>2-s2.0-85027535098"</t>
  </si>
  <si>
    <t>10.1007/s11069-017-2843-1</t>
  </si>
  <si>
    <t>https://www.scopus.com/inward/record.uri?eid=2-s2.0-85016440304&amp;doi=10.1007%2fs11069-017-2843-1&amp;partnerID=40&amp;md5=929faf0bcca5f22f2c62f8f6633d809b</t>
  </si>
  <si>
    <t>According to the basic principles of flood risk, risk of storm hazard, stability of disaster environment and vulnerabilities of hazard-affected bodies, we used South Asia, East Asia and Southeast Asia as the study area and comprehensively considered major indicators, including the rainfall, topography, land use, vegetation, river network density, population and economic strength, to perform a disaster impact evaluation. The above-mentioned factors were normalized to obtain standardized multi-source raster data using the geographic information system (GIS) software package. The weights of relevant indicators were determined according to analytic hierarchy processes, and a model to perform comprehensive risk assessment of flood was constructed. We used GIS to obtain an assessment map of the flood comprehensive risk levels of typical Asian areas. With the help of the comprehensive analysis, genesis and mitigation service principles and assessment map of the flood comprehensive risk levels, both qualitative and quantitative analyses were performed on the study region. Finally, the study area was divided into six sub-regions, the northwestern, southwestern, southern, and central districts, eastern plains, and southeastern coastal areas. Among these districts, the eastern plains and southeastern coastal areas had the highest risk, followed by the southern district. Meanwhile, the southwestern district had lower values, and the northwestern and central districts exhibited the lowest risk. The results from this research have significant reference values regarding macro-policy decisions on the prevention of flood disasters in the South Asia, East Asia and Southeast Asia. © 2017, Springer Science+Business Media Dordrecht.</t>
  </si>
  <si>
    <t>2-s2.0-85016440304"</t>
  </si>
  <si>
    <t>10.3390/rs9090890</t>
  </si>
  <si>
    <t>https://www.scopus.com/inward/record.uri?eid=2-s2.0-85029349425&amp;doi=10.3390%2frs9090890&amp;partnerID=40&amp;md5=af8f29629ab63dde1698c3e17536d57d</t>
  </si>
  <si>
    <t>The detection and monitoring of surface water and its extent are critical for understanding floodwater hazards. Flooding and undermining caused by surface water flow can result in damage to critical infrastructure and changes in ecosystems. Along major transportation corridors, such as railways, even small bodies of water can pose significant hazards resulting in eroded or washed out tracks. In this study, heterogeneous data from synthetic aperture radar (SAR) satellite missions, optical satellite-based imagery and airborne light detection and ranging (LiDAR) were fused for surface water detection. Each dataset was independently classified for surface water and then fused classification models of the three datasets were created. A multi-level decision tree was developed to create an optimal water mask by minimizing the differences between models originating from single datasets. Results show a water classification uncertainty of 4-9% using the final fused models compared to 17-23% uncertainty using single polarization SAR. Of note is the use of a high resolution LiDAR digital elevation model (DEM) to remove shadow and layover effects in the SAR observations, which reduces overestimation of surface water with growing vegetation. Overall, the results highlight the advantages of fusing multiple heterogeneous remote sensing techniques to detect surface water in a predominantly natural landscape. © 2017 by the authors. Licensee MDPI, Basel, Switzerland.</t>
  </si>
  <si>
    <t>2-s2.0-85029349425"</t>
  </si>
  <si>
    <t>10.1016/j.catena.2017.04.018</t>
  </si>
  <si>
    <t>https://www.scopus.com/inward/record.uri?eid=2-s2.0-85018480062&amp;doi=10.1016%2fj.catena.2017.04.018&amp;partnerID=40&amp;md5=c955e4bf811644ccf04be0adbf1bae0d</t>
  </si>
  <si>
    <t>Peat bogs are ecosystems characterized by high levels of organic matter (OM), which accumulates in environments of low biological activity. The peat bogs present in the tropical highlands of Serra do Espinhaço Meridional (SdEM), Brazil, are associated with hydromorphic environments formed under specific conditions and the strong influence of the quartzite basement, whereby a complex pattern of faults, fractures and folds has deeply affected the drainage network and geomorphological framework. This study investigated the influence of the structural framework on the distribution and morphology of these ecosystems within a hydrological and geomorphological context. The physical features of the landscape were analyzed using geological maps, a digital elevation model and by mapping the main geomorphological feature patterns obtained from geographic information systems (GIS). Ground Penetrating Radar transects were taken in representative areas, as the best strategy for detection of buried peat bogs, as well as to analyze bedrock configuration and infer its relationship with water flow. Four peat bog typologies were identified: “entrenched bogs”, “subsurface bogs”, “structural bogs”, and “hanging bogs”. The distribution and morphology of these typologies display a strong relationship either with alluvial sediments and floodplains or with structural/lithological features which caused water retention. © 2017 Elsevier B.V.</t>
  </si>
  <si>
    <t>2-s2.0-85018480062"</t>
  </si>
  <si>
    <t>10.1016/j.jhydrol.2017.04.053</t>
  </si>
  <si>
    <t>https://www.scopus.com/inward/record.uri?eid=2-s2.0-85019668128&amp;doi=10.1016%2fj.jhydrol.2017.04.053&amp;partnerID=40&amp;md5=4b9c01005522edb2c1d234559d1ac673</t>
  </si>
  <si>
    <t>Binary threshold classifiers are a simple form of supervised classification methods that can be used in floodplain mapping. In these methods, a given watershed is examined as a grid of cells with a particular morphologic value. A reference map is a grid of cells labeled as flood and non-flood from hydraulic modeling or remote sensing observations. By using the reference map, a threshold on morphologic feature is determined to label the unknown cells as flood and non-flood (binary classification). The main limitation of these methods is the threshold transferability assumption in which a homogenous geomorphological and hydrological behavior is assumed for the entire region and the same threshold derived from the reference map (training area) is used for other locations (ungauged watersheds) inside the study area. In order to overcome this limitation and consider the threshold variability inside a large region, regression modeling is used in this paper to predict the threshold by relating it to the watershed characteristics. Application of this approach for North Carolina shows that the threshold is related to main stream slope, average watershed elevation, and average watershed slope. By using the Fitness (F) and Correct (C) criteria of C &gt; 0.9 and F &gt; 0.6, results show the threshold prediction and the corresponding floodplain for 100-year design flow are comparable to that from Federal Emergency Management Agency's (FEMA) Flood Insurance Rate Maps (FIRMs) in the region. However, the floodplains from the proposed model are underpredicted and overpredicted in the flat (average watershed slope &lt;1%) and mountainous regions (average watershed slope &gt;20%). Overall, the proposed approach provides an alternative way of mapping floodplain in data-scarce regions. © 2017 Elsevier B.V.</t>
  </si>
  <si>
    <t>2-s2.0-85019668128"</t>
  </si>
  <si>
    <t>10.1016/j.ijdrr.2017.07.004</t>
  </si>
  <si>
    <t>https://www.scopus.com/inward/record.uri?eid=2-s2.0-85024905989&amp;doi=10.1016%2fj.ijdrr.2017.07.004&amp;partnerID=40&amp;md5=c552b8013640d8922af6d139bcf4a8d5</t>
  </si>
  <si>
    <t>The frequency and intensity of coastal storm events in the Great Lakes region, USA is predicted to increase in the coming decades, exposing at-risk populations to potential hazards including flooding, erosion, and combined sewer overflows. In response, applied research is needed to identify communities that are most vulnerable to storm hazards, and to support municipal officials and local residents with building capacity for resilience. This study analyzes the storm hazards vulnerability of 42 communities that are located within the Northeast Ohio Regional Sewer District (NEORSD), including the city of Cleveland and its inner and outer ring suburbs. Communities are ranked against each other for vulnerability according to a social and environmental indicator, each of which is comprised of five variables that operationalize the sociodemographic and biophysical challenges facing local populations. The indicators are combined to produce a composite Storm Hazards Vulnerability Index (SHVI). Results suggest that the most environmentally vulnerable communities are not always home to the most socially vulnerable populations. Overall storm hazards vulnerability correlates more closely with the environmental indicator than the social, especially among the most vulnerable communities. © 2017 Elsevier Ltd</t>
  </si>
  <si>
    <t>2-s2.0-85024905989"</t>
  </si>
  <si>
    <t>10.1007/s00024-017-1632-9</t>
  </si>
  <si>
    <t>https://www.scopus.com/inward/record.uri?eid=2-s2.0-85027164061&amp;doi=10.1007%2fs00024-017-1632-9&amp;partnerID=40&amp;md5=bd8a781d6b147e758c33cbf7f88cd8d8</t>
  </si>
  <si>
    <t>Several major tsunamis have affected the southwest Indian Ocean area since the 2004 Sumatra event, and some of them (2005, 2006, 2007 and 2010) have hit La Réunion Island in the southwest Indian Ocean. However, tsunami hazard is not well defined for La Réunion Island where vulnerable coastlines can be exposed. This study offers a first tsunami hazard assesment for La Réunion Island. We first review the historical tsunami observations made on the coastlines, where high tsunami waves (2–3 m) have been reported on the western coast, especially during the 2004 Indian Ocean tsunami. Numerical models of historical scenarios yield results consistent with available observations on the coastal sites (the harbours of La Pointe des Galets and Saint-Paul). The 1833 Pagai earthquake and tsunami can be considered as the worst-case historical scenario for this area. In a second step, we assess the tsunami exposure by covering the major subduction zones with syntethic events of constant magnitude (8.7, 9.0 and 9.3). The aggregation of magnitude 8.7 scenarios all generate strong currents in the harbours (3–7 m s- 1) and about 2 m of tsunami maximum height without significant inundation. The analysis of the magnitude 9.0 events confirms that the main commercial harbour (Port Est) is more vulnerable than Port Ouest and that flooding in Saint-Paul is limited to the beach area and the river mouth. Finally, the magnitude 9.3 scenarios show limited inundations close to the beach and in the riverbed in Saint-Paul. More generally, the results confirm that for La Runion, the Sumatra subduction zone is the most threatening non-local source area for tsunami generation. This study also shows that far-field coastal sites should be prepared for tsunami hazard and that further work is needed to improve operational warning procedures. Forecast methods should be developed to provide tools to enable the authorities to anticipate the local effects of tsunamis and to evacuate the harbours in sufficient time when such an earthquake occurs. © 2017, Springer International Publishing AG.</t>
  </si>
  <si>
    <t>2-s2.0-85027164061"</t>
  </si>
  <si>
    <t>10.1002/joc.4989</t>
  </si>
  <si>
    <t>https://www.scopus.com/inward/record.uri?eid=2-s2.0-85028437680&amp;doi=10.1002%2fjoc.4989&amp;partnerID=40&amp;md5=19abcf3f5472ab629d2eac2d6033c553</t>
  </si>
  <si>
    <t>The economic impact of natural disasters on developing economies can be severe with the recovery diverting scarce funds that might otherwise be targeted at development projects and stimulating the need for international aid. In view of the likely sensitivity of low-lying Pacific Islands to anticipated changes in climate, a 122-year record of major flooding depths at the Rarawai Sugar Mill on the Ba River in the northwest of the Fijian Island of Viti Levu is analysed. Reconstructed largely from archived correspondence of the Colonial Sugar Refining Company, the time series comprises simple measurements of height above the Mill floor. It exhibits no statistically significant trends in either frequency or flood heights, once the latter have been adjusted for average relative sea-level rise. This is despite persistent warming of air temperatures as characterized in other studies. There is a strong dependence of frequency (but not magnitude) upon El Niño-Southern Oscillation (ENSO) phase, with many more floods in La Niña phases. The analysis of this long-term data series illustrates the difficulty of detecting a global climate change signal from hazard data, even given a consistent measurement methodology (cf HURDAT2 record of North Atlantic hurricanes) and warns of the strong dependence of any statistical significance upon choices of start and end dates of the analysis. © 2017 The Authors. International Journal of Climatology published by John Wiley &amp; Sons Ltd on behalf of the Royal Meteorological Society.</t>
  </si>
  <si>
    <t>2-s2.0-85028437680"</t>
  </si>
  <si>
    <t>10.5194/essd-9-557-2017</t>
  </si>
  <si>
    <t>https://www.scopus.com/inward/record.uri?eid=2-s2.0-85027334464&amp;doi=10.5194%2fessd-9-557-2017&amp;partnerID=40&amp;md5=ff75acb0b29279902b5ae973208a2d13</t>
  </si>
  <si>
    <t>Sea level is an essential climate variable (ECV) that has a direct effect on many people through inundations of coastal areas, and it is also a clear indicator of climate changes due to external forcing factors and internal climate variability. Regional patterns of sea level change inform us on ocean circulation variations in response to natural climate modes such as El Ninõ and the Pacific Decadal Oscillation, and anthropogenic forcing. Comparing numerical climate models to a consistent set of observations enables us to assess the performance of these models and help us to understand and predict these phenomena, and thereby alleviate some of the environmental conditions associated with them. All such studies rely on the existence of long-term consistent high-accuracy datasets of sea level. The Climate Change Initiative (CCI) of the European Space Agency was established in 2010 to provide improved time series of some ECVs, including sea level, with the purpose of providing such data openly to all to enable the widest possible utilisation of such data. Now in its second phase, the Sea Level CCI project (SL-cci) merges data from nine different altimeter missions in a clear, consistent and well-documented manner, selecting the most appropriate satellite orbits and geophysical corrections in order to further reduce the error budget. This paper summarises the corrections required, the provenance of corrections and the evaluation of options that have been adopted for the recently released v2.0 dataset (https://doi.org/10.5270/esa-sea-level-cci-1993-2015-v-2.0-201612). This information enables scientists and other users to clearly understand which corrections have been applied and their effects on the sea level dataset. The overall result of these changes is that the rate of rise of global mean sea level (GMSL) still equates to ∼3.2mmyr-1 during 1992-2015, but there is now greater confidence in this result as the errors associated with several of the corrections have been reduced. Compared with v1.1 of the SL-cci dataset, the new rate of Sea level is an essential climate variable (ECV) that has a direct effect on many people through inundations of coastal areas, and it is also a clear indicator of climate changes due to external forcing factors and internal climate variability. Regional patterns of sea level change inform us on ocean circulation variations in response to natural climate modes such as El Ninõ and the Pacific Decadal Oscillation, and anthropogenic forcing. Comparing numerical climate models to a consistent set of observations enables us to assess the performance of these models and help us to understand and predict these phenomena, and thereby alleviate some of the environmental conditions associated with them. All such studies rely on the existence of long-term consistent high-accuracy datasets of sea level. The Climate Change Initiative (CCI) of the European Space Agency was established in 2010 to provide improved time series of some ECVs, including sea level, with the purpose of providing such data openly to all to enable the widest possible utilisation of such data. Now in its second phase, the Sea Level CCI project (SL-cci) merges data from nine different altimeter missions in a clear, consistent and well-documented manner, selecting the most appropriate satellite orbits and geophysical corrections in order to further reduce the error budget. This paper summarises the corrections required, the provenance of corrections and the evaluation of options that have been adopted for the recently released v2.0 dataset (https://doi.org/10.5270/esa-sea-level-cci-1993-2015-v-2.0-201612). This information enables scientists and other users to clearly understand which corrections have been applied and their effects on the sea level dataset. The overall result of these changes is that the rate of rise of global mean sea level (GMSL) still equates to ∼3.2mmyr-1 during 1992-2015, but there is now greater confidence in this result as the errors associated with several of the corrections have been reduced. Compared with v1.1 of the SL-cci dataset, the new rate of Sea level is an essential climate variable (ECV) that has a direct effect on many people through inundations of coastal areas, and it is also a clear indicator of climate changes due to external forcing factors and internal climate variability. Regional patterns of sea level change inform us on ocean circulation variations in response to natural climate modes such as El Ninõ and the Pacific Decadal Oscillation, and anthropogenic forcing. Comparing numerical climate models to a consistent set of observations enables us to assess the performance of these models and help us to understand and predict these phenomena, and thereby alleviate some of the environmental conditions associated with them. All such studies rely on the existence of long-term consistent high-accuracy datasets of sea level. The Climate Change Initiative (CCI) of the European Space Agency was established in 2010 to provide improved time series of some ECVs, including sea level, with the purpose of providing such data openly to all to enable the widest possible utilisation of such data. Now in its second phase, the Sea Level CCI project (SL-cci) merges data from nine different altimeter missions in a clear, consistent and well-documented manner, selecting the most appropriate satellite orbits and geophysical corrections in order to further reduce the error budget. This paper summarises the corrections required, the provenance of corrections and the evaluation of options that have been adopted for the recently released v2.0 dataset (https://doi.org/10.5270/esa-sea-level-cci-1993-2015-v-2.0-201612). This information enables scientists and other users to clearly understand which corrections have been applied and their effects on the sea level dataset. The overall result of these changes is that the rate of rise of global mean sea level (GMSL) still equates to ∼3.2mmyr-1 during 1992-2015, but there is now greater confidence in this result as the errors associated with several of the corrections have been reduced. Compared with v1.1 of the SL-cci dataset, the new rate of change is 0.2mmyr-1 less during 1993 to 2001 and 0.2mmyr-1 higher during 2002 to 2014. Application of new correction models brought a reduction of altimeter crossover variances for most corrections. © 2017 Author(s).</t>
  </si>
  <si>
    <t>2-s2.0-85027334464"</t>
  </si>
  <si>
    <t>10.1002/2017JC013065</t>
  </si>
  <si>
    <t>https://www.scopus.com/inward/record.uri?eid=2-s2.0-85028652565&amp;doi=10.1002%2f2017JC013065&amp;partnerID=40&amp;md5=03001f415982afed7d79e7b1dc1dc9d8</t>
  </si>
  <si>
    <t>Extreme sea levels along the densely monitored coasts of the North Atlantic Ocean and the Gulf of Mexico have been investigated using high-frequency tide gauge measurements in the GESLA-2 data set (www.gesla.org). Our results, based on nontidal residuals and skew surges in records since 1960, confirm that mean sea level (MSL) is a major, but not a unique, driver of extremes. Regionally coherent linear trends and correlations with large-scale climate patterns are found in extreme events, even after the removal of MSL. A similar conclusion, that MSL is a major but not the only driver of extremes, comes from a small number of long records starting in the mid-19th century. The records show slight increases in the intensity of extreme episodes at centennial time scales, together with multidecadal variability unrelated to MSL. Objective statistical criteria have been used to investigate whether extreme sea level distributions are stationary or not, resulting in nonstationarity being favored in many records, with or without accounting for changes in MSL. Extremes have been found to favor a non-Gumbel behavior at many locations, with implications for the accuracy of return levels for coastal engineering. © 2017. American Geophysical Union. All Rights Reserved.</t>
  </si>
  <si>
    <t>2-s2.0-85028652565"</t>
  </si>
  <si>
    <t>10.1038/ngeo2999</t>
  </si>
  <si>
    <t>https://www.scopus.com/inward/record.uri?eid=2-s2.0-85028853422&amp;doi=10.1038%2fngeo2999&amp;partnerID=40&amp;md5=d48391d823f7a0a6f2afcdceff4fd7e6</t>
  </si>
  <si>
    <t>High Mountain Asia hosts the largest glacier concentration outside the polar regions. These glaciers are important contributors to streamflow in one of the most populated areas of the world. Past studies have used methods that can provide only regionally averaged glacier mass balances to assess the glacier contribution to rivers and sea level rise. Here we compute the mass balance for about 92% of the glacierized area of High Mountain Asia using time series of digital elevation models derived from satellite stereo-imagery. We calculate a total mass change of -16.3 ± 3.5 Gtyr-1 (-0.18 ± 0.04 m w.e. yr-1) between 2000 and 2016, which is less negative than most previous estimates. Region-wide mass balances vary from -4.0 ± 1.5 Gt yr-1 (-0.62 ± 0.23 m w.e. yr-1) in Nyainqentanglha to +1.4 ± 0.8 Gt yr-1 (+0.14 ± 0.08 m w.e. yr-1) in Kunlun, with large intraregional variability of individual glacier mass balances (standard deviation within a region ∼0.20 m w.e. yr-1). Specifically, our results shed light on the Nyainqentanglha and Pamir glacier mass changes, for which contradictory estimates exist in the literature. They provide crucial information for the calibration of the models used for projecting glacier response to climatic change, as these models do not capture the pattern, magnitude and intra-regional variability of glacier changes at present. © 2017 Macmillan Publishers Limited, part of Springer Nature. All rights reserved.</t>
  </si>
  <si>
    <t>2-s2.0-85028853422"</t>
  </si>
  <si>
    <t>Ambiente e Sociedade</t>
  </si>
  <si>
    <t>10.1590/1809-4422ASOCEx0003V2022017</t>
  </si>
  <si>
    <t>https://www.scopus.com/inward/record.uri?eid=2-s2.0-85039547339&amp;doi=10.1590%2f1809-4422ASOCEx0003V2022017&amp;partnerID=40&amp;md5=bad6b85d92edda68409a948ee7ac3bfb</t>
  </si>
  <si>
    <t>The present contribution focuses on the 'selling' of the 'climate crisis' to intended key audiences, both in the international domain and at home. We look into the mechanics of crisis framing, the audience, and the resonance that the frame had, as well as development over time in two cases: the UK addressing the UN Security Council and the State Advisory Commission on Deltas ('Delta Commission') seeking support in the Netherlands for drastic measures to address sea level rise. For this, we apply the conceptual framework from critical security studies and securitisation, with contributions from the domains of crisis and disaster studies. Both case studies discussed show a dramatic securitising move, where climate change is presented as the source of great potential crisis that will harm us all, unless we take urgent action - either for mitigation (the reduction of greenhouse gas emissions) or for adaptation.</t>
  </si>
  <si>
    <t>2-s2.0-85039547339"</t>
  </si>
  <si>
    <t>10.5194/nhess-17-1393-2017</t>
  </si>
  <si>
    <t>https://www.scopus.com/inward/record.uri?eid=2-s2.0-85027304843&amp;doi=10.5194%2fnhess-17-1393-2017&amp;partnerID=40&amp;md5=99c04857eb994a0c4dee22f98b71c3d4</t>
  </si>
  <si>
    <t>Scour (localised erosion) during flood events is one of the most significant threats to bridges over rivers and estuaries, and has been the cause of numerous bridge failures, with damaging consequences. Mitigation of the risk of bridges being damaged by scour is therefore important to many infrastructure owners, and is supported by industry guidance. Even after mitigation, some residual risk remains, though its extent is difficult to quantify because of the uncertainties inherent in the prediction of scour and the assessment of the scour risk. This paper summarises findings from an international expert workshop on bridge scour risk assessment that explores uncertainties about the vulnerability of bridges to scour. Two specialised structured elicitation methods were applied to explore the factors that experts in the field consider important when assessing scour risk and to derive pooled expert judgements of bridge failure probabilities that are conditional on a range of assumed scenarios describing flood event severity, bridge and watercourse types and risk mitigation protocols. The experts' judgements broadly align with industry good practice, but indicate significant uncertainty about quantitative estimates of bridge failure probabilities, reflecting the difficulty in assessing the residual risk of failure. The data and findings presented here could provide a useful context for the development of generic scour fragility models and their associated uncertainties. © Author(s) 2017.</t>
  </si>
  <si>
    <t>2-s2.0-85027304843"</t>
  </si>
  <si>
    <t>10.1007/s10668-016-9804-9</t>
  </si>
  <si>
    <t>https://www.scopus.com/inward/record.uri?eid=2-s2.0-84966589296&amp;doi=10.1007%2fs10668-016-9804-9&amp;partnerID=40&amp;md5=88ad2c287d8cf0aab89ed1a66bd95201</t>
  </si>
  <si>
    <t>Physical and ecological responses of the coastal areas in the vicinity of Mumbai, India, due to relative sea level rise are examined by different inundation scenarios. Evaluation of potential habitat loss under sea level rise was made by incorporating the land use/land cover (LULC) adopted from the digital elevation model with the satellite imagery. LULC categories overlaid on 1.0, 2.0, 3.0 and 4.0 m coastal elevation showed that the coastal areas of Mumbai were mostly covered by vegetation followed by barren land, agricultural land, urban areas and water bodies. For the relative sea level rise scenarios of 1.0, 2.0, 3.0 and 4.0 m, the tidal inundation areas were estimated to be 257.85, 385.58, 487.56 and 570.63 km2, respectively, using GIS techniques. The losses of urban areas were also estimated at 25.32, 41.64, 54.61 and 78.86 km2 for the 1.0, 2.0, 3.0 and 4.0 m relative sea level rise, respectively, which is most alarming information for the most populated city on the eastern coast of India. The results conclude that relative sea level rise scenario will lead profound impacts on LULC categories as well as on coastal features and landforms in the adjoining part of Mumbai. The sea level rise would also reduce the drainage gradients that promote flooding condition to rainstorms and subsequently increase saltwater intrusion into coastal regions. Alterations in the coastal features and landforms correlated with inundation characteristics that make the coastal region more vulnerable in the coming decades due to huge development activities and population pressures in Mumbai. © 2016, Springer Science+Business Media Dordrecht.</t>
  </si>
  <si>
    <t>2-s2.0-84966589296"</t>
  </si>
  <si>
    <t>10.3390/cli5020036</t>
  </si>
  <si>
    <t>https://www.scopus.com/inward/record.uri?eid=2-s2.0-85027308524&amp;doi=10.3390%2fcli5020036&amp;partnerID=40&amp;md5=d98c5e15a4d5abb1c6b4e6d0d2e7fa65</t>
  </si>
  <si>
    <t>This study presents results on an assessment of climate change in the nearshore and coastal areas of Viet Nam through an evaluation of trends of certain climatic parameters (air temperature, sea water temperature, sea level, and number of typhoons landed at the Vietnamese coast by year) using time series data of hydro-meteorological records at the coasts and islands of Viet Nam. The method used for the trend evaluation is the Mann–Kendall test ran at the 5% significance level and Spearman rank correlation coefficient. It was found that there is an extremely likely increasing trend of air temperature for almost all observation stations at the coasts and islands of Viet Nam. However, it was unable to confirm a general trend for sea surface water temperature; except for very few stations in semi-closed waters, there is no clear trend in annual average sea water temperature at a majority of stations. Additionally, there is an extremely likely rising trend of sea level at a majority of stations with reliable data, but the rates of increase are very different for different stations. The reasons for discrepancies in the trend of annual average sea water temperature and sea level at different stations are still not understood, but it seems that an assessment of the vertical movement of the ground surface at the stations is necessary to have an accurate assessment of the rate of sea level rise due to climate change and of the influence of general circulation in the East Viet Nam Sea on the trend of sea water temperature in that location. It is also found that there is a likely decreasing trend in the frequency of typhoons landed at the Vietnamese coast; however, this trend might not be due to climate change, but to climate variability.</t>
  </si>
  <si>
    <t>10.3390/ijgi6060162</t>
  </si>
  <si>
    <t>https://www.scopus.com/inward/record.uri?eid=2-s2.0-85021095805&amp;doi=10.3390%2fijgi6060162&amp;partnerID=40&amp;md5=973838c86bdc068430e7bd83f15642fc</t>
  </si>
  <si>
    <t>Flood disasters from dam breaks cause serious loss of human life and immense damage to infrastructure and economic stability. The application of Geographic Information System technology integrated with hydrological modeling for mapping flood-inundated areas and depth can play a momentous role in further minimizing the risk and possible damage. In the present study, base terrain data, hydrological data, and dam engineering data were integrated using the MIKE-21 dam-break model to analyze flood routing under the most serious scenarios. A deterministic approach was used to calculate the hydraulic elements of dam breakage during a flood. Additionally, the hydraulic elements generated by the MIKE-21 dam-break model (a modelling system for estuaries, coastal waters, and seas)-including flood depth, submersion time, and flow direction-were integrated with a digital elevation model of the site downstream of the dam in order to map the possible affected areas. Using an empirical model in addition to using the superimposition of dam flood calculation results and the social and economic survey data, dam damage assessment was implemented. In accordance with a relevant standard, the flood risk mapping guidelines and a set of client/server structures were developed for a management system for dam-break hazard mapping of the Foziling reservoir. The simulation data and the study results can provide a scientific basis for emergency management of the reservoir and provide a socio-economic framework for downstream areas. © 2017 by the authors. Licensee MDPI, Basel, Switzerland.</t>
  </si>
  <si>
    <t>2-s2.0-85021095805"</t>
  </si>
  <si>
    <t>10.1016/j.jhydrol.2017.07.039</t>
  </si>
  <si>
    <t>https://www.scopus.com/inward/record.uri?eid=2-s2.0-85026199446&amp;doi=10.1016%2fj.jhydrol.2017.07.039&amp;partnerID=40&amp;md5=c32fa994f70f9554ac3020f95ad9e2e0</t>
  </si>
  <si>
    <t>Flood hazards and flood risks in southeastern China have been causing increasing concerns due to dense population and highly-developed economy. This study attempted to address changes of seasonality, timing of peak floods and variability of occurrence date of peak floods using circular statistical methods and the modified Mann-Kendall trend detection method. The causes of peak flood changes were also investigated. Results indicated that: (1) floods were subject to more seasonality and temporal clustering when compared to precipitation extremes. However, seasonality of floods and extreme precipitation was subject to spatial heterogeneity in northern Guangdong. Similar changing patterns of peak floods and extreme precipitation were found in coastal regions; (2) significant increasing/decreasing seasonality, but no confirmed spatial patterns, were observed for peak floods and extreme precipitation. Peak floods in northern Guangdong province had decreasing variability, but had larger variability in coastal regions; (3) tropical cyclones had remarkable impacts on extreme precipitation changes in coastal regions of southeastern China, and peak floods as well. The landfalling of tropical cyclones was decreasing and concentrated during June–September; this is the major reason for earlier but enhanced seasonality of peak floods in coastal regions. This study sheds new light on flood behavior in coastal regions in a changing environment.</t>
  </si>
  <si>
    <t>10.1007/s00500-015-1983-z</t>
  </si>
  <si>
    <t>https://www.scopus.com/inward/record.uri?eid=2-s2.0-84953438957&amp;doi=10.1007%2fs00500-015-1983-z&amp;partnerID=40&amp;md5=9f74857cc0ccb749dee788af614d490d</t>
  </si>
  <si>
    <t>Supervised and semi-supervised machine-learning techniques are applied and compared for the recognition of the flood hazard. The learning goal consists in distinguishing between flood-exposed and marginal-risk areas. Kernel-based binary classifiers using six quantitative morphological features, derived from data stored in digital elevation models, are trained to model the relationship between morphology and the flood hazard. According to the experimental outcomes, such classifiers are appropriate tools when one is interested in performing an initial low-cost detection of flood-exposed areas, to be possibly refined in successive steps by more time-consuming and costly investigations by experts. The use of these automatic classification techniques is valuable, e.g., in insurance applications, where one is interested in estimating the flood hazard of areas for which limited labeled information is available. The proposed machine-learning techniques are applied to the basin of the Italian Tanaro River. The experimental results show that for this case study, semi-supervised methods outperform supervised ones when—the number of labeled examples being the same for the two cases—only a few labeled examples are used, together with a much larger number of unsupervised ones. © 2016, Springer-Verlag Berlin Heidelberg.</t>
  </si>
  <si>
    <t>2-s2.0-84953438957"</t>
  </si>
  <si>
    <t>10.5751/ES-09186-220305</t>
  </si>
  <si>
    <t>https://www.scopus.com/inward/record.uri?eid=2-s2.0-85030527129&amp;doi=10.5751%2fES-09186-220305&amp;partnerID=40&amp;md5=41f1f1503d551bbc33a297ba403c1ba8</t>
  </si>
  <si>
    <t>Modern social-ecological systems are often partly engineered to enhance the robustness (or reduce the variance) of human welfare to environmental fluctuations over a foreseeable time horizon. Recent studies show, however, that subtle trade-offs are usually inherent in such efforts of enhancing short-term robustness. Managing variance on short time scales is likely to be associated with the buildup of hidden fragilities on longer time scales. Using a flood-prone social-ecological system (SES) of coastal Bangladesh as an example, this paper investigates some of the ways in which such robustness-fragility trade-offs can manifest. This SES has been extensively modified in the last few decades through the construction of large-scale flood protection structures (polders) and the introduction of commercial shrimp farming to enhance the robustness of food production to hydrological variability. Our case study analysis of the long-term changes in the SES shows that, although the modifications helped with stability in short time scales, the resulting changes also induced unforeseen problems such as infrastructure maintenance issues, land degradation and sinking, and exposure to market volatility. With this paper therefore we contribute to better understanding of the notion of robustness-fragility trade-offs by illustrating an exemplary case of the phenomenon in the engineered coastal environment context. © 2017 by the author(s).</t>
  </si>
  <si>
    <t>2-s2.0-85030527129"</t>
  </si>
  <si>
    <t>10.1016/j.ecoleng.2016.08.007</t>
  </si>
  <si>
    <t>https://www.scopus.com/inward/record.uri?eid=2-s2.0-84994130261&amp;doi=10.1016%2fj.ecoleng.2016.08.007&amp;partnerID=40&amp;md5=d173b70a9143f930694e7231278587c7</t>
  </si>
  <si>
    <t>In the southwestern U.S., many riparian ecosystems have been altered by dams, water diversions, and other anthropogenic activities. This is particularly true of the Colorado River, where numerous dams and agricultural diversions have affected this water course, especially south of the U.S.–Mexico border. In the spring of 2014, 130 million cubic meters of water was released to the lower Colorado River Delta in Mexico. To understand the impact of this pulse flow release on vegetation in the delta's riparian corridor, we analyzed a modified form of Landsat 8 Operational Land Imager (OLI) Normalized Difference Vegetation Index (NDVI*) data. We assessed greenup during the growing period and estimated actual evapotranspiration (ETa) for the period prior to (yr. 2013) and following (i.e., yr. 2014 and 2015) the pulse flow. We found a significant increase in NDVI* from 2013 to 2014 (P &lt; 0.05) and a decrease from 2014 to 2015</t>
  </si>
  <si>
    <t>10.1007/s11852-017-0517-5</t>
  </si>
  <si>
    <t>https://www.scopus.com/inward/record.uri?eid=2-s2.0-85019249543&amp;doi=10.1007%2fs11852-017-0517-5&amp;partnerID=40&amp;md5=62a524112ea28b3285da8a8e71e51b68</t>
  </si>
  <si>
    <t>Low-lying coastal areas are often prone to storm surge flooding that can render severe damages to properties, destruction of habitats, threat to human safety and the environment. The impacts of coastal flooding are also expected to increase in the future as a consequence of global climate change and sea-level rise. This paper presents a comprehensive assessment of the potential risks raised by storm surge and sea-level rise on multiple coastal targets (i.e., population, buildings, infrastructures, agriculture, natural and semi-natural environments and cultural heritage) in the Northern Adriatic coast in Italy. Through the assessment of hazard, exposure, vulnerability and risk, a Regional Risk Assessment (RRA) methodology allowed identifying and prioritizing hot-spot risk areas and targets requiring particular attention for the definition of adaptation strategies. Hazard scenarios were based on the analysis of tide gauge data (elaborated with the Joint Probability Method) and of different sea-level rise projections for the year 2100. Geographical-information analysis was then used to characterize vulnerability patterns of exposed natural and human systems and to make a spatial ranking of risks. Maps produced for the worst scenario showed that beaches are the target at higher risk (with more than 90% of the surface in the higher relative risk class) due to the low elevation and high proximity to the coastline. Also cultural heritage (i.e., villas, historical buildings and roads) and wetlands are highly threatened by storm surge flooding. The relative risks will be lower (i.e., between 25% and 40% of their surface/length in the higher relative risk class) for most of the other receptors (i.e., local roads, railways, natural and semi-natural environments and agricultural areas), including population and buildings that are mostly classified in lower risk classes. The overall results of the assessment, including maps and risk metrics, can be useful to rise the attention of coastal managers about the need to adapt to climate change, developing climate-proof policies and programs for the sustainable management of coastal zones. © 2017, Springer Science+Business Media Dordrecht.</t>
  </si>
  <si>
    <t>2-s2.0-85019249543"</t>
  </si>
  <si>
    <t>10.1016/j.compenvurbsys.2017.04.005</t>
  </si>
  <si>
    <t>https://www.scopus.com/inward/record.uri?eid=2-s2.0-85018287463&amp;doi=10.1016%2fj.compenvurbsys.2017.04.005&amp;partnerID=40&amp;md5=d4024e299f1f83744343f88d6ea95346</t>
  </si>
  <si>
    <t>A cellular automaton model (SLEUTH-3r) is utilized to explore the impacts of coastal flood risk management strategies on the urbanization parameters of Helsinki's metropolitan area, at a 50-m spatial resolution by 2040. The current urbanization trend is characterized by the consolidation of existing built-up land and loss of interspersed green spaces, whereas the most intense growth is forecast inside the coastal flood risk areas. This baseline is compared to strategies that test various responses of the planning system to real estate market forces and the spatial distribution of flood risks. A set of scenarios translates property price effects of flood risk information into various attraction-repulsion areas in and adjacent to the floodplain, while a second set explores varying degrees of restricting new growth in the flood risk zones without reference to the housing market. The simulations indicate that growth under all scenarios is distributed in a more fragmented manner relative to the baseline, which can be interpreted favorably regarding house prices and increased access to ecosystem services, although the indirect effects should also be considered. Demand for coastal flood-safe properties does not appear to automatically translate to refocusing of development toward those areas, unless planning interventions encourage this redistribution. The character of the planning system with respect to market drivers and the spatial distribution of risks and amenities is thus important. A mixture of market-based measures and moderate zoning interventions may be preferable for flood risk management and provide the necessary precision for adaptation strategies. © 2017 The Author</t>
  </si>
  <si>
    <t>2-s2.0-85018287463"</t>
  </si>
  <si>
    <t>10.1080/14693062.2016.1191008</t>
  </si>
  <si>
    <t>https://www.scopus.com/inward/record.uri?eid=2-s2.0-84976872202&amp;doi=10.1080%2f14693062.2016.1191008&amp;partnerID=40&amp;md5=17eb29965c179be7c33a2bd8ac3d3c33</t>
  </si>
  <si>
    <t>We carry out a structured review of the peer-reviewed literature to assess the factors that constrain and enable the uptake of long-term climate information in a wide range of sectoral investment and planning decisions. Common applications of long-term climate information are shown to relate to urban planning and infrastructure, as well as flood and coastal management. Analysis of the identified literature highlights five categories of constraints: disconnection between users and producers of climate information, limitations of climate information, financial and technical constraints, political economy and institutional constraints and finally psycho-social constraints. Five categories of enablers to the uptake of long-term climate information in decision-making are also identified: collaboration and bridge work, increased accessibility of climate information, improvement in the underlying science, institutional reform and windows of opportunity for building trust. Policy relevance Our review suggests that stand-alone interventions aimed at promoting the uptake of climate information into decision-making are unlikely to succeed without genuine and sustained relationships between producers and users. We also highlight that not every decision requires consideration of long-term climate information for successful outcomes to be achieved. This is particularly the case in the context of developing countries, where the immediacy of development challenges means that decision makers often prioritize short-term interventions. Care should therefore be taken to ensure that information is targeted towards investments and planning decisions that are relevant to longer-term timescales. © 2016 Informa UK Limited, trading as Taylor &amp; Francis Group.</t>
  </si>
  <si>
    <t>2-s2.0-84976872202"</t>
  </si>
  <si>
    <t>10.2112/JCOASTRES-D-16-00053.1</t>
  </si>
  <si>
    <t>https://www.scopus.com/inward/record.uri?eid=2-s2.0-85024092830&amp;doi=10.2112%2fJCOASTRES-D-16-00053.1&amp;partnerID=40&amp;md5=c5e02a59f32599f2d79f3a161a4fca10</t>
  </si>
  <si>
    <t>A finite-volume model for two-layer shallow-water flow is presented and applied to study the dynamic response of a salt wedge in a microtidal estuary to changes in river flow rate and sea-level rise (SLR). First, the shape of the arrested salt wedge was computed for different hydrographic conditions. Next, the response of the salt wedge to highly variable river flow was investigated. Finally, this model was applied to predict the impacts of the SLR on salinity intrusions in the Rječina River Estuary. To assess the model performance and to examine the salinity structure in the estuary, a field-sampling campaign was conducted during 2014 and 2015. Field observations revealed negligible longitudinal density variations in both freshwater and saltwater layers and highly stratified conditions for all considered river flow rates and sea levels. Furthermore, the maximum buoyancy frequency, computed as a measure of vertical stratification, was among the highest ever reported in field investigations. The behavior of the salt-wedge intrusion depends mainly on the river flow rate, although sea level and channel geometry become more influential under low-flow conditions. Computed salt-wedge shapes and propagation rates agreed well with field observations. The salinity structure in the Rječina River Estuary is not expected to change in the future for tested SLR scenarios, although stronger salt-wedge intrusion is predicted by the numerical model. © Coastal Education and Research Foundation, Inc. 2017.</t>
  </si>
  <si>
    <t>2-s2.0-85024092830"</t>
  </si>
  <si>
    <t>10.3390/rs9060605</t>
  </si>
  <si>
    <t>https://www.scopus.com/inward/record.uri?eid=2-s2.0-85021062629&amp;doi=10.3390%2frs9060605&amp;partnerID=40&amp;md5=1a4a35659618975e17c9d89003e843de</t>
  </si>
  <si>
    <t>The exploitation of synthetic aperture properties in nadir-looking radars is opening new scenarios in the framework of satellite radar altimetry. Both recent and upcoming missions including Cryosat-2, Sentinel-3, Sentinel-6 and SWOT take benefit from the coherent processing of radar data, aimed at improving range measurements in particular contexts, such as ice, open ocean, coastal zone, and even inland waters. This work investigates the possibilities offered by current and future satellite radar altimetry missions for the study of inland water bodies, probing into the peculiarities of the expected radar returns and their potential usage. In this regard, signals collected by the RA-2 instrument (Radar Altimeter 2) onboard the Envisat mission offer an unprecedented possibility, even with a relatively low pulse repetition frequency, to analyze the peculiarities of actual signals for detecting and ranging small water surfaces. In particular, the RA-2 instrument offers a global archive of Individual Echoes (IEs), collected at the native sampling rate of 1795 Hz, in addition to the 18 Hz data obtained by incoherent averaging, which are typically delivered to the users as standard products. RA-2 shares with future radar platforms such as Sentinel-6 a continuous and interleaved working modality, as was recommended by the scientific community in designing next missions' requirements. This is a further reason to consider the usage of RA-2 IEs as particularly attractive. Whilst only available for a small percentage of the earth's surface, sufficient IE data exist to study the height retrieval capability of these echoes, in particular for what concerns small water bodies, where we show that enough coherence is exhibited for focusing relatively narrow surfaces and range them correctly. A peculiar aspect of this work lies in the assumption that most of the returned echoes (in RA-2 IEs) are specular. A theoretical framework is developed according to this assumption, which is validated by investigating real RA-2 data and observing their related specular features. In particular, we discuss how specular echoes are expected to be very common in inland altimetry, and are most often associated with small to medium size lakes and rivers. This paper illustrates the expected electromagnetic behavior of specular water targets by exploiting the classical radar cross-section (RCS) theory for specular surfaces. Results from the model are compared with real IE data in three selected case studies, regarding two rivers of variable width and one flood plain, in order to check different hydrological regimes. The model very closely matches the data in all cases, making the results of this validation activity very promising. In particular, we demonstrate the feasibility of using satellite radar altimetry in rivers much smaller than what was considered possible until now. © 2017 by the authors.</t>
  </si>
  <si>
    <t>2-s2.0-85021062629"</t>
  </si>
  <si>
    <t>10.2166/nh.2016.259</t>
  </si>
  <si>
    <t>https://www.scopus.com/inward/record.uri?eid=2-s2.0-85026307899&amp;doi=10.2166%2fnh.2016.259&amp;partnerID=40&amp;md5=f474c9a8d95abcd50a107b2cc5fda30b</t>
  </si>
  <si>
    <t>Assessment of groundwater vulnerability to pollution was conducted by the DRASTIC method in central Poland, in the Vistula River valley. The results of this study have shown that 68.18% of the study area has a low pollution potential and 31.2% has a medium pollution potential. Singleparameter and map removal sensitivity analyses were conducted to evaluate the relative importance of the parameters for aquifer vulnerability. Both analyses showed that by far the most significant parameter of the DRASTIC vulnerability index in the study area is the depth to the water table. Although the water table in more than 90% of the study area is shallow, less than 3 m below ground level, the assessment shows that this does not lead to a high groundwater vulnerability. © IWA Publishing 2017.</t>
  </si>
  <si>
    <t>2-s2.0-85026307899"</t>
  </si>
  <si>
    <t>10.5670/oceanog.2017.313</t>
  </si>
  <si>
    <t>https://www.scopus.com/inward/record.uri?eid=2-s2.0-85029578861&amp;doi=10.5670%2foceanog.2017.313&amp;partnerID=40&amp;md5=c18c9ac17144c96a735643965d62be9a</t>
  </si>
  <si>
    <t>Mangroves colonize tropical shorelines, protecting coastal communities and providing valuable ecosystem services. Mangroves associated with deltas cope with a very dynamic environment characterized by strong gradients in salinity, deposition triggered by sediment inputs, and erosion caused by waves and currents. Mangroves are adapted to this ever-changing landscape, with different species colonizing different elevations in response to inundation frequency. A series of feedbacks between hydrodynamics, sediment transport, and mangroves was observed in a fringe forest of the Mekong Delta, Vietnam. Sonneratia spp. rapidly encroach upon sandy areas because the stable substrate favors seedling establishment. In contrast, fewer seedlings are present in muddy locations where currents and waves frequently rework the bottom. Along muddy shorelines that are eroding, turbulence increases local scour near roots and trunks, undercutting the trees. Enhanced sediment accumulation due to delta progradation can smother the mangrove roots and lead to forest dieback. We find clear evidence that mangroves affect both hydrodynamics and sediment transport, thus engineering the landscape and enhancing sediment trapping and delta progradation. Sonneratia spp. are replaced by Aegiceras corniculatum, Avicennia marina, and Nypa fruticans when the seabed becomes high enough, indicating that ecological succession is present in a fast prograding deltaic environment. Thus, it is imperative to determine the small-scale feedbacks between mangroves, hydrodynamics, and sediment transport in order to build quantitative ecogeomorphic models of deltaic sedimentation that can be used to explain the distribution of mangrove species, the forest structure, and largescale dynamics in a tropical deltaic setting. © 2017 by The Oceanography Society. All rights reserved.</t>
  </si>
  <si>
    <t>2-s2.0-85029578861"</t>
  </si>
  <si>
    <t>10.5194/hess-21-3287-2017</t>
  </si>
  <si>
    <t>https://www.scopus.com/inward/record.uri?eid=2-s2.0-85021863090&amp;doi=10.5194%2fhess-21-3287-2017&amp;partnerID=40&amp;md5=87ef1d504b45463aa54e80bf1aca49ec</t>
  </si>
  <si>
    <t>The practical value of the surprisingly simple Van der Burgh equation in predicting saline water intrusion in alluvial estuaries is well documented, but the physical foundation of the equation is still weak. In this paper we provide a connection between the empirical equation and the theoretical literature, leading to a theoretical range of Van der Burgh's coefficient of 1ĝ•2 &amp;lt</t>
  </si>
  <si>
    <t>10.1016/j.envsci.2017.01.009</t>
  </si>
  <si>
    <t>https://www.scopus.com/inward/record.uri?eid=2-s2.0-85014153193&amp;doi=10.1016%2fj.envsci.2017.01.009&amp;partnerID=40&amp;md5=985e8aec6fa55c26f7752206a420de4d</t>
  </si>
  <si>
    <t>This paper aims to inform forward-planning policies in the face of sea-level rise due to climate change, focussing on the choice of reducing the vulnerability of property at risk through managed retreat or protection behind seawalls. This adaptation is important not only to reduce the cost of future damage but also to maintain the beaches which are an attractive feature for tourism, of vital importance for coastal areas. Some 421 residents with main and secondary homes were surveyed in Hyères-les-palmiers in the Var department (Southeast France). The survey sought to compare the willingness of residents to contribute financially to building a seawall or to relocating sea-front property. Preferences depend both on common variables and variables specific to the proposed arrangement. They reveal common concerns focused on effectiveness and the determining factor of property ownership. The results also show some awareness of the long-term advantages of managed retreat, despite some opposition from older people, who are also more sceptical about the reality of the risk incurred. © 2017</t>
  </si>
  <si>
    <t>2-s2.0-85014153193"</t>
  </si>
  <si>
    <t>10.1007/s11069-017-2855-x</t>
  </si>
  <si>
    <t>https://www.scopus.com/inward/record.uri?eid=2-s2.0-85017124103&amp;doi=10.1007%2fs11069-017-2855-x&amp;partnerID=40&amp;md5=f3cbe6daf4b87a690f3a135971248739</t>
  </si>
  <si>
    <t>Sea-level rise (SLR) poses a range of threats to natural and built environments in coastal zones around the world. Assessment of the risks due to exposure and sensitivity of coastal communities to coastal flooding is essential for informed decision-making. Strategies for public understanding and awareness of the tangible effects of climate change are fundamental in developing policy options. A multidisciplinary, multinational team of natural and social scientists from the USA, the UK, and Brazil developed the METROPOLE Project to evaluate how local governments may decide between adaptation options associated with SLR projections. METROPOLE developed a participatory approach in which public actors engage fully in defining the research problem and evaluating outcomes. Using a case study of the city of Santos, in Brazil, METROPOLE developed a method for evaluating risks jointly with the community, comparing ‘no-action’ to ‘adaptation’ scenarios. At the core of the analysis are estimates of economic costs of the impact of floods on urban real estate under SLR projections through 2050 and 2100. Results helped identify broad preferences and orientations in adaptation planning, which the community, including the Santos municipal government, co-developed in a joint effort with natural and social scientists. © 2017, Springer Science+Business Media Dordrecht.</t>
  </si>
  <si>
    <t>2-s2.0-85017124103"</t>
  </si>
  <si>
    <t>10.1007/s12517-017-3062-5</t>
  </si>
  <si>
    <t>https://www.scopus.com/inward/record.uri?eid=2-s2.0-85023769929&amp;doi=10.1007%2fs12517-017-3062-5&amp;partnerID=40&amp;md5=3344134e41b72f789d3c7f6a283a7a61</t>
  </si>
  <si>
    <t>The study area (the Gulf of Bejaia) is a coastal zone of about 70 km long in the eastern-central part of the Algerian coast. The coastline characterized by sandy beaches, hotels and tourist facilities, airport, port, villages and towns has known during these last decades several threats like storms, floods and erosion. The present work concerns the mapping of the physical and socioeconomic vulnerability of the Gulf Coast of Bejaia to sea level rise, using Coastal Vulnerability Index (CVI) and geospatial tools. The Physical CVI (CVIPhys) is calculated from seven physical variables: geomorphology, coastal slope, coastal regional elevation, sea level rise rate, shoreline erosion/accretion rates, tidal range and significant wave height. On the other hand, the parameters population, cultural heritage, roads, railways, land use and conservation designation constitute, for their part, the socioeconomic CVI (CVIeco). The values obtained from the calculation of CVIPhys vary between 3.53 and 81.83. These results revealed that 22.42 km of the studied coastline has a low physical vulnerability, 21.68 km a high vulnerability and 15.83 km a very high vulnerability, indicating that the most part of the coastline (53.59%) is vulnerable to sea level rise. According to the obtained values of CVIeco, the most vulnerable areas of high and very high risk represent 31.81 km of the total coastline. They were found along the western (Bejaia and Tichy) and eastern (Aokas, Souk El Tenine and Melbou) coast, while the least vulnerable stretches, covering 38.19 km of the total length of the coast, occupy the rest of the area. This study highlighted areas that will be most affected by future sea level rise (SLR) and storm events. It revealed that several development projects of Bejaia Gulf Coast, including tourist expansion areas, are planned in sites identified as very vulnerable. The results obtained from this assessment could guide local planners and decision-makers in developing coastal management plans in the most vulnerable areas. © 2017, Saudi Society for Geosciences.</t>
  </si>
  <si>
    <t>2-s2.0-85023769929"</t>
  </si>
  <si>
    <t>10.1002/2017JC012756</t>
  </si>
  <si>
    <t>https://www.scopus.com/inward/record.uri?eid=2-s2.0-85020735758&amp;doi=10.1002%2f2017JC012756&amp;partnerID=40&amp;md5=67a9927ea35c502c60d2407217900758</t>
  </si>
  <si>
    <t>Large uncertainty in the predicted intensity of tropical cyclones (TCs) persists compared to the steadily improving skill in the predicted TC tracks. This intensity uncertainty has its most significant implications in the coastal zone, where TC impacts to populated shorelines are greatest. Recent studies have demonstrated that rapid ahead-of-eye-center cooling of a stratified coastal ocean can have a significant impact on hurricane intensity forecasts. Using observation-validated, high-resolution ocean modeling, the stratified coastal ocean cooling processes observed in two U.S. Mid-Atlantic hurricanes were investigated: Hurricane Irene (2011)—with an inshore Mid-Atlantic Bight (MAB) track during the late summer stratified coastal ocean season—and Tropical Storm Barry (2007)—with an offshore track during early summer. For both storms, the critical ahead-of-eye-center depth-averaged force balance across the entire MAB shelf included an onshore wind stress balanced by an offshore pressure gradient. This resulted in onshore surface currents opposing offshore bottom currents that enhanced surface to bottom current shear and turbulent mixing across the thermocline, resulting in the rapid cooling of the surface layer ahead-of-eye-center. Because the same baroclinic and mixing processes occurred for two storms on opposite ends of the track and seasonal stratification envelope, the response appears robust. It will be critical to forecast these processes and their implications for a wide range of future storms using realistic 3-D coupled atmosphere-ocean models to lower the uncertainty in predictions of TC intensities and impacts and enable coastal populations to better respond to increasing rapid intensification threats in an era of rising sea levels. © 2017. The Authors.</t>
  </si>
  <si>
    <t>2-s2.0-85020735758"</t>
  </si>
  <si>
    <t>10.1080/08920753.2017.1327342</t>
  </si>
  <si>
    <t>https://www.scopus.com/inward/record.uri?eid=2-s2.0-85021878472&amp;doi=10.1080%2f08920753.2017.1327342&amp;partnerID=40&amp;md5=ed4170849d8ba88299c48ce2e8ed5a57</t>
  </si>
  <si>
    <t>Massachusetts, like many coastal states in the US, stands to be impacted from climate-induced sea level rise. As a result, climate-sensitive coastal policy instruments are critical for providing adequate adaptation options, including an option to allow coastal features to migrate inland. But the migration of coastal features is under threat due to extensive private armoring. This essay highlights specific regulatory instruments at the federal and state level dealing with hard armoring using Massachusetts as an example. It argues specific federal and state regulations legitimize and incentivize hard armoring over other coastal land use planning methods. The current level of armoring in Massachusetts is highlighted and implications under current federal and state policy frameworks are explained. Suggestions for coastal states planning for sea level rise are discussed, including the need for state planning to take the lead. Recommendations for changes at the federal level are also highlighted. © 2017 Taylor &amp; Francis.</t>
  </si>
  <si>
    <t>2-s2.0-85021878472"</t>
  </si>
  <si>
    <t>10.1002/2017EF000609</t>
  </si>
  <si>
    <t>https://www.scopus.com/inward/record.uri?eid=2-s2.0-85029431367&amp;doi=10.1002%2f2017EF000609&amp;partnerID=40&amp;md5=9d0353193006ed50944a3677ae49501a</t>
  </si>
  <si>
    <t>Global multimodel wave climate projections are obtained at 1.0° × 1.0° scale from 30 Coupled Model Intercomparison Project Phase 5 (CMIP5) global circulation model (GCM) realizations. A semi-supervised weather-typing approach based on a characterization of the ocean wave generation areas and the historical wave information from the recent GOW2 database are used to train the statistical model. This framework is also applied to obtain high resolution projections of coastal wave climate and coastal impacts as port operability and coastal flooding. Regional projections are estimated using the collection of weather types at spacing of 1.0°. This assumption is feasible because the predictor is defined based on the wave generation area and the classification is guided by the local wave climate. The assessment of future changes in coastal impacts is based on direct downscaling of indicators defined by empirical formulations (total water level for coastal flooding and number of hours per year with overtopping for port operability). Global multimodel projections of the significant wave height and peak period are consistent with changes obtained in previous studies. Statistical confidence of expected changes is obtained due to the large number of GCMs to construct the ensemble. The proposed methodology is proved to be flexible to project wave climate at different spatial scales. Regional changes of additional variables as wave direction or other statistics can be estimated from the future empirical distribution with extreme values restricted to high percentiles (i.e., 95th, 99th percentiles). The statistical framework can also be applied to evaluate regional coastal impacts integrating changes in storminess and sea level rise. © 2017 The Authors.</t>
  </si>
  <si>
    <t>2-s2.0-85029431367"</t>
  </si>
  <si>
    <t>10.1177/0309133317695158</t>
  </si>
  <si>
    <t>https://www.scopus.com/inward/record.uri?eid=2-s2.0-85020876124&amp;doi=10.1177%2f0309133317695158&amp;partnerID=40&amp;md5=d8a5a8cb478b7e3cc5647b0163fabc33</t>
  </si>
  <si>
    <t>This paper presents an integrated method to assess the vulnerability of coastal risks by applying the Fuzzy Analytic Hierarchy Process (FAHP) and spatial analysis techniques with a geographic information system (GIS). The coast of Mohammedia, located in Morocco, was chosen as the study site to implement and validate the proposed framework by applying a GIS-FAHP-based methodology. Coastal risk vulnerability mapping reflects multi-parametric causative factors such as sea level rise, significan twave height, tidal range, shoreline evolution, elevation, geomorphology and distance to an urban area. The results show that the coastline of Mohammedia is characterised by low, moderate and high levels of vulnerability to coastal risk. The high vulnerability areas are situated in the east at Monica and Sablettes beaches. This technical approach helps decision-makers to find optimal strategies and to minimise coastal risks. In comparison with other assessment methods, this approach involves rapid data processing and provides an improved means of sustainable and multi-objective coastal management. © 2017, © The Author(s) 2017.</t>
  </si>
  <si>
    <t>2-s2.0-85020876124"</t>
  </si>
  <si>
    <t>10.1016/j.ijdrr.2017.04.007</t>
  </si>
  <si>
    <t>https://www.scopus.com/inward/record.uri?eid=2-s2.0-85018347046&amp;doi=10.1016%2fj.ijdrr.2017.04.007&amp;partnerID=40&amp;md5=8cc8b2e7eddc1d070bc94716efcc9bc6</t>
  </si>
  <si>
    <t>Sea level rise will pose a significant challenge to coastal settlements throughout the planet and is likely to disproportionately affect poorer communities, which are usually located in particularly vulnerable areas. Coastal areas in Jakarta have been experiencing rapid subsidence in recent years, and could serve to illustrate the likely challenges that future sea level rise could have on such communities. To ascertain the level of awareness about the threats facing them questionnaire surveys were conducted amongst one relatively poor community that is situated below sea level, protected from the sea by a thin concrete dyke. The results show that while local inhabitants appear to be aware about the hazards they face, many seem to underestimate their severity, possibly due to a high frequency of exposure in the recent past. The situation in the area appears to be worsening with each passing year, and it is imperative that remedial actions to halt ground subsidence are carried out and/or important remedial actions to adapt to the ground subsidence are implemented. Failure to do so could eventually result in a significant loss of life in the area. © 2017 Elsevier Ltd</t>
  </si>
  <si>
    <t>2-s2.0-85018347046"</t>
  </si>
  <si>
    <t>10.5670/oceanog.2017.318</t>
  </si>
  <si>
    <t>https://www.scopus.com/inward/record.uri?eid=2-s2.0-85029583300&amp;doi=10.5670%2foceanog.2017.318&amp;partnerID=40&amp;md5=193d868a87a97c876b145b16307292f2</t>
  </si>
  <si>
    <t>The Mekong Delta, early in the twenty-first century, is at a tipping point for sustainability. The delta is threatened by the implications of (1) damming and land-use changes in the drainage basin, (2) a burgeoning delta population in a nation (Vietnam) undergoing rapid development, (3) accelerating rates of rising sea level, and (4) an uncertain future climate that may impact tropical cyclone frequency and monsoonal precipitation patterns in the basin. These threats are present in other great rivers that emerge from the Himalayas. Two primary threats are examined in light of recent joint Vietnam-US studies in the largest distributary (Song Hau) of the Mekong River, in the shore-fringing mangroves, and on the adjacent subaqueous delta. We consider the implications of declining sediment loads from the catchment (as well as modification of the annual hydrograph) and flooding and salinity intrusion associated with relative sea level rise (eustatic + subsidence). This 2014–2015 study shows the interconnectivity in fluvial sediment supply to these parts of the delta: declining sediment loads and rising sea levels will likely impact distributary channel morphology and will alter estuarine circulation and sediment-trapping efficiency, all of which have feedbacks on sediment provision to the mangrove forests and the shelf. © 2017 by The Oceanography Society. All rights reserved.</t>
  </si>
  <si>
    <t>2-s2.0-85029583300"</t>
  </si>
  <si>
    <t>10.1007/s10584-017-2039-4</t>
  </si>
  <si>
    <t>https://www.scopus.com/inward/record.uri?eid=2-s2.0-85026463377&amp;doi=10.1007%2fs10584-017-2039-4&amp;partnerID=40&amp;md5=2c95e58577f026cc0980186438a9254c</t>
  </si>
  <si>
    <t>Strategies to manage the risks posed by future sea-level rise hinge on a sound characterization of the inherent uncertainties. One of the major uncertainties is the possible rapid disintegration of large fractions of the Antarctic ice sheet in response to rising global temperatures. This could potentially lead to several meters of sea-level rise during the next few centuries. Previous studies have typically been silent on two coupled questions: (i) What are probabilistic estimates of this “fast dynamic” contribution to sea-level rise? (ii) What are the implications for strategies to manage coastal flooding risks? Here, we present probabilistic hindcasts and projections of sea-level rise to 2100. The fast dynamic mechanism is approximated by a simple parameterization, designed to allow for a careful quantification of the uncertainty in its contribution to sea-level rise. We estimate that global temperature increases ranging from 1.9 to 3.1 °C coincide with fast Antarctic disintegration, and these contributions account for sea-level rise of 21–74 cm this century (5–95% range, Representative Concentration Pathway 8.5). We use a simple cost-benefit analysis of coastal defense to demonstrate in a didactic exercise how neglecting this mechanism and associated uncertainty can (i) lead to strategies which fall sizably short of protection targets and (ii) increase the expected net costs. © 2017, Springer Science+Business Media B.V.</t>
  </si>
  <si>
    <t>2-s2.0-85026463377"</t>
  </si>
  <si>
    <t>10.1007/s11069-017-2889-0</t>
  </si>
  <si>
    <t>https://www.scopus.com/inward/record.uri?eid=2-s2.0-85018263143&amp;doi=10.1007%2fs11069-017-2889-0&amp;partnerID=40&amp;md5=2756a96adc9e0a5a942ec564ab9a4cdf</t>
  </si>
  <si>
    <t>In recent decades, population growth associated with unplanned urban occupation has increased the vulnerability of the Brazilian population to natural disasters. In susceptible regions, early flood forecasting is essential for risk management. Still, in Brazil, most flood forecast and warning systems are based either on simplified models of flood wave propagation through the drainage network or on stochastic models. This paper presents a methodology for flood forecasting aiming to an operational warning system that proposes to increase the lead time of a warning through the use of an ensemble of meteorological forecasts. The chosen configuration was chosen so it would be feasible for an operational flood forecast and risk management. The methodology was applied to the flood forecast for the Itajaí-Açu River basin, a region which comprises a drainage area of approximately 15,500 km2 in the state of Santa Catarina, Brazil, historically affected by floods. Ensemble weather forecasts were used as input to the MHD-INPE hydrological model, and the performance of the methodology was assessed through statistical indicators. Results suggest that flood warnings can be issued up to 48 h in advance, with a low rate of false warnings. Streamflow forecasting through the use of hydrological ensemble prediction systems is still scarce in Brazil. To the best of our knowledge, this is the first time this methodology aiming to an operational flood risk management system has been tested in Brazil. © 2017, Springer Science+Business Media Dordrecht.</t>
  </si>
  <si>
    <t>2-s2.0-85018263143"</t>
  </si>
  <si>
    <t>10.1175/JHM-D-16-0291.1</t>
  </si>
  <si>
    <t>https://www.scopus.com/inward/record.uri?eid=2-s2.0-85029852262&amp;doi=10.1175%2fJHM-D-16-0291.1&amp;partnerID=40&amp;md5=4273d5e721c50905309b88fdf5f39748</t>
  </si>
  <si>
    <t>Tropical cyclone precipitation (TCP) can cause significant flooding in coastal areas around the world. This study compares multiple options of a new technique for developing a gridded daily TCP product at a spatial resolution of 0.25°. These options were evaluated using NASA's Tropical Rainfall Measuring Mission (TRMM) Multisatellite Precipitation Analysis (TMPA) 3B42 product to determine the optimal approach. Results indicate that the technique is very sensitive to changes in wind corrections, interpolation method, and gauge density. The optimal method accounts for wind-induced gauge undercatch and uses a customized interpolation approach. It significantly reduces precipitation biases associated with gauge undercatch during windy conditions. The new TCP extraction approach can be used to examine variability and long-term trends in TCP, even in regions with relatively few gauges. © 2017 American Meteorological Society.</t>
  </si>
  <si>
    <t>2-s2.0-85029852262"</t>
  </si>
  <si>
    <t>10.1007/s10533-017-0371-4</t>
  </si>
  <si>
    <t>https://www.scopus.com/inward/record.uri?eid=2-s2.0-85028754847&amp;doi=10.1007%2fs10533-017-0371-4&amp;partnerID=40&amp;md5=341e508506b34cb5eb545dfd47bdd733</t>
  </si>
  <si>
    <t>Increased flux of carbon and nutrients from human activities in river basins were linked to acidification and deepwater hypoxia in estuaries and coastal areas worldwide. Annual loads (1995–2011) of suspended particulate matter (SPM), dissolved organic carbon (DOC), total nitrogen (TN) and total phosphorus (TP) were assessed at the Lake Ontario inlet of the St. Lawrence River (SLR) (7110 m3 s−1) and its estuarine outlet at Québec City (12,090 m3 s−1). Internal loads from the Ottawa River (1950 m3 s−1), seventeen other tributaries, urban wastewaters, atmospheric deposition and erosion were also estimated. Erosion (65% of SPM, 29% of TP), inflow from Lake Ontario (42% of DOC, 47% of TN) and Ottawa River (28% of DOC) contributed important flux to the estuary. Loads from other tributaries (20 and 27% of TN and TP at Quebec City) largely exceeded municipal sources (6% of exported TN and TP) and require future remediation. Aquatic plants fixed 277,000 t of C, 49,000 t of N and 7000 t of P (May–Sept.), delaying the nutrient flux to the estuary and turning the SLR into a nutrient sink over summers of lowest discharge. Degradation of exported organic C could consume 5.4–7.1 million t O2 year−1 in the estuary whereas SLR flux of N and P represent 31–47% and 7–14% of total annual estuarine flux, respectively. Carbon and Nitrogen flux from freshwaters partly explain the decline in pH and oxygen concentrations in deep estuarine waters thus highlighting the need to reduce diffuse sources of nutrients in the entire watershed. © 2017, The Author(s).</t>
  </si>
  <si>
    <t>2-s2.0-85028754847"</t>
  </si>
  <si>
    <t>10.2112/JCOASTRES-D-16-00056.1</t>
  </si>
  <si>
    <t>https://www.scopus.com/inward/record.uri?eid=2-s2.0-85024089274&amp;doi=10.2112%2fJCOASTRES-D-16-00056.1&amp;partnerID=40&amp;md5=2cbeb0a30540f721e85c6df4d65b04ef</t>
  </si>
  <si>
    <t>This study describes geomorphologic changes along the Nile Delta coastline between 1945 and 2015. The study used topographic maps produced by the Egyptian Geological Survey in 1945 and Landsat satellite imagery taken between 1973 and 2015. The study found that the coastline's geomorphology greatly changed during this time period, especially at Damietta and Rosetta promontories, which were highly eroded after construction of the Aswan High Dam. Other stretches of the coastline also eroded, while some accretion occurred along the coastline down-drift from the promontories. The trend has been erosion of the beaches along the Nile promontories and accretion within the embayments between the promontories, resulting in an overall smoothing of the coastline. A portion of the eroded material has accreted in the form of spits or shoals near the inlets. The principal causal factors of coastline change were the impacts of the Aswan High Dam, sea-level rise, land subsidence, storms, and coastal protection devices. Efforts to stop erosion have had mixed results. Seawalls built along the city of Alexandria have maintained the coastline, while other coastal protection devices have not impeded erosion. Areas of cultivated land are highly susceptible to saltwater intrusion due to sea-level rise and the fact that much of the delta is at or near sea level. © Coastal Education and Research Foundation, Inc. 2017.</t>
  </si>
  <si>
    <t>2-s2.0-85024089274"</t>
  </si>
  <si>
    <t>10.1002/hyp.11195</t>
  </si>
  <si>
    <t>https://www.scopus.com/inward/record.uri?eid=2-s2.0-85019900666&amp;doi=10.1002%2fhyp.11195&amp;partnerID=40&amp;md5=26b6ca9f5fa50ac3e2fbe0ab72fe2fa6</t>
  </si>
  <si>
    <t>This paper explains observed trends in freshwater flow to the San Francisco Bay-Delta estuary as reported in a companion paper (Hutton, Rath, &amp; Roy,). We employ a historical hydrologic record spanning nine decades and define a set of idealized flow scenarios to identify drivers of change in delta outflow and consequent salinity regime. Flow changes are measured against a baseline scenario representing 1920-level land use and water management conditions. Additional scenarios are defined to represent the system absent state and federal water project reservoir and export operations, absent key non-project reservoir operations, and absent historically-observed sea level rise. These scenarios, in conjunction with the principle of superposition, are used to ascribe outflow and salinity trends to different anthropogenic and natural causes. We find that project and non-project water management are attributed similar responsibility for decreasing outflow trends in April and May and consequent increasing spring salinity trends. In contrast, we find that increasing July and August outflow trends (and lagged decreasing salinity trends) are attributed to flow contributions from project water management</t>
  </si>
  <si>
    <t>10.3389/feart.2017.00059</t>
  </si>
  <si>
    <t>https://www.scopus.com/inward/record.uri?eid=2-s2.0-85027709660&amp;doi=10.3389%2ffeart.2017.00059&amp;partnerID=40&amp;md5=a292e547d946408ea95f3be8a4898aeb</t>
  </si>
  <si>
    <t>Fissure eruptions are commonly linked to magma dikes at depth and are associated with elastic and inelastic surface deformation. Elastic deformation is well described by subsidence occurring above the dike plane and uplift and lateral widening occurring perpendicular to the dike plane. Inelastic deformation is associated with the formation of a graben, which is bordered by graben parallel faults that might express as sets of fractures at the surface. Additionally, secondary structures, such as push-ups, bends and step overs, yield information about the deforming domain. However, once these structures are formed during fissure eruptions, they are rarely preserved in nature, due to the effects of rapid erosion, sediment coverage or overprinting by other faulting events. Therefore, simple normal fault displacements are commonly assumed at dikes. At the 2014/2015 Holuhraun eruption sites (Iceland), increasing evidence suggests that developing fractures exhibited variations in their displacement modes. In an attempt to investigate these variations, a fieldwork mapping project combining Terrestrial Laser Scanning (TLS) and Unmanned Aerial Vehicle (UAV)-based aerophoto analysis was undertaken. Using these data, we generated local high-resolution Digital Elevation Models (DEMs) and a structural map that facilitated the identification of kinematic indicators and the assessment of the observed structures. We identified 315 fracture segments fromthese satellite data. We measuredthe strike directions of single segments, including the amount of opening and opening angles, which indicate that many of the measured fractures show transtensional dislocations. Of these, ∼81% exhibit a significant left-lateral component and only ∼17%exhibit a right-lateral component. Here, we demonstrate that the local complexities in these fracture traces and geometries are closely related to variations in their transtensional opening directions. Moreover, we identified local changes in fracture azimuths and offsets close to eruption sites, which we speculate are associated with geometric changes in the magma feeder itself. The results highlight that the opening of fractures associated with an erupting fissure may record transtensional modes with both, left-lateral and right-lateral components. These results further highlight the value of using UAV-based high-resolution data to contribute to the integrity of the observations of the structural complexities produced by local geologic events. © 2017 Müller, Walter, Schöpa, Witt, Steinke, Gudmundsson and Dürig.</t>
  </si>
  <si>
    <t>2-s2.0-85027709660"</t>
  </si>
  <si>
    <t>10.1016/j.dib.2017.03.044</t>
  </si>
  <si>
    <t>https://www.scopus.com/inward/record.uri?eid=2-s2.0-85017547523&amp;doi=10.1016%2fj.dib.2017.03.044&amp;partnerID=40&amp;md5=f3f79ba8e8e5b63f941ed13467a466c3</t>
  </si>
  <si>
    <t>Efficient strategies for preparing communities to protect against, respond to, recover from, and mitigate flood hazard are often hampered by the lack of information about the position and extent of flood-prone areas. Hydrologic and hydraulic analyses allow to obtain detailed flood hazard maps, but are a computationally intensive exercise requiring a significant amount of input data, which are rarely available both in developing and developed countries. As a consequence, even in data-rich environments, official flood hazard graduations are often affected by extensive gaps. In the U.S., for instance, the detailed floodplain delineation produced by the Federal Emergency Management Agency (FEMA) is incomplete, with many counties having no floodplain mapping at all. In this article we present a mapping dataset containing 100-year flood susceptibility maps for the continental U.S. with a 90 m resolution. They have been obtained performing a linear binary classification based on the Geomorphic Flood Index (GFI). To the best knowledge of the authors, there are no available flood-prone areas maps for the entire continental U.S. with resolution lower that 30׳׳×30׳׳ (approximatively 1 km at the equator). © 2017</t>
  </si>
  <si>
    <t>2-s2.0-85017547523"</t>
  </si>
  <si>
    <t>10.1007/s00382-016-3333-y</t>
  </si>
  <si>
    <t>https://www.scopus.com/inward/record.uri?eid=2-s2.0-84983732534&amp;doi=10.1007%2fs00382-016-3333-y&amp;partnerID=40&amp;md5=e6f3d80321bcabbcfa021acdea5a30fb</t>
  </si>
  <si>
    <t>Expanding hypoxia is today a major threat for many coastal seas around the world and disentangling its drivers is a large challenge for interdisciplinary research. Using a coupled physical-biogeochemical model we estimate the impact of past and accelerated future global mean sea level rise (GSLR) upon water exchange and oxygen conditions in a semi-enclosed, shallow sea. As a study site, the Baltic Sea was chosen that suffers today from eutrophication and from dead bottom zones due to (1) excessive nutrient loads from land, (2) limited water exchange with the world ocean and (3) perhaps other drivers like global warming. We show from model simulations for the period 1850–2008 that the impacts of past GSLR on the marine ecosystem were relatively small. If we assume for the end of the twenty-first century a GSLR of +0.5 m relative to today’s mean sea level, the impact on the marine ecosystem may still be small. Such a GSLR corresponds approximately to the projected ensemble-mean value reported by the Fifth Assessment Report of the Intergovernmental Panel on Climate Change. However, we conclude that GSLR should be considered in future high-end projections (&gt;+1 m) for the Baltic Sea and other coastal seas with similar hydrographical conditions as in the Baltic because GSLR may lead to reinforced saltwater inflows causing higher salinity and increased vertical stratification compared to present-day conditions. Contrary to intuition, reinforced ventilation of the deep water does not lead to overall improved oxygen conditions but causes instead expanded dead bottom areas accompanied with increased internal phosphorus loads from the sediments and increased risk for cyanobacteria blooms. © 2016, The Author(s).</t>
  </si>
  <si>
    <t>2-s2.0-84983732534"</t>
  </si>
  <si>
    <t>10.1016/j.ecoleng.2016.06.001</t>
  </si>
  <si>
    <t>https://www.scopus.com/inward/record.uri?eid=2-s2.0-85008400111&amp;doi=10.1016%2fj.ecoleng.2016.06.001&amp;partnerID=40&amp;md5=d56c653a059bc318e91bb7864db689a6</t>
  </si>
  <si>
    <t>The Lower Colorado River provides critical riparian areas in an otherwise arid region and is an important stopover site for migrating landbirds. In order to reverse ongoing habitat degradation due to drought and human-altered hydrology, a pulse flow was released from Morelos Dam in spring of 2014, which brought surface flow to dry stretches of the Colorado River in Mexico. To assess the potential effects of habitat modification resulting from the pulse flow, we used foraging behavior of spring migrants from past and current studies to assess the relative importance of different riparian habitats. We observed foraging birds in 2000 and 2014 at five riparian sites along the Lower Colorado River in Mexico to quantify prey attack rates, prey attack maneuvers, vegetation use patterns, and degree of preference for fully leafed-out or flowering plants. Prey attack rate was highest in mesquite (Prosopis spp.) in 2000 and in willow (Salix gooddingii) in 2014</t>
  </si>
  <si>
    <t>10.1016/j.geomorph.2016.09.011</t>
  </si>
  <si>
    <t>https://www.scopus.com/inward/record.uri?eid=2-s2.0-84994493606&amp;doi=10.1016%2fj.geomorph.2016.09.011&amp;partnerID=40&amp;md5=f2ca639464b777321e44a706d76df590</t>
  </si>
  <si>
    <t>The article presents calculations of quantitative modifications of the morphology of selected subsystems of a glacial valley through: (i) identification of the spatial distribution of important sources of sediment, (ii) assessment of the spatiotemporal variety of sediment volume and landform morphology, and (iii) assessment of the role of particular subsystems in sediment distribution. The study involved a comparison of the results of field measurements from 2010 to 2013 performed in the Scott Glacier catchment (10.1 km2) in NW Wedel Jarlsberg Land (Spitsbergen). The assessment of the landform surface changes was performed by means of a precise Terrestrial Laser Scanning (TLS) survey. The applied field and post-processing techniques for oblique laser scanning permitted the acquisition of digital elevation data at a resolution 0.01 m and density &gt; 500 pt m− 2. This allowed the development of a detailed terrain model, and balancing spatial quantitative changes in six research test areas (10,000 m2) located within two subsystems of the catchment in a cascade arrangement. In the alluvial valley-floor subsystem, the survey covered: 1) the glacier terminus, 2) the intramarginal outwash plain, 3) the extramarginal braid-plain and 4) the alluvial fan, and in the slope subsystem: 5) the erosional-depositional slope in the gorge through terminal moraines, and 6) the solifluction slope. Three zones differing in terms of the spatiotemporal dynamics of geomorphic processes were distinguished within the two analysed valley subsystems. In the valley floor subsystem, these are: (i) the zone of basic supply (distribution throughout the melting season) and (ii) the redeposition zone (distribution particularly during floods), and in the slope subsystem: (iii) zone of periodical supply (distributed mainly in periods of increased precipitation and rapid increases in temperature in summer and during snow avalanches in winter). The glacier and the landforms of the channel and valley floor, as well as slope sediments transported as a result of mass wasting processes and activity of the active permafrost layer, constitute important sources of sediment supply over a short/3-year timescale. Evidence of major changes of the surface morphology (slopes, floodplain and channel platform) resulted in varied sediment budgets. The subtraction of consecutive DEMs of the test areas located in the alluvial valley subsystem revealed downstream spatial and volumetric differentiation, from the predominance of erosion (79% of volume</t>
  </si>
  <si>
    <t>10.1080/08920753.2017.1327343</t>
  </si>
  <si>
    <t>https://www.scopus.com/inward/record.uri?eid=2-s2.0-85020548407&amp;doi=10.1080%2f08920753.2017.1327343&amp;partnerID=40&amp;md5=53422d608fb5c90d0a48810b191957cb</t>
  </si>
  <si>
    <t>The Intergovernmental Panel on Climate Change reports that rising seas by the end of this century will increase the severity of coastal flooding and erosion. The Caribbean region is home to many small islands that are vulnerable to sea level rise and storm surge. Much of the literature examining impacts of sea level rise in the Caribbean focuses on ecosystems, infrastructure, and recreation. Few studies have examined how sea level rise will impact historic and culturally important places. In an effort to address this research gap, geographic information systems and crowd-sourced, georeferenced photographs were used to build a first-of-its-kind database of 542 Caribbean small island cemeteries. Vulnerable cemeteries were then identified based upon elevation, proximity to the ocean, and the coastal profile. Over one-fifth of the cemeteries surveyed are within 100 m of the coast. The highest concentrations of vulnerable cemeteries are on flat islands such as the Cayman Islands. Yet, some mountainous islands such as Saint Martin also have potentially vulnerable cemeteries. These findings suggest that the bereaved, cemetery managers, and managers of coastal areas that have cemeteries may have additional considerations when making long-term decisions about where and how to bury the deceased. © 2017 Taylor &amp; Francis.</t>
  </si>
  <si>
    <t>2-s2.0-85020548407"</t>
  </si>
  <si>
    <t>10.1016/j.accre.2017.05.006</t>
  </si>
  <si>
    <t>https://www.scopus.com/inward/record.uri?eid=2-s2.0-85020278192&amp;doi=10.1016%2fj.accre.2017.05.006&amp;partnerID=40&amp;md5=6285b68df0c607cd9453a25099f9b7c5</t>
  </si>
  <si>
    <t>In recent years, intensifying waterlogging, salt water intrusion, wetland loss, and ecosystem degradation in Chinese delta cities and adjacent regions have generated the pressing need to create an urban form that is suited to both current and future climates incorporating sea level rise. However, adaptation planning uptake is slow. This is particularly unfortunate because patterns of urban form interact with mean sea level rise (MSLR) in ways that reduce or intensify its impact. There are currently two main barriers that are significant in arresting the implementation of adaptation planning with reference to the MSLR projections composed of geomorphologic MSLR projections and eustatic MSLR projections from global climate warming, and making a comprehensive risk assessment of MSLR projections. The present review shows recent progresses in mapping MSLR projections and their risk assessment approaches on Chinese delta cities, and then a perspective of adapting these cities to MSLR projections as following six aspects. 1) The geomorphologic MSLR projections are contributed by the natural tectonic subsidence projections and the MSLR projections by anthropogenic geomorphologic change. The former needs to be updated in a global framework. The latter is accumulated by land subsidence from underground water depletion, water level fall caused by the erosion of riverbeds from a sediment supply decline attributed to the construction of watershed dams, artificial sand excavation, water level raise by engineering projects including land reclamation, deep waterway regulation, and fresh water reservoirs. 2) Controlling MSLR projections by anthropogenic geomorphologic changes. 3) The IPCC AR5 RCPs MSLRs scenarios are expected to be projected to the local eustatic MSLR projections on the Chinese deltas. 4) The MSLR projections need to be matched to a local elevation datum. 5) Modeling approaches of regional river-sea numerical with semi-analytical hydrodynamics, estuarine channel network, system dynamics and adaptation points are perspective. 6) Adaptation planning to MSLR projections requires a comprehensive risk assessment of the risk of flood, fresh water supply shortage, coastal erosion, wetland loss, siltation of ports and waterway in Chinese delta cities and adjacent regions. © 2017 National Climate Center (China Meteorological Administration)</t>
  </si>
  <si>
    <t>2-s2.0-85020278192"</t>
  </si>
  <si>
    <t>https://www.scopus.com/inward/record.uri?eid=2-s2.0-85020274275&amp;partnerID=40&amp;md5=e04800f759c46d5cb55c18cc29c1f551</t>
  </si>
  <si>
    <t>In response to severe flooding in Jakarta, a consortium of Dutch firms in collaboration with the Indonesian government has designed the 'Great Garuda Sea Wall' project. The master plan proposes to construct a sea wall to enclose Jakarta Bay. A new waterfront city will be built on over 1000 hectares (ha) of reclaimed land in the shape of the Garuda, Indonesia's national symbol. By redeveloping North Jakarta, the project promises to realise the world-class city aspirations of Indonesia's political elites. Heavily reliant on hydrological engineering, hard infrastructure and private capital, the project has been presented by proponents as the optimum way to protect the city from flooding. The project retains its allure among political elites despite not directly addressing land subsidence, understood to be a primary cause of flooding. I demonstrate how this project is driven by a techno-political network that brings together political and economic interests, world-class city discourses, engineering expertise, colonial histories, and postcolonial relations between Jakarta and the Netherlands. Due in part to this network, big infrastructure has long constituted the preferred state response to flooding in Jakarta. I thus make a case for provincialising narratives that claim we are witnessing a return to big infrastructure in water management.</t>
  </si>
  <si>
    <t>2-s2.0-85020274275"</t>
  </si>
  <si>
    <t>10.1016/j.ecoleng.2017.03.003</t>
  </si>
  <si>
    <t>https://www.scopus.com/inward/record.uri?eid=2-s2.0-85016044638&amp;doi=10.1016%2fj.ecoleng.2017.03.003&amp;partnerID=40&amp;md5=c85282f1629fc8ba47eef7ae286c1aa1</t>
  </si>
  <si>
    <t>Increasing pressure on water availability in the Colorado River Basin due to a long and severe drought, water over-allocation, increasing water demands, and a warming climate point toward the need to optimize use of water to meet all goals, including environmental restoration. In this paper, we analyze the hydrologic response of the Colorado River Delta to the 2014 pulse flow. In so doing, we identify hydrological criteria for optimizing the use of water for riparian restoration. We analyzed continuous hydrographs obtained from discharge measurement sites along the river channel, quantified areas inundated by water, and interpreted groundwater dynamics and their implications for riparian vegetation. Our most important finding is that 91.4% of the delivered water infiltrated into the first 61.2 km of the riverbed (between Morelos Dam and Pescaderos), recharging the underlying aquifer. This large volume of infiltration occurred mainly because several obstructions along the main channel impeded downstream surface flow, abandoned river meanders acted as infiltration basins, sandy riverbed and terrace sediments allowed for rapid infiltration, and a depressed groundwater table created a large unsaturated zone to fill. Most of the water was delivered at Morelos Dam. However, smaller water deliveries via Mexicali Valley's irrigation canal system bypassed the reaches of maximum infiltration, enabling the achievement of longitudinal river connectivity from Morelos Dam to the Gulf of California, and inundating important flood-dependent restoration sites. To optimize future environmental water deliveries, we encourage the use of irrigation infrastructure to deliver water directly to specific restoration sites to the extent possible, thereby avoiding reaches with high infiltration capacity and low riparian restoration potential. To improve river channel functionality in high-infiltration reaches, we recommend strategies to flood only the main channel and avoid off-channel depressions. By considering hydrological responses to environmental flow deliveries, riparian restoration goals can be achieved efficiently, even in highly controlled rivers with limited water availability. © 2017 Elsevier B.V.</t>
  </si>
  <si>
    <t>2-s2.0-85016044638"</t>
  </si>
  <si>
    <t>10.1080/13658816.2016.1262954</t>
  </si>
  <si>
    <t>https://www.scopus.com/inward/record.uri?eid=2-s2.0-85002152587&amp;doi=10.1080%2f13658816.2016.1262954&amp;partnerID=40&amp;md5=59d6ee4aea6c2959c5b97263ada770c9</t>
  </si>
  <si>
    <t>With the increasing sizes of digital elevation models (DEMs), there is a growing need to design parallel schemes for existing sequential algorithms that identify and fill depressions in raster DEMs. The Priority-Flood algorithm is the fastest sequential algorithm in the literature for depression identification and filling of raster DEMs, but it has had no parallel implementation since it was proposed approximately a decade ago. A parallel Priority-Flood algorithm based on the fastest sequential variant is proposed in this study. The algorithm partitions a DEM into stripes, processes each stripe using the sequential variant in many rounds, and progressively identifies more slope cells that are misidentified as depression cells in previous rounds. Both Open Multi-Processing (OpenMP)- and Message Passing Interface (MPI)-based implementations are presented. The speed-up ratios of the OpenMP-based implementation over the sequential algorithm are greater than four for all tested DEMs with eight computing threads. The mean speed-up ratio of our MPI-based implementation is greater than eight over TauDEM, which is a widely used MPI-based library for hydrologic information extraction. The speed-up ratios of our MPI-based implementation generally become larger with more computing nodes. This study shows that the Priority-Flood algorithm can be implemented in parallel, which makes it an ideal algorithm for depression identification and filling on both single computers and computer clusters. © 2016 Informa UK Limited, trading as Taylor &amp; Francis Group.</t>
  </si>
  <si>
    <t>2-s2.0-85002152587"</t>
  </si>
  <si>
    <t>10.1016/j.ijdrr.2017.06.018</t>
  </si>
  <si>
    <t>https://www.scopus.com/inward/record.uri?eid=2-s2.0-85021262504&amp;doi=10.1016%2fj.ijdrr.2017.06.018&amp;partnerID=40&amp;md5=03b57bec91a0e782f46e03b7f786e770</t>
  </si>
  <si>
    <t>This paper presents a Coastal Risk Index (CRI-MED) developed to assess coastal risks and vulnerabilities associated with the physical and socio-economic impacts of climate change in all Mediterranean coastal zones. CRI-MED is a spatial risk index, which combines variables (multiple data layers) representing different aspects of risk in such a way that coastal areas of relatively higher risk emerge from the integration of the variables. It creates an interface between theoretical concepts of risk and the decision-making process relating to disaster risk reduction. Based on a GIS application, CRI-MED provides relative hazard, exposure, vulnerability and risk maps of the Mediterranean region that allow researchers and policy-makers to identify coastal areas most at risk from coastal erosion and coastal flooding, the so-called “hot-spots”. Through the application of CRI-MED on 21 Mediterranean countries, coastal hot-spots are found to be predominantly located in the south-eastern Mediterranean region. Countries with the highest percentage of extremely high risk values are Syria (30.5%), Lebanon (22.1%), Egypt (20.7%), and Palestine (13.7%). The CRI-MED method is intended as a scientific tool which produces easily understandable outcomes, to support international organizations and national governments to enhance and mainstream decision-making based on information that is accessible and useful. The definition of coastal hot-spots aims to support the prioritization of policies and resources for adaptation and Integrated Coastal Zone Management (ICZM). In particular, the resulting risk maps enable identification of suitable and less suitable areas for urban settlements, infrastructures and economic activities. © 2017 Elsevier Ltd</t>
  </si>
  <si>
    <t>2-s2.0-85021262504"</t>
  </si>
  <si>
    <t>https://www.scopus.com/inward/record.uri?eid=2-s2.0-85020279605&amp;partnerID=40&amp;md5=c54886d805504150f2e80b9a4a4abc48</t>
  </si>
  <si>
    <t>Institutional bricolage, which explains how institutions are actively crafted across different degrees of formality, and urban adaptation have been studied separately in the past. Linking critical institutionalism and adaptive capacity research, this article describes how institutional bricolage shapes the distribution of adaptive capacity in adaptation to urban flooding. The Densu delta in Greater Accra, Ghana, is taken as a case of a rapidly urbanising area in coastal West-Africa. Interviews and stakeholder mappings show that institutional bricolage shapes who is likely to adapt to urban flooding and who isn't, as well as where people are likely to adapt and where they are not. Interviews moreover provided evidence of the distribution of adaptive capacity in dynamic water governance contexts that are characteristic of urban areas particularly in Africa. The role of the traditional 'chief' is shown to be a dynamic institution that can contribute to or hinder adaptation to urban flooding, depending on his own world views and institutional context. Four new findings emerge. Firstly, key elements of bricolage foster the decisive role of chieftaincy structures in adaptation to urban flooding in the local context of a West-African city. Secondly, institutional bricolage exposes the role of culture in adaptive capacity. Thirdly, applying institutional bricolage in the setting of a rapidly urbanizing flood-prone area offers new perspectives on both institutions and adaptation in urban water and risk governance. Fourthly, a bricolage analysis enables incorporating different forms of knowledge towards transformative adaptation.</t>
  </si>
  <si>
    <t>2-s2.0-85020279605"</t>
  </si>
  <si>
    <t>10.5670/oceanog.2017.310</t>
  </si>
  <si>
    <t>https://www.scopus.com/inward/record.uri?eid=2-s2.0-85029595978&amp;doi=10.5670%2foceanog.2017.310&amp;partnerID=40&amp;md5=537a08ac681e01175bc05ac81329f32e</t>
  </si>
  <si>
    <t>River deltas are important for human habitation, commerce, food, and natural resources. Most terrestrial freshwater, dissolved substances, and suspended sediment supplied to the ocean pass through delta distributary channels. Transitions are complex as this river discharge moves through the serial environments of delta systems: tidal river, estuary, shoreline, continental shelf. The bulk of Mekong sediment accumulates as a muddy clinoform deposit on the shallow continental shelf (&lt;20–25 m water depth), which forms the foundation over which the subaerial delta surface has grown for the past ~8,000 years. The Song Hau distributary channel, the target of this investigation, receives ~40% of the Mekong discharge and transfers the majority of it to the adjacent shelf during high flow of the river (July–November). Some of the sediment is returned to the channel and to the mangrove shoreline during low flow of the river (December–April). The sediment reentering the channel is mostly mud, deposited by estuarine processes, that temporarily buries the channel bed and interrupts sand transfer to the coastal ocean. Trapping of sediment supplied to the shoreline of the island, Cu Lao Dung, at the Song Hau mouth, is enhanced by the roughness from dense mangrove roots extending above the bed. Shoreline progradation is asymmetric with the most rapid sediment accumulation (~5 cm yr–1) in the southwestern portion of the island, and the distribution of mangroves is linked to this sedimentation pattern. About one-third of Mekong sediment discharge accumulates in the shelf clinoform near the mouths of the distributary channels, with the greatest accumulation rates (&gt;10 cm yr–1) in the relatively steep foreset region. Intense landward and southwestward currents transport the other two thirds of Mekong discharge during energetic shelf conditions (December–April). These sediments create a relatively shallow clinoform structure, cause the delta to grow asymmetrically toward the southwest, and form the Ca Mau Peninsula. In the future, these same natural processes will operate under different conditions. Construction of many dams within the drainage basin (&gt;200 constructed or approved) and the impacts of climate change (i.e., alterations in monsoonal conditions) will significantly decrease Mekong River discharge. In addition, the delta land surface will be flooded due to acceleration of eustatic sea level rise and local land subsidence. Together, loss of river discharge and rise of local sea level will cause many secondary impacts, including erosion of distributary channels, ocean shorelines, and the shelf seabed</t>
  </si>
  <si>
    <t>10.1007/s11069-017-2873-8</t>
  </si>
  <si>
    <t>https://www.scopus.com/inward/record.uri?eid=2-s2.0-85018855766&amp;doi=10.1007%2fs11069-017-2873-8&amp;partnerID=40&amp;md5=8db607247e2a28c1a927191fed66d4d7</t>
  </si>
  <si>
    <t>Two micro-catchments, tributaries of the Elqui River in the coastal range of the semiarid central-northern Chile were analyzed to establish the hazard potentials associated with extreme rainfall and their effects on the urban area of La Serena city. Geomorphological mapping was performed identifying the morphological features associated with inherited and present-day processes, through photointerpretation and field work. To assess the geohazard potentials related to extreme precipitation events, a detailed terrain analysis was performed deriving topographic indices that in turn characterize the related process potentials. Extreme rainfall events were calculated with a decadal recurrence (&gt;60 mm/day) and are subsequently associated with El Niño (ENSO) and Pacific Decadal Oscillation (PDO warm phase) events. We applied a simple storm flow model using a 20-year return period reflecting a disastrous flood event that affected the La Serena urban area in June 2011. The results highlight the spatial distribution of the hazard potentials in the two Elqui tributaries and their effects on the La Serena urban area. We show that areas subject to intensive land use change and urban sprawl associated with the lower marine terrace and river mouth of the Elqui River are of very high flooding and tsunami risk. © 2017, Springer Science+Business Media Dordrecht.</t>
  </si>
  <si>
    <t>2-s2.0-85018855766"</t>
  </si>
  <si>
    <t>10.3390/rs9090885</t>
  </si>
  <si>
    <t>https://www.scopus.com/inward/record.uri?eid=2-s2.0-85029394630&amp;doi=10.3390%2frs9090885&amp;partnerID=40&amp;md5=f1ec166a380f2b0a1ec10ac015360a9c</t>
  </si>
  <si>
    <t>This paper addresses uncertainty modelling of shorelines by comparing fuzzy sets and random sets. Both methods quantify extensional uncertainty of shorelines extracted from remote sensing images. Two datasets were tested: pan-sharpened Pleiades with four bands (Pleiades) and pan-sharpened Pleiades stacked with elevation data as the fifth band (Pleiades + DTM). Both fuzzy sets and random sets model the spatial extent of shoreline including its uncertainty. Fuzzy sets represent shorelines as a margin determined by upper and lower thresholds and their uncertainty as confusion indices. They do not consider randomness. Random sets fit the mixed Gaussian model to the image histogram. It represents shorelines as a transition zone between water and non-water. Their extensional uncertainty is assessed by the covering function. The results show that fuzzy sets and random sets resulted in shorelines that were closely similar. Kappa (k) values were slightly different and McNemar's test showed high p-values indicating a similar accuracy. Inclusion of the DTM (digital terrain model) improved the classification results, especially for roofs, inundated houses and inundated land. The shoreline model using Pleiades + DTM performed better than that of using Pleiades only, when using either fuzzy sets or random sets. It achieved k values above 80%. © 2017 by the authors. Licensee MDPI, Basel, Switzerland.</t>
  </si>
  <si>
    <t>2-s2.0-85029394630"</t>
  </si>
  <si>
    <t>10.1016/j.ijdrr.2017.05.014</t>
  </si>
  <si>
    <t>https://www.scopus.com/inward/record.uri?eid=2-s2.0-85020457901&amp;doi=10.1016%2fj.ijdrr.2017.05.014&amp;partnerID=40&amp;md5=b4b64894706c91ec33701873f67265d7</t>
  </si>
  <si>
    <t>The economic, social and environmental conditions of various European river basins and estuarine systems have changed dramatically in the last decades as a consequence of anthropogenic effects, and they will go on changing in the years to come due to increasing human pressure. Particularly in Portugal, various river-estuary systems have undergone several human interventions, notably engineering works to restore considerable stretches of channels and river banks. A thorough understanding of responses to changes in the morphodynamic processes and new strategies are needed for the use of existing resources in watercourses in order to take into account the many-faceted aims of sustainable development. This paper describes two serious accidents that occurred in Portugal, in consequence of careless management measures that have lasted for several years. It is shown that both accidents could have been avoided if the implemented management methodologies were strictly based on knowledge of the physical processes. This paper also provides a brief description of the nature and distribution of impacts on the river morphology arising out of building and operating large dams. A technical contribution is also offered which although qualitative provides a basic record and explanation of the serious consequences of significant interventions in watercourses, especially when these are not properly assessed or other mitigating circumstances are not taken into consideration. © 2017 Elsevier Ltd</t>
  </si>
  <si>
    <t>2-s2.0-85020457901"</t>
  </si>
  <si>
    <t>Tropical Conservation Science</t>
  </si>
  <si>
    <t>10.1177/1940082917718835</t>
  </si>
  <si>
    <t>https://www.scopus.com/inward/record.uri?eid=2-s2.0-85059226498&amp;doi=10.1177%2f1940082917718835&amp;partnerID=40&amp;md5=b430ececcac8671794985a8d862655c3</t>
  </si>
  <si>
    <t>Andiroba (Carapa guianensis) is a multiple-use tree species that plays a crucial socioeconomic role across thousands of Amazonian traditional and indigenous communities. In the floodplain forests of the Amazon estuary, we partnered with local forest managers to investigate C. guianensis ecological parameters, addressing seed production rates, tree density, and size class structure across a range of environmental conditions and forest use history. C. guianensis population structure was measured in three forest types: baixio, restinga, and terra preta, differentiated by tidal influence, species dominance and composition, and edaphic conditions. We found significant differences across forest types, whereby seedling and sapling densities were higher in terra preta and adult densities were higher in baixio. Adult densities were 28.7, 23.0, and 19.5 trees/ha, and seedling densities were 22.9, 105, and 151 trees/ha in baixio, restinga, and terra preta forest types, respectively. Seed production rates varied significantly across forest types, year, size class, crown form, and crown illumination. There were higher numbers of viable seeds in terra preta versus baixio (5.5 kg and 2.6 seeds/tree/year, respectively) as well as more trees with better crown forms, more light, and larger diameter sizes. Long-term patterns of community timber management intensity by forest type significantly influenced both population structure and population-level seed production. Nonetheless, assessment of seed production for the total population suggests that the local community was collecting less than 1% of the viable C. guianensis seeds produced annually within community forest lands. This study illustrates the potential of management to impact the sustainability of an important multiple use species and shows the impact that community conservation planning and action can have on future natural resource availability. © The Author(s) 2017.</t>
  </si>
  <si>
    <t>2-s2.0-85059226498"</t>
  </si>
  <si>
    <t>10.1007/s10113-017-1123-7</t>
  </si>
  <si>
    <t>https://www.scopus.com/inward/record.uri?eid=2-s2.0-85015868606&amp;doi=10.1007%2fs10113-017-1123-7&amp;partnerID=40&amp;md5=3ec0794af8f6079440bc681a28255e96</t>
  </si>
  <si>
    <t>The numerous Mediterranean islands (&gt;10,000) are very important from a biodiversity point of view, both in term of plant species (numerous endemics, presence of ‘climate relicts’) and of ecosystems’ assemblage. These patterns can be explained by complex interactions between a highly heterogeneous historical biogeography and ecological processes related to diverse island conditions. Furthermore, most of the ups and downs of this biodiversity were closely linked with human pressures which have changed many times through the long socio-ecological history of these island landscapes since the Neolithic period. At present, insular plant biodiversity and rural landscapes are threatened by diverse global environmental changes related to urbanization, habitat fragmentation, unsustainable tourism and other practices (e.g. overgrazing, forest fires), and by other more recent drivers such as climate warming and aridification, sea-level rise and biological invasions. Some of these impacts will be exacerbated on islands because of no (or highly limited) adjacent areas of expansion, notably on the smallest ones (i.e. size &lt; ca. 1000 ha). With regards to the biome crisis facing the Mediterranean basin and induced by human activities, islands constitute key ecological systems and ‘current refugia’ to ensure the long-term preservation of coastal plant biodiversity. They also represent fascinating ecological systems to disentangle the role of environmental versus human pressures on spatially simplified communities of the Mediterranean coastal areas. Future detailed studies of these ‘natural island microcosms’ could greatly improve our knowledge of the functional and evolutionary processes induced by rapid environmental changes in this region. © 2017, Springer-Verlag Berlin Heidelberg.</t>
  </si>
  <si>
    <t>2-s2.0-85015868606"</t>
  </si>
  <si>
    <t>10.1016/j.ecolecon.2017.04.009</t>
  </si>
  <si>
    <t>https://www.scopus.com/inward/record.uri?eid=2-s2.0-85018451691&amp;doi=10.1016%2fj.ecolecon.2017.04.009&amp;partnerID=40&amp;md5=70aa8062f08a86705338b386c57b8dc0</t>
  </si>
  <si>
    <t>Fisheries constitute an important source of livelihoods for tens of thousands of poor people in the southwest coastal region of Bangladesh, and they supply a significant portion of protein for millions. Among the various threats fisheries in the southwest coastal region will face because of climate change, adverse impacts from increased aquatic salinity caused by sea level rise will be one of the greatest challenges. This paper investigates possible impacts of climate change on aquatic salinity, fish species habitats, and poor communities using the salinity tolerance ranges of 83 fish species consumed in the region and aquatic salinity in 27 alternative scenarios of climate change in 2050. The results provide striking evidence that projected aquatic salinization may have an especially negative impact on poor households in the region. The estimates indicate that areas with poor populations that lose species are about six times more prevalent than areas gaining species. © 2017</t>
  </si>
  <si>
    <t>2-s2.0-85018451691"</t>
  </si>
  <si>
    <t>10.3390/rs9070752</t>
  </si>
  <si>
    <t>https://www.scopus.com/inward/record.uri?eid=2-s2.0-85041348197&amp;doi=10.3390%2frs9070752&amp;partnerID=40&amp;md5=ad52997372c80cf9b1d7ed36fbf1a917</t>
  </si>
  <si>
    <t>The accurate detection of land subsidence rates in urban areas is important to identify damage-prone areas and provide decision-makers with useful information. Meanwhile, no precise measurements of land subsidence have been undertaken within the coastal Port-Said City in Egypt to evaluate its hazard in relationship to sea-level rise. In order to address this shortcoming, this work introduces and evaluates a methodology that substantially improves small subsidence rate estimations in an urban setting. Eight ALOS/PALSAR-1 scenes were used to estimate the land subsidence rates in Port-Said City, using the Small BAse line Subset (SBAS) DInSAR technique. A stereo pair of ALOS/PRISM was used to generate an accurate DEM to minimize the residual topography effect on the generated interferograms. A total of 347 well distributed ground control points (GCP) were collected in Port-Said City using the leveling instrument to calibrate the generated DEM. Moreover, the eight PALSAR scenes were co-registered using 50 well-distributed GCPs and used to generate 22 interferogram pairs. These PALSAR interferograms were subsequently filtered and used together with the coherence data to calculate the phase unwrapping. The phase-unwrapped interferogram-pairs were then evaluated to discard four interferograms that were affected by phase jumps and phase ramps. Results confirmed that using an accurate DEM (ALOS/PRISM) was essential for accurately detecting small deformations. The vertical displacement rate during the investigated period (2007-2010) was estimated to be -28 mm. The results further indicate that the northern area of Port-Said City has been subjected to higher land subsidence rates compared to the southern area. Such land subsidence rates might induce significant environmental changes with respect to sea-level rise. © 2017 by the authors.</t>
  </si>
  <si>
    <t>2-s2.0-85041348197"</t>
  </si>
  <si>
    <t>10.1007/s10661-017-6152-7</t>
  </si>
  <si>
    <t>https://www.scopus.com/inward/record.uri?eid=2-s2.0-85026838046&amp;doi=10.1007%2fs10661-017-6152-7&amp;partnerID=40&amp;md5=3ed4389327cc354667542c00dc6f7185</t>
  </si>
  <si>
    <t>Low-set coastal areas are expected to aggravate inundation on account of sea level rise (SLR). The present study is planned to appraise the impacts of coastal flooding in Port Said city, Egypt by using remote sensing, GIS, and cartographic modeling techniques. To accomplish this scope, Landsat 8-OLI image dated 2016 and SRTM 1Arc-Second Digital Elevation Model (DEM) data were used. Landsat image was classified into seven land use and land cover (LULC) classes by using remote sensing and GIS’s software. Different inundation scenarios 1.0, 2.0, and 3.0-m coastal elevation were used to figure the influence of SLR on the study area. Estimation of potential losses under SLR was made by overlaying the expected scenarios on land use. The inundation areas under the expected SLR scenarios of 1.0, 2.0, and 3.0 m were estimated at 827.49, 1072.67, and 1179.41 km2, respectively. In conclusion, this study demonstrated that expected coastal flooding scenarios will lead up to serious impacts on LULC classes and coastal features in the study area. © 2017, Springer International Publishing AG.</t>
  </si>
  <si>
    <t>2-s2.0-85026838046"</t>
  </si>
  <si>
    <t>10.1016/j.geoforum.2017.03.027</t>
  </si>
  <si>
    <t>https://www.scopus.com/inward/record.uri?eid=2-s2.0-85017342556&amp;doi=10.1016%2fj.geoforum.2017.03.027&amp;partnerID=40&amp;md5=4e6fd56b6185fa25a045d29dd92fd0f4</t>
  </si>
  <si>
    <t>Kiribati, Tuvalu, Marshall Islands, the Maldives and other small island developing states in the Pacific are often incorrectly called “sinking islands.” With their highest points just a few meters above sea level, they face adverse impacts from climate change and especially sea level rise, which can cause them to disappear entirely or make their territory uninhabitable. After rather frustrating negotiations on other fora, the representatives of those states asked the UN Security Council to deal with their perilous situation in 2007. On the one hand, some countries used scientific argumentation to justify the introduction of this new security agenda. On the other hand, prominent UNSC members such as China and Russia, supported mainly by rapidly developing large countries, rejected it, arguing that the Security Council did not have the expertise to solve environmental problems. Since then the islands have echoed their plight to the UNSC in 2011 and 2015. This paper determines what roles individual countries ascribe to “experts” and “science” during UNSC negotiations. It examines how the authority of “experts” was exploited, which allowed certain countries to strike the issue of those islands from the UNSC agenda by calling for a more “scientific approach,” while others used “science” to widen the concept of security. The analysis of empirical data confirms the theory of Berling's three modalities when referring to science. Those modalities can be further extended by Foucault's conception of “will to truth” as a method of exclusion, and Chandler's theory of “empire in denial” as a way of evading responsibility, while maintaining power. © 2017 Elsevier Ltd</t>
  </si>
  <si>
    <t>2-s2.0-85017342556"</t>
  </si>
  <si>
    <t>10.1002/2016JC012546</t>
  </si>
  <si>
    <t>https://www.scopus.com/inward/record.uri?eid=2-s2.0-85024395371&amp;doi=10.1002%2f2016JC012546&amp;partnerID=40&amp;md5=b1cd3e4ce48996630581fd0fb254e21b</t>
  </si>
  <si>
    <t>Using a new rapid-computation wave model, improved and validated in the present study, we quantify the value of salt marshes in Jamaica Bay—a highly urbanized estuary located in New York City—as natural buffers against storm waves. We augment the MDO phase-averaged wave model by incorporating a vegetation-drag-induced energy dissipation term into its wave energy balance equation. We adopt an empirical formula from literature to determine the vegetation drag coefficient as a function of environmental conditions. Model evaluation using data from laboratory-scale experiments show that the improved MDO model accurately captures wave height attenuation due to submerged and emergent vegetation. We apply the validated model to Jamaica Bay to quantify the influence of coastal-scale salt marshes on storm waves. It is found that the impact of marsh islands is largest for storms with lower flood levels, due to wave breaking on the marsh island substrate. However, the role of the actual marsh plants, Spartina alterniflora, grows larger for storms with higher flood levels, when wave breaking does not occur and the vegetative drag becomes the main source of energy dissipation. For the latter case, seasonality of marsh height is important</t>
  </si>
  <si>
    <t>10.1016/j.ijdrr.2017.03.007</t>
  </si>
  <si>
    <t>https://www.scopus.com/inward/record.uri?eid=2-s2.0-85015872707&amp;doi=10.1016%2fj.ijdrr.2017.03.007&amp;partnerID=40&amp;md5=37c5d5fac06200cba84a64471db63970</t>
  </si>
  <si>
    <t>For the first time flood mortality is analysed and compared between a Western (Portugal) and an Eastern Mediterranean country (Greece). Flood fatalities are examined and compared in terms of frequency, temporal evolution, spatial distribution, deadliest flood types, gender of the victims, circumstances surrounding fatalities, and individual and societal risk. A common flood fatalities database was formed for the period 1960–2010 by merging the DISASTER database for Portugal and the Greek database Individual flood cases generated more deaths in Greece than in Portugal (excluding an outlier flash flood event in the latter). Despite some fluctuations evidence of a gradual decrease in fatality numbers were recorded for both countries. Since the 1980's the number of flood cases with multiple fatalities has been gradually declining, due to changes in qualitative characteristics of mortality. Flood fatalities predominantly occur during autumn in Greece and during winter in Portugal. In both Greece and Portugal flash floods were responsible for more than 80% of the total mortality. The main metropolitan areas of each country were found to be hotspots of flood mortality</t>
  </si>
  <si>
    <t>10.1515/quageo-2017-0027</t>
  </si>
  <si>
    <t>https://www.scopus.com/inward/record.uri?eid=2-s2.0-85031807722&amp;doi=10.1515%2fquageo-2017-0027&amp;partnerID=40&amp;md5=811f6ad2336a4ac5c49132e406067bce</t>
  </si>
  <si>
    <t>This research focuses on the reconstruction of the morphological modifications of the coastal floodplain of Rapallo (Eastern Liguria, NW Italy) due to human intervention since the eighteenth century. By the second half of the nineteenth century Rapallo became a popular tourist destination: as a consequence, the urban development of the floodplain started and became very intense after Second World War, strongly modifying former landforms. The study was carried out using multi-temporal cartographic and photographic comparison, the analysis of geo-thematic cartography and documentation from the Basin Master Plan and the town plan of Rapallo, the interpretation of cores from regional database and field data from direct urban surveys. Man-made landforms were mapped and classified using the new geomorphological legend which is in progress in the framework of the Working Groups on ""Cartography"" and ""Urban Geomorphology"" of the Italian Association of Physical Geography and Geomorphology (AIGEO). The main significant morphological changes were stream diversions and channeling, excavations and filling, quarry activities, embankments along the shoreline and overurbanization. Human interventions, in addition to local geomorphological and climate features, increased flood hazard and risk, which historically affected the city of Rapallo. © 2017 Pierluigi Brandolini et al., published by De Gruyter Open.</t>
  </si>
  <si>
    <t>2-s2.0-85031807722"</t>
  </si>
  <si>
    <t>10.1080/00288306.2017.1307233</t>
  </si>
  <si>
    <t>https://www.scopus.com/inward/record.uri?eid=2-s2.0-85018964039&amp;doi=10.1080%2f00288306.2017.1307233&amp;partnerID=40&amp;md5=df31a041c0addd9aa7adaf1bd8c32f20</t>
  </si>
  <si>
    <t>Investigations of modern coseismic ground surface deformation where fault rupture is absent typically rely on remote sensing techniques. We used monitoring of salt marsh vegetation and substrate for 3 years after the 22 February 2011 Christchurch earthquake (MW 6.2) to document the biological response to vertical deformation, to provide estimates of the amount of uplift and subsidence and ground-truth remote sensing data. Comparison of vegetation-derived vertical deformation with estimates from remote-sensing techniques (Light Detection and Ranging, Global Positioning System and Differential Interferometric Synthetic Aperture Radar) shows good agreement at sites where several decimetres of vertical movement occurred, and less agreement where smaller amounts of vertical movement occurred and/or where vegetation-monitoring sites were affected by differential movement of artificial structures such as roads and breakwaters. Biological and sedimentological changes observed in salt marshes around the Avon–Heathcote Estuary/Ihutai (AHEI) as a result of the 22 February 2011 Christchurch earthquake are likely to be preserved as subtle geological signatures in restricted locations around the AHEI. © 2017 The Royal Society of New Zealand.</t>
  </si>
  <si>
    <t>2-s2.0-85018964039"</t>
  </si>
  <si>
    <t>Australian Geomechanics Journal</t>
  </si>
  <si>
    <t>https://www.scopus.com/inward/record.uri?eid=2-s2.0-85029864344&amp;partnerID=40&amp;md5=f3c7a1daf2aacf0bf4224689839dfc68</t>
  </si>
  <si>
    <t>The Sydney Light Rail project alignment covers the typical geological and geomorphological settings for the Sydney and Botany Basin. This comprises three distinctive zones: (1) manmade fill</t>
  </si>
  <si>
    <t>10.1007/s00024-016-1464-z</t>
  </si>
  <si>
    <t>https://www.scopus.com/inward/record.uri?eid=2-s2.0-85027096028&amp;doi=10.1007%2fs00024-016-1464-z&amp;partnerID=40&amp;md5=5d3f5b0586ed8ccb5d8d4fce3033e866</t>
  </si>
  <si>
    <t>This paper aims at best describing the submarine landslide which induced partial submersion of the atolls of Mururoa and Fangataufa in 1979. More precisely, waves propagated along the south coast of Mururoa atoll and penetrated into its lagoon some minutes after the landslide triggering (t = 0 s), whereas a train of eight water waves reached the runway located on the north-east coast of Fangataufa (40 km south of Mururoa) between t = 7 min 30 s and t = 20 min. A numerical model based on shallow water equations is used to simulate the landslide as well as the associated tsunami. Saint-Venant equations are used to propagate the tsunami in coastal areas, whereas the offshore propagation is simulated by solving weakly nonlinear Boussinesq equations. Low- and high-resolution nested grids are used to simulate the tsunami propagation in deep sea and in shallow waters, respectively. Several scenarios have been tested to reproduce the observed water and run-up heights in the near and far fields. The best scenarios correspond to a landslide with a volume in the range (75–90 Mm3) (for a basal friction angle of 35°) and with a basal friction angle in the range (30°–40°) (for a volume of 80 Mm3). These results have been completed by a parametric study on the slide parameters. © 2017, Springer International Publishing.</t>
  </si>
  <si>
    <t>2-s2.0-85027096028"</t>
  </si>
  <si>
    <t>10.1016/j.ancene.2017.05.001</t>
  </si>
  <si>
    <t>https://www.scopus.com/inward/record.uri?eid=2-s2.0-85020002476&amp;doi=10.1016%2fj.ancene.2017.05.001&amp;partnerID=40&amp;md5=b5a04e58676607a36825df2b49e5dae9</t>
  </si>
  <si>
    <t>Coastal wetlands rank among the most endangered ecosystems since they are affected by the sea level rise and by anthropogenic activities. The continued loss and degradation of these valuable environments requires greater understanding of groundwater–surface water exchange, as the ecological function of coastal wetlands greatly depends on it. Hydrological research carried out in the lower part of the Samborombón Bay coastland (Río de la Plata estuary, Argentina) by remote sensing revealed the presence of a meandering channel system, which does not appear in modern maps. Analysis of SPOT satellite images and interpretation of historical maps and in situ surveys confirmed that this structure is part of an ancient river system – the palaeo-Rincón de Ajó River – at present almost completely silted up. In addition, multispectral satellite data provided information to develop a conceptual hydrological model, as well as evidence that a significant hydrologic landscape shift occurred due to human-made interventions. The palaeo-Rincón de Ajó River disappeared because water flow in its upper course was intercepted by human-made canals. In its lower course, embankments built for the construction of roads and flood prevention of the wetlands from the Río de la Plata estuary excluded the surface flow from the estuary to the mainland and vice versa. The silting up in the lower course and in the vicinity of the mouth cancelled the original structure of the ancient river. © 2017 Elsevier Ltd</t>
  </si>
  <si>
    <t>2-s2.0-85020002476"</t>
  </si>
  <si>
    <t>Mappemonde</t>
  </si>
  <si>
    <t>10.1007/s11069-015-1669-y</t>
  </si>
  <si>
    <t>https://www.scopus.com/inward/record.uri?eid=2-s2.0-85021972592&amp;doi=10.1007%2fs11069-015-1669-y&amp;partnerID=40&amp;md5=d08a8ee8c48dec4b338a8817381be32c</t>
  </si>
  <si>
    <t>2-s2.0-85021972592"</t>
  </si>
  <si>
    <t>10.1080/14693062.2015.1119097</t>
  </si>
  <si>
    <t>https://www.scopus.com/inward/record.uri?eid=2-s2.0-84954104602&amp;doi=10.1080%2f14693062.2015.1119097&amp;partnerID=40&amp;md5=ee6a448c44b888f15cc18ac9ce7e431c</t>
  </si>
  <si>
    <t>Sea-level rise due to climate change will have significant effects on coastal areas and populations. Adaptation policies recommend the managed realignment of the most vulnerable assets and activities. Despite their medium- and long-term benefits, these policies face significant friction due to social acceptability in the communities where they are implemented. This article investigates the hypothesis that respecting principles of justice in the implementation of managed realignment should increase its acceptability. We compare preferences of those people who are exposed to the risk of climate-change-induced flooding and those who are not, as regards funding managed retreat policies and defining compensation criteria for assets at risk. The main theories of social justice provide the four principles included in the analysis: efficiency, need, responsibility and priority assigned to property rights. A choice experiment survey was conducted with 258 residents of coastal and hinterland communities in the south of France. Four attributes were selected to define the managed realignment policy: the dialogue arrangements, the implementation period, the policy implementation schedule and the cost. The results show support for a relatively fast launch of these policies (within 15 years) but in stages and through a process of dialogue with the population. People's perceptions of the funding criteria reveal a preference for national solidarity. Finally, national funding of managed retreat policies and compensation criteria based on market prices have a significant positive influence on the acceptability of managed realignment policies, whereas introducing responsibility-based compensation criteria tends to favour the status quo over the adaptation policy. Policy relevance Prioritization of the funding criteria reveals the preference for national solidarity. Preferences for the justice criteria underpinning compensation reveal a great diversity of values. Besides implantation modalities, preferences for managed realignment policies depend on which level they are implemented at, on the expropriation criteria (the emphasis given to property rights, i.e. market price), on the attachment (people perceived as worst off, i.e. the property is their main residence rather than a second home or they have lower levels of income) and on the degree of responsibility (related to the date of purchase, i.e. on the information given at the time on the risk). © 2016 Taylor &amp; Francis.</t>
  </si>
  <si>
    <t>2-s2.0-84954104602"</t>
  </si>
  <si>
    <t>10.1080/17477891.2017.1298511</t>
  </si>
  <si>
    <t>https://www.scopus.com/inward/record.uri?eid=2-s2.0-85015040569&amp;doi=10.1080%2f17477891.2017.1298511&amp;partnerID=40&amp;md5=b0a1ee3721e13ecd3eed477e1ba688ec</t>
  </si>
  <si>
    <t>Disaster management practitioners are accustomed to dealing with changing climates, but rapid anthropogenic climate change is an unprecedented problem. Hazards (e.g. storms, coastal flooding, sea level rise, heat waves) combine with vulnerabilities (e.g. socioeconomic disparity, rapid urbanization, improper land use, rigid governance structures) to increase disaster risk in some coastal cities. Focus on climate change adaptation (CCA) has been increasing as part of the answer to this problem. However, CCA has regularly developed separately from relatively established disaster management efforts, and this paper argues that CCA should generally be included as part of disaster management efforts, utilizing extant social structures, funding streams, theories, and more to avoid duplication of effort. Building on this conceptual foundation, the paper presents a framework for guiding and assessing efforts to reduce this risk. The framework was based on theory, then modified during a case study of New York City. This allowed refinement based on real-world planning, resulting in a theoretically grounded framework with a strong focus on application. Key points from the investigation are summarized here, interesting themes are discussed, and notes on applying the framework are presented. © 2017 Informa UK Limited, trading as Taylor &amp; Francis Group.</t>
  </si>
  <si>
    <t>2-s2.0-85015040569"</t>
  </si>
  <si>
    <t>10.1007/s13753-017-0119-8</t>
  </si>
  <si>
    <t>https://www.scopus.com/inward/record.uri?eid=2-s2.0-85016785250&amp;doi=10.1007%2fs13753-017-0119-8&amp;partnerID=40&amp;md5=5c2a2937ec0d529a3acd80ed12a118ec</t>
  </si>
  <si>
    <t>This article documents the results of an empirical investigation on the complex interplay between diverse coping mechanisms and the socioeconomic asset profiles of coastal households at risk. Focusing on household-level perceptions and responses to cyclone hazards, a case study was carried out in a poor area in Bangladesh that is prone to natural hazards. We developed and tested our own analytical models based on the asset approach. We conducted a face-to-face household survey in southwestern coastal Bangladesh, in the Koyra sub-district, in late 2009. We asked 360 households affected by the May 2009 tropical Cyclone Aila about their hazard perceptions, preparedness, coping practices, and socioeconomic assets. The results suggest that the majority of households at risk perceive an increasing trend of different climate hazards, with a distinct dominance of tropical cyclones, storm surges, and flash floods in the study area, which resulted in a yearly average economic damage of USD 144 for each household in the first year after Aila. However, such damage is significantly and inversely correlated with the number of adopted coping practices. Significant and systematic differences exist between upstream and downstream households in the study area with respect to hazard perception, hazard induced damages, asset accessibility, and adopted diversified coping practices. The empirical findings suggest that the degree of adoption of coping practices depends primarily on elements of socioeconomic asset profile and the duration of the consequences of cyclone hazards. Disaster preparedness training seems to improve at-risk households’ degree of information access and eventually leads them to adopt more coping practices to reduce adverse impacts of climate hazards. Area-specific practical modules on coping practices should be incorporated in curricula of disaster preparedness training to make people at risk more resilient to hazard shocks. © 2017, The Author(s).</t>
  </si>
  <si>
    <t>2-s2.0-85016785250"</t>
  </si>
  <si>
    <t>Erosion Control</t>
  </si>
  <si>
    <t>https://www.scopus.com/inward/record.uri?eid=2-s2.0-85024499297&amp;partnerID=40&amp;md5=747d97e3668fc751f5e33c025dc4fb21</t>
  </si>
  <si>
    <t>The Department of Parks and Recreation, along with the US Army Corps of Engineers (USACE) and other partners, implemented a series of emergency protective measures on Staten Island and Rockaway Beach, Queens, designed to protect lives, homes, and properties on an interim basis until a permanent and comprehensive storm-risk reduction strategy could be put into effect.  The Department of Parks and Recreation performed a light detection and ranging (LIDAR) analysis of the shoreline to identify areas below the five-year still water level. The department  then installed a barrier system surrounding the low-lying areas to fend off the waves and surges associated with seasonal storms. The wall was constructed using sand-filled cellular containment bags made by Barrier Force. Designed with a trapezoidal shape, they allow wave energy striking the face of the module to be dissipated as it travels up the slope, reducing  the force of the wave before it can affect infrastructure. In another case, the City of Boston partnered with the Nature Conservancy and the USACE to design and implement an artificial offshore reef at Gallops Island to test an innovative coastal protection strategy. With the Coastal Resilience Tool, coastal communities and decision-makers can explore different  flooding scenarios, from sea level rise to storm surge</t>
  </si>
  <si>
    <t>10.1016/j.ejrh.2015.12.055</t>
  </si>
  <si>
    <t>https://www.scopus.com/inward/record.uri?eid=2-s2.0-84952920327&amp;doi=10.1016%2fj.ejrh.2015.12.055&amp;partnerID=40&amp;md5=f7455d230404e3abe4684c81276be8ac</t>
  </si>
  <si>
    <t>Study region The study region spans coastal California, USA, and focuses on three primary sites: Arcata, Stinson Beach, and Malibu Lagoon. Study focus 1 m and 2 m sea-level rise (SLR) projections were used to assess vulnerability to SLR-driven groundwater emergence and shoaling at select low-lying, coastal sites in California. Separate and combined inundation scenarios for SLR and groundwater emergence were developed using digital elevation models of study site topography and groundwater surfaces constructed from well data or published groundwater level contours. New hydrological insights for the region SLR impacts are a serious concern in coastal California which has a long (∼1800 km) and populous coastline. Information on the possible importance of SLR-driven groundwater inundation in California is limited. In this study, the potential for SLR-driven groundwater inundation at three sites (Arcata, Stinson Beach, and Malibu Lagoon) was investigated under 1 m and 2 m SLR scenarios. These sites provide insight into the vulnerability of Northern California coastal plains, coastal developments built on beach sand or sand spits, and developed areas around coastal lagoons associated with seasonal streams and berms. Northern California coastal plains with abundant shallow groundwater likely will see significant and widespread groundwater emergence, while impacts along the much drier central and southern California coast may be less severe due to the absence of shallow groundwater in many areas. Vulnerability analysis is hampered by the lack of data on shallow coastal aquifers, which commonly are not studied because they are not suitable for domestic or agricultural use. Shallow saline aquifers may be present in many areas along coastal California, which would dramatically increase vulnerability to SLR-driven groundwater emergence and shoaling. Improved understanding of the extent and response of California coastal aquifers to SLR will help in preparing for mitigation and adaptation. © 2015</t>
  </si>
  <si>
    <t>2-s2.0-84952920327"</t>
  </si>
  <si>
    <t>10.1002/2016EF000430</t>
  </si>
  <si>
    <t>https://www.scopus.com/inward/record.uri?eid=2-s2.0-85017222650&amp;doi=10.1002%2f2016EF000430&amp;partnerID=40&amp;md5=b8b3d4bf737e4d019f97dca5b8d0db1d</t>
  </si>
  <si>
    <t>Estimating the current risk of coastal flooding requires adequate information on extreme sea levels. For over a decade, the only global data available was the DINAS-COAST Extreme Sea Levels (DCESL) dataset, which applies a static approximation to estimate extreme sea levels. Recently, a dynamically derived dataset was developed: the Global Tide and Surge Reanalysis (GTSR) dataset. Here, we compare the two datasets. The differences between DCESL and GTSR are generally larger than the confidence intervals of GTSR. Compared to observed extremes, DCESL generally overestimates extremes with a mean bias of 0.6 m. With a mean bias of −0.2 m GTSR generally underestimates extremes, particularly in the tropics. The Dynamic Interactive Vulnerability Assessment model is applied to calculate the present-day flood exposure in terms of the land area and the population below the 1 in 100-year sea levels. Global exposed population is 28% lower when based on GTSR instead of DCESL. Considering the limited data available at the time, DCESL provides a good estimate of the spatial variation in extremes around the world. However, GTSR allows for an improved assessment of the impacts of coastal floods, including confidence bounds. We further improve the assessment of coastal impacts by correcting for the conflicting vertical datum of sea-level extremes and land elevation, which has not been accounted for in previous global assessments. Converting the extreme sea levels to the same vertical reference used for the elevation data is shown to be a critical step resulting in 39–59% higher estimate of population exposure. © 2017 The Authors.</t>
  </si>
  <si>
    <t>2-s2.0-85017222650"</t>
  </si>
  <si>
    <t>10.5194/hess-21-735-2017</t>
  </si>
  <si>
    <t>https://www.scopus.com/inward/record.uri?eid=2-s2.0-85011684773&amp;doi=10.5194%2fhess-21-735-2017&amp;partnerID=40&amp;md5=f277d3c77f742af23b525cbf2509740f</t>
  </si>
  <si>
    <t>A distributed hydrological model has been successfully used in small-watershed flood forecasting, but there are still challenges for the application in a large watershed, one of them being the model's spatial resolution effect. To cope with this challenge, two efforts could be made</t>
  </si>
  <si>
    <t>10.2112/SI77-007.1</t>
  </si>
  <si>
    <t>https://www.scopus.com/inward/record.uri?eid=2-s2.0-85021443379&amp;doi=10.2112%2fSI77-007.1&amp;partnerID=40&amp;md5=bb8c65cdf822f7eb8db906336545371f</t>
  </si>
  <si>
    <t>Taramelli, A.</t>
  </si>
  <si>
    <t>10.1002/esp.4002</t>
  </si>
  <si>
    <t>https://www.scopus.com/inward/record.uri?eid=2-s2.0-84983738695&amp;doi=10.1002%2fesp.4002&amp;partnerID=40&amp;md5=65858af1b966a6219dfb9c4d2de09620</t>
  </si>
  <si>
    <t>The process of channelization on river floodplains plays an essential role in regulating river sinuosity and creating river avulsions. Most channelization occurs within the channel belt (e.g. chute channels), but growing evidence suggests some channels originate outside of the channel-belt in the floodplain. To understand the occurrence and prevalence of these floodplain channels we mapped 3064 km2 of floodplain in Indiana, USA using 1.5 m resolution digital elevation models (DEMs) derived from airborne light detection and ranging (LiDAR) data. We find the following range of channelization types on floodplains in Indiana: 6.8% of floodplain area has no evidence of channelization, 55.9% of floodplains show evidence (e.g. oxbow lakes) of chute-channel activity in the channel belt, and 37.3% of floodplains contain floodplain channels that form long, coherent down-valley pathways with bifurcations and confluences, and they are active only during overbank discharge. Whereas the first two types of floodplains are relatively well studied, only a few studies have recognized the existence of floodplain channels. To understand why floodplain channels occur, we compared the presence of channelization types with measured floodplain width, floodplain slope, river width, river meander rate, sinuosity, flooding frequency, soil composition, and land cover. Results show floodplain channels occur when the fluvial systems are characterized by large floodplain-to-river widths, relatively higher meandering rates, and are dominantly used for agriculture. More detailed reach-scale mapping reveals that up to 75% of channel reaches within floodplain channels are likely paleo-meander cutoffs. The meander cutoffs are connected by secondary channels to form floodplain channels. We suggest that secondary channels within floodplains form by differential erosion across the floodplain, linking together pre-existing topographic lows, such as meander cutoffs. Copyright © 2016 John Wiley &amp; Sons, Ltd. Copyright © 2016 John Wiley &amp; Sons, Ltd.</t>
  </si>
  <si>
    <t>2-s2.0-84983738695"</t>
  </si>
  <si>
    <t>10.1016/j.ancene.2017.03.001</t>
  </si>
  <si>
    <t>https://www.scopus.com/inward/record.uri?eid=2-s2.0-85015690580&amp;doi=10.1016%2fj.ancene.2017.03.001&amp;partnerID=40&amp;md5=3b80beee05eb93e5d6863a28768e7e74</t>
  </si>
  <si>
    <t>Sluice gates are a type of tidal barrage that are built across estuaries to control saline water intrusion and river flooding. Around 300 sluice gates have been installed in the estuaries along the coastline of China, with more than a third being constructed on the coastal plain of the southern Yellow Sea. These structures induce significant, but as yet unquantified, anthropogenic impacts on estuarine environments</t>
  </si>
  <si>
    <t>10.1002/2017GL072663</t>
  </si>
  <si>
    <t>https://www.scopus.com/inward/record.uri?eid=2-s2.0-85017388303&amp;doi=10.1002%2f2017GL072663&amp;partnerID=40&amp;md5=9ab0a2c215af8c6a6cfac7e71fb08ca8</t>
  </si>
  <si>
    <t>Data from the Sentinel-1 satellite have already proven useful for investigating seismic and volcanic events since its launch in April 2014. The requirement of ultrahigh coregistration accuracy and the current relatively short time of Sentinel-1 acquisitions make its application challenging for studying slow deformation processes, such as fault creep and land subsidence. Here we analyze a set of 14 SAR images over the San Francisco Bay Area spanning 1 year from early 2015 to 2016. We show that implementing an existing Enhanced Spectral Diversity algorithm or using precise orbits together with a reference digital elevation model both yield the required coregistration accuracy for making use of the phase measurements in time series analysis of ground deformation. Following a thorough validation test, we update our estimates of Hayward Fault creep rate and confirm uplift due to recharge of the Santa Clara Valley aquifer system during the final summer of 4 year drought. ©2017. American Geophysical Union. All Rights Reserved.</t>
  </si>
  <si>
    <t>2-s2.0-85017388303"</t>
  </si>
  <si>
    <t>Management Science</t>
  </si>
  <si>
    <t>10.1287/mnsc.2015.2395</t>
  </si>
  <si>
    <t>https://www.scopus.com/inward/record.uri?eid=2-s2.0-85018759790&amp;doi=10.1287%2fmnsc.2015.2395&amp;partnerID=40&amp;md5=ec34c511a5c9bdacbc1a0bec7dd96026</t>
  </si>
  <si>
    <t>Flood prevention policy is of major importance to the Netherlands since a large part of the country is below sea level and high water levels in rivers may also cause floods. In this paperwe propose a dike height optimization model to determine economically efficient flood protection standards. We improve the model proposed by David van Dantzig [van Dantzig D (1956) Economic decision problems for flood prevention. Econometrica 24(3):276-287] after a devastating flood in the Netherlands in 1953. Our model is nonconvex, but we derive an explicit simple expression for the global optimal solution, which is periodic. We also discuss how to use this optimal investment policy to derive an efficient flood protection standard. The rather simple expression for this standard gives us much insight into how it depends on several relevant economic and climate model parameters. This approach has been applied to all dike rings in the Netherlands, and the resulting standards have been stated in the new Delta Programme 2015, which has been accepted by the government. © Copyright 2016 INFORMS.</t>
  </si>
  <si>
    <t>2-s2.0-85018759790"</t>
  </si>
  <si>
    <t>10.1038/nclimate3271</t>
  </si>
  <si>
    <t>https://www.scopus.com/inward/record.uri?eid=2-s2.0-85018746507&amp;doi=10.1038%2fnclimate3271&amp;partnerID=40&amp;md5=66fb0ac188eb4a20115a7b4a37d8c404</t>
  </si>
  <si>
    <t>Many sea-level rise (SLR) assessments focus on populations presently inhabiting vulnerable coastal communities, but to date no studies have attempted to model the destinations of these potentially displaced persons. With millions of potential future migrants in heavily populated coastal communities, SLR scholarship focusing solely on coastal communities characterizes SLR as primarily a coastal issue, obscuring the potential impacts in landlocked communities created by SLR-induced displacement. Here I address this issue by merging projected populations at risk of SLR with migration systems simulations to project future destinations of SLR migrants in the United States. I find that unmitigated SLR is expected to reshape the US population distribution, potentially stressing landlocked areas unprepared to accommodate this wave of coastal migrants - even after accounting for potential adaptation. These results provide the first glimpse of how climate change will reshape future population distributions and establish a new foundation for modelling potential migration destinations from climate stressors in an era of global environmental change. © 2017 Macmillan Publishers Limited, part of Springer Nature. All rights reserved.</t>
  </si>
  <si>
    <t>2-s2.0-85018746507"</t>
  </si>
  <si>
    <t>10.1007/s11069-016-2718-x</t>
  </si>
  <si>
    <t>https://www.scopus.com/inward/record.uri?eid=2-s2.0-85001849034&amp;doi=10.1007%2fs11069-016-2718-x&amp;partnerID=40&amp;md5=4d0f46659ecc5a8192a5b137d1cfeca8</t>
  </si>
  <si>
    <t>The coastal stretch of Saurashtra, Gujarat, is seriously threatened by storm surges. Hence, assessing the preparedness to storm surge impacts is a major task in coastal disaster management where identification of relative vulnerability of coastal stretches is a prime concern. The aim of this study is to assess coastal vulnerability related to storm surge events along the coastal talukas of Saurashtra coast, by analyzing physical features and demographic variables using Geographical Information System (GIS) techniques. Vulnerability of a taluka is defined in terms of its exposure, sensitivity, and adaptive capacity. We calculated vulnerability of Exposure Index, Sensitivity Index, and Adaptive Capacity Index separately in ArcMap s/w, and the vulnerability map of different indices in the study region was drawn. The Total Vulnerability Index (TVI) is prepared by integrating the above index. The TVI map shows that Kalyanpur, Porbandar, and Talaja talukas are highly vulnerable in comparison with other talukas as they have large area under low-lying, high sensitivity value, and low adaptive capacity value. On the other hand, Diu and Maliya are lower vulnerable due to the presence of rocky/cliffy coast, sand dune, small coastal length and located in elevated region although there exists high population density and built-up area. Our research finding will assist coastal disaster managers and decision makers to plan appropriate measures to minimize the losses due to storm surge impacts. © 2016, Springer Science+Business Media Dordrecht.</t>
  </si>
  <si>
    <t>2-s2.0-85001849034"</t>
  </si>
  <si>
    <t>10.1002/2016EF000494</t>
  </si>
  <si>
    <t>https://www.scopus.com/inward/record.uri?eid=2-s2.0-85013421921&amp;doi=10.1002%2f2016EF000494&amp;partnerID=40&amp;md5=8d26aa54ff16d8b0f109b799a9e3843a</t>
  </si>
  <si>
    <t>The cumulative cost of frequent events (e.g., nuisance floods) over time may exceed the costs of the extreme but infrequent events for which societies typically prepare. Here we analyze the likelihood of exceedances above mean higher high water and the corresponding property value exposure for minor, major, and extreme coastal floods. Our results suggest that, in response to sea level rise, nuisance flooding (NF) could generate property value exposure comparable to, or larger than, extreme events. Determining whether (and when) low cost, nuisance incidents aggregate into high cost impacts and deciding when to invest in preventive measures are among the most difficult decisions for policymakers. It would be unfortunate if efforts to protect societies from extreme events (e.g., 0.01 annual probability) left them exposed to a cumulative hazard with enormous costs. We propose a Cumulative Hazard Index (CHI) as a tool for framing the future cumulative impact of low cost incidents relative to infrequent extreme events. CHI suggests that in New York, NY, Washington, DC, Miami, FL, San Francisco, CA, and Seattle, WA, a careful consideration of socioeconomic impacts of NF for prioritization is crucial for sustainable coastal flood risk management. © 2017 The Authors.</t>
  </si>
  <si>
    <t>2-s2.0-85013421921"</t>
  </si>
  <si>
    <t>10.1002/2017GL072845</t>
  </si>
  <si>
    <t>https://www.scopus.com/inward/record.uri?eid=2-s2.0-85019742236&amp;doi=10.1002%2f2017GL072845&amp;partnerID=40&amp;md5=a9ad30b83ef3b7638a7549f1cb939aad</t>
  </si>
  <si>
    <t>The tide-gauge record from the North American East Coast reveals significant accelerations in sea level starting in the late twentieth century. The estimated post-1990 accelerations range from near zero to ∼0.3 mm yr−2. We find that the observed sea level acceleration is well modeled using several processes: mass change in Greenland and Antarctica as measured by the Gravity Recovery and Climate Experiment satellites; ocean dynamic and steric variability provided by the GECCO2 ocean synthesis; and the inverted barometer effect. However, to achieve this fit requires estimation of an admittance for the dynamical and steric contribution, possibly due to the coarse resolution of this analysis or to simplifications associated with parameterization of bottom friction in the shallow coastal areas. The acceleration from ice loss alone is equivalent to a regional sea level rise in one century of 0.2 m in the north and 0.75 m in the south of this region.</t>
  </si>
  <si>
    <t>10.1016/j.geomorph.2016.12.031</t>
  </si>
  <si>
    <t>https://www.scopus.com/inward/record.uri?eid=2-s2.0-85008410784&amp;doi=10.1016%2fj.geomorph.2016.12.031&amp;partnerID=40&amp;md5=ce41328c84e8d98f402f6c5ba82158b8</t>
  </si>
  <si>
    <t>Human interventions have a large impact on estuarine morphology. The intertidal flats in the Eastern Scheldt and Western Scheldt estuaries (The Netherlands) have faced substantial morphological changes over the past decades. These changes are thought to be caused by human interventions, such as the construction of the storm surge barrier in the mouth of the Eastern Scheldt, and the deepening of the navigation channels of the Western Scheldt. This paper analyses several datasets and numerical simulations of hydrodynamics, providing an overview of the various morphological characteristics of the intertidal flats in the two estuaries over time and space. Apart from the volume, area and average height of these areas, also the integral steepness of each flat is quantified based on its full geometry. The analyses focus on the intertidal flats surrounded by water, which allows for a robust comparison between the different flats. The intertidal flats in the Western Scheldt appear to be substantially steeper compared to those in the Eastern Scheldt. The data indicates that a larger average height of a flat is related to a larger steepness. Despite variations in the evolution of the different flats, distinct characteristics of both estuaries are observed. An opposed trend is identified over time: the flats in the Western Scheldt have mainly increased in height, whereas the flats in the Eastern Scheldt have lowered after the completion of the storm surge barrier. This opposing development is associated with differences in tidal flow velocities in the estuaries, which are the result of human interventions. © 2016</t>
  </si>
  <si>
    <t>2-s2.0-85008410784"</t>
  </si>
  <si>
    <t>10.1016/j.apm.2016.10.034</t>
  </si>
  <si>
    <t>https://www.scopus.com/inward/record.uri?eid=2-s2.0-85007003573&amp;doi=10.1016%2fj.apm.2016.10.034&amp;partnerID=40&amp;md5=19501f8d31554c3e147bfd92fef6d251</t>
  </si>
  <si>
    <t>In this paper we propose a Two scale Cellular Automaton for Flow DYnamics Modeling (2CAFDYM) in a lowland region. Cells are terrain meshes with a predefined size, arranged in a bi-dimensional hexagonal lattice. The state of the cell consists of two scales: groundwater and surface water, in order to combine flows over saturated soil (Dunne flow) and flows exceeding the infiltration capacity (Hortonian flow). This allows for survey flood events and water resources. Each cell has intrinsic terrain attributes: altitude, soil type and land use. The obtained slopes are considered towards all the neighboring cells such that water flows simultaneously in multiple directions during the same time step. This helps us characterize laminar and turbulent flows. The model is subjected to climatic constraints: rainfall and temperature. The flow dynamics are regulated by mass conservation laws on hydraulic balance sheets (received, evaporated, infiltrated and drained water). Using Java Object Oriented Programming we have designed decision-aided software for the real-time monitoring of flow processes in 2D or 3D scenes through 2CAFDYM. We give some simulations for a basin in northern Morocco covering 34.3 km2, including some areas that are potentially vulnerable to flooding. Digital terrain models, geological maps and satellite images are used to extract input data. © 2016 Elsevier Inc.</t>
  </si>
  <si>
    <t>2-s2.0-85007003573"</t>
  </si>
  <si>
    <t>10.1016/j.gloplacha.2016.06.012</t>
  </si>
  <si>
    <t>https://www.scopus.com/inward/record.uri?eid=2-s2.0-84978922965&amp;doi=10.1016%2fj.gloplacha.2016.06.012&amp;partnerID=40&amp;md5=fad84d7185f05f2fe6f89c1e6a13b6e2</t>
  </si>
  <si>
    <t>The maximum level that water reaches during a storm along the coast has important consequences on coastal defences and coastal erosion. It depends on future sea level, storm surges, ocean wind generated waves, vertical land motion. The future sea level in turn depends on water mass addition and steric contributions (with a thermosteric and halosteric component). This study proposes a practical methodology for assessing the effects of these different factors (which need to be estimated at sub-regional scale) and applies it to a 7-member model ensemble of regional climate model simulations (developed and carried out in the CIRCE fp6 project) covering the period 1951–2050 under the A1B emission scenario. Sea level pressure and wind fields are used for forcing a hydro-dynamical shallow water model (HYPSE), wind fields are used for forcing a wave model (WAM), obtaining estimates of storm surges and ocean waves, respectively. Thermosteric and halosteric effects are diagnosed from the projections of sea temperature and salinity. Steric expansion and storminess are shown to be contrasting factors: in the next decades wave and storm surge maxima will decrease while thermosteric expansion will increase mean sea level. These two effects will to a large extent compensate each other, so that their superposition will increase/decrease the maximum water level along two comparable fractions of the coastline (about 15–20%) by the mid 21st century. However, mass addition across the Gibraltar Strait to the Mediterranean Sea will likely become the dominant factor and determine an increase of the maximum water level along most of the coastline. © 2016 Elsevier B.V.</t>
  </si>
  <si>
    <t>2-s2.0-84978922965"</t>
  </si>
  <si>
    <t>10.1016/j.jag.2017.01.005</t>
  </si>
  <si>
    <t>https://www.scopus.com/inward/record.uri?eid=2-s2.0-85055967088&amp;doi=10.1016%2fj.jag.2017.01.005&amp;partnerID=40&amp;md5=099e708db5bd91e785bc4f1caebed6d8</t>
  </si>
  <si>
    <t>Characterising inundation conditions for flood-pulsed wetlands is a critical first step towards assessment of flood risk as well as towards understanding hydrological dynamics that underlay their ecology and functioning. In this paper, we develop a series of inundation maps for the Okavango Delta, Botswana, based on the thresholding of the SWIR band (b7) MODIS MCD43A4 product. We show that in the Okavango Delta, SWIR is superior to other spectral bands or derived indices, and illustrate an innovative way of defining the spectral threshold used to separate inundated from dry land. The threshold is determined dynamically for each scene based on reflectances of training areas capturing end-members of the inundation spectrum. The method provides a very good accuracy and is suitable for automated processing. © 2017 Elsevier B.V.</t>
  </si>
  <si>
    <t>2-s2.0-85055967088"</t>
  </si>
  <si>
    <t>Mountain Research and Development</t>
  </si>
  <si>
    <t>10.1659/MRD-JOURNAL-D-16-00043.1</t>
  </si>
  <si>
    <t>https://www.scopus.com/inward/record.uri?eid=2-s2.0-85014122147&amp;doi=10.1659%2fMRD-JOURNAL-D-16-00043.1&amp;partnerID=40&amp;md5=585cf47f5fb20a765719f1d5cc5bd7bc</t>
  </si>
  <si>
    <t>The 2015 magnitude 7.8 Gorkha earthquake and its aftershocks weakened mountain slopes in Nepal. Co- and postseismic landsliding and the formation of landslide-dammed lakes along steeply dissected valleys were widespread, among them a landslide that dammed the Kali Gandaki River. Overtopping of the landslide dam resulted in a flash flood downstream, though casualties were prevented because of timely evacuation of low-lying areas. We hindcast the flood using the BREACH physically based dam-break model for upstream hydrograph generation, and compared the resulting maximum flow rate with those resulting from various empirical formulas and a simplified hydrograph based on published observations. Subsequent modeling of downstream flood propagation was compromised by a coarse-resolution digital elevation model with several artifacts. Thus, we used a digital-elevation-model preprocessing technique that combined carving and smoothing to derive topographic data. We then applied the 1-dimensional HEC-RAS model for downstream flood routing, and compared it to the 2-dimensional Delft-FLOW model. Simulations were validated using rectified frames of a video recorded by a resident during the flood in the village of Beni, allowing estimation of maximum flow depth and speed. Results show that hydrological smoothing is necessary when using coarse topographic data (such as SRTM or ASTER), as using raw topography underestimates flow depth and speed and overestimates flood wave arrival lag time. Results also show that the 2-dimensional model produces more accurate results than the 1-dimensional model but the 1-dimensional model generates a more conservative result and can be run in a much shorter time. Therefore, a 2-dimensional model is recommended for hazard assessment and planning, whereas a 1-dimensional model would facilitate real-time warning declaration. © 2017 Bricker et al. This open access article is licensed under a Creative Commons Attribution 4.0 International License (.</t>
  </si>
  <si>
    <t>2-s2.0-85014122147"</t>
  </si>
  <si>
    <t>10.1002/hyp.11068</t>
  </si>
  <si>
    <t>https://www.scopus.com/inward/record.uri?eid=2-s2.0-85006746612&amp;doi=10.1002%2fhyp.11068&amp;partnerID=40&amp;md5=a33d9c48a2b149f379d78f361f0ba664</t>
  </si>
  <si>
    <t>In coastal zones globally, salinization is rapidly taking place due to the combined effects of sea level rise, land subsidence, altered hydrology, and climate change. Although increased salinity levels are known to have a great impact on both biogeochemical and hydrological processes in aquatic sediments, only few studies have included both types of processes and their potential interactions. In the present paper, we used a controlled 3-year experimental mesocosm approach to test salinity induced interactions and discuss mechanisms explaining the observed hydrological changes. Surface water salinity was experimentally increased from 14 to 140 mmol Cl per L (0.9 and 9 PSU) by adding sea salt which increased pore water salinity but also increased sulfate reduction rates, leading to higher sulfide, and lower methane concentrations. By analyzing slug test data with different slug test analysis methods, we were able to show that hydraulic conductivity of the hyporheic zone increased 2.8 times by salinization. Based on our hydrological and biogeochemical measurements, we conclude that the combination of pore dilation and decreased methane production rates were major controls on the observed increase in hydraulic conductivity. The slug test analysis method comparison allowed to conclude that the adjusted Bouwer and Rice method results in the most reliable estimate of the hydraulic conductivity for hyporheic zones. Our work shows that both physical and biogeochemical processes are vital to explain and predict hydrological changes related to the salinization of hyporheic zones in coastal wetlands and provides a robust methodological approach for doing so. Copyright © 2016 John Wiley &amp; Sons, Ltd.</t>
  </si>
  <si>
    <t>2-s2.0-85006746612"</t>
  </si>
  <si>
    <t>10.1007/s11069-016-2525-4</t>
  </si>
  <si>
    <t>https://www.scopus.com/inward/record.uri?eid=2-s2.0-84982299324&amp;doi=10.1007%2fs11069-016-2525-4&amp;partnerID=40&amp;md5=ac9e34b457c98d52a9ae26cbaa4d0e79</t>
  </si>
  <si>
    <t>Large boulder accumulations have been observed on various coasts bordering the Mediterranean and have been associated with extreme wave events such as powerful storms or tsunamis. This study provides an in-depth analysis of 430 boulder deposits, located along a 3.5 km stretch of rocky coast situated on the SE of the Maltese Islands. It includes a geomorphometric analysis of the observed boulders and use of numerical modelling to estimate wave height required to initiate boulder movement. Comparisons of aerial imagery over a period of 46 years have made it possible to identify boulder movement that could only be attributed to storm waves, given that no local tsunamigenic event has been recorded over this time period. Positioned in the central Mediterranean, the Maltese Islands are exposed to potential tsunamis generated by seismic activity associated with the Malta Escarpment, and the Calabrian and Hellenic arcs. Although imprints from historic tsunami impact cannot be excluded, results indicate that the area is exposed to strong storm waves that are capable of displacing some of the very large boulders observed on site. © 2016, Springer Science+Business Media Dordrecht.</t>
  </si>
  <si>
    <t>2-s2.0-84982299324"</t>
  </si>
  <si>
    <t>Journal of Housing Economics</t>
  </si>
  <si>
    <t>10.1016/j.jhe.2017.01.004</t>
  </si>
  <si>
    <t>https://www.scopus.com/inward/record.uri?eid=2-s2.0-85014057219&amp;doi=10.1016%2fj.jhe.2017.01.004&amp;partnerID=40&amp;md5=a8c96eeb135fa7ca130b7ac2dd89a3ab</t>
  </si>
  <si>
    <t>The durability of the real estate capital stock could hinder climate change adaptation because past construction anchors the population in beautiful and productive but increasingly-risky coastal areas. However, coastal developers anticipate that their assets face increasing risk and this creates an incentive to seek adaptation strategies. This paper models climate change as a joint process of (1) increasingly destructive storms and (2) a risk of sea-level rise that submerges coastal property. We study how forward-looking developers and real estate investors respond to the new risks along a number of dimensions including their choices of location, capital durability, capital mobility (modular real estate), and maintenance of existing properties. The net effect of such investments is a more resilient urban population. © 2017 Elsevier Inc.</t>
  </si>
  <si>
    <t>2-s2.0-85014057219"</t>
  </si>
  <si>
    <t>10.2112/JCOASTRES-D-15-00248.1</t>
  </si>
  <si>
    <t>https://www.scopus.com/inward/record.uri?eid=2-s2.0-85019189138&amp;doi=10.2112%2fJCOASTRES-D-15-00248.1&amp;partnerID=40&amp;md5=f6fd2301445ab0d2ec11471146bbe6af</t>
  </si>
  <si>
    <t>In the present paper, the interaction of surge, wave, and tide along the coast of central Vietnam is assessed using a coupled model of surge, wave, and tide. A series of storm surge simulations for Typhoons Xangsane (2006), Ketsana (2009), and Nary (2013) are carried out, considering the effects of tides and waves that combines wave-dependent drag and wave-induced radiation stress to find a predominant factor in storm surge generation. The results indicate that the surge-wave interaction is crucial to the storm surge simulation in this area. In particular, the wave-dependent drag improves an accuracy of the storm surge level up to 30%. In addition, the radiation stress contributes up to 15%. However, the tide-surge interaction is negligible because there is less than 2% difference in results with and without the tide. A series of coupled surge and wave simulations for 49 historical typhoons in the period of 1951 to 2014 show that mean peak surge levels along the coast are 2.5 m. The highest peak surge level reached 4.1 m at Cuaviet in the Quangtri Province during Typhoon Harriet (1971). © 2017 Coastal Education and Research Foundation, Inc.</t>
  </si>
  <si>
    <t>2-s2.0-85019189138"</t>
  </si>
  <si>
    <t>10.1007/s10230-016-0396-2</t>
  </si>
  <si>
    <t>https://www.scopus.com/inward/record.uri?eid=2-s2.0-84962282215&amp;doi=10.1007%2fs10230-016-0396-2&amp;partnerID=40&amp;md5=550d69faecb542c81453bee37bc77c49</t>
  </si>
  <si>
    <t>Formation of a zone of interconnected fractures during coal mining is a key factor in mine flooding. Coal mines in western China are characterized by thick coal seams with mechanically weak overburden. In situ studies including drill core analysis, drilling fluid loss measurement, and borehole video monitoring were used at the working face 101 in Shaanxi Jinjitan coal mine to explore the maximum height of the interconnected fractures zone (IFZ). Also, tests on a scaled physical model and numerical simulation based on the drilling data were used to study the formation of the fractured zone. By considering data from other mines with similar mining conditions, a logarithmic relationship was found between the maximum height of the IFZ and the thickness of coal excavation. The maximum height of the IFZ was found to be 27 times the thickness of the excavated coal seam, which is far more than in coal mining areas in eastern China. Also, the IFZ in overlying strata of the study area was arch-shaped, not saddle-shaped, as had been observed in previous studies. © 2016, Springer-Verlag Berlin Heidelberg.</t>
  </si>
  <si>
    <t>2-s2.0-84962282215"</t>
  </si>
  <si>
    <t>10.5194/essd-9-115-2017</t>
  </si>
  <si>
    <t>https://www.scopus.com/inward/record.uri?eid=2-s2.0-85012980556&amp;doi=10.5194%2fessd-9-115-2017&amp;partnerID=40&amp;md5=c7c25e29c00eab3db463706b17b62921</t>
  </si>
  <si>
    <t>The glaciers on the Antarctic Peninsula (AP) potentially make a large contribution to sea level rise. However, this contribution has been difficult to estimate since no complete glacier inventory (outlines, attributes, separation from the ice sheet) is available. This work fills the gap and presents a new glacier inventory of the AP north of 70°S, based on digitally combining preexisting data sets with geographic information system (GIS) techniques. Rock outcrops have been removed from the glacier basin outlines of Cook et al. (2014) by intersection with the latest layer of the Antarctic Digital Database (Burton-Johnson et al., 2016). Glacier-specific topographic parameters (e.g., mean elevation, slope and aspect) as well as hypsometry have been calculated from the DEM of Cook et al. (2012). We also assigned connectivity levels to all glaciers following the concept by Rastner et al. (2012). Moreover, the bedrock data set of Huss and Farinotti (2014) enabled us to add ice thickness and volume for each glacier. The new inventory is available from the Global Land Ice Measurements from Space (GLIMS) database (doi:10.7265/N5V98602) and consists of 1589 glaciers covering an area of 95 273 km2, slightly more than the 89 720 km2 covered by glaciers surrounding the Greenland Ice Sheet. Hence, compared to the preexisting data set of Cook et al. (2014), this data set covers a smaller area and one glacier less due to the intersection with the rock outcrop data set. The total estimated ice volume is 34 590 km3, of which one-third is below sea level. The hypsometric curve has a bimodal shape due to the unique topography of the AP, which consists mainly of ice caps with outlet glaciers. Most of the glacierized area is located at 200-500 m a.s.l., with a secondary maximum at 1500-1900 m. Approximately 63% of the area is drained by marine-terminating glaciers, and ice-shelf tributary glaciers cover 35% of the area. This combination indicates a high sensitivity of the glaciers to climate change for several reasons: (1) only slightly rising equilibrium-line altitudes would expose huge additional areas to ablation, (2) rising ocean temperatures increase melting of marine terminating glaciers, and (3) ice shelves have a buttressing effect on their feeding glaciers and their collapse would alter glacier dynamics and strongly enhance ice loss (Rott et al., 2011). The new inventory should facilitate modeling of the related effects using approaches tailored to glaciers for a more accurate determination of their future evolution and contribution to sea level rise. © 2017 Author(s).</t>
  </si>
  <si>
    <t>2-s2.0-85012980556"</t>
  </si>
  <si>
    <t>10.1007/s11852-016-0492-2</t>
  </si>
  <si>
    <t>https://www.scopus.com/inward/record.uri?eid=2-s2.0-85011923825&amp;doi=10.1007%2fs11852-016-0492-2&amp;partnerID=40&amp;md5=06a147a8e963b1f309083743831c5e28</t>
  </si>
  <si>
    <t>Accurate digital elevation models of saltmarshes are crucial for both conservation and management goals. Light detection and ranging (LiDAR) is increasingly used for topographic surveys due to the ability to acquire high resolution data over spatially-extensive areas. This capability is ideally suited to saltmarsh environments, which are often vast, inaccessible systems where topographic variations can be very subtle. Derivation of surface (DSMs) (ground elevation plus vegetation) versus terrain (bare ground elevation) models (DTMs) relies on the ability of the LiDAR sensor to accurately record multiple returns. In saltmarshes however, the dense stands of low (&lt; 1 m) vegetation commonly found precludes the acquisition of more than one return, and the resulting DTM is not different to the DSM. Establishing the offset between ground and vegetation surface in order to correct the LiDAR-derived DTM can be challenging due to the spatial variability in saltmarsh habitats. Here we show the development and application of a habitat-specific correction factor (HSCF) for the Odiel Saltmarshes using a combination of habitat object-based classification (82% overall accuracy) and ground control surveys that reduces the DTM error to within that associated with the LiDAR sensor (average error 0.1 m). We also show that the true accuracy of supplied (unmodified) DTMs can be &gt;0.5 m in saltmarshes dominated by dense vegetation such as Spartina densiflora. In particular, global projections of sea-level rise across the next 80 years (0.18–0.59 m) significantly overlaps this accuracy margin, implying that assessments and modelling of sea-level impacts in saltmarsh systems will likely be erroneous if based on Lidar-derived DTMs. Erroneous assumptions and conclusions can result if the real accuracy of DTMs (bare ground) on vegetated saltmarshes is not considered, and the consequences of the propagation of this misinformation through to management decisions should not be over-looked. © 2017, The Author(s).</t>
  </si>
  <si>
    <t>2-s2.0-85011923825"</t>
  </si>
  <si>
    <t>10.1016/j.ijdrr.2017.02.008</t>
  </si>
  <si>
    <t>https://www.scopus.com/inward/record.uri?eid=2-s2.0-85013053103&amp;doi=10.1016%2fj.ijdrr.2017.02.008&amp;partnerID=40&amp;md5=27768e7a1299e13ddf72a9a7b6bdf028</t>
  </si>
  <si>
    <t>Tropical cyclones and their often devastating impacts are common in many coastal areas across the world. Many techniques and dataset have been designed to gather information helping to manage natural disasters using satellite remote sensing and spatial analysis. With a multitude of techniques and potential data types, it is very challenging to select the most appropriate processing techniques and datasets for managing cyclone disasters. This review provides guidance to select the most appropriate datasets and processing techniques for tropical cyclone disaster management. It reviews commonly used remote sensing and spatial analysis approaches and their applications for impacts assessment and recovery, risk assessment and risk modelling. The study recommends the post-classification change detection approach through object-based image analysis using optical imagery up to 30 m resolution for cyclone impact assessment and recovery. Spatial multi-criteria decision making approach using analytical hierarchy process (AHP) is suggested for cyclone risk assessment. However, it is difficult to recommend how many risk assessment criteria should be processed as it depends on study context. The study suggests the geographic information system (GIS) based storm surge model to use as a basic input in the cyclone risk modelling process due to its simplicity. Digital elevation model (DEM) accuracy is a vital factor for risk assessment and modelling. The study recommends DEM spatial resolution up to 30 m, but higher spatial resolution DEMs always performs better. This review also evaluates the challenges and future efforts of the approaches and datasets. © 2017 Elsevier Ltd</t>
  </si>
  <si>
    <t>2-s2.0-85013053103"</t>
  </si>
  <si>
    <t>10.1002/2017GL072789</t>
  </si>
  <si>
    <t>https://www.scopus.com/inward/record.uri?eid=2-s2.0-85019694499&amp;doi=10.1002%2f2017GL072789&amp;partnerID=40&amp;md5=4f97cbe8aeda6dcefd402e5123d88468</t>
  </si>
  <si>
    <t>Senegal is the southern tip of the Canary upwelling system. Its coastal ocean hosts an upwelling center which shapes sea surface temperatures between latitudes 12° and 15°N. Near this latter latitude, the Cape Verde headland and a sudden change in shelf cross-shore profile are major sources of heterogeneity in the southern Senegal upwelling sector (SSUS). SSUS dynamics is investigated by means of Regional Ocean Modeling System simulations. Configuration realism and resolution (Δx≈ 2 km) are sufficient to reproduce the SSUS frontal system. Our main focus is on the 3-D upwelling circulation which turns out to be profoundly different from 2-D theory: cold water injection onto the shelf and upwelling are strongly concentrated within a few tens of kilometers south of Cape Verde and largely arise from flow divergence in the alongshore direction</t>
  </si>
  <si>
    <t>10.1016/j.earscirev.2016.12.015</t>
  </si>
  <si>
    <t>https://www.scopus.com/inward/record.uri?eid=2-s2.0-85010190556&amp;doi=10.1016%2fj.earscirev.2016.12.015&amp;partnerID=40&amp;md5=89af4469d417baddaa37a802b8b27f96</t>
  </si>
  <si>
    <t>The influence of flow velocity on structural damage induced by tsunami inundation is investigated to improve empirical fragility models considering flow velocity as explanatory hazard variable in addition to inundation depth. The analysis is based on extensive tsunami damage data for the 2011 Tohoku earthquake collected by the Ministry of Land, Infrastructure, and Transportation of the Japanese Government. Multivariate tsunami fragility curves are developed through multinomial logistic regression of un-binned data. This approach facilitates the flexible development of various nested models considering inundation depth alone or inundation depth and velocity altogether. Statistical diagnostic metrics, such as the Bayesian Information Criterion, the Akaike Information Criterion, and the residual deviance, are used to determine which model improves the predictability of tsunami damage. The significance and importance of including flow velocity in the vulnerability models are assessed quantitatively by examining the influence of different spatial resolutions in elevation model and different source models. Then, the effects of coastal topography have been investigated. Numerical results show that flow velocity generally improves the fragility models, particularly for severer structural damage states, and that it is important for sites along the coast where the inundation depth is not extremely high. Coarse digital elevation model and inaccurate source models have influence on the calculated values of flow velocity and thus they affect the accuracy of fragility modeling. Finally, two different fragility models are calibrated for plain-type and ria-type coasts by reflecting differences in hydrodynamic behavior and recorded damage on the structures. © 2017 The Authors</t>
  </si>
  <si>
    <t>2-s2.0-85010190556"</t>
  </si>
  <si>
    <t>10.1007/s11069-016-2645-x</t>
  </si>
  <si>
    <t>https://www.scopus.com/inward/record.uri?eid=2-s2.0-84994339302&amp;doi=10.1007%2fs11069-016-2645-x&amp;partnerID=40&amp;md5=5d33a783a8394ca9b443083f1728ee52</t>
  </si>
  <si>
    <t>The topographic and geo-morphological characteristics of the Salento peninsula (Puglia, south-eastern Italy) mean that movements of mass are extremely rare. These phenomena particularly affect certain coastal zones characterized by cliffs in rapid retreat and some unusual points in the hinterland in which collapses, generally linked to the development of karstic cavities, are common. These phenomena demonstrate the brittleness of some areas of the Salento, and they constitute a restraint on the use of the territory itself. The town of Mesagne is one of the sites at greatest geological risk in the north Salento peninsula. In the last few decades, the historical centre of Mesagne has been affected by a series of subsidence events, which have, in some cases, resulted in the partial collapse of buildings and road surfaces. The last event was in the January 2014. It caused subsidence phenomenon in a wide area, and many families have been forced from their homes. These events have had both social repercussions, causing alarm and emergency situations, and economic repercussions in terms of the expense of restoration. In order to determine the causes of the ground subsidence events, integrated geophysical surveys were undertaken in the historical centre of Mesagne. In addition, the analysis of several wells allowed the 3D model reconstruction related both to the geology and to the groundwater depth in the surveyed areas. With the purpose of estimating the dimensions of the phenomenon and its possible relationship with both specific environmental conditions (for instance groundwater depth variation) and anthropic conditions (for instance the losses in water supply and sanitation), some geophysical measurements were repeated in the time. The study led to the production of a detailed description of the subsidence causes that allows a quick action to restore security conditions in the area. © 2016, Springer Science+Business Media Dordrecht.</t>
  </si>
  <si>
    <t>2-s2.0-84994339302"</t>
  </si>
  <si>
    <t>10.2112/JCOASTRES-D-16-00008.1</t>
  </si>
  <si>
    <t>https://www.scopus.com/inward/record.uri?eid=2-s2.0-85019246308&amp;doi=10.2112%2fJCOASTRES-D-16-00008.1&amp;partnerID=40&amp;md5=d8703bf3f1dcf2f1eba207640a60bd1c</t>
  </si>
  <si>
    <t>A series of state and federal environmental management policies have been implemented in Louisiana's coastal region over the last several centuries that have directly affected vulnerable coastal residents. The policies have shifted primary attention from flood protection, to wetlands reclamation, to wildlife conservation, to wetlands restoration. Adoption and implementation of these policies have seldom factored in the impacts of management regimes on the coastal society. This paper reviews the changing environmental management regimes, how they have affected access to natural resources in the region, the adaptations made by resource-dependent societies in response to these management changes, the role of public engagement in planning environmental management, and the lack of provisions in the plans to accommodate the human adjustments they impel. © 2017 Coastal Education and Research Foundation, Inc.</t>
  </si>
  <si>
    <t>2-s2.0-85019246308"</t>
  </si>
  <si>
    <t>10.1016/j.jhydrol.2017.02.057</t>
  </si>
  <si>
    <t>https://www.scopus.com/inward/record.uri?eid=2-s2.0-85014518914&amp;doi=10.1016%2fj.jhydrol.2017.02.057&amp;partnerID=40&amp;md5=a23a0877b0179e0ad885918df0f175b3</t>
  </si>
  <si>
    <t>FEMA recommends that houses in coastal flood zones be elevated to at least 1 foot above the base flood elevation (BFE). However, this guideline is not specific and ignores characteristics of houses that affect their vulnerability. An economically optimal elevation level (OEL) is proposed that minimizes the combined cost of elevation and cumulative insurance premiums over the lifespan of the house. As an illustration, analysis is performed for various coastal houses in Ortley Beach, NJ. Compared with the strategy of raising houses to 1 foot above BFE, the strategy of raising houses to their OELs is much more economical for the homeowners. Elevating to the OELs also significantly reduces government spending on subsidizing low-income homeowners through, for example, a voucher program, to mitigate flood risk. These results suggest that policy makers should consider vulnerability factors in developing risk-reduction strategies. FEMA may recommend OELs to homeowners based on their flood hazards as well as house characteristics or at least providing more information and tools to homeowners to assist them in making more economical decisions. The OEL strategy can also be coupled with a voucher program to make the program more cost-effective. © 2017 Elsevier B.V.</t>
  </si>
  <si>
    <t>2-s2.0-85014518914"</t>
  </si>
  <si>
    <t>10.1002/rra.3113</t>
  </si>
  <si>
    <t>https://www.scopus.com/inward/record.uri?eid=2-s2.0-85007407848&amp;doi=10.1002%2frra.3113&amp;partnerID=40&amp;md5=4b59011785d66af0888daa23c373ea9f</t>
  </si>
  <si>
    <t>Today, it is increasingly clear that non-stationarity hydrological and hydraulic variables and processes are occurring largely because of global warming. Accordingly, extreme hydrological events are becoming more common over time, and their effects are creating greater negative impacts on the environment (fluvial geomorphology and floodplains) and society (flood damage). Given this situation, the implementation of adaptation-mitigation measures is vital, as well as an increased knowledge of the interaction between water and physical environments. In the binominal water-terrain, having a reliable digital elevation model (DEM) is essential because of its important influence on fluvial modelling. However, this is frequently a technical-economic problem. The aim of this paper is first to evaluate the compatibility between hydraulics and geometrics for fluvial applications and second to determine the quality of a novel DEM by robust estimators. This was obtained through the photogrammetric processing of digital aerial images acquired from a low-cost camera mounted on an alternative aerial platform. Flood modelling and hydraulic parameters were obtained with the assistance of photogrammetric DEM (mesh size: 0.15 m, vertical accuracy: 0.102 ± 0.081 m, point density: ≈40 point/m2). Finally, our other goal is to develop a comparative analysis between light detection and ranging and digital photogrammetry on-demand. This comparison revealed that flood modelling by photogrammetric DEM was considerably more detailed than that by light detection and ranging-DEM, mainly because of higher point density and vertical accuracy. Consequently, flood analysis assisted by this novel geometric modelling approach qualifies as a reliable and competitive approach. Copyright © 2016 John Wiley &amp; Sons, Ltd. Copyright © 2016 John Wiley &amp; Sons, Ltd.</t>
  </si>
  <si>
    <t>2-s2.0-85007407848"</t>
  </si>
  <si>
    <t>10.1038/ngeo2934</t>
  </si>
  <si>
    <t>https://www.scopus.com/inward/record.uri?eid=2-s2.0-85018791493&amp;doi=10.1038%2fngeo2934&amp;partnerID=40&amp;md5=7f10425e4b365db9b0597f7c4df4a87d</t>
  </si>
  <si>
    <t>Greenland's contribution to future sea-level rise remains uncertain and a wide range of upper and lower bounds has been proposed. These predictions depend strongly on how mass loss - which is focused at the termini of marine-terminating outlet glaciers - can penetrate inland to the ice-sheet interior. Previous studies have shown that, at regional scales, Greenland ice sheet mass loss is correlated with atmospheric and oceanic warming. However, mass loss within individual outlet glacier catchments exhibits unexplained heterogeneity, hindering our ability to project ice-sheet response to future environmental forcing. Using digital elevation model differencing, we spatially resolve the dynamic portion of surface elevation change from 1985 to present within 16 outlet glacier catchments in West Greenland, where significant heterogeneity in ice loss exists. We show that the up-glacier extent of thinning and, thus, mass loss, is limited by glacier geometry. We find that 94% of the total dynamic loss occurs between the terminus and the location where the down-glacier advective speed of a kinematic wave of thinning is at least three times larger than its diffusive speed. This empirical threshold enables the identification of glaciers that are not currently thinning but are most susceptible to future thinning in the coming decades. © 2017 Macmillan Publishers Limited, part of Springer Nature. All rights reserved.</t>
  </si>
  <si>
    <t>2-s2.0-85018791493"</t>
  </si>
  <si>
    <t>10.2112/SI77-015.1</t>
  </si>
  <si>
    <t>https://www.scopus.com/inward/record.uri?eid=2-s2.0-85021416588&amp;doi=10.2112%2fSI77-015.1&amp;partnerID=40&amp;md5=72ae2e83f5540339e1d9d4444b664101</t>
  </si>
  <si>
    <t>Coastal ecosystems are naturally exposed to recurrent disturbances, which act as drivers of ecosystem dynamics, but in recent years, human impact has exerted intense pressures, resulting in altered dynamics and thus, reduced resilience. In this work the state of Veracruz, on the Gulf of Mexico, was used as a case study to assess the impact of human activities and explore how these have affected coastal resilience. A regional diagnosis was performed, considering coastal morphology, sediment characteristics, shoreline dynamics, natural, and transformed ecosystems, conservation areas, and built infrastructure. The various causes of the chronic erosion taking place in the area are: subduction, rising sea levels, a fall in the amount of available terrigenous sediments and the inadequate design of coastal protection structures, all of them have dramatically reduced the resilience of coastal ecosystems. Considering that population growth, and the increasing needs for goods and services add pressure to coasts, several actions are suggested to reinforce the resilience of the coast of Veracruz: (a) It is vital to recover the sources of terrestrial sediments, move or remove infrastructure or implement sand bypass when possible; (b) it is urgent to consider ecosystem-based coastal zone management; (c) without a proper diagnosis of the status of the coast, coastal management may result in increased environmental problems and risk. These points can be applied elsewhere, as the problems are often very similar. Coastal managers, ecologists, engineers, decision makers and society in general are jointly responsible of the future of the fragile and dynamic coasts.</t>
  </si>
  <si>
    <t>10.1186/s13750-017-0093-z</t>
  </si>
  <si>
    <t>https://www.scopus.com/inward/record.uri?eid=2-s2.0-85019712527&amp;doi=10.1186%2fs13750-017-0093-z&amp;partnerID=40&amp;md5=a6ba1df66b4d1b7837b40ff2afcf8393</t>
  </si>
  <si>
    <t>Background: Ecosystem changes from altered flows can have multiple impacts on fish, including changes to physical habitat, habitat access, food supplies, behaviour, community composition, energy expenditure, and population dynamics. There is growing evidence of the potential negative consequences of altered flow regimes on fluvial ecosystems and the fisheries they support. As such, the scientific and policy communities have acknowledged the need for maintaining or restoring natural flow variability in order to sustain ecological health of fluvial ecosystems. However, for resource managers, making decisions on the potential effects of flow alterations on fish productivity has been problematic because there are still uncertainties regarding flow-fish productivity relationships. Therefore, to ensure the maintenance of healthy and productive aquatic ecosystems and the sustainability of riverine fisheries, a better understanding of the impacts of flow alteration on fish productivity is needed. Due to the wide scope of this review, and the diversity of fish productivity outcomes used to evaluate flow alteration impacts, the set of studies will be quite heterogeneous. Therefore, prior to undertaking a comprehensive and quantitative synthesis, we propose to begin with a systematic map to provide an overview of the available evidence on the impacts of flow regime changes on fish productivity. We will also use this systematic map to identify subtopics that are sufficiently covered by existing studies to allow full systematic reviewing. Methods: This systematic map will compile evidence on the impacts of flow regime changes on fish productivity. All studies that evaluate the effects of flow regime change on direct outcomes of fish productivity, will be included in the review. We will use a broad definition of fish productivity to include any measurement related to: biomass, abundance, density, yield, diversity, growth, survival, individual performance, migration, reproduction, recruitment, or surrogate thereof. Relevant causes of a change in/modification to flow regime can include: (1) anthropogenic causes: dams, reservoirs (impoundments), hydroelectric facilities, locks, levees, water withdrawal (abstraction), water diversion, land-use changes, and road culverts</t>
  </si>
  <si>
    <t>10.1080/10106049.2016.1155655</t>
  </si>
  <si>
    <t>https://www.scopus.com/inward/record.uri?eid=2-s2.0-84962514640&amp;doi=10.1080%2f10106049.2016.1155655&amp;partnerID=40&amp;md5=a305463d42a76a2d2927c976aba380ea</t>
  </si>
  <si>
    <t>Glaciers have a high impact in the socio-economic sectors including water supply, energy production, flood and avalanches. A high precision digital elevation model (DEM) is required to monitor glaciers and to study various glacier processes. The present study deals with the qualitative and quantitative evaluation of the DEM generated from the bistatic TanDEM-X data by comparing it with GPS, Ice, Cloud, and land Elevation Satellite (ICESat) data and standard global DEMs such as Shuttle Radar Topography Mission (SRTM) and Advanced Space-borne Thermal Emission and Reflection Radiometer Global DEM (ASTER GDEM). The study area consists of highly undulating glaciated terrain in western Himalaya, India. The results reveal that TanDEM-X is slightly better than SRTM both qualitatively and quantitatively, whereas ASTER GDEM showing maximum discrepancy among the three DEMs. The Root Mean Square Error (RMSE) of the TanDEM-X DEM with respect to GPS is 3.5 m at lower relief and 11.9 m at glaciated terrain, against 6.7 and 12.5 m for SRTM and 9.3 and 19.8 m for ASTER GDEM, respectively, for the same sites. On an average, for the whole study area, the RMSE of TanDEM-X is 7.9 m, SRTM is 9.3 m and ASTER GDM is 14.2 m. The RMSE of TanDEM-X, SRTM and ASTER GDEM with respect to ICESat are 16.3, 19.9 and 101.1 m, respectively. It is evident from the analysis that though SRTM is closer to TanDEM-X in terms of accuracy in the mountainous terrain, however, TanDEM-X will be more useful for studying glacier dynamics and topography. © 2016 Informa UK Limited, trading as Taylor &amp; Francis Group.</t>
  </si>
  <si>
    <t>2-s2.0-84962514640"</t>
  </si>
  <si>
    <t>10.1111/avsc.12283</t>
  </si>
  <si>
    <t>https://www.scopus.com/inward/record.uri?eid=2-s2.0-85005896230&amp;doi=10.1111%2favsc.12283&amp;partnerID=40&amp;md5=9a4bd976d3c7bb5d0a81dd9660c207d0</t>
  </si>
  <si>
    <t>Question: What are the main drivers of vegetation change within coastal dune and machair habitats and are these amenable to action to protect biodiversity at a local and national scale?. Location: Coastal areas of Scotland. Methods: A national-scale, quadrat-based re-visitation survey was used to assess where changes were occurring in terms of species richness and composition. Regression trees and linear mixed modelling were used to identify the main drivers of change between 1976 and 2010. Results: There were losses of habitat to erosion (4.7% of previously visited quadrats) and development (2.3%). Species richness changes were largely positive where sand dune and machair habitats remain part of an agricultural management system in the Inner and southern part of the Outer Hebrides. Richness losses were driven by acidic deposition and reduced grazing. Compositional changes were less related to agricultural changes, climate change and pollutant deposition than species richness changes. Conclusions: Reintroduction of grazing to coastal areas appears to be a policy that would have positive effects on biodiversity, as would continued efforts to reduce atmospheric deposition and coastal planning that allowed for realignment as sediment supply decreases and sea level rise continues. © 2016 International Association for Vegetation Science</t>
  </si>
  <si>
    <t>2-s2.0-85005896230"</t>
  </si>
  <si>
    <t>10.3390/rs9030240</t>
  </si>
  <si>
    <t>https://www.scopus.com/inward/record.uri?eid=2-s2.0-85019352405&amp;doi=10.3390%2frs9030240&amp;partnerID=40&amp;md5=e5ce521ce210231588120db09e2810c4</t>
  </si>
  <si>
    <t>This paper presents a new non-invasive technique of granulometric analysis based on the fusion of two imaging techniques, Unmanned Aerial Vehicles (UAV)-based photogrammetry and optical digital granulometry. This newly proposed technique produces seamless coverage of a study site in order to analyze the granulometric properties of alluvium and observe its spatiotemporal changes. This proposed technique is tested by observing changes along the point bar of a mid-latitude mountain stream. UAV photogrammetry acquired at a low-level flight altitude (at a height of 8 m) is used to acquire ultra-high resolution orthoimages to build high-precision digital terrain models (DTMs). These orthoimages are covered by a regular virtual grid, and the granulometric properties of the grid fields are analyzed using the digital optical granulometric tool BaseGrain. This tested framework demonstrates the applicability of the proposed method for granulometric analysis, which yields accuracy comparable to that of traditional field optical granulometry. The seamless nature of this method further enables researchers to study the spatial distribution of granulometric properties across multiple study sites, as well as to analyze multitemporal changes using repeated imaging. © 2017 by the authors.</t>
  </si>
  <si>
    <t>2-s2.0-85019352405"</t>
  </si>
  <si>
    <t>10.5194/adgeo-44-23-2017</t>
  </si>
  <si>
    <t>https://www.scopus.com/inward/record.uri?eid=2-s2.0-85018166909&amp;doi=10.5194%2fadgeo-44-23-2017&amp;partnerID=40&amp;md5=34e7febee60c1d78a9db0fd2650db80b</t>
  </si>
  <si>
    <t>Probabilistic flood inundation mapping is performed and analysed at the ungauged Xerias stream reach, Volos, Greece. The study evaluates the uncertainty introduced by the roughness coefficient values on hydraulic models in flood inundation modelling and mapping. The well-established one-dimensional (1-D) hydraulic model, HEC-RAS is selected and linked to Monte-Carlo simulations of hydraulic roughness. Terrestrial Laser Scanner data have been used to produce a high quality DEM for input data uncertainty minimisation and to improve determination accuracy on stream channel topography required by the hydraulic model. Initial Manning's n roughness coefficient values are based on pebble count field surveys and empirical formulas. Various theoretical probability distributions are fitted and evaluated on their accuracy to represent the estimated roughness values. Finally, Latin Hypercube Sampling has been used for generation of different sets of Manning roughness values and flood inundation probability maps have been created with the use of Monte Carlo simulations. Historical flood extent data, from an extreme historical flash flood event, are used for validation of the method. The calibration process is based on a binary wet-dry reasoning with the use of Median Absolute Percentage Error evaluation metric. The results show that the proposed procedure supports probabilistic flood hazard mapping at ungauged rivers and provides water resources managers with valuable information for planning and implementing flood risk mitigation strategies. © 2017 Author(s). CC Attribution 3.0 License.</t>
  </si>
  <si>
    <t>2-s2.0-85018166909"</t>
  </si>
  <si>
    <t>10.1080/02626667.2016.1255746</t>
  </si>
  <si>
    <t>https://www.scopus.com/inward/record.uri?eid=2-s2.0-85002487110&amp;doi=10.1080%2f02626667.2016.1255746&amp;partnerID=40&amp;md5=356930cd8d955ca592b07d5d6baa6690</t>
  </si>
  <si>
    <t>The development of high spatial resolution digital elevation models takes place via the use of GeoEye-1 stereo-pair imagery, providing highly accurate geometrical representations of complex riverine systems. The combination of geographic information systems with hydraulic models facilitates the exploitation of satellite topographic information throughout the cross-section extraction process. One-dimensional HEC-RAS and combined 1D/2D HEC-RAS models are adjusted by making use of the resulting high-resolution input. Several hydraulic simulations are effectuated in order to test how significantly DEM resolution affects hydraulic modelling results, with regard also to the model dimensionality. The ability of the combined 1D/2D model, based mainly on the high-accuracy input data, provides an accurate estimate of the flood hazard area. Flood-prone areas could take advantage of high-accuracy results and facilitate the effective management of extreme events and sufficient decision making. © 2016 IAHS.</t>
  </si>
  <si>
    <t>2-s2.0-85002487110"</t>
  </si>
  <si>
    <t>10.2112/JCOASTRES-D-15-00102</t>
  </si>
  <si>
    <t>https://www.scopus.com/inward/record.uri?eid=2-s2.0-85015387000&amp;doi=10.2112%2fJCOASTRES-D-15-00102&amp;partnerID=40&amp;md5=8c81255ed7bbc5ebe42ab51f67c85c15</t>
  </si>
  <si>
    <t>Natural coastal dune systems provide protection against flooding from the ocean for many coastal communities around the world. An in-depth knowledge of their erosion mechanisms under oceanic stress can help to identify potential weak spots along the coastline and eventually prevent damage to the hinterland. The objective of this study was to assess the effects of hydro-morphodynamic phenomena on the coastal dune morphology during storm events and to evaluate their level of protection. This paper focuses on the physical processes that cause erosion and breaching of sandy dune systems, which are typically a function of the coastal morphology in combination with the hydraulic loading. An XBeach model was set up for the coast of Les Boucholeurs (France), which suffered from severe erosion, dune breaching (at six locations), and inundation of the hinterland during storm Xynthia in February 2010. The model was run for the full storm period, and it accurately reproduced the reported dune breach locations and dimensions with limited calibration. The model results were further utilized to study the temporal and spatial breaching dynamics and to understand the effect of the prestorm morphology on dune breach development. The results show that the dune behavior during the storm was strongly related to the submersion height of the dune crest and anticorrelated with its prestorm geometry (i.e. dune height and width). The governing parameters for the poststorm dune state are, in terms of alongshore-averaged erosion and in order of relative contribution: Submersion height over the dune crest, prestorm dune width, and prestorm dune crest height. Finally, additional simulations showed the limited effects of infragravity waves and the initial bathymetry used in the simulations. © Coastal Education and Research Foundation, Inc. 2017.</t>
  </si>
  <si>
    <t>2-s2.0-85015387000"</t>
  </si>
  <si>
    <t>10.1002/2017JB014063</t>
  </si>
  <si>
    <t>https://www.scopus.com/inward/record.uri?eid=2-s2.0-85018964512&amp;doi=10.1002%2f2017JB014063&amp;partnerID=40&amp;md5=74251f761908680a8c51b7c091661bda</t>
  </si>
  <si>
    <t>Historical records of an earthquake that occurred in 1730 affecting Metropolitan Chile provide essential clues on the source characteristics for the future earthquakes in the region. The earthquake and tsunami of 1730 have been recognized as the largest to occur in Metropolitan Chile since the beginning of written history. The earthquake destroyed buildings along &gt;1000 km of the coast and produced a large tsunami that caused damage as far as Japan. Here its source characteristics are inferred by comparing local tsunami inundations computed from hypothetical earthquakes with varying magnitude and depth, with those inferred from historical observations. It is found that a 600–800 km long rupture involving average slip amounts of 10–14 m (Mw 9.1–9.3) best explains the observed tsunami heights and inundations. This large earthquake magnitude is supported by the 1730 tsunami heights inferred in Japan. The inundation results combined with local uplift reports suggest a southward increase of the slip depth along the rupture zone of the 1730 earthquake. While shallow slip on the area to the north of the 2010 earthquake rupture zone is required to explain the reported inundation, only deeper slip at this area can explain the coastal uplift reports. Since the later earthquakes of the region involved little or no slip at shallow depths, the near-future earthquakes on Metropolitan Chile could release the shallow slip accumulated since 1730 and thus lead to strong tsunami excitation. Moderate shaking from a shallow earthquake could delay tsunami evacuation for the most populated coastal region of Chile. ©2017. American Geophysical Union. All Rights Reserved.</t>
  </si>
  <si>
    <t>2-s2.0-85018964512"</t>
  </si>
  <si>
    <t>10.5194/gmd-10-1233-2017</t>
  </si>
  <si>
    <t>https://www.scopus.com/inward/record.uri?eid=2-s2.0-85016242706&amp;doi=10.5194%2fgmd-10-1233-2017&amp;partnerID=40&amp;md5=83d792446063b0faf1950d08b258831a</t>
  </si>
  <si>
    <t>In the Amazon Basin, floodplain inundation is a key component of surface water dynamics and plays an important role in water, energy and carbon cycles. The Model for Scale Adaptive River Transport (MOSART) was extended with a macroscale inundation scheme for representing floodplain inundation. The extended model, named MOSART-Inundation, was used to simulate surface hydrology of the entire Amazon Basin. Previous hydrologic modeling studies in the Amazon Basin identified and addressed a few challenges in simulating surface hydrology of this basin, including uncertainties of floodplain topography and channel geometry, and the representation of river flow in reaches with mild slopes. This study further addressed four aspects of these challenges. First, the spatial variability of vegetation-caused biases embedded in the HydroSHEDS digital elevation model (DEM) data was explicitly addressed. A vegetation height map of about 1 km resolution and a land cover dataset of about 90 m resolution were used in a DEM correction procedure that resulted in an average elevation reduction of 13.2m for the entire basin and led to evident changes in the floodplain topography. Second, basin-wide empirical formulae for channel cross-sectional dimensions were refined for various subregions to improve the representation of spatial variability in channel geometry. Third, the channel Manning roughness coefficient was allowed to vary with the channel depth, as the effect of riverbed resistance on river flow generally declines with increasing river size. Lastly, backwater effects were accounted for to better represent river flow in mild-slope reaches. The model was evaluated against in situ streamflow records and remotely sensed Envisat altimetry data and Global Inundation Extent from Multi-Satellites (GIEMS) inundation data. In a sensitivity study, seven simulations were compared to evaluate the impacts of the five modeling aspects addressed in this study. The comparisons showed that representing floodplain inundation could significantly improve the simulated streamflow and river stages. Refining floodplain topography, channel geometry and Manning roughness coefficients, as well as accounting for backwater effects had notable impacts on the simulated surface water dynamics in the Amazon Basin. The understanding obtained in this study could be helpful in improving modeling of surface hydrology in basins with evident inundation, especially at regional to continental scales. © Author(s) 2017.</t>
  </si>
  <si>
    <t>2-s2.0-85016242706"</t>
  </si>
  <si>
    <t>10.1007/s11069-016-2709-y</t>
  </si>
  <si>
    <t>https://www.scopus.com/inward/record.uri?eid=2-s2.0-85006410233&amp;doi=10.1007%2fs11069-016-2709-y&amp;partnerID=40&amp;md5=2232d4c02431c54c1de411d20559c171</t>
  </si>
  <si>
    <t>Well-executed evacuations are key to minimizing loss of life from tsunamis, yet they also disrupt communities and business productivity in the process. Most coastal communities implement evacuations based on a previously delineated maximum-inundation zone that integrates zones from multiple tsunami sources. To support consistent evacuation planning that protects lives but attempts to minimize community disruptions, we explore the implications of scenario-based evacuation procedures and use the California (USA) coastline as our case study. We focus on the land in coastal communities that is in maximum-evacuation zones, but is not expected to be flooded by a tsunami generated by a Chilean earthquake scenario. Results suggest that a scenario-based evacuation could greatly reduce the number of residents and employees that would be advised to evacuate for 24–36 h (178,646 and 159,271 fewer individuals, respectively) and these reductions are concentrated primarily in three counties for this scenario. Private evacuation spending is estimated to be greater than public expenditures for operating shelters in the area of potential over-evacuations ($13 million compared to $1 million for a 1.5-day evacuation). Short-term disruption costs for businesses in the area of potential over-evacuation are approximately $122 million for a 1.5-day evacuation, with one-third of this cost associated with manufacturing, suggesting that some disruption costs may be recouped over time with increased short-term production. There are many businesses and organizations in this area that contain individuals with limited mobility or access and functional needs that may have substantial evacuation challenges. This study demonstrates and discusses the difficulties of tsunami-evacuation decision-making for relatively small to moderate events faced by emergency managers, not only in California but in coastal communities throughout the world. © 2016, Springer Science+Business Media Dordrecht (outside the USA).</t>
  </si>
  <si>
    <t>2-s2.0-85006410233"</t>
  </si>
  <si>
    <t>10.1080/15481603.2016.1269404</t>
  </si>
  <si>
    <t>https://www.scopus.com/inward/record.uri?eid=2-s2.0-85006857180&amp;doi=10.1080%2f15481603.2016.1269404&amp;partnerID=40&amp;md5=f7f9d9ce3ff6e8da231798399645e8bc</t>
  </si>
  <si>
    <t>Land subsidence due to underground resources exploitation is a well-known problem that affects many cities in the world, especially the ones located along the coastal areas where the combined effect of subsidence and sea level rise increases the flooding risk. In this study, 25 years of land subsidence affecting the Municipality of Ravenna (Italy) are monitored using Advanced Differential Interferometric Synthetic Aperture Radar (A-DInSAR) techniques. In particular, the exploitation of the new Sentinel-1A SAR data allowed us to extend the monitoring period till 2016, giving a better understanding of the temporal evolution of the phenomenon in the area. Two statistical approaches are applied to fully exploit the informative potential of the A-DInSAR results in a fast and systematic way. Thanks to the applied analyses, we described the behavior of the subsidence during the monitored period along with the relationship between the occurrence of the displacement and its main driving factors. © 2016 Informa UK Limited, trading as Taylor &amp; Francis Group.</t>
  </si>
  <si>
    <t>2-s2.0-85006857180"</t>
  </si>
  <si>
    <t>10.1007/s10113-016-1004-5</t>
  </si>
  <si>
    <t>https://www.scopus.com/inward/record.uri?eid=2-s2.0-84978153996&amp;doi=10.1007%2fs10113-016-1004-5&amp;partnerID=40&amp;md5=514c94f6343289046c1338101541727f</t>
  </si>
  <si>
    <t>As climate change impacts, particularly rising sea levels, manifest there is a high probability that some island populations will be faced with the need to relocate. This article discusses several discourses around migration options for people affected by climate change impacts in small island developing states. Options currently available to citizens of the Pacific nations of Tuvalu and the Marshall Islands are explored, including the perspective that high levels of customary land tenure in the Pacific are a barrier to permanent movement to other Pacific countries. Migration to Pacific Rim countries such as Australia, New Zealand and the USA is complicated by strict migration eligibility criteria, which often require proof of language abilities and income, and may restrict the number of accompanying dependants. The Compact of Free Association provides visa-free entry to the USA for citizens of the Marshall Islands, but the lack of financial assistance restricts eligibility to those with existing financial resources or family networks that can provide access to capital. The difficulty of directly attributing single weather/climate events to climate change hinders the formulation of a definition of climate change-related migration. This obstacle in turn hinders the establishment of effective visa categories and migration routes for what is likely to become a growing number of people in coming decades. © 2016, Springer-Verlag Berlin Heidelberg.</t>
  </si>
  <si>
    <t>2-s2.0-84978153996"</t>
  </si>
  <si>
    <t>10.1007/s10113-017-1114-8</t>
  </si>
  <si>
    <t>https://www.scopus.com/inward/record.uri?eid=2-s2.0-85012216772&amp;doi=10.1007%2fs10113-017-1114-8&amp;partnerID=40&amp;md5=aecaa04bdeae2574c3331caac7c3add1</t>
  </si>
  <si>
    <t>Small Island Developing States (SIDS) are widely recognised as being very vulnerable to the impacts of climate change. In some manner, climate change will impact on the livelihoods of most individuals in the twenty-first century. Some of the risks for small islands are risk of death, injury, ill-health or disrupted livelihoods in low-lying coastal zones due to storm surges, coastal flooding, and sea level rise. The Intergovernmental Panel on Climate Change suggests that in small islands, which have diverse physical and human attributes, community-based adaptation has been shown to generate larger benefits when delivered in conjunction with other developmental activities. One of the adaptive responses suggested is to improve the efficacy of traditional community coping strategies</t>
  </si>
  <si>
    <t>10.1117/1.JRS.11.026037</t>
  </si>
  <si>
    <t>https://www.scopus.com/inward/record.uri?eid=2-s2.0-85021697310&amp;doi=10.1117%2f1.JRS.11.026037&amp;partnerID=40&amp;md5=cf5effe3fb5d739d4051a983f30dd00c</t>
  </si>
  <si>
    <t>The external digital elevation model (DEM) error is one of the main factors that affect the accuracy of mine subsidence monitored by two-pass differential interferometric synthetic aperture radar (DInSAR), which has been widely used in monitoring mining-induced subsidence. The theoretical relationship between external DEM error and monitored deformation error is derived based on the principles of interferometric synthetic aperture radar (DInSAR) and two-pass DInSAR. Taking the Dongtan and Yangcun mine areas of Jining as test areas, the difference and accuracy of 1:50000, ASTER GDEM V2, and SRTM DEMs are compared and analyzed. Two interferometric pairs of Advanced Land Observing Satellite Phased Array L-band SAR covering the test areas are processed using two-pass DInSAR with three external DEMs to compare and analyze the effect of three external DEMs on monitored mine subsidence in high- A nd low-coherence subsidence regions. Moreover, the reliability and accuracy of the three DInSAR-monitored results are compared and verified with leveling-measured subsidence values. Results show that the effect of external DEM on mine subsidence monitored by two-pass DInSAR is not only related to radar look angle, perpendicular baseline, slant range, and external DEM error, but also to the ground resolution of DEM, the magnitude of subsidence, and the coherence of test areas. © 2017 The Authors.</t>
  </si>
  <si>
    <t>2-s2.0-85021697310"</t>
  </si>
  <si>
    <t>10.2112/SI77-013.1</t>
  </si>
  <si>
    <t>https://www.scopus.com/inward/record.uri?eid=2-s2.0-85021412275&amp;doi=10.2112%2fSI77-013.1&amp;partnerID=40&amp;md5=9b05c57f1d108abcc034a661aff3c384</t>
  </si>
  <si>
    <t xml:space="preserve">This paper contributes to the understanding of the interface between risk perception and climate change risk mitigation in coastal areas. In particular, we analyse the role of science-based knowledge and the so called “knowledge gap” in coastal stakeholders’ verbalized perceptions of coastal risk. We use a qualitative approach to analyse of a corpus of 29 interviews conducted in three coastal European settings: Santander Bay (Spain), the Gironde Estuary (France), and Cesenatico (Italy). This analysis of stakeholders’ perceptions of flood risk shows: (i) the science-based understanding of flooding as a probabilistic process is not always present and has little impact on the stated perceptions; and (ii) stakeholders and society as a whole frame risk mostly through values and norms. Given these findings, an increase in science-based knowledge within the world of coastal risk governance under climate change would contribute to safer coasts, provided that the production of science-based knowledge takes into account stakeholder values through a proactive dialogue with stakeholders. </t>
  </si>
  <si>
    <t>10.1002/hyp.11130</t>
  </si>
  <si>
    <t>https://www.scopus.com/inward/record.uri?eid=2-s2.0-85013407944&amp;doi=10.1002%2fhyp.11130&amp;partnerID=40&amp;md5=69486c65fa42f9e95bef30e3ce9ab156</t>
  </si>
  <si>
    <t>With global warming and sea level rise, many coastal systems will experience increased levels of inundation and storm flooding, especially along sandy lowland coastal areas, such as the Northern Adriatic coast (Italy). Understanding how extreme events may directly affect groundwater hydrology in shallow unconfined coastal aquifers is important to assess coastal vulnerability and quantify freshwater resources. This study investigates shallow coastal aquifer response to storm events. The transitory and permanent effects of storm waves are evaluated through the real time monitoring of groundwater and soil parameters, in order to characterize both the saturated and unsaturated portions of the coastal aquifer of Ravenna and Ferrara (southern Po Delta, Italy). Results highlight a general increase in hydraulic head and soil moisture, along with a decrease in groundwater salinity and pore water salinity due to rainfall infiltration during the 2 days storm event. The only exceptions are represented by the observation wells in proximity to the coastline (within 100 m), which recorded a temporary increase in soil and water salinity caused by the exceptional high waves, which persist on top of the dune crest during the storm event. This generates a saline plume that infiltrates through the vadose zone down to the saturated portion of the aquifer causing a temporary disappearance of the freshwater lens generally present, although limited in size, below the coastal dunes. Despite the high hydraulic conductivity, the aquifer system does not quickly recover the pre-storm equilibrium and the storm effects are evident in groundwater and soil parameters after 10 days past the storm overwash recess. Copyright © 2017 John Wiley &amp; Sons, Ltd.</t>
  </si>
  <si>
    <t>2-s2.0-85013407944"</t>
  </si>
  <si>
    <t>10.1080/01431161.2016.1277044</t>
  </si>
  <si>
    <t>https://www.scopus.com/inward/record.uri?eid=2-s2.0-85010680167&amp;doi=10.1080%2f01431161.2016.1277044&amp;partnerID=40&amp;md5=e773ba131feb4faa34c3753f9b2b11c2</t>
  </si>
  <si>
    <t>This article presents the preliminary results of the possibilities for using an unmanned aerial system (UAS) for three-dimensional (3D) data collection for levees. The UAS is equipped with an ultra-light laser scanner and digital camera that acquires data with stereoscopic coverage. Sensors have been mounted on the multi-rotor. Using such a platform allows obtaining the 3D data necessary for circular surveying works with regard to levee monitoring for the prevention of flooding. Such a platform can offer an alternative to typical direct surveying measurements performed during the monitoring of such objects. It can detect changes in the multi-temporal analysis and evaluate the condition of levees ought to continuity of surface measurement and huge density of data up to dozens points per square metre. Lidar data and images of the levees were provided for several hundred metres of test area. In presented research, several flying missions were carried out which provided data that allowed for an analysis presenting the influence of the technique for initial georeferencing, altitude over the terrain, scanning lines’ length, overlap between scanning lines on the accuracy of relative orientation and absolute accuracy of the digital terrain model (DTM) that was created. The Iterative Closest Point algorithm and measurements of the natural and signalized control points were used to georeference and validate the lidar data obtained from the UAS. As reference data, Global Navigation Satellite System in real-time kinematic measurements was used to evaluate the absolute accuracy of the DTMs generated for the test area. The images captured from the UAS were a different data source which was checked to evaluate their usefulness in the considered application. A final accuracy close to 0.1 m was obtained for the generation of the DTM. The research proved the potential of this new kind of lidar data that can be acquired using ultra-light laser scanners. © 2017 Informa UK Limited, trading as Taylor &amp; Francis Group.</t>
  </si>
  <si>
    <t>2-s2.0-85010680167"</t>
  </si>
  <si>
    <t>10.1007/s11625-016-0420-2</t>
  </si>
  <si>
    <t>https://www.scopus.com/inward/record.uri?eid=2-s2.0-85014037387&amp;doi=10.1007%2fs11625-016-0420-2&amp;partnerID=40&amp;md5=7c4254eb0dc4968da23b0951c7f4dfa0</t>
  </si>
  <si>
    <t>Coastal regions have long been settled by humans due to their abundant resources for livelihoods, including agriculture, transportation, and rich biodiversity. However, natural and anthropogenic factors, such as climate change and sea-level rise, and land subsidence, population pressure, developmental activities, pose threats to coastal sustainability. Natural hazards, such as fluvial or coastal floods, impact poorer and more vulnerable communities greater than more affluent communities. Quantitative assessments of how natural hazards affect vulnerable communities in deltaic regions are still limited, hampering the design of effective management strategies to increase household and community resilience. Drawing from Driving Forces–Pressure–State–Impact–Response (DPSIR), we quantify the associations between household poverty and the likelihood of material and human loss following a natural hazard using new survey data from 783 households within Indian Sundarban Delta community. The results suggest that the poorest households are significantly more likely to endure material and human losses following a natural hazard and repeated losses of livelihood make them more vulnerable to future risk. The results further suggest that salinization, tidal surge, erosion, and household location are also significant predictors of economic and human losses. Given the current and projected impact of climate change and importance of delta regions as the world’s food baskets, poverty reduction and increase societal resilience should be a primary pathway to strengthen the resilience of the poorest populations inhabiting deltas. © 2017, Springer Japan.</t>
  </si>
  <si>
    <t>2-s2.0-85014037387"</t>
  </si>
  <si>
    <t>10.1080/19480881.2017.1326701</t>
  </si>
  <si>
    <t>https://www.scopus.com/inward/record.uri?eid=2-s2.0-85021220441&amp;doi=10.1080%2f19480881.2017.1326701&amp;partnerID=40&amp;md5=e361bde9ee875f41aa45ad22f68f6a1e</t>
  </si>
  <si>
    <t>Disasters caused by cyclones are a cyclical event in the Bay of Bengal delta seaboard. Periodically, cyclone disasters result in damaged houses and the loss of crops and livelihoods. They affect every type of social and economic infrastructure in the delta, which is inhabited by ostracized backward caste groups–seafarers, forest goers and landless peasants. The 1970 Bhola cyclone, for example, was the most catastrophic, generating a 9.1-meter storm surge at the mouth of the Ganges where it meets the Bay killing approximately 300,000 people. Often, these disasters are declared as ‘natural’ and ‘acts of God.’ This paper tests this epistemic viewpoint. I argue that cyclone-related disasters, like other calamities, cannot be merely viewed as ‘natural’ phenomena. Instead their embeddedness in the social and political relations shaping human habitation on the coastal seaboard endangers human settlement and has made the inhabitants vulnerable since the colonial land reclamation program began in the late eighteenth and early nineteenth century in Bengal. Through examination of competing discourses around ‘natural disasters’, I demonstrate how cyclones are portrayed as natural (rather than human-induced). The naturalization of disaster benefits powerful actors like politicians, civil engineers and contactors, among others. In analyzing the disaster narrative, I go beyond the textual and rhetorical components to include the socio-political and historical bases of the production of ideas of disaster in the Bengal delta. By focusing on the political and social causes of disaster, this paper does not in any way question the ontological reality of cyclones ‘as dangerous and potentially very destructive natural hazards’</t>
  </si>
  <si>
    <t>10.1016/j.geomorph.2017.02.026</t>
  </si>
  <si>
    <t>https://www.scopus.com/inward/record.uri?eid=2-s2.0-85014586342&amp;doi=10.1016%2fj.geomorph.2017.02.026&amp;partnerID=40&amp;md5=bbd7d1250d7f609cb26615f8a11d4ac6</t>
  </si>
  <si>
    <t>Gravel mining has been a widespread activity in ephemeral rivers worldwide whose long-lasting hydrogeomorphological impacts preclude effective implementation of water and environmental policies. This paper presents a GIS-based method for temporal assessment of morphosedimentary changes in relation to in-channel gravel mining in a typical ephemeral Mediterranean stream, namely the Rambla de la Viuda (eastern Spain). The aims of this work were to identify morphosedimentary changes and responses to human activities and floods, quantify river degradations and analyze factors favoring fluvial recovery for further applications in other rivers. Aerial photographs and LiDAR topography data were studied to analyze geomorphic evolution over the past 70 years along a 7.5-km reach of an ephemeral gravel stream that has been mined intensively since the 1970s. To evaluate changes in the riverbed, we mapped comparable units applying morphological, hydraulic, and stability (based on vegetation density and elevation) criteria to 13 sets of aerial photographs taken from 1946 to 2012. A detailed spatiotemporal analysis of comparable units revealed a 50% reduction in the active section and a 20% increase in stable areas, compared to the conditions observed prior to gravel mining. Instream mining was first observed in 1976 aerial photograph covering already up to 50% of the 1956 riverbed area. River degradation since then was quantified by means of a LiDAR DTM and RTK-GPS measurements, which revealed a 3.5-m incision that had started simultaneously with gravel mining. Climate and land use changes were present but the effects were completely masked by changes produced by instream gravel mining. Therefore, river incision/degradation was triggered by scarcity of sediment and lack of longitudinal sedimentary connection, creating an unbalanced river system that is still adjusting to the present hydrosedimentary conditions. © 2017 Elsevier B.V.</t>
  </si>
  <si>
    <t>2-s2.0-85014586342"</t>
  </si>
  <si>
    <t>10.1016/j.geomorph.2016.12.017</t>
  </si>
  <si>
    <t>https://www.scopus.com/inward/record.uri?eid=2-s2.0-85008312100&amp;doi=10.1016%2fj.geomorph.2016.12.017&amp;partnerID=40&amp;md5=e953b0a1fd79489c3133a8e43554c1b8</t>
  </si>
  <si>
    <t>High resolution digital models, combined with GIS or other terrain modelling software, allow many new possibilities in geoscience. In this paper we develop, describe and test a novel method, the GLA method, to detect active tectonic uplift or subsidence along river courses. It is a modification of Hack's SL-index method in order to overcome the disadvantages of the latter. The core assumption of the GLA method is that over geological time river profiles quickly adjust to follow an exponential decrease in elevation along the river course. Any large deviation can be attributed to active tectonic movement, or to disturbances in erosion/sedimentation processes caused by an anthropogenic structure (e.g. artificial dam). During the testing phase, the locations of identified deviations were compared to the locations of faults, identified on a 1:100,000 geological map. Results show that higher magnitude deviations are found within a maximum radius of 200 m from the fault, and the majority of detected deviations within a maximum radius of 600 m from faults or thrusts. However, these results are not the best that could be obtained because the geological map that was used (and the only one available for the area) is not of the appropriate scale, and was therefore not precise enough. Comparison of deviation magnitudes against PSInSAR measurements of vertical displacements in the vicinity revealed that in spite of the very few suitable points available, a good correlation between both independent methods was obtained (R2 = 0.68 for the E research area and R2 = 0.69 for the W research area). The GLA method was applied to the three test sites where previous studies have shown active tectonic movements. It shows that deviations occur at the intersections between active faults and river courses, as well as also correctly detected active uplift, attributed to the increased sedimentation rate above an artificial hydropower dam, and an increased erosion rate below. The method gives promising results, and it is acknowledged that the GLA method needs to be tested in other locations around the world. © 2016 Elsevier B.V.</t>
  </si>
  <si>
    <t>2-s2.0-85008312100"</t>
  </si>
  <si>
    <t>10.1002/2016JC012597</t>
  </si>
  <si>
    <t>https://www.scopus.com/inward/record.uri?eid=2-s2.0-85019137044&amp;doi=10.1002%2f2016JC012597&amp;partnerID=40&amp;md5=93edc969701daa91c21919d9534f9a1a</t>
  </si>
  <si>
    <t>Coastal inundation is affected not only by rising mean sea level but also by changing tides. A numerical model is developed to investigate how sea level rise and coastline changes may impact tides in two coastal-plain estuaries, Chesapeake Bay and Delaware Bay. Despite their different tidal characteristics, the two estuaries display similar responses to the sea level rise and shoreline management scenarios. When hypothetic sea walls are erected at the present coastline to prevent low-lying land from flooding, tidal range increases, with greater amplification in the upper part of the two estuaries. When low-lying land is allowed to become permanently inundated by higher sea level, however, tidal range in both estuaries decreases. Analyses of the tidal energy budget show that the increased dissipation over the shallow water and newly inundated areas compensates for the reduced dissipation in deep water, leading to smaller tidal range. The changes in the tidal range are not proportional to the changes in the mean sea level, indicating a nonlinear tidal response to sea level rise. The ratio of tidal range change to sea level rise varies between −0.05 and 0.1 in Chesapeake Bay and between −0.2 and 0.25 in Delaware Bay. The model results suggest a potential adaptation strategy that uses inundation over low-lying areas to reduce tidal range at up-estuary locations. © 2017. American Geophysical Union. All Rights Reserved.</t>
  </si>
  <si>
    <t>2-s2.0-85019137044"</t>
  </si>
  <si>
    <t>10.2166/wp.2016.029</t>
  </si>
  <si>
    <t>https://www.scopus.com/inward/record.uri?eid=2-s2.0-85014544785&amp;doi=10.2166%2fwp.2016.029&amp;partnerID=40&amp;md5=da5a4765b4fb8d2ba0b11fe822f6b3f3</t>
  </si>
  <si>
    <t>The southwest coastal delta of Bangladesh is not only geographically home to a dynamic interplay between land and water, and between fresh surface water and saline tides, but also to contentious debates on flood management policy. It has been argued that dealing with delta floods in this region boils down to adopting either open or closed approaches. This paper longitudinally structures the open-or-closed debate based on a number of emblematic water management projects in the region. Departing from a typical open wetland history, river and polder embankments increasingly started to constrain flood dynamics. Upheaval among rural populations in response to the negative impacts of hydraulic engineering plans and works coalesced in efforts to restore open approaches, synthesized in the Tidal River Management concept. Its resemblance to historic overflow irrigation is often used politically as a yardstick to challenge the dominant hydraulic engineering paradigm. This paper argues that dealing with floods in Bangladesh requires plans, policies and projects formulated against the historic background of complex interactions among social processes, environmental dynamics and technological interventions: a lesson to be incorporated in on-going policy-making processes and long-term delta management plans. © 2017 IWA Publishing.</t>
  </si>
  <si>
    <t>2-s2.0-85014544785"</t>
  </si>
  <si>
    <t>10.5194/nhess-17-205-2017</t>
  </si>
  <si>
    <t>https://www.scopus.com/inward/record.uri?eid=2-s2.0-85013119869&amp;doi=10.5194%2fnhess-17-205-2017&amp;partnerID=40&amp;md5=82d650cdd688874632685bd98d490e8c</t>
  </si>
  <si>
    <t>Urban developments in coastal zones are often exposed to natural hazards such as flooding. In this research, a state-of-the-art, multi-scale nested flood (MSN-Flood) model is applied to simulate complex coastal-fluvial urban flooding due to combined effects of tides, surges and river discharges. Cork city on Ireland's southwest coast is a study case. The flood modelling system comprises a cascade of four dynamically linked models that resolve the hydrodynamics of Cork Harbour and/or its sub-region at four scales: 90, 30, 6 and 2m. Results demonstrate that the internalization of the nested boundary through the use of ghost cells combined with a tailored adaptive interpolation technique creates a highly dynamic moving boundary that permits flooding and drying of the nested boundary. This novel feature of MSN-Flood provides a high degree of choice regarding the location of the boundaries to the nested domain and therefore flexibility in model application. The nested MSN-Flood model through dynamic downscaling facilitates significant improvements in accuracy of model output without incurring the computational expense of high spatial resolution over the entire model domain. The urban flood model provides full characteristics of water levels and flow regimes necessary for flood hazard identification and flood risk assessment. © 2017 The Author(s).</t>
  </si>
  <si>
    <t>2-s2.0-85013119869"</t>
  </si>
  <si>
    <t>10.1016/j.ejrh.2016.08.003</t>
  </si>
  <si>
    <t>https://www.scopus.com/inward/record.uri?eid=2-s2.0-85008655894&amp;doi=10.1016%2fj.ejrh.2016.08.003&amp;partnerID=40&amp;md5=ab53501e5ed6ea50b0297bfcf2431352</t>
  </si>
  <si>
    <t>Study region Hydrogeologic controls on seasonal land/sea exchange are investigated in Malibu, California, USA. Study focus An assessment of regional groundwater/surface water exchange and associated biogeochemical transport in an intermittently open, coastal lagoon in California is developed using naturally occurring U/Th-series tracers. New hydrological insights for the region Nearshore lagoons that are seasonally disconnected from the coastal ocean occupy about 10% of coastal areas worldwide. Lagoon systems often are poorly flushed and thus sensitive to nutrient over-enrichment that can lead to eutrophication, oxygen depletion, and/or pervasive algal blooms. This sensitivity is exacerbated in lagoons that are intermittently closed to surface water exchange with the sea and occur in populous coastal areas. Such estuarine systems are disconnected from the sea during most of the year by wave-built barriers, but during the rainy season these berms can breach, enabling direct water exchange. Using naturally-occurring 222Rn as groundwater tracer, we estimate that groundwater discharge to Malibu Lagoon during open berm conditions was one order of magnitude higher (21 ± 17 cm/day) than during closed berm conditions (1.8 ± 1.4 cm/day). The SGD (submarine groundwater discharge) into nearshore coastal waters at the SurferRider and Colony Malibu was 4.2 cm/day on average. The exported total dissolved nitrogen (TDN) through the berm during closed berm was 1.6 × 10−3 mol/day, whereas during open berm (exported by the Creek) was 3.5 × 103 mol/day. Although these evaluations are specific to the collection campaigns the 2009 and 2010 hydro years, these two distinct hydrologic scenarios play an important role in the seasonality and geochemical impact of land/sea exchange, and highlight the sensitivity of such systems to future impacts such as sea level rise and increasing coastal populations. © 2017 The Authors</t>
  </si>
  <si>
    <t>2-s2.0-85008655894"</t>
  </si>
  <si>
    <t>10.1002/2016GL071020</t>
  </si>
  <si>
    <t>https://www.scopus.com/inward/record.uri?eid=2-s2.0-85013449856&amp;doi=10.1002%2f2016GL071020&amp;partnerID=40&amp;md5=bcb4f405d00bb1b44419d0716c476487</t>
  </si>
  <si>
    <t>To better understand how individual processes combine to cause flooding and erosion events, we investigate the relative contribution of tides, waves, and nontidal residuals to extreme total water levels (TWLs) at the shoreline of U.S. West Coast sandy beaches. Extreme TWLs, defined as the observed annual maximum event and the simulated 100 year return level event, peak in Washington, and are on average larger in Washington and Oregon than in California. The relative contribution of wave-induced and still water levels (SWL) to the 100 year TWL event is similar to that of the annual maximum event</t>
  </si>
  <si>
    <t>10.1002/2016EF000530</t>
  </si>
  <si>
    <t>https://www.scopus.com/inward/record.uri?eid=2-s2.0-85019881018&amp;doi=10.1002%2f2016EF000530&amp;partnerID=40&amp;md5=e7927736ac61a0764b55d014a4a48ec3</t>
  </si>
  <si>
    <t>Understanding the dynamics of salt movement in the soil is a prerequisite for devising appropriate management strategies for land productivity of coastal regions, especially low-lying delta regions, which support many millions of farmers around the world. At present, there are no numerical models able to resolve soil salinity at regional scale and at daily time steps. In this research, we develop a novel holistic approach to simulate soil salinization comprising an emulator-based soil salt and water balance calculated at daily time steps. The method is demonstrated for the agriculture areas of coastal Bangladesh (∼20,000 km2). This shows that we can reproduce the dynamics of soil salinity under multiple land uses, including rice crops, combined shrimp and rice farming, as well as non-rice crops. The model also reproduced well the observed spatial soil salinity for the year 2009. Using this approach, we have projected the soil salinity for three different climate ensembles, including relative sea-level rise for the year 2050. Projected soil salinity changes are significantly smaller than other reported projections. The results suggest that inter-season weather variability is a key driver of salinization of agriculture soils at coastal Bangladesh. © 2017 The Authors.</t>
  </si>
  <si>
    <t>2-s2.0-85019881018"</t>
  </si>
  <si>
    <t>Journal of the Korean Society of Surveying, Geodesy, Photogrammetry and Cartography</t>
  </si>
  <si>
    <t>10.7848/ksgpc.2017.35.2.113</t>
  </si>
  <si>
    <t>https://www.scopus.com/inward/record.uri?eid=2-s2.0-85028428139&amp;doi=10.7848%2fksgpc.2017.35.2.113&amp;partnerID=40&amp;md5=80096177da882a424e4021671a986ef7</t>
  </si>
  <si>
    <t>Natural disasters caused by climate change are increasing globally. There are few studies on the quantitative analysis methods for predicting damages in the island area due to sea level rise. Therefore, it is necessary to study the damage prediction analysis method using the GIS which can quantitatively analyze. In this paper, we analyze the cause and status of sea level rise, quantify the vulnerability index, establish an integrated terrestrial modeling method of the ocean and land, and establish a method of analyzing the damage area and damage scale due to sea level rise using GIS and the method of making the damage prediction figure was studied. In order to extract the other affected areas to sea level rise are apart of the terrain model is generated by one requires a terrain modeling of target areas are offshore and vertical reference system differences in land, found the need for correction by a tidal observations and geoid model there was. Grading of terrain, coastline erosion rate, coastal slope, sea level rise rate, and even average by vulnerable factors due to sea level rise indicates that quantitative damage prediction is possible due to sea level rise in the island area. In the case of vulnerable areas extracted by GIS, residential areas and living areas are concentrated on the coastal area due to the nature of the book area, and field survey shows that coastal changes and erosion are caused by sea level rise or tsunami.</t>
  </si>
  <si>
    <t>2-s2.0-85028428139"</t>
  </si>
  <si>
    <t>10.1002/rra.3078</t>
  </si>
  <si>
    <t>https://www.scopus.com/inward/record.uri?eid=2-s2.0-84982292441&amp;doi=10.1002%2frra.3078&amp;partnerID=40&amp;md5=1297298d3a414828949fac9b56e9f409</t>
  </si>
  <si>
    <t>This study utilizes a two-dimensional hydrodynamic model to calibrate and validate an inundation model for the Brisbane River estuary in Queensland, Australia. The bathymetry data used in the hydraulic model are derived from one arc second (1 s) shuttle radar topography mission digital elevation model, and the two-dimensional hydraulic model is parameterized using the generated bathymetry with four open boundaries with water level observations and roughness coefficients. The calibration performance is evaluated by comparing the simulated results with the digitized records during the January 2013 flood event (a low magnitude event) at three gauging stations. The calibrated model is validated with water level data and available discharge data during the January 2011 flood (a large magnitude event) at four gauging stations located along the Brisbane River. Different performance indices are applied to demonstrate that the developed model performs well during calibration and validation. A sensitivity analysis is presented to assess the influence of riverbed elevation changes on the model because the main uncertainty of the model is the bathymetry data. The proposed model with the shuttle radar topography mission digital elevation model-derived riverbed elevation for the Brisbane estuary is able to predict the flood inundation extent at an accuracy of 66.9% which is higher than or comparable with the accuracies of the existing studies. However, it is expected that the accuracy will increase if some improved bathymetry data become available in the future. Copyright © 2016 John Wiley &amp; Sons, Ltd. Copyright © 2016 John Wiley &amp; Sons, Ltd.</t>
  </si>
  <si>
    <t>2-s2.0-84982292441"</t>
  </si>
  <si>
    <t>10.1002/2016JC012120</t>
  </si>
  <si>
    <t>https://www.scopus.com/inward/record.uri?eid=2-s2.0-85018295361&amp;doi=10.1002%2f2016JC012120&amp;partnerID=40&amp;md5=63fb372e491f6c05b0efab5512db75e0</t>
  </si>
  <si>
    <t>Turbulent and flow structure associated with breaking tidal bores are deliberately investigated on the basis of field measurements. High-resolution velocity and hydrographic data are collected in the middle Qiantang Estuary by a vertical array of acoustic Doppler velocimeters and optical backscatter sensors, collaborated with a bottom-mounted acoustic Doppler current profiler. Besides obvious variations in diurnal and spring-neap tidal cycles, the estuarine dynamics is featured by extreme asymmetry in flood and ebb tides. The flood tide is abnormally accelerated to generate tidal bores at the first 10 min or more, with breaking or undular configurations at the front. The occurrence of peak flow velocity, turbulent kinetic energy (TKE), and TKE dissipation rate (ε) is definitely associated with breaking bores, with their values several times to 2 orders of magnitude larger than the corresponding secondary peak values during the maximum ebb flows. Flow and turbulence dynamics are significantly affected by the tidal-bore Froude number. A sandwich ε structure is clear exhibited with the maximum value at the surface, secondary maximum near the bed, and the minimum at the intermediate. Dual TKE sources are indicated by an approximate local balance between shear production and dissipation near the bottom, and a top-down TKE dissipation using the modified Froude scaling in the vertical water column. The highly elevated dissipation by breaking bores is comparable to that by intense breaking waves in the surf zone, and the former potentially penetrates the entire water column to produce extreme sediment-resuspension events in combination with intense bottom shear stress. © 2017. American Geophysical Union. All Rights Reserved.</t>
  </si>
  <si>
    <t>2-s2.0-85018295361"</t>
  </si>
  <si>
    <t>10.1007/s11069-016-2701-6</t>
  </si>
  <si>
    <t>https://www.scopus.com/inward/record.uri?eid=2-s2.0-85001755199&amp;doi=10.1007%2fs11069-016-2701-6&amp;partnerID=40&amp;md5=867072b56cadab6970b18c136370d621</t>
  </si>
  <si>
    <t>The Red River Delta (RRD) of Vietnam, one of the world’s most densely populated deltas, is already vulnerable to flooding events, and climate change forecasts project increased exposure to flood risk in coming decades due to changes in rainfall, storm intensity and frequency, and sea-level rise. However, there is a relative neglect of this region in the literature on natural hazards and climate change, particularly on how floods in the RRD might affect poor people and different livelihood sectors, how flood risk is understood and acted on, and how flood impacts experienced by households influence local adaptation choices. This article presents research undertaken in 2009–2010 to understand the impacts of flooding in a typical rural zone (Thai Binh Province) of the RRD to assess overall vulnerability, particularly the relationship between poverty, livelihoods, and flood impacts, as well as to assess the range of adaptation and flood risk reduction options currently used. Our findings indicate that while poor households do not appear to be more exposed to floods than others, their incomes are more sensitive to relative impacts from floods. Yet poverty alone did not explain flood vulnerability, as age of household and livelihood sector involvement showed stronger relationships to flood impacts. Flood risk perceptions were also uneven, but poor people did not seem to take less proactive flood risk reduction measures than others. There are few long-term adaptation actions to flooding being taken by households of any income class, and there is a need for better community and government aid after flood events to help households cope with increased flood risks in the RRD, rather than relying on improvements in hard infrastructure, as is currently the dominant approach in the region, particularly given future forecasts of increased rainfall for northern Vietnam under climate change. © 2016, Springer Science+Business Media Dordrecht.</t>
  </si>
  <si>
    <t>2-s2.0-85001755199"</t>
  </si>
  <si>
    <t>Asia Pacific Business Review</t>
  </si>
  <si>
    <t>10.1080/13602381.2017.1299449</t>
  </si>
  <si>
    <t>https://www.scopus.com/inward/record.uri?eid=2-s2.0-85016197627&amp;doi=10.1080%2f13602381.2017.1299449&amp;partnerID=40&amp;md5=1b5284c90d3da8941be18794ed45ff96</t>
  </si>
  <si>
    <t>The Mekong Delta has been identified by the International Panel on Climate Change as one of the three most vulnerable areas in the world as sea levels rise due to climate change. The Vietnam Government has implemented a range of policies to assist migration in order to address these environmental problems. While much research has focused on the environmental causes of, and responses to, climate change there has been less research on the impact of environmentally motivated responses to climate change on labour force and human capital factors. This paper examines the experience of the Vietnam Government in encouraging internal migration from vulnerable agricultural areas to urban industrial cities, to explore the human capital effects of these environmentally motivated response to climate change. The paper first presents the environmental argument for migration in response to climate change, together with examples of what the Vietnam Government has done to encourage migration from the rural (originating) areas to other rural resettlement and city (receiving) areas. It then uses data collected as part of recent study into the impact of government encouragement for internal migration to explore the labour force and human capital impacts in both the originating region and receiving areas. The findings suggest that while there are social and economic advantages there are challenges, including ensuring that job opportunities are available, migrants and appropriate skills, and that labour contracts provide for job security and healthy and safe working result in improved living conditions. To address these challenges, this paper proposes a more integrated approach that acknowledges and addresses associated human capital (skills upgrading) and business development needs and integrates these with environmentally-motivated policies. © 2017 Informa UK Limited, trading as Taylor &amp; Francis Group.</t>
  </si>
  <si>
    <t>2-s2.0-85016197627"</t>
  </si>
  <si>
    <t>10.1002/esp.4066</t>
  </si>
  <si>
    <t>https://www.scopus.com/inward/record.uri?eid=2-s2.0-85007564422&amp;doi=10.1002%2fesp.4066&amp;partnerID=40&amp;md5=825b71955a8981760a8af6aa38c1975c</t>
  </si>
  <si>
    <t>The availability of high-resolution, multi-temporal, remotely sensed topographic data is revolutionizing geomorphic analysis. Three-dimensional topographic point measurements acquired from structure-from-motion (SfM) photogrammetry have been shown to be highly accurate and cost-effective compared to laser-based alternatives in some environments. Use of consumer-grade digital cameras to generate terrain models and derivatives is becoming prevalent within the geomorphic community despite the details of these instruments being largely overlooked in current SfM literature. A practical discussion of camera system selection, configuration, and image acquisition is presented. The hypothesis that optimizing source imagery can increase digital terrain model (DTM) accuracy is tested by evaluating accuracies of four SfM datasets conducted over multiple years of a gravel bed river floodplain using independent ground check points with the purpose of comparing morphological sediment budgets computed from SfM- and LiDAR-derived DTMs. Case study results are compared to existing SfM validation studies in an attempt to deconstruct the principle components of an SfM error budget. Greater information capacity of source imagery was found to increase pixel matching quality, which produced eight times greater point density and six times greater accuracy. When propagated through volumetric change analysis, individual DTM accuracy (6–37 cm) was sufficient to detect moderate geomorphic change (order 100 000 m3) on an unvegetated fluvial surface</t>
  </si>
  <si>
    <t>10.1007/s10533-017-0319-8</t>
  </si>
  <si>
    <t>https://www.scopus.com/inward/record.uri?eid=2-s2.0-85015160373&amp;doi=10.1007%2fs10533-017-0319-8&amp;partnerID=40&amp;md5=d36754e27611cd1f2ce4b5f0e76236e0</t>
  </si>
  <si>
    <t>The global proliferation of dams is one of the most significant anthropogenic impacts on the environment, resulting in the trapping of massive loads of sediment and nutrients in impoundments. Few studies, however, have examined these impounded sediments to understand patterns of organic carbon (OC) accumulation and the effects of watershed processes on carbon delivery. This study measured total organic carbon (TOC) and stable isotopes of carbon and nitrogen (δ13C and δ15N) in Englebright Lake, CA to relate changes in OC sources and TOC accumulation to natural and anthropogenic events in the watershed and to depositional processes in the lake. Englebright Lake is a representative system for impoundments in small, mountainous rivers, and anthropogenic disturbances in the watershed caused high sediment accumulation rates in the lake. Throughout its 60-year history, 0.35 Tg OC has been trapped behind Englebright Dam and δ13C signatures indicate that more than 50% of the OC in Englebright Lake was derived from terrigenous sources. TOC content ranged from 0.03 to 30.24% of dry weight, and differed across depositional regimes</t>
  </si>
  <si>
    <t>10.3319/TAO.2016.06.30.01(CCA)</t>
  </si>
  <si>
    <t>https://www.scopus.com/inward/record.uri?eid=2-s2.0-85018810656&amp;doi=10.3319%2fTAO.2016.06.30.01%28CCA%29&amp;partnerID=40&amp;md5=f6d5ba58bd72772f518b9aeada22f184</t>
  </si>
  <si>
    <t>Coastal ecosystems are rich with biodiversity and ecological functions that provide valuable ecosystem services. They are also vulnerable to the impacts of climate change and anthropogenic activities. Assessing the impacts of climate change on coastal ecosystems is crucial if we are to develop and implement strategies that minimize and mitigate these impacts. This study uses a theoretical framework that includes climatic hazards, ecosystem vulnerability, and exposure to damaging climatic events, to estimate the risks due to climate change on coastal ecosystems in Taiwan. We found that seagrass beds, algal reefs, and coral reefs in Taiwan are at high ecological risk to the future effects of sea level rise, elevated sea temperature, and ocean acidification. The responses of these highly threatened ecosystems to the effects of climate change is uncertain and depend, in part, on the type of ecosystem, its location in Taiwan, the rate at which these effects occur, and whether these impacts occur at the same time or sequentially. The coastal ecosystem risk to the adverse effects of climate change is high because they are especially vulnerable. The resistance of coastal ecosystems is linked to their complexity and maturity. Their low adaptive capacity is linked to the exploitation of their natural resources and inadequate biodiversity conservation. To minimize and mitigate the effects of climate change on high-risk areas and ecosystems ongoing monitoring programs and dynamic management will be needed. Our study is a first step toward building a framework for climate change risk assessment for the coastal ecosystems in Taiwan. © 2017, Chinese Geoscience Union. All rights reserved.</t>
  </si>
  <si>
    <t>2-s2.0-85018810656"</t>
  </si>
  <si>
    <t>10.1002/2016JC012595</t>
  </si>
  <si>
    <t>https://www.scopus.com/inward/record.uri?eid=2-s2.0-85017389949&amp;doi=10.1002%2f2016JC012595&amp;partnerID=40&amp;md5=f389f627c8d6e1b43c5ab0096820f818</t>
  </si>
  <si>
    <t>Off-river coves and embayments provide accommodation space for sediment accumulation, particularly for sandy estuaries where high energy in the main channel prevents significant long-term storage of fine-grained material. Seasonal sediment inputs to Hamburg Cove in the Connecticut River estuary (USA) were monitored to understand the timing and mechanisms for sediment storage there. Unlike in freshwater tidal coves, sediment was primarily trapped here during periods of low discharge, when the salinity intrusion extended upriver to the cove entrance. During periods of low discharge and high sediment accumulation, deposited sediment displayed geochemical signatures consistent with a marine source. Numerical simulations reveal that low discharge conditions provide several important characteristics that maximize sediment trapping. First, these conditions allow the estuarine turbidity maximum (ETM) to be located in the vicinity of the cove entrance, which increases sediment concentrations during flood tide. Second, the saltier water in the main channel can enter the cove as a density current, enhancing near-bed velocities and resuspending sediment, providing an efficient delivery mechanism. Finally, higher salinity water accumulates in the deep basin of the cove, creating a stratified region that becomes decoupled from ebb currents, promoting retention of sediment in the cove. This process of estuarine-enhanced sediment accumulation in off-river coves will likely extend upriver during future sea level rise. © 2017. American Geophysical Union. All Rights Reserved.</t>
  </si>
  <si>
    <t>2-s2.0-85017389949"</t>
  </si>
  <si>
    <t>10.1002/2016JC012318</t>
  </si>
  <si>
    <t>https://www.scopus.com/inward/record.uri?eid=2-s2.0-85017337387&amp;doi=10.1002%2f2016JC012318&amp;partnerID=40&amp;md5=eb62d2cdcd35f8f0a28d5070d45c4f1c</t>
  </si>
  <si>
    <t>A system of barrier islands and back-barrier bays occurs along southern Long Island, New York, and in many coastal areas worldwide. Characterizing the bay physical response to water level fluctuations is needed to understand flooding during extreme events and evaluate their relation to geomorphological changes. Offshore sea level is one of the main drivers of water level fluctuations in semienclosed back-barrier bays. We analyzed observed water levels (October 2007 to November 2015) and developed analytical models to better understand bay water level along southern Long Island. An increase (∼0.02 m change in 0.17 m amplitude) in the dominant M2 tidal amplitude (containing the largest fraction of the variability) was observed in Great South Bay during mid-2014. The observed changes in both tidal amplitude and bay water level transfer from offshore were related to the dredging of nearby inlets and possibly the changing size of a breach across Fire Island caused by Hurricane Sandy (after December 2012). The bay response was independent of the magnitude of the fluctuations (e.g., storms) at a specific frequency. An analytical model that incorporates bay and inlet dimensions reproduced the observed transfer function in Great South Bay and surrounding areas. The model predicts the transfer function in Moriches and Shinnecock bays where long-term observations were not available. The model is a simplified tool to investigate changes in bay water level and enables the evaluation of future conditions and alternative geomorphological settings. Published 2017. This article is a U.S. Government work and is in the public domain in the USA.</t>
  </si>
  <si>
    <t>2-s2.0-85017337387"</t>
  </si>
  <si>
    <t>10.1016/j.geomorph.2016.07.010</t>
  </si>
  <si>
    <t>https://www.scopus.com/inward/record.uri?eid=2-s2.0-85002954593&amp;doi=10.1016%2fj.geomorph.2016.07.010&amp;partnerID=40&amp;md5=4add89b6ab671469c2f1c83ee7e51a9d</t>
  </si>
  <si>
    <t>Semi-alluvial rivers of the Gaspé Peninsula, Québec, are prone to produce and transport vast quantities of large wood (LW). The high rate of lateral erosion owing to high energy flows and noncohesive banks is the main process leading to the recruitment of large wood, which in turn initiates complex patterns of wood accumulation and reentrainment within the active channel. The delta of the Saint-Jean River (SJR) has accumulated large annual wood fluxes since 1960 that culminated in a wood raft of &gt; 3-km in length in 2014. To document the kinetics of large wood on the main channel of SJR, four annual surveys were carried out from 2010 to 2013 to locate and describe &gt; 1000 large wood jams (LWJ) and 2000 large wood individuals (LWI) along a 60-km river section. Airborne and ground photo/video images were used to estimate the wood volume introduced by lateral erosion and to identify local geomorphic conditions that control wood mobility and deposits. Video camera analysis allowed the examination of transport rates from three hydrometeorological events for specific river sections. Results indicate that the volume of LW recruited between 2010 and 2013 represents 57% of the total LW production over the 2004–2013 period. Volumes of wood deposited along the 60-km section were four times higher in 2013 than in 2010. Increases in wood amount occurred mainly in upper alluvial sections of the river, whereas decreases were observed in the semi-alluvial middle sections. Observations suggest that the 50-year flood event of 2010 produced large amounts of LW that were only partly exported out of the basin so that a significant amount was still available for subsequent floods. Large wood storage continued after this flood until a similar flood or an ice-breakup event could remobilise these LW accumulations into the river corridor. Ice-jam floods transport large amounts of wood during events with fairly low flow but do not contribute significantly to recruitment rates (ca. 10 to 30% early). It is fairly probable that the wood export peak observed in 2012 at the river mouth, where no flood occurred and which is similar to the 1-in 10-year flood of 2010, is mainly linked to such ice-break events that occurred in March 2012. © 2016 Elsevier B.V.</t>
  </si>
  <si>
    <t>2-s2.0-85002954593"</t>
  </si>
  <si>
    <t>10.1016/j.tourman.2016.08.004</t>
  </si>
  <si>
    <t>https://www.scopus.com/inward/record.uri?eid=2-s2.0-84982083160&amp;doi=10.1016%2fj.tourman.2016.08.004&amp;partnerID=40&amp;md5=4f26a855c28f418bed741f4a421e126a</t>
  </si>
  <si>
    <t>In coastal destinations climate change adaptation is needed to address coastal erosion due to a combination of sea level rise and more frequent extreme weather events leading to loss of natural features and tourism infrastructure. Managed realignment is increasingly adopted as a strategy to address coastal change; however, this has often proved a contentious strategy with stakeholder groups. This study explores tourists' representational framework of managed realignment and how this frames understanding of the concept, understanding of how coastal resources might change and implications for future visitation. Data compiled using a questionnaire adopted a social representations theory perspective to analyse how collective tourists’ ideas may serve to mobilise the public in various ways. In general tourists have a poor understanding of managed realignment anchored to historic coastal management strategies and contextualised by use values with consequent implications for tourism planning and coastal management decision making.</t>
  </si>
  <si>
    <t>10.1002/2016EF000505</t>
  </si>
  <si>
    <t>https://www.scopus.com/inward/record.uri?eid=2-s2.0-85014963130&amp;doi=10.1002%2f2016EF000505&amp;partnerID=40&amp;md5=77f4e2548753c4afc16bb2386f0c5eac</t>
  </si>
  <si>
    <t>Future extreme sea levels (ESLs) and flood risk along European coasts will be strongly impacted by global warming. Yet, comprehensive projections of ESL that include mean sea level (MSL), tides, waves, and storm surges do not exist. Here, we show changes in all components of ESLs until 2100 in view of climate change. We find that by the end of this century, the 100-year ESL along Europe's coastlines is on average projected to increase by 57 cm for Representative Concentration Pathways (RCP)4.5 and 81 cm for RCP8.5. The North Sea region is projected to face the highest increase in ESLs, amounting to nearly 1 m under RCP8.5 by 2100, followed by the Baltic Sea and Atlantic coasts of the UK and Ireland. Relative sea level rise (RSLR) is shown to be the main driver of the projected rise in ESL, with increasing dominance toward the end of the century and for the high-concentration pathway. Changes in storm surges and waves enhance the effects of RSLR along the majority of northern European coasts, locally with contributions up to 40%. In southern Europe, episodic extreme events tend to stay stable, except along the Portuguese coast and the Gulf of Cadiz where reductions in surge and wave extremes offset RSLR by 20–30%. By the end of this century, 5 million Europeans currently under threat of a 100-year ESL could be annually at risk from coastal flooding under high-end warming. The presented dataset is available through this link: http://data.jrc.ec.europa.eu/collection/LISCOAST. Plain Language Summary: Future extreme sea levels and flood risk along European coasts will be strongly impacted by global warming. Here, we show changes in all acting components, i.e., sea level rise, tides, waves, and storm surges, until 2100 in view of climate change. We find that by the end of this century the 100-year event along Europe will on average increase between 57 and 81 cm. The North Sea region is projected to face the highest increase, amounting to nearly 1 m under a high emission scenario by 2100, followed by the Baltic Sea and Atlantic coasts of the UK and Ireland. Sea level rise is the main driver of the changes, but intensified climate extremes along most of northern Europe can have significant local effects. Little changes in climate extremes are shown along southern Europe, with the exception of a projected decrease along the Portuguese coast and the Gulf of Cadiz, offseting sea level rise by 20–30%. By the end of this century, 5 million Europeans currently under threat of a 100-year coastal flood event could be annually at risk from coastal flooding under high-end warming. © 2017 The Authors.</t>
  </si>
  <si>
    <t>2-s2.0-85014963130"</t>
  </si>
  <si>
    <t>10.5194/os-13-289-2017</t>
  </si>
  <si>
    <t>https://www.scopus.com/inward/record.uri?eid=2-s2.0-85017643102&amp;doi=10.5194%2fos-13-289-2017&amp;partnerID=40&amp;md5=0b4a4b965ebfe7c236a5e9055cbea798</t>
  </si>
  <si>
    <t>The coupling of models is a commonly used approach when addressing the complex interactions between different components of earth systems. We demonstrate that this approach can result in a reduction of errors in wave forecasting, especially in dynamically complicated coastal ocean areas, such as the southern part of the North Sea – the German Bight. Here, we study the effects of coupling of an atmospheric model (COSMO) and a wind wave model (WAM), which is enabled by implementing wave-induced drag in the atmospheric model. The numerical simulations use a regional North Sea coupled wave–atmosphere model as well as a nested-grid high-resolution German Bight wave model. Using one atmospheric and two wind wave models simultaneously allows for study of the individual and combined effects of two-way coupling and grid resolution. This approach proved to be particularly important under severe storm conditions as the German Bight is a very shallow and dynamically complex coastal area exposed to storm floods. The two-way coupling leads to a reduction of both surface wind speeds and simulated wave heights. In this study, the sensitivity of atmospheric parameters, such as wind speed and atmospheric pressure, to the wave-induced drag, in particular under storm conditions, and the impact of two-way coupling on the wave model performance, is quantified. Comparisons between data from in situ and satellite altimeter observations indicate that two-way coupling improves the simulation of wind and wave parameters of the model and justify its implementation for both operational and climate simulations.</t>
  </si>
  <si>
    <t>10.1016/j.envdev.2016.12.002</t>
  </si>
  <si>
    <t>https://www.scopus.com/inward/record.uri?eid=2-s2.0-85009216529&amp;doi=10.1016%2fj.envdev.2016.12.002&amp;partnerID=40&amp;md5=bf982284c9ce1c415fa92e8177f3752b</t>
  </si>
  <si>
    <t>Freshwater aquaculture provides employment and offers often reliable income to impecunious communities in the Sundarban delta of India, a UNESCO declared world heritage site while it has been threatened by recent environmental and climatic changes. Based on household survey our study provides data on i) how local farmers perceive climate change in general, ii) prevailing freshwater aquaculture scenarios and potential impacts of the climate change on aquaculture, and iii) which strategies aquaculture farmers employ to cope with the perceived risks. The study reveals that farmers are aware of climatic variability and express their experiences of changes in temperature, rainfall, tropical cyclones and sea level rise. The production methods of freshwater aquaculture in Sundarban can be termed as ‘semi-improved low-input carp polyculture’. Cyclones and storm surges are the most significant climatic phenomena and severely affect freshwater aquaculture due to subsequent coastal flooding, and sea-level rise that cumulatively lead to salinity intrusion, followed by rising air temperature and drought. In relation to perceived risks, farmers are currently dealing with the problems through short-term coping measures which need scientific improvements to give long-term relief to the farmers. Considering the effects of climate change on freshwater pond aquaculture in the delta, we propose some preliminary policy recommendations that need to be introduced to cope with the challenges. © 2016 Elsevier Ltd</t>
  </si>
  <si>
    <t>2-s2.0-85009216529"</t>
  </si>
  <si>
    <t>10.1111/sjtg.12196</t>
  </si>
  <si>
    <t>https://www.scopus.com/inward/record.uri?eid=2-s2.0-85018441124&amp;doi=10.1111%2fsjtg.12196&amp;partnerID=40&amp;md5=bd19097754e3b99cc98a5d79ab4bcc83</t>
  </si>
  <si>
    <t>A revised typology of Australian tropical rivers was applied to the complete channel network (named and major rivers) shown on 1:250 000 topographic maps for three large drainage basins in northern Australia (Daly River, NT</t>
  </si>
  <si>
    <t xml:space="preserve"> (9) floodouts</t>
  </si>
  <si>
    <t>10.1002/joc.4818</t>
  </si>
  <si>
    <t>https://www.scopus.com/inward/record.uri?eid=2-s2.0-84977654943&amp;doi=10.1002%2fjoc.4818&amp;partnerID=40&amp;md5=165fc67021c7f57adc7589c0d68bd23e</t>
  </si>
  <si>
    <t>The impacts of the Madden-Julian oscillation (MJO) on precipitation over Northeast Brazil (NEB, also known as Nordeste) are evaluated based on daily raingauge data from 492 stations over 30-year period (1981–2010). Composites of precipitation, outgoing longwave radiation and moisture-flux anomalies are performed for each phase of the MJO, and over all four seasons, based on the Jones–Carvalho MJO index. To distinguish the MJO signal from other patterns of climate variability, daily data are filtered using a 20–90 day band-pass filter</t>
  </si>
  <si>
    <t>10.1002/joc.4812</t>
  </si>
  <si>
    <t>https://www.scopus.com/inward/record.uri?eid=2-s2.0-84993661760&amp;doi=10.1002%2fjoc.4812&amp;partnerID=40&amp;md5=f448050e54dc288063aef36b1e126bed</t>
  </si>
  <si>
    <t>Extratropical and subtropical cyclones, and their associated fronts, produce the majority of rainfall and extreme weather in the mid-latitudes around the world. In the Southern Hemisphere in particular, where observations are sparse, we have limited knowledge of their long-term variability and trends. While the long time period of the 20th Century Reanalysis (20CR) offers potential to assess longer-term changes, the lack of observational data sets makes it difficult to assess its reliability. We assess the skill of the 20CR at representing mid-latitude cyclones through a case study on the east coast of Australia. In this region, a comprehensive database has recently been developed of all severe floods between 1871 and 2012, of which &gt;70% are associated with a coastal low-pressure system. Through use of the full 20CR 56-member ensemble, we are able to identify the majority of severe Australian east coast lows as early as the late 19th century, as well as recreate the cyclone tracks for some of the most severe events. The analysis shows that the full ensemble can be used for a long-term assessment of interannual variability in cyclone frequency from at least 1911, despite large inhomogeneities in the ensemble mean pressure fields. © 2016 Royal Meteorological Society</t>
  </si>
  <si>
    <t>2-s2.0-84993661760"</t>
  </si>
  <si>
    <t>10.1002/2016JC011984</t>
  </si>
  <si>
    <t>https://www.scopus.com/inward/record.uri?eid=2-s2.0-85011592211&amp;doi=10.1002%2f2016JC011984&amp;partnerID=40&amp;md5=be1fdcbefe9e2066302957df5aaae150</t>
  </si>
  <si>
    <t>This paper presents a study on the tidal-fluvial interaction in the highly regulated Guadalquivir River Estuary (SW Spain), which is occasionally subjected to high discharge episodes that affect navigational conditions and increase flood risks. The study specifically focuses on the processes and controlling mechanisms of the nonstationary response of water levels and currents to high discharges. Measurements show a 60 day postdischarge amplification of tidal current and elevation amplitudes and a clockwise rotation of the tidal ellipse in the upper layers. A decrease of amplitudes and an anticlockwise rotation predominate near the bed. Such episodes significantly increase the tidal wave celerity, and especially at high and low water. These features are due to the suspended sediment stratification triggered by the discharge event. The increase in stratification restricts frictional influence to bottom layers, partially decoupling the overlying flow from the bottom. A nonstationary harmonic decomposition method, intended for identifying which nonlinear terms in the governing hydrodynamic equations control overtide and compound tide generation, shows that quadratic bottom stress contributes the most during high discharge periods. The consequence in the subtidal balance is that, during peak discharge and in the upper stretches, friction is largely balanced by the water level gradient, although the density gradient term becomes comparable to the friction term soon after peak discharge. Advection is also important to the force balance in the lower estuary. For both parts, to correctly explain subtidal dynamics, it is necessary to account for the time variability of the friction coefficient due to flow-sediment feedback. © 2017. American Geophysical Union. All Rights Reserved.</t>
  </si>
  <si>
    <t>2-s2.0-85011592211"</t>
  </si>
  <si>
    <t>10.1002/2016GL072488</t>
  </si>
  <si>
    <t>https://www.scopus.com/inward/record.uri?eid=2-s2.0-85014968602&amp;doi=10.1002%2f2016GL072488&amp;partnerID=40&amp;md5=57ed3afd9d44c21129efdc242ae51e56</t>
  </si>
  <si>
    <t>In this study we conducted a comprehensive modeling analysis to identify global trends in extreme wave energy flux (WEF) along coastlines in the 21st century under a high emission pathway (Representative Concentration Pathways 8.5). For the end of the century, results show a significant increase up to 30% in 100 year return level WEF for the majority of the coastal areas of the southern temperate zone, while in the Northern Hemisphere large coastal areas are characterized by a significant negative trend. We show that the most significant long-term trends of extreme WEF can be explained by intensification of teleconnection patterns such as the Antarctic Oscillation, El Niño–Southern Oscillation, and North Atlantic Oscillation. The projected changes will have broad implications for ocean engineering applications and disaster risk management. Especially low-lying coastal countries in the Southern Hemisphere will be particularly vulnerable due to the combined effects of projected relative sea level rise and more extreme wave activities. ©2017. The Authors.</t>
  </si>
  <si>
    <t>2-s2.0-85014968602"</t>
  </si>
  <si>
    <t>10.1016/j.progress.2015.11.001</t>
  </si>
  <si>
    <t>https://www.scopus.com/inward/record.uri?eid=2-s2.0-84953215118&amp;doi=10.1016%2fj.progress.2015.11.001&amp;partnerID=40&amp;md5=66d16e0ae380829bf648c4f2528881ef</t>
  </si>
  <si>
    <t>Delta cities are increasingly exposed to the risks of climate change, particularly to flooding. As a consequence, a variety of new spatial development visions, strategies, plans and programmes are being developed by city governments in delta regions to address these risks and challenges. Based on a general conceptual framework, this paper examines the nature of visions, strategies, plans and programmes in the delta cities of Hong Kong, Guangzhou and Rotterdam which are highly exposed to flooding and connected through a network of epistemic communities. The paper follows two main lines of inquiry. First, it examines the terms, concepts, and dominant institutional characteristics associated with the development of these visions, strategies, plans and programmes as a way of constructing a conceptual framework for understanding and explaining their connectivity. Second, it explores how and why cities’ spatial plans and governance dynamics are shaping climate adaptation responses. The systematic development of conceptual frameworks and in-depth analyses of varied, representative case studies is needed as their findings have important implications for vulnerability and adaptation to climate change in terms of policy options and cities as the optimal level for adaptation. The paper finds that dominant institutional characteristics critically affect the steering capacity of organisations/agencies (including their coordination capacity) to address climate-related risks. The findings have important implications for vulnerability and adaptation to climate change in cities, in general and delta cities, in particular. © 2015 Elsevier Ltd</t>
  </si>
  <si>
    <t>2-s2.0-84953215118"</t>
  </si>
  <si>
    <t>10.1007/s11069-017-2782-x</t>
  </si>
  <si>
    <t>https://www.scopus.com/inward/record.uri?eid=2-s2.0-85013070372&amp;doi=10.1007%2fs11069-017-2782-x&amp;partnerID=40&amp;md5=8233034934594757a63bacd5389b849e</t>
  </si>
  <si>
    <t>Global sea levels have risen through the twentieth and twenty-first centuries. This rise will almost certainly continue and probably accelerate during the rest of the twenty-first century, albeit there is strong disagreement about the range of future sea level rise due to uncertainties regarding scenarios and emission of greenhouse gasses. Although the impacts of sea level rise are diverse, inundation during high tides is one of the most obvious and immediate consequences. A probabilistic methodology for mapping the inundation hazard because of sea level rise has been applied to the coast of El Puerto de Santa María in the province of Cádiz in southwest Spain. This methodology involves a step forward since represents the full range of probabilities, associated with each scenario of sea level rise considered, and thus offers a more realistic view of the probability of inundation in each area. Results show large differences in the spatial distribution of probable inundation in urban areas and wetlands leading to different consequences for management actions. © 2017, Springer Science+Business Media Dordrecht.</t>
  </si>
  <si>
    <t>2-s2.0-85013070372"</t>
  </si>
  <si>
    <t>10.1007/s13157-016-0871-3</t>
  </si>
  <si>
    <t>https://www.scopus.com/inward/record.uri?eid=2-s2.0-85008498555&amp;doi=10.1007%2fs13157-016-0871-3&amp;partnerID=40&amp;md5=4a426a17d7483bb36a1051dd1c669b9b</t>
  </si>
  <si>
    <t>Salinity alterations will likely change the plant and environmental characteristics in coastal marshes thereby influencing soil carbon accumulation rates. Coastal Louisiana marshes have been historically classified as fresh, intermediate, brackish, or saline based on resident plant community and position along a salinity gradient. Short-term total carbon accumulation rates were assessed by collecting 10-cm deep soil cores at 24 sites located in marshes spanning the salinity gradient. Bulk density, total carbon content, and the short-term accretion rates obtained with feldspar horizon markers were measured to determine total carbon accumulation rates. Despite some significant differences in soil properties among marsh types, the mean total carbon accumulation rates among marsh types were not significantly different (mean ± std. err. of 190 ± 27 g TC m−2 year−1). However, regression analysis indicated that mean annual surface salinity had a significant negative relationship with total carbon accumulation rates. Based on both analyses, the coastal Louisiana total marsh area (1,433,700 ha) accumulates about 2.7 to 3.3 Tg C year−1. Changing salinities due to increasing relative sea level or resulting from restoration activities may alter carbon accumulation rates in the short term and significantly influence the global carbon cycle. © 2017, The Author(s).</t>
  </si>
  <si>
    <t>2-s2.0-85008498555"</t>
  </si>
  <si>
    <t>GPS World</t>
  </si>
  <si>
    <t>https://www.scopus.com/inward/record.uri?eid=2-s2.0-85024497774&amp;partnerID=40&amp;md5=079d473d164a3ddcdb1a79158f28c6d0</t>
  </si>
  <si>
    <t>Efficiencies in data acquisition coupled with revolutionary improvements in analytic platforms have pushed remote sensing technology to the forefront of scientific and business-critical  decision making. Most modern sensors are integrated with inertial navigation systems (INS) and GNSS, which provide high-precision and spatially accurate data. Following 2012’s Superstorm  Sandy, the National Geodetic Survey required collection and processing of airborne topobathy lidar and multispectral imagery to enable accurate measurement of the shoreline for coastal zone management, inundation modeling, habitat mapping and restoration. In 2016, a municipal water district was concerned about underground water leaks and infrastructure corrosion. Beginning in 2014, a transportation company began collecting 3-D data along along its railways using lidar sensors attached to specially equipped geometry cars. From this, a baseline asset inventory of important infrastructure was made: signage, signals, track locations, vegetation encroachment and road crossings. In 2016, a municipal water district was concerned  about underground water leaks and infrastructure corrosion. Lightweight thermal and multispectral sensors were mounted on a UAV operated by 5-D Robotics in a pilot program. With these advancements, organizations of all types now can quickly access mission-critical, actionable information that enables them to protect critical infrastructure, ensure public safety and improve the reliability of their operations.</t>
  </si>
  <si>
    <t>2-s2.0-85024497774"</t>
  </si>
  <si>
    <t>10.1002/joc.4805</t>
  </si>
  <si>
    <t>https://www.scopus.com/inward/record.uri?eid=2-s2.0-84977514536&amp;doi=10.1002%2fjoc.4805&amp;partnerID=40&amp;md5=d14e3b59042d6bb906ad69bb192179ce</t>
  </si>
  <si>
    <t>The scientific debate on the impact of climate change on hurricane intensity/strength continues. Regardless of its causes, the consequence of increasing hurricane intensity is undeniably immense among coastal residents. In this study, we investigate how various objective measures of hurricane strength affect people's perception of changing hurricane strength over time. We utilize original survey data to examine the relationship between perceived and actual shift in hurricane strength. In this article, hurricane strength is indicated as maximum wind speed at landfall, storm surge, and economic damage. We find that the characteristics of hurricane strength associated with the most recent landfall are much more closely associated with perceptions of changing hurricane strength than objectively measured trends. This result is consistent with availability bias, suggesting that perceptions are associated with most accessible and retrievable events. We also find that people's belief in climate change play a powerful role in one's perception of changing hurricane strength. Political predispositions are found to affect one's perceptions of changing hurricane strength. Compared to Democrats and Independents, Republicans are far less likely to believe that climate is changing and thus they tend to not believe that hurricanes are becoming stronger. Given that this study focuses on how physical characteristics of past hurricane events influence individual perceptions of hurricane strength shift, future research should focus on how expectations of future climate and weather-related events influence individual attitudes and behaviours. © 2016 Royal Meteorological Society</t>
  </si>
  <si>
    <t>2-s2.0-84977514536"</t>
  </si>
  <si>
    <t>10.1002/2016GL072379</t>
  </si>
  <si>
    <t>https://www.scopus.com/inward/record.uri?eid=2-s2.0-85016583430&amp;doi=10.1002%2f2016GL072379&amp;partnerID=40&amp;md5=d525c20f3ac3f5ed34dd1e164ac3f1f9</t>
  </si>
  <si>
    <t>A pioneering and replicable method based on a 66-year numerical weather and wave hindcast is developed to optimize a climate index based on the sea level pressure (SLP) that best explains winter wave height variability along the coast of western Europe, from Portugal to UK (36–52°N). The resulting so-called Western Europe Pressure Anomaly (WEPA) is based on the sea level pressure gradient between the stations Valentia (Ireland) and Santa Cruz de Tenerife (Canary Islands). The WEPA positive phase reflects an intensified and southward shifted SLP difference between the Icelandic low and the Azores high, driving severe storms that funnel high-energy waves toward western Europe southward of 52°N. WEPA outscores by 25–150% the other leading atmospheric modes in explaining winter-averaged significant wave height, and even by a largest amount the winter-averaged extreme wave heights. WEPA is also the only index capturing the 2013/2014 extreme winter that caused widespread coastal erosion and flooding in western Europe. ©2017. American Geophysical Union. All Rights Reserved.</t>
  </si>
  <si>
    <t>2-s2.0-85016583430"</t>
  </si>
  <si>
    <t>10.1016/j.geomorph.2017.02.006</t>
  </si>
  <si>
    <t>https://www.scopus.com/inward/record.uri?eid=2-s2.0-85014595275&amp;doi=10.1016%2fj.geomorph.2017.02.006&amp;partnerID=40&amp;md5=e475238cf1d4dac763b5f592c74fa207</t>
  </si>
  <si>
    <t>Ground subsidence and sinkhole collapse are phenomena affecting regions of karst geology worldwide. The rapid development of such phenomena around the Dead Sea in the last four decades poses a major geological hazard to the local population, agriculture and industry. Nonetheless many aspects of this hazard are still incompletely described and understood, especially on the eastern Dead Sea shore. In this work, we present a first low altitude (&lt; 150 m above ground) aerial photogrammetric survey with a Helikite Balloon at the sinkhole area of Ghor Al-Haditha, Jordan. We provide a detailed qualitative and quantitative analysis of a new, high resolution digital surface model (5 cm px −1) and orthophoto of this area (2.1 km2). We also outline the factors affecting the quality and accuracy of this approach. Our analysis reveals a kilometer-scale sinuous depression bound partly by flexure and partly by non-tectonic faults. The estimated minimum volume loss of this subsided zone is 1.83 ⋅ 106 m3 with an average subsidence rate of 0.21 m yr −1 over the last 25 years. Sinkholes in the surveyed area are localized mainly within this depression. The sinkholes are commonly elliptically shaped (mean eccentricity 1.31) and clustered (nearest neighbor ratio 0.69). Their morphologies and orientations depend on the type of sediment they form in: in mud, sinkholes have a low depth to diameter ratio (0.14) and a long-axis azimuth of NNE–NE. In alluvium, sinkholes have a higher ratio (0.4) and are orientated NNW–N. From field work, we identify actively evolving artesian springs and channelized, sediment-laden groundwater flows that appear locally in the main depression. Consequently, subrosion, i.e. subsurface mechanical erosion, is identified as a key physical process, in addition to dissolution, behind the subsidence and sinkhole hazard. Furthermore, satellite image analysis links the development of the sinuous depression and sinkhole formation at Ghor Al-Haditha to preferential groundwater flow paths along ancient and current wadi riverbeds. © 2017 Elsevier B.V.</t>
  </si>
  <si>
    <t>2-s2.0-85014595275"</t>
  </si>
  <si>
    <t>10.3390/ijgi6050140</t>
  </si>
  <si>
    <t>https://www.scopus.com/inward/record.uri?eid=2-s2.0-85019546128&amp;doi=10.3390%2fijgi6050140&amp;partnerID=40&amp;md5=6ee20be9f73b1131ef57252ecfd0f9a8</t>
  </si>
  <si>
    <t>The Sentinel-1 mission provides frequent coverage of global land areas and is hence able to monitor surface water dynamics at a fine spatial resolution better than any other Synthetic Aperture Radar (SAR) mission before. However, SAR data acquired by Sentinel-1 also suffer from terrain effects when being used for mapping surface water, just as other SAR data do. Terrain indices derived from Digital Elevation Models (DEMs) are easy but effective approaches to reduce this kind of interference, considering the close relationship between surface water movement and topography. This study compares two popular terrain indices, namely the Multi-resolution Valley Bottom Flatness (MrVBF) and the Height Above Nearest Drainage (HAND), toward their performance on assisting surface water mapping using Sentinel-1 SAR data. Four study sites with different terrain characteristics were selected to cover a very wide range of topographic conditions. For two of these sites that are floodplain dominated, both normal and flooded scenarios were examined. MrVBF and HAND values for the whole study areas, as well as statistics of these values within water areas were compared. The sensitivity of applying different thresholds for MrVBF and HAND to mask out terrain effect was investigated by adopting quantity disagreement and allocation disagreement as the accuracy indicators. It was found that both indices help improve water mapping, reducing the total disagreement by as much as 1.6%. The HAND index performs slightly better in most of the study cases, with less sensitivity to thresholding. MrVBF classifies low-lying areas with more details, which sometimes makes it more effective in eliminating false water bodies in rugged terrain. It is therefore recommended to use HAND for large scale or global scale water mapping. However, for water detection in complex terrain areas, MrVBF also performs very well. © 2017 by the authors.</t>
  </si>
  <si>
    <t>2-s2.0-85019546128"</t>
  </si>
  <si>
    <t>Canadian Geographer</t>
  </si>
  <si>
    <t>10.1111/cag.12330</t>
  </si>
  <si>
    <t>https://www.scopus.com/inward/record.uri?eid=2-s2.0-85006869243&amp;doi=10.1111%2fcag.12330&amp;partnerID=40&amp;md5=5cfb675b4997e7de98ee5f82f382259a</t>
  </si>
  <si>
    <t>Environmental disturbances and migration in Vietnam: The impact of environmental disturbances on migratory movements is a matter of actuality in a context of accelerating climate change, notably in Asia where extreme weather events are particularly common. With over 50% of its population in coastal lowlands, Vietnam has attracted the attention of researchers. This article analyzes the effects of flooding on the propensity to migrate in Vietnam. Our analysis is based on data from a survey conducted in 2013 among 470 households in three provinces of central Vietnam which have been very affected by floods in 2008 and 2010. The analysis examines the factors associated with the migration of one or more household members since the 2008 floods. When asked about the cause of the migration of a household member, respondents rarely associate migration to environmental disturbances. The results of the multivariate analysis show that climate vulnerability does not affect directly the propensity to migrate and that household sociodemographic characteristics are significant. These results corroborate other studies which conclude that climatic events are not sufficient to induce internal and international migration</t>
  </si>
  <si>
    <t>10.1007/s11069-016-2711-4</t>
  </si>
  <si>
    <t>https://www.scopus.com/inward/record.uri?eid=2-s2.0-85001864970&amp;doi=10.1007%2fs11069-016-2711-4&amp;partnerID=40&amp;md5=470e9736c6d48ddb370024c14b19ba00</t>
  </si>
  <si>
    <t>The tidal amplitude at the Bay of Bengal along the Bangladesh coast varies from 2 to 7 m, whereas the tidal phase differs by more than 3 h from the outer part toward the inner part of the Meghna Estuary. At the time of cyclone landfall, the tidal phase has a significant impact on surge height, arrival time and duration. In this paper, the nature of surge–tide interactions at the Bay of Bengal along the Bangladesh coast has been investigated using a two-dimensional nonlinear shallow water model coupled with a storm surge model. Two previous major storm surge events along the Bangladesh coast have been analyzed for surge–tide interaction: Cyclone 1991 and Cyclone Sidr in 2007. To investigate the impact of the tidal phase on surge characteristics, in addition to the base cases, storm surges have been calculated at different phases of an entire tidal cycle at 1-h intervals. The results indicate that during the ebb tides the calculated total surge height of the surge–tide interaction model was higher compared to the total surge height obtained by superimposing surge height that is separately calculated with mean water level over the local tidal water level; the opposite occurs during high tide. The surge propagation time toward the inner part of the bay significantly varied depending on the tidal phases. When the tidal water level along the coast was low, the speed of surge propagation was much slower compared with when the tidal water level was high. The surge duration increases when the falling surge profile encounters an opposing strong tidal current at the landfall location.</t>
  </si>
  <si>
    <t>10.1080/01431161.2017.1292074</t>
  </si>
  <si>
    <t>https://www.scopus.com/inward/record.uri?eid=2-s2.0-85013054858&amp;doi=10.1080%2f01431161.2017.1292074&amp;partnerID=40&amp;md5=6f31ca58faa02ba372dc5157cfdefd86</t>
  </si>
  <si>
    <t>Digital elevation models (DEMs) generated from unmanned aerial vehicle (UAV) photogrammetry offer opportunities for on-demand DEM production in environmental modelling and flood risk prediction applications. The DEM and orthoimage accuracies that can be achieved using lightweight UAV on-board sensors only, are compared with cases where progressively higher numbers of Global Navigation Satellite System (GNSS) referenced ground targets are utilized. Unacceptably large 95% planimetric orthoimage errors of 5.22 m (root mean square error (RMSE) 3.27 m), and DEM 95% elevation errors of 5.03 m (RMSE 2.2 m) are observed when using the on-board positioning and orientation sensors only. Introducing GNSS ground control points (GCPs) in increasing numbers progressively and substantially improves data accuracy. Remarkably small xy orthoimage errors of 0.076 m (RMS) and DEM elevation errors of 0.08 m (RMS) are achieved using 1 GCP for every 2 ha of ground area and utilizing more GCPs produced more or less identical results. These accuracies compare very favourably with the best commercial airborne survey DEMs, suggesting strong potential for the application of lightweight UAV photogrammetric DEMs in local environmental modelling and flood risk prediction applications. The potential of these DEMS for flood prediction is subsequently assessed and demonstrated by comparison with published flood risk maps and flood depth data, and by cross-comparing the outputs of the UAV DEM flood model predictions. © 2017 Informa UK Limited, trading as Taylor &amp; Francis Group.</t>
  </si>
  <si>
    <t>2-s2.0-85013054858"</t>
  </si>
  <si>
    <t>10.1007/s10584-017-1963-7</t>
  </si>
  <si>
    <t>https://www.scopus.com/inward/record.uri?eid=2-s2.0-85019146893&amp;doi=10.1007%2fs10584-017-1963-7&amp;partnerID=40&amp;md5=c7ba0df89c42c21a27b2195a58e4aad9</t>
  </si>
  <si>
    <t>Rising sea levels are increasing the exposure of populations and infrastructure to coastal flooding. While earlier studies estimate magnitudes of future exposure or project rates of sea level rise, here, we estimate growth rates of exposure, likely to be a key factor in how effectively coastal communities can adapt. These rates may not correlate well with sea level rise rates due to varying patterns of topography and development. We integrate exposure assessments based on LiDAR elevation data with extreme flood event distributions and sea level rise projections to compute the expected annual exposure of population, housing, roads, and property value in 327 medium-tolarge coastal municipalities circumscribing the contiguous USA, and identify those localities that could experience rapid exposure growth sometime this century.We define a rate threshold of 0.25% additive increase in expected annual exposure per year, based on its rarity of present-day exceedance. With unchecked carbon emissions under Representative Concentration Pathway (RCP) 8.5, the number of cities exceeding the threshold reaches 33 (18-59, 90%CI) by 2050 and 90 (22-196) by 2100, including the cities of Boston and Miami. Sharp cuts under RCP 2.6 limit the end-ofcentury total to 28 (12-105), versus a baseline of 7 cities in 2000. The methods and results presented here offer a new way to illustrate the consequences of different emission scenarios or mitigation efforts, and locally assess the urgency of coastal adaptation measures. © Springer Science+Business Media Dordrecht 2017.</t>
  </si>
  <si>
    <t>2-s2.0-85019146893"</t>
  </si>
  <si>
    <t>10.1016/j.gloplacha.2017.02.004</t>
  </si>
  <si>
    <t>https://www.scopus.com/inward/record.uri?eid=2-s2.0-85012299365&amp;doi=10.1016%2fj.gloplacha.2017.02.004&amp;partnerID=40&amp;md5=70922b4787135323b271f21962516e52</t>
  </si>
  <si>
    <t>Using flood peaks data from 62 hydrological stations covering a period of 1951–2014 and tropical cyclone (TC) tracks, floods due to TCs were differentiated and relations between occurrences of floods and TCs were investigated. Then, the impact of TCs on the flood magnitude and frequency was evaluated. Results indicated that there was more than one external influencing factor for flood occurrences, i.e. convective precipitation and TC-related heavy precipitation. In general, the landed TC events have a crucial influence on the occurrence of floods in eastern and western parts of Guangdong province. The mountainous topography limits the northward propagation of TC events and hence limits their impact on the occurrence of floods in the northern part. More than 60% of the largest 10 hazardous floods in the northern and eastern parts were attributed to TCs and hence they significantly modified the probability distributions of flood peaks, increasing the location and scale parameters of the generalized extreme value (GEV) probability distribution model. Therefore, development of measures for mitigation of coastal flooding would need to consider the occurrences of TCs. © 2017</t>
  </si>
  <si>
    <t>2-s2.0-85012299365"</t>
  </si>
  <si>
    <t>10.2112/JCOASTRESD1500153.1</t>
  </si>
  <si>
    <t>https://www.scopus.com/inward/record.uri?eid=2-s2.0-85019172486&amp;doi=10.2112%2fJCOASTRESD1500153.1&amp;partnerID=40&amp;md5=82e42038ed6ce326186f4b2b396c4c4e</t>
  </si>
  <si>
    <t>The structure and functioning of salt marsh ecosystems are being impacted by sea-level rise, and a major determinant of their vulnerability to this aspect of climate change is their ground surface elevation relative to tide heights (hypsometry). In this study, a comprehensive real-time kinematic (RTK) global positioning system (GPS) survey was conducted within four salt marshes at Cape Cod National Seashore (CCNS) to create digital elevation models, and in situ water-level loggers were used to collect tidal data within each system. From these data, marsh surface elevations were calculated relative to mean high tide elevations for 2013 and projected elevation change rates with 50 cm and 100 cm of sea-level rise. Vegetation responses to these scenarios were then modeled based on the relationship of high and low marsh zones to relative elevation. The results suggest that (1) CCNS marshes sit low within their tidal frames, unlike the majority of salt marshes in New England, (2) high marsh areas will be most affected with sea-level rise, with 90-100% losses under both 50 cm and 100 cm sea-level rise scenarios, and (3) total marsh losses of up to 30% could ensue with 100 cm of sea-level rise. Such changes, should they occur, would substantially impact the coastal environment on Cape Cod and profoundly impact the ecosystem services provided by these systems. © 2017 Coastal Education and Research Foundation, Inc.</t>
  </si>
  <si>
    <t>2-s2.0-85019172486"</t>
  </si>
  <si>
    <t>10.1007/s00376-016-6041-y</t>
  </si>
  <si>
    <t>https://www.scopus.com/inward/record.uri?eid=2-s2.0-85010932244&amp;doi=10.1007%2fs00376-016-6041-y&amp;partnerID=40&amp;md5=15ab48827ad8058b79b4180a469f0c07</t>
  </si>
  <si>
    <t>Sea level rise has become an important issue in global climate change studies. This study investigates trends in sea level records, particularly extreme records, in the Pearl River Estuary, using measurements from two tide gauge stations in Macau and Hong Kong. Extremes in the original sea level records (daily higher high water heights) and in tidal residuals with and without the 18.6-year nodal modulation are investigated separately. Thresholds for defining extreme sea levels are calibrated based on extreme value theory. Extreme events are then modeled by peaks-over-threshold models. The model applied to extremes in original sea level records does not include modeling of their durations, while a geometric distribution is added to model the duration of extremes in tidal residuals. Realistic modeling results are recommended in all stationary models. Parametric trends of extreme sea level records are then introduced to nonstationary models through a generalized linear model framework. The result shows that, in recent decades, since the 1960s, no significant trends can be found in any type of extreme at any station, which may be related to a reduction in the influence of tropical cyclones in the region. For the longer-term record since the 1920s at Macau, a regime shift of tidal amplitudes around the 1970s may partially explain the diverse trend of extremes in original sea level records and tidal residuals. © 2017, Chinese National Committee for International Association of Meteorology and Atmospheric Sciences, Institute of Atmospheric Physics, Science Press and Springer-Verlag Berlin Heidelberg.</t>
  </si>
  <si>
    <t>2-s2.0-85010932244"</t>
  </si>
  <si>
    <t>10.1016/j.ejrh.2017.03.001</t>
  </si>
  <si>
    <t>https://www.scopus.com/inward/record.uri?eid=2-s2.0-85015455459&amp;doi=10.1016%2fj.ejrh.2017.03.001&amp;partnerID=40&amp;md5=c79a41095c5512ed72f144a92a81deab</t>
  </si>
  <si>
    <t>Study region: Terrain and hydrological data are scarce in many African countries. The coarse spatial resolution of freely available Shuttle Radar Topographic Mission elevation data and the absence of flow gauges on flood-prone reaches, such as the Oti River studied here, make flood inundation modelling challenging in West Africa. Study focus: A flood modelling approach is developed here to simulate flood extent in data scarce regions. The methodology is based on a calibrated, distributed hydrological model for the whole basin to simulate the input discharges for a hydraulic model which is used to predict the flood extent for a 140 km reach of the Oti River. New hydrological insight for the region: Good hydrological model calibration (Nash Sutcliffe coefficient: 0.87) and validation (Nash Sutcliffe coefficient: 0.94) results demonstrate that even with coarse scale (5 km) input data, it is possible to simulate the discharge along this region's rivers, and importantly with a distributed model, derive model flows at any ungauged location within basin. With a lack of surveyed channel bathymetry, modelling the flood was only possible with a parametrized sub-grid hydraulic model. Flood model fit results relative to the observed 2007 flood extent and extensive sensitivity testing shows that this fit (64%) is likely to be as good as is possible for this region, given the coarseness of the terrain digital elevation model. © 2017 The Author(s)</t>
  </si>
  <si>
    <t>2-s2.0-85015455459"</t>
  </si>
  <si>
    <t>10.1080/14660466.2017.1309890</t>
  </si>
  <si>
    <t>https://www.scopus.com/inward/record.uri?eid=2-s2.0-85048288239&amp;doi=10.1080%2f14660466.2017.1309890&amp;partnerID=40&amp;md5=6741e67c1ab71b5a122576c167fd0ae1</t>
  </si>
  <si>
    <t>This article uses the history and current state of publicly subsidized coastal flood insurance policy in the United States to highlight how perceptions of risk can be influenced by past and current policy practices. For the purposes of this article, public flood insurance premiums are used as a proxy for risk; higher premiums suggest greater risk, while lower premiums suggest lowered risk. By using coastal flood insurance as a proxy for flood risk, subjective factors of risk are highlighted and contextualized. The goal is to provide the reader with an example of the importance of considering both objective and subjective risk factors when developing and implementing climate change policies that make investments today to protect against future harm.</t>
  </si>
  <si>
    <t>10.18268/bsgm2017v69n1a12</t>
  </si>
  <si>
    <t>https://www.scopus.com/inward/record.uri?eid=2-s2.0-85018886254&amp;doi=10.18268%2fbsgm2017v69n1a12&amp;partnerID=40&amp;md5=04210876f1b7fb2e35d28876cbb7f2de</t>
  </si>
  <si>
    <t>This study shows the results of a probabilistic evaluation of laharic hazard to Santiago Xalitzintla, locality in Puebla, at the NE flank of the Popocat&amp;#233</t>
  </si>
  <si>
    <t>https://www.scopus.com/inward/record.uri?eid=2-s2.0-85040186832&amp;partnerID=40&amp;md5=2ab1f076f5b014d3e25072957821b76d</t>
  </si>
  <si>
    <t>The analysis of isobase maps, as one of surface dynamic parameters, helps understanding the tectonic geomorphology of South Rifian Ridges, Northern Morocco. The automatic generation of morphostructural map of 2nd and 3rd order channels is based on 30-grid Digital Elevation Model into Geographic Information System environment presents good results, supporting previous studies. Comparing to the western ridges, the eastern ones, specially Moulay Idriss massif, evidence neotectonic activity triggered by the presence of evaporites to generate an active fold growth (Dehar en Nsour) and possible zone of subsidence (Volubilis basin). These morphostructures are associated with normal faults reactivated during and after Miocene times. The inflexion of Khoumane river is caused by an WNW-ESE recent fault. Copyright© 2017 Sociedad Geológica de Españ</t>
  </si>
  <si>
    <t>2-s2.0-85040186832"</t>
  </si>
  <si>
    <t>10.1007/s11069-016-2638-9</t>
  </si>
  <si>
    <t>https://www.scopus.com/inward/record.uri?eid=2-s2.0-84992695545&amp;doi=10.1007%2fs11069-016-2638-9&amp;partnerID=40&amp;md5=e720322a28ec14e8b3bf1a39ce28b7c2</t>
  </si>
  <si>
    <t>In China, the Yellow River Delta is a unique region with vulnerable ecosystems, and it is under the largest pressure from various risk sources. In recent years, this region has experienced rapid economic growth. However, the delta is vulnerable to environmental hazards and is seriously affected by various natural and anthropogenic hazards, such as coastal erosion, land subsidence, saltwater intrusion, soil salinization and groundwater pollution, due to natural disasters and human activities, thereby increasing the risk of environmental degradation in the Yellow River Delta. © 2016, Springer Science+Business Media Dordrecht.</t>
  </si>
  <si>
    <t>2-s2.0-84992695545"</t>
  </si>
  <si>
    <t>10.1175/MWR-D-16-0149.1</t>
  </si>
  <si>
    <t>https://www.scopus.com/inward/record.uri?eid=2-s2.0-85013940006&amp;doi=10.1175%2fMWR-D-16-0149.1&amp;partnerID=40&amp;md5=f2501a6cc47a3222d3469cc5b955ef0b</t>
  </si>
  <si>
    <t>The majority of structural damage and loss of life during a hurricane is due to storm surge, thus it is important for communities in hurricane-prone regions to understand their risk due to surge. Storm surge in particular is largely influenced by coastal features such as topography/bathymetry and bottom roughness. Bottom roughness determines how much resistance there is to the flow. Manning's formula can be used to model the bottom stress with the Manning's n coefficient, a spatially dependent field. Given a storm surge model and a set of model outputs, an inverse problem may be solved to determine probable Manning's n fields to use for predictive simulations. The inverse problem is formulated and solved in a measure-theoretic framework using the state-ofthe- art Advanced Circulation (ADCIRC) storm surge model. The use of measure theory requires minimal assumptions and involves the direct inversion of the physics-based map from model inputs to output data determined by the ADCIRC model. Thus, key geometric relationships in this map are preserved and exploited. By using a recently available subdomain implementation of ADCIRC that significantly reduces the computational cost of forward model solves, the authors demonstrate the method on a case study using data obtained from anADCIRC hindcast study of HurricaneGustav (2008) to quantify uncertainties in Manning's n within Bay St. Louis. However, the methodology is general and could be applied to any inverse problem that involves a map from model input to output quantities of interest. © 2017 American Meteorological Society.</t>
  </si>
  <si>
    <t>2-s2.0-85013940006"</t>
  </si>
  <si>
    <t>10.1175/JHM-D-16-0054.1</t>
  </si>
  <si>
    <t>https://www.scopus.com/inward/record.uri?eid=2-s2.0-85009494344&amp;doi=10.1175%2fJHM-D-16-0054.1&amp;partnerID=40&amp;md5=da1646872ffb194f86799448b0a3ec3d</t>
  </si>
  <si>
    <t>Winds, particularly high winds, strongly affect snowmelt and snow redistribution. High winds during rain-on-snow events can lead to catastrophic flooding while strong redistribution events in mountain environments can generate dangerous avalanche conditions. To provide adequate warnings, accurate wind data are required. Yet, mountain wind fields exhibit a high degree of heterogeneity at small spatial lengths that are not resolved by currently available gridded forecast data. Wind data from over 200 stations across Switzerland were used to evaluate two forecast surface wind products (~2- and 7-km horizontal resolution) and develop a statistical downscaling technique to capture these finer-scaled heterogeneities. Wind exposure metrics derived from a 25-m horizontal resolution digital elevation model effectively segregated high, moderate, and low wind speed sites. Forecast performance was markedly compromised and biased low at the exposed sites and biased high at the sheltered, valley sites. It was also found that the variability of predicted wind speeds at these sites did not accurately represent the observed variability. A novel optimization scheme that accounted for local terrain structure while also nudging the forecasted distributions to better match the observed distributions and variability was developed. The resultant statistical downscaling technique notably decreased biases across a range of elevations and exposures and provided a better match to observed wind speed distributions.</t>
  </si>
  <si>
    <t>2-s2.0-85009494344"</t>
  </si>
  <si>
    <t>10.1590/S1982-21702017000100007</t>
  </si>
  <si>
    <t>https://www.scopus.com/inward/record.uri?eid=2-s2.0-85016298493&amp;doi=10.1590%2fS1982-21702017000100007&amp;partnerID=40&amp;md5=08cf8915091553f2053a68018798f929</t>
  </si>
  <si>
    <t>In this study, we present a methodology to discretize a non-assessed basin based on terrain analysis using the SRTM digital elevation model (DEM) and a high resolution surface model (DSM) with a drainage network semi-automatic extraction process. The Juqueriquerê River Basin was used for the case study, which has the most representative non-urbanized plains of the northern coastline of São Paulo State, Brazil. The low-lying region is featured by elevations close to the sea level, mild slopes, and shallow water tables. It is also influenced by tidal variation and orographic rains. Therefore, frequent flooding occurs, even in vegetated areas. Two conflicting land use scenarios, proposed by the City Master Plan (CMP) of Caraguatatuba and the Ecological-Economical Zoning (EEZ), were compared to analyze the flood vulnerability increase and geotechnical risk caused by the urbanization process. The drainage extraction techniques showed better results on high resolution DSM for low-lying regions than the SRTM DEM and determined with accuracy the locations of flood potentiality in the plains. The watershed spatial discretization allowed us to show the effects of the two different land use approaches, considering the flood vulnerability and geotechnical risk of each sub-basin. © 2017, Universidade Federal do Parana. All rights reserved.</t>
  </si>
  <si>
    <t>2-s2.0-85016298493"</t>
  </si>
  <si>
    <t>10.18520/cs/v112/i05/1028-1033</t>
  </si>
  <si>
    <t>https://www.scopus.com/inward/record.uri?eid=2-s2.0-85014706375&amp;doi=10.18520%2fcs%2fv112%2fi05%2f1028-1033&amp;partnerID=40&amp;md5=93d365c68359df11976285f9ebde0192</t>
  </si>
  <si>
    <t>The recent flood in Machak River, Madhya Pradesh, India is a distinctive paradigm of flash floods that washed off rail tracks and killed a number of passengers besides incredible damage to Indian Railways and to the surrounding villages. This shows the vulnerability of bridges/culverts to flash floods in the country. Flash floods devastated the Machak River during the midnight of 4 August 2015 due to heavy rainfall in the catchment. The duration of flooding was small with less lead-time. Narrow river sections could not accommodate the peak discharge causing severe flooding in floodplains. Hydrological and hydro dynamic simulation was studied in the Machak River using space-based inputs to quantify the causes of flash floods and its impact. Satellite-based rainfall (GPM and IMD's WRF merged product) was used in hydrological modelling in the absence of field rainfall and discharge data. Flood inundation simulations were done using CARTO digital elevation model of 10 m resolution. Inundation extent, depth of inundation, and velocity of flow at different reaches were examined. As the slopes were steep in the upstream catchment area, the lag-time of the peak flood was found to be less and washed off the Machak rail culvert without any alert. The study reveals that quantitative parameters of the disaster are due to high intensity of rainfall, drainage congestion and sudden change of slopes across the catchment.</t>
  </si>
  <si>
    <t>2-s2.0-85014706375"</t>
  </si>
  <si>
    <t>10.1525/elementa.234</t>
  </si>
  <si>
    <t>https://www.scopus.com/inward/record.uri?eid=2-s2.0-85054850889&amp;doi=10.1525%2felementa.234&amp;partnerID=40&amp;md5=6619e6e4435b12dd0b324dae381fe83f</t>
  </si>
  <si>
    <t xml:space="preserve">                             Recurrent, tidally driven coastal flooding is one of the most visible signs of sea level rise. Recent studies have shown that such flooding will become more frequent and extensive as sea level continues to rise, potentially altering the landscape and livability of coastal communities decades before sea level rise causes coastal land to be permanently inundated. In this study, we identify US communities that will face effective inundation—defined as having 10% or more of livable land area flooded at least 26 times per year—with three localized sea level rise scenarios based on projections for the 3                             rd                              US National Climate Assessment. We present these results in a new, online interactive tool that allows users to explore when and how effective inundation will impact their communities. In addition, we identify communities facing effective inundation within the next 30 years that contain areas of high socioeconomic vulnerability today using a previously published vulnerability index. With the Intermediate-High and Highest sea level rise scenarios, 489 and 668 communities, respectively, would face effective inundation by the year 2100. With these two scenarios, more than half of communities facing effective inundation by 2045 contain areas of current high socioeconomic vulnerability. These results highlight the timeframes that US coastal communities have to respond to disruptive future inundation. The results also underscore the importance of limiting future warming and sea level rise: under the Intermediate-Low scenario, used as a proxy for sea level rise under the Paris Climate Agreement, 199 fewer communities would be effectively inundated by 2100.                          © 2017 The Author(s).</t>
  </si>
  <si>
    <t>2-s2.0-85054850889"</t>
  </si>
  <si>
    <t>10.1002/met.1606</t>
  </si>
  <si>
    <t>https://www.scopus.com/inward/record.uri?eid=2-s2.0-85007593522&amp;doi=10.1002%2fmet.1606&amp;partnerID=40&amp;md5=99c7bab4374df02cfee2bc69e6d23417</t>
  </si>
  <si>
    <t>As one of the most significant threats facing the world, climate change has already been manifested everywhere in the form of frequent extreme climate events (e.g. heat waves, floods, droughts and wildfires) and has caused serious impacts on all aspects of the living environment. Due to the regional variability of global climate change, understanding the ongoing climatic changes at a local scale is very important for decision makers and resource managers to develop appropriate mitigation and adaptation strategies against the changing climate. In this study, recent changes in extreme temperature indices (including frost days, summer days, icy days, tropical nights, growing season length, cool nights and warm nights, cool days and warm days, and daily temperature range) over the Beijing–Tianjin–Hebei (BTH) region of China were investigated in the context of global warming. The results indicate that the historical trends of these extreme temperature indices are statistically significant in Huailai, Beijing, Leting and Shijiazhuang while no significant trends are reported in Chengde, Tianjin and Cangzhou−Potou. By comparing results between coastal and inland stations, it is found that the changes in temperature extremes in inland stations are less significant than the changes in coastal stations. The results also suggest that the indices based on minimum temperature show decreasing trends while those for maximum temperature present increasing trends. Furthermore, mutation tests were performed for all indices in order to understand when the changes were initiated. An apparent mutation point (mostly in the 1980s) is detected for most of the analysed temperature indices. This may be caused by the wide implementation of the reform and opening policy in the early 1980s to boost economic development in the BTH region. © 2017 Royal Meteorological Society</t>
  </si>
  <si>
    <t>2-s2.0-85007593522"</t>
  </si>
  <si>
    <t>10.1016/j.envsoft.2017.03.030</t>
  </si>
  <si>
    <t>https://www.scopus.com/inward/record.uri?eid=2-s2.0-85016928501&amp;doi=10.1016%2fj.envsoft.2017.03.030&amp;partnerID=40&amp;md5=00baecd039b944dda073b677faa6333a</t>
  </si>
  <si>
    <t>This paper combines hydrological and flood models for the purpose of estimating surface and peak flow rates from precipitation storm events occurred in basins of Rize province located in northern Turkey, receiving highest annual average precipitation height over 2300 mm. Two models: (i) Watershed Modeling System for predicting hydrographs and (ii) TuFlow comprised of hydrodynamic model of a one-dimensional river flow and a two-dimensional surface flow model for floodplain delineation were coupled to determine flood risks in the basins of Rize province. A 100-year flood peak discharges are computed based on the historical records and generated records in relation to climate change scenarios using grid-based approach. The influences of resolution of the mesh-size with the same DEM data on automated floodplain delineation are also another concern to investigate in this study. The results of this study could be used in quantitative flood risk assessments in the design of municipal infrastructures in the region. The results of this study showed that İyidere River flooded during the both present and future (tied with three climate change scenarios) conditions and seemed to need rehabilitation whereas Çağlayan and Tahiroğlu rivers flooded only in present condition. Our investigation also showed that coarse grid resolutions might cause overestimation in the floodplain and water depth. © 2017 Elsevier Ltd</t>
  </si>
  <si>
    <t>2-s2.0-85016928501"</t>
  </si>
  <si>
    <t>10.1016/j.earscirev.2016.12.009</t>
  </si>
  <si>
    <t>https://www.scopus.com/inward/record.uri?eid=2-s2.0-85007282607&amp;doi=10.1016%2fj.earscirev.2016.12.009&amp;partnerID=40&amp;md5=638b74ac15fb30bc87a8080f5b22d46f</t>
  </si>
  <si>
    <t>Myanmar is among 15 nations that account for 80% of global population exposed to flooding. In 2008, the country suffered exceptional damage and human mortalities (&gt; 138,000) from tropical storm Nargis, which followed an unusual but not unprecedented storm track. In 2015, heavy monsoonal rains related to the tropical Madden–Julian Oscillation plus a slow-moving tropical storm (Komen) together caused major flooding, ~ 130 fatalities, and very severe damage and losses. Both events triggered international food, medical, and other assistance, including efforts to design rebuilding with greater resilience to floods. Orbital remote sensing can be employed to characterize such damaging floods and quantify future flood risk</t>
  </si>
  <si>
    <t>10.1590/S1679-87592017127706501</t>
  </si>
  <si>
    <t>https://www.scopus.com/inward/record.uri?eid=2-s2.0-85016399464&amp;doi=10.1590%2fS1679-87592017127706501&amp;partnerID=40&amp;md5=dc0ad509f7e90e0751e9632a967fd9db</t>
  </si>
  <si>
    <t>Particulate and dissolved metal concentrations were determined after the largest flood in the last 30 years on the east-west axis of the Paranaguá Estuarine Complex (PEC) and compared to the those of the dry period at two stations. Results confirmed that the flood greatly affected riverine outflows and the behavior of metals in the PEC. In particular, a sharp decrease in salinity was followed by extremely high SPM concentrations leading to a decrease in DO concentrations at both stations. For the dissolved phase, ANOSIM analysis showed a significant dissimilarity at each station between the sampled periods, whereas for the particulate phase this dissimilarity was found only for the samplings taken at the Antonina Station. KD values suggested dissolved Cu behavior was related to the presence of organic complexes and dissolved Mn had sediment resuspension of redox sediments and or/pore water injection as sources. Metal concentrations were lower than in polluted estuaries, though high enrichment factors found after the flood pointed to the influence of anthropogenic sources. In conclusion, the flood's influence was more evident at the Antonina Station, due to its location in the upper estuary, whereas in Paranaguá a high SPM content with low metal concentration was found, following the common pattern generally found in other marine systems subject to heavy rainfall events. © 2017, Universidade de Sao Paulo. All rights reserved.</t>
  </si>
  <si>
    <t>2-s2.0-85016399464"</t>
  </si>
  <si>
    <t>10.1016/j.euromechflu.2016.09.017</t>
  </si>
  <si>
    <t>https://www.scopus.com/inward/record.uri?eid=2-s2.0-85027952024&amp;doi=10.1016%2fj.euromechflu.2016.09.017&amp;partnerID=40&amp;md5=57afecab019d30a49d2cefca970bea69</t>
  </si>
  <si>
    <t>A tidal bore is a positive surge or compression wave formed in an estuarine system during the early flood tide under macro-tidal conditions. A series of physical experiments were conducted in a large facility to investigate the unsteady free-surface properties, velocity characteristics and Reynolds shear stresses. Both instantaneous and ensemble-averaged measurements were performed. The results demonstrated the intense turbulence and turbulent mixing under breaking and undular tidal bores. A range of dimensionless unsteady turbulent properties were carefully compared based upon both Froude and Morton similitudes with two different Reynolds number ranges. The data showed that several parameters were affected by scale effects, including velocity and Reynolds stress fluctuations during the bore propagation. The finding implies that laboratory study data might not be up-scaled to prototype conditions without some form of scale effects. © 2016 Elsevier Masson SAS</t>
  </si>
  <si>
    <t>2-s2.0-85027952024"</t>
  </si>
  <si>
    <t>10.18520/cs/v112/i02/267-278</t>
  </si>
  <si>
    <t>https://www.scopus.com/inward/record.uri?eid=2-s2.0-85010929502&amp;doi=10.18520%2fcs%2fv112%2fi02%2f267-278&amp;partnerID=40&amp;md5=a01b2a9fa86b58b1a865832b2067889d</t>
  </si>
  <si>
    <t>Coastal inundation is the flooding of coastal zone resulting from increased river discharge, spring tides, severe storms, or generation of powerful waves from tectonic activity (tsunami). This article discusses the critical factors that contribute to coastal inundation. Among the probable factors that cause coastal flooding and destruction, storm surge is the most frequent, and hence this article provides a detailed evaluation of the progress made in storm inundation research. Recent advances in coastal inundation modelling include efforts to understand the nonlinear dynamic interaction of near-shore waves, wind and atmospheric pressure with still water sea level and coastal currents, and their combined effects on storm surge along the coast and interaction with coastal morphology. An advanced storm-surge model comprises different modules, viz. an atmospheric component, and two ocean components for surge and wave simulations; these modules are coupled with each other. The nesting of regional coastal model with an ocean-wide model captures the far-field boundary forcing of extreme events that usually originate from the warm open ocean. Even though significant advancements reported on the efficiency and accuracy of storm surge and inundation prediction, further studies are required to understand the nonlinear interaction of storm surge with coastal landforms and their vegetation (land cover). In the context of rising sea level, increased tropical cyclone activity and rapid shoreline change, it is pertinent to evaluate the future flooding risk associated with landfall of tropical cyclones in densely populated coastal cities.</t>
  </si>
  <si>
    <t>10.4090/juee.2014.v3n1.009029</t>
  </si>
  <si>
    <t>https://www.scopus.com/inward/record.uri?eid=2-s2.0-85019647234&amp;doi=10.4090%2fjuee.2014.v3n1.009029&amp;partnerID=40&amp;md5=decb0fc049db8a2bf05f7dec4146a822</t>
  </si>
  <si>
    <t>A big earthquake occurred in the southern coastal of Java on July 17th, 2006. The earthquake caused Tsunami waves in the coastal area of West Java, Central Java, and Yogyakarta. In particular the potential of Tsunami hazard in southern part of Yogyakarta Province is high. Parangtritis is located at the southern part of Yogyakarta Province. Sand dune in Parangtritis coastal area has been a natural barrier of Tsunami hazard. In this case, minimizing impact of Tsunami can be conducted by estimating Tsunami hazard zones. In this research, we observed actual condition of sand dune and predicted the Tsunami inundation area using Remote Sensing and Geographic Information System application on ALOS PALSAR Differential Interferometric Synthetic Aperture Radar (DInSAR) technique. We propose a novel sand dune monitoring approach using DInSAR analysis on L-Band. The scenario on water depth was used to estimate Tsunami inundation area and wave direction. The monitoring accuracy was compared with the results of GPS measurements. We argued that the southeast Tsunami wave scenario with 30 meters elevation produced big hazard. Based on our study, we propose a sand dune conservation mapping and protection management plan of sand dune coastal area that can be used to improve awareness of local stakeholders. © 2017, JUEE Press. All rights reserved.</t>
  </si>
  <si>
    <t>2-s2.0-85019647234"</t>
  </si>
  <si>
    <t>International Journal of Environmental Studies</t>
  </si>
  <si>
    <t>10.1080/00207233.2016.1236647</t>
  </si>
  <si>
    <t>https://www.scopus.com/inward/record.uri?eid=2-s2.0-84994851015&amp;doi=10.1080%2f00207233.2016.1236647&amp;partnerID=40&amp;md5=563a72f4955ca09b2080879b8ba8b7b5</t>
  </si>
  <si>
    <t>Bangladesh’s physical geography is much more diverse and complex than is generally recognised. The landscapes of piedmont, river, tidal and estuarine floodplains, uplifted blocks and hill areas are described together with the associated environmental hazards that currently constrain crop production in specific regions. Practical measures to increase crop production in parallel with the projected increase in the country’s population in the next 20–30 years are reviewed, including measures to increase the efficiency of fertiliser use and irrigation, and structural measures to reduce the hazards of salinity incursion, sea-level rise and seasonal flooding. © 2016 Informa UK Limited, trading as Taylor &amp; Francis Group.</t>
  </si>
  <si>
    <t>2-s2.0-84994851015"</t>
  </si>
  <si>
    <t>10.1016/j.enggeo.2016.12.021</t>
  </si>
  <si>
    <t>https://www.scopus.com/inward/record.uri?eid=2-s2.0-85008450604&amp;doi=10.1016%2fj.enggeo.2016.12.021&amp;partnerID=40&amp;md5=4699b9083dfaaff15089f68bd323d6db</t>
  </si>
  <si>
    <t>Mining induced subsidence is one of the challenging problems in geotechnical engineering. The surface topography of the ground over mining excavations plays a key role in the mechanism of subsidence. When a mining operation is performed beneath mountainous or hilly terrain, it may trigger landslides. This study, therefore, aims to analyse the impacts of underground mining on the stability of slopes by using numerical modelling. A coal mining induced landslide at Nattai North, Australia, is investigated as a typical case study. In this area, mining operations beneath the Sydney Basin escarpments initiated the largest contemporary landslide and mass movement known in Australia (Cunningham, 1988). Discontinuous numerical modelling is employed to analyse the mechanisms of the ground movements leading to this landslide. The role of geological and geotechnical factors, such as rock mass characteristics, bedding, and joints, are discussed through the numerical modelling. The outcomes of the analyses reveal that mining induced stresses lead to the shear and compressive failure of weak strata at the escarpment base, particularly around its toe. The failure of the base materials as well as the caving of the overlaying bedded rocks into the extracted panel, facilitated the detachment of the massive sandstone. This rock column ahead of the escarpment, was overlaying the weak strata. The numerical results also indicate that the aforementioned rock column remained almost unaffected during mining. However, the failure of the weak strata at the toe of the escarpment initiated the simultaneous forward sliding and toppling of the rock column. This mode of failure which is known as ski jump type of failure, was previously observed and explained by Pells et al. (1987). © 2016 Elsevier B.V.</t>
  </si>
  <si>
    <t>2-s2.0-85008450604"</t>
  </si>
  <si>
    <t>10.1134/S009780781701016X</t>
  </si>
  <si>
    <t>https://www.scopus.com/inward/record.uri?eid=2-s2.0-85012912526&amp;doi=10.1134%2fS009780781701016X&amp;partnerID=40&amp;md5=3a05c2b5aefa5c98e87677287a9e7ea6</t>
  </si>
  <si>
    <t>The formation processes of a new delta-like object with a hydromorphic landscape in the upper part of the Kapchagai Reservoir on the Ili R.—an internal delta—are considered. The quantitative characteristics of the development of this delta are evaluated using data of Landsat-2, 5, and 7 space images over period 1975–2012. These processes were found to accelerate considerably in the wet year of 2012, and intense under-flooding and salinization of nearby lands were revealed in the Chilikskii alluvial fan on the southern wing of the Kapchagai delta. A consequence of this accumulative process was found to be the development of planar channel deformations of the Ili R. 30 km upstream the Kapchagai delta. © 2017, Pleiades Publishing, Ltd.</t>
  </si>
  <si>
    <t>2-s2.0-85012912526"</t>
  </si>
  <si>
    <t>10.1080/17445647.2017.1407272</t>
  </si>
  <si>
    <t>https://www.scopus.com/inward/record.uri?eid=2-s2.0-85049892970&amp;doi=10.1080%2f17445647.2017.1407272&amp;partnerID=40&amp;md5=c14a42782c3b71b6a30e9cd4a987c78b</t>
  </si>
  <si>
    <t>A detailed, 1:10,500-scale, surficial geology and glacial geomorphology map of Svínafellsjökull and Virkisjökull-Falljökull glacier forelands in southeast Iceland depicts the landsystem imprint of Holocene glacier fluctuations, volcanogenic outburst floods and recent (post-1990) climate-induced rapid ice-front retreat. The map is based on field survey data in combination with 2012 airborne LiDAR data, 2009–2012 terrestrial LiDAR data and 2007 colour aerial photography. The base digital elevation model (DEM) is compiled from an ice-cap wide airborne LiDAR dataset. The mapped glacial landforms are dominated by sequences of recessional moraines laid down in the mid-Holocene, the Little Ice Age, and the last ∼100 years</t>
  </si>
  <si>
    <t>10.1080/1755876X.2016.1255471</t>
  </si>
  <si>
    <t>https://www.scopus.com/inward/record.uri?eid=2-s2.0-85014769805&amp;doi=10.1080%2f1755876X.2016.1255471&amp;partnerID=40&amp;md5=cae4a3deda07e88d9f0c2ed7e0dae270</t>
  </si>
  <si>
    <t>The design, implementation and demonstration of a novel and generic computational forecast framework for multi-scale prediction of extreme sea levels and associated flooding is presented. Denoted Water Information Forecast Framework (WIFF), it integrates process-based models for waves, tides and surges from regional to local scales, predicting the flooding of coastal areas, and supporting the routine and emergency management of coastal resources. WIFF manages the simulations and the real-time monitoring data, archives the data and makes the information available through a WebGIS that targets users with distinct access privileges. Additionally, the web component of WIFF adapts automatically and transparently to any device. WIFF also provides ways to assess the model accuracy and generates tailored products based on model results and observations. WIFF is demonstrated in the prediction of extreme water levels in the Portuguese coast, simulating processes at different scales: at basin scales, waves are simulated in the North Atlantic and in the Portuguese shelf, and sea levels due to tides and atmospheric forcings are simulated in the Northeast Atlantic</t>
  </si>
  <si>
    <t>Bulletin de l'Institut Scientifique, Section Sciences de la Terre</t>
  </si>
  <si>
    <t>https://www.scopus.com/inward/record.uri?eid=2-s2.0-85043377278&amp;partnerID=40&amp;md5=2c27ccae869436ad59090df8d52096c1</t>
  </si>
  <si>
    <t>This paper considers the preliminary results of storms effects on the Rabat coast that occurred on 28 February and 1st March, 2017 in Morocco, in order to identify and manage risk coastal areas in the future. Indeed, the beaches were strongly eroded, the rock fills were destabilized and the constructions have been flooded and devastated. © 2017 Universite Mohammed V, Institut Scientifique.</t>
  </si>
  <si>
    <t>2-s2.0-85043377278"</t>
  </si>
  <si>
    <t>10.1175/JAMC-D-16-0088.1</t>
  </si>
  <si>
    <t>https://www.scopus.com/inward/record.uri?eid=2-s2.0-85013168682&amp;doi=10.1175%2fJAMC-D-16-0088.1&amp;partnerID=40&amp;md5=1c47a35d1ccda8ff9ebd8cb5d293dbc6</t>
  </si>
  <si>
    <t>This paper explores simulated changes to the cool-season (November-March) storm-surge and coastal-flooding events at the Battery in New York City, New York (NYC), during most of the twenty-first century using several climate models and a previously developed multilinear regression model. The surface wind and pressure forcing for the surge predictions are obtained from an ensemble of 6 coupled global climate models (GCM) and 30 members from the Community Earth System Model. Using the ""RCP8.5"" emission scenario, both the single-model and multimodel ensemble means yielded insignificant (significance level p &gt; 0.05) simulated changes to the median surge event (&gt;0.61 m above astronomical tide) between a historical period (1979-2004) and the mid-to-late twenty-first century (2054-79). There is also little change in the return interval for the moderate-to-high surge events. By the mid-to-late twenty-first century, there is a poleward shift of the mean surface cyclone track in many of the models and most GCMs demonstrate an intensification of the average cyclone. There is little effect on the future surge events at the Battery because most of these storm changes are not in a region that favors more or higher-amplitude surges at NYC. Rather, projected sea level rise dominates the future simulated change in the number of flooding events by the mid-to-late twenty-first century. For example, the projections show about 23 times as many coastal-flooding events (tide + surge ≥ 2.44 m above mean lower low water</t>
  </si>
  <si>
    <t>10.1007/s10113-016-1052-x</t>
  </si>
  <si>
    <t>https://www.scopus.com/inward/record.uri?eid=2-s2.0-84988328402&amp;doi=10.1007%2fs10113-016-1052-x&amp;partnerID=40&amp;md5=dfd3e0f223747089d908942b61278c81</t>
  </si>
  <si>
    <t>The Catalan coast as most of the developed Mediterranean coastal zone is characterized by the coincidence of stresses and pressures on the natural system with a high exposure and low adaptive capacity. Due to this, climate change-induced effects will increase natural hazards and aggravate their associated impacts and, in consequence, it is necessary to assess their effects for proper long-term management. In this work, we assess the impact of sea-level rise (SLR)-induced shoreline retreat on the Catalan coast for three scenarios ranging from 0.53 to 1.75 m by the year 2100. Implications are analysed in terms of affectation of two main functions provided by beaches, i.e. recreation and protection. Obtained results show that CC will be a serious threat to analysed functions since the expected enhanced shoreline retreat will severely decrease the recreational carrying capacity and the capacity of protection in the near future under tested scenarios. The actual level of development along the coastal zone reduces the natural resilient capacity of beaches to SLR in such a way that the lack of accommodation space can be identified as a main factor for the estimated impacts. © 2016, Springer-Verlag Berlin Heidelberg.</t>
  </si>
  <si>
    <t>2-s2.0-84988328402"</t>
  </si>
  <si>
    <t>10.1080/02626667.2016.1183774</t>
  </si>
  <si>
    <t>https://www.scopus.com/inward/record.uri?eid=2-s2.0-84989932573&amp;doi=10.1080%2f02626667.2016.1183774&amp;partnerID=40&amp;md5=9ec03d53270b388228a4141bae13cb64</t>
  </si>
  <si>
    <t>Nonstationary GEV-CDN models considering time as a covariate are built for evaluating the flood risk and failure risk of the major flood-control infrastructure in the Pearl River basin, China. The results indicate: (1) increasing peak flood flow is observed in the mainstream of the West River and North River basins and decreasing peak flood flow is observed in the East River basin</t>
  </si>
  <si>
    <t>Annales Societatis Geologorum Poloniae</t>
  </si>
  <si>
    <t>10.14241/asgp.2017.016</t>
  </si>
  <si>
    <t>https://www.scopus.com/inward/record.uri?eid=2-s2.0-85042648759&amp;doi=10.14241%2fasgp.2017.016&amp;partnerID=40&amp;md5=8e61cb48f2e740c4461860660caea1db</t>
  </si>
  <si>
    <t>The Sudetes are a mountain range in Central Europe, which owes its emergence to the Cenozoic rejuvenation of an old Variscan orogen, subject to stresses from the Alps and the Carpathians. The gross morphological features of the Sudetes are typically explained as reflecting the superposition of the effects of long-term, rock-controlled denudation and Late Cenozoic differential uplift and subsidence. In this paper, early conceptual models, developed in the 1950s and 1960s and emphasizing alternating uplift and planation phases, are presented first. A review of more recent work focused on tectonic landforms and geomorphic indicators of tectonic movements follows, with special attention to fault-generated escarpments, valley morphology, stream longitudinal profiles, terraces and fans, drainage basin characteristics and regional geomorphometric studies. Attempts to provide a timeframe of tectonic relief differentiation are also summarized. In the closing part of the paper, the existing approaches and findings are re-evaluated in order to identify challenges and perspectives for future work. The availability of high-resolution digital terrain models creates a unique opportunity to quantify relief features and detect even the subtle topographic signatures of recent tectonics. A need to reconcile the results of geomorphological analysis with those emerging from other studies focused on faults is highlighted. © 2017, Annales Societatis Geologorum Poloniae. All rights reserved.</t>
  </si>
  <si>
    <t>2-s2.0-85042648759"</t>
  </si>
  <si>
    <t>https://www.scopus.com/inward/record.uri?eid=2-s2.0-85018396680&amp;partnerID=40&amp;md5=032bc5fedeb4a16e0e1024fb49b45040</t>
  </si>
  <si>
    <t>This study aims to examine the riverbank changes and the impacts of water level rise on the right bank of the Mekong River in Nong Khai province, northeast Thailand. The Normalized Difference Water Index (NDWI) technique was applied for the extraction of water features from LANDSAT imagery to detect the change. The result shows both erosion and accretion in the study area during the dry season between the year 2000 and 2014 analyzed by LANDSAT-7 TM images recorded on February 13, 2000 and LANDSAT-8 OLI images recorded on March 31, 2014. The total area of erosion is 0.89 sq.km or 555.90 Rais at average rate of 1.31 m/year whereas total area of accretion is 3.93 sq.km or 2,457.27 Rais at an average rate of2 03 m/year. The morphological change of sandbars and river islets finds eroded/submerged area of 5.92 sq.km or 3,698.58 Rais and accreted area of 1.85 sq. bn or 1,153.21 Rais. Digital Elevation Model (DEM) is applied together with the Mekong River channel data year 2014 to simulate the water level rise scenarios. The result identifies that agricultural land would be the most at risk of flooding, next are miscellaneous land (water body, sandbar, islet, etc.) and forest land respectively. © Geoinformatics International.</t>
  </si>
  <si>
    <t>2-s2.0-85018396680"</t>
  </si>
  <si>
    <t>10.3390/hydrology4010012</t>
  </si>
  <si>
    <t>https://www.scopus.com/inward/record.uri?eid=2-s2.0-85045687112&amp;doi=10.3390%2fhydrology4010012&amp;partnerID=40&amp;md5=75d4a052e04a90621ac34ddece53902d</t>
  </si>
  <si>
    <t>The growth and spread of impervious surfaces within urbanizing catchment areas pose signiificant threats to the quality of natural and built-up environments. Impervious surfaces prevent water infiltration into the soil, resulting in increased runoff generation. The Erbil Sub-basin was selected because the impervious cover is increasing rapidly and is affecting the hydrological condition of the watershed. The overall aim of this study is to examine the impact of urban growth and other changes in land use on runoff response during the study period of 1984 to 2014. The study describes long-term hydrologic responses within the rapidly developing catchment area of Erbil city, in the Kurdistan Region of Iraq. Data from six rainfall stations in and around the Erbil Sub-basin were used. A Digital Elevation Model (DEM) was also used to extract the distribution of the drainage network. Historical levels of urban growth and the corresponding impervious areas, as well as land use/land cover changes were mapped from 1984 to 2014 using a temporal satellite image (Landsat) to determine land use/land cover changes. Land use/land cover was combined with a hydrological model (SCS-CN) to estimate the volume of runoff from the watershed. The study indicates that the urbanization of the watershed has increased the impervious land cover by 71% for the period from 1984 to 2004 and by 51% from 2004 to 2014. The volume of runoff was 85% higher in 2014 as compared to 1984 due to the increase in the impervious surface area</t>
  </si>
  <si>
    <t>10.1002/2016EA000194</t>
  </si>
  <si>
    <t>https://www.scopus.com/inward/record.uri?eid=2-s2.0-85041855805&amp;doi=10.1002%2f2016EA000194&amp;partnerID=40&amp;md5=fb70fa4df3b2311d7e817ac47853dd4a</t>
  </si>
  <si>
    <t>Information about wetland dynamics remains a major missing gap in characterizing, understanding, and projecting changes in atmospheric methane and terrestrial water storage. A review of current satellite methods to delineate and monitor wetland change shows some recent advances, but much improved sensing technologies are still needed for wetland mapping, not only to provide more accurate global inventories but also to examine changes spanning multiple decades. Global Navigation Satellite Systems Reflectometry (GNSS-R) signatures from aircraft over the Ebro River Delta in Spain and satellite measurements over the Mississippi River and adjacent watersheds demonstrate that inundated wetlands can be identified under different vegetation conditions including a dense rice canopy and a thick forest with tall trees, where optical sensors and monostatic radars provide limited capabilities. Advantages as well as constraints of GNSS-R are presented, and the synergy with various satellite observations are considered to achieve a breakthrough capability for multidecadal wetland dynamics monitoring with frequent global coverage at multiple spatial and temporal scales. © 2016. The Authors.</t>
  </si>
  <si>
    <t>2-s2.0-85041855805"</t>
  </si>
  <si>
    <t>10.3390/hydrology4020024</t>
  </si>
  <si>
    <t>https://www.scopus.com/inward/record.uri?eid=2-s2.0-85059021113&amp;doi=10.3390%2fhydrology4020024&amp;partnerID=40&amp;md5=98073148bd9187d2665ba09e2243bf8d</t>
  </si>
  <si>
    <t>Flooding is one of the most frequent natural disasters across the world, which damages properties and may take the lives of people. Flood warning systems can play a significant role in minimizing those effects by helping to evacuate people from the probable affected areas during peak flash flood times. Therefore, a conceptual approach of an automated flood warning system is presented in this research to protect several houses, roads, and infrastructures along the Grand River, which are vulnerable to flooding during a 500 year return period flash flood. The Grand River is a tributary of Lake Erie, which lies in the Grand River watershed in the northeastern region of the United States and has a humid continental climate and receives lake-effect precipitation. The flood warning system for the Grand River was developed specifically during high flow conditions by calculating flood travel time and generating the inundation mapping for 12 different selected flood stages, which were approximately 2 to 500 years in recurrence interval, ranging from 10 ft. to 21 ft. at gage station 04212100, near the City of Painesville, OH. A Hydraulic Engineering Center-River Analysis System (HEC-RAS) was utilized for hydraulic modeling. Geospatial data required for HEC-RAS was obtained using a Digital Elevation Model (DEM) derived from Light Detection and Ranging (LiDAR) datasets, which were pre-processed and post-processed in HEC-GeoRAS to produce flood inundation maps. The flood travel time and flood inundation maps were generated by integrating LiDAR data with field verified survey results in order to provide the evacuation lead time needed for the people of probable affected areas, which is different from earlier studies. The generated inundation maps estimate the aerial extent of flooding along the Grand River corresponding to the various flood stages at the gage station near the City of Painesville and Harpersfield. The inundation maps were overlaid on digital orthographic maps to visualize its aerial extents, which can be uploaded online to provide a real-time inundation warning to the public when the flood occurs in the river. © 2017 by the authors.</t>
  </si>
  <si>
    <t>2-s2.0-85059021113"</t>
  </si>
  <si>
    <t>10.1007/s10584-016-1854-3</t>
  </si>
  <si>
    <t>https://www.scopus.com/inward/record.uri?eid=2-s2.0-84995791047&amp;doi=10.1007%2fs10584-016-1854-3&amp;partnerID=40&amp;md5=ce4170670e7cad2acfbdf28d0c2b77a3</t>
  </si>
  <si>
    <t>Climate change is expected to result in an acceleration of current rates of sea level rise, inundating many low-lying coastal and intertidal landscapes. This could have important implications for many coastal habitat types and related organisms that depend on these habitats, including shorebirds that rely on them for feeding, overwintering and breeding. Potential change in the availability of suitable breeding area according to linear and model-based sea level rise scenarios was modeled for four breeding birds (Kentish Plover, Little Tern, Common Tern and Black-winged Stilt) in Sečovlje Salina Nature Park, based on precise mapping of nests over a period of 10 years and on present environmental predictors. Different breeding niches for the studied bird species in SSNP were identified, which indirectly indicates different responses to environmental change, in this case triggered by climate change induced sea level rise. Future breeding suitability maps indicate that the Little Tern and the Common Tern could potentially face a drastic decrease of adequate breeding grounds in SSNP later than the Kentish Plover and the Black-winged Stilt. However, these individual species responses to sea level rise, as a climate change driver, is a step forward for conservation biologists and landscape planners in protected areas, as they prepare cost-effective plans for mitigating negative impact on these ecosystems. This study also illustrates an important general point about the likely effects of climate change on ecological resources, which is that climate change does not happen in a vacuum</t>
  </si>
  <si>
    <t>10.1007/s11069-016-2587-3</t>
  </si>
  <si>
    <t>https://www.scopus.com/inward/record.uri?eid=2-s2.0-84988697504&amp;doi=10.1007%2fs11069-016-2587-3&amp;partnerID=40&amp;md5=d4757fcb5aedcab571ee34a59f762e97</t>
  </si>
  <si>
    <t>After the devastating hurricane season of 2005, shortcomings with the Saffir–Simpson Hurricane Scale’s (SSHS) ability to characterize a tropical cyclone’s potential to generate storm surge became widely apparent. As a result, several alternative surge indices were proposed to replace the SSHS, including Powell and Reinhold’s integrated kinetic energy (IKE) factor, Kantha’s Hurricane Surge Index (HSI), and Irish and Resio’s Surge Scale (SS). Of the previous, the IKE factor is the only surge index to date that truly captures a tropical cyclone’s integrated intensity, size, and wind field distribution. However, since the IKE factor was proposed in 2007, an accurate assessment of this surge index has not been performed. This study provides the first quantitative evaluation of the IKEs ability to serve as a predictor of a tropical cyclone’s potential surge impacts as compared to other alternative surge indices. Using the tightly coupled Advanced Circulation and Simulating Waves Nearshore models, the surge and wave responses of Hurricane Ike in 2008 and 78 synthetic tropical cyclones were evaluated against the SSHS, IKE, HSI, and SS. Results along the northwestern Gulf of Mexico coastline demonstrate that the HSI performs best in capturing the peak surge response of a tropical cyclone, while the IKE accounting for winds greater than tropical storm intensity (IKETS) provides the most accurate estimate of a tropical cyclone’s regional surge impacts. These results demonstrate that the appropriate selection of a surge index ultimately depends on what information is of interest to be conveyed to the public and/or scientific community. © 2016, Springer Science+Business Media Dordrecht.</t>
  </si>
  <si>
    <t>2-s2.0-84988697504"</t>
  </si>
  <si>
    <t>International Journal of Speleology</t>
  </si>
  <si>
    <t>10.5038/1827-806X.46.2.2087</t>
  </si>
  <si>
    <t>https://www.scopus.com/inward/record.uri?eid=2-s2.0-85021751690&amp;doi=10.5038%2f1827-806X.46.2.2087&amp;partnerID=40&amp;md5=9e030e9a2e4813a62adb7317c37468a2</t>
  </si>
  <si>
    <t>Since the early 80s, a progressively increasing number of sinkholes appeared along the Dead Sea coastal line. It has been found that their appearance is strongly correlating with the lowering of the Dead Sea level taking place with the rate of approximately 1 m/yr. Location of areas affected by sinkhole development corresponds to location of the salt formation deposited during the latest Pleistocene, when the Lake Lisan receded to later become the Dead Sea. Water flowing to the Dead Sea from adjacent and underlying aquifers dissolves salt and creates caverns that cause ground subsidence and consequent formation of sinkholes. Before subsidence, these caverns are not visible on the surface but can be investigated with surface geophysical methods. For that, we applied Surface Nuclear Magnetic Resonance (SNMR), Transient Electromagnetic (TEM) Seismic refraction and reflection, Multichannel Analysis of Surface waves (MASW), microgravity and magnetic surveys and their combinations. Our geophysical results allowed us to locate the salt formation and to detect caverns in salt thus contributing to better understanding sinkhole development mechanisms. Comparison of sinkhole appearance along the western DS shore derived from the recent database (2017) shows that predictions made on the base of geophysical data (2005-2008) are now confirmed thus demonstrating efficiency of our study. In this paper, we briefly present a summary of up to date knowledge of the geology and hydrogeology of Dead Sea basin, of the physical properties of the salt rock and the most popular models explaining mechanisms of sinkhole development. We also share our experience gained during geophysical studies carried out in the framework of national and international research projects in this area for the last 20 years. © 2017, University of Teheran. All rights reserved.</t>
  </si>
  <si>
    <t>2-s2.0-85021751690"</t>
  </si>
  <si>
    <t>10.1007/s10708-015-9668-9</t>
  </si>
  <si>
    <t>https://www.scopus.com/inward/record.uri?eid=2-s2.0-84938782971&amp;doi=10.1007%2fs10708-015-9668-9&amp;partnerID=40&amp;md5=ed4d1b6a6ba0abc3e96d7bcb40f87799</t>
  </si>
  <si>
    <t>The objective of the present study is to simulate the physical and socioeconomic factors of human vulnerability to tropical cyclones and storm surges at the household level in existing and changing status of households. The primary data were collected from a cyclone prone coastal area in Bangladesh, through structured questionnaire and GPS survey, key informants interviews and field observations. In order to simulate the physical and socioeconomic factors geographical information systems based Structured Query Language (SQL) query has been used. The study simulated the physical and socioeconomic factors of human vulnerability to tropical cyclones and storm surges on the basis of collected data through pre-designed SQL query. The study found the number of most vulnerable households under existing conditions and how much it will be afterward of a favourable or adverse change of the factors of vulnerability associated with households. The major findings of the study unveil that the socioeconomic and physical factors of human vulnerability have important function to determine the household’s level of vulnerability to the cyclone induced disaster. It has been demonstrated that the degree of vulnerability of households is changed with its physical and socioeconomic status. This study provides a conceptual model for assessing and simulating vulnerability to other natural hazards like floods, droughts, riverbank erosions and so forth. This study highlights that the households’ intrinsic vulnerable conditions are responsible for its defencelessness to the hazards and the reduction of vulnerability is the first measure of integrated and sustainable disaster management in the coastal Bangladesh. © 2015, Springer Science+Business Media Dordrecht.</t>
  </si>
  <si>
    <t>2-s2.0-84938782971"</t>
  </si>
  <si>
    <t>10.2205/2017ES000608</t>
  </si>
  <si>
    <t>https://www.scopus.com/inward/record.uri?eid=2-s2.0-85072877365&amp;doi=10.2205%2f2017ES000608&amp;partnerID=40&amp;md5=090f61d41d5e76aff126fa7b296ded4d</t>
  </si>
  <si>
    <t>Numerical simulation of surges in the White and Barents seas is based on the ADCIRC numerical model and SWAN spectral wave model. In this paper, the terms “surge” and “storm surge” were divided. The “surge” is considered to be a physical phenomenon, and “storm surge” is an eco-geographical one. A calculating method of surge height was presented. Calculations were made using an unstructured mesh with high spatial resolution, covering both the White and Barents seas with a minimum step of 50 m in the coastal zone. The NCEP/CFSR reanalysis of wind, atmospheric pressure, and ice concentration fields from 1979 to 2015 were used as the input data. The tides based on the FES 2008 database with a 1/8∘ resolution were defined at the open boundary. Validation of the ADCIRC model data was made using the observational data. The ADCIRC model was adjusted to the conditions in the White and Barents seas. The synoptic situations, which lead to surge occurrence, were analyzed. The seasonal and interannual variability of the occurrence of surges was given. The wind, atmospheric pressure, and wind waves contribution to the surge formation was assessed. Extreme values of surge heights, which are possible once in a hundred years, were calculated. Copyright 2017 by the Geophysical Center RAS.</t>
  </si>
  <si>
    <t>2-s2.0-85072877365"</t>
  </si>
  <si>
    <t>10.3390/hydrology4030040</t>
  </si>
  <si>
    <t>https://www.scopus.com/inward/record.uri?eid=2-s2.0-85048272812&amp;doi=10.3390%2fhydrology4030040&amp;partnerID=40&amp;md5=313981eba344cf14e9e58d3b7b52869c</t>
  </si>
  <si>
    <t>The Niger Inland Delta (NID) wetland comprises a large flooded area that plays an important role in the ecosystem services. This study provides a comprehensive understanding of the NID's hydro-climatological functioning using water balance approach. After a clear description of the water budget's elements specific to the NID catchment, a spatial and temporal dynamics of the annual flood across the NID over the period 2000-2009 was performed using data from satellite QuickSCAT and its associated sensor SeaWinds. The estimated areas were used along with observed discharge and remotely-sensed climatic data to quantitatively evaluate each water balance component. The results indicate: (i) a clear spatiotemporal of the flooded areas varied between 25,000 km2 in wet periods and 2000 km2 in dry periods</t>
  </si>
  <si>
    <t>10.1016/j.envsoft.2017.09.003</t>
  </si>
  <si>
    <t>https://www.scopus.com/inward/record.uri?eid=2-s2.0-85029530716&amp;doi=10.1016%2fj.envsoft.2017.09.003&amp;partnerID=40&amp;md5=215c0e8304587bb60164082d357f9471</t>
  </si>
  <si>
    <t>Due to the increase in coastal flooding risk associated with sea-level rise and increasing population along the coasts, there is a strong need to develop efficient and long-term management strategies. In partnership with the local administration of Oléron Island in France, a participatory simulation model was developed to foster social learning about coastal risk prevention measures with local authorities and managers. This simulation integrates a coastal flooding model and a spatially explicit agent-based model that simulates the development of the area and the management of prevention measures. The participatory set-up includes an immersive environment for participants to remember the coastal flooding simulation displayed and a role game mechanism that simulates the coordination issues between the different decision bodies involved in coastal risk management. A first application proved that participants learn about the water expansion dynamics during flood events and the effects of building, raising and restoring dikes. © 2017 Elsevier Ltd</t>
  </si>
  <si>
    <t>2-s2.0-85029530716"</t>
  </si>
  <si>
    <t>10.2112/JCOASTRES-D-16-00057.1</t>
  </si>
  <si>
    <t>https://www.scopus.com/inward/record.uri?eid=2-s2.0-85009250109&amp;doi=10.2112%2fJCOASTRES-D-16-00057.1&amp;partnerID=40&amp;md5=eb30149fa737c3401683ba64a978ab70</t>
  </si>
  <si>
    <t>This study investigates the diurnal and semidiurnal tidal responses of the entire China Sea to a potential rise in sea level of 0.5-2 m. A modified two-dimensional tidal model based on MIKE21 is primarily configured and validated for the present situation</t>
  </si>
  <si>
    <t>Revista Mexicana de Ciencias Geologicas</t>
  </si>
  <si>
    <t>https://www.scopus.com/inward/record.uri?eid=2-s2.0-85026648369&amp;partnerID=40&amp;md5=c219c983f9c5183575ac9d4ec58ce04e</t>
  </si>
  <si>
    <t>A morphometric analysis using Geographic Information System and Remote Sensing tools was performed to study the Agua Negra River basin, in the Central Andes of western Argentina. Well-delineated drainage basin boundaries are a critical factor in numerous natural resources studies such as flood assessment, water-usage, basin protection, preservation, planning, and resources management. In spite of their advantages, morphometry and automatic delineation of basins have rarely been applied in western Argentina. Through such an approach, the current study has successfully used computer-assisted methods and digital elevation models to delineate 17 basins through which a section of International 150 road passes. The resulting automated delineations were later compared with digital-manual delineations made with digital satellite imagery and topographic maps. The computer-assisted delineation compared very well to the digital-manual delineations, generally following drainage divides. The work load (including reprocessing and editing) was sharply decreased with the DEM computer-assisted delineating method, because digitally derived polygonal sub-basins areas were delineated in shorter times than those of the conventional manual method. Statistically, the absolute difference between computer-assisted and manually-derived basin area delineations was 5.29 percent, in average, on a range of 0.50 - 13.83 percent. In addition, a peak discharge analysis has been done as well. The slight differences in some results were irrelevant, when realizing the amount of resources and time saved with the automated techniques.</t>
  </si>
  <si>
    <t>2-s2.0-85026648369"</t>
  </si>
  <si>
    <t>https://www.scopus.com/inward/record.uri?eid=2-s2.0-85018404072&amp;partnerID=40&amp;md5=663c57349b1d20dc220fbae6c5c42ca8</t>
  </si>
  <si>
    <t>Flooding is one of the most commonly occurring natural hazards worldwide. Multiple geomorphic factors such as elevation, slope, topographic wetness index and distance from the river channel impact on flood J susceptibility. Determining the effect of each factor and integration of their influence on flood hazard zonation has become an essential need in flood management. This study attempts to develop a hierarchical model for flood hazard zonation in the coastal lowland of Central Vietnam by using a multi-parametric approach. Five factors including elevation based flood inundation, distance from the river channel, land use, slope and topographic wetness index have been taken into consideration for developing flood hazard zonation. The Analytical Hierarchy Process (AHP) method was applied to assign weights according to the pair-wise comparisons of the parameters. These weights were used for calculation of Flood Hazard Index which was then evaluated and classified into four zones of flood hazard susceptibility. The result of flood hazard zonation was compared with field survey flood pillar points and flood inundation map extracted from ALOS PALSAR image in 2007 for validation. The comparison with field flood pillars indicated good correspondence with demarcated zones and estimated depth. Further, nearly 80 percent of inundated areas observed in ALOS PALSAR data fall in the high and very high flood hazard zones. The excellent agreement between flood hazard zonation map and observed inundation demonstrate the effectiveness AHP based method in flood hazard assessment. © Geoinformatics International.</t>
  </si>
  <si>
    <t>2-s2.0-85018404072"</t>
  </si>
  <si>
    <t>10.1525/elementa.128</t>
  </si>
  <si>
    <t>https://www.scopus.com/inward/record.uri?eid=2-s2.0-85060327675&amp;doi=10.1525%2felementa.128&amp;partnerID=40&amp;md5=ddc9392846b594238d4c38d45262e29c</t>
  </si>
  <si>
    <t>Deltaic environments are often densely populated with high socio-economic values, and thus are hotspots of climatic, environmental and anthropogenic change. Large scale engineered structures, such as dike systems, have played an important role in shaping both environmental and socio-economic conditions in deltas, with such interventions more likely where there is a high population and a wealthy economy. Engineered interventions interact with the morphological evolution of the delta, reducing or removing sedimentation and accelerating subsidence, increasing the consequences of flooding and necessitating further adaptation. They also encourage further development, reinforcing this feedback. Thus, in these cases, the deltaic landscape and associated livelihoods can be considered to be the result of a coevolution process between natural delta processes and human engineered interventions. This paper explores this hypothesis. It analyses the history of large scale engineering interventions and their implications in five representative, large, populated deltas across the globe (Ganges-Brahmaputra-Meghna, Yangtze, Rhine-Meuse-Scheldt, Mekong and Nile). The results demonstrate coevolution has occurred and indicate that the response type and the management approach of these engineered structures have significant implications for future delta development. To understand and manage unintended consequences and the development of lock-in trajectories in deltas, a systematic understanding of delta development, including these coevolution processes is essential. © 2017 The Author(s). This is an open-access article distributed under the terms of the Creative Commons Attribution 4.0 International License</t>
  </si>
  <si>
    <t>2-s2.0-85060327675"</t>
  </si>
  <si>
    <t>10.1080/04353676.2017.1355216</t>
  </si>
  <si>
    <t>https://www.scopus.com/inward/record.uri?eid=2-s2.0-85054801042&amp;doi=10.1080%2f04353676.2017.1355216&amp;partnerID=40&amp;md5=e8d3fb6a7dadca0ece117f74f50c35d2</t>
  </si>
  <si>
    <t>We report an average mass balance of −0.6 ± 0.1 m w.e. a−1 of the maritime Breiðamerkurjökull outlet glacier of Vatnajökull (∼906 km2, reaching 10–1700 m a.s.l.) from its Little Ice Age high stand (LIAmax) of about 1890–2010. This equals an average supplement of ∼18 ± 3 m3 s−1 to the drainage basin of the Breiðamerkursandur outwash plain. Our estimates are derived by comparing digital elevation models (DEMs) of the glacier surfaces from 2010 (LiDAR) 1945 and at the LIAmax. The models are derived from a LiDAR DEM surveyed in 2010–2011, topographic maps from 1904 and 1945, geomorphological field evidence, aerial and oblique photographs, and written historical documents. Over the 120 years, the glacier terminus retreated 4–7 km, and a land area of ∼115 km2 (0.95 km2 a−1) was exposed. The total volume of 70 ± 8 km3 water equivalent was lost (equivalent to 0.18 ± 0.02 mm of global sea-level rise), at an average rate of 0.6 ± 0.1 km3 a−1. The lowest parts of the glacier terminus lowered by up to 200 m, but above 1500 m the elevation change was minor. About 2/3 of the ice loss occurred after the mid-twentieth century. © 2017 Swedish Society for Anthropology and Geography.</t>
  </si>
  <si>
    <t>2-s2.0-85054801042"</t>
  </si>
  <si>
    <t>10.1126/sciadv.1602762</t>
  </si>
  <si>
    <t>https://www.scopus.com/inward/record.uri?eid=2-s2.0-85039444169&amp;doi=10.1126%2fsciadv.1602762&amp;partnerID=40&amp;md5=4b66eec52d760894e815f2515ba666e2</t>
  </si>
  <si>
    <t>Biodiversity declined markedly over the past 150 years, with the biodiversity loss in fluvial ecosystems exceeding the global average. River restoration now aims at flood safety while enhancing biodiversity and has had success locally. However, at the scale of large river distributaries, the recovery remained elusive. We quantify changes in biodiversity of protected and endangered species over 15 years of river restoration in the embanked floodplains of an entire river delta. We distinguish seven taxonomic groups and four functional groups in more than 2 million field observations of species presence. Of all 179 fluvial floodplain sections examined, 137 showed an increase in biodiversity, particularly for fast-spreading species. Birds and mammals showed the largest increase, that is, +13 and +3 percentage point saturation of their potential based on habitat. This shows that flood risk interventions were successfully combined with enhancement of biodiversity, whereas flood stage decreased (−24 cm). Copyright © 2017 The Authors, some rights reserved</t>
  </si>
  <si>
    <t>https://www.scopus.com/inward/record.uri?eid=2-s2.0-85015419390&amp;partnerID=40&amp;md5=9109fa11d9e06dec042c689808e1bb71</t>
  </si>
  <si>
    <t>This study assesses geotechnical properties and probable natural hazards of the Lara-Kundu area, regarding the impacts of urbanization on the geological environment and vice-versa. Soils of the area are of dune and lagoon origin. Plasticity index of the clays varies from 39 to 57 % and the water content is between 26-45%. Plasticity index of peats varies from 65 to 117 % and the water content is between 226-405%. Su values are 29-91 kPa. Compressibility index of clay samples are Cc=0.217-0.385 and OCR values range from 0.86 to 1.06. Compressibility index of peat samples range from 0.387 to 0.637. Some buildings constructed in the study area suffer from foundation-settlement problems. Tilting or differential settlement in the study area occurs due to high compressibility. Seismic activity can be grouped into two</t>
  </si>
  <si>
    <t>10.1080/1755876X.2016.1253328</t>
  </si>
  <si>
    <t>https://www.scopus.com/inward/record.uri?eid=2-s2.0-85014782157&amp;doi=10.1080%2f1755876X.2016.1253328&amp;partnerID=40&amp;md5=d53f32e9e2df3f7b543ed8314ea5dc53</t>
  </si>
  <si>
    <t>This paper evaluates three surface wind reanalyses in the North Atlantic Ocean: Climate Forecast System Reanalysis (CFSR/NOAA), ERA-Interim/ECMWF and the Hindcast of Dynamic Processes of the Ocean and Coastal Areas of Europe (HIPOCAS) based on the regional atmospheric model (REMO). The assessment is performed using satellite data from the GlobWave Project. The first part of this study compares the reanalyses in spatial and temporal domains. Furthermore, the analysis is also divided into overall conditions and extreme events. The second part evaluates each reanalysis independently using satellite data. In order to compare and evaluate the three datasets, coincident periods and grid domain were determined, which corresponds to the interval between 1979 and 2001, latitudes between 15° and 72° North and longitudes between 66° West and 7° East. The comparison results show that under calm winds the agreement among reanalyses is good. However, an increasing difference is found under extreme conditions. For extreme events, HIPOCAS (REMO) has the strongest winds, followed by CFSR and ERA-Interim. The assessment using measurements indicates underestimation of winds at mid–high latitudes above 45° North and overestimation at low latitudes. The monthly analysis suggests a strong seasonal cycle with overestimation of all reanalyses in the summer and underestimation in the winter. The lowest errors and best performance was obtained by CFSR, followed by HIPOCAS (REMO) at mid–high latitudes and ERA-Interim at low latitudes. A significant underestimation of ERA-Interim for the peak of the storms was found, which can be associated with its coarse time and space resolution. © 2016 Institute of Marine Engineering, Science &amp; Technology.</t>
  </si>
  <si>
    <t>2-s2.0-85014782157"</t>
  </si>
  <si>
    <t>10.1080/17445647.2017.1415989</t>
  </si>
  <si>
    <t>https://www.scopus.com/inward/record.uri?eid=2-s2.0-85042088946&amp;doi=10.1080%2f17445647.2017.1415989&amp;partnerID=40&amp;md5=8b3d7d6524d9b32eb4d4165290a160f2</t>
  </si>
  <si>
    <t>The coastal areas of the central Mediterranean Sea are sensitive to climate change and the consequent relative sea level rise. Both phenomena may affect densely urbanized and populated areas, causing severe damages. Our maps show the land-marine flooding projections as effects of the expected relative sea level rise for four Italian coastal plains using (i) IPCC AR5 estimations, based on the IPCC RCP 8.5 emission scenarios and (ii) the Rahmstorf 2007 model. Isostatic and tectonic data were added to the global projections to estimate the relative sea changes expected along the coastline by 2100, as well as sea-flooding. The northern Adriatic map shows the study area, extending for about 5500 km2, and is presented at a scale of 1:300,000 with two inset maps at a scale of 1:150,000. The Oristano coastal plain is about 125 km2</t>
  </si>
  <si>
    <t>10.1007/s10236-016-1009-0</t>
  </si>
  <si>
    <t>https://www.scopus.com/inward/record.uri?eid=2-s2.0-84995756410&amp;doi=10.1007%2fs10236-016-1009-0&amp;partnerID=40&amp;md5=c767ec42fd204401c0f7e448b5590d6f</t>
  </si>
  <si>
    <t>The effect of wind waves on water level and currents during two storms in the North Sea is investigated using a high-resolution Nucleus for European Modelling of the Ocean (NEMO) model forced with fluxes and fields from a high-resolution wave model. The additional terms accounting for wave-current interaction that are considered in this study are the Stokes-Coriolis force, the sea-state-dependent energy and momentum fluxes. The individual and collective role of these processes is quantified and the results are compared with a control run without wave effects as well as against current and water-level measurements from coastal stations. We find a better agreement with observations when the circulation model is forced by sea-state-dependent fluxes, especially in extreme events. The two extreme events, the storm Christian (25–27 October 2013), and about a month later, the storm Xaver (5–7 December 2013), induce different wave and surge conditions over the North Sea. Including the wave effects in the circulation model for the storm Xaver raises the modelled surge by more than 40 cm compared with the control run in the German Bight area. For the storm Christian, a difference of 20–30 cm in the surge level between the wave-forced and the stand-alone ocean model is found over the whole southern part of the North Sea. Moreover, the modelled vertical velocity profile fits the observations very well when the wave forcing is accounted for. The contribution of wave-induced forcing has been quantified indicating that this represents an important mechanism for improving water-level and current predictions. © 2016, Springer-Verlag Berlin Heidelberg.</t>
  </si>
  <si>
    <t>2-s2.0-84995756410"</t>
  </si>
  <si>
    <t>10.1007/s11852-016-0481-5</t>
  </si>
  <si>
    <t>https://www.scopus.com/inward/record.uri?eid=2-s2.0-85009877663&amp;doi=10.1007%2fs11852-016-0481-5&amp;partnerID=40&amp;md5=08fe6261cdbb4e8a8a47a9b4da3a768a</t>
  </si>
  <si>
    <t>Grabens are formed under the influence of extensional forces in a normal fault system. The Gulf of Gökova is an active graben located in SW Turkey. Active grabens such as the Gökova enclose highly faulted rocky coasts. Despite the existence of these rocky coasts, examination of google earth images, field studies, DEM analysis and previous studies in the Gulf of Gökova graben revealed that there could be different types of coasts in the region. In this study the factors causing the occurrence and potential environmental effects of the diverse coast types are evaluated. By using the Fairbridge (2004) coastal classification system, the coast types identified in the Gulf of Gökova graben can be classified as</t>
  </si>
  <si>
    <t>10.1002/2016EA000193</t>
  </si>
  <si>
    <t>https://www.scopus.com/inward/record.uri?eid=2-s2.0-85021212138&amp;doi=10.1002%2f2016EA000193&amp;partnerID=40&amp;md5=32a6315cd5a5986fe54f7bcc46791983</t>
  </si>
  <si>
    <t>While global climate models (GCMs) provide useful projections of near-surface wind vectors into the 21st century, resolution is not sufficient enough for use in regional wave modeling. Statistically downscaled GCM projections from Multivariate Adaptive Constructed Analogues provide daily averaged near-surface winds at an appropriate spatial resolution for wave modeling within the orographically complex region of San Francisco Bay, but greater resolution in time is needed to capture the peak of storm events. Short-duration high wind speeds, on the order of hours, are usually excluded in statistically downscaled climate models and are of key importance in wave and subsequent coastal flood modeling. Here we present a temporal downscaling approach, similar to constructed analogues, for near-surface winds suitable for use in local wave models and evaluate changes in wind and wave conditions for the 21st century. Reconstructed hindcast winds (1975–2004) recreate important extreme wind values within San Francisco Bay. A computationally efficient method for simulating wave heights over long time periods was used to screen for extreme events. Wave hindcasts show resultant maximum wave heights of 2.2 m possible within the Bay. Changes in extreme over-water wind speeds suggest contrasting trends within the different regions of San Francisco Bay, but 21th century projections show little change in the overall magnitude of extreme winds and locally generated waves. ©2017. The Authors.</t>
  </si>
  <si>
    <t>2-s2.0-85021212138"</t>
  </si>
  <si>
    <t>Terra Nova</t>
  </si>
  <si>
    <t>10.1111/ter.12246</t>
  </si>
  <si>
    <t>https://www.scopus.com/inward/record.uri?eid=2-s2.0-85007610419&amp;doi=10.1111%2fter.12246&amp;partnerID=40&amp;md5=0159cecdbc052e6880d1777da3642ca6</t>
  </si>
  <si>
    <t>Archaeological and instrumental data indicate that the southern sector of the volcanic island of Lipari has been subsiding for the last 2100 years due to isostatic and tectonic factors, at variable rates of up to ~11 mm a−1. Based on this data, a detailed marine flooding scenario for 2100 AD is provided for the bay of Marina Lunga in the eastern part of the island from (1) an ultra-high-resolution Digital Terrain and Marine Model (DTMM) generated from multibeam bathymetry (MB) and Unmanned Aerial Vehicles (UAV), (2) the rate of land subsidence from Global Positioning System (GPS) data and (3) the regional sea-level projections of the International Panel on Climate Change (IPCC). When land subsidence is considered, the upper bound of sea-level rise is estimated at 1.36 m and 1.60 m for RCP4.5 and RCP8.5 climate change scenarios, respectively. Here, we show the expected impact of marine flooding at Lipari for the next 85 years and discuss the hazard implications for the population living along the shore. © 2016 John Wiley &amp; Sons Ltd</t>
  </si>
  <si>
    <t>2-s2.0-85007610419"</t>
  </si>
  <si>
    <t>Official Publication - EuroSDR</t>
  </si>
  <si>
    <t>https://www.scopus.com/inward/record.uri?eid=2-s2.0-85044280459&amp;partnerID=40&amp;md5=da83c9151b267dff0493eb8e608b5196</t>
  </si>
  <si>
    <t>The use of 3D geo-information has rapidly developed in recent years. Technological advances have driven this evolution and reduced the costs involved in the procurement and processing of 3D geo-information. Consequently, National Mapping Agencies (NMA’s) are actively seeking to transform their data operations and processes to produce such enhanced products. However, budgetary constraints in the public sector necessitate a rigorous assessment of costs and benefits before opportunities can be developed. This report is the culmination of a EuroSDR project that undertook a business case analysis over 12 months in collaboration with 11 European national and regional mapping agencies. The analysis undertaken was structured around use cases (in order to examine the value derived within specific business contexts) and employed two methodologies: (i) value chain analysis and (ii) cost-benefit analysis to identify the quantification of value add identified by value chain analysis and the assessment of costs. Value chain analysis identifies the connections between the supply and demand sides of a product or service and qualitatively identifies the value that is added throughout the chain of processes from source to end-user. Cost-benefit analysis facilitates an estimation of Return on Investment (RoI) by quantifying the costs and quantifiable benefits that arise from an investment over a defined period of time. The project’s stakeholders initially selected six use cases for study: forestry management, flood management, 3D cadastre and valuation, resilience (civil contingency), asset management and urban planning. Over the course of six different workshops value chain analysis was applied to each of these use cases. Out of this process, two use cases were then selected for quantification using cost-benefit analysis: flood management due to the ubiquity of the challenge and its high political profile, and urban planning as 3D geo-information has a significant potential to contribute to the problems of managing urban growth. The process ended with the findings and outcomes being shared and consolidated at a workshop attended by delegates from each stakeholder. Urban planning cost-benefit analysis -the costs are based on real-world cost estimates from Denmark, scaled up for the Republic of Ireland using the comparative land areas. The benefits are based on the following examples of financial impacts (for urban areas only): • Local Area Plan (LAP) revision and the impact on the planning authority • Visual impact assessment and the reduced costs for developers • Reduced time for citizens to make LAP submissions and major scheme objections • General improvements to public sector efficiency Based on a 10 year project life cycle and discount rate of 4%, the results indicate a benefit to cost ratio of 2.1:1 and Net Present Value of € 22 million. Flood management cost-benefit analysis - the same financial model as was applied to the urban planning case was also used for flood management. However, three approaches were taken to “triangulate” the assessment and to illustrate the use of different methodologies: Cost Avoidance (Option 1) - this estimates the damages and losses that could have been avoided had 3D geo-information been used rather than the information used currently. The avoided damages are then interpreted as the benefits of using 3D geo-information. It has the advantage of requiring only limited inputs and is based on data available from Switzerland: (i) historical information on the loss and damage from previous events and (ii) interviews with experts to indicate the positive effects of a high accuracy DTM. This resulted in a benefit to cost ratio of 3.3:1 and Net Present Value (after 10 years) of € 8.9 million. Case Study (Option 2) - this uses case study evidence from the Netherlands on public sector benefits from data sharing and the reduced costs of: (i) land survey work, (ii) failures resulting from earlier detection of design errors and (iii) environmental impact assessments. This assessment gives a benefit to cost ratio of 3.2:1 and Net Present Value (after 10 years) of € 8.6 million. Benefits Transfer (Option 3) - this uses information from a comparable study undertaken for USGS study entitled, ‘National Enhanced Elevation Assessment’ [Dewberry 2012]. Belgium has been used to illustrate this approach, although results for other countries involved in the study can also be automatically calculated within the financial model. This assessment method gives a benefit to cost ratio of 5.3:1 and Net Present Value (after 10 years) of € 27 million. The higher return calculated by this approach can be explained as Belgium would be unlikely to achieve the economies of scale of data capture costs in the US. A benefit to cost ratio “write down” of 50% would bring it into line with the returns predicted by the other two approaches. The cost-benefit analysis demonstrated in both of the selected use cases that benefits outstrip costs by a multiple of between two and three times even when considering each use cases in isolation. As further applications of 3D geo–information are added, additional costs should rise more slowly, whilst benefits should accrue at a similar rate, thereby enhancing the overall rate of return. Investment proposals with the type of return profile found in this study would be expected to be positively received, provided the funds were available from public sources. Further work using this methodology could usefully be considered in relation to the following use cases: 3D Cadastre and Valuation – in the consultant’s view this represents the best opportunity to complete cost-benefit analysis for one of the remaining use cases for which value chain mapping was undertaken. The timing of ground-breaking work in Denmark may mean that access to their internal economic assessment might now be publicly released making this a relatively quick and easy extension of the study into a potentially very financially attractive application. Asset management – this should be approached by the creation of value chains for significant subsets of this large and complex use case, particularly transport asset management and streetworks. The recent study in Queensland may provide an opportunity for a cost-effective benefits transfer process to be applied. © 2017, European Spatial Data Research (EuroSDR). All rights reserved.</t>
  </si>
  <si>
    <t>2-s2.0-85044280459"</t>
  </si>
  <si>
    <t>https://www.scopus.com/inward/record.uri?eid=2-s2.0-85034063840&amp;partnerID=40&amp;md5=a731b391921ca06032617633c77def6e</t>
  </si>
  <si>
    <t>Damage cost analysis studies form a significant part of the large number of studies carried out with the objective of protecting against the effects of flood disasters and reducing the losses arising from such disasters, which have frequently been occurring across the world in the last few decades as a result of climate change. However, a study of the estimated flood costs appropriate to the socio-economic conditions of Turkey has not been carried out. This deficiency is also mentioned in the report titled 'Flood Damage Functions for EU Member States' prepared for the EU member states. In this study, flood analyses for 50, 100 and 500-year intervals have been carried out for Agva, a touristic peripheral settlement area of Istanbul, which is a critical area for flood disasters because of its location between two streams. As a result of the flood analyses carried out, the water level for each residential property exposed to flooding has been determined, and the estimated costs of the damage that would occur in materials and furnishings in the properties have been calculated.</t>
  </si>
  <si>
    <t>2-s2.0-85034063840"</t>
  </si>
  <si>
    <t>10.1186/s40645-016-0116-3</t>
  </si>
  <si>
    <t>https://www.scopus.com/inward/record.uri?eid=2-s2.0-85059343998&amp;doi=10.1186%2fs40645-016-0116-3&amp;partnerID=40&amp;md5=3bf8d5a0f264a0cbbed69044d853cd39</t>
  </si>
  <si>
    <t>A small mud volcano in Murono, Niigata Prefecture, north-central Japan, shows active ground surface displacements, not only when large earthquakes occur in the region but also during quiescent periods between earthquake events. The site recently underwent abrupt deformations due to strong regional earthquakes in 2004, 2007, 2011, and 2014, while gradual surface deformations were reported during quiescent periods between the earthquakes. To detect the spatial distribution of the changes in the mud volcano’s ground surface elevation, we carried out multi-temporal terrestrial laser scanning. Point cloud datasets were registered at different times by minimizing the distance between the closest points in different clouds for stable ground features, which revealed centimeter-to decimeter-scale deformations around the domain of the conspicuous uplift. The spatial distribution of the deformation triggered by the earthquakes, including both central uplift and peripheral subsidence, exhibits an elliptical pattern, on which open crack fractures, associated with the earthquake-triggered uplift, were formed. The displacement and stress fields for the earthquakes were modeled numerically, and anomalously high pressure and/or weakening of the surficial materials was expected for the formation of fractures in the local domain. In contrast, continuous uplift was observed during the inter-seismic quiescent periods, the domain of which seems to have changed after the strong earthquake in 2014. In the coming years, further measurements will be necessary to unravel the physical subsurface mechanics of the mud volcano. © The Author(s). 2017.</t>
  </si>
  <si>
    <t>2-s2.0-85059343998"</t>
  </si>
  <si>
    <t>10.1002/ppp.1896</t>
  </si>
  <si>
    <t>https://www.scopus.com/inward/record.uri?eid=2-s2.0-84979072577&amp;doi=10.1002%2fppp.1896&amp;partnerID=40&amp;md5=2ac1a533ff34b942e08671f416f199bf</t>
  </si>
  <si>
    <t>This study evaluates the potential of using high-resolution remote sensing data to detect permafrost patterns in a recently deglaciated alpine area on the mountain ridge of ‘Rofenberg’, Tyrol, Austria. Here, small but continuous settling of the surface was detected in differential digital terrain models throughout an annual airborne laser scanning (ALS) data series (2001–11). The settling is hypothesised to result from thawing of perennially frozen ground. To test this hypothesis, we applied a combination of established methods –geomorphological observations, permafrost modelling, near-surface ground temperature measurements (bottom of the winter snowpack and temperature logging) and geophysical surveys (electrical resistivity tomography, ground penetrating radar, seismic refraction) – that revealed the occurrence of permafrost in recently deglaciated terrain (above 3100 m asl). Consequently, the surface changes detected in the ALS data series are attributed to permafrost thaw and serve as a possible indicator of permafrost occurrence. The applied geophysical measurements also elucidate the recent development of permafrost after glacier recession since the Little Ice Age. However, to prove the existence of permafrost and its possible degradation, ALS data alone are insufficient and a combination of methods is recommended. Copyright © 2016 John Wiley &amp; Sons, Ltd. Copyright © 2016 John Wiley &amp; Sons, Ltd.</t>
  </si>
  <si>
    <t>2-s2.0-84979072577"</t>
  </si>
  <si>
    <t>10.1007/s12594-017-0559-1</t>
  </si>
  <si>
    <t>https://www.scopus.com/inward/record.uri?eid=2-s2.0-85010661915&amp;doi=10.1007%2fs12594-017-0559-1&amp;partnerID=40&amp;md5=d8006bd0a35ba2f2b9665427d983767c</t>
  </si>
  <si>
    <t>Digital elevation model (DEM) is one of the input data derived from different satellite sensors for hydrologic and hydraulic modelings. Two prime questions could be answered before using these DEMs. First, the acceptability of datasets for our use and second appropriate resolution of the dataset. Three widely used DEMs SRTM 30m, ASTER 30m and SRTM 90m are analyzed to evaluate their suitability to delineate river network and basin boundary area. The hydrology tool of spatial analyst extension inbuilt in ArcGIS 10.2 (which uses the D8 method for calculation of flow direction) has been used for the delineation of both river networks and basin boundary. The assessment of river network alignment and boundary delineation is carried out in the seven sub-catchments of Gandak river basin having different morphological characteristics. The automatically delineated boundary area for all the three DEMs reflects a significant difference when compared with the digitized basin area from the Ganga flood control commission (GFCC) map. The maximum boundary area delineation error is 39137.20 km2 forASTER 30m, and minimum delineation error of 13239.28 km2 for SRTM 90m. In the stream network, delineation accuracy is good for SRTM 90m while, except Gandak trunk, ASTER 30m DEM shows better delineation accuracy indicated by mean absolute error (MAE) and standard deviation (SD). © 2017, Geological Society of India.</t>
  </si>
  <si>
    <t>2-s2.0-85010661915"</t>
  </si>
  <si>
    <t>10.1007/s13157-016-0843-7</t>
  </si>
  <si>
    <t>https://www.scopus.com/inward/record.uri?eid=2-s2.0-84992388862&amp;doi=10.1007%2fs13157-016-0843-7&amp;partnerID=40&amp;md5=80fd76eed88c3cd86809a9ea33c3af8b</t>
  </si>
  <si>
    <t>Land conversion from wetlands to farmlands is pervasive in coastal areas. However, comparisons of soil microbial community structure between native wetlands and long-term reclaimed farmlands have received less attention. We investigated this issue in two Phragmities austrialis wetlands with different hydrological regimes (permanent and seasonally inundated) based on phospholipid fatty acid (PLFA) analysis and 16S rRNA pyrosequencing. In the permanent wetland, the farmland had higher contents of fungal (+331 %), bacterial (+60 %), actinomycetic (+50 %), and total (+81 %) PLFAs compared with the native wetland. In the drained wetland, the farmland had higher fungal (+982 %) PLFAs contents, but lower contents of bacterial (−78 %), actinomycetic (−98 %) and total (−54 %) PLFAs compared with the native wetland. Bacteria and actinomycetes were dependent on wetland hydrological conditions, while fungi were sensitive to other alterations. Fungal/bacterial-PLFAs ratios were higher in farmlands than wetlands. The relative abundances of Proteobacteria, Firmicutes and Bacteroidetes were higher in farmlands than wetlands. Compared with PLFA, 16S rRNA differentiated fewer differences in bacterial community composition. Farmlands had lower bacterial Shannon-Wiener index compared with the permanent wetland, but not for the seasonal wetland. In conclusion, native wetlands and associated farmlands have differences in microbial community structure and diversity, which are mainly dependent on hydrological and nutrient conditions. © 2016, Society of Wetland Scientists.</t>
  </si>
  <si>
    <t>2-s2.0-84992388862"</t>
  </si>
  <si>
    <t>10.1080/10807039.2016.1223536</t>
  </si>
  <si>
    <t>https://www.scopus.com/inward/record.uri?eid=2-s2.0-84988653822&amp;doi=10.1080%2f10807039.2016.1223536&amp;partnerID=40&amp;md5=503bda2432a165268b4712e37f5a7dcc</t>
  </si>
  <si>
    <t>Coastal wetlands are facing an increasingly high risk of degradation and loss due to a wide variety of human activities and natural processes. Human encroachment, including land reclamation, drainage, and introduction of invasive species, has direct negative effects on wetlands, mainly through changes in hydrology and vegetation. Additionally, accelerated sea level rise (SLR) can result in flooding of wetlands in low-lying coastal zones. In this study, we present a rapid risk assessment method for coastal wetland loss and degradation. The main stress factors, i.e., urban sprawl, agriculture, coastal erosion, and SLR, have been examined and quantified through remote sensing and geographic information system spatial analysis. A weighted factor-based linear model has been used to evaluate the spatial risk levels of wetland loss. The proposed methodology is applied to the low-lying coastal wetlands of Hangzhou Bay in Shanghai, China. The results show that the regions closer to the sea have relatively higher risk levels on the landward side of the coastline, but relatively low risk levels on the seaward side of the coastline. This work emphasizes the need to sustainably use and protect wetlands in order to reduce disaster risks and contribute to the improvement of human well-being. © 2017 Taylor &amp; Francis Group, LLC.</t>
  </si>
  <si>
    <t>2-s2.0-84988653822"</t>
  </si>
  <si>
    <t>10.15244/pjoes/64081</t>
  </si>
  <si>
    <t>https://www.scopus.com/inward/record.uri?eid=2-s2.0-85020816687&amp;doi=10.15244%2fpjoes%2f64081&amp;partnerID=40&amp;md5=318035d8e02250bdc2fa4f5fe38b04af</t>
  </si>
  <si>
    <t>This is a two-phase study to investigate the socioeconomic impacts of the Caspian Sea Level Rise (CSLR) on Anzali International Wetland at the southern fringe of the Caspian Sea. In the first phase, a Landsat satellite image (2013) and digital elevation model (DEM) of the wetland were used to determine the areas vulnerable to the CSLR-induced flooding under four water level rise scenarios of 0.2 m, 0.6 m, 1 m, and 1.4 m. Then in the second phase, the possible effects of the CSLR on some market values of Anzali Wetland and the livelihood of the wetland-dependent communities were assessed based on the loss of agricultural and fishing products (as two main sources of livelihood for local people), as well as the loss of different land uses surrounding the wetland. According to the results, under the most optimistic CSLR scenario of 0.2 m, the wetland area will be expanded from 19,095 to 24,942 ha, while an expansion of 19,353 ha (from the current area of 19,095 ha to 38,448 ha) is expected under the most pessimistic CSLR scenario of 1.4 m. This will affect a minimum number of eight villages, including 4,518 inhabitants (under the CSLR scenario of 0.2 m) and a maximum number of 41 villages including 22,493 inhabitants (under the 1.4 CSLR scenario). These people will have to displace and move from their homes, which leads to several social ills. Depending on the severity of water level rise under various scenarios, 545, 646, 670, and 699 ha of the total area (790 ha) of fish ponds will be destructed, and total numbers of 70, 76, 83, and 93 units out of the 172 active industrial units are predicted to be inundated. In sum, the total loss values (damage to agriculture and fish farming) under the CSLR scenarios of 0.2, 0.6, 1, and 1.4 m were estimated to be 63 million (USD), 117 million, 151 million, and 184 million, respectively. Our research findings can help policy makers develop proper adaptation measures to prohibit or reduce the possible socio-economic damage caused by the CSLR in the future. © 2017, HARD Publishing Company. All rights reserved.</t>
  </si>
  <si>
    <t>2-s2.0-85020816687"</t>
  </si>
  <si>
    <t>10.1127/zfg/2017/0441</t>
  </si>
  <si>
    <t>https://www.scopus.com/inward/record.uri?eid=2-s2.0-85027835060&amp;doi=10.1127%2fzfg%2f2017%2f0441&amp;partnerID=40&amp;md5=f11dafb0faa60c18d46f0b83f33c8bb0</t>
  </si>
  <si>
    <t>One of the most important problems in predicting future coastal evolution is determining the potential impacts of sea level rise on coastal systems. The influence of sea level and wind regime fluctuations on tideless coastal systems with different geomorphology and sand availability was assessed for the period of 2002-2013 along the Lithuanian Baltic Sea coast. The investigation showed no significant dependence between subaerial beach volume change and relative sea level rise on a decadal time scale. However, a minor relative sea level rise (up to 2 mm/yr) may determine even accretion processes in coastal zones with ample sediment supply and a gentle nearshore slope. Therefore we suppose, that extreme events, sand supply, coastal geomorphology, wind and wave climate, are among the most crucial factors affecting subaerial beach volume change. Our findings have implication to other wave-dominated barrier coasts faced with a variety of environmental forcing factors. © 2017 Gebr. Borntraeger Verlagsbuchhandlung, Stuttgart, Germany.</t>
  </si>
  <si>
    <t>2-s2.0-85027835060"</t>
  </si>
  <si>
    <t>10.2495/RBM170081</t>
  </si>
  <si>
    <t>https://www.scopus.com/inward/record.uri?eid=2-s2.0-85042083521&amp;doi=10.2495%2fRBM170081&amp;partnerID=40&amp;md5=cb3cce4fb50e57697388227278603d7f</t>
  </si>
  <si>
    <t>To contribute to flood awareness and flood prevention, a flood risk mapping study has been carried out in the M'zab valley (North Algerian Sahara) using one-dimensional modelling. The use of spatial tools and remote sensing contributed greatly to improve the results, taking advantage of the fineness of the topographic information provided by a 2.5 m digital terrain model. Calibration of the hydraulic model was performed using flood marks points collected through a field campaign on site, using GPS. The one-dimensional model appeared satisfactory, even in an urban context, for preliminary flood mapping. In particular, assessment of hydraulic capacity allowed locating the first outflows, thus also indicating where actions could be necessary. © 2017 WIT Press.</t>
  </si>
  <si>
    <t>2-s2.0-85042083521"</t>
  </si>
  <si>
    <t>Polarforschung</t>
  </si>
  <si>
    <t>10.2312/polarforschung.87.2.151</t>
  </si>
  <si>
    <t>https://www.scopus.com/inward/record.uri?eid=2-s2.0-85064864986&amp;doi=10.2312%2fpolarforschung.87.2.151&amp;partnerID=40&amp;md5=d5a5d1efe23b383a62c6882509199c38</t>
  </si>
  <si>
    <t>This review article provides a detailed in-depth investigation of the different river mouth types in the Russian Arctic. Polar river mouths are still one of the least studied geographical objects. They have a lot of peculiar features – including features of their location and the processes of delta formation, the geological and geomorphological structure of the territory, the short period of functioning of the rivers, and the noticeable susceptibility from sea tides, storm surges and ice formations. This leads to the presence of a wide range of forms and outlines and the features of the hydrological regime of the Arctic river mouths that do not fall within one of the hydrological, morphological and genetic mouth types used by the international classification scheme due to prevalence of the small-sized objects (whereas most classification adopted for large rivers). Therefore, this article shows the adaptation of existing classifications for Arctic river mouths, which consists of five types with eleven subgroups. The new data of remote sensing and the instruments of their processing, field researches, the new maps, the open archives of the past expeditions allow this new complex classification. © 2017 Alfred Wegener Institut fur Polar- und Meeresforschung. All rights reserved.</t>
  </si>
  <si>
    <t>2-s2.0-85064864986"</t>
  </si>
  <si>
    <t>10.3178/hrl.11.99</t>
  </si>
  <si>
    <t>https://www.scopus.com/inward/record.uri?eid=2-s2.0-85047940537&amp;doi=10.3178%2fhrl.11.99&amp;partnerID=40&amp;md5=f7289e7aa49fd29db814720d108abd7b</t>
  </si>
  <si>
    <t>Jakarta is facing several issues related to flooding, including land subsidence in the coastal area and rapid land-use/ cover changes in the upstream area. In this study, we analyzed the effects of future changes in land use and land subsidence using a rainfall-runoff and flood inundation model. The future land-use scenarios were projected based on the SLEUTH model, and land subsidence was projected based on an extrapolation of the current state in Jakarta. Based on this analysis, land-use changes and land subsidence contributed to an increase in flood inundation volume of 36.8% from 2013 to 2050. Moreover, the effects of land-use changes on flood inundation in Jakarta were much greater than those of land subsidence. The government’s current target to stop land subsidence by 2020 would cause a 7.7% decrease in the flood inundation volume by 2050. Furthermore, controlling and regulating land-use/cover changes by 2020 would cause a 10.9% decrease in the flood inundation volume by 2050. From these results, we conclude that a flood mitigation plan should be made not only for land subsidence, but also for land-use changes. © The Author(s) 2017.</t>
  </si>
  <si>
    <t>2-s2.0-85047940537"</t>
  </si>
  <si>
    <t>10.3178/hrl.11.155</t>
  </si>
  <si>
    <t>https://www.scopus.com/inward/record.uri?eid=2-s2.0-85027874307&amp;doi=10.3178%2fhrl.11.155&amp;partnerID=40&amp;md5=31b0d9f5fad30e7988ba34da05036af5</t>
  </si>
  <si>
    <t>Formulating countermeasures to flooding risks is important, especially in areas where data are scarce. Numerical modeling techniques may enable hydrologists to model flooding events and access flood risk. Many floodinginundation models have been developed and successfully applied to many areas. The rainfall-runoff-inundation (RRI) model is one such model that has been applied in various places to estimate river discharges and flooding-inundation depths. However, its applicability to flat river basins is in question. Here, we evaluate the applicability of RRI model to a flat river basin in a data-scarce region. Using the Bago River basin, Myanmar, as a case study, we analyzed past extreme flooding events and developed flooding-inundation maps. The model was calibrated with observed discharge data for a 2011 flooding event and validated for flooding events in 2014 and 2015. The model produced reasonable hydrographs (both peak and base flows). Although the simulated discharges showed good agreement with observed data, the simulated inundation extent showed some discrepancies due to lack of data. Our results indicate that the RRI model may be applicable to flat river basins (short-term analysis). However, for long-term flood simulation, the model may not be the ideal choice as it does not include any land-atmosphere interactions. © The Author(s) 2017.</t>
  </si>
  <si>
    <t>2-s2.0-85027874307"</t>
  </si>
  <si>
    <t>10.1016/j.marpetgeo.2016.08.007</t>
  </si>
  <si>
    <t>https://www.scopus.com/inward/record.uri?eid=2-s2.0-85002785426&amp;doi=10.1016%2fj.marpetgeo.2016.08.007&amp;partnerID=40&amp;md5=c09c03812fc13e46411913ecdbd6beb3</t>
  </si>
  <si>
    <t>The Pearl River Mouth Basin in the South China Sea has accumulated &gt;2 km of Eocene sediments in its deep basin, and has become the exploration focus due to the recent discoveries of the HZ25-7 oil field in the Eocene Wenchang (E2w) Formation. In this study, the geochemical characteristics of potential source rocks and petroleum in the HZ25-7 oil field are investigated and the possible origins and accumulation models developed. The analytical results reveal two sets of potential source rocks, E2w and Enping (E2e) formations developed in the study area. The semi-deep-to-deep lacustrine E2w source rocks are characterized by relatively low C29 steranes, low C19/C23 tricyclic terpane (&lt;0.6), low C24 tetracyclic terpane/C30 hopane (&lt;0.1), low trans-trans-trans-bicadinane (T)/C30 hopane (most &lt;2.0), and high C30 4-methyl sterane/ΣC29 sterane (&gt;0.2) ratios. In contrast, the shallow lacustrine and deltaic swamp-plain E2e source rocks are characterized by relatively high C29 steranes, high C19/C23 tricyclic terpane (&gt;0.6), high C24 tetracyclic terpane/C30 hopane (&gt;0.1), variable yet overall high T/C30 hopane, and low C30 4-methyl sterane/ΣC29 sterane (&lt;0.2) ratios. The relatively low C19/C23 tricyclic terpane ratios (mean value: 0.39), low C24 tetracyclic terpane/C30 hopane ratios (mean value: 0.07), high C30 4-methyl sterane/ΣC29 sterane ratios (mean value: 1.14), and relatively high C27 regular sterane content of petroleum in the HZ25-7 oil field indicate that the petroleum most likely originated from the E2w Formation mudstone in the Huizhou Depression. One stage of continuous charging is identified in the HZ25-7 oil field</t>
  </si>
  <si>
    <t>10.1007/s11368-016-1500-8</t>
  </si>
  <si>
    <t>https://www.scopus.com/inward/record.uri?eid=2-s2.0-84978147680&amp;doi=10.1007%2fs11368-016-1500-8&amp;partnerID=40&amp;md5=1515e21fa662bb303deead90c66d2266</t>
  </si>
  <si>
    <t>Purpose: Soils of tidal marshes play an important role in regional carbon (C) cycles as they are able to store considerable amounts of organic carbon (OC). However, the C dynamics of marsh soils of the Elbe estuary have not been investigated so far. Therefore, the aim of this study was to identify the sources and distribution of soil organic carbon (SOC) and the factors influencing the SOC pools of tidal marshes of the study region. Materials and methods: In this study, SOC pools were determined in different salinity zones and elevation classes of the estuarine marshes. The amount of initial allochthonous OC was derived from the OC content in fresh sediments. The difference to the recent OC content in the soils was interpreted as autochthonous accumulation or mineralization by microorganisms. Results and discussion: Young, low marshes of the study sites seem to be predominantly influenced by allochthonous OC deposition whereas the older, high marshes show autochthonous OC accumulation in the topsoils (0–30 cm) and mineralization in the subsoils (30–70 cm). SOC pools of the whole profile depth (0–100 cm) did not significantly differ between elevation classes, but decreased significantly with increasing salinity from 28.3 kg m−2 in the most upstream site of the oligohaline zone to 9.7 kg m−2 in the most downstream site of the polyhaline zone. Even though the areal extent of the investigated salinity zones was similar, the SOC mass within 100 cm soil depth decreased from 0.62 Tg (1 Tg = 1012 g) in the oligohaline zone to 0.18 Tg in the polyhaline zone. Conclusions: Elevation was found to be one factor influencing the SOC pools of tidal marshes. However, salinity seems to be an even stronger influencing factor reducing the above-ground biomass and, accordingly, the autochthonous OC input as well as the allochthonous input by enhanced mineralization of OC along the course of the estuary. An upstream shift of the salinity zones by sea level rise could, therefore, lead to a reduction of the SOC storage of the estuarine marshes. © 2016, Springer-Verlag Berlin Heidelberg.</t>
  </si>
  <si>
    <t>2-s2.0-84978147680"</t>
  </si>
  <si>
    <t>10.1007/s00704-015-1643-3</t>
  </si>
  <si>
    <t>https://www.scopus.com/inward/record.uri?eid=2-s2.0-84942045105&amp;doi=10.1007%2fs00704-015-1643-3&amp;partnerID=40&amp;md5=2774d0b9471e92b37aa7d95fd4630597</t>
  </si>
  <si>
    <t>Investigating changes in extreme precipitation, i.e., maximum precipitation for multiday events, is critical for flood management and risk assessment. Based on the observed daily precipitation from China’s Ground Precipitation 0.5° × 0.5° Gridded Dataset (V2.0) and simulated daily precipitation from five general circulation models (GCMs) provided by The Inter-Sectoral Impact Model Intercomparison Project (ISI-MIP), extreme precipitation indices corresponding to annual maximum 1-, 3-, 15-, and 30-day precipitation across China from 1961 to 2011 and 2011 to 2050 were calculated. Relative changes in the 10-, 20-, and 50-year return period estimates, using 1-, 3-, 15-, and 30-day precipitation, are discussed to represent changes in extreme precipitation in the future. Results show that (1) the spatial distribution of annual maximum precipitation for 1, 3, 15, and 30 days is similar with that of annual precipitation. An increasing trend from the northwest to the southeast was found, with the highest values shown to be in the plain region adjacent to the mountains and coastal area</t>
  </si>
  <si>
    <t>10.1080/01490419.2016.1261745</t>
  </si>
  <si>
    <t>https://www.scopus.com/inward/record.uri?eid=2-s2.0-85004168904&amp;doi=10.1080%2f01490419.2016.1261745&amp;partnerID=40&amp;md5=08a64ff499e9a0a4990c8fd4e9a56c25</t>
  </si>
  <si>
    <t>Coastal erosion and flooding are major threats to coastal dwellers, and the situation is predicted to worsen as a result of the impacts of climate change and associated sea level rise. In order to identify the level of vulnerability of various sections of Ghana's coastline for planning and future hazard management, a coastal vulnerability index approach was adopted for the creation of the relative vulnerability map. The coastal vulnerability variables used include geomorphology, coastal elevation, geology, local subsidence, sea level rise, shoreline change rates, mean tidal range, mean wave height and population density of the coastal areas. Risk factors were assigned to the various variables, and all the factors were combined to calculate the coastal vulnerability for the coastal front of each administrative district along the coast. The outcome was used to produce a vulnerability index map of coastal districts in Ghana. The results revealed that parts of the central coast and the eastern coasts of Ghana were the most vulnerable. It was identified that about 50% of the 540km shoreline of Ghana is vulnerable. This assessment will facilitate the long-term adaptation planning and hazard mitigation to inform the management of Ghana's coast. © 2017 Taylor &amp; Francis Group, LLC.</t>
  </si>
  <si>
    <t>2-s2.0-85004168904"</t>
  </si>
  <si>
    <t>10.1016/j.pce.2016.11.004</t>
  </si>
  <si>
    <t>https://www.scopus.com/inward/record.uri?eid=2-s2.0-85007448677&amp;doi=10.1016%2fj.pce.2016.11.004&amp;partnerID=40&amp;md5=1447d9e7769e01596eb47803d731e0d0</t>
  </si>
  <si>
    <t>Soil profile samples were collected in seasonal-flooding riparian wetlands in the Yellow River Delta (YRD) of China in autumn and spring to investigate the levels, distributions and toxic risks of heavy metals in soil profiles. Total elemental contents of Al, As, Cd, Cr, Cu, Ni, Pb and Zn were determined using inductively coupled plasma atomic absorption spectrometry (ICP-AAS). Results indicated that the contents of determined heavy metals showed non-negligible depth variations (coefficient of variation &gt; 10%), and their distribution patterns were irregular. Compared with other heavy metals, both As and Cd presented higher enrichment factors (EF) based on the classification of EF values (moderate enrichment for As while significant enrichment for Cd). Cluster analysis (CA) and principal components analysis (PCA) revealed that Cr, Cu, Ni, Pb and Zn might derive from the common source, while As and Cd shared another similar source. The toxic unit (TU) values of these heavy metals did not exceed probable effect levels (PEL) except for Ni. Both As and Ni showed higher contributions to the sum of TU (∑TUs), which indicated they were the primary concerns of heavy metals pollution. Generally, As, Cd and Ni should be paid more attention for wetlands managers and policy makers to avoid potential ecotoxicity in the study area. The findings of this study could contribute to the prevention and control of heavy metals pollution in estuarine wetlands. © 2016 Elsevier Ltd</t>
  </si>
  <si>
    <t>2-s2.0-85007448677"</t>
  </si>
  <si>
    <t>NATO Science for Peace and Security Series C: Environmental Security</t>
  </si>
  <si>
    <t>10.1007/978-94-024-1071-6_7</t>
  </si>
  <si>
    <t>https://www.scopus.com/inward/record.uri?eid=2-s2.0-85018983966&amp;doi=10.1007%2f978-94-024-1071-6_7&amp;partnerID=40&amp;md5=225ffedd4caaf5c54270d3fa917c811d</t>
  </si>
  <si>
    <t>This paper aims to emphasize the necessity to improve the Bulgarian research infrastructure in the western part of the Black Sea region, which can enhance the capability for more effective flood hazard assessment and risk management in the coastal area. To fulfill the requirements of the Directive 2007/60/EC flood hazard and risk maps of the Areas with Potential Significant Flood Risk (APSFR) for coastal zone have to be prepared. Short overview of the approaches for compiling such maps has been presented as well as all parameters’ evaluations needed and their uncertainties based on the available information and models. Still existing obstacles to the provision of timely geospatial information from monitoring stations along the coastal area are discussed, and some suggestions for improving the research infrastructure in the western part of the Bulgarian Black Sea coast are listed. © Springer Science+Business Media B.V. 2017.</t>
  </si>
  <si>
    <t>2-s2.0-85018983966"</t>
  </si>
  <si>
    <t>Houille Blanche</t>
  </si>
  <si>
    <t>10.1051/lhb/2017026</t>
  </si>
  <si>
    <t>https://www.scopus.com/inward/record.uri?eid=2-s2.0-85029380517&amp;doi=10.1051%2flhb%2f2017026&amp;partnerID=40&amp;md5=b09eaa769378f40010ac9c33ac45a322</t>
  </si>
  <si>
    <t>The present paper presents how the flood directive has been implemented on the Seine and coastal rivers of Normandy basin. It presents the various steps and details the elaboration of the basin flood risk management plan (PGRI). Though out of the scope of the present paper, the new responsibility in term of flood prevention given to local authorities will be briefly introduced and discussed with reference to the implementation of the flood directive. © Société Hydrotechnique de France, 2017.</t>
  </si>
  <si>
    <t>2-s2.0-85029380517"</t>
  </si>
  <si>
    <t>Atlantic Geology</t>
  </si>
  <si>
    <t>10.4138/atlgeol.2017.012</t>
  </si>
  <si>
    <t>https://www.scopus.com/inward/record.uri?eid=2-s2.0-85030854075&amp;doi=10.4138%2fatlgeol.2017.012&amp;partnerID=40&amp;md5=db146a18c04e1186f51dea6ae0159e4e</t>
  </si>
  <si>
    <t>Between ~20 and 15 ka the Laurentide Ice Sheet retreated from the edge of the continental shelf, first to the Maine coast and then across Maine to the northern reaches of the Penobscot Lowland. The Lowland, being isostatically depressed, was inundated by the sea. As ice then retreated into Maine’s western mountains, valleys through the mountains became estuaries. In the estuary now occupied by the Penobscot River’s East Branch, ten ice-marginal deltas were built during pauses in this part of the retreat. By 14 ka the ice had retreated far enough to expose land in the valley bottom between the ice front and the sea, and the Penobscot River was (re)born. This occurred near the present confluence of the Seboeis River and the East Branch. The river gradually extended itself northward as the ice retreated and southward as relative sea level fell. Braidplains were formed and incised, leaving terraces. High initial discharges eroded the eastern flanks of the esker and deltas, redepositing silt, sand, and gravel all the way to the present head of Penobscot Bay. By ~10 ka the discharge had decreased, the river was adjusting to on-going differential isostatic rebound, and finer sediment was accumulating, forming the present floodplain. © Atlantic Geology, 2017.</t>
  </si>
  <si>
    <t>2-s2.0-85030854075"</t>
  </si>
  <si>
    <t>10.1016/j.earscirev.2016.12.005</t>
  </si>
  <si>
    <t>https://www.scopus.com/inward/record.uri?eid=2-s2.0-85007593416&amp;doi=10.1016%2fj.earscirev.2016.12.005&amp;partnerID=40&amp;md5=cd56f9187a10917464e39d20ebb381d0</t>
  </si>
  <si>
    <t>There is a growing interest for marine flooding related to recent catastrophic events and their unintended consequences in terms of casualties and damages, and to the increasing population and issues along the coasts in a context of changing climate. Consequently, the knowledge on marine flooding has progressed significantly for the last years and this review, focused on storm-induced marine submersions, responds to the need for a synthesis. Three main components are presented in the review: (1) a state-of-the-art on marine submersions from the viewpoint of several scientific disciplines; (2) a selection of examples demonstrating the added value of interdisciplinary approaches to improve our knowledge of marine submersions; (3) a selection of examples showing how the management of future crises or the planning efforts to adapt to marine submersions can be supported by new results or techniques from the research community.
From a disciplinary perspective, recent progress was achieved with respect to physical processes, numerical modeling, the knowledge of past marine floods and vulnerability assessment. At a global scale, the most vulnerable coastal areas to marine flooding with high population density are deltas and estuaries. Recent and well-documented floods allow analyzing the vulnerability parameters of different coastal zones. While storm surges can nowadays be reproduced accurately, the modeling of coastal flooding is more challenging, particularly when barrier breaches and wave overtopping have to be accounted for. The chronology of past marine floods can be reconstructed combining historical archives and sediment records. Sediment records of past marine floods localized in back barrier depressions are more adequate to reconstruct past flooding chronology. For the two last centuries, quantitative and descriptive historical data can be used to characterize past marine floods. Beyond providing a chronology of events, sediment records combined with geochronology, statistical analysis and climatology, can be used to reconstruct millennial-scale climate variability and enable a better understanding of the possible regional and local long-term trends in storm activity. Sediment records can also reveal forgotten flooding of exceptional intensity, much more intense than those of the last few decades. Sedimentological and historical archives, combined with high-resolution topographic data or numerical hindcast of storms can provide quantitative information and explanations for marine flooding processes. From these approaches, extreme past sea levels height can be determined and are very useful to complete time series provided by the instrumental measurements on shorter time scales. In particular, historical data can improve the determination of the return periods associated with extreme water levels, which are often inaccurate when computed based on instrumental data, due to the presence of gaps and too short time-series. Long-term numerical hindcast of tides and surges can also be used to provide the required time series for statistical analysis. Worst-case scenarios, used to define coastal management plans and strategies, can be obtained from realistic atmospheric settings with different tidal ranges and by shifting the trajectory of storms.
Management of future crises and planning efforts to adapt to marine submersions are optimized by predictions of water levels from hydrodynamic models. Such predictions combined with in situ measurements and analysis of human stakes can be used to define a vulnerability index. Then, the efficiency of adaptation measures can be evaluated with respect to the number of lives that could be potentially saved. Numerical experiments also showed that the realignment of coastal defenses could result in water level reduction up to 1 m in the case where large marshes are flooded. Such managed realignment of coastal defenses may constitute a promising adaptation to storm-induced flooding and future sea level rise. From a legal perspective, only a few texts pay specific attention to the risk of marine flooding whether nationally or globally. Recent catastrophic events and their unintended consequences in terms of death and damages have triggered political decisions, like in USA after hurricane Katrina, and in France after catastrophic floods that occurred in 2010.</t>
  </si>
  <si>
    <t>10.1016/j.habitatint.2016.11.008</t>
  </si>
  <si>
    <t>https://www.scopus.com/inward/record.uri?eid=2-s2.0-84997207015&amp;doi=10.1016%2fj.habitatint.2016.11.008&amp;partnerID=40&amp;md5=42e412c93b341422d9038c5c8f358586</t>
  </si>
  <si>
    <t>Increasingly extreme weather events have resulted in massive socio-economic losses and spark great interest in minimizing the impact of such events in the context of climate change. This paper analyses data from a large-scale household survey conducted in 20 cities in the Pearl River Delta area of China to examine how government support and social capital influence urban residents' adaptations to mitigate the effects of urban flooding. The results show that more than 90% of residents would take engineering or non-engineering measures to protect their private assets against flooding. The most popular measures are moving away their valuable goods and reducing travel during flooding. Government support, such as releasing early warning information, post-disaster services, technical assistance, financial assistance and physical support could significantly improve residents' adoption of adaptation measures. Social capital, operationalized as having a local Hukou (citizenship) in the area where one works, is closely associated with adaptation capacity, whereas a blood relative network has no evident influence on their adaptation behaviours. In addition, household and local community characteristic have positive influence on residents' adaptations. In summary, government support and community activities are most significant factors influencing residents’ adaptation to mitigate the impacts of urban flooding but are in great demand in the Pearl River Delta areas. © 2016 Elsevier Ltd</t>
  </si>
  <si>
    <t>2-s2.0-84997207015"</t>
  </si>
  <si>
    <t>10.1007/s11069-016-2596-2</t>
  </si>
  <si>
    <t>https://www.scopus.com/inward/record.uri?eid=2-s2.0-84989211412&amp;doi=10.1007%2fs11069-016-2596-2&amp;partnerID=40&amp;md5=da6832284bc01becc30cd0c9aacb7d3a</t>
  </si>
  <si>
    <t>Catastrophe risk models are used to assess and manage the economic and societal impacts of natural perils such as tropical cyclones. Large ensembles of event simulations are required to generate useful model output. For example, to estimate the risk due to wind-driven storm surge and waves in tropical cyclone risk models, computationally efficient parametric representations of the wind forcing are required to enable the generation of large ensembles. This paper presents new results on the impact of including explicit representations of extra-tropical transitioning in parametric wind models used to force storm surge and wave simulations in a catastrophe risk modelling context. Extra-tropical transitioning is particularly important in modelling risk on the Japanese coastline, as roughly 40 % of typhoons hitting the Japanese mainland are transitioning before landfall. Using both a historical and idealized track set, we compare maximum storm surge and wave footprints along the Japanese coastline for models that include, and do not include, explicit representations of extra-tropical transitioning. We find that the inclusion of extra-tropical transitioning leads to lower storm surge (10–20 %) and waves (5–15 %) on the southern Japanese coast, with significantly higher storm surge and waves along the northern coast (25–50 %). The results of this paper demonstrate that useful risk assessment of coastal flood risk in Japan must consider the extra-tropical transitioning process. © 2016, Springer Science+Business Media Dordrecht.</t>
  </si>
  <si>
    <t>2-s2.0-84989211412"</t>
  </si>
  <si>
    <t>https://www.scopus.com/inward/record.uri?eid=2-s2.0-85034062375&amp;partnerID=40&amp;md5=803104c0fbbca994fd1ee570ba87bca8</t>
  </si>
  <si>
    <t>The Southern Romanian coast is an area of great significance concerning tourism and recreational activities that take place here. Mamaia is the largest resort of the Romanian coast, in terms of area covered, tourist infrastructure and number of tourists. Climate changes, sea level rise and intensifications of meteorological and hydrological extreme phenomena together with navigation works induced the increasing of environmental risks and important modifications in shore configuration. The surveillance of the shore evolution shows the main locations with weakness and vulnerability. In order to minimize coastal erosion, increase the value of coastal zone and create new tourist beach areas, a Master Plan of the Romanian coastal zone of the Black Sea was developed providing a prioritised, sustainable, long-term approach, oriented to manage and combat erosion consequences and implications on the environment, marine ecosystems, economic and social values of the coastal area. One of the short term priority projects, aimed to reduce the risk of coastal erosion and rehabilitate the shore, is Mamaia South, which started in 2015.</t>
  </si>
  <si>
    <t>2-s2.0-85034062375"</t>
  </si>
  <si>
    <t>10.1016/j.jhydrol.2016.12.041</t>
  </si>
  <si>
    <t>https://www.scopus.com/inward/record.uri?eid=2-s2.0-85008156722&amp;doi=10.1016%2fj.jhydrol.2016.12.041&amp;partnerID=40&amp;md5=39de2cd6df876d93f1092b7e8c32473a</t>
  </si>
  <si>
    <t>There is no clear, unified and accepted method to estimate the uncertainty of hydraulic modelling results. In historical floods reconstruction, due to the lower precision of input data, the magnitude of this uncertainty could reach a high value. With the objectives of giving an estimate of the peak flow error of a typical historical flood reconstruction with the model HEC-RAS and of providing a quick, simple uncertainty assessment that an end user could easily apply, the uncertainty of the reconstructed peak flow of a major flood in the Ebro River (NE Iberian Peninsula) was calculated with a set of local sensitivity analyses on six input variables. The peak flow total error was estimated at ±31% and water height was found to be the most influential variable on peak flow, followed by Manning's n. However, the latter, due to its large uncertainty, was the greatest contributor to peak flow total error. Besides, the HEC-RAS resulting peak flow was compared to the ones obtained with the 2D model Iber and with Manning's equation</t>
  </si>
  <si>
    <t>https://www.scopus.com/inward/record.uri?eid=2-s2.0-85056600958&amp;partnerID=40&amp;md5=00d14445ff6c5ae613b6325a2b9e2e29</t>
  </si>
  <si>
    <t>The present study is based on the comparison between siliciclastic sedimentary deposits of both, paleo- and modern environments in which microbial activity has been recognized in sediments, leading to the establishment of analogues. This fact leads up to the characterization of microbial sedimentary structures and the comprehension of the physical-chemical and biological processes of their formation and modification. Different characteristics are compared in both environments: sedimentary fabrics, grain size, mineralogical composition presence of microorganisms or microbial activity remnants, and sedimentary structures. The objective is to understand the occurrence of such characteristics, the mechanisms of formation that acted in the past and their relationship with the environmental conditions. In addition, the presence of microbial mats in the fossil environment is discussed as an agent for the preservation of the ichnites and archaeological remains after an early lithification. The archaeological localities of “La Olla” and “Monte Hermoso I” are studied (Fig. 1). They are characterized by an excellent conservation of organic remains associated with human activity, and the preservation of human footprints, respectively. Both deposits are Holocene sediments, currently located in the lower- and middle- intertidal area of a modern beach. The remarkable preservation of traces of extinct mammals (the most remarkable is the huge ground sloth Megatherium), birds, and vertebrates at the Pehuen Có paleoichnological site, has also been documented. These sediments correspond to late Pleistocene, and are currently located in the upper-intertidal zone where is sometimes covered by sand after storm events. All these fossil sedimentary deposits are located on the coast of SE Buenos Aires. Modern environments, Bahía Blanca Estuary and the paleo-channel of Paso Seco, were studied (Fig. 1). Several microbial induced sedimentary structures have been found and were related to the hydrodynamic processes. Direct observation of microbial sedimentary structures present in the supra-tidal zone of Bahia Blanca Estuary and coastal area in Paso Seco were compared with sedimentary structures expose in the fossil deposits. Also, various analyses to determine the sedimentary arrangement and textural features have been applied. Micrographs obtained from the scanning electron microscope (SEM) have allowed the identification of the interaction of the sediments with microorganisms, recognizing the substances generated by them (EPS, extracellular polymeric substances) and the presence of authigenic minerals, such as pyrite as geochemical product of the bacterial metabolism. Analysis of thin sections show the sedimentary fabric associated with the presence of cyanobacteria. X-ray analysis allowed determining authigenic minerals such as biogenic calcite, magnesian calcite, and dolomite. The relevant characteristics of the deposits associated with the presence of microbial activity are documented in detail. The identification of millimeter to centimeter thickness lamination, fine and coarse sedimentation stands out (Fig. 2) which is the most remarkable characteristic of the presence of microbial activity recognized as biolamination (Fig. 4). This alternation can be clearly documented in modern environment with specific details as light crinkled lamination and the presence of EPS that amalgamate the siliciclastic grains. Thin and coarse alternation contributes to another common characteristic that is the bimodal distribution in granulometric sediment analyses (Fig. 4). Petrographic thin sections were observed under a petrographic microscope (Fig. 5). Both environments, ancient and modern sediments, present similar characteristics. The biolamination with diffuse border in the fossil sample, sometimes waving, in light and dark brown laminae can be appreciated. The biolaminites can be discriminated in modern samples. The alternation with coarse sediment (sands) reflects the hydrodynamic conditions of the area, a change towards a greater energy level. Micrographs obtained from SEM under fossil samples reveal the presence of bacteria, EPS, diatoms, and authigenic minerals as pyrite (Figs. 6, 7). The micrographs from the modern environment show the sedimentological-biological relationship in the microbial mat and authigenic precipitates. Several microbial sedimentary structures were recognized in La Olla site (Fig. 8). They are: a) biolamination</t>
  </si>
  <si>
    <t>10.1007/s11069-016-2619-z</t>
  </si>
  <si>
    <t>https://www.scopus.com/inward/record.uri?eid=2-s2.0-84991377571&amp;doi=10.1007%2fs11069-016-2619-z&amp;partnerID=40&amp;md5=cbff00c4be54231cf07186841e551545</t>
  </si>
  <si>
    <t>Polish coastal zone is thought to be one of the most exposed to sea level rise in Europe. With mean sea levels expected to increase between 28 and 98 cm by the end of the century, and storms increasing in severity, accurate estimates of the consequences of those phenomena are needed. Recent advances in quality and availability of spatial data in Poland made possible the reassessment of previous estimates of inundation caused by sea level rise. Up-to-date, detailed information on land use, population and buildings was used here to calculate their exposure to floods at a broad range of scenarios. Inclusion of a high-resolution digital elevation model contributed to a further improvement in estimates. The results revealed that even by using a static “bathtub fill” approach, the amount of exposed land, population or assets is significantly smaller than indicated in previous assessments. In the perspective of the twenty-first century, direct damages caused by sea level rise will be small and adaptation costs will not be significant. However, the increase in the frequency of storm surges could elevate the risk to the population and economy, but cost-effective flood protection measures would be able to mitigate the risk. The exposure of different kinds of assets and sectors of the economy varies to a large extent, though the structural breakdown of potential losses is remarkably stable between scenarios. © 2016, The Author(s).</t>
  </si>
  <si>
    <t>2-s2.0-84991377571"</t>
  </si>
  <si>
    <t>10.1175/JPO-D-16-0191.1</t>
  </si>
  <si>
    <t>https://www.scopus.com/inward/record.uri?eid=2-s2.0-85012123689&amp;doi=10.1175%2fJPO-D-16-0191.1&amp;partnerID=40&amp;md5=70a9e3647963b7e27fda79be2e88664b</t>
  </si>
  <si>
    <t>Characterization of wave climate by bulk wave parameters is insufficient for many coastal studies, including those focused on assessing coastal hazards and long-term wave climate influences on coastal evolution. This issue is particularly relevant for studies using statistical downscaling of atmospheric fields to local wave conditions, which are often multimodal in large ocean basins (e.g., Pacific Ocean). Swell may be generated in vastly different wave generation regions, yielding complex wave spectra that are inadequately represented by a single set of bulk wave parameters. Furthermore, the relationship between atmospheric systems and local wave conditions is complicated by variations in arrival time of wave groups from different parts of the basin. Here, this study addresses these two challenges by improving upon the spatiotemporal definition of the atmospheric predictor used in the statistical downscaling of local wave climate. The improved methodology separates the local wave spectrum into ""wave families</t>
  </si>
  <si>
    <t xml:space="preserve"> defined by spectral peaks and discrete generation regions, and relates atmospheric conditions in distant regions of the ocean basin to local wave conditions by incorporating travel times computed from effective energy flux across the ocean basin. When applied to locations with multimodal wave spectra, including Southern California and Trujillo, Peru, the new methodology improves the ability of the statistical model to project significant wave height, peak period, and direction for each wave family, retaining more information from the full wave spectrum. This work is the base of statistical downscaling by weather types, which has recently been applied to coastal flooding and morphodynamic applications. © 2017 American Meteorological Society.§Article§Scopus§2-s2.0-85012123689</t>
  </si>
  <si>
    <t>10.1038/srep40171</t>
  </si>
  <si>
    <t>https://www.scopus.com/inward/record.uri?eid=2-s2.0-85008674845&amp;doi=10.1038%2fsrep40171&amp;partnerID=40&amp;md5=f1c75b7a8ef6a861f50a49f813728206</t>
  </si>
  <si>
    <t>Coastal protection design heights typically consider the superimposed effects of tides, surges, waves, and relative sea-level rise (SLR), neglecting non-linear feedbacks between these forcing factors. Here, we use hydrodynamic modelling and multivariate statistics to show that shallow coastal areas are extremely sensitive to changing non-linear interactions between individual components caused by SLR. As sea-level increases, the depth-limitation of waves relaxes, resulting in waves with larger periods, greater amplitudes, and higher run-up; moreover, depth and frictional changes affect tide, surge, and wave characteristics, altering the relative importance of other risk factors. Consequently, sea-level driven changes in wave characteristics, and to a lesser extent, tides, amplify the resulting design heights by an average of 48–56%, relative to design changes caused by SLR alone. Since many of the world’s most vulnerable coastlines are impacted by depth-limited waves, our results suggest that the overall influence of SLR may be greatly underestimated in many regions.</t>
  </si>
  <si>
    <t>10.1525/elementa.125</t>
  </si>
  <si>
    <t>https://www.scopus.com/inward/record.uri?eid=2-s2.0-85054310381&amp;doi=10.1525%2felementa.125&amp;partnerID=40&amp;md5=a08be63451b24bdf84171900aca5edcc</t>
  </si>
  <si>
    <t xml:space="preserve">                             This study examines the morphodynamic response of a deltaic system to extreme weather events. The Wax Lake Delta (WLD) in Louisiana, USA, is used to illustrate the impact of extreme events (hurricanes) on a river-dominated deltaic system. Simulations using the open source Delft3D model reveal that Hurricane Rita, which made landfall 120 km to the west of WLD as a Category 3 storm in 2005, caused erosion on the right side and deposition on the left side of the hurricane eye track on the continental shelf line (water depth 10 m to 50 m). Erosion over a wide area occurred both on the continental shelf line and in coastal areas when the hurricane moved onshore, while deposition occurred along the Gulf coastline (water depth &lt; 5 m) when storm surge water moved back offshore. The numerical model estimated that Hurricane Rita’s storm surge reached 2.5 m, with maximum currents of 2.0 m s                             –1                             , and wave heights of 1.4 m on the WLD. The northwestern-directed flow and waves induced shear stresses, caused erosion on the eastern banks of the deltaic islands and deposition in channels located west of these islands. In total, Hurricane Rita eroded more than 500,000 m                             3                              of sediments on the WLD area. Including waves in the analysis resulted in doubling the amount of erosion in the study area, comparing to the wave-excluding scenario. The exclusion of fluvial input caused minor changes in deltaic morphology during the event. Vegetation cover was represented as rigid rods in the model which add extra source terms for drag and turbulence to influence the momentum and turbulence equations. Vegetation slowed down the floodwater propagation and decreased flow velocity on the islands, leading to a 47% reduction in the total amount of erosion. Morphodynamic impact of the hurricane track relative to the delta was explored. Simulations indicate that the original track of Hurricane Rita (landfall 120 km west of the WLD) produced twice as much erosion and deposition at the delta compared to a hurricane of a similar intensity that made landfall directly on the delta. This demonstrates that the wetlands located on the right side of a hurricane track experience more significant morphological changes than areas located directly on the hurricane track.                          Copyright: © 2017 The Author(s). This is an open-access article distributed under the terms of the Creative Commons Attribution 4.0 International License</t>
  </si>
  <si>
    <t>2-s2.0-85054310381"</t>
  </si>
  <si>
    <t>Journal of Vertebrate Paleontology</t>
  </si>
  <si>
    <t>10.1080/02724634.2016.1269539</t>
  </si>
  <si>
    <t>https://www.scopus.com/inward/record.uri?eid=2-s2.0-85016446027&amp;doi=10.1080%2f02724634.2016.1269539&amp;partnerID=40&amp;md5=1ad17c9e06c6a44e1a8941deaa85038d</t>
  </si>
  <si>
    <t>Extensive and well-preserved tracksites in the coastally exposed Lower Cretaceous (Valanginian–Barremian) Broome Sandstone of the Dampier Peninsula provide almost the entire fossil record of dinosaurs from the western half of the Australian continent. Tracks near the town of Broome were described in the late 1960s as Megalosauropus broomensis and attributed to a medium-sized theropod trackmaker. Brief reports in the early 1990s suggested the occurrence of at least another nine types of tracks, referable to theropod, sauropod, ornithopod, and thyreophoran trackmakers, at scattered tracksites spread over more than 80 km of coastline north of Broome, potentially representing one of the world's most diverse dinosaurian ichnofaunas. More recently, it has been proposed that this number could be as high as 16 and that the sites are spread over more than 200 km. However, the only substantial research that has been published on these more recent discoveries is a preliminary study of the sauropod tracks and an account of the ways in which the heavy passage of sauropod trackmakers may have shaped the Dampier Peninsula's Early Cretaceous landscape. With the other types of dinosaurian tracks in the Broome Sandstone remaining undescribed, and the full extent and nature of the Dampier Peninsula's dinosaurian tracksites yet to be adequately addressed, the overall scientific significance of the ichnofauna has remained enigmatic. At the request of the area's Goolarabooloo Traditional Custodians, 400+ hours of ichnological survey work was undertaken from 2011 to 2016 on the 25 km stretch of coastline in the Yanijarri–Lurujarri section of the Dampier Peninsula, inclusive of the coastline at Walmadany (James Price Point). Forty-eight discrete dinosaurian tracksites were identified in this area, and thousands of tracks were examined and measured in situ and using three-dimensional photogrammetry. Tracksites were concentrated in three main areas along the coast: Yanijarri in the north, Walmadany in the middle, and Kardilakan–Jajal Buru in the south. Lithofacies analysis revealed 16 repeated facies types that occurred in three distinctive lithofacies associations, indicative of an environmental transgression between the distal fluvial to deltaic portions of a large braid plain, with migrating sand bodies and periodic sheet floods. The main dinosaurian track-bearing horizons seem to have been generated between periodic sheet floods that blanketed the preexisting sand bodies within the braid plain portion of a tidally influenced delta, with much of the original, gently undulating topography now preserved over large expanses of the present day intertidal reef system. Of the tracks examined, 150 could be identified and are assignable to a least eleven and possibly as many as 21 different track types: five different types of theropod tracks, at least six types of sauropod tracks, four types of ornithopod tracks, and six types of thyreophoran tracks. Eleven of these track types can formally be assigned or compared to existing or new ichnotaxa, whereas the remaining ten represent morphotypes that, although distinct, are currently too poorly represented to confidently assign to existing or new ichnotaxa. Among the ichnotaxa that we have recognized, only two (Megalosauropus broomensis and Wintonopus latomorum) belong to existing ichnotaxa, and two compare to existing ichnotaxa but display a suite of morphological features suggesting that they may be distinct in their own right and are therefore placed in open nomenclature. Six of the ichnotaxa that we have identified are new: one theropod ichnotaxon, Yangtzepus clarkei, ichnosp. nov.</t>
  </si>
  <si>
    <t>https://www.scopus.com/inward/record.uri?eid=2-s2.0-85012896344&amp;partnerID=40&amp;md5=9922a422909041214d87d2f4a7b0decc</t>
  </si>
  <si>
    <t>The coastal zone is one of the most dynamic natural systems in the world. Bangladesh, a low-lying country, is particularly vulnerable to climate change induced sea level rise (SLR) due to its geographical location and socio-economic condition of the people. Bangladesh is the first country to develop and implement successful community based adaptation (CBA) projects in the coastal areas to reduce SLR vulnerabilities and enhance resilience capacity. In this regard, the present review examines the significance and relevance of community participation in Bangladesh to cope with SLR and to enhance community resilient capacity. The study argues that local level CBA approach is very effective in resilience building among the most vulnerable segment of the society as well as community involvement in decision-making process is also very crucial for a successful resilience building process in the coastal areas. Study identified gaps in government policies and strategies in both National Adaptation Programme of Action (NAPA) and Bangladesh Climate Change Strategy and Action Plan (BCCSAP) paid little attention to CBA priorities. Therefore, community participation needs to be integrated in the broader national strategies for developing effective adaptation as well as social-ecological resilience system. Multilevel social networks is also essential for developing social capital for supporting the legal, political, and financial frameworks that enhance community resilience. © Penerbit UMT.</t>
  </si>
  <si>
    <t>2-s2.0-85012896344"</t>
  </si>
  <si>
    <t>10.5751/ES-08874-210435</t>
  </si>
  <si>
    <t>https://www.scopus.com/inward/record.uri?eid=2-s2.0-85008157606&amp;doi=10.5751%2fES-08874-210435&amp;partnerID=40&amp;md5=eaeb584b97093422b5da726580f03fe5</t>
  </si>
  <si>
    <t>Adaptation to climate change can be an inclusive and collective, rather than an individual effort. The choice for collective arrangements is tied to a call for solidarity. We distinguish between one-sided (assisting community members in need) and two-sided solidarity (furthering a common interest) and between voluntary and compulsory solidarity. We assess the strength of solidarity as a basis for adaptation measures in six Dutch water management case studies. Traditionally, Dutch water management is characterized by compulsory two-sided solidarity at the water board level. Since the French times, the state is involved through compulsory national solidarity contributions to avoid societal disruption by major floods. In so far as this furthers a common interest, the contributions qualify as two-sided solidarity, but if it is considered assistance to flood-prone areas, they also qualify as one-sided solidarity. Although the Delta Programme explicitly continues on this path, our case studies show that solidarity continues to play an important role in Dutch water management in the process of adapting to a changing climate, but that an undifferentiated call for solidarity will likely result in debates over who should pay what and why. Such discussions can lead to cancellation or postponement of adaptation measures, which are not considered to be in the common interest or result in an increased reliance on local solidarity. © 2016 by the author(s).</t>
  </si>
  <si>
    <t>2-s2.0-85008157606"</t>
  </si>
  <si>
    <t>10.3319/TAO.2016.06.13.01(Oc)</t>
  </si>
  <si>
    <t>https://www.scopus.com/inward/record.uri?eid=2-s2.0-85008517748&amp;doi=10.3319%2fTAO.2016.06.13.01%28Oc%29&amp;partnerID=40&amp;md5=6359e12ee748f1b300904bca9364e7f2</t>
  </si>
  <si>
    <t>Taiwan is subjected to significant storm surges, waves, and coastal inundation during frequent tropical cyclones. Along the west coast with gentler bathymetric slopes, storm surges often cause significant coastal inundation. Along the east coast with steep bathymetric slopes, waves can contribute significantly to the storm surge in the form of wave setup. To examine the importance of waves on storm surges and to quantify the significance of coastal inundation, this paper presents numerical simulations of storm surge and coastal inundation during two major typhoons, Fanapi in 2010 and Soulik in 2013, which impacted the southwest and northeast coasts of Taiwan, respectively. The simulations are conducted with an integrated surge-wave modeling system using a large coastal model domain wrapped around the island of Taiwan, with a grid resolution of 50-300 m. During Fanapi, the simulated storm surge and coastal inundation near Kaohsiung are not as accurate as those obtained using a smaller coastal domain with finer resolution (40-150 m). During Soulik, model simulations show that wave setup contributed significantly (up to 20%) to the peak storm surge along the northeast coast of Taiwan. 3D model simulations yield more accurate water level results and significant vertical variation of horizontal velocity at stations where wave-surge interaction is more pronounced. The simulated storm surge generally agreed well with observed data at nearly 40 stations. © 2016 Terrestrial, Atmospheric and Oceanic Sciences (TAO). All rights reserved.</t>
  </si>
  <si>
    <t>2-s2.0-85008517748"</t>
  </si>
  <si>
    <t>10.1007/s00024-016-1315-y</t>
  </si>
  <si>
    <t>https://www.scopus.com/inward/record.uri?eid=2-s2.0-84996554892&amp;doi=10.1007%2fs00024-016-1315-y&amp;partnerID=40&amp;md5=1ed5a889a1140ace792b68b5c0bf969e</t>
  </si>
  <si>
    <t>This work is part of a tsunami inundation mapping activity carried out along the US East Coast since 2010, under the auspice of the National Tsunami Hazard Mitigation program (NTHMP). The US East Coast features two main estuaries with significant tidal forcing, which are bordered by numerous critical facilities (power plants, major harbors,..) as well as densely built low-level areas: Chesapeake Bay and the Hudson River Estuary (HRE). HRE is the object of this work, with specific focus on assessing tsunami hazard in Manhattan, the Hudson and East River areas. In the NTHMP work, inundation maps are computed as envelopes of maximum surface elevation along the coast and inland, by simulating the impact of selected probable maximum tsunamis (PMT) in the Atlantic ocean margin and basin. At present, such simulations assume a static reference level near shore equal to the local mean high water (MHW) level. Here, instead we simulate maximum inundation in the HRE resulting from dynamic interactions between the incident PMTs and a tide, which is calibrated to achieve MHW at its maximum level. To identify conditions leading to maximum tsunami inundation, each PMT is simulated for four different phases of the tide and results are compared to those obtained for a static reference level. We first separately simulate the tide and the three PMTs that were found to be most significant for the HRE. These are caused by: (1) a flank collapse of the Cumbre Vieja Volcano (CVV) in the Canary Islands (with a 80 km3 volume representing the most likely extreme scenario)</t>
  </si>
  <si>
    <t>10.1080/01431161.2016.1249304</t>
  </si>
  <si>
    <t>https://www.scopus.com/inward/record.uri?eid=2-s2.0-84997112242&amp;doi=10.1080%2f01431161.2016.1249304&amp;partnerID=40&amp;md5=ecc9779ebf11a7a035e96c06d91fd8a4</t>
  </si>
  <si>
    <t>Flood protection in south Louisiana is largely dependent on earthen levees, and in the aftermath of Hurricane Katrina the state’s levee system has received intense scrutiny. Accurate elevation data along the levees are critical to local levee district managers responsible for monitoring and maintaining the extensive system of non-federal levees in coastal Louisiana. In 2012, high resolution airborne lidar data were acquired over levees in Lafourche Parish, Louisiana, and a mobile terrestrial lidar survey was conducted for selected levee segments using a terrestrial lidar scanner mounted on a truck. The mobile terrestrial lidar data were collected to test the feasibility of using this relatively new technology to map flood control levees and to compare the accuracy of the terrestrial and airborne lidar. Metrics assessing levee geometry derived from the two lidar surveys are also presented as an efficient, comprehensive method to quantify levee height and stability. The vertical root mean square error values of the terrestrial lidar and airborne lidar digital-derived digital terrain models were 0.038 m and 0.055 m, respectively. The comparison of levee metrics derived from the airborne and terrestrial lidar-based digital terrain models showed that both types of lidar yielded similar results, indicating that either or both surveying techniques could be used to monitor geomorphic change over time. Because airborne lidar is costly, many parts of the USA and other countries have never been mapped with airborne lidar, and repeat surveys are often not available for change detection studies. Terrestrial lidar provides a practical option for conducting repeat surveys of levees and other terrain features that cover a relatively small area, such as eroding cliffs or stream banks, and dunes. © 2016 Informa UK Limited, trading as Taylor &amp; Francis Group.</t>
  </si>
  <si>
    <t>2-s2.0-84997112242"</t>
  </si>
  <si>
    <t>10.1186/s12302-016-0096-3</t>
  </si>
  <si>
    <t>https://www.scopus.com/inward/record.uri?eid=2-s2.0-85002002601&amp;doi=10.1186%2fs12302-016-0096-3&amp;partnerID=40&amp;md5=6a4bef73b4d5529ce2cfd0b28ed509c9</t>
  </si>
  <si>
    <t>Background: Both frequency and intensity of flood events are expected to increase as a result of global climate change in the upcoming decades, potentially resulting in increased re-suspension of sediments in fluvial systems. Contamination of these re-suspended sediments with legacy contaminants, including dioxins and dioxin-like compounds (DLCs), as well as polycyclic aromatic hydrocarbons (PAHs) is of great ecotoxicological concern. DLCs, and to some extent also PAHs, exhibit their toxicity through activation of the aryl hydrocarbon receptor (AhR). However, interactions of DLCs with pathways other than those known to be mediated through the AhR are not fully understood to date. Methods: This study aimed to investigate molecular and biochemical effects in roach (Rutilus rutilus) during a 10 days exposure to suspensions of three natural sediments that differed in the level of DLC contamination. Concentrations of biliary PAH metabolites and hepatic 7-ethoxyresorufin-O-deethylase activity were quantified in exposed fish. Furthermore, the abundance of transcripts of several genes related to energy metabolism, response to oxidative stress, and apoptosis, as well as cytochrome P450 1A (cyp1a) was quantified. Results: Biliary PAH metabolites and activation of the AhR were confirmed as suitable early warning biomarkers of exposure to suspended sediments containing DLCs and PAHs that corresponded well with analytically determined concentrations of those contaminants. Although the abundances of transcripts of superoxide dismutase (sod), protein kinase c delta (pkcd), and ATP-binding cassette transporter c9 (abcc9) were altered by the treatment compared with unexposed control fish, none of these showed a time- or concentration-dependent response. The abundance of transcripts of pyruvate carboxylase (pc) and transferrin variant d (tfd) remained unaltered by the treatments. Conclusions: We have shown that contaminated sediments can become a risk for fish during re-suspension events (e.g., flooding and dredging). We have also demonstrated that roach, which are native to most European freshwater systems, are suitable sentinel species due to their great sensitivity and ecological relevance. Roach may be particularly suitable in future field studies to assess the toxicological concerns associated with the release of DLCs and PAHs during sediment re-suspension. © 2016, The Author(s).</t>
  </si>
  <si>
    <t>2-s2.0-85002002601"</t>
  </si>
  <si>
    <t>10.1007/s00024-016-1332-x</t>
  </si>
  <si>
    <t>https://www.scopus.com/inward/record.uri?eid=2-s2.0-84995961434&amp;doi=10.1007%2fs00024-016-1332-x&amp;partnerID=40&amp;md5=b296d3ae67dacd65601c0ba5437c15c9</t>
  </si>
  <si>
    <t>We investigated the effect that along-dip slip distribution has on the near-shore tsunami amplitudes and on coastal land-level changes in the region of central Chile (29°–37°S). Here and all along the Chilean megathrust, the seismogenic zone extends beneath dry land, and thus, tsunami generation and propagation is limited to its seaward portion, where the sensitivity of the initial tsunami waveform to dislocation model inputs, such as slip distribution, is greater. We considered four distributions of earthquake slip in the dip direction, including a spatially uniform slip source and three others with typical bell-shaped slip patterns that differ in the depth range of slip concentration. We found that a uniform slip scenario predicts much lower tsunami amplitudes and generally less coastal subsidence than scenarios that assume bell-shaped distributions of slip. Although the finding that uniform slip scenarios underestimate tsunami amplitudes is not new, it has been largely ignored for tsunami hazard assessment in Chile. Our simulations results also suggest that uniform slip scenarios tend to predict later arrival times of the leading wave than bell-shaped sources. The time occurrence of the largest wave at a specific site is also dependent on how the slip is distributed in the dip direction</t>
  </si>
  <si>
    <t>10.2112/SI76-008</t>
  </si>
  <si>
    <t>https://www.scopus.com/inward/record.uri?eid=2-s2.0-85008705042&amp;doi=10.2112%2fSI76-008&amp;partnerID=40&amp;md5=a5eb9b1b00fa99cc9c2a9266c52534e6</t>
  </si>
  <si>
    <t>During the coming decades, coastlines will respond to widely predicted sea-level rise, storm surge, and coastal inundation flooding from disastrous events. Because physical processes in coastal environments are controlled by the geomorphology of over-the-land topography and underwater bathymetry, many applications of geospatial data in coastal environments require detailed knowledge of the near-shore topography and bathymetry. In this paper, an updated methodology used by the U.S. Geological Survey Coastal National Elevation Database (CoNED) Applications Project is presented for developing coastal topobathymetric elevation models (TBDEMs) from multiple topographic data sources with adjacent intertidal topobathymetric and offshore bathymetric sources to generate seamlessly integrated TBDEMs. This repeatable, updatable, and logically consistent methodology assimilates topographic data (land elevation) and bathymetry (water depth) into a seamless coastal elevation model. Within the overarching framework, vertical datum transformations are standardized in a workflow that interweaves spatially consistent interpolation (gridding) techniques with a land/water boundary mask delineation approach. Output gridded raster TBDEMs are stacked into a file storage system of mosaic datasets within an Esri ArcGIS geodatabase for efficient updating while maintaining current and updated spatially referenced metadata. Topobathymetric data provide a required seamless elevation product for several science application studies, such as shoreline delineation, coastal inundation mapping, sediment-transport, sea-level rise, storm surge models, and tsunami impact assessment. These detailed coastal elevation data are critical to depict regions prone to climate change impacts and are essential to planners and managers responsible for mitigating the associated risks and costs to both human communities and ecosystems. The CoNED methodology approach has been used to construct integrated TBDEM models in Mobile Bay, the northern Gulf of Mexico, San Francisco Bay, the Hurricane Sandy region, and southern California. © Coastal Education and Research Foundation, Inc. 2016.</t>
  </si>
  <si>
    <t>2-s2.0-85008705042"</t>
  </si>
  <si>
    <t>10.2112/SI76-001</t>
  </si>
  <si>
    <t>https://www.scopus.com/inward/record.uri?eid=2-s2.0-85008675542&amp;doi=10.2112%2fSI76-001&amp;partnerID=40&amp;md5=e1cebbdc08f6591cc53112afae117a56</t>
  </si>
  <si>
    <t>Detailed knowledge of near-shore topography and bathymetry is required for many geospatial data applications in the coastal environment. New data sources and processing methods are facilitating development of seamless, regional-scale topobathymetric digital elevation models. These elevation models integrate disparate multi-sensor, multi-temporal topographic and bathymetric datasets to provide a coherent base layer for coastal science applications such as wetlands mapping and monitoring, sea-level rise assessment, benthic habitat mapping, erosion monitoring, and storm impact assessment. The focus of this special issue is on recent advances in the source data, data processing and integration methods, and applications of topobathymetric datasets. © Coastal Education and Research Foundation, Inc. 2016.</t>
  </si>
  <si>
    <t>2-s2.0-85008675542"</t>
  </si>
  <si>
    <t>Tectonophysics</t>
  </si>
  <si>
    <t>10.1016/j.tecto.2016.02.021</t>
  </si>
  <si>
    <t>https://www.scopus.com/inward/record.uri?eid=2-s2.0-84964584629&amp;doi=10.1016%2fj.tecto.2016.02.021&amp;partnerID=40&amp;md5=159959618dbb4c782e6cc1f30967a2e7</t>
  </si>
  <si>
    <t>Geodetically measured surface displacements are produced by a combination of underlying deformation processes acting at different spatial and temporal scales. A complete history of surface measurements in an area can help discriminate contributions from tectonic, hydrologic, and anthropogenic processes. In this study, we use Synthetic Aperture Radar (SAR) images of the active mountain front and adjacent coastal plain of southwestern Taiwan to generate time series of surface deformation from 1995 to 2001 and from 2005 to 2008 based on the InSAR small baseline method. The InSAR measurements agree well with LOS motions estimated from continuous GPS measurements of 3D displacements between 2006 and 2008. A significant range increase in line of sight (LOS) is dominated by land subsidence in the coastal area of western and southwestern Taiwan. Subsidence rates vary with annual periods and are highly correlated with seasonal precipitation, which are likely associated with groundwater recharge and withdrawal. The long-term deformation is dominated by long-term tectonic loading in SW Taiwan during the interseismic period of the earthquake cycle, including elastic strain along or continuous creep on the active faults. Our results show the ability of InSAR to reveal spatiotemporal crustal deformation in western Taiwan with high spatial resolution and accuracy, which is potentially important for evaluating seismic hazards. © 2016 Elsevier B.V.</t>
  </si>
  <si>
    <t>2-s2.0-84964584629"</t>
  </si>
  <si>
    <t>10.14350/rig.50172</t>
  </si>
  <si>
    <t>https://www.scopus.com/inward/record.uri?eid=2-s2.0-85010815486&amp;doi=10.14350%2frig.50172&amp;partnerID=40&amp;md5=4963689b047ffddf024cedbffd416fb7</t>
  </si>
  <si>
    <t>Sea level rise is one of the most serious events that will impact low-lying lands, as is the case of most of Tabasco State. Historically, the State of Tabasco has been repeatedly impacted by extreme floods, the most recent one occurring in 2007. However, recent studies have shown that coastal erosion is the effect that most directly has impacted the Tabasco's coastline, as this has even modified soil strata</t>
  </si>
  <si>
    <t>10.5751/ES-08765-210443</t>
  </si>
  <si>
    <t>https://www.scopus.com/inward/record.uri?eid=2-s2.0-85008158619&amp;doi=10.5751%2fES-08765-210443&amp;partnerID=40&amp;md5=2c6b53e99a0eb8a1ecd6055f29110305</t>
  </si>
  <si>
    <t>Dutch flood management policy was for a long time dominated by a protection-oriented approach. However, in the last 10 years a more risk-oriented approach has gained ground, denoted by the introduction of the concept of multilayered safety in 2009 in the National Water Plan. Since then, the dominant policy coalition focusing on resistance has found itself competing with a growing community that emphasizes the importance of resilience. In this paper we analyze the process of policy learning in Dutch flood risk management toward a more resilient paradigm, and the resulting outcomes in terms of regime change and stability. To understand the actual degree of change we unpack the mechanisms of path dependency characterizing the current flood policy regime and how they influence the impact of policy learning in terms of regime change. We conclude that specific mechanisms of path dependency, for example, the existing power asymmetries between competing coalitions and the intricate complexity of flood policies, prevent institutional change, but cannot prevent ideas about resilience slowly gaining more impact. © 2016 by the author(s).</t>
  </si>
  <si>
    <t>2-s2.0-85008158619"</t>
  </si>
  <si>
    <t>10.1126/science.aak9460</t>
  </si>
  <si>
    <t>https://www.scopus.com/inward/record.uri?eid=2-s2.0-85006314079&amp;doi=10.1126%2fscience.aak9460&amp;partnerID=40&amp;md5=7d5d8f03e1be5eda6012525c2bfd37f7</t>
  </si>
  <si>
    <t>2-s2.0-85006314079"</t>
  </si>
  <si>
    <t>10.5194/gmd-9-4451-2016</t>
  </si>
  <si>
    <t>https://www.scopus.com/inward/record.uri?eid=2-s2.0-85006355586&amp;doi=10.5194%2fgmd-9-4451-2016&amp;partnerID=40&amp;md5=04c1af54527f04dc76b99c9bf8c87f0f</t>
  </si>
  <si>
    <t>Many processes govern the deglaciation of ice sheets. One of the processes that is usually ignored is the calving of ice in lakes that temporarily surround the ice sheet. In order to capture this process a ""flood-fill algorithm"" is needed. Here we present and evaluate several optimizations to a standard flood-fill algorithm in terms of computational efficiency. As an example, we determine the land-ocean mask for a 1 km resolution digital elevation model (DEM) of North America and Greenland, a geographical area of roughly 7000 by 5000 km (roughly 35 million elements), about half of which is covered by ocean. Determining the land-ocean mask with our improved flood-fill algorithm reduces computation time by 90 % relative to using a standard stack-based flood-fill algorithm. This implies that it is now feasible to include the calving of ice in lakes as a dynamical process inside an ice-sheet model. We demonstrate this by using bedrock elevation, ice thickness and geoid perturbation fields from the output of a coupled ice-sheet-sea-level equation model at 30 000 years before present and determine the extent of Lake Agassiz, using both the standard and improved versions of the flood-fill algorithm. We show that several optimizations to the flood-fill algorithm used for filling a depression up to a water level, which is not defined beforehand, decrease the computation time by up to 99 %. The resulting reduction in computation time allows determination of the extent and volume of depressions in a DEM over large geographical grids or repeatedly over long periods of time, where computation time might otherwise be a limiting factor. The algorithm can be used for all glaciological and hydrological models, which need to trace the evolution over time of lakes or drainage basins in general. © Author(s) 2016.</t>
  </si>
  <si>
    <t>2-s2.0-85006355586"</t>
  </si>
  <si>
    <t>10.2112/SI76-007</t>
  </si>
  <si>
    <t>https://www.scopus.com/inward/record.uri?eid=2-s2.0-85008682126&amp;doi=10.2112%2fSI76-007&amp;partnerID=40&amp;md5=a070d087f271d9283135b7ef9d1a6423</t>
  </si>
  <si>
    <t>The U.S. Geological Survey is creating the Coastal National Elevation Database, an expanding set of topobathymetric elevation models that extend seamlessly across coastal regions of high societal or ecological significance in the United States that are undergoing rapid change or are threatened by inundation hazards. Topobathymetric elevation models are raster datasets useful for inundation prediction and other earth science applications, such as the development of sediment-transport and storm surge models. These topobathymetric elevation models are being constructed by the broad regional assimilation of numerous topographic and bathymetric datasets, and are intended to fulfill the pressing needs of decision makers establishing policies for hazard mitigation and emergency preparedness, coastal managers tasked with coastal planning compatible with predictions of inundation due to sea-level rise, and scientists investigating processes of coastal geomorphic change. A key priority of this coastal elevation mapping effort is to foster collaborative lidar acquisitions that meet the standards of the USGS National Geospatial Program's 3D Elevation Program, a nationwide initiative to systematically collect high-quality elevation data. The focus regions are located in highly dynamic environments, for example in areas subject to shoreline change, rapid wetland loss, hurricane impacts such as overwash and wave scouring, and/or human-induced changes to coastal topography. © Coastal Education and Research Foundation, Inc. 2016.</t>
  </si>
  <si>
    <t>2-s2.0-85008682126"</t>
  </si>
  <si>
    <t>10.7186/bgsm62201605</t>
  </si>
  <si>
    <t>https://www.scopus.com/inward/record.uri?eid=2-s2.0-85035040746&amp;doi=10.7186%2fbgsm62201605&amp;partnerID=40&amp;md5=e9a7afb05f5cc0fd6138c22f16105c7d</t>
  </si>
  <si>
    <t>Study at Northern Sabah shows evidence of geological indicators of sea-level changes preserved on the coastal areas. The geological features are found on cliffs, islands and ancient shore platforms. They are found at Batu Kuala Tajau, Batu Panjang North, Tanjung Simpang Mengayau, Pulau Kalampunian and Tindakon. The ancient sea-level is several meters above the present sea-level. However, a proper and detailed study needs to be carried out in order to determine the meaningful historical sea-level changes to take into account the tectonic uplift and eustatic sea-level changes in the area. Several of the sites are easily accessible, therefore they could be used as field educational sites to educate and create awareness among the public on global climate changes due to global warming currently affecting the Earth. The catastrophic impact of global climate changes is the rise of global sea-level. Educational aspect such as how the rise in sea-level thousands of years ago has flooded the coastal areas could be imparted upon visitors to the sites. The other geological and geomorphological features in the study area include faults, joints, graded beds, sandstone concretions containing mudstone nuclei, sea notches, sea caves, Liesegang bands, potholes, honeycombs, tafoni and various erosional and weathering features. These features have scientific, aesthetic, recreational and cultural values and as such they comprise the geoheritage resources of the area and should be protected. The geoheritage sites have high geotourism potential for research, educational and recreational activities and could be developed for geotourism purpose with steps to ensure sustainability and protection of the sites. The promotion of educational geotourism at the sites, especially on ancient sea-level changes, could instill public awareness on global climate changes due to global warming and thus would encourage the public to protect the environment. The use of geological features to instill public awareness on global climate changes is an innovative approach to create awareness among the public on the importance to care for the environment. © 2016, Geological Society of Malaysia. All rights reserved.</t>
  </si>
  <si>
    <t>2-s2.0-85035040746"</t>
  </si>
  <si>
    <t>10.5194/nhess-16-2799-2016</t>
  </si>
  <si>
    <t>https://www.scopus.com/inward/record.uri?eid=2-s2.0-85007240660&amp;doi=10.5194%2fnhess-16-2799-2016&amp;partnerID=40&amp;md5=38f4cf5e219b5a22d89ef98c381aebfd</t>
  </si>
  <si>
    <t>On 8 November 2013, category 5 Supertyphoon Haiyan made landfall on the Philippines. During a post-typhoon survey in February 2014, Haiyan-related sand deposition and morphological changes were documented at four severely affected sites with different exposure to the typhoon track and different geological and geomorphological settings. Onshore sand sheets reaching 100-250 m inland are restricted to coastal areas with significant inundation due to amplification of surge levels in embayments or due to accompanying long-wave phenomena at the most exposed coastlines of Leyte and Samar. However, localized washover fans with a storm-typical laminated stratigraphy occurred even along coasts with limited inundation due to waves overtopping or breaching coastal barriers. On a recent reef platform off Negros in the Visayan Sea, storm waves entrained coral rubble from the reef slope and formed an intertidal coral ridge several hundreds of metres long when breaking at the reef edge. As these sediments and landforms were generated by one of the strongest storms ever recorded, they not only provide a recent reference for typhoon signatures that can be used for palaeotempestological and palaeotsunami studies in the region but might also increase the general spectrum of possible cyclone deposits. Although a rather atypical example for storm deposition due to the influence of infra-gravity waves, it nevertheless provides a valuable reference for an extreme case that should be considered when discriminating between storm and tsunami deposits in general. Even for sites with low topography and high inundation levels during Supertyphoon Haiyan, the landward extent of the documented sand sheets seems significantly smaller than typical sand sheets of large tsunamis. This criterion may potentially be used to distinguish both types of events. © Author(s) 2016.</t>
  </si>
  <si>
    <t>2-s2.0-85007240660"</t>
  </si>
  <si>
    <t>10.1007/s00024-016-1261-8</t>
  </si>
  <si>
    <t>https://www.scopus.com/inward/record.uri?eid=2-s2.0-84995961518&amp;doi=10.1007%2fs00024-016-1261-8&amp;partnerID=40&amp;md5=83932dd1881a5ede32d451eafa7240b3</t>
  </si>
  <si>
    <t>Siracusa is one of the most important cities of the eastern coast of Sicily, which according to historical records and to the present knowledge of the tectonic setting, is exposed to tsunamis generated by landslides on the Malta escarpment and by local and remote (e.g., Eastern Hellenic Arc) earthquakes. For this reason, the area of Siracusa has been selected as one of the test sites to conduct specific studies within the European FP7 project ASTARTE. In this frame, this work focuses on the assessment of tsunami vulnerability of (and damage to) the building stock of the town. The analysis is carried out following two different models, namely the SCHEMA and the Papathoma Tsunami Vulnerability Assessment (PTVA-3) methods. Topographic and building stock data in the potentially flooded areas are taken from detailed digital databases produced by the region of Sicily, integrated with satellite and photographic imagery from Google Earth and further validated by field surveys. We have explored three inundation scenarios corresponding to a constant-level tsunami flooding with assumed sea level rise of 1, 3 and 5 m, and evaluated the damage to the town buildings using both methods that make use of a 5-degree scale. The main result is that the level of damage of both models is not consistent, and that consistency may be improved if one changes from a 5- to a 3-degree damage scale. © 2016, Springer International Publishing.</t>
  </si>
  <si>
    <t>2-s2.0-84995961518"</t>
  </si>
  <si>
    <t>10.1111/disa.12174</t>
  </si>
  <si>
    <t>https://www.scopus.com/inward/record.uri?eid=2-s2.0-85027919210&amp;doi=10.1111%2fdisa.12174&amp;partnerID=40&amp;md5=dd287497bdf3522c777e8663a958c634</t>
  </si>
  <si>
    <t>In many low- and middle-income countries informal communities-also termed slum and squatter areas-have become a dominant and distinct form of urban settlement, with ever increasing populations. Such communities are often located in areas of high hazard exposure and frequently affected by disasters. While often recognised as one of the highest 'at risk' populations, this paper will argue that informal settlers have been directly and indirectly excluded from many formal mechanisms, thereby increasing their vulnerability to disaster events. Household surveys were conducted across several frequently flooded informal coastal communities in Metro Manila, the Philippines, following a major typhoon and storm surge disaster. The study revealed a large level of diversity in socio-economic vulnerability, although all households faced similar levels of physical exposure and physical vulnerability. Disaster risk reduction policies and responses need to better integrate informal settlement areas and recognise the diversity within these communities.  © 2016 The Author(s). Disasters © Overseas Development Institute, 2016.</t>
  </si>
  <si>
    <t>2-s2.0-85027919210"</t>
  </si>
  <si>
    <t>Current Climate Change Reports</t>
  </si>
  <si>
    <t>10.1007/s40641-016-0038-6</t>
  </si>
  <si>
    <t>https://www.scopus.com/inward/record.uri?eid=2-s2.0-85042507024&amp;doi=10.1007%2fs40641-016-0038-6&amp;partnerID=40&amp;md5=85e91e878174b0b1b2344a86ac42415e</t>
  </si>
  <si>
    <t>Compaction describes a range of natural syn- and post-depositional processes that reduce the volume of sediments deposited in low-lying coastal areas, causing land-level lowering and a distortion of stratigraphic sequences. Compaction affects our reconstructions and understanding of historic sea levels, influences how relative sea level changes in the future and can act as a catalyst for rapid, widespread changes in coastal geomorphology. Rates of compaction-induced relative sea-level rise vary across space and through time in response to a range of natural and anthropogenically accelerated processes and conditions. This paper provides a summary of our understanding of the causes and effects of compaction, considering findings from key palaeoenvironmental and stratigraphic studies, sea-level reconstructions and recent observational data. It then considers the implications of these findings for our ability to project compaction-induced relative sea-level and associated coastal changes into the future. © 2016, The Author(s).</t>
  </si>
  <si>
    <t>2-s2.0-85042507024"</t>
  </si>
  <si>
    <t>Oceanological and Hydrobiological Studies</t>
  </si>
  <si>
    <t>10.1515/ohs-2016-0036</t>
  </si>
  <si>
    <t>https://www.scopus.com/inward/record.uri?eid=2-s2.0-84989840406&amp;doi=10.1515%2fohs-2016-0036&amp;partnerID=40&amp;md5=5288d678ca6db5fa1d393caa87a26e40</t>
  </si>
  <si>
    <t>The article examines the spatial and temporal variability in selected extreme meteorological phenomena on the Polish coast of the Baltic Sea. Data from the 2001-2014 period related to a few meteorological and oceanographic elements were used to calculate indices of extreme weather events. The amount of intensive and widespread precipitation events in the 21st century corresponds well with the long-term means and is stable over a long period. The number of 50-60 frost days recorded per year has been systematically decreasing for several decades. Only a few deep cyclones occur per year and year-to-year variations of their number and magnitude corresponds to the overall long-term insignificant changes in the cyclone activity in the North Atlantic and the European region. The mean annual number of days with strong winds reaches nearly 8 cases per year. About 6 storm surges per year are recorded and this value has been slowly increasing in the long-term perspective. The rare occurrence of sea ice in 2001-2014 is a continuation of the reduction in the phenomenon observed in the 20th century. The passage of deep cyclones resulting in strong winds, storm surges and waves constitutes the most dangerous hazard to the coast. © 2016 Faculty of Oceanography and Geography, University of Gdańsk, Poland. All rights reserved.</t>
  </si>
  <si>
    <t>2-s2.0-84989840406"</t>
  </si>
  <si>
    <t>10.5194/nhess-16-2485-2016</t>
  </si>
  <si>
    <t>https://www.scopus.com/inward/record.uri?eid=2-s2.0-85000416066&amp;doi=10.5194%2fnhess-16-2485-2016&amp;partnerID=40&amp;md5=16ffba10c3c007ce1b1d41ca441866c8</t>
  </si>
  <si>
    <t>This study presents an historical database of flash flood events in the Campania region of southern Italy. The study focuses on small catchments characterized by intermittent flow, generally occurring during and after heavy rainstorms, which can be hydrologically defined as small Mediterranean catchments. As the outlet zones of these catchments (consisting mainly of alluvial fans or fan deltas) are highly urbanized in Campania, the population living in the delivery areas is exposed to high risk. Detailed scrutiny and critical analysis of the existing literature, and of the data inventory available, allowed us to build a robust database consisting of about 500 events from 1540 to 2015, which is continuously updated. Since this study is the first step of a longer project to perform a hazard analysis, information about time and site of occurrence is known for all events. As for the hazard analysis envisaged, collecting information about past events could provide information on future events, in terms of damage and also spatial and temporal occurrence. After introducing the issue of flash floods in Italy we then describe the geological and geomorphological settings of the study area. The database is then presented, illustrating the methodology used in collecting information and its general structure. The collected data are then discussed and the statistical data analysis presented. © Author(s) 2016. CC Attribution 3.0 License.</t>
  </si>
  <si>
    <t>2-s2.0-85000416066"</t>
  </si>
  <si>
    <t>10.1002/2016GL070624</t>
  </si>
  <si>
    <t>https://www.scopus.com/inward/record.uri?eid=2-s2.0-85002866934&amp;doi=10.1002%2f2016GL070624&amp;partnerID=40&amp;md5=16133c2ad02a56934fd3f008d2916983</t>
  </si>
  <si>
    <t>We evaluate the relative impact of petroleum spill and storm surge on near-shore wetland loss by quantifying the lateral movement of coastal shores in upper Barataria Bay, Louisiana (USA), between June 2009 and October 2012, a study period that extends from the year prior to the Deepwater Horizon spill to 2.5 years following the spill. We document a distinctly different pattern of shoreline loss in the 2 years following the spill, both from that observed in the year prior to the spill, during which there was no major cyclonic storm, and from change related to Hurricane Isaac, which made landfall in August 2012. Shoreline erosion following oiling was far more spatially extensive and included loss in areas protected from wave-induced erosion. We conclude that petroleum exposure can substantially increase shoreline recession particularly in areas protected from storm-induced degradation and disproportionally alters small oil-exposed barrier islands relative to natural erosion. ©2016. American Geophysical Union. All Rights Reserved.</t>
  </si>
  <si>
    <t>2-s2.0-85002866934"</t>
  </si>
  <si>
    <t>10.2112/JCOASTRES-D-15-00030.1</t>
  </si>
  <si>
    <t>https://www.scopus.com/inward/record.uri?eid=2-s2.0-84987732955&amp;doi=10.2112%2fJCOASTRES-D-15-00030.1&amp;partnerID=40&amp;md5=732f1fbbab9abf7a5d2f9f1dd81a7e22</t>
  </si>
  <si>
    <t>Water-level measurements from 15 tide gauges in the coastal zone of Bangladesh are analyzed in conjunction with cyclone tracks and wind speed data for 54 cyclones between 1977 and 2010. Storm-surge magnitude is inferred from residual water levels computed by subtracting modeled astronomical tides from observed water levels at each station. Observed residual water levels are generally smaller than reported storm-surge levels for cyclones where both are available, and many cyclones produce no obvious residual at all. Both maximum and minimum residual water levels are higher for west-landing cyclones producing onshore winds and generally diminish for cyclones making landfall on the Bangladesh coast or eastward producing offshore winds. Water levels observed during cyclones are generally more strongly influenced by tidal phase and amplitude than by storm surge alone. In only 7 of the 15 stations does the highest plausible observed water level coincide with a cyclone. Whereas cyclone-coincident residual water-level maxima occur at a wide range of tidal phases, very few coincide with high spring tides. Comparisons of cyclone-related casualties with maximum wind speed, hour of landfall, population density, and residual water level (inferred storm surge) show no significant correlations for any single characteristic. Cyclones with high casualties are often extreme in one or more of these characteristics but there appears to be no single extreme characteristic shared by all high-casualty cyclones. © Coastal Education and Research Foundation, Inc. 2016.</t>
  </si>
  <si>
    <t>2-s2.0-84987732955"</t>
  </si>
  <si>
    <t>10.1016/j.geomorph.2016.09.007</t>
  </si>
  <si>
    <t>https://www.scopus.com/inward/record.uri?eid=2-s2.0-84987945009&amp;doi=10.1016%2fj.geomorph.2016.09.007&amp;partnerID=40&amp;md5=f5aff86c4b3fab83ec050df7724481e8</t>
  </si>
  <si>
    <t>Coastal overwash is one of the most important hazards affecting the coastal zone and therefore has been the focus of several studies related to the establishment of setback lines. However, studies of extreme overwash (EO) events along urban beaches backed by a seawall or structure are scarce, and reveal the difficulties associated with its assessment, measurement and validation. The Nazaré coastal urban area (located on the west coast of Portugal) is developed adjacent to an embayed reflective beach and is subject to frequent and localized inundation due to EO events capable of overtopping the protection seawall. The current work develops a methodological approach to simulate total water levels (TWL) and seawall overtopping occurrences in time and space, with the ultimate goal of identifying the factors that govern the extreme overwash regime. The method uses multi-decadal time series of site-specific wave and tide, and high-resolution topo-bathymetric data, and recreates the TWL time series for a 36-year period. The model is successfully validated against video imagery and maximum swash line data that provide information on the reach of the water levels measured during modal and extreme TWL conditions along the studied beach. This study establishes the importance of the interaction of the modal and extreme hydrodynamic processes with the beach and backshore morphology. The Nazaré embayment is in equilibrium with the alongshore-varying modal wave conditions, resulting in higher vulnerability of the most sheltered sector during extreme events. © 2016 Elsevier B.V.</t>
  </si>
  <si>
    <t>2-s2.0-84987945009"</t>
  </si>
  <si>
    <t>10.1007/s10584-016-1647-8</t>
  </si>
  <si>
    <t>https://www.scopus.com/inward/record.uri?eid=2-s2.0-84961659479&amp;doi=10.1007%2fs10584-016-1647-8&amp;partnerID=40&amp;md5=07d6507e40f6238cc3baebab9e11eacd</t>
  </si>
  <si>
    <t>The Australian coastal zone encompasses tropical, sub- and extra-tropical climates and accommodates about 80 % of Australia’s population. Sea level extremes and their physical impacts in the coastal zone arise from a complex set of atmospheric, oceanic and terrestrial processes that interact on a range of spatial and temporal scales and will be modified by a changing climate, including sea level rise. This review details significant progress over recent years in understanding the causes of past and projections of future changes in sea level and coastal extremes, yet a number of research questions, knowledge gaps and challenges remain. These include efforts to improve knowledge on past sea level extremes, integrate a wider range of processes in projections of future changes to sea level extremes, and focus efforts on understanding long-term coastline response from the combination of contributing factors. © 2016, Springer Science+Business Media Dordrecht.</t>
  </si>
  <si>
    <t>2-s2.0-84961659479"</t>
  </si>
  <si>
    <t>10.1007/s10584-016-1740-z</t>
  </si>
  <si>
    <t>https://www.scopus.com/inward/record.uri?eid=2-s2.0-84978841929&amp;doi=10.1007%2fs10584-016-1740-z&amp;partnerID=40&amp;md5=d4413109568f4f996c9c9253b0432f40</t>
  </si>
  <si>
    <t>With the increasing impacts of climate change, many people in Bangladesh are being forced to move their homes and/or change their jobs. Unfortunately, little is known about how people jointly decide on their jobs and residential location changes in association with the influence of climate change disasters. The main purpose of this paper is to examine how residents in coastal and inland areas may change their jobs and/or residential location under different scenarios of potential impacts of floods and cyclones by comparing socioeconomic and experiential factors. A stated preference survey was conducted in 14 coastal and inland areas of Bangladesh. As a result, 788 respondents provided 3152 valid samples (1948 from coastal areas and 1204 from inland areas). Analysis results based on a cross-nested logit model indicate that flood has no obvious impact on choices of inland people, and flood and cyclone have limited effects on people’s choices in coastal areas, except for cyclone intensity. Income is not significant in the decisions of the coastal people, but it does matter to the inland people. The inland people are more likely to depend on government help during disasters. However, the coastal people’s decisions are driven by different factors in a complicated way. The inland people prefer changing their jobs to changing their residential locations, but the coastal people are slightly more aggressive in deciding to change their residential location in response to flood. Structural differences of choice behaviors under flood and cyclone are also revealed. Finally, policy implications are discussed. © 2016, Springer Science+Business Media Dordrecht.</t>
  </si>
  <si>
    <t>2-s2.0-84978841929"</t>
  </si>
  <si>
    <t>10.1007/s11069-016-2506-7</t>
  </si>
  <si>
    <t>https://www.scopus.com/inward/record.uri?eid=2-s2.0-84982176799&amp;doi=10.1007%2fs11069-016-2506-7&amp;partnerID=40&amp;md5=e561bfaa4b761d486e56d8be289b25a5</t>
  </si>
  <si>
    <t>Storm surges are an abnormal enhancement of the water level in response to weather perturbations. They have the capacity to cause damaging flooding of coastal regions, especially when they coincide with astronomical high spring tides. Some areas of the UK have suffered particularly damaging surge events, and the Firth of Clyde is a region with high risk due to its location and morphology. Here, we use a three-dimensional high spatial resolution hydrodynamic model to simulate the local bathymetric and morphological enhancement of surge in the Clyde, and disaggregate the effects of far-field atmospheric pressure distribution and local scale wind forcing of surges. A climatological analysis, based on 30 years of data from Millport tide gauges, is also discussed. The results suggest that floods are not only caused by extreme surge events, but also by the coupling of spring high tides with moderate surges. Water level is also enhanced by a funnelling effect due to the bathymetry and the morphology of fjordic sealochs and the River Clyde Estuary. In a world of rising sea level, studying the propagation and the climatology of surges and high water events is fundamental. In addition, high-resolution hydrodynamic models are essential to forecast extreme events and to prevent the loss of lives, or to plan coastal defences solutions. © 2016, The Author(s).</t>
  </si>
  <si>
    <t>2-s2.0-84982176799"</t>
  </si>
  <si>
    <t>10.1007/s11069-016-2507-6</t>
  </si>
  <si>
    <t>https://www.scopus.com/inward/record.uri?eid=2-s2.0-84981205670&amp;doi=10.1007%2fs11069-016-2507-6&amp;partnerID=40&amp;md5=d3f6632d806c034a650bb586f7a64dd5</t>
  </si>
  <si>
    <t>Indian Ocean Tsunami 2004 informed on the amplitude of marine inundations that can occur in the eastern coasts of India. Geological signatures of such high-energy marine wave events are inferred from the older sedimentary records using chaotic deposits and/or boulder deposits with a word of caution to link them with tsunami, as similar records could be seen linked with super typhoon like Haiyan occurred in Pacific Ocean on 7 November 2013 (Kennedy et al. in Coast Eng J 58(1):1640004, 2016). We present here the geological evidences of high-energy marine wave events from the coastline of Gujarat in western India and suggest that these are tsunamigenic because the Arabian Sea has not experienced super cyclones (known as typhoon in Pacific region) at least since 100 years (Dube et al. in Appl Math Model 9:289–294, 1985), and local bathymetric conditions are not favourable to cause strong coupling of infragravity waves and sea swells that happened at eastern Samar island, the Philippines (Roeber and Bricker in Nat Commun 6:1–18, 2015. doi:10.1038/ncomms8854</t>
  </si>
  <si>
    <t>10.1080/01490419.2016.1217957</t>
  </si>
  <si>
    <t>https://www.scopus.com/inward/record.uri?eid=2-s2.0-84984974762&amp;doi=10.1080%2f01490419.2016.1217957&amp;partnerID=40&amp;md5=aeecd484d2302fa6769873267b1c7807</t>
  </si>
  <si>
    <t>The storm surge associated with severe tropical cyclones (TCs) in the Bay of Bengal (BoB) is a serious concern along the coastal regions of India, Bangladesh, Myanmar, and Sri Lanka. It is one of the most hazardous elements associated with landfalling TCs other than strong winds and heavy precipitation and about 75% of the casualities in this region are attributed to storm surges. Therefore, it is highly essential to predict the storm surges with greater accuracy at least 2 days in advance for effective evacuation. In the present study, an attempt is made to simulate the storm surges associated with severe TCs in the BoB using one-way coupling of the Non-hydrostatic Mesoscale Model core of Weather Research and Forecasting (NMM-WRF) system with the two-dimensional finite-difference storm surge model developed at the Indian Institute of Technology Delhi (IITD). The NMM-WRF model simulated track, pressure drop, and radius of maximum wind are used to calculate the wind-stress through Jelesnianski wind formulation. The results are compared with the observed/estimated values as provided by the operational/meteorological agencies of India, Bangladesh, and Myanmar. This study suggests that using simulated surface meteorological fields of a high-resolution mesoscale model, the storm surge can be predicted at least 2 days in advance of the actual landfall of TCs with reasonable accuracy. This approach will be helpful in providing disastrous storm warning well in advance in a coastal region, which will help with rapid evacuation from the vulnerable coastal region, relocation as well as protection of valuables, disaster mitigation, and coastal zone management. © 2016 Taylor &amp; Francis Group, LLC.</t>
  </si>
  <si>
    <t>2-s2.0-84984974762"</t>
  </si>
  <si>
    <t>10.1002/hyp.10918</t>
  </si>
  <si>
    <t>https://www.scopus.com/inward/record.uri?eid=2-s2.0-84980417584&amp;doi=10.1002%2fhyp.10918&amp;partnerID=40&amp;md5=366cf7c893e67d2436ab426da6e8ccaa</t>
  </si>
  <si>
    <t>A spatially distributed representation of basin hydrology and transport processes in hydrologic models facilitates the identification of critical source areas and the placement of management and conservation measures. Floodplains are critical landscape features that differ from neighbouring uplands in terms of their hydrological processes and functions. Accordingly, an important step in watershed modelling is the representation of floodplain and upland areas within a watershed. The aim of this study is (1) to evaluate four floodplain–upland delineation methods that use readily available topographic data (topographic wetness index, slope position, uniform flood stage, and variable flood stage) with regard to their suitability for hydrological models and (2) to introduce an evaluation scheme for the delineated landscape units. The methods are tested in three U.S. watersheds ranging in size from 334 to 629 km2 with different climatic, hydrological, and geomorphological characteristics. Evaluation of the landscape delineation methods includes visual comparisons, error matrices (i.e. cross-tabulations of delineated vs reference data), and geometric accuracy metrics. Reference data were obtained from the Soil Survey Geographic (SSURGO) database and Federal Emergency Management Agency (FEMA) flood maps. Results suggest that the slope position and the variable flood stage method work very well in all three watersheds. Overall percentages of floodplain and upland areas allocated correctly were obtained by comparing delineated and reference data. Values range from 83 to 93% for the slope position and from 80 to 95% for the variable flood stage method. Future studies will incorporate these two floodplain–upland delineation methods into the subwatershed-based hydrologic model Soil and Water Assessment Tool (SWAT) to improve the representation of hydrological processes within floodplain and upland areas. Copyright © 2016 John Wiley &amp; Sons, Ltd. Copyright © 2016 John Wiley &amp; Sons, Ltd.</t>
  </si>
  <si>
    <t>2-s2.0-84980417584"</t>
  </si>
  <si>
    <t>10.1007/s10872-016-0390-0</t>
  </si>
  <si>
    <t>https://www.scopus.com/inward/record.uri?eid=2-s2.0-84978027811&amp;doi=10.1007%2fs10872-016-0390-0&amp;partnerID=40&amp;md5=d9363de8fc9471b5d8b1da72505b4fed</t>
  </si>
  <si>
    <t>The future regional sea level (RSL) rise in the western North Pacific is investigated by dynamical downscaling with the Regional Ocean Modeling System (ROMS) with an eddy-permitting resolution based on three global climate models—MIROC-ESM, CSIRO-Mk3.6.0, and GFDL-CM3—under the highest greenhouse-gas emission scenario. The historical run is forced by the air-sea fluxes calculated from Coordinated Ocean Reference Experiment version 2 (COREv2) data. Three future runs—ROMS-MIROC, ROMS-CSIRO, and ROMS-GFDL—are forced with an atmospheric field constructed by adding the difference between the climate model parameters for the twenty-first and twentieth century to fields in the historical run. In all downscaling, the RSL rise along the eastern coast of Japan is generally half or less of the RSL rise maxima off the eastern coast. The projected regional (total) sea level rises along the Honshu coast during 2081–2100 relative to 1981–2000 are 19–25 (98–104), 6–15 (71–80), and 8–14 (80–86) cm in ROMS-MIROC, ROMS-CSIRO, and ROMS-GFDL, respectively. The discrepancies of the RSL rise along the Honshu coast between the climate models and downscaling are less than 10 cm. The RSL changes in the Kuroshio Extension (KE) region in all downscaling simulations are related to the changes of KE (northward shift or intensification) with climate change. © 2016, The Oceanographic Society of Japan and Springer Japan.</t>
  </si>
  <si>
    <t>2-s2.0-84978027811"</t>
  </si>
  <si>
    <t>10.1007/s00024-016-1367-z</t>
  </si>
  <si>
    <t>https://www.scopus.com/inward/record.uri?eid=2-s2.0-84990820944&amp;doi=10.1007%2fs00024-016-1367-z&amp;partnerID=40&amp;md5=93944aa8184dc0b1a7f5f86d4e3d0391</t>
  </si>
  <si>
    <t>This study constitutes a preliminary assessment of probabilistic tsunami inundation in the NE Atlantic region. We developed an event-tree approach to calculate the likelihood of tsunami flood occurrence and exceedance of a specific near-shore wave height for a given exposure time. Only tsunamis of tectonic origin are considered here, taking into account local, regional, and far-field sources. The approach used here consists of an event-tree method that gathers probability models for seismic sources, tsunami numerical modeling, and statistical methods. It also includes a treatment of aleatoric uncertainties related to source location and tidal stage. Epistemic uncertainties are not addressed in this study. The methodology is applied to the coastal test-site of Sines located in the NE Atlantic coast of Portugal. We derive probabilistic high-resolution maximum wave amplitudes and flood distributions for the study test-site considering 100- and 500-year exposure times. We find that the probability that maximum wave amplitude exceeds 1 m somewhere along the Sines coasts reaches about 60 % for an exposure time of 100 years and is up to 97 % for an exposure time of 500 years. The probability of inundation occurrence (flow depth &gt;0 m) varies between 10 % and 57 %, and from 20 % up to 95 % for 100- and 500-year exposure times, respectively. No validation has been performed here with historical tsunamis. This paper illustrates a methodology through a case study, which is not an operational assessment. © 2016, Springer International Publishing.</t>
  </si>
  <si>
    <t>2-s2.0-84990820944"</t>
  </si>
  <si>
    <t>Environmental Communication</t>
  </si>
  <si>
    <t>10.1080/17524032.2015.1056541</t>
  </si>
  <si>
    <t>https://www.scopus.com/inward/record.uri?eid=2-s2.0-84939132761&amp;doi=10.1080%2f17524032.2015.1056541&amp;partnerID=40&amp;md5=5571c95e9fb3c940085a3fc4d528df77</t>
  </si>
  <si>
    <t>We present the results of a study using a document-based evaluation method to better understand how residents in vulnerable coastal areas respond to risk communications about sea-level rise (SLR) and to determine whether communications localized for specific populations improve reception. Similar to climate change communication, SLR risk communication presents challenges involving complex science, uncertainty, invisibility, and politicization. To be comprehensible and persuasive, risk messages must be appropriately framed and visually compelling and must take into account risk perceptions and diverse viewpoints. Our approach involves assessing people's encounters with actual risk messages to determine their reactions and responses. Participants in this study had difficulty understanding information and expressed attitudes including fear, fatalism, skepticism, and loss. SLR risks were also perceived as both temporally and spatially distant, creating a challenge for communicators trying to convey a sense of urgency. We conclude by considering the implications of audience-focused research for SLR risk communication. © 2015 Informa UK Limited, trading as Taylor &amp; Francis Group.</t>
  </si>
  <si>
    <t>2-s2.0-84939132761"</t>
  </si>
  <si>
    <t>10.5194/nhess-16-2373-2016</t>
  </si>
  <si>
    <t>https://www.scopus.com/inward/record.uri?eid=2-s2.0-84999736808&amp;doi=10.5194%2fnhess-16-2373-2016&amp;partnerID=40&amp;md5=dbba6b6d03d3422e1f432c6f7e8b5989</t>
  </si>
  <si>
    <t>This study addresses the impact of wind, waves, tidal forcing and baroclinicity on the sea level of the German Bight during extreme storm events. The role of wave-induced processes, tides and baroclinicity is quantified, and the results are compared with in situ measurements and satellite data. A coupled high-resolution modelling system is used to simulate wind waves, the water level and the three-dimensional hydrodynamics. The models used are the wave model WAM and the circulation model GETM. The two-way coupling is performed via the OASIS3-MCT coupler. The effects of wind waves on sea level variability are studied, accounting for wave-dependent stress, wave-breaking parameterization and wave-induced effects on vertical mixing. The analyses of the coupled model results reveal a closer match with observations than for the stand-alone circulation model, especially during the extreme storm Xaver in December 2013. The predicted surge of the coupled model is significantly enhanced during extreme storm events when considering wave-current interaction processes. This wave-dependent approach yields a contribution of more than 30 % in some coastal areas during extreme storm events. The contribution of a fully three-dimensional model compared with a two-dimensional barotropic model showed up to 20 % differences in the water level of the coastal areas of the German Bight during Xaver. The improved skill resulting from the new developments justifies further use of the coupled-wave and three-dimensional circulation models in coastal flooding predictions.</t>
  </si>
  <si>
    <t>2-s2.0-84999736808"</t>
  </si>
  <si>
    <t>10.1016/j.rsase.2016.10.002</t>
  </si>
  <si>
    <t>https://www.scopus.com/inward/record.uri?eid=2-s2.0-84992168534&amp;doi=10.1016%2fj.rsase.2016.10.002&amp;partnerID=40&amp;md5=36851896f78785c1668fb7703a66dc3e</t>
  </si>
  <si>
    <t>Massive flooding in the Kashmir valley was induced by heavy rainfall due to combined effects of western disturbances and Indian summer monsoon during September 04–10, 2014. The populous Sonawari sub-district was severely affected by flood waves that caused complete damage to standing crops and disrupted man-made linear structures (embankment, canal, and road network). High value land use classes (cropped land, built-up and plantation), which encroached on swamps and wetlands between 1972 and 2014, were badly damaged. The main aim of this study is to assess flood hazard at village level in the sub-district. Village-wise standardised flood hazard indicators were flood affected areas, mean turbidity, mean flood depth and duration. These indicators were derived from the Landsat 7 ETM+, Landsat 8 OLI-TIRS images and SRTM (30 m) DEM. Linear combination of these standardised indicators in GIS environment formulated Flood Hazard Index (FHI). Furthermore, the computed FHI values were divided into four flood hazard zones. Low, moderate, high and very high flood hazard zones occupied 16, 32, 34 and 19% of the total area, respectively. Further, these zones accounted for 21, 23, 33 and 23% of the total number of villages and towns (43), respectively. FHI was validated with overall changes in NDVI values with the help of linear regression model that showed a fair association between village-wise FHI and changes in mean NDVI values as the coefficient of determination (R2) was 0.75 with a least standard error of 0.05. Village-wise flood hazard assessment has immense importance to plan future land use and to implement flood management strategies during pre and post- floods in the sub-district. © 2016 Elsevier B.V.</t>
  </si>
  <si>
    <t>2-s2.0-84992168534"</t>
  </si>
  <si>
    <t>10.1073/pnas.1605312113</t>
  </si>
  <si>
    <t>https://www.scopus.com/inward/record.uri?eid=2-s2.0-84996598286&amp;doi=10.1073%2fpnas.1605312113&amp;partnerID=40&amp;md5=e87fd0f8e1c4d38774547e110f471140</t>
  </si>
  <si>
    <t>Two degrees of global warming above the preindustrial level is widely suggested as an appropriate threshold beyond which climate change risks become unacceptably high. This ""2 °C"" threshold is likely to be reached between 2040 and 2050 for both Representative Concentration Pathway (RCP) 8.5 and 4.5. Resulting sea level rises will not be globally uniform, due to ocean dynamical processes and changes in gravity associated with water mass redistribution. Here we provide probabilistic sea level rise projections for the global coastline with warming above the 2 °C goal. By 2040, with a 2 °C warming under the RCP8.5 scenario, more than 90%of coastal areas will experience sea level rise exceeding the global estimate of 0.2 m, with up to 0.4 m expected along the Atlantic coast of North America and Norway. With a 5 °C rise by 2100, sea level will rise rapidly, reaching 0.9 m (median), and 80% of the coastline will exceed the global sea level rise at the 95th percentile upper limit of 1.8 m. Under RCP8.5, by 2100, New York may expect rises of 1.09 m, Guangzhou may expect rises of 0.91 m, and Lagos may expect rises of 0.90 m, with the 95th percentile upper limit of 2.24 m, 1.93 m, and 1.92 m, respectively. The coastal communities of rapidly expanding cities in the developing world, and vulnerable tropical coastal ecosystems, will have a very limited time after midcentury to adapt to sea level rises unprecedented since the dawn of the Bronze Age.</t>
  </si>
  <si>
    <t>2-s2.0-84996598286"</t>
  </si>
  <si>
    <t>10.1002/2015WR018198</t>
  </si>
  <si>
    <t>https://www.scopus.com/inward/record.uri?eid=2-s2.0-85006410610&amp;doi=10.1002%2f2015WR018198&amp;partnerID=40&amp;md5=8b6ffc772d7b028d08e4fa1152da096d</t>
  </si>
  <si>
    <t>Where high-resolution topographic data are available, modelers are faced with the decision of whether it is better to spend computational resource on resolving topography at finer resolutions or on running more simulations to account for various uncertain input factors (e.g., model parameters). In this paper we apply global sensitivity analysis to explore how influential the choice of spatial resolution is when compared to uncertainties in the Manning's friction coefficient parameters, the inflow hydrograph, and those stemming from the coarsening of topographic data used to produce Digital Elevation Models (DEMs). We apply the hydraulic model LISFLOOD-FP to produce several temporally and spatially variable model outputs that represent different aspects of flood inundation processes, including flood extent, water depth, and time of inundation. We find that the most influential input factor for flood extent predictions changes during the flood event, starting with the inflow hydrograph during the rising limb before switching to the channel friction parameter during peak flood inundation, and finally to the floodplain friction parameter during the drying phase of the flood event. Spatial resolution and uncertainty introduced by resampling topographic data to coarser resolutions are much more important for water depth predictions, which are also sensitive to different input factors spatially and temporally. Our findings indicate that the sensitivity of LISFLOOD-FP predictions is more complex than previously thought. Consequently, the input factors that modelers should prioritize will differ depending on the model output assessed, and the location and time of when and where this output is most relevant. © 2016. The Authors.</t>
  </si>
  <si>
    <t>2-s2.0-85006410610"</t>
  </si>
  <si>
    <t>10.1007/s00024-016-1365-1</t>
  </si>
  <si>
    <t>https://www.scopus.com/inward/record.uri?eid=2-s2.0-84995897729&amp;doi=10.1007%2fs00024-016-1365-1&amp;partnerID=40&amp;md5=13ca79fb8656d4fbe2609730380d0b24</t>
  </si>
  <si>
    <t>In the historical period, the Eastern Mediterranean has been devastated by several tsunamis, the two most damaging were those of AD 365 and AD 1303, generated by great earthquakes of magnitude &gt;8 at the Hellenic plate boundary. Recently, events of 6–7 magnitude have occurred in this region. As the French tsunami warning center has to ensure the warning for the French coastlines, the question has raised the possibility for a major tsunami triggered along the Hellenic arc to impact the French coasts. The focus is on the Corsica coasts especially, to estimate what would be the expected wave heights, and from which threshold of magnitude it would be necessary to put the population under cover. This study shows that a magnitude 8.0 earthquake nucleated along the Hellenic arc could induce in some cases a tsunami that would be observed along the Corsica coasts, and for events of 8.5 magnitude amplitudes exceeding 50 cm can be expected, which would be dangerous in harbors and beach areas especially. The main contribution of these results is the establishment of specific thresholds of magnitude for the tsunami warning along the French coasts, 7.8 for the advisory level (coastal marine threat with harbors and beaches evacuation), and 8.3 for the watch level (inland inundation threat) for tsunamis generated along the Hellenic arc. © 2016, The Author(s).</t>
  </si>
  <si>
    <t>2-s2.0-84995897729"</t>
  </si>
  <si>
    <t>Computational Optimization and Applications</t>
  </si>
  <si>
    <t>10.1007/s10589-016-9843-z</t>
  </si>
  <si>
    <t>https://www.scopus.com/inward/record.uri?eid=2-s2.0-84963762283&amp;doi=10.1007%2fs10589-016-9843-z&amp;partnerID=40&amp;md5=8d6773b35e2603c57115ea3b4006dfe5</t>
  </si>
  <si>
    <t>Quasi-Monte Carlo algorithms are studied for designing discrete approximations of two-stage linear stochastic programs with random right-hand side and continuous probability distribution. The latter should allow for a transformation to a distribution with independent marginals. The two-stage integrands are piecewise linear, but neither smooth nor lie in the function spaces considered for QMC error analysis. We show that under some weak geometric condition on the two-stage model all terms of their ANOVA decomposition, except the one of highest order, are continuously differentiable and that first and second order ANOVA terms have mixed first order partial derivatives and belong to L2. Hence, randomly shifted lattice rules (SLR) may achieve the optimal rate of convergence O(n-         1         +         δ) with δ∈(0,12] and a constant not depending on the dimension if the effective superposition dimension is at most two. We discuss effective dimensions and dimension reduction for two-stage integrands. The geometric condition is shown to be satisfied almost everywhere if the underlying probability distribution is normal and principal component analysis (PCA) is used for transforming the covariance matrix. Numerical experiments for a large scale two-stage stochastic production planning model with normal demand show that indeed convergence rates close to the optimal are achieved when using SLR and randomly scrambled Sobol’ point sets accompanied with PCA for dimension reduction. © 2016, Springer Science+Business Media New York.</t>
  </si>
  <si>
    <t>2-s2.0-84963762283"</t>
  </si>
  <si>
    <t>10.1007/s40710-016-0189-4</t>
  </si>
  <si>
    <t>https://www.scopus.com/inward/record.uri?eid=2-s2.0-84995754665&amp;doi=10.1007%2fs40710-016-0189-4&amp;partnerID=40&amp;md5=d9dda83c2b46cd8b01708df516ae0cb1</t>
  </si>
  <si>
    <t>This research aims to evaluate and compare the historical morphodynamic behaviour of coastal systems (shoreline dynamics) in Southwest England in response to the historical meteorological and oceanographic (metocean) attributes. Historical geomorphological evolution of the two shoreline systems in St Ives-Hayle and Camel-Padstow were examined to evaluate morphodynamic activities through the application of shoreline analysis tools (such as Digital Shoreline Analysis System - DSAS), while the broad metocean features were investigated as the possible drivers of coastal dynamics. This study showed that low shoreline recession along southwest England coast, where sediments are present, was attributed mostly to the significant sea-level rise in this region (no significant change was observed on rocky low water shorelines). The high water shoreline, on the other hand, imposes a different pattern of change in response to constraining factors, as different percentages of erosion and accretion are observed at different sections of the study sites, principally triggered by both environmental factors and anthropogenic activities. The general overview of the regional control suggests that climatic activities (specifically wave climate and extreme wind) variably account for the persistent and progressive gradual erosion of some shorelines amidst evidence of cyclic/variable behaviour. No one specific metocean forcing, however, exerts an overarching control on these systems, but the nature of the shoreline (sedimentary vs. bedrock) is responsible for local variability. © 2016, Springer International Publishing Switzerland.</t>
  </si>
  <si>
    <t>2-s2.0-84995754665"</t>
  </si>
  <si>
    <t>10.5194/nhess-16-2529-2016</t>
  </si>
  <si>
    <t>https://www.scopus.com/inward/record.uri?eid=2-s2.0-85002666920&amp;doi=10.5194%2fnhess-16-2529-2016&amp;partnerID=40&amp;md5=411f71fbb6d4731dfb473198c671f7e8</t>
  </si>
  <si>
    <t>The Small Island Developing States are characterized by an unstable economy and low-lying, densely populated cities, resulting in a high vulnerability to natural hazards. Flooding affects more people than any other hazard. To limit the consequences of these hazards, adequate risk assessments are indispensable. Satisfactory input data for these assessments are hard to acquire, especially in developing countries. Therefore, in this study, a methodology was developed and evaluated to test the sensitivity of a flood model towards its input data in order to determine a minimum set of indispensable data. In a first step, a flood damage assessment model was created for the case study of Annotto Bay, Jamaica. This model generates a damage map for the region based on the flood extent map of the 2001 inundations caused by Tropical Storm Michelle. Three damages were taken into account: building, road and crop damage. Twelve scenarios were generated, each with a different combination of input data, testing one of the three damage calculations for its sensitivity. One main conclusion was that population density, in combination with an average number of people per household, is a good parameter in determining the building damage when exact building locations are unknown. Furthermore, the importance of roads for an accurate visual result was demonstrated. © 2016 Author(s).</t>
  </si>
  <si>
    <t>2-s2.0-85002666920"</t>
  </si>
  <si>
    <t>10.1080/08920753.2016.1208882</t>
  </si>
  <si>
    <t>https://www.scopus.com/inward/record.uri?eid=2-s2.0-84992724117&amp;doi=10.1080%2f08920753.2016.1208882&amp;partnerID=40&amp;md5=90f56fef936801938b895528f91df650</t>
  </si>
  <si>
    <t>Coastal protection of communities and property using “green infrastructure” approaches is gaining popularity as the science and practice improve. Guidance is limited for decision makers interested in taking action to protect shorelines. Here, we offer practical guidance for decision makers interested in moving beyond generalities for coastal protection strategies. We present three case examples from the U.S. Gulf of Mexico and in Belize, each posing different questions, and thus using different approaches, to evaluate whether green infrastructure strategies could be useful. For basic questions about where habitat-based approaches are likely to add value, index-based models are useful in identifying priority areas for habitat protection or restoration. Process-based models are best used to examine strategies where the interest is in the likely magnitude of value from gray and green infrastructure approaches. Process-based models in coastal Texas demonstrate that marsh habitats are spatially variable in their ability to reduce the height and costs of levees necessary to protect property from storms and sea-level rise. Such spatial variation in the value of green infrastructure can be readily incorporated in a variety of decisions, allowing action now, before more science and lessons from applications emerge. © 2016 The Author(s). Published with license by Taylor &amp; Francis. © Mary H. Ruckelshaus, Gregory Guannel, Katherine Arkema, Gregory Verutes, Robert Griffin, Anne Guerry, Jess Silver, Joe Faries, Jorge Brenner, and Amy Rosenthal.</t>
  </si>
  <si>
    <t>2-s2.0-84992724117"</t>
  </si>
  <si>
    <t>10.1080/08920753.2016.1233795</t>
  </si>
  <si>
    <t>https://www.scopus.com/inward/record.uri?eid=2-s2.0-84994193450&amp;doi=10.1080%2f08920753.2016.1233795&amp;partnerID=40&amp;md5=095ec2daf58e554bd9cbd699af0f45db</t>
  </si>
  <si>
    <t>We present a cost-benefit analysis of coastal protection via seawalls in South Korea against climate-change-induced sea level rise. This is the first bottom-up analysis for South Korea, deriving the optimal solution from extensive geographical and financial databases with detailed street-address-level information. Our analysis indicates that the net benefit is maximized if seawalls are built along 21% of the South Korean coast. By comparing the bottom-up solution to the aggregate solution and utilizing a comprehensive sensitivity analysis, we highlight two implications for the climate change economics literature. First, the country-level aggregate analysis adopted by many existing studies may include a sizable aggregation bias. Second, relative to the climate change mitigation problem, the coastal protection problem is less sensitive to the choice of the discount rate. © 2016 Taylor &amp; Francis.</t>
  </si>
  <si>
    <t>2-s2.0-84994193450"</t>
  </si>
  <si>
    <t>10.1007/s11069-016-2510-y</t>
  </si>
  <si>
    <t>https://www.scopus.com/inward/record.uri?eid=2-s2.0-84981215898&amp;doi=10.1007%2fs11069-016-2510-y&amp;partnerID=40&amp;md5=309e6b1309be05e6bc300e8d198d3d68</t>
  </si>
  <si>
    <t>New challenges in flood risk management are raised by climate change and land-use development. These challenges are particularly complex in estuarine and coastal systems, where different hazard sources interact in a dynamic socio-economic context. This paper presents an innovative approach to support flood risk management in estuaries. The approach, developed at a local-scale basis, is applied in the case study of the Tagus estuary (Portugal). The methodology is supported by the regional framing of the study area and integrates hazard, exposed elements, territorial vulnerability and risk assessments considering different climate scenarios. Through the involvement of the various risk management dimensions, the results allow the definition of a new decision-making supporting framework for emergency and land-use planning. At the emergency level, the results include a WebGIS interface providing an early warning system for the locations with highest risk of flooding and the definition of emergency planning guidelines. A set of flood adaptation actions based on land-use and occupation measures are recommended to increase resilience in face of flooding and future sea level rise. The institutional capacity-building is achieved through the availability of information and tools that can effectively support decision-making. Additionally, the outcomes contribute to better understand flood risk in estuaries and to strengthen its prevention, preparedness and response, priorities defined in the Sendai Framework for Disaster Risk Reduction 2015–2030. © 2016, Springer Science+Business Media Dordrecht.</t>
  </si>
  <si>
    <t>2-s2.0-84981215898"</t>
  </si>
  <si>
    <t>10.1002/met.1585</t>
  </si>
  <si>
    <t>https://www.scopus.com/inward/record.uri?eid=2-s2.0-85002761899&amp;doi=10.1002%2fmet.1585&amp;partnerID=40&amp;md5=08bb6073ad21a5a1331566178f8c9645</t>
  </si>
  <si>
    <t>Sea level rise is a threat to coastal habitation and is corroborating evidence for global warming. The present study investigated the combined use of quantitative forecasting methods for sea level rise using exponential smoothing state space models (ESMs) and an autoregressive integrated moving average (ARIMA) model fed with sea level data over 17 years (1994–2010). Two levels of ESMs were employed: double (model levels with trend) and triple (model levels, trend and seasonal decomposition). The overall data analysis revealed the better performance of ARIMA in terms of index of agreement (d = 0.79), root-mean-square error (RMSE = 32.8 mm) and mean absolute error (MAE = 25.55 mm) than the triple ESM (d = 0.76; RMSE = 39.86 mm; MAE = 35.02 mm) and double ESM (d = 0.14; RMSE = 52.71 mm; MAE = 45.99 mm) models. The present study results suggest that the rate of Arabian Sea level rise is high, and if this is not taken into consideration many coastal areas may become subject to climate-change-induced habitat loss in future.</t>
  </si>
  <si>
    <t>10.1016/j.scitotenv.2016.06.183</t>
  </si>
  <si>
    <t>https://www.scopus.com/inward/record.uri?eid=2-s2.0-84976604762&amp;doi=10.1016%2fj.scitotenv.2016.06.183&amp;partnerID=40&amp;md5=844a591debb4b3f564669a0a0708779b</t>
  </si>
  <si>
    <t>An assessment of sea intrusion into coastal aquifers as a consequence of local sea-level rise (LSLR) due to climate change was carried out at Murgia and Salento in southern Italy. The interpolation of sea-level measurements at three tide-gauge stations was performed during the period of 2000 to 2014. The best fit of measurements shows an increasing rate of LSLR ranging from 4.4 mm/y to 8.8 mm/y, which will result in a maximum LSLR of approximately 2 m during the 22nd century. The local rate of sea-level rise matches recent 21st and 22nd century projections of mean global sea-level rise determined by other researchers, which include increased melting rates of the Greenland and Antarctic ice sheets, the effect of ocean thermal expansion, the melting of glaciers and ice caps, and changes in the quantity of stored land water. Subsequently, Ghyben-Herzberg's equation for the freshwater/saltwater interface was rewritten in order to determine the decrease in groundwater discharge due to the maximum LSLR. Groundwater flow simulations and ArcGIS elaborations of digital elevation models of the coast provided input data for the Ghyben-Herzberg calculation under the assumption of head-controlled systems. The progression of seawater intrusion due to LSLR suggests an impressive depletion of available groundwater discharge during the 22nd century, perhaps as much as 16.1% of current groundwater pumping for potable water in Salento. © 2016 Elsevier B.V.</t>
  </si>
  <si>
    <t>2-s2.0-84976604762"</t>
  </si>
  <si>
    <t>10.1002/2016JC012084</t>
  </si>
  <si>
    <t>https://www.scopus.com/inward/record.uri?eid=2-s2.0-84996523750&amp;doi=10.1002%2f2016JC012084&amp;partnerID=40&amp;md5=d5db279707683deb55a198172758805e</t>
  </si>
  <si>
    <t>Nuisance flooding corresponds to minor and frequent flood events that have significant socioeconomic and public health impacts on coastal communities. Yearly averaged local mean sea level can be used as proxy to statistically predict the impacts of sea level rise (SLR) on the frequency of nuisance floods (NFs). In this study, we use generalized linear models (GLM) and Gaussian Process (GP) models combined to (i) estimate the frequency of NF associated with the change in mean sea level, and (ii) quantify the associated uncertainties via a novel and statistically robust approach. We calibrate our models to the water level data from 18 tide gauges along the coasts of United States, and after validation, we estimate the frequency of NF associated with the SLR projections in year 2030 (under RCPs 2.6 and 8.5), along with their 90% bands, at each gauge. The historical NF-SLR data are very noisy, and show large changes in variability (heteroscedasticity) with SLR. Prior models in the literature do not properly account for the observed heteroscedasticity, and thus their projected uncertainties are highly suspect. Among the models used in this study, the Negative Binomial Distribution GLM with GP best characterizes the uncertainties associated with NF estimates</t>
  </si>
  <si>
    <t>10.1016/j.envsoft.2016.06.025</t>
  </si>
  <si>
    <t>https://www.scopus.com/inward/record.uri?eid=2-s2.0-84978168339&amp;doi=10.1016%2fj.envsoft.2016.06.025&amp;partnerID=40&amp;md5=8f024825160e8b730038bf05270f2125</t>
  </si>
  <si>
    <t>PhenoCams are part of a national network of automated digital cameras used to assess vegetation phenology transitions. Effectively analyzing PhenoCam time-series involves eliminating scenes with poor solar illumination or high cover of non-target objects such as water. We created a smart classifier to process images from the “GCESapelo” PhenoCam, which photographs a regularly-flooded salt marsh. The smart classifier, written in R, assigns pixels to target (vegetation) and non-target (water, shadows, fog and clouds) classes, allowing automated identification of optimal scenes for evaluating phenology. When compared to hand-classified validation images, the smart classifier identified scenes with optimal vegetation cover with 96% accuracy and other object classes with accuracies ranging from 86 to 100%. Accuracy for estimating object percent cover ranged from 74 to 100%. Pixel-classification with the smart classifier outperformed previous approaches (i.e. indices based on average color content within ROIs) and reduced variance in phenology index time-series. It can be readily adapted for other applications. © 2016</t>
  </si>
  <si>
    <t>2-s2.0-84978168339"</t>
  </si>
  <si>
    <t>10.1007/s12594-016-0524-4</t>
  </si>
  <si>
    <t>https://www.scopus.com/inward/record.uri?eid=2-s2.0-84997288063&amp;doi=10.1007%2fs12594-016-0524-4&amp;partnerID=40&amp;md5=9a5dcac14fdd50306b2b599e9a6ecdb7</t>
  </si>
  <si>
    <t>The present paper deals with morphometric analysis of Koshalya-Jhajhara (K-J) watershed, tributaries of Ghaggar in northwestern India. The area forms a rugged topography having elevation range from 399 m to 1810 m MSL. Aster DEM and SOI toposheets have been used to calculate various parameters using Geographic Information System (GIS). Linear, areal and relief aspects for morphometric analysis were calculated using GIS. Total number of streams in the watershed are 991 out of which 543 are of 1st order, 259 are of 2nd order, 124 are of 3rd order, 58 are of 4th order and only 7 are of 5th order. The order of stream determines the chances of flood in the stream. Higher the stream order more the probabilities of flood. The present paper indicates that K-J watershed is of 5th order and less elongated in shape having lower peak flows of longer duration with dendritic pattern and having fine drainage texture. Bifurcation ratio varies from 3 to 5 which indicate that geological structures don’t have dominant influence on drainage pattern. High slope is witnessed in NE part and low slope in SW part with very low gradient ratio. Variables like stream frequency and drainage density determines the volume of the water discharge and its speed of flow in the river channels. Higher the stream frequency and drainage density more will be the probability of floods. These variables also effects temporal variations in the speed at which the water flows in the stream when flood reaches its peak. © 2016, Geological Society of India.</t>
  </si>
  <si>
    <t>2-s2.0-84997288063"</t>
  </si>
  <si>
    <t>10.1002/joc.4627</t>
  </si>
  <si>
    <t>https://www.scopus.com/inward/record.uri?eid=2-s2.0-84993982926&amp;doi=10.1002%2fjoc.4627&amp;partnerID=40&amp;md5=4338942a565402ca8b622ed6313d76ce</t>
  </si>
  <si>
    <t>The average population density is significantly higher along the nearshore coastal zones compared to inland areas. Therefore, proper assessment and evaluation of the impact of climate change on coastal belts has immense societal benefits. The head Bay region located in the north Indian Ocean is a thickly populated area and highly vulnerable to threats from sea-level rise and extreme weather events. In this study, the wave climatology for the north Indian Ocean specifically covering the head Bay region was examined, utilizing the past 21 years of satellite altimeter data for the period ranging from 1992 to 2012. In addition, the study also examines the significant wave heights obtained from the WAVEWATCH-III (WW3) model to substantiate and evaluate the findings of the observed variability from altimeter records. The study used daily altimeter data from eight satellite missions to understand the annual and seasonal variability in wind speed and significant wave heights for the head Bay region. The annual distribution of these parameters follow the climatology, whereas the percentage variability in both wind speed and significant wave height show a clear contrasting trend exhibiting a zonal dipole. The study establishes the fact that the responsible mechanism for this contrasting trend is the variations in mean sea level pressure over the head Bay region. In addition, a comprehensive analysis using empirical orthogonal function (EOF) shows that the second mode that represents the inter-seasonal variations substantiates the trend observed in the percentage distribution of these parameters. Interestingly, the study clearly signifies that trends in both wind speed and significant wave height was lower for the western side, unlike that noticed over the eastern portions in the head Bay of Bengal region. © 2016 Royal Meteorological Society</t>
  </si>
  <si>
    <t>2-s2.0-84993982926"</t>
  </si>
  <si>
    <t>10.5194/esurf-4-773-2016</t>
  </si>
  <si>
    <t>https://www.scopus.com/inward/record.uri?eid=2-s2.0-84991660601&amp;doi=10.5194%2fesurf-4-773-2016&amp;partnerID=40&amp;md5=7fe6a1523cb92a75f4ab96c44169b70d</t>
  </si>
  <si>
    <t>We analysed the long-term variations in grain-size distribution in sediments from Gåsfjärden, a fjordlike inlet in the southwestern Baltic Sea, and explored potential drivers of the recorded changes in the sediment grain-size data. Over the last 5.4 thousand years (ky) in the study region, the relative sea level decreased 17 m, which was caused by isostatic land uplift. As a consequence, Gåsfjärden was transformed from an open coastal setting to a semi-closed inlet surrounded by numerous small islands on the seaward side. To quantitatively estimate the morphological changes in Gåsfjärden over the investigated time period and to further link the changes to the grain-size distribution data, a digital elevation model (DEM)-based openness index was calculated. The largest values of the openness indices were found between 5.4 and 4.4 cal ka BP, which indicates relatively high bottom water energy. During the same period, the highest sand content (∼0.4 %) and silt / clay ratio (∼0.3) in the sediment sequence were also recorded. After 4.4 cal ka BP, the average sand content was halved to ∼0.2% and the silt / clay ratio showed a significant decreasing trend over the last 4 ky. These changes were found to be associated with the gradual embayment of Gåsfjärden, as represented by the openness indices. The silt / clay ratios exhibited a delayed and relatively slower change compared with the sand content, which indicates different grain-size sediment responses to the changes in hydrodynamic energy. Our DEM-based coastal openness indices have proved to be a useful tool for interpreting the temporal dynamics of sedimentary grain size. © Author(s) 2016.</t>
  </si>
  <si>
    <t>2-s2.0-84991660601"</t>
  </si>
  <si>
    <t>10.1007/s10040-015-1330-6</t>
  </si>
  <si>
    <t>https://www.scopus.com/inward/record.uri?eid=2-s2.0-84946887991&amp;doi=10.1007%2fs10040-015-1330-6&amp;partnerID=40&amp;md5=d1be8e7091eacc65bb4b8d85308a9ecc</t>
  </si>
  <si>
    <t>Most of the world’s major river deltas are sinking relative to local sea level. The effects of subsidence can include aquifer salinization, infrastructure damage, increased vulnerability to flooding and storm surges, and permanent inundation of low-lying land. Consequently, determining the relative importance of natural vs. anthropogenic pressures in driving delta subsidence is a topic of ongoing research. This article presents a review of knowledge with respect to delta surface-elevation loss. The field is rapidly advancing due to applications of space-based techniques: InSAR (interferometric synthetic aperture radar), GPS (global positioning system), and satellite ocean altimetry. These techniques have shed new light on a variety of subsidence processes, including tectonics, isostatic adjustment, and the spatial and temporal variability of sediment compaction. They also confirm that subsidence associated with fluid extraction can outpace sea-level rise by up to two orders of magnitude, resulting in effective sea-level rise that is one-hundred times faster than the global average rate. In coming years, space-based and airborne instruments will be critical in providing near-real-time monitoring to facilitate management decisions in sinking deltas. However, groundbased observations continue to be necessary for generating complete measurements of surface-elevation change. Numerical modeling should seek to simulate couplings between subsidence processes for greater predictive power. © Springer-Verlag Berlin Heidelberg 2015.</t>
  </si>
  <si>
    <t>2-s2.0-84946887991"</t>
  </si>
  <si>
    <t>10.1007/s10113-016-0941-3</t>
  </si>
  <si>
    <t>https://www.scopus.com/inward/record.uri?eid=2-s2.0-84966330716&amp;doi=10.1007%2fs10113-016-0941-3&amp;partnerID=40&amp;md5=cef9db619ef01a010cd96e4c8fd8307a</t>
  </si>
  <si>
    <t>This paper examines the anthropogenic factors that have contributed to wetland loss and degradation in the Mekong Delta, Vietnam from 1816 AD to present. Our analysis is framed over five historical periods and highlights the role that seven drivers of wetland degradation have played in the Mekong Delta, including: resettlement and economic development policies</t>
  </si>
  <si>
    <t>10.1007/s10236-016-1002-7</t>
  </si>
  <si>
    <t>https://www.scopus.com/inward/record.uri?eid=2-s2.0-84991080255&amp;doi=10.1007%2fs10236-016-1002-7&amp;partnerID=40&amp;md5=8dc205e573657a915014326cbb198c85</t>
  </si>
  <si>
    <t>The fully coupled spectral wave and circulation model SWAN + ADCIRC was applied to investigate tide-surge and wave interaction in the Gulf of Maine during the extratropical storm on Patriot’s Day of 2007. Significant tide-surge and wave interaction was found over Georges Bank and in the coastal areas. Over Georges Bank, the wave-induced current reached 0.2 m/s at the storm peak, accounting for 17 % of the total depth-averaged current. In Saco Bay, the current was dominated by wave-induced current with a magnitude up to 1.0 m/s during the storm. Two clockwise circulation gyres were found to form and sustain over a period of 26 hours during the storm in the bay. They were driven by spatial variations of wave height, direction and the resulting wave radiation stress gradient. Wave setup reached 0.2 m at the storm peak along the coast of Saco Bay. In Saco Bay, wave energy dissipation was reduced and wave height increased due to the increased water depth at high tide and surge. Therefore, wave height was modulated by tide and surge accordingly along the coast. As a result, wave setup and wave-induced current in the bay were also modulated by tide and surge. During the tidal cycle at the storm peak, wave setup increased with tidal level and the maximum wave setup coincided with high tide. © 2016, Springer-Verlag Berlin Heidelberg.</t>
  </si>
  <si>
    <t>2-s2.0-84991080255"</t>
  </si>
  <si>
    <t>10.1007/s00024-016-1387-8</t>
  </si>
  <si>
    <t>https://www.scopus.com/inward/record.uri?eid=2-s2.0-84995957232&amp;doi=10.1007%2fs00024-016-1387-8&amp;partnerID=40&amp;md5=dda2fd13fb35210c72d2dfc944e18324</t>
  </si>
  <si>
    <t>Tsunami-HySEA model is used to simulate the Caribbean LANTEX 2013 scenario (LANTEX is the acronym for Large AtlaNtic Tsunami Exercise, which is carried out annually). The numerical simulation of the propagation and inundation phases is performed with a single integrated model but using different mesh resolutions and nested meshes. Special emphasis is placed on assessing the most exposed coastal areas at Puerto Rico affected by this event. Some comparisons with the MOST tsunami model available at the University of Puerto Rico (UPR) are made. Both models compare well for propagating tsunami waves in open sea, producing very similar results. In near-shore shallow waters, Tsunami-HySEA should be compared with the inundation version of MOST, since the propagation version is limited to deeper waters. For inundation, larger differences between model results are observed. Nevertheless, the most striking difference resides in computational time</t>
  </si>
  <si>
    <t>10.1016/j.marpetgeo.2016.03.028</t>
  </si>
  <si>
    <t>https://www.scopus.com/inward/record.uri?eid=2-s2.0-84979608110&amp;doi=10.1016%2fj.marpetgeo.2016.03.028&amp;partnerID=40&amp;md5=788552ea97c490696c4dba755655be54</t>
  </si>
  <si>
    <t>Tidal sand bars and tidal sand ridges are extensively developed in the macrotidal Gulf of Khambhat, offshore western India. The inner and outer regions of the gulf are characterised by the development distinct tidal sand bodies with discrete geometries and dimensions. The outer gulf ridges are long, narrow, curvilinear and several metres high (∼20 m). They are asymmetric in cross-section and migratory in nature, forming ‘ribbon’ like sand bodies separated by tidal channels. Active dunes on these ridges indicate the presence of sand and their orientation parallel to palaeo-shorelines supports a tidal origin. In contrast to the outer gulf tidal sand ridges, sand bars associated with macrotidal estuaries flanking the Gulf of Khambhat typically have an elongate to diamond shape and are only hundreds of metres in width and a few kilometres length. These tidal sand bars occur in the estuary mouths and within the tidally influenced fluvial reaches of the rivers flowing into the gulf. The height of these sand bars is in the range ∼1–3 m. Due to high tidal ranges and bi-directional flow the sand bars do not develop significant height and are formed between the mutually evasive ebb and flow channels. Their bi-directional foresets and the presence of abundant mud drapes associated with the dunes within in-channel sand bars indicate a tidal origin. The Gulf of Khambhat acquired the present configuration in the last few thousand years since the Pleistocene sea-level lowstand (last glacial maximum, ∼18 ka) when the entire continental shelf was subaerially exposed and rivers down-cut into the coastal plain. With increasing sea-level rise, the exposed shelf was drowned, flooding parts of the Modern western Indian peninsula, and large tidal sand ridges formed in the outer gulf. After the fall of sea-level at 2 ka the gulf acquired the Modern configuration with multiple estuaries on both coastlines, rivers supplied the embayment with sandy sediment, and tidal sand bars formed in the Modern estuaries. Quantitative data gathered from the Modern Gulf of Khambhat indicates that for the P50 case, a vertical drill hole will encounter tidal sand bodies (ridges and bars combined) of approximate dimensions 1700 m long, 470 m wide and 1.5 m high, with a spacing of 400 m. In subsurface hydrocarbon reservoirs, where data is sparse and only limited amount of core is available, this quantitative dataset can be useful to constrain subsurface geocellular models. Also, the overall geometry, distribution and aspect ratio of the tidal sand ridges and tidal sand bars can be used to identify ancient counterparts through seismic geomorphology or in core. © 2016 Elsevier Ltd</t>
  </si>
  <si>
    <t>2-s2.0-84979608110"</t>
  </si>
  <si>
    <t>10.1002/2016GL069494</t>
  </si>
  <si>
    <t>https://www.scopus.com/inward/record.uri?eid=2-s2.0-84984791835&amp;doi=10.1002%2f2016GL069494&amp;partnerID=40&amp;md5=0bb95148537db8277933d14405f9651a</t>
  </si>
  <si>
    <t>In this study we investigate the hypothesis that increasing channel depth in estuaries can amplify both tides and storm surge by developing an idealized numerical model representing the 1888, 1975, and 2015 bathymetric conditions of the Cape Fear River Estuary, NC. Archival tide gauge data recovered from the U.S. National Archives indicates that mean tidal range in Wilmington has doubled to 1.55 m since the 1880s, with a much smaller increase of 0.07 m observed near the ocean boundary. These tidal changes are reproduced by simulating channel depths of 7 m (1888 condition) and 15.5 m (modern condition). Similarly, model sensitivity studies using idealized, parametric tropical cyclones suggest that the storm surge in the worst-case, CAT-5 event may have increased from 3.8 ± 0.25 m to 5.6 ± 0.6 m since the nineteenth century. The amplification in both tides and storm surge is influenced by reduced hydraulic drag caused by greater mean depths. ©2016. American Geophysical Union. All Rights Reserved.</t>
  </si>
  <si>
    <t>2-s2.0-84984791835"</t>
  </si>
  <si>
    <t>10.3390/ijgi5110209</t>
  </si>
  <si>
    <t>https://www.scopus.com/inward/record.uri?eid=2-s2.0-85032345197&amp;doi=10.3390%2fijgi5110209&amp;partnerID=40&amp;md5=bc82a36c10aa324dc12d7dce8cb786e9</t>
  </si>
  <si>
    <t>In the framework of Portuguese radio astronomical capacitation towards participation in the Square Kilometer Array (SKA) project, a site was selected for radio astronomical testing purposes and the development of a radio astronomical infrastructure. The site is within Herdade da Contenda (HC), a large national forest perimeter, located in Alentejo (Portugal). In order to minimize the impacts in the ecosystem and landscape, an application based on the Geographic Information System (GIS) open source environment was created, the HC Environmental Integrated Management System. This application combines several functionalities and menus with different characterization methods allowing the creation of multiple maps regarding the HC characteristics, such as Digital Elevation Model (DEM), Land Use Land Cover (LULC), Normalized Difference Vegetation Index (NDVI), groundwater vulnerability, erosion risk, flood risk and forest fire risk. Other geographical information can be added if necessary (human heritage visualization and fauna and flora). A decision making support tool was also developed. It incorporates an algorithm running through a series of assigned weights and eliminatory factors to find the locations best suited for the infrastructure with minimal impact to the local ecosystem. In order to test the application and the decision making tool, several maps were used as input in order to decide which sites are more adequate. The application developed can be adopted for other protected or natural areas. © 2016 ISPRS International Journal of Geo-Information. All Rights Reserved.</t>
  </si>
  <si>
    <t>2-s2.0-85032345197"</t>
  </si>
  <si>
    <t>Journal of Real Estate Finance and Economics</t>
  </si>
  <si>
    <t>10.1007/s11146-015-9530-3</t>
  </si>
  <si>
    <t>https://www.scopus.com/inward/record.uri?eid=2-s2.0-84941330220&amp;doi=10.1007%2fs11146-015-9530-3&amp;partnerID=40&amp;md5=da34287005bb823f5e78ef73de595168</t>
  </si>
  <si>
    <t>Information gaps and asymmetries are common in the housing market and this is frequently the case with the risks of natural processes, especially in coastal areas where the amenity dimension may dominate the risk aspect. Flood risk disclosure through maps is a policy instrument aimed at addressing this situation. We assess its effectiveness by identifying whether such maps induce a price differential for single family coastal dwellings in three Finnish cities, and by estimating the discount per square meter for various flooding probabilities (return times). The estimations indicate a significant price drop after the information disclosure for properties located in flood-prone areas as indicated by the maps. In the case of sea flooding information in Helsinki, the price effect is sensitive to the communicated probability of flooding. Overall, the discussed policy instrument appears to have functioned as intended, correcting information gaps and asymmetries related to flood risk. The identified effect is spatially selective</t>
  </si>
  <si>
    <t>10.1007/s11069-016-2428-4</t>
  </si>
  <si>
    <t>https://www.scopus.com/inward/record.uri?eid=2-s2.0-84976873224&amp;doi=10.1007%2fs11069-016-2428-4&amp;partnerID=40&amp;md5=9f36d0d3d897cd6d682ec342d225e194</t>
  </si>
  <si>
    <t>The combined effects of midlatitude westerlies lying in the lower troposphere over the Kashmir Valley and low-pressure systems originated from the Bay of Bengal and Saurashtra and Kutch regions caused torrential rainfall, which in turn produced devastating floods in the valley, during the first week of September 2014. The total actual flooded area was ~488.2 km2 during September 10 to October 12, 2014. In this study, we utilized multispectral images of Landsat 8 Operational Land Imager (OLI) and Landsat 7 Enhanced Thematic Mapper Plus (ETM+) sensors along with the Shuttle Radar Topography Mission (SRTM) digital elevation model (DEM) to derive the flood hazard and elements at risk. The linear combination of normalized flood depth, mean turbidity, and locational probability of flood parameters was taken to map the flood hazard. The flood risk, on the other hand, was computed as the product of flood hazard and vulnerability. Overall, the normalized difference vegetation index (NDVI) was reduced by ~50 % during postflood as compared with preflood image. Therefore, NDVI change in natural vegetation, cropped, and built-up areas was taken as proxy for vulnerability. Estimated land-use-specific hazard and risk mapping revealed that standing crops (rice and maize) were badly damaged in Bandipore, Baramula, Pulwama, and Bagdam Districts due to submergence and siltation by turbid flood water. Since natural vegetation stood above the flood level, it may have been affected least. Overall, Bandipore, Baramula, and Pulwama Districts showed relatively high flood hazard and risk to natural vegetation. Over the built-up area, Srinagar and Bagdam Districts were highly affected by turbid flood water. The estimated flood hazard and risk showed that Bandipore, Baramula, Bagdam, Pulwama, and Srinagar were the most severely affected districts in the valley. © 2016, Springer Science+Business Media Dordrecht.</t>
  </si>
  <si>
    <t>2-s2.0-84976873224"</t>
  </si>
  <si>
    <t>10.1016/j.cageo.2016.07.001</t>
  </si>
  <si>
    <t>https://www.scopus.com/inward/record.uri?eid=2-s2.0-84981322322&amp;doi=10.1016%2fj.cageo.2016.07.001&amp;partnerID=40&amp;md5=5b341788733cbe7fa6a7982c4b4fbedf</t>
  </si>
  <si>
    <t>Algorithms for extracting hydrologic features and properties from digital elevation models (DEMs) are challenged by large datasets, which often cannot fit within a computer's RAM. Depression filling is an important preconditioning step to many of these algorithms. Here, I present a new, linearly scaling algorithm which parallelizes the Priority-Flood depression-filling algorithm by subdividing a DEM into tiles. Using a single-producer, multi-consumer design, the new algorithm works equally well on one core, multiple cores, or multiple machines and can take advantage of large memories or cope with small ones. Unlike previous algorithms, the new algorithm guarantees a fixed number of memory access and communication events per subdivision of the DEM. In comparison testing, this results in the new algorithm running generally faster while using fewer resources than previous algorithms. For moderately sized tiles, the algorithm exhibits ∼60% strong and weak scaling efficiencies up to 48 cores, and linear time scaling across datasets ranging over three orders of magnitude. The largest dataset on which I run the algorithm has 2 trillion (2×1012) cells. With 48 cores, processing required 4.8 h wall-time (9.3 compute-days). This test is three orders of magnitude larger than any previously performed in the literature. Complete, well-commented source code and correctness tests are available for download from a repository. © 2016 Elsevier Ltd</t>
  </si>
  <si>
    <t>2-s2.0-84981322322"</t>
  </si>
  <si>
    <t>10.1007/s12524-015-0540-7</t>
  </si>
  <si>
    <t>https://www.scopus.com/inward/record.uri?eid=2-s2.0-84958775686&amp;doi=10.1007%2fs12524-015-0540-7&amp;partnerID=40&amp;md5=d09962068645d70ba7f719665775c372</t>
  </si>
  <si>
    <t>In the present study, an attempt has been made to describe the technique for large-scale soil mapping using remote sensing data. Based on erosional and depositional processes, seven major landforms namely plateau top, scarp slopes, plateau spurs, pediment, undulating plain, valley and floodplain have been delineated using Cartosat-1 DEM (10 m), contour (10 m) and hillshade. Using two seasons high-resolution IRS-P6 LISS-IV data, six land use/land cover classes namely double crop, single crop, orchard, wasteland with and without scrub and degraded forest have been identified using visual interpretation. A detailed slope map has been generated from Cartosat-1 DEM and reclassified into seven classes. On the basis of landform, slope, land use/land cover and ground truth, 37 Physiography-Landuse Units (PLU) were identified and described. PLU-soil relationship was developed by correlating soil-site characteristics and physical and chemical properties of soils. Six soil series were identified in major landforms and soil map depicting phases of soil series was developed. The study revealed that the combined use of Cartosat-1 DEM (10 m) and high-resolution IRS-P6 LISS-IV data will be of immense help in identifying soil patterns for large-scale soil resource inventory useful for village-level agricultural planning. © 2016, Indian Society of Remote Sensing.</t>
  </si>
  <si>
    <t>2-s2.0-84958775686"</t>
  </si>
  <si>
    <t>10.1007/s11069-016-2442-6</t>
  </si>
  <si>
    <t>https://www.scopus.com/inward/record.uri?eid=2-s2.0-84976507142&amp;doi=10.1007%2fs11069-016-2442-6&amp;partnerID=40&amp;md5=f51f667ca6b2cc9dfff321b887e991c6</t>
  </si>
  <si>
    <t>Critical infrastructures are essential for the society and economy. In recent years, climate change has been identified as an urgent and growing threat to critical infrastructures, and many studies have been conducted to assess the vulnerability of critical infrastructures to climate change. However, despite these research efforts, the vulnerability of critical infrastructures is often vaguely defined and inconsistently studied in the literature. This paper proposes a framework to analyze critical infrastructure’s vulnerability to climate change based on the traditional vulnerability/sustainability framework and hazard-of-place model of vulnerability. The vulnerability assessment of emergency services to sea level rise and storm surge in Collier County, Florida, is taken as an example to validate the proposed framework. Flood simulation, comparisons of storm surge models, spatial analysis, and network-based service area analysis are conducted to assess the vulnerability of fire stations in the case study area. The vulnerability assessment identifies the predominant hazard risk and the exposed infrastructures, analyzes the sensitivity of serviceability, and evaluates the effectiveness of potential adaptive capacity. The results show that the fire stations in the case study area are more vulnerable to the potential landfall and changes in hurricane and tropical cyclone patterns compared to the flooding caused directly by sea level rise. It indicates that the lack of consideration of potential landfall and changes in storms could greatly underestimate the vulnerability to climate change, especially in coastal areas with limited historical tidal data. The analysis also illustrates the current floodplain management that focuses primarily on the 100-year flood may not be a sufficient standard for all regions given the potential changes in frequency and magnitude of climate-related hazards. Finally, it confirms that disaster risk management strategies could also contribute to climate change adaptation. The weak linkages between existing climate change adaptation and disaster risk management need to be strengthened. The proposed concept and framework could be generalized and expanded to other critical infrastructures, regions, and climate-related hazards. © 2016, Springer Science+Business Media Dordrecht.</t>
  </si>
  <si>
    <t>2-s2.0-84976507142"</t>
  </si>
  <si>
    <t>10.1002/2016EF000385</t>
  </si>
  <si>
    <t>https://www.scopus.com/inward/record.uri?eid=2-s2.0-84997531409&amp;doi=10.1002%2f2016EF000385&amp;partnerID=40&amp;md5=db9ca43534e2470d924f5c105669fc5e</t>
  </si>
  <si>
    <t>Coastal wetlands are likely to lose productivity under increasing rates of sea-level rise (SLR). This study assessed a fluvial estuarine salt marsh system using the Hydro-MEM model under four SLR scenarios. The Hydro-MEM model was developed to apply the dynamics of SLR as well as capture the effects associated with the rate of SLR in the simulation. Additionally, the model uses constants derived from a 2-year bioassay in the Apalachicola marsh system. In order to increase accuracy, the lidar-based marsh platform topography was adjusted using Real Time Kinematic survey data. A river inflow boundary condition was also imposed to simulate freshwater flows from the watershed. The biomass density results produced by the Hydro-MEM model were validated with satellite imagery. The results of the Hydro-MEM simulations showed greater variation of water levels in the low (20 cm) and intermediate-low (50 cm) SLR scenarios and lower variation with an extended bay under higher SLR scenarios. The low SLR scenario increased biomass density in some regions and created a more uniform marsh platform in others. Under intermediate-low SLR scenario, more flooded area and lower marsh productivity were projected. Higher SLR scenarios resulted in complete inundation of marsh areas with fringe migration of wetlands to higher land. This study demonstrated the capability of Hydro-MEM model to simulate coupled physical/biological processes across a large estuarine system with the ability to project marsh migration regions and produce results that can aid in coastal resource management, monitoring, and restoration efforts. © 2016 The Authors.</t>
  </si>
  <si>
    <t>2-s2.0-84997531409"</t>
  </si>
  <si>
    <t>https://www.scopus.com/inward/record.uri?eid=2-s2.0-84988027299&amp;partnerID=40&amp;md5=25da1233e97c10b1927bc46d39cf30aa</t>
  </si>
  <si>
    <t>SHOM contributes routinely to the preparedness against coastal risks along French coastlines. For this purpose, regional to coastal digital elevation models are built for implementation in forecast systems against rapid flooding. By integrating users' needs and its expertise relative to bathymetric data, SHOM offers new fit-for-purpose products along the French coasts.</t>
  </si>
  <si>
    <t>2-s2.0-84988027299"</t>
  </si>
  <si>
    <t>10.1080/01490419.2016.1227405</t>
  </si>
  <si>
    <t>https://www.scopus.com/inward/record.uri?eid=2-s2.0-84988327853&amp;doi=10.1080%2f01490419.2016.1227405&amp;partnerID=40&amp;md5=3b0a949c7a805c9b53244449ad13c53a</t>
  </si>
  <si>
    <t>The Bengal Delta is a highly complex and vulnerable environment where key dynamical features such as tides, storm surges, salinity, and sediment transport strongly depend on the accurate bottom topography representation. To curb the lack of accuracy of widely used global bathymetry databases in this shallow region, we produced an improved coastal bathymetry for the Bengal Delta through an exhaustive and thorough compilation of 70 nautical charts and river surveys. We merged this bathymetry dataset with a high-resolution digital evaluation model, resulting in a novel, consistent product with unprecedented coverage, from the deep parts of the ocean basin (north of 20°N) to the far upstream areas of the delta (around 24°N). This new bathymetry reduces errors in the tidal residuals by a factor of 2–3 for most coastal gauges as compared to global tidal models. The best results are obtained for the Hooghly River, where errors are as low as 6 cm. The improvement in the mouth of the Meghna is moderate, suggesting the possible rapid evolution of the bathymetry due to strong sediment transport. This new bathymetry is expected to significantly improve the modeling of coastal processes such as storm surges in the northern Bay of Bengal. © 2016 Taylor &amp; Francis Group, LLC.</t>
  </si>
  <si>
    <t>2-s2.0-84988327853"</t>
  </si>
  <si>
    <t>10.1007/s12517-016-2649-6</t>
  </si>
  <si>
    <t>https://www.scopus.com/inward/record.uri?eid=2-s2.0-84984612063&amp;doi=10.1007%2fs12517-016-2649-6&amp;partnerID=40&amp;md5=c46941735d27a2d69b05b172272d05c7</t>
  </si>
  <si>
    <t>In arid and semiarid areas, the only surface and groundwater recharge source is the runoff generated through flash floods. Lack of hydrological data in such areas makes runoff estimation extremely complicated. Flash floods are considered catastrophic phenomena posing a major hazardous threat to cities, villages, and their infrastructures. The objective of this study is to assess the flash flood hazard and runoff in Wadi Halyah and its sub-basins. Integration of morphometric parameters, geo-informatics, and hydrological models has been done to overcome the challenge of scarcity of data. Advanced Spaceborne Thermal Emission and Reflection (ASTER) data was used to prepare a digital elevation model (DEM) with 30-m resolution, and geographical information system (GIS) was used in the evaluation of network, geometry, texture, and relief features of the morphometric parameters. Thirty-eight morphometric parameters were estimated and have been linked together for producing nine effective parameters for evaluation of the flash flood hazard in the study basin. Flash flood hazard in Wadi Halyah and its sub-basins was identified and grouped into three classes depending on nine effective parameters directly influencing the flood prone areas. Calculated runoff volume of Wadi Halyah ranges from 26.7 × 106 to 111.4 × 106 m3 with an inundation area of 15 and 27 km2 at return periods of 5 and 100 years, respectively. Mathematical relationships among rainfall depth, runoff volume, infiltration losses, and rainfall excess demonstrate a strong directly proportional relationships with correlation coefficient of about 0.99. © 2016, Saudi Society for Geosciences.</t>
  </si>
  <si>
    <t>2-s2.0-84984612063"</t>
  </si>
  <si>
    <t>10.1371/journal.pone.0162637</t>
  </si>
  <si>
    <t>https://www.scopus.com/inward/record.uri?eid=2-s2.0-84990946573&amp;doi=10.1371%2fjournal.pone.0162637&amp;partnerID=40&amp;md5=19a9439702dd271eed5b38f97a329966</t>
  </si>
  <si>
    <t>There is a pressing need to assess resilience of coastal ecosystems against sea level rise. To develop appropriate response strategies against future climate disturbances, it is important to estimate the magnitude of disturbances that these ecosystems can absorb and to better understand their underlying processes. Hammocks (petenes) coastal ecosystems are highly vulnerable to sea level rise linked to climate change; their vulnerability is mainly due to its close relation with the sea through underground drainage in predominantly karstic soils. Hammocks are biologically important because of their high diversity and restricted distribution. This study proposes a strategy to assess resilience of this coastal ecosystem when high-precision data are scarce. Approaches and methods used to derive ecological resilience maps of hammocks are described and assessed. Resilience models were built by incorporating and weighting appropriate indicators of persistence to assess hammocks resilience against flooding due to climate change at “Los Petenes Biosphere Reserve”, in the Yucatán Peninsula, Mexico. According to the analysis, 25% of the study area is highly resilient (hot spots), whereas 51% has low resilience (cold spots). The most significant hot spot clusters of resilience were located in areas distant to the coastal zone, with indirect tidal influence, and consisted mostly of hammocks surrounded by basin mangrove and floodplain forest. This study revealed that multi-criteria analysis and the use of GIS for qualitative, semi-quantitative and statistical spatial analyses constitute a powerful tool to develop ecological resilience maps of coastal ecosystems that are highly vulnerable to sea level rise, even when high-precision data are not available. This method can be applied in other sites to help develop resilience analyses and decision-making processes for management and conservation of coastal areas worldwide.</t>
  </si>
  <si>
    <t>10.1007/s10113-016-0965-8</t>
  </si>
  <si>
    <t>https://www.scopus.com/inward/record.uri?eid=2-s2.0-84964381187&amp;doi=10.1007%2fs10113-016-0965-8&amp;partnerID=40&amp;md5=91845f0c3f8c5f0abc25c8c7742e40bf</t>
  </si>
  <si>
    <t>Coastal areas will increasingly experience adverse climate hazards such as coastal flooding and severe storms as a result of climate change. These hazards adversely affect drinking-water systems and thereby reduce access to safe drinking-water. Effective adaptation implementation minimizes the damaging impacts of these hazards. However, research on the enablers of and barriers to effective adaptation in low-income countries is lacking. This study maps enablers and barriers to climate change adaptation of water systems in coastal low-income countries using evidence from Viet Nam and the Philippines, countries which experience frequent extreme climate events. Interviews were carried out with staff from 29 water utilities and government agencies. A systematic framework for diagnosing barriers to climate change adaptation was used to analyze the responses. Five factors were identified as relevant to effective adaptation: partnerships</t>
  </si>
  <si>
    <t>10.1111/disa.12175</t>
  </si>
  <si>
    <t>https://www.scopus.com/inward/record.uri?eid=2-s2.0-85028274702&amp;doi=10.1111%2fdisa.12175&amp;partnerID=40&amp;md5=33e4ea02c50dbb35673c1d12db8b29f8</t>
  </si>
  <si>
    <t>The islands of Fiji, in the Western Pacific, are exposed to a wide range of natural hazards. Tropical storms and associated floods are recurring natural phenomena, but it has been regularly alleged that Fijians lack preparation, over-rely on state assistance in post-disaster situations or engage in risky behaviours that aggravate the negative impact of floods. Risk reduction strategies, which are now implemented by government authorities and international organisations, heavily promote the principle of 'community preparedness'. Both community awareness programmes and capacity-building programmes are conducted throughout the country in the most vulnerable communities. This paper analyses how the inhabitants of Lomanikoro village, in the low areas of the Rewa Delta, perceive and manage existing flood risks. It examines social and cultural factors that contribute to shape risk response locally-in particular, why villagers may be reluctant to adopt some recommended preparedness measures and resettle in higher, safer zones.  © 2016 The Author(s). Disasters © Overseas Development Institute, 2016.</t>
  </si>
  <si>
    <t>2-s2.0-85028274702"</t>
  </si>
  <si>
    <t>10.1016/j.coldregions.2016.09.004</t>
  </si>
  <si>
    <t>https://www.scopus.com/inward/record.uri?eid=2-s2.0-84988035747&amp;doi=10.1016%2fj.coldregions.2016.09.004&amp;partnerID=40&amp;md5=76cc23491f61bc490d8de2aafca1b6d7</t>
  </si>
  <si>
    <t>Climate change is predicted to strongly affect the evolution of the Arctic coast over the coming decades. The continuous warming trend observed in Svalbard and northwest Russia since the 1980s are creating concerns related to the stability and durability of existing infrastructure on permafrost and uncertainties related to the design of new structures and infrastructure in the region. An increase in ground temperatures may reduce the bearing capacity and increase settlement rates and subsidence of foundations, and stability of natural and engineered slopes. The effect of climate warming in permafrost regions may cause unacceptable risks according to existing engineering design criteria. A methodology is suggested where the output from climate models can be used as input to engineering models assessing change in the ground thermal regime at site specific locations in permafrost regions. The main objective has been to determine the computed warmest ground temperature occurring during the service life time of the structure, taking climate warming scenarios into consideration. This type of information can be used in coupled thermo-dynamic and mechanical models of the local geotechnical site conditions including structural elements such as foundations, port structures, transportation systems and pipelines. Site specific data from statistical downscaling of General Circulation Models (GCMs), and soil and permafrost data from research sites in Svalbard and northwest Russia has been used in a transient geothermal model to compute possible future ground temperatures in the areas. The results show that depending on the soil conditions and current permafrost temperatures, the sensitivity to climate warming vary from small or negligible to considerable. Further development of the methodology advocates a probabilistic approach. © 2016 Elsevier B.V.</t>
  </si>
  <si>
    <t>2-s2.0-84988035747"</t>
  </si>
  <si>
    <t>10.1111/disa.12171</t>
  </si>
  <si>
    <t>https://www.scopus.com/inward/record.uri?eid=2-s2.0-85027952079&amp;doi=10.1111%2fdisa.12171&amp;partnerID=40&amp;md5=2594852021e4bb445f00568e111a181f</t>
  </si>
  <si>
    <t>Floods frequently cause substantial economic and human losses, particularly in developing countries. For the development of sound flood risk management schemes that reduce flood consequences, detailed insights into the different components of the flood risk management cycle, such as preparedness, response, flood impact analyses and recovery, are needed. However, such detailed insights are often lacking: commonly, only (aggregated) data on direct flood damage are available. Other damage categories such as losses owing to the disruption of production processes are usually not considered, resulting in incomplete risk assessments and possibly inappropriate recommendations for risk management. In this paper, data from 858 face-to-face interviews among flood-prone households and small businesses in Can Tho city in the Vietnamese Mekong Delta are presented to gain better insights into the damage caused by the 2011 flood event and its management by households and businesses.  © 2016 The Author(s). Disasters © Overseas Development Institute, 2016.</t>
  </si>
  <si>
    <t>2-s2.0-85027952079"</t>
  </si>
  <si>
    <t>10.1007/s10652-016-9458-z</t>
  </si>
  <si>
    <t>https://www.scopus.com/inward/record.uri?eid=2-s2.0-84965047979&amp;doi=10.1007%2fs10652-016-9458-z&amp;partnerID=40&amp;md5=c1750a0e8e4af707bcfaf13395296160</t>
  </si>
  <si>
    <t>In an estuary, mixing and dispersion resulting from turbulence and small scale fluctuation has strong spatio-temporal variability which cannot be resolved in conventional hydrodynamic models while some models employs parameterizations large water bodies. This paper presents small scale diffusivity estimates from high resolution drifters sampled at 10 Hz for periods of about 4 h to resolve turbulence and shear diffusivity within a tidal shallow estuary (depth &lt;3 m). Taylor’s diffusion theorem forms the basis of a first order estimate for the diffusivity scale. Diffusivity varied between 0.001 and 0.02 m2/s during the flood tide experiment. The diffusivity showed strong dependence (R2 &gt; 0.9) on the horizontal mean velocity within the channel. Enhanced diffusivity caused by shear dispersion resulting from the interaction of large scale flow with the boundary geometries was observed. Turbulence within the shallow channel showed some similarities with the boundary layer flow which include consistency with slope of 5/3 predicted by Kolmogorov’s similarity hypothesis within the inertial subrange. The diffusivities scale locally by 4/3 power law following Okubo’s scaling and the length scale scales as 3/2 power law of the time scale. The diffusivity scaling herein suggests that the modelling of small scale mixing within tidal shallow estuaries can be approached from classical turbulence scaling upon identifying pertinent parameters. © 2016, Springer Science+Business Media Dordrecht.</t>
  </si>
  <si>
    <t>2-s2.0-84965047979"</t>
  </si>
  <si>
    <t>10.2112/JCOASTRES-D-15-00228.1</t>
  </si>
  <si>
    <t>https://www.scopus.com/inward/record.uri?eid=2-s2.0-84995520576&amp;doi=10.2112%2fJCOASTRES-D-15-00228.1&amp;partnerID=40&amp;md5=7e1e552a58d3cbb70f0d212c0d0ce7d8</t>
  </si>
  <si>
    <t>Climate change and variability of associated factor, such as sea-level rise, could increase exposure of the Gulf of Guinea coastal area to coastal erosion and inundation. The processes (relative sea-level rise, tidal range, and wave height) and state factors (geomorphology, coastal slope, and coastline change rate) have been analyzed to evaluate the vulnerability index of the Ivorian coastal area. This study area was divided into three zones based on geomorphology. A coastal vulnerability index (CVI) was computed for each zone according to six factors describing its variability. Results indicate that the entire Ivorian coastal zone falls into a moderate-risk category. The relative vulnerability of the different sections depends strongly on the geomorphology and on wave energy factors. This vulnerability increases spatially westward taking account of their CVI values. The CVI will undoubtedly increase with predicted sea-level rise. The result of this study could provide wide coastal information to coastal managers and Ivorian government coastal people and help to protect the coastal ecosystem.</t>
  </si>
  <si>
    <t>Canadian Yearbook of International Law</t>
  </si>
  <si>
    <t>10.1017/cyl.2016.4</t>
  </si>
  <si>
    <t>https://www.scopus.com/inward/record.uri?eid=2-s2.0-85019162367&amp;doi=10.1017%2fcyl.2016.4&amp;partnerID=40&amp;md5=8a8d34fb9fd2ed6bb22aa31a6cfede4b</t>
  </si>
  <si>
    <t>The threat of the permanent physical disappearance of the territory of states no longer belongs to the mythical realm, and the situation is particularly imminent for small island developing states. While most international legal scholarship has so far focused on issues stemming from territorial disappearance, this article goes one step further. It questions the appropriateness of the classical notion of the territorial state - a socio-cultural and politico-legal entity evolving on a defined territorial area - as the basis for an international legal system faced with new realities created by climate change, sea-level rise, and globalization. After examining the current rules on statehood within the context of the physical disappearance of states' territories and looking into the solutions suggested in the legal literature to address territorial loss, this article assesses a new way of understanding statehood by exploring theoretical lenses through which a new model of statehood could be contemplated. © Copyright 2016 The Canadian Yearbook of International Law.</t>
  </si>
  <si>
    <t>2-s2.0-85019162367"</t>
  </si>
  <si>
    <t>10.1016/j.jenvman.2016.05.037</t>
  </si>
  <si>
    <t>https://www.scopus.com/inward/record.uri?eid=2-s2.0-84977090432&amp;doi=10.1016%2fj.jenvman.2016.05.037&amp;partnerID=40&amp;md5=b95b99b7fec9a674cd5cb8935363751f</t>
  </si>
  <si>
    <t>Within Europe, flood and coastal risk management is undergoing a major paradigm shift as it moves from an approach dominated by investment in flood defence and control infrastructure to another one in which non-structural measures are favoured. One research challenge consists in developing a better understanding of local population risk perception and its effects on prevention and preparedness actions in order to improve social acceptability of adaptive flood risk management. Landowners’ involvement in wetland management offer benefits beyond the line of their property. Accordingly, the purpose of this study is to achieve an empirical understanding of risk perception and self-protective behaviour among the landowners of the riparian marshes in the Gironde Estuary, in France. Application of the psychometric approach reveals that flood risk perception among landowners can be characterised by three synthetic variables that indicate on the degree of exposure, the sense of control and knowledge of the risk. Examining the relationships between these perceived risk dimensions and landowners’ participation in water structures management provides three profiles of self-protective behaviour distinguishing “vulnerable”, “autonomous”, and “passive” individuals. Finally, implications of our findings for the management of flood risk in estuarine environment which is often drained areas are discussed. © 2016 Elsevier Ltd</t>
  </si>
  <si>
    <t>2-s2.0-84977090432"</t>
  </si>
  <si>
    <t>10.1007/s11069-016-2447-1</t>
  </si>
  <si>
    <t>https://www.scopus.com/inward/record.uri?eid=2-s2.0-84976893949&amp;doi=10.1007%2fs11069-016-2447-1&amp;partnerID=40&amp;md5=396c2c3b269699d21d6ea7d183a66448</t>
  </si>
  <si>
    <t>Storm surge is one of the most devastating coastal disasters in China. The average value of the direct economic loss caused by storm surge is 10.7 billion RMB in the last 5 years (2011–2015). There are urgent needs to develop a simple and fast projection and assessment model with less calculation time when facing a storm surge threat and to perform necessary calculation before the storm surge potential risk appears. To achieve that, this paper utilizes the extended Kalman filter (EKF) method to project essential indicators (assessment indicators), i.e., property losses and loss of lives over the process of storm surge risk management based on field observations and measurement indicators. The historical data from 1989 to 2014 are collected and processed according to public data sources. The inherent relationships between the indicators are determined as a preparation of the model establishment, and after that, the EKF storm surge projection model is established. The results of the model in terms of the assessment indicators meet the general trend of the historical data, and the validity of the projection function of the model is verified. A comparable projection by applying artificial neural networks is implemented which shows the results of the EKF model had better accuracy and stability. © 2016, Springer Science+Business Media Dordrecht.</t>
  </si>
  <si>
    <t>2-s2.0-84976893949"</t>
  </si>
  <si>
    <t>10.3390/geosciences6040047</t>
  </si>
  <si>
    <t>https://www.scopus.com/inward/record.uri?eid=2-s2.0-84993993439&amp;doi=10.3390%2fgeosciences6040047&amp;partnerID=40&amp;md5=f79ea78ac4b6bf84901707783824bcfa</t>
  </si>
  <si>
    <t>Abouelreesh is one of the most at risk areas in Aswan, Egypt, which suffers from storms, poor drainage, and flash flooding. These phenomena affect the urban areas and cause a lot of damage to buildings and infrastructure. Moreover, the potential for the further realization of dangerous situations increased when the urban areas of Abouelreesh extended towards the risk areas. In an effort to ameliorate the danger, two key issues for urban growth management were studied, namely: (i) estimations regarding the pace of urban sprawl, and (ii) the identification of urban areas located in regions that would be affected by flash floods. Analyzing these phenomena require a lot of data in order to obtain good results, but in our case, the official data or field data was limited so we tried to obtain it by accessing two kinds of free sources of satellite data. First, we used Arc GIS tools to analyze (digital elevation model (DEM)) files in order to study the watershed and better identify the risk area. Second, we studied historical imagery in Google Earth to determine the age of each urban block. The urban growth rate in the risk areas had risen to 63.31% in 2001. Urban growth in the case study area had been influenced by house sizes, because most people were looking to live in bigger houses. The aforementioned problem can be observed by considering the increasing average house sizes from 2001 until 2013, where, especially in risky areas, the average of house sizes had grown from 223 m2 in 2001 to 318 m2 in 2013. The findings from this study would be useful to urban planners and government officials in helping them to make informed decisions on urban development to benefit the community, especially those living in areas at risk from flash flooding from heavy rain events. © 2016 by the authors</t>
  </si>
  <si>
    <t>10.1007/s11069-016-2495-6</t>
  </si>
  <si>
    <t>https://www.scopus.com/inward/record.uri?eid=2-s2.0-84980044682&amp;doi=10.1007%2fs11069-016-2495-6&amp;partnerID=40&amp;md5=856d77b08e366b6cb2ea3df5ae4bf59c</t>
  </si>
  <si>
    <t>The spatial–temporal change in flood hazard potential in the coastal lowland area was analyzed in the Kujukuri Plain, Japan, where widespread occurrence of land subsidence, the expansion of urban area, and the change in land cover have been reported. The data on flood hazard potential factors (river system, elevation, depression area, ratio of impermeable area, detention ponds, and precipitation) at three different periods, i.e., 1970, 2004, and 2013, were integrated by using geographic information system. Main data sources used are airborne laser scanning data, leveling data, Landsat TM data, river watershed maps, and precipitation data from precipitation observation stations and radar precipitation data. The flood hazard assessment maps for each time were obtained by using an algorithm that combines the flood hazard potential factors with weighted linear combinations based on multicriteria decision analysis technique. By comparing each factor layer map and flood hazard condition maps of different periods, it was found that the changes in different factors were quite variable during different periods with different spatial distributions. From year 1970 to year 2004, most of the areas where flood hazard potential was increased were concentrated in the central and northeastern part of the study area. During the period from year 2004 to year 2013, the areas where flood hazard potential was increased moved to the north and east. This study provides a flexible method to study the spatial–temporal variation of the flood hazard and, hence, could help flood management and environment protection in similar coastal lowland areas. © 2016, Springer Science+Business Media Dordrecht.</t>
  </si>
  <si>
    <t>2-s2.0-84980044682"</t>
  </si>
  <si>
    <t>10.1016/j.gloplacha.2016.08.009</t>
  </si>
  <si>
    <t>https://www.scopus.com/inward/record.uri?eid=2-s2.0-84984804344&amp;doi=10.1016%2fj.gloplacha.2016.08.009&amp;partnerID=40&amp;md5=14e0f493cb9881f2096cc390e2d3b9c8</t>
  </si>
  <si>
    <t>Existing quantifications of the Shared Socioeconomic Pathways (SSP) used for climate impact assessment do not account for subnational population dynamics such as coastward-migration that can be critical for coastal impact assessment. This paper extends the SSPs by developing spatial projections of global coastal population distribution for the five basic SSPs. Based on a series of coastal migration drivers we develop coastal narratives for each SSP. These narratives account for differences in coastal and inland population developments in urban and rural areas. To spatially distribute population, we use the International Institute for Applied Systems Analysis (IIASA) national population and urbanisation projections and employ country-specific growth rates, which differ for coastal and inland as well as for urban and rural regions, to project coastal population for each SSP. These rates are derived from spatial analysis of historical population data and adjusted for each SSP based on the coastal narratives. Our results show that, compared to the year 2000 (638 million), the population living in the Low Elevated Coastal Zone (LECZ) increases by 58% to 71% until 2050 and exceeds one billion in all SSPs. By the end of the 21st century, global coastal population declines to 830–907 million in all SSPs except for SSP3, where coastal population growth continues and reaches 1.184 billion. Overall, the population living in the LECZ is higher by 85 to 239 million compared to the original IIASA projections. Asia expects the highest absolute growth (238–303 million), Africa the highest relative growth (153% to 218%). Our results highlight regions where high coastal population growth is expected and will therefore face an increased exposure to coastal flooding. © 2016 The Authors</t>
  </si>
  <si>
    <t>2-s2.0-84984804344"</t>
  </si>
  <si>
    <t>10.1007/s11069-016-2427-5</t>
  </si>
  <si>
    <t>https://www.scopus.com/inward/record.uri?eid=2-s2.0-84976354704&amp;doi=10.1007%2fs11069-016-2427-5&amp;partnerID=40&amp;md5=e98c51f05bce90efa698a6f3806d6374</t>
  </si>
  <si>
    <t>The Yellow River delta, the second largest oil and gas base of China, has been subsiding due to the combination effects of human and natural factors. Increasing anthropogenic activities, like hydrocarbon exploitation, accelerate the subsidence, gradually threatening the stability of infrastructures and causing the inhabitants more vulnerable to natural hazards. Interferometric synthetic aperture radar (InSAR) techniques can measure ground movements in high resolution. The purpose of this study is to map the spatial and temporal variations in surface deformation over the Yellow River delta using a Small Baseline Subset InSAR technique and to assess the role of hydrocarbon exploitation in subsidence. The Stanford Method for Persistent Scatterers/Multi-Temporal InSAR (StaMPS/MTI) package is employed to process ENVISAT ASAR images collected from 2007 to 2010. InSAR-derived surface deformation measurements are then compared to geological and petroleum geologic data, oil field data and hydrocarbon reservoir inversion information to address the causes of the observed subsidence. Spirit leveling data and standard deviation maps are used to verify the InSAR results and measurement accuracy. Consistent results of the two descending tracks indicate subsidence up to 40 mm/yr over oil field. The time-series deformation manifests that subsidence area and peak broaden over time and subsidence rate are approximately constant in Shikou oil field, while the rate decreases in Dongying oil field since 2009. Moreover, our results indicate that the land subsidence pattern is concentrated in hydrocarbon exploration field and has a good consistency with faults distributions. In addition, a multiple finite prolate ellipsoid sources model is implemented to model the InSAR-derived deformation in Shikou oil field. The model manifests that land subsidence and hydrocarbon exploitation can be quantitatively linked to each other. The intimate connection of surface deformation with reservoir change suggests that land subsidence over oil field in the Yellow River delta is primarily caused by hydrocarbon exploitation. The results provide new insights into the land subsidence mechanism in the Yellow River delta. © 2016, Springer Science+Business Media Dordrecht.</t>
  </si>
  <si>
    <t>2-s2.0-84976354704"</t>
  </si>
  <si>
    <t>10.1002/2015WR018411</t>
  </si>
  <si>
    <t>https://www.scopus.com/inward/record.uri?eid=2-s2.0-85005896256&amp;doi=10.1002%2f2015WR018411&amp;partnerID=40&amp;md5=434a4b25a8fc2ea1baddd4c609ae2c6c</t>
  </si>
  <si>
    <t>While research into the interaction between in-channel vegetation, flow, and bed sediment has increased in recent years, there is still a need to understand how unsteady flows affect these processes, particularly in terms of channel bed adjustments. In this study, flume experiments tested two flood hydrograph sizes run over sand/gravel and sand/silt beds to evaluate reach scale impacts of a midchannel vegetation patch of variable stem density on channel bathymetry and stability. Alternating flood hydrographs with periods of low, steady flow created flow sequences reflective of an extended unsteady flow regime, thereby simulating time scales consisting of multiple flood events. Digital elevation models provided detailed measurements of channel change following each flood event to enable analysis over each unsteady flow sequence. The vegetation patch created characteristic channel bathymetries dependent on sediment mixture and patch density that in all cases resulted in a more variable bed structure than channels without a patch. Reach scale stability, quantified based on net volumetric bed change, only occurred with a sparse patch in the low flood sequence, corresponding with little variation in surface composition and structure. In most other cases, scour measured at the patch prevented stability at the reach scale, especially in the finer substrate. Overall, findings show that a channel may only adjust to a stable bathymetry upon addition of a midchannel vegetation patch within a limited range of flow regimes and patch stem densities, and that for the experimental conditions tested here, in-stream patches generally did not enhance reach scale bed stability. © 2016. American Geophysical Union. All Rights Reserved.</t>
  </si>
  <si>
    <t>2-s2.0-85005896256"</t>
  </si>
  <si>
    <t>10.1002/esp.3952</t>
  </si>
  <si>
    <t>https://www.scopus.com/inward/record.uri?eid=2-s2.0-84977645395&amp;doi=10.1002%2fesp.3952&amp;partnerID=40&amp;md5=46ae007ee2b02c7218ce26bd2783dcd9</t>
  </si>
  <si>
    <t>Dolines are closed geomorphological depressions which are surface manifestations of karstic systems. Usually developed on limestones, they also typify the morphology of the New Caledonian landscape, particularly on the southern massif of the main island (known as Massif du Sud). The specificity of dolines here lies in their development on ultramafic rocks. They are evidences of subsidence, suffosion and collapse phenomena resulting from dissolution weathering of peridotites. However, extensive underground drainage systems are still not yet recognized. Semi-automatic mapping of dolines is carried out on a 148 km2 area of the Massif du Sud from a high accuracy LiDAR digital elevation model. In this area 8601 dolines ranging from 1 m2 to 2 km2 are identified and morphologically characterized with precision. Most are small, shallow and round-shaped, yet more complex shapes are locally observed. Size distribution analysis allows the setting of a threshold of 20 000 m2 above which surface processes rather than chemical weathering control doline evolution. Doline density analysis reveals high concentrations on flat areas where ferricrete overlies the complete weathering profile, especially in the case of elevated rainy watersheds. Dolines are aligned and elongated along a north 135° ± 5° major fracture direction, which is inherited from the obduction of the Pacific Plate upper mantle in the Late Eocene. Finally, we propose a pioneering morphometric typology of dolines that provides important clues as to pseudokarstic activity. We define collapse, bowl-shaped and flat bottom dolines. Collapse and bowl-shaped dolines are assumed to denote active pseudokarst. They may widen and deepen, or eventually be filled by sediments. They are distinguished from flat bottom dolines that are partially to completely filled, which suggests that they are associated with paleo-pseudokarsts. However the groundwater flow paths associated with the genesis and evolution of dolines must be clarified, thus collapse and bowl-shaped dolines should be hydrologically monitored. Copyright © 2016 John Wiley &amp; Sons, Ltd. Copyright © 2016 John Wiley &amp; Sons, Ltd.</t>
  </si>
  <si>
    <t>2-s2.0-84977645395"</t>
  </si>
  <si>
    <t>Global Biogeochemical Cycles</t>
  </si>
  <si>
    <t>10.1002/2016GB005395</t>
  </si>
  <si>
    <t>https://www.scopus.com/inward/record.uri?eid=2-s2.0-84985912223&amp;doi=10.1002%2f2016GB005395&amp;partnerID=40&amp;md5=bd6b42fd6ac95d6687624d46dc2b4f91</t>
  </si>
  <si>
    <t>There has been considerable debate as to how natural forcing and anthropogenic activities alter the timing and magnitude of the delivery of dissolved organic carbon (DOC) to the coastal ocean, which has ramifications for the ocean carbon budget, land-ocean interactions, and coastal life. Here we present an analysis of DOC export from the Mississippi River to the Gulf of Mexico during 1901–2010 as influenced by changes in climate, land use and management practices, atmospheric CO2, and nitrogen deposition, through the integration of observational data with a coupled hydrologic/biogeochemical land model. Model simulations show that DOC export in the 2000s increased more than 40% since the 1900s. For the recent three decades (1981–2010), however, our simulated DOC export did not show a significant increasing trend, which is consistent with observations by U.S. Geological Survey. Our factorial analyses suggest that land use and land cover change, including land management practices (LMPs: i.e., fertilization, irrigation, tillage, etc.), were the dominant contributors to the century-scale trend of rising total riverine DOC export, followed by changes in atmospheric CO2, nitrogen deposition, and climate. Decadal and interannual variations of DOC export were largely attributed to year-to-year climatic variability and extreme flooding events, which have been exacerbated by human activity. LMPs show incremental contributions to DOC increase since the 1960s, indicating the importance of sustainable agricultural practices in coping with future environmental changes such as extreme flooding events. Compared to the observational-based estimate, the modeled DOC export was 20% higher, while DOC concentrations were slightly lower. Further refinements in model structure and input data sets should enable reductions in uncertainties in our prediction of century-long trends in DOC. ©2016. American Geophysical Union. All Rights Reserved.</t>
  </si>
  <si>
    <t>2-s2.0-84985912223"</t>
  </si>
  <si>
    <t>International Journal of Geomechanics</t>
  </si>
  <si>
    <t>10.1061/(ASCE)GM.1943-5622.0000619</t>
  </si>
  <si>
    <t>https://www.scopus.com/inward/record.uri?eid=2-s2.0-84988530142&amp;doi=10.1061%2f%28ASCE%29GM.1943-5622.0000619&amp;partnerID=40&amp;md5=26c0d09c060b3fc7b237ab7b91884389</t>
  </si>
  <si>
    <t>The Tohoku coastal area in Japan suffered massive damage in the Great Tohoku Earthquake, in which a prolonged major earthquake was followed by a large tsunami. The damage mechanisms of coastal structures during earthquake-tsunami events have not been fully explained. Thus, this study elucidates the damage mechanism of breakwaters by focusing on the interactions among earthquake-tsunami events, caisson structures, and soil composed of rubble mounds and seabed components. Centrifuge model tests, finite-element analyses, and smoothed particle hydrodynamics simulations with tsunami-soil-structure interactions were performed. The simulated breakwater was destabilized by not only wave pressure, but also long-acting tsunami seepage flow and overflow into the rubble mound and the seabed. These processes resulted in scour and fluidization/liquefaction, which decreased the bearing capacity. Moreover, the liquefaction resulting from earthquake motion caused caisson subsidence and excess pore water pressure in the soil components before the tsunami occurred. These problems decrease the ability of breakwaters to provide protection against tsunamis. © 2016 American Society of Civil Engineers.</t>
  </si>
  <si>
    <t>2-s2.0-84988530142"</t>
  </si>
  <si>
    <t>10.1007/s13369-016-2166-7</t>
  </si>
  <si>
    <t>https://www.scopus.com/inward/record.uri?eid=2-s2.0-84991227246&amp;doi=10.1007%2fs13369-016-2166-7&amp;partnerID=40&amp;md5=40076a93d18a25ac3157e386c1ebb4d0</t>
  </si>
  <si>
    <t>This research aims to assess the performance of engineering measures applied in the flat area in order to reduce flood disaster in the Tha Chin basin, Thailand. The integrated 1D–2D linked mathematical model (ISIS model) was used to simulate the flood inundation with the Digital Elevation Model. The upstream boundary condition, which was the runoff at the basin inlet, was calculated from flow hydrograph data of the 2011 flood in Thailand. The downstream condition was the time series of the sea water levels. The flood area images taken by remote sensing technique were used to calibrate the model. With the integrated 1D–2D linked mathematical model, the simulated flood areas in the complex topographies could be successfully compared with the 2011 flood. The difference between simulated flood areas and those taken from the satellite images was about 7.11 %. The appropriate engineering measures were proposed based on simulation results and comments of stakeholders. The management for flood disaster reduction could be classified into three different zones, i.e., areas of the upstream, middle, and downstream of the basin. Based on seminars and the participation of the stakeholders in the basin, most of the respondents agreed with the proposed project. © 2016, King Fahd University of Petroleum &amp; Minerals.</t>
  </si>
  <si>
    <t>2-s2.0-84991227246"</t>
  </si>
  <si>
    <t>10.1175/WCAS-D-16-0023.1</t>
  </si>
  <si>
    <t>https://www.scopus.com/inward/record.uri?eid=2-s2.0-84991823772&amp;doi=10.1175%2fWCAS-D-16-0023.1&amp;partnerID=40&amp;md5=792c072ed89c5ecc781ff9779cfdb209</t>
  </si>
  <si>
    <t>As the world's urban poor increase in numbers, they become acutely vulnerable to hazards from extreme weather events. On 8 November 2013, Typhoon Haiyan struck the province of Leyte, Philippines, with casualties numbering in the thousands, largely because of the ensuing storm surge that swept the coastal communities. This study investigates the role and dynamics of risk communication in these events, specifically examining the organizational processing of text within a complex institutional milieu. The authors show how the risk communication process failed to convey meaningful information about the predicted storm surge, transmitting and retransmitting the same routine text instead of communicating authentic messages in earnest. The key insight is that, rather than focus solely on the verbatim transmission of a scripted text, risk communication needs to employ various modes of translation and feedback signals across organizational and institutional boundaries. Adaptation will require overcoming organizational rigidities in order to craft proportionate responses to extreme weather events that may lie outside personal and institutional memory. Future work should build upon the textual processing approach to risk communication, expanding it into a comprehensive relational model of environmental cognition. © 2016 American Meteorological Society.</t>
  </si>
  <si>
    <t>2-s2.0-84991823772"</t>
  </si>
  <si>
    <t>10.1007/s40710-016-0194-7</t>
  </si>
  <si>
    <t>https://www.scopus.com/inward/record.uri?eid=2-s2.0-84995806680&amp;doi=10.1007%2fs40710-016-0194-7&amp;partnerID=40&amp;md5=215b50b6ccf589d1e50c06f4960cc6c8</t>
  </si>
  <si>
    <t>This study explores mesoscale estuarine dynamics and geomorphological evolution as digitised from historical maps. Estuarine ebb channel positions from the UK Ordnance Survey Old maps which covered 168, 125 and 132 years for Hayle, Gannel and Camel Estuaries, respectively, were analysed through time-weighted locational probability maps, and these were evaluated for channel behaviour over decades to centuries in the context of historical changes. These three estuarine systems, which are located in southwest England, have received considerable attention in terms of the impacts of mining on estuarine sedimentation but none on ebb channel dynamics. The results show that there are relatively marked differences in meandering pattern between the mid/inner sections of the estuaries in comparison with inlet and outer section of the systems. The most stable areas of the three systems are the inlets while there are limited shifts in length and width of the ebb channel within the systems. The examinations of the pixel data from the final probability maps from each of the systems indicate that high probability dominates the inlet region of Hayle and Camel, while the inner sections of the two estuaries show evidence of increased variability. Gannel, on the other hand, reported over two-thirds of its section in higher probability class. Sea-level rise, climate forcings and human intervention are observed to exert significant controls on the ebb channel dynamics in the study areas. This study has, therefore, shown the possibility of extracting important geomorphological features and dynamics from historical and archival survey maps. © 2016, Springer International Publishing Switzerland.</t>
  </si>
  <si>
    <t>2-s2.0-84995806680"</t>
  </si>
  <si>
    <t>10.1175/WCAS-D-16-0028.1</t>
  </si>
  <si>
    <t>https://www.scopus.com/inward/record.uri?eid=2-s2.0-84991822047&amp;doi=10.1175%2fWCAS-D-16-0028.1&amp;partnerID=40&amp;md5=742d1c1998803d7363c692d4ca8855e6</t>
  </si>
  <si>
    <t>Coastal flood risk communication is most effective at motivating action when the medium and timing of delivery provide understandable information with clear directives when residents need it most. The U.S. National Weather Service (NWS) has many useful coastal flood forecast tools and products, but how and when this information is delivered are of critical importance. To assess how coastal residents understand and interpret NWS coastal flood products and the best mechanisms for delivery, five focus groups (including residents and emergency managers) in Monmouth and Ocean Counties in New Jersey were conducted. These focus groups employed a scenario-based approach that walked participants through the seven days leading up to Hurricane Sandy. Results support the use of emergency briefing packages as a preferred method for disseminating storm and flood risk information. However, changes to improve visual clarity, provide more succinct information, and localize messages must be undertaken for risk communication to be effective. Further, while residents prefer storm information four to five days prior to storm landfall, emergency managers preferred information seven days prior in order to have time to disseminate information to the community. Findings from this study, which include proposed revisions toNWSproducts, are expected to improve risk communication and community resiliency in the face of coastal storm threats. © 2016 American Meteorological Society.</t>
  </si>
  <si>
    <t>2-s2.0-84991822047"</t>
  </si>
  <si>
    <t>Integrated environmental assessment and management</t>
  </si>
  <si>
    <t>10.1002/ieam.1774</t>
  </si>
  <si>
    <t>https://www.scopus.com/inward/record.uri?eid=2-s2.0-84987800410&amp;doi=10.1002%2fieam.1774&amp;partnerID=40&amp;md5=8f531264ce99401aa2565d0ae3a1e760</t>
  </si>
  <si>
    <t>The dynamic nature of environmental change in coastal areas means that a flexible ""learning by doing"" management strategy has a number of advantages. This article lays out the principles of such a strategy and then assesses an actual planning and management process focused on climate change consequences for the Broads wetland on the East coast of England. The management strategy focused on the concept of ecosystem services (stocks and flows) provided by the coastal wetland and the threats and opportunities posed to the area by sea level rise and other climate change impacts. The analysis explores the process by which an adaptive management plan has been formulated and coproduced by a combination of centralized (vertical) and stakeholder social network (horizontal) arrangements. The process values where feasible the ecosystem services under threat and prioritizes response actions. Coastal management needs a careful balance between strategic requirements imposed at a national scale and local schemes that affect regional and/or local communities and social networks. These networks aided by electronic media have allowed groups to engage more rapidly and effectively with policy proposals. However, successful deliberation is conditioned by a range of context specific factors, including the type of social networks present and their relative competitive and/or complementary characteristics. The history of consultation and dialogue between official agencies and stakeholders also plays a part in contemporary deliberation processes and the success of their outcomes. Among the issues highlighted are the multiple dimensions of nature's value</t>
  </si>
  <si>
    <t>10.5194/os-12-1105-2016</t>
  </si>
  <si>
    <t>https://www.scopus.com/inward/record.uri?eid=2-s2.0-84990831636&amp;doi=10.5194%2fos-12-1105-2016&amp;partnerID=40&amp;md5=10e150e0f410de2ff2e9a997f3d4652e</t>
  </si>
  <si>
    <t>This paper describes recent developments based on advances in coastal ocean forecasting in the fields of numerical modeling, data assimilation, and observational array design, exemplified by the Coastal Observing System for the North and Arctic Seas (COSYNA). The region of interest is the North and Baltic seas, and most of the coastal examples are for the German Bight. Several pre-operational applications are presented to demonstrate the outcome of using the best available science in coastal ocean predictions. The applications address the nonlinear behavior of the coastal ocean, which for the studied region is manifested by the tidal distortion and generation of shallow-water tides. Led by the motivation to maximize the benefits of the observations, this study focuses on the integration of observations and modeling using advanced statistical methods. Coastal and regional ocean forecasting systems do not operate in isolation but are linked, either weakly by using forcing data or interactively using two-way nesting or unstructured-grid models. Therefore, the problems of downscaling and upscaling are addressed, along with a discussion of the potential influence of the information from coastal observatories or coastal forecasting systems on the regional models. One example of coupling coarse-resolution regional models with a fine-resolution model interface in the area of straits connecting the North and Baltic seas using a two-way nesting method is presented. Illustrations from the assimilation of remote sensing, in situ and high-frequency (HF) radar data, the prediction of wind waves and storm surges, and possible applications to search and rescue operations are also presented. Concepts for seamless approaches to link coastal and regional forecasting systems are exemplified by the application of an unstructured-grid model for the Ems Estuary. © 2016 Author(s).</t>
  </si>
  <si>
    <t>2-s2.0-84990831636"</t>
  </si>
  <si>
    <t>10.1016/j.scitotenv.2016.07.136</t>
  </si>
  <si>
    <t>https://www.scopus.com/inward/record.uri?eid=2-s2.0-84989927468&amp;doi=10.1016%2fj.scitotenv.2016.07.136&amp;partnerID=40&amp;md5=1f676a95b9d931fdb26cdf177adbd938</t>
  </si>
  <si>
    <t>Climate change and sea level rise (SLR) are global impacts threatening the sustainability of coastal territories and valuable ecosystems such as deltas. The Ebro Delta is representative of the vulnerability of coastal areas to SLR. Rice cultivation is the main economic activity in the region. Rice fields occupy most of the delta (ca. 65%) and are vulnerable to accelerated SLR and consequent increase in soil salinity, the most important physical factor affecting rice production. We developed a model to predict the impacts of SLR on soil salinity and rice production under different scenarios predicted by the Fifth Assessment Report of the Intergovernmental Panel on Climate Change by coupling data from Geographic Information Systems with Generalized Linear Models. Soil salinity data were measured in agricultural parcels and rice production from surveys among farmers. The correlation between observed and soil salinity predicted values was high and significant (Pearson's r = 0.72, P &lt; 0.0001), thus supporting the predictive ability of the model. Soil salinity was directly related to distances to the river, to the delta inner border, and to the river old mouth, while clay presence, winter river flow and surface elevation were inversely related to it. Surface elevation was the most important variable in explaining soil salinity. Rice production was negatively influenced by soil salinity, thus the models predict a decrease from higher elevation zones close to the river to the shoreline. The model predicts a maximum reduction in normalized rice production index from 61.2% in 2010 to 33.8% by 2100 in the worst considered scenario (SLR = 1.8 m), with a decrease of profit up to 300 € per hectare. The model can be applied to other deltaic areas worldwide, and help rice farmers and stakeholders to identify the most vulnerable areas to SLR impacts. © 2016 Elsevier B.V.</t>
  </si>
  <si>
    <t>2-s2.0-84989927468"</t>
  </si>
  <si>
    <t>10.1016/j.cageo.2016.09.003</t>
  </si>
  <si>
    <t>https://www.scopus.com/inward/record.uri?eid=2-s2.0-84988474755&amp;doi=10.1016%2fj.cageo.2016.09.003&amp;partnerID=40&amp;md5=c9cb7337c753094b66741a7f52a5a8f9</t>
  </si>
  <si>
    <t>Q-LavHA is a freeware plugin which simulates lava flow inundation probability from one or regularly distributed eruptive vents on a Digital Elevation Model (DEM). It combines existing probabilistic and deterministic models and proposes some improvements to calculate the probability of lava flow spatial propagation and terminal length. Spatial propagation is constrained by the probabilistic steepest slope. Corrective factors are included to allow the flow simulation to overcome small topographical obstacles and to fill pits. The terminal length of the flow simulation can be determined based on a fixed length value, a statistical length probability function or based on the thermo-rheological properties of an open-channel lava flow. The impact of model parameters, background slope and DEM resolution on the accuracy of the simulations are discussed. The user-friendly interface and the flexibility of Q-LavHA makes it a tool applicable from long-term volcanic hazard assessment to short-term hazard forecasting. © 2016</t>
  </si>
  <si>
    <t>2-s2.0-84988474755"</t>
  </si>
  <si>
    <t>10.1007/s11069-016-2504-9</t>
  </si>
  <si>
    <t>https://www.scopus.com/inward/record.uri?eid=2-s2.0-84981556563&amp;doi=10.1007%2fs11069-016-2504-9&amp;partnerID=40&amp;md5=74e0268d146fd8ea43f3e80f20bb7217</t>
  </si>
  <si>
    <t>This work focuses on the exploitation of very high-resolution (VHR) satellite imagery coupled with multi-criteria analysis (MCA) to produce flood hazard maps. The methodology was tested over a portion of the Yialias river watershed basin (Nicosia, Cyprus). The MCA methodology was performed selecting five flood-conditioning factors: slope, distance to channels, drainage texture, geology and land cover. Among MCA methods, the analytic hierarchy process technique was chosen to derive the weight of each criterion in the computation of the flood hazard index (FHI). The required information layers were obtained by processing a VHR GeoEye-1 image and a digital elevation model. The satellite image was classified using an object-based technique to extract land use/cover data, while GIS geoprocessing of the DEM provided slope, stream network and drainage texture data. Using the FHI, the study area was finally classified into seven hazard categories ranging from very low to very high in order to generate an easily readable map. The hazard seems to be severe, in particular, in some urban areas, where extensive anthropogenic interventions can be observed. This work confirms the benefits of using remote sensing data coupled with MCA approach to provide fast and cost-effective information concerning the hazard assessment, especially when reliable data are not available. © 2016, Springer Science+Business Media Dordrecht.</t>
  </si>
  <si>
    <t>2-s2.0-84981556563"</t>
  </si>
  <si>
    <t>10.1007/s11069-016-2328-7</t>
  </si>
  <si>
    <t>https://www.scopus.com/inward/record.uri?eid=2-s2.0-84979302761&amp;doi=10.1007%2fs11069-016-2328-7&amp;partnerID=40&amp;md5=8c8e2aaa6ca3a307adbb758efec4da55</t>
  </si>
  <si>
    <t>Using an ADCIRC model with 26 coastal sea walls and assuming that not all coastal sea walls are damaged during a storm surge, we simulated the county of Yuhuan’s maximum possible inundation depth and performed a hazard assessment. Additionally, we assessed the vulnerability of Yuhuan County based on land use. Then, based on these assessments, we evaluated the overall storm surge risk for Yuhuan County. The results show that Yuhuan County can be divided into three areas. The first area includes the town of Shamen, the Damaiyu sub-district, etc., and is occupied by people and typically an active area. Although the hazard grade of a part of this area is not high, its risk grade is significant, and most areas belong to the extremely high-risk grade. The second area consists of the sea walls of Jiaomen, Puzhu, Xiaopuzhu-Xitan, Taiping, etc., and includes bare lands, farmlands, shoals, small villages and storage areas. Although the hazard grade for this area is extremely high hazard or high hazard, its risk grade is moderate risk. The third area includes the remaining area in Yuhuan County, where there is no submerged area; this area includes low-lying areas but also has two layers of sea walls. In this area, the surroundings of Xuanmen Bay are only partially used for aquaculture.</t>
  </si>
  <si>
    <t>10.1007/s00382-016-3019-5</t>
  </si>
  <si>
    <t>https://www.scopus.com/inward/record.uri?eid=2-s2.0-84958824810&amp;doi=10.1007%2fs00382-016-3019-5&amp;partnerID=40&amp;md5=99f89fac1eb3e4111ed3b37974217537</t>
  </si>
  <si>
    <t>Storm surges are an important coastal hazard component and it is unknown how they will evolve along Europe’s coastline in view of climate change. In the present contribution, the hydrodynamic model Delft3D-Flow was forced by surface wind and atmospheric pressure fields from a 8-member climate model ensemble in order to evaluate dynamics in storm surge levels (SSL) along the European coastline (1) for the baseline period 1970–2000; and (2) during this century under the Representative Concentration Pathways RCP4.5 and RCP8.5. Validation simulations, spanning from 2008 to 2014 and driven by ERA-Interim atmospheric forcing, indicated good predictive skill (0.06 m &lt; RMSE &lt; 0.29 m and 10 % &lt; RMSE &lt; 29 % for 110 tidal gauge stations across Europe). Peak-over-threshold extreme value analysis was applied to estimate SSL values for different return periods, and changes of future SSL were obtained from all models to obtain the final ensemble. Values for most scenarios and return periods indicate a projected increase in SSL at several locations along the North European coastline, which is more prominent for RCP8.5 and shows an increasing tendency towards the end of the century for both RCP4.5 and RCP8.5. Projected SSL changes along the European coastal areas south of 50°N show minimal change or even a small decrease, with the exception of RCP8.5 under which a moderate increase is projected towards the end of the century. The present findings indicate that the anticipated increase in extreme total water levels due to relative sea level rise (RSLR), can be further enforced by an increase of the extreme SSL, which can exceed 30 % of the RSLR, especially for the high return periods and pathway RCP8.5. This implies that the combined effect could increase even further anticipated impacts of climate change for certain European areas and highlights the necessity for timely coastal adaptation and protection measures. The dataset is publicly available under this link: http://data.jrc.ec.europa.eu/collection/LISCOAST.</t>
  </si>
  <si>
    <t>10.1002/2016WR019102</t>
  </si>
  <si>
    <t>https://www.scopus.com/inward/record.uri?eid=2-s2.0-85003702330&amp;doi=10.1002%2f2016WR019102&amp;partnerID=40&amp;md5=a6cc861a7a98443763d09b12d7f03ede</t>
  </si>
  <si>
    <t>In this paper, we describe a new method of modeling coastal inundation arising from storm surge by coupling a widely used storm surge model (ADCIRC) and an urban flood inundation model (FloodMap). This is the first time the coupling of such models is implemented and tested using real events. The method offers a flexible and efficient procedure for applying detailed ADCIRC storm surge modeling results along the coastal boundary (with typical resolution of ∼100 m) to FloodMap for fine resolution inundation modeling (&lt;5 m). The coastal inundation during Hurricane Sandy was simulated at both the city (New York City) and subregional (lower Manhattan) scales with various resolutions. Results obtained from the ADCIRC and coupled ADCIRC-FloodMap simulations were compared with the recorded (high water marks) and derived (inundation extent based on the planar method) data from FEMA. At the city scale, coupled ADCIRC-FloodMap modeling demonstrates improved prediction over ADCIRC modeling alone for both the extent and depth of inundation. The advantage of the coupled model is further illustrated in the subregional modeling, using a mesh resolution of 3 m which is substantially finer than the inland mesh resolution used by ADCIRC (&gt;70 m). In further testing, we explored the effects of mesh resolution and roughness specification. Results agree with previous studies that fine resolution is essential for capturing intricate flow paths and connectivity in urban topography. While the specification of roughness is more challenging for urban environments, it may be empirically optimized. The successful coupling of ADCIRC and FloodMap models for fine resolution coastal inundation modeling unlocks the potential for undertaking large numbers of probabilistically based synthetic surge events for street-level risk analysis. © 2016. The Authors.</t>
  </si>
  <si>
    <t>2-s2.0-85003702330"</t>
  </si>
  <si>
    <t>International Journal of Biometeorology</t>
  </si>
  <si>
    <t>10.1007/s00484-016-1176-1</t>
  </si>
  <si>
    <t>https://www.scopus.com/inward/record.uri?eid=2-s2.0-84964426956&amp;doi=10.1007%2fs00484-016-1176-1&amp;partnerID=40&amp;md5=ba60740d4b3a0e321fe0ea1f3f208b65</t>
  </si>
  <si>
    <t>The natural occurrence of Salvadora persica L., stretching from the coastal area of the Arabian sea to northward along the Indus floodplains, was surveyed to document the pattern of its occurrence with the available meteorological record showing increasing trends of frost northwards. Information was compiled from various sources to generate the past and present temperature data in order to establish relationship between the changing temperature factors and the extent of the area available due to climate change over the years for introducing species beyond its range of natural distribution. In addition, the species was experimentally introduced in the warmed-up zones to monitor its performance and to evaluate its adaptability. The reconnaissance survey showed that the natural populations of thorn forest communities with S. persica, as associate, are now surviving only as degraded remnants. Its common occurrence is documented in zones where the mean winter temperatures are above the threshold level of frost, whereas it is rarely found in zones where it drops below this level for a single month, which seems to be its range edge. S. persica does not occur in zones where low temperature could persist for 2 months. Recent temperature data suggests that the month of December has warmed up above the threshold level</t>
  </si>
  <si>
    <t>10.1007/s10668-015-9708-0</t>
  </si>
  <si>
    <t>https://www.scopus.com/inward/record.uri?eid=2-s2.0-84941353258&amp;doi=10.1007%2fs10668-015-9708-0&amp;partnerID=40&amp;md5=e2bc40fbd4087fe228c7fafbc71d57ae</t>
  </si>
  <si>
    <t>The Krishna–Godavari coastal region in east coast of India has a 525.15-km-long coastline with low-lying tidal mudflats, beaches, mangrove swamp, creek and tidal channels. Recently, the increasing frequency of tropical cyclones in the Bay of Bengal, i.e., Phylin and Hudhud in Andhra Pradesh coast, and the devastating impact of the 2004 tsunami in India increased the significance in assessing the vulnerability of the coastal lands to inundation and flooding, notably in the context of climate change-induced sea level rise. This study aims to estimate a coastal vulnerability index (CVI) for the coastal subregion of Krishna–Godavari delta and to use the calculated index to evaluate the vulnerability of 14 coastal talukas of the Krishna–Godavari delta region. This CVI is calculated by using four geological and three physical parameters characterizing the vulnerability of the study coastal region, including regional slope, coastal elevation, geomorphology, significant wave height, mean tidal range and relative sea level using different conventional and remotely sensed data. Using a composite coastal vulnerability index based on the relative risk rating of those parameters, each of the 14 coastal talukas was classified according to their vulnerability. The CVI results depict that coasts are least and most vulnerable to inundation, flooding and erosion of coastal lands where geological parameters are more efficient to CVI. The paper alerts to decision makers and planners to mitigate the natural disaster and manage the coastal zone and is a primary step toward prioritizing coastal lands for climate change adaptation strategies in the view of increased storminess and projected sea level rise. © 2015, Springer Science+Business Media Dordrecht.</t>
  </si>
  <si>
    <t>2-s2.0-84941353258"</t>
  </si>
  <si>
    <t>10.1002/2016JC011723</t>
  </si>
  <si>
    <t>https://www.scopus.com/inward/record.uri?eid=2-s2.0-84992386157&amp;doi=10.1002%2f2016JC011723&amp;partnerID=40&amp;md5=338470a0ea579e521d76760dc3f64280</t>
  </si>
  <si>
    <t>The link between North Indian Ocean (NIO) high swell events and the meteorological conditions over the Southern Indian Ocean (SIO) is explored in this article, using a combination of in situ measurements and model simulations for the year 2005. High waves, without any sign in the local winds, sometimes cause severe flooding events along the south-west coast of India, locally known as the Kallakkadal events and cause major societal problems along the coasts. In situ observations report 10 high swell events in NIO during 2005. Our study confirms that these events are caused by the swells propagating from south of 30°S. In all cases, 3–5 days prior to the high swell events in NIO, we observed a severe low pressure system, called the Cut-Off Low (COL) in the Southern Ocean. These COLs are quasistationary in nature, providing strong (∼25 ms−1) and long duration (∼3 days) surface winds over a large fetch</t>
  </si>
  <si>
    <t>10.1016/j.catena.2016.07.048</t>
  </si>
  <si>
    <t>https://www.scopus.com/inward/record.uri?eid=2-s2.0-84984688374&amp;doi=10.1016%2fj.catena.2016.07.048&amp;partnerID=40&amp;md5=3611656b06b1f93800c3663c51446b62</t>
  </si>
  <si>
    <t>To project the future development of the soil organic carbon (SOC) storage in permafrost environments, the spatial and vertical distribution of key soil properties and their landscape controls needs to be understood. This article reports findings from the Arctic Lena River Delta where we sampled 50 soil pedons. These were classified according to the U.S.D.A. Soil Taxonomy and fall mostly into the Gelisol soil order used for permafrost-affected soils. Soil profiles have been sampled for the active layer (mean depth 58 ± 10 cm) and the upper permafrost to one meter depth. We analyze SOC stocks and key soil properties, i.e. C%, N%, C/N, bulk density, visible ice and water content. These are compared for different landscape groupings of pedons according to geomorphology, soil and land cover and for different vertical depth increments. High vertical resolution plots are used to understand soil development. These show that SOC storage can be highly variable with depth. We recommend the treatment of permafrost-affected soils according to subdivisions into: the surface organic layer, mineral subsoil in the active layer, organic enriched cryoturbated or buried horizons and the mineral subsoil in the permafrost. The major geomorphological units of a subregion of the Lena River Delta were mapped with a land form classification using a data-fusion approach of optical satellite imagery and digital elevation data to upscale SOC storage. Landscape mean SOC storage is estimated to 19.2 ± 2.0 kg C m− 2. Our results show that the geomorphological setting explains more soil variability than soil taxonomy classes or vegetation cover. The soils from the oldest, Pleistocene aged, unit of the delta store the highest amount of SOC per m2 followed by the Holocene river terrace. The Pleistocene terrace affected by thermal-degradation, the recent floodplain and bare alluvial sediments store considerably less SOC in descending order. © 2016 Elsevier B.V.</t>
  </si>
  <si>
    <t>2-s2.0-84984688374"</t>
  </si>
  <si>
    <t>10.1007/s11069-016-2483-x</t>
  </si>
  <si>
    <t>https://www.scopus.com/inward/record.uri?eid=2-s2.0-84980010331&amp;doi=10.1007%2fs11069-016-2483-x&amp;partnerID=40&amp;md5=64f4b0a0d6ed8e68e8fddbbd644e8368</t>
  </si>
  <si>
    <t>Sea level rise (SLR), as a likely outcome of climate change, threatens coastal communities through intensified storm surge, strong wind, flooding, and other extreme weather events. While social vulnerability to SLR is receiving overwhelming attention from research communities, studies on the business impacts of SLR are much less developed. In this study, an innovative framework of integrated business vulnerability is developed for environmental hazards (e.g., SLR) and is validated by a case study of Bay County, Florida. First, the model establishes a composite business vulnerability index (BVI) by incorporating business characteristics, infrastructure factors, and other indicators based on existing literature results. Second, it identifies impacted business indicators and how they will change with the projected SLR. To account for climate change uncertainty, floodplains are generated under three SLR levels (0, 0.2, and 0.9 m). Finally, this study uses a GIS-based methodology to combine physical and business vulnerabilities to investigate overall susceptibility and how this changes with SLR. Two important findings are identified. First, business vulnerability to flooding will be escalated substantially by SLR. Considerable amount of areas, businesses, and road networks would be exposed to highest flood risk zones due to SLR. Second, highest flood risk zones do not necessarily intersect with those areas of high BVI. The results can help local governments better allocate financial and manpower resources and assist hazard mitigation teams, urban planners, and city managers in steering business development away from high-risk regions due to SLR. © 2016, Springer Science+Business Media Dordrecht.</t>
  </si>
  <si>
    <t>2-s2.0-84980010331"</t>
  </si>
  <si>
    <t>10.1007/s13412-015-0264-6</t>
  </si>
  <si>
    <t>https://www.scopus.com/inward/record.uri?eid=2-s2.0-84994013650&amp;doi=10.1007%2fs13412-015-0264-6&amp;partnerID=40&amp;md5=aa8d182dcdc8ee6070ccc2d8b521ac94</t>
  </si>
  <si>
    <t>Barrier islands, such as Fire Island, NY, are complex geological-social systems, driven by mesoscale (centuries/millennia) processes. The natural resiliency of these thin, linear landforms depends mainly on their capacity to migrate landward (rollover) in response to the slow, persistent rise of sea level. This happens by overwash processes during storm surges, whereby beach and dune sand on the ocean side is eroded and transferred to the island’s interior and back-barrier shore. Also storm breaches and inlet formation enable the development of flood-tidal deltas, which likewise supply large volumes of sand to the backshore of barriers. If these processes are curtailed by shortsighted engineering solutions, barrier islands will lose their morphologic resiliency and either disintegrate or drown in place. The ideas in this paper argue for a millennial management perspective for Fire Island, based on not interfering with the process of rollover over geologically significant spans of time. To be effective, people will need to think about adapting to continual change on a system level, rather than relying on conventional, short-term engineering solutions to a local erosion problem, a management strategy that will compromise the morphologic integrity of Fire Island as sea level continues to rise for the foreseeable future. © 2015, AESS.</t>
  </si>
  <si>
    <t>2-s2.0-84994013650"</t>
  </si>
  <si>
    <t>10.1016/j.marpetgeo.2016.03.009</t>
  </si>
  <si>
    <t>https://www.scopus.com/inward/record.uri?eid=2-s2.0-84976612580&amp;doi=10.1016%2fj.marpetgeo.2016.03.009&amp;partnerID=40&amp;md5=3191b74b664dac1df6e5f1f7a0fb7810</t>
  </si>
  <si>
    <t>Bulk properties, stable carbon isotopes, whole crude Gas-Chromatography and oil mode ratios of sterane and terpanes data of analyzed samples of oil from the Cretaceous Formation reservoirs of East Baghdad oil field are from five producing wells (EB21, EB68, EB92, EB5 and EB31) from reservoirs of Zubair, Khasib, and Tanuma Formations. They are discussed with aids of characters, hopane, tricyclic terpane, isotopic δC13 saturate, aromatics, and pristine-phytane diagrams. The analized oil have indicated light and medium oil in the Zubair reservoirs and heavy oil for the Khasib and Tannuma oil, with about 15% asphalt and porpherine range of 16.7–35.1 Ni and 68–117 ppm, giant reservoirs. The oil source environment and lithology are of marine algal type II and deltaic type II/III that are non biodegraded deposited in anoxic environments of carbonate and shale. Source maturation at the time of the oil generation, aided by pristine-phytane and Tmax equivalent from MDR (Methyldibenzothiophene ratio) diagrams, are showing mature with Tmax 430–435 °C while source age assessment are taken from δC13 (%) and the calculated C28/C29 sterane ratio to be of Middle and Upper Jurassic as well as Lower Cretaceous age that could be correlated mainly with the Chia Gara and Zubair Formations as well as the Middle Jurassic Sargelu Formation source rocks for oil that are accumulated in the reservoirs of Zubair, Khasib and Tannumah Formations. Source rocks are mainly Upper Jurassic-Lower Cretaceous Chia Gara Formation with contribution from the Middle Jurassic Sargelu and Lower Cretaceous Zubair Formations. The richness of the source rocks, mostly due to shale rich in TOC, and the type of kerogen is mixed type II/III and type III. The formations have good petroleum potentiality (PP) and the OM reaches the Early of hydrocarbon generation. Oil, and gas are the most probable product, and the generated hydrocarbons can be expelled at this level of thermal maturity which is confirmed by petromod software basin modeling to suggest migration and accumulation during the Upper Cretaceous time. Hydrocarbon dynamic in East Baghdad Oil Field are performed using seismic section, logs and porosities. Model assessments of the hydrocarbon generation, migration paths and accumulation sites as well as places of enriched oil are used to assess reservoir location and suggestion for drilling sites. © 2016 Elsevier Ltd</t>
  </si>
  <si>
    <t>2-s2.0-84976612580"</t>
  </si>
  <si>
    <t>10.1007/s11069-016-2382-1</t>
  </si>
  <si>
    <t>https://www.scopus.com/inward/record.uri?eid=2-s2.0-84970943675&amp;doi=10.1007%2fs11069-016-2382-1&amp;partnerID=40&amp;md5=dc6b8264f13622b20b1407a00d14cec1</t>
  </si>
  <si>
    <t>An innovative approach in the investigation of complex landscapes for hydraulic modelling applications is the use of terrestrial laser scanner (TLS) that can lead to a high-resolution digital elevation model (DEM). Another notable factor in flood modelling is the selection of the hydrodynamic model (1D, 2D and 1D/2D), especially in complex riverine topographies, that can influence the accuracy of flood inundation area and mapping. This paper uses different types of hydraulic–hydrodynamic modelling approaches and several types of river and riparian area spatial resolution for the implementation of a sensitivity analysis for floodplain mapping and flood inundation modelling process at ungauged watersheds. Four data sets have been used for the construction of the river and riparian areas: processed and unprocessed TLS data, topographic land survey data and typical digitized contours from 1:5000-scale topographic maps. Modelling approaches combinations consist of: one-dimensional hydraulic models (HEC-RAS, MIKE 11), two-dimensional hydraulic models (MIKE 21, MIKE 21 FM) and combinations of coupled hydraulic models (MIKE 11/MIKE 21) within the MIKE FLOOD platform. Historical flood records and estimated flooded area derived from an observed extreme flash-flood event have been used in the validation process using 2 × 2 contingency tables. Flood inundation maps have been generated for each modelling approach and landscape configuration at the lower part of Xerias River reach at Volos, Greece, and compared for assessing the sensitivity of input data and model structure uncertainty. Results provided from contingency table analysis indicate the sensitivity of floodplain modelling on the DEM spatial resolution and the hydraulic modelling approach. © 2016, Springer Science+Business Media Dordrecht.</t>
  </si>
  <si>
    <t>2-s2.0-84970943675"</t>
  </si>
  <si>
    <t>10.1007/s10640-015-9927-8</t>
  </si>
  <si>
    <t>https://www.scopus.com/inward/record.uri?eid=2-s2.0-84937687470&amp;doi=10.1007%2fs10640-015-9927-8&amp;partnerID=40&amp;md5=82d24aeb574548948e6454d16fe0701c</t>
  </si>
  <si>
    <t>This paper develops a modelling framework that links GEMINI-E3, a multi-regional, multi-sectoral computable general equilibrium model with a cost-benefit analysis approach at local level using geographical information system tools to assess the physical and economic consequences of sea-level rise (SLR) in the twenty first century. A set of future scenarios is developed spanning the uncertainties related to global warming, the parameters of semi-empirical SLR estimates, and coastal developments (cropland, urban areas and population). The importance of incorporating uncertainties regarding coastal development is highlighted. The simulation results suggest that the potential development of future coastal areas is a greater source of uncertainty than the parameters of SLR itself in terms of the economic consequences of SLR. At global level, the economic impact of SLR could be significant when loss of productive land along with loss of capital and forced displacement of populations are considered. Furthermore, highly urbanised and densely populated coastal areas of South East Asia, Australia and New Zealand are likely to suffer significantly if no protective measures are taken. Hence, it is suggested that coastal areas needs to be protected to ameliorate the overall welfare cost across various regions. © 2015, Springer Science+Business Media Dordrecht.</t>
  </si>
  <si>
    <t>2-s2.0-84937687470"</t>
  </si>
  <si>
    <t>10.2112/JCOASTRES-D-15-00100.1</t>
  </si>
  <si>
    <t>https://www.scopus.com/inward/record.uri?eid=2-s2.0-84995488467&amp;doi=10.2112%2fJCOASTRES-D-15-00100.1&amp;partnerID=40&amp;md5=1629ca457cfd0bb9c44db1941b72c22e</t>
  </si>
  <si>
    <t>Kruel, S., 2016. The impacts of sea-level rise on tidal flooding in Boston, Massachusetts. In Boston, Massachusetts, chronic tidal flooding due to sea-level rise will occur in many developed parts of the city over the next several decades and beyond. This study examines the frequency and severity of tidal flooding due to increases in sea level of between 0.3 to 1.8 m (1.0 and 6.0 ft), as well as where flooding will generally occur. Local tide gauge data are compared to the National Weather Service's flood stage categories to determine how frequently they will be reached at high tide as sea level rises. GIS data are used to demonstrate where flooding is likely to occur, and U.S. Census data are used to identify assets that will be impacted. The study also depicts the relationships among the multiple datums currently used to measure water levels in Boston. Results of the analysis indicate that in the absence of any new flood barriers, the incidence of minor tidal flooding will increase to about 75 times per year within Boston Harbor with 0.3 m (1 ft) of sea-level rise. Nine-tenths of a meter (3 ft) of sea-level rise will result in about 30 occurrences of moderate flooding per year, and 1.2 m (4 ft) will bring that same frequency of major flooding incidents. Tidal flooding due to 1.8 m (6 ft) of sea-level rise will affect approximately 20% of the population and land, as well as housing, public facilities, transportation infrastructure, and hazardous waste sites. The study suggests that future conditions will require the development of nonemergency responses to flooding as well as a new approach to urban floodplain management. © 2016 Coastal Education and Research Foundation, Inc.</t>
  </si>
  <si>
    <t>2-s2.0-84995488467"</t>
  </si>
  <si>
    <t>10.1016/j.earscirev.2016.07.003</t>
  </si>
  <si>
    <t>https://www.scopus.com/inward/record.uri?eid=2-s2.0-84982217635&amp;doi=10.1016%2fj.earscirev.2016.07.003&amp;partnerID=40&amp;md5=51757f6490738e1d22abe7a2359f048a</t>
  </si>
  <si>
    <t>The kaolinite-group minerals kaolinite, dickite, nacrite, halloysite including its metaform and their associates allophane and imogolite are phyllosilicates characterized by a rather simple chemical composition of Si, Al, O, and H. These elements contribute for the most part to the built-up of the continental earth crust, which down to a depth of approx. 1.5 km, consists of 75% of sedimentary rocks. In a sense, kaolinite-group minerals accommodating these elements in their structure chemically reflect the uppermost part of the crust. It is not a surprise that kaolin is very widespread particularly in those sedimentary rocks which came into existence under near-ambient conditions and, as a further consequence, is a mirror image of those processes taking place in the topmost parts of the crust. In a tripartite subdivision (primary: magmatic/structure bound, secondary: sedimentary, tertiary: metamorphic), the following environments bearing kaolin exist: Primary environments of kaolinization: (1) Vein-type deposits, (2) (sub) volcanic and pyroclastic deposits, (3) skarn to epithermal deposits, (4) granitic rocks and their affiliated rocks (pegmatites and greisen). Secondary environments of kaolinization:(1) kaolin and soil (ferralsols, plinthosols, nitisols, podzols, vertisols, andosols), (2) layered residual kaolin deposits (mixed-type residual kaolin-bauxite deposits, exposed residual kaolin, hidden residual kaolin), (3) vein-like kaolin, (4) alluvial-fluvial environments (alluvial fans, fluvial braided streams, fluvial meandering streams),(5) prograding fluvial deltas (prograding into a playa (dry delta), prograding into a marine or lacustrine basin (wet delta)),(6) lakes and ponds (permanent and ephemeral lakes), (7) coal-bearing environments (suspended load deposits in coal swamps, underclays, composite residual and hydrothermal kaolinization in coal swamps, kaolin tonsteins), (8) marine terrigenous shoreline deposits (open - tide-dominated estuary, blind - wave-dominated estuary, sealed-off lagoon). Tertiary environments of kaolinization: (1) burial diagenesis, (2) very-low grade regional dynamo metamorphism, (3) contact metamorphism. The above tripartite subdivision of kaolin has been established so as to be in accordance with other lithologies which formed through magmatic, sedimentary, and metamorphic processes and to link the present classification scheme directly with the “Chessboard classification scheme of mineral deposits” (Dill, 2010b). While in many classification schemes of mineral deposits kaolin and its minerals were only considered as an “ore” in the category non-metallic deposits and industrial minerals, in the current review the barriers between economic geology and its neighboring disciplines like sedimentology, pedology, geomorphology, petrography and palaeoclimatology have been torn down and the kaolin looked at from different angles, as soil, rock and ore. Kaolin and kaolinitic clays are taken as the type-lithology of the near-surface continental environments. Together with bentonites, bentonitic clays and a varied spectrum of argillites they form part of a group of lithologies, encompassing besides bauxite, ferrites (ferricretes) and laterite, all of which developed close to the interface between atmosphere, pedosphere, hydrosphere, and lithosphere. To accentuate the intimate relation between the various lithologies mentioned in the previous paragraph, a classification scheme has been designed. It makes use in part of pre-existing ternary plots to take also account of these interferences with the different geoscientific disciplines such as sedimentology or pedology. In addition to that, an overview of the various field and laboratory methods to identify and quantify kaolin/kaolinite-group minerals is given. The succeeding parameters, features and settings are crucial as to the kaolinization in the magmatic, sedimentary and metamorphic environments. Geodynamic setting The sites most favorable to develop large (economic) kaolin deposits are located along the passive continental margin and in epicontinental basins. Almost all of the kaolin deposits have to be attributed to the secondary deposits. Rate of uplift and weathering Cratonic crustal sections stable over a long period of time with little vertical displacement are crustal sections favorable for kaolin formation and preservation. During slow uplift, chemical weathering operative in the peneplained hinterland and on the sedimentary bodies in the foreland helped to decompose labile constituents from the parent material and enhance the quality and increase the thickness of the kaolin. Reducing the slope angle or the paleogradient, i.e., moving from the alluvial-colluvial fan system towards deltaic and swampy environments raises the likelihood of kaolin concentration of economic grade. The drainage pattern and hydrography The fluvial drainages system most proximal to the residual kaolin and most favorable for kaolin is the braided-stream drainage system. In the meandering-river system two different types “bar sand kaolin” and the “overbank kaolin deposits” occur. Kaolin accumulation may be tracked down to the coastal marine deposits under humid climatic conditions. Rivers are accountable for a steady supply of suspended load, the tidal processes is held most effective in concentrating the fine-grained raw material and wave action in combination with the transgression and regression of strandlines act as a seal and preserve the kaolin deposit. The tidal analogues developing under arid climatic conditions, also known as coastal sabkha, are of no relevance for kaolin concentration. The most well-balanced state between concentration and preservation of kaolin is achieved in the blind estuary under a mesotidal regime. Organic matter and the redox regime The organic matter has no effect on the formation of kaolin in the primary deposits. In the secondary kaolin deposits the mediating effect increases from the residual kaolin deposits towards the coastal marine deposits. It shows “local positive anomalies” in “wet systems”. Near the basin edge and the hinterland kaolin forms in the upper oxidized vadose zone and more basinward be it lacustrine or marine it prefers the lower reduced part, also called the phreatic zone, of the hydrosphere. Organic matter in metamorphosed black shales has not only a “buffering” effect on the kinematic processes but also a preserving or stimulating effect on kaolinite to form as long as the critical temperature between low- and very-low grade stage metamorphism is not crossed. The variation in the redox conditions is well represented by the valence state of iron in its minerals, e.g., siderite vs. goethite and by the REE. Among the chemical methods, REE anomalies (cerium) can assist in constraining the redox conditions. Temperature and pressure control Only in magmatic kaolin deposits a correlation between the type of kaolinite-group minerals and the temperature is evident. The temperature of formation has been demonstrated to have an influence on the crystallinity of kaolinite and as a “rule of thumbs” the following succession can be given provided a T-controlled kaolinization can be confirmed: Allophane + imogolite ⇒ halloysite ⇒ kaolinite ⇒ dickite ⇒ nacrite. Frequently only part of the sequence is realized in nature. To distinguish hypogene from supergene kaolin, O and H isotopes have proved to be a successful tool, in that these isotopes assist to constrain the temperature of kaolinization. In the course of deep-burial diagenesis, kaolinite is not indicative of a mineralogical depth-response reaction but rather a marker for breaks or hiatuses during basin subsidence. As the intraformational solutions got spoiled by the immigration of fluids from whatever per ascensum and per descensum processes the resultant disequilibrium within the reservoir rocks has to be offset in case of a drop in pH by the formation of kaolinite-group minerals. Lithostatic pressure has been demonstrated to have no effect on kaolinization. Shearing stress is detrimental to the formation and preservation of kaolinite-group minerals. Structure bound kaolin has always been found to be post-kinematic and no shear zone has been mapped where kaolin is pre- or synkinematic. The presence of kaolinite in zones of structural disturbances or elevated stress and strain is due to infiltrations of meteoric and low-salinity waters. Chemical composition of fluids The chemical composition, as far as the content of alkaline earth, alkaline elements and the pH value are concerned, plays a significant role in the course of kaolinization. These fluids are accountable for the transformation parent rock ⇒ kaolin ⇔ bauxite/ferricretes/laterites (with the option of resilicification) and in pedological terms for the “cold kaolin” (humid mid-latitude climatic zone) and “warm kaolin” (humid tropical climatic zone). Ferralsols, plinthosols, nitisols, podzols (also present under these tropical climatic regime), andosols and vertisol are typical of the climatic zones near the equator. These fluids do not only facilitate the formation of kaolinite but also enhance the quality of kaolin by depleting the argillaceous saprolite from impurities such as Fe and Ti. As a result of pH changes the distribution of labile and intermediately stable heavy minerals negatively correlates to the clay mineral variation. In the proximal parts of the basin, where the amount of kaolin is high, the prevailing heavy minerals belong to the group of ultrastable minerals such as rutile, tourmaline, and zircon, whereas more basinward where the kaolinite contents decrease in a vadose system, apatite and labile ones become the most important heavy minerals. It provides a clear proof for an increase of the alkalinity of the basinal fluids more basinward. The opposite trend is observed in the phreatic zone as the redox-sensitive heavy minerals of the Fe-Ti system are considered. They show a positive trend along with kaolin from the basin edge to the basin center, particularly in terms of the valence state of Fe, which changes from the trivalent to the bivalent state. Parent material Kaolin can evolve on almost all lithologies. The likelihood increases with an increase in Al and Si, but even lithologies depleted in these elements such as carbonates form, in places, a good substrate to develop kaolin, provided enough time was given to the process of alteration and the climatic regime and geodynamic setting work hand in hand. The only lithology and environments which fail to bring about kaolin deposits are salt deposits and zones of extreme evaporation. The climatic and hydrological conditions are more crucial as to the formation of secondary kaolin deposits than the composition of the parent material. Kaolin is a non-metallic raw material which has taken a position covering the entire spectrum from high-place value commodities when used for ceramics (e.g. bricks, earthenware) to the high-unit-value commodities in use for the body of the finest chinaware or even pharmaceuticals. Due to its wide range of final applications, methods and geophysical techniques (PIMA) are currently enhanced to preselect high quality kaolin and get rid of ingredients detrimental to the (high) end product. Requirements of kaolin are discussed in this review as to its use for different final products. Attention has been paid to the formation of geogenic dioxin in sedimentary/secondary kaolin which is closely related to the environment. Kaolin is not only a raw material for one of the finest products, porcelain, but also a type mineral for a varied spectrum of environments of deposition characterized by a rather sharp upper limit of formation of 390 ± 10 °C at a pressure of 2000 bar. For all geoscientists dealing with processes below this physical-chemical boundary, the role of kaolin and its mineralogical constituents as marker cannot be overestimated. © 2016</t>
  </si>
  <si>
    <t>2-s2.0-84982217635"</t>
  </si>
  <si>
    <t>10.2112/JCOASTRES-D-15-00115.1</t>
  </si>
  <si>
    <t>https://www.scopus.com/inward/record.uri?eid=2-s2.0-84987762613&amp;doi=10.2112%2fJCOASTRES-D-15-00115.1&amp;partnerID=40&amp;md5=c23a8976fe1c1ea26900ac7b9ed3274f</t>
  </si>
  <si>
    <t>Salt pannes are an ecologically important but poorly understood feature of the salt marsh environments. Like all coastal marshes, salt pannes are threatened by sea-level rise; therefore, it is important to assess how they will be affected by rising seas. Because of a lack of understanding regarding salt panne formation and the possibly stochastic nature of their development, a traditional and purely deterministic modeling approach is unsuitable for assessing the impacts of sealevel rise on salt pannes. This research used a combination of deterministic and stochastic models to simulate the landcover suitability for salt pannes in the Grand Bay National Estuarine Research Reserve, Mississippi, under five sea-level rise scenarios, including a rise of 0.25, 0.5, 1.0, 1.5, and 2.0 m by 2100. The Sea-Level Affecting Marshes Model (SLAMM) simulated general land-cover at the study site. However, SLAMM does not include capabilities for specifically simulating salt panne land-cover. As such, MaxEnt used the results from SLAMM, along with other environmental variables, to specifically simulate the spatial suitability for salt panne land-cover. The results showed that the total wetland and upland areas are predicted to consistently decrease under increasing rates of sea-level rise. However, because of elevation plateaus in the study site, the area of land-cover specifically suitable for salt pannes does not follow the same pattern. The primary environmental driver of salt panne land-cover suitability is elevation, followed by topographic depressional areas. Land cover contributes very little to the model results. This novel use of a land-cover suitability model has important potential for being applied to additional studies to investigate drivers of land-cover change, identify transitional areas, and examine land-cover fitness under competition.</t>
  </si>
  <si>
    <t>10.1007/s11069-016-2444-4</t>
  </si>
  <si>
    <t>https://www.scopus.com/inward/record.uri?eid=2-s2.0-84976467610&amp;doi=10.1007%2fs11069-016-2444-4&amp;partnerID=40&amp;md5=f03bece6c5a31ccf6bb9076149cda6ca</t>
  </si>
  <si>
    <t>Sea level rise (SLR) and storm surge have significant impacts on tourism properties and activities in the low-lying coastal region. Coastal tourism in Zhejiang Province, China, is physically and socioeconomically susceptible to the flood risk posed by accelerated SLR and intensified storm surge. In this paper, within a scenario design of SLR and storm surge, a GIS-based dataset of major coastal tourist attractions in coastal Zhejiang is created to assess their potential flood risk by using a simple inundation model and a risk matrix. It is estimated that only two resorts would be directly flooded by a SLR of 1–2 m, but extensive inundation of coastal tourism communities may occur during low-frequency surges, especially after adding predicted 1-m SLR. The risk assessment further shows that a majority of the exposed sites is subject to moderate and low risk at current state but would be at higher (moderate and high)-risk categories in the future. In the long term, a combination of adaption measures is presented for policy-makers and other stakeholders for sustainable flood risk management in coastal tourism destinations. © 2016, Springer Science+Business Media Dordrecht.</t>
  </si>
  <si>
    <t>2-s2.0-84976467610"</t>
  </si>
  <si>
    <t>10.1016/j.chemgeo.2016.07.025</t>
  </si>
  <si>
    <t>https://www.scopus.com/inward/record.uri?eid=2-s2.0-84981352034&amp;doi=10.1016%2fj.chemgeo.2016.07.025&amp;partnerID=40&amp;md5=d181810815a459b3327588c06b6c10fd</t>
  </si>
  <si>
    <t>Many coastal floodplains have been artificially drained for agriculture, altering hydrological connectivity and the delivery of groundwater-derived solutes including carbon dioxide (CO2) and methane (CH4) to surface waters. Here, we investigated the drivers of CO2 and CH4 within the artificial drains of a coastal floodplain under sugarcane plantation and quantify the contribution of groundwater discharge to CO2 and CH4 dynamics over a flood event (290 mm of rainfall). High temporal resolution, in situ observations of dissolved CO2 and CH4, carbon stable isotopes of CH4 (δ13C-CH4), and the natural groundwater tracer radon (222Rn) allowed us to quantify CO2, CH4 and groundwater dynamics during the rapid recession of a flood over a five day period. Extreme super-saturation of free CO2 ([CO2*]) up to 2,951 μM (25,480% of atmospheric equilibrium) was driven by large groundwater input into the drains (maximum 87 cm day− 1), caused by a steep hydraulic head in the adjacent water table. Groundwater input sustained between 95 and 124% of the surface [CO2*] flux during the flood recession by delivering high carbonate alkalinity groundwater (DIC = 10,533 μM, ~ pH = 7.05) to acidic surface water (pH &lt; 4), consequently transforming all groundwater-derived DIC to [CO2*]. In contrast, groundwater was not a major direct driver of CH4 contributing only 14% of total CH4 fluxes. A progressive increase in CH4 concentrations of up to ~ 2400 nM day− 1 occurred as a combination of increased substrate availability delivered by post-flood drainage water and longer residence times, which allowed for a biogenic CH4 signal to develop. The progressive enrichment in δ13C-CH4 values (− 70‰ to − 48‰) and increase in CH4 concentrations (46–2460 nM) support coupled production-oxidation, with concentrations and δ13C values remaining higher (2,798 nM and -47‰) than pre-flood conditions (534 nM and -55‰) three weeks after the flood. Our findings demonstrate how separate processes can drive the aquatic CO2 and CH4 response to a flood event in a drained coastal floodplain, and the key role groundwater had in post-flood [CO2*] evasion to the atmosphere, but not CH4. © 2016 Elsevier B.V.</t>
  </si>
  <si>
    <t>2-s2.0-84981352034"</t>
  </si>
  <si>
    <t>10.1002/2016GL070259</t>
  </si>
  <si>
    <t>https://www.scopus.com/inward/record.uri?eid=2-s2.0-84987981823&amp;doi=10.1002%2f2016GL070259&amp;partnerID=40&amp;md5=e1b03da675de609fc2a16f292d6844b0</t>
  </si>
  <si>
    <t>We produced a 6 year time series of differential tidal displacement for Pine Island Ice Shelf, Antarctica, using speckle-tracking methods applied to fine-resolution TerraSAR-X data. These results reveal that the main grounding line has maintained a relatively steady position over the last 6 years, following the speedup that terminated in ~2009. In the middle of the shelf, there are grounded spots that migrate downstream over the 6 year record. Examination of high-resolution digital elevation models reveals that these grounded spots form where deep keels (thickness anomalies) advect over an approximately flow-parallel bathymetric high, maintaining intermittent contact with the bed. These data sets also reveal several subsidence and uplift events associated with subglacial lake drainages in the fast-flowing region above the grounding line. Although these drainages approximately double the rate of subglacial water flow over periods of a few weeks, they have no discernible effect on horizontal flow speed. ©2016. American Geophysical Union. All Rights Reserved.</t>
  </si>
  <si>
    <t>2-s2.0-84987981823"</t>
  </si>
  <si>
    <t>10.1134/S0001433816050054</t>
  </si>
  <si>
    <t>https://www.scopus.com/inward/record.uri?eid=2-s2.0-84991677058&amp;doi=10.1134%2fS0001433816050054&amp;partnerID=40&amp;md5=982a83a477437dd2a31e28cdbbd67854</t>
  </si>
  <si>
    <t>A wetting and drying algorithm is considered and implemented in a three-dimensional sigma–z coordinate model of ocean thermo- and hydrodynamics. The algorithm is tested in two idealized experiments simulating the run-up of a tidal wave on the coast and in a realistic experiment simulating the evolution of the Caspian Sea coastline in the 20th century. © 2016, Pleiades Publishing, Ltd.</t>
  </si>
  <si>
    <t>2-s2.0-84991677058"</t>
  </si>
  <si>
    <t>10.1007/s11069-016-2413-y</t>
  </si>
  <si>
    <t>https://www.scopus.com/inward/record.uri?eid=2-s2.0-84978151537&amp;doi=10.1007%2fs11069-016-2413-y&amp;partnerID=40&amp;md5=f4663b0f3512cc037bb1dcd01262fd95</t>
  </si>
  <si>
    <t>The significance of coastal regions to the infrastructure and the need to protect such assets are crucial to the economy of countries. Therefore, there is a real need to enhance the understanding of coastal infrastructure susceptibility as well as to develop methodologies to estimate vulnerability. A review of the literature regarding coastal vulnerability reveals that the focus has been on geomorphological and physical parameters but not infrastructure and the associated fiscal factors. In order to address this knowledge gap, an innovative model is developed, i.e., the Coastal Infrastructure Vulnerability Index (CIVI). Then the model is applied to the case of the Aberystwyth coast demonstrating how the model estimates the vulnerability of the coastal infrastructure (comprising population, commercial and residential properties). Subsequently, the CIVI scores were used to rank coastal sections into five classes, ranging from extremely low to extremely high, based on the relative magnitude of the vulnerability. The rankings for each parameter were combined, and then an index value was calculated. Results revealed that Aberystwyth contains more than £40 billion of coastal infrastructure vulnerability and more than 10,000 inhabitants are at the high coastal risk posed by flooding, erosion, storm surges, and strong winds. © 2016, The Author(s).</t>
  </si>
  <si>
    <t>2-s2.0-84978151537"</t>
  </si>
  <si>
    <t>10.1007/s11852-016-0461-9</t>
  </si>
  <si>
    <t>https://www.scopus.com/inward/record.uri?eid=2-s2.0-84990960766&amp;doi=10.1007%2fs11852-016-0461-9&amp;partnerID=40&amp;md5=bd811052f97e65e299a89aaba8c9f96a</t>
  </si>
  <si>
    <t>Coastal zone is often vulnerable to natural hazards such as cyclones, storm surges, tsunamis, erosion, accretion, and coastal flooding</t>
  </si>
  <si>
    <t>10.1038/srep35129</t>
  </si>
  <si>
    <t>https://www.scopus.com/inward/record.uri?eid=2-s2.0-84991293672&amp;doi=10.1038%2fsrep35129&amp;partnerID=40&amp;md5=262823cd193f70f9b7487363cb24448e</t>
  </si>
  <si>
    <t>The socio-ecological impacts of large scale resource extraction are frequently underreported in underdeveloped regions. The open-pit Grasberg mine in Papua, Indonesia, is one of the world's largest copper and gold extraction operations. Grasberg mine tailings are discharged into the lowland Ajkwa River deposition area (ADA) leading to forest inundation and degradation of water bodies critical to indigenous peoples. The extent of the changes and temporal linkages with mining activities are difficult to establish given restricted access to the region and persistent cloud cover. Here, we introduce remote sensing methods to ""peer through"" atmospheric contamination using a dense Landsat time series to simultaneously quantify forest loss and increases in estuarial suspended particulate matter (SPM) concentration. We identified 138 km 2 of forest loss between 1987 and 2014, an area &gt;42 times larger than the mine itself. Between 1987 and 1998, the rate of disturbance was highly correlated (Pearson's r = 0.96) with mining activity. Following mine expansion and levee construction along the ADA in the mid-1990s, we recorded significantly (p &lt; 0.05) higher SPM in the Ajkwa Estuary compared to neighboring estuaries. This research provides a means to quantify multiple modes of ecological damage from mine waste disposal or other disturbance events. © 2016 The Author(s).</t>
  </si>
  <si>
    <t>2-s2.0-84991293672"</t>
  </si>
  <si>
    <t>Eure</t>
  </si>
  <si>
    <t>10.4067/S0250-71612016000300010</t>
  </si>
  <si>
    <t>https://www.scopus.com/inward/record.uri?eid=2-s2.0-84990041184&amp;doi=10.4067%2fS0250-71612016000300010&amp;partnerID=40&amp;md5=3f6288289078cdf9a659c117b31ba8f9</t>
  </si>
  <si>
    <t>Risk analysis in urban areas is a legal requirement in Spain. The state legislation of land and various regional regulations of territorial and urban planning include an obligation to produce maps showing the risk in land use processes. In the last three decades flood risk has increased significantly in some Spanish regions due to an increase in human occupation of flood-prone areas. Cadastral data becomes a powerful tool for the assessment of exposure to flood hazards. This paper analyzes the potential of this information and its integration with the maps of National Cartographic System of Flood Zones in an area of the Mediterranean coastal region that has experienced a significant increase in its housing stock. This method of analysis is applicable to other territories for the assessment of exposure to risk and the elaboration of detail mapping. © EURE.</t>
  </si>
  <si>
    <t>2-s2.0-84990041184"</t>
  </si>
  <si>
    <t>10.1515/mgrsd-2016-0012</t>
  </si>
  <si>
    <t>https://www.scopus.com/inward/record.uri?eid=2-s2.0-84976565491&amp;doi=10.1515%2fmgrsd-2016-0012&amp;partnerID=40&amp;md5=e1cd3d30754c77aae5ed502fe680e3d1</t>
  </si>
  <si>
    <t>As new information is received, predictions of sea-level rise resulting from global warming continue to be revised upwards. Measurements indicate that the rise in sea-level is continuing at, or close to, the worst case forecasts (Kellet et al. 2014). Coastal areas are coming under increasing risk of inundation and flooding as storms are predicted to increase in frequency and severity, adding to the risk of inundation due to higher sea levels. Stakeholders, government agencies, developers and land owners require accurate, up to date information to be able to protect coastal areas. Geographic Information Systems (GIS) along with accurate remote sensing technologies such as LiDAR provides the best means for delivering this information. Using these technologies, this paper predicts the risk posed to a large multi-use development in the emirate of Ras Al Khaimah, UAE. This development, Al Hamra Village, is situated on the coast of the Arabian Gulf. Al Hamra's physical relationship to the Gulf is in common with other developments in Ras Al Khaimah in its and for this reason has been used as a pilot project. The resulting GIS model shows that Al Hamra is indeed at risk from predicted flood events. How this information can be used as a planning tool for numerous strategies is discussed in this paper. © 2016 University of Warsaw - Faculty of Geography and Regional Studies.</t>
  </si>
  <si>
    <t>2-s2.0-84976565491"</t>
  </si>
  <si>
    <t>10.2112/JCOASTRES-D-14-00217.1</t>
  </si>
  <si>
    <t>https://www.scopus.com/inward/record.uri?eid=2-s2.0-84979654239&amp;doi=10.2112%2fJCOASTRES-D-14-00217.1&amp;partnerID=40&amp;md5=56460aaa97d1d317d7182297e80b6f1e</t>
  </si>
  <si>
    <t>Vulnerability is defined as the system's potential to be damaged by a certain climate change (CC) hazard, and ideally, it has to be assessed by accounting for the different factors controlling the coastal response both in negative (susceptibility) and positive (resilience) terms to changing climatic and/or geomorphic conditions. The lack of an easy-to-use assessment method that requires only readily available data has severely hampered efforts to assess national-scale coastal vulnerability to the potential impacts of CC and population growth in the coastal zone, particularly when project budgets are limited. This study presents a modified version of the Coastal Vulnerability Index (CVI) approach. The main modifications are (1) the introduction of a more physically meaningful representation of the wave effect where storm erosion will only occur when the wave height exceeds a certain threshold value, and (2) an aggregated coastal-vulnerability classification method that comprises exactly the same number of vulnerability classes as that of the individual components of the CVI. As a demonstration, the method is applied to the 4996-km-long peninsular coastline of Spain. Under the worst-case scenario considered (sea-level rise [SLR] of 1 m by 2100), 50% of the Spanish coastline is classified as highly or very highly vulnerable. Given that tourism contributes 10% of the Spanish gross domestic product (GDP), it is noteworthy that high/very high vulnerability (both under low and high emissions scenarios) is indicated for very popular touristic areas along the Mediterranean Coast. These outcomes are likely to enable coastal managers/planners to identify high priority areas for further, more-detailed coastal vulnerability/hazard/risk quantification studies.</t>
  </si>
  <si>
    <t>2-s2.0-84979654239"</t>
  </si>
  <si>
    <t>10.1016/j.jhydrol.2016.06.054</t>
  </si>
  <si>
    <t>https://www.scopus.com/inward/record.uri?eid=2-s2.0-84976863932&amp;doi=10.1016%2fj.jhydrol.2016.06.054&amp;partnerID=40&amp;md5=ee952822a2fd42a245fa0e3f2102175c</t>
  </si>
  <si>
    <t>Glacial lakes, as an important component of the cryosphere in the southeastern Tibetan Plateau (SETP) in response to climate change, pose significant threats to the downstream lives and properties of people, engineering construction, and ecological environment via outburst floods, yet we currently have limited knowledge of their distribution, evolution, and the driving mechanism of rapid expansions due to the low accessibility and harsh natural conditions. By integrating optical imagery, satellite altimetry and digital elevation model (DEM), this study presents a regional-scale investigation of glacial lake dynamics across two river basins of the SETP during 1988–2013 and further explores the glacial-hydrogeomorphic process of rapidly expanding lakes. In total 1278 and 1396 glacial lakes were inventoried in 1988 and 2013, respectively. Approximately 92.4% of the lakes in 2013 are not in contact with modern glaciers, and the remaining 7.6% includes 27 (1.9%) debris-contact lakes (in contact with debris-covered ice) and 80 (5.7%) cirque lakes. In categorizing lake variations, we found that debris-contact proglacial lakes experienced much more rapid expansions (∼75%) than cirque lakes (∼7%) and non-glacier-contact lakes (∼3%). To explore the cause of rapid expansion for these debris-contact lakes, we further investigated the mass balance of parent glaciers and elevation changes in lake surfaces and debris-covered glacier tongues using time-series Landsat images, ICESat altimetry, and DEM. Results reveal that the upstream expansion of debris-contact proglacial lakes was not directly associated with rising water levels but with a geomorphological alternation of upstream lake basins caused by melting-induced debris subsidence at glacier termini. This suggests that the hydrogeomorphic process of glacier thinning and retreat, in comparison with direct glacial meltwater alone, may have played a dominant role in the recent glacial lake expansion observed across the SETP. Our findings assist in understanding the expansion mechanism of debris-contact proglacial lakes, which facilitates early recognition of potential glacial lake hazards in this region. © 2016 Elsevier B.V.</t>
  </si>
  <si>
    <t>2-s2.0-84976863932"</t>
  </si>
  <si>
    <t>10.1007/s10708-015-9641-7</t>
  </si>
  <si>
    <t>https://www.scopus.com/inward/record.uri?eid=2-s2.0-84928750992&amp;doi=10.1007%2fs10708-015-9641-7&amp;partnerID=40&amp;md5=2b18ea04c7d8652110fd4cdd42559727</t>
  </si>
  <si>
    <t>Although there have been a lot of studies on climate change adaptation, the cultural dimension has generally been left out of the debate. This study uses household surveys and focus group discussion to methodically assess cultural dimensions (using Hofstede) of communities, and how these dimensions influence preference for adaptation options to floods in a coastal settlement (James Town) and a savannah community (Dungu) in Ghana. The results show that first, inequalities in rank and traditional hierarchical governance structures in Dungu are relatively lower than in James Town, second, that there is considerable gender bias in favour of males in Dungu, third, there is high level of avoidance of unstructured and unpredictable situations in both communities, fourth, members in both communities are at present very willing to sacrifice their time and resources in order to achieve a better life in the future, and fifth, community members in Dungu perceive themselves as a single unit, and will do their best to come to the aid of members who need help during environmental disasters. The analysis further shows that cultural dimensions in the two communities generally influence the choice of adaptation options to floods. It has been recommended that specific local research such as this one which provides opportunities to analyse the cultural dimensions of adaptation within communities should be encouraged. This is because an understanding of the local cultural context has the potential to assist with the design of effective adaptation options in communities. © 2015, Springer Science+Business Media Dordrecht.</t>
  </si>
  <si>
    <t>2-s2.0-84928750992"</t>
  </si>
  <si>
    <t>10.1007/s11625-016-0379-z</t>
  </si>
  <si>
    <t>https://www.scopus.com/inward/record.uri?eid=2-s2.0-84975833340&amp;doi=10.1007%2fs11625-016-0379-z&amp;partnerID=40&amp;md5=603772098277d3a9e729c53994b3da7e</t>
  </si>
  <si>
    <t>The Ganges–Brahmaputra delta enables Bangladesh to sustain a dense population, but it also exposes people to natural hazards. This article presents findings from the Gibika project, which researches livelihood resilience in seven study sites across Bangladesh. This study aims to understand how people in the study sites build resilience against environmental stresses, such as cyclones, floods, riverbank erosion, and drought, and in what ways their strategies sometimes fail. The article applies a new methodology for studying people’s decision making in risk-prone environments: the personal Livelihood History interviews (N = 28). The findings show how environmental stress, shocks, and disturbances affect people’s livelihood resilience and why adaptation measures can be unsuccessful. Floods, riverbank erosion, and droughts cause damage to agricultural lands, crops, houses, and properties. People manage to adapt by modifying their agricultural practices, switching to alternative livelihoods, or using migration as an adaptive strategy. In the coastal study sites, cyclones are a severe hazard. The study reveals that when a cyclone approaches, people sometimes choose not to evacuate: they put their lives at risk to protect their livelihoods and properties. Future policy and adaptation planning must use lessons learned from people currently facing environmental stress and shocks. © 2016, The Author(s).</t>
  </si>
  <si>
    <t>2-s2.0-84975833340"</t>
  </si>
  <si>
    <t>10.1038/nclimate2991</t>
  </si>
  <si>
    <t>https://www.scopus.com/inward/record.uri?eid=2-s2.0-84975797281&amp;doi=10.1038%2fnclimate2991&amp;partnerID=40&amp;md5=aa3c907f627734faa8ff855af58c010f</t>
  </si>
  <si>
    <t>Sea-level change is an important consequence of anthropogenic climate change, as higher sea levels increase the frequency of sea-level extremes and the impact of coastal flooding and erosion on the coastal environment, infrastructure and coastal communities. Although individual attribution studies have been done for ocean thermal expansion and glacier mass loss, two of the largest contributors to twentieth-century sea-level rise, this has not been done for the other contributors or total global mean sea-level change (GMSLC). Here, we evaluate the influence of greenhouse gases (GHGs), anthropogenic aerosols, natural radiative forcings and internal climate variability on sea-level contributions of ocean thermal expansion, glaciers, ice-sheet surface mass balance and total GMSLC. For each contribution, dedicated models are forced with results from the Coupled Model Intercomparison Project Phase 5 (CMIP5) climate model archive. The sum of all included contributions explains 74 ± 22% (±2σ) of the observed GMSLC over the period 1900-2005. The natural radiative forcing makes essentially zero contribution over the twentieth century (2 ± 15% over the period 1900-2005), but combined with the response to past climatic variations explains 67 ± 23% of the observed rise before 1950 and only 9 ± 18% after 1970 (38 ± 12% over the period 1900-2005). In contrast, the anthropogenic forcing (primarily a balance between a positive sea-level contribution from GHGs and a partially offsetting component from anthropogenic aerosols) explains only 15 ± 55% of the observations before 1950, but increases to become the dominant contribution to sea-level rise after 1970 (69 ± 31%), reaching 72 ± 39% in 2000 (37 ± 38% over the period 1900-2005). © 2016 Macmillan Publishers Limited. All rights reserved.</t>
  </si>
  <si>
    <t>2-s2.0-84975797281"</t>
  </si>
  <si>
    <t>10.1007/s11069-016-2388-8</t>
  </si>
  <si>
    <t>https://www.scopus.com/inward/record.uri?eid=2-s2.0-84980347814&amp;doi=10.1007%2fs11069-016-2388-8&amp;partnerID=40&amp;md5=fc114f0d3394f7f3d123201bcfcb15ed</t>
  </si>
  <si>
    <t xml:space="preserve">Deltas are the promising places with multifarious ecosystems and arable soils along with the ease of water transportation system; hence, a number of important cities are established in or near coastal delta regions. However, due to the geomorphic characteristics, those cities are extremely exposed to hydro-meteorological hazards, especially to riverine and coastal flood. Additionally, climate change, rapid urbanization and subsidence are exacerbating the existing situation and causing monumental loss. Researchers as well as various international organizations like United Nations Inter-Agency Secretariat of the International Strategy for Disaster Reduction have recognized the implications of formulating disaster risk reduction (DRR) plans for coastal delta cities. This demands for the excogitation of adaptation policies and measures in addition to the mitigation efforts to reduce flood risks. In this regard, to support the comprehensive concept development, this study elicits different components of flood risk reduction policies and measures, congenial for coastal delta cities in respect of physical and environmental perspectives. Eleven precedent (model) cities are selected to study their various initiatives for reducing coastal flood risks. Findings show that protecting cities from flooding and reducing exposure to floods are two different but interrelated approaches of DRR. Combinations of structural and non-structural measures are the prerequisites to achieve the goal of effective DRR.
</t>
  </si>
  <si>
    <t>10.1080/03736245.2016.1208581</t>
  </si>
  <si>
    <t>https://www.scopus.com/inward/record.uri?eid=2-s2.0-84978699292&amp;doi=10.1080%2f03736245.2016.1208581&amp;partnerID=40&amp;md5=96a96e34bae30018da788882843063e2</t>
  </si>
  <si>
    <t>Geomorphology plays a pivotal role in linking the traditional subdisciplines of physical geography. This is because geomorphological processes are influenced by climate, and geomorphology in turn strongly controls land surface hydrology and ecosystems. This review assesses the current status of geomorphology in South Africa. Six subfields are identified, viz. fluvial geomorphology, glacial and periglacial geomorphology, rock weathering, arid and semi-arid geomorphology, coastal and estuarine geomorphology, and applied geomorphology. The status of each is critically assessed. Studies in the different subfields reveal progress not only at the site-scale, but that such studies are also commonly set within a wider regional to global context. Regional research is well connected to contemporary global debates. Two of these debates are of particular significance. Firstly, cosmogenic dating techniques can be used to evaluate the age of land surfaces. Geomorphological research in South Africa has begun to utilize this technique to this end. Secondly, geomorphological knowledge can be practically applied. This includes fluvial geomorphology (managing the dynamics of river and wetland systems), rock weathering (preservation of San art and monuments), and coastal and estuarine geomorphology (understanding coastal responses to global sea-level rise) as well as broader environmental management issues. Geomorphology and geomorphological processes are critically important to issues impacting on South Africa in the twenty-first century. These include climate and environmental change, food and water security, and sustainable abiotic resource conservation and management. South African geomorphologists and their international collaborators can, and should, be at the heart of many of these contemporary debates. © 2016 Society of South African Geographers.</t>
  </si>
  <si>
    <t>2-s2.0-84978699292"</t>
  </si>
  <si>
    <t>10.1190/INT-2016-0112.1</t>
  </si>
  <si>
    <t>https://www.scopus.com/inward/record.uri?eid=2-s2.0-85010951419&amp;doi=10.1190%2fINT-2016-0112.1&amp;partnerID=40&amp;md5=f2c226f4f9b85804593f379919b8a233</t>
  </si>
  <si>
    <t>Understanding the linkages between grain mineralogy and diagenetic and sedimentary processes enhances the reliability of petrophysical models to predict reservoir deliverability from permeability. Petrographic data within well-defined depositional facies reveal the diagenetic evolution of porosity-permeability relationships. Formation evaluation methods relying solely on petrophysical rock typing are seriously limited when predicting ultimate reservoir performance in complex pore structures. The Almond Formation, Wyoming, is characterized by three depositional facies associations - shoreface, deltaic (bay head and flood tide), and fluvial-coastal plain - which present three distinctive porosity-permeability trends. Textural features resulting from depositional processes, such as grain size and sorting, vary little between facies associations, yet permeability can vary by up to four orders of magnitude for the same porosity value. Differences between petrophysical facies are primarily driven by diagenetic (cementation and grain dissolution) effects on different framework grain compositions (petrographic facies). Therefore, the main difference between the facies associations is diagenetic, due to provenance and transport mechanisms. The characterization of depositional and diagenetic controls on pore geometry allows the narrowing of uncertainty in absolute permeability prediction. We have quantified the relationship between depositional facies, with their specific mineral composition and diagenetic overprint, and the steepness functions in porosity-permeability space. This analysis allowed us to effectively reduce the uncertainty in the prediction of initial gas production from wireline logs. © 2017 Society of Exploration Geophysicists and American Association of Petroleum Geologists.</t>
  </si>
  <si>
    <t>2-s2.0-85010951419"</t>
  </si>
  <si>
    <t>10.1142/S201000781650007X</t>
  </si>
  <si>
    <t>https://www.scopus.com/inward/record.uri?eid=2-s2.0-85027005193&amp;doi=10.1142%2fS201000781650007X&amp;partnerID=40&amp;md5=e54156248fc62249ff3de7bf0c64488f</t>
  </si>
  <si>
    <t>This paper quantifies the impacts of inundation risk and soil salinization on the family structure and income of coastal households in Bangladesh. The analysis is based on a household decision model that relates spatial deployment of working-age, migration-capable members to inundation and salinization threats. The empirical analysis uses appropriate estimation techniques, including adjustments for spatial autocorrelation. The findings are consistent with a model that treats urban migration of working-age family members as both an income source and the only feasible form of disaster insurance for coastal households. Greater inundation risk unambiguously decreases the rural household share of working-age members, while the direction of the salinity effect depends on households' income elasticity of demand for disaster insurance. The econometric results suggest that this elasticity is significantly greater than one, yielding higher rural household shares of working-age members in areas with higher salinity (ceteris paribus). Both increased inundation risk and greater salinity increase the incidence of extreme poverty among coastal households. However, powerful poverty reduction results for market access indicate that road improvements would provide an important countervailing force. The benefits of increased market access for coastal households are present with or without inundation and salinization threats, making such investments an attractive no-regret option. © 2016 World Scientific Publishing Company.</t>
  </si>
  <si>
    <t>2-s2.0-85027005193"</t>
  </si>
  <si>
    <t>10.30638/eemj.2016.148</t>
  </si>
  <si>
    <t>https://www.scopus.com/inward/record.uri?eid=2-s2.0-85045207882&amp;doi=10.30638%2feemj.2016.148&amp;partnerID=40&amp;md5=51389066c6f6337f7927dd7ecd51e633</t>
  </si>
  <si>
    <t>Urbanization and industrialization have led to the increase in impervious surfaces, the reduction of water seepage into soil and the increase of runoff discharges in urban areas. The overland flow may be carried over long distances along the streets and sidewalks depending on the land slope and morphology, while in lowland, water tends to accumulate in ponds. In this research, we aim to identify these ponds in the floodplain, slope and urbanized interfluves in Cluj-Napoca. The ponds outline the locations that are most prone to urban floods. The preferential flowpathways were identified based on the flow direction and flow accumulation determined using the D8 method, while the ponds were automatically extracted using an algorithm developed based on the Contour Polygon Screening method. Based on four digital elevation models (DEM) of different resolutions (DEM 5 m, DEM 20 m, ASTER DEM 30 m and STRTM 90 m) and one Digital Surface Model (DSM) incorporating urban buildings, we highlighted the effect of the spatial resolution and buildings on the water flow delineation in urban areas. Our results revealed an increase in the number of flow pathways and ponds with the increase in DEM resolution and a more realistic outline of flow pathways and ponds delineated based on the DSM. In the urbanized floodplain, the ponds have distinctive features, while on the urbanized slope and interfluves these are temporary. The identification of ponds in a varied and urbanized relief provides useful information to support local authorities in the overland flow management and flash flooding in urban areas. © 2016, Gheorghe Asachi Technical University of Iasi, Romania. All rights reserved.</t>
  </si>
  <si>
    <t>2-s2.0-85045207882"</t>
  </si>
  <si>
    <t>10.1007/s11069-016-2347-4</t>
  </si>
  <si>
    <t>https://www.scopus.com/inward/record.uri?eid=2-s2.0-84966373422&amp;doi=10.1007%2fs11069-016-2347-4&amp;partnerID=40&amp;md5=7fc0fe5573946ed277426be7a0617d2d</t>
  </si>
  <si>
    <t>Maritime disruptions can have severe negative implications including affecting business operations, regional and national economies and causing damage to vessels. This study analysed maritime disruptions in UK ports, coastal areas and surrounding seas from 1950 to 2014, systematically assessing their scale, duration, extent and consequences. Disruptions are a single or sequence of hazardous events that negatively affect ‘business as usual’ conditions, ranging from minor to major disruption and even loss of life. To express this range, a severity scale was developed and applied. A database of maritime disruptions and their severities was constructed using data archaeology, identifying 88 events, primarily caused by wind storms (36 %), human error (23 %), mechanical faults (14 %) and storm surges (12 %). All events other than human error or mechanical faults occurred between October and March (typically associated with autumn/winter storms and depressions), with 65 % recorded between November and January. Maritime disruptions from weather events tended to have regional/national impacts, whereas human error or mechanical faults were usually locally severe. Since 2000, ports demonstrated more frequent disruption to wind storms due to mechanization, increased delay and closure reporting, and refined health and safety regulations. Most frequently affected were the sea areas Fair Isle and Dover, and the Felixstowe and Dover ports. Through time, primary impacts shifted from extensive flooding and structural damage to financial impacts and disruption, associated with adaptation including implementation/upgrading of coastal defences, storm warning systems and legislation. Port and governmental bodies responded adaptively (e.g. Thames Barrier construction and development of automatic tracking systems). The UK’s maritime disruption vulnerability has altered significantly since 1950 and continues to evolve. © 2016, Springer Science+Business Media Dordrecht.</t>
  </si>
  <si>
    <t>2-s2.0-84966373422"</t>
  </si>
  <si>
    <t>10.1016/j.ecolecon.2016.06.014</t>
  </si>
  <si>
    <t>https://www.scopus.com/inward/record.uri?eid=2-s2.0-84976408167&amp;doi=10.1016%2fj.ecolecon.2016.06.014&amp;partnerID=40&amp;md5=11e9770727417de054104f2f3902f0e6</t>
  </si>
  <si>
    <t>Recently socio-hydrology models have been proposed to analyze the interplay of community risk-coping culture, flooding damage and economic growth. These models descriptively explain the feedbacks between socio-economic development and natural disasters such as floods. Complementary to these descriptive models, we develop a dynamic optimization model, where the inter-temporal decision of an economic agent interacts with the hydrological system. We assume a standard macro-economic growth model where agents derive utility from consumption and output depends on physical capital that can be accumulated through investment. To this framework we add the occurrence of flooding events which will destroy part of the capital. We identify two specific periodic long term solutions and denote them rich and poor economies. Whereas rich economies can afford to invest in flood defense and therefore avoid flood damage and develop high living standards, poor economies prefer consumption instead of investing in flood defense capital and end up facing flood damages every time the water level rises like e.g. the Mekong delta. Nevertheless, they manage to sustain at least a low level of physical capital. We identify optimal investment strategies and compare simulations with more frequent, more intense and stochastic high water level events. © 2016 The Authors</t>
  </si>
  <si>
    <t>2-s2.0-84976408167"</t>
  </si>
  <si>
    <t>10.1002/geo2.28</t>
  </si>
  <si>
    <t>https://www.scopus.com/inward/record.uri?eid=2-s2.0-85031919187&amp;doi=10.1002%2fgeo2.28&amp;partnerID=40&amp;md5=40529a35a485d2a27d2a296786cff618</t>
  </si>
  <si>
    <t>Sustainable climate change adaptation requires an understanding of people's place attachments, so that potential impacts and trade-offs are illuminated when making adaptation decisions. Methods are needed that elucidate these important, but often intangible, place attachments at risk. A study was undertaken to explore place attachment, and how these person–place bonds might be impacted by flooding and sea-level rise. It engaged with a small town in coastal Australia that is already highly vulnerable to flooding, and which has been subject to numerous policy directives intended to reduce climate change-induced flood risk. The town therefore acts as an analogue for climate change adaptation in other semi-rural coastal communities. Photo-elicitation was found to be highly effective at elucidating multifarious dimensions of residents' place attachment. The attachments that were likely to be affected by flooding (and adapting to flood risk) were encapsulated in: the personal and communal identities associated with the tourism and fishing industries, the sense of belonging from living and re-living family connections to local places, and the sense of community and enjoyment derived from diverse recreational activities. The photo-elicitation process provided different outcomes to conventional interviews, focus groups and questionnaires. Participants sought to both vision (by elucidating their current experiences) and re-envision (in advocating for different futures) their everyday experiences of adapting to flooding through their photographs and accompanying narratives. A video introduction to this paper is available at: https://vimeo.com/83484905. © 2016 The Authors. Geo: Geography and Environment published by John Wiley &amp; Sons Ltd and the Royal Geographical Society (with the Institute of British Geographers)</t>
  </si>
  <si>
    <t>2-s2.0-85031919187"</t>
  </si>
  <si>
    <t>10.1016/j.jafrearsci.2016.04.014</t>
  </si>
  <si>
    <t>https://www.scopus.com/inward/record.uri?eid=2-s2.0-84964920974&amp;doi=10.1016%2fj.jafrearsci.2016.04.014&amp;partnerID=40&amp;md5=783af464c2c273403a876d5861349178</t>
  </si>
  <si>
    <t>Throw distribution analysis of the key stratigraphic surfaces (sequence boundaries and maximum flooding surfaces) across faults has allowed detailed investigation of the tectonic history within the Ewan and Oloye fields, northwestern Niger delta. The structure in the studied area is dominated by growth fault systems which are listric in cross section and concave to the basin in plan-view. Generally, the faults are active down to 2000 m depth before they die out or sole into the underlying shale. The hanging-wall blocks of growth faults are deformed into broad rollover anticlines, with some synthetic and antithetic faults initiated from the anticline crests, and fault splays off major faults, further complicating these structures. Stratigraphic key surfaces within the syn-faulting succession range in age from 16.7 to 10.35 Ma. Periods of maximum and minimum throw are established from 2-Dimensional throw distribution on the growth fault plane. Throw distribution allows analysis of growth fault nucleation, propagation and linkage. Each fault nucleated at different and a distinct interval within the stratigraphic section, as a result of the paleo-stress distribution between the interacting faults. Nucleation and linkage positions can be identified at points of maximum and minimum throw respectively. Following nucleation, faults propagated radially and linked to form the present geometry. Within the study area, fault propagation and segment linkage (lateral and vertical) are important features of the fault system. Understanding of growth fault evolution and linkage has greatly improved prediction of seal potential, trap geometry and migration. The accurate timing of the segment linkage has helped to evaluate the seal risk. © 2016 Elsevier Ltd.</t>
  </si>
  <si>
    <t>2-s2.0-84964920974"</t>
  </si>
  <si>
    <t>10.1007/s11069-016-2285-1</t>
  </si>
  <si>
    <t>https://www.scopus.com/inward/record.uri?eid=2-s2.0-84960391646&amp;doi=10.1007%2fs11069-016-2285-1&amp;partnerID=40&amp;md5=bafaf78137f70eba2e6c3e1a0081681f</t>
  </si>
  <si>
    <t>The Great East Japan Earthquake of 11 March 2011 unleashed a powerful tsunami that struck the coastal region and left death and extensive destruction in its wake. This event prompted many investigations to assess the damage and the extent to which the tsunami affected areas along and adjacent to the coast. In this paper, we use aerial photography and a digital elevation model to assess the inundation extent and run-up height of the tsunami along the coast of Iwate prefecture. First, the size of the area affected by the tsunami was calculated by using the observed borderline trace of its farthest reach inland. Then, elevations above sea level were determined for various points along the trace. This required a variety of approaches because of the variation in the topography and gradient of the slope along the coastline from flat to very steep. The results of our investigation showed that aerial photography can be used successfully to obtain a broad approximate assessment of the reach of a tsunami and associated damage, thereby avoiding the need for immediate on-site inspections. Furthermore, our results suggested that the tsunami run-up height in 2011 could have reached more than 40 m at places scattered along the Iwate coast. © 2016, Springer Science+Business Media Dordrecht.</t>
  </si>
  <si>
    <t>2-s2.0-84960391646"</t>
  </si>
  <si>
    <t>10.1007/s11069-016-2369-y</t>
  </si>
  <si>
    <t>https://www.scopus.com/inward/record.uri?eid=2-s2.0-84971009568&amp;doi=10.1007%2fs11069-016-2369-y&amp;partnerID=40&amp;md5=c5b39a468779165310fc1c70ff3f2150</t>
  </si>
  <si>
    <t>Flooding hazards caused by heavy rainfall in Shanghai have been reported extensively in the last 15 years. Geologically, Shanghai is sensitive to flooding hazards due to low-lying ground caused by land subsidence. Climatically, Shanghai is in the East Asia monsoon area and frequently experiences torrential rains. In this study, data from fifty-four pluvial flooding events between 2001 and 2015 were collected and analysed. The influence factors contributing to pluvial flooding are evaluated, and recommendations for protective measures are presented. The pluvial flooding prevention capacity in Shanghai is controlled by rain water storage and discharge capacity, which is associated with the sewer network, pumping stations and its sluice and pumping gates. Within the last three decades, the number of local torrential rainfall events and short-duration torrential rains has increased annually. However, the rain water storage capacity has decreased dramatically and the rain water discharge capacity has become limited during this period. In an extreme case, the discharge function of the sewer network was even temporarily lost because of flooding of the distributaries of the Huangpu River. Thus, in order to prevent flooding hazards caused by heavy rain, it is suggested that a large sluice and pumping station between the Huangpu River and the Yangtze River estuary is constructed in the near future, considering the continuous subsidence of the city and the ongoing rising sea levels. © 2016, Springer Science+Business Media Dordrecht.</t>
  </si>
  <si>
    <t>2-s2.0-84971009568"</t>
  </si>
  <si>
    <t>10.3319/TAO.2016.01.29.02(ISRS)</t>
  </si>
  <si>
    <t>https://www.scopus.com/inward/record.uri?eid=2-s2.0-84988601062&amp;doi=10.3319%2fTAO.2016.01.29.02%28ISRS%29&amp;partnerID=40&amp;md5=7753ff13fc7f48288803caeb38fb7b44</t>
  </si>
  <si>
    <t>Precise leveling, global positioning system (GPS), and interferometric synthetic aperture radar (InSAR) have had marked influences on the geodesy field. Many studies have applied these techniques to land subsidence monitoring and predictions. Land subsidence in the Choushui River Fluvial Plain (CRFP) in western central Taiwan is severe, primarily because of excessive groundwater pumping. Exploiting various observational techniques this study employed a geostatistical cokriging algorithm to integrate multiple types of observations for mapping land subsidence in the CRFP between 1993 and 2008 to effectively reduce the regional effects and interpolation biases in InSAR observations. Precise leveling data and persistent scatterer InSAR results were first assessed through variogram analysis, the results of which revealed similar directional variograms and no nugget effect for the experimental variograms. All observed sill values decreased with increasing temporal intervals and the ranges of the same type of observations tended to be stable for time intervals of different lengths. The accuracy of a cokriged land subsidence map was verified using continuous GPS data at the same cell locations and was significantly improved compared to when the precise leveling data were used. The cokriging interpolations of land subsidence in the CRFP indicated that the severe subsidence areas had moved from the coastal area to the central CRFP. An obvious critical subsidence migration point for the southern CRFP occurred in 1998. Overall subsidence rate trends increased in the early periods (1993 - 1998 and 1998 - 2003) and decreased in the most recent period (2005 - 2008).</t>
  </si>
  <si>
    <t>2-s2.0-84988601062"</t>
  </si>
  <si>
    <t>10.1007/s10584-016-1675-4</t>
  </si>
  <si>
    <t>https://www.scopus.com/inward/record.uri?eid=2-s2.0-84964200006&amp;doi=10.1007%2fs10584-016-1675-4&amp;partnerID=40&amp;md5=c6ec0c7ff4554f8d772fc5bb840e2f80</t>
  </si>
  <si>
    <t>Coastal sector impacts from sea level rise (SLR) are a key component of the projected economic damages of climate change, a major input to decision-making and design of climate policy. Moreover, the ultimate global costs to coastal resources will depend strongly on adaptation, society’s response to cope with the local impacts. This paper presents a new open-source optimization model to assess global coastal impacts from SLR from the perspective of economic efficiency. The Coastal Impact and Adaptation Model (CIAM) determines the optimal strategy for adaptation at the local level, evaluating over 12,000 coastal segments, as described in the DIVA database (Vafeidis et al. 2006), based on their socioeconomic characteristics and the potential impacts of relative sea level rise and uncertain sea level extremes. A deterministic application of CIAM demonstrates the model’s ability to assess local impacts and direct costs, choose the least-cost adaptation, and estimate global net damages for several climate scenarios that account for both global and local components of SLR (Kopp et al. 2014). CIAM finds that there is large potential for coastal adaptation to reduce the expected impacts of SLR compared to the alternative of no adaptation, lowering global net present costs through 2100 by a factor of seven to less than $1.7 trillion, although this does not include initial transition costs to overcome an under-adapted current state. In addition to producing aggregate estimates, CIAM results can also be interpreted at the local level, where retreat (e.g., relocate inland) is often a more cost-effective adaptation strategy than protect (e.g., construct physical defenses). © 2016, Springer Science+Business Media Dordrecht.</t>
  </si>
  <si>
    <t>2-s2.0-84964200006"</t>
  </si>
  <si>
    <t>10.1007/s11625-016-0372-6</t>
  </si>
  <si>
    <t>https://www.scopus.com/inward/record.uri?eid=2-s2.0-84971672862&amp;doi=10.1007%2fs11625-016-0372-6&amp;partnerID=40&amp;md5=51472585300a4e0f6d7173617ddb3e42</t>
  </si>
  <si>
    <t>Tropical delta regions are at risk of multiple threats including relative sea level rise and human alterations, making them more and more vulnerable to extreme floods, storms, surges, salinity intrusion, and other hazards which could also increase in magnitude and frequency with a changing climate. Given the environmental vulnerability of tropical deltas, understanding the interlinkages between population dynamics and environmental change in these regions is crucial for ensuring efficient policy planning and progress toward social and ecological sustainability. Here, we provide an overview of population trends and dynamics in the Ganges–Brahmaputra, Mekong and Amazon deltas. Using multiple data sources, including census data and Demographic and Health Surveys, a discussion regarding the components of population change is undertaken in the context of environmental factors affecting the demographic landscape of the three delta regions. We find that the demographic trends in all cases are broadly reflective of national trends, although important differences exist within and across the study areas. Moreover, all three delta regions have been experiencing shifts in population structures resulting in aging populations, the latter being most rapid in the Mekong delta. The environmental impacts on the different components of population change are important, and more extensive research is required to effectively quantify the underlying relationships. The paper concludes by discussing selected policy implications in the context of sustainable development of delta regions and beyond. © 2016, The Author(s).</t>
  </si>
  <si>
    <t>2-s2.0-84971672862"</t>
  </si>
  <si>
    <t>10.1007/s11069-016-2216-1</t>
  </si>
  <si>
    <t>https://www.scopus.com/inward/record.uri?eid=2-s2.0-84958256016&amp;doi=10.1007%2fs11069-016-2216-1&amp;partnerID=40&amp;md5=733bc9c2daeac6fe2de84bc351d6b9d0</t>
  </si>
  <si>
    <t>The tsunami caused by the magnitude 9.1 Andaman–Sumatra earthquake in 2004 brought into limelight the vulnerability of Indian coast against the flooding hazard due to this natural phenomenon. The paper brings out the work carried out in relation to assessment of tsunami hazard along the Indian coast following a deterministic approach based on the method suggested by Japan Society of Civil Engineers. The tsunamigenic source zones around Indian coast are identified, and maximum tsunamigenic earthquake magnitude from each source zone, viz. Burma–Andaman–Sumatra, Makran and zone of diffused seismicity, is estimated. Several scenario earthquakes are postulated from each zone accounting for uncertainties in fault strike and dip. Tsunami hazard from these zones to Indian coast is estimated based on validated numerical tools at a grid spacing of 300 m, and hazard is presented in the form of maps. Important phenomena such as wave amplification in shallow waters and wave runup are captured in the analysis. The water levels are represented in terms of mean estimates and associated standard deviations in estimates reflecting uncertainty in evaluated levels. The assessment indicates higher vulnerability of the east coast and the southwestern coast of India as well as existence of several tsunami hot spots (regions with unusually high wave amplitude) along the Indian coast. In addition to increased understanding of tsunami vulnerability of Indian coast, the tsunami hazard maps presented in the paper will be useful during planning and engineering of coastal structures and infrastructure in selection of their safe grade elevations. The work presented here can be further enhanced by addressing uncertainties in maximum earthquake magnitudes, related rupture parameters and with better shallow water and coastal topography data. © 2016, Springer Science+Business Media Dordrecht.</t>
  </si>
  <si>
    <t>2-s2.0-84958256016"</t>
  </si>
  <si>
    <t>10.1016/j.gsf.2015.10.004</t>
  </si>
  <si>
    <t>https://www.scopus.com/inward/record.uri?eid=2-s2.0-84969577469&amp;doi=10.1016%2fj.gsf.2015.10.004&amp;partnerID=40&amp;md5=b76459dec9bd1042253525247d68e197</t>
  </si>
  <si>
    <t>The Quaternary volcanic province of Payenia is located in southern Mendoza and northern Neuquén provinces of Argentina and is characterized by a dominant basaltic composition. The volcanic province covers an area larger than 40,000 km2 and its origin and evolution has been the center of several studies. In this study we analyzed gravity data together with more accurate volcanic volumes calculations in order to investigate the subsurface structure of the Payenia volcanic province. The volume of material was calculated using digital elevation models and geographic information system (GIS) techniques to estimate the volume of material erupted and then, with those values, make an estimation of the intrusive material that could be located within the crust. The results of the calculations were compared with different 2D-sections constructed to model the gravity data and compare with the observed satellite gravity. After evaluating different models which have been generated to match both: the observed gravity data and the subsurface material calculated, we discuss those that best fit with observation. The results clearly indicate that the lithosphere is attenuated below the region. © 2015 China University of Geosciences (Beijing) and Peking University</t>
  </si>
  <si>
    <t>2-s2.0-84969577469"</t>
  </si>
  <si>
    <t>10.5194/acp-16-9221-2016</t>
  </si>
  <si>
    <t>https://www.scopus.com/inward/record.uri?eid=2-s2.0-84979872999&amp;doi=10.5194%2facp-16-9221-2016&amp;partnerID=40&amp;md5=90eff082aca1feb31ddc572535cb09e0</t>
  </si>
  <si>
    <t>A historic haze event, characterized by lengthy, large-scale and severe pollution, occurred in the Yangtze River Delta (YRD) of China from 1 to 10 December 2013. This haze event significantly influenced air quality throughout the region, especially in urban areas. Aerosol physical, chemical and optical properties were measured in Shanghai. Sometimes the 1 h average particle concentration (e.g., PM2.5) exceeded 600 μg m-3. Inorganic water-soluble ions in particles, trace gases and aerosol optical coefficients had a similar tendency to increase evidently from clear to hazy episodes. A combination of various factors contributed to the formation and evolution of the haze event, among which meteorological conditions, local anthropogenic emissions and pollutants are the major factors. High pressure system, calm surface wind and subsidence airflow were responsible for the decrease of planetary boundary layer (PBL) and the accumulation of pollutants. Atmospheric visibility correlated strongly with relative humidity (RH), particle number in size of 600-1400 nm other than particulate water-soluble species and particle mass (PM2.5). The particle hygroscopicity plays an important role in atmospheric visibility reduction. The results are somewhat helpful to forecast and eliminate regional atmospheric pollution in China. © Author(s) 2016.</t>
  </si>
  <si>
    <t>2-s2.0-84979872999"</t>
  </si>
  <si>
    <t>10.1175/JCLI-D-15-0757.1</t>
  </si>
  <si>
    <t>https://www.scopus.com/inward/record.uri?eid=2-s2.0-84974855185&amp;doi=10.1175%2fJCLI-D-15-0757.1&amp;partnerID=40&amp;md5=573aeb1662bdf31843ade1d1a6f1c52d</t>
  </si>
  <si>
    <t>The climatology and recent trends of low-level coastal clouds at three sites along the northern Chilean coast (18.3°-23.4°S) are documented based upon up to 45 years of hourly observations of cloud type, coverage, and heights. Consistent with the subtropical location, cloud types are dominated by stratocumuli having greatest coverage (&gt; 7 oktas) and smaller heights (600-750 m) during the nighttime of austral winter and spring. Meridionally, nighttime cloud fraction and cloud-base heights increase from south to north. Long-term trends in mean cloud cover are observed at all sites albeit with a seasonal modulation, with increasing (decreasing) coverage in the spring (fall). Consistent trend patterns are also observed in independent sunshine hour measurements at the same sites. Cloud heights show negative trends of about 100 m decade-1 (1995-2010), although the onset time of this tendency differs between sites. The positive cloud fraction trends during the cloudy season reported here disagree with previous studies, with discrepancies attributed to differences in datasets used or to methodological differences in data analysis. The cloud-base height tendency, together with a less rapid lowering of the subsidence inversion base height, suggests a deepening of the coastal cloud layer. While consistent with the tendency toward greater low-level cloud cover and the known cooling of the marine boundary layer in this region, these tendencies are at odds with a drying trend of the near-surface air documented here as well. Assessing whether this intriguing result is caused by physical factors or by limitations of the data demands more detailed observations, some of which are currently under way. © 2016 American Meteorological Society.</t>
  </si>
  <si>
    <t>2-s2.0-84974855185"</t>
  </si>
  <si>
    <t>10.1038/nclimate2957</t>
  </si>
  <si>
    <t>https://www.scopus.com/inward/record.uri?eid=2-s2.0-84975801195&amp;doi=10.1038%2fnclimate2957&amp;partnerID=40&amp;md5=96edc4c30401176c89ed3d845e0c120d</t>
  </si>
  <si>
    <t>Sea-level rise (SLR) poses a range of threats to natural and built environments, making assessments of SLR-induced hazards essential for informed decision making. We develop a probabilistic model that evaluates the likelihood that an area will inundate (flood) or dynamically respond (adapt) to SLR. The broad-area applicability of the approach is demonstrated by producing 30 × 30 m resolution predictions for more than 38,000 km 2 of diverse coastal landscape in the northeastern United States. Probabilistic SLR projections, coastal elevation and vertical land movement are used to estimate likely future inundation levels. Then, conditioned on future inundation levels and the current land-cover type, we evaluate the likelihood of dynamic response versus inundation. We find that nearly 70% of this coastal landscape has some capacity to respond dynamically to SLR, and we show that inundation models over-predict land likely to submerge. This approach is well suited to guiding coastal resource management decisions that weigh future SLR impacts and uncertainty against ecological targets and economic constraints. © 2016 Macmillan Publishers Limited. All rights reserved.</t>
  </si>
  <si>
    <t>2-s2.0-84975801195"</t>
  </si>
  <si>
    <t>Aquatic Geochemistry</t>
  </si>
  <si>
    <t>10.1007/s10498-016-9296-0</t>
  </si>
  <si>
    <t>https://www.scopus.com/inward/record.uri?eid=2-s2.0-84974855144&amp;doi=10.1007%2fs10498-016-9296-0&amp;partnerID=40&amp;md5=1717bd19c7ded7e9623619e8e328f5b3</t>
  </si>
  <si>
    <t>Marine chemistry of the coastal environment starts with principles of rock weathering that use carbonic acid to mobilize elements, only some of which comprise the majority of sea salt. The principle reason is reverse weathering, extensively represented in coastal waters, and returns most elements to newly formed colloids or minerals while recycling carbon dioxide to the atmosphere. This includes the deeper ocean expanse of sediment diagenesis, plus hydrothermal plumes and attendant low-temperature basalt alteration. Within the estuarine and extended shelf regimes, both conservative and non-conservative processes can be distinguished and modeled to determine proportions of weathered elements transmitted to the sea or consumed by reverse weathering. Conceptually, the steady-state processes that lead to the composition of seawater can be viewed as heterogeneous equilibria between dissolved constituents and solid mineral products taking hundreds of millennia. However, initial processes in the estuarine and coastal environment are characterized by shorter term scavenging associated with inorganic and organic colloids. These recycle both carbon and trace elements on timescales commensurate with estuarine flushing and coastal exchange with the ocean. The natural uranium and thorium decay series provide powerful tools for quantifying the rates of estuarine processes, including those within groundwater and the subterranean estuary. In the future, new mass spectrometric and nuclear magnetic resonance techniques will help to define the molecular nature of newly formed estuarine colloids as has been done for dissolved organic matter. As the coastal environment undergoes the forces of climate change in the form of warming and sea level rise, future research should address how these will impact chemistry of the coastal environment as a net source or sink of carbon dioxide and associated organic material. © 2016, Springer Science+Business Media Dordrecht.</t>
  </si>
  <si>
    <t>2-s2.0-84974855144"</t>
  </si>
  <si>
    <t>10.1080/1755876X.2016.1239242</t>
  </si>
  <si>
    <t>https://www.scopus.com/inward/record.uri?eid=2-s2.0-85014916287&amp;doi=10.1080%2f1755876X.2016.1239242&amp;partnerID=40&amp;md5=84707e0f5a89184e34e60ed4e26f477e</t>
  </si>
  <si>
    <t>Wave measurements are presently made by the Met Office from moored buoys and lightvessels around the UK and are used for coastal flooding prediction, marine forecasting, wave climate studies and validation of wave forecast models. However, it has long been suspected that the wave measurements from the lightvessels are less accurate than those from the buoys. This paper presents the results of a study comparing both lightvessel and buoy wave measurements for the period 2011–2014 inclusive against output from the Met Office wave model to examine whether there is a systematic deficiency in the lightvessel wave measurements. The analysis showed that moored buoys generally agreed well with the model data, but lightvessels consistently reported lower wave heights and higher wave periods than the model. © 2016 Institute of Marine Engineering, Science &amp; Technology.</t>
  </si>
  <si>
    <t>2-s2.0-85014916287"</t>
  </si>
  <si>
    <t>10.1016/j.geomorph.2016.05.033</t>
  </si>
  <si>
    <t>https://www.scopus.com/inward/record.uri?eid=2-s2.0-84976631143&amp;doi=10.1016%2fj.geomorph.2016.05.033&amp;partnerID=40&amp;md5=dce3584c3941af44c69dd60630d4f3d9</t>
  </si>
  <si>
    <t>Santa Rosa Island (SRI) is one of four east-west aligned islands forming the northern Channel Islands chain, and one of the five islands in Channel Islands National Park, California, USA. The island setting provides an unparalleled environment in which to record the response of fluvial systems to major changes of sea level. Many of the larger streams on the island occupy broad valleys that have been filled with alluvium and later incised to form steep- to vertical-walled arroyos, leaving a relict floodplain as much as 12–14 m above the present channel. The period of falling sea level between the end of the last interglacial highstand at ~ 80 ka and the last glacial lowstand at ~ 21 ka was marked by erosion and incision in the uplands and by deposition of alluvial sediment on the exposed marine shelf. Sea level rose relatively rapidly following the last glacial lowstand of − 106 m, triggering a shift from an erosional to a depositional sedimentary regime. Accumulation of sediment occurred first through vertical and lateral accretion in broad, shallow channels on the shelf. Channel avulsion and delta sedimentation produced widespread deposition, creating lobes or wedges of sediment distributed across relatively large areas of the shelf during the latest Pleistocene. Backfilling of valleys onshore (landward of present sea level) appears to have progressed in a more orderly and predictable fashion throughout the Holocene primarily because the streams were confined to their valleys. Vertical aggradation locally reduced stream gradients, causing frequent overbank flooding and lateral channel shift by meandering and/or avulsion. Local channel gradient and morphology, short-term climate variations, and intrinsic controls also affected the timing and magnitudes of these cut, fill, and flood events, and are reflected in the thickness and spacing of the episodic alluvial sequences. Floodplain aggradation within the valleys continued until at least 500 years ago, followed by intensive arroyo cutting that abandoned the relict floodplains, forming alluvial terraces. Sedimentary evidence points to overgrazing and drought, followed by catastrophic flooding, in the mid-nineteenth century as factors that may have accelerated and dramatically enhanced arroyo formation on the island. © 2016</t>
  </si>
  <si>
    <t>2-s2.0-84976631143"</t>
  </si>
  <si>
    <t>10.1007/s11625-016-0374-4</t>
  </si>
  <si>
    <t>https://www.scopus.com/inward/record.uri?eid=2-s2.0-84969951966&amp;doi=10.1007%2fs11625-016-0374-4&amp;partnerID=40&amp;md5=2420c61b1b16f08d2584da5f534f6c4b</t>
  </si>
  <si>
    <t>River deltas all over the world are sinking beneath sea-level rise, causing significant threats to natural and social systems. This is due to the combined effects of anthropogenic changes to sediment supply and river flow, subsidence, and sea-level rise, posing an immediate threat to the 500–1,000 million residents, many in megacities that live on deltaic coasts. The Mississippi River Deltaic Plain (MRDP) provides examples for many of the functions and feedbacks, regarding how human river management has impacted source-sink processes in coastal deltaic basins, resulting in human settlements more at risk to coastal storms. The survival of human settlement on the MRDP is arguably coupled to a shifting mass balance between a deltaic landscape occupied by either land built by the Mississippi River or water occupied by the Gulf of Mexico. We developed an approach to compare 50 % L:W isopleths (L:W is ratio of land to water) across the Atchafalaya and Terrebonne Basins to test landscape behavior over the last six decades to measure delta instability in coastal deltaic basins as a function of reduced sediment supply from river flooding. The Atchafalaya Basin, with continued sediment delivery, compared to Terrebonne Basin, with reduced river inputs, allow us to test assumptions of how coastal deltaic basins respond to river management over the last 75 years by analyzing landward migration rate of 50 % L:W isopleths between 1932 and 2010. The average landward migration for Terrebonne Basin was nearly 17,000 m (17 km) compared to only 22 m in Atchafalaya Basin over the last 78 years (p &lt; 0.001), resulting in migration rates of 218 m/year (0.22 km/year) and &lt;0.5 m/year, respectively. In addition, freshwater vegetation expanded in Atchafalaya Basin since 1949 compared to migration of intermediate and brackish marshes landward in the Terrebonne Basin. Changes in salt marsh vegetation patterns were very distinct in these two basins with gain of 25 % in the Terrebonne Basin compared to 90 % decrease in the Atchafalaya Basin since 1949. These shifts in vegetation types as L:W ratio decreases with reduced sediment input and increase in salinity also coincide with an increase in wind fetch in Terrebonne Bay. In the upper Terrebonne Bay, where the largest landward migration of the 50 % L:W ratio isopleth occurred, we estimate that the wave power has increased by 50–100 % from 1932 to 2010, as the bathymetric and topographic conditions changed, and increase in maximum storm-surge height also increased owing to the landward migration of the L:W ratio isopleth. We argue that this balance of land relative to water in this delta provides a much clearer understanding of increased flood risk from tropical cyclones rather than just estimates of areal land loss. We describe how coastal deltaic basins of the MRDP can be used as experimental landscapes to provide insights into how varying degrees of sediment delivery to coastal deltaic floodplains change flooding risks of a sinking delta using landward migrations of 50 % L:W isopleths. The nonlinear response of migrating L:W isopleths as wind fetch increases is a critical feedback effect that should influence human river-management decisions in deltaic coast. Changes in land area alone do not capture how corresponding landscape degradation and increased water area can lead to exponential increase in flood risk to human populations in low-lying coastal regions. Reduced land formation in coastal deltaic basins (measured by changes in the land:water ratio) can contribute significantly to increasing flood risks by removing the negative feedback of wetlands on wave and storm-surge that occur during extreme weather events. Increased flood risks will promote population migration as human risks associated with living in a deltaic landscape increase, as land is submerged and coastal inundation threats rise. These system linkages in dynamic deltaic coasts define a balance of river management and human settlement dependent on a certain level of land area within coastal deltaic basins (L). © 2016, The Author(s).</t>
  </si>
  <si>
    <t>2-s2.0-84969951966"</t>
  </si>
  <si>
    <t>10.1016/j.gloenvcha.2016.06.011</t>
  </si>
  <si>
    <t>https://www.scopus.com/inward/record.uri?eid=2-s2.0-84978388440&amp;doi=10.1016%2fj.gloenvcha.2016.06.011&amp;partnerID=40&amp;md5=97057c46d10b56e4c133dc7e236889b4</t>
  </si>
  <si>
    <t>Adaptive management and related fields have theorized new governance strategies that embrace complexity and are able to respond effectively to changing and unpredictable biophysical dynamics. However, this body of work pays inadequate attention to important on-the-ground realities, including feasibility of implementation and the power dynamics embedded in multi-scalar systems of environmental governance. This paper presents findings from a research project on challenges to adaptive management in the variable wetland ecosystem of the Okavango Delta, Botswana. Many residents of this rural region rely on transitional agricultural practices, shifting between dryland and floodplain farming in response to dynamic precipitation and flooding patterns. Higher than average floods in 2009–2011 inundated many floodplain fields past the point of production, causing farmers to shift to the dryland for multiplem seasons. At the same time, the highly centralized Government of Botswana began to implement stricter regulations over floodplain resources, which stemmed in part from a new adaptive management plan developed for the region. As a result, many farmers felt pressured by the government to abandon transitional livelihood practices and to shift permanently to dryland agriculture even though many preferred to continue floodplain farming. This loss of a responsive livelihood strategy will likely result in decreased long-term adaptive capacity for many residents. Drawing on these findings, this paper advances the argument that if adaptive management is to become a viable option for communities in changing environments, more attention must be given to the role of unequal power relations in multi-scalar systems of environmental governance. © 2016 Elsevier Ltd</t>
  </si>
  <si>
    <t>2-s2.0-84978388440"</t>
  </si>
  <si>
    <t>10.1515/ohs-2016-0022</t>
  </si>
  <si>
    <t>https://www.scopus.com/inward/record.uri?eid=2-s2.0-84975874035&amp;doi=10.1515%2fohs-2016-0022&amp;partnerID=40&amp;md5=dddc399572b764699fbf4661b9ce9cba</t>
  </si>
  <si>
    <t>This paper presents examples of application of a common reference datum, such as NAP, within the elevation EVRS reference system for the Baltic Sea. A common reference datum allowed for setting the geographical pattern of occurrence of extreme sea levels in the Baltic Sea. The eastern Baltic coasts exposed to western air masses are vulnerable to extreme hydrological events (the Gulf of Finland, the Gulf of Riga and the Gulf of Bothnia). On the contrary, the Swedish coasts of the central and northern Baltic are the least threatened by extreme sea levels. The south-western coasts of the Baltic Sea (the Bay of Mecklenburg and the Bay of Kiel) cover the basins with the most frequent and the most severe storm falls and extremely low sea levels. Demonstration of the Baltic surface deformation magnitude during a storm event is another example of NAP application. The instantaneous height difference between the north-eastern and southwestern coasts was 356 cm, which resulted from the negative impact of pressure (water cushion) induced by a dynamic and deep low-pressure system moving through the Baltic Sea. The common reference datum allowed for visualization of the so-called ""theoretical water"" distribution which has a wide application in the hydraulic engineering within the coastal zone. In addition, the study provides examples of differences that may be observed during storm events between the real sea-level data and the hydrodynamic model forecast. This is of great practical significance in terms of forecasting storm surges in the Baltic Sea. © 2016 Faculty of Oceanography and Geography, University of Gdansk, Poland.</t>
  </si>
  <si>
    <t>2-s2.0-84975874035"</t>
  </si>
  <si>
    <t>10.1002/2016WR018814</t>
  </si>
  <si>
    <t>https://www.scopus.com/inward/record.uri?eid=2-s2.0-84980390981&amp;doi=10.1002%2f2016WR018814&amp;partnerID=40&amp;md5=2a484e6cee283549a7c4d9e097576a43</t>
  </si>
  <si>
    <t>Sea-level rise and increases in the frequency and intensity of ocean surges caused by climate change are likely to exacerbate adverse effects on low-lying coastal areas. The landward flow of water during ocean surges introduces salt to surficial coastal aquifers and threatens groundwater resources. Coastal topographic features (e.g., ponds, dunes, barrier islands, and channels) likely have a strong impact on overwash and salinization processes, but are generally highly simplified in modeling studies. To understand topographic impacts on groundwater salinization, we modeled a theoretical overwash event and variable-density groundwater flow and salt transport in 3-D using the fully coupled surface and subsurface numerical simulator, HydroGeoSphere. The model simulates the coastal aquifer as an integrated system considering overland flow, coupled surface and subsurface exchange, variably saturated flow, and variable-density groundwater flow. To represent various coastal landscape types, we simulated both synthetic fields and real-world coastal topography from Delaware, USA. The groundwater salinization assessment suggested that the topographic connectivity promoting overland flow controls the volume of aquifer that is salinized. In contrast, the amount of water that can be stored in surface depressions determines the amount of seawater that infiltrates the subsurface and the time for seawater to flush from the aquifer. Our study suggests that topography has a significant impact on groundwater salinization due to ocean surge overwash, with important implications for coastal land management and groundwater vulnerability assessment. © 2016. American Geophysical Union. All Rights Reserved.</t>
  </si>
  <si>
    <t>2-s2.0-84980390981"</t>
  </si>
  <si>
    <t>10.1007/s10113-015-0900-4</t>
  </si>
  <si>
    <t>https://www.scopus.com/inward/record.uri?eid=2-s2.0-84949660586&amp;doi=10.1007%2fs10113-015-0900-4&amp;partnerID=40&amp;md5=f381f5b2435ac32564d3a5e576e9f7a1</t>
  </si>
  <si>
    <t>Effective communication about climate change and related risks is complicated by the polarization between “climate alarmists” and “skeptics.” This paper provides insights for the design of climate risk communication strategies by examining how the interplay between climate change and flood risk communication affects citizens’ risk perceptions and responses. The study is situated in a delta area with substantial geographic variations in the occurrence and potential impact of flood risk, which has led to initiatives to make the area more “climate proof.” We developed a research model that examines individual differences in processing information about climate change related flood risk, based on the postulate that individuals often make an implicit trade-off between motivation to know “what is real” and motivation to maintain prior beliefs. A field experiment, embedded in a survey (n = 1887), sought to test out how the participants responded to risk frames in which a story on flood was either or not combined with climate change information. The results show that it was possible to increase the participants’ local climate risk perception in combination with increased motivation for flood damage prevention, despite a certain level of climate change skepticism. A general implication of our study is that relevant and diagnostic information about local climate-related flood risks can stimulate citizens’ need to know “what’s real” and their willingness to take responsibility for preparedness. © 2015, The Author(s).</t>
  </si>
  <si>
    <t>2-s2.0-84949660586"</t>
  </si>
  <si>
    <t>10.1002/hyp.10819</t>
  </si>
  <si>
    <t>https://www.scopus.com/inward/record.uri?eid=2-s2.0-84959897431&amp;doi=10.1002%2fhyp.10819&amp;partnerID=40&amp;md5=025baf931dc48a9e289edd9bb4ce5818</t>
  </si>
  <si>
    <t>Urbanization significantly affects both the drainage network structure and the storage capacity of river channels in lowland plain river networks. The Yangtze River Delta region has experienced a rapid and profound urbanization of any region worldwide in the past 30 years. The southeast Yinfeng plain in the Yangtze River Delta region was used as the study area to assess changes in the river network structure from 1990 to 2010, using river feature parameter analyses and GIS spatial analysis. The elastic method was adopted to analyse river network pattern response to both urbanization and climate change, and the rates at which these factors contributed to changes in the river network pattern were investigated. Changes in the storage capacity and flood control capacity of the channel network over the past 21 years were then analysed. The results indicated that: (1) the number of river networks, and the complexity of the river network spatial structures were reduced, the drainage density decreased by 20%, the water surface ratio by 36%, the river area–length ratio by nearly 18% and the fractal dimension of the river networks by 4.5%; (2) the river network changes were due more to human activities than to climate change in this study period. Limited changes occurred in the structure of the river system, as indicated by an urbanization variability rate of less than 20% and precipitation variability range of −5% to −15%, although the stream structure gradually decreased with increasing urbanization variability; and (3) the storage capacity of the main river network decreased earlier (1990–2003) and was restored later (2003–2010) because of dredging and widening activities. In addition, the number of lower-order rivers decreased, which resulted in significant decreases in the storage and flood control capacities of the river networks. Copyright © 2016 John Wiley &amp; Sons, Ltd.</t>
  </si>
  <si>
    <t>10.1002/esp.3962</t>
  </si>
  <si>
    <t>https://www.scopus.com/inward/record.uri?eid=2-s2.0-84973520086&amp;doi=10.1002%2fesp.3962&amp;partnerID=40&amp;md5=07b5c5fd02aceb07073e3501cf589eb7</t>
  </si>
  <si>
    <t>Past fluvial biogeomorphic succession dynamics, i.e. reciprocal interactions and adjustments between vegetation growth and fluvial landform construction, were monitored and reconstructed using stereophotogrammetry. The four-dimensional spatio-temporal stereophotogrammetric analyses were based on the use of archival analogue and digital aerial photographs. First, we tested the relevance of the technique to produce floodplain digital terrain models (DTMs) and cover height models (CHMs) of the dynamic River Allier, France, and compared the models derived from photogrammetric procedures to field measurements for CHMs and to LiDAR data for DTMs. Automatic photogrammetric procedures tended to create inaccurate digital models with production of outliers, incomplete sectors and areas of confusion especially for analogue stereo-pairs. Expert correction using stereoscopic viewing improved the vertical accuracy of the digital models, but the vegetation height tended to be underestimated: approximately 0.50 m for vegetation heights less than 10 m, up to 1.50 m for tree heights higher than 25 m. Second, we applied this method to a wooded point bar located on the channelized River Garonne, France. At the scale of the point bar, accurate biogeomorphic maps that show terrain and vegetation height changes in all three spatial dimensions were produced and accurate vegetation growth curves from the early stages of establishment until maturity were extracted. Assuming that a set of conditions is satisfied (e.g. spatial scale of investigation, quality of the photographs), our results show that the photogrammetric method applied in this research can be used operationally to detect and quantify present fluvial biogeomorphic dynamics (i.e. changes of topography and vegetation canopy height) within fluvial corridors of temperate rivers with satisfactory accuracy. Copyright © 2016 John Wiley &amp; Sons, Ltd. Copyright © 2016 John Wiley &amp; Sons, Ltd.</t>
  </si>
  <si>
    <t>2-s2.0-84973520086"</t>
  </si>
  <si>
    <t>10.1016/j.ocemod.2016.04.009</t>
  </si>
  <si>
    <t>https://www.scopus.com/inward/record.uri?eid=2-s2.0-84974588208&amp;doi=10.1016%2fj.ocemod.2016.04.009&amp;partnerID=40&amp;md5=9d3551053d0a7854d1a247d2e0f0de15</t>
  </si>
  <si>
    <t>Over the last decade, modelling systems based on unstructured grids have been appearing increasingly attractive to investigate the dynamics of coastal zones. However, the resolution of the sediment continuity equation to simulate bed evolution is a complex problem which often leads to the development of numerical oscillations. To overcome this problem, addition of artificial diffusion or bathymetric filters are commonly employed methods, although these techniques can potentially over-smooth the bathymetry. This study aims to present a numerical scheme based on the Weighted Essentially Non-Oscillatory (WENO) formalism to solve the bed continuity equation on unstructured grids in a finite volume formulation. The new solution is compared against a classical method, which combines a basic node-centered finite volume method with artificial diffusion, for three idealized test cases. This comparison reveals that a higher accuracy is obtained with our new method while the addition of diffusion appears inappropriate mainly due to the arbitrary choice of the diffusion coefficient. Moreover, the increased computation time associated with the WENO-based method to solve the bed continuity equation is negligible when considering a fully-coupled simulation with tides and waves. Finally, the application of the new method to the pluri-monthly evolution of an idealized inlet subjected to tides and waves shows the development of realistic bed features (e.g. secondary flood channels, ebb-delta sandbars, or oblique sandbars at the adjacent beaches), that are smoothed or nonexistent when using additional diffusion. © 2016 Elsevier Ltd.</t>
  </si>
  <si>
    <t>2-s2.0-84974588208"</t>
  </si>
  <si>
    <t>10.1016/j.ijdrr.2016.02.002</t>
  </si>
  <si>
    <t>https://www.scopus.com/inward/record.uri?eid=2-s2.0-84958749971&amp;doi=10.1016%2fj.ijdrr.2016.02.002&amp;partnerID=40&amp;md5=7c43b6fe5677ba9131525ae474d1e957</t>
  </si>
  <si>
    <t>We present a method for determining an initial assessment of tsunami risk, with application for two coastal areas of Oman. Using open source GIS and seismic databases we carry out a tsunami risk assessment using a deterministic and probabilistic approach based on worst-case scenarios. A quick and effective method for estimating tsunami run-up without the use of complex modelling software is an important step in disaster risk reduction efforts as many government and emergency response organisations do not possess the expertise to carry out or interpret tsunami inundation numerical models. Estimates of probable maximum loss were calculated using a simple method of building identification and a revised building damage assessment technique. A series of tsunami risk maps were created for the coastal settlements of Muscat and Salalah, with the aim of improving tsunami response. We find Muscat to be at far greater risk of tsunami damage than Salalah; this is due in part to Muscat's proximity to potential tsunamigenic sources and the cities current level of urban infrastructure. Whilst much of the infrastructure in Salalah is currently at low risk from tsunami, development pressures could lead to increased risk within the region. It is hoped that the assessment of risk may go some way to a government led disaster risk reduction strategy being implemented in coastal Oman. The methods detailed provide a cheap and efficient means to quantify tsunami risk in many coastal Middle Eastern countries, of which several have poor disaster risk reduction strategies.</t>
  </si>
  <si>
    <t>10.1016/j.quaint.2015.11.127</t>
  </si>
  <si>
    <t>https://www.scopus.com/inward/record.uri?eid=2-s2.0-84956930838&amp;doi=10.1016%2fj.quaint.2015.11.127&amp;partnerID=40&amp;md5=fb756a0244c520d6af32e1f1b69b4fed</t>
  </si>
  <si>
    <t>In the face of global rise in sea level, understanding the response of the shoreline to sea level rise is an important key for coastal management. The rapid sea level fluctuations taking place in the Caspian Sea provide a live model for studying shoreline response to sea level rise. Coastal lagoon deposits provide an ideal archive to study sea level fluctuation. In this study, two lagoons on both sides of the Old Sefidrud River (south coast of the Caspian Sea) have been subjected to study using sedimentology, palynology and macro-remains analyses: the Amirkola and the Klaus Lagoons. The results demonstrate how these coastal lagoons, related to one single river within the same delta, during the last decades respond differently to sea level fluctuations and show the crucial role played by long-shore current. © 2015 The Authors.</t>
  </si>
  <si>
    <t>2-s2.0-84956930838"</t>
  </si>
  <si>
    <t>10.3390/rs8070570</t>
  </si>
  <si>
    <t>https://www.scopus.com/inward/record.uri?eid=2-s2.0-85019915004&amp;doi=10.3390%2frs8070570&amp;partnerID=40&amp;md5=5e82124f757bfa5d3f7abb221bddbe01</t>
  </si>
  <si>
    <t>In Europe, water levels in wetlands are widely controlled by environmental managers and farmers. However, the influence of these management practices on hydrodynamics and biodiversity remains poorly understood. This study assesses advantages of using radar data from the recently launched Sentinel-1A satellite to monitor hydrological dynamics of the Poitevin marshland in western France. We analyze a time series of 14 radar images acquired in VV and HV polarizations from December 2014 to May 2015 with a 12-day time step. Both polarizations are used with a hysteresis thresholding algorithm which uses both spatial and temporal information to distinguish open water, flooded vegetation and non-flooded grassland. Classification results are compared to in situ piezometric measurements combined with a Digital Terrain Model derived from LiDAR data. Results reveal that open water is successfully detected, whereas flooded grasslands with emergent vegetation and fine-grained patterns are detected with moderate accuracy. Five hydrological regimes are derived from the flood duration and mapped. Analysis of time steps in the time series shows that decreased temporal repetitivity induces significant differences in estimates of flood duration. These results illustrate the great potential to monitor variations in seasonal floods with the high temporal frequency of Sentinel-1A acquisitions. © 2016 by the authors.</t>
  </si>
  <si>
    <t>2-s2.0-85019915004"</t>
  </si>
  <si>
    <t>10.5194/nhess-16-1841-2016</t>
  </si>
  <si>
    <t>https://www.scopus.com/inward/record.uri?eid=2-s2.0-84981495374&amp;doi=10.5194%2fnhess-16-1841-2016&amp;partnerID=40&amp;md5=6e156cc19d10d6fac4f0f8605d728fe2</t>
  </si>
  <si>
    <t>Coastal flooding related to marine extreme events has severe socioeconomic impacts, and even though the latter are projected to increase under the changing climate, there is a clear deficit of information and predictive capacity related to coastal flood mapping. The present contribution reports on efforts towards a new methodology for mapping coastal flood hazard at European scale, combining (i) the contribution of waves to the total water level</t>
  </si>
  <si>
    <t>10.1080/08120099.2016.1229693</t>
  </si>
  <si>
    <t>https://www.scopus.com/inward/record.uri?eid=2-s2.0-84992076964&amp;doi=10.1080%2f08120099.2016.1229693&amp;partnerID=40&amp;md5=53837690e720cbd0add12a4d4d41529e</t>
  </si>
  <si>
    <t>The last interglacial maximum (Marine Isotope Substage 5e [MIS 5e], 128–116 ka) is a distinctive event in recent Earth history. Shoreline successions of this age are important for calibrating climate models and defining the overall behaviour of the crust–mantle system to fluctuating ice and ocean-water volumes. In a global context, the recently intensified interest in last interglacial shoreline successions has revealed considerable variability in the magnitude of sea-level rise during this time interval and highlighted the need to examine paleosea-level evidence from tectonically stable, far-field settings. Situated in the far-field of continental ice sheets and on the tectonically stable Gawler Craton, the 300 km coastal sector of western Eyre Peninsula between Fowlers Bay and Lake Newland in southern Australia represents an important region for defining the glacio-eustatic (ice-equivalent) sea-level attained during the last interglacial maximum based on the relative sea-level observations from this region. Low-energy, shoaling upward, peritidal bioclastic carbonate successions of the last interglacial (locally termed Glanville Formation) formed within back-barrier, estuarine–lagoonal environments in the lee of eolianite barrier complexes (locally termed Bridgewater Formation) along this coastline. The well-preserved shelly successions (coquinas) contain diverse molluscan fossil assemblages including species no longer living in the coastal waters of South Australia (e.g. the Sydney cockle Anadara trapezia and the benthic foraminifer Marginopora vertebralis). The extent of amino acid racemisation (a measure of fossil age based on increasing d/l value) in a range of species, and in particular A. trapezia and Katelysia sp., confirms the time equivalence of the isolated embayment-fill successions, correlated with the informal type section of the Glanville Formation at Dry Creek, north of Adelaide. Preliminary U-series analyses on A. trapezia also suggest a correlation with the last interglacial maximum, but further highlight the complexity in dating fossil molluscs by the U-series method in view of their open-system behaviour. The shelly successions of the Glanville Formation occur at elevations higher than attained by sea-level in the current, Holocene interglacial. A higher sea-level of between 2.1 ± 0.5 and 4 ± 0.5 m above present sea-level is inferred for the last interglacial maximum (MIS 5e) along this coastline based on the elevation of sedimentary successions host to the shallow subtidal–intertidal fossil molluscs Katelysia sp., and Anadara trapezia. The paleosea-level observations place a lower limit on the sea-level attained during the last interglacial maximum and suggest that caution be exercised in the definition of the upper limit of sea-level during this interglacial. © 2016 Geological Society of Australia.</t>
  </si>
  <si>
    <t>2-s2.0-84992076964"</t>
  </si>
  <si>
    <t>10.1134/S1875372816030057</t>
  </si>
  <si>
    <t>https://www.scopus.com/inward/record.uri?eid=2-s2.0-84992153940&amp;doi=10.1134%2fS1875372816030057&amp;partnerID=40&amp;md5=ef50fb2a9bb5837d379d266a8c86d8a3</t>
  </si>
  <si>
    <t>Field observations showed that the characteristics of chemical composition of waters and the development of plankton algae in the lakes within the delta of the Selenga river are determined by their flowage. The most open Lake Nekipelovskoe communicates with the Selenga outlets throughout a year, and Lake Zavernyaikha only at the period of an open channel. Lake Semenovskoe and Lake Khlystov Zaton are located in the islands and are isolated from the outlets. According to composition of main ions, the lakes under investigation refer to the hydrocarbonate class, the calcium group. The sum of ions in the water of Lake Nekipelovskoe approaches the one in the Selenga (86−221 mg/dm3), and the highest sums of ions were recorded in the wintertime in the lakes isolated from the outlets (446−743 mg/dm3). The lakes of the delta are characterized by a high trophicity. The maximum concentrations of total phosphorus in Lake Nekipelovskoe and Lake Zavernyaikha were 68 and 122 μg mg/dm3, and in Lake Semenovskoe and Lake Khlystov Zaton −0.8 and −0.63 μg mg/dm3, respectively. The most intense development of algae is observed in Lake Zavernyaikha, which is due to the high population of Baikal endemics. Lake Zavernyaikha showed a close negative correlation between the concentration of NO3         −, mineral phosphorus and phytoplankton biomass</t>
  </si>
  <si>
    <t>10.1007/s11625-015-0336-2</t>
  </si>
  <si>
    <t>https://www.scopus.com/inward/record.uri?eid=2-s2.0-84940848230&amp;doi=10.1007%2fs11625-015-0336-2&amp;partnerID=40&amp;md5=bc38555ee88a6ead93351f445fcf4eac</t>
  </si>
  <si>
    <t>The Mekong River Delta in Vietnam plays a crucial role for the region in terms of food security and socioeconomic development; however, it is one of the most low-lying and densely populated areas in the world. It is vulnerable to seawater incursion, flood risk, and shoreline change, exacerbated as a consequence of sea-level rise (SLR) related to climate change. This study examined the Kien Giang coast in the western part of the delta, comprising seven coastal districts (namely Ha Tien, Kien Luong, Hon Dat, Rach Gia, Chau Thanh, An Bien, and An Minh), the economy of which is important in terms of agriculture and aquaculture. The analytical hierarchical process (AHP) method of multi-criteria decision making was integrated directly into geographic information systems (GIS) to derive a composite vulnerability index that indicated areas most likely to be vulnerable to SLR. The hierarchical structure comprised three key components: exposure (E), sensitivity (S), and adaptive capacity (A), at level 1. At the next level, 8 sub-components were mapped: seawater incursion, flood risk, shoreline change, population characteristics, land use/land cover, and socioeconomic, infrastructure, and technological capability, beyond which a further 22 variables (level 3) and 24 sub-variables (level 4) related to vulnerability were also mapped. Variables were assigned weights for incorporation into AHP pairwise comparisons after discussion with stakeholders. Maps were generated to visualise areas where the relative vulnerability was very low, low, moderate, high, and very high. Societal data were generally only available at district level; however, several regional patterns emerged. Relatively high exposure to flooding and inundation, salinity, and moderate loss of mangroves occurred along the coastal fringe of each district. This western section of the delta, which is low-lying and remote from the distributaries that carry sediment to the coast, appears to be particularly vulnerable. The most sensitive areas tended to be ethnic households engaged in rice cultivation and with moderate population density. The least adaptable areas consisted of high numbers of poor households, with low income, and moderate densities of transport, irrigation and drainage systems. Most coastal districts were determined to be moderately to relatively highly vulnerable, with scattered hotspots along the coast.</t>
  </si>
  <si>
    <t>10.1007/s11069-016-2363-4</t>
  </si>
  <si>
    <t>https://www.scopus.com/inward/record.uri?eid=2-s2.0-84976616181&amp;doi=10.1007%2fs11069-016-2363-4&amp;partnerID=40&amp;md5=d7ed65555d08e986adcb2564dce36d32</t>
  </si>
  <si>
    <t>This study presents the one-dimensional hydrodynamic modeling for the Glacier Lake Outburst Flood (GLOF) simulation for the six hydroelectric (HE) power projects in Dhauliganga River of Alaknanda Basin. ArcGIS and HEC-GeoRAS extension is used for the whole river GIS database creation. Elevation values and cross-sections were taken from digital elevation models. The initial flow hydrographs were used as upstream boundary condition in MIKE11. The land use/land cover map and Manning’s N values for roughness were prepared using LANDSAT TM and CARTOSAT-1 and verified by the field observation. Cross-sections were also modified after identifying the actual cross-sections width and depth. Subsequently, simulation has been carried out by using MIKE11 HD model at different sections of the river stretch. Calibration is done for the period of June 1, 2001, to May 31, 2002, and validated for the year of 2005 with about 95 % accuracy of observed data. In this study, results have been carried out by 100-year flood ordinates and considering the redistribution of lateral flow from five catchments of Alaknanda Basin. The GLOF peaks for the breach parameters are 1394.28, 1552.04 and 1898.04 m3/s for breach width 40, 60 and 80 m, respectively, just the downstream of the lake site. It is inferred from the study that the GLOF for 80 m breach width gives the peak flood of 1575 m3/s at the project site 1 for first scenario and 3500 m3/s at the site 6 for second scenario. The maximum simulated water levels and depth for the Central Water Commission gauging site at Joshimath are 1381.49 and 4.329 m, respectively, for 100-year-plus GLOF event. This information is critical for the project design discharge calculations. © 2016, Springer Science+Business Media Dordrecht.</t>
  </si>
  <si>
    <t>2-s2.0-84976616181"</t>
  </si>
  <si>
    <t>10.1007/s11625-016-0357-5</t>
  </si>
  <si>
    <t>https://www.scopus.com/inward/record.uri?eid=2-s2.0-84961200386&amp;doi=10.1007%2fs11625-016-0357-5&amp;partnerID=40&amp;md5=490cbf05a5debfbde3b52aaebbbad416</t>
  </si>
  <si>
    <t>It is broadly recognized that river delta systems around the world are under threat from a range of anthropogenic activities. These activities occur at the local delta scale, at the regional river and watershed scale, and at the global scale. Tools are needed to support generalization of results from case studies in specific deltas. Here, we present a methodology for quantitatively constructing an empirical typology of anthropogenic change in global deltas. Utilizing a database of environmental change indicators, each associated with increased relative sea-level rise and coastal wetland loss, a clustering analysis of 48 global deltas provides a quantitative assessment of systems experiencing similar or dissimilar sources and degrees of anthropogenic stress. By identifying quantitatively similar systems, we hope to improve the transferability of scientific results across systems, and increase the effectiveness of delta management best practices. Both K-Means and Affinity Propagation clustering algorithms find similar clusters, with relative stability across small changes in K-Means cluster number. High-latitude deltas appear similar, in terms of anthropogenic environmental stress, to several low-population, low-latitude systems, including the Amazon delta, despite substantially different climatic regimes. Highly urbanized deltas in Southeast Asia form a distinct cluster. By providing a quantitative boundary between groups of delta systems, this approach may also be useful for assessing future delta change and sustainability given projected population growth, urbanization, and economic development trends. © 2016, The Author(s).</t>
  </si>
  <si>
    <t>2-s2.0-84961200386"</t>
  </si>
  <si>
    <t>10.1007/s00382-015-2706-y</t>
  </si>
  <si>
    <t>https://www.scopus.com/inward/record.uri?eid=2-s2.0-84931397683&amp;doi=10.1007%2fs00382-015-2706-y&amp;partnerID=40&amp;md5=7d72b17d9546fd71182a674a0b2b1589</t>
  </si>
  <si>
    <t>The climatic effects of dust aerosols in North Africa and South/East Asia have been investigated using an atmospheric general circulation model, NCEP/GCM/SSiB (Simplified Simple Biosphere Model) and the three-dimensional aerosol data simulated by the Goddard Chemistry Aerosol Radiation and Transport (GOCART) model. GCM simulations show that due to the scattering and absorption of solar radiation by dust particles, surface temperature decreases over both regions, accompanied by a reduced sensible heat flux. However, precipitation responses are different in these two regions. Due to differences in dust location and the associated heating with respect to the rainfall band and circulation, the effect of dust could either enhance or suppress precipitation. Over the North Africa region where dust particles are mainly located to the north of rainfall band, heating of the air column by dust particles forces a stronger ascent motion over dust layers, which induces an anomalous subsidence (or a weakened upward motion) and suppressed cyclonic circulation to its south where precipitation reduces. Furthermore, both humidity and cloud decrease due to the heating in the middle troposphere (semi-direct effect). In South/East Asia, dust particles are located in the upper troposphere over the major rainfall band during the monsoon season, especially Southwest India and the coastal area of Bay of Bengal. Heating of the air column increases upward motion and strengthens cyclonic circulation. Humidity also increases due to the draw-in of the low level moist air. Therefore, cloud and precipitation increase over South/East Asia associated with dust effect. During the pre-monsoon season, when dust particles are located to the north of the monsoon rainfall band, the heating effect results in shifting precipitation northward. The heating of air column due to dust particles, not surface cooling, plays the major role in precipitation changes. The anomalous upward motion over dust regions will induce a subsidence to its south and subsequently reduce precipitation over that region. Therefore, the responses of circulation and precipitation to aerosol forcing depend on the relative location of dust aerosols with respect to rainfall band, which may explain the fact that contradictory results exist regarding whether the aerosol effect would enhance or suppress precipitation. The dust induced change in precipitation is actually more of redistribution rather than the simple action of increase or decrease. © Springer-Verlag Berlin Heidelberg 2015.</t>
  </si>
  <si>
    <t>2-s2.0-84931397683"</t>
  </si>
  <si>
    <t>10.1002/2016GL070086</t>
  </si>
  <si>
    <t>https://www.scopus.com/inward/record.uri?eid=2-s2.0-84983754292&amp;doi=10.1002%2f2016GL070086&amp;partnerID=40&amp;md5=99693c8fb2bed2561c0739e29bf9d1f3</t>
  </si>
  <si>
    <t>Atmospheric rivers (ARs) are narrow filaments of high moisture transported within extratropical systems. The role of ARs as drivers of heavy precipitation and flooding has been well documented; however, little is known about the contribution of landfalling ARs to high sea water levels, which are the leading cause of coastal flooding. Here we assess the relationship between ARs and extreme hourly sea level time series at 15 tide gauges along the continental U.S. Pacific Coast. Results indicate that ARs are associated with 15% to 50% of the annual sea level maxima before (and 22% to 65% after) removing tidal oscillations. Strong associations are also found when using other high sea level metrics. From a climatic perspective, the frequency of extreme hourly sea levels tends to increase during the negative phase of the Arctic Oscillation and during the positive phases of the Pacific-North American pattern and the El Niño–Southern Oscillation.</t>
  </si>
  <si>
    <t>10.1016/j.ecoleng.2016.05.024</t>
  </si>
  <si>
    <t>https://www.scopus.com/inward/record.uri?eid=2-s2.0-84969632431&amp;doi=10.1016%2fj.ecoleng.2016.05.024&amp;partnerID=40&amp;md5=436163a9ad7015c40be60201dd81264a</t>
  </si>
  <si>
    <t>Salinity gradient and tidal flooding are two key factors in the newly created marshes of the Yellow River estuary as they are closely correlated with the accretion or erosion of tidal flat. To investigate the potential effects of tidal flat variations on decomposition and nutrient dynamics of Phragmites australis, Suaeda salsa and Suaeda glauca litters in the Yellow River estuary, the natural salinity and flooding gradients in the newly created tidal flat [high marsh (river bank), middle marsh and low marsh] were applied to simulate the variations of salinity and tidal flooding in the three typical halophyte communities. Results showed that the mass losses and decomposition rates of the three halophyte litters differed significantly along salinity and flooding gradients (p &lt; 0.05) and high decomposition rates were generally observed in high salinity and moisture. The responses of halophyte decomposition to salinity and flooding gradients also significantly differed among species (p &lt; 0.05). In high or middle salinity and moisture, the decomposition rates of different halophytes presented P. australis &gt; S. glauca &gt; S. salsa, while in low salinity and moisture, the order demonstrated S. glauca &gt; S. salsa &gt; P. australis. The C and N concentrations in the three halophytes along salinity and flooding gradients showed different variations, and, with the increasing of salinity and moisture, there was a tendency that the N in P. australis and S. salsa shifted from accumulation to release while those in S. glauca demonstrated strong release at all times. This study also indicated that salinity, tidal inundation and C/N ratios were three important factors affecting the differences in decomposition rates and C and N release patterns of the three halophytes. If the salinity and flooding frequency in P. australis and S. salsa communities were greatly increased, the decomposition rates would increase by 61.88-205.48% and 103.93%, and the C release after 571 days would increase by 40.23-83.49% and 30.12%, respectively</t>
  </si>
  <si>
    <t>10.1080/01431161.2016.1182666</t>
  </si>
  <si>
    <t>https://www.scopus.com/inward/record.uri?eid=2-s2.0-84967214943&amp;doi=10.1080%2f01431161.2016.1182666&amp;partnerID=40&amp;md5=2328fd595cf3924c293dcd755e31dddd</t>
  </si>
  <si>
    <t>Digital terrain models (DTMs) are of significant interest for applications such as environment planning, flood risk assessment or building detection. A digital surface model (DSM) can be obtained efficiently in both time and cost from light detection and ranging (lidar) acquisition or from digital photogrammetry with aerial or satellite stereoscopic imagery. A DTM can be derived from a DSM if the distinction between ground and non-ground pixels can be automated. We propose in this article a new automatic DSM-to-DTM transform targeting urban areas. Our approach segments the DSM twice: first to get large uniform regions normally corresponding to the road network and attached town squares, and second to obtain smoother areas. Smoother DSM areas overlapping the large regions are selected to populate the DTM, which is then completed by a hierarchical interpolation procedure. As a refinement step, unused smoother regions lying under this DTM are added to create, after interpolation, the final DTM. This approach is positioned relative to the literature about segmentation-based lidar ground filtering. The procedure was developed for DSM rasters. Since the DTM extraction is intended to be applied to large images, special attention was devoted to optimize image processing tasks relative to memory usage and execution time. The proposed development was integrated in a building detection procedure and validated qualitatively in the context of a benchmark on urban object detection of the International Society for Photogrammetry and Remote Sensing (ISPRS). It was also applied to Brussels data for which lidar DTMs are available. The DTM comparison supports the correctness of our solution although difficulties may be encountered in off-terrain regions surrounded by higher regions and some interiors of city blocks. A final test on a rural and peri-urban scene opens positive perspectives for scenes more general than urban areas. © 2016 Informa UK Limited, trading as Taylor &amp; Francis Group.</t>
  </si>
  <si>
    <t>2-s2.0-84967214943"</t>
  </si>
  <si>
    <t>10.5194/nhess-16-1583-2016</t>
  </si>
  <si>
    <t>https://www.scopus.com/inward/record.uri?eid=2-s2.0-84978253724&amp;doi=10.5194%2fnhess-16-1583-2016&amp;partnerID=40&amp;md5=d7795f0f96a98a0beeb31b9b9abbcd8f</t>
  </si>
  <si>
    <t>This study investigates current ground deformation derived from the GPS geodesy infrastructure in the Gulf of Mexico region. The positions and velocity vectors of 161 continuous GPS (CGPS) stations are presented with respect to a newly established local reference frame, the Stable Gulf of Mexico Reference Frame (SGOMRF). Thirteen long-term ( &gt;5 years) CGPS are used to realize the local reference frame. The root mean square (RMS) of the velocities of the 13 SGOMRF reference stations achieves 0.2mm yr-1 in the horizontal and 0.3mm yr-1 in the vertical directions. GPS observations presented in this study indicate significant land subsidence in the coastal area of southeastern Louisiana, the greater Houston metropolitan area, and two cities in Mexico (Aguascalientes and Mexico City). The most rapid subsidence is recorded at the Mexico City International airport, which is up to 26.6 cm yr-1 (2008-2014). Significant spatial variation of subsidence rates is observed in both Mexico City and the Houston area. The overall subsidence rate in the Houston area is decreasing. The subsidence rate in southeastern Louisiana is relatively smaller (4.0-6.0mm yr-1) but tends to be steady over time. This poses a potential threat to the safety of coastal infrastructure in the long-term. © 2016 Author(s).</t>
  </si>
  <si>
    <t>2-s2.0-84978253724"</t>
  </si>
  <si>
    <t>10.1016/j.geomorph.2016.05.011</t>
  </si>
  <si>
    <t>https://www.scopus.com/inward/record.uri?eid=2-s2.0-84969794918&amp;doi=10.1016%2fj.geomorph.2016.05.011&amp;partnerID=40&amp;md5=9c099b41ce256ab663af578b64e5b59b</t>
  </si>
  <si>
    <t>An important question for coastal management concerns the importance of individual storms and clusters of storms on longer term beach sediment budgets, beach and dune erosion, and coastal flood risk. Between October 2013 and March 2014 a series of deep Atlantic low pressure systems crossed the Northeast Atlantic, and strong winds, high waves and high water levels affected many coastal areas in the UK and other parts of western Europe. Net dune recession of up to 12.1 m occurred around Formby Point. On 5 December 2013 the highest water level ever recorded at Liverpool (6.22 m ODN) coincided with waves of Hs of 4.55 m and Tp of 9.3 s in Liverpool Bay. Wave trimming of the dune toe occurred along the entire length of the Sefton coast, but significant dune erosion occurred only where the upper beach (between the mean high water spring tide level and the dune toe) was &lt;25 m wide. Sediment budget calculations based on LiDAR surveys in October 2013 and May 2014 indicated a net loss of 127 × 103 m3 of sediment from the beach (above 0 m ODN) and a loss of 268 × 103 m3 from the frontal dune system, mostly at Formby Point. However, some parts of the beach to the south of Formby Point gained sediment, indicating net north to south transport over the winter. When considered in a longer term context, the 2013-14 winter represents only a small perturbation on the longer-term coast trend of erosion at Formby Point and progradation to the north and south. Analysis of LiDAR data over a longer time period 1999-2014 indicated upper beach and dune sediment loss of 780 × 103 m3 from the north-central part of Formby Point, with net gains of 806 × 103 m3 and 2116 × 103 m3 in areas to the north and south, respectively. This indicates a net onshore transport of 2142 × 103 m3 from Liverpool Bay towards the coast between Birkdale and Altcar, with a further net total of 210 × 103 m3 transported towards the shore between Altcar and Crosby. In view of the demonstrated value of airborne LiDAR surveys for the quantification of storm impacts and longer term coastal changes, it is recommended that such surveys should be undertaken before and after each winter storm period, covering the area between mean low water spring tide level and a line 200 m landward of the dune toe, of as a part of the regional coastal monitoring programme. © 2016 Elsevier B.V.</t>
  </si>
  <si>
    <t>2-s2.0-84969794918"</t>
  </si>
  <si>
    <t>10.1007/s10346-016-0702-x</t>
  </si>
  <si>
    <t>https://www.scopus.com/inward/record.uri?eid=2-s2.0-84962255169&amp;doi=10.1007%2fs10346-016-0702-x&amp;partnerID=40&amp;md5=8496895388640d302446f223bd4ad472</t>
  </si>
  <si>
    <t>On June 24, 2015, Hongyanzi slope located in Wushan County of the Three Gorges Reservoir collapsed, generating 5–6-m-high impulse waves, which overturned 13 boats, killed 2 persons, and injured 4 persons. It is the second incident of landslide-generated impulse waves since the 175-m experimental impoundment in 2008. The emergency investigation shows that Hongyanzi landslide is a bedding soil landslide with a volume of 23 × 104 m3 induced by a series of triggering factors such as rainfall, flooding upstream, and reservoir drawdown. The nonlinear Boussinesq water wave model is used to reproduce the impulse waves generated by the landslide of June 24th. The numerical simulation results suggest that the wave propagation process was influenced by the T-shaped geomorphic conditions of river valley, and the coastal areas in the county seat were the major wave-affected areas, which is opposite to the landslide. The numerical wave process accord well with the observed incident, and the investigation values were in good agreement with the calculated values. Moreover, the worst-case scenario of the 7 × 104 m3 deformation mass beside Hongyanzi landslide is potential to generate impulse waves, which was predicted with the same numerical model. This adjacent deformation mass will probably generate impulse waves with maximum height and run-up of 2.2 and 2.0 m, respectively, and only a very few areas in the water course had waves rising to a height of 1 m or above. The research results provide a technical basis for emergency disposal to Hongyanzi landslide and navigation restriction in Wushan waterway. More importantly, it pushes the risk management of the navigation based on the impulse wave generated by landslide. It is advised that the Three Gorges Reservoir and other reservoirs around the world should put more efforts in performing special surveys and studies on the potential hazards associated with landslide-generated impulse waves. © 2016, Springer-Verlag Berlin Heidelberg.</t>
  </si>
  <si>
    <t>2-s2.0-84962255169"</t>
  </si>
  <si>
    <t>10.1016/j.earscirev.2016.07.011</t>
  </si>
  <si>
    <t>https://www.scopus.com/inward/record.uri?eid=2-s2.0-84982830521&amp;doi=10.1016%2fj.earscirev.2016.07.011&amp;partnerID=40&amp;md5=49cecac108d5c12e1a72dde018d85084</t>
  </si>
  <si>
    <t>The world's coastlines are shaped by mean sea level, wave conditions, storm surge, and riverflows. Climate change (CC) driven variations in these environmental forcings will inevitably have a profound effect on the coastal zone. Given the continued growth of coastal communities and extremely high value of coastal assets worldwide, effective adaptation measures underpinned by reliable coastal CC impact assessments are essential to avoid massive future coastal zone losses. This review aims to promote the adoption of best practice in local scale assessments of potential physical impacts of CC on open sandy coasts by (a) summarising the potential first order physical impacts of CC, (b) suggesting a standard modelling framework for local scale CC impact assessments, (c) identifying future research needs to facilitate the effective implementation of the prescribed modelling framework, (d) suggesting ways to address the identified research needs, and (e) discussing how existing methods/tools may be used for CC impact assessments until more advanced methods/tools are developed. © 2016 The Author</t>
  </si>
  <si>
    <t>2-s2.0-84982830521"</t>
  </si>
  <si>
    <t>10.1007/s11069-016-2266-4</t>
  </si>
  <si>
    <t>https://www.scopus.com/inward/record.uri?eid=2-s2.0-84961182833&amp;doi=10.1007%2fs11069-016-2266-4&amp;partnerID=40&amp;md5=9093e4ac9203511b0cb7446b2edc1061</t>
  </si>
  <si>
    <t>In the delimitation of flood-prone areas, particularly in areas that are difficult to access using traditional flight equipment, the most critical problem is the generation of a high-quality DEM of the major and minor riverbed, in order to obtain several hydraulic parameters (e.g., the surface of the drainage section, average water velocity) with equivalent accuracy. The chosen area for the case study represents one with the greatest history of hydrological risk factors in the Someşul Mic basin, given the extreme previous hydrological events that have taken place (e.g., in the year 1995) as well as the limited capacity of the river for upstream river flow, and to handle the volume of the flash floods. In this study, the use of UAV technology coupled with Leica MultiStation for validation made it possible to achieve this performance. Another advantage was the existence of the hydrometric station situated in the middle of the study area, the information from which was used for statistics, calibration of the measurements and validation of the results obtained (roughness of the riverbed, the debit with an overflow possibility). The hydraulic calculations performed on the 11 transverse profiles, conducted using the GIS terrain model, led to the high accuracy defining of the flood-prone areas corresponding to the flows in the major riverbed with probabilities of 1 and 5 %. Also highlighted on the 2D and 3D images were several civilian areas at risk in the case of extreme hydrological events, related to maximum flow. © 2016, Springer Science+Business Media Dordrecht.</t>
  </si>
  <si>
    <t>2-s2.0-84961182833"</t>
  </si>
  <si>
    <t>10.1002/joc.4551</t>
  </si>
  <si>
    <t>https://www.scopus.com/inward/record.uri?eid=2-s2.0-84947997164&amp;doi=10.1002%2fjoc.4551&amp;partnerID=40&amp;md5=565e08c90ebbe5d31b2009942bb8fc7c</t>
  </si>
  <si>
    <t>Situated along the coast of southern China and facing the South China Sea, Hong Kong has been experiencing a significant rise in sea level by about 2.9 mm year−1 since the 1950s. For a densely populated coastal city prone to storm surge impacts during the passages of tropical cyclones, accentuated by the threat of sea-level rise as a result of global warming and local vertical land displacement, projection of the sea-level change for Hong Kong is essential for local risk assessment and long-term planning of adaptation measures. This study presented the projection of sea-level change in Hong Kong and its adjacent waters under the Representative Concentration Pathway 4.5 and 8.5 (RCP4.5 and RCP8.5) scenarios in the 21st century based on climate projections by models in phase 5 of Coupled Model Intercomparison Project, in combination with contributions from land ice and land water storage determined from published literatures, and local vertical land displacement as estimated by using continuous high-precision GPS observations in Hong Kong. The results show that the sea level in Hong Kong and its adjacent waters is projected to rise by 0.67 (0.50–0.84) m and 0.84 (0.63–1.07) m in 2081–2100 relative to 1986–2005 under RCP4.5 and RCP8.5, respectively, about 0.2 m higher than the global mean values projected by the Fifth Assessment Report of Intergovernmental Panel on Climate Change. The higher projected sea-level rise in Hong Kong and its adjacent waters as compared with the global mean values is primarily due to local vertical land displacement which contributes around 28% and 23% of the projected sea-level rise in 2081–2100 relative to 1986–2005 in the two respective RCP scenarios. © 2015 Royal Meteorological Society</t>
  </si>
  <si>
    <t>2-s2.0-84947997164"</t>
  </si>
  <si>
    <t>10.1007/s00484-015-1078-7</t>
  </si>
  <si>
    <t>https://www.scopus.com/inward/record.uri?eid=2-s2.0-84945312653&amp;doi=10.1007%2fs00484-015-1078-7&amp;partnerID=40&amp;md5=00255039b02757916924c3aed6518249</t>
  </si>
  <si>
    <t>Flooding causes significant public health issues. The Mekong Delta has been considered the region to be the most vulnerable to flooding in Vietnam. This study assessed the spatial vulnerability of the health impacts of flooding in the Mekong Delta region, Vietnam. This study applied a vulnerability assessment framework which was computed as the function of three dimensions: exposure, sensitivity, and adaptive capacity. The indicators for each dimension were derived from the relevant literature, consultations with experts, and data availability. An analytic hierarchy process (AHP) and a principal component analysis (PCA) were used to determine the weight of indicators. Vulnerability indexes (VIs) were then computed for each province. A total of 29 indicators (sensitivity index, 14</t>
  </si>
  <si>
    <t>10.1002/rra.2918</t>
  </si>
  <si>
    <t>https://www.scopus.com/inward/record.uri?eid=2-s2.0-84979053821&amp;doi=10.1002%2frra.2918&amp;partnerID=40&amp;md5=f125aa021cb75c2e874eddc5746dd980</t>
  </si>
  <si>
    <t>The development of three-dimensional reconstructions of channel morphology has historically been limited by the high costs of geospatial data collection and software modelling. Advances in image processing, sensor technology and portable remote-sensing platforms, however, now offer the opportunity to derive survey quality terrain models at significantly reduced cost and without traditional deployment and logistical constraints. There is a pressing need to establish whether new geospatial technologies such as structure-from-motion photogrammetry can be used to deliver topographic data products that are suitable for higher-dimensional hydrodynamic modelling. To address this question, we evaluate the results of simulations using Delft3D that were designed to model distributed, depth-averaged flows in a wide, shallow, gravel-bed braided river. The topography for these simulations was derived from digital elevation models (DEMs) generated using structure-from-motion and optical bathymetric mapping of two linked reaches of the Ahuriri River, New Zealand. The DEM quality achieved vertical surface errors of 0.10 m in non-vegetated areas and 0.20 m in inundated areas. Simulations with 1.5 m and 2.5 m resolution grids for low-flow, medium-flow and high-flow conditions were calibrated and tested against field real-time kinematic-global navigation satellite system observations. Results revealed that modelled depth errors were comparable to the DEM uncertainty, while simulated and observed inundation patterns achieve a maximum of 81% agreement. Given the complexity of the braided network and shallow flow depths, these simulations provide a powerful demonstration of the suitability of these terrain models for hydrodynamic applications. Copyright © 2015 John Wiley &amp; Sons, Ltd. Copyright © 2015 John Wiley &amp; Sons, Ltd.</t>
  </si>
  <si>
    <t>2-s2.0-84979053821"</t>
  </si>
  <si>
    <t>10.5194/esurf-4-567-2016</t>
  </si>
  <si>
    <t>https://www.scopus.com/inward/record.uri?eid=2-s2.0-84979986851&amp;doi=10.5194%2fesurf-4-567-2016&amp;partnerID=40&amp;md5=74af1a8f7209e252ef5d5d8d4ae35e9e</t>
  </si>
  <si>
    <t>Tunnel valleys have been widely reported on the bed of former ice sheets and are considered an important expression of subglacial meltwater drainage. Although known to have been cut by erosive meltwater flow, the water source and development of channels has been widely debated</t>
  </si>
  <si>
    <t>10.1007/s10584-016-1642-0</t>
  </si>
  <si>
    <t>https://www.scopus.com/inward/record.uri?eid=2-s2.0-84961135315&amp;doi=10.1007%2fs10584-016-1642-0&amp;partnerID=40&amp;md5=524df3bc8541f7ac3dec78e1adf48519</t>
  </si>
  <si>
    <t>Making decisions and efficiently allocating resources to reduce the vulnerability of coastal communities requires, among other things, an understanding of the factors that make a society vulnerable to climate and coastal hazards. One way of doing this is through the analysis of spatial data. We demonstrate how to apply GIS methods to spatially represent socioeconomic vulnerability in Grenada, a tropical small island developing state (SIDS) in the Eastern Caribbean. Our model combines spatial features representing variables of social sensitivity, community adaptive capacity, and community exposure to flooding in an integrated vulnerability index. We draw from the fields of climate change adaptation, disaster management, and poverty and development to select our variables enabling unique, cross sector, applications of our assessment. Mapping our results illustrates that vulnerability to flooding is not evenly distributed across the country and is not driven by the same factors in all areas of Grenada. This indicates a need for the implementation of different strategies in communities across Grenada to help effectively reduce vulnerability to climate and coastal hazards. The approach presented in this paper can be used to address national issues on climate change adaptation, disaster management, and poverty and development and more effectively utilize funds in order to reduce community vulnerability to natural hazards today and in the future. © 2016, The Author(s).</t>
  </si>
  <si>
    <t>2-s2.0-84961135315"</t>
  </si>
  <si>
    <t>10.1016/j.ocemod.2016.06.007</t>
  </si>
  <si>
    <t>https://www.scopus.com/inward/record.uri?eid=2-s2.0-84978823297&amp;doi=10.1016%2fj.ocemod.2016.06.007&amp;partnerID=40&amp;md5=cde43846e62dc574e3387a2e3f75a61e</t>
  </si>
  <si>
    <t>An unstructured grid wave-current coupled model was developed by coupling the SWAN (Simulating Waves Nearshore) wave model and ADCIRC (Advanced Circulation model) ocean model through the Model Coupling Toolkit (MCT). The developed coupled model has high spatial resolution in the coastal area and is efficient for computation. The efficiency of the newly developed SWAN + ADCIRC model was compared with that of the widely-used SWAN + ADCIRC coupled model, in which SWAN and ADCIRC are coupled directly rather than through the MCT. Results show that the directly-coupled model is more efficient when the total number of computational cores is small, but the MCT-coupled model begin to run faster than the directly-coupled model when more computational cores are used. The MCT-coupled model maintains the scalability longer and can increase the simulation efficiency more than 35% by comparing the minimum wall clock time of one day simulation in the test runs. The MCT-coupled SWAN + ADCIRC model was used to simulate the storm surge and waves during the typhoon Usagi which formed in the western Pacific on September 17, 2013 and landed at Shanwei, China. Three numerical experiments were performed to investigate the effect of wave-current interaction on the storm surge and waves. The results show that the coupled model can better simulate the storm surge and waves when considering the wave-induced radiation stress, the wave effect on the wind stress drag coefficient and the modulation of current and water level on waves. During the typhoon Usagi, the effect of wave radiation stress could result in a maximum of 0.75 m increase in the extreme storm surge, and the wave induced wind stress could cause a −0.82∼0.48 m change of the extreme storm surge near the coastal area. Besides, the radiation stress forced currents cannot be ignored either in the study of mass transport at coastal zones. Results of this study are useful for understanding the wave-current interaction processes and the development of the operational prediction technique for storm surge and waves. © 2016 Elsevier Ltd</t>
  </si>
  <si>
    <t>2-s2.0-84978823297"</t>
  </si>
  <si>
    <t>10.1002/2016GL069751</t>
  </si>
  <si>
    <t>https://www.scopus.com/inward/record.uri?eid=2-s2.0-84981308199&amp;doi=10.1002%2f2016GL069751&amp;partnerID=40&amp;md5=26e3fe697388c87344c0f9757a9fe448</t>
  </si>
  <si>
    <t>In March 2015 unusual ocean and atmospheric conditions produced many years' worth of rainfall in a ~48 h period over northern Chile's Atacama Desert, one of Earth's driest regions, resulting in catastrophic flooding. Here we describe the hydrologic and geomorphic drivers of and responses to the 2015 Atacama floods. In the Salado River, we estimated a flood peak discharge of approximately 1000 m3/s, which caused widespread damage and high sediment loads that were primarily derived from valley-fill erosion; hillslopes remained surprisingly intact despite their lack of vegetation. In the coastal city of Chañaral, flooding of the Salado River produced maximum water depths over 4.5 m, meters thick mud deposition in buildings and along city streets, and coastal erosion. The Atacama flooding has broad implications in the context of hazard reduction, erosion of contaminated legacy mine tailings, and the Atacama's status as a terrestrial analog for Mars.</t>
  </si>
  <si>
    <t>Journal of Computational and Applied Mathematics</t>
  </si>
  <si>
    <t>10.1016/j.cam.2016.01.029</t>
  </si>
  <si>
    <t>https://www.scopus.com/inward/record.uri?eid=2-s2.0-84959122650&amp;doi=10.1016%2fj.cam.2016.01.029&amp;partnerID=40&amp;md5=0e15bd45276ae733cdd7ed1c9b654b40</t>
  </si>
  <si>
    <t>The shallow water equations (SWE) are used to model a wide range of free-surface flows from dam breaks and riverine hydrodynamics to hurricane storm surge and atmospheric processes. Despite their frequent use and improvements in algorithm and processor performance, accurate resolution of these flows is a computationally intensive task for many regimes. The resulting computational burden persists as a barrier to the inclusion of fully resolved two-dimensional shallow water models in many applications, particularly when the analysis involves optimal design, parameter inversion, risk assessment, and/or uncertainty quantification. Here, we consider model reduction for a stabilized finite element approximation of the SWE that can resolve advection-dominated problems with shocks but is also suitable for more smoothly varying riverine and estuarine flows. The model reduction is performed using Galerkin projection on a global basis provided by Proper Orthogonal Decomposition (POD). To achieve realistic speedup, we evaluate alternative techniques for the reduction of the non-polynomial nonlinearities that arise in the stabilized formulation. We evaluate the schemes' performance by considering their accuracy, robustness, and speed for idealized test problems representative of dam-break and riverine flows. © 2016 Elsevier B.V. All rights reserved.</t>
  </si>
  <si>
    <t>2-s2.0-84959122650"</t>
  </si>
  <si>
    <t>10.1007/s11625-015-0352-2</t>
  </si>
  <si>
    <t>https://www.scopus.com/inward/record.uri?eid=2-s2.0-84957655905&amp;doi=10.1007%2fs11625-015-0352-2&amp;partnerID=40&amp;md5=0446a99c45170616e428a4482481a5cc</t>
  </si>
  <si>
    <t>The need for understanding the factors that trigger human responses to climate change has opened inquiries on the role of indigenous and local ecological knowledge (ILK) in facilitating or constraining social adaptation processes. Answers to the question of how ILK is helping or limiting smallholders to cope with increasing disturbances to the local hydro-climatic regime remain very limited in adaptation and mitigation studies and interventions. Herein, we discuss a case study on ILK as a resource used by expert farmer-fishers (locally known as Caboclos) to cope with the increasing threats on their livelihoods and environments generated by changing flood patterns in the Amazon delta region. While expert farmer-fishers are increasingly exposed to shocks and stresses, their ILK plays a key role in mitigating impacts and in strengthening their adaptive responses that are leading to a process of incremental adaptation (PIA). We argue that ILK is the most valuable resource used by expert farmer-fishers to adapt the spatial configuration and composition of their land-/resource-use systems (agrodiversity) and their produced and managed resources (agrobiodiversity) at landscape, community and household levels. We based our findings on ILK on data recorded for over the last 30 years using detailed ethnographic methodologies and multitemporal landscape mapping. We found that the ILK of expert farmer-fishers and their “tradition of change” have facilitated the PIA to intensify a particular production system to optimize production across a broad range of flood conditions and at the same time to manage or conserve forests to produce resources and services. © 2016, Springer Japan.</t>
  </si>
  <si>
    <t>2-s2.0-84957655905"</t>
  </si>
  <si>
    <t>10.1007/s10113-015-0878-y</t>
  </si>
  <si>
    <t>https://www.scopus.com/inward/record.uri?eid=2-s2.0-84945217778&amp;doi=10.1007%2fs10113-015-0878-y&amp;partnerID=40&amp;md5=8143cde001834a2d153f31899082aad2</t>
  </si>
  <si>
    <t>Sea-level rise (SLR) poses a significant threat to many coastal areas and will likely have important impacts on socio-economic development in those regions. Located on the eastern coast in China, the megacity of Shanghai is particularly vulnerable to SLR and associated storm surge risks. Using the municipality of Shanghai as a case study, the possible impacts of flooding risks caused by SLR and associated storm surges on socio-economic development in the region were analysed by a Source–Pathway–Receptor–Consequence (SPRC) conceptual model. The projections of flooding risk in the study area were simulated by MIKE21 (a two-dimensional hydrodynamic model) for the three time periods of 2030, 2050 and 2100. An index system for vulnerability assessment was devised, in which flooding depth, density of population, GDP per capita, GDP per unit land, loss rate under flooding and fiscal revenue were selected as the key indicators. A quantitative spatial assessment method based on a GIS platform was established by quantifying each indicator, calculating and then grading the vulnerability index. The results showed that in the 2030 projection, 99.3 % of the areas show no vulnerability to SLR and associated storm surges under the present infrastructure. By 2050, the areas with low, moderate and high vulnerabilities change significantly to 5.3, 8.0 and 23.9 %, respectively, while by 2100, the equivalent figures are 12.9, 6.3 and 30.7 %. The application of the SPRC model, the methodology and the results from this study could assist with the objective and quantitative assessment of the socio-economic vulnerability of other similar coastal regions undergoing the impacts of SLR and associated storm surges. Based on the results of this study, mitigation and adaptation measures should be considered, which include the controlling the rate of land subsidence, the reinforcement of coastal defence systems and the introduction of adaptation in long-term urban planning. © 2015, Springer-Verlag Berlin Heidelberg.</t>
  </si>
  <si>
    <t>2-s2.0-84945217778"</t>
  </si>
  <si>
    <t>10.1080/01490419.2016.1189471</t>
  </si>
  <si>
    <t>https://www.scopus.com/inward/record.uri?eid=2-s2.0-84975297458&amp;doi=10.1080%2f01490419.2016.1189471&amp;partnerID=40&amp;md5=c0da74daf790ca1490f12c77154ad5b8</t>
  </si>
  <si>
    <t>If the rising sea level due to climate change proceeds in the future with the rate observed in the past four decades, it could inundate some coastal lowlands. The aim of this paper is to assess future risk of sea-level rise (SLR) on the Nile delta of Egypt located along the Mediterranean Sea. Digital Elevation Models (DEMs) are verified, against ground control points, and used to identify areas susceptible to inundation due to future SLR. Analysis of DEMs maps and cross-shore profiles has identified locations that are vulnerable to SLR including coastal wetlands, agriculture areas, and urban neighborhoods. The results have revealed that about 7% of the Nile delta area is at risk of inundation due to future SLR. This information could be used by coastal zone managers in planning and protection of coastal areas. © 2016 Taylor &amp; Francis Group, LLC.</t>
  </si>
  <si>
    <t>2-s2.0-84975297458"</t>
  </si>
  <si>
    <t>10.1002/qj.2827</t>
  </si>
  <si>
    <t>https://www.scopus.com/inward/record.uri?eid=2-s2.0-84978209220&amp;doi=10.1002%2fqj.2827&amp;partnerID=40&amp;md5=b85a51374ba4cd9ff2f899118f6cbed8</t>
  </si>
  <si>
    <t>The Gulf of Antalya was affected by very heavy precipitation (238 mm in 6 h) that resulted in a devastating flash flood on 9 October 2011. Analysis of numerical model products, based on diagnostics and comparison with conventional and remote-sensing observations, indicates that the remarkable amount of accumulated precipitation was strongly modulated by mesoscale effects induced on the synoptic-scale flow. There was a sustained co-alignment of an upper-tropospheric tongue of high potential vorticity (PV) over a pre-existing low-level baroclinic region. Thermal advection by the low-level circulation at 925 hPa formed a warm equivalent potential temperature (EPT) anomaly ahead of the PV-streamer, enhancing the effects of pre-existing warm-moist advection. Interaction between the PV-streamer and thermodynamic processes at low levels set the scene for an enhanced dynamical feedback from the warm low-level anomaly to upper levels, and the tighter coupling led to further reinforcement of low-level warm-moist advection. A southwesterly low-level jet (LLJ) with high EPT transported conditionally unstable and moist air from the relatively warm Mediterranean Sea, and the sustained northeastward moisture flux was directed toward the concave segment of the Taurus Mountains. Quantitative precipitation forecasting (QPF) of the phenomenon is explored using the recently developed mesoscale ensemble prediction system – which is constructed by combining the Weather Research and Forecasting model with various ensemble approaches. QPF studies give the timing, location and amount reasonably well 72 h in advance. Sensitivity experiments have been carried out to explore the mesoscale aspects of the precipitating structures and their dependence on orography, surface (sensible and latent heat) fluxes and latent heating due to convection. © 2016 Royal Meteorological Society</t>
  </si>
  <si>
    <t>2-s2.0-84978209220"</t>
  </si>
  <si>
    <t>10.1007/s11069-016-2259-3</t>
  </si>
  <si>
    <t>https://www.scopus.com/inward/record.uri?eid=2-s2.0-84975645634&amp;doi=10.1007%2fs11069-016-2259-3&amp;partnerID=40&amp;md5=db924688ecafaabfc48638505fdbb351</t>
  </si>
  <si>
    <t>The present work evaluates potential future typhoon and storm surges around the islands of Samar and Leyte in the Philippines taking into account monthly mean sea surface temperatures, atmospheric air temperature, and relative humidity (hereafter, SST, AAT, and RH) from MIROC5 according to four scenarios proposed by IPCC AR5. Super-typhoon Haiyan (2013), which caused catastrophic damage to coastal areas in the Philippines due to its high winds and storm surge, was used as the case study storm given that it was one of the tropical cyclones recorded in modern history. In this study, the Advanced Research Weather Research and Forecasting Model (ARW-WRF) is used to estimate the characteristics of both the present-day Haiyan and a typhoon with a similar return period under the climate condition of the year 2100. The unstructured, Finite Volume Community Ocean Model (FVCOM) was used to estimate both the present and potential future storm surges. The research has two main focuses. First, both the historical event and its storm surge are simulated and contrasted with field measurements of the storm surge height in order to prove the accuracy of the model. Second, the future typhoon and storm surge are estimated using the monthly mean value differences in SST, AAT, and RH from MIROC5 between 2011–2020 and 2091–2100 for the different scenarios. The characteristics of the simulated typhoon route and storm surge heights agree well with those of the best track data and field measurements. The numerical results of the future typhoon show that, if climate change is considered to only increase SST, its intensity and storm surge will be larger than under the present climate. The minimum sea-level pressure (hereafter, MSLP) of the future typhoon under scenario RCP 8.5 would be about 21 hPa lower and the storm surge 2.7 m higher than in the present climate. However, if SST, AAT, and RH are also taken into account, then the increase in typhoon intensity will not be as marked as if only SST is considered, with the MSLP under RCP 8.5 decreasing only by 13 hPa and the storm surge increasing by 0.7 m. The results of the present research thus suggest that while increases in SST can contribute to the intensification of future typhoons, increases in AAT and RH will somehow moderate this effect. Nevertheless, all scenarios considered point out to stronger typhoons and higher storm surges, clearly highlighting the perils posed by future climate change. © 2016, Springer Science+Business Media Dordrecht.</t>
  </si>
  <si>
    <t>2-s2.0-84975645634"</t>
  </si>
  <si>
    <t>10.1002/2015JC011444</t>
  </si>
  <si>
    <t>https://www.scopus.com/inward/record.uri?eid=2-s2.0-84980392380&amp;doi=10.1002%2f2015JC011444&amp;partnerID=40&amp;md5=a088808f3141c0c268f5ace5ef28d6dd</t>
  </si>
  <si>
    <t>This study investigates the relevance of infragravity (IG) waves at Albufeira Lagoon Inlet, a shallow wave-dominated inlet located on the western coast of Portugal. A field experiment carried out in September 2010 revealed the occurrence of low-frequency oscillations (i.e., 25–300 s) in water levels and current velocities. While these fluctuations were present over the ebb-tidal delta along the whole tidal cycle, they only appeared between the beginning of the flood and up to 2 h after high tide inside the lagoon. The XBeach modeling system was applied to Albufeira Lagoon Inlet and reproduced the generation and propagation of IG waves and their blocking during the ebb. This behavior was explained by blocking due to opposing tidal currents reaching 2.5 m s−1 in shallow water depths. Numerical results suggest that the breakpoint mechanism and the long bound wave shoaling mechanisms contributed significantly to the generation of IG waves in the inlet. IG waves induced fluctuations in flood currents inside the lagoon reaching temporarily 100% of their magnitude. The fact that these fluctuations occur mostly at flood and not at ebb could promote flood dominance in the lagoon. This hypothesis will have to be verified, namely under storm wave conditions. © 2016 The Authors.</t>
  </si>
  <si>
    <t>2-s2.0-84980392380"</t>
  </si>
  <si>
    <t>10.1007/s10652-015-9441-0</t>
  </si>
  <si>
    <t>https://www.scopus.com/inward/record.uri?eid=2-s2.0-84951737663&amp;doi=10.1007%2fs10652-015-9441-0&amp;partnerID=40&amp;md5=04834d8fc5662bf8e64913f0d345b452</t>
  </si>
  <si>
    <t>An unstructured grid, two-dimensional hydrodynamic model was established and applied to the coast of Taiwan to investigate the tide-surge interaction. Tidal elevations at the open boundaries coupled with a global ocean tidal model and the meteorological conditions using a cyclone model are used to drive the model. The model was calibrated and verified with the observed tidal levels at six tidal stations for seven typhoon events to ascertain the capability and feasibility of the model. The results show reasonable agreement between the simulated and observed tidal levels. The validated model was then applied to probe the influence of tide-surge interaction on phase, water levels, and storm surge height. We found that the tide-surge interaction influenced both the magnitude and timing of the surge, which depended on the typhoon path. The storm surge heights at different tidal stations were significantly influenced by wind stresses and directions. The water level rise due to the storm surge during high tide was greater at neap tide than at spring tide. Changing tidal ranges altered the prediction of the surge enough to induce the changes in peak water levels. © 2015, Springer Science+Business Media Dordrecht.</t>
  </si>
  <si>
    <t>2-s2.0-84951737663"</t>
  </si>
  <si>
    <t>10.1002/2015JC011392</t>
  </si>
  <si>
    <t>https://www.scopus.com/inward/record.uri?eid=2-s2.0-84977142626&amp;doi=10.1002%2f2015JC011392&amp;partnerID=40&amp;md5=44f51997e53ec3aaa618dd4f6851aeff</t>
  </si>
  <si>
    <t>Aquatic vegetation in the coastal zone attenuates wave energy and reduces the risk of coastal hazards, e.g., flooding. Besides the attenuation of sea-swell waves, vegetation may also affect infragravity-band (IG) waves and wave setup. To date, knowledge on the effect of vegetation on IG waves and wave setup is lacking, while they are potentially important parameters for coastal risk assessment. In this study, the storm impact model XBeach is extended with formulations for attenuation of sea-swell and IG waves, and wave setup effects in two modes: the sea-swell wave phase-resolving (nonhydrostatic) and the phase-averaged (surfbeat) mode. In surfbeat mode, a wave shape model is implemented to capture the effect of nonlinear wave-vegetation interaction processes on wave setup. Both modeling modes are verified using data from two flume experiments with mimic vegetation and show good skill in computing the sea-swell and IG wave transformation, and wave setup. In surfbeat mode, the wave setup prediction greatly improves when using the wave shape model, while in nonhydrostatic mode (nonlinear) intrawave effects are directly accounted for. Subsequently, the model is used for a range of coastal geomorphological configurations by varying bed slope and vegetation extent. The results indicate that the effect of wave-vegetation interaction on wave setup may be relevant for a range of typical coastal geomorphological configurations (e.g., relatively steep to gentle slope coasts fronted by vegetation). © 2016. American Geophysical Union. All Rights Reserved.</t>
  </si>
  <si>
    <t>2-s2.0-84977142626"</t>
  </si>
  <si>
    <t>10.1016/j.scitotenv.2016.03.216</t>
  </si>
  <si>
    <t>https://www.scopus.com/inward/record.uri?eid=2-s2.0-84963610637&amp;doi=10.1016%2fj.scitotenv.2016.03.216&amp;partnerID=40&amp;md5=3cbeb4bb6e20c2b3978d3e8355d23cc1</t>
  </si>
  <si>
    <t>Human impact on the environment remains at the center of the debate on global environmental change. Using the Hong Kong-Shenzhen corridor in south China as an example, we present evidence that rapid urbanization and economic development in coastal areas were the dominant factors causing rapid changes in coastal waters. From 1990 to 2012, coastal seawater temperature increased ~. 0.060 °C per year, sea level rose 4.4 mm per year and pH decreased from 8.2 to 7.7, much faster than global averages. In the same period, there were exponential increases in the local population, gross domestic product and land fill area. Empirical analyses suggest that the large increase in the population affected local temperature, and economic development had a major impact on local pH. Results also show that pH and temperature were significantly correlated with local sea level rise, but pH had more predictive power, suggesting it could be considered a predictor for changes in local sea level. We conclude that human activities could significantly exacerbate local environmental changes which should be considered in predictive models and future development plans in coastal areas. © 2016 Elsevier B.V.</t>
  </si>
  <si>
    <t>2-s2.0-84963610637"</t>
  </si>
  <si>
    <t>10.5194/hess-20-3149-2016</t>
  </si>
  <si>
    <t>https://www.scopus.com/inward/record.uri?eid=2-s2.0-84988421828&amp;doi=10.5194%2fhess-20-3149-2016&amp;partnerID=40&amp;md5=f41b7dfa22a70517c37708200a7025b1</t>
  </si>
  <si>
    <t>The anticipation of sea-level rise and increases in extreme weather conditions has led to the initiation of an innovative coastal management project called the Sand Engine. In this pilot project a large volume of sand (21.5ĝ€millionĝ€m3) &amp;-also called sand replenishment or nourishment &amp;-was placed on the Dutch coast. The intention is that the sand is redistributed by wind, current, and tide, reinforcing local coastal defence structures and leading to a unique, dynamic environment. In this study we investigated the potential effect of the long-Term morphological evolution of the large sand replenishment and climate change on fresh groundwater resources. The potential effects on the local groundwater system were quantified with a calibrated three-dimensional (3-D) groundwater model, in which both variable-density groundwater flow and salt transport were simulated. Model simulations showed that the long-Term morphological evolution of the Sand Engine results in a substantial growth of fresh groundwater resources, in all adopted climate change scenarios. Thus, the application of a local sand replenishment could provide coastal areas the opportunity to combine coastal protection with an increase of the local fresh groundwater availability. © Author(s) 2016.</t>
  </si>
  <si>
    <t>2-s2.0-84988421828"</t>
  </si>
  <si>
    <t>10.1117/1.JRS.10.036013</t>
  </si>
  <si>
    <t>https://www.scopus.com/inward/record.uri?eid=2-s2.0-84982275930&amp;doi=10.1117%2f1.JRS.10.036013&amp;partnerID=40&amp;md5=552934e479eb638f1314f8f44da51965</t>
  </si>
  <si>
    <t>Airborne laser scanning survey data were conducted with a scanning density of 4 points/m2 to accurately map the surface of a unique central European complex of wetlands: the lower Biebrza River valley (Poland). A method to correct a degrading effect of vegetation (so-called ""vegetation effect"") on digital terrain models (DTMs) was applied utilizing remotely sensed images, real-time kinematic global positioning system elevation measurements, topographical surveys, and vegetation height measurements. Geographic object-based image analysis (GEOBIA) was performed to map vegetation within the study area that was used as categories from which vegetation height information was derived for the DTM correction. The final DTM was compared with a model obtained, where additional correction of the ""vegetation effect"" was neglected. A comparison between corrected and uncorrected DTMs demonstrated the importance of accurate topography through a simple presentation of the discrepancies arising in features of the flood using various DTM products. An overall map classification accuracy of 80% was attained with the use of GEOBIA. Correction factors developed for various types of the vegetation reached values from 0.08 up to 0.92 m and were dependent on the vegetation type. © The Authors.</t>
  </si>
  <si>
    <t>2-s2.0-84982275930"</t>
  </si>
  <si>
    <t>10.1016/j.geomorph.2016.04.002</t>
  </si>
  <si>
    <t>https://www.scopus.com/inward/record.uri?eid=2-s2.0-84963976786&amp;doi=10.1016%2fj.geomorph.2016.04.002&amp;partnerID=40&amp;md5=7695c8b88fd8cc4b7c0f7837a9d3a50a</t>
  </si>
  <si>
    <t>Fluvial, glacial, and estuarine deposits in the Delaware Valley record the response of the Delaware River to glaciation, sea-level change, and glacioisostasy during the Quaternary. Incision following an early Pleistocene glaciation created the present valley, which is inset into a Pliocene strath and fluvial plain. Middle and upper Pleistocene and Holocene deposits were laid down in this inset valley. Estuarine terraces in the lower valley and bayshore at +. 20 m (probably Marine Isotope Stage [MIS] 11), +. 8 m (MIS 5e), and +. 3 m (MIS 5a or c), and a fluvial deposit that correlates to offshore MIS 3 marine deposits at -. 20 m are at elevations consistent with glacioisostatic models. Successive incisions during lowstands in the middle and late Pleistocene lengthened, deepened, and narrowed the channel in the lower valley and shifted the channel westward in Delaware Bay. During MIS 2 glaciation, from 25 to 18 ka, the Delaware was diverted to the Hudson Shelf Valley by glacioisostatic tilting. Most glacial sediment was trapped in fluvial-lacustrine valley fills north of the terminal moraine. Incision of the valley fill was accomplished during the early stage of rebound, between 17 and 12 ka. Drainage to the Delaware shelf was restored between 15 and 13 ka as the forebulge collapsed. During incision, multiple postglacial terraces formed where the valley was perpendicular to rebound contours and so was steepened and elevated northward</t>
  </si>
  <si>
    <t>10.1007/s10230-016-0385-5</t>
  </si>
  <si>
    <t>https://www.scopus.com/inward/record.uri?eid=2-s2.0-84969677841&amp;doi=10.1007%2fs10230-016-0385-5&amp;partnerID=40&amp;md5=18c359766f032ae2ba6fa2b26127e6e5</t>
  </si>
  <si>
    <t>The study of groundwater flow from the coal seam floor is critical to safe mining operations in China. We developed a numerical simulation model to describe flood water pathways during mining, using the field conditions present at the no. 4196 west work face in the Panxi longwall coal mine, Shandong Province, China, Groundwater flow analysis revealed unusual values for the failure depth of the coal seam floor. The high ground stress and underground pressure, excavation length, width of working face, poor mechanical properties of aquitards, and expansion of fractures by groundwater infiltration all contribute to groundwater flow into the mine. The modeling results predict the time and longwall locations associated with the maximum likelihood of flood occurrence. Such results can be used by decision makers to improve mine design and safety. © 2016, Springer-Verlag Berlin Heidelberg.</t>
  </si>
  <si>
    <t>2-s2.0-84969677841"</t>
  </si>
  <si>
    <t>10.5194/os-12-875-2016</t>
  </si>
  <si>
    <t>https://www.scopus.com/inward/record.uri?eid=2-s2.0-84978045149&amp;doi=10.5194%2fos-12-875-2016&amp;partnerID=40&amp;md5=b355dd7ca12e5d81d2912fc9b24c2b08</t>
  </si>
  <si>
    <t>Densely populated coastal areas of the North Sea are particularly vulnerable to severe wave conditions, which overtop or damage sea defences leading to dangerous flooding. Around the shallow southern North Sea, where the coastal margin is lying low and population density is high, oceanographic modelling has helped to develop forecasting systems to predict flood risk. However, coastal areas of the deeper northern North Sea are also subject to regular storm damage, but there has been little or no effort to develop coastal wave models for these waters. Here, we present a high spatial resolution model of northeast Scottish coastal waters, simulating waves and the effect of tidal currents on wave propagation, driven by global ocean tides, far-field wave conditions, and local air pressure and wind stress. We show that the wave-current interactions and wave-wave interactions are particularly important for simulating the wave conditions close to the coast at various locations. The model can simulate the extreme conditions experienced when high (spring) tides are combined with sea-level surges and large Atlantic swell. Such a combination of extremes represents a high risk for damaging conditions along the Scottish coast. © Author(s) 2016.</t>
  </si>
  <si>
    <t>2-s2.0-84978045149"</t>
  </si>
  <si>
    <t>10.1002/hyp.10767</t>
  </si>
  <si>
    <t>https://www.scopus.com/inward/record.uri?eid=2-s2.0-84959866165&amp;doi=10.1002%2fhyp.10767&amp;partnerID=40&amp;md5=e663aa74a840c23c1466da20f5c3e192</t>
  </si>
  <si>
    <t>The aim of this study is to enhance the understanding of the occurrence of flood-generating events in urban areas by analysing the relationship between large-scale atmospheric circulation and extreme precipitation events, extreme sea water level events and their simultaneous occurrence, respectively. To describe the atmospheric circulation, we used the Lamb circulation type (LCT) classification and re-grouped it into Lamb circulation classes (LCC). The daily LCCs/LCTs were connected with rare precipitation and water-level events in Aarhus, a Danish coastal city. Westerly and cyclonic LCCs (W, C, SW and NW) showed a significantly high occurrence of extreme precipitation. Similarly, for extreme water-level events westerly LCCs (W and SW) showed a significantly high occurrence. Significantly low occurrence of extreme precipitation and water-level events was obtained in easterly LCCs (NE, E and SE). For concurrent events, significantly high occurrence was obtained in LCC W. We assessed the change in LCC occurrence frequency in the future based on two regional climate models (RCMs). The projections indicate that the westerly directions in LCCs are expected to increase in the future. Consequently, simultaneous occurrence of extreme water level and precipitation events is expected to increase in the future as a result of change in LCC frequencies. The RCM projections for LCC frequencies are uncertain because the representation of current LCCs is poor</t>
  </si>
  <si>
    <t>10.1007/s11625-016-0355-7</t>
  </si>
  <si>
    <t>https://www.scopus.com/inward/record.uri?eid=2-s2.0-84961149948&amp;doi=10.1007%2fs11625-016-0355-7&amp;partnerID=40&amp;md5=8b4cb83e04480a97b8239518bff08050</t>
  </si>
  <si>
    <t>The Amazon Delta and Estuary (ADE) is a region of continental and global ecological importance. Controversy, many of the basic infrastructure and services essential for quality of life and sustainable development of this delta are absent. Using a conceptual model to define socio-economic vulnerability in the urban ADE, a thorough assessment of indicators including sanitation services, housing conditions, household income, population, flood risk and unplanned settlements was conducted in 41 cities at the census sector scale (n = 2938). A multi criterion index was applied to classify urban vulnerability from three dimensions: flood exposure, socio-economic sensitivity and infrastructure. This is the first study to examine urban vulnerability within and between urban areas of the ADE. Results indicated that most of the urban sectors of the ADE are exposed to potential risks due to a combination of flood hazards, poverty and basic structural deficiencies such as insufficient drinking water or inadequate waste water collection, with several sectors being afflicted by similar problems. The assessment of vulnerability indicates that 60–90 % of the urban population live in conditions of moderate to high degree of vulnerability. The ADE cities presented a pattern where vulnerability increases from city center to their newly developed urban areas. Inadequate planning coupled with rapid urbanization has contributed to the development of unplanned settlements in almost half of the urban sectors of the ADE. Combined, these factors contribute to widespread socio-economic vulnerability along the urban spaces of the ADE, increasing exposure to health risks and more frequent seasonal and stochastic events such as storm surges and high flooding levels. © 2016, Springer Japan.</t>
  </si>
  <si>
    <t>2-s2.0-84961149948"</t>
  </si>
  <si>
    <t>10.1016/j.earscirev.2016.06.010</t>
  </si>
  <si>
    <t>https://www.scopus.com/inward/record.uri?eid=2-s2.0-84976901272&amp;doi=10.1016%2fj.earscirev.2016.06.010&amp;partnerID=40&amp;md5=f5a7ca2c45df274ed9af8f3533b06915</t>
  </si>
  <si>
    <t>For thousands of years, humans have created different types of terraces in different sloping conditions, meant to mitigate flood risks, reduce soil erosion and conserve water. These anthropogenic landscapes can be found in tropical and subtropical rainforests, deserts, and arid and semiarid mountains across the globe. Despite the long history, the roles of and the mechanisms by which terracing improves ecosystem services (ESs) remain poorly understood. Using literature synthesis and quantitative analysis, the worldwide types, distributions, major benefits and issues of terracing are presented in this review. A key terracing indicator, defined as the ratio of different ESs under terraced and non-terraced slopes (δ), was used to quantify the role of terracing in providing ESs. Our results indicated that ESs provided by terracing was generally positive because the mean values of δ were mostly greater than one. The most prominent role of terracing was found in erosion control (11.46 ± 2.34), followed by runoff reduction (2.60 ± 1.79), biomass accumulation (1.94 ± 0.59), soil water recharge (1.20 ± 0.23), and nutrient enhancement (1.20 ± 0.48). Terracing, to a lesser extent, could also enhance the survival rates of plant seedlings, promote ecosystem restoration, and increase crop yields. While slopes experiencing severe human disturbance (e.g., overgrazing and deforestation) can generally become more stable after terracing, negative effects of terracing may occur in poorly-designed or poorly-managed terraces. Among the reasons are the lack of environmental legislation, changes in traditional concepts and lifestyles of local people, as well as price decreases for agricultural products. All of these can accelerate terrace abandonment and degradation. In light of these findings, possible solutions regarding socio-economic changes and techniques to improve already degraded terraces are discussed. © 2016 Elsevier B.V.</t>
  </si>
  <si>
    <t>2-s2.0-84976901272"</t>
  </si>
  <si>
    <t>10.1111/1477-8947.12102</t>
  </si>
  <si>
    <t>https://www.scopus.com/inward/record.uri?eid=2-s2.0-84984620708&amp;doi=10.1111%2f1477-8947.12102&amp;partnerID=40&amp;md5=29b545b29250b5acc07ae2f59d272083</t>
  </si>
  <si>
    <t>The current discussion of anticipated climate change impacts and future sea level rise is particularly relevant to small island states. An increase in natural hazards, such as floods and storm waves, is likely to have a devastating impact on small islands' coastlines, severely affecting targeted sustainable development. Coastal erosion, notably human-induced erosion, has been an ongoing threat to small island biodiversity, resources, infrastructure, and settlements, as well as society at large. In the context of climate change, the problem of coastal erosion and the debate surrounding it is gaining momentum. Before attributing associated impacts to climate change, current human activities need to be analysed, focusing not only on geomorphological and climatological aspects, but also on political and traditional cultural frameworks. The objective of this paper is to demonstrate the importance of the social-political-ecological systems analysis for adaptation strategies, and thus for future sustainable development. Coastal use is based on human constructs of the coast, as well as local perceptions and values ascribed to the coast. We use the case study of Anjouan, Comoros to differentiate between constructive and destructive practices on the coast, from both a mental and technical perspective. Beach erosion is described as more than a resource problem that manifests itself locally rather than nationally. Divergent political scales of interest impact future development as much as local action. Local action is not least framed by mental contribution and attribution of coasts as places for living, recreation and resource use. The present case study demonstrates that mental constructs of coasts as valuable areas can, in some cases, lead to the protection and preservation of beaches by initiatives of collective action. At the same time, local communities see the negative impacts of sand mining as causes of coastal erosion and, therefore, it is difficult to mobilize them to adapt to climate change and sea level rise. © 2016 The Authors. Natural Resources Forum © 2016 United Nations</t>
  </si>
  <si>
    <t>2-s2.0-84984620708"</t>
  </si>
  <si>
    <t>10.1002/hyp.10797</t>
  </si>
  <si>
    <t>https://www.scopus.com/inward/record.uri?eid=2-s2.0-84959892466&amp;doi=10.1002%2fhyp.10797&amp;partnerID=40&amp;md5=3d13946ffb751aac542a15be01a2bbfc</t>
  </si>
  <si>
    <t>Past research investigated the surpassing of mean velocity at riffle cross sections by that at pool cross sections for flows up to bankfull, termed ‘velocity reversals’, to understand one mechanism by which riffle–pool relief is maintained. This study reenvisioned the classic velocity reversal by documenting stage-dependent changes to the locations of peak velocity without cross sections. Instead, the dynamics of peak velocity patches were considered for flows spanning 0.2 to 22 times bankfull discharge through the use of a high-resolution DEM and two-dimensional hydrodynamic modelling. A remarkable diversity in peak velocity patch behaviour was found across discharges, including gradual expansion and shifting as well as abrupt disappearance and emergence relative to the low-flow patch locations. These behaviours blended together to varying degrees to produce many reversals in peak velocity across morphological units, but it took substantially higher than bankfull discharge for peak velocities to move from riffles and chutes to fast glides and pools. The discharges at which reversals occurred among morphological units were significantly higher for the valley-confined reach than for the anastomosing reach. Copyright © 2016 John Wiley &amp; Sons, Ltd. Copyright © 2016 John Wiley &amp; Sons, Ltd.</t>
  </si>
  <si>
    <t>2-s2.0-84959892466"</t>
  </si>
  <si>
    <t>10.1080/02626667.2015.1019507</t>
  </si>
  <si>
    <t>https://www.scopus.com/inward/record.uri?eid=2-s2.0-84969821547&amp;doi=10.1080%2f02626667.2015.1019507&amp;partnerID=40&amp;md5=f914e02fe1f3f8deb0872540f60bc628</t>
  </si>
  <si>
    <t>This study assessed the utility of EUDEM, a recently released digital elevation model, to support flood inundation modelling. To this end, a comparison with other topographic data sources was performed (i.e. LIDAR, light detection and ranging; SRTM, Shuttle Radar Topographic Mission) on a 98-km reach of the River Po, between Cremona and Borgoforte (Italy). This comparison was implemented using different model structures while explicitly accounting for uncertainty in model parameters and upstream boundary conditions. This approach facilitated a comprehensive assessment of the uncertainty associated with hydraulic modelling of floods. For this test site, our results showed that the flood inundation models built on coarse resolutions data (EUDEM and SRTM) and simple one-dimensional model structure performed well during model evaluation.</t>
  </si>
  <si>
    <t>10.1016/j.gloplacha.2016.07.002</t>
  </si>
  <si>
    <t>https://www.scopus.com/inward/record.uri?eid=2-s2.0-84978761749&amp;doi=10.1016%2fj.gloplacha.2016.07.002&amp;partnerID=40&amp;md5=35794d308b331d238e5ee03e1e88f0e0</t>
  </si>
  <si>
    <t>In recent decades major water developments have led to an agricultural transformation of the Senegal delta both in Senegal and Mauritania. This otherwise, semi-arid region of the Sahel band now has an abundant supply of freshwater all year round mostly used for irrigation and urban water supply, including for the capital cities of the two countries. Archives from the Landsat satellites and in-situ hydrographs were used in this paper to retrace and analyse the hydrological changes that have taken place in the region since the middle of the 20th century. The satellite archives indicate that the area covered by irrigation increased by one order of magnitude from 73 km2 in 1973 to ~ 770 km2 in 2010. The observed hydrological changes are complex, multi-faceted and often of great magnitude. If the water cycle was representative of natural conditions in the early 1980s, it is now representative of a heavily modified system controlled and impacted by human activities. The first hydraulic infrastructure was installed in 1947 to enable the Lake of Guiers to become the main water supply for Dakar. Two large dams were built on the Senegal River in the mid-1980s that modified the hydrological regime of the river by 1) preventing seawater intrusion, 2) raising the stage of the river and of Lake of Guiers and 3) moderating floods. Another recent hydrological change in the delta was the opening of river mouth in 2003, which has led to a reduction of the average water level while increasing the semi-diurnal tidal wave between the river mouth and Diama. Each phase of these river regime changes and each step of the irrigation expansion are expressed in localised changes in the physical groundwater system. Increasingly, the retroaction from the shallow aquifer systems is observed as a rise of the saline water table. This poses a threat to the environmental and agricultural value of the region, and the salinization of the soils. Mitigating actions for this threat are currently being envisaged by the authorities. © 2016 Elsevier B.V.</t>
  </si>
  <si>
    <t>2-s2.0-84978761749"</t>
  </si>
  <si>
    <t>10.1007/s11356-015-5637-6</t>
  </si>
  <si>
    <t>https://www.scopus.com/inward/record.uri?eid=2-s2.0-84946118937&amp;doi=10.1007%2fs11356-015-5637-6&amp;partnerID=40&amp;md5=f90272ee30e45788f29d1845cbcde414</t>
  </si>
  <si>
    <t>The impact of viaduct construction on the vegetation of a river valley was studied in Central Poland (Natura 2000 site PLH100006). The research aimed at assessing the suitability of ALS (airborne laser scanning), soil, and botanical data for monitoring the environmental effects of right-of-way reclamation 1 year after the road construction. Based on the data mentioned above, the following problems were identified: changes in topography and hydrological conditions of the valley as a result of improper land levelling, the use of inadequate soil for reclamation, no spontaneous regeneration of natural vegetation along the entire right-of-way, as well as the abundant occurrence of invasive species. The results of analysis were used to define strategies for mitigation of adverse impacts of the viaduct construction. © 2015, The Author(s).</t>
  </si>
  <si>
    <t>2-s2.0-84946118937"</t>
  </si>
  <si>
    <t>10.1590/S1679-875920161195806403</t>
  </si>
  <si>
    <t>https://www.scopus.com/inward/record.uri?eid=2-s2.0-84990861890&amp;doi=10.1590%2fS1679-875920161195806403&amp;partnerID=40&amp;md5=766161afa44f4baa4e573713146629f9</t>
  </si>
  <si>
    <t>The applicability of a numerical model following a downscaling methodology was evaluated for the south-eastern Brazilian shelf (regional model) and Paranaguá estuarine system (local model). This approach permits the simulation of different scale processes, such as storm surges and coastal upwelling, and is suitable for operational forecasting purposes. When large areas are covered by regional models, the tidal propagation inside the domain can be significantly affected by the local tidal potential, mainly where the resonance phenomenon is observed. The south-eastern Brazilian shelf is known for the resonance of the third-diurnal principal lunar tidal constituent (M3), the largest amplitudes being found in the Paranaguá estuarine system. Therefore, the significance of the local tidal potential was assessed in this study for the most important tidal constituents inside the estuarine system (including M3). The model validation was performed with tidal gauge data, Argo float profiles and satellite measurements of Sea Surface Temperature. The methodology described in this study can be replicated for other important estuarine systems located on the south-eastern Brazilian shelf. Furthermore, the numerical model was developed within a perspective of operational nowcast/forecast simulations, useful for several activities such as navigation and response to emergencies (e.g., oil spills). © 2016, Universidade de Sao Paulo. All rights reserved.</t>
  </si>
  <si>
    <t>2-s2.0-84990861890"</t>
  </si>
  <si>
    <t>10.1007/s11069-016-2338-5</t>
  </si>
  <si>
    <t>https://www.scopus.com/inward/record.uri?eid=2-s2.0-84964687237&amp;doi=10.1007%2fs11069-016-2338-5&amp;partnerID=40&amp;md5=97231d864f0058b44747e58c10c371b5</t>
  </si>
  <si>
    <t>This paper highlights the high variability of the nature and severity of the impacts of Tropical Cyclone Bejisa (January 2014, category 3) along the 20-km-long beach–dune systems of the western coast of Reunion Island. Erosional impacts were reported on 17 out of 26 topographic transects, while nine transects exhibited accretion. Sediment loss and gain reached maximum average values of 1.23 and 0.36 m3/m of transect, respectively. Sediment deposition occurred on upper beaches and foredunes, which gained up to 1 m in thickness. After 1 year, beach resilience proved to be medium (from 0.4 to 0.8 m3/m) to high (&gt;0.8 m3/m) on 40 % of transects, but some transects exhibited permanent dune loss. Marine inundation reached a maximum distance of 70.8 m from the vegetation line and a maximum elevation of 6.9 m above sea level. The indigenous vegetation showed high resistance to the impacts of the cyclone and rapid regeneration, whereas introduced species were lastingly damaged. The cyclonic waves damaged 18 seawalls protecting either public infrastructures or private properties, half of which had been reconstructed 3 months later. Severe damage was also caused to a marina built in the downstream section of a river. Importantly, this study emphasises the vicious-cycle effects caused by “coastal compression” that exacerbates the devastating impacts of cyclonic waves on beaches, vegetation and protection structures, encouraging coastal residents to strengthen engineered structures. In accretional areas, the reworking of sediment deposits by residents reduced the long-term benefits of sediment deposition. Such human-induced processes increase asset exposure and vulnerability. © 2016, Springer Science+Business Media Dordrecht.</t>
  </si>
  <si>
    <t>2-s2.0-84964687237"</t>
  </si>
  <si>
    <t>10.3390/land5020016</t>
  </si>
  <si>
    <t>https://www.scopus.com/inward/record.uri?eid=2-s2.0-84978420493&amp;doi=10.3390%2fland5020016&amp;partnerID=40&amp;md5=2e218b03da049f2be94008adabe82b68</t>
  </si>
  <si>
    <t>Current and future impacts of climate change include increasing variability in a number of biophysical processes, such as temperature, precipitation, and flooding. The Intergovernmental Panel on Climate Change (IPCC) has suggested that Southern Africa is particularly vulnerable to the anticipated impacts from global climate change and that social and ecological systems in the region will be disrupted and likely transformed in future decades. This article engages with current research within geography and cognate disciplines on the possibilities for responsive livelihoods within socio-ecological systems experiencing biophysical change. The paper draws from an ongoing research project that is evaluating perceptions of environmental change, specifically of precipitation and flooding dynamics, in order to understand social responses. We report on the findings from qualitative interviewing conducted in 2010 and 2011 in the communities of Etsha 1, Etsha 6, and Etsha 13 within the Okavango Delta of Botswana. While flooding and precipitation patterns have been dynamic and spatially differentiated, some livelihood systems have proven rigid in their capacity to enable adaptive responses. We assert this demonstrates the need for detailed research on livelihood dynamics to support adjustments to biophysical variability within socio-ecological systems experiencing change. © 2016 by the authors.</t>
  </si>
  <si>
    <t>2-s2.0-84978420493"</t>
  </si>
  <si>
    <t>10.1007/s12145-016-0249-3</t>
  </si>
  <si>
    <t>https://www.scopus.com/inward/record.uri?eid=2-s2.0-84954167431&amp;doi=10.1007%2fs12145-016-0249-3&amp;partnerID=40&amp;md5=63bddb362126136a1fa322143ffb96cd</t>
  </si>
  <si>
    <t>Flat surfaces or areas with no local gradient are general types of terrain in raster Digital Elevation Models (DEMs). When a DEM is used for automated hydrological analysis, it is necessary to assign flow directions over flat surfaces. This paper presents an improved algorithm for assigning flow directions over flat surfaces that builds on earlier work and offers efficiency improvements. The improved algorithm use distance transform method to calculate the distance values of cells in flat surfaces towards lower terrain and away from higher terrain, which can replace the recursive process in the earlier algorithm by a linear process, and reduce random data access. Furthermore, the improved algorithm assigns weights with different values and signs to the two distance values to guarantee that all flat surfaces are drained, which avoids the need to label each flat surface using the flood-fill algorithm in the earlier work. Comparisons of speed indicate that the improved algorithm is more efficient in assigning flow directions over flat surfaces. © 2016, Springer-Verlag Berlin Heidelberg.</t>
  </si>
  <si>
    <t>2-s2.0-84954167431"</t>
  </si>
  <si>
    <t>Swiss Journal of Palaeontology</t>
  </si>
  <si>
    <t>10.1007/s13358-015-0105-y</t>
  </si>
  <si>
    <t>https://www.scopus.com/inward/record.uri?eid=2-s2.0-84979740991&amp;doi=10.1007%2fs13358-015-0105-y&amp;partnerID=40&amp;md5=03ffdf813155d4fb494c58ca9f03ba20</t>
  </si>
  <si>
    <t>The top of the Querales Formation is well exposed at the Quebrada Corralito section, 17 m thick, in northern Venezuela. The section, dominated by siliciclastic accumulations of fine-grained sediments, preserves one cycle of transgressive–regressive phases of the deltaic environments facing the marine platform. An X-ray analysis revealed kaolinite as the main clay mineral. The age ranges from late Early Miocene to early Middle Miocene—zones N8 to N9, Late Burdigalian to Langhian. The section shows low biodiversity, including eleven macroinvertebrate taxa and two ichnotaxa</t>
  </si>
  <si>
    <t>10.1007/s10584-016-1664-7</t>
  </si>
  <si>
    <t>https://www.scopus.com/inward/record.uri?eid=2-s2.0-84978904256&amp;doi=10.1007%2fs10584-016-1664-7&amp;partnerID=40&amp;md5=aeff0a8b8b778d91ab1f9460a3baf7a3</t>
  </si>
  <si>
    <t>Estimates of future flood hazards made under the assumption of stationary mean sea level are biased low due to sea-level rise (SLR). However, adjustments to flood return levels made assuming fixed increases of sea level are also inadequate when applied to sea level that is rising over time at an uncertain rate. SLR allowances—the height adjustment from historic flood levels that maintain under uncertainty the annual expected probability of flooding—are typically estimated independently of individual decision-makers’ preferences, such as time horizon, risk tolerance, and confidence in SLR projections. We provide a framework of SLR allowances that employs complete probability distributions of local SLR and a range of user-defined flood risk management preferences. Given non-stationary and uncertain sea-level rise, these metrics provide estimates of flood protection heights and offsets for different planning horizons in coastal areas. We illustrate the calculation of various allowance types for a set of long-duration tide gauges along U.S. coastlines. © 2016, The Author(s).</t>
  </si>
  <si>
    <t>2-s2.0-84978904256"</t>
  </si>
  <si>
    <t>10.1007/s11069-016-2399-5</t>
  </si>
  <si>
    <t>https://www.scopus.com/inward/record.uri?eid=2-s2.0-84973165114&amp;doi=10.1007%2fs11069-016-2399-5&amp;partnerID=40&amp;md5=232d6c3cf52a525c5e2b37e94f390513</t>
  </si>
  <si>
    <t>Wave runup in a shore platform environment has been acquired by in situ measurements at high tide and along field debris following the December 6, 2010, flood near Rimouski (Quebec, Canada), south coast of the St. Lawrence estuary. Using offshore wave data and beach slopes, a linear empirical runup relationship has been adjusted to the study site and showed good predictive results. Two types of beach slopes, the upper foreshore and foreshore slopes, have been assessed in order to calculate the surf similarity parameter. It appears that the foreshore slope, located between the coastline and the end of the foreshore at the seaward edge of the platform, shows best results. This slope was thus used to calculate the wave runup on the shore platform. A static flood map, adding wave runup to observed peak tidal level including the storm surge during the December 6, 2010, flood, has been realized on a LiDAR base layer for a specific site in Sainte-Luce. A second flood map has been applied to validate the approach on an external site in Sainte-Flavie, outside the study area. In both cases, predicted flood extents highly correspond to observed flooded area. High underpredictions occur when using the observed storm tide level only (a 182-year event) without runup, where only 5 and 4 % of the studied area are considered as flooded, respectively. It appears that in a shore platform environment, a wider foreshore reduces wave runup and flood levels. © 2016, Springer Science+Business Media Dordrecht.</t>
  </si>
  <si>
    <t>2-s2.0-84973165114"</t>
  </si>
  <si>
    <t>10.3390/ijgi5060097</t>
  </si>
  <si>
    <t>https://www.scopus.com/inward/record.uri?eid=2-s2.0-85111472367&amp;doi=10.3390%2fijgi5060097&amp;partnerID=40&amp;md5=7d4229d587b89ce9674a2e383c09e5dd</t>
  </si>
  <si>
    <t>Airborne Light Detection and Ranging (LiDAR) topographic data provide highly accurate digital terrain information, which is used widely in applications like creating flood insurance rate maps, forest and tree studies, coastal change mapping, soil and landscape classification, 3D urban modeling, river bank management, agricultural crop studies, etc. In this paper, we focus mainly on the use of LiDAR data in terrain modeling/Digital Elevation Model (DEM) generation. Technological advancements in building LiDAR sensors have enabled highly accurate and highly dense LiDAR point clouds, which have made possible high resolution modeling of terrain surfaces. However, high density data result in massive data volumes, which pose computing issues. Computational time required for dissemination, processing and storage of these data is directly proportional to the volume of the data. We describe a novel technique based on the slope map of the terrain, which addresses the challenging problem in the area of spatial data analysis, of reducing this dense LiDAR data without sacrificing its accuracy. To the best of our knowledge, this is the first ever landscape-driven data reduction algorithm. We also perform an empirical study, which shows that there is no significant loss in accuracy for the DEM generated from a 52% reduced LiDAR dataset generated by our algorithm, compared to the DEM generated from an original, complete LiDAR dataset. For the accuracy of our statistical analysis, we perform Root Mean Square Error (RMSE) comparing all of the grid points of the original DEM to the DEM generated by reduced data, instead of comparing a few random control points. Besides, our multi-core data reduction algorithm is highly scalable. We also describe a modified parallel Inverse Distance Weighted (IDW) spatial interpolation method and show that the DEMs it generates are time-efficient and have better accuracy than the one’s generated by the traditional IDW method. © 2016 by the authors</t>
  </si>
  <si>
    <t>10.1007/s11069-016-2218-z</t>
  </si>
  <si>
    <t>https://www.scopus.com/inward/record.uri?eid=2-s2.0-84958741780&amp;doi=10.1007%2fs11069-016-2218-z&amp;partnerID=40&amp;md5=5b5e33c7f4a898f2433ee74481551165</t>
  </si>
  <si>
    <t>Since the devastating earthquake of 2010 in Haiti, significant efforts have been devoted to estimating future seismic and tsunami hazard in Hispaniola. In 2013, following a workshop of experts, UNESCO commissioned an initial modeling study to assess tsunami hazard, essentially from seismic sources, along the North shore of Hispaniola (NSOH), which is shared by the Republic of Haiti (RH) and the Dominican Republic (DR). The scope of this study included detailed tsunami inundation mapping for two selected critical sites, Cap Haitien in RH and Puerto Plata in DR. Results of this effort are reported here, and, although still limited in scope, they are within the framework and contribute to the advancement of the UNESCO IOC Tsunami and other Coastal Hazards Warning System for the Caribbean and Adjacent Regions (CARIBE EWS</t>
  </si>
  <si>
    <t>10.47125/jesam/2016_1/02</t>
  </si>
  <si>
    <t>https://www.scopus.com/inward/record.uri?eid=2-s2.0-85029804412&amp;doi=10.47125%2fjesam%2f2016_1%2f02&amp;partnerID=40&amp;md5=63e35353e4520a677ff5da15713638e2</t>
  </si>
  <si>
    <t>The Province of Laguna has been identified as one of the most vulnerable to climate change. Despite the various efforts of the local government unit, the province still suffers massive damages brought about by typhoons, flooding and landslides. This signals the need for a better strategy to manage climate change related hazards. As a first step, it is necessary to characterize the vulnerability of households in the province. This study contributed towards this end a descriptive analysis of household exposure to impacts of climate related hazards and estimating a household’s vulnerability index using the Vulnerability as Expected Poverty (VEP) approach. The mean VEP for a per capita monthly poverty threshold of US$1.25 is 37%, 41% for US$1.5 and 46% for US$2.0. Among the different sectors, those dependent on aquaculture/fishery had the highest incidence of vulnerability followed by those dependent on employment in the manufacturing sector. In terms of geographical location, households in the coastal areas were found to have the highest incidence, followed by those in the lowland and lastly those in the midland to highland areas. © 2016, University of the Philippines Los Banos. All rights reserved.</t>
  </si>
  <si>
    <t>2-s2.0-85029804412"</t>
  </si>
  <si>
    <t>10.1002/joc.3646</t>
  </si>
  <si>
    <t>https://www.scopus.com/inward/record.uri?eid=2-s2.0-84971342585&amp;doi=10.1002%2fjoc.3646&amp;partnerID=40&amp;md5=00c6c4d8456f58dbd8298cea6b23929a</t>
  </si>
  <si>
    <t>Sea level height variability along the coast of southwestern Europe is analyzed in relation with local and regional scale atmospheric forcing mechanisms. A circulation type (CP) catalogue, derived from a combination of principal component analysis and cluster analysis was used to characterize the regional scale atmospheric circulation, whereas the local scale was highlighted through the analysis of hourly wind records during extreme events. A large portion of common anomalous sea level variability at 6-hourly time frame can be explained by the effect of one CP, depicting a deep extra-tropical disturbance, close to the Iberian Peninsula, which represents the dominance of the inverse barometer mechanism. Other CPs can induce occasionally similar effects, but showing a spatially restricted scope, in relationship with the location of the main centres of action. Embedded into this synoptic framework, a local forcing, related to both meteorological processes (wind set up) and coastal oceanographic features (depth of the continental shelf) usually control the timing and less frequently, the magnitude of the surges. The decreasing trend observed in the magnitude of the sea level residuals derived from a hindcast model as well as some spatial differences (more intense trend in the upper percentiles along the northern Spain and Mediterranean coasts) can also be explained by long-term changes in the frequency, and specially, in the internal variability of the CPs, which might be linked to the recent positive phase and eastward displacement of the southern node of the North Atlantic Oscillation. An overall increase in sea level pressure, detected in all CPs, has been accompanied by significant increases in types characterized by anticyclones over the Iberian Peninsula and decreases of northerly flows, related to a reduction of the number of cyclones passing through the Gulf of Biscay and the Western Mediterranean Basin. © 2016 Royal Meteorological Society.</t>
  </si>
  <si>
    <t>2-s2.0-84971342585"</t>
  </si>
  <si>
    <t>10.1007/s00190-016-0913-x</t>
  </si>
  <si>
    <t>https://www.scopus.com/inward/record.uri?eid=2-s2.0-84969754332&amp;doi=10.1007%2fs00190-016-0913-x&amp;partnerID=40&amp;md5=a2aada0b1239b3ec24cb0c16caf91f0f</t>
  </si>
  <si>
    <t>W0 is defined as the potential value of a particular level surface of the Earth’s gravity field called the geoid. Since the most accepted definition of the geoid is understood to be the equipotential surface that coincides with the worldwide mean ocean surface, a usual approximation of W0 is the averaged potential value WS at the mean sea surface. In this way, the value of W0 depends not only on the Earth’s gravity field modelling, but also on the conventions defining the mean sea surface. W0 computations performed since 2005 demonstrate that current published estimations differ by up to -2.6m2s-2 (corresponding to a level difference of about 27 cm), which could be caused by the differences in the treatment of the input data. The main objective of this study is to perform a new W0 estimation relying on the newest gravity field and sea surface models and applying standardised data and procedures. This also includes a detailed description of the processing procedure to ensure the reproducibility of the results. The following aspects are analysed in this paper: (1) sensitivity of the W0 estimation to the Earth’s gravity field model (especially omission and commission errors and time-dependent Earth’s gravity field changes)</t>
  </si>
  <si>
    <t>10.3390/geosciences6020024</t>
  </si>
  <si>
    <t>https://www.scopus.com/inward/record.uri?eid=2-s2.0-84964821234&amp;doi=10.3390%2fgeosciences6020024&amp;partnerID=40&amp;md5=2f29d74321c7f24b130f32802bdb758c</t>
  </si>
  <si>
    <t>Tropical Storm Debby brought severe flooding to portions of southwestern Florida during the summer of 2012. Remotely-sensed images were collected to document the flooding and test the results of Hydrologic and Hydraulic (H &amp; H) storm water models constructed by the Southwest Florida Water Management District (SWFWMD). One image, a satellite, multi-band SPOT image was provided to the SWFWMD by the Federal Emergency Management Agency (FEMA). This image was collected within 48 h of the storm event. The SWFWMD also contracted for a very high resolution (60 cm Ground Sample Distance (GSD)) fCIR image to be captured for selected watersheds in Citrus, Hernando and Pasco counties, the areas most impacted by the flooding. Modeled floodplain results were compared to remotely-sensed images that were georeferenced and analyzed using remote sensing techniques. The higher resolution fCIR images more clearly identified flooding for better comparison with modeled results. Although the fCIR images, which were collected three to four days after the storm event, under predicted the overall extent of the modeled floodplain, as the images could not confirm the presence of flooding in areas obscured by dense vegetation, they did consistently confirm both the location and shape of flooding simulated by the model. By using image analysis methods on the Near-Infrared (NIR) band of the fCIR image in conjunction with the Digital Elevation Model (DEM), however, it was possible to identify the extent of flooding in those obscured areas. Field surveys of high water elevations indicated that many locations had receded within hours of the storm event, limiting the ability of the fCIR image from capturing peak flood level in all areas. Overall, these remotely-sensed images provided a good validation of predicted flood levels for a design storm of the magnitude of Tropical Storm Debby. © 2016 by the authors</t>
  </si>
  <si>
    <t>10.1111/1745-5871.12170</t>
  </si>
  <si>
    <t>https://www.scopus.com/inward/record.uri?eid=2-s2.0-84955564097&amp;doi=10.1111%2f1745-5871.12170&amp;partnerID=40&amp;md5=1fbd6c9eb1e9e9c89acffc24b881381f</t>
  </si>
  <si>
    <t>The impacts on the Australian coast of a changing climate include environmental and property damage arising from increased frequency and severity of coastal weather events, storm surge, coastal erosion, and coastal flooding. Coastal management policies and planning laws are often relied upon to manage both the impacts and competing interests in the coast. The existence of these policies and laws, and their interpretation by the courts, bears a weight of expectation upon them to deliver in the face of climate change which merits further consideration. Indeed, a rich field is open from which to consider the constitution and construction of law in and across different places, in the context of climate change adaptation. The Australian coast is a unique and locally specific context from which to explore the relationship between law and place as performed in the Vaughan litigation, and this paper considers such important potential as it gains expression in the Vaughan litigation. © 2016 Institute of Australian Geographers. © 2016 Institute of Australian Geographers</t>
  </si>
  <si>
    <t>2-s2.0-84955564097"</t>
  </si>
  <si>
    <t>10.1016/j.ejrh.2016.05.003</t>
  </si>
  <si>
    <t>https://www.scopus.com/inward/record.uri?eid=2-s2.0-84973097223&amp;doi=10.1016%2fj.ejrh.2016.05.003&amp;partnerID=40&amp;md5=2ebae4877efbd62bcc9a3fb69f60f5f9</t>
  </si>
  <si>
    <t>Study region: Okavango Delta, Middle Kalahari, NW Botswana. Study focus: We investigated the effect of evapotranspiration on the evolution of dissolved inorganic carbon (DIC) and stable carbon isotopes of DIC (δ13CDIC) in the Okavango River. We measured the DIC concentrations and the δ13CDIC for samples collected over a 400 km reach of the river in the Okavango Delta during flood conditions and non-flood conditions. In addition, we incubated river samples collected from the proximal portion (Mohembo) and the distal portion (Maun) of the Delta and subsequently evaporated the samples by ~90% under ambient conditions. New hydrological insights: We found a 379% and 500% increase in the DIC concentrations and a δ13CDIC increase of 3.9‰ and 6.1‰ in the river during the flood non-flood conditions, respectively. The DIC concentrations of evaporated river samples increased by 535% for the Mohembo and by 850% for the Maun samples. The increase in the δ13CDIC of the evaporated river samples resulted from CO2(g) loss during chemical equilibrium with atmospheric CO2(g) followed by carbon exchange between DIC and atmospheric CO2(g). Although the δ13CDIC increased spatially for the Okavango River, it never reached the value of ~0‰ expected for equilibration of river DIC with atmospheric CO2(g). The results of the evaporated river samples suggest that isotopic enrichment from equilibration in Okavango River was balanced by respiration and photo-oxidation of carbon-depleted dissolved organic matter. © 2016 The Authors.</t>
  </si>
  <si>
    <t>2-s2.0-84973097223"</t>
  </si>
  <si>
    <t>10.1007/s10584-016-1644-y</t>
  </si>
  <si>
    <t>https://www.scopus.com/inward/record.uri?eid=2-s2.0-84961212043&amp;doi=10.1007%2fs10584-016-1644-y&amp;partnerID=40&amp;md5=403327e17b0fff3ac42e83551a659d06</t>
  </si>
  <si>
    <t>Evidence on the impacts of climate change is rapidly increasing but there is little change to the speed of climate adaptation by governments and individuals. There are multiple barriers to climate adaptation, including among others: the lack of the public understanding of risks, lack of leadership and availability of resources to adapt. In this study, we assess to what extent coastal residents understand their properties’ flood risk, and what predicts their risk perception and adaptation behaviour. We surveyed 420 individuals in South East Queensland projected to be within the permanent or temporary flood zone in 2100 based on combined sea-level rise and storm surge scenarios. We assessed the correlations between the projected (i.e. objective) and perceived risk of inundation, adaptation behaviour, and the individual characteristics considered to influence risk perception and adaptation. While we found a correlation between perceived and some objective flood risks, perceived risk only partially reflected objective risk. Other factors that influenced risk perception were previous experience of flooding events, belief in climate change, risk aversion, age and gender. Factors driving risk perception varied with the type (permanent, temporary) and frequency of flooding event (1 in 20 or 1 in 100 years). Previous experience with extreme event impacts and belief in climate change influenced all future perceived risks. However, even after being impacted by an extreme event, adaptation was moderate (58 %). Personal as well as environmental factors influence the likelihood of adaptation. The moderate adaptation response within our case study is likely a result of most respondents considering large flooding events to be rare and of limited impact, and anticipating future government aid to overcome flooding damage costs. Existing attitudes towards risk, which influence the extent of proactive adaptation, should be of concern to governments who will likely be facing these costs at increasing frequencies. © 2016, Springer Science+Business Media Dordrecht.</t>
  </si>
  <si>
    <t>2-s2.0-84961212043"</t>
  </si>
  <si>
    <t>10.1016/j.earscirev.2015.12.001</t>
  </si>
  <si>
    <t>https://www.scopus.com/inward/record.uri?eid=2-s2.0-84960085514&amp;doi=10.1016%2fj.earscirev.2015.12.001&amp;partnerID=40&amp;md5=447554465933874bd7ded70e4b084d1a</t>
  </si>
  <si>
    <t>Coastal zones in the vicinity of tidal inlets are commonly utilised for navigation, fishing, sand mining, waterfront development and recreation and are under very high population pressure. Any negative impacts of climate change (CC) on inlet environment are therefore very likely to result in significant socio-economic impacts. CC driven variations in mean water level (i.e. SLR), wave conditions and riverflow are likely to affect the stability of, particularly, the thousands of Small Tidal Inlets (STIs, or bar-built/barrier estuary systems) around the world. The combination of their predominant occurrence in developing countries, socio-economic relevance and low community resilience, general lack of data, and high sensitivity to seasonal forcing makes STIs potentially very vulnerable to CC impacts.This article summarises potential CC impacts on the stability of STIs and discusses means by which these CC impacts maybe quantified using existing modelling tools. As presently available process based models cannot be confidently applied with concurrent time varying water level, wave and riverflow forcing over typical CC impact assessment time scales (~. 100 years), a 'snap-shot' simulation (~. 1 year duration) approach using process based coastal area morphodyamic models is proposed for qualitative assessments of CC impacts on STIs. As the modelling approach will by necessity depend on the level of data availability, two different 'snap-shot' modelling frameworks for 'data rich' and 'data poor' environments are presented. Process based multi-scale coastal area morphodynamic models and scale aggregated (or reduced complexity) morphodynamic models are identified as modelling approaches that may be pursued in the future to obtain more reliable assessments of CC impacts on STI stability. © 2015 Elsevier B.V.</t>
  </si>
  <si>
    <t>2-s2.0-84960085514"</t>
  </si>
  <si>
    <t>10.5194/os-12-613-2016</t>
  </si>
  <si>
    <t>https://www.scopus.com/inward/record.uri?eid=2-s2.0-84966746509&amp;doi=10.5194%2fos-12-613-2016&amp;partnerID=40&amp;md5=fb2b54e82ea1ff6cfd9243819d386507</t>
  </si>
  <si>
    <t>Singapore is an island state with considerable population, industries, commerce and transport located in coastal areas at elevations less than 2 m making it vulnerable to sea level rise. Mitigation against future inundation events requires a quantitative assessment of risk. To address this need, regional projections of changes in (i) long-term mean sea level and (ii) the frequency of extreme storm surge and wave events have been combined to explore potential changes to coastal flood risk over the 21st century. Local changes in time-mean sea level were evaluated using the process-based climate model data and methods presented in the United Nations Intergovernmental Panel on Climate Change Fifth Assessment Report (IPCC AR5). Regional surge and wave solutions extending from 1980 to 2100 were generated using ∼ 12 km resolution surge (Nucleus for European Modelling of the Ocean - NEMO) and wave (WaveWatchIII) models. Ocean simulations were forced by output from a selection of four downscaled (∼ 12 km resolution) atmospheric models, forced at the lateral boundaries by global climate model simulations generated for the IPCC AR5. Long-term trends in skew surge and significant wave height were then assessed using a generalised extreme value model, fit to the largest modelled events each year. An additional atmospheric solution downscaled from the ERA-Interim global reanalysis was used to force historical ocean model simulations extending from 1980 to 2010, enabling a quantitative assessment of model skill. Simulated historical sea-surface height and significant wave height time series were compared to tide gauge data and satellite altimetry data, respectively. Central estimates of the long-term mean sea level rise at Singapore by 2100 were projected to be 0.52 m (0.74 m) under the Representative Concentration Pathway (RCP)4.5 (8.5) scenarios. Trends in surge and significant wave height 2-year return levels were found to be statistically insignificant and/or physically very small under the more severe RCP8.5 scenario. We conclude that changes to long-term mean sea level constitute the dominant signal of change to the projected inundation risk for Singapore during the 21st century. We note that the largest recorded surge residual in the Singapore Strait of ∼ 84 cm lies between the central and upper estimates of sea level rise by 2100, highlighting the vulnerability of the region. © Author(s) 2016.</t>
  </si>
  <si>
    <t>2-s2.0-84966746509"</t>
  </si>
  <si>
    <t>10.1016/j.geomorph.2015.06.015</t>
  </si>
  <si>
    <t>https://www.scopus.com/inward/record.uri?eid=2-s2.0-84931335366&amp;doi=10.1016%2fj.geomorph.2015.06.015&amp;partnerID=40&amp;md5=40eef3a2651f4f8679a4ea06fb9f6b68</t>
  </si>
  <si>
    <t>Natural barriers such as waterfalls, cascades, rapids and riffles limit the dispersal and in-stream range of migratory fish, yet little is known of the interplay between these gradient dependent landforms, their hydraulic characteristics and flow rates that facilitate fish passage. The resurgence of dam construction in numerous river basins world-wide provides impetus to the development of robust techniques for assessment of the effects of downstream flow regime changes on natural fish passage barriers and associated consequences as to the length of rivers available to migratory species. This paper outlines a multi-scale technique for quantifying the relative magnitude of natural fish passage barriers in river systems and flow rates that facilitate passage by fish. First, a GIS-based approach is used to quantify channel gradients for the length of river or reach under investigation from a high resolution DEM, setting the magnitude of identified passage barriers in a longer context (tens to hundreds of km). Second, LiDAR, topographic and bathymetric survey-based hydrodynamic modelling is used to assess flow rates that can be regarded as facilitating passage across specific barriers identified by the river to reach scale gradient analysis. Examples of multi-scale approaches to fish passage assessment for flood-flow and low-flow passage issues are provided from the Clarence and Shoalhaven Rivers, NSW, Australia. In these river systems, passive acoustic telemetry data on actual movements and migrations by Australian bass (Macquaria novemaculeata) provide a means of validating modelled assessments of flow rates associated with successful fish passage across natural barriers. Analysis of actual fish movements across passage barriers in these river systems indicates that two dimensional hydraulic modelling can usefully quantify flow rates associated with the facilitation of fish passage across natural barriers by a majority of individual fishes for use in management decisions regarding environmental or instream flows. © 2015 Elsevier B.V.</t>
  </si>
  <si>
    <t>2-s2.0-84931335366"</t>
  </si>
  <si>
    <t>10.1007/s11069-016-2178-3</t>
  </si>
  <si>
    <t>https://www.scopus.com/inward/record.uri?eid=2-s2.0-84962675655&amp;doi=10.1007%2fs11069-016-2178-3&amp;partnerID=40&amp;md5=56bff6b591ca9b8b92640f21b91865f4</t>
  </si>
  <si>
    <t>Improving natural disaster resilience is one of the important methods for coping with climate change and natural disasters, and quantitative evaluation of natural disaster resilience is the primary problem to be solved urgently. In this paper, an index system for evaluating regional flood disaster resilience is constructed based on a review of the literature regarding natural disaster resilience and with full consideration of the five dimensions (i.e., nature, society, economy, technology and management) which have a great influence on flood disaster resilience. Subsequently, the overall level and five dimensions of flood disaster resilience in the Chaohu Lake Basin can be evaluated quantitatively by adopting analytic network process to dynamically analyze the influencing relationships of factors. The results obtained in this research indicate that: (1) overall, the majority of the Chaohu Lake Basin exhibits intermediate to high flood disaster resilience, but there are distinct variations within the basin. The resilience is clearly influenced by the natural dimension indexes, the highest resilience levels are mainly located in the hilly, mountainous regions, and the lowest resilience levels mainly occur in the south–southeast plain of the Chaohu Lake Basin and the river estuary of the Chaohu Lake. Considering the administrative regions, the regions with the greatest areas of intermediate and high resilience are Hefei Municipal District, Chaohu City, Feidong County, Feixi County, Lujiang County, Hanshan County, Shucheng County, most parts of He County, Wuwei County and Jiujiang District of Wuhu City. (2) Preliminary validation indicates that evaluation results regarding flood disaster resilience in the Chaohu Lake Basin are consistent with the actual conditions. Therefore, the evaluation results and method can provide a valuable approach to the rapid diagnosis of weak links in the construction of flood disaster resilience infrastructure and will ultimately improve the level of flood disaster resilience in the Chaohu Lake Basin. © 2016, Springer Science+Business Media Dordrecht.</t>
  </si>
  <si>
    <t>2-s2.0-84962675655"</t>
  </si>
  <si>
    <t>10.1007/s10236-016-0942-2</t>
  </si>
  <si>
    <t>https://www.scopus.com/inward/record.uri?eid=2-s2.0-84961204733&amp;doi=10.1007%2fs10236-016-0942-2&amp;partnerID=40&amp;md5=f637f1c6006ac13ec2d1c5e6c2d06460</t>
  </si>
  <si>
    <t>Sea level variations and extreme events are a major threat for coastal zones. This threat is expected to worsen with time because low-lying coastal areas are expected to become more vulnerable to flooding and land loss as sea level rises in response to climate change. Sea level variations in the coastal ocean result from a combination of different processes that act at different spatial and temporal scales. In this study, the relative importance of processes causing coastal sea level variability at different time-scales is evaluated. Contributions from the altimetry-derived sea-level (including the sea level rise due to the ocean warming and land ice loss in response to climate change), dynamical atmospheric forcing induced sea level (surges), wave-induced run-up and set-up, and astronomical tides are estimated from observational datasets and reanalyses. As these processes impact the coast differently, evaluating their importance is essential for assessment of the local coastline vulnerability. A case study is developed in the Gulf of Guinea over the 1993–2012 period. The leading contributors to sea level variability off Cotonou differ depending on the time-scales considered. The trend is largely dominated by processes included in altimetric data and to a lesser extent by swell-waves run-up. The latter dominates interannual variations. Swell-waves run-up and tides dominate subannual variability. Extreme events are due to the conjunction of high tides and large swell run-up, exhibiting a clear seasonal cycle with more events in boreal summer and a trend mostly related to the trend in altimetric-derived sea-level. © 2016, Springer-Verlag Berlin Heidelberg.</t>
  </si>
  <si>
    <t>2-s2.0-84961204733"</t>
  </si>
  <si>
    <t>10.1002/2015EF000331</t>
  </si>
  <si>
    <t>https://www.scopus.com/inward/record.uri?eid=2-s2.0-85006184640&amp;doi=10.1002%2f2015EF000331&amp;partnerID=40&amp;md5=cd0027f1b7e666dfdeba29b2022cca54</t>
  </si>
  <si>
    <t>Predictions of coastal evolution driven by episodic and persistent processes associated with storms and relative sea-level rise (SLR) are required to test our understanding, evaluate our predictive capability, and to provide guidance for coastal management decisions. Previous work demonstrated that the spatial variability of long-term shoreline change can be predicted using observed SLR rates, tide range, wave height, coastal slope, and a characterization of the geomorphic setting. The shoreline is not sufficient to indicate which processes are important in causing shoreline change, such as overwash that depends on coastal dune elevations. Predicting dune height is intrinsically important to assess future storm vulnerability. Here, we enhance shoreline-change predictions by including dune height as a variable in a statistical modeling approach. Dune height can also be used as an input variable, but it does not improve the shoreline-change prediction skill. Dune-height input does help to reduce prediction uncertainty. That is, by including dune height, the prediction is more precise but not more accurate. Comparing hindcast evaluations, better predictive skill was found when predicting dune height (0.8) compared with shoreline change (0.6). The skill depends on the level of detail of the model and we identify an optimized model that has high skill and minimal overfitting. The predictive model can be implemented with a range of forecast scenarios, and we illustrate the impacts of a higher future sea-level. This scenario shows that the shoreline change becomes increasingly erosional and more uncertain. Predicted dune heights are lower and the dune height uncertainty decreases. Published 2016. This article is a U.S. Government work and is in the public domain in the USA.</t>
  </si>
  <si>
    <t>2-s2.0-85006184640"</t>
  </si>
  <si>
    <t>10.1002/2015JB012608</t>
  </si>
  <si>
    <t>https://www.scopus.com/inward/record.uri?eid=2-s2.0-84969785545&amp;doi=10.1002%2f2015JB012608&amp;partnerID=40&amp;md5=f74fcfd7db95969d69658753e944ce00</t>
  </si>
  <si>
    <t>Complex landforms, miscellaneous climates, and enormous populations have influenced various geophysical phenomena in China, which range from water depletion in the underground to retreating glaciers on high mountains and have attracted abundant scientific interest. This paper, which utilizes gravity observations during 2003–2014 from the Gravity Recovery and Climate Experiment (GRACE), intends to comprehensively estimate the mass status in 16 drainage basins in the region. We propose a multibasin inversion method that features resistance to stripe noise and an ability to alleviate signal attenuation from the truncation and smoothing of GRACE data. The results show both positive and negative trends. Tremendous mass accumulation has occurred from the Tibetan Plateau (12.1 ± 0.6 Gt/yr) to the Yangtze River (7.7 ± 1.3 Gt/yr) and southeastern coastal areas, which is suggested to involve an increase in the groundwater storage, lake and reservoir water volume, and the flow of materials from tectonic processes. Additionally, mass loss has occurred in the Huang-Huai-Hai-Liao River Basin (−10.2 ± 0.9 Gt/yr), the Brahmaputra-Nujiang-Lancang River Basin (−15.0 ± 1.1 Gt/yr), and Tienshan Mountain (−4.1 ± 0.3 Gt/yr), a result of groundwater pumping and glacier melting. Areas with groundwater depletion are consistent with the distribution of cities with land subsidence in North China. We find that intensified precipitation can alter the local water supply and that GRACE can adequately capture these dynamics, which could be instructive for China's South-to-North Water Diversion hydrologic project. ©2016. American Geophysical Union. All Rights Reserved.</t>
  </si>
  <si>
    <t>2-s2.0-84969785545"</t>
  </si>
  <si>
    <t>10.1007/s11625-015-0344-2</t>
  </si>
  <si>
    <t>https://www.scopus.com/inward/record.uri?eid=2-s2.0-84949578041&amp;doi=10.1007%2fs11625-015-0344-2&amp;partnerID=40&amp;md5=a35c45ef700e2daccbe3536e9fbd59e4</t>
  </si>
  <si>
    <t>Sound, cost efficient management strategies in developed coastal zones can be reinforced by a thorough understanding of risks associated with the combination of anthropogenic and natural drivers of change. A Regional Risk Assessment (RRA) methodology was developed for the assessment of the potential impacts of climate change in the Tunisian coastal zone of the Gulf of Gabes. It is based on the use of Multi-Criteria Decision Analysis techniques and Geographic Information Systems and is designed to support the development and prioritization of adaptation strategies. The RRA focuses on sea-level rise and storm surge flooding impacts for human and natural systems, i.e., beaches, wetlands, urban areas, agricultural areas, and terrestrial ecosystems. Results suggest that for both of the studied climate change impacts, i.e., sea-level rise and storm surge flooding, the area potentially exposed is limited to a narrow, low elevation region adjacent to the shoreline. However, the exposed areas showed a high relative risk score, obtained by the integration of exposure and susceptibility factors. Beaches have the lowest relative risk scores, while wetlands and terrestrial ecosystems have the higher relative risk scores. The final outputs of the analysis (i.e., exposure, susceptibility, and risk maps) can support end-users in the establishment of relative priorities for intervention and in the identification of suitable areas for human settlements, infrastructure, and economic activities, thus providing a basis for coastal zoning and land-use planning. © 2015, Springer Japan.</t>
  </si>
  <si>
    <t>2-s2.0-84949578041"</t>
  </si>
  <si>
    <t>10.1016/j.jhydrol.2016.01.083</t>
  </si>
  <si>
    <t>https://www.scopus.com/inward/record.uri?eid=2-s2.0-84957927019&amp;doi=10.1016%2fj.jhydrol.2016.01.083&amp;partnerID=40&amp;md5=213d8036406ee6e47824aa8b47336e25</t>
  </si>
  <si>
    <t>Sea-level rise (SLR) influences groundwater hydraulics and in particular seawater intrusion (SWI) in many coastal aquifers. The quantification of the combined and relative impacts of influential factors on SWI has not previously been considered in coastal aquifers. In the present study, a systematic review of the available literature on this topic is first provided. Then, the potential remaining challenges are scrutinized. Open questions on the effects of more realistic complexities such as gradual SLR, parameter uncertainties, and the associated influences in decision-making models are issues requiring further investigation.We assess and quantify the seawater toe location under the impacts of SLR in combination with recharge rate variations, land-surface inundation (LSI) due to SLR, aquifer bed slope variation, and changing landward boundary conditions (LWBCs). This is the first study to include all of these factors in a single analysis framework. Both analytical and numerical models are used for these sensitivity assessments. It is demonstrated that (1) LSI caused by SLR has a significant incremental impact on the seawater toe location, especially in the flatter coasts and the flux-controlled (FC) LWBCs, however this impact is less than the reported orders of magnitude differences which were estimated using only analytical solutions</t>
  </si>
  <si>
    <t>10.1080/01431161.2015.1136450</t>
  </si>
  <si>
    <t>https://www.scopus.com/inward/record.uri?eid=2-s2.0-84955111985&amp;doi=10.1080%2f01431161.2015.1136450&amp;partnerID=40&amp;md5=388f0722c60fe1409deeff5c382b7f70</t>
  </si>
  <si>
    <t>The occurrence of natural disasters is almost impossible to reduce, but its impact can be minimized by an initial assessment related to tsunami vulnerability mapping and the observation of tsunami inundation areas. The development of remote-sensing technology and its applications enable the use of satellite imagery for observing the areas affected areas by tsunami. This study aims to recognize areas potentially affected by tsunami and to develop a method for extracting the required information from medium-resolution satellite images (ALOS AVNIR-2) for tsunami-affected areas in the coastal area of Miyagi and Iwate Prefecture, Japan. The analysis focuses on land change due to tsunami events using parameters of vegetation, water, and soil calculated using the algorithms normalized difference vegetation index (NDVI), normalized difference water index (NDWI), normalized difference soil index (NDSI), and modified soil-adjusted vegetation index (MSAVI). Areas of inundation are created using spatial multi-criteria analysis with the use of several parameters. The analysis shows that tsunamis led to a decrease in both NDVI and MSAVI values and an increase in NDSI and NDWI. Index ranges were calculated for the tsunami-inundated areas using post-event images. It is considered that pixels having all of the indices in these ranges can be identified as tsunami inundation areas. Index ranges in the inundated areas are 0.00–0.075 for NDVI, 0.075–0.25 for NDWI, −0.237 to −0.137 for NDSI, and 0.012–0.037 for the MSAVI. The results of our analysis show the potential of the algorithms in delineating areas that could be affected by a tsunami disaster. © 2016 Informa UK Limited, trading as Taylor &amp; Francis Group.</t>
  </si>
  <si>
    <t>2-s2.0-84955111985"</t>
  </si>
  <si>
    <t>10.1002/hyp.10750</t>
  </si>
  <si>
    <t>https://www.scopus.com/inward/record.uri?eid=2-s2.0-84952683396&amp;doi=10.1002%2fhyp.10750&amp;partnerID=40&amp;md5=fb413f6e15135abb8510f08da8bd28c6</t>
  </si>
  <si>
    <t>Wetlands play a significant role on the hydrological cycle, reducing flood peaks through water storage functions and sustaining low flows through slow water release ability. However, their impacts on water resources availability and flood control are mainly driven by wetland type (e.g. isolated wetland-IW-and riparian wetland-RW) and location within a watershed. Consequently, assessing the qualitative and quantitative impact of wetlands on hydrological regimes has become a relevant issue for scientists as well as stakeholders and decision-makers. In this study, the distributed hydrological model, HYDROTEL, was used to investigate the role and impact of the geographic distribution of isolated and RWs on stream flows of the Becancour River watershed of the St Lawrence Lowlands, Quebec, Canada. The model was set up and calibrated using available datasets (i.e. DEM, soil, wetland distribution, climate, land cover, and hydrometeorological data for the 1969-2010 period). Different wetland theoretical location tests (WTLT) were simulated. Results were used to determine whether stream flow parameters, related to peak flows and low flows, were related to: (i) geographic location of wetlands, (ii) typology of wetlands, and (iii) seasonality. The contribution of a particular wetland was assessed using intrinsic characteristics (e.g. surface area, typology) and extrinsic factors (e.g. location in the watershed landscape and seasonality). Through these investigations, the results suggest, to some extent, that both IWs and RWs impact landscape hydrology. The more IWs are located in the upper part of the watershed, the greater their effect on both on high flow damping and low flow support seems to be. The more RWs are connected to a main stream, the greater their effect is. Our modelling results indicate that local landscape conditions may influence the wetland effect</t>
  </si>
  <si>
    <t>10.1080/01431161.2016.1163748</t>
  </si>
  <si>
    <t>https://www.scopus.com/inward/record.uri?eid=2-s2.0-84962668679&amp;doi=10.1080%2f01431161.2016.1163748&amp;partnerID=40&amp;md5=e7722a2fe1b7c5554b4cadd20a3d187e</t>
  </si>
  <si>
    <t>This study combined a radar-based time series of Hurricane Sandy surge and estimated persistence with optical sensor-based marsh condition change to assess potential causal linkages of surge persistence and marsh condition change along the New Jersey Atlantic Ocean coast. Results based on processed TerraSAR-X and COSMO-SkyMed synthetic aperture radar (SAR) images indicated that surge flooding persisted for 12 h past landfall in marshes from Great Bay to Great Egg Harbor Bay and up to 59 h after landfall in many back-barrier lagoon marshes. Marsh condition change (i.e. loss of green marsh vegetation) was assessed from optical satellite images (Satellite Pour l’Observation de la Terre and Moderate Resolution Imaging Spectroradiometer) collected before and after Hurricane Sandy. High change in condition often showed spatial correspondence, with high surge persistence in marsh surrounding the lagoon portion of Great Bay, while in contrast, low change and high persistence spatial correspondence dominated the interior marshes of the Great Bay and Great Egg Harbor Bay estuaries. Salinity measurements suggest that these areas were influenced by freshwater discharges after landfall possibly mitigating damage. Back-barrier marshes outside these regions exhibited mixed correspondences. In some cases, topographic features supporting longer surge persistence suggested that non-correspondence between radar and optical data-based results may be due to differential resilience</t>
  </si>
  <si>
    <t>10.3178/hrl.10.21</t>
  </si>
  <si>
    <t>https://www.scopus.com/inward/record.uri?eid=2-s2.0-84977508145&amp;doi=10.3178%2fhrl.10.21&amp;partnerID=40&amp;md5=c5775f11b30241894b671be1b4fa82fb</t>
  </si>
  <si>
    <t>This study develops a tide propagation model in order to forecast water levels and velocities at a given time and location for the largest city in the Mekong Delta, Can Tho City. The simulation model is applied to a complex waterway system that is characterised by a number of small canals and tributaries, which connect with the main stream. The model, which is verified by comparison with observed water levels during a typical dry season, enables examination of the mechanisms of tidal propagation, which have an impact on floods, inundation and saline water intrusion. The model analysis indicates that the difference in tidal amplitude between a connecting tributary and the main stream is small, whereas the flow velocity largely varies depending on the location. The flow velocity in the tributary, which exceeded 1 m/s, is almost three times that of the main river. This kind of local amplification in flow velocity is important when evaluating flood/inundation risks in urban areas of the Mekong Delta, as small ships are likely to encounter difficulties in handling or risk being overturned due to unexpectedly rapid flows that occur during these abnormal high tides or typhoon storm surges. © 2016, Japan Society of Hydrology and Water Resources.</t>
  </si>
  <si>
    <t>2-s2.0-84977508145"</t>
  </si>
  <si>
    <t>10.1016/j.envsci.2016.02.002</t>
  </si>
  <si>
    <t>https://www.scopus.com/inward/record.uri?eid=2-s2.0-84960192571&amp;doi=10.1016%2fj.envsci.2016.02.002&amp;partnerID=40&amp;md5=02ac74259d8a5e10ba5ed5ad6c7fb9d0</t>
  </si>
  <si>
    <t>Sea-level rise due to climate change creates new risks of submersion in coastal areas that must be taken into account. Although these are long-term risks for 2100, it is important to anticipate possible consequences in order to identify the most vulnerable areas or issues and develop the appropriate adaptation policies. The aim of this paper is to examine the consequences of such sea-level rise for wetlands in the Languedoc-Roussillon region (France) which is particularly at risk of submersion. The analysis is based on the worst case scenario of a one meter sea level rise by 2100, with a variety of adaptive strategies: denial, laissez-faire and strategic retreat of infrastructure and buildings. This latter strategy assumes that the retreat wetlands is unconstrained. The evaluation examines the losses and transformations of ecological habitats, depending on their distance from salt water. Estimating damages and benefits requires first, to study the evolution of the services supplied by different habitats and second, to estimate the value of the economic impact. This approach demonstrates the superiority of a strategic retreat policy which would halve the damages resulting from submersion. © 2016 Elsevier Ltd.</t>
  </si>
  <si>
    <t>2-s2.0-84960192571"</t>
  </si>
  <si>
    <t>10.1002/hyp.10642</t>
  </si>
  <si>
    <t>https://www.scopus.com/inward/record.uri?eid=2-s2.0-84959533778&amp;doi=10.1002%2fhyp.10642&amp;partnerID=40&amp;md5=bfa50354475722733be0773f66712975</t>
  </si>
  <si>
    <t>In the Vietnamese Mekong Delta (VMD), water levels at some stations have increased. However, the factors that cause this rise in the VMD have not been identified. We considered four factors that may have contributed to the water level rise: (1) increased runoff from upstream, (2) sea-level rise, (3) land subsidence, and (4) decrease in flood mitigation function because of construction of high dykes. We analysed daily maximum and minimum water levels, and mean daily water levels from 24 monitoring stations from 1987 to 2006. Using daily and annual water level differences, we classified the delta into two groups: one is dominated by flows from upstream, while the other is tide dominated. We then tested the trends of annual maximum and minimum water levels using the Mann-Kendall test, and identified the slope of the trend using the method of Sen. The areas of dyke construction were estimated using the Enhanced Vegetation Index (EVI) and Land Surface Water Index (LSWI) from the Moderate Resolution Imaging Spectroradiometer (MODIS) data. Results show (1) river inflow has little impact on rising water levels in the VMD, (2) the influence of high dykes on water level rise could not be quantified in this study, and (3) both maximum and minimum water levels significantly increased in the tide-dominated area. Trend of annual minimum water level can be considered as the sum sea-level rise and land subsidence. Therefore, we attribute 6.05mmyear-1 (80%) to land subsidence and 1.42mmyear-1 (20%) to sea level rise, indicating that inundations have been severe in the VMD, caused primarily by land subsidence. © 2016 John Wiley &amp; Sons, Ltd.</t>
  </si>
  <si>
    <t>2-s2.0-84959533778"</t>
  </si>
  <si>
    <t>10.1016/j.epsl.2016.01.027</t>
  </si>
  <si>
    <t>https://www.scopus.com/inward/record.uri?eid=2-s2.0-84956680492&amp;doi=10.1016%2fj.epsl.2016.01.027&amp;partnerID=40&amp;md5=4178b91513a860de8c5d3bfc032143f3</t>
  </si>
  <si>
    <t>This study aims to quantify the vertical motions driving the decadal coastline mobility and their uncertainty at global scale. Multisatellite altimetry is combined with tide gauges and Global Positioning System (GPS) observations to evaluate the marine and crustal components of relative sea level variations. Vertical land motions and sea level variations are estimated simultaneously over the past 20 years for a network of 886 ground stations, with accuracies better than 1.7 mm/yr. The ALTIGAPS database present significant interest both by its technical characteristics (global coverage, larger number of sites, longer period of observation, improved accuracy) and by the novelty of the applications empowered. ALTIGAPS offers the opportunity to look independently into the recent dynamic processes affecting the ocean and the interior of the Earth. Here, the role of vertical land motions in relative sea level variations is explored to better understand the natural hazards associated with sea level rise in coastal areas. Global evidence for the local variability in vertical land motions is provided, which may either amplify or attenuate the apparent rise of the sea at the coast. A set of 182 potential vulnerable localities are identified by large coastal subsidence (&gt;1.5 mm/yr) which increases by several times the effects of climate-induced sea level rise. For coastal management purposes, both marine (absolute sea level variations) and crustal (vertical land motions) components of vertical coastal motions (relative sea level variations) should therefore be accounted for. © 2016 Elsevier B.V.</t>
  </si>
  <si>
    <t>2-s2.0-84956680492"</t>
  </si>
  <si>
    <t>10.3389/fenvs.2016.00019</t>
  </si>
  <si>
    <t>https://www.scopus.com/inward/record.uri?eid=2-s2.0-85021213823&amp;doi=10.3389%2ffenvs.2016.00019&amp;partnerID=40&amp;md5=b973cd3ea52728cc09f6087e705ded1b</t>
  </si>
  <si>
    <t>The Vietnamese Mekong Delta has undergone in recent years a considerable transformation in agricultural land-use, fueled by a boom of the exportation, an increase of population, a focus on intensive crops, but also environmental factors like sea level rise or the progression of soil salinity. These transformations have been, however, largely misestimated by the 10-year agricultural plans designed at the provincial levels, on the predictions of which, though, most of the large-scale investments (irrigation infrastructures, protection against flooding or salinity intrusion, and so on) are normally planned. This situation raises the question of how to explain the divergence between the predictions used as a basis for these plans and the actual situation. Answering it could, as a matter of fact, offer some insights on the dynamics at play and hopefully allow designing them more accurately. The dynamics of land-use change at a scale of a region results from the interactions between heterogeneous actors and factors at different scales, among them institutional policies, individual farming choices, land-cover and environmental changes, economic conditions, social dynamics, just to name a few. Understanding its evolution, for example, in this case, to better support agricultural planning, therefore requires the use of models that can represent the individual contributions of each actor or factor, and of course their interactions. We address this question through the design of an integrated hybrid model of land-use change in a specific and carefully chosen case study, which relies on the central hypothesis that the main force driving land-use change is actually the individual choices made by farmers at their local level. Farmers are the actors who decide (or not) to switch from one culture to another and the shifts observed at more global levels (village, district, province, region) are considered, in this model, as a consequence of the aggregation of these individual decisions. The central component of our hybrid model is then an agent-based model of farmers, provided with a sophisticated mechanism of decision-making that is influenced, at different degrees, by their perception of the contexts in which they act or interact with other actors. The economic context, accessible by them through the market prices of crops, plays a role, as well as the changes observed or forecasted in their physical context (land-cover changes, salinity rise) or the decisions made by others in their social context (neighbors, family members, opinion leaders). The model of farmers is coupled, through this decision-making mechanism, with other independent sub-models, each of them carrying out a realistic description of one of these contexts. Since the dynamics depicted in these sub-models obey to different logics, operate at different scales and rely on different data, they are represented using appropriate modeling techniques: the spatial model is based on GIS information on parcels, soils, and rivers</t>
  </si>
  <si>
    <t>10.1007/s10346-015-0626-x</t>
  </si>
  <si>
    <t>https://www.scopus.com/inward/record.uri?eid=2-s2.0-84957434319&amp;doi=10.1007%2fs10346-015-0626-x&amp;partnerID=40&amp;md5=ce0adf49b9c39d57812436e1d3e60fbf</t>
  </si>
  <si>
    <t>Super typhoon Haiyan, considered as one of the most powerful storms recorded in 2013, devastated the central Philippines region on 8 November 2013 with damage amounting to more than USD 2 billion. Hardest hit is the province of Leyte which is located in central Philippines. Rehabilitation of the areas that were devastated requires detailed hazard maps as a basis for well-planned reconstruction. Along with severe wind, storm surge, and flood hazard maps, detailed landslide susceptibility maps for the cities and municipalities of Leyte (7246.7 km2) province are necessary. In order to rapidly assess and delineate areas susceptible to rainfall-induced shallow landslides, Stability INdex MAPping (SINMAP) software was used over a 5-m Interferometric Synthetic Aperture Radar (InSAR)-derived digital terrain model (DTM) grid. Topographic, soil strength, and hydrologic parameters were used for each pixel of a given DTM grid to compute for the corresponding factor of safety. The landslide maps generated using SINMAP are highly consistent with the landslide inventory derived from high-resolution satellite imagery from 2002 to 2014 with a detection percentage of 97.5 % and missing factor of 0.025. These demonstrate that SINMAP performs well despite the lack of an extensive geotechnical and hydrological database in the study area. The detailed landslide susceptibility classification is useful to identify safe and unsafe areas for reconstruction and rehabilitation efforts. These maps complement the debris flow and structurally controlled landslide hazard maps that are also being prepared for rebuilding Haiyan’s devastated areas. © 2015, Springer-Verlag Berlin Heidelberg.</t>
  </si>
  <si>
    <t>2-s2.0-84957434319"</t>
  </si>
  <si>
    <t>10.1007/s10040-016-1391-1</t>
  </si>
  <si>
    <t>https://www.scopus.com/inward/record.uri?eid=2-s2.0-84961641025&amp;doi=10.1007%2fs10040-016-1391-1&amp;partnerID=40&amp;md5=ab5d7305a9f2c329c7e5cedc350844c5</t>
  </si>
  <si>
    <t>Subsidence of organic soils in the Sacramento-San Joaquin Delta threatens sustainability of the California (USA) water supply system and agriculture. Land-surface elevation data were collected to assess present-day subsidence rates and evaluate rice as a land use for subsidence mitigation. To depict Delta-wide present-day rates of subsidence, the previously developed SUBCALC model was refined and calibrated using recent data for CO2 emissions and land-surface elevation changes measured at extensometers. Land-surface elevation change data were evaluated relative to indirect estimates of subsidence and accretion using carbon and nitrogen flux data for rice cultivation. Extensometer and leveling data demonstrate seasonal variations in land-surface elevations associated with groundwater-level fluctuations and inelastic subsidence rates of 0.5-0.8 cm yr-1. Calibration of the SUBCALC model indicated accuracy of ±0.10 cm yr-1 where depth to groundwater, soil organic matter content and temperature are known. Regional estimates of subsidence range from &lt;0.3 to &gt;1.8 cm yr-1. The primary uncertainty is the distribution of soil organic matter content which results in spatial averaging in the mapping of subsidence rates. Analysis of leveling and extensometer data in rice fields resulted in an estimated accretion rate of 0.02-0.8 cm yr-1. These values generally agreed with indirect estimates based on carbon fluxes and nitrogen mineralization, thus preliminarily demonstrating that rice will stop or greatly reduce subsidence. Areas below elevations of-2 m are candidate areas for implementation of mitigation measures such as rice because there is active subsidence occurring at rates greater than 0.4 cm yr-1. © The Author(s) 2016.</t>
  </si>
  <si>
    <t>2-s2.0-84961641025"</t>
  </si>
  <si>
    <t>10.1007/s11852-016-0422-3</t>
  </si>
  <si>
    <t>https://www.scopus.com/inward/record.uri?eid=2-s2.0-84955273207&amp;doi=10.1007%2fs11852-016-0422-3&amp;partnerID=40&amp;md5=d24b9b167221477024a6a6d466e1d22e</t>
  </si>
  <si>
    <t>Coastal environments host plant taxa adapted to a wide range of salinity conditions. Salinity, along with other abiotic variables, constrains the distribution of coastal plants in predictable ways, with relatively few taxa adapted to the most saline conditions. However, few attempts have been made to quantify these relationships to create niche models for coastal plants. Quantification of the effects of salinity, and other abiotic variables, on coastal plants is essential to predict the responses of coastal ecosystems to external drivers such as sea level rise. We constructed niche models for 132 coastal plant taxa in Great Britain based on eight abiotic variables. Paired measurements of vegetation composition and abiotic variables are rare in coastal habitats so four of the variables were defined using community mean values for Ellenberg indicators, i.e. scores assigned according to the typical alkalinity, fertility, moisture availability and salinity of sites where a species occurs. The remaining variables were the canopy height, annual precipitation, and maximum and minimum temperatures. Salinity and moisture indicator scores were significant terms in over 80 % of models, suggesting the distributions of most coastal species are at least partly determined by these variables. When the models were used to predict species occurrence against an independent dataset 64 % of models gave moderate to good predictions of species occurrence. This indicates that most models had successfully captured the key determinants of the niche. The models could potentially be applied to predict changes to habitats and species-dependent ecosystem services in response to rising sea levels. © 2016, Springer Science+Business Media Dordrecht.</t>
  </si>
  <si>
    <t>2-s2.0-84955273207"</t>
  </si>
  <si>
    <t>10.1002/2015JF003653</t>
  </si>
  <si>
    <t>https://www.scopus.com/inward/record.uri?eid=2-s2.0-84959419056&amp;doi=10.1002%2f2015JF003653&amp;partnerID=40&amp;md5=1643f2d6fa79c9239d29fa45fa436483</t>
  </si>
  <si>
    <t>Understanding deltaic channel dynamics is essential to acquiring knowledge on how deltas respond to environmental changes, as channels control the distribution of water, sediment, and nutrients. Channel-resolving morphodynamic models provide the basis for quantitative study of channel-scale dynamics, but they need to be properly assessed with a set of robust metrics able to quantitatively characterize delta patterns and dynamics before being used as predictive tools. In this work we use metrics developed in the context of delta formation, to assess the morphodynamic results of DeltaRCM, a parcel-based cellular model for delta formation and evolution. By comparing model results to theoretical predictions and field and experimental observations, we show that DeltaRCM captures the geometric growth characteristics of deltas such as fractality of channel network, spatial distribution of wet and dry surfaces, and temporal dynamics of channel-scale processes such as the decay of channel planform correlation. After evaluating the ability of DeltaRCM to produce delta patterns and dynamics at the scale of channel processes, we use the model to predict the deltaic response to relative sea level rise (RSLR). We show that uniform subsidence and absolute sea level rise have similar effects on delta evolution and cause intensified channel branching. Channel network fractality and channel mobility increase with higher-RSLR rates, while the spatial and temporal scales of avulsion events decrease, resulting in smaller sand bodies in the stratigraphy. Our modeling results provide the first set of quantitative predictions of the effects of RSLR on river deltas with a specific focus on the distributary channel network. ©2016. American Geophysical Union. All Rights Reserved.</t>
  </si>
  <si>
    <t>2-s2.0-84959419056"</t>
  </si>
  <si>
    <t>10.1016/j.geomorph.2016.02.011</t>
  </si>
  <si>
    <t>https://www.scopus.com/inward/record.uri?eid=2-s2.0-84958811780&amp;doi=10.1016%2fj.geomorph.2016.02.011&amp;partnerID=40&amp;md5=16424026c35abcf06fdaeab2a69e9e47</t>
  </si>
  <si>
    <t>Research on extreme wave events such as tsunamis using the geological record in areas of infrequent and or small magnitude earthquakes can aid in extending the long-term history and recurrence intervals of large events. This information is valuable for risk management and community preparedness in coastal areas. Here we investigate tsunami deposits on the Jalisco coast of Mexico that overlies the subducting Rivera Plate under the North American plate, an area due for a large thrust earthquake and potential tsunami. Here, we apply a full battery of rock-magnetic analyses that also include a detailed AMS study and other typically applied proxies in tsunami deposits research. We present evidence to demonstrate that anomalous sand units with sharp basal contacts at La Manzanilla, Tenacatita Bay, and El Tecuán shore sites on the Jalisco coast may be the products of tsunamis generated by known historical (Ms 8.2 earthquake of 3 June 1932) and other earlier tsunamigenic earthquakes. A sandy unit with a sharp basal contact, flame structures at the base, rip-up clasts at La Manzanilla, and four sand units with sharp basal contact overlying buried soils at El Tecuán, together with other proxies, such as magnetic properties and others, suggest tsunami deposits. 210Pb dating of sediments slightly above the upper sand layer indicate an age A.D. 1935 ± 11 at El Tecuán. Historical accounts of tsunami inundation at both sites provide further evidence that this is most probably the result of the 3 June 1932 tsunami. Hence this study may provide the first evidence of a tsunami triggered by this earthquake and also of three probable predecessors. Further evidence of at least three earlier tsunamis that occurred since the fifteenth century is also evident in the stratigraphy. These events may correspond to events listed in historical archives, namely the 1563, 1816, and/or the 1818 events. © 2016 .</t>
  </si>
  <si>
    <t>2-s2.0-84958811780"</t>
  </si>
  <si>
    <t>10.2112/JCOASTRES-D-14-00185.1</t>
  </si>
  <si>
    <t>https://www.scopus.com/inward/record.uri?eid=2-s2.0-84962496849&amp;doi=10.2112%2fJCOASTRES-D-14-00185.1&amp;partnerID=40&amp;md5=b73f63b04d62cb4330a35be7b5d9c048</t>
  </si>
  <si>
    <t>Accurate elevation information is a necessity for conservation and management of tidal salt marshes where elevation differences can be as little as 2 m and where sea-level rise is a critical threat. This study applied an existing method to evaluate and improve the vertical accuracy of a 1-m LIDAR-derived digital elevation model (DEM) using a real-time kinematic (RTK) GPS dataset with a vertical accuracy of ±0.02 m and local vegetation data within a tidal salt marsh. Correction factors were generated for vegetation species within each major vegetation class and produced a modified DEM of the site. Comparison between the original and modified DEM showed that the mean error was reduced from 0.16 m to -0.004 m and the root mean squared error was reduced from 0.212 m to 0.098 m. These results demonstrate that it is possible to significantly reduce vertical error contained within a salt marsh DEM derived from a LIDAR dataset using highly accurate RTK GPS data combined with vegetation data collected on a per site basis. © Coastal Education and Research Foundation, Inc. 2016.</t>
  </si>
  <si>
    <t>2-s2.0-84962496849"</t>
  </si>
  <si>
    <t>10.1016/j.gloplacha.2016.02.005</t>
  </si>
  <si>
    <t>https://www.scopus.com/inward/record.uri?eid=2-s2.0-84959440330&amp;doi=10.1016%2fj.gloplacha.2016.02.005&amp;partnerID=40&amp;md5=9c7cf942c0c55d04bb7b9be0ff5b8e73</t>
  </si>
  <si>
    <t>Knowledge of tsunami risk and vulnerability is essential to establish a well-adapted Multi Hazard Early Warning System, land-use planning and emergency management. As the tsunami risk for the coastline of Oman is still under discussion and remains enigmatic, various scenarios based on historical tsunamis were created. The suggested inundation and run-up heights were projected onto the modern infrastructural setting of the Muscat Capital Area. Furthermore, possible impacts of the worst-case tsunami event for Muscat are discussed. The approved Papathoma Tsunami Vulnerability Assessment Model was used to model the structural vulnerability of the infrastructure for a 2 m tsunami scenario, depicting the 1945 tsunami and a 5 m tsunami in Muscat. Considering structural vulnerability, the results suggest a minor tsunami risk for the 2 m tsunami scenario as the flooding is mainly confined to beaches and wadis. Especially traditional brick buildings, still predominant in numerous rural suburbs, and a prevalently coast-parallel road network lead to an increased tsunami risk. In contrast, the 5 m tsunami scenario reveals extensively inundated areas and with up to 48% of the buildings flooded, and therefore consequently a significantly higher tsunami risk. We expect up to 60000 damaged buildings and up to 380000 residents directly affected in the Muscat Capital Area, accompanied with a significant loss of life and damage to vital infrastructure. The rapid urbanization processes in the Muscat Capital Area, predominantly in areas along the coast, in combination with infrastructural, demographic and economic growth will additionally increase the tsunami risk and therefore emphasizes the importance of tsunami risk assessment in Oman. © 2016 Elsevier B.V.</t>
  </si>
  <si>
    <t>2-s2.0-84959440330"</t>
  </si>
  <si>
    <t>10.1007/s10113-015-0872-4</t>
  </si>
  <si>
    <t>https://www.scopus.com/inward/record.uri?eid=2-s2.0-84945161563&amp;doi=10.1007%2fs10113-015-0872-4&amp;partnerID=40&amp;md5=f1c34c13a7700bf768fba2983af08940</t>
  </si>
  <si>
    <t>Global degradation of coastal ecosystems is influencing the provision of ecosystem services, including fisheries maintenance services. Degradation of the Australian coastal zone and its resources following European occupation has been recognised for some time. This includes the loss of ecologically important coastal wetlands, which have strong trophic and habitat links to fisheries. In NSW, structural flood mitigation works are a principle driver of the decline of coastal wetlands</t>
  </si>
  <si>
    <t>10.1177/0975425315619046</t>
  </si>
  <si>
    <t>https://www.scopus.com/inward/record.uri?eid=2-s2.0-84966486999&amp;doi=10.1177%2f0975425315619046&amp;partnerID=40&amp;md5=12e6674bcb3a6f6b2d71e14008ae1659</t>
  </si>
  <si>
    <t>Food availability is a crucial dimension of food security in an agrarian society. It is largely realized through own food production of a specific society. Seasonality plays an important role in food security. This article analyzes the existing threat to food security and livelihood in coastal areas of developing countries, particularly in Bangladesh, with a focus on climate change and seasonality. There is persistent food shortage during the sowing season and the pre-harvest period. Food deficit remains high during mid-August to end of October (68–95 per cent) while it is the lowest in December (21 per cent). During the pre-harvest period, farmers have to invest a lot of money at a time though they cannot afford it. Evidence suggests that food loans are common among the poor or small farmers during the food deficit period or in the event of flood. Over 78 per cent of the respondents had taken loans from microfinance institutions and local individual moneylenders. Problem remains as salinity and overfishing has drastically depleted open-water fisheries. Reviving livelihoods still remain a challenge for the vulnerable households especially in areas where agricultural diversity is very limited. Therefore, alternative livelihoods initiatives such as homestead or community-based cage fishing, cash grant and training on non-farm activities of women and men, generating employment through public work programmes need to be in place to ensure food security and livelihood of vulnerable people living in coastal areas. © 2016 National Institute of Urban Affairs (NIUA).</t>
  </si>
  <si>
    <t>2-s2.0-84966486999"</t>
  </si>
  <si>
    <t>10.1016/j.cosust.2016.05.001</t>
  </si>
  <si>
    <t>https://www.scopus.com/inward/record.uri?eid=2-s2.0-84969505083&amp;doi=10.1016%2fj.cosust.2016.05.001&amp;partnerID=40&amp;md5=33e915b3d8f5c5b2b589368bce1e6d9a</t>
  </si>
  <si>
    <t>Deltaic systems are among the most dynamic and productive environments on Earth and many have a high population density. Deltas play a central role in food and water security but are increasingly facing hazards such as submergence, riverine and coastal flooding, and coastal erosion. This paper synthesizes efforts of the Belmont Forum Deltas project, an international network of interdisciplinary research collaboration with focal areas in the Mekong, the Ganges Brahmaputra, and the Amazon deltas. The inherent complexity and dearth of knowledge about deltas require disciplinary expertise to advance jointly with interdisciplinary collaboration. An overarching research framework articulates focal research areas and collaborative modules, serving as an umbrella for both crosscutting and specific research questions. These modules have allowed for common definition of goals, responsibilities, and products, but flexible and decentralized disciplinary and interdisciplinary collaborations. Self-organization within and across areas of expertise has proven effective in bringing collaborators to commit to specific efforts. Knowledge co-production workshops focusing on vulnerability and risk have successfully strengthened interactions with regional organizations. As a distributed network, challenges remain in terms of type of and level of interaction and hands-on collaborative work among research partners, including joint fieldwork, but successes far outweigh difficulties. To illustrate these points, we present a review of three research domains built upon different arrangements of disciplinary and interdisciplinary collaborations: advancing biophysical classifications of deltas, understanding deltas as coupled social-ecological systems, and analyzing and informing social and environmental vulnerabilities in delta regions. © 2016 Elsevier B.V..</t>
  </si>
  <si>
    <t>2-s2.0-84969505083"</t>
  </si>
  <si>
    <t>10.1016/j.atmosres.2016.01.008</t>
  </si>
  <si>
    <t>https://www.scopus.com/inward/record.uri?eid=2-s2.0-84956611258&amp;doi=10.1016%2fj.atmosres.2016.01.008&amp;partnerID=40&amp;md5=43e88edb7f046ac9b5a31a47c66dc522</t>
  </si>
  <si>
    <t>Changes in precipitation have a large effect on human society and are a key factor in the study of the patterns of hydrological and meteorological variables. Based on daily precipitation records during 1960-2012 at 24 meteorological stations in the Yangtze River Delta (YRD), the spatial and temporal variations of six extreme precipitation indices were detected by the modified Mann-Kendall test. Then, the characteristics of dryness/wetness patterns were assessed by Standardized Precipitation Index (SPI) and principal component analysis (PCA) on a 24-month time scale. For precipitation extremes, most of the precipitation indices had increasing trends, especially the annual total precipitation in wet day (PRCPTOT), which showed a significant positive trend distributed mainly in the southern part of the YRD. In contrast, decreasing trends in consecutive dry days (CDD) were detected at most stations of the YRD, with more than 20% of the stations having negative trends that were statistically significant. Additionally, three dominant geographic sub-regions of dryness/wetness pattern were identified in YRD: the central and southern, northeastern, and northwestern areas of the YRD. With respect to temporal variations of dryness/wetness conditions in each sub-region, a long-term wet tendency in the central and southern area was characterized as being stronger than the tendency in other parts of the YRD over the past 53 years, which indicates that flood disaster may become increasingly serious in the area. Furthermore, a 4 to 8-year period of variation was observed for each sub-region. The results of this study suggest that adaptive water resource measures for future water resource management and water-related disaster reduction mitigation should be considered separately for these regions in the YRD. © 2016 Elsevier B.V.</t>
  </si>
  <si>
    <t>2-s2.0-84956611258"</t>
  </si>
  <si>
    <t>10.1016/j.ecolmodel.2016.01.013</t>
  </si>
  <si>
    <t>https://www.scopus.com/inward/record.uri?eid=2-s2.0-84958019680&amp;doi=10.1016%2fj.ecolmodel.2016.01.013&amp;partnerID=40&amp;md5=350194746722a533b60d3de747b78efe</t>
  </si>
  <si>
    <t>A spatially-explicit model (Hydro-MEM model) that couples astronomic tides and Spartina alterniflora dynamics was developed to examine the effects of sea-level rise on salt marsh productivity in northeast Florida. The hydrodynamic component of the model simulates the hydroperiod of the marsh surface driven by astronomic tides and the marsh platform topography, and demonstrates biophysical feedback that non- uniformly modifies marsh platform accretion, plant biomass, and water levels across the estuarine landscape, forming a complex geometry. The marsh platform accretes organic and inorganic matter depending on the sediment load and biomass density which are simulated by the ecological-marsh component (MEM) of the model and are functions of the hydroperiod. Two sea-level rise projections for the year 2050 were simulated: 11 cm (low) and 48 cm (high). Overall biomass density increased under the low sea-level rise scenario by 54% and declined under the high sea-level rise scenario by 21%. The biomass-driven topographic and bottom friction parameter updates were assessed by demonstrating numerical convergence (the state where the difference between biomass densities for two different coupling time steps approaches a small number). The maximum coupling time steps for low and high sea-level rise cases were calculated to be 10 and 5 years, respectively. A comparison of the Hydro-MEM model with a parametric marsh equilibrium model (MEM) indicates improvement in terms of spatial pattern of biomass distribution due to the coupling and dynamic sea-level rise approaches. This integrated Hydro-MEM model provides an innovative method by which to assess the complex spatial dynamics of salt marsh grasses and predict the impacts of possible future sea level conditions. © 2016 Elsevier B.V.</t>
  </si>
  <si>
    <t>2-s2.0-84958019680"</t>
  </si>
  <si>
    <t>10.1007/s13157-015-0711-x</t>
  </si>
  <si>
    <t>https://www.scopus.com/inward/record.uri?eid=2-s2.0-84957846064&amp;doi=10.1007%2fs13157-015-0711-x&amp;partnerID=40&amp;md5=519e90b298b8860492f206b287a93ac3</t>
  </si>
  <si>
    <t>Coastal marsh plants are increasingly subject to physicochemical stressors under rising sea levels, and the maintenance of marsh ecological functions can depend on the ability of individual species and communities to tolerate or adapt to altered conditions. We conducted a greenhouse experiment to identify hydrology and salinity effects on growth of three common brackish marsh macrophytes of coastal Florida, USA: Distichlis spicata, Juncus roemerianus, and Spartina bakeri. The species were potted as monocultures and exposed to three salinities (0, 15, or 28 psu) and two hydrologic conditions (saturated, tidal) over 22 months. Final stem density of J. roemerianus and S. bakeri did not differ among treatments. In D. spicata, however, stem density was lowest at 28 psu and lower in tidal compared to saturated conditions. Mean stem height of all species was lowest at 28 psu. Aboveground biomass of J. roemerianus was not affected by the treatments, but in D. spicata and S. bakeri it was lowest at 28 psu. Results indicated that J. roemerianus was the most adaptable species and may, therefore, be more resilient to climate-change driven stressors. However, plant-plant interactions such as interspecific competition and facilitation can alter the response of individual species to environmental factors. © 2015, US Government.</t>
  </si>
  <si>
    <t>2-s2.0-84957846064"</t>
  </si>
  <si>
    <t>10.1007/s10712-015-9339-x</t>
  </si>
  <si>
    <t>https://www.scopus.com/inward/record.uri?eid=2-s2.0-84961146660&amp;doi=10.1007%2fs10712-015-9339-x&amp;partnerID=40&amp;md5=764d41baffd171ad40b752f7d9a4356b</t>
  </si>
  <si>
    <t>Up to now, high-resolution mapping of surface water extent from satellites has only been available for a few regions, over limited time periods. The extension of the temporal and spatial coverage was difficult, due to the limitation of the remote sensing technique [e.g., the interaction of the radiation with vegetation or cloud for visible observations or the temporal sampling with the synthetic aperture radar (SAR)]. The advantages and the limitations of the various satellite techniques are reviewed. The need to have a global and consistent estimate of the water surfaces over long time periods triggered the development of a multi-satellite methodology to obtain consistent surface water all over the globe, regardless of the environments. The Global Inundation Extent from Multi-satellites (GIEMS) combines the complementary strengths of satellite observations from the visible to the microwave, to produce a low-resolution monthly dataset ((Formula presented.)) of surface water extent and dynamics. Downscaling algorithms are now developed and applied to GIEMS, using high-spatial-resolution information from visible, near-infrared, and synthetic aperture radar (SAR) satellite images, or from digital elevation models. Preliminary products are available down to 500-m spatial resolution. This work bridges the gaps and prepares for the future NASA/CNES Surface Water Ocean Topography (SWOT) mission to be launched in 2020. SWOT will delineate surface water extent estimates and their water storage with an unprecedented spatial resolution and accuracy, thanks to a SAR in an interferometry mode. When available, the SWOT data will be adopted to downscale GIEMS, to produce a long time series of water surfaces at global scale, consistent with the SWOT observations. © 2015, The Author(s).</t>
  </si>
  <si>
    <t>2-s2.0-84961146660"</t>
  </si>
  <si>
    <t>10.1111/geoa.12121</t>
  </si>
  <si>
    <t>https://www.scopus.com/inward/record.uri?eid=2-s2.0-84959419557&amp;doi=10.1111%2fgeoa.12121&amp;partnerID=40&amp;md5=c141d84c73a6622b374aed993f06e797</t>
  </si>
  <si>
    <t>It is widely known that differential land subsidence in a valley significantly controls its fluvial dynamics. Nevertheless, major uncertainty exists about the way in which alluvial forms respond to this process. In this study, morphological and lithostratigraphic data have been combined with advanced differential interferometry (A-DInSAR) to detect changes in alluvial landform elevations and to verify the existence of a differential subsidence pattern influenced by active sedimentary dynamics. For this purpose, the middle reach of the Segura River valley (Vega Media of the Segura River), in southeast Spain, was chosen as the study area. The Vega Media of the Segura River is an alluvial area affected by subsidence processes in close conjunction with depositional conditions, ground-water withdrawals and faults. A high scale mapping of the main younger sedimentary units was carried out by combining multi-temporal aerial photographs, high-resolution digital elevation models derived from LIDAR data, global navigation satellite system data and fieldwork. In addition, lithostratigraphic descriptions were obtained from geotechnical drilling and trenching. Finally, ground surface displacements, measured using A-DInSAR for the periods 1995-2005 and 2004-2008, allowed the determination of elevation rates and ground deformation associated with the different alluvial units. The results from this analysis revealed four typical deformational behaviours: non-deformational units (cemented alluvial fans and upper fluvial terraces)</t>
  </si>
  <si>
    <t>10.1080/10106049.2015.1054443</t>
  </si>
  <si>
    <t>https://www.scopus.com/inward/record.uri?eid=2-s2.0-84955190239&amp;doi=10.1080%2f10106049.2015.1054443&amp;partnerID=40&amp;md5=8a7a1441bff6e037687973df0dd1aa44</t>
  </si>
  <si>
    <t>This study presents a remote sensing and geographic information systems-based approach for using US EPA’s Storm Water Management Model (SWMM) in urban environment. Cartosat-1 PAN + IRS-P6 LISS-IV merged product was used to map land cover in part of Surat city at 1:10,000 scale. Cartosat-1 stereo pair was used for deriving digital elevation model of the study area. Geo-informatics-based methods were developed for delineation of sub-catchment areas, assignment of sub-catchment outlets and estimation of characteristic width. It was observed that 59% of the developed area in the study region was directly or indirectly connected to the storm water drainage network. Furthermore, dynamic rainfall-runoff simulation on three-day rainfall indicated that the average runoff coefficient on the urbanized sub-catchment areas which were directly connected to the drainage network was 0.92 as against 0.88 on those urbanized sub-catchments without having direct access to storm water drainage. © 2015 Taylor &amp; Francis.</t>
  </si>
  <si>
    <t>2-s2.0-84955190239"</t>
  </si>
  <si>
    <t>10.1002/2015WR017967</t>
  </si>
  <si>
    <t>https://www.scopus.com/inward/record.uri?eid=2-s2.0-84963610803&amp;doi=10.1002%2f2015WR017967&amp;partnerID=40&amp;md5=0b8ba2b5755e2f96a4b22e14e2195195</t>
  </si>
  <si>
    <t>The growing availability of remotely sensed data has fostered the implementation of hydraulic modeling in poorly gauged regions. However, these applications suffer the lack of knowledge of river bathymetry, which cannot be directly inferred from satellite instruments. This study explores the possibility to set up, calibrate, and validate a hydrodynamic model which geometry is based on global and freely available satellite data. First, the study tests two different procedures for inferring the river bathymetry under the water surface level. Second, focusing on a Po River stretch of ∼140 km (Northern Italy), the study further assesses the suitability of spaceborne topographic and remotely sensed altimetry data (i.e., ERS-2 and ENVISAT) for implementing and calibrating hydrodynamic models. Referring to 90 m SRTM (Shuttle Radar Topography Mission) digital elevation model for the representation of the riverbed morphology, the work analyzes the performances of different 1-D numerical models which cross sections are modified according to two approaches: (1) Channel Bankfull depth (CB) and (2) Slope-Break (SB) approach. The calibration and validation processes are performed by referring to extended altimetry time series (∼16 years of data), while the accuracy and trustworthiness of 1-D models are tested with reference to a quasi-2-D model based on detailed geometry data. Results show that both CB and SB approaches enhance the performance of SRTM-based models. In particular, the SB approach is completely based on satelliteborne data and shows Nash-Sutcliffe efficiency, MAE, and RMSE values similar to those obtained with the benchmark model.</t>
  </si>
  <si>
    <t>10.1016/j.geomorph.2015.12.011</t>
  </si>
  <si>
    <t>https://www.scopus.com/inward/record.uri?eid=2-s2.0-84951177249&amp;doi=10.1016%2fj.geomorph.2015.12.011&amp;partnerID=40&amp;md5=c7cfe1ea056d7e25c9d6c7b407ab3f79</t>
  </si>
  <si>
    <t>Sinkholes and other karst structures in settled carbonate lands can be a significant source of hazard for humans and human works. Acque Albule, the study area of this work, is a Plio-Pleistocene basin near Rome, central Italy, superficially filled by a large and thick deposit of late Pleistocene thermogene travertine. Human activities blanket large portions of the flat territory covering most evidence from geological surface processes and potentially inducing scientists and public officials to underestimate some natural hazards including those connected with sinkholes. To contribute to the proper assessment of these hazards, a geomorphologic study of the basin was performed using digital elevation models (DEMs), recent aerial photographs, and field surveys. Historical material such as old aerial photographs and past geomorphologic studies both pre-dating the most part of quarrying and village building was also used together with memories of the elderly population. This preliminary study pointed out the presence of numerous potentially active sinkholes that are at present largely masked by either quarrying or overbuilding. Where this first study pointed out the apparent absence of sinkholes in areas characterized by high density of buildings, a detailed subsurface study was performed using properly-calibrated electrical resistivity tomography (ERT) and dynamic penetration measurements (DPSH), together with some borehole logs made available from the local municipality. This second study highlighted the presence of sinkholes and caves that are, this time, substantially hidden to the resolution of standard methods and materials such as aerial photographs, DEMs, and field surveys. Active sinkhole subsidence in the Acque Albule Basin may explain, at least in part, the frequent damages that affect numerous buildings in the area. The main conclusion from this study is that the mitigation of sinkhole hazard in highly populated areas has to pass through a thorough search of (hidden) sinkholes that can be masked by the Anthropocenic molding and blanketing of the territory. For these purposes, data from historical (pre-Anthropocene) documents as well as, where possible, subsurface investigations are fundamental. © 2015 Published by Elsevier B.V.</t>
  </si>
  <si>
    <t>2-s2.0-84951177249"</t>
  </si>
  <si>
    <t>10.1002/2015EF000332</t>
  </si>
  <si>
    <t>https://www.scopus.com/inward/record.uri?eid=2-s2.0-84991518272&amp;doi=10.1002%2f2015EF000332&amp;partnerID=40&amp;md5=71860d0d4784d8158ae627196caf4197</t>
  </si>
  <si>
    <t>This study examines the integrated influence of sea level rise (SLR) and future morphology on tidal hydrodynamics along the Northern Gulf of Mexico (NGOM) coast including seven embayments and three ecologically and economically significant estuaries. A large-domain hydrodynamic model was used to simulate astronomic tides for present and future conditions (circa 2050 and 2100). Future conditions were simulated by imposing four SLR scenarios to alter hydrodynamic boundary conditions and updating shoreline position and dune heights using a probabilistic model that is coupled to SLR. Under the highest SLR scenario, tidal amplitudes within the bays increased as much as 67% (10.0 cm) because of increases in the inlet cross-sectional area. Changes in harmonic constituent phases indicated that tidal propagation was faster in the future scenarios within most of the bays. Maximum tidal velocities increased in all of the bays, especially in Grand Bay where velocities doubled under the highest SLR scenario. In addition, the ratio of the maximum flood to maximum ebb velocity decreased in the future scenarios (i.e., currents became more ebb dominant) by as much as 26% and 39% in Weeks Bay and Apalachicola, respectively. In Grand Bay, the flood-ebb ratio increased (i.e., currents became more flood dominant) by 25% under the lower SLR scenarios, but decreased by 16% under the higher SLR as a result of the offshore barrier islands being overtopped, which altered the tidal prism. Results from this study can inform future storm surge and ecological assessments of SLR, and improve monitoring and management decisions within the NGOM. © 2016 The Authors.</t>
  </si>
  <si>
    <t>2-s2.0-84991518272"</t>
  </si>
  <si>
    <t>10.1016/j.earscirev.2015.11.007</t>
  </si>
  <si>
    <t>https://www.scopus.com/inward/record.uri?eid=2-s2.0-84960157304&amp;doi=10.1016%2fj.earscirev.2015.11.007&amp;partnerID=40&amp;md5=ea9042816656f40850f3b057521821b1</t>
  </si>
  <si>
    <t>Sea-level rise (SLR) poses a particularly ominous threat to human habitations and infrastructure in the coastal zone because 10% of the world's population lives in low-lying coastal regions within 10 m elevation of present sea level. There has been much discussion about projected (and the sources of projection) vs. measured SLR rates. Which rates should coastal scientists and managers apply in their studies, and what is the degree of confidence of such forecasts, are still open questions.This paper reviews the patterns and effects of relative SLR (RSLR) in coastal lagoons. Three main components are presented in the review: (a) a summary of the main approaches used in predicting medium- to long-term trends in RSLR, (b) a summary of the main evolutionary trends of coastal lagoons and the tools used to examine such trends, and (c) an identification of future research needs.The review reveals that the major source of uncertainty is how and when RSLR will manifest itself at different spatio-temporal scales in coastal lagoon systems, and how its effects can be mitigated. Most of the studies reviewed herein articulate a natural 'defence' mechanism of barriers in coastal lagoons by landward barrier retreat through continuous migration, and a gradual change in basin hypsometry during the retreat process. So far, only a relatively small number of detailed studies have integrated and quantified human impacts and coastal lagoon evolution induced by RSLR. We conclude that much more research about adaptation measures is needed, taking into consideration not only the physical and ecological systems but also social, cultural, and economic impacts. Future challenges include a downscaling of SLR approaches from the global level to regional and local levels, with a detailed application of coastal evolution prediction to individual coastal lagoon systems. © 2015 Elsevier B.V.</t>
  </si>
  <si>
    <t>2-s2.0-84960157304"</t>
  </si>
  <si>
    <t>10.1016/j.habitatint.2015.08.030</t>
  </si>
  <si>
    <t>https://www.scopus.com/inward/record.uri?eid=2-s2.0-84949809899&amp;doi=10.1016%2fj.habitatint.2015.08.030&amp;partnerID=40&amp;md5=d40663789e9c5e8558b0913b8ae34f01</t>
  </si>
  <si>
    <t>The merits of decentralization and public participation for designing disaster risk management according to local needs, priorities and capacities are now widely discussed in the scientific literature and in global policy frameworks. However, surprisingly little attention is being paid to the potential fault lines that may result if postulations for decentralization and local empowerment are-despite being adopted on the surface-in conflict with the (hidden) policy agendas in centralized states. Tensions between devolution and a central grip on power can particularly emerge around topics considered of relevance for national development, notably urban growth centers, or the legitimacy of central leadership (frequently claimed to be essential for the effective protection against disasters and other risks). This paper therefore uses the example of Can Tho City, which is the high-growth urban center of the flood-prone Vietnamese Mekong Delta, to analyze in detail (1) whether and to what extent the city has a decentralized system for disaster risk management, (2) which opportunities and challenges emerge with decentralization, and (3) which agendas different actors from the local to the national level have to accelerate or restrict local empowerment. The analysis, based on the review of policy documents and in-depth interviews with party-state decision-makers as well as other stakeholders, reveals that the picture of decentralization in Vietnam is much less clear than often proclaimed. There is a convoluted reality in which contradictory trends of decentralization and centralization co-emerge from overlapping layers of, first, internal political contentions, and second, a transforming actor spectrum within the country's changing political economy of risk reduction. © 2015 .</t>
  </si>
  <si>
    <t>2-s2.0-84949809899"</t>
  </si>
  <si>
    <t>10.1177/0309133316633570</t>
  </si>
  <si>
    <t>https://www.scopus.com/inward/record.uri?eid=2-s2.0-84964046891&amp;doi=10.1177%2f0309133316633570&amp;partnerID=40&amp;md5=83133cc25eae74a605665101e31772bf</t>
  </si>
  <si>
    <t>During flooding, operational tools for mapping flood extent and depth of water in flood-prone areas are required by those planning emergency response, including UK statutory agencies such as the Environment Agency. Satellite data have become a source of information to map and monitor floods, but many of the methods developed to process the data are unsuitable for accurate, near real-time production of flood information products. This paper describes a new semi-automated methodology developed to provide operational mapping of flood extent and flood depth using satellite synthetic aperture radar (SAR) data combined with light detection and ranging (LiDAR) elevation data. In this method, an analyst uses the flood boundary derived from 8 m spatial resolution satellite SAR data to estimate the flood surface elevation at points around a flooded area using a digital terrain model derived from LiDAR data. This method is compared to a simple satellite ‘SAR-only’ method for generating flood extent and alternative, automated methods of generating flood extent and depth that also used SAR and LiDAR. TerraSAR-X and SPOT 5 data were used from an area including the UK Somerset Levels which suffered a major flood event in February 2014. The new semi-automated method produced similar overall accuracy to the SAR-only method (Po = 95.8% and Po = 95.3%, respectively), but was more accurate at mapping flood extent where large vegetation or other objects appeared in the satellite SAR data. The automated methods were relatively inaccurate (overall accuracy ranged from Po = 83.4% to Po = 88.8%), but were used to identify where further work on improving the semi-automated-elevation method could be carried out. In addition to the flood extent information provided by the semi-automated-elevation method, flood surface elevation data were produced that could be used to estimated flood depths and flood volumes. The accuracy of the flood elevation surface was tested using LiDAR data acquired of the water surface during the flooding (root mean square error = 0.152 m). The paper discusses progress towards operational flood monitoring using SAR and LiDAR remote sensing products. © 2016, © The Author(s) 2016.</t>
  </si>
  <si>
    <t>2-s2.0-84964046891"</t>
  </si>
  <si>
    <t>10.1016/j.wace.2015.09.002</t>
  </si>
  <si>
    <t>https://www.scopus.com/inward/record.uri?eid=2-s2.0-84960218501&amp;doi=10.1016%2fj.wace.2015.09.002&amp;partnerID=40&amp;md5=e2eef9c2b8509a9791dc6b9ebd666d16</t>
  </si>
  <si>
    <t>Tropical cyclones generate severe hazards in the middle latitudes. A brief review and applications of dynamical and statistical downscaling of tropical cyclone (TC) are described targeting extreme storm surge and storm wave hazard assessment. First, a review of the current understanding of the changes in the characteristics of TCs in the past and in the future is shown. Then, a review and ongoing research about impact assessment of tropical cyclones both dynamical downscaling and statistical model are described for Typhoon Vera in 1959 and Typhoon Haiyan in 2013. Finally, several examples of impact assessment of storm surge and extreme wave changes are presented. Changes in both TC intensity and track are linked to future changes in extreme storm surge and wave climate in middle latitude. © 2015 The Authors.</t>
  </si>
  <si>
    <t>2-s2.0-84960218501"</t>
  </si>
  <si>
    <t>10.1002/esp.3854</t>
  </si>
  <si>
    <t>https://www.scopus.com/inward/record.uri?eid=2-s2.0-84947975913&amp;doi=10.1002%2fesp.3854&amp;partnerID=40&amp;md5=17870fb9fa6a8d244758d3ea35eb15ee</t>
  </si>
  <si>
    <t>Topographic change processes (TCPs) are the mechanisms by which a landscape is interpreted to be experiencing landform deformation, and are defined by the specific actions occurring within a contiguous, localized region that cause sediment to be either deposited or eroded. Past topographic change studies have mostly been focused at the site scale. The goal of this study was to identify and delineate spatially explicit TCP types across the valley width in a 34-km long cobble-gravel river at the scale of one-tenth of the bankfull channel width over a period of seven to nine years. To accomplish this, a new procedure was developed that analyzes spatial patterns of topographic change evident from differencing two raster digital elevation models and accounting for sources of uncertainty, then identifying and classifying those changes using a decision tree framework that invokes the locations of those changes as they relate to the locations of specific geographic characteristics. Once mapped, TCP polygons were analyzed for areal patterns and volumetric rates of change. Results showed that 19 unique TCP types occurred and that they have organized but complex spatial patterns. Within this study segment, overbank storage processes occurred over the most area and displaced the most net volume of sediment, while cohesive bank retreat created the largest net change in topographic elevations. Analyses of the TCPs reveal that the regulated lower Yuba River (LYR) is not experiencing the expected combination of channel incision and floodplain deposition commonly reported below dams. Instead, the LYR is a dynamic valley that is still adjusting valley-wide to the upstream dam with a diverse suite of processes that cause the channel and floodplains to scour and fill in concert. © 2016 John Wiley &amp; Sons, Ltd.</t>
  </si>
  <si>
    <t>2-s2.0-84947975913"</t>
  </si>
  <si>
    <t>Journal of Environmental Studies</t>
  </si>
  <si>
    <t>https://www.scopus.com/inward/record.uri?eid=2-s2.0-85012257316&amp;partnerID=40&amp;md5=5f119a45a80fe34691567d19c2e4e2b8</t>
  </si>
  <si>
    <t>Introduction: Increase in water demand will likely be followed by increased pressure on groundwater resources in the short term and long term. At this time, spreading floods on the aquifers is one of the appropriate methods to control and optimal use of floods and artificial recharge of groundwater resources in arid and semi-arid regions. Sarkhoon plain is one of the plains close to the center of Hormozgan Province where its groundwater has been supplying the regional needs for water, so far. A look at the hydrologic statistics of recent years indicates negative water balance in the plain. This reveals the importance of sustainable management of water in the region. The purpose of this study was to determine the importance of factors effective in identifying the areas prone to artificial recharge in Sarkhoon plain by using network process analysis and determining appropriate areas for operations of artificial recharge using GIS in combination with the network process analysis. Thus, by identifying the areas prone to spreading floods and proposal for constructing structures, the wasting of water resources in the region will be prevented. Thus, some progress can be made in planning for sustainable development of water resources. Sarkhoon study area is located at almost 25 km from Bandar Abbas, Hormozgan Province, with an area about 11,400 ha. The estimated average annual rainfall values in the plains were 234 mm and 219 mm, respectively. The groundwater level changes in Sarkhoon plain during a period of 25 years from 1990-1991 to 2013-2014 accounted for 0.5 m of the annual drop. (pic 1) (Figure Presented) Materials and methods: In this study, 9 influencing factors of slope, water quality, water depth, permeability rate, alluvium thickness, land use, transferability, geomorphology and the drainage density were selected and analyzed. Then, the paired comparison method to determine the weight of classes of each layer and the ANP method were used to determine the final weight of the criteria. The Super Decision software was also used to determine the weights. After omission of the areas with limitation, the areas prone to flood spreading operation were determined. Hhe appropriate criteria for flood spreading operation in Sarkhoon Plain are: • Slope: To prepare the slope layer, the digital elevation model (DEM) with a pixel size of 30m is extracted from ASTER data. (pic 2) • Geomorphology: From the morphological map of the province, the study area was separated and divided into four classifications, (pic 2) • Water depth: Water depth map was obtained with minimum error using the 10-year average water levels data related to observation wells and generalization to the whole plain using interpolation algorithm by Kriging spherical model. (pic 2) • Alluvium thickness: The mentioned layer was re-classified into four classes, (pic 2) • Alluvium transferability: The water transferability map of Sarkhoon plain water was prepared according to the existing pumping test results of 10 Piezometers in the plain (Hormozgan Regional Water) with interpolation by Kriging spherical model in the ARCGIS 10 platform, (pic 2) • Land use: The land-use layer for the study area was obtained from 1:25000 maps and updated by using ASTER satellite images combined with bands 1, 2, 3 as well as Google Earth images, and were classified into four categories, (pic 2) • Water quality: In this study, the data of observation wells were used to provide the electrical conductivity layer of Sarkhoon plain area, (pic 2) • Drainage density: The cumulative flow layer was extracted from regional DEM, and then, the channel density layer was obtained. It was classified into six classes. (pic 2) • Permeability coefficient: To determine the permeability of the study area, the tests results provided by the Agricultural Research Center of Hormozgan province in 2009 were used, and the permeability layer was produced by interpolation. It was also re-classified into 5 categories. (Figure Presented) Identifying the areas with limitation In the present study, according to research in this field and the region local conditions, three layers of slope, geomorphology and land use were identified as layers with limitations. Analytic network process (ANP) This model is one of the multi-criteria decision-making techniques classified in compensatory models series. The most important distinction between this method and the hierarchical approach is in the influence and effectiveness of criteria on one another. In this hierarchical structure model, a target or a node is initially located that finally ends to a destination node or cluster. Therefore, there is a linear structure from top to bottom and without returning from lower or higher levels. But in the network structure, the network and its clusters are not distributed on a regular basis. In addition, there should be the possibility of a cluster being influenced by itself (interdependence) or affecting another cluster (external dependency). Direct returning from the second cluster or passing through the middle cluster is possible. Results and discussion: Examination of the weights of criteria in this study indicated that the drainage density factor with a weight equal to 0.274 is the most important factor in locating of flood spreading in Sarkhoon Plain. After integration, the value of each cell was determined. To attain better results, using the natural breaks method, the whole land was divided into five final categories based on the zoning map. From the total area of Sarkhoon plain, about 14.2576 square kilometers and 45.0283 square kilometers were determined as very suitable and suitable areas, respectively, for flood spreading operation. The results indicate that most of the perfectly suitable and suitable areas occur in the category of 0-3% and 3-5% regarding the slope. Regarding the measure of depth, the perfectly suitable and suitable areas are located at depths greater than 68 meters. Also, these areas are in accordance with the ranges with higher transmissibility rates. Regarding thickness measure, the alluvium is located in a range greater than 60 m. Also, the zones are located in the areas with higher permeability coefficients (18-24 and 24&gt; m per day). Regarding electrical conductivity layer, the suitable and perfectly suitable areas are located within the scope with EC less than 2000 micromhos/cm. In terms of land use layer, the lands are located in the areas with pasture usage and drainage density less than 3.8 km per square kilometers. Conclusion: Planning to use floods, meanwhile to reduce their destructive effects, will provide a new water source for the consumers. In the studies with similar research subject, the AHP method was used to determine the weights of criteria in such method. The criteria relations and their coefficient of impact are not considered to reduce the accuracy and quality of the work. Since the ANP method deals with the dependencies systematically, i.e., it considers all internal and external dependencies between the elements and clusters for analysis, but other methods consider these relationships. Thus, with the interdependence of environmental issues (including this study subject), the use of ANP method can provide the necessary supports for decision-makers and planners to solve water management issues to gain a deeper understanding of environmental issues.</t>
  </si>
  <si>
    <t>2-s2.0-85012257316"</t>
  </si>
  <si>
    <t>10.1007/s10533-015-0175-3</t>
  </si>
  <si>
    <t>https://www.scopus.com/inward/record.uri?eid=2-s2.0-84959516921&amp;doi=10.1007%2fs10533-015-0175-3&amp;partnerID=40&amp;md5=ce89f854818616a4bc9d6c6eb452e81a</t>
  </si>
  <si>
    <t>Freshwater estuaries may be important control points but have received limited research attention, emblematic of a general under-appreciation of these ecosystems and the services they provide. These ecotone environments exist at the interface of rivers flowing into large lakes, where seiches cause mixing of lotic and lentic waters within flooded river deltas. We assessed the dissolved inorganic nitrogen (DIN) retention and processing controls in the Saint Louis River Estuary (SLRE), which receives inputs from rivers, urban sources, and Lake Superior. Nitrate (NO3–N) was the dominant form of DIN and was consistently highest in the lower estuary due to seiche-delivered Lake Superior water and nitrification of ammonium from urban sources. The estuary transitioned from a net NO3–N source during high flows to a net sink during summer baseflow conditions. NO3–N availability controlled site-specific denitrification rates while sediment organic matter explained the spatial pattern in denitrification potential. As the estuary shifted from a riverine state to one with more lake influence, seiches delivered Lake Superior NO3–N to the lower portion of the estuary, alleviating the final denitrification control and activating the estuary’s ‘denitrification pump’. This amplified removal condition is maintained by critically delivered NO3–N during periods of warm temperatures and long residence times. Often these controls are unsynchronized in streams where NO3–N is typically lowest during summer baseflow. Similar ephemeral biogeochemical processes are likely found within other seiche-prone lakes where organic-rich sediments accumulate at river mouths and are supplied with chemically distinct lake water during low flow periods. © 2016, Springer International Publishing Switzerland.</t>
  </si>
  <si>
    <t>2-s2.0-84959516921"</t>
  </si>
  <si>
    <t>10.1007/s12517-016-2427-5</t>
  </si>
  <si>
    <t>https://www.scopus.com/inward/record.uri?eid=2-s2.0-84966431061&amp;doi=10.1007%2fs12517-016-2427-5&amp;partnerID=40&amp;md5=98cae8e15a3da9c93a62e717a2c28dbb</t>
  </si>
  <si>
    <t>This study evaluates the hydrocarbon generation potentials and time of generation for Paleocene to Lower Miocene source rock horizons from A-1, B-1, B-2, and C-1 wells in the Niger Delta Basin using 1D Petromod modeling software. Wells A-1, B-1 and B-2, and C-1 are located within the Central Swamp, the Coastal Swamp, and the Shallow Offshore depobelts, respectively. The thermal history was derived from the rifting–subsidence heat flow model. Maturity modeling were carried out by using Easy%Ro kinetic model and a heat flow history predicting present-day heat flow which were calibrated with measured temperature data. Results of the study suggest that these potential source rocks have attained maturity status to generate hydrocarbons, with vast differences existing in the timing of the onset of oil generation. Basin modeling suggests that Paleocene source rocks entered the oil generative window from the Oligocene to Miocene times with thermal maturity window that varies from gas generation to early-mature phase. The Eocene source rocks have also attained maturity from Miocene to Pliocene times, and their thermal maturity ranges from gas generation to early maturity stage. The Oligocene source rocks also began to generate oil during the Miocene and are currently within the early-mature to mid-mature stage. The thermal maturity window for the Lower Miocene source rocks ranges from immature to early-mature stage. The present modeling results reveals that higher levels of thermal maturity are attained in areas with high geothermal gradients and heat flow values while the cooler areas exhibits lower levels of maturation. The onset of the oil window lies at 2859 m at A-1 (Central Swamp), 3240 m at B-2 (Coastal Swamp), 4732 m at B-1 (Coastal Swamp), and 4344 m at C-1 (Shallow Offshore). The depth to the onset of oil window is found deeper in the Shallow Offshore and western parts of the study area than in the eastern and northwestern parts. The result of this study suggest that the Paleocene, Eocene, Oligocene, and Lower Miocene source rocks are the principal source rocks for oil and gas generation in the Niger Delta Basin. © 2016, Saudi Society for Geosciences.</t>
  </si>
  <si>
    <t>2-s2.0-84966431061"</t>
  </si>
  <si>
    <t>10.1038/nclimate2909</t>
  </si>
  <si>
    <t>https://www.scopus.com/inward/record.uri?eid=2-s2.0-84959304129&amp;doi=10.1038%2fnclimate2909&amp;partnerID=40&amp;md5=39fff3fd7d617e12588b5597471e4c17</t>
  </si>
  <si>
    <t>Coastal marshes are considered to be among the most valuable and vulnerable ecosystems on Earth, where the imminent loss of ecosystem services is a feared consequence of sea level rise. However, we show with a meta-analysis that global measurements of marsh elevation change indicate that marshes are generally building at rates similar to or exceeding historical sea level rise, and that process-based models predict survival under a wide range of future sea level scenarios. We argue that marsh vulnerability tends to be overstated because assessment methods often fail to consider biophysical feedback processes known to accelerate soil building with sea level rise, and the potential for marshes to migrate inland. © 2016 Macmillan Publishers Limited.</t>
  </si>
  <si>
    <t>2-s2.0-84959304129"</t>
  </si>
  <si>
    <t>10.1007/s10584-016-1617-1</t>
  </si>
  <si>
    <t>https://www.scopus.com/inward/record.uri?eid=2-s2.0-84959136304&amp;doi=10.1007%2fs10584-016-1617-1&amp;partnerID=40&amp;md5=54d13f37e22e73806f33821f0e11c870</t>
  </si>
  <si>
    <t>Drinking water in much of Asia, particularly in coastal and rural settings, is provided by a variety of sources, which are widely distributed and frequently managed at an individual or local community level. Coastal and near-inland drinking water sources in South and South East (SSE) Asia are vulnerable to contamination by seawater, most dramatically from tropical cyclone induced storm surges. This paper assesses spatial vulnerabilities to salinisation of drinking water sources due to meteorological variability and climate change along the (ca. 6000 km) coastline of SSE Asia. The risks of increasing climatic stresses are first considered, and then maps of relative vulnerability along the entire coastline are developed, using data from global scale land surface models, along with an overall vulnerability index. The results show that surface and near-surface drinking water in the coastal areas of the mega-deltas in Vietnam and Bangladesh-India are most vulnerable, putting more than 25 million people at risk of drinking ‘saline’ water. Climate change is likely to exacerbate this problem, with adverse consequences for health, such as prevalence of hypertension and cardiovascular diseases. There is a need for identifying locations that are most at risk of salinisation in order for policy makers and local officials to implement strategies for reducing these health impacts. To counter the risks associated with these vulnerabilities, possible adaptation measures are also outlined. We conclude that detailed and fine scale vulnerability assessments may become crucial for planning targeted adaptation programmes along these coasts. © 2016, The Author(s).</t>
  </si>
  <si>
    <t>2-s2.0-84959136304"</t>
  </si>
  <si>
    <t>10.1007/s10584-014-1281-2</t>
  </si>
  <si>
    <t>https://www.scopus.com/inward/record.uri?eid=2-s2.0-84959193080&amp;doi=10.1007%2fs10584-014-1281-2&amp;partnerID=40&amp;md5=d01a9126240387316446920fb49d39b5</t>
  </si>
  <si>
    <t>The overall global-scale consequences of climate change are dependent on the distribution of impacts across regions, and there are multiple dimensions to these impacts. This paper presents a global assessment of the potential impacts of climate change across several sectors, using a harmonised set of impacts models forced by the same climate and socio-economic scenarios. Indicators of impact cover the water resources, river and coastal flooding, agriculture, natural environment and built environment sectors. Impacts are assessed under four SRES socio-economic and emissions scenarios, and the effects of uncertainty in the projected pattern of climate change are incorporated by constructing climate scenarios from 21 global climate models. There is considerable uncertainty in projected regional impacts across the climate model scenarios, and coherent assessments of impacts across sectors and regions therefore must be based on each model pattern separately; using ensemble means, for example, reduces variability between sectors and indicators. An example narrative assessment is presented in the paper. Under this narrative approximately 1 billion people would be exposed to increased water resources stress, around 450 million people exposed to increased river flooding, and 1.3 million extra people would be flooded in coastal floods each year. Crop productivity would fall in most regions, and residential energy demands would be reduced in most regions because reduced heating demands would offset higher cooling demands. Most of the global impacts on water stress and flooding would be in Asia, but the proportional impacts in the Middle East North Africa region would be larger. By 2050 there are emerging differences in impact between different emissions and socio-economic scenarios even though the changes in temperature and sea level are similar, and these differences are greater in 2080. However, for all the indicators, the range in projected impacts between different climate models is considerably greater than the range between emissions and socio-economic scenarios.</t>
  </si>
  <si>
    <t>10.3389/feart.2016.00036</t>
  </si>
  <si>
    <t>https://www.scopus.com/inward/record.uri?eid=2-s2.0-84994577086&amp;doi=10.3389%2ffeart.2016.00036&amp;partnerID=40&amp;md5=00600f81aaba5b4b865ba47b096b3a64</t>
  </si>
  <si>
    <t>Elevation data based on NASA’s Shuttle Radar Topography Mission (SRTM) have been widely used to evaluate threats from global sea level rise, storm surge, and coastal floods. However, SRTM data are known to include large vertical errors in densely urban or densely vegetated areas. The errors may propagate to derived land and population exposure assessments. We compare assessments based on SRTM data against references employing high-accuracy bare-earth elevation data generated from lidar data available for coastal areas of the United States. We find that both 1-arcsecond and 3-arcsecond horizontal resolution SRTM data systemically underestimate exposure across all assessed spatial scales and up to at least 10m above the high tide line. At 3 m, 1-arcsecond SRTM underestimates U.S. population exposure by more than 60%, and under-predicts population exposure in 90% of coastal states, 87% of counties, and 83% of municipalities. These fractions increase with elevation, but error medians and variability fall to lower levels, with national exposure underestimated by just 24%at 10 m. Results using 3-arcsecondSRTMare extremely similar. Coastal analyses basedon SRTM data thus appear to greatly underestimate sea level and flood threats, especially at lower elevations. However, SRTM-based estimates may usefully be regarded as providing lower bounds to actual threats. We additionally assess the performance of NOAA’s Global Land 1-km Base Elevation Project (GLOBE), another publicly-available global DEM, but do not reach any definitive conclusion because of the spatial heterogeneity in its quality. © 2016 Kulp and Strauss.</t>
  </si>
  <si>
    <t>2-s2.0-84994577086"</t>
  </si>
  <si>
    <t>10.5194/nhess-16-391-2016</t>
  </si>
  <si>
    <t>https://www.scopus.com/inward/record.uri?eid=2-s2.0-84957998987&amp;doi=10.5194%2fnhess-16-391-2016&amp;partnerID=40&amp;md5=7d9066ac34d56de9d37a1d309497351c</t>
  </si>
  <si>
    <t>The aim of this study is to determine the contribution and importance of cold fronts and storms to extreme waves in different areas of the Colombian Caribbean in an attempt to determine the extent of the threat posed by the flood processes to which these coastal populations are exposed. Furthermore, the study wishes to establish the actions to which coastal engineering constructions should be subject. In the calculation of maritime constructions, the most important parameter is the height of the wave. For this reason, it is necessary to establish the design wave height to which a coastal engineering structure should be resistant. This wave height varies according to the return period considered. The significant height values for the areas focused on in the study were calculated in accordance with Gumbel's extreme value methodology. The methodology was evaluated using data from the reanalysis of the spectral National Oceanic and Atmospheric Administration (NOAA) WAVEWATCH III® (WW3) model for 15 points along the 1600km of the Colombian Caribbean coastline (continental and insular) between the years 1979 and 2009. The results demonstrated that the extreme waves caused by tropical cyclones and those caused by cold fronts have different effects along the Colombian Caribbean coast. Storms and hurricanes are of greater importance in the Guajira Peninsula (Alta Guajira). In the central area (consisting of Baja Guajira, and the cities of Santa Marta, Barranquilla, and Cartagena), the strong impact of cold fronts on extreme waves is evident. However, in the southern region of the Colombian Caribbean coast (ranging from the Gulf of Morrosquillo to the Gulf of Urabá), the extreme values of wave heights are lower than in the previously mentioned regions, despite being dominated mainly by the passage of cold fronts. Extreme waves in the San Andrés and Providencia insular region present a different dynamic from that in the continental area due to their geographic location. The wave heights in the extreme regime are similar in magnitude to those found in Alta Guajira, but the extreme waves associated with the passage of cold fronts in this region have lower return periods than those associated with the hurricane season. © Author(s) 2016.</t>
  </si>
  <si>
    <t>2-s2.0-84957998987"</t>
  </si>
  <si>
    <t>10.1007/s00024-015-1235-2</t>
  </si>
  <si>
    <t>https://www.scopus.com/inward/record.uri?eid=2-s2.0-84957960605&amp;doi=10.1007%2fs00024-015-1235-2&amp;partnerID=40&amp;md5=7b331fe7456bf5316ea100e17bed1086</t>
  </si>
  <si>
    <t>The September 16th 2015 Illapel M8.3 earthquake, Chile, generated a tsunami that affected a sparsely populated region, causing 15 casualties and destroying 1069 houses (USGS 2015). A maximum surface elevation of +4.5 m was observed in Coquimbo's tide gauge while in other sites of the tide network, the tsunami did not exceed +2.0 m. A post-tsunami survey team comprised by local researchers was deployed from September 17th to November 14th 2015. The survey covered approximately 80 sites along 500 km of the primary impact zone, from the northernmost site where damage was reported, Bahía Carrizalillo (29.11°S</t>
  </si>
  <si>
    <t>10.1007/s10040-015-1344-0</t>
  </si>
  <si>
    <t>https://www.scopus.com/inward/record.uri?eid=2-s2.0-84958740252&amp;doi=10.1007%2fs10040-015-1344-0&amp;partnerID=40&amp;md5=6fc3e7f4b2278a2b91ff23f92f8be3b0</t>
  </si>
  <si>
    <t>Protection against flooding by the sea, drainage of rainwater and integrated management of groundwater and surface-water resources are key issues in low-lying coastal areas. However, under exceptional circumstances, knowledge to keep coastal areas dry and habitable can be used otherwise. Inundation for military purposes is such an example. The hydrogeology of the inundation at the Yser River, Belgium, during the Great War is studied. The inundation started in October 1914 to stop the German advance and lasted until 1918. A water balance and groundwater model are combined to derive the water balance before and during the inundation and to study the impact on the groundwater system. It is concluded that a number of hydrogeological factors contributed to the effectiveness of the inundation. Most importantly, the low-permeability subsoil facilitated loss of inundation water mainly by evaporation. Further, the normal water management strategy of the area (aimed at evacuating excess water towards the sea) was reversed to keep water between the opposing armies. However, the duration of the inundation meant a reorganization of the drainage of areas not inundated</t>
  </si>
  <si>
    <t>10.1007/s11069-016-2210-7</t>
  </si>
  <si>
    <t>https://www.scopus.com/inward/record.uri?eid=2-s2.0-84962630132&amp;doi=10.1007%2fs11069-016-2210-7&amp;partnerID=40&amp;md5=09a7ccd7f18f03561785081addf9187c</t>
  </si>
  <si>
    <t>Facing potential coastal disasters such as storm surges, storm waves, and tsunamis, Japan has planned the construction of coastal structures such as seawalls or breakwaters along its coastal areas. However, some conflicts exist among the public whether such constructions should be undertaken or whether the natural coast should be conserved. This study uses a choice experiment to investigate opinions of coastal citizens about (1) the acceptable loss of coastal wildlife species as a tradeoff for seawalls</t>
  </si>
  <si>
    <t>10.1007/s12601-016-0017-9</t>
  </si>
  <si>
    <t>https://www.scopus.com/inward/record.uri?eid=2-s2.0-84975865863&amp;doi=10.1007%2fs12601-016-0017-9&amp;partnerID=40&amp;md5=5a5c9546c353f3ae3079d88ad77ab488</t>
  </si>
  <si>
    <t>This study investigated the tidal asymmetry imposed by both the interaction of principal tides and the higher harmonics generated by distortions within a tidal creek network with mixed mainly semidiurnal tide in the Bushehr Port, Persian Gulf. Since velocity and water-level imposed by principal triad tides K1-O1-M2are in quadrature, duration asymmetries during a tidal period in this short, shallow inverse estuary should be manifest as skewed velocities. The principal tides produce periodic asymmetries including a strong ebb-dominance and a weak flood-dominance condition during spring and neap tides respectively. The higher harmonics induced by nonlinearities engender a flood-dominance condition where the convergence effects are higher than frictional effects, and an ebbdominance condition where intertidal storage are extended. Since the triad K1-O1-M2driven asymmetry is not overcome by higher harmonics close to the mouth, the periodic asymmetry dominates within the creek in which higher harmonics reinforce the weak flood-dominance (strong ebb-dominance) condition in the convergent channel (divergent area). Also, the maximum flood and the maximum ebb from all harmonic constituents occurred close to high water slack time during both spring and neap tides in this short creek. Since occational wetting of intertidal areas happened close to the high water (HW) time during spring tide, the water level flooded slowly close to the HW time of the spring tide. © 2016, Korea Ocean Research &amp; Development Institute (KORDI) and the Korean Society of Oceanography (KSO) and Springer Science+Business Media Dordrecht.</t>
  </si>
  <si>
    <t>2-s2.0-84975865863"</t>
  </si>
  <si>
    <t>10.1007/s10652-015-9434-z</t>
  </si>
  <si>
    <t>https://www.scopus.com/inward/record.uri?eid=2-s2.0-84960461408&amp;doi=10.1007%2fs10652-015-9434-z&amp;partnerID=40&amp;md5=f49e6720f897f74a6b7480d01ff047ee</t>
  </si>
  <si>
    <t>The head Bay region bordering the Bay of Bengal is highly vulnerable to tropical cyclones. Catastrophic risks from storm surge and associated inundation are quite high due to high population density in coastal areas, socio-economic conditions, and shallow bathymetry. It features the world’s largest deltaic system comprising of ‘Sunderbans’ bordered by West Bengal and Bangladesh. In a geomorphologic sense, the head Bay region is a low-lying belt comprising several barrier islands and river drainage systems, numerous tidal creeks, and mud flats having a high risk for widespread inundation. In addition, the high tidal range together with low-lying topography leads to high risk and vulnerability from storm surge inundation. During May 2009, a severe cyclonic storm Aila struck West Bengal causing enormous destruction to life and property along coastal belts of West Bengal and Bangladesh. It was the strongest pre-monsoon cyclone in the past two decades that had landfall in West Bengal. This work reports on a numerical study for hypothetical storm surge and associated inundation from Aila using the ADCIRC model. The study covers a comprehensive qualitative analysis on water level elevation and onshore inundation for West Bengal and Bangladesh regions. The estimated peak storm surge was about 4 m in the Sunderban region that propagated into all major riverine systems, inundating the river banks as well the inland areas. Numerical simulations indicate an average inland penetration distance of 350 m with a maximum of 600 m at various coastal locations in West Bengal and Bangladesh. The study emphasizes the need and importance of inundation modeling system required for emergency preparedness and disaster management. © 2015, Springer Science+Business Media Dordrecht.</t>
  </si>
  <si>
    <t>2-s2.0-84960461408"</t>
  </si>
  <si>
    <t>10.1007/s10236-016-0928-0</t>
  </si>
  <si>
    <t>https://www.scopus.com/inward/record.uri?eid=2-s2.0-84957950888&amp;doi=10.1007%2fs10236-016-0928-0&amp;partnerID=40&amp;md5=27880f6e67d1b3b3c890488807bb9e9c</t>
  </si>
  <si>
    <t>Much attention has been given in recent years to observations and models that show that variations in the transport of the Atlantic Meridional Overturning Circulation (AMOC) and in the Gulf Stream (GS) can contribute to interannual, decadal, and multi-decadal variations in coastal sea level (CSL) along the US East Coast. However, less is known about the impact of short-term (time scales of days to weeks) fluctuations in the GS and their impact on CSL anomalies. Some observations suggest that these anomalies can cause unpredictable minor tidal flooding in low-lying areas when the GS suddenly weakens. Can these short-term CSL variations be attributed to changes in the transport of the GS? An idealized numerical model of the GS has been set up to test this proposition. The regional model uses a 1/12° grid with a simplified coastline to eliminate impacts from estuaries and small-scale coastal features and thus isolate the GS impact. The GS in the model is driven by inflows/outflows, representing the Florida Current (FC), the Slope Current (SC), and the Sargasso Sea (SS) flows. Forcing the model with an oscillatory FC transport with a period of 2, 5, and 10 days produced coherent CSL variations from Florida to the Gulf of Maine with similar periods. However, when imposing variations in the transports of the SC or the SS, they induce CSL variations only north of Cape Hatteras. The suggested mechanism is that variations in GS transport produce variations in sea level gradient across the entire GS length and this large-scale signal is then transmitted into the shelf by the generation of coastal-trapped waves (CTW). In this idealized model, the CSL variations induced by variations of ∼10 Sv in the transport of the GS are found to resemble CSL variations induced by ∼5 m s−1 zonal wind fluctuations, though the mechanisms of wind-driven and GS-driven sea level are quite different. Better understanding of the relation between variations in offshore currents and CSL will help to improve the prediction of both short-term water level anomalies that cause flooding, as well as spatial variations in long-term sea level variability and coastal sea level rise. © 2016, Springer-Verlag Berlin Heidelberg.</t>
  </si>
  <si>
    <t>2-s2.0-84957950888"</t>
  </si>
  <si>
    <t>10.2112/JCOASTRES-D-14-00109.1</t>
  </si>
  <si>
    <t>https://www.scopus.com/inward/record.uri?eid=2-s2.0-84962585070&amp;doi=10.2112%2fJCOASTRES-D-14-00109.1&amp;partnerID=40&amp;md5=90ac059d06816385f267a89a7e73ce96</t>
  </si>
  <si>
    <t>Relict and historic tidal channels buried within coastal barriers provide a geologic signature of environmental change, thus enhancing our understanding of how barrier systems respond to extreme storm events. Earliest maps from 1846 depict three inlets along the Waquoit Bay barrier system located on Cape Cod, Massachusetts. These channels were not depicted on maps after 1846, and we lack any information pertaining to them before 1846. The principle objective of this study was to identify the location and map the internal geometry and channel-fill configuration of the buried inlet structures using geophysical and sedimentological data acquisition methods. This was done by collecting 6.2 km of shore-parallel ground-penetrating radar data and five sediment cores ranging in depth from 4 to 5 m. The sediment cores allowed for the ground truthing of the ground-penetrating radar data and provided six samples for radiocarbon dating. The 13 paleochannels identified ranged in depths from 1.3 to 3.7 m below the present beach surface. These appeared in the radar imagery as broad U-shaped cut-and-fill features incised into adjacent barrier facies. The 13 paleochannels composed 24% of the barrier lithosome totaling 704 m in length. Individual channels were primarily less than 65 m in length and between 2.5 and 1.3 m in depth, although an additional 275-m-wide, 3.7-m-deep channel sequence was imaged and likely represents a major and long-lived paleochannel. The results will contribute toward deciphering the evolution of the Waquoit system and identify areas vulnerable to storm-driven coastal change. © Coastal Education and Research Foundation, Inc. 2016.</t>
  </si>
  <si>
    <t>2-s2.0-84962585070"</t>
  </si>
  <si>
    <t>10.2112/JCOASTRES-D-15-00057.1</t>
  </si>
  <si>
    <t>https://www.scopus.com/inward/record.uri?eid=2-s2.0-84969549321&amp;doi=10.2112%2fJCOASTRES-D-15-00057.1&amp;partnerID=40&amp;md5=27b38f403cf294064066a9a11a0100bc</t>
  </si>
  <si>
    <t>Assessing the hydro-morphodynamic response of a beach protected by detached, impermeable, submerged breakwaters: A numerical approach. Coastal areas host a large fraction of the world's population and are exposed to natural extreme events, which are a serious threat to human life, as well as to economies. For this reason, sea storms are increasingly the object of studies, and the design of traditional coastal defenses is being carried out in conjunction with modeling analyses. Relying on numerical simulations performed by means of an innovative shallow-water hydro-morphodynamic model, the present work explores the overall response of a protected beach to sea storms. Numerical tests evaluate the effects of sea states extracted from realistic sea storms having different spectral characteristics, as well as the influence on beach morphology of positioning shore-parallel, impermeable, submerged breakwaters. Simulation results revealed that, while erosion/accretion patterns depend weakly on the different sea state conditions, the morphodynamics induced around the barriers is strongly influenced by the breakwaters' positioning. More specifically, at least for the forcing here analyzed, bed variations were shown to increase when the structures are progressively located offshore</t>
  </si>
  <si>
    <t>10.1007/s12517-015-2263-z</t>
  </si>
  <si>
    <t>https://www.scopus.com/inward/record.uri?eid=2-s2.0-84961168307&amp;doi=10.1007%2fs12517-015-2263-z&amp;partnerID=40&amp;md5=8768c4e964fc4217e078c174fb2464e4</t>
  </si>
  <si>
    <t>While Turkey’s province of Edirne represents one of the country’s most significant cultural heritage areas because it lies in the basins of the Meric and Ergene rivers, this very valuable region is highly susceptible to flooding during heavy rain falls. It becomes particularly vulnerable when neighboring Bulgaria responds to its own threats of heavy rain or snowfall by opening its floodgates of its dams on the River Meric, which flows through the Edirne province. Therefore, for years, the Edirne province has experienced severe floods that are eroding its fertile alluvial agricultural floodplains. An environmental plan based on a determination of the vulnerability levels of the province’s flood hazard risk areas is required if action is taken to alleviate this problem. The objective of this study is to acquire geo-information from the remotely sensed data and to interpret the flood hazard risk levels of the area’s settlements and agricultural floodplains. In this study, the spatial distribution of the flood hazard risk areas in the Edirne province is determined using not only the Advanced Space-Borne Thermal Emission and Reflection Radiometer digital elevation model data of the Edirne province to create maps that illustrate the digital terrain model and the 3D fly-through dynamic model of the study region but also the Landsat-7 Enhanced Thematic Mapper Plus multi-spectral image data set to create land use and land cover types of the study region. The maps exhibit landform characteristics, floodplain topography, and stream drainages. Analysis and interpretation of the maps demonstrate that the areas most susceptible to flooding are Enez, which lies at the northern coastal area of the Aegean Sea and agricultural areas, and the settlements on the Meric River floodplains of Ipsala, Meric, Edirne, and Uzunkopru, listed in decreasing order, respectively. © 2016, Saudi Society for Geosciences.</t>
  </si>
  <si>
    <t>2-s2.0-84961168307"</t>
  </si>
  <si>
    <t>10.1016/j.earscirev.2015.10.011</t>
  </si>
  <si>
    <t>https://www.scopus.com/inward/record.uri?eid=2-s2.0-84960104428&amp;doi=10.1016%2fj.earscirev.2015.10.011&amp;partnerID=40&amp;md5=65f68f4f02e3d95f361571c170a2a9ac</t>
  </si>
  <si>
    <t>Source to sink sedimentary systems are important settings of carbon cycling, serving as sites of carbon transfer between terrestrial and marine reservoirs, and as the primary locations for organic carbon burial on Earth. The age and character of the carbon that is buried at the terminal ends of these systems reflects the sources and transformations of the organic carbon (OC) throughout their linked terrestrial and marine segments. Profound differences are observed between large passive and small active margin systems. Large passive margin systems are characterized by large floodplains and relatively broad shelves where OC has protracted exposure to oxidants. Rapid burial in prograding, subaqueous deltaic clinoforms or bypass to submarine fans, however, leads to high burial efficiency of terrestrial biospheric OC in some passive margin settings. The OC in small active margin systems, in contrast, follows relatively short pathways from headwaters to seabed. This rapid transit, facilitated by the important role of storm-driven transport in such settings, can lead to high OC burial efficiencies. The study of OC sources and transformations in contemporaneous source to sink sedimentary systems informs interpretations about the systems in which OC was buried in the geologic past, their stratigraphic records of environmental change, and their potential to produce petroleum resources. © 2015 Elsevier B.V.</t>
  </si>
  <si>
    <t>2-s2.0-84960104428"</t>
  </si>
  <si>
    <t>10.1080/17565529.2015.1016884</t>
  </si>
  <si>
    <t>https://www.scopus.com/inward/record.uri?eid=2-s2.0-84924675116&amp;doi=10.1080%2f17565529.2015.1016884&amp;partnerID=40&amp;md5=225cbbece6571c547e7f95b6bb041c17</t>
  </si>
  <si>
    <t>Despite the growing discussion on vulnerability and adaptation in urban areas, there is limited research on how smaller towns and cities in Small Island Developing States are being affected by and responding to climate change impacts. This study uses fuzzy cognitive mapping (FCM), field visits and semi-structured interviews with 40 stakeholders across 6 different stakeholder groups in the Nadi River Basin, Fiji Islands to identify, analyse and deconstruct climate change vulnerability and adaptation options to manage increasing flood risks. The research evidence suggests that vulnerability to floods in the basin is on the rise due to a complex mesh of three intersecting factors. Firstly, non-climatic pressures such as development, drainage, social change, agriculture, tourism growth and deforestation combine, juxtapose and interact in a rather unique way with global climate variability (interdependent systems) to increase the stress on the river and coastal ecosystems. Secondly, the most vulnerable or at-risk populations like the farmers, squatter households and in particular women within the community have weak coping capacity due to a combination of demographic and social characteristics. Thirdly, vulnerability is on the rise due to climate factors as well as the flurry of unplanned development, redevelopment and degradation of catchment resources. The research findings have implications for adaptation policies. In particular, the basin stakeholders should integrate climate change within sectorial planning processes, actively engage the vulnerable groups, promote knowledge, awareness and social learning, and invest in adaptive management across all levels of decision-making. Structural policy changes to land-use planning and insurance financing schemes are also necessary to address growing risks. These have the potential to enhance local capacities of communities to adapt to climate-induced floods and improve ecosystem integrity for resilience building. © 2015 Taylor &amp; Francis.</t>
  </si>
  <si>
    <t>2-s2.0-84924675116"</t>
  </si>
  <si>
    <t>10.3301/ROL.2016.48</t>
  </si>
  <si>
    <t>https://www.scopus.com/inward/record.uri?eid=2-s2.0-84963556344&amp;doi=10.3301%2fROL.2016.48&amp;partnerID=40&amp;md5=a6bc75e3b97bbb618dbcb47daf1a79c4</t>
  </si>
  <si>
    <t>The purpose of this paper is to model July 1987 flooding event occurred in Valtellina (central Alps, northern Italy): at that time, a set of meteo-hydrogeological phenomena affected the study area causing huge direct and indirect physical and socio-economic consequences. The methodology proposed in this study combines GIS and CAD systems to model the geometric and structural features of the morphological and anthropic elements and HEC - RAS to model depth and velocity of the flow. A crucial input for the simulations is the Digital Terrain Model (DTM) of the study area at the time of event that was not initially available. So, a complex methodology for its realization has been designed and applied. Then, a sensitivity analysis on the Manning&amp;#39</t>
  </si>
  <si>
    <t>10.1007/s00704-015-1478-y</t>
  </si>
  <si>
    <t>https://www.scopus.com/inward/record.uri?eid=2-s2.0-84928629426&amp;doi=10.1007%2fs00704-015-1478-y&amp;partnerID=40&amp;md5=0658e69c0be8861dc5e21788cc7fb478</t>
  </si>
  <si>
    <t>The regionalization methods, which “trade space for time” by pooling information from different locations in the frequency analysis, are efficient tools to enhance the reliability of extreme quantile estimates. This paper aims at improving the understanding of the regional frequency of extreme precipitation by using regionalization methods, and providing scientific background and practical assistance in formulating the regional development strategies for water resources management in one of the most developed and flood-prone regions in China, the Yangtze River Delta (YRD) region. To achieve the main goals, L-moment-based index-flood (LMIF) method, one of the most popular regionalization methods, is used in the regional frequency analysis of extreme precipitation with special attention paid to inter-site dependence and its influence on the accuracy of quantile estimates, which has not been considered by most of the studies using LMIF method. Extensive data screening of stationarity, serial dependence, and inter-site dependence was carried out first. The entire YRD region was then categorized into four homogeneous regions through cluster analysis and homogenous analysis. Based on goodness-of-fit statistic and L-moment ratio diagrams, generalized extreme-value (GEV) and generalized normal (GNO) distributions were identified as the best fitted distributions for most of the sub-regions, and estimated quantiles for each region were obtained. Monte Carlo simulation was used to evaluate the accuracy of the quantile estimates taking inter-site dependence into consideration. The results showed that the root-mean-square errors (RMSEs) were bigger and the 90 % error bounds were wider with inter-site dependence than those without inter-site dependence for both the regional growth curve and quantile curve. The spatial patterns of extreme precipitation with a return period of 100 years were finally obtained which indicated that there are two regions with highest precipitation extremes and a large region with low precipitation extremes. However, the regions with low precipitation extremes are the most developed and densely populated regions of the country, and floods will cause great loss of human life and property damage due to the high vulnerability. The study methods and procedure demonstrated in this paper will provide useful reference for frequency analysis of precipitation extremes in large regions, and the findings of the paper will be beneficial in flood control and management in the study area. © 2015, Springer-Verlag Wien.</t>
  </si>
  <si>
    <t>2-s2.0-84928629426"</t>
  </si>
  <si>
    <t>10.1038/ngeo2641</t>
  </si>
  <si>
    <t>https://www.scopus.com/inward/record.uri?eid=2-s2.0-84959570877&amp;doi=10.1038%2fngeo2641&amp;partnerID=40&amp;md5=61a05e44666b0907b22aa943cc53ec4b</t>
  </si>
  <si>
    <t>Thermal expansion of the ocean in response to warming is an important component of historical sea-level rise. Observational studies show that the Atlantic and Southern oceans are warming faster than the Pacific Ocean. Here we present simulations using a numerical atmospheric-ocean general circulation model with an interactive carbon cycle to evaluate the impact of carbon emission rates, ranging from 2 to 25 GtC yr-1, on basin-scale ocean heat uptake and sea level. For simulations with emission rates greater than 5 GtC yr-1, sea-level rise is larger in the Atlantic than Pacific Ocean on centennial timescales. This basin-scale asymmetry is related to the shorter flushing timescales and weakening of the overturning circulation in the Atlantic. These factors lead to warmer Atlantic interior waters and greater thermal expansion. In contrast, low emission rates of 2 and 3 GtC yr-1 will cause relatively larger sea-level rise in the Pacific on millennial timescales. For a given level of cumulative emissions, sea-level rise is largest at low emission rates. We conclude that Atlantic coastal areas may be particularly vulnerable to near-future sea-level rise from present-day high greenhouse gas emission rates. © 2016 Macmillan Publishers Limited. All rights reserved.</t>
  </si>
  <si>
    <t>2-s2.0-84959570877"</t>
  </si>
  <si>
    <t>10.1007/s11069-016-2293-1</t>
  </si>
  <si>
    <t>https://www.scopus.com/inward/record.uri?eid=2-s2.0-84961839721&amp;doi=10.1007%2fs11069-016-2293-1&amp;partnerID=40&amp;md5=1c5fcfd26791ecea09160e1811b923fe</t>
  </si>
  <si>
    <t>Planning and management of coastal environment, both terrestrial and marine, is affected by several actions in environment resource conservation and improvement, paying specific attention to risk forecasting and preventing. In such context, the EU flood Directive 2007/60/EC, which requires Member States the assessment and management of flood risk, and the EU water framework Directive (2000/60/EC) are the key factors in the integrated river basin management to assure an efficient and rational use of resources. Afterwards, coastal risk assessment and mapping are a propaedeutic phase to plan and manage coastal areas. In this work, risk analysis refers to the results obtained by the combined application of coastal flooding and erosion risks in the activities carried out to prepare the Regional Coast Management Plan for the Ionian coast of Basilicata Region located in the south of Italy. In order to define the driving forces acting on the shore, high-resolution lidar data, bathymetric information and wave climate statistics referred to different acquisition times are used. The systemic vulnerability estimation is achieved by composing both hazard factors combined in the Coastal Criticality Index depending on the assessment of Coastal Flood Index and Coastal Erosion Index based on morphologic and socio-economic variables. © 2016, Springer Science+Business Media Dordrecht.</t>
  </si>
  <si>
    <t>2-s2.0-84961839721"</t>
  </si>
  <si>
    <t>10.2112/SI74-008.1</t>
  </si>
  <si>
    <t>https://www.scopus.com/inward/record.uri?eid=2-s2.0-84975038067&amp;doi=10.2112%2fSI74-008.1&amp;partnerID=40&amp;md5=2359a9e471c8094e789e2ea3e23c9fab</t>
  </si>
  <si>
    <t>Using nautical charts, topographic maps, high resolution remote sensing images and field observation, this study analyzed the land use change of the supratidal zone and its coastal morphodynamic effects along the eastern coast of Laizhou Bay. The results show that land use along the eastern coast of Laizhou bay has been significantly changed in the recent 50 years. The main evolution trend is the transition from aeolian sandy land, woodland and farmland to aquaculture ponds and residential land since the early 1990s. A belt zone of aquaculture facility parallel to the coastline has been formed and dykes are constructed along the outside of the coastal aquiculture zone. The significant land cover change in the supratidal zone has profoundly modified the boundary conditions of storm surges. The hydrodynamic modeling results show that the ocean dynamics near the coastline are enhanced and caused severe erosion of the coastline, beach and underwater coastal sea slope along the eastern coast of Laizhou Bay over the recent 30 years. © 2016 Coastal Education and Research Foundation.</t>
  </si>
  <si>
    <t>2-s2.0-84975038067"</t>
  </si>
  <si>
    <t>10.1061/(ASCE)GT.1943-5606.0001411</t>
  </si>
  <si>
    <t>https://www.scopus.com/inward/record.uri?eid=2-s2.0-84958554336&amp;doi=10.1061%2f%28ASCE%29GT.1943-5606.0001411&amp;partnerID=40&amp;md5=528aaab86b725b426770f4aec5ee0a49</t>
  </si>
  <si>
    <t>A streamlined energy and emissions assessment model (SEEAM) is presented that is based on life cycle analysis (LCA) methods. The SEEAM provides geotechnical engineers with the means to quantify the embodied energy (EE) and carbon dioxide (CO2) emissions associated with ground improvement projects. A companion paper (Shillaber et al. 2015) provides detailed background for sustainable development and environmental impact assessment, which are at the foundation of the SEEAM. This paper presents the boundary conditions and methodology for this model. Construction of levee LPV 111 in New Orleans, LA is used as a case history example to illustrate the use of the model. This project involved supporting an earthen embankment by deep soil mixing (DSM) elements. Results of a SEEAM analysis of the DSM supported embankment indicate that constructing the levee involved 1,174,000 GJ of EE and 147,000 t of CO2 emissions. For comparison, the SEEAM was also used to estimate the EE and CO2 emissions associated with two other LPV 111 design alternatives</t>
  </si>
  <si>
    <t>10.1007/s13157-015-0710-y</t>
  </si>
  <si>
    <t>https://www.scopus.com/inward/record.uri?eid=2-s2.0-84959489123&amp;doi=10.1007%2fs13157-015-0710-y&amp;partnerID=40&amp;md5=d56042569a058b2e42f5a98d3e948337</t>
  </si>
  <si>
    <t>Freshwater supplementation is often used for wetland restoration and ecosystem health protection. Understanding temporal patterns of aquatic metabolism caused by freshwater supplementation may help optimize wetland restoration designs. We investigated the short-term changes in aquatic metabolism and potential driving factors at two sites dominated by Phragmites australis and Suaeda salsa, respectively, in a restored coastal wetland located in the Yellow River Delta. Results showed that metabolism was influenced by freshwater supplementation. There was a wide range of variation in gross primary production (GPP) from 0.04 to 49.78 mg O2 L−1 d−1, ecosystem respiration (ER) from 3.37 to 45.86 mg O2 L−1 d−1, and net ecosystem metabolism (NEM) from −12.92 to 9.01 mg O2 L−1 d−1. GPP was more sensitive than ER as a response to flooding and, thus, decreases in NEM led to change of ecosystem from autotrophic to heterotrophic or from heterotrophic to more heterotrophic within one day. Several factors, including water depth, nutrient, salinity, pH, and turbidity, collectively influenced the variation in metabolism. Salinity is a particularly important factor that affected the metabolism rate of the coastal wetland. These findings suggest that a moderate water flow rate (e. g., ≤ 20 cm d−1) may help increase GPP post-flooding. © 2015, Society of Wetland Scientists.</t>
  </si>
  <si>
    <t>2-s2.0-84959489123"</t>
  </si>
  <si>
    <t>10.1002/rra.2896</t>
  </si>
  <si>
    <t>https://www.scopus.com/inward/record.uri?eid=2-s2.0-84924794721&amp;doi=10.1002%2frra.2896&amp;partnerID=40&amp;md5=5897d923d0ee3b7e57c7f9ed3f2d5d04</t>
  </si>
  <si>
    <t>Human interventions that limit channel mobility such as bank stabilization are frequent in riparian zones in urban or agricultural environments. This is potentially problematic because channel mobility is an important geomorphological and ecological agent that structures natural instream and riparian ecosystems. This study aims to (1) quantify the relationship between mobility and three types of habitat-related features, namely bars, oxbow lakes and log jams, for a 54-km-long reach of the Yamaska Sud-Est River (Quebec, Canada), which runs from the forested Appalachian Mountains to the agricultural St-Lawrence lowlands, and (2) evaluate the impact of human interventions and geomorphological characteristics on these three features. Channel mobility was measured from historical aerial photos for the period 1950-2009. A combination of high-resolution aerial photos, LiDAR digital elevation model, and field observations was used to measure and map sediment bars, oxbow lakes and log jams, as well as several geomorphological characteristics (channel width, slope, sinuosity and floodplain width). A strong link between the mobility and the presence of habitat features is revealed, but local geomorphological contexts result in different mobility patterns responsible for specific habitats. Floodplain to channel width ratio appears as the best geomorphological factor predicting habitat diversity. Human intervention, mostly through bank stabilization, also appears to be a key factor limiting mobility and its related habitats. These results highlight the importance of defining a protected mobility corridor along rivers where geomorphic processes such as bank erosion can freely occur, as it is an essential process that should be integrated in land use planning and river management. © 2016 John Wiley &amp; Sons, Ltd.</t>
  </si>
  <si>
    <t>2-s2.0-84924794721"</t>
  </si>
  <si>
    <t>10.2166/nh.2015.159</t>
  </si>
  <si>
    <t>https://www.scopus.com/inward/record.uri?eid=2-s2.0-84959209173&amp;doi=10.2166%2fnh.2015.159&amp;partnerID=40&amp;md5=a0ff52f323f76e8d2ccf60594779fe37</t>
  </si>
  <si>
    <t>Considerable biases in precipitation simulations in climate models have required the adoption of delta-change approaches to construct future precipitation scenarios for hydrological climate change impact studies. However, different delta-change methods yield different future precipitation scenarios that might significantly affect the projected future streamflow. To assess these effects, two delta-change methods were compared: The simple delta-change (SDC) method with a constant scaling factor and the quantile-quantile delta-change (QQDC) method with a quantile mapping-based non-uniform delta factor. The Xinanjiang (XAJ) hydrological model was applied using historical climatic data and two future precipitation scenarios for streamflow simulations in the Pearl River basin, China. The results show that the two delta-change methods have significant influences on future precipitation and streamflow projections, and these impacts become more distinct at finer and extreme event time scales. For instance, the QQDC method projects the 20-year daily maximum precipitation to be 8.1-98.6% higher than the SDC method. Consequently, the XAJ model with the QQDC future precipitation produces the 20-year daily maximum streamflow to be approximately 7.0-65.0% higher than that using the SDC precipitation. It implies that future precipitation transformation methods are a source of uncertainty, affecting future discharge projections. Such uncertainty should be considered in water resources management and flood control strategies for future climate change adaptations. © IWA Publishing 2016.</t>
  </si>
  <si>
    <t>2-s2.0-84959209173"</t>
  </si>
  <si>
    <t>10.1007/s11442-016-1278-z</t>
  </si>
  <si>
    <t>https://www.scopus.com/inward/record.uri?eid=2-s2.0-84957550579&amp;doi=10.1007%2fs11442-016-1278-z&amp;partnerID=40&amp;md5=b0e3abcffd1ed48333733972a06b1049</t>
  </si>
  <si>
    <t>The Pearl River Delta on China’s coast is a region that is seriously threatened by sea level rise and storm surges induced by global climate change, which causes flooding of large areas of farmland and huge agricultural losses. Based on relevant research and experience, a loss evaluation model of farmland yield caused by sea level rise and storm surges was established. In this model, the area of submerged farmland, area of crops, and per unit yield of every type of crop were considered, but the impact of wind, flooding time, changes in land use and plant structure were not considered for long-term prediction. Taking the Pearl River Delta region in Guangdong as the study area, we estimated and analyzed the spatial distribution and loss of farmlands for different scenarios in the years 2030, 2050, and 2100, using a digital elevation model, land-use data, local crop structure, rotation patterns, and yield loss ratios for different submerged heights obtained from field survey and questionnaires. The results show that the proportion of submerged farmlands and losses of agricultural production in the Pearl River Delta region will increase gradually from 2030 to 2100. Yangjiang, Foshan, and Dongguan show obvious increases in submerged farmlands, while Guangzhou and Zhuhai show slow increases. In agricultural losses, vegetables would sustain the largest loss of production, followed by rice and peanuts. The greatest loss of rice crops would occur in Jiangmen, and the loss of vegetable crops would be high in Shanwei and Jiangmen. Although losses of peanut crops are generally lower, Jiangmen, Guangzhou, and Shanwei would experience relatively high losses. Finally, some measures to defend against storm surges are suggested, such as building sea walls and gates in Jiangmen, Huizhou, and Shanwei, enforcing ecological protection to reduce destruction from storm surges, and strengthening disaster warning systems. © 2016, Institute of Geographic Science and Natural Resources Research (IGSNRR), Science China Press and Springer-Verlag Berlin Heidelberg.</t>
  </si>
  <si>
    <t>2-s2.0-84957550579"</t>
  </si>
  <si>
    <t>10.5194/nhess-16-559-2016</t>
  </si>
  <si>
    <t>https://www.scopus.com/inward/record.uri?eid=2-s2.0-84959564745&amp;doi=10.5194%2fnhess-16-559-2016&amp;partnerID=40&amp;md5=04013e97d990a3965906c5e8758a16c5</t>
  </si>
  <si>
    <t>In contrast to recent advances in projecting sea levels, estimations about the economic impact of sea level rise are vague. Nonetheless, they are of great importance for policy making with regard to adaptation and greenhouse-gas mitigation. Since the damage is mainly caused by extreme events, we propose a stochastic framework to estimate the monetary losses from coastal floods in a confined region. For this purpose, we follow a Peak-over-Threshold approach employing a Poisson point process and the Generalised Pareto Distribution. By considering the effect of sea level rise as well as potential adaptation scenarios on the involved parameters, we are able to study the development of the annual damage. An application to the city of Copenhagen shows that a doubling of losses can be expected from a mean sea level increase of only 11 cm. In general, we find that for varying parameters the expected losses can be well approximated by one of three analytical expressions depending on the extreme value parameters. These findings reveal the complex interplay of the involved parameters and allow conclusions of fundamental relevance. For instance, we show that the damage typically increases faster than the sea level rise itself. This in turn can be of great importance for the assessment of sea level rise impacts on the global scale. Our results are accompanied by an assessment of uncertainty, which reflects the stochastic nature of extreme events. While the absolute value of uncertainty about the flood damage increases with rising mean sea levels, we find that it decreases in relation to the expected damage. © Author(s) 2016.</t>
  </si>
  <si>
    <t>2-s2.0-84959564745"</t>
  </si>
  <si>
    <t>10.1007/s10236-016-0943-1</t>
  </si>
  <si>
    <t>https://www.scopus.com/inward/record.uri?eid=2-s2.0-84961833472&amp;doi=10.1007%2fs10236-016-0943-1&amp;partnerID=40&amp;md5=864c08f86c6ba0c3f25506e0406e1866</t>
  </si>
  <si>
    <t>Different types of tidal asymmetry (see review of de Swart and Zimmerman Annu Rev Fluid Mech 41: 203–229, 2009) are examined in this study. We distinguish three types of tidal asymmetry: duration and magnitude differences between flood and ebb tidal flow, duration difference between the rising and falling tides. For waterborne substance transport, the first two asymmetries are important while the last one is not. In this study, we take the Huangmaohai Estuary (HE), Pearl River Delta, China as an example to examine the spatio-temporal variations of the tidal asymmetry in a mixed semidiurnal tidal regime and to explain them by investigating the associated mechanisms. The methodology defining the tidal duration asymmetry and velocity skewness, proposed by Nidzieko (J Geophys Res 115: C08006. doi: 10.1029/2009JC005864, 2010) and synthesized by Song et al. (J Geophys Res 116: C12007. doi: 10.1029/2011JC007270, 2011), is utilized here and referred to as tidal duration asymmetry (TDA) and flow velocity asymmetry (FVA), respectively. The methodology is further used to quantify the flow duration asymmetry (FDA). A positive asymmetry means a shorter duration of low water slack for FDA, a shorter duration of the rising tide for TDA, and a flood dominance for FVA and vice versa. The Regional Ocean Modeling System (ROMS) model is used to provide relatively long-term water elevation and velocity data and to conduct diagnostic experiments. In the HE, the main tidal constituents are diurnal tides K1, O1 and semidiurnal tides M2 and S2. The interaction among the diurnal and semidiurnal tides generates a negative tidal asymmetry, while the interactions among semidiurnal tides and their overtides or compound tides result in a positive tidal asymmetry. The competition among the above interactions determines the FDA and TDA, whereas for the FVA, aside from the interaction among different tidal constituents, an extra component, the residual flow, plays an important role. The results show that the FDA exhibits a predominant tendency of shorter duration of low water slack, favoring the landward transport of fine sediment. The FVA demonstrates prevailing ebb dominance in the study period, favoring the seaward transport of coarse sediment. This ebb dominance is primarily induced by the interaction among the residual flow and the tidal constituents. The external TDA in the ocean experiences distinct cyclic variations with positive asymmetry when semidiurnal tides dominate and negative asymmetry during the periods when diurnal tides dominate. The funnel shape of the HE is advantageous for the development of positive tidal asymmetry as the semidiurnal tides are more amplified than the diurnal tides. The effect of river flow can enhance the ebb dominance, while the baroclinic effect is more complex. The existence of channel and shoals favors the development of residual pattern with seaward flow (ebb dominance) in the channel and landward flow (flood dominance) at the shoal when the tides are strong (semidiurnal tides dominate) and the residual pattern with landward flow (flood dominance) in the channel and seaward flow (ebb dominance) at the shoal when the baroclinic effect is dominant (diurnal tides dominate). © 2016, Springer-Verlag Berlin Heidelberg.</t>
  </si>
  <si>
    <t>2-s2.0-84961833472"</t>
  </si>
  <si>
    <t>10.1007/s11069-016-2199-y</t>
  </si>
  <si>
    <t>https://www.scopus.com/inward/record.uri?eid=2-s2.0-84957716032&amp;doi=10.1007%2fs11069-016-2199-y&amp;partnerID=40&amp;md5=cf2f3078a71448706f82789b87d4eb60</t>
  </si>
  <si>
    <t>An integrated storm surge and flood inundation modeling system was developed and applied to simulate storm surges and inundation in the Gaoping River basin and its adjacent coastal area in southern Taiwan. An unstructured grid, three-dimensional hydrodynamic model was driven by the tidal elevation at the open boundaries and freshwater discharge at the upriver boundary. The model was calibrated and validated against the observed water levels for five typhoons. The results indicate a reasonable agreement between the model simulation and the observational data. A frequency analysis was used to fit the maximum surge height of historical typhoons induced by storm surges and yield the storm surge height for different return periods. The validated model was then applied to assess the potential hazard maps for different return periods as well as the influence of the sea level rise on the potential hazard maps. The typhoon-induced storm surge under the 200-year return period matched the 200-year return period peak flow, resulting in the maximum extent and depth of inundation in the low-lying area. Furthermore, the simulated results reveal that the sea level rise would enhance the flooding areas. The inundation hazard maps developed in this study could be a useful tool for planning the evacuation of residents living in low-lying areas and the decision-making of flood risk management on the coasts and floodplains. © 2016, Springer Science+Business Media Dordrecht.</t>
  </si>
  <si>
    <t>2-s2.0-84957716032"</t>
  </si>
  <si>
    <t>10.1007/s12145-015-0238-y</t>
  </si>
  <si>
    <t>https://www.scopus.com/inward/record.uri?eid=2-s2.0-84958607189&amp;doi=10.1007%2fs12145-015-0238-y&amp;partnerID=40&amp;md5=d9f09d7b1337f9f74c77d2e03e58025f</t>
  </si>
  <si>
    <t>The Indian Ocean Tsunami of December 26, 2004 devastated coastal ecosystems across South Asia. Along the coastal regions of South India, increased groundwater levels (GWL), largely caused by saltwater intrusion, infiltration from inundated land, and disturbance of freshwater lenses, were reported. Many agencies allocated funding for restoration and rehabilitation projects. However, to streamline funding allocation efforts, district-level groundwater inundation/recession data would have been a useful tool for planners. Thus, to ensure better preparedness for future disaster relief operations, it is crucial to quantify pre- and post-tsunami groundwater levels across coastal districts in India. Since regional scale GWL field observations are not often available, this study instead used space gravimetry data from NASA’s Gravity Recovery and Climate Experiment (GRACE), along with soil moisture data from the Global Land Data Assimilation Systems (GLDAS), to quantify GWL fluctuations caused by the tsunami. A time-series analysis of equivalent groundwater thickness was developed for February 2004–December 2005 and the results indicated a net increase of 274 % in GWLs along coastal regions in Tamil Nadu following the tsunami. The net recharge volume of groundwater due to the tsunami was 16.8 km3, just 15 % lower than the total annual groundwater recharge (19.8 km3) for the state of Tamil Nadu. Additionally, GWLs returned to average within 3 months following the tsunami. The analysis demonstrated the utility of remotely sensed data in predicting and assessing the impacts of natural disasters. © 2015, Springer-Verlag Berlin Heidelberg.</t>
  </si>
  <si>
    <t>2-s2.0-84958607189"</t>
  </si>
  <si>
    <t>10.1038/srep25197</t>
  </si>
  <si>
    <t>https://www.scopus.com/inward/record.uri?eid=2-s2.0-84964888061&amp;doi=10.1038%2fsrep25197&amp;partnerID=40&amp;md5=91a3bbec36e4b75e358c6fa1688e274d</t>
  </si>
  <si>
    <t>Storm surges, leading to catastrophic coastal flooding, are amongst the most feared natural hazards due to the high population densities and economic importance of littoral areas. Using the Central Mediterranean Sea as a model system, we provide strong evidence for enhanced periods of storminess leading to coastal flooding during the last 4500 years. We show that long-term correlations can be drawn between storminess and solar activity, acting on cycles of around 2200-yr and 230-yr. We also find that phases of increased storms and coastal flooding have impacted upon mid-to late Holocene agricultural activity on the Adriatic coast. Based on the general trend observed during the second half of the 20 th century, climate models are predicting a weakening of Mediterranean storminess. By contrast, our new data suggest that a decrease in solar activity will increase and intensify the risk of frequent flooding in coastal areas.</t>
  </si>
  <si>
    <t>2-s2.0-84964888061"</t>
  </si>
  <si>
    <t>10.1007/s11852-016-0424-1</t>
  </si>
  <si>
    <t>https://www.scopus.com/inward/record.uri?eid=2-s2.0-84961665603&amp;doi=10.1007%2fs11852-016-0424-1&amp;partnerID=40&amp;md5=bb494ceb0b2574a88b1abd47b0badeee</t>
  </si>
  <si>
    <t>Climate change is increasing the need to characterise the vulnerability of coastal landscapes to coastal and flood hazards that result in erosion and inundation. Indices, such as the Coastal Vulnerability Index (CVI), have emerged as useful tools with which coastal managers can prioritise areas for further detailed assessment of vulnerability, risk, resilience and adaptation options. Approaches, such as the use of an index, efficiently characterise the vulnerability of linear, one-dimensional coastal features such as coastlines</t>
  </si>
  <si>
    <t>10.15446/esrj.v20n1.54504</t>
  </si>
  <si>
    <t>https://www.scopus.com/inward/record.uri?eid=2-s2.0-84964754650&amp;doi=10.15446%2fesrj.v20n1.54504&amp;partnerID=40&amp;md5=6107fa1697a05144650bb7052c96988b</t>
  </si>
  <si>
    <t>The Yangtze River Crossing Project, which is part of the Chinese gas pipeline trunk network and aims to transmit the natural gas to the Yangtze River Delta area, sets up a record for the length of Horizontal Directional Drilling(HDD) in the world. The term of pipeline installed is 3300m, and the diameter is 40in. Many technical difficulties have been inevitably encountered in a large diameter hole reaming in fine sand, the calculation of section scour depth which determines the minimum buried depth of the pipe, protection of outside coating and the method of long distance pilot hole drilling, such other challenges. In view of this,it was recommended that two pipelines of 711mm should be installed to replace the existing one of 1016mm in diameter and 1% flooding scour depth obtained by reliable statistical analysis. In period of installation, application glass fiber reinforced epoxy resin as a protective coating, executing the pilot hole by Intersect Method.As a result, this super project is finished successfully on May 21.2013. The experience can be applied to any pipeline engineering the installed by horizontal directional drilling or similar works. © 2016, Universidad Nacional de Colombia. All Rights Reserved.</t>
  </si>
  <si>
    <t>2-s2.0-84964754650"</t>
  </si>
  <si>
    <t>10.1073/pnas.1500515113</t>
  </si>
  <si>
    <t>https://www.scopus.com/inward/record.uri?eid=2-s2.0-84960540043&amp;doi=10.1073%2fpnas.1500515113&amp;partnerID=40&amp;md5=6568790acf18c9ffa019da0ef229395c</t>
  </si>
  <si>
    <t>Sea level has been steadily rising over the past century, predominantly due to anthropogenic climate change. The rate of sea level rise will keep increasing with continued global warming, and, even if temperatures are stabilized through the phasing out of greenhouse gas emissions, sea level is still expected to rise for centuries. This will affect coastal areas worldwide, and robust projections are needed to assess mitigation options and guide adaptation measures. Here we combine the equilibrium response of the main sea level rise contributions with their last century's observed contribution to constrain projections of future sea level rise. Our model is calibrated to a set of observations for each contribution, and the observational and climate uncertainties are combined to produce uncertainty ranges for 21st century sea level rise. We project anthropogenic sea level rise of 28-56 cm, 37-77 cm, and 57-131 cm in 2100 for the greenhouse gas concentration scenarios RCP26, RCP45, and RCP85, respectively. Our uncertainty ranges for total sea level rise overlap with the process-based estimates of the Intergovernmental Panel on Climate Change. The ""constrained extrapolation"" approach generalizes earlier global semiempirical models and may therefore lead to a better understanding of the discrepancies with processbased projections.</t>
  </si>
  <si>
    <t>2-s2.0-84960540043"</t>
  </si>
  <si>
    <t>10.1080/10106049.2015.1047411</t>
  </si>
  <si>
    <t>https://www.scopus.com/inward/record.uri?eid=2-s2.0-84955213558&amp;doi=10.1080%2f10106049.2015.1047411&amp;partnerID=40&amp;md5=200d152d7eea21162f53a4c2e25ba066</t>
  </si>
  <si>
    <t>The purpose of this study is to explain the formation mechanism of the floods which occurred in the Keçidere basin in 2009. In this study, discharge data in between 1981 and 2009, digital elevation model (DEM), satellite images and field works were used as a main data sources. LPT3 was applied to 29-year maximum flow data to produce different flood return periods such as 2, 5, 50, 100, 200, 500 and 1000-year flood. The DEM was created using 1:25,000 topographic contours with Topo to Raster interpolation techniques in geographical information systems (GIS). Land use and some geometric data were digitized using high resolution satellite images for hydraulic modelling purposes. Simulation of the 2009 flash flood event and different return periods flow data was done using one-dimensional hydraulic modelling with HEC-RAS. In the last phase, results obtained from the simulations and field works were compared based on fits statistics and mean absolute error in terms of extent and depth. An analysis of water extent and depth features observed during the highest flow ever measured in the basin revealed that the result overlapped with 500-year inundation extent. Overall, the results of the research indicate that GIS is an effective environment for floodplain mapping and analysis. © 2015 Taylor &amp; Francis.</t>
  </si>
  <si>
    <t>2-s2.0-84955213558"</t>
  </si>
  <si>
    <t>10.1007/s11368-015-1297-x</t>
  </si>
  <si>
    <t>https://www.scopus.com/inward/record.uri?eid=2-s2.0-84958756995&amp;doi=10.1007%2fs11368-015-1297-x&amp;partnerID=40&amp;md5=d9deef4117ced13aab66ed72c49493ec</t>
  </si>
  <si>
    <t>Purpose: Submerged rice cultivation has been practiced in China for 7000 years. Empirical evidence on changes of soil organic carbon (SOC) contents in paddy soils over this historical time period is scarce. Therefore, a field study was conducted to investigate the effect of submerged rice cultivation on the accumulation and preservation of SOC in paddies. Materials and methods: Two buried ancient paddy profiles (6280 years BP, named P-01 and P-03) in the Yangtze Delta of eastern China were excavated to illustrate the development of SOC contents in soils during the evolution of paddies under anthropogenic land use and environmental changes from the prehistoric period to the present time. Trends in SOC concentrations, total nitrogen concentrations, and stable carbon isotope ratio were identified for different points in time. Results and discussion: Accumulation of organic carbon was found in the paddy soil layers of P-01 at 100–174 cm depth. This site was taken under submerged rice cultivation in about 6280 years BP. The average SOC concentration in the prehistoric paddy topsoil in 100–130 cm depth was 1.27 %, which is seven times higher than that in the adjacent uncultivated land at 103–130 cm depth of P-03. This implies that the paddy soil has experienced substantial CO2 sequestration under submerged management during that time. By about 3320 years BP, organic carbon contents were halved, potentially due to marine inundation by sea level rise. Up to the year 2003, the SOC contents in all horizons in the present time paddy soil have increased, especially in the surface layer, indicative of continuous rice cultivation. However, due to rapid urbanization and industrialization, the cultivation of paddies in eastern China has gradually been discontinued leading to the loss of SOC stocks of approximately 10 % in a 6-year interval (from 2003 to 2009). A significant relationship between SOC and rice phytolith contents was found in the paddy soil horizons of P-01 (r = 0.71, p &lt; 0.01) and P-03 (r = 0.72, p &lt; 0.01), suggesting that phytolith-occluded organic carbon could be used as a biomarker to ascertain the development of SOC in the evolution of rice paddies over the past 6000 years. Conclusions: Submerged rice cultivation led to a noticeable accumulation of SOC in paddies. Phytolith-occluded organic carbon could be used as a biomarker to monitor changes of OC contents in paddy soils. © 2015, Springer-Verlag Berlin Heidelberg.</t>
  </si>
  <si>
    <t>2-s2.0-84958756995"</t>
  </si>
  <si>
    <t>10.1371/journal.pone.0156016</t>
  </si>
  <si>
    <t>https://www.scopus.com/inward/record.uri?eid=2-s2.0-84970948057&amp;doi=10.1371%2fjournal.pone.0156016&amp;partnerID=40&amp;md5=e60b820497443ee05302a52b8f54a1ab</t>
  </si>
  <si>
    <t>To explore the potential alterations in cerebral blood flow (CBF) and functional connectivity of recent onset post- traumatic stress disorder (PTSD) induced by a single prolonged trauma exposure, we recruited 20 survivors experiencing the same coal mining flood disaster as the PTSD (n = 10) and non-PTSD (n = 10) group, respectively. The pulsed arterial spin labeling (ASL) images were acquired with a 3.0T MRI scanner and the partial volume (PV) effect in the images was corrected for better CBF estimation. Alterations in CBF were analyzed using both uncorrected and PV-corrected CBF maps. By using altered CBF regions as regions-of-interest, seed-based functional connectivity analysis was then performed. While only one CBF deficit in right corpus callosum of PTSD patients was detected using uncorrected CBF, three more regions (bilateral frontal lobes and right superior frontal gyrus) were identified using PV-corrected CBF. Furthermore, the regional CBF of right superior frontal gyrus exhibited significantly negative correlation with the symptom severity (r = -0.759, p = 0.018). The resting-state functional connectivity analysis revealed increased connectivity between left frontal lobe and right parietal lobe. The results indicated the symptom-specific perfusion deficits and an aberrant connectivity in memory-related regions of PTSD patients when using PV-corrected ASL data. It also suggested that PV-corrected CBF exhibits more subtle changes that may be beneficial to perfusion and connectivity analysis. © 2016 Liu et al. This is an open access article distributed under the terms of the Creative Commons Attribution License, which permits unrestricted use, distribution, and reproduction in any medium, provided the original author and source are credited.</t>
  </si>
  <si>
    <t>2-s2.0-84970948057"</t>
  </si>
  <si>
    <t>10.1016/j.envsci.2016.01.018</t>
  </si>
  <si>
    <t>https://www.scopus.com/inward/record.uri?eid=2-s2.0-84956671760&amp;doi=10.1016%2fj.envsci.2016.01.018&amp;partnerID=40&amp;md5=cc117cb36fa25de66fab36f4375264ea</t>
  </si>
  <si>
    <t>Aging coastal defences around the UK are challenging managers to redesign schemes to be resilient to extreme events and climate change, be cost-effective, and have minimal or beneficial environmental impact. To enable effective design, reduced uncertainty in the assessment of flood risk due to natural variability within the coastal forcing is required to focus on conditions that pose highest threat. The typical UK standard of protection for coastal defences is to withstand a 0.5% annual probability event, historically also known as a 1 in 200 year return period event. However, joint wave-water level probability curves provide a range of conditions that meet this criterion. We examine the Dungeness and Romney Marsh coastal zone, a region of high value in terms of habitat and energy assets, to quantify the uncertainty in flood depth and extent generated by a 0.5% probability event, and to explore which combinations of wave and water levels generate the greatest threat. © 2016 The Authors.</t>
  </si>
  <si>
    <t>2-s2.0-84956671760"</t>
  </si>
  <si>
    <t>10.1007/s12517-015-2259-8</t>
  </si>
  <si>
    <t>https://www.scopus.com/inward/record.uri?eid=2-s2.0-84959075431&amp;doi=10.1007%2fs12517-015-2259-8&amp;partnerID=40&amp;md5=fc6bd0e4fb9948d40a358b522d25cacf</t>
  </si>
  <si>
    <t>The main semidiurnal (M2 and S2) and diurnal (K1 and O1) tidal constituents are simulated in the Persian Gulf (PG). The topography is discretized on a spherical grid with a resolution of 30 s in both latitude and longitude. It includes coastal areas prone to flooding. The model permits flooding of drying banks up to 5 m above mean sea level. At the open boundary, it is forced by 13 harmonic constituents extracted from a global tidal model. The model results are in good agreement with tide gauge observations. Co-tidal charts and flow extremes are presented for each tidal constituent. The co-tidal charts show two amphidromic points for semidiurnal and one for diurnal tidal constituents. Maximum amplitudes of sea level are obtained for the north-western part of the PG, where coastal flooding prevails in wide areas. Strong tidal currents occur in different parts of the PG for different types of constituents. Maximum velocities are found in shallow regions. Particularly, high amplitudes of elevations and high speed currents are founded in the canal between Qeshm Island and the mainland. Rectification of tides around Qeshm Island affects the propagation of tides in the PG as far as the coast of Saudi Arabia and the northern part of the PG. © 2016, Saudi Society for Geosciences.</t>
  </si>
  <si>
    <t>2-s2.0-84959075431"</t>
  </si>
  <si>
    <t>10.1016/j.habitatint.2015.12.016</t>
  </si>
  <si>
    <t>https://www.scopus.com/inward/record.uri?eid=2-s2.0-84954271630&amp;doi=10.1016%2fj.habitatint.2015.12.016&amp;partnerID=40&amp;md5=3c8c33ce142ef92957ff85d2e6c345b3</t>
  </si>
  <si>
    <t>A map is not a product, the temporary representation of reality, but rather the most visible component at the surface of an ongoing and often contested mapping process. This significant epistemological recognition directs our attention towards the linkages between 'mapped space', 'everyday space', and 'spaces of knowledge building and decision-making'. Applying an organizational ethnography and critical cartography, this paper argues that a shift in the production and circulation of spatial knowledge concerning coastal set-back lines occurred in Cape Town. It describes the shift, interrogates how it came about, and what the implications are.As a governance instrument to promote risk-averse decision-making concerning dynamic coastal ecosystems and coastal infrastructure exposed to storm surges and sea-level rise, the set-back line discursively and materially re-shapes people's realities. But its delineation and the linked multi-actor discussions led by the City of Cape Town's Coastal Management Unit (CMU) also emerge from a specific context. Caught in a constant balancing act between varying interests, sources of knowledge and epistemologies on map-making, the CMU engaged in strategic negotiations and counter-mapping. Effectively acting as 'champions', or 'bureaucratic activists', local government officials enabled the transition towards a reflexive, iterative and inclusive delineation process, departing from a technical knowledge building model according to which coastal engineers and consultants still dominate the intellectual space regarding coastal risk governance in South Africa. © 2015 Elsevier Ltd.</t>
  </si>
  <si>
    <t>2-s2.0-84954271630"</t>
  </si>
  <si>
    <t>10.1007/s10653-015-9730-z</t>
  </si>
  <si>
    <t>https://www.scopus.com/inward/record.uri?eid=2-s2.0-84961169020&amp;doi=10.1007%2fs10653-015-9730-z&amp;partnerID=40&amp;md5=e202510e75b1dc79240b2897e1ca42ac</t>
  </si>
  <si>
    <t>Groundwater arsenic (As) load in excess of drinking limit (50 µg L−1) in the Gangetic Plains was first detected in 2002. Though the menace was known since about two decades from the downstream part of the plains in the Bengal Basin, comprising of Lower Ganga Plain and deltaic plains of Ganga–Brahmaputra–Meghna River system, little thought was given to its possible threat in the upstream parts in the Gangetic Plains beyond Garo-Rajmahal Hills. The contamination in Bengal Basin has become one of the extensively studied issues in the world and regarded as the severest case of health hazard in the history of mankind. The researches and investigations in the Gangetic Plains during the last decade (2003–2013) revealed that the eastern half of the plains, also referred as Middle Ganga Plain (MGP), is particularly affected by contamination, jeopardising the shallow aquifer-based drinking water supply. The present paper reviews researches and investigations carried out so far in MGP by various research institutes and government departments on wide array of issues of groundwater As such as its spatio-temporal variation, mobilisation paths, water level behaviour and flow regime, configuration of contaminated and safe aquifers and their recharge mechanism. Elevated conc. of groundwater As has been observed in grey and dark grey sediments of Holocene age (Newer Alluvium) deposited in a fluvio-lacustrine environment in the floodplain of the Ganga and most of its northern tributaries from Himalayas. Older Alluvium, comprising Pleistocene brownish yellow sediment, extending as deeper aquifers in Newer Alluvium areas, is low in groundwater As. Similarities and differences on issues between the MGP and the Bengal Basin have been discussed. The researches point towards the mobilisation process as reductive dissolution of iron hydroxide coating, rich in adsorbed As, mediated by microbial processes. The area is marked with shallow water level (&lt;8.0 m below ground) with ample monsoonal recharge. The infiltrated rainwater and percolating water from surface water bodies carry organic carbon from sediments (particularly from the clay plugs in abandoned channels), abetting microbial processes, spread of anoxic front and release of As. © 2015, Springer Science+Business Media Dordrecht.</t>
  </si>
  <si>
    <t>2-s2.0-84961169020"</t>
  </si>
  <si>
    <t>10.1016/j.gloplacha.2016.03.008</t>
  </si>
  <si>
    <t>https://www.scopus.com/inward/record.uri?eid=2-s2.0-84962845280&amp;doi=10.1016%2fj.gloplacha.2016.03.008&amp;partnerID=40&amp;md5=58af06ba23d19aae6c9fc5f4b6f32459</t>
  </si>
  <si>
    <t>The recent evolution of extreme high waters along the severe cyclone-risk coasts of the Bay of Bengal (the east coast of India and Bangladesh) was assessed using long-term (24-34 years) hourly tide gauge data available from five stations. The highest water levels above mean sea level have the greatest magnitude towards the northern part of the Bay, which decreases towards its south-west. Extreme high waters were observed to result from a combination of moderate, or even small, surges with large tides at these stations in most of the cases. Increasing trends, which are significant, were observed in the extreme high waters at Hiron Point, at the head of the Bay. However, the trends in extremes are slightly lower than its mean sea level trend. For the other stations, Cox's Bazaar, Paradip Visakhapatnam and Chennai, no significant trends were observed. At inter-annual time scales, changes in extreme high waters in the Bay of Bengal were found to be influenced by the El Niño Southern Oscillation and the Indian Ocean Dipole. © 2016 Elsevier B.V.</t>
  </si>
  <si>
    <t>2-s2.0-84962845280"</t>
  </si>
  <si>
    <t>10.1007/s00382-015-2659-1</t>
  </si>
  <si>
    <t>https://www.scopus.com/inward/record.uri?eid=2-s2.0-84959102748&amp;doi=10.1007%2fs00382-015-2659-1&amp;partnerID=40&amp;md5=cf49d053b2081db307882c908b000102</t>
  </si>
  <si>
    <t>Storm surges are one of the major hazards in coastal regions</t>
  </si>
  <si>
    <t>10.1007/s11069-015-2015-0</t>
  </si>
  <si>
    <t>https://www.scopus.com/inward/record.uri?eid=2-s2.0-84944936983&amp;doi=10.1007%2fs11069-015-2015-0&amp;partnerID=40&amp;md5=1f2eeebd49226a035c7eeabb1622c223</t>
  </si>
  <si>
    <t>Many countries across the world are experiencing strict austerity measures due to the economic crisis. As a consequence, public financing for stand-alone adaptation to flooding and drought will become scarcer in the (near) future, and this hampers the pursuit of resilience (i.e. the ability to remain functioning under a range of hazard magnitudes). In such times, key challenges for adaptation are further complicated by weaker investment dynamics and an increased tendency to ‘work in silos’. These are: to minimise regret with respect to maladaptation, which results from over- or under-investment in water hazard management</t>
  </si>
  <si>
    <t>10.5194/nhess-16-463-2016</t>
  </si>
  <si>
    <t>https://www.scopus.com/inward/record.uri?eid=2-s2.0-84958260386&amp;doi=10.5194%2fnhess-16-463-2016&amp;partnerID=40&amp;md5=39b8cf8233b2ed551509aca80411c046</t>
  </si>
  <si>
    <t>Storms across the globe and their associated consequences in coastal zones (flooding and erosion), combined with the long-term geomorphic evolution of our coastlines, are a threat to life and assets, both socioeconomic and environmental. In a changing climate, with a rising global sea level, potentially changing patterns in storm tracks and storminess, and rising population density and pressures on the coastal zone, the future risk of coastal storm impacts is likely to increase. Coastal managers and policy makers therefore need to make effective and timely decisions on the use of resources for the immediate and longer term. Research focused on ""monitoring and modelling to guide coastal adaptation to extreme storm events in a changing climate"" is becoming more common</t>
  </si>
  <si>
    <t>10.1002/2015EF000346</t>
  </si>
  <si>
    <t>https://www.scopus.com/inward/record.uri?eid=2-s2.0-84991518354&amp;doi=10.1002%2f2015EF000346&amp;partnerID=40&amp;md5=15345ed7ec70c0515571dbff0149481a</t>
  </si>
  <si>
    <t>There is increasing emphasis from funding agencies on transdisciplinary approaches to integrate science and end-users. However, transdisciplinary research can be laborious and costly and knowledge of effective collaborative processes in these endeavors is incomplete. More guidance grounded in actual project experiences is needed. Thus, this article describes and examines the collaborative process of the Ecological Effects of Sea Level Rise in the Northern Gulf of Mexico transdisciplinary research project, including its development, implementation, and evaluation. Reflections, considerations, and lessons learned from firsthand experience are shared, supported with examples, and connected to relevant scholarly literature. © 2016 The Authors.</t>
  </si>
  <si>
    <t>2-s2.0-84991518354"</t>
  </si>
  <si>
    <t>10.1016/j.cageo.2016.02.021</t>
  </si>
  <si>
    <t>https://www.scopus.com/inward/record.uri?eid=2-s2.0-84959348620&amp;doi=10.1016%2fj.cageo.2016.02.021&amp;partnerID=40&amp;md5=2884245928ff8877798d4f23d2951141</t>
  </si>
  <si>
    <t>Depressions are common features in raster digital elevation models (DEMs) and they are usually filled for the automatic extraction of drainage networks. Among existing algorithms for filling depressions, the Priority-Flood algorithm substantially outperforms other algorithms in terms of both time complexity and memory requirement. The Priority-Flood algorithm uses a priority queue to process cells. This study proposes an efficient variant of the Priority-Flood algorithm, which considerably reduces the number of cells processed by the priority queue by using region-growing procedures to process the majority of cells not within depressions or flat regions. We present three implementations of the proposed variant: two-pass implementation, one-pass implementation and direct implementation. Experiments are conducted on thirty DEMs with a resolution of 3m. All three implementations run faster than existing variants of the algorithm for all tested DEMs. The one-pass implementation runs the fastest and the average speed-up over the fastest existing variant is 44.6%. © 2016 Elsevier Ltd.</t>
  </si>
  <si>
    <t>2-s2.0-84959348620"</t>
  </si>
  <si>
    <t>Southeastern Geology</t>
  </si>
  <si>
    <t>https://www.scopus.com/inward/record.uri?eid=2-s2.0-85073194723&amp;partnerID=40&amp;md5=25fc619e0d1fb5e0222e43c6c2fc44a5</t>
  </si>
  <si>
    <t>Sea level rise associated with climate change could cause dramatic changes in low-lying, coastal regions. Southeast Louisiana is a topographically low, deltaic plain situated on the northern Gulf of Mexico. Low elevations, high subsidence rates, high population densities, and heavy urbanization make this region at risk to permanent inundation by sea level rise. In order to effectively prepare for sea level rise, local and regional risk maps are needed to quantify risks. The goal of this project is to create an inundation risk index (IRI), which combines environmental and human factors, in order to develop risk assessment maps. Elevation, subsidence, land use/land cover, and population data were combined to create the southeast Louisiana risk assessment map (SEL- RAM). SEL-RAM shows the New Orleans metropolitan area at the highest risk due to extremely low elevation, high intensity urbanization, and high population density. The New Orleans Risk Assessment Map (NO-RAM) was created to highlight the risk of the metropolitan area. Overall, SEL-RAM combines four integral attributes of coastal risk and provides an assessment of the relative risk of the region. SEL-RAM can communicate inundation risk to the public and government officials, which may encourage actions to sustain coastal communities in southeast Louisiana. © 2016 Duke University. All rights reserved.</t>
  </si>
  <si>
    <t>2-s2.0-85073194723"</t>
  </si>
  <si>
    <t>10.1080/17538947.2015.1040474</t>
  </si>
  <si>
    <t>https://www.scopus.com/inward/record.uri?eid=2-s2.0-84930389487&amp;doi=10.1080%2f17538947.2015.1040474&amp;partnerID=40&amp;md5=c362db3d2cc02305c34b95dfcf7b0862</t>
  </si>
  <si>
    <t>In this study, we present an approach to estimate the extent of large-scale coastal floods caused by Hurricane Sandy using passive optical and microwave remote sensing data. The approach estimates the water fraction from coarse-resolution VIIRS and ATMS data through mixed-pixel linear decomposition. Based on the water fraction difference, using the physical characteristics of water inundation in a basin, the flood map derived from the coarse-resolution VIIRS and ATMS measurements was extrapolated to a higher spatial resolution of 30 m using topographic information. It is found that flood map derived from VIIRS shows less inundated area than the Federal Emergency Management Agency (FEMA) flood map and the ground observations. The bias was mainly caused by the time difference in observations. This is because VIIRS can only detect flood under clear conditions, while we can only find some clear-sky data around the New York area on 4 November 2012, when most flooding water already receded. Meanwhile, microwave measurements can penetrate through clouds and sense surface water bodies under clear-or-cloudy conditions. We therefore developed a new method to derive flood maps from passive microwave ATMS observations. To evaluate the flood mapping method, the corresponding ground observations and the FEMA storm surge flooding (SSF) products are used. The results show there was good agreement between our ATMS and the FEMA SSF flood areas, with a correlation of 0.95. Furthermore, we compared our results to geotagged Flickr contributions reporting flooding, and found that 95% of these Flickr reports were distributed within the ATMS-derived flood area, supporting the argument that such crowd-generated content can be valuable for remote sensing operations. Overall, the methodology presented in this paper was able to produce high-quality and high-resolution flood maps over large-scale coastal areas. © 2015 Taylor &amp; Francis.</t>
  </si>
  <si>
    <t>2-s2.0-84930389487"</t>
  </si>
  <si>
    <t>10.1007/s11069-015-2076-0</t>
  </si>
  <si>
    <t>https://www.scopus.com/inward/record.uri?eid=2-s2.0-84957843304&amp;doi=10.1007%2fs11069-015-2076-0&amp;partnerID=40&amp;md5=f6d0ce33534abed8f5e07d10baac9416</t>
  </si>
  <si>
    <t>Kedarnath was devastated on 16th evening–17th morning (June 2013) due to landslides and flash floods that killed more than 5000 people in Uttarakhand. What really happened on 16th evening through next 12 h till final deluge on 17th morning has been a subject of speculation due to lack of sufficient eye witness and monitoring system. Earth observation techniques have provided information on precipitation, landslides, snow cover and other ancillary data such as digital elevation models at varying resolution. Using such spatial information along with limited eye witness and media reports, an attempt is made to reconstruct events that led to destruction in upper Mandakini valley with prime aim to improve response and minimise damage in the event of similar disaster in future. The study has revealed that there were two distinct events separated by a time gap of 10–12 h: the first event was triggered by series of landslides, river blockades, breaching, flooding and river bank failures, whereas the second event was mainly associated with Chorabari Tal Lake outburst flooding along with associated landslides and bank erosion. Comprehensive assessment of landslide hazard requires process-based modelling using numerical simulation methods. The present study aims to focus on analysis of landslides/debris flow movements and simulate landslides that occurred in Kedarnath event leading to derivation of important flow parameters to get closer to the root cause of the devastation. The unique geomorphological setting, which has changed significantly in the recent event, provides valuable inputs for critical assessment of damage and remedial measures in future. Comparison with Gohna Tal (in Birahi Ganga, a tributary of Alaknanda) landslide lake outburst flooding has provided closer insight on the event and it revealed how preparedness can reduce the impact of such natural disasters. © 2015, Springer Science+Business Media Dordrecht.</t>
  </si>
  <si>
    <t>2-s2.0-84957843304"</t>
  </si>
  <si>
    <t>10.5194/nhess-16-941-2016</t>
  </si>
  <si>
    <t>https://www.scopus.com/inward/record.uri?eid=2-s2.0-84966267487&amp;doi=10.5194%2fnhess-16-941-2016&amp;partnerID=40&amp;md5=0d5caf1fc860f2212ce1e99ab2b150b1</t>
  </si>
  <si>
    <t>Many urban areas experience both fluvial and pluvial floods, because locations next to rivers are preferred settlement areas and the predominantly sealed urban surface prevents infiltration and facilitates surface inundation. The latter problem is enhanced in cities with insufficient or non-existent sewer systems. While there are a number of approaches to analyse either a fluvial or pluvial flood hazard, studies of a combined fluvial and pluvial flood hazard are hardly available. Thus this study aims to analyse a fluvial and a pluvial flood hazard individually, but also to develop a method for the analysis of a combined pluvial and fluvial flood hazard. This combined fluvial–pluvial flood hazard analysis is performed taking Can Tho city, the largest city in the Vietnamese part of the Mekong Delta, as an example. In this tropical environment the annual monsoon triggered floods of the Mekong River, which can coincide with heavy local convective precipitation events, causing both fluvial and pluvial flooding at the same time. The fluvial flood hazard was estimated with a copula-based bivariate extreme value statistic for the gauge Kratie at the upper boundary of the Mekong Delta and a large-scale hydrodynamic model of the Mekong Delta. This provided the boundaries for 2-dimensional hydrodynamic inundation simulation for Can Tho city. The pluvial hazard was estimated by a peak-over-threshold frequency estimation based on local rain gauge data and a stochastic rainstorm generator. Inundation for all flood scenarios was simulated by a 2-dimensional hydrodynamic model implemented on a Graphics Processing Unit (GPU) for time-efficient flood propagation modelling. The combined fluvial–pluvial flood scenarios were derived by adding rainstorms to the fluvial flood events during the highest fluvial water levels. The probabilities of occurrence of the combined events were determined assuming independence of the two flood types and taking the seasonality and probability of coincidence into account. All hazards – fluvial, pluvial and combined – were accompanied by an uncertainty estimation taking into account the natural variability of the flood events. This resulted in probabilistic flood hazard maps showing the maximum inundation depths for a selected set of probabilities of occurrence, with maps showing the expectation (median) and the uncertainty by percentile maps. The results are critically discussed and their usage in flood risk management are outlined.</t>
  </si>
  <si>
    <t>10.1371/journal.pone.0152437</t>
  </si>
  <si>
    <t>https://www.scopus.com/inward/record.uri?eid=2-s2.0-84962910591&amp;doi=10.1371%2fjournal.pone.0152437&amp;partnerID=40&amp;md5=f6b08845949e08d6fb6065a09ab14087</t>
  </si>
  <si>
    <t>Sea Level Rise (SLR) caused by climate change is impacting coastal wetlands around the globe. Due to their distinctive biophysical characteristics and unique plant communities, freshwater tidal wetlands are expected to exhibit a different response to SLR as compared with the better studied salt marshes. In this study we employed the Sea Level Affecting Marshes Model (SLAMM), which simulates regional- or local-scale changes in tidal wetland habitats in response to SLR, and adapted it for application in a freshwater-dominated tidal river system, the Hudson River Estuary. Using regionally-specific estimated ranges of SLR and accretion rates, we produced simulations for a spectrum of possible future wetland distributions and quantified the projected wetland resilience, migration or loss in the HRE through the end of the 21st century. Projections of total wetland extent and migration were more strongly determined by the rate of SLR than the rate of accretion. Surprisingly, an increase in net tidal wetland area was projected under all scenarios, with newly-formed tidal wetlands expected to comprise at least 33% of the HRE's wetland area by year 2100. Model simulations with high rates of SLR and/or low rates of accretion resulted in broad shifts in wetland composition with widespread conversion of high marsh habitat to low marsh, tidal flat or permanent inundation. Wetland expansion and resilience were not equally distributed through the estuary, with just three of 48 primary wetland areas encompassing &gt;50% of projected new wetland by the year 2100. Our results open an avenue for improving predictive models of the response of freshwater tidal wetlands to sea level rise, and broadly inform the planning of conservation measures of this critical resource in the Hudson River Estuary. © 2016 Tabak et al. This is an open access article distributed under the terms of the Creative Commons Attribution License, which permits unrestricted use, distribution, and reproduction in any medium, provided the original author and source are credited.</t>
  </si>
  <si>
    <t>2-s2.0-84962910591"</t>
  </si>
  <si>
    <t>10.1007/s11069-016-2146-y</t>
  </si>
  <si>
    <t>https://www.scopus.com/inward/record.uri?eid=2-s2.0-84960424611&amp;doi=10.1007%2fs11069-016-2146-y&amp;partnerID=40&amp;md5=0b75fa075ac48cbab4e7b62de54d7b6e</t>
  </si>
  <si>
    <t>The Philippines has an average of twenty tropical cyclones entering the Philippine Area of Responsibility every year, with about six to nine making landfall. In September 2011, Typhoon Nesat (Pedring) passed about 200 km north of Manila Bay with maximum sustained wind speeds of 46.3 m/s (CAT 2), yet it was one of the most destructive storms to affect the coastal areas of Metro Manila. In order to further understand the storm surge hazard for Metro Manila, and why Typhoon Nesat was so destructive, both an analysis of historical records and numerical modeling were undertaken. The historical analysis revealed that neither the most intense (with intensity defined as the maximum sustained wind speed of the cyclone) nor the storms that passed closest to the site generated the largest values of surge. Numerical simulations of the storm surge were completed using wind and pressure input data from the Holland vortex model, the Rankine vortex model and reforecast data from the National Center for Environmental Prediction (NCEP) model. NCEP data were found to better represent the wind field in the vicinity of Manila Bay, as it accounted for interaction between Typhoon Nesat and the SW monsoon winds. Neglecting these interactions, the storm surge simulations with analytical vortex models underestimated predicted surge values by more than five times, while the simulations with NCEP data accurately modeled the surge. The study highlights the need for improved storm surge warning systems that account for factors other than the cyclone’s maximum sustained wind speeds, which can affect the severity and duration of surge events. © 2016, Springer Science+Business Media Dordrecht.</t>
  </si>
  <si>
    <t>2-s2.0-84960424611"</t>
  </si>
  <si>
    <t>10.1007/s13369-015-1915-3</t>
  </si>
  <si>
    <t>https://www.scopus.com/inward/record.uri?eid=2-s2.0-84962646509&amp;doi=10.1007%2fs13369-015-1915-3&amp;partnerID=40&amp;md5=3c8b94cc7c4bc5cbd3141ad6827d0bcd</t>
  </si>
  <si>
    <t>This paper describes the application of HEC-RAS model to the development of floodplain maps for the part of Kabul river that lies in Pakistan. The intent is to assist policy makers and planners in the development of flood mitigation measures for the Khyber Pakhtunkhwa Province, which experienced unprecedented floods in July/August 2010 exposing the vulnerability of the province to this natural catastrophe. Owing to its reasonable accuracy and free availability, shuttle radar topography mission digital elevation model was chosen for the extraction of geometrical data for the river. Conventional flood frequency analysis, involving log-normal, Gumbel’s, and log-Pearson type III (LP3) distributions, was used to calculate extreme flows with different return periods. Using Kolmogorov–Smirnov (KS) test, LP3 was found to be the best distribution for the Kabul River. The peak floods from frequency analysis were input into HEC-RAS model to find the corresponding flood levels expected along river reaches extending through Warsak dam to Attock. Results obtained with HEC-RAS model were used in combination with ArcGIS to prepare floodplain maps for different return periods. Through floodplain maps, areas that are vulnerable to flooding hazards have been identified. Analysis of floodplain maps indicated that more than 400 % area is likely to be inundated as compared to the normal flow of the river. Most of the area found to be vulnerable to flooding is currently used for agriculture. Comparison of simulation of 2010 flood with the image of the flood taken by MODIS clearly shows a close agreement between the two. © 2015, King Fahd University of Petroleum &amp; Minerals.</t>
  </si>
  <si>
    <t>2-s2.0-84962646509"</t>
  </si>
  <si>
    <t>Reviews of Geophysics</t>
  </si>
  <si>
    <t>10.1002/2015RG000502</t>
  </si>
  <si>
    <t>https://www.scopus.com/inward/record.uri?eid=2-s2.0-84964422588&amp;doi=10.1002%2f2015RG000502&amp;partnerID=40&amp;md5=0088cf7c1a964dfead2f8248a2eb7ac7</t>
  </si>
  <si>
    <t>Vertical land motions are a key element in understanding how sea levels have changed over the past century and how future sea levels may impact coastal areas. Ideally, to be useful in long-term sea level studies, vertical land motion should be determined with standard errors that are 1 order of magnitude lower than the contemporary climate signals of 1 to 3 mm/yr observed on average in sea level records, either using tide gauges or satellites. This metrological requirement constitutes a challenge in geodesy. Here we review the most successful instrumental methods that have been used to determine vertical displacements at the Earth's surface, so that the objectives of understanding and anticipating sea levels can be addressed adequately in terms of accuracy. In this respect, the required level of uncertainty is examined in two case studies (global and local). A special focus is given to the use of the Global Positioning System (GPS) and to the combination of satellite radar altimetry with tide gauge data. We update previous data analyses and assess the quality of global satellite altimetry products available to the users for coastal applications. Despite recent advances, a near-plateau level of accuracy has been reached. The major limitation is the realization of the terrestrial reference frame, whose physical parameters, the origin and the scale factor, are beyond the scope of a unique technique such as the GPS. Additional practical but nonetheless important issues are associated with the installation of GPS antennas, such as ensuring that there is no unknown differential vertical motion with the tide gauge. ©2015. American Geophysical Union. All Rights Reserved.</t>
  </si>
  <si>
    <t>2-s2.0-84964422588"</t>
  </si>
  <si>
    <t>https://www.scopus.com/inward/record.uri?eid=2-s2.0-84969850504&amp;partnerID=40&amp;md5=17d9e84fb6b19c7f4bfd066cb455dfa8</t>
  </si>
  <si>
    <t>In our paper we describe some of the methods of the last 25 years which have been used extensively to examine and register tsunami traces - particularly by satellite imaging of coastal zones before and after a tsunami has struck, thus assessing quickly the extent of coastal inundation over large areas without the need of a site visit. Nearly all countries bordering oceans, seas and bodies of water have established digital systems of water level registration in the range of tsunami waves. In this article we describe methods of tsunami detection and runup measurements, some based on our own participation in post-tsunami surveys. Also, we discuss the possibility of using robotic systems to survey tsunami traces in hard-to-reach places. © 2016 - TSUNAMI SOCIETY INTERNATIONAL.</t>
  </si>
  <si>
    <t>2-s2.0-84969850504"</t>
  </si>
  <si>
    <t>10.5194/nhess-16-195-2016</t>
  </si>
  <si>
    <t>https://www.scopus.com/inward/record.uri?eid=2-s2.0-84957310856&amp;doi=10.5194%2fnhess-16-195-2016&amp;partnerID=40&amp;md5=8a90f4e3889a1ed36c0c0cc1cad41fb2</t>
  </si>
  <si>
    <t>A model has been developed in order to estimate insurance-related losses caused by coastal flooding in France. The deterministic part of the model aims at identifying the potentially flood-impacted sectors and the subsequent insured losses a few days after the occurrence of a storm surge event on any part of the French coast. This deterministic component is a combination of three models: a hazard model, a vulnerability model, and a damage model. The first model uses the PREVIMER system to estimate the water level resulting from the simultaneous occurrence of a high tide and a surge caused by a meteorological event along the coast. A storage-cell flood model propagates these water levels over the land and thus determines the probable inundated areas. The vulnerability model, for its part, is derived from the insurance schedules and claims database, combining information such as risk type, class of business, and insured values. The outcome of the vulnerability and hazard models are then combined with the damage model to estimate the event damage and potential insured losses. This system shows satisfactory results in the estimation of the magnitude of the known losses related to the flood caused by the Xynthia storm. However, it also appears very sensitive to the water height estimated during the flood period, conditioned by the junction between seawater levels and coastal topography, the accuracy for which is still limited by the amount of information in the system. © 2016 Author(s).</t>
  </si>
  <si>
    <t>2-s2.0-84957310856"</t>
  </si>
  <si>
    <t>10.1016/j.ecoleng.2015.11.009</t>
  </si>
  <si>
    <t>https://www.scopus.com/inward/record.uri?eid=2-s2.0-84949058114&amp;doi=10.1016%2fj.ecoleng.2015.11.009&amp;partnerID=40&amp;md5=eac9342e49318ddc7456fced947de6d5</t>
  </si>
  <si>
    <t>Managed realignment has become an increasingly common mechanism to increase the efficiency and sustainability of flood defences, reduce defence costs or compensate for habitat losses. This study investigated the use by fishes of a new intertidal habitat, created by managed realignment, intended to compensate for the loss of mudflat associated with a major port development. Although broadly similar, statistically significant differences in fish species composition, abundance, biomass, size structure, diversity and diet composition indicate that the managed realignment is not yet functioning in an identical manner to the mudflat in the adjacent estuary, most likely due to differences in habitat between sites. Notwithstanding, similarity in the species composition of fyke catches in the managed realignment and estuary increased annually during the 5-year study period, suggesting that the mudflat in the realignment is still developing. Indeed, the site will inevitably change over time with accretion, establishment of vegetation and possibly development of creeks. This will not necessarily prevent the aim of the realignment scheme being achieved, as long as sufficient suitable mudflat remains. © 2015 Elsevier B.V.</t>
  </si>
  <si>
    <t>2-s2.0-84949058114"</t>
  </si>
  <si>
    <t>10.14712/23361980.2016.3</t>
  </si>
  <si>
    <t>https://www.scopus.com/inward/record.uri?eid=2-s2.0-84982085257&amp;doi=10.14712%2f23361980.2016.3&amp;partnerID=40&amp;md5=42404f99266b9db6022d64b1e90c27b5</t>
  </si>
  <si>
    <t>Flooding is a natural phenomenon that occurs with varying intensity and at irregular time intervals. Floods are the natural disasters that pose the greatest direct threat to the Czech Republic. They may cause serious critical situations during which not only extensive material damages are incurred, but so too is the loss of human life in affected areas as well as vast devastation of the cultural landscape including environmental damages. The information issued by flood forecasting services about the character and size of flood areas for individual N-year flood discharge events and specific flood scenarios is important for eliminating the potential threats and consequences of such events. Hydrodynamic models provide an adequate image of depths and flow velocities at the longitudinal or cross profiles of the watercourse during a flood event. This is why information obtained from hydrodynamic models occupies a privileged position from the viewpoint of protecting human life and mitigating property damage. Altimetry data are the basic input into hydrodynamic models. One way to obtain such data is through the method of aerial laser scanning (ALS) from the digital terrain model (DTM). This method is considered one of the most accurate methods for obtaining altimetry data. Its major drawback is however its inability to record terrain geometry under water surfaces due to the fact that the laser beam is absorbed by the body of water. The absence of geometric data on watercourse cross sectional area may perceptibly affect results of modelling, especially if the capacity of a missing part of the channel represents a significant cross sectional area. One of the methods for eliminating this deficiency is sufficiently calculating channel depth by means of software tools such as CroSolver. This paper deals with the construction of a hydrodynamic model using fifth generation DTM data and compares outputs from this model at various discharges with a model based on the altimetry data modified using CroSolver. Outputs from the two hydrodynamic models are compared using HEC-RAS software with the use of depth estimate data and with the use of the unmodified DTM. The comparison is done on two watercourse reaches with different terrain morphology and watercourse size. A complementary output is the comparison of inundation areas issuing from both model variants. Our results indicate that differences in the outputs are significant, namely at lower discharges (Q1, Q5), whereas at Q50 and Q100 the difference is negligible with a great role played by the morphology of the modelled area and by the watercourse size.</t>
  </si>
  <si>
    <t>2-s2.0-84982085257"</t>
  </si>
  <si>
    <t>10.1016/j.enggeo.2015.11.010</t>
  </si>
  <si>
    <t>https://www.scopus.com/inward/record.uri?eid=2-s2.0-84949255267&amp;doi=10.1016%2fj.enggeo.2015.11.010&amp;partnerID=40&amp;md5=8b6dd39bffc6e4dd33a2f9a1b27593d9</t>
  </si>
  <si>
    <t>The existence of a layer of hard boulders up to 1 m in size within the soft sediments of the Holocene Llobregat delta in the SW of Barcelona city caused the damage and stoppage of the EPB-type tunnel boring machine that excavated the subway L10 line. This layer constitutes a detrital deposit of exceptionally large grain size developed in the base of the delta. It originated as an alluvial fan in the northern margin of the delta during the last fall of the Mediterranean Sea level, at the end of the Pleistocene period. The subsequent sea level rise (Holocene transgression) caused the flooding of this alluvial fan and the reworking of its materials by sea waves. Thereby a retrogradant boulder beach developed, in which the largest rock fragments of the former alluvial fan remained densely packed. The tunnel boring machine precisely collided with the main boulder concentration area of this ancient beach. The cutter tools and the structure of the cutterhead were seriously affected. The repair tasks required the excavation of a mine in the tunnel face under atmospheric pressure and a sealing and stable environment. To get these conditions a jet grouting block from the surface was performed to consolidate the deltaic sediments around the tunnel face. Additional TAM injections were carried out to improve some deficiencies in the sealing of the block. Subsequently the shield of the tunnel boring machine was embedded into the block and the water table was depressed by pumping wells. After 13 months of complicated works, the tunnel boring machine resumed the excavation encountering further problems. Although the layer of boulders was early identified by the geological and geotechnical studies of the L10 constructive project, its precise geological characteristics and potential adverse influence on tunnelling was then not valued in depth. A better knowledge of the geology of this layer would have been helpful in order to foresee the incident and propose alternatives. © 2016 Elsevier B.V.</t>
  </si>
  <si>
    <t>2-s2.0-84949255267"</t>
  </si>
  <si>
    <t>10.1007/s00343-015-4302-8</t>
  </si>
  <si>
    <t>https://www.scopus.com/inward/record.uri?eid=2-s2.0-84958748544&amp;doi=10.1007%2fs00343-015-4302-8&amp;partnerID=40&amp;md5=210c1943899898850981fe529a1605c3</t>
  </si>
  <si>
    <t>Tidal rivers are intrinsically complex because tidal propagation is influenced by river discharge. This study aims to examine the seasonal variation of tidal prism and energy variance in the tidal river of the Changjiang (Yangtze) River estuary in China. In order to quantify the behaviour of river and tide, we use numerical modelling that has been validated using measured data. We conduct our analysis by quantifying the discharge and energy variance in separate components for both the river and the tide, during wet and dry seasons. We note various definitions of tidal prism and explore the difference between tidal discharge on the flood and ebb and tidal storage volume. The results show that the river discharge attenuates the tidal motion and reduces the tidal flood discharge but the tidal storage volume is approximately constant with different riverine discharge since part of the fresh water discharge is intercepted and captured in the estuary due to the backwater effect. It appears that the tidal discharge adjusts according to the variation of river discharge to keep a constant tidal storage volume. An analysis of the hydraulics shows that the transition from tidal dominance (at the mouth) to river dominance (upstream) depends on the location of tidal current reversal which varies from wet season to dry season. Duringthe wet season, the Changjiang River estuary is totally dominated by energy from fresh water discharge. © 2016, Chinese Society for Oceanology and Limnology, Science Press and Springer-Verlag Berlin Heidelberg.</t>
  </si>
  <si>
    <t>2-s2.0-84958748544"</t>
  </si>
  <si>
    <t>10.3178/hrl.10.101</t>
  </si>
  <si>
    <t>https://www.scopus.com/inward/record.uri?eid=2-s2.0-85046231030&amp;doi=10.3178%2fhrl.10.101&amp;partnerID=40&amp;md5=92be565ef1acd0c2ea5ec6bfee18c50b</t>
  </si>
  <si>
    <t>Understanding future changes of ocean waves and storm surges is important for assessing and mitigating the impact of climate on coastal, marine and ocean environments and on engineering problems. This paper reviews the latest research results of climate change impacts on coastal hazards in Japan. First, future changes of wave climate and storm surges based on MRI-AGCM ensemble experiments are summarized. Second, the applications of coastal hazard projections to coastal structures and beach profiles are summarized as a series of climate impact assessment projects. There are clear increases in extreme values of wave heights and storm surges in the tropical cyclone dominant regions around the middle latitudes of the Western North Pacific including Japan. The influence of future climate change on caisson breakwaters is discussed considering sea level rise, extreme wave conditions and storm surges targeting the Pacific side of Japan. © 2016, Japan Society of Hydrology and Water Resources.</t>
  </si>
  <si>
    <t>2-s2.0-85046231030"</t>
  </si>
  <si>
    <t>APA Planning Advisory Service Reports</t>
  </si>
  <si>
    <t>https://www.scopus.com/inward/record.uri?eid=2-s2.0-84962306064&amp;partnerID=40&amp;md5=384e320a61ecfa67e9d350a5087ce678</t>
  </si>
  <si>
    <t>Coastlines are physically dynamic environments that are continually being shaped and reshaped by tides, waves, erosion, storms, flooding, and climate change. They are also the most densely populated places in the United States. Coastal tourism and waterborne industries, like commercial finishing and energy production, are obviously dependent upon a healthy and well-functioning natural environment. Planners in coastal areas are presented with a wide range of challenges in their efforts to balance protection of these sensitive natural environments with the intense and increasing impacts of human and economic-activity.</t>
  </si>
  <si>
    <t>2-s2.0-84962306064"</t>
  </si>
  <si>
    <t>10.1071/PC15047</t>
  </si>
  <si>
    <t>https://www.scopus.com/inward/record.uri?eid=2-s2.0-84974588989&amp;doi=10.1071%2fPC15047&amp;partnerID=40&amp;md5=c01a8d8bf303b5599279ec048bb5b177</t>
  </si>
  <si>
    <t>Australia has diverse wetlands with multiple threats. We reviewed knowledge about the extent of wetlands, representativeness, impacts and threats to integrity and options for effective conservation. Natural Australian wetlands cover an estimated 33266245ha (4.4%), with 55% palustrine (floodplains and swamps), followed by 31% lakes, 10% estuarine systems, and 5% rivers and creeks. The Lake Eyre (1.1%), Murray-Darling (0.73%), Tanami-Timor Sea Coast (0.71%) and the Carpentaria Coast (0.55%) drainage divisions have more wetlands, also reflected in the distributions among states and territories. Ramsar sites and wetlands in protected areas were generally biased towards the southern continent. Overall representation of mapped wetlands was good for lacustrine (40.6%) and estuarine (34.4%), fair for riverine (16.8%), but inadequate for palustrine (10.8%) wetlands. Within drainage divisions, representation varied considerably, with shortfalls from the Aichi target of 17%. Agriculture, urbanisation, pollution and invasive species have degraded or destroyed wetlands, particularly in the developed south-east, south-west and north-east of the continent. Water resource developments, primarily the building of dams, diversion of water and development of floodplains, seriously threaten Australian wetlands, with all threats exacerbated by climate change impacts of rising sea levels and high temperatures. Management and policy for wetlands is dependent on data on distribution, type and extent of wetlands, a key national constraint. Some States are well advanced (e.g. Queensland) and others lack any comprehensive data on the distribution of wetlands. Mitigation of increasing development (e.g. northern Australia) will be critical for conservation, along with increased representativeness in protected areas and restoration, particularly with environmental flows. © CSIRO 2016.</t>
  </si>
  <si>
    <t>2-s2.0-84974588989"</t>
  </si>
  <si>
    <t>10.3389/feart.2015.00088</t>
  </si>
  <si>
    <t>https://www.scopus.com/inward/record.uri?eid=2-s2.0-84978437631&amp;doi=10.3389%2ffeart.2015.00088&amp;partnerID=40&amp;md5=f188b778336d2e115f5082cc875209e6</t>
  </si>
  <si>
    <t>Digital elevation models (DEMs) are essential data sets for disaster risk management and humanitarian relief services as well as many environmental process models. At present, on the one hand, globally available DEMs only meet the basic requirements and for many services and modeling studies are not of high enough spatial resolution and lack accuracy in the vertical. On the other hand, LiDAR-DEMs are of very high spatial resolution and great vertical accuracy but acquisition operations can be very costly for spatial scales larger than a couple of hundred km2 and also have severe limitations in wetland areas and under cloudy and rainy conditions. The ideal situation would thus be to have a DEM technology that allows larger spatial coverage than LiDAR but without compromising resolution and vertical accuracy and still performing under some adverse weather conditions and at a reasonable cost. In this paper, we present a novel single pass In-SAR technology for airborne vehicles that is cost-effective and can generate DEMs with a vertical error of around 0.3m for an average spatial resolution of 3m. To demonstrate this capability, we compare a sample single-pass In-SAR Ka-band DEM of the California Central Valley from the NASA/JPL airborne GLISTIN-A to a high-resolution LiDAR DEM. We also perform a simple sensitivity analysis to floodplain inundation. Based on the findings of our analysis, we argue that this type of technology can and should be used to replace large regions of globally available lower resolution DEMs, particularly in coastal, delta and floodplain areas where a high number of assets, habitats and lives are at risk from natural disasters. We conclude with a discussion on requirements, advantages and caveats in terms of instrument and data processing. © 2016 Schumann, Moller and Mentgen.</t>
  </si>
  <si>
    <t>2-s2.0-84978437631"</t>
  </si>
  <si>
    <t>10.2166/wcc.2015.158</t>
  </si>
  <si>
    <t>https://www.scopus.com/inward/record.uri?eid=2-s2.0-84964526373&amp;doi=10.2166%2fwcc.2015.158&amp;partnerID=40&amp;md5=242695559cbf0406d60b2e11b8e568fe</t>
  </si>
  <si>
    <t>Sea level rise resulting from climate change represents one of the major challenges for coastal regions, e.g., coastal erosion, submergence of shore cities and saltwater intrusion. This study presents a feasibility study of using a diaphragm wall (DW) to protect the northern coasts of Egypt from sea level rise. The study includes assessment of environmental and socio-economic impacts of the expected sea level rise. A finite element model is developed using the PLAXIS software and used to analyse the effectiveness of using DW in preventing the seepage of saltwater. The results show that the cost of constructing DW along the coast is about 1.0% of the expected losses due to sea level rise by 2100. For Alexandria city with 35 km of coastal line, the economic losses by 2100 is expected to be about $3.5 billion if no action is taken. However, the cost of constructing the DW along Alexandria coasts will be around $35.0 million which represent 1.0% of the expected losses. The total cost of constructing the diaphragm wall along the northern coast of Egypt is estimated to be $1.0 billion for 1,000 km length. This methodology can be applied to protect different coastal areas all over the world. © IWA Publishing 2016.</t>
  </si>
  <si>
    <t>2-s2.0-84964526373"</t>
  </si>
  <si>
    <t>10.2112/JCOASTRES-D-15-00031.1</t>
  </si>
  <si>
    <t>https://www.scopus.com/inward/record.uri?eid=2-s2.0-84979519904&amp;doi=10.2112%2fJCOASTRES-D-15-00031.1&amp;partnerID=40&amp;md5=5090827e3efe3d70d878c43b1178e637</t>
  </si>
  <si>
    <t>A statistical analysis of extreme water levels was performed for 23 locations throughout the U.S. North Atlantic coast. Extreme value analysis, which focused on historical observations, was followed by the application of a Monte Carlo life-cycle simulation methodology. This study was part of a broader effort to quantify coastal flooding hazards in this region. Twenty-three stations were selected based on location and record length, meeting the requirement of a minimum of 30 years of hourly water-level measurements. Monthly maxima data were also used to complement the hourly water-level observations. The use of available water-level data was maximized through the development of partial duration series that combined both monthly maxima and hourly data. A generalized Pareto distribution was used to fit combined partial duration series corresponding to each of the 23 locations. The Monte Carlo life-cycle methodology was used to simulate 10,000 cycles of 100 years each, effectively extending the record lengths of extreme events through statistical simulation. A bootstrapping technique was used as part of Monte Carlo life-cycle simulation in order to develop probability distributions of extreme water levels, including mean, as well as 10% and 90% nonexceedance confidence limits (equivalent to an 80% confidence interval). Water-level probabilities determined in this study were compared to results from a previous effort where the generalized extreme value distribution was used to fit monthly maxima data. © Coastal Education and Research Foundation, Inc. 2016.</t>
  </si>
  <si>
    <t>2-s2.0-84979519904"</t>
  </si>
  <si>
    <t>10.1007/s11069-015-2020-3</t>
  </si>
  <si>
    <t>https://www.scopus.com/inward/record.uri?eid=2-s2.0-84952299707&amp;doi=10.1007%2fs11069-015-2020-3&amp;partnerID=40&amp;md5=ae3f4e4bad7330b3122f44d33df43b45</t>
  </si>
  <si>
    <t>Through index-based method, the coastal economic vulnerability of Bohai Rim in China to the hypothetical local scenario of 1-m relative sea level rise by the end of twenty-first century was assessed (note that 1-m global sea level rise throughout the twenty-first century is highly improbable). Both physical and socioeconomic variables were considered, and the comparison between physical vulnerability and economic vulnerability was conducted to identify effects of socioeconomic variables on coastal susceptibility to sea level rise. The assessment was carried out at shoreline segments scale as well as at county-level scale, and the results were as follows: The combination of geomorphology and terrain plays the determinant role, since the gently sloped coasts with softer substances are always both physical and economic susceptible to the projected inundation scenario</t>
  </si>
  <si>
    <t>10.1016/j.ecolmodel.2015.10.023</t>
  </si>
  <si>
    <t>https://www.scopus.com/inward/record.uri?eid=2-s2.0-84946962837&amp;doi=10.1016%2fj.ecolmodel.2015.10.023&amp;partnerID=40&amp;md5=7301ed9ef71d6047bc34e45c82707d9d</t>
  </si>
  <si>
    <t>Detailed knowledge of species distributions at a fine spatial scale is an essential prerequisite for the understanding of ecosystems. However, relating species distributions to environmental variables is difficult, and distribution patterns of mobile benthic top predators can only be estimated at a rough spatial scale using visual cues. This is particularly problematic in systems with strong environmental gradients, such as intertidal habitats. Monitoring predators using GPS tags allows collecting precise spatial data over wide areas and during night time. We collected fine-scale data on prey abundance and quality, sediment composition, inundation time of tidal flats, and foraging distances from nest sites to develop a predictive distribution model for oystercatchers (Haematopus ostralegus) in the Wadden Sea, Germany. This shorebird species was able to identify the patches with high biomass and abundance of its endobenthic prey at a very fine spatial scale. Modelling suggested that prey abundance and biomass were essential for predicting oystercatcher occurrence: the probability of encountering a foraging oystercatcher was higher than expected in areas with &gt;100 cockles per m2 and areas with 80g ash-free dry weight per m2. Our modelling approach also showed that habitat use by oystercatchers was very strongly dependent on abiotic factors, i.e., oystercatchers preferred muddy and low-lying tidal flats with short exposure times close to their breeding sites. Oystercatchers only used patches &gt;4km away from their breeding territories if such patches were particularly prey-rich. This study demonstrates the importance of fine-scale models of predators and environmental predictors in patchy environments. These results have two conclusions with important management implications: (1) fine-scale models of distribution data for predators can provide a valuable indicator of the location of important sites worthy of protection</t>
  </si>
  <si>
    <t>10.1155/2016/4891015</t>
  </si>
  <si>
    <t>https://www.scopus.com/inward/record.uri?eid=2-s2.0-84959431758&amp;doi=10.1155%2f2016%2f4891015&amp;partnerID=40&amp;md5=c6a69a4787c7448329593e340de31e36</t>
  </si>
  <si>
    <t>In this study, flood hazard maps were prepared for the Mert River Basin, Samsun, Turkey, by using GIS and Hydrologic Engineering Centers River Analysis System (HEC-RAS). In this river basin, human life losses and a significant amount of property damages were experienced in 2012 flood. The preparation of flood risk maps employed in the study includes the following steps: (1) digitization of topographical data and preparation of digital elevation model using ArcGIS, (2) simulation of flood lows of different return periods using a hydraulic model (HEC-RAS), and (3) preparation of flood risk maps by integrating the results of (1) and (2). © 2016 Vahdettin Demir and Ozgur Kisi.</t>
  </si>
  <si>
    <t>2-s2.0-84959431758"</t>
  </si>
  <si>
    <t>10.1127/zdgg/2016/0060</t>
  </si>
  <si>
    <t>https://www.scopus.com/inward/record.uri?eid=2-s2.0-85007470734&amp;doi=10.1127%2fzdgg%2f2016%2f0060&amp;partnerID=40&amp;md5=9e2b60816f8cda5d036672d8763547ed</t>
  </si>
  <si>
    <t>The paper presents the results of three-dimensional modelling of an area extending over approximately 800 square kilometres along the southern margin of the Po Delta. The geological model describes the Holocene sequence, here approximately 35-40 m thick. Developed on a framework of existing knowledge, it allows a more in-depth analysis of the subsurface stratigraphy of this sector of the Emilia-Romagna plain, identifying five units (including the Pleistocene substrate) that record the transgressive-regressive sedimentary cycle of the last 10 000 years. The geological model is used as base structure for developing 3D thematic mapping by processing cone penetration tests (CPT) data, their derived parameters and data related to the water quality of the coastal aquifer. Integration and correlation of the onshore geological data with marine geophysics and seabed core drillings has enabled the creation of a detailed model of recent deltaic and littoral morpho-depositional elements. This study shows that 3D modelling yields suitable tools for the insight and representation of the subsurface architecture and affords a better understanding of processes such as subsidence, saltwater intrusion into aquifers and the dynamics of coastal sands, processes, which are currently a matter of concern for the Emilia-Romagna regional government. © 2016 E. Schweizerbart’sche Verlagsbuchhandlung, Stuttgart, Germany.</t>
  </si>
  <si>
    <t>2-s2.0-85007470734"</t>
  </si>
  <si>
    <t>10.1007/s12517-015-2054-6</t>
  </si>
  <si>
    <t>https://www.scopus.com/inward/record.uri?eid=2-s2.0-84949232956&amp;doi=10.1007%2fs12517-015-2054-6&amp;partnerID=40&amp;md5=06a5d693bb0455b6e2a3ca7e500bd6c3</t>
  </si>
  <si>
    <t>New communities have been established in Egypt since 1990s. Among those are El Nubariya and El Bustan cities with associated land reclamation activities. These land reclamation projects are still having environmental implications. The main objective of this work is to delineate and detect one of these implications representing the rising of the groundwater level and related impacts along El-Nasr Canal and surroundings. It is evident that there is a remarkable change in groundwater level through monitoring of the groundwater level from 1960 to 2010. This is referred to the continuous recharge of the surface water from irrigation canals for reclamation activities. To achieve the objective of this work, 32 discrete vertical electrical soundings (VES) have been measured in the study area. 1-D/2-D data analysis are applied for covering the lack of hydrogeological information and for mapping the areas affected by this phenomenon. From the resistivity sounding results, it is observed that the groundwater mound is appeared northwest of El-Nasr Canal and along Cairo-Alexanderia desert road. This is attributed to the application of flood irrigation method in new reclaimed areas, bad management, unplanning of water resources, and the recharge of aquifer from the surface irrigation system. © 2015, Saudi Society for Geosciences.</t>
  </si>
  <si>
    <t>2-s2.0-84949232956"</t>
  </si>
  <si>
    <t>10.5751/ES-08490-210252</t>
  </si>
  <si>
    <t>https://www.scopus.com/inward/record.uri?eid=2-s2.0-84976574490&amp;doi=10.5751%2fES-08490-210252&amp;partnerID=40&amp;md5=5ca8e0bcbe3fb49e5367b0bfd746fa91</t>
  </si>
  <si>
    <t>Oil palm has increasingly been established on peatlands throughout Indonesia. One of the concerns is that the drainage required for cultivating oil palm in peatlands leads to soil subsidence, potentially increasing future flood risks. This study analyzes the hydrological and economic effects of oil palm production in a peat landscape in Central Kalimantan. We examine two land use scenarios, one involving conversion of the complete landscape including a large peat area to oil palm plantations, and another involving mixed land use including oil palm plantations, jelutung (jungle rubber</t>
  </si>
  <si>
    <t>10.3390/rs8030190</t>
  </si>
  <si>
    <t>https://www.scopus.com/inward/record.uri?eid=2-s2.0-84962609982&amp;doi=10.3390%2frs8030190&amp;partnerID=40&amp;md5=bb307fdf46cc1d4bc3540def275bb397</t>
  </si>
  <si>
    <t>This study presents an unsupervised fuzzy c-means classification (FCM) to observe the shoreline positions. We combined crisp and fuzzy methods for change detection. We addressed two perspectives of uncertainty: (1) uncertainty that is inherent to shoreline positions as observed from remote sensing images due to its continuous variation over time; and (2) the uncertainty of the change results propagating from object extraction and implementation of shoreline change detection method. Unsupervised FCM achieved the highest kappa (κ) value when threshold (t) was set at 0.5. The highest κ values were 0.96 for the 1994 image. For images in 2013, 2014 and 2015, the κ values were 0.95. Further, images in 2003, 2002 and 2000 obtained 0.93, 0.90 and 0.86, respectively. Gradual and abrupt changes were observed, as well as a measure of change uncertainty for the observed objects at the pixel level. These could be associated with inundations from 1994 to 2015 at the northern coastal area of Java, Indonesia. The largest coastal inundations in terms of area occurred between 1994 and 2000, when 739 ha changed from non-water and shoreline to water and in 2003–2013 for 200 ha. Changes from water and shoreline to non-water occurred between 2000 and 2002 (186 ha) and in 2013–2014 (65 ha). Urban development in flood-prone areas resulted in an increase of flood hazards including inundation and erosion leading to the changes of shoreline position. The proposed methods provided an effective way to present shoreline as a line and as a margin with fuzzy boundary and its associated change uncertainty. Shoreline mapping and monitoring is crucial to understand the spatial distribution of coastal inundation including its trend.</t>
  </si>
  <si>
    <t>10.3390/rs8070604</t>
  </si>
  <si>
    <t>https://www.scopus.com/inward/record.uri?eid=2-s2.0-84979657078&amp;doi=10.3390%2frs8070604&amp;partnerID=40&amp;md5=04ae909ae6794bd2966693c98176ac95</t>
  </si>
  <si>
    <t>The use of high resolution ground-based light detection and ranging (LiDAR) datasets provides spatial density and vertical precision for obtaining highly accurate Digital Surface Models (DSMs). As a result, the reliability of flood damage analysis has improved significantly, owing to the increased accuracy of hydrodynamic models. In addition, considerable error reduction has been achieved in the estimation of first floor elevation, which is a critical parameter for determining structural and content damages in buildings. However, as with any discrete measurement technique, LiDAR data contain object space ambiguities, especially in urban areas where the presence of buildings and the floodplain gives rise to a highly complex landscape that is largely corrected by using ancillary information based on the addition of breaklines to a triangulated irregular network (TIN). The present study provides a methodological approach for assessing uncertainty regarding first floor elevation. This is based on: (i) generation an urban TIN from LiDAR data with a density of 0.5 points m-2, complemented with the river bathymetry obtained from a field survey with a density of 0.3 points m-2. The TIN was subsequently improved by adding breaklines and was finally transformed to a raster with a spatial resolution of 2 m</t>
  </si>
  <si>
    <t>10.5751/ES-08168-210108</t>
  </si>
  <si>
    <t>https://www.scopus.com/inward/record.uri?eid=2-s2.0-84962762611&amp;doi=10.5751%2fES-08168-210108&amp;partnerID=40&amp;md5=64c9f52cc618153abac7f90f5271731f</t>
  </si>
  <si>
    <t>Several of the world's largest deltas have recently been conceptualized as social-ecological delta systems. Although such conceptualizations are valuable in emphasizing complex interaction between social actors and ecological processes in deltas, they do not go into specific dynamics that surround technological developments in the hydraulic domain. By drawing from concepts originating in socio-technical systems research, we stress the importance of technology, particularly the domain of hydraulic engineering, in shaping a delta’s future. Based on two geographically distinct cases of flood management infrastructure in the Dutch delta, we demonstrate the influence of existing hydraulic works, in mutual interaction with social responses and environmental processes, on the development of the congregated delta system over time. The delta trajectory concept is introduced as a way to understand the interplay between social, ecological, and technological systems in deltas. We discuss options to realign unsustainable pathways with more desirable ones. Adaptive delta management presents a policy environment where these messages may be picked up. © 2016 by the author(s).</t>
  </si>
  <si>
    <t>2-s2.0-84962762611"</t>
  </si>
  <si>
    <t>10.1190/INT-2015-0092.1</t>
  </si>
  <si>
    <t>https://www.scopus.com/inward/record.uri?eid=2-s2.0-84978693104&amp;doi=10.1190%2fINT-2015-0092.1&amp;partnerID=40&amp;md5=90da026bbf27a28e64195232eb51837d</t>
  </si>
  <si>
    <t>The first deployment of the P-Cable™ high-resolution 3D (HR3D) seismic acquisition system in the Gulf of Mexico has provided unprecedented resolution of depositional, architectural, and structural features related to relative sea-level change recorded in the Quaternary stratigraphy. These details are typically beyond conventional 3D seismic resolution and/or excluded from commercial surveys, which are generally optimized for deeper targets. Such HR3D data are valuable for detailed studies of reservoir analogs, sediment delivery systems, fluid-migration systems, and geotechnical hazard assessment (i.e., drilling and infrastructure). The HR3D survey (31.5 km2) collected on the inner shelf (&lt;15 m water depth) offshore San Luis Pass, Texas, imaged the upper 500 m of stratigraphy using peak frequency of 150 Hz and 6.25 m2 bin size. These data provided an exceptionally well-imaged example of shallow subsurface depositional system and stratigraphic architecture development during a lowstand period. The system evolved from a meandering channel with isolated point-bar deposits to a transgressive estuary characterized by dendritic erosional features that were eventually flooded. In addition, HR3D data have identified a previously unidentified seismically discontinuous zone interpreted to be a gas chimney system emanating from a tested (drilled) nonproductive, three-way structure in the lower Miocene (1.5 km depth). Within the shallowest intervals (&lt;100 m) and at the top of the chimney zone, seismic attribute analysis revealed several high-amplitude anomalies up to 0.5 km2. The anomalies were interpreted as reaccumulated thermogenic gas, and their distribution conforms to the stratigraphy and structure of the Quaternary interval, in that they occupy local fault-bounded footwall highs within remnant coarser-grained interfluvial zones, which are overlain by finer grained, transgressive deposits. © 2016 Society of Exploration Geophysicists and American Association of Petroleum Geologists.</t>
  </si>
  <si>
    <t>2-s2.0-84978693104"</t>
  </si>
  <si>
    <t>10.1002/wcc.371</t>
  </si>
  <si>
    <t>https://www.scopus.com/inward/record.uri?eid=2-s2.0-84951739653&amp;doi=10.1002%2fwcc.371&amp;partnerID=40&amp;md5=bcdebf5f7cea3c16297524c73a95711a</t>
  </si>
  <si>
    <t>Recent research has strengthened the understanding of the links between climate and tropical cyclones (TCs) on various timescales. Geological records of past climates have shown century-long variations in TC numbers. While no significant trends have been identified in the Atlantic since the late 19th century, significant observed trends in TC numbers and intensities have occurred in this basin over the past few decades, and trends in other basins are increasingly being identified. However, understanding of the causes of these trends is incomplete, and confidence in these trends continues to be hampered by a lack of consistent observations in some basins. A theoretical basis for maximum TC intensity appears now to be well established, but a climate theory of TC formation remains elusive. Climate models mostly continue to predict future decreases in global TC numbers, projected increases in the intensities of the strongest storms and increased rainfall rates. Sea level rise will likely contribute toward increased storm surge risk. Against the background of global climate change and sea level rise, it is important to carry out quantitative assessments on the potential risk of TC-induced storm surge and flooding to densely populated cities and river deltas. Several climate models are now able to generate a good distribution of both TC numbers and intensities in the current climate. Inconsistent TC projection results emerge from modeling studies due to different downscaling methodologies and warming scenarios, inconsistencies in projected changes of large-scale conditions, and differences in model physics and tracking algorithms. WIREs Clim Change 2016, 7:65-89. doi: 10.1002/wcc.371 For further resources related to this article, please visit the WIREs website. © 2016 Wiley Periodicals, Inc.</t>
  </si>
  <si>
    <t>2-s2.0-84951739653"</t>
  </si>
  <si>
    <t>10.1155/2016/3928920</t>
  </si>
  <si>
    <t>https://www.scopus.com/inward/record.uri?eid=2-s2.0-84957054143&amp;doi=10.1155%2f2016%2f3928920&amp;partnerID=40&amp;md5=e11724c24566c2a19ebfd7d5c47fee7e</t>
  </si>
  <si>
    <t>Coastal flood regimes have been irreversibly altered by both climate change and human activities. This paper aims to quantify the impacts of multiple factors on delta flood. The Pearl River Delta (PRD), with dense river network and population, is one of the most developed coastal areas in China. The recorded extreme water level (m.s.l.) in flood season has been heavily interfered with by varied income flood flow, sea-level rise, and dredged riverbeds. A methodology, composed of a numerical model and the index R, has been developed to quantify the impacts of these driving factors in the the PRD. Results show that the flood level varied 4.29%-53.49% from the change of fluvial discharge, 3.35%-38.73% from riverbed dredging, and 0.12%-16.81% from sea-level rise. The variation of flood flow apparently takes the most effect and sea-level rise the least. In particular, dense river network intensifies the impact of income flood change and sea-level rise. Findings from this study help understand the causes of the the PRD flood regimes and provide theoretical support for flood protection in the delta region. Copyright © 2016 Yihan Tang et al.</t>
  </si>
  <si>
    <t>2-s2.0-84957054143"</t>
  </si>
  <si>
    <t>10.1016/j.margeo.2015.11.007</t>
  </si>
  <si>
    <t>https://www.scopus.com/inward/record.uri?eid=2-s2.0-84948135177&amp;doi=10.1016%2fj.margeo.2015.11.007&amp;partnerID=40&amp;md5=8d18d42dfaeb5c8c60ca39f830e2e057</t>
  </si>
  <si>
    <t>This contribution uses a 3 dimensional coastal area numerical model, DHI's MIKE3, to simulate the impact of storm and surge events on offshore sandbanks. Three offshore sandbanks in the Bristol Channel are considered due to the region's sensitivity to anthropogenic pressures and the gradients in wave and tidal forcing in the area. Two extreme storm and surge events are simulated: one co-incident with spring tide and the other with neap tide. Reference simulations of astronomical tidal forcing only are also presented. It is shown that for the two sandbanks with greater wave exposure, storm conditions can provide a mechanism for the maintenance of crest position. For these cases, bed level changes over the crest are in the opposite direction compared to astronomically forced change. For the least wave exposed bank, both wave and tide only cases exhibit similar patterns of bed level change. Volumetric changes under astronomical forcing are shown to vary with changing maximum tidal current. Accretion occurs over a neap tidal cycle for all three sandbanks and as maximum tidal current increases the amount of accretion increases; however, over a spring tidal cycle accretion is observed for the less tidally dominated site but increasing maximum tidal current leads to reduced accretion and then erosion for the most tidally dominated bank. Volumetric changes under storm conditions are related to sandbank morphology and setting rather than relative wave exposure. The two single banks closely tied to headlands show similar magnitude of percentage volumetric change despite being at the two extremes of wave exposure and greater erosion occurs over the neap tide event. The sandbank that has associated secondary banks shows lesser percentage change and greater erosion over the spring tide event.</t>
  </si>
  <si>
    <t>10.3390/rs8060490</t>
  </si>
  <si>
    <t>https://www.scopus.com/inward/record.uri?eid=2-s2.0-84974829576&amp;doi=10.3390%2frs8060490&amp;partnerID=40&amp;md5=0b9af72d5df4d91d0f956917e8379839</t>
  </si>
  <si>
    <t>Woodland vernal pools are important, small, cryptic, ephemeral wetland ecosystems that are vulnerable to a changing climate and anthropogenic influences. To conserve woodland vernal pools for the state of Michigan USA, vernal pool detection and mapping methods were sought that would be efficient, cost-effective, repeatable and accurate. Satellite-based L-band radar data from the high (10 m) resolution Japanese ALOS PALSAR sensor were evaluated for suitability in vernal pool detection beneath forest canopies. In a two phase study, potential vernal pool (PVP) detection was first assessed with unsupervised PALSAR (LHH) two season change detection (spring when flooded-summer when dry) and validated with 268, 1 ha field-sampled test cells. This resulted in low false negatives (14%-22%), overall map accuracy of 48% to 62% and high commission error (66%). These results make this blind two-season PALSAR approach for cryptic PVP detection of use for locating areas of high vernal pool likelihood. In a second phase of the research, PALSAR was integrated with 10 m USGS DEM derivatives in a machine learning classifier, which greatly improved overall PVP map accuracies (91% to 93%). This supervised approach with PALSAR was found to produce better mapping results than using LiDAR intensity or C-band SAR data in a fusion with the USGS DEM-derivatives.</t>
  </si>
  <si>
    <t>2-s2.0-84974829576"</t>
  </si>
  <si>
    <t>10.1038/nclimate2777</t>
  </si>
  <si>
    <t>https://www.scopus.com/inward/record.uri?eid=2-s2.0-84951304485&amp;doi=10.1038%2fnclimate2777&amp;partnerID=40&amp;md5=f68120ffe5e8deff4ced64bbf5777c23</t>
  </si>
  <si>
    <t>We define grey swan tropical cyclones as high-impact storms that would not be predicted based on history but may be foreseeable using physical knowledge together with historical data. Here we apply a climatological-hydrodynamic method to estimate grey swan tropical cyclone storm surge threat for three highly vulnerable coastal regions. We identify a potentially large risk in the Persian Gulf, where tropical cyclones have never been recorded, and larger-than-expected threats in Cairns, Australia, and Tampa, Florida. Grey swan tropical cyclones striking Tampa, Cairns and Dubai can generate storm surges of about 6 m, 5.7 m and 4 m, respectively, with estimated annual exceedance probabilities of about 1/10,000. With climate change, these probabilities can increase significantly over the twenty-first century (to 1/3,100-1/1,100 in the middle and 1/2,500-1/700 towards the end of the century for Tampa). Worse grey swan tropical cyclones, inducing surges exceeding 11 m in Tampa and 7 m in Dubai, are also revealed with non-negligible probabilities, especially towards the end of the century. © 2015 Macmillan Publishers Limited.</t>
  </si>
  <si>
    <t>2-s2.0-84951304485"</t>
  </si>
  <si>
    <t>10.1016/j.quaint.2015.07.022</t>
  </si>
  <si>
    <t>https://www.scopus.com/inward/record.uri?eid=2-s2.0-84955341676&amp;doi=10.1016%2fj.quaint.2015.07.022&amp;partnerID=40&amp;md5=f04e406a4e0e87b24703f4212dd8cb4f</t>
  </si>
  <si>
    <t>Quaternary mollusc assemblages preserved in the Salado basin are described and analyzed in order to reconstruct past environments and evaluate spatial and temporal variations. Five localities were analyzed, in which 48,998 individuals of eight continental gastropod species were recovered: Heleobia parchappii, Antillorbis nordestensis, Biomphalaria peregrina, Drepanotrema heloicum, Uncancylus concentricus, Pomacea canaliculata, Succinea meridionalis and Miradiscops brasiliensis. As well, other species typical of marine-estuarine environments have been found, among which Heleobia australis is highlighted. Based on changes in the composition and abundance of the assemblages, different environments could be recognized. Quaternary mollusc assemblages have low taxonomic heterogeneity and spatial and temporal variations. Assemblages recovered from Late Pleistocene-Early Holocene sediments are characterized by low species richness and abundance, with a single species in numerous examples. In the Middle Holocene, the shells became more constant and more diverse. Late Holocene assemblages have high species richness, freshwater, terrestrial and amphibious habits, and show some differences among different localities. Several episodes of flooding have been identified through the record of fossiliferous horizons with high density of shells, mainly Heleobia parchappii. These events that affected the area of influence of the Salado River occurred at least during the Late Holocene. © 2015 Elsevier Ltd and INQUA.</t>
  </si>
  <si>
    <t>2-s2.0-84955341676"</t>
  </si>
  <si>
    <t>10.1590/S1679-875920160919064sp2</t>
  </si>
  <si>
    <t>https://www.scopus.com/inward/record.uri?eid=2-s2.0-84983048108&amp;doi=10.1590%2fS1679-875920160919064sp2&amp;partnerID=40&amp;md5=c9a50022f3a515b0a33fad444ad0b98b</t>
  </si>
  <si>
    <t>This synthesis is framed within the scope of the Brazilian Benthic Coastal Habitat Monitoring Network (ReBentos WG 4: Mangroves and Salt Marshes), focusing on papers that examine biodiversity-climate interactions as well as human-induced factors including those that decrease systemic resilience. The goal is to assess difficulties related to the detection of climate and early warning signals from monitoring data. We also explored ways to circumvent some of the obstacles identified. Exposure and sensitivity of mangrove and salt marsh species and ecosystems make them extremely vulnerable to environmental impacts and potential indicators of sea level and climate-driven environmental change. However, the interpretation of shifts in mangroves and salt marsh species and systemic attributes must be scrutinized considering local and setting-level energy signature changes</t>
  </si>
  <si>
    <t>10.1007/s12517-015-2049-3</t>
  </si>
  <si>
    <t>https://www.scopus.com/inward/record.uri?eid=2-s2.0-84949458408&amp;doi=10.1007%2fs12517-015-2049-3&amp;partnerID=40&amp;md5=1d9e8e6bae3095b7f4fd5febba415a4a</t>
  </si>
  <si>
    <t>Due to the water supply increase and drought-associated problems, optimal water resources management is of a prior need in arid and semi-arid area. The groundwater recharge as an optimal utilization and storage of floodwater constitutes an ideal strategy in water resources management. The purpose of this study is to identify and characterize the spatial distribution of the infiltration and suitable sites for groundwater artificial recharge in a semi-arid basin in Tunisia. The Kineros2 rainfall-runoff model and Geographic Information Systems were used. The datasets required for the model parameters were extracted from maps of soil properties and land cover or extracted from the Digital Elevation Model of the area. The results of simulations reveal that the infiltration values depend on the initial soil moisture. The infiltration rate was closely related to the precipitation quantity and rainstorm duration. The strong rain often leads to overland-flow, overwhelming the infiltration</t>
  </si>
  <si>
    <t>10.1016/j.geomorph.2015.05.008</t>
  </si>
  <si>
    <t>https://www.scopus.com/inward/record.uri?eid=2-s2.0-84947033858&amp;doi=10.1016%2fj.geomorph.2015.05.008&amp;partnerID=40&amp;md5=111615e7e363b606ef9beb52232ecc81</t>
  </si>
  <si>
    <t>Recent developments in the remote sensing of fluvial systems have provided researchers with unprecedented views on the complexity of rivers. An aerial perspective is key to mapping and understanding the river at a variety of spatial scales. I employed a helicopter-mounted digital SLR camera and Structure-from-Motion (SfM) photogrammetry to bridge the gap between smaller scale aerial surveys from platforms like small unmanned aerial systems and larger scale commercial aerial photography or airborne LiDAR collections. This low-cost solution produced high spatial resolution aerial photography and digital elevation models for a 32-km segment of the Middle Fork John Day River in east central Oregon. Using these data, I extracted channel morphology data at 3-m intervals downstream and took an inductive approach to evaluating the controls on channel morphology and the human influences on the river using a combination of segment-scale and hyperscale analyses. The SfM process produced 10 cm/pixel orthophotographs and DEMs with submeter horizontal accuracy, but the DEMs suffered from a systematic distortion that resulted from the parallel camera geometry of the flight plan. The riverscape has been affected by human actions such as mining, cattle grazing, and restoration</t>
  </si>
  <si>
    <t>10.1155/2016/6408319</t>
  </si>
  <si>
    <t>https://www.scopus.com/inward/record.uri?eid=2-s2.0-84978402755&amp;doi=10.1155%2f2016%2f6408319&amp;partnerID=40&amp;md5=fb4d95d1a51627bd8fa8c8311ac6e256</t>
  </si>
  <si>
    <t>Many studies have highlighted the need for a higher accuracy global digital elevation model (DEM), mainly in river floodplains and deltas and along coastlines. In this paper, we present a method to infer the impact of a better DEM on applications and science using the Lower Zambezi basin as a use case. We propose an analysis based on a targeted observation algorithm to evaluate potential data acquisition subregions in terms of their impact on the prediction of flood risk over the entire study area. Consequently, it becomes trivial to rank these subregions in terms of their contribution to the overall accuracy of flood prediction. The improvement from better topography data may be expressed in terms of economic output and population affected, providing a multifaceted assessment of the value of acquiring better elevation data. Our results highlight the notion that having higher resolution measurements would improve our current large-scale flood inundation prediction capabilities in the Lower Zambezi by at least 30% and significantly reduce the number of people affected as well as the economic loss associated with high magnitude flooding. We believe this procedure to be simple enough to be applied to other regions where high quality topographic and hydrodynamic data are currently unavailable. © 2016 Guy J.-P. Schumann and Konstantinos M. Andreadis.</t>
  </si>
  <si>
    <t>2-s2.0-84978402755"</t>
  </si>
  <si>
    <t>Journal of Geology</t>
  </si>
  <si>
    <t>10.1086/684206</t>
  </si>
  <si>
    <t>https://www.scopus.com/inward/record.uri?eid=2-s2.0-84961254099&amp;doi=10.1086%2f684206&amp;partnerID=40&amp;md5=529532ee1e97dbed58c25133dbde6e26</t>
  </si>
  <si>
    <t>The Tiombó conglomerate on Isla del Carmen in Baja California Sur represents a mega-delta deposited mainly during the middle Pliocene (early Piacenzian age). A cross-section with the characteristically arched profile of a fan delta is exposed in sea cliffs 60 m high that extend for 2 km along the east side of the fourth-largest island in Mexico’s Gulf of California. A tidewater aspect to the delta is proven by the inclusion of fossil-rich lenses dominated by the pecten Patinopecten bakeri, which also occurs abundantly together with many other middle Pliocene fossils in the Arroyo Blanco limestone juxtaposed against the south flank of the delta construction. Inland, the conglomerate fills a broad, cross-island channel approximately 3 km2 in area that ends with cliff exposures of a lesser thickness overlooking the Carmen Passage between Isla del Carmen and the peninsular mainland of Baja California. Based on exposures that fail to reveal the full basal contact, the combined fluvial and deltaic parts of the system are conservatively estimated to exceed 200 million m3. This study finds that the Pliocene Tiombó Delta is massively too large for the island it now occupies and that the related distributary channels in the delta’s original watershed extended to the peninsular mainland and the Sierra de la Giganta in the Loreto area. The direct implication is that the Pliocene delta suffered tectonic decapitation when a reactivated halfgraben subsided and that the Carmen Passage flooded only in later Pliocene time. A useful comparison in scale is provided through examination of the modern delta at Loreto, together with its associated watershed on the peninsular mainland. Long-term changes in El Niño Southern Oscillation cycles are appraised as an influence on regional Pliocene delta construction at several other localities along the peninsular gulf coast of Baja California. © 2016 by The University of Chicago. All rights reserved.</t>
  </si>
  <si>
    <t>2-s2.0-84961254099"</t>
  </si>
  <si>
    <t>10.3390/hydrology3040033</t>
  </si>
  <si>
    <t>https://www.scopus.com/inward/record.uri?eid=2-s2.0-85046751656&amp;doi=10.3390%2fhydrology3040033&amp;partnerID=40&amp;md5=dbbc86dc4a5a70c355cd8e3a6fe1eff0</t>
  </si>
  <si>
    <t>Flood pulses occur annually along the Tonle Sap River (TSR) due to the large volume of water flowing from Tonle Sap Lake (TSL), its tributaries, and the Mekong River (MR). This study describes the seasonal changes in inundation area and water volume in the floodplain along the TSR over three years. The method employed time series remote sensing images of Moderate Resolution Imaging Spectroradiometer (MODIS) satellite data, the digital elevation model (DEM) of the Shuttle Radar Topography Mission (SRTM), bathymetric data, and observed water level data. Adding normalized difference vegetation index (NDVI) as a ""third band"" in the maximum likelihood classification (MLC) provided higher accuracy compared to thresholding NDVI and pure MLC (two bands) only. The results showed that the inundation area ranged from 123.8 to 3251.2 km2 (mean: 1028.5 km2) with overall accuracy of 96.9%. The estimated water volume ranged from 418.3 to 2223.9 million m3 (mean: 917.3 million m3) from the dry to wet season, respectively. Seasonally, the TSR floodplain accounted for up to 5.3% and 3.2% of the mean annual inflow and outflow of the TSR, respectively. In addition to the TSL water reservoir, the TSR and its floodplain exchanged and stabilized the flow of the MR and its downstream delta, respectively. Overall, the obtained results have enhanced our understanding of the TSR, supporting further studies on river connectivity and reversal flow in this study area. © 2016 by the authors.</t>
  </si>
  <si>
    <t>2-s2.0-85046751656"</t>
  </si>
  <si>
    <t>10.1002/esp.3841</t>
  </si>
  <si>
    <t>https://www.scopus.com/inward/record.uri?eid=2-s2.0-84955714633&amp;doi=10.1002%2fesp.3841&amp;partnerID=40&amp;md5=ee8ec6c4dbc3501b2ee6abff6f769c93</t>
  </si>
  <si>
    <t>Extreme events such as storm surges and tsunamis in combination with subsidence of densely populated coastal areas pose an increasing threat to millions of people in the tropics. Intertidal mangrove forests may form a natural protection against some extreme events, but have also widely been destroyed by coastal development. The establishment of mangroves and the maintenance of their stability over the short- to long-term requires an understanding of sedimentary processes and landforms in the coastal zone, making geomorphology a crucial, but sometimes neglected discipline when attempting restoration for disaster risk reduction. Mangrove geomorphic setting varies markedly across the tropics, depending on abiotic parameters such as suspended sediment supply and tidal range, with different restoration strategies suitable for each. In this study we provide a global categorization of mangrove geomorphic settings, based on the literature and global remote sensing data. The world's mangroves can be broadly defined as: (1) minerogenic and high tidal range (2) minerogenic and low tidal range and (3) organogenic and low tidal range. We further discuss restoration and management approaches most suitable for each geomorphic setting. Overall, this study can be used to inform managers about the relevance of geomorphic knowledge for successful mangrove restoration, how an understanding of geomorphology can influence site selection and restoration success, and how to match specific restoration methods to the prevailing geomorphic context. The stronger incorporation of geomorphic knowledge into site planning and design will improve the success rates of restoration for this important and globally threatened ecosystem. © 2016 John Wiley &amp; Sons, Ltd.</t>
  </si>
  <si>
    <t>2-s2.0-84955714633"</t>
  </si>
  <si>
    <t>10.1051/lhb/2016020</t>
  </si>
  <si>
    <t>https://www.scopus.com/inward/record.uri?eid=2-s2.0-84969988934&amp;doi=10.1051%2flhb%2f2016020&amp;partnerID=40&amp;md5=b03c31a67547e86fb3b6c2032e6235f0</t>
  </si>
  <si>
    <t>Storm surges and associated coastal flooding are among the most damaging natural disasters, as it was illustrated recently in the Gulf of Mexico, the Bay of Bengal or the Philippines. Storm surges correspond to sea-level anomalies, driven by atmospheric pressure, wind and short waves. In shallow waters, the wind contribution is usually dominant upon the other forcing, which causes coastal areas bordered by extensive shelves and located along the track of major storms to be exposed to very large surges. For a given wind speed, the surface stress can also be amplified by sea-states, for instance in the presence of young and steep waves. The Coriolis effect associated with the Earth rotation is also an important process because it deviates wind-driven flows to the right (to the left) in the Northern (Southern) hemisphere, which can result to an Ekman setup along the coast located to the right-side (resp. left-side) of the storm track. Finally, wave dissipation in surf zones induces gradients of radiation stress, which drives a wave-setup easily reaching several tens of cm and therefore contribution to the whole storm surge. Coastal flooding usually happens when a large storm surge peak at the same time of a high tide, although the importance of this concomitance depends and surge to tidal range ratio. Coastal flooding can occur through dike and barriers overflowing, breaching, or a combination of both mechanisms. Along the coastline exposed to big waves, wave overtopping can also induce significant flooding and damage sea-front. However, resolving short-wave phases to account for this phenomenon implies a very fine resolution, which poses a serious challenge in terms of computational resources. © Société Hydrotechnique de France, 2016.</t>
  </si>
  <si>
    <t>2-s2.0-84969988934"</t>
  </si>
  <si>
    <t>10.5194/nhess-16-209-2016</t>
  </si>
  <si>
    <t>https://www.scopus.com/inward/record.uri?eid=2-s2.0-84956682210&amp;doi=10.5194%2fnhess-16-209-2016&amp;partnerID=40&amp;md5=81f3f7330e63db671172394818b60278</t>
  </si>
  <si>
    <t>The Emilia-Romagna early-warning system (ER-EWS) is a state-of-the-art coastal forecasting system that comprises a series of numerical models (COSMO, ROMS, SWAN and XBeach) to obtain a daily 3-day forecast of coastal storm hazard at eight key sites along the Emilia-Romagna coastline (northern Italy). On the night of 31 October 2012, a major storm event occurred that resulted in elevated water levels (equivalent to a 1-in-20-to 1-in-50-year event) and widespread erosion and flooding. Since this storm happened just 1 month prior to the roll-out of the ER-EWS, the forecast performance related to this event is unknown. The aim of this study was to therefore reanalyse the ER-EWS as if it had been operating a day before the event and determine to what extent the forecasts may have helped reduce storm impacts. Three different reanalysis modes were undertaken: (1) a default forecast (DF) mode based on 3-day wave and water-level forecasts and default XBeach parameters</t>
  </si>
  <si>
    <t>10.15244/pjoes/61796</t>
  </si>
  <si>
    <t>https://www.scopus.com/inward/record.uri?eid=2-s2.0-84992752971&amp;doi=10.15244%2fpjoes%2f61796&amp;partnerID=40&amp;md5=ca86ca9f67e56a7367940dc2d8864272</t>
  </si>
  <si>
    <t>The procedure of the rainfall–runoff (R-R) model, based on the instantaneous unit hydrograph (IUH) method and used to calculate the probable flows in 8 profiles of the Losse river (on the stretch from 5+476 to 7+596 km) for three flood scenarios (Qextreme, Q1% and Q10%), has been presented in this work. A computer program developed by the author was used to conduct the analyses, enabling the flows to be simultaneously calculated for each of the analyzed profiles in response to 10 rainfall events of varying duration and a given exceedance probability. The obtained values of probable flows were recalculated into corresponding water table levels using the WSP-ASS program (Water Level Program). The extent of the flooding and water depths for three flood scenarios were calculated based on the levels of the water table and terrain elevation data (“Digital Terrain Model”). As a final effect of the analyses, flood hazard maps for the analyzed stretch of the Losse River were constructed, enabling the consequences of flooding to business activities, the infrastructure, the environment, and human health and life to be assessed. © 2016, HARD Publishing Company. All rights reserved.</t>
  </si>
  <si>
    <t>2-s2.0-84992752971"</t>
  </si>
  <si>
    <t>10.1016/j.jag.2015.11.005</t>
  </si>
  <si>
    <t>https://www.scopus.com/inward/record.uri?eid=2-s2.0-85036671098&amp;doi=10.1016%2fj.jag.2015.11.005&amp;partnerID=40&amp;md5=78fe74c24873721e5aa872d1220f00ae</t>
  </si>
  <si>
    <t>Earth observation (EO)-based mapping and analysis of natural hazards plays a critical role in various aspects of post-disaster aid management. Spatial very high-resolution Earth observation data provide important information for managing post-tsunami activities on devastated land and monitoring re-cultivation and reconstruction. The automatic and fast use of high-resolution EO data for rapid mapping is, however, complicated by high spectral variability in densely populated urban areas and unpredictable textural and spectral land-surface changes. The present paper presents the results of the SENDAI project, which developed an automatic post-tsunami flood-extent modelling concept using RapidEye multispectral satellite data and ASTER Global Digital Elevation Model Version 2 (GDEM V2) data of the eastern coast of Japan (captured after the Tohoku earthquake). In this paper, the authors developed both a bathtub-modelling approach and a cost-distance approach, and integrated the roughness parameters of different land-use types to increase the accuracy of flood-extent modelling. Overall, the accuracy of the developed models reached 87–92%, depending on the analysed test site. The flood-modelling approach was explained and results were compared with published approaches. We came to the conclusion that the cost-factor-based approach reaches accuracy comparable to published results from hydrological modelling. However the proposed cost-factor approach is based on a much simpler dataset, which is available globally. © 2015 Elsevier B.V.</t>
  </si>
  <si>
    <t>2-s2.0-85036671098"</t>
  </si>
  <si>
    <t>10.1007/s11069-015-2000-7</t>
  </si>
  <si>
    <t>https://www.scopus.com/inward/record.uri?eid=2-s2.0-84952299846&amp;doi=10.1007%2fs11069-015-2000-7&amp;partnerID=40&amp;md5=7a78aaa82ac1dc82c691acdad2d0be9c</t>
  </si>
  <si>
    <t>The expectation that wetlands can protect coastal communities has been a major topic in the effort to evaluate innovative methods of mitigating coastal impacts from storm surge. Recent investigations have shown that there is a potential flood mitigation benefit to be gained from the presence of marshes. Though the extent of that benefit is not yet clearly defined, prioritizing wetland systems for coastal protection requires a consideration of the interactions between communities at risk of storm surge damage and wetland areas of sufficient spatial scales to reliably attenuate storm surge. Here, a framework is proposed for geospatial characterization of these interactions based on numerical model results and is applied to Virginia’s Chesapeake Bay region. Spatial identification of Chesapeake Bay wetlands was derived from four nationally available datasets (National Wetland Inventory, National Land Cover Dataset, Coastal Change Analysis Program, and NOAA’s Wetland Potential database). Maps of maximum storm tides for four historical storms were generated based on a coupled hydrodynamic wave model (ADCIRC–SWAN), validated for those storms with a mean root mean square error of 0.44 m. Population information was extracted from US Census block data in FEMA’s HAZUS Multi-Hazard geodatabase. Results from geospatial analysis of the relationships between wetland land cover, inundation, and population were used to identify where interactions with coastal populations are relevant for the study area when spatial limitations are considered. Approximately 1160 sq. km of wetlands were inundated by all four storms. Total population present in a range of proximities (200, 400, and 600 m) to flooded wetlands was used as a metric to evaluate the effect of a range of limitations on wetland size (5–50 sq. km) on potential population protected. A high level of uncertainty was seen due to wetland dataset selection (number of standard deviations from the mean ranged from 0.04 to 1.37), owing to high variability in spatial delineation/configuration of wetlands. Applying the framework to the Virginia Chesapeake Bay region yields an index of potential protection based on spatial scale limitations. For example, such an evaluation for wetlands meeting the 5 sq. km limitation (disregarding wetlands &lt;5 sq. km) indicates that the presence of wetlands offers a potential protection for 3.4 % of the population. An application of the index on a more local scale indicates that the interaction of the flooded wetlands with more populated localities is such that the coastal marshes in Hampton Roads and Gloucester may offer protection to nearby coastal communities. This framework demonstrates that effective surge protection from wetlands and marshes is related to a combination of the incidence of storm surge inundation, proximity to coastal communities, and the relationship of sufficient spatial scales for surge attenuation. © 2015, Springer Science+Business Media Dordrecht.</t>
  </si>
  <si>
    <t>2-s2.0-84952299846"</t>
  </si>
  <si>
    <t>10.3390/hydrology3030029</t>
  </si>
  <si>
    <t>https://www.scopus.com/inward/record.uri?eid=2-s2.0-85024377808&amp;doi=10.3390%2fhydrology3030029&amp;partnerID=40&amp;md5=d96986bb8f457e4b7e94a4df1abd370c</t>
  </si>
  <si>
    <t>Papua New Guinea is blessed with a plethora of enviable natural resources, but at the same time it is also cursed by quite a few natural disasters like volcanic eruptions, earthquakes, landslide, floods, droughts etc. Floods happen to be a natural process of maintaining the health of the rivers and depth of its thalweg; it saves the river from becoming morbid while toning up the fertility of the riverine landscape. At the same time, from human perspective, all these ecological goodies are nullified when flood is construed overwhelmingly as one of the most devastating events in respect to social and economic consequences. The present investigation was tailored to assess the use of multi-criteria decision approach (MCDA) in inland flood risk analysis. Categorization of possible flood risk zones was accomplished using geospatial data sets, like elevation, slope, distance to river, and land use/land cover, which were derived from digital elevation model (DEM) and satellite image, respectively. A pilot study area was selected in the lower part of Markham River in Morobe Province, Papua New Guinea. The study area is bounded by 146°31′ to 146°58′ east and 6°33′ to 6°46′ south; covers an area of 758.30 km2. The validation of a flood hazard risk map was carried out using past flood records in the study area. This result suggests that MCDA within GIS techniques is very useful in accurate and reliable flood risk analysis and mapping. This approach is convenient for the assessment of flood in any region, specifically in no-data regions, and can be useful for researchers and planners in flood mitigation strategies.</t>
  </si>
  <si>
    <t>10.3390/rs8120999</t>
  </si>
  <si>
    <t>https://www.scopus.com/inward/record.uri?eid=2-s2.0-85002702552&amp;doi=10.3390%2frs8120999&amp;partnerID=40&amp;md5=fdda09ace09ecb048261fedc79b95bcf</t>
  </si>
  <si>
    <t>To monitor the stage in turbid reservoirs with a sloping bank, it has been proposed to install a near-infrared Lidar on the bank and to orient it so that it points at the water surface with a large incidence angle (between ≈ 30° and 70°). The technique assumes that the Lidar can detect suspended particles that are slightly below the water surface. Some laboratory results and the first long-term assessment (&gt;2 years) of the technique are presented. It found that: (1) although the test Lidar provides erratic distance data, they can be easily filtered according to the intensity of the received signal; (2) the Lidar provides reliable data only when the water is very turbid (Secchi depth smaller than ≈ 1.0 m); and (3) the reliable data can be used to estimate daily stage values (after a simple field calibration) with an uncertainty better than ±0.08 m (p = 0.95). Although the present form of the technique is not very accurate, it uses an inexpensive instrument (≈1500 USD) which can be easily installed in a safe place (such as is the roof of a building). It is argued that the technique could be also used to monitor the stage and the sub-surface velocity in others turbid water bodies, such as some coastal areas (a recent field of application) and flooding rivers.</t>
  </si>
  <si>
    <t>10.1016/j.jtrangeo.2015.11.009</t>
  </si>
  <si>
    <t>https://www.scopus.com/inward/record.uri?eid=2-s2.0-84949665000&amp;doi=10.1016%2fj.jtrangeo.2015.11.009&amp;partnerID=40&amp;md5=9804a182063cc74d1e72e04bfd68cdcd</t>
  </si>
  <si>
    <t>Future climate change is likely to increase the frequency of coastal storms and floods, with major consequences for coastal transport infrastructure. This paper assesses the extent to which projected sea-level rise is likely to impact upon the functioning of the Dawlish to Teignmouth stretch of the London to Penzance railway line, in England. Using a semi-empirical modelling approach, we identify a relationship between sea-level change and rail incidents over the last 150 years and then use model-based sea-level predictions to extrapolate this relationship into the future. We find that days with line restrictions (DLRs) look set to increase by up to 1170%, to as many as 84-120 per year, by 2100 in a high sea-level rise scenario (0.55-0.81 m). Increased costs to the railway industry deriving from maintenance and line restrictions will be small (£ millions) in comparison with damage caused by individual extreme events (£10s of millions), while the costs of diversion of the railway are higher still (£100s of millions to billions). Socio-economic costs to the region are likely to be significant although they are more difficult to estimate accurately. Finally, we explain how our methodology is applicable to vulnerable coastal transport infrastructure worldwide. © 2015 The Authors.</t>
  </si>
  <si>
    <t>2-s2.0-84949665000"</t>
  </si>
  <si>
    <t>10.4000/geomorphologie.11229</t>
  </si>
  <si>
    <t>https://www.scopus.com/inward/record.uri?eid=2-s2.0-84992710853&amp;doi=10.4000%2fgeomorphologie.11229&amp;partnerID=40&amp;md5=22ccf7966fc4763480894e91955c1d0e</t>
  </si>
  <si>
    <t>In this paper, we describe a fluvial marginal process associated with the form ation of iceberg jams in Icelandic proglacial lakes. The floods triggered by the release of these iceberg jams have implications for the geom orphic evolution of the proglacial fluvial system . The process of iceberg jam floods share some conceptual characteristics with Self-Organized Criticality (SOC) approach of com plex sy stem s. Using a simple numerical model and field observ ations, we test the hy pothesis that iceberg jam floo exhibit SOC. Field observ ations and aerial photo-interpretations in southeastern Iceland dem onstrate the occurrence of icebergs jam in ice-contact lakes. The m apping of the south Vatnajökull margins between 2 003 and 2012 reveals an increase of the calving potentiality and a rise in the likelihood of iceberg jam flood occurrence. Based on the results of the num erical model and field observ ations, we suggest that iceberg jam floods should be recognized as a SOC phenom enon. Analy sis of the simulated tim eseries show that the iceberg jam floods become less frequent and more similar in magnitude ov er time. This global trend is related to the gradual enlargem ent of the lake outlet channel.</t>
  </si>
  <si>
    <t>2-s2.0-84992710853"</t>
  </si>
  <si>
    <t>10.1016/j.quaint.2015.07.045</t>
  </si>
  <si>
    <t>https://www.scopus.com/inward/record.uri?eid=2-s2.0-84938703504&amp;doi=10.1016%2fj.quaint.2015.07.045&amp;partnerID=40&amp;md5=75772cb19f5dfe9ef313697dcf67d5e0</t>
  </si>
  <si>
    <t>Late Quaternary seismic stratigraphy and depositional history at the mid-eastern Yellow Sea were investigated using high-resolution seismic profiles and core sediments. The results show that the shelf sequence consists of five sedimentary units formed since the LGM: incised-channel fill (SU1), estuarine deposit (SU2), thin sand veneer (SU3), tidal sand ridge (SU4), and central deltaic mud (SU5). The lowermost unit (SU1) above the sequence boundary is interpreted as channel fill deposits mainly formed during the LGM, which belongs to the lowstand systems tract. Three units (SU2, SU3, and SU4), regarded as transgressive systems tract, can be grouped into paralic and marine components separated by a ravinement surface. SU2 lying below the ravinement surface represents a paralic unit that consists of estuarine sediments left behind from shoreface erosion. The top surface of SU2 is truncated by an erosional surface and is overlain by two marine units (SU3 and SU4), which were produced by shoreface erosion that shifted landward during the transgression. SU3, mainly distributed over a wide area of the central part, is very thin, whereas SU4 on the eastern part off the Korean Peninsula forms serial sand ridges, partly modified by modern tidal currents. The uppermost unit (SU5) above the maximum flooding surface, regarded as the highstand systems tract, formed the thin deltaic mud patch derived from the Huanghe River developed after the highstand sea level approximately 7 ka BP. © 2015 Elsevier Ltd and INQUA.</t>
  </si>
  <si>
    <t>2-s2.0-84938703504"</t>
  </si>
  <si>
    <t>Economic Modelling</t>
  </si>
  <si>
    <t>10.1016/j.econmod.2015.10.008</t>
  </si>
  <si>
    <t>https://www.scopus.com/inward/record.uri?eid=2-s2.0-84958614619&amp;doi=10.1016%2fj.econmod.2015.10.008&amp;partnerID=40&amp;md5=7f4ad0fd773aa2f9d66224d9dfafc271</t>
  </si>
  <si>
    <t>This study advances the state of the art in country-level computable general equilibrium analysis for climate change impact and adaptation analysis by incorporating forward-looking expectations. The analytic framework is used to explore the long-run growth prospects for Egypt in a changing climate. Based on a review of existing estimates of climate change impacts on agricultural productivity, labour productivity and the potential losses due to sea-level rise for the country, the model is used to simulate the effects of climate change on aggregate consumption, investment and income up to 2050. Available cost estimates for adaptation investments are employed to explore adaptation strategies.The simulation analysis suggests that in the absence of policy-led adaptation investments, real GDP towards the middle of the century will be 6.5% lower than in a hypothetical baseline without climate change. A combination of adaptation measures, that include coastal protection investments for vulnerable sections along the low-lying Nile delta, support for changes in crop management practices and investments to raise irrigation efficiency, could reduce the GDP loss in 2050 to around 2.6%.Further work along these lines for developing countries in climate change hotspot regions deserves a high priority on the research agenda in economic modelling. © 2015 Elsevier B.V.</t>
  </si>
  <si>
    <t>2-s2.0-84958614619"</t>
  </si>
  <si>
    <t>10.3390/hydrology3040032</t>
  </si>
  <si>
    <t>https://www.scopus.com/inward/record.uri?eid=2-s2.0-85036477736&amp;doi=10.3390%2fhydrology3040032&amp;partnerID=40&amp;md5=4c92f3b39cf028ab65e7d5a5225ab6cf</t>
  </si>
  <si>
    <t>Breaching of coastal barriers is a three-dimensional process induced by complex interactions between hydrodynamics, sediment transport and soil avalanching processes. Although numerous coastal barriers are breached every year in many coastal countries, causing dramatic inundations of the nearshore areas, the understanding of the processes and interactions associated with both breaching and subsequent flood propagation is still poor. This might explain why their combined modelling and prediction has not yet been sufficiently addressed. Consequently, barrier breaching and subsequent inundation are still often modelled separately, thus ignoring the strong interaction between breaching and flooding. However, the combined modelling of such strongly coupled processes is crucial. Since the open-source model system ""XBeach"" consists, among others, of a nonlinear shallow water solver coupled with a morphodynamic model, also including a soil avalanching module, it has the potential to simulate both breaching and subsequent flood propagation together. Indeed, the mutual interactions between hydrodynamics and morphodynamics (including soil avalanching) are properly accounted for. This paper, therefore, aims to examine the applicability of XBeach for modelling coastal barrier breaching and inundation modelling in combination, instead of the current approaches, which address the modelling of each of these two processes separately. The performance of XBeach, in terms of inundation modelling, is assessed through comparisons of the results from this model system (i) with the results from common 1D and 2D flood propagation models and (ii) with observations for barrier breaching and subsequent inundation from a real case study. Besides providing an improved understanding of the breaching process, the results of this study demonstrate a new promising application of XBeach and its potential for calculating time-varying inland discharges, as well as for combined modelling of both dune breaching and subsequent flood propagation in coastal zones. © 2016 by the authors.</t>
  </si>
  <si>
    <t>2-s2.0-85036477736"</t>
  </si>
  <si>
    <t>10.3390/rs8050396</t>
  </si>
  <si>
    <t>https://www.scopus.com/inward/record.uri?eid=2-s2.0-84971420464&amp;doi=10.3390%2frs8050396&amp;partnerID=40&amp;md5=46e27e326536724f796ff906ea8332ab</t>
  </si>
  <si>
    <t>Landslides are one of the most destructive geo-hazards that can bring about great threats to both human lives and infrastructures. Landslide monitoring has been always a research hotspot. In particular, landslide simulation experimentation is an effective tool in landslide research to obtain critical parameters that help understand the mechanism and evaluate the triggering and controlling factors of slope failure. Compared with other traditional geotechnical monitoring approaches, the close-range photogrammetry technique shows potential in tracking and recording the 3D surface deformation and failure processes. In such cases, image matching usually plays a critical role in stereo image processing for the 3D geometric reconstruction. However, the complex imaging conditions such as rainfall, mass movement, illumination, and ponding will reduce the texture quality of the stereo images, bringing about difficulties in the image matching process and resulting in very sparse matches. To address this problem, this paper presents a multiple-constraints based robust image matching approach for poor-texture close-range images particularly useful in monitoring a simulated landslide. The Scale Invariant Feature Transform (SIFT) algorithm was first applied to the stereo images for generation of scale-invariate feature points, followed by a two-step matching process: Feature-based image matching and area-based image matching. In the first feature-based matching step, the triangulation process was performed based on the SIFT matches filtered by the Fundamental Matrix (FM) and a robust checking procedure, to serve as the basic constraints for feature-based iterated matching of all the non-matched SIFT-derived feature points inside each triangle. In the following area-based image-matching step, the corresponding points of the non-matched features in each triangle of the master image were predicted in the homologous triangle of the searching image by using geometric constraints, followed by a refinement course with similarity constraint and robust checking. A series of temporal Single-Lens Reflex (SLR) and High-Speed Camera (HSC) stereo images captured during the simulated landslide experiment performed on the campus of Tongji University, Shanghai, were employed to illustrate the proposed method, and the dense and reliable image matching results were obtained. Finally, a series of temporal Digital Surface Models (DSM) in the landslide process were constructed using the close-range photogrammetry technique, followed by the discussion of the landslide volume changes and surface elevation changes during the simulation experiment. © 2016 by the authors.</t>
  </si>
  <si>
    <t>2-s2.0-84971420464"</t>
  </si>
  <si>
    <t>10.1007/s12517-015-2195-7</t>
  </si>
  <si>
    <t>https://www.scopus.com/inward/record.uri?eid=2-s2.0-84955480825&amp;doi=10.1007%2fs12517-015-2195-7&amp;partnerID=40&amp;md5=402634fcc197cff83b5eca357d4fbf92</t>
  </si>
  <si>
    <t>In arid regions, the analysis of wadi morphometric and hydrologic parameters and their interrelationships are fundamental for describing the hydrologic potential efficiency of the watershed and ranking the control variables of the watershed according to their impact on the flood evaluation. In this paper, digital elevation model, geographic information system, hydrological modeling, and multivariate statistical techniques are integrated for the identification and the assessment of the input variables that are used in the evaluation of the flood parameters. For this purpose, factor analysis (FA) and cluster analysis (CA) have been implemented to achieve these goals. To achieve a high accuracy in the hydrological simulation, Hadramaut catchment has been divided into eight sub-catchments. Each sub-catchment has different morphometric characteristics. Twenty-two morphometric and hydrological descriptors have been extracted and evaluated using the aforementioned techniques. The results of this research show that the Q-mode cluster analysis classifies the sub-catchments according to the similarities in their variables while the R-mode cluster analysis classifies the variables into three effective groups. The first two factors of (FA) accounted for about 63 % while the first three factors accounted for about 93 % of the total variance in the data. This process helps in discovering the linear combinations that reflect the most variation in the data and also to discover and analyze the most important variables and rank them according to their direct effect on the output function which is the flood disaster. © 2016, Saudi Society for Geosciences.</t>
  </si>
  <si>
    <t>2-s2.0-84955480825"</t>
  </si>
  <si>
    <t>10.1080/19475705.2013.862573</t>
  </si>
  <si>
    <t>https://www.scopus.com/inward/record.uri?eid=2-s2.0-84953358693&amp;doi=10.1080%2f19475705.2013.862573&amp;partnerID=40&amp;md5=2af91760ce4c1ce5aad13e82de4e75fb</t>
  </si>
  <si>
    <t>A great number of glacial lakes have appeared in many mountain regions across the world during the last half-century due to receding of glaciers and global warming. In the present study, glacial lake outburst flood (GLOF) risk assessment has been carried out in the Teesta river basin located in the Sikkim state of India. First, the study focuses on accurate mapping of the glaciers and glacial lakes using multispectral satellite images of Landsat and Indian Remote Sensing satellites. For glacier mapping, normalized difference snow index (NDSI) image and slope map of the area have been utilized. NDSI approach can identify glaciers covered with clean snow but debris-covered glaciers cannot be mapped using NDSI method alone. For the present study, slope map has been utilized along with the NDSI approach to delineate glaciers manually. Glacial lakes have been mapped by supervised maximum likelihood classification and normalized difference water index followed by manual editing afterwards using Google Earth images. Second, the first proper inventory of glacial lakes for Teesta basin has been compiled containing information of 143 glacial lakes. Third, analysis of these lakes has been carried out for identification of potentially dangerous lakes. Vulnerable lakes have been identified on the basis of parameters like surface area, position with respect to parent glacier, growth since 2009, slope, distance from the outlet of the basin, presence of supraglacial lakes, presence of other lakes in downstream, condition of moraine, condition of the terrain around them, etc. From these criterions, in total, 18 lakes have been identified as potentially dangerous glacial lakes. Out of these 18 lakes, further analysis has been carried out for the identification of the most vulnerable lake. Lake 140 comes out to be the most vulnerable for a GLOF event. Lastly, for this potentially dangerous lake, different dam break parameters have been generated using satellite data and digital elevation model. The volume and depth have been computed using empirical formulae, and other parameters such as cross-sections from the lake to outlet etc. have been prepared in ArcGIS 9.3. The GLOF which can be triggered by Lake 140 was modelled and simulated using MIKE-11 software's hydrodynamic module. As a result, flood values and hydrograph have been obtained. The flood at lake site comes out to be 2611.136 cumec which get mitigated to 1417.844 cumec at the outlet. © 2013 Taylor &amp; Francis.</t>
  </si>
  <si>
    <t>2-s2.0-84953358693"</t>
  </si>
  <si>
    <t>10.1007/s00190-015-0852-y</t>
  </si>
  <si>
    <t>https://www.scopus.com/inward/record.uri?eid=2-s2.0-84952977659&amp;doi=10.1007%2fs00190-015-0852-y&amp;partnerID=40&amp;md5=8331bbe6360498fe24720f698f78b4d8</t>
  </si>
  <si>
    <t>A new methodology is proposed to estimate changes in the Earth’s dynamic oblateness (ΔJ2 or equivalently, -√5ΔC20) on a monthly basis. The algorithm uses monthly Gravity Recovery and Climate Experiment (GRACE) gravity solutions, an ocean bottom pressure model and a glacial isostatic adjustment (GIA) model. The resulting time series agree remarkably well with a solution based on satellite laser ranging (SLR) data. Seasonal variations of the obtained time series show little sensitivity to the choice of GRACE solutions. Reducing signal leakage in coastal areas when dealing with GRACE data and accounting for self-attraction and loading effects when dealing with water redistribution in the ocean is crucial in achieving close agreement with the SLR-based solution in terms of de-trended solutions. The obtained trend estimates, on the other hand, may be less accurate due to their dependence on the GIA models, which still carry large uncertainties. © 2015, The Author(s).</t>
  </si>
  <si>
    <t>2-s2.0-84952977659"</t>
  </si>
  <si>
    <t>10.1190/INT-2015-0125.1</t>
  </si>
  <si>
    <t>https://www.scopus.com/inward/record.uri?eid=2-s2.0-85070685580&amp;doi=10.1190%2fINT-2015-0125.1&amp;partnerID=40&amp;md5=0773f585101fd55c9c63efd6feba31ce</t>
  </si>
  <si>
    <t>Complex regional geologic structural controls have generated a lot of interest in the engineering, oil, and gas industries within the past few years. Digital elevation models (DEMs), multispectral remote sensing images using ArcGIS software, in combination with data cube and geomorphologic characterization, provide important markers that aid in spatial information analysis for the study area. We have validated the characterization and classification of DEMs using spatial statistics by mineral spectroscopy of multispectral remote sensing data. Our characterization was initiated by a joint interpretation of DEMs and multispectral remote sensing data in association with stratigraphic and geologic information. We have combined Landsat ETM+ images from visible (VIS), near-infrared (NIR), and mid-infrared (MID IR) to create red-green-blue (RGB) images, superimposed with high-spectral-resolution 15 m panchromatic band 8. Principal component analysis (PCA) further enhanced the image results. To characterize the geomorphology and near surface, specific bands used included RGB Landsat 742 and 321 data sets, whereas false-color Landsat RGB images (742 and 432) provided spatial data in delineating areas of lineations and fault systems. The tectonic lineaments extracted from the escarpments of the DEM and magnetic data provided structures related to tectonic forces to better understand the major faults, lineations, and geomorphology. Results of this study showed a strikingly reliable interpretative result of these faults that controlled the low-lying areas. These faults and lineations are high-permeability zones that can be saturated by water during active rainfall and flash-flood periods thereby disrupting the equilibrium of various fault zones in the area and raising tectonic activities within the active fault system. Such saturation presents a major environmental hazard for the study area. Generally, the use of Landsat data combined with PCA indicates promising evidence of possible plays within the huge sedimentary deposits and raised concerns about safety and hazard issues. © 2015 Society of Exploration Geophysicists and American Association of Petroleum Geologists.</t>
  </si>
  <si>
    <t>2-s2.0-85070685580"</t>
  </si>
  <si>
    <t>European Journal of Transport and Infrastructure Research</t>
  </si>
  <si>
    <t>10.18757/ejtir.2016.16.1.3122</t>
  </si>
  <si>
    <t>https://www.scopus.com/inward/record.uri?eid=2-s2.0-84949871229&amp;doi=10.18757%2fejtir.2016.16.1.3122&amp;partnerID=40&amp;md5=b0740b8e0bd94761ba4cb2a9b48c2a25</t>
  </si>
  <si>
    <t>This paper reports the development and results of a model exploring the resilience of the Dutch electricity transmission infrastructure to extreme weather events. Climate change is anticipated to result in an increase in the frequency and severity of extreme weather events over the coming decades. Situated in a low-lying coastal delta, the Netherlands may be particularly exposed to certain types of extreme weather(-induced) events. The degree to which the country’s electricity network may prove resilient in the face of these future events is an open question. The model focuses on two types of extreme events – floods and heat waves – and assesses two types of adaptation measures – substation flood protections and demand-side management. The model employs a network-based approach in assessing infrastructure resilience – explicitly representing the structure and properties of the Dutch transmission infrastructure – and extends previous work by accounting for key power system characteristics such as capacity constraints and cascading failures. From a practice perspective, the results offer a first indication of the vulnerability of the Dutch electricity transmission infrastructure in the context of climate change. These results suggest that the network displays some vulnerability to both floods and heat waves. Both types of adaptation measures tested are found to enhance resilience, though substation flood protection shows greater benefits. Whilst the model was specifically developed for the study of electricity networks, we anticipate that this method may also be applicable to other types of transport infrastructures. © 2016, Editorial Board EJTIR. All rights reserved.</t>
  </si>
  <si>
    <t>2-s2.0-84949871229"</t>
  </si>
  <si>
    <t>10.1007/s11069-015-2035-9</t>
  </si>
  <si>
    <t>https://www.scopus.com/inward/record.uri?eid=2-s2.0-84954366580&amp;doi=10.1007%2fs11069-015-2035-9&amp;partnerID=40&amp;md5=705396d74921f73fa6dfab57df70c74b</t>
  </si>
  <si>
    <t>Coastal zones are often prone to several natural hazards, and where the coastal zone has high population density and infrastructural assets, these hazards can render severe loss to both life and properties. The present paper reports a comprehensive assessment of the multi-hazard and multi-risk (keeping in view the population and assets exposed to multi-hazards) in the Balasore coast, situated in the state of Odisha, India, facing the Bay of Bengal immediately to its east. In most of the multi-hazard and multi-risk assessments, the importance of any one hazard in relation to others is often determined arbitrarily. To overcome this limitation, this work presents a multi-criteria analysis implemented on six hazards, namely coastal erosion, storm surge, sea level rise, coastal flooding, tsunami, and earthquake. The respective hazards were ranked according to their relative weight computed by pair-wise comparison, and the overall multi-hazard map of the coast was prepared using weighted overlay technique in GIS environment. In order to assess the exposure, population density and urban assets of the study area were also mapped. Finally, the population and urban density data were overlain on the multi-hazard map in order to derive the final map portraying the multi-risk of the Balasore coast. Coastal erosion and storm surge inundation are the two most substantial natural hazards that regularly affect this coast. It is also observed that hazard from the perspective of coastal erosion is spatially concentrated along the central part of the coast, while in the southern part, the effect of storm surge is higher. The area in and around Chandipur, which is situated in the central portion of the Balasore coast, has been found to have the highest multi-risk, which also happens to be a popular tourist destination. © 2015, Springer Science+Business Media Dordrecht.</t>
  </si>
  <si>
    <t>2-s2.0-84954366580"</t>
  </si>
  <si>
    <t>10.3390/rs8040308</t>
  </si>
  <si>
    <t>https://www.scopus.com/inward/record.uri?eid=2-s2.0-84971656721&amp;doi=10.3390%2frs8040308&amp;partnerID=40&amp;md5=c88f7a7c11d231dd82b2f6ee250b62c2</t>
  </si>
  <si>
    <t>From leveling to SAR-based interferometry, the monitoring of land subsidence in coastal transitional environments significantly improved. However, the simultaneous assessment of the ground movements in these peculiar environments is still challenging. This is due to the presence of relatively small built-up zones and infrastructures, e.g., coastal infrastructures, bridges, and river embankments, within large natural or rural lands, e.g., river deltas, lagoons, and farmland. In this paper we present a multi-band SAR methodology to integrate COSMO-SkyMed and ALOS-PALSAR images. The method consists of a proper combination of the very high-resolution X-band Persistent Scatterer Interferometry (PSI), which achieves high-density and precise measurements on single structures and constructed areas, with L-band Short-Baseline SAR Interferometry (SBAS), properly implemented to raise its effectiveness in retrieving information in vegetated and wet zones. The combined methodology is applied on the Po River Delta and Venice coastland, Northern Italy, using 16 ALOS-PALSAR and 31 COSMO-SkyMed images covering the period between 2007 and 2011. After a proper calibration of the single PSI and SBAS solution using available GPS records, the datasets have been combined at both the regional and local scales. The measured displacements range from ~0 mm/yr down to -35 mm/yr. The results reveal the variable pattern of the subsidence characterizing the more natural and rural environments without losing the accuracy in quantifying the sinking of urban areas and infrastructures. Moreover, they allow improving the interpretation of the natural and anthropogenic processes responsible for the ongoing subsidence. © 2016 by the authors.</t>
  </si>
  <si>
    <t>2-s2.0-84971656721"</t>
  </si>
  <si>
    <t>10.1007/s11069-015-1975-4</t>
  </si>
  <si>
    <t>https://www.scopus.com/inward/record.uri?eid=2-s2.0-84952300035&amp;doi=10.1007%2fs11069-015-1975-4&amp;partnerID=40&amp;md5=9c0930c08653b80215de9b8c974c1a9a</t>
  </si>
  <si>
    <t>Tropical cyclone-induced storm surges cause damaging impacts in coastal regions. The present study uses a stochastic cyclone modelling approach to evaluate the likelihoods of storm tides, the combination of storm surges and astronomical tides, for Samoa. Cyclones that occurred in the vicinity of Samoa from 1969 to 2009 are used to build a stochastic tropical cyclone data set, and an analytic cyclone model and hydrodynamic model are used to model storm tides under average, La Niña and El Niño cyclone and sea level conditions for present climate conditions as well as cyclone and sea level conditions relevant for 2055, and storm tide return periods are estimated. We find that extreme storm tides exhibit relatively modest variation around the coastline of Samoa owing to the uniform width of the shelf surrounding the coastlines of two main islands of Savai’i and Upolu. The frequency of cyclones and hence storm tides during El Niño conditions is similar to the frequency for all seasons, but is considerably lower in La Niña conditions. For the future, tropical cyclones are assumed to undergo decreased frequency and increased intensity. This is found to lower the storm tide height for return periods &lt;100 years and increase it for return periods greater than about 200 years. Sea level rise is shown to have a larger influence on storm tides than future changes to tropical cyclones. Considering the aggregated probabilities of storm tides occurring at the national scale, we find that the likelihood of a storm tide occurring that locally exceeds a 1-in-100-year level (i.e. an event with a 1 % annual exceedance probability) has a 6 % probability of occurring somewhere along the entire coastline of Samoa. Such information may be useful for those involved in coastal management and disaster response for which there may be a need to consider the overall likelihood that a nation may have to respond to such a disaster. © 2015, Springer Science+Business Media Dordrecht.</t>
  </si>
  <si>
    <t>2-s2.0-84952300035"</t>
  </si>
  <si>
    <t>10.18268/bsgm2016v68n3a12</t>
  </si>
  <si>
    <t>https://www.scopus.com/inward/record.uri?eid=2-s2.0-85011016446&amp;doi=10.18268%2fbsgm2016v68n3a12&amp;partnerID=40&amp;md5=758969f536d63c9d53664c3f98062d02</t>
  </si>
  <si>
    <t>The rise in sea level may affect 50 [%] of the world population that lives on the seashores, including vast areas of the states of Tabasco and Campeche, Mexico. The objective of the study was to identify the vulnerability of the coast of Tabasco and Campeche to flooding by sea level rise, based on geomorphologic indicators. With a geopedological approach, geomorphological landscapes and reliefs were differentiated, and used as indicators of vulnerability on a coastal strip with an average width of 20 km. The indicators were classified from very low to very extreme vulnerability. Variables measured were landform, elevation, type of rock, geomorphologic process, and distance from the shore. Eight geomorphologic landscapes were found in a surface of 22322.3 km2. Plains constitute 67 [%] of the area and were created through a process of accumulation of recent unconsolidated sediments. The remaining area has landscapes of terraces and sets of hills where denudation and karstification processes prevail. The most vulnerable landscapes are the coastal plains, low plains of lagoon flooding, and marsh plains. Standing out for their greater exposure are the beach ridges, fluvial-marine plains, depression peats, salt plains, delta tide, coastal dunes, and slump of resurgences that cover 48 [%] of the coast. The most vulnerable zone includes various coastal cities that house 437836 habitants, as well as the ecological reserves Laguna de Terminos, Los Petenes and Pantanos de Centla.</t>
  </si>
  <si>
    <t>2-s2.0-85011016446"</t>
  </si>
  <si>
    <t>10.3390/rs8050393</t>
  </si>
  <si>
    <t>https://www.scopus.com/inward/record.uri?eid=2-s2.0-84971468376&amp;doi=10.3390%2frs8050393&amp;partnerID=40&amp;md5=d1faba8ccbb0d19ee238460354c6dba3</t>
  </si>
  <si>
    <t>The Louisiana coast is among the most productive coastal areas in the US and home to the largest coastal wetland area in the nation. However, Louisiana coastal wetlands have been disappearing at an alarming rate due to natural and anthropogenic processes, including sea level rise, land subsidence and infrastructure development. Wetland loss occurs mainly along the tidal zone, which varies in width and morphology along the Louisiana shoreline. In this study, we use Interferometric Synthetic Aperture Radar (InSAR) observations to detect the extent of the tidal inundation zone and evaluate the interaction between tidal currents and coastal wetlands. Our data consist of ALOS and Radarsat-1 observations acquired between 2006-2011 and 2003-2008, respectively. Interferometric processing of the data provides detailed maps of water level changes in the tidal zone, which are validated using sea level data from a tide gauge station. Our results indicate vertical tidal changes up to 30 cm and horizontal tidal flow limited to 5-15 km from open waters. The results also show that the tidal inundation is disrupted by various man-made structures, such as canals and roads, which change the natural tidal flow interaction with the coast. © 2016 by the authors.</t>
  </si>
  <si>
    <t>2-s2.0-84971468376"</t>
  </si>
  <si>
    <t>https://www.scopus.com/inward/record.uri?eid=2-s2.0-84962699828&amp;partnerID=40&amp;md5=67ffb3734a133e8640079d5767afb07c</t>
  </si>
  <si>
    <t>We developed an ultra-high resolution Digital Surface Model (DSM) of a 1.2 km ×1.2 km dry maar bottom located in Parangueo, Mexico. This maar is unique by the fact that it displays a large number and variety of structures associated with active deformation and high albedo sediments. We used a small Unmanned Aerial Vehicle (quadcopter) and a consumer grade camera to develop both a DSM and an orthophoto at a resolution of 4.7 cm through the use of Structure from Motion (SfM) algorithms from PhotoScan Pro, a commercially available software. Using the coordinates of 31 Ground Control Points measured with an RTK GPS, the residuals of the DSM had an RMSE=3.3 cm and a mean of 2.6 cm on the horizontal, with an RMSE=1.8 cm and a mean=-0.3 cm on the vertical. With this methodology we were able to construct a three dimensional model of unprecedented detail showing all structures (fractures, domes and escarpments) that have been created due to the active deformation of the dry bed lake. We conclude that the use of both UAVs and SfM provides accurate high resolution DSMs that can be obtained at a low cost, even in areas with highly reflective surfaces. Furthermore, this methodology can be applied on different dates to create a time series of high resolution DSMs, which can be used to determine subsidence or uplift rates in areas with active deformation.</t>
  </si>
  <si>
    <t>2-s2.0-84962699828"</t>
  </si>
  <si>
    <t>10.20341/gb.2016.009</t>
  </si>
  <si>
    <t>https://www.scopus.com/inward/record.uri?eid=2-s2.0-85012049350&amp;doi=10.20341%2fgb.2016.009&amp;partnerID=40&amp;md5=1326d8925188ef119bc6a990ce68cbdd</t>
  </si>
  <si>
    <t>Westphalian mudstones in the Hechtel-Hoef well, Campine Basin, Belgium, were examined for their hydrocarbon potential by means of Rock-Eval pyrolysis. These mudstones have an average TOC content of 3.6% and mean S2 and Hydrogen Index values of respectively 7.9 and 164.2 mg/g and contain a mixture of kerogen types II and III. This indicates that in contrast to the Westphalian coal seams, these successions are not predominantly gas-prone but could also generate higher molecular-weight hydrocarbons and condensates. Three different palaeoenvironments, i.e. non-marine flood plains (FP), freshwater palaeoenvironment (FW), euryhaline palaeoenvironment (E) were recognised in the Westphalian mudstones, each with different hydrocarbon potential. Flood plain environments show the highest TOC and S2 values. Mudstone intervals with high TOC content occur more frequently in Westphalian A and have in general higher S2 values. The higher abundance of kerogen type II-enriched organic matter in Westphalian A indicates a lower delta plain setting. It is shown that the palaeogeographic context can be used as a proxy for the hydrocarbon generation potential of mudstone deposits from the coastal plain or of lacustrine origin. © 2016, Geologica Belgica. All rights reserved.</t>
  </si>
  <si>
    <t>2-s2.0-85012049350"</t>
  </si>
  <si>
    <t>https://www.scopus.com/inward/record.uri?eid=2-s2.0-84978645345&amp;partnerID=40&amp;md5=75a7d9452eddfff092099fe7d2d11c03</t>
  </si>
  <si>
    <t>Climate change has always been one of the most detailed issues of the environment and will remain so in the coming decades. Among the impacts of the climate change are the global warming that will lead to increased temperature and Sea Level Rise. Rising sea level inundates low relief coastal areas, causes server damages including shorelines erosion, and increases the salinity of shallow bays. Mediterranean countries are principally exposed to sea level rise due to their long offshore lines. Kingdom of Saudi Arabia is one of the most vulnerable country with large coastal in the region. Sea Level Rise is one of the most perceptible changes induced by the global warming and climate change. Coastal areas and islands are always sensitive to the climatic changes variation especially in arid and semi-arid environments where temperature is the keystone element of sea level rising. Western coast of Kingdom of Saudi Arabia contains mountainous relief at the southern part and plain relief at the northern part considering city of Jeddah the midpoint. Northern coastal areas characterized by plain and low relief are considered to be extremely endangered in response to sea level rise. Potential Sea Level Rise hazards are numerous and involves both of human populations and natural resources. Results achieved during the current study expressed that the designated study area is extremely sensitive to sea level variations. © 2016, National Institute of Science Communication and Information Resources (NISCAIR). All rights reserved.</t>
  </si>
  <si>
    <t>2-s2.0-84978645345"</t>
  </si>
  <si>
    <t>10.1175/JCLI-D-15-0595.1</t>
  </si>
  <si>
    <t>https://www.scopus.com/inward/record.uri?eid=2-s2.0-84992377906&amp;doi=10.1175%2fJCLI-D-15-0595.1&amp;partnerID=40&amp;md5=3faaa87d1237dc6455bb65e6e29cc25d</t>
  </si>
  <si>
    <t>A short-term hot event with a very high sea surface temperature (SST = 30°C) occurred in the western Pacific warm pool during November 2006. The interactions between this ocean hot event, atmospheric convection, and large-scale dynamics are studied using satellite observations, buoy measurements, air-sea fluxes analysis, and global reanalysis. It is shown that SST variation and deep convection over the western Pacific behave like a remote response to the El Niño warm SST anomaly in the central Pacific that induces westward-moving atmospheric convection and equatorial waves. The large-scale subsidence associated with propagating convection not only promotes high SSTs in the western Pacific through establishing cloud-free conditions and increasing heat content in a thin ocean mixed layer, but also produces convective instability through capping substantial water vapor in the lower troposphere. Under the precondition of convective instability and the steering of tropical easterlies, some convective systems propagate coherently from the central to western Pacific and intensify. In particular, new cloud clusters are dynamically attracted to the warmest oceans with maximum atmospheric instability. The enhanced convective activity then transfers oceanic energy into the atmosphere, strengthens upper-ocean mixing, and returns the positive SST anomalies to more typical values. In such a coupled system, synoptic-scale convective activities at an interval of 5-8 days are selectively amplified and thus are filtered to an intraseasonal (20-30-day) oscillation, depending on the phase of the hot event over the western Pacific. The observed evidence has implications for the predictability of short-term climate, and it offers critical information for validating the coupled ocean-atmosphere dynamics in climate models. © 2016 American Meteorological Society.</t>
  </si>
  <si>
    <t>2-s2.0-84992377906"</t>
  </si>
  <si>
    <t>10.4102/JAMBA.V8I1.207</t>
  </si>
  <si>
    <t>https://www.scopus.com/inward/record.uri?eid=2-s2.0-85045465165&amp;doi=10.4102%2fJAMBA.V8I1.207&amp;partnerID=40&amp;md5=f03c376b467faceb06e519ac96970fbf</t>
  </si>
  <si>
    <t>An intense cut-off low weather system, more commonly known regionally as a ‘black southeaster', caused severe flooding in Port Alfred and the surrounding coastal areas from 17 to 23 October 2012. Unconfirmed reports of up to 700 mm of rainfall for the period were recorded. Damage caused by the flooding was estimated at R500 million. Eight deaths were recorded. The poorly maintained and ageing infrastructure and storm water systems could not withstand the floodwaters, and as a result, damage was worse than it should have been. Many houses, particularly in the surrounding townships and informal settlements, were destroyed. Disease threats arose, including cholera, diarrhoea and influenza. The South African Weather Service issued weather warnings of severe local flooding in the coastal areas of the Eastern Cape a few days before the flood event. Unfortunately, there was a delay in communicating the severe weather warning effectively to the public, relevant authorities and role-players by local disaster management officials. In addition, there was poor and ineffective local coordination of disaster response and relief efforts. This paper examines the 2012 flood event from both meteorological and disaster management perspectives, using a combined qualitative and quantitative research approach. Findings point to a critical lack of coordination amongst the various role-players before, during and after the disaster. Recommendations for improved proactive and coordinated disaster risk management and disaster risk reduction for the region are made. © 2016. The Authors. Licensee: AOSIS. This work is. All Rights Reserved.</t>
  </si>
  <si>
    <t>2-s2.0-85045465165"</t>
  </si>
  <si>
    <t>Indiana Journal of Global Legal Studies</t>
  </si>
  <si>
    <t>10.2979/indjglolegstu.23.2.0819</t>
  </si>
  <si>
    <t>https://www.scopus.com/inward/record.uri?eid=2-s2.0-85005980932&amp;doi=10.2979%2findjglolegstu.23.2.0819&amp;partnerID=40&amp;md5=cac08267d70d50dc8ef5399b23c69727</t>
  </si>
  <si>
    <t>This Note discusses the effects of climate change that threaten Small Island Developing States (SIDS). Specifically, with increasing global greenhouse gas (GHG) emissions resulting in rising sea levels and higher frequency of extreme weather events, many citizens of SIDS are forced abandon their homelands, which are no longer livable. Although SIDS are some of the smallest contributors to GHG emissions, and therefore contribute the least to climate change, SIDS are some of the countries most heavily affected by the negative effects of climate change. The global community has an obligation to accommodate these displaced people, partially due to the significant imbalance of power between larger, industrialized countries (that often emit higher levels of GHGs, but feel the adverse effects to a lesser degree) and smaller developing countries (such as SIDS, which disproportionately feel the negative effects of climate change). In addition to this power imbalance, the global community should protect citizens of SIDS as global citizens. As these small nations disappear, their citizens will be forced to rethink their local and national identities, but they will continue to be global citizens. However, a successful structure for remedying these losses will provide citizens of SIDS with the ability to relocate entire populations together, as autonomous nations. It is essential to classify these people as environmental refugees and create a system to relocate them that preserves as much of their autonomy and culture as possible. In addition to addressing the effects of past pollution, the international community must also focus on preventing further damage by limiting future GHG emissions. © Indiana University Maurer School of Law.</t>
  </si>
  <si>
    <t>2-s2.0-85005980932"</t>
  </si>
  <si>
    <t>Geologica Acta</t>
  </si>
  <si>
    <t>10.1344/GeologicaActa2016.14.2.6</t>
  </si>
  <si>
    <t>https://www.scopus.com/inward/record.uri?eid=2-s2.0-84978687308&amp;doi=10.1344%2fGeologicaActa2016.14.2.6&amp;partnerID=40&amp;md5=b72bc933020ec3ae35e0e07048624320</t>
  </si>
  <si>
    <t>This paper discusses possibilities to improve the Environmental Seismic Intensity Scale (ESI-07 scale), a scale based on the effects of earthquakes in the environment. This scale comprises twelve intensity degrees and considers primary and secondary effects, one of them the occurrence of tsunamis. Terminology and physical tsunami parameters corresponding to different intensity levels are often misleading and confusing. The present work proposes: i) a revised and updated catalogue of environmental and geological effects of tsunamis, gathering all the available information on Tsunami Environmental Effects (TEEs) produced by recent earthquake-tsunamis; ii) a specific intensity scale (TEE-16) for the effects of tsunamis in the natural environment at coastal areas. The proposed scale could be used in future tsunami events and, in historic and paleo-tsunami studies. The new TEE16 scale incorporates the size specific parameters already considered in the ESI-07 scale, such as wave height, run-up and inland extension of inundation, and a comprehensive and more accurate terminology that covers all the different intensity levels identifiable in the geological record (intensities VI-XII). The TEE-16 scale integrates the description and quantification of the potential sedimentary and erosional features (beach scours, transported boulders and classical tsunamites) derived from different tsunami events at diverse coastal environments (e.g. beaches, estuaries, rocky cliffs,). This new approach represents an innovative advance in relation to the tsunami descriptions provided by the ESI-07 scale, and allows the full application of the proposed scale in paleoseismological studies. The analysis of the revised and updated tsunami environmental damage suggests that local intensities recorded in coastal areas do not correlate well with the TEE-16 intensity (normally higher), but shows a good correlation with the earthquake magnitude (Mw). Tsunamis generated by earthquakes can then be considered efficient processes in the direct transference of the “energy” released by offshore seismogenic sources to the nearest coastal areas, even over distances of hundreds of kilometres (&gt;200km). This scale, as the previous ones, is independent of the earthquake type (i.e. style of faulting) and only focuses on the environmental effects triggered by tsunamis of seismic origin.</t>
  </si>
  <si>
    <t>10.3389/feart.2015.00085</t>
  </si>
  <si>
    <t>https://www.scopus.com/inward/record.uri?eid=2-s2.0-85020887811&amp;doi=10.3389%2ffeart.2015.00085&amp;partnerID=40&amp;md5=9644e7b8a3221c517777855e36fa1356</t>
  </si>
  <si>
    <t>Global flood hazard models have recently become a reality thanks to the release of open access global digital elevation models, the development of simplified and highly efficient flow algorithms, and the steady increase in computational power. In this commentary we argue that although the availability of open access global terrain data has been critical in enabling the development of such models, the relatively poor resolution and precision of these data now limit significantly our ability to estimate flood inundation and risk for the majority of the planet’s surface. The difficulty of deriving an accurate “bare-earth” terrain model due to the interaction of vegetation and urban structures with the satellite-based remote sensors means that global terrain data are often poorest in the areas where people, property (and thus vulnerability) are most concentrated. Furthermore, the current generation of open access global terrain models are over a decade old and many large floodplains, particularly those in developing countries, have undergone significant change in this time. There is therefore a pressing need for a newgeneration of high resolution and high vertical precision open access global digital elevation models to allow significantly improved global flood hazard models to be developed. © 2016 Sampson, Smith, Bates, Neal and Trigg.</t>
  </si>
  <si>
    <t>2-s2.0-85020887811"</t>
  </si>
  <si>
    <t>10.1111/1365-2664.12533</t>
  </si>
  <si>
    <t>https://www.scopus.com/inward/record.uri?eid=2-s2.0-84953838152&amp;doi=10.1111%2f1365-2664.12533&amp;partnerID=40&amp;md5=0d26da665fac316db582fce14b6e626d</t>
  </si>
  <si>
    <t>Artificial structures are sprawling in marine seascapes as a result of burgeoning coastal populations, increasing development and energy demand, and greater risks from climate change, storm surges and sea level rise. Interest in designing marine developments that maintain vital ecosystems and critical services is growing, but progress requires understanding the factors that influence the ecological performance of these novel artificial habitats. We combined field observations and experiments along 500 km of the North Adriatic coastline to analyse the performance of artificial substrata as habitats to support canopy-forming algae belonging to the genus Cystoseira, among the most ecologically relevant foundation species along rocky Mediterranean coastlines. We aimed to: clarify the underlying factors controlling the growth of Cystoseira in the artificial habitat</t>
  </si>
  <si>
    <t>10.3390/rs8020100</t>
  </si>
  <si>
    <t>https://www.scopus.com/inward/record.uri?eid=2-s2.0-84962513186&amp;doi=10.3390%2frs8020100&amp;partnerID=40&amp;md5=3ce7de742f485020d8d4430d02dc98d1</t>
  </si>
  <si>
    <t>Magnetite is a type of iron ore and a valuable commodity that occurs naturally in black sand beaches in the Philippines. However, black sand mining often takes place illegally and increases the likelihood and magnitude of geohazards, such as land subsidence, which augments the exposure of local communities to sea level rise and to typhoon-related threats. Detection of black sand mining activities traditionally relies on word of mouth, while measurement of their environmental effects requires on-the-ground geological surveys, which are precise, but costly and limited in scope. Here we show that systematic analysis of remote sensing data provides an objective, reliable, safe, and cost-effective way to monitor black sand mining activities and their impacts. First, we show that optical satellite data can be used to identify legal and illegal mining sites and characterize the direct effect of mining on the landscape. Second, we demonstrate that Interferometric Synthetic Aperture Radar (InSAR) can be used to evaluate the environmental impacts of black sand mining despite the small spatial extent of the activities. We detected a total of twenty black sand mining sites on Luzon Island and InSAR ALOS data reveal that out of the thirteen sites with coherence, nine experienced land subsidence at rates ranging from 1.5 to 5.7 cm/year during 2007-2011. The mean ground velocity map also highlights that the spatial extent of the subsiding areas is 10 to 100 times larger than the mining sites, likely associated with groundwater use or sediment redistribution. As a result of this subsidence, several coastal areas will be lowered to sea level elevation in a few decades and exposed to permanent flooding. This work demonstrates that remote sensing data are critical in monitoring the development of such activities and their environmental and societal impacts. © 2016 by the authors.</t>
  </si>
  <si>
    <t>2-s2.0-84962513186"</t>
  </si>
  <si>
    <t>Journal of Human Rights and the Environment</t>
  </si>
  <si>
    <t>10.4337/jhre.2016.01.02</t>
  </si>
  <si>
    <t>https://www.scopus.com/inward/record.uri?eid=2-s2.0-85019755412&amp;doi=10.4337%2fjhre.2016.01.02&amp;partnerID=40&amp;md5=b544eba8df69f320959670b06f9dcbf5</t>
  </si>
  <si>
    <t>Low-lying small island developing states are threatened by inundation from rising sea levels caused by anthropogenic global warming. Islanders face the prospect of forcible relocation without protection under international law and with few resources for resettlement. They are entitled to compensation for climate-related loss and damage in the interests of climate justice. The present article discusses the history of proposals for an international compensation mechanism under the UN Framework Convention on Climate Change led by the Alliance of Small Island States. These calls led to the establishment of the Warsaw International Mechanism for Loss and Damage Associated with Climate Change Impacts in 2013. Several proposals have been put forward about how a mechanism should operate and achieve its objectives. I argue that climate justice will be promoted through compensation for loss and damage. An international compensation fund offers a relatively simple and ethically satisfactory way of acknowledging the physical loss and psychological damage resulting from climate change and from the extensive violation of islanders’ human rights. © 2016 The Author. and 2016 Edward Elgar Publishing Ltd.</t>
  </si>
  <si>
    <t>2-s2.0-85019755412"</t>
  </si>
  <si>
    <t>10.12854/erde-147-9</t>
  </si>
  <si>
    <t>https://www.scopus.com/inward/record.uri?eid=2-s2.0-84977074280&amp;doi=10.12854%2ferde-147-9&amp;partnerID=40&amp;md5=01b1e7fcf121483b4a832abb5d2a081f</t>
  </si>
  <si>
    <t>Coastal regions worldwide have been focal points for migration as well as affected by environmental changes for a long time. In the debate on climate change and migration coastal regions are among the ""hot spot"" areas that are supposed to be prone to ""climate migration"" in the near future. The paper analyses the situation in two different regional settings and advocates for a sound regional perspective on the relationship of environmental change and migration. Based on the conceptual framework of migrant trajectories, the paper shows how populations in Keta (Ghana) and Semarang (Indonesia), affected by similar environmental changes such as flooding and erosion, react quite differently in terms of migration and mobility. The regional perspective as well as each region's past experiences with migration and environmental changes shows to be crucial in order to understand current reactions to environmental degradation. The Keta setting represents a typology that pronounces migration trajectories as part of long-standing interregional and international migration, the Semarang setting, however, may be classified as a rather typical modernization-induced migration scheme, linked to rapidly growing urbanisation, with ""trapped populations"" on the one hand and in-migration of migrant workers on the other hand.</t>
  </si>
  <si>
    <t>2-s2.0-84977074280"</t>
  </si>
  <si>
    <t>10.1016/j.geomorph.2015.08.018</t>
  </si>
  <si>
    <t>https://www.scopus.com/inward/record.uri?eid=2-s2.0-84947036127&amp;doi=10.1016%2fj.geomorph.2015.08.018&amp;partnerID=40&amp;md5=baa992a8c04baed2874443251eac499b</t>
  </si>
  <si>
    <t>The Atchafalaya River in south-central Louisiana is of geomorphic interest because of the large volumes of flow and sediment transported and its role as a major floodway for the lower Mississippi River, notwithstanding its potential to become an avulsion pathway at Old River. Since its origin in the sixteenth century, it has undergone many transformations and currently receives flow from the Red River and partial flow of the Mississippi River through multiple pathways. Flow increased progressively beginning in the mid-1800s and continued until concerns of diversion spurred placement of engineering structures to regulate flows at the juncture between the Mississippi and Atchafalaya rivers in 1963. Prior studies, that looked at reaches or six to seven rangelines or cross sections on hydrographic surveys document areal, width, and depth increases in the uppermost 80 km (50 mi) of the Atchafalaya River from 1880 to 1974. This study assesses how channel geometry of the Atchafalaya River has changed with flow variations since the 1880s by evaluating instantaneous discharge measurements that document change at superior temporal resolution and differences in thalweg values from coupled modern hydrographic surveys which document change at better spatial resolution than prior works. While structures have regulated and limited flow into the Atchafalaya since 1963, the highest values of discharge, cross-sectional area, and width at Simmesport (upstream) follow river regulation. Associated geometry data at Simmesport and Morgan City (downstream) document that mean bed and thalweg elevations have risen. Comparison of thalweg elevations on hydrographic surveys from 1963 and 2006 show pronounced local variability in bed elevation change but also reaches dominated by degradation (including the Red River and uppermost section of the Atchafalaya) near the Old River diversion. Aggradation occurs in the lower Atchafalaya, a zone where along-channel lakes are filling, flow and sediment quantities are changing in part caused by the constructed Wax Lake Outlet, and deltas have been growing in Atchafalaya Bay. Findings are relevant to river engineering and flood management, especially navigation, and help in better understanding the evolution of large distributaries and the role of human impacts. © 2015 Elsevier B.V.</t>
  </si>
  <si>
    <t>2-s2.0-84947036127"</t>
  </si>
  <si>
    <t>Gulf of Mexico Science</t>
  </si>
  <si>
    <t>https://www.scopus.com/inward/record.uri?eid=2-s2.0-85018370097&amp;partnerID=40&amp;md5=515d73e241665b5a3e5659cef04a55f9</t>
  </si>
  <si>
    <t>In southwest Florida, changes in hydrology have fundamentally changed the timing and amount of freshwater delivered to the estuarine ecosystem. Biological indicators such as oyster and submerged aquatic vegetation distribution and abundance have been used to establish minimum and maximum discharges to the estuary. These indicators are robust long-Term indicators for comparing interannual and climatological changes</t>
  </si>
  <si>
    <t>10.1080/00167223.2015.1121403</t>
  </si>
  <si>
    <t>https://www.scopus.com/inward/record.uri?eid=2-s2.0-84954429105&amp;doi=10.1080%2f00167223.2015.1121403&amp;partnerID=40&amp;md5=5f726d2e06bf6abab257a52fa0f5e9b1</t>
  </si>
  <si>
    <t>Assessing coastal vulnerability to sea level rise (SLR) at local and regional scales is a fundamental step for designing successful long-term coastal management plans. This study was thus designed to assess Kuwait coastal vulnerability to SLR at four scenarios (.5, 1, 1.5 and 2 m). Potential inundated areas and the number of people at risk were estimated based on these SLR scenarios. A coastal vulnerability index (CVI) map of Kuwait was then computed based on the lowest scenario using eight parameters: elevation, coastal slope, geomorphology, distance to 20-m isobath, population, land use, cultural heritage and transportation. The geographic distribution of inundated areas at an SLR of.5 m revealed that the northern islands of Kuwait and coastal areas along Kuwait Bay would be highly impacted, whereas the coastal area near Shuaibah Port was the most influenced among the southern coasts. Most of the coastal area exhibited a moderate vulnerability to SLR, especially the northern islands. This study presented an initial vulnerability assessment for Kuwait coasts to SLR, which can be extended with more variables. The integrated remote sensing and geographic information system methodology demonstrated in this study can be applied in similar studies elsewhere. © 2016 The Royal Danish Geographical Society.</t>
  </si>
  <si>
    <t>2-s2.0-84954429105"</t>
  </si>
  <si>
    <t>10.1007/698_2015_419</t>
  </si>
  <si>
    <t>https://www.scopus.com/inward/record.uri?eid=2-s2.0-84990848170&amp;doi=10.1007%2f698_2015_419&amp;partnerID=40&amp;md5=78ad132f91336e87d3aa7121efec1ca5</t>
  </si>
  <si>
    <t>Environmental risks in production and transportation of hydrocarbons in the Caspian–Black Sea Region are discussed. Natural factors include storms, ice conditions in the Northern Caspian, sea level change, surges, extreme waves, flooding of the coastal zone, earthquakes, etc. Anthropogenic factors include accidents with tankers and oil/gas platforms at sea, damages of offshore pipelines (corrosion), violations of the rules and regulations of works in the construction and repair, violation of technical specifications in the manufacture of pipes and equipment, erroneous actions of operational and maintenance personnel, criminal punches, terrorism, sabotage, etc. The laying of pipelines leads to deforestation and degradation of agricultural lands, historical sites and monuments, nature reserves, and protected areas. Oil leaks in case of damage and improper use of pipelines cause pollution of drinking water sources, lands, and residential areas</t>
  </si>
  <si>
    <t>10.1175/MWR-D-15-0452.1</t>
  </si>
  <si>
    <t>https://www.scopus.com/inward/record.uri?eid=2-s2.0-84986281502&amp;doi=10.1175%2fMWR-D-15-0452.1&amp;partnerID=40&amp;md5=b91ac1c12620a9e7ad98e5aca35f23a3</t>
  </si>
  <si>
    <t>Cold wakes left behind by tropical cyclones (TCs) have been documented since the 1940s. Many questions remain, however, regarding the details of the processes creating these cold wakes and their in-storm feedbacks onto tropical cyclone intensity. This largely reflects a paucity of measurements within the ocean, especially during storms. Moreover, the bulk of TC research efforts have investigated deep ocean processes-where tropical cyclones spend the vast majority of their lifetimes-and very little attention has been paid to coastal ocean processes despite their critical importance to shoreline populations. Using Hurricane Irene (2011) as a case study, the impact of the cooling of a stratified coastal ocean on storm intensity, size, and structure is quantified. Significant ahead-of-eye-center cooling (at least 6°C) of the Mid-Atlantic Bight occurred as a result of coastal baroclinic processes, and operational satellite SST products and existing coupled ocean-atmosphere hurricane models did not capture this cooling. Irene's sensitivity to the cooling is tested, and its intensity is found to be most sensitive to the cooling over all other tested WRF parameters. Further, including the cooling in atmospheric modeling mitigated the high storm intensity bias in predictions. Finally, it is shown that this cooling-not track, wind shear, or dry air intrusion-was the key missing contribution in modeling Irene's rapid decay prior to New Jersey landfall. Rapid and significant intensity changes just before landfall can have substantial implications on storm impacts-wind damage, storm surge, and inland flooding-and thus, coastal ocean processes must be resolved in future hurricane models. © 2016 American Meteorological Society.</t>
  </si>
  <si>
    <t>2-s2.0-84986281502"</t>
  </si>
  <si>
    <t>10.1007/s10652-015-9421-4</t>
  </si>
  <si>
    <t>https://www.scopus.com/inward/record.uri?eid=2-s2.0-84954391431&amp;doi=10.1007%2fs10652-015-9421-4&amp;partnerID=40&amp;md5=9948c6e019061caab8f6adc29713705d</t>
  </si>
  <si>
    <t>A three-dimensional hydrodynamic model was applied to the Danshuei River estuarine system in northern Taiwan to investigate the influence of flood-ebb, spring-neap tidal cycles, and salinity distribution on tidal mixing, residual circulation, stratification, and tidal asymmetry. The model was validated using observational data collected in 2008. The results from the model agreed well with observations of water surface elevation, tidal currents, and salinity. It was found that the depth-averaged tidal current during flood tide is weaker with a shorter duration than that during ebb tide in the estuary, which was attributed to tidal asymmetry. Vertical profiles of salinity, flow, eddy diffusivity, and Richardson number also showed a marked asymmetry between flood and ebb tides. Bottom boundary stresses were higher during flood tides than during ebb tides, resulting in more mixing occurrence and consequently decreasing the Richardson numbers. The tidally averaged salinity was more stratified during neap tides than during spring tides because the presence of the stronger vertical diffusivity and turbulent kinetic energy during spring tides. The modeling results also confirmed that the residual circulation was stronger during neap tides than during spring tides. © 2015, Springer Science+Business Media Dordrecht.</t>
  </si>
  <si>
    <t>2-s2.0-84954391431"</t>
  </si>
  <si>
    <t>10.4408/IJEGE.2016-01.O-03</t>
  </si>
  <si>
    <t>https://www.scopus.com/inward/record.uri?eid=2-s2.0-85011309747&amp;doi=10.4408%2fIJEGE.2016-01.O-03&amp;partnerID=40&amp;md5=6d4621be018d753f06cfaf29f9594394</t>
  </si>
  <si>
    <t>Sea-level rise (SLR) is often associated with climate change and human action in modifying nature and the environment. The research presented in this paper concerns the effects and impacts of different SLR hypotheses in Italy, along the Rome coastal area, in the Ostia district. The study was carried out at the local level, using micro-spatial data, in the context of the European Union’s Seventh Framework Programme (FP7) project SECOA – Solutions for Environmental Contrasts in Coastal Areas; its aim is to offer local policy makers a tool to support and facilitate their decision-making processes. Effects and impacts are analysed and presented for two alternative SLR scenarios. The first one follows the hypotheses made by the Intergovernmental Panel on Climate Change (IPCC), the second one those made by Rahmstorf, in 2007. The two scenarios consider a SLR of 0.2-0.6 m and 1.00-1.40 m, respectively, by the year 2100. The coastal surface area flooded in the IPCC scenario equates to ca. 876 m2, while the flooding in the Rahmstorf scenario totalled ca. 690,322 m2. Damages in terms of loss of land with different uses, loss of dwellings, loss of jobs, need for a relocation of resident population are the most severe estimated impacts of that extreme event of the Rahmstorf scenario.</t>
  </si>
  <si>
    <t>https://www.scopus.com/inward/record.uri?eid=2-s2.0-84991728510&amp;partnerID=40&amp;md5=360d389428a0e33014e3cb39ff48deae</t>
  </si>
  <si>
    <t>Sampling was fortnightly for 12 months in 5 stations. Stations 1-3 were near-shore while stations 4 and 5 were in the estuary. Dry season sampling was from October to March while wet season sampling was from April to September. The work focused on the bacterial aspect of water quality. The highest total coliform count (1900/100 mL) was recorded during the wet season in July at station 3. The lowest count (163/100 mL) was recorded at station 2 during the dry season in November. Almost the same scenario was observed for fecal coliform. The highest count of fecal coliform was recorded during the wet season in July also at station 3 during flood tide. The lowest count was recorded during the dry season in February also at station 2. The lowest 95th percentile value of intestinal Enterococci (14/100 mL) recorded at station 2 was during the dry season in November. On the other hand, the highest 95th percentile value of intestinal Enterococci of 190/100 mL was recorded at station 3 during the month of July which is the peak of the wet season. All the microbial water quality parameters had negative t-test values indicating that the wet season samples had higher counts of total coliform, fecal coliform and intestinal Enterococci than the dry season samples and concluding that there was significant difference in microbial water quality between the dry and wet seasons. © 2016 - Kalpana Corporation.</t>
  </si>
  <si>
    <t>2-s2.0-84991728510"</t>
  </si>
  <si>
    <t>Atmosphere - Ocean</t>
  </si>
  <si>
    <t>10.1080/07055900.2015.1108899</t>
  </si>
  <si>
    <t>https://www.scopus.com/inward/record.uri?eid=2-s2.0-84959076910&amp;doi=10.1080%2f07055900.2015.1108899&amp;partnerID=40&amp;md5=90c7a6d3602bc2c961fce584cfab8dea</t>
  </si>
  <si>
    <t>The Strait of Georgia is a large, semi-enclosed body of water between Vancouver Island and the mainland of British Columbia connected to the Pacific Ocean via Juan de Fuca Strait at the south and Johnstone Strait at the north. During the winter months, coastal communities along the Strait of Georgia are at risk of flooding caused by storm surges, a natural hazard that can occur when a strong storm coincides with high tide. This investigation produces storm surge hindcasts using a three-dimensional numerical ocean model for the Strait of Georgia and the surrounding bodies of water (Juan de Fuca Strait, Puget Sound, and Johnstone Strait) collectively known as the Salish Sea. The numerical model employs the Nucleus for European Modelling of the Ocean architecture in a regional configuration. The model is evaluated through comparisons of tidal elevation harmonics and storm surge with observations. Important forcing factors contributing to storm surges are assessed. It is shown that surges entering the domain from the Pacific Ocean make the most significant contribution to surge amplitude within the Strait of Georgia. Comparisons between simulations and high-resolution and low-resolution atmospheric forcing further emphasize that remote forcing is the dominant factor in surge amplitudes in this region. In addition, local wind patterns caused a slight increase in surge amplitude on the mainland side of the Strait of Georgia compared with Vancouver Island coastal areas during a major wind storm on 15 December 2006. Generally, surge amplitudes are found to be greater within the Strait of Georgia than in Juan de Fuca Strait. © 2015 Taylor and Francis.</t>
  </si>
  <si>
    <t>2-s2.0-84959076910"</t>
  </si>
  <si>
    <t>Meteorologische Zeitschrift</t>
  </si>
  <si>
    <t>10.1127/metz/2016/0703</t>
  </si>
  <si>
    <t>https://www.scopus.com/inward/record.uri?eid=2-s2.0-84988864394&amp;doi=10.1127%2fmetz%2f2016%2f0703&amp;partnerID=40&amp;md5=40ce86f3f5e4e71132bc158a93687754</t>
  </si>
  <si>
    <t>Tides influence both the formation and development of sea breezes. The aim of this study is to investigate the tidal influence to decide which model complexity is needed to reproduce the main influence of tides in a numerical model of coastal meteorology. Two processes are considered: (a) the influence of tides on sea breezes through the effect of tidal currents on the surface wind and (b) the thermal influence through the flooding and drying of mudflats in the intertidal area. The processes are considered separately by representing the ocean in the non-hydrostatic mesoscale atmosphere model METRAS with different complexity, ranging from a homogeneous stationary surface to a shallow-water model coupled to METRAS with a two-way exchange of momentum. The model system is applied in a case study to the German Bight, where large mudflats exist at low tide. The results show that the main influence of tides originates from a change in the mudflat heat budget through flooding and drying. The influence of tidal currents on the surface wind is small. Therefore, we conclude that no coupled atmosphere-ocean model is needed to reproduce the main influence of tides on sea breezes in a numerical model. Instead, we suggest to use an atmosphere model which simulates the change of surface cover in the intertidal area and includes a realistic spatial sea surface temperature distribution. For this it is essential to simulate the change in surface cover with the correct timing because the results show that the atmosphere reacts very sensitively to that change. © 2016 The authors.</t>
  </si>
  <si>
    <t>2-s2.0-84988864394"</t>
  </si>
  <si>
    <t>10.1080/02626667.2015.1027206</t>
  </si>
  <si>
    <t>https://www.scopus.com/inward/record.uri?eid=2-s2.0-84958843490&amp;doi=10.1080%2f02626667.2015.1027206&amp;partnerID=40&amp;md5=0714be359879fd6bb84f96f8dedde16a</t>
  </si>
  <si>
    <t>In this paper we develop a coupled analytical model for salinity and tidal propagation in estuaries where the cross-sectional area varies exponentially. A simple analytical model for tidal dynamics has been used to estimate the tidal excursion, which has an important influence on the salt intrusion process since it determines the extreme salinities (i.e. salinity distribution for high water slack and low water slack). The objective of the coupling is to reduce the number of calibration parameters, which subsequently strengthens the reliability of the salt intrusion model. Moreover, the coupling enables us to assess the potential impacts of external changes, both human-induced interventions (e.g. dredging) and natural changes (e.g. global sea level rise), on the salt intrusion process. In addition, the fully analytical solution for hydrodynamics allows immediate estimation of the tidally averaged depth and friction coefficient for given water level recordings and salinity measurements. This is particularly useful when a geometric survey is not available. The coupled model has been applied to six previously unsurveyed estuaries in Malaysia and the results show that the correspondence between analytical estimations and observations is very good. Thus, the coupled model proves to be a useful tool to obtain estimates of salt intrusion in estuaries based on a minimum amount of information required and for assessing the effect of human-induced or natural changes. EDITOR D. Koutsoyiannis ASSOCIATE EDITOR B. Dewals © 2015 IAHS.</t>
  </si>
  <si>
    <t>2-s2.0-84958843490"</t>
  </si>
  <si>
    <t>10.1007/s12303-015-0020-7</t>
  </si>
  <si>
    <t>https://www.scopus.com/inward/record.uri?eid=2-s2.0-84930329956&amp;doi=10.1007%2fs12303-015-0020-7&amp;partnerID=40&amp;md5=727aa1b8d3b962a1e7911ba62fc1ebff</t>
  </si>
  <si>
    <t>This study compares two Digital Elevation Models (DEMs) that are available free of charge: (1) the Consultative Group for International Agriculture Research Consortium for Spatial Information SRTM C-band CGIAR-CSI v4.1 (SRTM): 3 arc sec (approximately 92 m at the equator; originally 1 arc sec but only distributed with 3 arc sec) and (2) the Advanced Spaceborne Thermal Emission and Reflection Radiometer-Global Digital Elevation Model ASTER GDEM v2 (ASTER2): 1 arc sec (approximately 31 m at the equator). Additionally, the DEM was modified according to known topographic features in the study area. The first step was investigating whether there is a spatial shift between the different DEMs by using a very high resolution (VHR) satellite GeoEye image. Beside visual comparisons, statistical methods were applied to compare the elevation models. Reference data used in this study are the Ground Control Points (GCPs) collected in a previous investigation in the same study area. SRTM proved to be the better of two available free elevation models (SRTM and ASTER2). This conclusion is based on an assessment of the different investigated aspects such as morphologic details, reliability, completeness, and accuracy. The ability to modify the SRTM model with 92 m horizontal resolution from the Shuttle Radar Topography Mission is here discussed. The study area is located in Titas Upazila, Comilla district, Bangladesh and comprises manmade topographic features (e.g., road embankments and mounds that houses are built on above the monsoon flooding level), which are not or not completely represented in the DEM due to their small spatial extent. To represent these topographic features, the DEM was refined by dividing each pixel into 0.5 m pixel spacings. The elevated areas (roads and villages) were digitized using GeoEye satellite imagery and Google Earth. The pixels located in the elevated areas were given the proper elevation and rejoined to the original DEM raster. The effect of trees can be excluded because of their scarcity in the studied area, and because their existence is limited just to both sides of the artificially elevated streets and areas where people live. Furthermore, the bias in the SRTM model is eliminated by two steps: (1) the mean (value) of the differences between the GCPs and the corresponding points of the SRTM is subtracted from SRTM points, and then the root mean square error (RMSE) is diminished to 0.67 m; (2) the same mean (value) of the differences is subtracted from the whole SRTM model. The finally modified DEM represents the real terrain surface with the most important details of the study area. This modified elevation model may be used in studies to model groundwater flow driven by topography.</t>
  </si>
  <si>
    <t>10.1002/2016GL068998</t>
  </si>
  <si>
    <t>https://www.scopus.com/inward/record.uri?eid=2-s2.0-84977545091&amp;doi=10.1002%2f2016GL068998&amp;partnerID=40&amp;md5=a90c48c2c6f729c496047868e411ac04</t>
  </si>
  <si>
    <t>West Antarctic ice shelves have thinned dramatically over recent decades. Oceanographic measurements that explore connections between offshore warming and transport across a continental shelf with variable bathymetry toward ice shelves are needed to constrain future changes in melt rates. Six years of seal-acquired observations provide extensive hydrographic coverage in the Bellingshausen Sea, where ship-based measurements are scarce. Warm but modified Circumpolar Deep Water floods the shelf and establishes a cyclonic circulation within the Belgica Trough with flow extending toward the coast along the eastern boundaries and returning to the shelf break along western boundaries. These boundary currents are the primary water mass pathways that carry heat toward the coast and advect ice shelf meltwater offshore. The modified Circumpolar Deep Water and meltwater mixtures shoal and thin as they approach the continental slope before flowing westward at the shelf break, suggesting the presence of the Antarctic Slope Current. Constraining meltwater pathways is a key step in monitoring the stability of the West Antarctic Ice Sheet. ©2016. American Geophysical Union. All Rights Reserved.</t>
  </si>
  <si>
    <t>2-s2.0-84977545091"</t>
  </si>
  <si>
    <t>10.5194/nhess-16-181-2016</t>
  </si>
  <si>
    <t>https://www.scopus.com/inward/record.uri?eid=2-s2.0-84957309480&amp;doi=10.5194%2fnhess-16-181-2016&amp;partnerID=40&amp;md5=c30f77a86af870f8054a5ed19954040c</t>
  </si>
  <si>
    <t>This paper aims at presenting and comparing two methodologies adopted by the Emilia-Romagna region, northern Italy, to evaluate coastal vulnerability and to produce hazard and risk maps for coastal floods, in the framework of the EU Floods Directive. The first approach was adopted before the directive had been issued. Three scenarios of damage were designed (1-, 10-, 100-year return periods), produced by the concurrent occurrence of a storm, high surge levels and high-water spring tidal levels. Wave heights were used to calculate run-up values along 187 equally spaced profiles, and these were added to the tidal and atmospheric water level contributions. The result is a list of 10 vulnerability typologies. To satisfy the requirements of the directive, the Geological, Seismic and Soil Service (SGSS) recently implemented a different methodology that considers three scenarios (10-, 100-and &amp;gt</t>
  </si>
  <si>
    <t>10.1007/698_2016_462</t>
  </si>
  <si>
    <t>https://www.scopus.com/inward/record.uri?eid=2-s2.0-84990869247&amp;doi=10.1007%2f698_2016_462&amp;partnerID=40&amp;md5=9075464d800a1905dee51e99ca9604c4</t>
  </si>
  <si>
    <t>Existing and planned oil and gas pipelines cross or should cross the Caspian and Black Seas, the Caucasus, Mountains in Turkey and Iran, the Karakum Desert, and numerous rivers. Analysis of natural factors causing emergency situations becomes the key issue in assessment of environmental risks. In the Caspian Sea, such natural factors include storms, ice conditions in the Northern Caspian, sea level change, surges, extreme waves, coastal zone flooding, and hazardous geological and geomorphological conditions, such as earthquakes, gas saturated zones, etc. In the Black Sea, these are big depths, hydrosulfide layer deeper than 100 m, unstable sediments on the continental slope and earthquakes. Mountains in Azerbaijan, Georgia, Turkey, Iran, Turkmenistan, and Russia represent natural barriers for construction and exploitation of pipelines. This chapter briefly reviews main geographic characteristics in the Black-Caspian Seas Region which impede construction of land and offshore oil and gas pipelines. © Springer International Publishing Switzerland 2015.</t>
  </si>
  <si>
    <t>2-s2.0-84990869247"</t>
  </si>
  <si>
    <t>10.14505/jemt.v7.2(14).19</t>
  </si>
  <si>
    <t>https://www.scopus.com/inward/record.uri?eid=2-s2.0-84978524795&amp;doi=10.14505%2fjemt.v7.2%2814%29.19&amp;partnerID=40&amp;md5=a41534ae0976fa8af1bdaf2ca573e8be</t>
  </si>
  <si>
    <t>Coastal zones are densely populated than the hinterland and exhibit higher rates of population growth and urbanization. As this trend is expected to continue into the future in the case of Oman as well since more population is living the along coast. On the other hand, this population has likely exposure to coastal hazards including sea-level rise and associated storm surge flooding effects. This study investigated extent of inundation to sea level rise and built up areas exposure to possible storm surge flooding cross governorates at different scenarios. Use of remote sensing data and GIS applications employed for the assessments. Results show that the coastal area of the Governorates of Al- Wusta and South Al Sharquiya will be highly exposed to the most likely tropical cyclones since these areas are characterized by a flat topography. Further, the results of assessment show that Oman is highly vulnerable to climate change-induced sea level rise (SLR). At the national scale, nearly 400 square kilometer of total land area is projected to be inundated under the smallest SLR scenario. Overall, the assessment results highlight that Oman is vulnerable to coastal flooding and SLR therefore policies and adaptive planning for building resilient coastal communities are essential for the future. © 2010 – 2017.</t>
  </si>
  <si>
    <t>2-s2.0-84978524795"</t>
  </si>
  <si>
    <t>10.1007/s00382-015-2578-1</t>
  </si>
  <si>
    <t>https://www.scopus.com/inward/record.uri?eid=2-s2.0-84955625336&amp;doi=10.1007%2fs00382-015-2578-1&amp;partnerID=40&amp;md5=f6890702255e2a610f5fdb51dccf3239</t>
  </si>
  <si>
    <t>An adapted statistical bias correction method is introduced to incorporate circulation-dependence of the model precipitation bias, and its influence on estimated discharges for the Rhine basin is analyzed for a historical period. The bias correction method is tailored to time scales relevant to flooding events in the basin. Large-scale circulation patterns (CPs) are obtained through Maximum Covariance Analysis using reanalysis sea level pressure and high-resolution precipitation observations. A bias correction using these CPs is applied to winter and summer separately, acknowledging the seasonal variability of the circulation regimes in North Europe and their correlation with regional precipitation rates over the Rhine basin. Two different climate model ensemble outputs are explored: ESSENCE and CMIP5. The results of the CP-method are then compared to observations and uncorrected model outputs. Results from a simple bias correction based on a delta factor (NoCP-method) are also used for comparison. For both summer and winter, the CP-method offers a statistically significant improvement of precipitation statistics for subsets of data dominated by particular circulation regimes, demonstrating the circulation-dependence of the precipitation bias. Uncorrected, CP and NoCP corrected model outputs were used as forcing to a hydrological model to simulate river discharges. The CP-method leads to a larger improvement in simulated discharge in the Alpine area in winter than in summer due to a stronger dependence of Rhine precipitation on atmospheric circulation in winter. However, the NoCP-method, in comparison to the CP-method, improves the discharge estimations over the entire Rhine basin. © 2015, The Author(s).</t>
  </si>
  <si>
    <t>2-s2.0-84955625336"</t>
  </si>
  <si>
    <t>10.1007/s12601-015-0062-9</t>
  </si>
  <si>
    <t>https://www.scopus.com/inward/record.uri?eid=2-s2.0-84953257579&amp;doi=10.1007%2fs12601-015-0062-9&amp;partnerID=40&amp;md5=22e64aca83e85db3cd413c3e7c99ef0d</t>
  </si>
  <si>
    <t>The Yellow and East China Seas are characterized by shallow shelf seas, seasonal monsoons and typhoons, especially the Korean Peninsula’s western coastal area, which features large tides, a complex coastline and many islands. This study implemented an integrally coupled tide-surge-wave model based on an unstructured grid to evaluate the impact of Typhoon Sarah, which occurred in September of 1959, on the Yellow and East China Seas and, specifically, the southern coast of Korea in terms of waves and storm surges. The model results projected a significant wave height of 2–7 m, a mean wave period of 4–14 sec, and positive surge heights that were 0.3–1 m along the southern coast of Korea. Additional model runs included two independent model runs for waves and tides, and one tide-surge model run was conducted to investigate the interactions in the wave, tide and storm surge processes. The coupled tide-surgewave model reasonably reproduced wave properties and storm surges, but uncoupled models, i.e. independent models, slightly overestimated waves and surges. The wave forces associated with the gradient radiation stress resulted in water being elevated into coastal regions, thereby the water elevation increased onshore and the reverse happened offshore. A possible water level change due to a storm equivalent to Typhoon Sarah in the year 2100 was estimated by considering a mean sea level rise of 70 cm and was generally in the range of 70–100 cm in the Yellow and East China Seas and approximately 68 cm along the southern coast of Korea. © 2015, Korea Ocean Research &amp; Development Institute (KORDI) and the Korean Society of Oceanography (KSO) and Springer Science+Business Media Dordrecht.</t>
  </si>
  <si>
    <t>2-s2.0-84953257579"</t>
  </si>
  <si>
    <t>10.1007/s11852-014-0359-3</t>
  </si>
  <si>
    <t>https://www.scopus.com/inward/record.uri?eid=2-s2.0-84952298978&amp;doi=10.1007%2fs11852-014-0359-3&amp;partnerID=40&amp;md5=7e13b87dcb0a5186b5c90bd59bedbbcd</t>
  </si>
  <si>
    <t>Coastal risk management has received increasing attention from policy-makers and practitioners over the last 20 years. The introduction by the Department of Environment, Food and Rural Affairs (Defra), of a new approach to coastal risk management in England, led to the Environment Agency being given overall responsibility for the management of coastal risks in 2007. The establishment of a framework for coastal management, together with appropriate policy guidance, is particularly important on account of the increasing influence that predicted climate change may have on coastal economies, infrastructure, communities and conservation interests over the next century. Within this framework, the issue of coastal land instability is now being considered alongside the hazards of coastal erosion and flooding. In developing coastal management policies, and in deciding on whether coastal change should be adapted to rather than prevented, the availability of funding for coastal risk management projects and schemes is often an overriding consideration. This is encouraging new and innovative approaches for the avoidance of risks, through the implementation of adaptation strategies and the publication of improved advice and guidance. This paper describes recent policy guidance for coastal cliffs introduced in England and Wales, as well as the testing of new approaches in the field, and provides examples of updated tools to support engagement with stakeholders. © 2014, Springer Science+Business Media Dordrecht.</t>
  </si>
  <si>
    <t>2-s2.0-84952298978"</t>
  </si>
  <si>
    <t>10.1016/j.geomorph.2015.09.009</t>
  </si>
  <si>
    <t>https://www.scopus.com/inward/record.uri?eid=2-s2.0-84960212671&amp;doi=10.1016%2fj.geomorph.2015.09.009&amp;partnerID=40&amp;md5=10e9c84458304a61494c83c4c669e93d</t>
  </si>
  <si>
    <t>River sensitivity describes the nature and rate of channel adjustments. An approach to analysis of geomorphic river sensitivity outlined in this paper relates potential sensitivity based on the expected capacity of adjustment for a river type to the recent history of channel adjustment. This approach was trialled to assess low, moderate and high geomorphic sensitivity for four different types of river (10 reaches in total) along the Lower Tongariro River, North Island, New Zealand. Building upon the River Styles framework, river types were differentiated based upon valley setting (width and confinement), channel planform, geomorphic unit assemblages and bed material size. From this, the behavioural regime and potential for adjustment (type and extent) were determined. Historical maps and aerial photographs were geo-rectified and the channel planform digitised to assess channel adjustments for each reach from 1928 to 2007. Floodplain width controlled by terraces, exerted a strong influence upon reach scale sensitivity for the partly-confined, wandering, cobble-bed river. Although forced boundaries occur infrequently, the width of the active channel zone is constrained. An unconfined braided river reach directly downstream of the terrace-confined section was the most geomorphically sensitive reach. The channel in this reach adjusted recurrently to sediment inputs that were flushed through more confined, better connected upstream reaches. A meandering, sand-bed river in downstream reaches has exhibited negligible rates of channel migration. However, channel narrowing in this reach and the associated delta indicate that the system is approaching a threshold condition, beyond which channel avulsion is likely to occur. As this would trigger more rapid migration, this reach is considered to be more geomorphically sensitive than analysis of its low migration rate alone would indicate. This demonstrates how sensitivity is fashioned both by the behavioural regime of a reach and flow/sediment input from upstream. The approach to assess geomorphic river sensitivity outlined here could support 'room to move' or 'freedom space' approaches to river management by relating likely channel adjustments for the type of river under consideration to the area of land that is required to contain 'natural' patterns and rates of geomorphic functionality. © 2015 Elsevier B.V.</t>
  </si>
  <si>
    <t>2-s2.0-84960212671"</t>
  </si>
  <si>
    <t>10.1002/2015JC011336</t>
  </si>
  <si>
    <t>https://www.scopus.com/inward/record.uri?eid=2-s2.0-84957942190&amp;doi=10.1002%2f2015JC011336&amp;partnerID=40&amp;md5=e0f51c37386a83f119af7cd177338aef</t>
  </si>
  <si>
    <t>Hourly tide-gauge data along the coast of China are used to evaluate changes in extreme water levels in the past several decades. Mean sea level, astronomical tide, nontidal component and the tide-surge interaction was analyzed separately to assess their roles in the changes of extreme sea levels. Mean sea level at five tide gauges, Kanmen, Keelung, Zhapo, Xiamen and Quarrybay, show significant increasing trends during the past decades (1954-2013) with a rate of about 1.4-3.5 mm/yr. At Keelung, Kaohsiung and Quarrybay the mean high waters increased during 1954-2013 with a rate from 0.6 to 1.8 mm/yr, while the annual mean tidal range rose at the same time by 0.9 to 3.8 mm/yr. In terms of storm surge intensities, there is interannual variability and decadal variability but five tide gauges show significant decreasing trends, and three gauges, at Keelung, Xiamen and Quarrybay, exhibited significant increases of extreme sea levels with trends of 1.5-6.0 mm/yr during 1954-2013. Significant tide-surge interactions were found at all 12 tide gauges, but no obvious change was found during the past few decades. The changes in extreme sea levels in this area are strongly related to the changes of mean sea levels (MSL). At gauges, where the tide-surge interaction is large, the astronomic tides are also an important factor for the extreme sea levels, whereas tide gauges with little tide-surge interaction, the changes of wind driven storm surge component adds to the change of the extreme sea levels. © 2015. The Authors.</t>
  </si>
  <si>
    <t>2-s2.0-84957942190"</t>
  </si>
  <si>
    <t>10.1111/cag.12203</t>
  </si>
  <si>
    <t>https://www.scopus.com/inward/record.uri?eid=2-s2.0-84955517376&amp;doi=10.1111%2fcag.12203&amp;partnerID=40&amp;md5=a755e863d5c4259f205f42acf49791bb</t>
  </si>
  <si>
    <t>Coastal climate change is challenging communities to adapt. More frequent and extreme weather events leading to coastal area flooding and other hazards can present a risk for residents and the infrastructure and services they rely on. This is particularly the case for vulnerable populations such as seniors. Nova Scotia is experiencing this confluence of factors</t>
  </si>
  <si>
    <t>10.1007/s11069-014-1372-4</t>
  </si>
  <si>
    <t>https://www.scopus.com/inward/record.uri?eid=2-s2.0-85000121746&amp;doi=10.1007%2fs11069-014-1372-4&amp;partnerID=40&amp;md5=ff684027ab489e1335b40caa7067a238</t>
  </si>
  <si>
    <t>The present study identified the various zones vulnerable to urban flood in Cochin City, one of the biggest metro cities on the southwest coast of peninsular India. The analysis and assessment of vulnerability was done through the application of multi-criteria evaluation approach in a geographical information system environment with inputs from remotely sensed images. Other input data sources include SRTM DEM, census details, city maps and field study. Flood vulnerability mapping in the study area is fundamental in flood risk management. Among the three vulnerability zones, the very high and high vulnerable zones together constituted 8.6 % of the total area of the city. The major factors contributed are the blockage of drainage channels and the proximity to coastal waters where there is influence of tides. © 2014, Springer Science+Business Media Dordrecht.</t>
  </si>
  <si>
    <t>2-s2.0-85000121746"</t>
  </si>
  <si>
    <t>10.5194/gmd-8-4027-2015</t>
  </si>
  <si>
    <t>https://www.scopus.com/inward/record.uri?eid=2-s2.0-84950336043&amp;doi=10.5194%2fgmd-8-4027-2015&amp;partnerID=40&amp;md5=b14fbea04307c2b66af85876e9379f37</t>
  </si>
  <si>
    <t>We introduce r.randomwalk, a flexible and multi-functional open-source tool for backward and forward analyses of mass movement propagation. r.randomwalk builds on GRASS GIS (Geographic Resources Analysis Support System - Geographic Information System), the R software for statistical computing and the programming languages Python and C. Using constrained random walks, mass points are routed from defined release pixels of one to many mass movements through a digital elevation model until a defined break criterion is reached. Compared to existing tools, the major innovative features of r.randomwalk are (i) multiple break criteria can be combined to compute an impact indicator score</t>
  </si>
  <si>
    <t>https://www.scopus.com/inward/record.uri?eid=2-s2.0-84994528894&amp;partnerID=40&amp;md5=e1f9ee6963c50c10362bd469c5ba34c8</t>
  </si>
  <si>
    <t>Landform is part of the Earth's surface whose characteristics affect resources and geomorphological hazard, and therefore, affect humans in determining their choices in building settlements. This research aims to: (1) analyze landforms control on settlement distribution pattern in abandoned Progo Delta, and (2) analyze the factors that influence humas in choicing their residental locations. Landform control on the settlement distribution was analyzed from produced geomorphological and settlement maps and overlay them. The influence factors were analyzed from the results of in-depth interviews conducted in each village in the study area. The results show that the settlement in the study area is distributed in a dispersed pattern, following the presence of abandoned delta's natural levees. The influencing factors include flat topography that implies a good accessibility, soil fertility that defines land capability in sustaining their life, water resource availability, and security from disasters especially floods. © 2015 Faculty of Geography UGM and The Indonesian Geographers Association.</t>
  </si>
  <si>
    <t>2-s2.0-84994528894"</t>
  </si>
  <si>
    <t>Planet Earth</t>
  </si>
  <si>
    <t>https://www.scopus.com/inward/record.uri?eid=2-s2.0-84958624940&amp;partnerID=40&amp;md5=23a8320d028a336213da596813eee110</t>
  </si>
  <si>
    <t>Ivan Haigh and Elizabeth Bradshaw describe SurgeWatch, a new database of coastal floods in the UK that is set to revolutionize the understanding of how and why these destructive events happen and how to limit the damage. Coastal flooding remains a threat to life and economic assets in the country and it is expected that SurgeWatch will provide crucial information to help prevent it in future. The database has allowed researchers to identify which historic storms resulted in the worst coastal flooding over the last century, and they have mapped the specific paths of the concerned storms.</t>
  </si>
  <si>
    <t>2-s2.0-84958624940"</t>
  </si>
  <si>
    <t>10.1007/s11852-015-0378-8</t>
  </si>
  <si>
    <t>https://www.scopus.com/inward/record.uri?eid=2-s2.0-84952299461&amp;doi=10.1007%2fs11852-015-0378-8&amp;partnerID=40&amp;md5=06df3f1e6b4b87031eea4825fe8daafa</t>
  </si>
  <si>
    <t>The Holderness coast is composed largely of ‘soft’ Quaternary sediments, mainly glacial till, which form cliffs up to 38 m high. Cliff erosion rates have shown a complex pattern of spatial and temporal variation over the past 160 years which reflects interaction of natural processes and human interventions, notably building of coastal defences at Bridlington, Hornsea, Withernsea, Mappleton, and Easington. A former single coastal cell, extending between Flamborough Head and the Spurn Peninsula, is breaking down into a series of separate sub-cells defined by sections of defended coast. Between these ‘hard points’ the shoreline is developing as a series of shallow bays which are deepest immediately to the south (downdrift) of the defences. Superimposed on this pattern are smaller-scale variations which reflect the effects of dynamic beach features on wave energy exposure at the cliff toe. Cliff recession rates can exceed 4 m a−1 when beach troughs lie in front of the cliff toe but may fall close to zero as a sand wave passes. Erosion rates on the undefended coast showed an increase in the period 1989–2013 compared with earlier epochs and further increases can be anticipated due to sea level rise over the course of the next century. The effects of climate change on storminess remain uncertain but any increase would further enhance the erosional trend. The implications are future increased rates of cliff top recession and increased risk to infrastructure close to the coast in the medium to longer term. Increased erosion rates will increase the rate of sediment supply to the nearshore system, but it is unclear how much of the fine sediment released will be transported into the Humber estuary to maintain tidal flats and saltmarshes, and how much of the sand and gravel will travel along the beach system to sustain the Spurn Peninsula. © 2015, Springer Science+Business Media Dordrecht.</t>
  </si>
  <si>
    <t>2-s2.0-84952299461"</t>
  </si>
  <si>
    <t>10.1038/srep17890</t>
  </si>
  <si>
    <t>https://www.scopus.com/inward/record.uri?eid=2-s2.0-84949662637&amp;doi=10.1038%2fsrep17890&amp;partnerID=40&amp;md5=3c0edd1d44c6761ec0065d0890c45e7e</t>
  </si>
  <si>
    <t>Climate change and associated sea level rise (SLR) are already impacting low-lying coastal areas, including islands, throughout the world. Many of these areas are inhabited, many will need to be abandoned in coming decades as SLR continues. We examine the evolution (1850-2013) of the last inhabited offshore island in Virginia waters of Chesapeake Bay USA, the Tangier Islands. Three SLR scenarios, a low, mid, and high, were considered. Since 1850, 66.75% of the islands landmass has been lost. Under the mid-range SLR scenario, much of the remaining landmass is expected to be lost in the next 50 years and the Town will likely need to be abandoned. The high SLR scenario will accelerate the land loss and subsidence, such that the Town may need to be abandoned in as few as 25 years. We propose a conceptual plan that would significantly extend the lifespan of the islands and Town.</t>
  </si>
  <si>
    <t>2-s2.0-84949662637"</t>
  </si>
  <si>
    <t>10.1127/zfg-suppl/2014/S-00210</t>
  </si>
  <si>
    <t>https://www.scopus.com/inward/record.uri?eid=2-s2.0-84959274484&amp;doi=10.1127%2fzfg-suppl%2f2014%2fS-00210&amp;partnerID=40&amp;md5=a97ed94c66f3e3993f9ec8de3dbdd6a7</t>
  </si>
  <si>
    <t>The west coast of Greece is exposed to a high tsunami risk. This is reflected by a large number of historical accounts and geoscientific field traces found all along the coast. Using a hydrodynamic numerical model, we calculated various tsunami scenarios and compared the results with sedimentary and geomorphological field data discovered in published palaeotsunami studies from three key locations in the northern Gulf of Kyparissia (western Peloponnese): the Katakolo Pass, the Epitalio Pass and the valley of Kato Samiko. Field data especially includes vibracores, electrical resistivity measurements and geomorphological observations, which altogether allow a detailed reconstruction of the local inundation dynamics associated with (pre)historical tsunami events. The scenarios take account of three different digital elevation models (DEM), one reflecting the recent topography of the study area and the other two based on possible palaeotopographies derived from neotectonic field data and literature. We further applied a large number of different boundary conditions considering the solitary and the N-wave theory. By regarding both, the different DEMs and the different waveforms, the numerical model accurately reflects palaeotsunami inundation dynamics derived from the field traces for each of the key locations. Generally, field findings are in best accordance with the scenarios based on the palaeo-DEM derived from our neotectonic field data. However, there is no particular scenario or individual wave that can fully explain palaeotsunami field traces for all three key locations at once. This particularly might be due to fact that (i) tsunami deposits found at the key sites relate to different tsunami impacts with differing inundation dynamics, (ii) that the palaeo-DEMs do not reflect the exact topography at the time of tsunami inundation and/or (iii) that the numerical model is in need of further adjustment and modification, for example, in view of the boundary conditions. Nevertheless, our study demonstrates that local inundation dynamics can precisely be derived from palaeotsunami field traces and emphasises the high reliability of our hydrodynamic tsunami model. © 2014 Gebrüder Borntraeger Verlagsbuchhandlung, Stuttgart, Germany.</t>
  </si>
  <si>
    <t>2-s2.0-84959274484"</t>
  </si>
  <si>
    <t>10.2166/wpt.2015.080</t>
  </si>
  <si>
    <t>https://www.scopus.com/inward/record.uri?eid=2-s2.0-84957097683&amp;doi=10.2166%2fwpt.2015.080&amp;partnerID=40&amp;md5=d7331f5422b09331f2ab8d75ebba2dce</t>
  </si>
  <si>
    <t>In 2025 the majority of the world population will live in flood prone delta cities. Delta City Rotterdam, with one of the biggest ports in the world, is dealing with the consequences of climate change in a very pro-active and smart way, turning challenges into opportunities. The RCP Rotterdam Climate Proof program aims at making the city completely climate resilient by 2025, by building multifunctional flood protection and innovative water storage for urban drain water. But also by kicking-off a Rotterdam Adaptation Strategy RAS, by using new smart technologies like Apps and serious gaming, and by redeveloping and revitalizing its old city ports areas with attractive waterfronts. At these waterfronts, where education of future generations is combined with innovative and sustainable development of businesses, best practices are showcased to make the city more attractive, to add economic value and to create resilient communities. This knowledge and experience is shared with other delta and coastal cities in the world, in the ‘Connecting Delta Cities’ global network, and with the Rockefeller Foundation 100 Resilient Cities initiative. This article explains that dealing with climate change in a pro-active and smart way creates opportunities for attractive, resilient and economically strong delta cities of the future. © IWA Publishing 2015.</t>
  </si>
  <si>
    <t>2-s2.0-84957097683"</t>
  </si>
  <si>
    <t>10.1080/01431161.2015.1109725</t>
  </si>
  <si>
    <t>https://www.scopus.com/inward/record.uri?eid=2-s2.0-84947922372&amp;doi=10.1080%2f01431161.2015.1109725&amp;partnerID=40&amp;md5=7aeb2574efaae64b7b79605760a7862a</t>
  </si>
  <si>
    <t>In Huainan City, Anhui Province, China, ground subsidence persistently occurs due to underground coal mining, which has caused several environmental issues. A modified time-series Interfermetric synthetic aperture radar (InSAR) technique is applied to obtain ground movement in Huainan over a period of approximately two years using 20 ascending Radarsat-2 images. In particular, distributed scatterers (DSs) are efficiently identified using classification information and statistical characteristics. Classified information is used to identify the specific DS classes and statistical characteristics are used to refine the DS candidates. To control error propagation and improve computational efficiency, the deformation rate and digital elevation model (DEM) error of persistent scatterers (PSs) are first retrieved using conventional persistent scatterer intermemetry (PSI). Then, a region-growing-based strategy is applied to extract the deformation rate of DSs. Land subsidence is detected in coal-mining areas of central Dingji, Guqiao, Zhangjiaji, Xinji I, and Xinji II, which suggests that the subsidence is primarily caused by underground mining. The fastest subsidence occurring in non-urban areas is particularly vulnerable to subsidence and collapsed lakes. It is also found that the collapsed lakes have expanded during the observation period, with an expanded mining area of 0.842 km2 near Guqiao. A linear relationship between the observed subsidence and expansion of collapsed lakes was found, which indicates that the expansion of collapsed lakes hass resulted from subsidence due to underground coal mining. © 2015 Taylor &amp; Francis.</t>
  </si>
  <si>
    <t>2-s2.0-84947922372"</t>
  </si>
  <si>
    <t>Socio-Economic Planning Sciences</t>
  </si>
  <si>
    <t>10.1016/j.seps.2015.06.003</t>
  </si>
  <si>
    <t>https://www.scopus.com/inward/record.uri?eid=2-s2.0-84938787479&amp;doi=10.1016%2fj.seps.2015.06.003&amp;partnerID=40&amp;md5=e656f825fc9257ec0d6a7d4bacff6c29</t>
  </si>
  <si>
    <t>Small islands and coastal communities around the world are particularly vulnerable to climate change impacts, mainly from storm surge attributed to more frequent and severe coastal storms, and mounting sea-level rise. Coastal hazards including inundation, salinisation of the water supply, and land erosion all threaten vital infrastructure that support coastal communities. This research, part of the International Community-University Research Alliance (ICURA) C-Change project ""Managing Adaptation to Environmental Change in Coastal Communities: Canada and the Caribbean"", develops and applies a multicriteria decision evaluation and support system for evaluating adaptation options for coastal communities. The paper estimates vulnerability, resilience, and adaptive capacity measures associated with adaptation strategies in coastal communities with respect to their environmental, economic, social, and cultural dimensions. Results are determined using a multi-participant formulation of the Analytical Hierarchy Process (AHP) for identifying multicriteria decisions as adaptation strategies in a specific coastal context. The application of the framework is conducted for the coastal community of Little Anse on Isle Madame, Nova Scotia. Specifically, the state of the Little Anse breakwater is analysed and adaptation options for protecting, accommodating, and retreating are presented and evaluated in the face of predicted storm scenarios. The results indicate that, in the case of Little Anse, the strategic decision to protect the community by a new breakwater arm provides preferred measures for resilience and adaptive capacity. © 2015 Elsevier Ltd.</t>
  </si>
  <si>
    <t>2-s2.0-84938787479"</t>
  </si>
  <si>
    <t>10.1007/s10236-015-0881-3</t>
  </si>
  <si>
    <t>https://www.scopus.com/inward/record.uri?eid=2-s2.0-84945450059&amp;doi=10.1007%2fs10236-015-0881-3&amp;partnerID=40&amp;md5=c24da9c60895313ffbdf6bffd54e3f5e</t>
  </si>
  <si>
    <t>In this study, the data from three long-term observation stations, Aburatsu, Xiamen, and Hong Kong, which are located on the northwest Pacific Ocean coast, were analyzed to estimate the 100-year annual maximum water levels. The performances of four common frequency analysis methods, namely the Gumbel, Weibull, GEV, and GPD distributions, were evaluated. It is found that the GEV model performs best among these four distribution models in Hong Kong and Aburatsu, whereas the Gumbel distribution is the best at the Xiamen station. It is also found that the GEV model generally performs better than the Gumbel model in regard to the mean high correlation coefficient and the mean minimum root-mean-square error. Moreover, in this study, the r-largest value model was used to study temporal trends in the 50-year annual maximum water levels on the northwest Pacific coast over the past fifty years using the observation data of Hong Kong, Xiamen, and Aburatsu. The results show that there are two temporal features in the 50-year return levels at all three stations, with the first being an overall increasing trend over the whole period and the other being an oscillatory trend over the period of observation. The relationships between the temporal trends and the Pacific Decadal Oscillation (PDO), sea level rise, and change of typhoons were also analyzed in this paper. It is found that when the PDO index is shifted to be 4 years in advance, a significantly negative correlation will occur between the PDO index and the 50-year return levels. However, sea level rise and changes of typhoons cause the overall increase over the entire period. © 2015, Springer-Verlag Berlin Heidelberg.</t>
  </si>
  <si>
    <t>2-s2.0-84945450059"</t>
  </si>
  <si>
    <t>10.5194/nhess-15-2331-2015</t>
  </si>
  <si>
    <t>https://www.scopus.com/inward/record.uri?eid=2-s2.0-84944257545&amp;doi=10.5194%2fnhess-15-2331-2015&amp;partnerID=40&amp;md5=007618d14784e405080d48fdcdb45062</t>
  </si>
  <si>
    <t>The extent of coastline urbanization reduces their resilience to flooding, especially in low-lying areas. The study site is the coastline of the Emilia-Romagna region (Italy), historically affected by marine storms and floods. The main aim of this study is to investigate the vulnerability of this coastal area to marine flooding by considering the dynamics of the forcing component (total water level) and the dynamics of the receptor (urban areas). This was done by comparing the output of the three flooding scenarios (10, 100 and &gt; 100 year return periods) to the output of different scenarios of future urban growth up to 2050. Scenario-based marine flooding extents were derived by applying the Cost-Distance tool of ArcGIS® to a high-resolution digital terrain model. Three scenarios of urban growth (similar-to-historic, compact and sprawled) up to 2050 were estimated by applying the cellular automata-based SLEUTH model. The results show that if the urban growth progresses compactly, flood-prone areas will largely increase with respect to similar-to-historic and sprawled growth scenarios. Combining the two methodologies can be useful for identification of flood-prone areas that have a high potential for future urbanization, and is therefore crucial for coastal managers and planners. © 2015 Author(s).</t>
  </si>
  <si>
    <t>2-s2.0-84944257545"</t>
  </si>
  <si>
    <t>10.1007/s11069-015-1803-x</t>
  </si>
  <si>
    <t>https://www.scopus.com/inward/record.uri?eid=2-s2.0-84938985745&amp;doi=10.1007%2fs11069-015-1803-x&amp;partnerID=40&amp;md5=f86aa4d7d54e5049e0681d00c1267a87</t>
  </si>
  <si>
    <t>This paper proposes a new approach to developing and utilizing vulnerability indicators, which is based on the concept of similarity. Methods for assessing the disaster vulnerability of communities through quantitative indices are established in research and practice. They are typically used to identify which cities or other spatial units are most susceptible to losses from storms, floods, and other hazards</t>
  </si>
  <si>
    <t>10.1007/s11069-015-1951-z</t>
  </si>
  <si>
    <t>https://www.scopus.com/inward/record.uri?eid=2-s2.0-84947019528&amp;doi=10.1007%2fs11069-015-1951-z&amp;partnerID=40&amp;md5=2a19fbc9fdaeb3d268a1f82403ee9596</t>
  </si>
  <si>
    <t>The Tagus estuary is bordered by the largest metropolitan area in Portugal, the Lisbon capital city council. It has suffered the impact of several major tsunamis in the past, as shown by a recent revision of the catalogue of tsunamis that struck the Portuguese coast over the past two millennia. Hence, the exposure of populations and infrastructure established along the riverfront comprises a critical concern for the civil protection services. The main objectives of this work are to determine critical inundation areas in Lisbon and to quantify the associated severity through a simple index derived from the local maximum of momentum flux per unit mass and width. The employed methodology is based on the mathematical modelling of a tsunami propagating along the estuary, resembling the one occurred on the 1 November of 1755 that followed the 8.5 Mw Great Lisbon Earthquake. The employed simulation tool was STAV-2D, a shallow-flow solver coupled with conservation equations for fine solid phases, and now featuring the novelty of discrete Lagrangian tracking of large debris. Different sets of initial conditions were studied, combining distinct tidal, atmospheric and fluvial scenarios, so that the civil protection services were provided with comprehensive information to devise public warning and alert systems and post-event mitigation intervention. For the most severe scenario, the obtained results have shown a maximum inundation extent of 1.29 km at the Alcântara valley and water depths reaching nearly 10 m across Lisbon’s riverfront. © 2015, Springer Science+Business Media Dordrecht.</t>
  </si>
  <si>
    <t>2-s2.0-84947019528"</t>
  </si>
  <si>
    <t>10.1515/ohs-2015-0035</t>
  </si>
  <si>
    <t>https://www.scopus.com/inward/record.uri?eid=2-s2.0-84943628595&amp;doi=10.1515%2fohs-2015-0035&amp;partnerID=40&amp;md5=876fceea95d7b25483075adc09c0e696</t>
  </si>
  <si>
    <t>The method introduced in this study for future projection of coastline changes hits the vital need of communicating the potential climate change impact on the coast in the 21th century. A quantitative method called the Dynamic Equilibrium Shore Model (DESM) has been developed to hindcast historical sediment mass budgets and to reconstruct a paleo Digital Elevation Model (DEM). The forward mode of the DESM model relies on paleo-scenarios reconstructed by the DESM model assuming stationary wind-wave climate. A linear relationship between the sea level, coastline changes and sediment budget is formulated and proven by the least square regression method. In addition to its forward prediction of coastline changes, this linear relationship can also estimate the sediment budget by using the information on the coastline and relative sea level changes. Wind climate change is examined based on regional climate model data. Our projections for the end of the 21st century suggest that the wind and wave climates in the southern Baltic Sea may not change compared to present conditions and that the investigated coastline along the Pomeranian Bay may retreat from 10 to 100 m depending on the location and on the sea level rise which was assumed to be in the range of 0.12 to 0.24 m. © 2015 Faculty of Oceanography and Geography, University of Gdańsk, Poland.</t>
  </si>
  <si>
    <t>2-s2.0-84943628595"</t>
  </si>
  <si>
    <t>10.1016/j.jhydrol.2015.09.069</t>
  </si>
  <si>
    <t>https://www.scopus.com/inward/record.uri?eid=2-s2.0-84943792376&amp;doi=10.1016%2fj.jhydrol.2015.09.069&amp;partnerID=40&amp;md5=7a4540de4c4715579354c295b592077c</t>
  </si>
  <si>
    <t>Topography plays a major role in determining the accuracy of flood inundation areas. However, many areas in the United States and around the world do not have access to high quality topographic data in the form of Digital Elevation Models (DEM). For such areas, an improved understanding of the effects of DEM properties such as horizontal resolution and vertical accuracy on flood inundation maps may eventually lead to improved flood inundation modeling and mapping. This study attempts to relate the errors arising from DEM properties such as spatial resolution and vertical accuracy to flood inundation maps, and then use this relationship to create improved flood inundation maps from coarser resolution DEMs with low accuracy. The results from the five stream reaches used in this study show that water surface elevations (WSE) along the stream and the flood inundation area have a linear relationship with both DEM resolution and accuracy. This linear relationship is then used to extrapolate the water surface elevations from coarser resolution DEMs to get water surface elevations corresponding to a finer resolution DEM. Application of this approach show that improved results can be obtained from flood modeling by using coarser and less accurate DEMs, including public domain datasets such as the National Elevation Dataset and Shuttle Radar Topography Mission (SRTM) DEMs. The improvement in the WSE and its application to obtain better flood inundation maps is dependent on the study reach characteristics such as land use, valley shape, reach length and width. Application of the approach presented in this study on more reaches may lead to development of guidelines for flood inundation mapping using coarser resolution and less accurate topographic datasets. © 2015 Elsevier B.V.</t>
  </si>
  <si>
    <t>2-s2.0-84943792376"</t>
  </si>
  <si>
    <t>10.1007/s11069-015-1751-5</t>
  </si>
  <si>
    <t>https://www.scopus.com/inward/record.uri?eid=2-s2.0-84938998380&amp;doi=10.1007%2fs11069-015-1751-5&amp;partnerID=40&amp;md5=de8b2dc0ef49497911a385199c706a5a</t>
  </si>
  <si>
    <t>What influences residents’ vulnerability to flood hazards in a Canadian coastal city? This study addresses the question by identifying and testing hypothetical determinants of residential vulnerability to flood hazards in Metro Vancouver. A household survey is conducted in four neighbourhoods in Vancouver and Surrey to test seven determinants: (1) social vulnerability, (2) hazard perception, (3) institutional arrangements, (4) amenity value conflicts, (5) self-protection, (6) attribution of responsibility, and (7) attenuation of risk due to another dominating concern. Survey findings offer insights into how these determinants interact to produce unequal vulnerability to flood hazards among residents in a Canadian city. The study finds that social vulnerability is an important factor in determining overall vulnerability to flood hazards. Household income, as a key contributor to social vulnerability, is found to have significant correlations with variables that define the other determinants. Institutional arrangements, including property insurance and development regulations, appear to interact with social vulnerability and the other determinants to allow powerful groups of people to live in hazardous places without taking on the full associated risk. The findings of the study have implications for our understanding of how vulnerability is produced and how, or whether, local policy can address these factors to equitably reduce risk. © 2015, Springer Science+Business Media Dordrecht.</t>
  </si>
  <si>
    <t>2-s2.0-84938998380"</t>
  </si>
  <si>
    <t>10.1007/s00024-015-1158-y</t>
  </si>
  <si>
    <t>https://www.scopus.com/inward/record.uri?eid=2-s2.0-84948176545&amp;doi=10.1007%2fs00024-015-1158-y&amp;partnerID=40&amp;md5=5cb261a8e1526bfaf99bf15401981e74</t>
  </si>
  <si>
    <t>On September 29, 2009, an Mw = 8.1 earthquake at 17:48 UTC in Tonga Trench generated a tsunami that caused heavy damage across Samoa, American Samoa, and Tonga islands. Tutuila island, which is located 250 km from the earthquake epicenter, experienced tsunami flooding and strong currents on the north and east coasts, causing 34 fatalities (out of 192 total deaths from this tsunami) and widespread structural and ecological damage. The surrounding coral reefs also suffered heavy damage. The damage was formally evaluated based on detailed surveys before and immediately after the tsunami. This setting thus provides a unique opportunity to evaluate the relationship between tsunami dynamics and coral damage. In this study, estimates of the maximum wave amplitudes and coastal inundation of the tsunami are obtained with the MOST model (Titov and Synolakis, J. Waterway Port Coast Ocean Eng: pp 171, 1998</t>
  </si>
  <si>
    <t>10.1016/j.gloenvcha.2015.07.004</t>
  </si>
  <si>
    <t>https://www.scopus.com/inward/record.uri?eid=2-s2.0-84938881941&amp;doi=10.1016%2fj.gloenvcha.2015.07.004&amp;partnerID=40&amp;md5=7dbe37e255d4cd3dbcf610e49f7eb751</t>
  </si>
  <si>
    <t>Although the central challenges of sustainable development are well-known, sustainability science has been slow in contributing to effective and feasible solutions for sustainable development. Turning knowledge into action for sustainable development therefore remains a major challenge for sustainability science. Interactive knowledge development is considered a prerequisite for sustainability-oriented action. Most studies approach interactive knowledge development from a researcher's perspective. This paper focuses on practitioners that initiate interactive knowledge development for sustainability-oriented actions. A cross-case analysis is presented for interactive knowledge development in coastal projects. Three cases are analysed through the framework of project arrangements and knowledge arrangements. The projects are located in the Wadden Sea, San Francisco Bay and the Ems estuary and address issues of flood control, nature restoration and liveability. The cross-case analysis revealed 11 causal mechanisms that help explain how project decision-making impacts on interactive knowledge development, how a process of interactive knowledge development functions and what its outcomes are. The mechanisms clarify the key underlying processes of interactive knowledge development in coastal projects. The mechanisms show that interactive knowledge development may result in sustainability-oriented solutions that are feasible for implementation. As such, this paper contributes to a practice-oriented understanding of turning knowledge into action for sustainable coastal development. © 2015 Elsevier Ltd.</t>
  </si>
  <si>
    <t>2-s2.0-84938881941"</t>
  </si>
  <si>
    <t>10.2112/JCOASTRES-D-14-00101.1</t>
  </si>
  <si>
    <t>https://www.scopus.com/inward/record.uri?eid=2-s2.0-84940924058&amp;doi=10.2112%2fJCOASTRES-D-14-00101.1&amp;partnerID=40&amp;md5=6c4a4c2ca01d555968d9d3f3053426a7</t>
  </si>
  <si>
    <t>The challenges to coastal regions posed by rising sea levels will differ from community to community. In situ wave and tide time-series data are vital for calibrating numerical coastal models used to predict and mitigate the effects of coastal flooding and high-energy erosive waves and to inform coastal engineering projects. However, for many communities, local, high-quality data sets do not exist. Here, we present a proof-of-concept study for a new method to collect local, low-cost, and high-quality, nearshore hydrographs that can be used to calibrate and test coastal models. In 2011, we deployed self-contained pressure sensors at ocean- and bay-side locations along Wallops Island, Virginia, home of the National Aeronautics and Space Administration Wallops Flight Facility. We used a linear array of data loggers to characterize nearshore wave morphology at two sites along the barrier island beach. During the period of observation, wave height and frequency were both higher along the southern, eroding portion of Wallops Island. We also installed stilling wells in a tidal creek and at the Curtis Merritt Harbor (CMH) on Chincoteague Island to compare tide levels, range, and lag between the back bay and the inlet. Our data show an approximately 1-hour lag between sites, which contrasts with existing forecasted tidal lags in the region that range from 9 minutes to nearly 2 hours. These data loggers are a less-expensive alternative to traditional hydrographic equipment, such as acoustic Doppler current profilers, and can be used in shallow, nearshore environments where buoy-deployed level sensors are impractical. These instruments can be used for specific studies that range in time from a few minutes to a few years</t>
  </si>
  <si>
    <t>10.1016/j.jhydrol.2015.08.046</t>
  </si>
  <si>
    <t>https://www.scopus.com/inward/record.uri?eid=2-s2.0-84945483547&amp;doi=10.1016%2fj.jhydrol.2015.08.046&amp;partnerID=40&amp;md5=6da123626844b7352e6ae4d46fc5809b</t>
  </si>
  <si>
    <t>Modelling glacial lake outburst floods (GLOFs) or 'jökulhlaups', necessarily involves the propagation of large and often stochastic uncertainties throughout the source to impact process chain. Since flood routing is primarily a function of underlying topography, communication of digital elevation model (DEM) uncertainty should accompany such modelling efforts. Here, a new stochastic first-pass assessment technique was evaluated against an existing GIS-based model and an existing 1D hydrodynamic model, using three DEMs with different spatial resolution. The analysis revealed the effect of DEM uncertainty and model choice on several flood parameters and on the prediction of socio-economic impacts. Our new model, which we call MC-LCP (Monte Carlo Least Cost Path) and which is distributed in the supplementary information, demonstrated enhanced 'stability' when compared to the two existing methods, and this 'stability' was independent of DEM choice. The MC-LCP model outputs an uncertainty continuum within its extent, from which relative socio-economic risk can be evaluated. In a comparison of all DEM and model combinations, the Shuttle Radar Topography Mission (SRTM) DEM exhibited fewer artefacts compared to those with the Advanced Spaceborne Thermal Emission and Reflection Radiometer Global Digital Elevation Model (ASTER GDEM), and were comparable to those with a finer resolution Advanced Land Observing Satellite Panchromatic Remote-sensing Instrument for Stereo Mapping (ALOS PRISM) derived DEM. Overall, we contend that the variability we find between flood routing model results suggests that consideration of DEM uncertainty and pre-processing methods is important when assessing flow routing and when evaluating potential socio-economic implications of a GLOF event. Incorporation of a stochastic variable provides an illustration of uncertainty that is important when modelling and communicating assessments of an inherently complex process. © 2015 Elsevier B.V.</t>
  </si>
  <si>
    <t>2-s2.0-84945483547"</t>
  </si>
  <si>
    <t>10.1038/nclimate2736</t>
  </si>
  <si>
    <t>https://www.scopus.com/inward/record.uri?eid=2-s2.0-84948131753&amp;doi=10.1038%2fnclimate2736&amp;partnerID=40&amp;md5=42ab5c16f507f5e81ff712f57293f0fb</t>
  </si>
  <si>
    <t>When storm surge and heavy precipitation co-occur, the potential for flooding in low-lying coastal areas is often much greater than from either in isolation. Knowing the probability of these compound events and understanding the processes driving them is essential to mitigate the associated high-impact risks. Here we determine the likelihood of joint occurrence of these two phenomena for the contiguous United States (US) and show that the risk of compound flooding is higher for the Atlantic/Gulf coast relative to the Pacific coast. We also provide evidence that the number of compound events has increased significantly over the past century at many of the major coastal cities. Long-term sea-level rise is the main driver for accelerated flooding along the US coastline</t>
  </si>
  <si>
    <t>10.1007/s11069-015-1858-8</t>
  </si>
  <si>
    <t>https://www.scopus.com/inward/record.uri?eid=2-s2.0-84941415870&amp;doi=10.1007%2fs11069-015-1858-8&amp;partnerID=40&amp;md5=18907f8c8fe7eec67728dddea083a583</t>
  </si>
  <si>
    <t>Typhoons are one of the world’s most frequently occurring natural disasters that cause severe damage. The losses caused by typhoons are not only related to the strength and structure of a particular typhoon, but also to the population density, home range, and type of economy in the affected area. Taiwan is centrally situated in the main path arc of typhoons generated in the Northwest Pacific Ocean. On average, 3–4 typhoons approach or make landfall in Taiwan yearly. The associated strong winds, violent rains, landslides, and storm surges or upwelling in coastal areas often catastrophically impact the citizens of Taiwan and cause severe damage to the national economy. Losses may amount to billions, or even tens of billions of New Taiwan Dollars. Due to the limitations imposed by the lack of complete data in earlier years, this study focuses on those typhoons with complete records which landed and affected Taiwan from 1965 to 2004. This study considers meteorological indicators including maximum daily rainfall, maximum central wind speeds, lowest central pressure, radius of class seven winds, and period during CWB issued land and sea warning, as well as disaster indicators that reflect damages resulting from typhoons such as the numbers of dead or missing persons, totally destroyed houses, and actual amounts of crop losses. This study aims to statistically analyze the meteorological and disaster indicators, and build a disaster assessment model which allows for a quantified assessment to be conducted. This would enable the relevant government departments to immediately assess or evaluate the disaster upon the receipt of predicted or actual data from a particular typhoon. Additionally, this study evaluated precautionary building principles in terms of the positive effect they have on improving disaster management. © 2015, Springer Science+Business Media Dordrecht.</t>
  </si>
  <si>
    <t>2-s2.0-84941415870"</t>
  </si>
  <si>
    <t>10.1016/j.geomorph.2015.06.020</t>
  </si>
  <si>
    <t>https://www.scopus.com/inward/record.uri?eid=2-s2.0-84936114387&amp;doi=10.1016%2fj.geomorph.2015.06.020&amp;partnerID=40&amp;md5=b58b6723255ad5b1688b9d35344998c3</t>
  </si>
  <si>
    <t>In April 2000 a large-scale rock avalanche dammed the Yigong Zangpo River, forming an extensive rockslide-dammed lake. The impoundment lasted for 62days before a catastrophic breaching caused a massive outburst flood in the Yarlung Zangpo (Tibet) and the Dihang rivers (India) that travelled downstream to the main floodplain of the Brahmaputra in northeastern India. In response to discrepancies in the published literature on the event, we present a review and re-evaluation of the characteristics of the rock avalanche and associated landslide-dammed lake. We use digital topographical data (SRTM-3) and dynamic landslide modelling (DAN-W and DAN3D) to determine the salient characteristics of the damming landslide and to characterise its behaviour. Our analysis indicates that the volume of the damming rockslide was ca. 115Mm3, including 91Mm3 from the initial rockslope failure (bulked during disaggregation to 109Mm3) and 6Mm3 from entrainment during its 10.1km travel down Zhamulong gully. The debris travelled with an average velocity of 15-18m/s and resulted in a landslide dam on the Yigong River with a minimum height of about 55m. Using LANDSAT-7 imagery (obtained before, during, and after impoundment) in conjunction with an SRTM-3 DEM, we reproduced the filling of the lake. We determine that the landslide dam formed an extensive reservoir with an impounded volume of 2.015Gm3 and a maximum possible lake level of 2264masl (rounded to 2265masl). Our figures differ from those previously published but are believed to be well-constrained verifiable estimates of the volumes of the 2000 Yigong events. The outburst occurred after an attempt by army personnel to manually dig a spillway over the landslide debris and resulted in the entire volume of the lake draining in about 12h. The outburst flood travelled over 500km south into India, with a recorded rise in river level of 5.5m at the Pasighat gauging station, 462km downstream. In terms of historical outburst volumes from rockslide-dammed lakes, the volume of the 2000 Yigong event is only exceeded by that of the 1841 outburst flood from the Indus River rockslide-dammed lake, northern Pakistan. © 2015 Elsevier B.V.</t>
  </si>
  <si>
    <t>2-s2.0-84936114387"</t>
  </si>
  <si>
    <t>10.1504/IJGW.2015.071965</t>
  </si>
  <si>
    <t>https://www.scopus.com/inward/record.uri?eid=2-s2.0-84964810761&amp;doi=10.1504%2fIJGW.2015.071965&amp;partnerID=40&amp;md5=7f234cbde23752cf225f57fc66cd45ca</t>
  </si>
  <si>
    <t>As climate change impacts worsen, losses and damages incurred in both developing and developed countries will continue to increase. While enhancing mitigation and adaptation efforts will influence the level of loss and damage avoided in the future, historical emissions have 'locked in' a certain level of climate change, making some residual losses and damages inevitable. Loss and damage from slow onset processes like sea level rise will ultimately require some communities and, in some cases, entire countries to relocate. Through examples from Kiribati and Alaska this paper will highlight the complexity involved in migrating and relocating and recommend interventions for easing the resettlement process. © 2015 Inderscience Enterprises Ltd.</t>
  </si>
  <si>
    <t>2-s2.0-84964810761"</t>
  </si>
  <si>
    <t>10.1016/j.uclim.2015.09.005</t>
  </si>
  <si>
    <t>https://www.scopus.com/inward/record.uri?eid=2-s2.0-84948967899&amp;doi=10.1016%2fj.uclim.2015.09.005&amp;partnerID=40&amp;md5=316c1e93ce0c38c6f9b43467e7ae0ad5</t>
  </si>
  <si>
    <t>The Nile Delta is one of the most vulnerable areas in the world to sea level rise (SLR). Urban areas, located in the coastal area of the Nile Delta have been experiencing, over the past five decades, mostly unplanned rapid growth. Existing research work on the Nile Delta coastal urban areas focused only on their vulnerability to SLR inundation, with no work on the resilience of these urban areas. This paper, accordingly, intends on one hand to propose an integrated resilience framework for urban areas in general and to develop and apply an urban resilience index, incorporating relevant variables and inundation by SLR hazard aspect on the Nile Delta urban coastal areas. The application of this resilience index reveals that 11 out of the 18 urban areas are projected to be vulnerable to inundation under different SLR scenarios. Additionally, it was found that urban resilience is influenced on one hand the differences in scale of area and population vulnerable to inundation by SLR in each of these areas. Resilience is also influenced by their socioeconomic characteristics, environmental quality and scale of infrastructure and services provision, on the other. © 2015 Elsevier B.V.</t>
  </si>
  <si>
    <t>2-s2.0-84948967899"</t>
  </si>
  <si>
    <t>10.1007/s10533-015-0140-1</t>
  </si>
  <si>
    <t>https://www.scopus.com/inward/record.uri?eid=2-s2.0-84948070943&amp;doi=10.1007%2fs10533-015-0140-1&amp;partnerID=40&amp;md5=70800722fd15056f5f24c183bc1b7626</t>
  </si>
  <si>
    <t>Globally, coastal lowlands are becoming more saline by the combined effects of sea level rise, land subsidence and altered hydrological and climatic conditions. Although salinization is known to have a great influence on biogeochemical processes, literature shows contrasting effects that challenge the prediction of future effects. In addition, the effects of fluctuating salinity levels, a more realistic scenario than constant levels, on nutrient cycling in coastal wetland sediments have hardly been examined. A better understanding is therefore crucial for the prediction of future effects and the definition of effective management. To test the effects of constantly brackish water (50 mmol Cl l−1, 3.2 psu) or fluctuating salinity (5–50 mmol Cl l−1), versus constantly low salinity (5 mmol Cl l−1, 0.32 psu) on nutrient biogeochemistry, we conducted a controlled laboratory experiment with either peat or clay sediments from coastal wetlands. Increased salinity showed to have a fast and large effect. Sediment cation exchange appeared to be the key process explaining both a decrease in phosphorus availability (through calcium mobilization) and an increase in nitrogen availability, their extent being strongly dependent on sediment type. Supply of brackish water decreased surface water turbidity and inhibited sediment methane production but did not affect CO2 production. Constant and fluctuating salinity levels showed similar longer term effects on nutrient and carbon cycling. The contrasting effects of salinization found for nitrogen and phosphorus, and its effects on water turbidity indicate major ecological consequences for coastal wetlands and have important implications for water management and nature restoration. © 2015, Springer International Publishing Switzerland.</t>
  </si>
  <si>
    <t>2-s2.0-84948070943"</t>
  </si>
  <si>
    <t>10.2112/JCOASTRES-D-15-00005.1</t>
  </si>
  <si>
    <t>https://www.scopus.com/inward/record.uri?eid=2-s2.0-84940913617&amp;doi=10.2112%2fJCOASTRES-D-15-00005.1&amp;partnerID=40&amp;md5=f6d400b5db251ae0b3207c09771fc15e</t>
  </si>
  <si>
    <t>Unmanned aerial vehicles (UAVs) offer a viable alternative to conventional platforms for acquiring high-resolution remote-sensing data at lower cost and increased operational flexibility. UAVs include various configurations of unmanned aircraft, multirotor helicopters (e.g., quadcopters), and balloons/blimps of different sizes and shapes. Quadcopters and balloons fill a gap between satellites and aircraft when a stationary monitoring platform is needed for relatively long-term observation of an area. UAVs have advanced designs to carry small payloads and integrated flight control systems, giving them semiautonomous or fully autonomous flight capabilities. Miniaturized sensors are being developed/adapted for UAV payloads, including hyperspectral imagers, LIDAR, synthetic aperture radar, and thermal infrared sensors. UAVs are now used for a wide range of environmental applications, such as coastal wetland mapping, LIDAR bathymetry, flood and wildfire surveillance, tracking oil spills, urban studies, and Arctic ice investigations. © Coastal Education &amp; Research Foundation 2015.</t>
  </si>
  <si>
    <t>2-s2.0-84940913617"</t>
  </si>
  <si>
    <t>10.1016/j.advwatres.2015.09.020</t>
  </si>
  <si>
    <t>https://www.scopus.com/inward/record.uri?eid=2-s2.0-84945121708&amp;doi=10.1016%2fj.advwatres.2015.09.020&amp;partnerID=40&amp;md5=66dc1098f56d05dbfe1ace65b8560285</t>
  </si>
  <si>
    <t>A semi-automated vertical feature terrain extraction algorithm is described and applied to a two-dimensional, depth-integrated, shallow water equation inundation model. The extracted features describe what are commonly sub-mesh scale elevation details (ridge and valleys), which may be ignored in standard practice because adequate mesh resolution cannot be afforded. The extraction algorithm is semi-automated, requires minimal human intervention, and is reproducible. A lidar-derived digital elevation model (DEM) of coastal Mississippi and Alabama serves as the source data for the vertical feature extraction. Unstructured mesh nodes and element edges are aligned to the vertical features and an interpolation algorithm aimed at minimizing topographic elevation error assigns elevations to mesh nodes via the DEM. The end result is a mesh that accurately represents the bare earth surface as derived from lidar with element resolution in the floodplain ranging from 15 m to 200 m. To examine the influence of the inclusion of vertical features on overland flooding, two additional meshes were developed, one without crest elevations of the features and another with vertical features withheld. All three meshes were incorporated into a SWAN+ADCIRC model simulation of Hurricane Katrina. Each of the three models resulted in similar validation statistics when compared to observed time-series water levels at gages and post-storm collected high water marks. Simulated water level peaks yielded an R2 of 0.97 and upper and lower 95% confidence interval of ~ ± 0.60 m. From the validation at the gages and HWM locations, it was not clear which of the three model experiments performed best in terms of accuracy. Examination of inundation extent among the three model results were compared to debris lines derived from NOAA post-event aerial imagery, and the mesh including vertical features showed higher accuracy. The comparison of model results to debris lines demonstrates that additional validation techniques are necessary for state-of-the-art flood inundation models. In addition, the semi-automated, unstructured mesh generation process presented herein increases the overall accuracy of simulated storm surge across the floodplain without reliance on hand digitization or sacrificing computational cost. © 2015 Elsevier Ltd.</t>
  </si>
  <si>
    <t>2-s2.0-84945121708"</t>
  </si>
  <si>
    <t>10.1007/s11069-015-1869-5</t>
  </si>
  <si>
    <t>https://www.scopus.com/inward/record.uri?eid=2-s2.0-84944167358&amp;doi=10.1007%2fs11069-015-1869-5&amp;partnerID=40&amp;md5=ce9ab379cf6ba61cd3ce0a66bb0e51e5</t>
  </si>
  <si>
    <t>The identification of flood-prone areas is a critical issue becoming everyday more pressing for our society. A preliminary delineation can be carried out by DEM-based procedures that rely on basin geomorphologic features. In the present paper, we investigated the dominant topographic controls for the flood exposure using techniques of pattern classification through linear binary classifiers based on DEM-derived morphologic features. Our findings may help the definition of new strategies for the delineation of flood-prone areas with DEM-based procedures. With this aim, local features—which are generally used to describe the hydrological characteristics of a basin—and composite morphological indices are taken into account in order to identify the most significant one. Analyses are carried out on two different datasets: one based on flood simulations obtained with a 1D hydraulic model, and the second one obtained with a 2D hydraulic model. The analyses highlight the potential of each morphological descriptor for the identification of the extent of flood-prone areas and, in particular, the ability of one geomorphologic index to represent flood-inundated areas at different scales of application. © 2015, Springer Science+Business Media Dordrecht.</t>
  </si>
  <si>
    <t>2-s2.0-84944167358"</t>
  </si>
  <si>
    <t>10.1344/GeologicaActa2015.13.4.2</t>
  </si>
  <si>
    <t>https://www.scopus.com/inward/record.uri?eid=2-s2.0-84951932050&amp;doi=10.1344%2fGeologicaActa2015.13.4.2&amp;partnerID=40&amp;md5=954aa4cd20bf5e9ab0296999f06c195a</t>
  </si>
  <si>
    <t>The estuary of San Vicente de la Barquera (Cantabria, Spain) occupies two fluvial valleys that have incised into soft sedimentary rocks (Lower Mesozoic) and are controlled by inactive faults. These two estuary subsystems, the Escudo (main valley) and Gandarilla, share outer estuarine zones, i.e., a sandy bay and an estuary-mouth complex. The complexity of the system lies in the presence of a confining barrier formed by an aeolian dune/ beach system that is currently enclosed by a jetty, which has allowed the dune progradation over the past 50 years. Furthermore, connected to the inner inlet in the sand bay there is a flood-tidal delta, the most important morphosedimentary and dynamic unit. This unit exhibits a heart shape caused by the wide range of flows in this estuarine zone and channelizes the flows and sediments into the estuary, primarily during rising and high tides. In particular, the counter-clockwise surficial rotation due to the Coriolis effect is essential to the development of sand shoals, spill-over lobes, sand waves and megaripples. The presence of estuarine beaches into the bay is common in many Cantabrian estuaries, even culminating in small dune fields, in this case due to anthropogenic influences. This paper explains the impact on the estuary of human occupation and port management, focussing on the dynamic and sedimentary distribution of a bar-barrier estuary and the changes produced in its distal part by the construction of the two jetties in the mouth. © 2015, Universitat de Barcelona. All rights reserved.</t>
  </si>
  <si>
    <t>2-s2.0-84951932050"</t>
  </si>
  <si>
    <t>10.1016/j.ijdrr.2014.09.002</t>
  </si>
  <si>
    <t>https://www.scopus.com/inward/record.uri?eid=2-s2.0-84949451528&amp;doi=10.1016%2fj.ijdrr.2014.09.002&amp;partnerID=40&amp;md5=bd66227fe28b8b9c93252f807b4fe162</t>
  </si>
  <si>
    <t>One factor which increases the vulnerability of SIDS is their limited economic diversification. Many SIDS rely on the tourism industry as a key source of national income and employment, as they have a comparative advantage in this sector due to luxurious sandy beaches and picturesque coastlines. However, this reliance on tourism creates pressure to incentivize investors to undertake construction projects which may exacerbate the risk exposure of the local population. An example of this is Denarau island tourist area in Fiji.Denarau was designed and built as a tourist enclave located on the western coast of Fiji's main island, strategically located near the country's international airport. Fiji is one of the larger Pacific countries, and it has a full range of tourist options. From the outset Denarau was conceived to target the high end niche in the tourism sector, and substantial incentives were offered to large international investors. The site selected was extensively transformed, reclaimed and re-engineered to accommodate international hotel chains. While this exclusive zone was exquisitely engineered and flood proofed, settlement proceeded largely unregulated in the adjacent town and vicinity, and the already existing severe flood risk for local residents was exacerbated.It is imperative that national governments anticipate and weigh the long term implications of different business models and policy options in the tourism sector. The case study in Denarau shows that the policy path chosen increased vulnerability, which was ultimately transferred to the small business owners, hotel employees and local residents, causing hardships and losses. © 2015.</t>
  </si>
  <si>
    <t>2-s2.0-84949451528"</t>
  </si>
  <si>
    <t>10.1007/s10113-014-0725-6</t>
  </si>
  <si>
    <t>https://www.scopus.com/inward/record.uri?eid=2-s2.0-84947025825&amp;doi=10.1007%2fs10113-014-0725-6&amp;partnerID=40&amp;md5=44bc8c7cdc9027795e15530bbf1b54f8</t>
  </si>
  <si>
    <t>Coastal strand and wetland habitats in the Hawaiian Islands are often intensively managed to restore and maintain biodiversity. Due to the low gradient of most coastal plain environments, the rate and aerial extent of sea-level rise (SLR) impact will rapidly accelerate once the height of the sea surface exceeds a critical elevation. Here, we develop this concept by calculating a SLR critical elevation and joint uncertainty that distinguishes between slow and rapid phases of flooding. We apply the methodology to three coastal wetlands on the Hawaiian Islands of Maui and O‘ahu to exemplify the applicability of this methodology for wetlands in the Pacific island region. Using high-resolution LiDAR digital elevation models, flooded areas are mapped and ranked from high (80 %) to low (2.5 %) risk based upon the percent probability of flooding under the B1, A2, and A1Fl emissions scenarios. As the rate of flooding transitioned from the slow to rapid phase, the area (expressed as a percentage of the total) at a high risk of flooding under the A1Fl scenario increased from 21.0 to 53.3 % (south Maui), 0.3 to 18.2 % (north Maui), and 1.7 to 15.9 % (north O‘ahu). At the same time, low risk areas increased from 34.1 to 80.2, 17.7 to 46.9, and 15.4 to 46.3 %. The critical elevation of SLR may have already passed (2003) on south Maui, and decision makers on North Maui and O‘ahu may have approximately 37 years (2050) to develop, and implement adaptation strategies that meet the challenges of SLR in advance of the largest impacts. © 2014, Springer-Verlag Berlin Heidelberg.</t>
  </si>
  <si>
    <t>2-s2.0-84947025825"</t>
  </si>
  <si>
    <t>10.5194/nhess-15-2497-2015</t>
  </si>
  <si>
    <t>https://www.scopus.com/inward/record.uri?eid=2-s2.0-84946905418&amp;doi=10.5194%2fnhess-15-2497-2015&amp;partnerID=40&amp;md5=43c225960eca0aa6f5848fd08ba0a261</t>
  </si>
  <si>
    <t>Recent dramatic events have allowed significant progress to be achieved in coastal flood modelling over recent years. Classical approaches generally estimate wave overtopping by means of empirical formulas or 1-D simulations, and the flood is simulated on a DTM (digital terrain model), using soil roughness to characterize land use. The limits of these methods are typically linked to the accuracy of overtopping estimation (spatial and temporal distribution) and to the reliability of the results in urban areas, which are places where the assets are the most crucial. This paper intends to propose and apply a methodology to simulate simultaneously wave overtopping and the resulting flood in an urban area at a very high resolution. This type of 2-D simulation presents the advantage of allowing both the chronology of the storm and the particular effect of urban areas on the flows to be integrated. This methodology is based on a downscaling approach, from regional to local scales, using hydrodynamic simulations to characterize the sea level and the wave spectra. A time series is then generated including the evolutions of these two parameters, and imposed upon a time-dependent phase-resolving model to simulate the overtopping over the dike. The flood is dynamically simulated directly by this model: if the model uses adapted schemes (well balanced, shock capturing), the calculation can be led on a DEM (digital elevation model) that includes buildings and walls, thereby achieving a realistic representation of the urban areas. This methodology has been applied to an actual event, the Johanna storm (10 March 2008) in Gâvres (South Brittany, in western France). The use of the SURF-WB model, a very stable time-dependent phase-resolving model using non-linear shallow water equations and well-balanced shock-capturing schemes, allowed simulating both the dynamics of the overtopping and the flooding in the urban area, taking into account buildings and streets thanks to a very high resolution (1 m). The results obtained proved to be very coherent with the available reports in terms of overtopping sectors, flooded area, water depths and chronology. This method makes it possible to estimate very precisely not only the overtopping flows, but also the main characteristics of flooding in a complex topography like an urban area, and indeed the hazard at a very high resolution (water depths and vertically integrated current speeds). The comparison with a similar flooding simulation using a more classical approach (a digital terrain model with no buildings, and a representation of the urban area by an increased soil roughness) has allowed the advantages of an explicit representation of the buildings and the streets to be identified: if, in the studied case, the impact of the urbanization representation on water levels does indeed remain negligible, the flood dynamics and the current speeds can be considerably underestimated when no explicit representation of the buildings is provided, especially along the main streets. Moreover, on the seaside, recourse to a time-dependent phase-resolving model using non-stationary conditions allows a better representation of the flows caused by overtopping. Finally, this type of simulation is shown to be of value for hazard studies, thanks to the high level of accuracy of the results in urban areas where assets are concentrated. This methodology, although it is currently still quite difficult to implement and costly in terms of calculation time, can expect to be increasingly resorted to in years to come, thanks to the recent developments in wave models and to the increasing availability of LiDAR data. © Author(s) 2015.</t>
  </si>
  <si>
    <t>2-s2.0-84946905418"</t>
  </si>
  <si>
    <t>10.1016/j.ecoleng.2015.07.002</t>
  </si>
  <si>
    <t>https://www.scopus.com/inward/record.uri?eid=2-s2.0-84937132583&amp;doi=10.1016%2fj.ecoleng.2015.07.002&amp;partnerID=40&amp;md5=43abcc3255d686dc3d9899d5d37fefc6</t>
  </si>
  <si>
    <t>Tidal channels are structurally and functionally prominent features in tidal marshes, so their restoration is central to tidal marsh habitat restoration. Consequently, an important question in tidal marsh restoration is how many tidal channels can a restoration site support, and thus, how many dike breaches should be made to restore tidal inundation and tidal channels, if the dike is not to be removed entirely. Allometric analysis of reference tidal marshes in Puget Sound river deltas and the lower Columbia River Estuary showed that channel outlet count scales with marsh area, and that completed and proposed tidal marsh restoration projects had 5-fold fewer channel outlets than reference marshes. This deficiency likely impacts fish access to the restoration sites. After addressing the question of tidal channel outlet count, or dike breach count, the next design questions are how should dike breaches be oriented in tidal marsh islands and how should they be spaced. GIS and statistical analysis of reference marsh islands indicated that outlets of the two largest tidal channels draining a marsh island are typically oriented downstream, in parallel with the nearest river channel. However, the outlets of smaller tidal channels are oriented randomly. Tidal channel outlet spacing is generally independent of site size and constant within a river delta. Geometric mean spacing ranged from 122 m in the Snohomish Delta to 280 m in the North Fork Skagit Delta. These results provide important guidance to improve tidal marsh restoration design, and illustrate a useful approach to restoration design evaluation. © 2015 Elsevier B.V.</t>
  </si>
  <si>
    <t>2-s2.0-84937132583"</t>
  </si>
  <si>
    <t>10.1016/j.quaint.2015.01.022</t>
  </si>
  <si>
    <t>https://www.scopus.com/inward/record.uri?eid=2-s2.0-84941802473&amp;doi=10.1016%2fj.quaint.2015.01.022&amp;partnerID=40&amp;md5=f588c5c42644213511322121b8b1f332</t>
  </si>
  <si>
    <t>Freshwater availability is critical for human survival, and in the Saharo-Arabian desert belt repeated fluctuations between aridity and humidity over the Quaternary mean the distribution of freshwater was likely a primary control upon routes and opportunities for hominin dispersals. However, our knowledge of the spatio-temporal distribution of palaeohydrological resources within Arabia during Mid-Late Pleistocene episodes of climatic amelioration remains limited. In this paper we outline a combined method for remotely mapping the location of palaeodrainage and palaeolakes in currently arid regions that were formerly subject to more humid conditions. We demonstrate the potential of this approach by mapping palaeochannels across the whole Arabian Peninsula, and palaeolakes and marshes for select regions covering c. 10% of its surface. Our palaeodrainage mapping is based upon quantitative thresholding of HydroSHEDs data, which applies flow routing to Digital Elevation Model (DEM) data, while our palaeolake mapping uses an innovative method where spectral classification of Landsat Thematic Mapper (TM) imagery is used to detect palaeolake deposits within endorheic (closed) basins, before modelling maximum lake extents by flooding the basin to the level of the elevation of the highest detected deposit. Field survey in the Nefud desert and the Dawadmi and Shuwaymis regions of Saudi Arabia indicates accuracies of 86% for palaeodrainage mapping, and 96% for identifying former palaeolake basins (73% accuracy of classification of individual deposits). The palaeolake mapping method has also demonstrated potential for identifying surface and stratified archaeological site locations, with 76% of the surveyed palaeolake basins containing archaeological material, including stratified Palaeolithic archaeology. Initial examination of palaeodrainage in relation to archaeological sites indicates a relationship between mapped features and previously recorded Palaeolithic sites. An example of the application of these data for period-specific regional palaeohydrological and archaeological reconstructions is presented for a region of Northern Saudi Arabia covering the southern Nefud desert and adjacent lava fields. © 2015 Elsevier Ltd and INQUA.</t>
  </si>
  <si>
    <t>2-s2.0-84941802473"</t>
  </si>
  <si>
    <t>10.1016/j.geomorph.2015.04.022</t>
  </si>
  <si>
    <t>https://www.scopus.com/inward/record.uri?eid=2-s2.0-84937968503&amp;doi=10.1016%2fj.geomorph.2015.04.022&amp;partnerID=40&amp;md5=adfcd68be1497e70b36b2af7d66852fc</t>
  </si>
  <si>
    <t>Physical experiments of self-formed river channels and floodplains with live vegetation are pathways for understanding that complement numerical modelling. Recent experiments succeeded in creating braided rivers and dynamic meandering systems with clastic and vegetated floodplains. However, application of the insights gained from such experiments to natural systems depends on understanding potential scale effects, temporal, and spatial. Here we combine review, analysis, and experiments to identify fundamental problems of biomorphological river pattern formation that are open for further research in experiments. We first show by review and analysis that physics-based, linear bar theory predicts negligible spatial scale effects in bar and bend wavelength relative to channel width. Time scaling, on the other hand, remains problematic because it integrates multiple processes of sediment transport, floodplain formation, and bank failure affected by bank stratigraphy and riparian vegetation. As a tentative solution, we secondly present experimental methods to assess bank strength effects that can be used in the design of river pattern experiments. The third issue is that riparian vegetation has often been represented in experiments by uniformly seeded sprouts of a single plant species, whilst spectacularly different patterns are obtained with contrasting seeding protocols, showing the need for other experimental procedures, and alternative riparian species. The main challenge for future experiments is better understanding of temporal scaling of biomorphodynamics. © 2015 Elsevier B.V.</t>
  </si>
  <si>
    <t>2-s2.0-84937968503"</t>
  </si>
  <si>
    <t>10.1007/s10236-015-0861-7</t>
  </si>
  <si>
    <t>https://www.scopus.com/inward/record.uri?eid=2-s2.0-84937828837&amp;doi=10.1007%2fs10236-015-0861-7&amp;partnerID=40&amp;md5=739583445347cace96667e6772277dec</t>
  </si>
  <si>
    <t>This paper describes the application of a third-generation wave model and a hydrodynamic model to determine extreme waves and water levels associated to the incidence of tropical cyclones along the Mexican coast. In addition to historical records and to overcome the limitation associated to data scarcity in Mexico, we employ information from 3100 synthetic events generated from a statistical/deterministic hurricane model. This enables the generation of a more robust database for the characterization of extreme water levels along the Mexican coast. The procedure incorporates a storm track modeling approach where, for each hurricane (historic and synthetic), the entire track is numerically reproduced as it crosses the ocean and makes landfall. Extreme values for both, waves and storm surge, are determined through an extreme value analysis at each mesh element, allowing for the identification of their spatial variability. Results for the Gulf of Mexico show that highest waves are expected along both the Caribbean Sea and the northern coast of the Gulf of Mexico, while extreme water levels due to storm surge are identified in the northern part of the Yucatan Peninsula. On the other hand, along the Pacific coast, extreme values for waves are identified at the central mainland Mexico while storm surge is minimal. The methodology is proved to be a good alternative in the reproduction of continuously varying tropical cyclone climatology along the Mexican coastline, and it provides a rational approach for assessing the hurricane-induced risk in coastal areas. © 2015, Springer-Verlag Berlin Heidelberg.</t>
  </si>
  <si>
    <t>2-s2.0-84937828837"</t>
  </si>
  <si>
    <t>10.2112/JCOASTRES-D-14-00018.1</t>
  </si>
  <si>
    <t>https://www.scopus.com/inward/record.uri?eid=2-s2.0-84947609660&amp;doi=10.2112%2fJCOASTRES-D-14-00018.1&amp;partnerID=40&amp;md5=ce84cc741e0ac2921634aa202ccd5355</t>
  </si>
  <si>
    <t>Hereher, M.E., 2015. Assessment of South Sinai coastal vulnerability to climate change. Coastal vulnerability assessment is important to help achieve the sustainable use of coastal resources and to incorporate coastal hazards into coastal planning and decision making for integrated management. This study applied the coastal vulnerability index (CVI) to delineate susceptibility of the South Sinai coastline to climate change. The following variables pertaining to inherent shoreline characteristics were used in the assessment of the CVI: coastal slope, coastal geomorphology, fauna/flora, and socioeconomic factors. GIS and remote sensing analysis were employed to extract intrinsic attributes of the coast in this study area. Results showed that about one half of the 635-km-long coastline is exposed to high and very high coastal vulnerability to climate change, and global warming could exacerbate biologic suffering in the region. The Gulf of Suez is likely to be more vulnerable than the Gulf of Aqaba. Most areas susceptible to climate change include gentle, unconsolidated, coral assemblages and inhabited coastal segments. Coastal zone managers should implement remediation plans for any anticipated ecosystem disruption episodes. © 2015 Coastel Education and Research, Inc.</t>
  </si>
  <si>
    <t>2-s2.0-84947609660"</t>
  </si>
  <si>
    <t>10.5194/nhess-15-2209-2015</t>
  </si>
  <si>
    <t>https://www.scopus.com/inward/record.uri?eid=2-s2.0-84943806561&amp;doi=10.5194%2fnhess-15-2209-2015&amp;partnerID=40&amp;md5=bb4144e792714e0cd231616fe014f07a</t>
  </si>
  <si>
    <t>The extreme sea levels and waves experienced around the UK's coast during the 2013/14 winter caused extensive coastal flooding and damage. Coastal managers seek to place such extremes in relation to the anticipated standards of flood protection, and the long-term recovery of the natural system. In this context, return periods are often used as a form of guidance. This paper provides these levels for the winter storms, and discusses their application to the given data sets for two UK case study sites: Sefton, northwest England, and Suffolk, east England. Tide gauge records and wave buoy data were used to compare the 2013/14 storms with return periods from a national data set, and also joint probabilities of sea level and wave heights were generated, incorporating the recent events. The 2013/14 high waters and waves were extreme due to the number of events, as well as the extremity of the 5 December 2013 ""Xaver"" storm, which had a high return period at both case study sites. The national-scale impact of this event was due to its coincidence with spring high tide at multiple locations. Given that this event is such an outlier in the joint probability analyses of these observed data sets, and that the season saw several events in close succession, coastal defences appear to have provided a good level of protection. This type of assessment could in the future be recorded alongside defence performance and upgrade. Ideally other variables (e.g. river levels at estuarine locations) would also be included, and with appropriate offsetting for local trends (e.g. mean sea-level rise) so that the storm-driven component of coastal flood events can be determined. This could allow long-term comparison of storm severity, and an assessment of how sea-level rise influences return levels over time, which is important for consideration of coastal resilience in strategic management plans. © 2015 Author(s).</t>
  </si>
  <si>
    <t>2-s2.0-84943806561"</t>
  </si>
  <si>
    <t>10.1016/j.ejrh.2015.06.006</t>
  </si>
  <si>
    <t>https://www.scopus.com/inward/record.uri?eid=2-s2.0-84936881895&amp;doi=10.1016%2fj.ejrh.2015.06.006&amp;partnerID=40&amp;md5=b2bc5f60ea448faced5f2564b0c1fe0d</t>
  </si>
  <si>
    <t>Study region: The Pearl River, located in the south of China, is the second largest river in China in terms of streamflow. Study focus: The study aims to assess the impact of climate change on seasonal discharge and extreme flows. For the assessment we use the variable infiltration capacity (VIC) model driven by bias-corrected results of five different climate models under the IPCC scenarios RCP4.5 and 8.5. New hydrological insights for the region: Previous studies focussed on annual discharge and extreme flood events in the basin. However it is also important to assess variations in low flow across the basin, because it is suffering from water shortage and salt water intrusion in the dry season. Results indicate a reduction in average low flow under the five climate models. The reduction varies across the basin and is between 6 and 48% for RCP4.5. River discharge in the dry season is projected to decrease throughout the basin. In the wet season, river discharge tends to increase in the middle and lower reaches and decrease in the upper reach of the Pearl River basin. The variation of river discharge is likely to aggravate water stress. Especially the reduction of low flow is problematic as already now the basin experiences temporary water shortages in the delta. © 2015 The Authors.</t>
  </si>
  <si>
    <t>2-s2.0-84936881895"</t>
  </si>
  <si>
    <t>10.1016/j.epsl.2015.06.047</t>
  </si>
  <si>
    <t>https://www.scopus.com/inward/record.uri?eid=2-s2.0-84937127539&amp;doi=10.1016%2fj.epsl.2015.06.047&amp;partnerID=40&amp;md5=b59d5773882804dee20a4b830d4285f9</t>
  </si>
  <si>
    <t>The northern Antarctic Peninsula is one of the fastest changing regions on Earth. The disintegration of the Larsen-A Ice Shelf in 1995 caused tributary glaciers to adjust by speeding up, surface lowering, and overall increased ice-mass discharge. In this study, we investigate the temporal variation of these changes at the Dinsmoor-Bombardier-Edgeworth glacier system by analyzing dense time series from various spaceborne and airborne Earth observation missions. Precollapse ice shelf conditions and subsequent adjustments through 2014 were covered. Our results show a response of the glacier system some months after the breakup, reaching maximum surface velocities at the glacier front of up to 8.8 m/d in 1999 and a subsequent decrease to ~1.5 m/d in 2014. Using a dense time series of interferometrically derived TanDEM-X digital elevation models and photogrammetric data, an exponential function was fitted for the decrease in surface elevation. Elevation changes in areas below 1000 m a.s.l. amounted to at least 130. ± 15 m between 1995 and 2014, with change rates of ~3.15 m/a between 2003 and 2008. Current change rates (2010-2014) are in the range of 1.7 m/a. Mass imbalances were computed with different scenarios of boundary conditions. The most plausible results amount to -40.7. ± 3.9 Gt. The contribution to sea level rise was estimated to be 18.8. ± 1.8 Gt, corresponding to a 0.052. ± 0.005 mm sea level equivalent, for the period 1995-2014. Our analysis and scenario considerations revealed that major uncertainties still exist due to insufficiently accurate ice-thickness information. The second largest uncertainty in the computations was the glacier surface mass balance, which is still poorly known. Our time series analysis facilitates an improved comparison with GRACE data and as input to modeling of glacio-isostatic uplift in this region. The study contributed to a better understanding of how glacier systems adjust to ice shelf disintegration. © 2015 Elsevier B.V.</t>
  </si>
  <si>
    <t>2-s2.0-84937127539"</t>
  </si>
  <si>
    <t>10.1080/08920753.2015.1051418</t>
  </si>
  <si>
    <t>https://www.scopus.com/inward/record.uri?eid=2-s2.0-84944685343&amp;doi=10.1080%2f08920753.2015.1051418&amp;partnerID=40&amp;md5=f0031c85b190222e6483ba5e325a784b</t>
  </si>
  <si>
    <t>This article uses coastal flood insurance policy in the United States to discuss the influence of historical and existing policy frameworks on the development of new policy directions in coastal management within a context of risk perception. It is presumed that under conditions of current and future sea-level rise, coastal planning will have to develop forward-looking policy instruments focused on managing human expectations, particularly the expectations of those living along the coast. Planning will be supported, in large part, by evolving scientific evidence on sea-level rise and the attendant hazards that accompany this phenomenon. It is likely that policy proposals for future coastal management will deviate to some degree from previous management practices. The role of previous management practices in supporting a perception of risk that deviates from actual risks is explored using historical and current coastal flood insurance policy in the United States as an example. The goal of this analysis is to highlight the importance of community risk perception, as a function of past policy practice, when considering new coastal management policy directions. © 2015, Taylor &amp; Francis Group, LLC.</t>
  </si>
  <si>
    <t>2-s2.0-84944685343"</t>
  </si>
  <si>
    <t>International Journal of Interdisciplinary Studies in Communication</t>
  </si>
  <si>
    <t>https://www.scopus.com/inward/record.uri?eid=2-s2.0-84944679699&amp;partnerID=40&amp;md5=969f3717c69c9906e74c5f65dc8cf57a</t>
  </si>
  <si>
    <t>This study, guided by the diffusion of innovations theory, explored the communication patterns of flood recession (molapo) farming communities in the Okavango Delta, Botswana, with a view to informing the knowledge translation interventions of the Botswana EcoHealth Project. A sample of 161 respondents from three different communities participated in this study. Data were analyzed using descriptive statistics. Results indicate that the molapo farming communities in the Okavango Delta: 1) have mass-media technologies, though limited to radio and television, 2) depend on radio and kgotla (public communal place) as a channel for agricultural and environmental related information, and 3) rarely use print media. The findings indicate that the most appropriate channels for information diffusion among the molapo communities are the use of group channel, the kgotla, and the radio, as the majority of the respondents indicated frequent use of these as information sources. Over half of the respondents demonstrated a general awareness of molapo farming potential to cause water-borne diseases. The implication of these findings for communicators and knowledge translation interventions is that wider communication intervention impacts among the molapo communities can be achieved through a use of radio and a hybrid of kgotla-workshops. Suggestions for future research directions are highlighted. © 2015 Common Ground, Olekae Tsompi Thakadu, Barbara Ntombi Ngwenya, Lapologang Magole, Moses Chimbari, All Rights Reserved.</t>
  </si>
  <si>
    <t>2-s2.0-84944679699"</t>
  </si>
  <si>
    <t>10.1007/s10040-015-1263-0</t>
  </si>
  <si>
    <t>https://www.scopus.com/inward/record.uri?eid=2-s2.0-84937974627&amp;doi=10.1007%2fs10040-015-1263-0&amp;partnerID=40&amp;md5=c7677f8aaf622a2cb9411569b2552a45</t>
  </si>
  <si>
    <t>Many coastal areas historically were inundated by seawater, but have since undergone land reclamation to enable settlements and farming. This study focuses on the coastal unconfined aquifer in the Po Plain near Ravenna, Italy. Freshwater is present as isolated thin (1–5 m) lenses on top of brackish to saline water. Historical maps show large areas of sea inundation until approximately 150–200 years ago when coastal progradation and construction of the drainage canals began. Since then, the aquifer has been freshening from recharge. A three-dimensional SEAWAT model is used to simulate a 200-year freshening history, starting with a model domain that is saturated with seawater, and applying recharge across the top model layer. Calibration to the observed concentrations for discrete depths within many monitoring wells is remarkably good. The current distribution of freshwater is largely controlled by the drainage network. Within and adjacent to the drains, the groundwater has high salinity due to up-coning of salt water. Between drains, the surface layers of the aquifer are fresh due to the flushing action of recharge. The modeling results are consistent with cation exchange processes revealed in the groundwater chemistry and with freshwater lenses identified in electrical resistivity soundings. © 2015, Springer-Verlag Berlin Heidelberg.</t>
  </si>
  <si>
    <t>2-s2.0-84937974627"</t>
  </si>
  <si>
    <t>10.1002/2014JC010414</t>
  </si>
  <si>
    <t>https://www.scopus.com/inward/record.uri?eid=2-s2.0-84945457822&amp;doi=10.1002%2f2014JC010414&amp;partnerID=40&amp;md5=c9ac276e16c09e873310dc9261ac12b2</t>
  </si>
  <si>
    <t>Tide is one of the most important hydrodynamic driving forces and has unique features in the Yangtze Estuary (YE) due to the complex geometry of third-order bifurcations and four outlets. This paper characterizes the tidal oscillations, tidal dampening, tidal asymmetry, and tidal wave propagation, which provides insights into the response of the estuary to tides during the dry season. The structural components of tidal oscillations are initially attained by tidal analysis. The increasingly richer spectrum inside the estuary shows an energy transfer corresponding to the generation and development of nonlinear overtides and compound tides. A 2-D numerical model is further set up to reproduce tidal dynamics in the estuary. The results show that the estuary is a strongly dissipative estuary with a strong nonlinear phenomenon. Three amplifications are presented in the evolution process of tidal ranges due to the channel convergence. Tidal asymmetry is spatiotemporally characterized by the M4/M2 amplitude ratio, the 2M2-M4 phase difference, and the flood-ebb duration-asymmetry parameter, and the estuary tends to be flood-dominant. There exists mimic standing waves with the phase difference of the horizontal and vertical tide close to 90? when tidal wave propagates into the estuary, especially during the neap tide. In addition, the differences in tidal distortion, tidal ranges, and tidal waves along the two routes in the South Branch (S-B) suggest the branched system behaves differently from a single system. © 2015. American Geophysical Union. All Rights Reserved.</t>
  </si>
  <si>
    <t>2-s2.0-84945457822"</t>
  </si>
  <si>
    <t>10.1007/s13280-015-0652-x</t>
  </si>
  <si>
    <t>https://www.scopus.com/inward/record.uri?eid=2-s2.0-84947488515&amp;doi=10.1007%2fs13280-015-0652-x&amp;partnerID=40&amp;md5=d231f64908472e2d22d8eb0b92dc61fe</t>
  </si>
  <si>
    <t>We present a synoptic, participatory vulnerability assessment tool to help identify the likely impacts of climate change and human activity in coastal areas and begin discussions among stakeholders on the coping and adaptation measures necessary to minimize these impacts. Vulnerability assessment tools are most needed in the tropical Indo-Pacific, where burgeoning populations and inequitable economic growth place even greater burdens on natural resources and support ecosystems. The Integrated Coastal Sensitivity, Exposure, and Adaptive Capacity for Climate Change (I-C-SEA Change) tool is built around a series of scoring rubrics to guide non-specialists in assigning scores to the sensitivity and adaptive capacity components of vulnerability, particularly for coral reef, seagrass, and mangrove habitats, along with fisheries and coastal integrity. These scores are then weighed against threat or exposure to climate-related impacts such as marine flooding and erosion. The tool provides opportunities for learning by engaging more stakeholders in participatory planning and group decision-making. It also allows for information to be collated and processed during a “town-hall” meeting, facilitating further discussion, data validation, and even interactive scenario building. © 2015, Royal Swedish Academy of Sciences.</t>
  </si>
  <si>
    <t>2-s2.0-84947488515"</t>
  </si>
  <si>
    <t>10.1016/j.envsoft.2015.07.021</t>
  </si>
  <si>
    <t>https://www.scopus.com/inward/record.uri?eid=2-s2.0-84939607549&amp;doi=10.1016%2fj.envsoft.2015.07.021&amp;partnerID=40&amp;md5=458444f68a8f03e926034297f3af9df3</t>
  </si>
  <si>
    <t>As sea-level rises, the frequency of coastal marine flooding events is changing. For accurate assessments, several other factors must be considered as well, such as the variability of sea-level rise and storm surge patterns. Here, a global sensitivity analysis is used to provide quantitative insight into the relative importance of contributing uncertainties over the coming decades. The method is applied on an urban low-lying coastal site located in the north-western Mediterranean, where the yearly probability of damaging flooding could grow drastically after 2050 if sea-level rise follows IPCC projections. Storm surge propagation processes, then sea-level variability, and, later, global sea-level rise scenarios become successively important source of uncertainties over the 21st century. This defines research priorities that depend on the target period of interest. On the long term, scenarios RCP 6.0 and 8.0 challenge local capacities of adaptation for the considered site. © 2015 The Authors.</t>
  </si>
  <si>
    <t>2-s2.0-84939607549"</t>
  </si>
  <si>
    <t>10.5194/nhess-15-1973-2015</t>
  </si>
  <si>
    <t>https://www.scopus.com/inward/record.uri?eid=2-s2.0-84941217981&amp;doi=10.5194%2fnhess-15-1973-2015&amp;partnerID=40&amp;md5=3b1fc75ce7f969dea81834570da4177a</t>
  </si>
  <si>
    <t>River deltas are dynamic coastal systems and their evolutions are closely monitored as it often concentrates vital natural resources for the surrounding areas. Many deltas worldwide experience subsidence due to geological processes (sediment loading and compaction) or human activities (groundwater or hydrocarbon extraction, land reclamation). This causes shoreline erosion or wetland loss which represent serious issues for the population. In this study we investigate the dynamic of the Var delta (France) where reclaimed lands over sea have been built to host the Nice côte d'Azur airport (NCA). Actually, the stability of this infrastructure is a permanent concern since, in 1979, a newly built extension of the runway platform collapsed in the sea, causing important damages. The project of land extension stopped, but the present airport platform is still located on reclaimed land. Factors that can trigger such catastrophic landslide are thought to be linked to the delta activity and the artificial airport platform load. We used, therefore, Envisat InSAR data to measure accurately the ground deformation of the area that includes the Var delta and NCA airport. Combining data from ascending and descending orbits, we estimated the east-west and vertical components of the deformation and obtained very accurate displacement rate (with a 1? error of 0.25 mm yr-1). We found that nearly all the deformation is vertical and impacts the whole Var delta. The Var valley subsides at a very low rate (0.5-1 mm yr-1) but downstream the subsidence rate increases and a clear jump is observed at the transition with the reclaimed lands (1-2 mm yr-1). On average, the reclaimed lands subside at 3 mm yr-1. Since the subsidence rate increases in correlation with the sediment thickness, we interpret it as the compaction of the delta quaternary sedimentary wedge. In addition, three areas subside faster (between 5 and 10 mm yrg'1), with one calling for more attention as it is the largest and overlooks the steep Var canyon. The progressive increase of subsidence rates toward the sea also suggests that the underwater parts of the margins could subside at rates well above 10 mm yr-1. © Author(s) 2015.</t>
  </si>
  <si>
    <t>2-s2.0-84941217981"</t>
  </si>
  <si>
    <t>10.1007/s12517-015-1859-7</t>
  </si>
  <si>
    <t>https://www.scopus.com/inward/record.uri?eid=2-s2.0-84945478168&amp;doi=10.1007%2fs12517-015-1859-7&amp;partnerID=40&amp;md5=c0c742d60b845606c2526a93085fd8a5</t>
  </si>
  <si>
    <t>The current research aims at studying the runoff of Wadi Hadramawt employing mathematical models which comprise several methodologies. Moreover, flood damage mitigation structure was designed in accordance with the study outputs in order to mitigate flood risks. To achieve the research aims, data on precipitation, geological map, soil type, and land use were collected from the Yemen General Authority for Meteorology and Yemen Surveying Authority. A digital elevation model (DEM) is used for topographic maps. Frequency analysis techniques for maximum 25-, 50- and 100 years return period rainfall probability for Wadi Hadramawt were determined. The watershed modelling system (WMS) software package was used to delineate Wadi Hadramawt catchment and divide the catchment into eight sub-catchments. HEC-HMS software package was used to estimate the flood hydrographs for the eight sub-catchments. From the hydrological studies, dam structures at two sub-catchments were found essential to mitigate the flood risks in Hadramawt zone. © 2015, Saudi Society for Geosciences.</t>
  </si>
  <si>
    <t>2-s2.0-84945478168"</t>
  </si>
  <si>
    <t>10.5194/os-11-643-2015</t>
  </si>
  <si>
    <t>https://www.scopus.com/inward/record.uri?eid=2-s2.0-84940979441&amp;doi=10.5194%2fos-11-643-2015&amp;partnerID=40&amp;md5=3840276961f44814f166ad5b6f342549</t>
  </si>
  <si>
    <t>In the present work, an advanced tsunami generation, propagation and coastal inundation 2-DH model (i.e. 2-D Horizontal model) based on the higher-order Boussinesq equations - developed by the authors - is applied to simulate representative earthquake-induced tsunami scenarios in the Eastern Mediterranean. Two areas of interest were selected after evaluating tsunamigenic zones and possible sources in the region: one at the southwest of the island of Crete in Greece and one at the east of the island of Sicily in Italy. Model results are presented in the form of extreme water elevation maps, sequences of snapshots of water elevation during the propagation of the tsunamis, and inundation maps of the studied low-lying coastal areas. This work marks one of the first successful applications of a fully nonlinear model for the 2-DH simulation of tsunami-induced coastal inundation</t>
  </si>
  <si>
    <t>10.1073/pnas.1505541112</t>
  </si>
  <si>
    <t>https://www.scopus.com/inward/record.uri?eid=2-s2.0-84942844633&amp;doi=10.1073%2fpnas.1505541112&amp;partnerID=40&amp;md5=a8967f52cc31f7416f75fd9970c7cdba</t>
  </si>
  <si>
    <t>Elevated levels of neurotoxic methylmercury in Arctic food-webs pose health risks for indigenous populations that consume large quantities of marine mammals and fish. Estuaries provide critical hunting and fishing territory for these populations, and, until recently, benthic sediment was thought to be the main methylmercury source for coastal fish. New hydroelectric developments are being proposed in many northern ecosystems, and the ecological impacts of this industry relative to accelerating climate changes are poorly characterized. Here we evaluate the competing impacts of climate-driven changes in northern ecosystems and reservoir flooding on methylmercury production and bioaccumulation through a case study of a stratified sub-Arctic estuarine fjord in Labrador, Canada. Methylmercury bioaccumulation in zooplankton is higher than in midlatitude ecosystems. Direct measurements and modeling show that currently the largest methylmercury source is production in oxic surface seawater. Water-column methylation is highest in stratified surface waters near the river mouth because of the stimulating effects of terrestrial organic matter on methylating microbes. We attribute enhanced biomagnification in plankton to a thin layer of marine snow widely observed in stratified systems that concentrates microbial methylation and multiple trophic levels of zooplankton in a vertically restricted zone. Large freshwater inputs and the extensive Arctic Ocean continental shelf mean these processes are likely widespread and will be enhanced by future increases in water-column stratification, exacerbating high biological methylmercury concentrations. Soil flooding experiments indicate that near-term changes expected from reservoir creation will increase methylmercury inputs to the estuary by 25-200%, overwhelming climate-driven changes over the next decade.</t>
  </si>
  <si>
    <t>2-s2.0-84942844633"</t>
  </si>
  <si>
    <t>10.1111/1752-1688.12331</t>
  </si>
  <si>
    <t>https://www.scopus.com/inward/record.uri?eid=2-s2.0-84949032759&amp;doi=10.1111%2f1752-1688.12331&amp;partnerID=40&amp;md5=37ec58d4ef8fe28f322b5b716a13a175</t>
  </si>
  <si>
    <t>Major coastal flooding events over the last decade have led decision makers in the United States to favor structural engineering solutions as a means to protect vulnerable coastal communities from the adverse impacts of future storms. While a resistance-based approach to flood mitigation involving large-scale construction works may be a central component of a regional flood risk reduction strategy, it is equally important to consider the role of land use and land cover (LULC) patterns in protecting communities from floods. To date, little observational research has been conducted to quantify the effects of various LULC configurations on the amount of property damage occurring across coastal regions over time. In response, we statistically examine the impacts of LULC on observed flood damage across 2,692 watersheds bordering the Gulf of Mexico. Specifically, we analyze statistical linear regression models to isolate the influence of multiple LULC categories on over 372,000 insured flood losses claimed under the National Flood Insurance Program per year from 2001 to 2008. Results indicate that percent increase in palustrine wetlands is the equivalent to, on average, a $13,975 reduction in insured flood losses per year, per watershed. These and other results provide important insights to policy makers on how protecting specific types of LULC can help reduce adverse impacts to local communities. © 2015 American Water Resources Association.</t>
  </si>
  <si>
    <t>2-s2.0-84949032759"</t>
  </si>
  <si>
    <t>10.2112/JCOASTRES-D-14-00015.1</t>
  </si>
  <si>
    <t>https://www.scopus.com/inward/record.uri?eid=2-s2.0-84947569774&amp;doi=10.2112%2fJCOASTRES-D-14-00015.1&amp;partnerID=40&amp;md5=499bfaab782fb77253c7fd22e6282aca</t>
  </si>
  <si>
    <t>Wamsley, T.V.</t>
  </si>
  <si>
    <t>10.1007/s11069-015-1838-z</t>
  </si>
  <si>
    <t>https://www.scopus.com/inward/record.uri?eid=2-s2.0-84941416266&amp;doi=10.1007%2fs11069-015-1838-z&amp;partnerID=40&amp;md5=814aed3fb2dcf99b4ba63da68ae28949</t>
  </si>
  <si>
    <t>Storm surges account for increasing economic losses and casualties (including death and missing) because of sea-level rise and growing population in coastal areas. China is one of the several countries severely affected by storm surge disasters. In this study, the annual variation and geographical distribution of direct economic losses and casualties caused by storm surge in coastal areas of China were analyzed based on the losses database. The results show that: (1) the frequency of the tropical storm surges over the past 65 years has risen remarkably with a significant trend, while the frequency of extra-tropical storm surges does not display this trend</t>
  </si>
  <si>
    <t>10.1007/s10661-015-4868-9</t>
  </si>
  <si>
    <t>https://www.scopus.com/inward/record.uri?eid=2-s2.0-84942531738&amp;doi=10.1007%2fs10661-015-4868-9&amp;partnerID=40&amp;md5=8201a48f55d727278d6ada1896ab5b0f</t>
  </si>
  <si>
    <t>In this study, the future impact of Sea Level Rise (SLR) on the Nile Delta region in Egypt is assessed by evaluating the elevations of two freely available Digital Elevation Models (DEMs): the SRTM and the ASTER-GDEM-V2. The SLR is a significant worldwide dilemma that has been triggered by recent climatic changes. In Egypt, the Nile Delta is projected to face SLR of 1 m by the end of the 21th century. In order to provide a more accurate assessment of the future SLR impact on Nile Delta’s land and population, this study corrected the DEM’s elevations by using linear regression model with ground elevations from GPS survey. The information for the land cover types and future population numbers were derived from the Moderate Resolution Imaging Spectroradiometer (MODIS) land cover and the Gridded Population of the Worlds (GPWv3) datasets respectively. The DEM’s vertical accuracies were assessed using GPS measurements and the uncertainty analysis revealed that the SRTM-DEM has positive bias of 2.5 m, while the ASTER-GDEM-V2 showed a positive bias of 0.8 m. The future inundated land cover areas and the affected population were illustrated based on two SLR scenarios of 0.5 m and 1 m. The SRTM DEM data indicated that 1 m SLR will affect about 3900 km2 of cropland, 1280 km2 of vegetation, 205 km2 of wetland, 146 km2 of urban areas and cause more than 6 million people to lose their houses. The overall vulnerability assessment using ASTER-GDEM-V2 indicated that the influence of SLR will be intense and confined along the coastal areas. For instance, the data indicated that 1 m SLR will inundate about 580 Km2 (6 %) of the total land cover areas and approximately 887 thousand people will be relocated. Accordingly, the uncertainty analysis of the DEM’s elevations revealed that the ASTER-GDEM-V2 dataset product was considered the best to determine the future impact of SLR on the Nile Delta region. © 2015, Springer International Publishing Switzerland.</t>
  </si>
  <si>
    <t>2-s2.0-84942531738"</t>
  </si>
  <si>
    <t>10.1177/0309133315598269</t>
  </si>
  <si>
    <t>https://www.scopus.com/inward/record.uri?eid=2-s2.0-84948701696&amp;doi=10.1177%2f0309133315598269&amp;partnerID=40&amp;md5=046b612c30ac2214a7624c339caa0fe7</t>
  </si>
  <si>
    <t>Maldivian paths for economic development have historically been constrained by the morphology of atoll islands and the availability of material resources. These constraints are most evident when examining the development of Male’, the Maldives’ capital and most populous island. Before the 1970s, Male’ was a rather typical atoll island, consisting of accumulated rubble and sand with an underlying lagoonal reef (faro) structure. Rising population and standard-of-living expectations in Male’ led to accelerated coral mining of Male’s reefs in the 1970s and 80s for both landfill and construction material, extending the island’s land surface across Male’s lagoon and reef flats, close to the edge of its underlying faro. This combination of mining and fill degraded the island’s natural defenses against wave events, resulting in disastrous floods in April 1987 and the fortification of the coastline with seawalls shortly thereafter. The degree of degradation to natural defenses and amount of investment in urban building stock have jointly locked Male’ into a “hard path” for coastal resilience engineering, and both the damage patterns and response to the 2004 Indian Ocean tsunami demonstrate that the Male’ model of development and degradation has spread to smaller Maldivian islands. While hard measures have proven successful in preventing further damage, their expense has led to greater interest in “soft path,” ecosystem-based resilience measures. The degree of local ecosystem damage, combined with high vulnerability to climate change and Male’s continued growth, means that such measures can only be seen as supplements to heavier fortification in the future, including raised (Th. Vilufushi) or artificial islands (Hulhumale’). The intersecting role hydrological stress on Maldivian groundwater has played in Male’s development path is also discussed. © 2015, © The Author(s) 2015.</t>
  </si>
  <si>
    <t>2-s2.0-84948701696"</t>
  </si>
  <si>
    <t>10.1016/j.ejrs.2015.06.007</t>
  </si>
  <si>
    <t>https://www.scopus.com/inward/record.uri?eid=2-s2.0-84947869259&amp;doi=10.1016%2fj.ejrs.2015.06.007&amp;partnerID=40&amp;md5=df55ffba7fe2c5a51beaad93042c3f44</t>
  </si>
  <si>
    <t>Flash flood in the cities led to high levels of water in the streets and roads, causing many problems such as bridge collapse, building damage and traffic problems. It is impossible to avoid risks of floods or prevent their occurrence, however it is plausible to work on the reduction of their effects and to reduce the losses which they may cause. Flash flood mapping to identify sites in high risk flood zones is one of the powerful tools for this purpose. Mapping flash flood will be beneficial to urban and infrastructure planners, risk managers and disaster response or emergency services during extreme and intense rainfall events. The objective of this paper is to generate flash flood map for Najran city, Saudi Arabia, using satellite images and GIS tools. To do so, we use SPOT and SRTM DEMs data for which accuracy assessment is achieved by using check points, obtained by GPS observations. Analytical Hierarchical Process (AHP) is used to determine relative impact weight of flood causative factors to get a composite flood hazard index (FHI). The causative factors in this study are runoff, soil type, surface slope, surface roughness, drainage density, distance to main channel and land use. All used data are finally integrated in an ArcMap to prepare a final flood hazard map for study area. The areas in high risk flood zones are obtained by overlaying the flood hazard index map with the zone boundaries layer. The affected population number and land area are determined and compared. © 2015 Authority for Remote Sensing and Space Sciences.</t>
  </si>
  <si>
    <t>2-s2.0-84947869259"</t>
  </si>
  <si>
    <t>10.1007/s00382-015-2486-4</t>
  </si>
  <si>
    <t>https://www.scopus.com/inward/record.uri?eid=2-s2.0-84946471659&amp;doi=10.1007%2fs00382-015-2486-4&amp;partnerID=40&amp;md5=03623b2f6687411b8398985db7723ec7</t>
  </si>
  <si>
    <t>In the context of increased coastal hazards due to variability in storminess patterns, the danger of coastal damages and/or morphological changes is related to the sum of sea level conditions, storm surge, maximum wave height and run up values. In order to better understand the physical processes that cause the variability of the above parameters a 44 years reanalysis record (HIPOCAS) was used. The HIPOCAS time-series was validated with real wave and sea-level data using linear and vector correlation methods. In the present work changes in the magnitude, duration, frequency and approach direction of the Atlantic storms over the Gulf of Cadiz (SW Iberian Peninsula) were identified by computing various storm characteristics such as maximum wave height, total energy per storm wave direction and storm duration. The obtained time-series were compared with large-scale atmospheric indices such as the North Atlantic Oscillation (NAO) and the East Atlantic pattern. The results show a good correlation between negative NAO values and increased storminess over the entire Gulf of Cadiz. Furthermore, negative NAO values were correlated with high residual sea level values. Finally, a joint probability analysis of storm and sea level analysis resulted in increased probabilities of the two events happening at the same time indicating higher vulnerability of the coast and increased coastal risks. The above results were compared with coastal inundation events that took place over the last winter seasons in the province of Cadiz. © 2015, Springer-Verlag Berlin Heidelberg.</t>
  </si>
  <si>
    <t>2-s2.0-84946471659"</t>
  </si>
  <si>
    <t>Frontiers in Earth Sciences</t>
  </si>
  <si>
    <t>10.3389/feart.2015.00072</t>
  </si>
  <si>
    <t>https://www.scopus.com/inward/record.uri?eid=2-s2.0-85027466892&amp;doi=10.3389%2ffeart.2015.00072&amp;partnerID=40&amp;md5=e7618781dbab60e8123f38970729d711</t>
  </si>
  <si>
    <t>Improvements in Light Detection and Ranging (LiDAR) technology and spatial analysis of high-resolution digital elevation models (DEMs) have advanced the accuracy and diversity of applications for coastal hazards and natural resources management. This article presents a concise synthesis of LiDAR analysis for coastal flooding and management applications in low-relief coastal plains and a case study demonstration of a new, efficient drainage mapping algorithm. The impetus for these LiDAR applications follows historic flooding from Hurricane Floyd in 1999, after which the State of North Carolina and the Federal Emergency Management Agency (FEMA) undertook extensive LiDAR data acquisition and technological developments for high-resolution floodplain mapping. An efficient algorithm is outlined for hydro-conditioning bare earth (BE) LiDAR DEMs using available US Geological Survey1 National Hydrography Dataset (NHD) canal and ditch vectors. The methodology is illustrated in Moyock, North Carolina, for refinement of hydro-conditioning by combining pre-existing BE DEMs with spatial analysis of LiDAR point clouds in segmented and buffered ditch and canal networks. The methodology produces improved maps of fine-scale drainage, reduced omission of areal flood inundation, and subwatershed delineations that typify heavily ditched and canalled drainage areas. These preliminary results illustrate the capability of the technique to improve the representation of ditches in DEMs as well as subsequent flow and inundation modeling that could spur further research on low-relief coastal LiDAR applications. © 2015 Allen and Howard.</t>
  </si>
  <si>
    <t>2-s2.0-85027466892"</t>
  </si>
  <si>
    <t>10.1016/j.margeo.2015.10.010</t>
  </si>
  <si>
    <t>https://www.scopus.com/inward/record.uri?eid=2-s2.0-84945115928&amp;doi=10.1016%2fj.margeo.2015.10.010&amp;partnerID=40&amp;md5=1cb0cb7e1e749d7bed05c7b6eb8b8964</t>
  </si>
  <si>
    <t>Impacts of storm clustering on beach/dune morphodynamics were investigated by applying the state-of-the-art numerical model XBeach to Formby Point (Sefton coast, UK). The adopted storm cluster was established by analysing the observed winter storms from December 2013 to January 2014 using a storm threshold wave height. The first storm that occurred during this period is regarded as exceptionally intense, and the occurrence of such a cluster of events is very unusual. A 1D model was setup for the highly dynamic cross-shore at Formby Point. After initial calibration of the model parameters against available post-storm profile data, the model was used for the simulation of the storm cluster. It was assumed that no beach recovery occurred between adjacent storms due to the very short time intervals between storms. As a result, the final predicted post-storm profile of the previous storm was used as the pre-storm profile of the subsequent storm. The predicted evolution during each storm was influenced by the previous storms in the cluster. Due to the clustering effect, the bed level change is not proportional to the storm power of events within the cluster, as it would be in an individual storm case. Initially, the large storm events interact with the multi-bared foreshore enabling the subsequent weaker storms to influence the upper beach and lower dune system. This results in greater change at the dune toe level also during less severe subsequent storms. It is also shown that the usual water level threshold used to define dune erosion is over predicted by about 1. m for extreme storm conditions. The predicted profile evolution provides useful insights into the morphodynamic processes of beach/dune systems during a storm cluster (using Formby Point as an example), which is very useful for quantifying the clustering effects to develop tools for coastal management. © 2015 Elsevier B.V.</t>
  </si>
  <si>
    <t>2-s2.0-84945115928"</t>
  </si>
  <si>
    <t>10.1111/1745-5871.12132</t>
  </si>
  <si>
    <t>https://www.scopus.com/inward/record.uri?eid=2-s2.0-84946493510&amp;doi=10.1111%2f1745-5871.12132&amp;partnerID=40&amp;md5=e397a26c2e2ed54c4df523711200920d</t>
  </si>
  <si>
    <t>Shanghai is located on the world's third largest river (by volume). Yet it faces the risk of shortages of drinking water. Many decisions and environmental characteristics have contributed to this threat. First, Shanghai has become dependent on water brought into the municipality by rivers. Second, it has become increasingly reliant on water from the Changjiang (Yangzi River), principally in order to control the levels of pollution in the water that enters its treatment plants. Third, for reasons associated with inter-provincial administrative arrangements, the city's water intakes are located within the municipality, within the estuary zone and subject to tidal intrusions of salt water. Fourth, at high tide and when the Changjiang's discharge is low, salt intrudes far into the estuary, beyond the current water intakes. If sea levels rise, these intrusions will become more pronounced. Fifth, large-scale central government infrastructure projects (such as dams and the South-North Transfer) are altering the hydrological characteristics of the river. Such projects raise the probability of salt water intrusions into the water intake zone. The Shanghai and central governments have thus made a series of decisions that, taken together, have led the municipality to rely on a source of drinking water that is increasingly unreliable and subject to the risk of shortages due to salt water intrusions. Why these decisions have been made - independently - is an important problem for those who would understand the provision of water for cities and the practical efficacy of Chinese governance systems. © 2015 Institute of Australian Geographers.</t>
  </si>
  <si>
    <t>2-s2.0-84946493510"</t>
  </si>
  <si>
    <t>10.1038/ngeo2539</t>
  </si>
  <si>
    <t>https://www.scopus.com/inward/record.uri?eid=2-s2.0-84942754361&amp;doi=10.1038%2fngeo2539&amp;partnerID=40&amp;md5=489fbf47aaae879eb43d3a728230ded8</t>
  </si>
  <si>
    <t>To predict future coastal hazards, it is important to quantify any links between climate drivers and spatial patterns of coastal change. However, most studies of future coastal vulnerability do not account for the dynamic components of coastal water levels during storms, notably wave-driven processes, storm surges and seasonal water level anomalies, although these components can add metres to water levels during extreme events. Here we synthesize multi-decadal, co-located data assimilated between 1979 and 2012 that describe wave climate, local water levels and coastal change for 48 beaches throughout the Pacific Ocean basin. We find that observed coastal erosion across the Pacific varies most closely with El Niño/Southern Oscillation, with a smaller influence from the Southern Annular Mode and the Pacific North American pattern. In the northern and southern Pacific Ocean, regional wave and water level anomalies are significantly correlated to a suite of climate indices, particularly during boreal winter</t>
  </si>
  <si>
    <t>10.1002/2015GL066072</t>
  </si>
  <si>
    <t>https://www.scopus.com/inward/record.uri?eid=2-s2.0-84956876526&amp;doi=10.1002%2f2015GL066072&amp;partnerID=40&amp;md5=54c3a1a2c901986acb5b83b009b239b8</t>
  </si>
  <si>
    <t>Mean sea level has risen tenfold in recent decades compared to the most recent millennia, posing a serious threat for population and assets in flood-prone coastal zones over the next century. An increase in the frequency of nuisance (minor) flooding has also been reported due to the reduced gap between high tidal datums and flood stage, and the rate of sea level rise (SLR) is expected to increase based on current trajectories of anthropogenic activities and greenhouse gases emissions. Nuisance flooding (NF), however nondestructive, causes public inconvenience, business interruption, and substantial economic losses due to impacts such as road closures and degradation of infrastructure. It also portends an increased risk in severe floods. Here we report substantial increases in NF along the coasts of United States due to SLR over the past decades. We then take projected near-term (2030) and midterm (2050) SLR under two representative concentration pathways (RCPs), 2.6 and 8.5, to estimate the increase in NF. The results suggest that on average, - 80 ± 10% local SLR causes the median of the NF distribution to increase by 55 ± 35% in 2050 under RCP8.5. The projected increase in NF will have significant socio-economic impacts and pose public health risks in coastal regions. Key Points Nuisance flooding substantially increases in a warming climate An ~80% increase in sea level by 2050 increases nuisance flooding by ~55% Increased nuisance flooding leads to socio-economic and public health impacts. © 2015. American Geophysical Union. All Rights Reserved.</t>
  </si>
  <si>
    <t>2-s2.0-84956876526"</t>
  </si>
  <si>
    <t>10.1007/s11069-015-1824-5</t>
  </si>
  <si>
    <t>https://www.scopus.com/inward/record.uri?eid=2-s2.0-84941421605&amp;doi=10.1007%2fs11069-015-1824-5&amp;partnerID=40&amp;md5=21d8ee3413522494b30785ced4651062</t>
  </si>
  <si>
    <t>This study examines a new index to evaluate complex disaster risk in coastal zones involving typhoons. Typhoons generate not only strong winds but also storm surges and high waves. Therefore, complex disasters attributable to typhoon forces can be expected to occur in coastal zones. The durations for which the wind speed, storm tide, and wave height simultaneously exceed their respective design values were calculated as simultaneous excess duration (SED) to evaluate the risk of a complex disaster. To verify the utility of SED, numerical simulations were conducted for intensified typhoons under both present-day and global warming climates in Ise Bay, Japan, using an atmosphere–ocean–wave coupled model with a typhoon bogussing scheme. Results showed that the middle part of Ise Bay is more dangerous from the standpoint of SED than the inner part of Ise Bay, which has been regarded as the most dangerous area from the standpoint of extreme values of storm tide. These results suggest that SED is important as an index of risk of complex disaster, and the risk of typhoon disaster should be evaluated not only from extreme values of storm tide but also from SED. © 2015, Springer Science+Business Media Dordrecht.</t>
  </si>
  <si>
    <t>2-s2.0-84941421605"</t>
  </si>
  <si>
    <t>10.1007/s00024-015-1135-5</t>
  </si>
  <si>
    <t>https://www.scopus.com/inward/record.uri?eid=2-s2.0-84948144988&amp;doi=10.1007%2fs00024-015-1135-5&amp;partnerID=40&amp;md5=f9abf325e84d620b9d9b693ad5167a37</t>
  </si>
  <si>
    <t>In their pioneering work, Ward and Day suggested that a large scale flank collapse of the Cumbre Vieja Volcano (CVV) on La Palma (Canary Islands) could trigger a mega-tsunami throughout the North Atlantic Ocean basin, causing major coastal impact in the far-field. While more recent studies indicate that near-field waves from such a collapse would be more moderate than originally predicted by Ward and Day [Løvholt et al. (J Geophy Res 113:C09026, 2008)</t>
  </si>
  <si>
    <t>10.1016/j.ancene.2015.11.006</t>
  </si>
  <si>
    <t>https://www.scopus.com/inward/record.uri?eid=2-s2.0-84958113847&amp;doi=10.1016%2fj.ancene.2015.11.006&amp;partnerID=40&amp;md5=23237e09d17426c497551de3371fd755</t>
  </si>
  <si>
    <t>The response of river channels to land cover and land use changes in large areas of the tropics and subtropics is poorly documented. Arable agriculture and grazing was introduced to the subtropical catchment of the Brisbane River, Australia, by European settlers in the 1840s. This study examines subsequent changes to the morphology, sediments and vegetation of the Brisbane River in relation to the major drivers of channel change. Documentary evidence from pioneers, paintings, newspapers,maps, surveys, photographs, and instrumental flow records suggests that within 20 years of the introduction of sheep grazing, compaction and degradation of catchment soils and surface drainage produced a shift from perennial to seasonally ephemeral flow and channel incision in minor tributary valleys. The main channel remained stable until the 1850s in the Estuary, and until the 1890s in the middle reaches, where bank erosion increased average channel widths by 18%. Compared to rivers in temperate areas, the Brisbane River has been relatively resilient to changes in land use and land cover. Rates of lateral channel migration have been low since at least 1885, and the level of the channel bed has been stable since 1894. It is shown that the present-day compound channel is a pre-European form with dimensions adjusted to floods with decadal return periods. Increases in sediment supply associated with the incision of tributary streams and later, from widening of the main channel, is consistent with regional evidence for the predominance of channel erosion. This implies an ongoing channel adjustment to changes associated with European land use change. © 2015 Elsevier Ltd. All rights reserved.</t>
  </si>
  <si>
    <t>2-s2.0-84958113847"</t>
  </si>
  <si>
    <t>10.1007/s10236-015-0898-7</t>
  </si>
  <si>
    <t>https://www.scopus.com/inward/record.uri?eid=2-s2.0-84948566044&amp;doi=10.1007%2fs10236-015-0898-7&amp;partnerID=40&amp;md5=f606fb573fc79c59a14b01b6df0c677a</t>
  </si>
  <si>
    <t>For the Netherlands, accurate water level forecasting in the coastal region is crucial, since large areas of the land lie below sea level. During storm surges, detailed and timely water level forecasts provided by an operational storm surge forecasting system are necessary to support, for example, the decision to close the movable storm surge barriers in the Eastern Scheldt and the Rotterdam Waterway. In the past years, a new generation operational tide-surge model (Dutch Continental Shelf Model version 6) has been developed covering the northwest European continental shelf. In a previous study, a large effort has been put in representing relevant physical phenomena in this process model as well as reducing parameter uncertainty over a wide area. While this has resulted in very accurate water level representation (root-mean-square error (RMSE) ∼7–8 cm), during severe storm surges, the errors in the meteorological model forcing are generally non-negligible and can cause forecast errors of several decimetres. By integrating operationally available observational data in the forecast model by means of real-time data assimilation, the errors in the meteorological forcing are prevented from propagating to the hydrodynamic tide-surge model forecasts. This paper discusses the development of a computationally efficient steady-state Kalman filter to enhance the predictive quality for the shorter lead times by improving the system state at the start of the forecast. Besides evaluating the model quality against shelf-wide tide gauge observations for a year-long hindcast simulation, the predictive value of the Kalman filter is determined by comparing the forecast quality for various lead time intervals against the model without a steady-state Kalman filter. This shows that, even though the process model has a water level representation that is substantially better than that of other comparable operational models of this scale, substantial improvements in predictive quality in the first few hours are possible in an actual operational setting. © 2015, The Author(s).</t>
  </si>
  <si>
    <t>2-s2.0-84948566044"</t>
  </si>
  <si>
    <t>10.5751/ES-07801-200336</t>
  </si>
  <si>
    <t>https://www.scopus.com/inward/record.uri?eid=2-s2.0-84943141576&amp;doi=10.5751%2fES-07801-200336&amp;partnerID=40&amp;md5=963d486f5c9dd51bdc20c36b098691e5</t>
  </si>
  <si>
    <t>Extreme weather events coupled with sea level rise and erosion will cause coastal and riverine areas where people live and maintain livelihoods to disappear permanently. Adaptation to these environmental changes, including the permanent relocation of millions of people, requires new governance tools. In the USA, local governments, often with state-level and national-level support, will be primarily responsible for protecting residents from climate-change impacts and implementing policies needed to protect their welfare. Government agencies have a variety of tools to facilitate protection in place and managed coastal retreat but have very limited tools to facilitate community relocation. In addition, no institutional mechanism currently exists to determine whether and when preventive relocation needs to occur to protect people from climate change impacts. Based on research involving four Alaska Native communities threatened by climate-induced environmental impacts, I propose the design and implementation of an adaptive governance framework to respond to the need to relocate populations. In this context, adaptive governance means the ability of institutions to dynamically respond to climate change impacts. A component of this adaptive governance framework is a social-ecological monitoring and assessment tool that can facilitate collaborative knowledge production by community residents and governance institutions to guide sustainable adaptation strategies and determine whether and when relocation needs to occur. The framework, including the monitoring and assessment tool, has not been systematically tested. However, the potential use of this tool is discussed by drawing on empirical examples of Alaskan communities faced with accelerating rates of erosion. © 2015 by the author(s).</t>
  </si>
  <si>
    <t>2-s2.0-84943141576"</t>
  </si>
  <si>
    <t>10.1080/08941920.2015.1014603</t>
  </si>
  <si>
    <t>https://www.scopus.com/inward/record.uri?eid=2-s2.0-84941730734&amp;doi=10.1080%2f08941920.2015.1014603&amp;partnerID=40&amp;md5=87fcd6c8830a97c74c82f4b7989661f2</t>
  </si>
  <si>
    <t>The question of how smallholders of the Amazon estuary, locally known as cabolcos, have adapted their land use systems to produce resources during booms and busts is analyzed in this article. We draw upon more than 50 years of census data and more than 30 years of remotely sensed land-cover data to reconstruct these dynamics from World War II to the present. We found that smallholders are highly flexible in their land use decisions and livelihood strategies and that such flexibility has helped them to adapt their land-use systems to produce resources in demand during market booms and conserve forests. Smallholder mosaic landscapes contain forest fragments that enhance socioecological resilience to floods and other events produced by changes in the local hydro-climatic regimes due to sea-level rise and other climate-related changes. We argue that flexibility is a tool to reduce livelihood vulnerability by facilitating adaptation to global market and climate driven changes over the long term. © 2015, Copyright © Taylor &amp; Francis Group, LLC.</t>
  </si>
  <si>
    <t>2-s2.0-84941730734"</t>
  </si>
  <si>
    <t>10.5194/nhess-15-1763-2015</t>
  </si>
  <si>
    <t>https://www.scopus.com/inward/record.uri?eid=2-s2.0-84939229446&amp;doi=10.5194%2fnhess-15-1763-2015&amp;partnerID=40&amp;md5=085b4d020c4b1d1dcc3e3ed4841bdb49</t>
  </si>
  <si>
    <t>We investigated the tsunami hazard in the remote French territory of Wallis and Futuna, Southwest Pacific, using the Gerris flow solver to produce numerical models of tsunami generation, propagation and inundation. Wallis consists of the inhabited volcanic island of Uvéa that is surrounded by a lagoon delimited by a barrier reef. Futuna and the island of Alofi form the Horn Archipelago located ca. 240 km east of Wallis. They are surrounded by a narrow fringing reef. Futuna and Alofi emerge from the North Fiji Transform Fault that marks the seismically active Pacific-Australia plate boundary. We generated 15 tsunami scenarios. For each, we calculated maximum wave elevation (MWE), inundation distance and expected time of arrival (ETA). The tsunami sources were local, regional and distant earthquake faults located along the Pacific Rim. In Wallis, the outer reef may experience 6.8 m-high MWE. Uvéa is protected by the barrier reef and the lagoon, but inundation depths of 2-3 m occur in several coastal areas. In Futuna, flow depths exceeding 2 m are modelled in several populated areas, and have been confirmed by a post-September 2009 South Pacific tsunami survey. The channel between the islands of Futuna and Alofi amplified the 2009 tsunami, which resulted in inundation distance of almost 100 m and MWE of 4.4 m. This first ever tsunami hazard modelling study of Wallis and Futuna compares well with palaeotsunamis recognised on both islands and observation of the impact of the 2009 South Pacific tsunami. The study provides evidence for the mitigating effect of barrier and fringing reefs from tsunamis. © Author(s) 2015.</t>
  </si>
  <si>
    <t>2-s2.0-84939229446"</t>
  </si>
  <si>
    <t>10.1080/08920753.2015.1051443</t>
  </si>
  <si>
    <t>https://www.scopus.com/inward/record.uri?eid=2-s2.0-84944675192&amp;doi=10.1080%2f08920753.2015.1051443&amp;partnerID=40&amp;md5=3a38733643cf7bc955f5a7aa486a2325</t>
  </si>
  <si>
    <t>Although setback zones and lines are considered as a powerful coastal zone management tool ensuring public access, protecting the coastal ecosystem and minimizing natural hazards over developments, the lack of a solid and objective Mediterranean methodological framework for coastal setbacks demarcation appears profound. Especially for countries like Greece, this deficiency leads to long legal disputes encouraging illegal construction on the coastline. In this article a methodology on coastal setbacks demarcation over rocky, impermeable shores is proposed, followed, and implemented along a Greek shoreline, serving as a pilot case study. The methodology is consistent with the requirements of the integrated coastal zone management (ICZM) Protocol and the Greek legislation (L. 2971/2001), aiming to determine the “highest winter waterline,” accounting for the tidal and storm surge effects, the sea-level rise due to climate change impact, the extreme offshore wind and wave analysis, and the maximum potential wave run-up. Such a tool may bridge the gap between legislative provisions and actual ICZM Protocol implementation improving regional coastal management and planning. © 2015, Taylor &amp; Francis Group, LLC.</t>
  </si>
  <si>
    <t>2-s2.0-84944675192"</t>
  </si>
  <si>
    <t>10.1007/s10584-015-1454-7</t>
  </si>
  <si>
    <t>https://www.scopus.com/inward/record.uri?eid=2-s2.0-84942504888&amp;doi=10.1007%2fs10584-015-1454-7&amp;partnerID=40&amp;md5=e82d45d8394d9b097a841d1f9d7e2d45</t>
  </si>
  <si>
    <t>Pathways of adapting the built assets for future risk reduction are highly uncertain because of changes in socio-economic trends and climate. To provide solid foundation for better adaptation planning, this paper presents a statistical approach to investigate the future direct damage loss and the benefit of adaptation through elevating building floors of residential and commercial buildings affected by storm-tide hazard and sea-level rise in South East Queensland, Australia, particularly the implication of different extents of adaptation to policies. Because of projected socio-economic growth, it was found that, if considered separately, building stock growth causes twice as large as sea-level rise does to the potential damage loss. Adaptation by elevating new buildings alone is more cost-effective and socially acceptable than by elevating both new and old buildings. It is concluded that even with limited adaptation, immediate but less long-term net benefits could be achieved by focusing adaptation on the most vulnerable coastal housing. Somewhat pre-emptive adaptation that lifts more coastal housing in wider coastal area in the immediate term to accommodate future storm tides gives longer-term net benefits, though incurs higher adaptation costs. However, too much over-adapting may be undesirable as it incurs unreasonably high initial and on-going costs while the benefits of it could only be reaped over unrealistically long time. Geographical extent of asset adaptation should be decided in accordance with the planning time horizon to avoid either under- or over-adaptation. © 2015, Springer Science+Business Media Dordrecht.</t>
  </si>
  <si>
    <t>2-s2.0-84942504888"</t>
  </si>
  <si>
    <t>10.1007/s11430-015-5093-7</t>
  </si>
  <si>
    <t>https://www.scopus.com/inward/record.uri?eid=2-s2.0-84945447808&amp;doi=10.1007%2fs11430-015-5093-7&amp;partnerID=40&amp;md5=cb837ed5553e972f45275680e0fb7945</t>
  </si>
  <si>
    <t>In situ observations and numerical simulations of turbulence are essential to understanding vertical mixing processes and their dynamical controls on both physical and biogeochemical processes in coastal embayments. Using in situ data collected by bottom-mounted acoustic Doppler current profilers (ADCPs) and a free-falling microstructure profiler, as well as numerical simulations with a second-moment turbulence closure model, we studied turbulence and mixing in the Xiamen Bay, a freshwater-influenced tidal bay located at the west coast of the Taiwan Strait. Dynamically, the bay is driven predominantly by the M2 tide, and it is under a significant influence of the freshwater discharged from the Jiulong River. It is found that turbulence quantities such as the production and dissipation rates of the turbulent kinetic energy (TKE) were all subject to significant tidal variations, with a pronounced ebb-flood asymmetry. Turbulence was stronger during flood than ebb. During the flooding period, the whole water column was nearly well mixed with the depth-averaged TKE production rate and vertical eddy viscosity being up to 5×10−6 W kg−1 and 2×10−2 m2 s−1, respectively. In contrast, during the ebb strong turbulence was confined only to a 5–8 m thick bottom boundary layer, where turbulence intensity generally decreases with distance from the seafloor. Diagnosis of the potential energy anomaly showed that the ebb-flood asymmetry in turbulent dissipation and mixing was due mainly to tidal straining process as a result of the interaction between vertically shared tidal currents and horizontal density gradients. The role of vertical mixing in generating the asymmetry was secondary. A direct comparison of the modeled and observed turbulence quantities confirmed the applicability of the second-moment turbulence closure scheme in modeling turbulent processes in this weakly stratified tidally energetic environment, but also pointed out the necessity of further refinements of the model. © 2015, Science China Press and Springer-Verlag Berlin Heidelberg.</t>
  </si>
  <si>
    <t>2-s2.0-84945447808"</t>
  </si>
  <si>
    <t>10.1016/j.jhydrol.2015.10.051</t>
  </si>
  <si>
    <t>https://www.scopus.com/inward/record.uri?eid=2-s2.0-84947982979&amp;doi=10.1016%2fj.jhydrol.2015.10.051&amp;partnerID=40&amp;md5=914163d747b20b66d117c916b879c781</t>
  </si>
  <si>
    <t>Growing use of two-dimensional (2-D) hydraulic models has created a need for high resolution data to support flood volume estimates, floodplain specific engineering data, and accurate flood inundation scenarios. Elevation data are a critical input to these models that guide the flood-wave across the landscape allowing the computation of valuable engineering specific data that provides a better understanding of flooding impacts on structures, debris movement, bed scour, and direction. High resolution elevation data are becoming publicly available that can benefit the 2-D flood modeling community. Comparison of these newly available data with legacy data suggests that better modeling outcomes are achieved by using 3D Elevation Program (3DEP) lidar point data and the derived 1 m Digital Elevation Model (DEM) product relative to the legacy 3 m, 10 m, or 30 m products currently available in the U.S. Geological Survey (USGS) National Elevation Dataset. Within the low topographic relief of a coastal floodplain, the newer 3DEP data better resolved elevations within the forested and swampy areas achieving simulations that compared well with a historic flooding event. Results show that the 1 m DEM derived from 3DEP lidar source provides a more conservative estimate of specific energy, static pressure, and impact pressure for grid elements at maximum flow relative to the legacy DEM data. Better flood simulations are critically important in coastal floodplains where climate change driven storm frequency and sea level rise will contribute to more frequent flooding events. © 2015.</t>
  </si>
  <si>
    <t>2-s2.0-84947982979"</t>
  </si>
  <si>
    <t>10.2112/JCOASTRES-D-13-00190.1</t>
  </si>
  <si>
    <t>https://www.scopus.com/inward/record.uri?eid=2-s2.0-84940923060&amp;doi=10.2112%2fJCOASTRES-D-13-00190.1&amp;partnerID=40&amp;md5=745f7269cb7bce4af08331b204cc3005</t>
  </si>
  <si>
    <t>The effect of sea-level rise (SLR) on exceedance probabilities for annual flooding at coastal locations is explored in this paper. We assess four future SLR scenarios given by the U.S. Army Corps of Engineers and how these SLR scenarios affect monthly flooding statistics. Focusing on one case site, Annapolis, Maryland, we fit the probability density function of the monthly maximum tide gauge record with a Pareto-tail distribution. Random sampling from this distribution is then performed on top of the various future SLR scenarios. Exceedance probabilities for a storm tide to exceed the coastal flood stage, the elevation of which has already been established in a previous paper, are then calculated from the interpolated Pareto cumulative distribution. We illustrate that even mild increases in mean sea level acceleration lead to drastically higher exceedance probabilities of coastal flooding. © Coastal Education &amp; Research Foundation 2015.</t>
  </si>
  <si>
    <t>2-s2.0-84940923060"</t>
  </si>
  <si>
    <t>10.1007/s11069-015-1850-3</t>
  </si>
  <si>
    <t>https://www.scopus.com/inward/record.uri?eid=2-s2.0-84941426443&amp;doi=10.1007%2fs11069-015-1850-3&amp;partnerID=40&amp;md5=15277e6b1c86b7818f54f2ad9d1d2983</t>
  </si>
  <si>
    <t>The Yangtze River Delta (YRD) is one of largest river deltas and metropolitan areas in the world with strong human interference, so it is vulnerable to extreme weather events. Based on daily precipitation dataset of 16 rain gauges in Yangtze River Delta and Mann–Kendall trend detection techniques, the trend in annual and seasonal precipitation extremes has been investigated in the period 1957–2013. Possible links between changes in extreme precipitation and monsoon indices have also been explored. The results show that: (1) the increasing trends of consecutive wet days, maximum daily precipitation, maximum 5-day precipitation and maximum precipitation amount in the past 57 years in YRD can be detected. Much attention should be paid to higher risk of flash flood in these areas, especially in big cities of Shanghai, Nanjing, Hangzhou and Ningbo. (2) Both precipitation days and amount of heavy events (defined as over 90th, 95th and 99th) exhibit overwhelming upward tendency in summer and winter throughout YRD. The summer is to meet with heavier precipitation events as result of larger increasing magnitude in heavy rain days and amounts in the past 57 years. So, high importance should be placed on the relief for flood in summer in the large cites. (3) There is an abrupt change point for extreme precipitation events, and increased annual total precipitation has impact on the upward tendency of heavy rainfall events in YRD on great scale. In addition, the significant correlations between indices (P90, P95, R90 and R95) and monsoon indices (East Asian Summer Monsoon Index and South Asia Summer Monsoon Index) indicate that extreme precipitation events are related to the EASMI and SASMI. Therefore, these properties of precipitation extremes are of great significance to the control of natural hazards in YRD with high degree of human activities and understanding the impact of climate change on hydrologic processes. © 2015, Springer Science+Business Media Dordrecht.</t>
  </si>
  <si>
    <t>2-s2.0-84941426443"</t>
  </si>
  <si>
    <t>10.2112/JCOASTRES-D-14-00088.1</t>
  </si>
  <si>
    <t>https://www.scopus.com/inward/record.uri?eid=2-s2.0-84940944530&amp;doi=10.2112%2fJCOASTRES-D-14-00088.1&amp;partnerID=40&amp;md5=1423f6ab840cfc4debcfa1555bb2e93b</t>
  </si>
  <si>
    <t>Beach-ridge systems are a common feature of prograding coastlines and they have been recognized as important archives of late Quaternary sea level. In this paper, the combination of Landsat images and shuttle radar topography mission (SRTM) surface model data is shown to provide a solid base to assess gross elevational trends in wide beach-ridge systems. The tilt of a strand plain is a useful first indication to assess possible scenarios of long-term relative sea-level development at new field sites. We identified morphological landscape units for a large and complex coastal lagoon system in NE Patagonia (Argentina) on the basis of a series of Landsat satellite images. A good correlation (R2 = 0.92) was found for the comparison of high-resolution GPS data with the extracted corresponding SRTM elevations of a 3.8-km-long transect across a wide strand plain. This suggests that the surface model is able to reproduce changes in average elevation between distal and proximal beach-ridge sets at a relatively high accuracy. The SRTM data set is a source of freely available data to approach elevation trends in prograded beach-ridge systems in Quaternary coastal environments. The combination of SRTM data with Landsat images presents a useful tool and source of information for the preparation of fieldwork and detailed surveys as well as for the formulation of working hypotheses in poorly described areas. © Coastal Education &amp; Research Foundation 2015.</t>
  </si>
  <si>
    <t>2-s2.0-84940944530"</t>
  </si>
  <si>
    <t>10.1016/j.geomorph.2015.09.020</t>
  </si>
  <si>
    <t>https://www.scopus.com/inward/record.uri?eid=2-s2.0-84942865817&amp;doi=10.1016%2fj.geomorph.2015.09.020&amp;partnerID=40&amp;md5=173ff96813a6aad44385b782ebeed674</t>
  </si>
  <si>
    <t>Repeat surveys of high-resolution topographic data enable analysis of geomorphic change through digital elevation model (DEM) differencing. Such analyses are becoming increasingly common. However, techniques for developing robust estimates of spatially variable uncertainty in DEM differencing estimates have been slow to develop and are underutilized. Further, issues often arise when comparing recent to older data sets, because of differences in data quality. Airborne lidar data were collected in 2005 and 2012 in Blue Earth County, Minnesota (1980km2) and the occurrence of an extreme flood in 2010 produced geomorphic change clearly observed in the field, providing an opportunity to estimate landscape-scale geomorphic change. Initial assessments of the lidar-derived digital elevation models (DEMs) indicated both a vertical bias attributed to different geoid models and localized offset strips in the DEM of difference from poor coregistration of the flightlines. We applied corrections for both issues and describe the methods we used to discern those issues and correct them. We then compare different threshold models to quantify uncertainty. Poor quantification of uncertainty can erroneously over- or underestimate real change. We show that application of a uniform threshold, often called a minimum level of detection, overestimates change in areas where change would not be expected, such as stable hillslopes, and underestimates change in areas where it is expected and has been observed, such as channel banks. We describe a spatially variable DEM error model that combines the influence of slope, point density, and vegetation in a fuzzy inference system. Vegetation is represented with a metric referred to as the cloud point density ratio that assesses the complete point cloud to describe the density of above ground features that may hinder bare-earth returns. We compare the significance of spatially variable versus spatially uniform DEM errors on change detection by thresholding the DEM of Difference at a 95% confidence interval (2σ). Results indicate significant geomorphic change in relatively predictable locations, such as erosion on the outside and deposition on the inside, of bends. Final totals indicated net erosion of [2,625,100]±2,389,000m3 in the county between 2005 and 2012. Of this, 39% was generated from bluffs, 1% from ravines, and the remainder came from banks and floodplain areas. © 2015.</t>
  </si>
  <si>
    <t>2-s2.0-84942865817"</t>
  </si>
  <si>
    <t>10.1016/j.landurbplan.2015.06.004</t>
  </si>
  <si>
    <t>https://www.scopus.com/inward/record.uri?eid=2-s2.0-84936753126&amp;doi=10.1016%2fj.landurbplan.2015.06.004&amp;partnerID=40&amp;md5=d0c2ca7640b463035af2e0f857a9765f</t>
  </si>
  <si>
    <t>Under the context of climate change adaption research, vulnerability assessment should take into consideration the interaction among natural processes, socio-economic conditions, and the mechanisms of response of the integrated ecological economic system. Pressure from urban development, land use and land cover change along the western coast of Taiwan not only has caused the loss of ecosystem services in peri-urban environments, but has also resulted in an increase in urban flooding vulnerability. This paper develops a framework, which incorporates the interaction among exposure, sensitivity, and adaptive capacity for assessing the vulnerability to flooding. To achieve this aim, this research interprets urban flooding vulnerability based on emergy concepts and develops emergy indices to assess the spatiality of urban flooding vulnerability in Taiwan's western coastal plain via GIS. Based on the results of the emergy evaluation of the three components of vulnerability and five emergy indices for urban flooding vulnerability, the areas with intense urbanization are characterized with high potential impact to flood. However, cities with higher potential impact do not necessarily lead to higher vulnerability for urban flooding because adaptive capacity can also mitigate the vulnerability of cities to extreme climate events. Using the framework developed by this research we show that the emergy concept can effectively provide a common measuring unit for evaluating exposure, sensitivity and adaptive capacity of urban flooding vulnerability. © 2015 Elsevier B.V.</t>
  </si>
  <si>
    <t>2-s2.0-84936753126"</t>
  </si>
  <si>
    <t>10.1007/s12524-014-0426-0</t>
  </si>
  <si>
    <t>https://www.scopus.com/inward/record.uri?eid=2-s2.0-84939255355&amp;doi=10.1007%2fs12524-014-0426-0&amp;partnerID=40&amp;md5=32be8c728c487f0479e0e25390b9a8f1</t>
  </si>
  <si>
    <t>With continued climate change, coastal areas are subjected to undesirable situations in the form of sea-level rise and its adverse outcomes like storm surge, flooding and erosion. Being a unique geographic location, low topography, relatively higher population density as well as overwhelming dependence on natural resources, Bangladesh is one of the vulnerable countries exposed to the impacts of global warming and climate change. Bhola in southern Bangladesh represents the world’s most dynamic estuary is potentially vulnerable to accelerated sea level rise and associated  calamities. The present study aims to develop a coastal vulnerability index (CVI) using eight parameters namely (a) geomorphology, (b) slope, (c) relative sea level change rate, (d) mean tide range (e) shoreline erosion and accretion, (f) population (g) bathymetry and (h) coastal flooding which were addressed as the relative risk variable for the study area using geospatial techniques i.e., Remote Sensing and GIS. The aforementioned parameters were ranked on the basis of their potential contribution to physical changes on the coast, as sea-level rises, and the final calculation was done over 263.87 km shoreline by the square root of the mean values of the ranked variables. According to the vulnerability index, about 22 % corresponding to 57.23 km of the entire coast is under very high-risk and another 29 % representing 75.26 km is under high-risk. Again, 25 % encompassing 67.69 km shoreline is at moderate risk and 24 %, that is 63.69 km shoreline is found to be at low risk. The most vulnerable coastal regions are found mainly along the western coast of Char Fasson and northern and southwestern coast of Bhola Sadar of Bhola Island. © 2015, Indian Society of Remote Sensing.</t>
  </si>
  <si>
    <t>2-s2.0-84939255355"</t>
  </si>
  <si>
    <t>10.1007/s11852-015-0409-5</t>
  </si>
  <si>
    <t>https://www.scopus.com/inward/record.uri?eid=2-s2.0-84942984292&amp;doi=10.1007%2fs11852-015-0409-5&amp;partnerID=40&amp;md5=4b68363ae9b6b6194eb1efb30e12e313</t>
  </si>
  <si>
    <t>Environmental isotope analyses in conjunction with the hydro-geochemical investigations and tentative reviewing of the paleoclimatic sea level changes are carried out to fingerprint the implications of climatic changes on the groundwater flow regime and geochemistry at the Nile Delta. Following up the footprints of groundwater flow history, it is observed that the Pleistocene, main groundwater aquifer of the Nile Delta was drained and refilled with Nile water several times due to the eustatic sea level propagations between dry and wet periods. Therefore, the present-day groundwater flow regime could be affected by the latest Holocene phase of climate changes during which no significant dramatic sea level changes were recorded. After the time slice of the Mediterranean humid phase, 8000-5500 BP, the sea level started to rise steeply from –15 m to the present-day level. Under this rising rate, the seawater invaded most of the northern delta lope and several 10ths of kilometres inland via the mouths of the ancient Nile branches. During these arid conditions, deterioration of the Pleistocene unconfined aquifer could take place. This finding matches a famine and economic instabilities during the arid periods and flourishing and economic stabilities during the humid pluvial periods along the history of the ancient Egyptian civilization. In accordance to the latest active sea level rise stage in conjunction with the delta subsidence, a contagious groundwater level rise with a recent order of 3 cm/year is taking place leading to form several lake-like lagoons, water logging and soil salinization along the coastal plain and the eastern low lands. The Nile Delta is expected to suffer extreme soil salinization and gradual merging under the groundwater logging and seawater transgression especially, along the eastern coastal zone which suffers a high subsidence rate of about 5 mm/year. In contrast to previous studies, our findings show that, the present groundwater composition and salinity in the Nile Delta aquifers cannot be attributed to a recent seawater intrusion. The physico-chemical processes that explain this composition are combination of salt dissolution (mainly from Holocene fluvio-marine aquifer), flushing by recent Nile water, ion exchange and evaporation. © 2015, Springer Science+Business Media Dordrecht.</t>
  </si>
  <si>
    <t>2-s2.0-84942984292"</t>
  </si>
  <si>
    <t>10.5200/baltica.2015.28.07</t>
  </si>
  <si>
    <t>https://www.scopus.com/inward/record.uri?eid=2-s2.0-84949565693&amp;doi=10.5200%2fbaltica.2015.28.07&amp;partnerID=40&amp;md5=02327f7cb3c5345541890e78caf15053</t>
  </si>
  <si>
    <t>The article contains results obtained from realization of the Polish and Lithuanian Baltic case study within the EU – FP 7 SubCoast project, which one of the primary aims was analysis of vertical ground movements, potentially causing geohazards in the coastal areas. To reach this goal Interferometric Synthetic Aperture Radar (InSAR) data were obtained. For the Polish and Lithuanian Baltic coast ERS archive radar data were processed in order to provide Permanent Scatterer (PSInSAR, PSI) results that were then used to create the new innovative product – Dynamic DEM (DDEM). The deformation model defined by the SubCoast project normally needs to be created by merging InSAR, satellite navigation (GNSS), optical leveling and/or gravimetry measurements. Elaboration of DDEM enables more effective comparison between PS and tectonic features. Comparison of PS time series with groundwater changes shows a direct correlation, confirming impact of groundwater on subsidence or uplift of the ground surface. The results of the geological interpretation demonstrated that the examples of movements detected by PSI include subsidence linked to deformation of engineering constructions, compaction of organic or weak soils, and eolian accumulation or deflation processes of the sand dunes. For the Polish and Lithuanian coasts most of the area proved to be stable, nevertheless some local deviations up to –15 mm per year of movement were found. © Baltica 2015.</t>
  </si>
  <si>
    <t>2-s2.0-84949565693"</t>
  </si>
  <si>
    <t>10.1016/j.ecolecon.2015.09.005</t>
  </si>
  <si>
    <t>https://www.scopus.com/inward/record.uri?eid=2-s2.0-84942870841&amp;doi=10.1016%2fj.ecolecon.2015.09.005&amp;partnerID=40&amp;md5=40608295da49afaa2815e88667aa5c1f</t>
  </si>
  <si>
    <t>This paper studies public perceptions of fairness in managed retreat policies. We try to empirically test the acceptance of the following four principles of fairness: efficiency, need, responsibility and priority to property rights. Using responses from a questionnaire, the objective of the paper is to generate information on the issue of solidarity between people exposed to the risk of climate-change-induced flooding and those who are not, as regards to funding managed retreat policies and damage compensation. To that end two population zones (Coastal and Hinterland) were surveyed in order to characterise personal preferences of stakeholders and distributive preferences of third parties Results show (i) a support for national solidarity in the funding of managed retreat policies, (ii) a difference in people'ssupport for the responsibility principle depending on whether it is embedded in a general principle of justice or in a particular compensation scheme and (iii) a difference between distributional judgments of the coastal inhabitants (stakeholders) and those of the Hinterland (third parties) according to the choices of the funding principles of damages on private assets and the choices of the general principles of fairness in managed retreat policies. © 2015.</t>
  </si>
  <si>
    <t>2-s2.0-84942870841"</t>
  </si>
  <si>
    <t>10.1007/s11069-015-1809-4</t>
  </si>
  <si>
    <t>https://www.scopus.com/inward/record.uri?eid=2-s2.0-84938991206&amp;doi=10.1007%2fs11069-015-1809-4&amp;partnerID=40&amp;md5=29ef465fd5ebff7905736b65d5b8707b</t>
  </si>
  <si>
    <t>In the wetlands of the Danube delta floodplain, flooding is a major natural risk. The coastal wetlands have been seriously impacted by floods in 2002, 2005, 2006 and 2010. Using hydrological and satellite observations acquired in 2009 and during the summer of 2010, this paper tackles the issue of forecasting risk based on land cover information and observations. A major objective of this methodological work consists in exploring several types of data from the Japanese ALOS satellite. These data are used to illustrate a multi-temporal radar data processing methodology based on temporal entropy analysis that enables change detection in the floodable areas of the Danube delta. © 2015, Springer Science+Business Media Dordrecht.</t>
  </si>
  <si>
    <t>2-s2.0-84938991206"</t>
  </si>
  <si>
    <t>10.1007/s11027-013-9534-3</t>
  </si>
  <si>
    <t>https://www.scopus.com/inward/record.uri?eid=2-s2.0-84942055304&amp;doi=10.1007%2fs11027-013-9534-3&amp;partnerID=40&amp;md5=df82ea2883aa63d6bef532d8a11e5189</t>
  </si>
  <si>
    <t>Vulnerability assessment of coastal areas to projected sea level rise requires incorporation of historic trends in relative sea level change as an exposure factor. Most shorelines of developing countries lack long term tide gauges, such as the Pacific Islands region, which are especially vulnerable to climate change impacts. This study has the objective of demonstrating how long-term relative sea level trends can be derived from proxy records, on the tectonically unstable main island of Fiji. At Tikina Wai on the western coast, while elevations of present mangrove zones of Rhizophora stylosa, Rhizophora samoensis and Bruguiera gymnorrhiza were &lt;1.2 m around mean sea level, sediment cores down to 3 m showed mangrove occurrence meters lower than they can grow today. Pollen analysis identified past locations of these mangrove species zones, and the present day elevations of the species were used to reconstruct past sea levels. Results of this study showed that relative sea-level has been slowly rising for the last several centuries at about 2.1 mm a−1, yet mangrove communities have remained resilient with nearly equivalent net sedimentation rates, though with some zone retreat landwards. With such local subsidence, the Tikina Wai district is more exposed to future sea level rise projections than stable coastal areas elsewhere, with additional exposure in having a micro-tidal range. Adaptation actions identified to address this risk include enhancement of sedimentation under mangrove communities through coastal and catchment planning to remove obstructions to sediment supply, reducing non-climate stresses to increase organic production, and replanting of degraded areas. Such information on relative sea level trends can be used to identify where adaptation resources are best concentrated. © 2013, Springer Science+Business Media Dordrecht.</t>
  </si>
  <si>
    <t>2-s2.0-84942055304"</t>
  </si>
  <si>
    <t>10.1016/j.geomorph.2015.06.040</t>
  </si>
  <si>
    <t>https://www.scopus.com/inward/record.uri?eid=2-s2.0-84938946520&amp;doi=10.1016%2fj.geomorph.2015.06.040&amp;partnerID=40&amp;md5=fac5f44330297a9b86bc88e50596a357</t>
  </si>
  <si>
    <t>Landslides into valley bottoms can affect longitudinal profiles of rivers, thereby influencing landscape evolution through base-level changes. Large landslides can hinder river incision by temporarily damming rivers, but catastrophic failure of landslide dams may generate large floods that could promote incision. Dam stability therefore strongly modulates the effects of landslide dams and might be expected to vary among geologic settings. Here, we investigate the morphometry, stability, and effects on adjacent channel profiles of 17 former and current landslide dams in eastern Oregon. Data on landslide dam dimensions, former impoundment size, and longitudinal profile form were obtained from digital elevation data constrained by field observations and aerial imagery</t>
  </si>
  <si>
    <t>10.1007/s11069-015-1896-2</t>
  </si>
  <si>
    <t>https://www.scopus.com/inward/record.uri?eid=2-s2.0-84943820190&amp;doi=10.1007%2fs11069-015-1896-2&amp;partnerID=40&amp;md5=f815e25e38f902554698f75fea013cae</t>
  </si>
  <si>
    <t>Vulnerability assessment of four selected prototype coastal bridges on the island of Oahu, Hawaii, to the combination of storm surge and waves is presented. The maximum storm surge condition is estimated by considering an extensive series of simulated hurricanes making landfall on the island of Oahu, where the bridges are located. For the given extreme environmental conditions, wave loads on the deck of the selected bridges are calculated by use of several theoretical and computational approaches, including Euler’s equations (OpenFOAM), the Green–Naghdi nonlinear equations, linear long-wave approximation and existing simplified, design-type force equations. Multiple scenarios of the relative location of the bridge deck and the still-water level are studied to determine the maximum possible wave loads on the bridge decks. Vulnerability of the coastal bridges to storm wave loads is determined by comparing the capacity of the bridge to the wave-induced loads on the structure. © 2015, Springer Science+Business Media Dordrecht.</t>
  </si>
  <si>
    <t>2-s2.0-84943820190"</t>
  </si>
  <si>
    <t>10.1007/s11707-015-0496-5</t>
  </si>
  <si>
    <t>https://www.scopus.com/inward/record.uri?eid=2-s2.0-84937976845&amp;doi=10.1007%2fs11707-015-0496-5&amp;partnerID=40&amp;md5=7f8991ba45aed9f7d61bcd7a0c79290a</t>
  </si>
  <si>
    <t>In general, coastal habitat conditions are extremely harsh, with the ecological equilibrium inextricably related to the plant community. Understanding the natural vegetation features of a coastal zone with little human disturbance could provide a reference for future vegetation restoration and ecosystem maintenance services. In this study, the vegetation patterns of Wangzi Shell Ridge Island in the Yellow River Delta were investigated. A total of 35 taxa of vascular plants were documented, representing 15 families and 33 genera (of which most were mono-specific). Surveys identified only one to eight taxa in each plot. From sea to land, the vegetation showed a typical zonal distribution pattern. There was a correlation between the landform and important factors that influenced the plants including soil factors and distance from the sea. Thus, the taxa distribution and vegetation had a significant correlation with landform. The dune crest, backdune and interdune lowlands were areas with weak storm surges and were the important locations for the taxa to be become established. Plants along the high-tide line formed important defenses from large waves and high winds. The significant protection provided a suitable living environment for many organisms with high medicinal value. Special attention and protection could be provided to this area by reducing the use of the beach road and enclosing the complete section from sea to land with a protective fence. In addition, vegetation protection and restoration on Shell Ridge Island would aid in the formulation and implementation of reintroduction strategies for similar vegetation in similar habitats. © 2015, Higher Education Press and Springer-Verlag Berlin Heidelberg.</t>
  </si>
  <si>
    <t>2-s2.0-84937976845"</t>
  </si>
  <si>
    <t>Water and Environment Journal</t>
  </si>
  <si>
    <t>10.1111/wej.12116</t>
  </si>
  <si>
    <t>https://www.scopus.com/inward/record.uri?eid=2-s2.0-84938745095&amp;doi=10.1111%2fwej.12116&amp;partnerID=40&amp;md5=6d1b7d5cd06d82e911b177db6aa90d06</t>
  </si>
  <si>
    <t>Fresh groundwater lenses (FGLs) are of utmost importance for human survival on small and isolated atolls. This article examines saline damage to atoll FGLs from wave washover caused by storm surge and studies the particular influence of central topographic depressions (CTDs). We model storm surge over atoll islets of contrasting widths (400 and 800m), both with and without CTDs of various sizes. Three key findings emerge. First, under equilibrium undisturbed conditions, the CTD slightly reduces the size of the FGL compared to atoll islets without this feature. Second, during marine flooding, prior saturated conditions at the base of a CTD impede seawater infiltration into the substrate, thereby limiting saline damage in that location. Third and most crucial, however, the amount of salt accumulated within the CTD is significant, ranging from 2 to 10 times higher than the net subsurface infiltration during the period of the storm inundation. © 2015 CIWEM.</t>
  </si>
  <si>
    <t>2-s2.0-84938745095"</t>
  </si>
  <si>
    <t>10.3390/min5040529</t>
  </si>
  <si>
    <t>https://www.scopus.com/inward/record.uri?eid=2-s2.0-84949560582&amp;doi=10.3390%2fmin5040529&amp;partnerID=40&amp;md5=355013abce495250f043238334d42a7a</t>
  </si>
  <si>
    <t>Coastal areas in Minami-soma City, Fukushima, Japan, were seriously damaged by radioactive contamination from the Fukushima Daiichi Nuclear Power Plant (FDNPP) accident that caused multiple pollution by tsunami and radionuclide exposure, after the Great East Japan Earthquake, on 11 March 2011. Some areas will remain no-go zones because radiation levels remain high. In Minami-soma, only 26 percent of decontamination work had been finished by the end of July in 2015. Here, we report the characterization of microbial mats and salt found on flooded paddy fields at Karasuzaki, Minami-soma City, Fukushima Prefecture, Japan which have been heavily contaminated by radionuclides, especially by Cs (134Cs, 137Cs), 40K, Sr (89Sr, 90Sr), and 91 or 95Zr even though it is more than 30 km north of the FDNPP. We document the mineralogy, the chemistry, and the micro-morphology, using a combination of micro techniques. The microbial mats were found to consist of diatoms with mineralized halite and gypsum by using X-ray diffraction (XRD). Particular elements concentrated in microbial mats were detected using scanning electron microscopy equipped with energy dispersive spectroscopy (SEM-EDS) and X-ray fluorescence (XRF). The objective of this contribution is to illustrate the ability of various diatoms associated with minerals and microorganisms which are capable of absorbing both radionuclides and stable isotopes from polluted paddy soils in extreme conditions. Ge semiconductor analysis of the microbial mats detected 134Cs, 137Cs, and 40K without 131I in 2012 and in 2013. Quantitative analysis associated with the elemental content maps by SEM-EDS indicated the possibility of absorption of radionuclide and stable isotope elements from polluted paddy soils in Fukushima Prefecture. In addition, radionuclides were detected in solar salts made of contaminated sea water collected from the Karasuzaki ocean bath, Minami-soma, Fukushima in 2015, showing high Zr content associated with 137Cs and 40K without 131I. The results obtained here provide evidence of the ability of microorganisms to grow in this salty contaminated environment and to immobilize radionuclides. It is possible that the capability of radioactive immobilization can be used to counteract the disastrous effects of radionuclide-polluted paddy soils. © 2015 by the authors</t>
  </si>
  <si>
    <t>10.1007/s11069-015-1937-x</t>
  </si>
  <si>
    <t>https://www.scopus.com/inward/record.uri?eid=2-s2.0-84947036935&amp;doi=10.1007%2fs11069-015-1937-x&amp;partnerID=40&amp;md5=9e135f1fed1c1ec3f545e793545cf571</t>
  </si>
  <si>
    <t>A quantitative assessment of storm surge damage is used to analyze structural vulnerability and evaluate the performance of flood risk mapping by the Federal Emergency Management Agency (FEMA). Using a survey of about 380 structures in heavily impacted Ortley Beach, New Jersey, following Hurricane Sandy (2012), we first assess component-level damage to each side and story of a structure based on a percentage scale. For each structure, these physical damage percentages are then integrated into a single indicator of overall damage—the economic loss ratio. These performance assessments are combined with building information to develop an integrated Geographic Information System database. This detailed database allows for a quantitative analysis of damage features and causes. Damage at the overall, story, side, and component levels all decrease as the distance to the coast increases, with most severely damaged houses concentrated in a near-shore region. Despite being heavily damaged however, this region was assessed as a low-risk zone according to FEMA’s current flood risk map. In contrast, a neighboring inland region which experienced significantly less damage was assigned as a high-risk zone. The preliminary new FEMA flood map for the area is improved by increasing the risk category for the near-shore region, but the fundamental problem, likely induced by insufficient wave modeling, needs to be addressed further. This study demonstrates a method of quantitatively assessing and documenting storm surge damage and applying the damage information to evaluate flood risk maps. © 2015, Springer Science+Business Media Dordrecht.</t>
  </si>
  <si>
    <t>2-s2.0-84947036935"</t>
  </si>
  <si>
    <t>10.5194/hess-19-3755-2015</t>
  </si>
  <si>
    <t>https://www.scopus.com/inward/record.uri?eid=2-s2.0-84940761121&amp;doi=10.5194%2fhess-19-3755-2015&amp;partnerID=40&amp;md5=d3662c63f9f0200f29ad6945847ff980</t>
  </si>
  <si>
    <t>Hydrological data collection requires deployment of physical infrastructure like rain gauges, water level gauges, as well as use of expensive equipment like echo sounders. Many countries around the world have recorded a decrease in deployment of physical infrastructure for hydrological measurements</t>
  </si>
  <si>
    <t>Pacific Affairs</t>
  </si>
  <si>
    <t>10.5509/2015883599</t>
  </si>
  <si>
    <t>https://www.scopus.com/inward/record.uri?eid=2-s2.0-84940118138&amp;doi=10.5509%2f2015883599&amp;partnerID=40&amp;md5=09524d08e5636205ccd2a4209ce705c2</t>
  </si>
  <si>
    <t>Vietnam’s cities are not only rapidly transforming along with the country’s politico-economic change but are also recognized by various studies as being increasingly exposed to natural hazards and the projected impacts of climate change. This results in substantial challenges for urban disaster risk governance which are, however, not well understood scientifically and underemphasized politically. Against this background, the paper traces the dynamics in urban vulnerability and explores how the responsibilities and capacities for risk reduction and adaptation are negotiated and shared between state and non-state actors within the country’s changing political economy. The city of Can Tho, the demographic and economic centre of the highly flood- and typhoon-prone Mekong Delta, serves as an in-depth case study, drawing on 12 months of empirical research by the author. The findings suggest that the transformation process has not only yielded ambiguous and socially stratified vulnerability effects amongst urban residents</t>
  </si>
  <si>
    <t>10.1016/j.jop.2015.06.001</t>
  </si>
  <si>
    <t>https://www.scopus.com/inward/record.uri?eid=2-s2.0-85018198460&amp;doi=10.1016%2fj.jop.2015.06.001&amp;partnerID=40&amp;md5=85315913fcde4c9e9c4d78e646fc50d1</t>
  </si>
  <si>
    <t>The Qinshui Basin in the southeastern Shanxi Province is an important area for coalbed methane (CBM) exploration and production in China, and recent exploration has revealed the presence of other unconventional types of gases such as shale gas and tight sandstone gas. The reservoirs for these unconventional types of gas in this basin are mainly the coals, mudstones, and sandstones of the Carboniferous and Permian</t>
  </si>
  <si>
    <t>10.1111/wej.12124</t>
  </si>
  <si>
    <t>https://www.scopus.com/inward/record.uri?eid=2-s2.0-84938738054&amp;doi=10.1111%2fwej.12124&amp;partnerID=40&amp;md5=44c585c69210722fb61fefbb3aa43d33</t>
  </si>
  <si>
    <t>Given the development of global pressures on habitats and biodiversity, it is important that developments are accompanied with a compensation element leading to 'no net loss'. We show how (using a standardised sampling process) a statistical assessment of the biodiversity quality of the target organisms (birds) in a compensatory provision can be shown to be a compensation or not. We used the example of the Cardiff Bay Barrage (Wales) where a bay was inundated and compensation site at Newport Gwent Levels (Wales) created. Bird data for the Cardiff Bay prior to the inundation and for Newport following inundation of Cardiff Bay were analysed to create a series of biodiversity quality indices and these were compared statistically. The analysis showed the compensation habitat was better than the original. Results were poor for Dunlin and Redshank, already subject to regional decline in the Severn Estuary and estuaries in NW Europe. © 2015 CIWEM.</t>
  </si>
  <si>
    <t>2-s2.0-84938738054"</t>
  </si>
  <si>
    <t>10.1007/s11069-015-1821-8</t>
  </si>
  <si>
    <t>https://www.scopus.com/inward/record.uri?eid=2-s2.0-84938987338&amp;doi=10.1007%2fs11069-015-1821-8&amp;partnerID=40&amp;md5=0e9db23ecd3fbf69d80b90d5911f96bd</t>
  </si>
  <si>
    <t>Global sea-level rise is now seen as one of the most significant impacts of human-induced climate change and is expected to seriously affect most coastal areas in the next 10–100 years. However, for the coasts of the Mediterranean Sea and Black Sea, a dam on the Strait of Gibraltar would provide long-term protection for at least the next few millennia. The dam would be designed to initially cause a height difference between its two sides of about a metre and allow inflow of Atlantic water to balance net evaporation. In addition to coastal protection, benefits of the dam include providing a land link between Europe and Africa, and power generation. Negative effects include possible large-scale changes in Atlantic Ocean flow, and perhaps climate, a long-term rise in Mediterranean salinity with eventual impacts on fisheries, and the need for shipping to pass through locks both at Gibraltar and Suez. The Mediterranean salinity rise would be slow, causing serious effects only after several centuries. Mitigation, when needed, would require pumping out large volumes of Mediterranean deep water, over or through the dam. The dam would be a major project, requiring international agreements and resources. It will probably not be built soon, but rising sea levels will make a dam ever more necessary, and discussions need to start to quantify costs, benefits and impacts. © 2015, Her Majesty the Queen in Right of Canada as represented by: Fisheries and Oceans Canada.</t>
  </si>
  <si>
    <t>2-s2.0-84938987338"</t>
  </si>
  <si>
    <t>10.1016/j.ijdrr.2015.05.007</t>
  </si>
  <si>
    <t>https://www.scopus.com/inward/record.uri?eid=2-s2.0-84934298459&amp;doi=10.1016%2fj.ijdrr.2015.05.007&amp;partnerID=40&amp;md5=da4256ad3202b1e8c4228d22ceb3ac1b</t>
  </si>
  <si>
    <t>Super Typhoon Haiyan (locally known as ""Yolanda""), which featured wind speeds of 315. km/h, corresponding to a category 5, struck the Eastern Visayas region of the Philippines on November 8, 2013. The municipality of Tanauan, home to 50,907 people and 9,624 households in 54 barangays was one of the locations in Leyte Province. Because of Typhoon Haiyan, 822 people died in 32 barangays, and 35 people went missing. Tanauan received less attention from international emergency aid organizations than Tacloban or Palo.The survey team of the International Research Institute of Disaster Science, Tohoku University, was deployed to investigate the on-site damage in Tanauan in February, March and May of 2014. The main purpose of the survey was to identify the extent of Typhoon Haiyan's storm surge</t>
  </si>
  <si>
    <t>10.1016/j.quaint.2015.03.046</t>
  </si>
  <si>
    <t>https://www.scopus.com/inward/record.uri?eid=2-s2.0-84941809118&amp;doi=10.1016%2fj.quaint.2015.03.046&amp;partnerID=40&amp;md5=7766b30bb0fe40fc09c51c1b7a5b76f7</t>
  </si>
  <si>
    <t>Based primarily on genetic data, it has been proposed that Homo sapiens followed a coastal 'Southern Dispersal Route' from Africa to Island Southeast Asia and Australia between ~100,000 and 50,000 years ago. Geographic Information System (GIS)-based modelling has suggested that humans followed coastlines and rivers through the region, with the large Indus and Ganges river deltas providing formidable barriers to human migration. Archaeological evidence for such a coastal dispersal is virtually absent in East Africa, the Arabian Peninsula, and south-central Asia, however, creating a lively debate about the potential of coastal versus interior dispersal routes. We analyze south Asian coastlines and consider the potential effects of post-glacial sea level rise on the preservation of Pleistocene coastal sites to identify areas where archaeologists might search for evidence of early human dispersals along Asia's south coast, including the Arabian Peninsula and the Indian subcontinent. We also explore the ecology of mangrove and other coastal ecosystems from East Africa to Australia, where the Indian Ocean gyre facilitates the broad dispersal of marine organisms, including biologically rich and diverse mangrove forests. The presence of similar ecosystems and species around much of the Indian Ocean margins may have facilitated the dispersal of coastal peoples. Rather than a barrier, large mangrove forests may have attracted coastal groups, whose foraging in such ecosystems could have spurred the development of the sophisticated watercraft needed to colonize the island arcs of Southeast Asia and western Melanesia. © 2015 Elsevier Ltd and INQUA.</t>
  </si>
  <si>
    <t>2-s2.0-84941809118"</t>
  </si>
  <si>
    <t>10.1007/s10040-015-1287-5</t>
  </si>
  <si>
    <t>https://www.scopus.com/inward/record.uri?eid=2-s2.0-84945298051&amp;doi=10.1007%2fs10040-015-1287-5&amp;partnerID=40&amp;md5=14912a1dd90ca79e721fdb5f9df39ab5</t>
  </si>
  <si>
    <t>An essential issue in karst hydrology is the characterization of the hydrogeological flow systems, i.e., the delineation of catchment areas and the organization of the main flow paths (conduit network) feeding one or several outlets. The proposed approach provides an explicit way to sketch catchment areas, and to generate karst conduits on the basis of a three-dimensional (3D) conceptual model of the aquifer (KARSYS approach). The approach follows three main principles: (1) conduits develop according to the hydraulic gradient, which depends on the aquifer zonation, (2) conduits are guided by preferential guidance features (or inception horizons) prevailing in the unsaturated and saturated zones of the aquifer, and (3) conduits initiate on a regular basis below the autogenic zone of the catchment area. This approach was applied to a site in the Swiss Jura as a base for the assessment of flood-hazard risks. The resulting model proposes a new delineation of the system catchment area and appears fairer regarding hydrological measurements than previous interpretations, which under-estimated the catchment area by about 20 %. Furthermore, the proposed conduit network for the whole aquifer is also consistent with local cave surveys and dye-tracing observations. These interesting results demonstrate that the combination of this approach with the KARSYS 3D model provides an integrated and effective way for the characterization of karst-flow systems. © 2015, Springer-Verlag Berlin Heidelberg.</t>
  </si>
  <si>
    <t>2-s2.0-84945298051"</t>
  </si>
  <si>
    <t>10.1016/j.margeo.2015.09.002</t>
  </si>
  <si>
    <t>https://www.scopus.com/inward/record.uri?eid=2-s2.0-84941308915&amp;doi=10.1016%2fj.margeo.2015.09.002&amp;partnerID=40&amp;md5=61b471945b95c8a4c7e171444e0131df</t>
  </si>
  <si>
    <t>Submerged palaeo-shorelines on the central Mediterranean shelves, identified from high-resolution seismic profiles and bathymetric data, mark distinct water depths at which sea level stationed for a period of time during the relative sea-level rise that followed the Last Glacial Maximum (LGM). The shorelines are commonly represented by palaeo-coastal cliffs and barrier-beaches that lie today at water depths between -100m and -70 m, and between -65m and -40 m, in most places irrespective of the different tectonic contexts, even in the presence of significant vertical rates. These morphological features are thought to have been drowned during melt-water pulses 1A and 1B, which occurred between 15 and 10 ka. The evidence presented here confirms drowned shorelines documented elsewhere at similar water depths and shows that melt-water pulses have punctuated the post-glacial relative sea-level rise with rates up to 60mm/yr. for a few centuries. The identification of morphological features related to melt-water pulses in the central Mediterranean Sea has important implications to improve our knowledge on episodes of rapid glacio-eustatic sea-level rise. This issue is critical to be able to forecast future sea-level rises in the Mediterranean, which is characterized by densely populated coasts and important coastal infrastructures. © 2015 Elsevier B.V..</t>
  </si>
  <si>
    <t>2-s2.0-84941308915"</t>
  </si>
  <si>
    <t>10.1111/1752-1688.12306</t>
  </si>
  <si>
    <t>https://www.scopus.com/inward/record.uri?eid=2-s2.0-84983109512&amp;doi=10.1111%2f1752-1688.12306&amp;partnerID=40&amp;md5=cea8fa5589e190d3400c885943cccf98</t>
  </si>
  <si>
    <t>Flood inundation maps play a key role in assessment and mitigation of potential flood hazards. However, owing to high costs associated with the conventional flood mapping methods, many communities in the United States lack flood inundation maps. The objective of this study is to develop and examine an economical alternative approach to floodplain mapping using widely available soil survey geographic (SSURGO) database. In this study, floodplain maps are developed for the entire state of Indiana, and some counties in Minnesota, Wisconsin, and Washington states by identifying flood-prone soil map units based on their attributes. For validation, the flood extents obtained from SSURGO database are compared with the extents from other floodplain maps such as the Federal Emergency Management Agency issued flood insurance rate maps (FIRMs), flood extents observed during past floods, and flood maps derived using digital elevation models. In general, SSURGO-based floodplain maps (SFMs) are largely in agreement with other flood inundation maps. Specifically, the floodplain extents from SFMs cover 78-95% area compared to FIRMs and observed flood extents. Thus, albeit with a slight loss in accuracy, the SSURGO approach offers an economical and fast alternative for floodplain mapping. In particular, it has potentially high utility in areas where no detailed flood studies have been conducted. © 2015 American Water Resources Association.</t>
  </si>
  <si>
    <t>2-s2.0-84983109512"</t>
  </si>
  <si>
    <t>10.1002/2015JC011070</t>
  </si>
  <si>
    <t>https://www.scopus.com/inward/record.uri?eid=2-s2.0-84944790491&amp;doi=10.1002%2f2015JC011070&amp;partnerID=40&amp;md5=47ef8c4bc26e130d4fd54de62e50dc58</t>
  </si>
  <si>
    <t>Coastal storm surge forecasts are typically derived from dedicated hydrodynamic model systems, relying on Numerical Weather Prediction (NWP) inputs. Uncertainty in the NWP wind field affects both the preconditioning and the forecast of sea level. Traditionally, tide gauge data have been used to limit preconditioning errors, providing point information. Here we utilize coastal satellite altimetry sea level observations. Careful processing techniques allow data to be retrieved up to 3 km from the coast, combining 1 Hz and 20 Hz data. The use of satellite altimetry directly is limited to times when the satellite passes over the area of interest. Instead, we use a stationary blending method developed by Madsen et al. (2007) to relate the coastal satellite altimetry with corresponding tide gauge measurements, allowing generation of sea level maps whenever tide gauge data are available. We apply the method in the North Sea and Baltic Sea, including the coastal zone, and test it for operational nowcasting and hindcasting of the sea level. The feasibility to assimilate the blended product into a hydrodynamic model is assessed, using the ensemble optimal interpolation method. A 2 year test simulation shows decreased sea level root mean square error of 7-43% and improved correlation by 1-23% in all modeled areas, when validated against independent tide gauges, indicating the feasibility to limit preconditioning errors for storm surge forecasting, using a relatively cost effective assimilation scheme. © 2015. American Geophysical Union. All Rights Reserved.</t>
  </si>
  <si>
    <t>2-s2.0-84944790491"</t>
  </si>
  <si>
    <t>10.1080/19475705.2013.858373</t>
  </si>
  <si>
    <t>https://www.scopus.com/inward/record.uri?eid=2-s2.0-84945482230&amp;doi=10.1080%2f19475705.2013.858373&amp;partnerID=40&amp;md5=7a5a22f1feca96db5b0e29d1b44aa45f</t>
  </si>
  <si>
    <t>In this study, we assess tsunami impact and building vulnerability in the harbour area of Tangier – Morocco. Tsunami impact is evaluated through performing high-resolution inundation modelling. To assess buildings tsunami vulnerability, we use a geographic information system (GIS) multi-criteria approach based upon weight and classification factors. The methodology includes various steps: (i) identification of the most hazardous earthquake tsunamigenic sources, (ii) computation of high-resolution digital elevation model, (iii) simulation of inundation, (iv) field survey to classify buildings and defence structures and (v) application of the GIS-based model to produce final vulnerability map. Results show the potential tsunami impact and vulnerability that Tangier coast might face due to the occurrence of a large tsunami event in the region. Inundation map indicates that a coastal area of over 4.5 km2 is prone to tsunami flood with flow depths ranging from 0.5 to more than 6 m. Vulnerability map highlights different levels of expected buildings vulnerability to tsunami impact, which vary from “very high” for single-storey structures, located in the city harbour and along the sandy beach, to “low” for multi-storeys RC structures. Both inundation and vulnerability maps have important implications for decision makers and land use planning aiming to mitigate tsunami hazard in the North East Atlantic region. © 2013 Taylor &amp; Francis.</t>
  </si>
  <si>
    <t>2-s2.0-84945482230"</t>
  </si>
  <si>
    <t>American Journal of Applied Sciences</t>
  </si>
  <si>
    <t>10.3844/ajassp.2015.885.895</t>
  </si>
  <si>
    <t>https://www.scopus.com/inward/record.uri?eid=2-s2.0-84948139680&amp;doi=10.3844%2fajassp.2015.885.895&amp;partnerID=40&amp;md5=e64de3368e2ffe192bb144a7525dcfb3</t>
  </si>
  <si>
    <t>The purpose of this work was to study specific features of the accumulation and distribution of the total content and mobile forms of Heavy Metals (HM) in soils of the estuarine ecosystems of the floodplain and deltaic landscapes of the Don River. The results allowed us to detect regional specific features in the formation of HM compounds in floodplain soils of the Don River estuarine region and the changes that occur with soil pollution and to detect the influence of different factors on the transformation of metal compounds in the soils and estimate them ecologically. It was shown that the distribution of total HM content in the investigated soils is determined primarily by their content in pedogenic species of the Don river floodplain, as well as by soil factors: The organic matter content and particle-size fractions. The system of chemical element compounds forms a relationship of different compound groups, with strongly bound metal forms predominating. The soils can be ordered by their ability to strongly retain Cd, Pb, Mn, Zn, Cu, Ni: Alluvial-meadow heavy-loam &gt; alluvial meadow light-loam &gt; meadow alluvial-deposited &gt; alluvial-meadow sandy and sandy-loam &gt; alluvial-stratified sandy. This series completely corresponds to the decrease in their HM buffering capacity. Regional characteristics of HM behavior in Lower Don floodplain and delta soils include the weakly bound compounds Cd, Pb, Mn, Cu, Ni, which are represented mainly by specifically absorbed forms on carbonates and Fe-Mn (hydr) oxides. © 2015 Tatiana M. Minkina, Dina G. Nevidomskaya, Yuriy A. Fedorov, Saglara S. Mandzhieva, Tatiana V. Bauer, Victor A. Chaplygin, Aleksey K. Sherstnev, Inna V. Zamulina and Natalia E. Kravtsova.</t>
  </si>
  <si>
    <t>2-s2.0-84948139680"</t>
  </si>
  <si>
    <t>10.1080/01490419.2014.990590</t>
  </si>
  <si>
    <t>https://www.scopus.com/inward/record.uri?eid=2-s2.0-84942936757&amp;doi=10.1080%2f01490419.2014.990590&amp;partnerID=40&amp;md5=7d9d8e0b2334904669b87e95b4536490</t>
  </si>
  <si>
    <t>Ice sheets investigation is important with regard to climate change and contribution to the sea level rise or fall. Radar altimetry in complement with laser altimetry can serve as a suitable candidate for precise monitoring of ice sheet evaluations. SARAL due to higher observation into the polar region (up to 82.5°N) can cover nearly 100% of the Greenland ice sheet. Continuous ice tracking mode retracker can provide useful information about ice surfaces, that is, determining the snow coverage, ice sheet transaction margin, and the evolution of snow depth during winter more accurately. This study present the results obtained with SARAL satellite Altika radar altimeter over the Greenland ice sheet region. The altimeter high rate waveforms products are used for utilizing the full capability of the instrument. High resolution DEM (1 km) generated using ICESAT/GLAS altimeter has been used for selecting the good quality data over the study region. Four different retrackers—Ocean, ICE-1, ICE-2, and Sea-Ice—were tested on the SARAL altimeter data set and compared with the DEM extracted ice sheet elevations. Three different data analysis—region of interest (ROI), track analysis, and cross-over analysis—were performed for in-depth analysis of the ice height changes and back scattering coefficient variability. ROI's (1° × 0.5°) were selected based on accumulation dry snow zone, percolation zone, wet snow zone, and ablation zone. Finally to observe the effect of Ka band, SARAL results has been compared with the Envisat altimeter in terms of back scatter and error in the height retrieval due to penetration problem within the ice sheet layer. The new SARAL data set confirms the potential of ice altimetry and provides a new opportunity to monitor the ice sheet surface topography evolution. © 2015, Copyright © Taylor &amp; Francis Group, LLC.</t>
  </si>
  <si>
    <t>2-s2.0-84942936757"</t>
  </si>
  <si>
    <t>10.1002/2015JB012282</t>
  </si>
  <si>
    <t>https://www.scopus.com/inward/record.uri?eid=2-s2.0-84945181018&amp;doi=10.1002%2f2015JB012282&amp;partnerID=40&amp;md5=1ac8370a88fe2f7bfefa139c54ad614c</t>
  </si>
  <si>
    <t>We find that microseisms generated by Hurricane Sandy exhibit coherent energy within 1 h time windows in the frequency band of 0.1-0.25 Hz, but with signals correlated among seismic stations aligned along close azimuths from the hurricane center. With the identification of this signal property, we show that travel time difference can be measured between the correlated stations. These correlated seismic signals can be attributed to two types of seismic sources, with one group of the seismic signals from the hurricane center and the other from coastal region. The seismic sources in coastal region are diffusive and move northward along the coastline as Sandy moves northward. We further develop a hurricane seismic source model, to quantitatively describe the coupling among sea level pressure fluctuations, ocean waves, and solid Earth in the region of hurricane center and determine the evolution of source's strength and pressure fluctuation in the region of hurricane center using seismic data. Strong seismic sources are also identified near the coastal region in New England after Sandy's dissipation, possibly related to subsequent storm surge in the area. The seismic method may be implemented as another practical means for hurricane monitoring, and seismological estimates of the hurricane seismic source model could be used as in situ proxy measurements of pressure fluctuation in the region of hurricane center for hurricane physics studies. © 2015. American Geophysical Union. All Rights Reserved.</t>
  </si>
  <si>
    <t>2-s2.0-84945181018"</t>
  </si>
  <si>
    <t>10.2112/JCOASTRES-D-14-00173.1</t>
  </si>
  <si>
    <t>https://www.scopus.com/inward/record.uri?eid=2-s2.0-84940902679&amp;doi=10.2112%2fJCOASTRES-D-14-00173.1&amp;partnerID=40&amp;md5=8f335fe42e52004bf8cf6de61628eaf7</t>
  </si>
  <si>
    <t>Diversion of the Mississippi River is considered the most effective way of offsetting Louisiana's coastal plain land loss. The Wax Lake delta, a man-made diversion that represents mostly sand-rich distributary mouth bar deposits, is cited as a model for land building from a large river diversion. The fine-grained suspended load is mostly deposited outside of ""the delta."" Numerical simulations of diversion delta building focus primarily on sand deposition. The fine-grained suspended load is only secondarily considered. Research results reported here suggest that natural processes associated with the synergistic relationship between floods and cold front passages can effectively distribute suspended sediments to maintain and rebuild wetlands outside the sand-rich delta. Measurements (fixed acoustic Doppler current profilers) of current speed, current direction, and water level in a mainland marsh channel, north of Atchafalaya Bay, indicate that as cold fronts approach, local water levels can be elevated by as much as 1 m, and normal discharge into the bay is reversed so that flow is into the coastal plain marshes. LIDAR bank elevations indicate that overbank flow is initiated by these events. Streamside sediment accretion (2-y monitoring period) using feldspar plots indicates up to 6.8 cm. Longer term Cs-137 data reveal an average sediment accretion rate of &gt;1 cm y-1 over 50+ years. Marsh flooding results in denitrification of nitrate in river water plus nutrient uptake resulting in increased plant productivity, considerably greater than for similar coastal plain marshes free of riverine sediment input. Fine-grained suspended sediments are important for rebuilding Louisiana's coastal plain, which is naturally constructed mostly of riverine silt and clay plus organic matter. © Coastal Education &amp; Research Foundation 2015.</t>
  </si>
  <si>
    <t>2-s2.0-84940902679"</t>
  </si>
  <si>
    <t>New Directions for Evaluation</t>
  </si>
  <si>
    <t>10.1002/ev.20129</t>
  </si>
  <si>
    <t>https://www.scopus.com/inward/record.uri?eid=2-s2.0-84941646048&amp;doi=10.1002%2fev.20129&amp;partnerID=40&amp;md5=f35b23e756a7b2b704fd967d7f2ae41b</t>
  </si>
  <si>
    <t>Responding to recently identified challenges in the comprehensive evaluation of climate change adaptation, we suggest an assessment framework that incorporates a multidisciplinary viewpoint on adaptation. The framework combines three major components to link system-oriented concepts of risk and vulnerability to natural hazards and climate change with actor-oriented approaches of decision-making: the risk context, individual decision-making, and adaptation assessment. We have thereby developed an approach that is embedded in context and scale, takes an actor-oriented perspective, and is applicable to multiple evaluation approaches. We tested the framework empirically with a mixed-methods approach to assess adaptation in flood-exposed areas of the Vietnamese Mekong Delta. This has shown the distinct meanings of good adaptation and uncovered mismatches in choices for adaptation strategies and evaluations of those strategies across different actors hindering sustainable development. © 2015 Wiley Periodicals, Inc., A Wiley Company, and the American Evaluation Association.</t>
  </si>
  <si>
    <t>2-s2.0-84941646048"</t>
  </si>
  <si>
    <t>10.1007/s10584-013-1037-4</t>
  </si>
  <si>
    <t>https://www.scopus.com/inward/record.uri?eid=2-s2.0-84933670298&amp;doi=10.1007%2fs10584-013-1037-4&amp;partnerID=40&amp;md5=3ea1a49cd5e4080de5ee118ecf6b676d</t>
  </si>
  <si>
    <t>Changes in temperature, precipitation, sea level, and coastal storms will likely increase the vulnerability of infrastructure across the United States. Using four models that analyze vulnerability, impacts, and adaptation, this paper estimates impacts to roads, bridges, coastal properties, and urban drainage infrastructure and investigates sensitivity to varying greenhouse gas emission scenarios, climate sensitivities, and global climate models. The results suggest that the impacts of climate change in this sector could be large, especially in the second half of the 21st century as sea-level rises, temperature increases, and precipitation patterns become more extreme and affect the sustainability of long-lived infrastructure. Further, when considering sea-level rise, scenarios which incorporate dynamic ice sheet melting yield impact model results in coastal areas that are roughly 70 to 80 % higher than results that do not incorporate dynamic ice sheet melting. The potential for substantial economic impacts across all infrastructure sectors modeled, however, can be reduced by cost-effective adaptation measures. Mitigation policies also show potential to reduce impacts in the infrastructure sector – a more aggressive mitigation policy reduces impacts by 25 to 35 %, and a somewhat less aggressive policy reduces impacts by 19 to 30 %. The existing suite of models suitable for estimating these damages nonetheless covers only a small portion of expected infrastructure sector effects from climate change, so much work remains to better understand impacts on electric and telecommunications networks, rail, and air transportation systems. In addition, the effects of climate-induced extreme events are likely to be important, but are incompletely understood and remain an emerging area for research. © 2014, The Author(s).</t>
  </si>
  <si>
    <t>2-s2.0-84933670298"</t>
  </si>
  <si>
    <t>10.1016/j.margeo.2014.12.008</t>
  </si>
  <si>
    <t>https://www.scopus.com/inward/record.uri?eid=2-s2.0-84924897919&amp;doi=10.1016%2fj.margeo.2014.12.008&amp;partnerID=40&amp;md5=7bb1e8f7dfca57e8d64ff40673ba1682</t>
  </si>
  <si>
    <t>Linking hard rock coastal cliff erosion to environmental drivers is challenging, with weak relationships commonly observed in comparisons of marine and subaerial conditions to the timing and character of erosion. The aim of this paper is to bring together datasets to explore how best to represent conditions at the coast and to test relationships with erosion, which on this coast is primarily achieved via rockfalls. On the N. Yorkshire coast in the UK we compare a continuously monitored microseismic dataset, regionally monitored coastal environmental conditions, modelled at-cliff conditions and periodic high-resolution 3D monitoring of changes to the cliff face over a 2-year period.Cliff-top microseismic ground motions are generated by a range of offshore, nearshore and at-cliff sources. We consider such ground motions as proxies for those conditions that promote the occurrence of rockfalls and erosion. Both these data and modelled at-cliff water levels provide improved insight into conditions at, and wave energy transfer to, the cliff. The variability in microseismic, modelled and regionally-monitored environmental data derives statistically significant relationships with increases in the occurrence of rockfalls. The results demonstrate a marine control on the total volume and size characteristics of rockfalls. The strongest relationships found are with rockfalls sourced from across the entire cliff, rather than just at the toe, indicating that the marine influence, albeit indirectly, extends above and beyond the area inundated. These results identify failure mechanisms driving erosion, where a range of processes unique to the coast trigger failure, but in a manner beyond purely wave action at the cliff toe.Greater erosion occurs at the cliff toe. However, comparing water level inundation frequency, microseismic energy transfer and erosion, we observe that heights up the cliff that correspond with water levels associated with low frequency, high energy storms, or more frequent inundation, do not experience increased erosion. Our results describe the relationship between inundation duration, energy transfer and erosion of hard rock cliffs, and illustrate the relative intensity of erosion response to variations in these conditions. Implicitly our data suggests that in future, cliffed rocky coasts may be relatively quick to respond to changes in environmental forcing. © 2015 Elsevier B.V.</t>
  </si>
  <si>
    <t>2-s2.0-84924897919"</t>
  </si>
  <si>
    <t>10.5194/tc-9-753-2015</t>
  </si>
  <si>
    <t>https://www.scopus.com/inward/record.uri?eid=2-s2.0-84928710453&amp;doi=10.5194%2ftc-9-753-2015&amp;partnerID=40&amp;md5=fb4e1456ca44b2d2ff691e161c269615</t>
  </si>
  <si>
    <t>Glacier inventories provide the basis for further studies on mass balance and volume change, relevant for local hydrological issues as well as for global calculation of sea level rise. In this study, a new Austrian glacier inventory has been compiled, updating data from 1969 (GI 1) and 1998 (GI 2) based on high-resolution lidar digital elevation models (DEMs) and orthophotos dating from 2004 to 2012 (GI 3). To expand the time series of digital glacier inventories in the past, the glacier outlines of the Little Ice Age maximum state (LIA) have been digitalized based on the lidar DEM and orthophotos. The resulting glacier area for GI 3 of 415.11 ± 11.18 km2 is 44% of the LIA area. The annual relative area losses are 0.3% yr-1 for the ~119-year period GI LIA to GI 1 with one period with major glacier advances in the 1920s. From GI 1 to GI 2 (29 years, one advance period of variable length in the 1980s) glacier area decreased by 0.6% yr-1 and from GI 2 to GI 3 (10 years, no advance period) by 1.2% yr-1. Regional variability of the annual relative area loss is highest in the latest period, ranging from 0.3 to 6.19% yr-1. The mean glacier size decreased from 0.69 km2 (GI 1) to 0.46 km2 (GI 3), with 47% of the glaciers being smaller than 0.1 km2 in GI 3 (22%). © Author(s) 2015.</t>
  </si>
  <si>
    <t>2-s2.0-84928710453"</t>
  </si>
  <si>
    <t>10.1111/1477-8947.12082</t>
  </si>
  <si>
    <t>https://www.scopus.com/inward/record.uri?eid=2-s2.0-84977090071&amp;doi=10.1111%2f1477-8947.12082&amp;partnerID=40&amp;md5=361b6cdbfb1dd62b5796a28b9c9be8b3</t>
  </si>
  <si>
    <t>The long-term threat of sea-level rise to coral atoll and reef island communities in Kiribati, Tuvalu and other nations has raised the possibility of international migration. Historical resettlements in the Pacific may provide valuable insight into the long-term effect of future climate change-related migration on communities. This study evaluates the challenges faced by Gilbertese people resettled from modern-day Kiribati to Ghizo in the Solomon Islands by the British colonial administration in the mid-1900s. Drawing upon field interviews (n = 45) conducted in 2011 and the available historical literature, the study examines the circumstances of the initial failed resettlement in the equatorial Phoenix Islands, the subsequent relocation to Ghizo, and the recent concerns of the Gilbertese in Ghizo. Focus is placed on the struggle to recover from the 2007 tsunami that devastated the unprepared community. The analysis reveals that uncertainty about land tenure (raised by 61% of respondents) persists 60 years after resettlement, and is linked to the ability to recover from the tsunami, tensions with the Melanesian population, concerns over political representation, cultural decline, and education and employment opportunities. The Gilbertese experience can serve as a cautionary tale for policymakers considering mechanisms for facilitating climate change-related migration. © 2016 The Author.</t>
  </si>
  <si>
    <t>2-s2.0-84977090071"</t>
  </si>
  <si>
    <t>10.1080/08920753.2015.1046808</t>
  </si>
  <si>
    <t>https://www.scopus.com/inward/record.uri?eid=2-s2.0-84940531122&amp;doi=10.1080%2f08920753.2015.1046808&amp;partnerID=40&amp;md5=6e1e748f5d1e53d0b1ccb27a7a143c11</t>
  </si>
  <si>
    <t>Coastal communities in the Coral Triangle are increasingly threatened by climate change. Sea-level rise (SLR) will result in biophysical and socioeconomic impacts that could increase the loss of livelihoods, cultural heritage and infrastructure. Effective adaptation requires a holistic approach that incorporates scientific knowledge together with local and traditional knowledge. Community-based adaptation built on local knowledge is of great value for environmental management, particularly when scientific data are lacking. This article reports a case study that integrated traditional and scientific knowledge using participatory three-dimensional modeling (P3DM) in BoeBoe village, Solomon Islands. P3DM is a process by which members of the local community build a physical terrain model and overlay it with the location of important resources such as protected areas or harvesting sites. Additionally, SLR inundation scenarios based on surveyed elevations were incorporated into a geographic information system (GIS), allowing for a real-time integration of science with local knowledge. Despite discrepancies in scales and accuracy, information from both the P3DM and GIS were complementary. The process, itself, provided a forum for discussion between many members of the village who would normally not be involved and highlighted the importance of community engagement when building capacity for adaptation to climate change. © 2015, Copyright © Taylor &amp; Francis Group, LLC.</t>
  </si>
  <si>
    <t>2-s2.0-84940531122"</t>
  </si>
  <si>
    <t>10.1134/S0097807815040089</t>
  </si>
  <si>
    <t>https://www.scopus.com/inward/record.uri?eid=2-s2.0-84937404216&amp;doi=10.1134%2fS0097807815040089&amp;partnerID=40&amp;md5=c989894dc0a036ef280ba771d0821c30</t>
  </si>
  <si>
    <t>The main marine hydrological factors that influence the regime and structure of river mouths, including the mean (background) sea level, waves, tides, and storm surges, are discussed. Special attention is given to the long-term changes in the water levels of the World Ocean and in related seas that occurred during the XIX–XX centuries and to the predicted considerable sea level rise in the XXI century. The role of natural and anthropogenic land subsidence in variations of water levels in river deltas is assessed. The main hydrological and morphological processes at river mouths related to the sea level rise are considered. Special attention is given to the discussion of insufficiently studied problems such as changes in the characteristics of tides and storm surges under the condition of the sea level rise and nonlinear interaction of these phenomena. © 2015, Pleiades Publishing, Ltd.</t>
  </si>
  <si>
    <t>2-s2.0-84937404216"</t>
  </si>
  <si>
    <t>10.5194/nhess-15-1215-2015</t>
  </si>
  <si>
    <t>https://www.scopus.com/inward/record.uri?eid=2-s2.0-84935924358&amp;doi=10.5194%2fnhess-15-1215-2015&amp;partnerID=40&amp;md5=6f8db929a106a5b8e517e79d7359cd57</t>
  </si>
  <si>
    <t>Coastal managers face the task of assessing and managing flood risk. This requires knowledge of the area of land, the number of people, properties and other infrastructure potentially affected by floods. Such analyses are usually static</t>
  </si>
  <si>
    <t>10.1007/s11852-015-0396-6</t>
  </si>
  <si>
    <t>https://www.scopus.com/inward/record.uri?eid=2-s2.0-84933675748&amp;doi=10.1007%2fs11852-015-0396-6&amp;partnerID=40&amp;md5=bef13a2d0f4739045d720ffb5142026c</t>
  </si>
  <si>
    <t>Coastal river deltas are densely populated areas and hotspots of vulnerability. The delta’s ecological, social, and economic components are vulnerable to a wide variety of natural and anthropogenic threats. Sea level rise, climate variability, and rapid socio-economic development exert pressure on the already highly dynamic regions. To protect river deltas and their components, it is necessary to assess the degree of vulnerability so that mitigation efforts can be recommended to stakeholders and policy makers. Many such vulnerability assessments have been undertaken for river deltas. However, as vulnerability and related terms, such as resilience, coping-, and adaptive capacity only entered geosciences in the past decades, these terms are often used ambiguously. This makes it hard to compare existing studies, which not only interpret the related terms differently, but also consider completely different threats to deltas and their components, at different spatial and temporal scales. A comprehensive overview of studies addressing vulnerability of river deltas is missing. This paper presents a review, based on a consolidated set of definitions of vulnerability and related concepts in the context of coastal river deltas. All studies reviewed were categorized depending on their focus on either the ecologic, social, or economic component of river deltas, and were classified according to their spatial scale, temporal resolution, and numerous other research characteristics. Clear trends on dominant research foci in the field of river delta vulnerability could be extracted. Additionally, based on the findings presented here, recommendations for future assessments considering existing research gaps, are formulated. © 2015, Springer Science+Business Media Dordrecht.</t>
  </si>
  <si>
    <t>2-s2.0-84933675748"</t>
  </si>
  <si>
    <t>10.1016/j.gloenvcha.2015.04.009</t>
  </si>
  <si>
    <t>https://www.scopus.com/inward/record.uri?eid=2-s2.0-84929455397&amp;doi=10.1016%2fj.gloenvcha.2015.04.009&amp;partnerID=40&amp;md5=e4004bbb272d9c61f71480c293fe4c00</t>
  </si>
  <si>
    <t>Global average sea levels are expected to rise by up to a metre by the end of the century. This long-term rise will combine with shorter-term changes in sea level (e.g. high tides, storm surges) to increase risks of flooding and erosion in vulnerable coastal areas. As communities become increasingly exposed to these risks, understanding their beliefs and responses becomes more important. While studies have explored public responses to climate change, less research has focused on perceptions of the specific risks associated with sea-level change. This paper presents the results of a mental models study that addressed this knowledge gap by exploring expert and public perceptions of sea-level change on the Severn Estuary, a threatened coastal environment in the southwest of the United Kingdom. A model was developed from the literature and expert interviews (. N=. 11), and compared with public perceptions elicited via interviews (. N=. 20) and a quantitative survey (. N=. 359). Whilst we find a high degree of consistency between expert and public understandings, there are important differences that have implications for how sea level risks are interpreted and for what are perceived as appropriate mitigation and adaptation practices. We also find a number of potential barriers to engaging with the issue: individuals express low concern about sea-level change in relation to other matters</t>
  </si>
  <si>
    <t>10.1002/2014JC010569</t>
  </si>
  <si>
    <t>https://www.scopus.com/inward/record.uri?eid=2-s2.0-84939267084&amp;doi=10.1002%2f2014JC010569&amp;partnerID=40&amp;md5=4686974ce68fda76aad3bb920a020e50</t>
  </si>
  <si>
    <t>A three-dimensional sea ice model is presented with resolved snow thickness variations and melt ponds. The model calculates heating from solar radiative transfer and simulates the formation and movement of brine/melt water through the ice system. Initialization for the model is based on observations of snow topography made during the summer melt seasons of 2009, 2010, and 2012 from a location off the coast of Barrow, AK. Experiments are conducted to examine the importance of snow properties and snow and ice thickness by comparing observed and modeled pond fraction and albedo. One key process simulated by the model is the formation of frozen layers in the ice as relatively warm fresh water grid cells freeze when cooled by adjacent, cold brine-filled grid cells. These layers prevent vertical drainage and lead to flooding of melt water commonly observed at the beginning of the melt season. Flooding persists until enough heat is absorbed to melt through the frozen layer. The resulting long-term melt pond coverage is sensitive to both the spatial variability of snow cover and the minimum snow depth. For thin snow cover, initial melting results in earlier, reduced flooding with a small change in pond fraction after drainage of the melt water. Deeper snow tends to generate a delayed, larger peak pond fraction before drainage. © 2015. American Geophysical Union. All Rights Reserved.</t>
  </si>
  <si>
    <t>2-s2.0-84939267084"</t>
  </si>
  <si>
    <t>10.1002/2015WR016911</t>
  </si>
  <si>
    <t>https://www.scopus.com/inward/record.uri?eid=2-s2.0-84937524102&amp;doi=10.1002%2f2015WR016911&amp;partnerID=40&amp;md5=001cfc0fa6efce02e653710867d4ecf3</t>
  </si>
  <si>
    <t>Spatial and temporal salinity variations in surface water and pore water commonly exist in salt marshes under the combined influence of tidal inundation, precipitation, evapotranspiration, and inland freshwater input. Laboratory experiments and numerical simulations were conducted to investigate how density gradients associated with salinity variations affect pore water flow in the salt marsh system. The results showed that upward salinity (density) gradients could lead to flow instability and the formation of salt fingers. These fingers, varying in size with the distance from the creek, modified significantly the pore water flow field, especially in the marsh interior. While the flow instability enhanced local salt transport and mixing considerably, the net effect was small, causing only a slight increase in the overall mass exchange across the marsh surface. In contrast, downward salinity gradients exerted less influence on the pore water flow in the marsh soil and slightly weakened the surface water and groundwater exchange across the marsh surface. Numerical simulations revealed similar density effects on pore water flow at the field scale under realistic conditions. These findings have important implications for studies of marsh soil conditions concerning plant growth as well as nutrient exchange between the marsh and coastal marine system. © 2015. American Geophysical Union. All Rights Reserved.</t>
  </si>
  <si>
    <t>2-s2.0-84937524102"</t>
  </si>
  <si>
    <t>10.1007/s11356-015-4259-3</t>
  </si>
  <si>
    <t>https://www.scopus.com/inward/record.uri?eid=2-s2.0-84957412231&amp;doi=10.1007%2fs11356-015-4259-3&amp;partnerID=40&amp;md5=3c1b671b005d158ac04bb3c8f460be09</t>
  </si>
  <si>
    <t>In order to evaluate heavy metal contamination in surface waters in the Jiaozhou Bay (JZB), a typical semi-enclosed bay in the north of China, and to identify the response of heavy metal distribution to terrigenous sources and tides, the land-based discharge flux of dissolved Cu, Pb, Zn and Cd and their particulates, as well as their concentrations, were synchronously surveyed in JZB in flood season and normal season respectively. The survey results showed that the amount of dissolved Cu clearly increased from the estuaries to the offshore waters during the flood season, especially from the Dagu estuary to the mouth of JZB. The same trend was observed for Pb. The isopleths of dissolved Zn during the flood season presented a different pattern in which a clear decrease was observed from the Lianwan, Moshui and Dagu estuaries to the offshore waters. However, the particulate Cu isopleths during the flood season, which had the same pattern as those of particulate Pb, Zn and Cd, showed a clear decrease from the Dagu estuary to the mouth of JZB. The isopleths for dissolved and particulate Cu during the normal season showed a clear decrease from the northeast to the entrance of JZB, and the same trend was observed for Pb, Zn and Cd. Observations based on synchronous investigations of the fluvial fluxes of the selected metals and their average concentrations in JZB showed that these patterns were controlled by the strong external fluvial inputs, especially from the Dagu River. The diurnal change in the Cu, Pb, Zn and Cd concentrations showed a periodicity with a cycle length of approximately 12 h in JZB, which indicates the noticeable impact of the semi-diurnal tide. The weighed average concentration from freshwater inputs calculated for dissolved Cu, Pb, Zn and Cd were higher than their average concentrations in JZB. This indicated that JZB had been contaminated with these metals, whose concentrations were also higher than those found in uncontaminated waters. © Springer-Verlag Berlin Heidelberg 2015.</t>
  </si>
  <si>
    <t>2-s2.0-84957412231"</t>
  </si>
  <si>
    <t>10.1080/10106049.2014.965757</t>
  </si>
  <si>
    <t>https://www.scopus.com/inward/record.uri?eid=2-s2.0-84929517579&amp;doi=10.1080%2f10106049.2014.965757&amp;partnerID=40&amp;md5=d8e00f6959391cace970aca555a48491</t>
  </si>
  <si>
    <t>Accurate information on the extent of waterlogging is required for flood prediction, monitoring, relief and preventive measures. The rule-based classification algorithms were used for differentiating waterlogged areas from other ground features using Resourcesat-2 AWiFS satellite imagery (Indian Remote Sensing Satellite with spatial resolution of 56 m). Two spectral indices normalized difference water index (NDWI) and modified normalized difference water index (MNDWI) were used for extracting waterlogged areas in Sri Muktsar Sahib district of Punjab, India. These indices extracted the waterlogged areas (cropped areas inundated with water) but the water features were less enhanced in the NDWI-derived image (when compared with MNDWI-derived image) due to negative values of NDWI and, mixing of water with built up features. The water features were more enhanced with MNDWI and the values of MNDWI were positive for water features mixed with vegetation. The overall accuracy of waterlogged areas extracted from the MNDWI image was 96.9% with the Kappa coefficient of 0.89. The digital elevation model (DEM) was extracted from ASTER-GDEM. The relationships among depth to the water table recorded before the incessant rain in the region, DEM and classified MNDWI images explained the differences in the extent of waterlogging in various directions of the study area. These results suggest that MNDWI can be used to better delineate water features mixed with vegetation compared to NDWI. © 2014 Taylor &amp; Francis.</t>
  </si>
  <si>
    <t>2-s2.0-84929517579"</t>
  </si>
  <si>
    <t>10.1002/ieam.1612</t>
  </si>
  <si>
    <t>https://www.scopus.com/inward/record.uri?eid=2-s2.0-85006414844&amp;doi=10.1002%2fieam.1612&amp;partnerID=40&amp;md5=b2378b01399db300646b32e23cc4edba</t>
  </si>
  <si>
    <t>The North Atlantic Landscape Conservation Cooperative LCC (NA LCC) is a public–private partnership that provides information to support conservation decisions that may be affected by global climate change (GCC) and other threats. The NA LCC region extends from southeast Virginia to the Canadian Maritime Provinces. Within this region, the US National Climate Assessment documented increases in air temperature, total precipitation, frequency of heavy precipitation events, and rising sea level, and predicted more drastic changes. Here, we synthesize literature on the effects of GCC interacting with selected contaminant, nutrient, and environmental processes to adversely affect natural resources within this region. Using a case study approach, we focused on 3 stressors with sufficient NA LCC region-specific information for an informed discussion. We describe GCC interactions with a contaminant (Hg) and 2 complex environmental phenomena—freshwater acidification and eutrophication. We also prepared taxa case studies on GCC- and GCC-contaminant/nutrient/process effects on amphibians and freshwater mussels. Several avian species of high conservation concern have blood Hg concentrations that have been associated with reduced nesting success. Freshwater acidification has adversely affected terrestrial and aquatic ecosystems in the Adirondacks and other areas of the region that are slowly recovering due to decreased emissions of N and sulfur oxides. Eutrophication in many estuaries within the region is projected to increase from greater storm runoff and less denitrification in riparian wetlands. Estuarine hypoxia may be exacerbated by increased stratification. Elevated water temperature favors algal species that produce harmful algal blooms (HABs). In several of the region's estuaries, HABs have been associated with bird die-offs. In the NA LCC region, amphibian populations appear to be declining. Some species may be adversely affected by GCC through higher temperatures and more frequent droughts. GCC may affect freshwater mussel populations via altered stream temperatures and increased sediment loading during heavy storms. Freshwater mussels are sensitive to un-ionized ammonia that more toxic at higher temperatures. We recommend studying the interactive effects of GCC on generation and bioavailability of methylmercury and how GCC-driven shifts in bird species distributions will affect avian exposure to methylmercury. Research is needed on how decreases in acid deposition concurrent with GCC will alter the structure and function of sensitive watersheds and surface waters. Studies are needed to determine how GCC will affect HABs and avian disease, and how more severe and extensive hypoxia will affect fish and shellfish populations. Regarding amphibians, we suggest research on 1) thermal tolerance and moisture requirements of species of concern, 2) effects of multiple stressors (temperature, desiccation, contaminants, nutrients), and 3) approaches to mitigate impacts of increased temperature and seasonal drought. We recommend studies to assess which mussel species and populations are vulnerable and which are resilient to rising stream temperatures, hydrological shifts, and ionic pollutants, all of which are influenced by GCC. Integr Environ Assess Manag 2015</t>
  </si>
  <si>
    <t>10.1007/s12517-014-1396-9</t>
  </si>
  <si>
    <t>https://www.scopus.com/inward/record.uri?eid=2-s2.0-84939895623&amp;doi=10.1007%2fs12517-014-1396-9&amp;partnerID=40&amp;md5=16624b154bb2449d98267637e1ef7a4e</t>
  </si>
  <si>
    <t>Quaternary lakebed deposits have been recorded in different parts across Arabia, which are now drained by the eastward flowing drainage networks from Al Sarawat Mountains. The analyses of digital elevation model (DEM), satellite images, and geological maps show that the lakebed deposits are mainly contained within a great arch depression occupying the trough between Al Sarawat Mountains in the west and the escarpment of Tuwaiq in the east and Hadarmawt plateau in Yemen from the south to Wadi Sirhan depression near the Syrian–Jordanian border in the north. The basins within this mega-depression have been interconnected by tributary flows which was consequent in the northward direction. The conspicuous ridge of Tuwaiq, which extends northward for about 800 km and rises for approximately 200 m above its western floor, has been breached by numerous subsequent deep incised canyons and funnel-shaped cuts carved at different elevations. The formation of several wadi canyons and funnel cuts along the entire extent of Tuwaiq clearly suggests that the breaching of this conspicuous escarpment was sudden and rapid, as the northern outlet of this mega-lake was insufficient to discharge the water. The overflow arms have developed extensive alluvial fans on the Arabian coast</t>
  </si>
  <si>
    <t>10.1080/17445647.2014.954647</t>
  </si>
  <si>
    <t>https://www.scopus.com/inward/record.uri?eid=2-s2.0-84928590759&amp;doi=10.1080%2f17445647.2014.954647&amp;partnerID=40&amp;md5=ac3ea825a899b994d92e6223b810724f</t>
  </si>
  <si>
    <t>Inland excess water hazard was regionalized and digitally mapped using auxiliary spatial environmental information for a county in Eastern Hungary. Quantified parameters representing the effect of soil, geology, groundwater, land use and hydrometeorology on the formulation of inland excess water were defined and spatially explicitly derived. The complex role of relief was characterized using multiple derivatives computed from a DEM. Legacy maps displaying inland excess water events were used as a reference dataset. Regression kriging was applied for spatial inference with the correlation between environmental factors and inundation determined using multiple linear regressions. A stochastic factor derived through kriging the residual was added to the regression results, thus producing the final inundation hazard map. This may be of use for numerous land-related activities. © 2014, © 2014 Annamária Laborczi.</t>
  </si>
  <si>
    <t>2-s2.0-84928590759"</t>
  </si>
  <si>
    <t>10.1016/j.earscirev.2015.04.002</t>
  </si>
  <si>
    <t>https://www.scopus.com/inward/record.uri?eid=2-s2.0-84928237218&amp;doi=10.1016%2fj.earscirev.2015.04.002&amp;partnerID=40&amp;md5=b098eed0d59f793375be809d0d39481a</t>
  </si>
  <si>
    <t>The storm surge event that affected the coastal margins of the southern North Sea on 5-6 December 2013 produced the highest still water levels on record at several tide gauges on the UK east coast. On east-facing coasts south of the Humber estuary and north-facing Norfolk, water levels were higher than in the twentieth century benchmark surge event of 31 January-1 February 1953. Maximum significant wave heights were highest off the North Norfolk coast (peak Hs=3.8m offshore, 2.9m inshore) and lowest off the Suffolk coast (Hs=1.5-1.8m inshore)</t>
  </si>
  <si>
    <t>GEOPHYSICS</t>
  </si>
  <si>
    <t>10.1190/geo2014-0102.1</t>
  </si>
  <si>
    <t>https://www.scopus.com/inward/record.uri?eid=2-s2.0-84983095200&amp;doi=10.1190%2fgeo2014-0102.1&amp;partnerID=40&amp;md5=c2218769defe502d891c6df07f4f8702</t>
  </si>
  <si>
    <t>Coastal areas such as the German Bight are at risk from storms and rising sea level that may affect the hydrogeologic setting. Because knowledge of the distribution of clayey sediments is important for understanding the current status of this dynamic setting, the German Federal Institute for Geosciences and Natural Resources (BGR) has focused on geophysical research projects on the North Sea coast applying airborne and ground geophysics. The airborne system operated by BGR was used to survey a 20by 31-km large coastal area in Eastern Friesland, Germany, including the islands of Langeoog and Spiekeroog. Helicopter-borne electromagnetic (HEM) data were collected at six frequencies. In addition, the Leibniz Institute for Applied Geophysics commissioned a SkyTEM survey covering a 2-km-wide north-south strip. On the island of Langeoog, ground geophysical methods, such as transient electromagnetics (TEM) and magnetic resonance soundings (MRS) were used to investigate the hydrogeologic setting in greater detail. Onshore, the airborne electromagnetic results clearly outlined a complex electrically conductive pattern occurring at a shallow depth. Comparison with borehole results provided by the State Authority for Mining, Energy and Geology confirmed that these conductors were caused by clayey material, particularly down to an approximate 20-m depth. This pattern continues offshore, and it is likely that the saltwater is linked to stripes of clayey sediments and the fresh groundwater flows out to the Wadden Sea in between. On the islands, the HEM results revealed the freshwater lenses and showed some indications for clay layers within these freshwater lenses. The application of TEM and MRS helped to distinguish lithology from salinity and confirmed the existence of these clay layers. We demonstrated the usefulness of combining the spatial airborne data with geophysical and borehole data available at sparsely distributed sites on the ground to investigate hydrogeologic settings. © 2015 Society of Exploration Geophysicists.</t>
  </si>
  <si>
    <t>2-s2.0-84983095200"</t>
  </si>
  <si>
    <t>10.1016/j.cageo.2015.02.018</t>
  </si>
  <si>
    <t>https://www.scopus.com/inward/record.uri?eid=2-s2.0-84927765748&amp;doi=10.1016%2fj.cageo.2015.02.018&amp;partnerID=40&amp;md5=d99b090fab3080c8f0c4ff7a417658fc</t>
  </si>
  <si>
    <t>Flood inundation extent, depth, and duration are important factors affecting flood hazard evaluation. At present, flood inundation analysis is based mainly on a seeded region-growing algorithm, which is an inefficient process because it requires excessive recursive computations and it is incapable of processing massive datasets. To address this problem, we propose a block compressed tracing algorithm for mapping the flood inundation extent, which reads the DEM data in blocks before transferring them to raster compression storage. This allows a smaller computer memory to process a larger amount of data, which solves the problem of the regular seeded region-growing algorithm. In addition, the use of a raster boundary tracing technique allows the algorithm to avoid the time-consuming computations required by the seeded region-growing. Finally, we conduct a comparative evaluation in the Chin-sha River basin, results show that the proposed method solves the problem of flood inundation extent mapping based on massive DEM datasets with higher computational efficiency than the original method, which makes it suitable for practical applications. © 2015 Elsevier Ltd.</t>
  </si>
  <si>
    <t>2-s2.0-84927765748"</t>
  </si>
  <si>
    <t>10.1007/s11852-015-0403-y</t>
  </si>
  <si>
    <t>https://www.scopus.com/inward/record.uri?eid=2-s2.0-84942984654&amp;doi=10.1007%2fs11852-015-0403-y&amp;partnerID=40&amp;md5=652f64cfec585b4bdba33b572e64a377</t>
  </si>
  <si>
    <t>Lagoon-wetland systems are common along low-lying coastlines. They provide rich species habitats, multiple ecosystem services and socio-economic activities. They are particularly susceptible to the impacts of sea level rise (SLR), especially in less developed countries (LDCs) where economic and development constraints limit adaptation. The Muni-Pomadze lagoon is one of five coastal Ramsar sites in Ghana and one of many along the country’s coastline. It is an intermittently closed lagoon with extreme seasonal hydrological and physico-chemical variation. Field observation, digital mapping and GIS analysis of the shoreline has enabled an understanding of coastal change and SLR at the lagoon. From 1972 to 2014 the high water mark has shifted landwards with an average retreat rate of 0.22 m/year. Evidence of erosion and sediment washover indicate loss of and a shift landward of the sand barrier separating the lagoon from the ocean. Creation of an inundation map for a one-meter rise of sea level reveals fragementation and breaching of the barrier and an increasingly permanent connection to the ocean. A more open lagoon system stabilises hydrological and physico-chemical conditions, leading to increases in biodiversity and aquatic productivity. The lagoon currently has no consideration of SLR in its management plan. The results of this analysis and the limited development of the Muni-Pomadze lagoon support a no intervention approach to coastal management that allows SLR to transform the closed lagoon to an open estuary. A similar approach at comparable coastal wetland systems in Ghana and in other LDCs could prove an effective management option. © 2015, Springer Science+Business Media Dordrecht.</t>
  </si>
  <si>
    <t>2-s2.0-84942984654"</t>
  </si>
  <si>
    <t>10.1007/s11356-015-4158-7</t>
  </si>
  <si>
    <t>https://www.scopus.com/inward/record.uri?eid=2-s2.0-84933182662&amp;doi=10.1007%2fs11356-015-4158-7&amp;partnerID=40&amp;md5=97ec3158a277ab2c56f3313d15db3da5</t>
  </si>
  <si>
    <t>In Hungary, the dam of a red mud reservoir breached shortly after noon on October 4, 2010. Approximately 0.7–1 million m3 highly alkaline red mud with very low dry matter content flowed into the Torna Creek and the surrounding area, covering 1017 ha of agricultural land. Results of the risk assessment of the accident indicated that the red mud should be removed from the surface of fields where it formed a continuous layer of more than 5 cm. After the removal, samples were taken manually from depths of 0.0–0.2 m and 0.2–0.4 m in a sampling grid and background samples unaffected by red mud from the depth of 0.0–0.3 m. Total element contents (Ag, As, Ba, Cd, Co, Cr, Cu, Hg, Mo, Ni, Pb, Sn, Zn, and Na) and pH values were measured, and the results were analysed using correlation analysis and the Kruskal–Wallis probe. Dependence of the measured variables from elevation above sea level was studied using a 10 m by 10 m digital elevation model. Only ∼6.5 % of the flooded area was temporarily designated as unsuitable for the production of food and fodder crops. In summary, the clean-up operation can be said to have been a success. © 2015, Springer-Verlag Berlin Heidelberg.</t>
  </si>
  <si>
    <t>2-s2.0-84933182662"</t>
  </si>
  <si>
    <t>10.1007/s10584-015-1377-3</t>
  </si>
  <si>
    <t>https://www.scopus.com/inward/record.uri?eid=2-s2.0-84933672651&amp;doi=10.1007%2fs10584-015-1377-3&amp;partnerID=40&amp;md5=5d94dcf657cef347a6ef212784d3df79</t>
  </si>
  <si>
    <t>Coastal erosion, salt-water intrusion, and flooding due to sea-level rise threaten to degrade critical coastal strand and wetland habitats. Because habitat loss is a measure of the risk of extinction, managers are keen for guidance to reduce risk posed by sea-level rise. Building upon standard inundation mapping techniques and suitability mapping, we develop a ranking system that models sea-level rise vulnerability as a function of six input parameters defined by wetland experts: type of inundation, time of inundation, soil type, habitat value, infrastructure, and coastal erosion. We apply this model under the mid-century and end-of-century RCP8.5 sea-level projection (0.30 m by 2057, and 0.74 m by 2100) according to the Intergovernmental Panel on Climate Change Fifth Assessment Report. To demonstrate this method, the model is applied to three coastal wetlands on the Hawaiian islands of Maui and O‘ahu. Each ranked input parameter is mapped upon a 2 m horizontal resolution raster and final vulnerability is obtained by calculating the weighted geometric mean of the input vulnerability scores. Areas that ranked with the ‘highest’ vulnerability should be the focus of future management efforts. The tools developed in this study can be a guide to prioritize conservation actions at flooded areas and initiate decisions to adaptively manage sea-level rise impacts. © 2015, Springer Science+Business Media Dordrecht.</t>
  </si>
  <si>
    <t>2-s2.0-84933672651"</t>
  </si>
  <si>
    <t>10.1002/2015JC010760</t>
  </si>
  <si>
    <t>https://www.scopus.com/inward/record.uri?eid=2-s2.0-84973560226&amp;doi=10.1002%2f2015JC010760&amp;partnerID=40&amp;md5=3af7ccc1fffbc981d4f1a89a90c7e0b5</t>
  </si>
  <si>
    <t>Super typhoon Haiyan struck the Philippines on 8 November 2013, marking one of the strongest typhoons at landfall in recorded history. Extreme storm waves attacked the Pacific coast of Eastern Samar where the violent typhoon first made landfall. Our field survey confirmed that storm overwash heights of 6-14 m above mean sea level were distributed along the southeastern coast and extensive inundation occurred in some coastal villages in spite of natural protection by wide fringing reefs. A wave model based on Boussinesq-type equations is constructed to simulate wave transformation over shallow fringing reefs and validated against existing laboratory data. Wave propagation and runup on the Eastern Samar coast are then reproduced using offshore boundary conditions based on a wave hindcast. The model results suggest that extreme waves on the shore are characterized as a superposition of the infragravity wave and sea-swell components. The balance of the two components is strongly affected by the reef width and beach slope through wave breaking, frictional dissipation, reef-flat resonances, and resonant runup amplification. Therefore, flood characteristics significantly differ from site to site due to a large variation of the two topographic parameters on the hilly coast. Strong coupling of infragravity waves and sea swells produces extreme runup on steep beaches fronted by narrow reefs, whereas the infragravity waves become dominant over wide reefs and they evolve into bores on steep beaches. Key Points: Super typhoon Haiyan caused extreme flooding on reef coasts Wave transformation processes over fringing reefs are numerically reproduced Spectral wave characteristics varies with the reef width and beach slope © 2015. American Geophysical Union. All Rights Reserved.</t>
  </si>
  <si>
    <t>2-s2.0-84973560226"</t>
  </si>
  <si>
    <t>10.5194/nhess-15-1011-2015</t>
  </si>
  <si>
    <t>https://www.scopus.com/inward/record.uri?eid=2-s2.0-84930212726&amp;doi=10.5194%2fnhess-15-1011-2015&amp;partnerID=40&amp;md5=a7b0b4114a0db65fbb63aab834679f73</t>
  </si>
  <si>
    <t>New automated methods are developed for identifying narrow landscape features that cause hydrodynamic blocking and might have critical impacts for management models of river flooding, coastal inundation, climate change, or extreme event analysis. Lidar data processed into a fine-resolution raster (1 m × 1 m) can resolve narrow blocking features in topography but typically cannot be directly used for hydrodynamic modeling. For practical applications such data are abstracted to larger scales, which can result in a loss of hydrodynamic blocking effects. The traditional approach to resolving hydrodynamic blocking features is to represent them as cell boundaries within a customized unstructured grid that is tuned to the spatial features. A new automated edge-blocking approach is developed, which allows application of an arbitrarily structured (Cartesian) mesh at coarser scales and provides contiguous representation of blocking features along Cartesian cell boundaries. This approach distorts the shape of a blocking feature (i.e., making it rectilinear along grid cell faces) but retains its critical hydrodynamic blocking height characteristics and spatial continuity within the topographic model. © Author(s) 2015.</t>
  </si>
  <si>
    <t>2-s2.0-84930212726"</t>
  </si>
  <si>
    <t>10.1080/17565529.2014.951011</t>
  </si>
  <si>
    <t>https://www.scopus.com/inward/record.uri?eid=2-s2.0-84938554835&amp;doi=10.1080%2f17565529.2014.951011&amp;partnerID=40&amp;md5=b8441c447155ad22dac0afcd119889fe</t>
  </si>
  <si>
    <t>The vulnerability of coastal communities to climate change risks is an important development issue for Africa's low-lying coastal zones. Frequent floods resulting from climate change, sea-level rise and other human-induced environmental stressors have become a major concern in the coastal zone of Nigeria. This article draws upon conceptual issues in vulnerability and livelihoods to examine the multi-scale causes of current vulnerability of artisanal fishing communities in the Ogun coastal area of southwest Nigeria to flood risks. Fisher folk in the study area are highly vulnerable to the increasing incidence of floods as virtually all aspects of their livelihoods are impacted. Adaptive capacity which is influenced by existing socio-economic and institutional contexts at different scales is examined. Projected changes in climate for Nigeria's coastal zone and future socio-economic conditions of artisanal fishers suggest higher vulnerability in the future. © 2014 Taylor &amp; Francis.</t>
  </si>
  <si>
    <t>2-s2.0-84938554835"</t>
  </si>
  <si>
    <t>10.1007/s12517-014-1404-0</t>
  </si>
  <si>
    <t>https://www.scopus.com/inward/record.uri?eid=2-s2.0-84939871402&amp;doi=10.1007%2fs12517-014-1404-0&amp;partnerID=40&amp;md5=24a33edded85cc423837ebad53de9bcd</t>
  </si>
  <si>
    <t>Flash flood forecasting of catchment systems is one of the challenges especially in the arid ungauged basins. This study is attempted to estimate the relationship between rainfall and runoff and also to provide flash flood hazard warnings for ungauged basins based on the hydrological characteristics using geographic information system (GIS). Morphometric characteristics of drainage basins provide a means for describing the hydrological behavior of a basin. The study examined the morphometric parameters of Wadi Rabigh with emphasis on its implication for hydrologic processes through the integration analysis between morphometric parameters and GIS techniques. Data for this study were obtained from ASTER data for digital elevation model (DEM) with 30-m resolution, topographic map (1:50,000), and geological maps (1,250,000) which were subject to field confirmation. About 36 morphometric parameters were measured and calculated, and interlinked to produce nine effective parameters for the evaluation of the flash flood hazard degree of the study area. Based on nine effective morphometric parameters that directly influence on the hydrologic behavior of the Wadi through time of concentration, the flash flood hazard of the Rabigh basin and its subbasins was identified and classified into three groups (High, medium, and low hazard degree). The present work proved that the physiographic features of drainage basin contribute to the possibility of a flash flood hazard evaluation for any particular drainage area. The study provides details on the flash flood prone subbasins and the mitigation measures. This study also helps to plan rainwater harvesting and watershed management in the flash flood alert zones. Based on two historical data events of rainfall and the corresponding maximum flow rate, morphometric parameters and Stormwater Management and Design Aid software (SMADA 6), it could be to generate the hydrograph of Wadi Rabigh basin. As a result of the model applied to Wadi Rabigh basin, a rainfall event of a total of 22 mm with a duration of 5 h at the station nearby the study area, which has an exceedance probability of 50 % and return period around 2 years, produces a discharge volume of 15.2 × 106 m3 at the delta, outlet of the basin, as 12.5 mm of the rainfall infiltrates (recharge). © 2014, Saudi Society for Geosciences.</t>
  </si>
  <si>
    <t>2-s2.0-84939871402"</t>
  </si>
  <si>
    <t>10.1109/JSTARS.2015.2440439</t>
  </si>
  <si>
    <t>https://www.scopus.com/inward/record.uri?eid=2-s2.0-85027953788&amp;doi=10.1109%2fJSTARS.2015.2440439&amp;partnerID=40&amp;md5=eef73a2ceffbe949d2924695f4335943</t>
  </si>
  <si>
    <t>The objective of this study was to estimate rice crop damage over the entire Cambodia during a large flood event from July to November 2011. An integrated approach was applied to detect and monitor flood areas with flood depth and duration for near real-time rice crop damage estimation in 2011 by using MODIS time-series imagery. The combined data consists of developed MLSWI, EVI from MODIS, new FID from DEM, land use, and simplified empirical damage curves. These data are expected to play an important role in emergency response efforts and rapid risk assessment for high-risk flood areas in the Cambodian floodplain. A rice crop damage map will be generated, showing areas with different damage levels based on flood duration and floodwater depth, including 25% (8 days, below 1.5 m), 50% (8 days, over 1.5 m</t>
  </si>
  <si>
    <t>10.5194/nhess-15-1231-2015</t>
  </si>
  <si>
    <t>https://www.scopus.com/inward/record.uri?eid=2-s2.0-84934981761&amp;doi=10.5194%2fnhess-15-1231-2015&amp;partnerID=40&amp;md5=e41de4d544503b95945edcf324545434</t>
  </si>
  <si>
    <t>Knowledge of the actual condition of hydrodynamics in the nearshore and coastal area is essential for coastal monitoring activities. To this end, a coastal operational model system can serve as a tool in providing recent and up-to-date, state-of-the-art hydrodynamics along the coast. In this paper, we apply CoSMoS (Coastal Storm Modeling System), a generic operational wave and tide-surge modelling system applied here to predict waves and water levels along the Dutch coast. The CoSMoS application is not limited to storm impact prediction on the Dutch coast, but can also be applied to other coastal hazards such as rip currents and coastal flooding, in other environments. In this paper, we present the set-up of the CoSMoS system and a validation of the wave and surge model, with deep-water wave buoy data and tidal gauge measurements as ground truth validation material. The evaluation is presented as monthly error measures between computed parameters and observed ones. Hindcast results over the whole year of 2009 show that the simulated wave parameters and surge elevation from the CoSMoS are in good agreement with data, with average root mean square (rms) error over the year of 0.14 m for the surge elevation and 0.24 m for the significant wave height. It is noted that there is a tendency of the wave model to underestimate the height of northerly waves with lower frequencies (swell). Additionally, when a wave separation algorithm is applied on the overall spectrum, results show consistent underestimation of the swell component by the model, which for the Dutch coast will mainly come from the north, where the North Sea is open to the Atlantic Ocean. In the proposed model system, the swell boundary can have a significant effect on the simulated wave results, suggesting room for improvement for the swell boundary conditions to the north and the swell propagation within the Dutch Continental Shelf Model. Finally, we show that in forecast mode, CoSMoS can provide reasonably good wave and surge prediction. © Author(s) 2015. CC Attribution 3.0 License.</t>
  </si>
  <si>
    <t>2-s2.0-84934981761"</t>
  </si>
  <si>
    <t>10.5194/nhess-15-1659-2015</t>
  </si>
  <si>
    <t>https://www.scopus.com/inward/record.uri?eid=2-s2.0-84938532362&amp;doi=10.5194%2fnhess-15-1659-2015&amp;partnerID=40&amp;md5=c1e1df378a33b44f7ef43d9d659cccdf</t>
  </si>
  <si>
    <t>Coastal lowlands and estuaries are subjected to increasing flood risks during storm surges due to global and regional changes. Tidal wetlands are increasingly valued as effective natural buffers for storm surges by dissipating wave energy and providing flood water storage. While previous studies focused on flood wave attenuation within and behind wetlands, this study focuses on the effects of estuarine wetland properties on the attenuation of a storm tide that propagates along the length of an estuary. Wetland properties including elevation, surface area, and location within the estuary were investigated using a numerical model of the Scheldt estuary (Belgium, SW Netherlands). For a spring tide lower wetland elevations result in more attenuation of high water levels along the estuary, while for a higher storm tide higher elevations provide more attenuation compared to lower wetland elevations. For spring and storm tide a larger wetland surface area results in a better attenuation along the estuary up to a threshold wetland size for which larger wetlands do not further contribute to more attenuation. Finally a wetland of the same size and elevation, but located more upstream in the estuary, can store a larger proportion of the local flood volume and therefore has a larger attenuating effect on upstream high water levels. With this paper we aim to contribute towards a better understanding and wider implementation of ecosystem-based adaptation to increasing estuarine flood risks associated with storms. © Author(s) 2015.</t>
  </si>
  <si>
    <t>2-s2.0-84938532362"</t>
  </si>
  <si>
    <t>10.1016/j.ijrmms.2015.03.036</t>
  </si>
  <si>
    <t>https://www.scopus.com/inward/record.uri?eid=2-s2.0-84929310091&amp;doi=10.1016%2fj.ijrmms.2015.03.036&amp;partnerID=40&amp;md5=b9e024dd49a8015620f6e297904a0fd7</t>
  </si>
  <si>
    <t>Single-hole blast-induced damage in a granitic outcrop has been assessed through both controlled experiments and numerical simulations with a combined finite-discrete element method (FEM-DEM). Damage tomographies from decoupled short and long explosive charges in flooded boreholes were obtained through a high-resolution cross-hole system, by measuring pre- and post-blast seismic velocities around the blastholes. Damage was assessed through crack density, which was calculated by inversion of P-wave velocity measurements through an Effective Medium Theory (EMT) method. The resulting damage was found to be highly asymmetrical around each blast hole, both along the vertical and horizontal planes, despite the apparent isotropy and homogeneity of the granitic rock mass. Experimental results combined with numerical simulations carried out to assess damage from stress waves alone, showed that most damage from experiments was caused by the expansion of gases, while its magnitude and extension were strongly dependent on confining conditions along the blasthole. The difficulty of quantifying the relative contribution of stress waves and gas expansion and the problems inherent in prediction of blast-induced damage are described. © 2015 Elsevier Ltd.</t>
  </si>
  <si>
    <t>2-s2.0-84929310091"</t>
  </si>
  <si>
    <t>10.1007/s11069-014-1583-8</t>
  </si>
  <si>
    <t>https://www.scopus.com/inward/record.uri?eid=2-s2.0-84940007358&amp;doi=10.1007%2fs11069-014-1583-8&amp;partnerID=40&amp;md5=5560083fe4827ac4220ed977d4478261</t>
  </si>
  <si>
    <t>Since the late 1970s, the Pearl River Delta (PRD) in China has undergone a rapid transition from an agricultural landscape to a metropolitan area. The rapid urbanization has not only increased the area of impervious surfaces in the central plain</t>
  </si>
  <si>
    <t>10.1016/j.ecoleng.2015.04.035</t>
  </si>
  <si>
    <t>https://www.scopus.com/inward/record.uri?eid=2-s2.0-84927155537&amp;doi=10.1016%2fj.ecoleng.2015.04.035&amp;partnerID=40&amp;md5=367ad079f105c09c6013f5d4a0ba5621</t>
  </si>
  <si>
    <t>Inundation and salinity directly affect plant productivity and processes that regulate vertical accretion in coastal wetlands, and are expected to increase as sea level continues to rise. In the Mississippi River deltaic plain, river diversions, which are being implemented as ecosystem restoration tools, can also strongly increase inundation in coastal wetlands. We used an in situ mesocosm approach to examine how varying salinity (two levels) and inundation rates (six levels) influenced end-of-season above- and belowground biomass of Spartina patens and Spartina alterniflora during the growing season (March-October) in 2011. Above- and belowground biomass was highest in both species at higher elevations when inundation was minimal, and decreased exponentially with decreased elevation and increased flood duration. This negative biomass response to flooding was more pronounced in S. patens than in S. alterniflora, and S. patens also showed stronger biomass reductions at higher salinities. This salinity effect was absent for belowground biomass in S. alterniflora. These findings suggest that even subtle increases in sea level may lead to substantial reductions in productivity and organic accretion, and also illustrate the importance of considering the inundation tolerance of co-dominant species in receiving areas when utilizing river diversions for delta restoration. © 2015.</t>
  </si>
  <si>
    <t>2-s2.0-84927155537"</t>
  </si>
  <si>
    <t>10.2112/JCOASTRES-D-14-00073.1</t>
  </si>
  <si>
    <t>https://www.scopus.com/inward/record.uri?eid=2-s2.0-84937148903&amp;doi=10.2112%2fJCOASTRES-D-14-00073.1&amp;partnerID=40&amp;md5=9f24a49c14188e8338cd2667a711e6b4</t>
  </si>
  <si>
    <t>Hurricanes alter light and water availability via canopy damage and storm surge delivery and are expected to intensify with climate change. Plant species respond to environmental changes by making physiological adjustments in situ or through distribution changes. Three years after Hurricane Katrina, we compared functional traits and water relations among three species along the coenocline at Weeks Bay National Estuarine Research Reserve, Fairhope, Alabama, U.S.A. Based on posthurricane distribution changes for these species, we hypothesized that (1) Cladium mariscus, whose distribution expanded slightly, is responsive to increased light availability in the disturbed forest at the landward end but is strongly limited by water stress at its seaward edge</t>
  </si>
  <si>
    <t>10.1007/s11852-015-0405-9</t>
  </si>
  <si>
    <t>https://www.scopus.com/inward/record.uri?eid=2-s2.0-84942991512&amp;doi=10.1007%2fs11852-015-0405-9&amp;partnerID=40&amp;md5=97978115ccd099100e82f19514c14ee9</t>
  </si>
  <si>
    <t>An intensive one-month long observational campaign of tides and currents during dry season were used to describe the tidal dynamics and the spatial evolution of tidal asymmetry in Cochin estuary. The estuary is described as hyposynchronous since tidal amplitude and currents get attenuated towards upstream through frictional dissipation. The results showed that the tidal momentum balance along the main axis of the channel was dominated by pressure gradient and friction. The influence of advection was prevalent near the inlets and friction was greatest in the shallow upstream regions. Higher harmonics were generated in the estuary through nonlinear friction and advection causing tidal distortions. Being a mixed predominantly semidiurnal tidal regime, tidal asymmetry was quantified in terms of sample skewness to examine the spatial evolution in the total asymmetry. The principal astronomical tides (M2, K1 and O1) interacted to engender flood dominance at the inlets. The compound tides and overtides generated inside the estuary were found to either augment or transform the asymmetry imposed by the principal tides. The study showed that friction causes flood dominance at the northern inlet (Munambam) and in the shallow regions of the upstream during dry season. In striking contrast, the Cochin inlet and the adjacent harbor area turned to be ebb-dominant. These findings have implications for management and sediment transport mechanisms within the estuary. © 2015, Springer Science+Business Media Dordrecht.</t>
  </si>
  <si>
    <t>2-s2.0-84942991512"</t>
  </si>
  <si>
    <t>10.2112/JCOASTRES-D-13-00127.1</t>
  </si>
  <si>
    <t>https://www.scopus.com/inward/record.uri?eid=2-s2.0-84929318774&amp;doi=10.2112%2fJCOASTRES-D-13-00127.1&amp;partnerID=40&amp;md5=465f1aa1200629ee8499a082fcb04f7f</t>
  </si>
  <si>
    <t>We investigate the effect of the future sea level rise (SLR) on the propagation of tides in the Patagonian Shelf by means of numerical simulations. Using a barotropic implementation of the Model for Applications at Regional Scales (MARS), we obtain solutions for scenarios which represent the present condition and potential future SLRs of 1, 2, and 10 m. The effect of flooding of low-lying areas is studied, and its influence on the propagation of tides in the region is discussed. Due to the coastal morphological features and the sense of tidal wave propagation in the Southern Hemisphere, inundation does not significantly modify the solution in the Patagonian Shelf</t>
  </si>
  <si>
    <t>10.1007/s11027-015-9640-5</t>
  </si>
  <si>
    <t>https://www.scopus.com/inward/record.uri?eid=2-s2.0-84939000803&amp;doi=10.1007%2fs11027-015-9640-5&amp;partnerID=40&amp;md5=3ffd192d4276686aabf839d01cca6a7c</t>
  </si>
  <si>
    <t>Concern about the effects of climate change have set in motion a search for flood protection measures to adapt coastlines to the foreseen accelerated sea level rise. In this context, the potential role of salt marshes to adapt the Wadden Sea’s flood defences was explored in the Netherlands Wadden Region Delta Programme. This paper provides an overview of the steps taken by the programme in developing a climate change adaptation strategy so that others might learn from its experiences. The second aim is to summarize the knowledge generated by the programme on the potential role of salt marshes as part of a climate change adaption strategy. Explorative modelling results indicate that Wadden Sea salt marshes affect wave heights, even under extreme conditions. Therefore, a salt-marsh zone in front of the Wadden Sea dikes that could keep pace with sea level rise may result in a reduced dike reinforcement task. A salt marsh potential map gives a rough impression of locations that are potentially interesting for salt marsh conservation and development, based on the current situation, on available information about abiotic conditions for salt marsh formation and the habitats present in the coastal zone. Besides elongated stretches were seminatural salt marshes are already present or developing, several stretches along the Dutch Wadden Sea coast have favourable abiotic conditions for salt marsh development. However, the prospects for integrating salt marshes into flood defences depend also on other aspects. Various nature conservation agreements are in effect with their associated obligations. Furthermore, the foreseen value of salt marsh development compared to traditional reinforcements, in terms of both costs and benefits, must be considered. © 2015, The Author(s).</t>
  </si>
  <si>
    <t>2-s2.0-84939000803"</t>
  </si>
  <si>
    <t>10.1002/2015JC010716</t>
  </si>
  <si>
    <t>https://www.scopus.com/inward/record.uri?eid=2-s2.0-84987765243&amp;doi=10.1002%2f2015JC010716&amp;partnerID=40&amp;md5=d9e06be6d1f346ac422fc3eb0b76d626</t>
  </si>
  <si>
    <t>Global sea levels have been rising through the past century and are projected to rise at an accelerated rate throughout the 21st century. This has motivated a number of authors to search for already existing accelerations in observations, which would be, if present, vital for coastal protection planning purposes. No scientific consensus has been reached yet as to how a possible acceleration could be separated from intrinsic climate variability in sea level records. This has led to an intensive debate on its existence and, if absent, also on the general validity of current future projections. Here we shed light on the controversial discussion from a methodological point of view. To do so, we provide a comprehensive review of trend methods used in the community so far. This resulted in an overview of 30 methods, each having its individual mathematical formulation, flexibilities, and characteristics. We illustrate that varying trend approaches may lead to contradictory acceleration-deceleration inferences. As for statistics-oriented trend methods, we argue that checks on model assumptions and model selection techniques yield a way out. However, since these selection methods all have implicit assumptions, we show that good modeling practices are of importance too. We conclude at this point that (i) several differently characterized methods should be applied and discussed simultaneously, (ii) uncertainties should be taken into account to prevent biased or wrong conclusions, and (iii) removing internally generated climate variability by incorporating atmospheric or oceanographic information helps to uncover externally forced climate change signals. Key Points: A review is given of 30 trend models applied in the field of sea level research Varying trend patterns can be found for the same data depending on the method chosen Contradictory trend inferences can be avoided by applying good modeling practices © 2015. The Authors.</t>
  </si>
  <si>
    <t>2-s2.0-84987765243"</t>
  </si>
  <si>
    <t>10.1016/j.jhydrol.2015.03.011</t>
  </si>
  <si>
    <t>https://www.scopus.com/inward/record.uri?eid=2-s2.0-84925064848&amp;doi=10.1016%2fj.jhydrol.2015.03.011&amp;partnerID=40&amp;md5=0b21bde076c15d477e372db5bf0bedc6</t>
  </si>
  <si>
    <t>A suitable assessment and management of the exposure level to natural flood risks necessarily requires an exhaustive knowledge of the terrain. This study, primarily aimed to evaluate flood risk, firstly assesses the suitability of an innovative technique, called Reduced Cost Aerial Precision Photogrammetry (RC-APP), based on a motorized technology ultra-light aircraft ULM (Ultra-Light Motor), together with the hybridization of reduced costs sensors, for the acquisition of geospatial information. Consequently, this research generates the RC-APP technique which is found to be a more accurate-precise, economical and less time consuming geomatic product. This technique is applied in river engineering for the geometric modeling and risk assessment to floods. Through the application of RC-APP, a high spatial resolution image (orthophoto of 2.5cm), and a Digital Elevation Model (DEM) of 0.10m mesh size and high density points (about 100points/m2), with altimetric accuracy of -0.02±0.03m have been obtained. These products have provided a detailed knowledge of the terrain, afterward used for the hydraulic simulation which has allowed a better definition of the inundated area, with important implications for flood risk assessment and management. In this sense, it should be noted that the achieved spatial resolution of DEM is 0.10m which is especially interesting and useful in hydraulic simulations through 2D software. According to the results, the developed methodology and technology allows for a more accurate riverbed representation, compared with other traditional techniques such as Light Detection and Ranging (LiDAR), with a Root-Mean-Square Error (RMSE±0.50m). This comparison has revealed that RC-APP has one lower magnitude order of error than the LiDAR method. Consequently, this technique arises as an efficient and appropriate tool, especially in areas with high exposure to risk of flooding. In hydraulic terms, the degree of detail achieved in the 3D model, has allowed reaching a significant increase in the knowledge of hydraulic variables in natural waterways. © 2015 Elsevier B.V.</t>
  </si>
  <si>
    <t>2-s2.0-84925064848"</t>
  </si>
  <si>
    <t>10.1007/s00382-014-2312-4</t>
  </si>
  <si>
    <t>https://www.scopus.com/inward/record.uri?eid=2-s2.0-85027920923&amp;doi=10.1007%2fs00382-014-2312-4&amp;partnerID=40&amp;md5=e0b02a2552080e8e7f558a8fb94bbefc</t>
  </si>
  <si>
    <t>Future changes in extreme multi-day precipitation will influence the probability of floods in the river Rhine basin. In this paper the spread of the changes projected by climate models at the end of this century (2081–2100) is studied for a 17-member ensemble of a single Global Climate Model (GCM) and results from the Coupled Model Intercomparison Project Phase 3 (CMIP3) ensemble. All climate models were driven by the IPCC SRES A1B emission scenario. An analysis of variance model is formulated to disentangle the contributions from systematic differences between GCMs and internal climate variability. Both the changes in the mean and characteristics of extremes are considered. To estimate variances due to internal climate variability a bootstrap method was used. The changes from the GCM simulations were linked to the local scale using an advanced non-linear delta change approach. This approach uses climate responses of the GCM to transform the daily precipitation of 134 sub-basins of the river Rhine. The transformed precipitation series was used as input for the hydrological Hydrologiska Byråns Vattenbalansavdelning model to simulate future river discharges. Internal climate variability accounts for about 30 % of the total variance in the projected climate trends of average winter precipitation in the CMIP3 ensemble and explains a larger fraction of the total variance in the projected climate trends of extreme precipitation in the winter half-year. There is a good correspondence between the direction and spread of the changes in the return levels of extreme river discharges and extreme 10-day precipitation over the Rhine basin. This suggests that also for extreme discharges a large fraction of the total variance can be attributed to internal climate variability. © 2014, Springer-Verlag Berlin Heidelberg.</t>
  </si>
  <si>
    <t>2-s2.0-85027920923"</t>
  </si>
  <si>
    <t>10.1109/JSTARS.2015.2419693</t>
  </si>
  <si>
    <t>https://www.scopus.com/inward/record.uri?eid=2-s2.0-85027954990&amp;doi=10.1109%2fJSTARS.2015.2419693&amp;partnerID=40&amp;md5=e2bb0b652e8767f1d6f8429640ba3a23</t>
  </si>
  <si>
    <t>The future mission of surface water and ocean topography (SWOT), launched in 2020 over a period of 3-5 years, will be designated to address the issue of combining surface water hydrology with physical oceanography aiming to present new perspectives of applications for coastal areas. The extent to which the synthetic SWOT measurements can reproduce the temporal variability of the sea level was investigated. The eastern English Channel (NW France) was considered as a case of application. The hourly sea-level records were filtered from the aliased harmonic tides by classic harmonic analyses to obtain the nontidal residual. This residual was used to simulate synthetically the satellite samples based on the number of overpasses per repeat cycle at each geographical station. Both real and synthetic SWOT measurements were compared by the use of different approaches of inference statistics and wavelets. The statistical behavior, deduced from the functions of probability density (pdf) and cumulative distribution (cdf), shows correlations between 65% and 75% for hourly measurements, which increase to 85% for monthly average ones. The frequency of positive and negative extreme values is under-estimated with an order less than 25%. The potential use of SWOT depends on the number of measurements and the sampling interval between SWOT overpasses per repeat orbit. In the time-frequency domain, the wavelet multiresolution analysis of the nontidal sea level displays four components: 1) 1 year</t>
  </si>
  <si>
    <t>10.4000/geomorphologie.10992</t>
  </si>
  <si>
    <t>https://www.scopus.com/inward/record.uri?eid=2-s2.0-84939788421&amp;doi=10.4000%2fgeomorphologie.10992&amp;partnerID=40&amp;md5=b37ed11b49f3bc443cfc0d54f7bca5fb</t>
  </si>
  <si>
    <t>Vector data can be used to generate Digital Elevation Models (DEMs), but in the case of fluvial and coastal plains, according to topographical constrains, the interpolation requires other types of intervention to achieve a result of quality. For Mexico, neither data base check points nor LiDAR Digital Terrain Models (DTMs) are available for such areas, so that vector data are frequently used to generate DEMs. This lack of information led us to propose a method to obtain an alternative DEM by using the available vector data, especially because these fluvial and coastal plains are frequently affected by floods. The RMSE (root mean square error) as well as the standard deviation of the generated DEM are lower (0.0074 and 0.0059) than for the LiDAR DTM (0.0945 and 0.0793). On the other hand, the validation is also based on the comparison of flood simulation applied to the resulting DEM and the corresponding LiDAR DTM. The area covered by the simulated flood is 716.63 km2 for the resulting DEM</t>
  </si>
  <si>
    <t>10.2112/JCOASTRES-D-13-00095.1</t>
  </si>
  <si>
    <t>https://www.scopus.com/inward/record.uri?eid=2-s2.0-84937113424&amp;doi=10.2112%2fJCOASTRES-D-13-00095.1&amp;partnerID=40&amp;md5=08034511d40e19b77efcb359444a1596</t>
  </si>
  <si>
    <t>Coastal inundation as a result of global sea-level rise and storm surge events is expected to affect many coastal regions and settlements. Adaptation is widely accepted as necessary for managing inundation risk. However, managing inundation risk is inherently contentious because of many uncertainties and because a large number of stakeholder interests and values are mobilised. For these reasons, among others, adaptation progress in many countries has been slow. Despite progress in adaptation research, a critical knowledge gap remains regarding the appropriateness and applicability of various adaptation options, including their transferability between different coastal settings. We review the international literature on coastal adaptation options (including options to defend, accommodate, or retreat) to manage inundation risk, focusing on developed, liberal economies of Western Europe, North America, the U.K., Australia, and New Zealand. In doing so, we identify the favoured strategies adopted by these nations, probe the influence of physical and institutional context on the selection of these options, and identify what lessons might be exchanged or future directions inferred. The review places particular emphasis on the Australian experience as a comparative device to highlight some important distinctions. These distinctions focus on how government responsibility is exercised, including the degree of centralisation</t>
  </si>
  <si>
    <t>10.1080/15715124.2014.902378</t>
  </si>
  <si>
    <t>https://www.scopus.com/inward/record.uri?eid=2-s2.0-84929290982&amp;doi=10.1080%2f15715124.2014.902378&amp;partnerID=40&amp;md5=213f1332c12479a396c7fcc31c238fb3</t>
  </si>
  <si>
    <t>Over recent decades, remarkable progress in cultivating the concepts of flood risk management has taken place across countries as diverse as India, China, Australia, the UK and the USA. This change highlights a risk management paradigm as potentially more complex than a more traditional standard-based approach as it involves ‘whole systems’ and ‘whole-life’ thinking</t>
  </si>
  <si>
    <t>10.1080/13658816.2014.996567</t>
  </si>
  <si>
    <t>https://www.scopus.com/inward/record.uri?eid=2-s2.0-84930039252&amp;doi=10.1080%2f13658816.2014.996567&amp;partnerID=40&amp;md5=e2f86e50f763256af32a0c28b8364c7a</t>
  </si>
  <si>
    <t>In recent years, social media emerged as a potential resource to improve the management of crisis situations such as disasters triggered by natural hazards. Although there is a growing research body concerned with the analysis of the usage of social media during disasters, most previous work has concentrated on using social media as a stand-alone information source, whereas its combination with other information sources holds a still underexplored potential. This article presents an approach to enhance the identification of relevant messages from social media that relies upon the relations between georeferenced social media messages as Volunteered Geographic Information and geographic features of flood phenomena as derived from authoritative data (sensor data, hydrological data and digital elevation models). We apply this approach to examine the micro-blogging text messages of the Twitter platform (tweets) produced during the River Elbe Flood of June 2013 in Germany. This is performed by means of a statistical analysis aimed at identifying general spatial patterns in the occurrence of flood-related tweets that may be associated with proximity to and severity of flood events. The results show that messages near (up to 10 km) to severely flooded areas have a much higher probability of being related to floods. In this manner, we conclude that the geographic approach proposed here provides a reliable quantitative indicator of the usefulness of messages from social media by leveraging the existing knowledge about natural hazards such as floods, thus being valuable for disaster management in both crisis response and preventive monitoring. © 2015, © 2015 Taylor &amp; Francis.</t>
  </si>
  <si>
    <t>2-s2.0-84930039252"</t>
  </si>
  <si>
    <t>10.1007/s11852-015-0384-x</t>
  </si>
  <si>
    <t>https://www.scopus.com/inward/record.uri?eid=2-s2.0-84931568667&amp;doi=10.1007%2fs11852-015-0384-x&amp;partnerID=40&amp;md5=a42fdcd41f52c200cd861b46d2d1eb18</t>
  </si>
  <si>
    <t>Assessing the preparedness of the coastal region to the anticipated sea level rise is a major task among the coastal management authority, where identification of relative vulnerable of coast is a prime concern. The present research work has utilized Remote Sensing and GIS techniques for assessing vulnerability of the Gujarat coast due to predicted sea level rise. Synergetic use of satellite remote sensing, numerical simulations and filed observations has been done to generate coastal thematic information followed by validation. Coastal vulnerability assessment of the entire Gujarat coast on 1:50,000 scale were carried out considering five physical parameters. They are</t>
  </si>
  <si>
    <t>10.2112/JCOASTRES-D-14-00160.1</t>
  </si>
  <si>
    <t>https://www.scopus.com/inward/record.uri?eid=2-s2.0-84937124524&amp;doi=10.2112%2fJCOASTRES-D-14-00160.1&amp;partnerID=40&amp;md5=f865d11dfc33efaf9d358bf7eb6867f1</t>
  </si>
  <si>
    <t>River floods and coastal storm surges affect the lives of more people than most other weather-related disasters. Floods can destroy homes, roads, and bridges</t>
  </si>
  <si>
    <t>10.1007/s00024-014-0988-3</t>
  </si>
  <si>
    <t>https://www.scopus.com/inward/record.uri?eid=2-s2.0-84928749278&amp;doi=10.1007%2fs00024-014-0988-3&amp;partnerID=40&amp;md5=4807950f88682f7447af81510c6e9cf2</t>
  </si>
  <si>
    <t>The most recent tsunami observed along the coast of the island of Puerto Rico occurred on October 11, 1918, after a magnitude 7.2 earthquake in the Mona Passage. The earthquake was responsible for initiating a tsunami that mostly affected the northwestern coast of the island. Runup values from a post-tsunami survey indicated the waves reached up to 6 m. A controversy regarding the source of the tsunami has resulted in several numerical simulations involving either fault rupture or a submarine landslide as the most probable cause of the tsunami. Here we follow up on previous simulations of the tsunami from a submarine landslide source off the western coast of Puerto Rico as initiated by the earthquake. Improvements on our previous study include: (1) higher-resolution bathymetry</t>
  </si>
  <si>
    <t>10.1016/j.envsci.2015.04.010</t>
  </si>
  <si>
    <t>https://www.scopus.com/inward/record.uri?eid=2-s2.0-84937948669&amp;doi=10.1016%2fj.envsci.2015.04.010&amp;partnerID=40&amp;md5=e1492781e583277985b4cd1db93951a3</t>
  </si>
  <si>
    <t>This paper describes the methodology of the vulnerability assessment to flooding in an estuarine context and presents the final results for the Tagus River estuary, in the metropolitan region of Lisbon (Portugal). Performing a local study adapted to a specific type of hazard posed two initial methodological challenges: the selection of the unit of analysis and the identification of the pertinent and available variables. Both challenges were addressed assuming that the area to be assessed should also include the units outside the inundated area, a buffer zone that would include areas indirectly affected. The application of the statistical procedures established in the SoVI® methodology indicate that certain widely used variables in vulnerability assessments on smaller scales are inadequate at the statistical block scale and that specific variables must be defined and integrated to represent more broadly the dimensions of vulnerability related to social assistance, infrastructures and commutability.The extracted principal components identified the vulnerability drivers in the riverside and surrounding areas. These drivers identify the urban context, the family structure, and the socio-economic condition expressed in terms of housing characteristics, education, mobility and commuting as the dimensions that most differentiate territorial and individuals' vulnerability. Applications of vulnerability research in risk management are found in the fields of risk communication, stakeholders' involvement and strategic and operational planning in emergency planning as in other concurring sectors. © 2015 Elsevier Ltd.</t>
  </si>
  <si>
    <t>2-s2.0-84937948669"</t>
  </si>
  <si>
    <t>Wasser und Abfall</t>
  </si>
  <si>
    <t>10.1365/s35152-015-0829-4</t>
  </si>
  <si>
    <t>https://www.scopus.com/inward/record.uri?eid=2-s2.0-84938096866&amp;doi=10.1365%2fs35152-015-0829-4&amp;partnerID=40&amp;md5=cf3a5a8860f152019b9b0b16b610a3fa</t>
  </si>
  <si>
    <t>2-s2.0-84938096866"</t>
  </si>
  <si>
    <t>10.1007/s11069-015-1713-y</t>
  </si>
  <si>
    <t>https://www.scopus.com/inward/record.uri?eid=2-s2.0-85027937761&amp;doi=10.1007%2fs11069-015-1713-y&amp;partnerID=40&amp;md5=252f1e5e48e414be52c8c0eb89a6b2b9</t>
  </si>
  <si>
    <t>Maps of population exposure, vulnerability and risk to natural hazards are useful tools for designing and implementing disaster risk mitigation programs in China. The ranking of provinces by relative risk to natural hazards would provide a metric for prioritizing risk management strategies. Using provinces as our study unit, from the perspectives of hazard exposure, susceptibility, coping capacity and adaptive capacity, this study first constructed China’s disaster risk index for five types of major natural hazards: earthquakes, floods, droughts, low temperatures/snow and gale/hail. Then, the relative risk level at the provincial scale in China was assessed. Finally, the hotspots with the highest hazard exposure, vulnerability and risk were identified. The results showed that high exposure was a significant risk driver in China, whereas high vulnerability, especially social vulnerability, amplified the risk levels. Similar to the population exposure to disasters, the relative risk levels in the southwestern, central and northeastern regions of China were significantly higher than those in the eastern, northern and western regions. The highrisk regions or hotspots of multi-hazards were concentrated in southern China (less-developed regions), while the low-risk regions were mainly distributed in the eastern coastal areas (well-developed regions). Furthermore, a nonlinear relationship existed between the disaster risk level and poverty incidence as well as per capita GDP, demonstrating that disaster losses in middle-income areas are likely to increase if economic policies are not modified to account for the rising disaster risk. These findings further indicated that research on disaster risk should focus not only on hazards and exposure but also on the vulnerability to natural disasters. Thus, reducing vulnerability and population exposure to natural hazards would be an effective measure in mitigating the disaster risk at hotspots in China. © Springer Science+Business Media Dordrecht 2015.</t>
  </si>
  <si>
    <t>2-s2.0-85027937761"</t>
  </si>
  <si>
    <t>10.1007/s11069-015-1689-7</t>
  </si>
  <si>
    <t>https://www.scopus.com/inward/record.uri?eid=2-s2.0-84930379569&amp;doi=10.1007%2fs11069-015-1689-7&amp;partnerID=40&amp;md5=ac570ca9d47c85e1ad02386c06f45bd6</t>
  </si>
  <si>
    <t>Maximum-recorded run-up estimates of six major nearfield paleotsunamis, dating from 0.3 to 2.8 ka, are compiled from reported studies at 12 reliable localities distributed over a north–south distance of 1000 km in the Cascadia subduction zone. The run-up estimates are based on surveyed elevations and positions of terminal sand sheet layers that were deposited by the dated paleotsunamis. Maximum terminal deposit elevations from open-coastal sites range from 3 to 12 m NAVD88. Paired proximal and distal run-up sites at four localities demonstrate landward vertical attenuation gradients (−2.5 to −4.2 m km−1) of decreasing terminal sand deposit elevation with increasing distance inland. An averaged attenuation gradient is reversed (3.0 m km−1) to project paleotsunami run-up elevations to adjacent ocean shorelines. The run-up projections are further adjusted by paleotsunami age and relative sea level curves to estimate shoreline inundation elevations under modern sea level conditions. The tsunami shoreline inundation elevations range from 3 ± 2 to 15 ± 2 m NAVD88, with the largest values occurring along the central Cascadia margin and the smallest values occurring in the eastern Juan de Fuca Strait. Contradictory to some numerical tsunami modeling assumptions, there is no apparent correlation between duration of interseismic strain accumulation or estimated upper-plate elastic flexure and corresponding paleotsunami run-up heights on the central Cascadia margin. The short duration since the last Cascadia megathrust rupture (0.3 ka) cannot be used to imply smaller run-up values for a near-future Cascadia tsunami. Coastal communities should plan for the maximum paleotsunami run-ups as recorded at the nearest reliable run-up localities. © 2015, Springer Science+Business Media Dordrecht.</t>
  </si>
  <si>
    <t>2-s2.0-84930379569"</t>
  </si>
  <si>
    <t>10.1007/s10113-014-0709-6</t>
  </si>
  <si>
    <t>https://www.scopus.com/inward/record.uri?eid=2-s2.0-84939952553&amp;doi=10.1007%2fs10113-014-0709-6&amp;partnerID=40&amp;md5=2c800e28a124de6522c50c28a2fa8d13</t>
  </si>
  <si>
    <t>A systematic review was conducted of biological and physical climate change impacts in three hotspot regions in Africa and Asia. Specifically, the review focused on identifying the nature and extent of biophysical impacts in semi-arid zones, mega-deltas and glacial-fed river basins. In total 139, peer-reviewed articles were reviewed, with a steady increase in relevant articles reported since 2006. Publications on the South Asian glacial-fed river basins were the most numerous followed by semi-arid areas and then deltas, with Central Asia and some African countries being the most under represented. The nature and extent of impacts varied for each hotspot area and were largely determined by the geographical context and intrinsic characteristics of each region. River basin publications were dominated by impacts concerning hydrology, highlighting the importance of glacial-fed water resources to downstream populations. Semi-arid regions were dominated by impacts to climate processes and impacts to livestock and vegetation highlighting the importance of rainfall to the ecosystems and the livelihoods of communities in these regions. In contrast, delta studies were dominated by a focus on hazards, predominantly coastal inundation, reflecting the concentration of populations and assets in these areas. Uncertainties associated with the biophysical impacts on these regions under a changing climate are documented and represent key knowledge gaps. Common information gaps for all hotspot regions were the need for improved hydro-meteorological monitoring systems. The development of climate change adaptation strategies and policies should be supported by a sound knowledge and understanding of the full range of biophysical impacts, which are characteristic to each geographical location. © 2015, Springer-Verlag Berlin Heidelberg.</t>
  </si>
  <si>
    <t>2-s2.0-84939952553"</t>
  </si>
  <si>
    <t>10.1177/0956247814558194</t>
  </si>
  <si>
    <t>https://www.scopus.com/inward/record.uri?eid=2-s2.0-84927708751&amp;doi=10.1177%2f0956247814558194&amp;partnerID=40&amp;md5=10809d4deede5022226bbe20f29c48bd</t>
  </si>
  <si>
    <t>The problem of flooding in Warri, Nigeria is as old as the city itself. What has changed in recent years is the rapidly increasing magnitude and frequency of floodwater retention pools on urban streets as urban development expanded into low-lying swamplands within the city. Through the process of community urban risk assessments, urban flood zone occupants acknowledge the growing problem of on-street flood retention pools in a city once dominated by problems with off-street flood retention pools. A factor analysis of the perceived causes of flooding shows that Warri residents believe that human activities that reduced the floodwater storage capacity of its natural drainage sinks (i.e., its swamplands), violated building codes, changed local water levels, altered low-lying mangrove swamp terrain, and eliminated drainage facilities are responsible for the increasing retention of floodwater pools on city streets in the last few decades. Such local stock of flood knowledge has implications for a local participatory approach to community adaptations and mitigation methods to reduce urban flood risks from climate change and uncontrolled urban expansion. Local community adaptation choices guide how flood-affected residents cope with urban floods, especially how they use and alter their living space and respond to emergencies. However, such community views are often ignored by experts seeking solutions to flooding. If the views of flood zone occupants begin to inform flood adaptation choices, proposed solutions to flooding problems would be more likely to receive local support and acceptance, thus making the bottom-up solutions developed in this paper easier to implement and sustain. Once a well-formulated grassroots adaptation strategy for urban flood risk management for resiliency becomes the base for action, a more resilient national policy is sure to succeed, especially in low-income and lower-middle-income countries where informal settlement is the case and the role of government in flood management is still minimal. © 2014 International Institute for Environment and Development (IIED)</t>
  </si>
  <si>
    <t>2-s2.0-84927708751"</t>
  </si>
  <si>
    <t>10.1007/s12517-014-1472-1</t>
  </si>
  <si>
    <t>https://www.scopus.com/inward/record.uri?eid=2-s2.0-84930177309&amp;doi=10.1007%2fs12517-014-1472-1&amp;partnerID=40&amp;md5=64e34ba7b267968744eaf9fcf11521de</t>
  </si>
  <si>
    <t>Eight scenes of Landsat Multispectral Scanner, Thematic Mapper, Enhanced Thematic Mapper Plus, and Operational Land Imager sensors, covering the period between 1972 and 2013, were used to demarcate shoreline positions and estimate shoreline change rates of the Medjerda delta coast, northeastern Tunisia. The method relies on image processing techniques using the IDRISI software, and the Digital Shoreline Analysis System, a free extension for ArcGIS software, which provides a set of tools permitting transects-based calculation of shoreline displacement. First, the Landsat images were radiometrically and geometrically corrected. Second, band ratioing, reclassification, raster to vector conversion, and smoothing techniques are applied successively to detect and extract the multi-temporal shoreline data. Third, these data are overlaid and the changes are calculated using the end points and linear regression methods. The results indicate significant shoreline changes ranging from 8.6 to −42.6 m/year, while some parts remained unchanged. The estimated shoreline change rates are comparable with those obtained through in situ measurements and from the analysis of multi-date aerial photos and toposheets. The main causes of erosion in particular are related to the natural shifting of the Medjerda River course and mouth, damming of Medjerda and its tributaries, construction of Ghar El Melh port, and the destruction of the small bordering dunes in addition to the wave-induced longshore currents, relative sea level rise due mainly to accelerated coastal subsidence, and sand mining. © 2014, Saudi Society for Geosciences.</t>
  </si>
  <si>
    <t>2-s2.0-84930177309"</t>
  </si>
  <si>
    <t>10.1007/s11069-014-1582-9</t>
  </si>
  <si>
    <t>https://www.scopus.com/inward/record.uri?eid=2-s2.0-84939969683&amp;doi=10.1007%2fs11069-014-1582-9&amp;partnerID=40&amp;md5=895858ec9308c17f8453bb87f11cd3a1</t>
  </si>
  <si>
    <t>Changes in climatic conditions, together with urban population growth, are making the development of tools to help disaster planners and policy makers select mitigation and adaptation measures a priority. The Coastal Cities at Risk (CCaR) project is a multidisciplinary team project involving four large coastal cities: Manila (The Philippines), Bangkok (Thailand), Lagos (Nigeria) and Vancouver (Canada). One of the project objectives includes development of a system dynamics simulation model to assess the resilience of the participating cities to climate change caused by sea level rise and riverine flooding. The resilience model is designed to integrate physical, economic, health, social and organizational impacts of climate change. This paper presents the methodology for providing spatial and temporal information on climate change health impacts for use in the resilience simulator. Basic population data, disease burden and physical conditions are integrated in the development of a composite health impact map. The output of this mapping exercise provides a more fully integrated view of population health to allow for the development of more targeted adaptive and risk reduction strategies at a local level for the City of Metro Vancouver. This methodology has been applied using data for 3 years, 2001, 2006 and 2011 in order to give a dynamic simulation of health impacts using the resilience simulator. The final maps indicate that the Richmond and Delta regions of Metro Vancouver are more vulnerable to climate change caused by sea level rise and flooding compared to other municipalities. The paper demonstrates how composite health impact maps can be used both as an input for resilience modeling, as well as a “stand-alone” product for the assessment and development of mitigation and adaptive strategies for coastal cities. © 2015, Springer Science+Business Media Dordrecht.</t>
  </si>
  <si>
    <t>2-s2.0-84939969683"</t>
  </si>
  <si>
    <t>10.1002/2015EF000298</t>
  </si>
  <si>
    <t>https://www.scopus.com/inward/record.uri?eid=2-s2.0-84979798799&amp;doi=10.1002%2f2015EF000298&amp;partnerID=40&amp;md5=cd0c7045a2c1fc7ed2a28c44d20ef9cf</t>
  </si>
  <si>
    <t>Coastal responses to sea level rise (SLR) include inundation of wetlands, increased shoreline erosion, and increased flooding during storm events. Hydrodynamic parameters such as tidal ranges, tidal prisms, tidal asymmetries, increased flooding depths and inundation extents during storm events respond nonadditively to SLR. Coastal morphology continually adapts toward equilibrium as sea levels rise, inducing changes in the landscape. Marshes may struggle to keep pace with SLR and rely on sediment accumulation and the availability of suitable uplands for migration. Whether hydrodynamic, morphologic, or ecologic, the impacts of SLR are interrelated. To plan for changes under future sea levels, coastal managers need information and data regarding the potential effects of SLR to make informed decisions for managing human and natural communities. This review examines previous studies that have accounted for the dynamic, nonlinear responses of hydrodynamics, coastal morphology, and marsh ecology to SLR by implementing more complex approaches rather than the simplistic ""bathtub"" approach. These studies provide an improved understanding of the dynamic effects of SLR on coastal environments and contribute to an overall paradigm shift in how coastal scientists and engineers approach modeling the effects of SLR, transitioning away from implementing the ""bathtub"" approach. However, it is recommended that future studies implement a synergetic approach that integrates the dynamic interactions between physical and ecological environments to better predict the impacts of SLR on coastal systems. © 2015 The Authors. Earth's Future published by Wiley on behalf of the American Geophysical Union.</t>
  </si>
  <si>
    <t>2-s2.0-84979798799"</t>
  </si>
  <si>
    <t>10.1080/01490419.2014.937883</t>
  </si>
  <si>
    <t>https://www.scopus.com/inward/record.uri?eid=2-s2.0-84919844914&amp;doi=10.1080%2f01490419.2014.937883&amp;partnerID=40&amp;md5=a9f39ead514129e5af7631cc5047a566</t>
  </si>
  <si>
    <t>Accurate Digital Elevation Model in intertidal zones (IZDEM) is crucial to coastal applications (e.g., coastal zone management and anti-flood directing systems). Considering the features of multisource data and the evident anisotropy in intertidal zones, we propose a method for IZDEM construction. The basic idea of the method is that the terrain of any area can be divided into two portions: the trend portion reflecting the overall trend of the changes of topography and the residual portion reflecting the local changes. Based on the idea, the proposed method includes three steps: (1) Considering the influence of both the distance and the data accuracy of different data sources on the interpolation, the optimal equivalent weight is adopted to create the trend surface, which fits better for the intertidal terrain. (2) Considering the anisotropy of the terrain changes, the residual surface is created by the Kriging interpolation method. (3) IZDEM is constructed by combining the trend surface and the residual surface. The experimental results demonstrate that the proposed method can improve the fitting accuracy of the trend surface by considering the accuracy differences of multi-source data, and also improve the accuracy of the residual surface by considering the anisotropy of the intertidal terrain changes, thus it makes the constructed IZDEM more accurate in the area where multi-source data exist and the anisotropy of the terrain changes is evident. © 2015, Copyright © Taylor &amp; Francis Group, LLC.</t>
  </si>
  <si>
    <t>2-s2.0-84919844914"</t>
  </si>
  <si>
    <t>10.1002/2014WR016841</t>
  </si>
  <si>
    <t>https://www.scopus.com/inward/record.uri?eid=2-s2.0-84937513549&amp;doi=10.1002%2f2014WR016841&amp;partnerID=40&amp;md5=fcfa2189d728d932a3b295a1a30bdee9</t>
  </si>
  <si>
    <t>Land subsidence and uplift, ground ruptures, and induced seismicity are the principal geomechanic effects of groundwater withdrawal and injection. The major environmental consequence of groundwater pumping is anthropogenic land subsidence. The first observation concerning land settlement linked to subsurface processes was made in 1926 by the American geologists Pratt and Johnson, who wrote that ""the cause of subsidence is to be found in the extensive extraction of fluid from beneath the affected area."" Since then, impressive progress has been made in terms of: (a) recognizing the basic hydrologic and geomechanic principles underlying the occurrence</t>
  </si>
  <si>
    <t>10.1016/j.dsr2.2013.12.010</t>
  </si>
  <si>
    <t>https://www.scopus.com/inward/record.uri?eid=2-s2.0-84930926823&amp;doi=10.1016%2fj.dsr2.2013.12.010&amp;partnerID=40&amp;md5=3b717b804627607001f7b2ea7796a4c3</t>
  </si>
  <si>
    <t>The mean (sub-tidal) circulations in the Pearl River Estuary (PRE) and over the adjacent shelf are interactive. They are driven by multi-forcing of winds, tides, and the buoyancy of river discharge. Utilizing a validated three-dimensional, high resolution numerical model, we find that the circulation in the PRE during summer is dominated by an advective gravitational two-layer circulation in the upper estuary and the landward part of the lower PRE, where the surface flow pattern also varies with the upwelling winds. The circulation in the seaward part of the lower PRE is governed by both gravitational circulation and geostrophic intrusive current from the shelf. The pattern and intensity of these circulations are largely modulated by variable wind forcing. The cross-shore upwelling shelf circulation off the PRE enhances the water exchange rate between the shelf and the PRE, but the net intrusive transport into the PRE is negatively correlated with the intensity of upwelling-favorable wind stress. Relatively strong water exchange rate between the shelf and estuary occurs during upwelling, which reduces the flushing time of the estuary. Although the ebbing/flooding tide strengthens/weakens the eastward alongshore upwelling current, tidal effect on the upwelling circulation and on the net transport between the shelf and estuary is not significant over the sub-tidal period. The shelf influences the estuary mainly through the intrusions of the shelf waters at the western bank and along the two navigation channels of the PRE</t>
  </si>
  <si>
    <t>10.1007/s11852-015-0379-7</t>
  </si>
  <si>
    <t>https://www.scopus.com/inward/record.uri?eid=2-s2.0-84931561730&amp;doi=10.1007%2fs11852-015-0379-7&amp;partnerID=40&amp;md5=acbc1ccced2532e8ef7213bda9c6e938</t>
  </si>
  <si>
    <t>This paper presents the complete Coastal Hazard Wheel (CHW) system, developed for multi-hazard-assessment and multi-hazard-management of coastal areas worldwide under a changing climate. The system is designed as a low-tech tool that can be used in areas with limited data availability and institutional capacity and is therefore especially suited for applications in developing countries. The CHW constitutes a key for determining the characteristics of a particular coastline, its hazard profile and possible management options, and the system can be used for local, regional and national hazard screening and management. The system is developed to assess the main coastal hazards in a single process and covers the hazards of ecosystem disruption, gradual inundation, salt water intrusion, erosion and flooding. The system was initially presented in 2012 and based on a range of test-applications and feedback from coastal experts, the system has been further refined and developed into a complete hazard management tool. This paper therefore covers the coastal classification system used by the CHW, a standardized assessment procedure for implementation of multi-hazard-assessments, technical guidance on hazard management options and project cost examples. The paper thereby aims at providing an introduction to the use of the CHW system for assessing and managing coastal hazards. © 2015, The Author(s).</t>
  </si>
  <si>
    <t>2-s2.0-84931561730"</t>
  </si>
  <si>
    <t>10.2112/JCOASTRES-D-14-00054.1</t>
  </si>
  <si>
    <t>https://www.scopus.com/inward/record.uri?eid=2-s2.0-84929338279&amp;doi=10.2112%2fJCOASTRES-D-14-00054.1&amp;partnerID=40&amp;md5=c246f80cd32a96a9216dec7c7464075b</t>
  </si>
  <si>
    <t>Gravity currents are complex phenomena that occur in estuaries, and the complexity of these phenomena is even higher for tideless estuaries. To improve the process of understanding such phenomena, the three-dimensional TELEMAC3D modelling system was used to model the Nile estuary as an example of tideless estuaries. The nonhydrostatic simulation and the use of a complex turbulence model were necessary. The current mean flow conditions were modelled first</t>
  </si>
  <si>
    <t>10.1080/01431161.2015.1060647</t>
  </si>
  <si>
    <t>https://www.scopus.com/inward/record.uri?eid=2-s2.0-84937126397&amp;doi=10.1080%2f01431161.2015.1060647&amp;partnerID=40&amp;md5=71ea6700573cbffb095a390351417ece</t>
  </si>
  <si>
    <t>In recent years, the German Remote Sensing Data Center (DFD) of the German Aerospace Center (DLR) has gained a lot of experience in water surface extraction from synthetic aperture radar (SAR) data for various application domains. In this context, four approaches have been developed, which jointly form the so-called DFD Water Suite: The Water Mask Processor (WaMaPro) is based on a simple and high-performance algorithm that processes multi-sensor SAR data in order to provide decision-makers with information about the location of water surfaces. The Rapid Mapping of Flooding tool (RaMaFlood) has been developed for flood extent mapping using an interactive object-based classification algorithm. The TerraSAR-X Flood Service (TFS) is used for rapid mapping activities and provides satellite-derived information about the extent of floods in order to support emergency management authorities and decision-makers. It is based on a fully automated processing chain. The last approach is the TanDEM-X Water Indication Mask processor (TDX WAM). It is part of the processing chain for the generation of the seamless, accurate, and high-resolution global digital elevation model (DEM) produced based on data of the TanDEM-X mission. Its purpose is to support the subsequent DEM editing process by the generation of a global reference water mask. In this study, the design of the four approaches and their methodological backgrounds are explained in detail, while simultaneously elaborating on the preferred application domains for the different algorithms. The advantages and disadvantages of the four approaches are identified by qualitatively as well as quantitatively evaluating the water masks derived from data of the TanDEM-X mission for five test sites located in Vietnam, China, Germany, Mali, and the Netherlands. © 2015 Taylor &amp; Francis.</t>
  </si>
  <si>
    <t>2-s2.0-84937126397"</t>
  </si>
  <si>
    <t>10.1016/j.jafrearsci.2015.03.022</t>
  </si>
  <si>
    <t>https://www.scopus.com/inward/record.uri?eid=2-s2.0-84927919714&amp;doi=10.1016%2fj.jafrearsci.2015.03.022&amp;partnerID=40&amp;md5=0e2a3dc0238080a654dc4f6e0b7b6628</t>
  </si>
  <si>
    <t>This study has investigated the relationship between rainfall-runoff in Dernah area, Al Jabal Al Akhadar, NE Libya. It provides flash flood hazard warnings for ungauged basins using geographic information system (GIS). The study examined the morphometric parameters of four Wadis (Wadi Dernah, Wadi Bum Safer, Wadi Al Nagah and Wadi Bir Al Yajur) with emphasis on their implication for hydrologic processes through the integration analysis between morphometric parameters and GIS techniques. Data for this study were obtained from ASTER data for digital elevation model (DEM) with 30m resolution, topographic map (1:50,000), geological maps (1,250,000) which were checked during the field work. About 36 morphometric parameters were measured and calculated and interlinked to produce nine effective parameters for evaluating the flash flood hazard degree of the study area. The study basins are classified according to their hazards into three groups</t>
  </si>
  <si>
    <t>10.1007/s10236-015-0844-8</t>
  </si>
  <si>
    <t>https://www.scopus.com/inward/record.uri?eid=2-s2.0-84931565494&amp;doi=10.1007%2fs10236-015-0844-8&amp;partnerID=40&amp;md5=f311bdee7e8e7516d53611626b5c0981</t>
  </si>
  <si>
    <t>For well-mixed estuaries, key physical mechanisms are identified and quantified that cause changes in characteristics of the semi-diurnal sea surface elevation and lateral velocity due to modifications of the lateral bottom profile, channel deepening, and sea level rise. This is done by decomposing solutions of a new analytical model into components relating to different physical processes. The default geometry and parameter values are representative for the Ems estuary, with a converging width and a reflective landward boundary. The default Gaussian lateral bottom profile is modified to obtain profiles with the same cross-sectional area, but with a different skewness or steepness. Results show that a steeper lateral bottom profile leads to amplification of the sea surface elevation. The width convergence is shown to influence the resonance characteristics. Channel deepening and sea level rise result in amplification of the sea surface elevation until a resonance peak is reached. When flooding is incorporated, the amount of sea level rise at which maximum tidal amplification occurs is found to be about two times lower. When using a symmetric Gaussian bottom profile, the lateral tidal flow is determined by Coriolis deflection of longitudinal flow and lateral density gradients caused by differential salt advection. However, an additional lateral tidal flow component incorporating the effect of continuity related to sea level variations and longitudinal gradients in longitudinal flow is shown to become increasingly important for skewed lateral bottom profiles. Furthermore, the lateral flow due to the lateral density gradient is enhanced for bottom profiles with increased steepness. © 2015, The Author(s).</t>
  </si>
  <si>
    <t>2-s2.0-84931565494"</t>
  </si>
  <si>
    <t>10.1007/s11069-015-1606-0</t>
  </si>
  <si>
    <t>https://www.scopus.com/inward/record.uri?eid=2-s2.0-84930786056&amp;doi=10.1007%2fs11069-015-1606-0&amp;partnerID=40&amp;md5=5509b295359c4e5294edd3d3761a57f2</t>
  </si>
  <si>
    <t>Nowadays, the use of 2-D fully dynamic models represents the most reliable approach for flood inundation and flood hazard studies, especially in complex applications. However, 1-D modeling is still a widely used approach due to the reduced computational time and cost. The introduction of LIDAR technique has stimulated a more detailed topographic description of river reaches. As a result, this huge amount of topographic data can lead to significant improvements in the 1-D computations. Therefore, the main purpose of this paper is to realize how the improvements in the topographic description can reduce the difference between 1-D and 2-D models, highlighting at the same time the critical aspects and the limitations of 1-D approach in the hydraulic simulation as well as in the spatial representation of the results. The analysis presented in the paper refers to two actual case studies for which terrestrial and airborne LIDAR DEMs were collected on purpose. The results of those applications show that the use of 1-D models requires a greater hydraulic skilfulness than the use of 2-D model. © 2015, Springer Science+Business Media Dordrecht.</t>
  </si>
  <si>
    <t>2-s2.0-84930786056"</t>
  </si>
  <si>
    <t>10.1002/hyp.10367</t>
  </si>
  <si>
    <t>https://www.scopus.com/inward/record.uri?eid=2-s2.0-84928140927&amp;doi=10.1002%2fhyp.10367&amp;partnerID=40&amp;md5=2656487dcc4fb2d34d3a4f7e866a32e5</t>
  </si>
  <si>
    <t>The capability of a simple kinematic-storage model (KSM) is analysed to be used as a tool for a Decision Support System for the evaluation of probability inundation maps in near real time in poorly gauged areas. KSM simulates the floodplain as a storage and assumes no exchange of momentum with the channel. For the in-bank flow, the storage is modified through a coefficient for taking the variations of channel cross sections into account. The generalized likelihood uncertainty estimation approach is used for addressing the probability flood maps along with their associated uncertainties. The model is tested on two river reaches along the Tiber River in Central Italy where observed inundation maps are available for two recent flood events. Despite the inherent uncertainties present in the input data and in the model structure, the results show that the model reproduces reasonably well, in terms of both precision and accuracy, the observed inundated areas. Tests were performed at different digital elevation model resolutions, showing a small effect of the geometry on the maximum performance obtained. The very low computational times, the parsimony of the model and its low sensitivity to the quality of the geometry representation of the channel and the floodplain makes KSM very appealing for flood forecasting and early warning system applications in poorly gauged and inaccessible areas. © 2014 John Wiley &amp; Sons, Ltd.</t>
  </si>
  <si>
    <t>2-s2.0-84928140927"</t>
  </si>
  <si>
    <t>10.1007/s12601-015-0038-9</t>
  </si>
  <si>
    <t>https://www.scopus.com/inward/record.uri?eid=2-s2.0-84937545429&amp;doi=10.1007%2fs12601-015-0038-9&amp;partnerID=40&amp;md5=495069a02899098651a10e97a271cf81</t>
  </si>
  <si>
    <t>Kien Giang, bordering Cambodia in the Mekong River Delta, is one of the two most vulnerable provinces in the region to coastal erosion and flooding. Coastal protection can conflict with current land use and economic development activities. The conditions of the mangrove forest and mainland coastline of the Kien Giang province were assessed using the Shoreline Video Assessment Method (SVAM) backed up with information from satellite images. Half of the 206 km Kien Giang coastline has been eroded or is being eroded. Protective mangrove forests naturally occurred in 74% of the coastline but have been under threat from illegal cutting, erosion and coastal retreat. Accurate information on the state of the coastline and mangrove forest health provided invaluable data for developing a new coastal rehabilitation plan to guard against future sea level rise. In contrast to the current boundary management of land and natural resources, this plan divided the provincial coastline into 19 sections based on the landscape condition and exposure to erosion. Priority strategic actions for erosion management, mangrove restoration and sustainable livelihood development for local communities for each section of coast were developed based on an integrated cross sectoral approach and practical experience in the Conservation and Development of the Kien Giang Biosphere Reserve Project. © 2015, Korea Ocean Research &amp; Development Institute (KORDI) and the Korean Society of Oceanography (KSO) and Springer Science+Business Media Dordrecht.</t>
  </si>
  <si>
    <t>2-s2.0-84937545429"</t>
  </si>
  <si>
    <t>10.1002/2015GL063418</t>
  </si>
  <si>
    <t>https://www.scopus.com/inward/record.uri?eid=2-s2.0-84929511436&amp;doi=10.1002%2f2015GL063418&amp;partnerID=40&amp;md5=aeb2e8dae648d7481c28564b68fb0291</t>
  </si>
  <si>
    <t>The northwest Pacific Ocean is a hot spot for sea level rise and increasing frequency of stronger storms. It is where Supertyphoon Haiyan formed, the strongest storm to hit land, which provided a window into the hydrologic impacts of an extreme storm. Through detailed documentation of flood levels, groundwater table elevations and salinity, electrical resistivity, and modeling, we found that Haiyan's storm surge reached 7 m above sea level along Samar Island, Philippines, which led to contamination of crucial aquifers by infiltrating seawater. A contaminated surficial aquifer will take years to recover. Groundwater in an underlying deeper aquifer saw widespread contamination immediately after the storm, but here salinity has decreased significantly after 8 months. However, this deeper aquifer remains vulnerable to seawater slowly percolating through the surficial aquifer. As warmer seas generate more powerful storms, the vulnerability of aquifers to persistent contamination from intense storm surges is a growing concern for coastal communities. ©2015. American Geophysical Union. All Rights Reserved.</t>
  </si>
  <si>
    <t>2-s2.0-84929511436"</t>
  </si>
  <si>
    <t>10.1007/s11069-015-1617-x</t>
  </si>
  <si>
    <t>https://www.scopus.com/inward/record.uri?eid=2-s2.0-84939942904&amp;doi=10.1007%2fs11069-015-1617-x&amp;partnerID=40&amp;md5=fe7a07b61796d1d5fb41dfdf7db05f3d</t>
  </si>
  <si>
    <t>Lahars are catastrophic events that have the potential to cause the loss of life and damage to infrastructure over inhabited areas. Consequently the zoning of associated hazards is a critical task. We evaluated the lahar hazards at two volcanoes of the Southern Volcanic Zone of the Andes of Chile: Villarrica and Calbuco. We applied the LAHARZ and MSF codes using three DEMs: SRTM, ASTER GDEM and a topographic map-derived DEM to evaluate whether low-resolution and widely available DEMs are suitable for modelling lahars. Our results indicate that the original 0.05 calibration constant used in the original global LAHARZ model to calculate the cross-sectional area of inundation is not adequate for lahars from these volcanoes, and our analyses suggest a value of 0.02 as a more appropriate value. One of the most important results obtained is the high relevance that simulating topographic changes for multi-pulses lahar events has. The simulations indicate that dramatic changes in trajectories could occur during such scenarios, and areas not recognized as susceptible of being affected by lahars using the original topography can also be affected. These results have important implications for hazard assessment, as for example, the town of Pucón, located 16 km to the N of the Villarrica volcano was not recognized to be located in inundation areas when using LAHARZ on the original topography represented by unmodified DEMs. However, more than 50 % of the town could be inundated if lahars are modelled as multiple pulses, in agreement with geological and historical observations, as well as results shown on previous hazard maps. The MSF code better simulates the lateral extension of possible lahars, especially over flat areas or where topography is complex with many stream trajectories, but lacking a reliable method to determine the run-out distance. Our results indicate that the modifications made to the LAHARZ governing equations give very good results for assessing the hazards associated with lahars in volcanoes of this region of the Andes. © 2015, Springer Science+Business Media Dordrecht.</t>
  </si>
  <si>
    <t>2-s2.0-84939942904"</t>
  </si>
  <si>
    <t>10.1080/08920753.2015.1030321</t>
  </si>
  <si>
    <t>https://www.scopus.com/inward/record.uri?eid=2-s2.0-84930063664&amp;doi=10.1080%2f08920753.2015.1030321&amp;partnerID=40&amp;md5=591de4a44368e6d5fee288401c38a04d</t>
  </si>
  <si>
    <t>The current approach to coastal development set-back delineation in South Africa is producing high-tech empirical methodologies that attempt to pinpoint areas at risk from physical coastal processes and the subsequent positioning of set-backs in relation to these risk areas. Experience in the Western Cape province of South Africa has shown that this approach contributes only partially to coastal risk management. In the context of an urban and peri-urban environment, and bearing in mind that set-backs have significant socioeconomic implications, the development of a set-back line at the local scale requires an expansion beyond just relying on the numerical modeling of physical coastal processes. This research reveals that such an approach is parochial and socially detached and a more inclusive and integrated approach grounded in and spanning localized social, cultural, economic, political, and ecological intricacies of the coastal space is required. Fundamental to achieving this is a re-consideration of the broader project management processes applied in the development of set-backs. The article concludes with a set of principles and guidelines for determining set-backs in complex coastal contexts at the local scale. © 2015, Copyright © Taylor &amp; Francis Group, LLC.</t>
  </si>
  <si>
    <t>2-s2.0-84930063664"</t>
  </si>
  <si>
    <t>10.1016/j.jhydrol.2015.05.033</t>
  </si>
  <si>
    <t>https://www.scopus.com/inward/record.uri?eid=2-s2.0-84930665602&amp;doi=10.1016%2fj.jhydrol.2015.05.033&amp;partnerID=40&amp;md5=6aadafb40abe19f464a2c01883d19b51</t>
  </si>
  <si>
    <t>The hydrological load causing flood hazard is in many instances not only determined by peak discharge, but is a multidimensional problem. While the methodology for multivariate frequency analysis is well established, the estimation of the associated uncertainty is rarely studied. In this paper, a method is developed to quantify the different sources of uncertainty for a bivariate flood frequency analysis. The method is exemplarily developed for the Mekong Delta (MD), one of the largest and most densely populated river deltas worldwide. Floods in the MD are the basis for the livelihoods of the local population, but they are also the major hazard. This hazard has, however, not been studied within the frame of a probabilistic flood hazard analysis. The nature of the floods in the MD suggests a bivariate approach, because the societal flood severity is determined by both peak discharge and flood volume. The uncertainty caused by selection of statistical models and parameter estimation procedures are analyzed by applying different models and methods. For the quantification of the sampling uncertainty two bootstrapping methods were applied. The developed bootstrapping-based uncertainty estimation method shows that large uncertainties are associated with the estimation of bivariate flood quantiles. This uncertainty is much larger than the model selection and fitting uncertainty. Given the rather long data series of 88. years, it is concluded that bivariate flood frequency analysis is expected to carry significant uncertainty and that the quantification and reduction of uncertainty merit greater attention. But despite this uncertainty the proposed approach has certainly major advantages compared to a univariate approach, because (a) it reflects the two essential aspects of floods in this region, (b) the uncertainties are inherent for every bivariate frequency analysis in hydrology due to the general limited length of observations and can hardly be avoided, and (c) a framework for the quantification of the uncertainties is given, which can be used and interpreted in the hazard assessment. In addition it is shown by a parametric bootstrapping experiment how longer observation time series can reduce the sampling uncertainty. Based on this finding it is concluded that bivariate frequency analyses in hydrology would greatly benefit from discharge time series augmented by proxy or historical data, or by causal hydrologic expansion of time series. © 2015 Elsevier B.V.</t>
  </si>
  <si>
    <t>2-s2.0-84930665602"</t>
  </si>
  <si>
    <t>10.1080/15481603.2015.1026555</t>
  </si>
  <si>
    <t>https://www.scopus.com/inward/record.uri?eid=2-s2.0-84929292462&amp;doi=10.1080%2f15481603.2015.1026555&amp;partnerID=40&amp;md5=d1df7deb7f1c41edd5b30da4d3bd0ad9</t>
  </si>
  <si>
    <t>Apart from the earmarked Ramsar sites along the coastal zones of Ghana, no inventory has been conducted to determine the location, distribution, and status of wetlands within any of its river basins. In this study, a logistic regression model was used within the GIS platform to predict, at pixel level, the presence of a wetland in the basin of the White Volta River. The output consisted of a map and also indicated that a total of 259.5 km2 of the land mass is estimated as probable floodplain wetland sites. The model used resulted in a high level of accuracy in predicting wetland presence. © 2015 Taylor &amp; Francis.</t>
  </si>
  <si>
    <t>2-s2.0-84929292462"</t>
  </si>
  <si>
    <t>10.5194/nhess-15-1457-2015</t>
  </si>
  <si>
    <t>https://www.scopus.com/inward/record.uri?eid=2-s2.0-84944450140&amp;doi=10.5194%2fnhess-15-1457-2015&amp;partnerID=40&amp;md5=7c2179b3c105c016e7098582ace4dbcd</t>
  </si>
  <si>
    <t>A pressing problem facing coastal decision makers is the conversion of ""high-level"" but plausible climate change assessments into an effective basis for climate change adaptation at the local scale. Here, we describe a web-based, geospatial decision support tool (DST) that provides an assessment of the potential flood risk for populated coastal lowlands arising from future sea-level rise, coastal storms, and high river flows. This DST has been developed to support operational and strategic decision making by enabling the user to explore the flood hazard from extreme events, changes in the extent of the flood-prone areas with sea-level rise, and thresholds of sea-level rise where current policy and resource options are no longer viable. The DST is built in an open-source GIS that uses freely available geospatial data. Flood risk assessments from a combination of LISFLOOD-FP and SWAB (Shallow Water And Boussinesq) models are embedded within the tool</t>
  </si>
  <si>
    <t>10.1007/s00704-014-1171-6</t>
  </si>
  <si>
    <t>https://www.scopus.com/inward/record.uri?eid=2-s2.0-84939874716&amp;doi=10.1007%2fs00704-014-1171-6&amp;partnerID=40&amp;md5=a85f24679618ed7cdd794d718e37c058</t>
  </si>
  <si>
    <t>The coastal region of Kenya and Tanzania experiences two rainy seasons per year (October-November-December (OND) and March-April-May (MAM)) and has an economy that is highly dependent on and vulnerable to the amounts and timing of rainfall during these seasons. Most of the interannual variability in OND seasonal rainfall totals relate to El Niño Southern Oscillation (ENSO) and Indian Ocean Dipole (IOD) events. While these relationships are fairly well documented and understood, there is a relatively poor understanding of the timing and intensity of the rainfall during ENSO/IOD seasons. In an attempt to improve understanding on this topic, daily rainfall station data, dekad and seasonal satellite rainfall estimates and Normalized Difference Vegetation Index (NDVI) imagery are analyzed for two recent OND seasons with El Niño conditions. These are OND 2006 which was characterized by devastating floods over the region and 2009 when the magnitude and spatial extent of the above average rainfall patterns were smaller. Daily rainfall data for the Tanzanian coastal stations showed that Tanga and Dar es Salaam (north and central coast) experienced few dry spells and several relatively intense wet spells during OND 2006 whereas at Mtwara, on the south coast, there were two very intense wet spells and a number of dry spells during the season. In OND 2009, only the north coast (Tanga) experienced above average rainfall, comprised of three wet spells with the one about a month after the beginning of the season being very intense. These data highlight the complexity of the rainfall distributions in the coastal region. A shift of the Walker circulation over coastal East Africa with strong uplift there seemed to be responsible for the very wet conditions during OND 2006. The marine air mass being advected from the western tropical Indian Ocean towards East Africa contained more moisture than average. Similar, but weaker, horizontal circulation anomalies occurred in OND 2009 along with increased moisture over the coastal zone although there was no obvious shift in the Walker circulation in this season. © 2014, Springer-Verlag Wien.</t>
  </si>
  <si>
    <t>2-s2.0-84939874716"</t>
  </si>
  <si>
    <t>10.1016/j.envint.2015.02.017</t>
  </si>
  <si>
    <t>https://www.scopus.com/inward/record.uri?eid=2-s2.0-84924757395&amp;doi=10.1016%2fj.envint.2015.02.017&amp;partnerID=40&amp;md5=aaef65c97cacb778c9c08dd89cf63393</t>
  </si>
  <si>
    <t>China has approximately 5.80×106ha coastal wetlands by 2014, accounting for 10.82% of the total area of natural wetlands. Healthy coastal wetland ecosystems play an important role in guaranteeing the territory ecological security and the sustainable development of coastal zone in China. In this paper, the natural geography and the past and present status of China's coastal wetlands were introduced and the five stages (1950s-1970s, 1980s-1991, 1992-2002, 2003-2010 and 2011-present) of China's coastal wetlands conservation from the foundation of the People's Republic in 1949 to present were distinguished and reviewed. Over the past decades, China has made great efforts in coastal wetland conservation, as signified by the implementation of coastal wetland restoration projects, the construction of coastal wetland nature reserves, the practice of routine ecological monitoring and two national wetland surveys, the promulgation of local wetland conservation statutes and specific regulations, the coordination mechanism to enhance management capacity, the wide development of coastal wetland research and public participation, and the extensive communication to strengthen international cooperation. Nonetheless, six major issues recently emerged in China's coastal wetland conservation are evidently existed, including the increasing threats of pollution and human activities, the increasing adverse effects of threaten factors on ecosystem function, the increasing threats of coastal erosion and sea-level rising, the insufficient funding for coastal wetlands conservation, the imperfect legal and management system for coastal wetlands, and the insufficient education, research and international cooperation. Although the threats and pressures on coastal wetlands conservation are still apparent, the future of China's coastal wetlands looks promising since the Chinese government understands that the sustainable development in coastal zone requires new attitudes, sound policies and concerted efforts at all levels. The major strategies for future improvement of China's coastal wetland conservation include: exploring effective measures in response to major threaten factors</t>
  </si>
  <si>
    <t>10.1007/s11707-014-0453-8</t>
  </si>
  <si>
    <t>https://www.scopus.com/inward/record.uri?eid=2-s2.0-84939942210&amp;doi=10.1007%2fs11707-014-0453-8&amp;partnerID=40&amp;md5=266cb1264587f177a347aa37533d7d8d</t>
  </si>
  <si>
    <t>Wenzhou is a region on the coast of China where storm surges are frequent and serious. Starting with society, economy, land utilization, and anti-disaster capability, the vulnerability of each county in the coastal region of Wenzhou was evaluated. The counties were then divided into mild, moderate, heavy, and extremely heavy fragile areas by choosing 15 factors to establish an evaluation index system, using principal component analysis to set the weight of each factor. The results show that all of the counties fit into the categories of heavy and extremely heavy fragile areas except for Pingyang county, which is mild. There is no significant difference in storm surge vulnerability among all counties in the Wenzhou coastal region, which is highly associated with the general balance of socioeconomic development in the Zhejiang coastal region and the orientation of government policies. This research provides a method for evaluating vulnerability to storm surge. Evaluation results can provide the basis for responses to storm surge, contributing to disaster prevention and mitigation planning, and regional sustainable development planning. © 2015, Higher Education Press and Springer-Verlag Berlin Heidelberg.</t>
  </si>
  <si>
    <t>2-s2.0-84939942210"</t>
  </si>
  <si>
    <t>10.1007/s11027-014-9579-y</t>
  </si>
  <si>
    <t>https://www.scopus.com/inward/record.uri?eid=2-s2.0-84938987744&amp;doi=10.1007%2fs11027-014-9579-y&amp;partnerID=40&amp;md5=ca3edbfed7adc584c0b643bb5c639211</t>
  </si>
  <si>
    <t>Coastal dunes play an important role in coastal defense along sandy shorelines of the world. The majority of the shorelines experience erosion and this erosion is expected to accelerate under anthropogenic climate change and subsequent sea level rise. This paper investigates the impact of climate change, sea level rise and current management for coastal dunes in the Netherlands. Furthermore the paper discusses the implications of climate change projections for adaptation strategies into the future. Recent climate change scenarios for the Netherlands highlight rising temperature and accelerated sea-level rise. Their combined effects on dune-building processes are expected to be manifested through an increase in erosive forces at the expensive of accretive forces. In the Netherlands, a negative sand balance and inland migration of the beach-dune system has been successfully counteracted in the last decades through the application of sand nourishments. These have enhanced accretion on the one hand and limited erosion on the other hand. Generally, coastal protection has improved despite rising sea levels. Important preconditions that make this sand nourishment strategy possible are: a readily available sand resource that makes exploitation technically and economically feasible</t>
  </si>
  <si>
    <t>10.2112/JCOASTRES-D-14-00120.1</t>
  </si>
  <si>
    <t>https://www.scopus.com/inward/record.uri?eid=2-s2.0-84923232015&amp;doi=10.2112%2fJCOASTRES-D-14-00120.1&amp;partnerID=40&amp;md5=5117e563fa1498f5d85a85dbe7bea768</t>
  </si>
  <si>
    <t>The December 2007 storm, otherwise known as the Great Coastal Gale of 2007, was a series of extratropical cyclones that brought highly unprecedented wind speeds and precipitation to the Oregon and Washington coasts of the United States. A storm hindcast using the coupled Advanced Circulation (ADCIRC) and Simulating Waves Nearshore (SWAN) models was conducted within Tillamook Bay, Oregon, from 28 November to 5 December 2007. ADCIRC computes two-dimensional circulation forced by astronomic tides, streamflow, and storm surge, while SWAN solves the wave action density equations for radiation stresses. Modeled nontidal residuals were compared to observed data collected by the National Oceanic and Atmospheric Administration at the Garibaldi, Oregon, tide gauge station. The relative contributions of meteorological forcing, offshore waves, and streamflow to storm tides were next assessed at four locations of interest within and outside the estuary by conducting a set of model runs where each major process was omitted in turn. The dominant mechanism for storm tides in the estuary was offshore wave breaking. Streamflow, locally (in estuary) generated waves, and locally generated surge led to minor variations in storm tides in the estuary. ©Coastal Education and Research Foundation, Inc. 2015.</t>
  </si>
  <si>
    <t>2-s2.0-84923232015"</t>
  </si>
  <si>
    <t>https://www.scopus.com/inward/record.uri?eid=2-s2.0-84959234946&amp;partnerID=40&amp;md5=d6b8933f69dbe29ddedfc111a7e2733d</t>
  </si>
  <si>
    <t>The investigation concerned bacterial parameters of total coliform, fecal coliform and intestinal Enterococci. Five stations were established along the river spanning the near-shore and the estuarine areas. Stations 1. 2, 3 were near-shore while stations 4 and 5 were in the estuary. Sampling was twice daily, during ebb and flood tides. The highest and lowest total coliform count were (1900 colony forming units/100 mL) recorded during flood tide in July at station 3 and 163 colony forming units/100 mL recorded in November at station 2 during ebb tide, respectively. Similarly, the highest and lowest count of fecal coliform were 250 colony forming units/100 mL recorded at station 3 in July during flood tide and 27 colony forming units/mL recorded at station 2 in February during ebb tide', respectively. The lowest 95th percentile value of intestinal Enterococci (14 colony forming units/100 mL) was recorded during ebb tide at station 2 in November. On the other hand, the highest 95th percentile value (190 colony forming unit/100 mL) was recorded during flood tide at station 3 in July. A two-way analysis of variance in microbial water quality with respect to sampling stations and tides, however, indicated that there was no significant difference in microbial water quality in relation to sampling stations and tides. All the sampled stations met the World Health Organization (WHO), European Union (EU) and German guidelines for safe recreational waters with regards to intestinal Enterococci, total coliform and fecal coliform. ©2015 - Kalpana Corporation.</t>
  </si>
  <si>
    <t>2-s2.0-84959234946"</t>
  </si>
  <si>
    <t>10.1016/j.scitotenv.2015.01.016</t>
  </si>
  <si>
    <t>https://www.scopus.com/inward/record.uri?eid=2-s2.0-84921534062&amp;doi=10.1016%2fj.scitotenv.2015.01.016&amp;partnerID=40&amp;md5=142f319adce7ae6f9c4a61988077d4d7</t>
  </si>
  <si>
    <t>A study on dissolved nitrate, ammonium, phosphate and silicate concentrations was carried out in various water compartments (rivers, drains, channels, springs, wetland, groundwater, tidal floodplains and ocean water) in the Mexicali Valley and the Colorado River delta between 2012 and 2013, to assess modern potential nutrient sources into the marine system after river damming. While nitrate and silicate appear to have a significant input into the coastal ocean, phosphate is rapidly transformed into a particulate phase. Nitrate is, in general, rapidly bio-consumed in the surface waters rich in micro algae, but its excess (up to 2.02mgL-1 of N from NO3 in winter) in the Santa Clara Wetland represents a potential average annual source to the coast of 59.4×103kg N-NO3. Despite such localized inputs, continuous regional groundwater flow does not appear to be a source of nitrate to the estuary and coastal ocean. Silicate is associated with groundwaters that are also geothermally influenced. A silicate receiving agricultural drain adjacent to the tidal floodplain had maximum silicate concentrations of 16.1mgL-1 Si-SiO2. Seepage of drain water and/or mixing with seawater during high spring tides represents a potential source of dissolved silicate and nitrate into the Gulf of California. © 2015 Elsevier B.V.</t>
  </si>
  <si>
    <t>2-s2.0-84921534062"</t>
  </si>
  <si>
    <t>10.1007/s11069-015-1629-6</t>
  </si>
  <si>
    <t>https://www.scopus.com/inward/record.uri?eid=2-s2.0-84939941766&amp;doi=10.1007%2fs11069-015-1629-6&amp;partnerID=40&amp;md5=ee45d9afadb389200fa357cb8f2f8c9c</t>
  </si>
  <si>
    <t>Kedarnath (3,533 m, 30°44′05″N, 79°04′02″E) is situated within a kilometre of the termini of the Chorabari and Companion glaciers in the Indian Himalaya. An outburst flood from a lake (3,845 m) formed by right lateral moraine of the former caused severe damage to the village on 17 June 2013. We determined various physical parameters of the lake from three digital elevation datasets (CartoDEM, SRTM and ASTER) and selected the SRTM-derived data as they appeared to portray the region more accurately. The obtained parameters were used in predictive equations suggested by different authors to estimate peak discharge of the flood. We also compared high-resolution images of 10 December 1965 (Corona), June 2011 (Bing) and 25 June 2013 (Catrosat-1 Pan + LISS-4mx) to assess the damage caused to the village besides other geomorphic changes. The results showed that at least 149 mm of rainfall in its 291-ha catchment was required to fill up the lake, without considering the presence of antecedent water and loss from seepage and evaporation. At the point of breaching, the lake released 0.43 × 106 m3 of water with a peak discharge of 1,352 cumecs. The north-western section of Kedarnath village was on the direct path of the debris flow triggered by the flood and was almost completely destroyed. The southern and south-eastern sections were least affected. Out of 37,299 m2 of pre-event roof area of Kedarnath (259 structures), 44.2 % were obliterated and 26.7 % were partly damaged, representing 138 and 56 structures, respectively. Only one-quarter of the structures of the village emerged intact or slightly affected after the event. © 2015, Springer Science+Business Media Dordrecht.</t>
  </si>
  <si>
    <t>2-s2.0-84939941766"</t>
  </si>
  <si>
    <t>10.1080/19475705.2013.845115</t>
  </si>
  <si>
    <t>https://www.scopus.com/inward/record.uri?eid=2-s2.0-84925206626&amp;doi=10.1080%2f19475705.2013.845115&amp;partnerID=40&amp;md5=a33d24bbc19c1ad90d8ab9c2bec412e3</t>
  </si>
  <si>
    <t>The Egyptian Mediterranean coast was examined for the vulnerability to sea-level rise using the coastal vulnerability index (CVI), which was derived from the geologic and physical characteristics of the coast. This paper is the first to apply the CVI along the Egyptian coasts. The coast has different geomorphologic aspects ranging from steep-slope-rocky cliffs to gentle sloping deltaic sediments. Although the coast is under low tidal effect and low height waves, results showed that more than one-third of the 1000 km long coast is severely vulnerable to sea-level rise. Unfortunately, the area under high vulnerability to sea-level rise comprises the densely populated Nile Delta coast. National actions should be implemented to safeguard the entire coast at the threatened locations. © 2013, Taylor &amp; Francis.</t>
  </si>
  <si>
    <t>2-s2.0-84925206626"</t>
  </si>
  <si>
    <t>10.1007/s11069-015-1597-x</t>
  </si>
  <si>
    <t>https://www.scopus.com/inward/record.uri?eid=2-s2.0-84939933336&amp;doi=10.1007%2fs11069-015-1597-x&amp;partnerID=40&amp;md5=15cd13bf487d6789b3db5d32e20a9500</t>
  </si>
  <si>
    <t>Coastal areas are one of the key systems for global sustainability. These are the transition areas between land and sea. Coastal regions gained importance because of multiple uses, like high productivity of the ecosystem, highly concentrated population, industrial friendly, waste disposal, tourism, transportation, strategic planning in military and many more. These coasts are always in a dynamic state trying to change, and nature always works for maintaining the equilibrium. India, with most diverse ecosystem, high productivity and thickly populated over coastal region, has gained its very own importance. Despite all of these, Indian coasts are under threat due to multiple stresses like global climate change and human intervention. These stresses are driving vulnerabilities like sea-level rise, coastal erosion, frequent extreme events, and saltwater encroachment. In this critical scenario, coastal management has become one of the very important issues in the last two decades. Thus, coastal vulnerability assessment methods have been developed to identify and manage the vulnerable areas over the coast. In the present review, we focussed on different vulnerabilities to coast of India and one of the assessment methods, coastal vulnerability index methodology, applied over India. Vulnerability assessment is the process where we identify the problem, quantify it, and assess the risk rate in formulating development strategies to reduce the risk and vulnerabilities. Proper planning and protection strategies for Indian coast must be taken swiftly by the coastal management and policy makers to safeguard coastal ecosystem and livelihoods. In recent years, there has been much focus on coastal vulnerability assessments using various kinds of data. Most of the reported studies over Indian coast are based on remote sensing and GIS methods. © 2015, Springer Science+Business Media Dordrecht.</t>
  </si>
  <si>
    <t>2-s2.0-84939933336"</t>
  </si>
  <si>
    <t>10.1016/j.marmicro.2015.04.004</t>
  </si>
  <si>
    <t>https://www.scopus.com/inward/record.uri?eid=2-s2.0-84929081561&amp;doi=10.1016%2fj.marmicro.2015.04.004&amp;partnerID=40&amp;md5=af14589e04a13f159f104c26d0da2b73</t>
  </si>
  <si>
    <t>We studied 18 sampling stations along a transect to investigate the similarity between live (rose Bengal stained) foraminiferal populations and dead assemblages, their small-scale spatial variations and the distribution of infaunal foraminifera in a salt marsh (Toms Creek marsh) at the upper end of the South Slough arm of the Coos Bay estuary, Oregon, USA. We aimed to test to what extent taphonomic processes, small-scale variability and infaunal distribution influence the accuracy of sea-level reconstructions based on intertidal foraminifera. Cluster analyses have shown that dead assemblages occur in distinct zones with respect to elevation, a prerequisite for using foraminifera as sea-level indicators. Our nonparametric multivariate analysis of variance showed that small-scale spatial variability has only a small influence on live (rose Bengal stained) populations and dead assemblages. The dissimilarity was higher, however, between live (rose Bengal stained) populations in the middle marsh. We observed early diagenetic dissolution of calcareous tests in the dead assemblages. If comparable post-depositional processes and similar minor spatial variability also characterize fossil assemblages, then dead assemblage are the best modern analogs for paleoenvironmental reconstructions. The Toms Creek tidal flat and low marsh vascular plant zones are dominated by Miliammina fusca, the middle marsh is dominated by Balticammina pseudomacrescens and Trochammina inflata, and the high marsh and upland-marsh transition zone are dominated by Trochamminita irregularis. Analysis of infaunal foraminifera showed that most living specimens are found in the surface sediments and the majority of live (rose Bengal stained) infaunal specimens are restricted to the upper 10. cm, but living individuals are found to depths of 50. cm. The dominant infaunal specimens are similar to those in the corresponding surface samples and no species have been found living solely infaunally. The total numbers of infaunal foraminifera are small compared to the total numbers of dead specimens in the surface samples. This suggests that surface samples adequately represent the modern intertidal environment in Toms Creek. © 2015 Elsevier B.V.</t>
  </si>
  <si>
    <t>2-s2.0-84929081561"</t>
  </si>
  <si>
    <t>10.1126/science.aab3574</t>
  </si>
  <si>
    <t>https://www.scopus.com/inward/record.uri?eid=2-s2.0-84939216119&amp;doi=10.1126%2fscience.aab3574&amp;partnerID=40&amp;md5=e211f58072387952172a1d1040477e78</t>
  </si>
  <si>
    <t>Deltas are highly sensitive to increasing risks arising from local human activities, land subsidence, regional water management, global sea-level rise, and climate extremes. We quantified changing flood risk due to extreme events using an integrated set of global environmental, geophysical, and social indicators. Although risks are distributed across all levels of economic development, wealthy countries effectively limit their present-day threat by gross domestic product-enabled infrastructure and coastal defense investments. In an energy-constrained future, such protections will probably prove to be unsustainable, raising relative risks by four to eight times in the Mississippi and Rhine deltas and by one-and-a-half to four times in the Chao Phraya and Yangtze deltas. The current emphasis on short-term solutions for the world's deltas will greatly constrain options for designing sustainable solutions in the long term. © 2015, American Association for the Advancement of Science. All rights reserved.</t>
  </si>
  <si>
    <t>2-s2.0-84939216119"</t>
  </si>
  <si>
    <t>10.1007/s00704-014-1199-7</t>
  </si>
  <si>
    <t>https://www.scopus.com/inward/record.uri?eid=2-s2.0-84939888724&amp;doi=10.1007%2fs00704-014-1199-7&amp;partnerID=40&amp;md5=72112add094c5f4681370aa1fdefc1d6</t>
  </si>
  <si>
    <t>The Shanghai metropolitan area is physically and socio-economically vulnerable to extreme precipitation events and associated flooding due to its location on the Yangtze estuary, low topography and high density of human activity. This paper presents a statistical analysis for the threshold of daily precipitation extremes at the city scale using percentile indices, probability distribution and detrended fluctuation analysis (DFA). A comparison of the statistical results with consideration of local impact factors suggests that the threshold of daily precipitation extremes over Shanghai increases from 70 mm in the western region to 80 mm in the city centre and then decreases to 75 mm in coastal areas. Finally, further suggestions are presented for decision makers, researchers and other concerned stakeholders to give a more complete picture of urban climatic extremes. © 2014, Springer-Verlag Wien.</t>
  </si>
  <si>
    <t>2-s2.0-84939888724"</t>
  </si>
  <si>
    <t>10.1130/G36598.1</t>
  </si>
  <si>
    <t>https://www.scopus.com/inward/record.uri?eid=2-s2.0-84929622821&amp;doi=10.1130%2fG36598.1&amp;partnerID=40&amp;md5=c63e7f69d203e821abf8aaea219dd9c2</t>
  </si>
  <si>
    <t>Accurate estimates of the current rate of subsidence in the Mississippi Delta (southern United States) provide a context for planning of wetland restoration and predictions of storm surge flooding. We present a comprehensive three-dimensional surface velocity field for the Mississippi Delta based on a network of 36 high-precision continuous GPS stations. We show that while the majority of the delta is relatively stable, the southern portion continues to experience high rates of subsidence (5-6 mm yr-1). Our data are consistent with long-term tide gauge records at Grand Isle, Louisiana, and several stations in Florida. The current rate of relative sea-level rise (combined effect of land subsidence and sea-level rise) along parts of the coastal delta is ~8-9 mm yr-1. Most tide gauge stations have recorded sea-level-rise acceleration after A.D. 1970. These data have implications for land reclamation and wetland restoration in the region</t>
  </si>
  <si>
    <t>https://www.scopus.com/inward/record.uri?eid=2-s2.0-84930379061&amp;doi=10.1007%2fs11069-015-1669-y&amp;partnerID=40&amp;md5=ee96e777e505e0459040d227430dcd79</t>
  </si>
  <si>
    <t>Storm Xynthia (February 2010) was responsible for a large sea surge along the French Atlantic coast. It resulted in the flooding of low-lying coastal areas during the night. Urbanized areas were impacted and 41 people died by drowning in their homes. The location and type of construction of the houses in the affected area contributed to the death toll. The fact that the inadequacy of construction with regard to coastal flood hazard could lead to death was one of the most important lessons of the storm. The French government decided to buy back and scrap the most dangerous buildings hit by Xynthia. In order to prevent future deaths by drowning, we have developed a tool (the V.I.E. index) to identify houses where a risk of death due to a coastal flood cannot be excluded. The goal is to propose individual-based solutions for risk mitigation of residential houses. This tool uses a micro-scale-level analysis along with four criteria: (1) the potential water depth per house, (2) the distance between the dike and the house, (3) the architectural typology and (4) the closeness to rescue point. The methodological background and the first results for three towns are presented in this paper. Limitations and further developments are also discussed. © 2015, Springer Science+Business Media Dordrecht.</t>
  </si>
  <si>
    <t>2-s2.0-84930379061"</t>
  </si>
  <si>
    <t>10.1007/s11027-015-9638-z</t>
  </si>
  <si>
    <t>https://www.scopus.com/inward/record.uri?eid=2-s2.0-84938949641&amp;doi=10.1007%2fs11027-015-9638-z&amp;partnerID=40&amp;md5=e51eb66abd2fbc707e118dc96ff0d4e4</t>
  </si>
  <si>
    <t>Densely populated deltas are so vulnerable to sea level rise and climate change that they cannot wait for global mitigation to become effective. The Netherlands therefore puts huge efforts in adaptation research and planning for the future, for example through the national research programme Knowledge for Climate and the Delta Programme for the Twenty-first century. Flood risk is one of the key issues addressed in both programmes. Adaptive management planning should rely on a sound ex-ante policy analysis which encompasses a future outlook, establishing whether a policy transition is required, an assessment of alternative flood risk management strategies, and their planning in anticipation without running the risk of regret of doing too little too late or too much too early. This endeavour, addressed as adaptive delta management, calls for new approaches, especially because of uncertainties about long-term future developments. For flood risk management, it also entails reconsideration of the underlying principles and of the application of portfolios of technical measures versus spatial planning and other policy instruments. To this end, we first developed a conceptualisation of flood risk which reconciles the different approaches of flood defence management practice and spatial planning practice in order to bridge the gap between these previously detached fields. Secondly, we looked abroad in order to be better able to reflect critically on a possible Dutch bias which could have resulted from many centuries of experience of successful adaptation to increasing flood risk, but which may no longer be sustainable into the future. In this paper, we explain the multiple conceptualisation of flood risk and argue that explicitly distinguishing exposure determinants as a new concept may help to bridge the gap between engineers and spatial planners, wherefore we show how their different conceptualisations influence the framing of the adaptation challenge. Also, we identify what the Netherlands may learn from neighbouring countries with a different framing of the future flood risk challenge. © 2015, The Author(s).</t>
  </si>
  <si>
    <t>2-s2.0-84938949641"</t>
  </si>
  <si>
    <t>10.1007/s11027-015-9675-7</t>
  </si>
  <si>
    <t>https://www.scopus.com/inward/record.uri?eid=2-s2.0-84938984348&amp;doi=10.1007%2fs11027-015-9675-7&amp;partnerID=40&amp;md5=a9daaf301f35555b47ab213c1757ccdb</t>
  </si>
  <si>
    <t>2-s2.0-84938984348"</t>
  </si>
  <si>
    <t>10.1007/s13157-015-0644-4</t>
  </si>
  <si>
    <t>https://www.scopus.com/inward/record.uri?eid=2-s2.0-84930089085&amp;doi=10.1007%2fs13157-015-0644-4&amp;partnerID=40&amp;md5=8d10927ac4e21dcdf0e0cbc87851b2ba</t>
  </si>
  <si>
    <t>Although the effects of permanent flooding on biomass of coastal marsh plants has been extensively documented, the effect of duration of flooding has received little attention. Panicum hemitomon, Sagittaria lancifolia, and Spartina patens were exposed to three flooding durations (day, week, month) and two salinity regimes (0 and 6 ppt) for 3 months. All flooding treatments resulted in the plants being flooded 50 % of the 3 month experimental period. Panicum hemitomon experienced 100 % mortality at 6 ppt but was unaffected by flooding duration at 0 ppt. Sagittaria lancifolia growth and biomass were reduced by both increased salinity and flood duration. Spartina patens growth was unaffected by both flooding and salinity. However, a significant interaction term indicated that S. patens belowground biomass increased with flood duration under fresh conditions but decreased with flood duration under brackish conditions. Examination of the growth patterns showed reduced growth of the grasses when the soil was inundated. Growth of S. lancifolia was reduced at times, when leaves were being replaced, but the pattern did not coincide with flooding and may reflect a specific leaf turnover cycle in this species. Restoration of coastal regions involves manipulation of estuarine hydrology, which can be improved using these study results. © 2015, Society of Wetland Scientists.</t>
  </si>
  <si>
    <t>2-s2.0-84930089085"</t>
  </si>
  <si>
    <t>10.1109/JSTARS.2015.2427337</t>
  </si>
  <si>
    <t>https://www.scopus.com/inward/record.uri?eid=2-s2.0-85027931447&amp;doi=10.1109%2fJSTARS.2015.2427337&amp;partnerID=40&amp;md5=ccaab35f98bb466c6646f985d1e91b9e</t>
  </si>
  <si>
    <t>Earthen levees have a significant role in protecting large areas of inhabited and cultivated land in the United States from flooding. Failure of the levees can result in loss of life and property. Slough slides are among the problems which can lead to complete levee failure during a high water event. In this paper, we develop a method to detect such slides using X-band synthetic aperture radar (SAR) data. Our proposed methodology includes: 1) radiometric normalization of the TerraSAR image using high-resolution digital elevation map (DEM) data</t>
  </si>
  <si>
    <t>10.5194/nhess-15-1473-2015</t>
  </si>
  <si>
    <t>https://www.scopus.com/inward/record.uri?eid=2-s2.0-84936946290&amp;doi=10.5194%2fnhess-15-1473-2015&amp;partnerID=40&amp;md5=2c330d11e1785cbf79340576fed4b525</t>
  </si>
  <si>
    <t>Super Typhoon Haiyan entered the Philippine Area of Responsibility (PAR) on 7 November 2013, causing tremendous damage to infrastructure and loss of lives mainly due to the storm surge and strong winds. Storm surges up to a height of 7 m were reported in the hardest hit areas. The threat imposed by this kind of natural calamity compelled researchers of the Nationwide Operational Assessment of Hazards (Project NOAH) which is the flagship disaster mitigation program of the Department of Science and Technology (DOST) of the Philippine government to undertake a study to determine the vulnerability of all Philippine coastal communities to storm surges of the same magnitude as those generated by Haiyan. This study calculates the maximum probable storm surge height for every coastal locality by running simulations of Haiyan-type conditions but with tracks of tropical cyclones that entered PAR from 1948-2013. One product of this study is a list of the 30 most vulnerable coastal areas that can be used as a basis for choosing priority sites for further studies to implement appropriate site-specific solutions for flood risk management. Another product is the storm tide inundation maps that the local government units can use to develop a risk-sensitive land use plan for identifying appropriate areas to build residential buildings, evacuation sites, and other critical facilities and lifelines. The maps can also be used to develop a disaster response plan and evacuation scheme. © Author(s) 2015.</t>
  </si>
  <si>
    <t>2-s2.0-84936946290"</t>
  </si>
  <si>
    <t>10.1016/j.geomorph.2014.10.012</t>
  </si>
  <si>
    <t>https://www.scopus.com/inward/record.uri?eid=2-s2.0-84926064999&amp;doi=10.1016%2fj.geomorph.2014.10.012&amp;partnerID=40&amp;md5=fdfcad6cf1c5db26fa72de17d8b88271</t>
  </si>
  <si>
    <t>Eberswalde crater, Mars, contains a well-preserved fluvial distributary network in a likely deltaic setting. The meandering inverted paleochannels and closed drainage basin of this deposit support relatively well constrained estimates of channel-forming discharge (over an individual event flood timescale), runoff production (event and annual timescales), and longevity of deposition (geologic timescale) during the Late Hesperian to Early Amazonian Epochs. The width and meander dimensions of two inverted paleochannels reflect the channel-forming discharge from event floods (~200 to 400m3/s), the deposit surface indicates the level (-1400 to -1350m) and surface area (410 to 810km2) of the likely paleolake, and the topography and mapped extent of tributaries constrain the watershed area (5000 to 17,000km2). Based on these results and terrestrial empirical constraints on evaporation and sediment concentration, we evaluated three hypothetical water sources: meltwater liberated by the nearby Holden crater impact (continuous deposition over ~101-102years), intermittent rainfall or snowmelt during finite periods controlled by orbital evolution (deposition over ~104-106years), and highly infrequent runoff or melting of accumulated snowpacks following distant impacts or secular changes in orbital parameters. Local impact-generated runoff and highly infrequent rainfall or snowmelt require unreasonably high and low rates of evaporation, respectively, to maintain the paleolake level. The local impact hypothesis alternatively depends on one flooding episode with very high concentrations of fluvial sediment that are inconsistent with morphologic considerations. Multiple primary impact craters in the area postdate Holden ejecta but were later dissected, indicating fluvial erosion long after the Holden impact. Intermittent rainfall of ~1cm/day and seasonal snowmelt are both consistent with our results over a deposition timescale totaling ~104-106years. © 2014.</t>
  </si>
  <si>
    <t>2-s2.0-84926064999"</t>
  </si>
  <si>
    <t>10.1016/j.catena.2015.01.017</t>
  </si>
  <si>
    <t>https://www.scopus.com/inward/record.uri?eid=2-s2.0-84922277094&amp;doi=10.1016%2fj.catena.2015.01.017&amp;partnerID=40&amp;md5=ed722d140e9edc745855611a6b206722</t>
  </si>
  <si>
    <t>Projections of climate change impacts over the coming decades suggest that rising sea levels will flood coastal wetlands, moving the range of wetlands inland from the current coastline. The intensity of flooding in wetland areas will thus increase, with corresponding impacts on soil properties and coastal ecosystems. We studied the impacts of two levels of water inundation on the concentration and stoichiometry of soil carbon, nitrogen, phosphorus and sulfur in areas dominated by the native C3 species Scirpus triqueter L., the native C4 species Cyperus malaccensis var. brevifolius Boecklr. and the invasive Gramineae C3 species Phragmites australis (Cav.) Trin. ex Steud in the Shanyutan wetland areas of the Minjiang River estuary in China. Comparison of the communities dominated by these three species in high- and low-water flood habitats showed that flooding enhanced anaerobiosis and salinity and altered the carbon and nitrogen plant-soil cycles. Higher flooding favored the invasive species more than the two native species. The invasive P. australis accumulated more carbon (65% increase in aboveground biomass), and took up more nitrogen under high flooding than did C. malaccensis and S. triqueter. The more conservative use of soil resources, particularly the limiting nutrient N, appeared to underlie the higher capacity of the invasive species to tolerate higher flooding intensity. Increases in flooding may thus enhance the success and expansion of the invasive P. australis to the detriment of the native plant species in these Chinese wetlands. © 2015 Elsevier B.V.</t>
  </si>
  <si>
    <t>2-s2.0-84922277094"</t>
  </si>
  <si>
    <t>10.1890/14-0548.1</t>
  </si>
  <si>
    <t>https://www.scopus.com/inward/record.uri?eid=2-s2.0-84938402603&amp;doi=10.1890%2f14-0548.1&amp;partnerID=40&amp;md5=870429c0d452316921d22d9236a654e6</t>
  </si>
  <si>
    <t>Knowledge of nutrient pathways and their resulting ecological interactions can alleviate numerous environmental problems associated with nutrient increases in both natural and managed systems. Although not unique, coastal systems are particularly prone to complex ecological interactions resulting from nutrient inputs from both the land and sea. Nutrient inputs to coastal systems often spur ulvoid macroalgal blooms, with negative consequences for seagrasses, primarily through shading, as well as through changes in local biogeochemistry. We conducted complementary field and mesocosm experiments in an upwelling-influenced estuary, where marine-derived nutrients dominate, to understand the direct and indirect effects of nutrients on the macroalgal-eelgrass (Zostera marina L.) interaction. In the field experiment, we found weak evidence that nutrients and/or macroalgal treatments had a negative effect on eelgrass. However, in the mesocosm experiment, we found that a combination of nutrient and macroalgal treatments led to strongly negative eelgrass responses, primarily via indirect effects associated with macroalgal additions. Together, increased total light attenuation and decreased sediment oxygen levels were associated with larger effects on eelgrass than shading alone, which was evaluated using mimic algae treatments that did not alter sediment redox potential. Nutrient addition in the mesocosms directly affected seagrass density, biomass, and morphology, but not as strongly as macroalgae. We hypothesize that the contrary results from these parallel experiments are a consequence of differences in the hydrodynamics between field and mesocosm settings. We suggest that the high rates of water movement and tidal submersion of our intertidal field experiments alleviated the light reduction and negative biogeochemical changes in the sediment associated with macroalgal canopies, as well as the nutrient effects observed in the mesocosm experiments. Furthermore, adaptation of ulvoids and eelgrass to high, but variable, background nutrient concentrations in upwelling-influenced estuaries may partly explain the venue-specific results reported here. In order to manage critical seagrass habitats, nutrient criteria and macroalgal indicators must consider variability in marine-based nutrient delivery and local physical conditions among estuaries. © 2015 by the Ecological Society of America.</t>
  </si>
  <si>
    <t>2-s2.0-84938402603"</t>
  </si>
  <si>
    <t>10.1007/s10652-014-9367-y</t>
  </si>
  <si>
    <t>https://www.scopus.com/inward/record.uri?eid=2-s2.0-84939897146&amp;doi=10.1007%2fs10652-014-9367-y&amp;partnerID=40&amp;md5=414a4c2b78f7770b32f0bb1e7750b764</t>
  </si>
  <si>
    <t>This paper documents a modeling investigation to comprehend the effect of future sea-level rise (SLR) on estuarine salinity and transport time scales, including the residence time and the water age of dissolved substances in a partially mixed estuary. A three-dimensional semi-implicit Eulerian–Lagrangian finite-element model was established and applied to the Tamsui River estuarine system and the adjacent coastal sea in northern Taiwan. The modeling results indicated reasonable agreement with the observed water levels, tidal currents, and salinity. The model was then applied to calculate the salt intrusion, residence time, and water age between the baseline (without SLR) and different scenarios, including SLRs of 0.34, 1.05, and 1.40 m for the year 2100. The numerical model results reveal that the average salt content and salt intrusion length will increase as the sea level rises. The 1 psu isohaline moves toward upstream reaches with an increase in SLR. The results reveal that the maximum increment of tidal-averaged and depth-averaged salinity would be 1.1, 2.4, and 3.0 psu, respectively, for the SLRs of 0.34, 1.05 and 1.40 m at the middle estuary under mean flow conditions. The regression between salt intrusion length and freshwater discharge are established corresponding to different SLR scenarios. The residence time of the entire Tamsui River system would increase from 6.3 to 23 % compared to the baseline under low flow conditions. The concentration of dissolved substances would have a longer transport time from upstream to downstream because water volume increases with SLR. This indicates that the water age will increase in the main Tamsui River estuary as the sea level rises. © 2014, Springer Science+Business Media Dordrecht.</t>
  </si>
  <si>
    <t>2-s2.0-84939897146"</t>
  </si>
  <si>
    <t>10.1109/JSTARS.2015.2419817</t>
  </si>
  <si>
    <t>https://www.scopus.com/inward/record.uri?eid=2-s2.0-85027952928&amp;doi=10.1109%2fJSTARS.2015.2419817&amp;partnerID=40&amp;md5=78d5d46c402e4e0ebbf0e70ee67f4be7</t>
  </si>
  <si>
    <t>A novel technique for parameterizing surface roughness in coastal inundation models using airborne laser scanning (lidar) data is presented. Two important parameters to coastal overland flow dynamics, Manning's ${\bm {n}}$ (bottom friction) and effective aerodynamic roughness length (wind speed reduction), are computed based on a random forest (RM) regression model trained using field measurements from 24 sites in Florida fused with georegistered lidar point cloud data. The lidar point cloud for each test site is separated into ground and nonground classes and the z-dimensional (height or elevation) variance from the least squares regression plane is computed, along with the height of the nonground regression plane. These statistics serve as the predictor variables in the parameterization model. The model is then tested using a bootstrap subsampling procedure consisting of removal without replacement of one record and using the surviving records to train the model and predict the surface roughness parameter of the removed record. When compared with the industry standard technique of assigning surface roughness parameters based on published land use/land cover type, the RM regression models reduce the parameterization error by 93% (0.086-0.006) and 53% (1.299-0.610 m) for Manning's n and effective aerodynamic roughness length, respectively. These improvements will improve water level and velocity predictions in coastal models. © 2008-2012 IEEE.</t>
  </si>
  <si>
    <t>2-s2.0-85027952928"</t>
  </si>
  <si>
    <t>Facies</t>
  </si>
  <si>
    <t>10.1007/s10347-015-0441-9</t>
  </si>
  <si>
    <t>https://www.scopus.com/inward/record.uri?eid=2-s2.0-84930944417&amp;doi=10.1007%2fs10347-015-0441-9&amp;partnerID=40&amp;md5=b241f985cb2be6f3c7309dff42739070</t>
  </si>
  <si>
    <t>The lithofacies, microfacies, depositional sequences, and benthic Foraminifera of the uppermost Albian–lower Cenomanian Bielba Formation in its type-area in northern Cantabria, Spain, consisting of a lower siliciclastic member and an upper Cóbreces Member, have been investigated. The investigated section constitutes a hypostratotype for the Bielba Formation, and the lower siliciclastic member is here formally defined as the Somocuevas Member. The obtained data are framed in the major global paleoenvironmental and paleoceanographic changes that occurred during the Albian–Cenomanian transition. Eleven lithofacies types have been identified from facies analysis and vertical log characterization. These lithofacies accumulated in various depositional settings such as storm, wave, and tidal influenced delta front and shoreface, shallow-water carbonate ramp, and offshore marine environments. Within an overall transgressive trend, the succession of the Bielba Formation comprises two depositional transgressive–regressive sequences corresponding to the Somocuevas and Cóbreces Members, bounded by a major relative sea-level fall at the end of the Albian. The sea-level fall was followed by a rapid marine transgression and shifting from siliciclastic-dominated deposition of the Somocuevas Member to carbonate-dominated deposition of the Cóbreces Member. The microfauna of the Cóbreces Member is characterized by omnipresent orbitolinids, trocholinids, and a variety of other mostly small-sized foraminifera that so far have not attracted much attention. Among them, taxa with biostratigraphic importance and taxonomic–phylogenetic importance can yet be found. The benthic Foraminifera are associated with calcareous green algae (dasycladaleans, udoteaceans) and occur in calcarenites of poorly diversified microfacies containing variable amounts of siliciclastics. The microfauna closely compares to that of the overlying late early to middle Cenomanian Altamira Formation. © 2015, Springer-Verlag Berlin Heidelberg.</t>
  </si>
  <si>
    <t>2-s2.0-84930944417"</t>
  </si>
  <si>
    <t>10.1007/s10661-015-4477-7</t>
  </si>
  <si>
    <t>https://www.scopus.com/inward/record.uri?eid=2-s2.0-84928248289&amp;doi=10.1007%2fs10661-015-4477-7&amp;partnerID=40&amp;md5=05ecc025bd2cc6d59e38d734aa7d9f1e</t>
  </si>
  <si>
    <t>The objective of this study was to estimate the contribution from the coastal resources in the coastal region to the national economy for sustainable development. There was no separate data base for the coastal zone so that the contribution from the coastal resources in the coastal region to the national economy was not evaluated. In estimating the significance of Turkish coastal cities, indirect methods and the geographical information system were used. In conclusion, it was found that 61.09 % of the total national gross domestic product and 50.75 % of the national agricultural, 90.98 % of the national fisheries, 68.19 % of the national tourism and 71.82 % of the national industrial gross domestic product came from the coastal zone. It was determined that while coastal cities of Turkey had 28.23 % of the national surface area, the coastal district had 12.96 %</t>
  </si>
  <si>
    <t>10.1007/s13157-014-0607-1</t>
  </si>
  <si>
    <t>https://www.scopus.com/inward/record.uri?eid=2-s2.0-84925537244&amp;doi=10.1007%2fs13157-014-0607-1&amp;partnerID=40&amp;md5=08a80916180b256170ef8109ef6d3cc8</t>
  </si>
  <si>
    <t>We assessed the role of vegetation and hydrology in the Si cycle in the Okavango Delta. Our results show a large storage of biogenic Si (BSi) in vegetation and the sediments. The biological storage is among the highest observed so far for any ecosystem worldwide. Floodplain vegetation accumulates similar amounts of BSi in both the temporary floodplains and the permanent floodplains, with most values observed between 20 and 100 g Si m−2. This vegetation Si, after litterfall, contributes to a large biogenic Si storage in the sediments. In temporary floodplains, sediments contain less BSi (375–1950 g Si m−2 in the top 5 cm) than in the permanent floodplains (1950–3600 g Si m−2 in the top 5 cm). BSi concentrations in the floodplain sediments decline exponentially indicating rapid dissolution. In the occasional and seasonal floodplains, unidirectional solute transfer from floodplains to the islands will remove Si from the riverine systems. Our work clearly emphasizes the crucial role of floodplains and wetlands in Si transport through tropical rivers, and the potential interference of hydrology with this role. © 2014, Society of Wetland Scientists.</t>
  </si>
  <si>
    <t>2-s2.0-84925537244"</t>
  </si>
  <si>
    <t>10.1007/s10584-014-1298-6</t>
  </si>
  <si>
    <t>https://www.scopus.com/inward/record.uri?eid=2-s2.0-84925537520&amp;doi=10.1007%2fs10584-014-1298-6&amp;partnerID=40&amp;md5=5f81a9a70a8d032806db78434419ad30</t>
  </si>
  <si>
    <t>The Coastal Fluvial Flood (CFFlood) model for assessing coastal and fluvial flood impacts under current and future climate and socio-economic conditions is presented and applied at the European scale. Flood frequency is estimated as a function of river flows, extreme sea levels and estimated defence standards to determine the flood extent and depth. Flood consequences are estimated by combining the latter with information on urban areas, population density and Gross Domestic Product (GDP). Climate and socio-economic scenarios and possible adaptation choices are included to analyse future conditions. In 2010, almost 6 % of the European population is estimated to live in the 100 year flood area. The corresponding economic loss is €236 billion, assuming no defences. Estimated flood protection reduces economic damage substantially by 67 to 99 % and the number of people flooded is reduced by 37 to 99 % for the 100 year event. Impact simulations show that future climate and socio-economic conditions may increase flood impacts, especially in coastal areas due to sea-level rise. In contrast, impacts caused by fluvial flooding sometimes decrease, especially in southern and western regions of Europe due to decreases in precipitation and consequent run-off. Under high-end scenarios, flood impacts increase substantially unless there are corresponding adaptation efforts. © 2014, Springer Science+Business Media Dordrecht.</t>
  </si>
  <si>
    <t>2-s2.0-84925537520"</t>
  </si>
  <si>
    <t>10.1007/s13157-014-0620-4</t>
  </si>
  <si>
    <t>https://www.scopus.com/inward/record.uri?eid=2-s2.0-84925483897&amp;doi=10.1007%2fs13157-014-0620-4&amp;partnerID=40&amp;md5=9b5121cf23159222b5238bbb314be79d</t>
  </si>
  <si>
    <t>Rising sea levels and stronger storm surges may expose tidal freshwater wetlands to saline waters, possibly leading to increased sulfate reduction and higher sulfide (H2S) concentrations. To better understand the effects of salinity on nitrogen cycling, porewater chemistry and sediment profiles of H2S and dissolved oxygen (O2) were measured along a salinity gradient in the Hudson River (New York, USA). Additionally, laboratory experiments exposed freshwater sediments to varying salinities after which sediment O2 and H2S dynamics along with nitrification and denitrification were measured. Overall, sites with higher salinities had lower oxygen availability (both as concentration and oxic sediment depth) and higher sulfide concentrations. Both nitrification and denitrification were depressed at higher salinities suggesting that exposure to saline water may alter nitrogen cycling of tidally influenced wetlands in the brackish region of the Hudson River estuary which may result in reduced retention of nitrogen. © 2015, Society of Wetland Scientists.</t>
  </si>
  <si>
    <t>2-s2.0-84925483897"</t>
  </si>
  <si>
    <t>10.1002/clen.201300823</t>
  </si>
  <si>
    <t>https://www.scopus.com/inward/record.uri?eid=2-s2.0-84924989986&amp;doi=10.1002%2fclen.201300823&amp;partnerID=40&amp;md5=e957783685421d15570cd946f84a23ca</t>
  </si>
  <si>
    <t>To investigate the effects of flooding periods on decomposition and carbon and nitrogen return of Phragmites australis litter, we examined the dynamic of P. australis litter decomposition in short-, medium-, and long-flooding coastal wetlands (HN, HS, and LL wetlands, respectively) in the Yellow River Delta, China. Our results showed that the percentage of dry weight loss of P. australis litter increased gradually as the decomposition proceeded and the percentage of dry weight loss was highest in LL wetland, followed by HS wetland, while the percentage of dry weight loss was lowest in HN wetland. Similar to the percentage of dry weight loss, the relative return indices (RRIs) of carbon of P. australis litter also increased with the increasing days of decomposition, following the order LL wetland &gt; HS wetland &gt; HN wetland. With the exception of little accumulation in both HS and HN wetlands in a certain period, the RRIs of nitrogen increased generally with increasing days of decomposition. However, the C/N ratios decreased rapidly in the first 40 days and retained steady after 40 days. The effects of flooding periods (short-, medium-, and long-flooding periods) on Phragmites australis litter decomposition and carbon and nitrogen return were analyzed in this work. The results showed that longer flooding periods, particularly tidal flooding can promote P. australis litter breakdown and C and N return. © 2015 WILEY-VCH Verlag GmbH &amp; Co. KGaA, Weinheim.</t>
  </si>
  <si>
    <t>2-s2.0-84924989986"</t>
  </si>
  <si>
    <t>10.2166/wcc.2014.141</t>
  </si>
  <si>
    <t>https://www.scopus.com/inward/record.uri?eid=2-s2.0-84957696134&amp;doi=10.2166%2fwcc.2014.141&amp;partnerID=40&amp;md5=cb7d843d07032066e0f179b9e2d1e8fe</t>
  </si>
  <si>
    <t>Deltas and coastal cities around the world face the need to adapt to uncertain future changes. We compared adaptation planning on flood risk management in four cases based on three main elements of adaptive planning: to prepare for a wide range of plausible future scenarios</t>
  </si>
  <si>
    <t>10.1002/2014WR016329</t>
  </si>
  <si>
    <t>https://www.scopus.com/inward/record.uri?eid=2-s2.0-84929614735&amp;doi=10.1002%2f2014WR016329&amp;partnerID=40&amp;md5=900a68c2a180063e62a133feb656467f</t>
  </si>
  <si>
    <t>A number of numerical modeling studies of transient sea level rise (SLR) and seawater intrusion (SI) in flux-controlled aquifer systems have reported an overshoot phenomenon, whereby the freshwater-saltwater interface temporarily extends further inland than the eventual steady state position. Recently, physical sand-tank modeling has shown overshoot to be a physical process. In this paper, we have carried out numerical modeling of SLR-SI to demonstrate that overshoot can occur at the field scale within unconfined aquifers. This result is contrary to previous conclusions drawn from a restricted number of cases. In addition, we show that SI overshoot is plausible under scenarios of gradual sea level rise that are consistent with conditions predicted by the Intergovernmental Panel for Climate Change. Overshoot was found to be largest in flux-controlled unconfined aquifers characterized by low freshwater flux, high specific yield, and large inland extent. These conditions result in longer timeframes for the aquifer to reach new steady state conditions following SLR, and the extended period prior to reequilibration of the groundwater flow field produces more extensive overshoot. © 2015. American Geophysical Union. All Rights Reserved.</t>
  </si>
  <si>
    <t>2-s2.0-84929614735"</t>
  </si>
  <si>
    <t>10.1371/journal.pone.0118571</t>
  </si>
  <si>
    <t>https://www.scopus.com/inward/record.uri?eid=2-s2.0-84924597611&amp;doi=10.1371%2fjournal.pone.0118571&amp;partnerID=40&amp;md5=a8820c2da57a4ed67157b7a392477176</t>
  </si>
  <si>
    <t>Coastal zones are exposed to a range of coastal hazards including sea-level rise with its related effects. At the same time, they are more densely populated than the hinterland and exhibit higher rates of population growth and urbanisation. As this trend is expected to continue into the future, we investigate how coastal populations will be affected by such impacts at global and regional scales by the years 2030 and 2060. Starting frombaseline population estimates for the year 2000, we assess future population change in the low-elevation coastal zone and trends in exposure to 100-year coastal floods based on four different sea-level and socio-economic scenarios. Our method accounts for differential growth of coastal areas against the land-locked hinterland and for trends of urbanisation and expansive urban growth, as currently observed, but does not explicitly consider possible displacement or out-migration due to factors such as sea-level rise.We combine spatially explicit estimates of the baseline population with demographic data in order to derive scenario-driven projections of coastal population development. Our scenarios show that the number of people living in the low-elevation coastal zone, as well as the number of people exposed to flooding from 1-in-100 year storm surge events, is highest in Asia. China, India, Bangladesh, Indonesia and Viet Nam are estimated to have the highest total coastal population exposure in the baseline year and this ranking is expected to remain largely unchanged in the future. However, Africa is expected to experience the highest rates of population growth and urbanisation in the coastal zone, particularly in Egypt and sub-Saharan countries in Western and Eastern Africa. The results highlight countries and regions with a high degree of exposure to coastal flooding and help identifying regions where policies and adaptive planning for building resilient coastal communities are not only desirable but essential. Furthermore, we identify needs for further research and scope for improvement in this kind of scenario-based exposure analysis.  Copyright: © 2015 Neumann et al.</t>
  </si>
  <si>
    <t>2-s2.0-84924597611"</t>
  </si>
  <si>
    <t>South African Journal of Geology</t>
  </si>
  <si>
    <t>10.2113/gssajg.118.1.71</t>
  </si>
  <si>
    <t>https://www.scopus.com/inward/record.uri?eid=2-s2.0-84946566504&amp;doi=10.2113%2fgssajg.118.1.71&amp;partnerID=40&amp;md5=c7114854ca0eed7d47a5c29792251d5d</t>
  </si>
  <si>
    <t>The assessment and prediction of mine water rebound has become increasingly important for the gold mining industry in South Africa. The cessation of mine dewatering has led to large volumes of contaminated discharges in the western parts of the Witwatersrand Basin. Towards the eastern extremity of the Basin, the detached Evander Goldfield has been mined since the early 1950s at depths of between 400 m and 2 000 m below ground level, while overlain by shallower coal mining operations. The hydrogeology of the Evander Basin can be categorised by a shallow weathered-fractured rock aquifer comprising of the glacial and deltaic sediments of the Karoo Supergroup, while the deeper historically confined fractured bedrock aquifer consists predominantly of quartzite with subordinate lava, shale and conglomerate of the Witwatersrand Supergroup. The deep Witwatersrand aquifer has been actively dewatered for the past 60 years at a peak rate of 60 ML/d in the mid-to-late 1960s. Modelling the impacts of mine dewatering and flooding on a regional scale as for the Evander Goldfield presents many challenges including the appropriate discretisation of mine voids and the accurate modelling of layered aquifer systems. To predict the environmental impacts of both the historic and future deep-mining operations at Shaft 6, a detailed conceptual model of the aquifer systems and a 3-dimensional model of the mine voids were incorporated into a numerical groundwater model. This model was used to simulate the dewatering and post-closure rebound of the water tables in the vicinity of the mine. This model could serve as an example for the successful modelling of mine dewatering and flooding scenarios for other parts of the Witwatersrand Basin. © 2015 March Geological Society of South Africa.</t>
  </si>
  <si>
    <t>2-s2.0-84946566504"</t>
  </si>
  <si>
    <t>10.1016/j.jag.2015.01.004</t>
  </si>
  <si>
    <t>https://www.scopus.com/inward/record.uri?eid=2-s2.0-84988910622&amp;doi=10.1016%2fj.jag.2015.01.004&amp;partnerID=40&amp;md5=95977609a1d1fbdca0513c26c1bb9315</t>
  </si>
  <si>
    <t>Glacial lakes show a wide range of turbidity. Owing to this, the normalized difference water indices (NDWIs) as proposed by many researchers, do not give appropriate results in case of glacial lakes. In addition, the sub-pixel proportion of water and use of different optical band combinations are also reported to produce varying results. In the wake of the changing climate and increasing GLOFs (glacial lake outburst floods), there is a need to utilize wide optical and thermal capabilities of Landsat 8 data for the automated detection of glacial lakes. In the present study, the optical and thermal bandwidths of Landsat 8 data were explored along with the terrain slope parameter derived from Advanced Spaceborne Thermal Emission and Reflection Radiometer Global Digital Elevation Model Version2 (ASTER GDEM V2), for detecting and mapping glacial lakes. The validation of the algorithm was performed using manually digitized and subsequently field corrected lake boundaries. The pre-existing NDWIs were also evaluated to determine the supremacy and the stability of the proposed algorithm for glacial lake detection. Two new parameters, LDI (lake detection index) and LF (lake fraction) were proposed to comment on the performances of the indices. The lake detection algorithm (LDA) performed best in case of both, mixed lake pixels and pure lake pixels with no false detections (LDI = 0.98) and very less areal underestimation (LF = 0.73). The coefficient of determination (R2) between areal extents of lake pixels, extracted using the LDA and the actual lake area, was very high (0.99). With understanding of the terrain conditions and slight threshold adjustments, this work can be replicated for any mountainous region of the world. © 2015 Elsevier B.V.</t>
  </si>
  <si>
    <t>2-s2.0-84988910622"</t>
  </si>
  <si>
    <t>10.2166/wcc.2015.094</t>
  </si>
  <si>
    <t>https://www.scopus.com/inward/record.uri?eid=2-s2.0-84957631051&amp;doi=10.2166%2fwcc.2015.094&amp;partnerID=40&amp;md5=1c793c28b9febdb082dae877baef2d72</t>
  </si>
  <si>
    <t>In many delta areas hydraulic structures are key elements in water management strategies for fresh water supply and flood risk management. Adaptation of delta areas to changing climatological and societal conditions will be in pace with the renovation and replacement of these hydraulic structures. Since hydraulic structures are prone to deterioration, their performance diminishes over time. Changes in society, the economy, and the physical environment can also alter the functionality of structures, or have an impact on their performance. Although faced with deterioration and exogenous changes, timing of replacement is essential because replacing too early leads to insufficient use of invested capital, while replacing too late leads to loss of societal benefits. This article explores the timing of replacement using adaptation tipping points. We indicate three drivers – deterioration, biophysical change, and socio-economic change – that determine the moment in time when replacement becomes necessary. Moreover, we conclude that for determining the moment of replacement, at the very least, the objectives, maintenance and operations of hydraulic structures need to be taken into account. This exploration is illustrated with the task of replacing seven hydraulic structures in the River Meuse. © IWA Publishing 2015.</t>
  </si>
  <si>
    <t>2-s2.0-84957631051"</t>
  </si>
  <si>
    <t>Austrian Journal of Earth Sciences</t>
  </si>
  <si>
    <t>10.17738/AJES.2015.0016</t>
  </si>
  <si>
    <t>https://www.scopus.com/inward/record.uri?eid=2-s2.0-85052309557&amp;doi=10.17738%2fAJES.2015.0016&amp;partnerID=40&amp;md5=aa107a3f59641ee58c4d4eef1674ce76</t>
  </si>
  <si>
    <t>The Horn of Africa is yields famous Miocene to Pleistocene fossil sites including hominid remains. The fossiliferous sediments were deposited in fluvio-deltaic to lacustrine environments. The basin development is mainly controlled by the tectonic development of the Afar Depression. The Galili research area represents a new fossil site in the southern Afar Depression, Ethiopia. The exposed sediments and volcanics have been organized in the 230 m thick Galili Formation that consists in ascending stratigraphic order of the Lasdanan, Dhidinley, Godiray, Lower and Upper Shabeley Laag, Dhagax and Caashacado Members. The individual members are defined by volcanic layers like basalts, ignimbrites and tuffs. Feldspars separated from several volcanic layers have been dated using40Ar/39Ar. The Lasdanan Member (&gt;5.37-4.43 Ma) comprises thick basalt flows with intervening fluvial and lacustrine deposits. The Dhidinley Member (4.43-3.94 Ma) is characterized by thick lacustrine mudstones erosively overlain by fluviodeltaic sandy sediments capped by a widespread grey ignimbrite. The Godiray Member (&lt;3.94) represents a short fluvial interval with adjacent floodplain mudstones and calcretes topped by a whitish lapilli tuff. The Shabeley Laag Member (&lt;3.94-&gt;3.87 Ma) has been subdivided into a lower and upper member. The lower Shabeley Laag Member starts with shallow lacustrine mudstones that are followed by bluish-grey fluvio-deltaic sandstones. A pillow basalt flow defines the upper boundary of the lower Shabeley Laag Member. The upper Shabeley Laag Member shows a similar development and is capped by thick basalt flows with intervening paleosol horizons. The stacked basalt flows are either overlain by the deposits of the Dhagax (&gt;2.335 Ma) or the Caashacado Member (&lt;2.335 Ma). Both members consist of shallow lacustrine mudstones, fluvial sandy deposits, tuffs and ignimbrite layers. The eruption of the thick basalt flows on top of the Shabeley Laag Member is considered as reason for the recorded pause in sedimentation. Abundant mammal fossils have been recovered from fluvio-deltaic sands and lacustrine-floodplain mudstones of the Lasdanan, Dhidinley and Shabeley Laag Members including several hominid fossils. The most prominent hominid fossil site within the Dhidinley Member yielded a well preserved hominid femur. The deposits of the Galili Formation are partly time-equivalent with the sediments of the Adu-Asa, Sagantole, Hadar and Busidima Formations exposed at Middle Awash, Gona, Hadar and Woranso-Mille. © 2018, Austrian Geological Society. All rights reserved.</t>
  </si>
  <si>
    <t>2-s2.0-85052309557"</t>
  </si>
  <si>
    <t>10.1016/j.wace.2015.01.001</t>
  </si>
  <si>
    <t>https://www.scopus.com/inward/record.uri?eid=2-s2.0-84928769366&amp;doi=10.1016%2fj.wace.2015.01.001&amp;partnerID=40&amp;md5=cedef598df88680c94624c4f2df276b6</t>
  </si>
  <si>
    <t>Hilsa (Tenualosa ilisha Hamilton) as a single species accounts 12% for more than half of the total marine catches. About 2% of the entire population of the country is directly or indirectly engaged with Hilsa fishing. Hilsa has a wide geographical distribution in Asia from the Persian Gulf to the South China Sea. Particularly large stocks are found in Upper Bay of Bengal (BoB) region sustained by the large river systems. The global Hilsa catch is reported 75% from Bangladesh water, 15% from Myanmar, 5% from India and 5% from other countries such as Thailand and Iran. Hilsa is a highly migratory and anadromous fish with the same migratory and same breeding behavior as that of Atlantic Salmon fish (Salmo sp.). Due to various anthropogenic activities, climate change effect, increased siltation and rising of the river basins, the migratory routes as well as spawning grounds of Hilsa are disturbed, displaced or even destroyed. During last two decades hilsa production from inland water declined about 20%, whereas marine water yield increased about 3 times. Major Hilsa to catch has been gradually shifted from inland to marine water. Hilsa fish ascend for spawning migration from sea into estuaries. It has been found that the major spawning areas have been shifted to the lower estuarine regions of Hatia, Sandwip and Bhola. At the spawning ground of Hilsa, the fishing level F=1.36yr-1, where in the river Meghna the Fmsy=0.6yr-1 and exploitation rate E=0.70 is (Emsy&gt;0.5). Oceanographic changes viz. high turbidity increased flooding, more tidal action and changes of salinity etc. have accelerated the change of migration patterns of spawning, growth and its production. Hilsa fecundity ranges from 1.5 to 2.0 million eggs for fish ranging in length from 35 to 50cm. Hilsa fecundity is declining in different areas due to climate change and the declining fecundity impacting greatly on Hilsa production. Due to shifting of the spawning ground at the lower zone, the survival rate of juvenile Hilsa is seriously affected. © 2015 .</t>
  </si>
  <si>
    <t>2-s2.0-84928769366"</t>
  </si>
  <si>
    <t>Journal of the Royal Society of Western Australia</t>
  </si>
  <si>
    <t>https://www.scopus.com/inward/record.uri?eid=2-s2.0-85064197826&amp;partnerID=40&amp;md5=5a9f94f065330ee88e16c3bc412daedc</t>
  </si>
  <si>
    <t>Phytoplankton are likely to be one of the main sources of autochthonous production in the Swan Canning estuary yet only limited published data are available on their photosynthetic dynamics. Here we describe the phytoplankton community composition at the mouth of the estuary and diurnal pattern of phytoplankton photosynthesis by applying chlorophyll fluorescence techniques. Diatoms were the dominant taxa (46–88% of the phytoplankton community) recorded throughout the sampling period although their dominance appeared to increase with the flood tide. A diurnal pattern in photosynthetic performance was apparent via chl-a fluorescence measurements. Nighttime deactivation of Calvin-Benson cycle enzymes was evidenced by low rETRmax and light saturation point (Ek</t>
  </si>
  <si>
    <t>10.1007/s11069-014-1427-6</t>
  </si>
  <si>
    <t>https://www.scopus.com/inward/record.uri?eid=2-s2.0-84920066669&amp;doi=10.1007%2fs11069-014-1427-6&amp;partnerID=40&amp;md5=791b24680a0525e321d288d83f7d029b</t>
  </si>
  <si>
    <t>The tsunami caused by the 2011 Tohoku earthquake devastated numerous cities, towns, and villages in coastal areas of Japan. The tsunami also left varied and numerous traces in onshore areas, which provide insights into the nature of tsunami inundation patterns and methods for mitigation of feature tsunami disasters. This paper focuses on tsunami traces that provide information on flow directions, such as groove marks on concrete and asphalt surfaces, and bent poles. Based on the distribution of directional traces, the flow patterns of the tsunami were estimated in the inundation area of the Taro District, Miyako City, northeast Japan. The inundation behavior is generally consistent with the hypothesis of run-up and backwash pattern suggested by previous investigations (run-up flows tend to be perpendicular to coastlines, whereas backwash flows tend to favor topographic lows). Examination of the relationship between the inundation behavior and the barriers constructed in Taro District shows that the barriers would slightly influence inundation behavior and implies that they may not be effective for reducing entire damage when tsunamis overflow barriers. Regional difference of the inundation behavior relates areal difference between the most destructed area and other areas. The difference of intensity of damages would be caused by that of land use in coastal areas. © 2014, Springer Science+Business Media Dordrecht.</t>
  </si>
  <si>
    <t>2-s2.0-84920066669"</t>
  </si>
  <si>
    <t>10.1080/17538947.2014.881427</t>
  </si>
  <si>
    <t>https://www.scopus.com/inward/record.uri?eid=2-s2.0-84921439741&amp;doi=10.1080%2f17538947.2014.881427&amp;partnerID=40&amp;md5=57958f37073e8e8f20a7cbed7713f890</t>
  </si>
  <si>
    <t>OpenStreetMap (OSM) currently represents the most popular project of Volunteered Geographic Information (VGI): geodata are collected by common people and made available for public use. Airborne Laser Scanning (ALS) enables the acquisition of high-resolution digital elevation models that are used for many applications. This study combines the advantages of both ALS and OSM, offering a promising new approach that enhances data quality and allows change detection: the mainly up-to-date 2D data of OSM can be combined with the high-resolution – but rarely updated – elevation information provided by ALS. This case study investigates building objects of OSM and ALS data of the city of Bregenz, Austria. Data quality of OSM is discerned by the comparison of building footprints using different true positive definitions (e.g. overlapping area). High quality of OSM data is revealed, yet also limitations of each method with respect to heterogeneous regions and building outlines are identified. For the first time, an up-to-date Digital Surface Model (DSM) combining 2D OSM and ALS data is achieved. A multitude of applications such as flood simulations and solar potential assessments can directly benefit from this data combination, since their value and reliability strongly depend on an up-to-date DSM. © 2014 Taylor &amp; Francis.</t>
  </si>
  <si>
    <t>2-s2.0-84921439741"</t>
  </si>
  <si>
    <t>Environmental Forum</t>
  </si>
  <si>
    <t>https://www.scopus.com/inward/record.uri?eid=2-s2.0-85020183674&amp;partnerID=40&amp;md5=389decaff2ad234e89fef587cb29282b</t>
  </si>
  <si>
    <t>The people of Bangladesh are suffering from the effects of global warming, serving as an early-warning indicator of its ultimate imprint on humanity as a whole. The land on which the Bangladeshis live is diminishing at an accelerated pace because of the adverse impacts of climate change on unsustainable development. One of the most critical adverse impacts of climate change is both the reduced quantity and poor quality of drinking and cooking water, which has direct health-related impacts. This is already affecting the health of many Bangladeshis across the country. Millions of poor people in low-lying areas of Bangladesh are the victims of increasingly severe floods and storms. Moreover, rising seas threaten the poor of small island developing states. As the UN moves clo</t>
  </si>
  <si>
    <t>2-s2.0-85020183674"</t>
  </si>
  <si>
    <t>10.1002/2014JC010325</t>
  </si>
  <si>
    <t>https://www.scopus.com/inward/record.uri?eid=2-s2.0-84948581096&amp;doi=10.1002%2f2014JC010325&amp;partnerID=40&amp;md5=9da9316f657dd4b56eccdee49071ce3d</t>
  </si>
  <si>
    <t>Stratification and destratification processes in a tidally energetic, weakly stratified inlet in the Wadden Sea (south eastern North Sea) are investigated in this modeling study. Observations of current velocity and vertical density structure show strain-induced periodic stratification for the southern shoal of the tidal channel. In contrast to this, in the nearby central region of the channel, increased stratification is already observed directly after full flood. To investigate the processes leading to this different behavior, a nested model system using GETM is set up and successfully validated against field data. The simulated density development along a cross section that includes both stations shows that cross-channel stratification is strongly increasing during flood, such that available potential energy is released in the deeper part of the channel during flood. An analysis of the potential energy anomaly budget confirms that the early onset of vertical stratification during flood at the deeper station is mainly controlled by the stratifying cross-channel straining of the density field. In contrast to this, in the shallow part of the channel, the relatively weak cross-channel straining is balanced by along-channel straining and vertical mixing. An idealized analytical model confirms the following hypothesis: The laterally convergent flood current advecting laterally stratified water masses from the shallow and wide ebb tidal delta to the deep and narrow tidal channel has the tendency to substantially increase cross-channel density gradients in the tidal channel. This process leads to stratification during flood. © 2014. American Geophysical Union. All Rights Reserved.</t>
  </si>
  <si>
    <t>2-s2.0-84948581096"</t>
  </si>
  <si>
    <t>10.1016/j.envsci.2014.01.012</t>
  </si>
  <si>
    <t>https://www.scopus.com/inward/record.uri?eid=2-s2.0-84918801605&amp;doi=10.1016%2fj.envsci.2014.01.012&amp;partnerID=40&amp;md5=0f66bf1fb7c01013f1efbdd5203ee593</t>
  </si>
  <si>
    <t>Due to its high biodiversity the Danube Delta, in Romania, is recognized as a UNESCO World Heritage Natural Site and it is listed as a RAMSAR wetland. The Danube River variable discharges have a great impact on the habitats and the overall ecological status of the delta. One of its most vulnerable parts, from both hydrodynamic and morphological point of view is the Sontea-Fortuna wetland located in the upstream of the Danube Delta. Sontea-Fortuna wetland is susceptible to both floods and droughts. On a long term, decision makers in the area need to know which measures to implement and how these will impact/improve the environment. This article presents how a 3D hydrodynamic model can be used as support for making sound decisions regarding the management of deltaic ecosystems. In particular, the methodology is applied on the Sontea-Fortuna wetland. The case study is part of a wider research in the area, which was developed within the EnviroGRIDS EU FP7 research project. EnviroGRIDS aimed at building capacity for scientists, decision-makers and the general public in the Black Sea Catchment, through collection and sharing of environmental data and models at the basin scale. © 2014 Elsevier Ltd.</t>
  </si>
  <si>
    <t>2-s2.0-84918801605"</t>
  </si>
  <si>
    <t>Proceedings of the Institution of Civil Engineers: Water Management</t>
  </si>
  <si>
    <t>10.1680/wama.13.00057</t>
  </si>
  <si>
    <t>https://www.scopus.com/inward/record.uri?eid=2-s2.0-84929676840&amp;doi=10.1680%2fwama.13.00057&amp;partnerID=40&amp;md5=15c47683892c2e98d6c39d15096aae02</t>
  </si>
  <si>
    <t>This paper introduces a new framework for habitat methodology to identify the environmental flow requirements for rivers using bioecological, hydrological and hydraulic criteria. Using the new method, the environmental flow of the Gorganrud River in Iran is calculated for all months of the year using the critical months’ ratio as a guide. Although the critical environmental flow is calculated as twice that calculated by the Tennant method, the annual average outflow to the sea is only 1% more. Moreover, there are the same benefits for the two methods, including maintaining flows to the estuary throughout the year and flood risk management around 30% of the time. However, the probability of environmental flow demand in critical months is increased from 67% in the Tennant method to 100% using the new method. There are also positive significant effects on water basin management, such as an emphasis on the maintenance of environmental aspects, specifically in the spring and summer months, in comparison with the Tennant method. The Tennant method is therefore not recommended for use in defining environmental flow in the Gorganrud basin or in the north of Iran. © ICE Publishing: All rights reserved.</t>
  </si>
  <si>
    <t>2-s2.0-84929676840"</t>
  </si>
  <si>
    <t>10.1016/j.catena.2015.01.008</t>
  </si>
  <si>
    <t>https://www.scopus.com/inward/record.uri?eid=2-s2.0-84921056742&amp;doi=10.1016%2fj.catena.2015.01.008&amp;partnerID=40&amp;md5=2267410ba0da3e064bba8f0a3adf3895</t>
  </si>
  <si>
    <t>Soil salinization is a relatively common form of soil degradation in Europe threatening coastal areas and fertile lowlands and altering the long-term interplay between natural and human factors at the local scale. While rural areas with degraded soils are often characterized by poverty, unemployment and subsidence agriculture, less information is available on the relationship between soil salinization and various socioeconomic profiles typically observed in Mediterranean Europe. Using a large set of territorial indicators made available at the municipal scale in Italy, the present study explores the spatial correlation between an index of vulnerability to soil salinization and six socioeconomic domains (population structure/dynamics and human settlements, labor market and human capital, economic specialization and competitiveness, quality of life, agriculture and rural development, landscape and environment). An exploratory data analysis was carried out to derive a socioeconomic profile of the municipalities with low and high vulnerability to soil salinization. Results indicate that the socioeconomic profile of vulnerable areas is characterized by specific rural development variables, income patterns and socio-demographic structure. Young population, density of bank deposits, crime intensity, high density of workers, and a land-use structure dominated by irrigated crop and discontinuous built-up areas with a lower per-worker crop surface are the indicators contributing the most to determine the profile of rural communities in areas vulnerable to soil salinization. An in-depth knowledge of the socioeconomic context and socio-environmental relationships on a local scale may contribute to design effective policies of soil conservation and sustainable land management strategies. © 2015 Elsevier B.V.</t>
  </si>
  <si>
    <t>2-s2.0-84921056742"</t>
  </si>
  <si>
    <t>10.5194/tc-9-565-2015</t>
  </si>
  <si>
    <t>https://www.scopus.com/inward/record.uri?eid=2-s2.0-84925346803&amp;doi=10.5194%2ftc-9-565-2015&amp;partnerID=40&amp;md5=4e6381a7ed7cd80d22d1237b8447acbc</t>
  </si>
  <si>
    <t>Area and volume changes and the average geodetic mass balance of the non-surging outlet glaciers of the southeast Vatnajökull ice cap, Iceland, during different time periods between ∼ 1890 and 2010, are derived from a multi-temporal glacier inventory. A series of digital elevation models (DEMs) (∼ 1890, 1904, 1936, 1945, 1989, 2002, 2010) are compiled from glacial geomorphological features, historical photographs, maps, aerial images, DGPS measurements and a lidar survey. Given the mapped basal topography, we estimate volume changes since the end of the Little Ice Age (LIA) ∼ 1890. The variable volume loss of the outlets to similar climate forcing is related to their different hypsometry, basal topography, and the presence of proglacial lakes. In the post-LIA period, the glacierized area decreased by 164 km2 (or from 1014 to 851 km2) and the glaciers had lost 10-30 % of their ∼ 1890 area by 2010 (anywhere from 3 to 36 km2). The glacier surface lowered by 150-270 m near the terminus and the outlet glaciers collectively lost 60 ± 8 km3 of ice, which is equivalent to 0.15 ± 0.02 mm of sea-level rise. The volume loss of individual glaciers was in the range of 15-50%, corresponding to a geodetic mass balance between -0.70 and -0.32 m w.e. a-1. The annual rate of mass change during the post-LIA period was most negative in 2002-2010, on average -1.34 ± 0.12 m w.e. a-1, which is among the most negative mass balance values recorded worldwide in the early 21st century. © 2015 Author(s).</t>
  </si>
  <si>
    <t>2-s2.0-84925346803"</t>
  </si>
  <si>
    <t>10.5194/tc-9-151-2015</t>
  </si>
  <si>
    <t>https://www.scopus.com/inward/record.uri?eid=2-s2.0-84921827312&amp;doi=10.5194%2ftc-9-151-2015&amp;partnerID=40&amp;md5=935aedea6d8ca374f655a79eb857c57b</t>
  </si>
  <si>
    <t>Observations of coastline retreat using contemporary very high resolution satellite and historical aerial imagery were compared to measurements of open water fraction, summer air temperature, and wind. We analysed seasonal and interannual variations of thawing-induced cliff top retreat (thermo-denudation) and marine abrasion (thermo-abrasion) on Muostakh Island in the southern central Laptev Sea. Geomorphometric analysis revealed that total ground ice content on Muostakh is made up of equal amounts of intrasedimentary and macro ground ice and sums up to 87%, rendering the island particularly susceptible to erosion along the coast, resulting in land loss. Based on topographic reference measurements during field campaigns, we generated digital elevation models using stereophotogrammetry, in order to block-adjust and orthorectify aerial photographs from 1951 and GeoEye, QuickBird, WorldView-1, and WorldView-2 imagery from 2010 to 2013 for change detection. Using sea ice concentration data from the Special Sensor Microwave Imager (SSM/I) and air temperature time series from nearby Tiksi, we calculated the seasonal duration available for thermo-abrasion, expressed as open water days, and for thermo-denudation, based on the number of days with positive mean daily temperatures. Seasonal dynamics of cliff top retreat revealed rapid thermo-denudation rates of -10.2 ± 4.5 ma-1 in mid-summer and thermo-abrasion rates along the coastline of -3.4 ± 2.7 ma-1 on average during the 2010-2013 observation period, currently almost twice as rapid as the mean rate of -1.8 ± 1.3 ma-1 since 1951. Our results showed a close relationship between mean summer air temperature and coastal thermo-erosion rates, in agreement with observations made for various permafrost coastlines different to the East Siberian Ice Complex coasts elsewhere in the Arctic. Seasonality of coastline retreat and interannual variations of environmental factors suggest that an increasing length of thermo-denudation and thermo-abrasion process simultaneity favours greater coastal erosion. Coastal thermo-erosion has reduced the island's area by 0.9 km2 (24%) over the past 62 years but shrank its volume by 28 × 106 m3 (40%), not least because of permafrost thaw subsidence, with the most pronounced with rates of ≥- 11 cm a-1 on yedoma uplands near the island's rapidly eroding northern cape. Recent acceleration in both will halve Muostakh Island's lifetime to less than a century. © Author(s) 2015.</t>
  </si>
  <si>
    <t>2-s2.0-84921827312"</t>
  </si>
  <si>
    <t>https://www.scopus.com/inward/record.uri?eid=2-s2.0-84978998640&amp;partnerID=40&amp;md5=5298b4b97be2e3f48d1afa6ef4e61176</t>
  </si>
  <si>
    <t>Capakcur stream watershed located in the southwest of Bingol city, in Turkey, covers a 106 km2 area. The watershed with higher slope degrees faces severe soil erosion due to vegetation destruction, lithological and climate properties, except for a limited area located in the west of the watershed. Settlements in the watershed are usually take place near the valley base due to the rugged surface, which may generate costly land-slide events. To describe the basin with high risks and to create sufficient preventative steps, erosion sensitivity maps were obtained using a statistical analysis by the superposition principle. Digital Elevation Model (DEM) was acquired from the digitization of topographic map of the watershed, then the used for calculations of slope degrees. The erosion risk maps were attained by using the parameters of the slope degree, precipitation, Normalized Difference Vegetation Index (NDVI), stream density and soil texture calculated from soil brightness index (SBI) by applying Tasseled Cap transformation to satellite images. During the calculation of the map risks, each parameter was initially divided into subclasses and given a weight point according to the degree of influence upon the erosion, the sensitivity map was then created by adding each parameter map. Results from the sensitivity map indicate that 50% of the watershed is under high and 15% is under severe erosion risk while only 11% of the watershed is under low or very low erosion risk. The rugged structure of the watershed has necessitated the establishment of the settlement to the valley bed. Materials transported by rivers in the watershed where the erosion is severe, are deposited in the stream bed. The reduction in carrying capacity of streams causes floods affecting settlements. The sensitivity maps clearly indicate that the precautionary steps such as protection of the vegetation cover, plantation or relocating settlements away from the valley base will be immediately undertaken for further soil erosion in the watershed.</t>
  </si>
  <si>
    <t>2-s2.0-84978998640"</t>
  </si>
  <si>
    <t>10.1016/j.scitotenv.2014.06.111</t>
  </si>
  <si>
    <t>https://www.scopus.com/inward/record.uri?eid=2-s2.0-84909643240&amp;doi=10.1016%2fj.scitotenv.2014.06.111&amp;partnerID=40&amp;md5=c46622b5f4f7c230d641b704f9aaca68</t>
  </si>
  <si>
    <t>CLImate-induced changes on WAter and SECurity (CLIWASEC) was a cluster of three complementary EC-FP7 projects assessing climate-change impacts throughout the Mediterranean on: hydrological cycles (CLIMB - CLimate-Induced changes on the hydrology of Mediterranean Basins)</t>
  </si>
  <si>
    <t>10.1016/j.ejrs.2015.06.006</t>
  </si>
  <si>
    <t>https://www.scopus.com/inward/record.uri?eid=2-s2.0-84955636028&amp;doi=10.1016%2fj.ejrs.2015.06.006&amp;partnerID=40&amp;md5=21ad965933afd604ae3904ebefb072db</t>
  </si>
  <si>
    <t>The socio-economic development in Egypt is based on land resources. Recently, the Egyptian government is interested in developing low desert zone areas which are located between the recent Nile flood plain and the limestone plateau, from the east and west sides, and represent an important source of aggregate materials. Therefore, this study was carried out to investigate the potentiality of El-Galaba basin soils which are located in the western part of the Aswan Governorate and are characterized by Wadi El-Kubbaniya for the horizontal agricultural expansion and their optimum agricultural use. The investigated area was remotely sensed to identify the landscape and its land resources. Terrain units were identified using draped Landsat 8 satellite image over Digital Terrain Model (DTM) to express the landscape and the associated soil mapping units. Fifteen mapping units were identified and grouped. Land capability evaluation was performed using Cervatana capability model. The results of capability modeling revealed about 3.33% of land with good use capability, 76.06% land with moderate use capability, and 0.08% marginal or non-productive land. The main capability limitations were soil and erosion risks. The Almagra model was used to produce the optimum cropping pattern and limitations of soil units. Matching the crop requirements with soil characteristics, optimum cropping pattern was obtained for wheat, corn, melon, potatoes, sunflower, sugar beet, Alfalfa, peach, citrus, and olive. The results of the study revealed the potentiality of El-Galaba basin for agricultural uses. © 2015 National Authority for Remote Sensing and Space Sciences. © 2015 National Authority for Remote Sensing and Space Sciences. Production and hosting by Elsevier B.V.</t>
  </si>
  <si>
    <t>2-s2.0-84955636028"</t>
  </si>
  <si>
    <t>10.1016/j.geomorph.2014.11.019</t>
  </si>
  <si>
    <t>https://www.scopus.com/inward/record.uri?eid=2-s2.0-85027917406&amp;doi=10.1016%2fj.geomorph.2014.11.019&amp;partnerID=40&amp;md5=86c14f6a39189966211e134418218050</t>
  </si>
  <si>
    <t>Erosion surfaces at the top of mountain ranges have suggested to geomorphologists that the Earth's crust can undergo rapid pulses of uplift during which rates of denudation fail to balance with rates of crustal uplift, thereby preserving much of the initial plateau topography as it rises to greater elevations. Here we analyze a regionally extensive population of mappable planar surfaces, which crown several major, tectonically active sierras of the inner south-eastern Betic Cordillera, SE Spain. Based on a synthesis of long-term landscape evolution involving landform reconnaissance, DEM-based morphometric analysis, structural geology, sediment provenance analysis, and field stratigraphy, we conclude that the summit surfaces are a mosaic of discrete, post-orogenic erosion surfaces that each developed in relation to Mediterranean marine base levels at a time when the sierras formed a series of low-elevation islands. They are not, therefore, fragments of a once regionally continuous paleoplain. The summit surfaces were partly the result of shallow-angle detachment faulting during the middle Miocene in response to lithospheric slab detachment. Where evidence exists that the resulting low-relief topography was reworked by marine abrasion during the Tortonian sea-level rise, the terminal age of the surfaces is latest Miocene. Age-bracketing based on stratigraphic correlations among the many depocentres of the region and on published thermochronological data indicates that some erosion surfaces locally formed in less than 3 million years (~. 8. Ma-5.7. Ma). They were subsequently uplifted to their current elevations (1.7 to. &gt;. 2. km) by Pliocene to Quaternary neotectonics in at least two major pulses. © 2014 Elsevier B.V.</t>
  </si>
  <si>
    <t>2-s2.0-85027917406"</t>
  </si>
  <si>
    <t>10.1007/s11069-014-1417-8</t>
  </si>
  <si>
    <t>https://www.scopus.com/inward/record.uri?eid=2-s2.0-84920071085&amp;doi=10.1007%2fs11069-014-1417-8&amp;partnerID=40&amp;md5=adb8bc369cc144ce3c9cb5a766f68f2b</t>
  </si>
  <si>
    <t>Documented and forecasted trends in rising sea levels and changes in storminess patterns have the potential to increase the frequency, magnitude, and spatial extent of coastal change hazards. To develop realistic adaptation strategies, coastal planners need information about coastal change hazards that recognizes the dynamic temporal and spatial scales of beach morphology, the climate controls on coastal change hazards, and the uncertainties surrounding the drivers and impacts of climate change. We present a probabilistic approach for quantifying and mapping coastal change hazards that incorporates the uncertainty associated with both climate change and morphological variability. To demonstrate the approach, coastal change hazard zones of arbitrary confidence levels are developed for the Tillamook County (State of Oregon, USA) coastline using a suite of simple models and a range of possible climate futures related to wave climate, sea-level rise projections, and the frequency of major El Niño events. Extreme total water levels are more influenced by wave height variability, whereas the magnitude of erosion is more influenced by sea-level rise scenarios. Morphological variability has a stronger influence on the width of coastal hazard zones than the uncertainty associated with the range of climate change scenarios. © 2014, The Author(s).</t>
  </si>
  <si>
    <t>2-s2.0-84920071085"</t>
  </si>
  <si>
    <t>10.1016/j.geomorph.2014.12.015</t>
  </si>
  <si>
    <t>https://www.scopus.com/inward/record.uri?eid=2-s2.0-84921022641&amp;doi=10.1016%2fj.geomorph.2014.12.015&amp;partnerID=40&amp;md5=91c24cbeee4801ef7cad3fbf55a51c93</t>
  </si>
  <si>
    <t>The rivers of the Gaspé Peninsula, Québec (Canada), a coastal drainage system of the St. Lawrence River, receive and transport vast quantities of large wood. The rapid rate of channel shifting caused by high-energy flows and noncohesive banks allows wood recruitment that in turn greatly influences river dynamics. The delta of the Saint-Jean River has accumulated wood since 1960, leading to frequent avulsions over that time period. The wood raft there is now more than 3-km in length, which is unusual but natural. This jam configuration allows a unique opportunity to estimate a wood budget at the scale of a long river corridor and to better understand the dynamics of large wood (LW) in rivers. A wood budget includes the evaluation of wood volumes (i) produced by bank erosion (input), (ii) still in transit in the river corridor (deposited on sand bars or channel edges), and (iii) accumulated in the delta (output). The budget is based on an analysis of aerial photos dating back to 1963 as well as surveys carried out in 2010, all of which were used to locate and describe large wood accumulations along a 60-km river section. The main results of this paper show that the raft formation in the delta is dynamic and can be massive, but it is a natural process. Considering the estimated wood volume trapped in the delta from 1963 to 2013 (≈25,000m3), two important points are revealed by the quantification of the wood recruitment volume from 1963 to 2004 (≈27,000m3±400m3) and of the wood volume stored on the bars in 2010 (≈5950m3). First, the recruitment of large wood from lateral migration for the 40-year period can account for the volume of large wood in the delta and in transit. Second, the excess wood volume produced by lateral migration and avulsion represents a minimum estimation of the large wood trapped on the floodplain owing to wood volume that has decomposed and large wood that exited the river system. Rafts are major trapping structures that provide good potential sites to monitor wood delivery from the catchment through time and allow estimations of LW residence time while in transit. These results contribute to understanding the interannual large wood dynamics in the Saint-Jean River and can assist river managers in determining sustainable solutions for coping with the issue of wood rafts in rivers. © 2014 Elsevier B.V.</t>
  </si>
  <si>
    <t>2-s2.0-84921022641"</t>
  </si>
  <si>
    <t>10.7480/rius.3.840</t>
  </si>
  <si>
    <t>https://www.scopus.com/inward/record.uri?eid=2-s2.0-84964678962&amp;doi=10.7480%2frius.3.840&amp;partnerID=40&amp;md5=424244936fac86fe9942cd156028ed9b</t>
  </si>
  <si>
    <t>Coastal regions throughout the world are subject to flood risk challenges. This paper concentrates on the Netherlands</t>
  </si>
  <si>
    <t>https://www.scopus.com/inward/record.uri?eid=2-s2.0-84961792766&amp;partnerID=40&amp;md5=f957d12be4d2d2b89c58e6183ae97560</t>
  </si>
  <si>
    <t>This research examines the restoration of Southern Golden Gate Estates, a failed subdivision located within the western Everglades ecosystem. The subdivision was one of the first projects to be implemented within the Comprehensive Everglades Restoration Plan (CERP). CERP was approved in the Water Resources Development Act of 2000 and includes 60 elements (different projects) designed to restore, protect and preserve the greater Everglades ecosystem. Southern Golden Gates Estates Restoration was renamed the Picayune Strand Restoration, one of the first and most significant projects to be included within CERP. The Picayune Strand is a strategically located tract of land that is surrounded by several important refuges, preserves and parks. Its central location among several nature preserves and wildlife areas reflects its importance to the ecosystem connectivity of the entire region. The original developer installed a network of roads and constructed four large canals designed to rapidly remove surface water. The restoration will remove the roads, plug the canals, and construct pump stations to provide flood protection for residents living north of the restoration site. Some of the most important benefits of the restoration include improved aquifer recharge, reduced over-drainage, and a major reduction in point discharge of freshwater into the coastal estuaries to the south.</t>
  </si>
  <si>
    <t>2-s2.0-84961792766"</t>
  </si>
  <si>
    <t>10.1080/10106049.2014.966159</t>
  </si>
  <si>
    <t>https://www.scopus.com/inward/record.uri?eid=2-s2.0-84919845991&amp;doi=10.1080%2f10106049.2014.966159&amp;partnerID=40&amp;md5=1db1204d7a38feba0c267ae1e904d051</t>
  </si>
  <si>
    <t>One of the most prominent geomorphological features in the Western Desert of Egypt is the occurrence of the Qattara Depression (20,800 km2or 2% of Egypt’s area), which has the deepest point in Africa. Topographic analysis of the depression was carried out using fine resolution digital elevation models acquired from the Advanced Spaceborne Thermal Emission and Reflection Radiometer-Global Digital Elevation Model (ASTER-GDEM) in order to assess the capacity of the depression. Results showed that the lower point in the depression occurs at −136 m and its capacity at the sea level is 1340 billion m3, which equals 10 times the live storage capacity of the Lake Nasser behind the Aswan High Dam. Although the depression has the aptitude to be a reservoir for any augmentation in the sea level, detailed environmental impact assessment studies should be implemented to address geologic, climatic, biologic as well as socio-economic impacts. © 2014, © 2014 Taylor &amp; Francis.</t>
  </si>
  <si>
    <t>2-s2.0-84919845991"</t>
  </si>
  <si>
    <t>10.1016/j.envsci.2014.07.014</t>
  </si>
  <si>
    <t>https://www.scopus.com/inward/record.uri?eid=2-s2.0-84918768099&amp;doi=10.1016%2fj.envsci.2014.07.014&amp;partnerID=40&amp;md5=28fd1165cfcb071c7f28ef9984a40ff1</t>
  </si>
  <si>
    <t>Integrated Coastal Zone Management (ICZM) aims to promote sustainable management of coastal zones based on ecosystem and holistic management approaches. In this context, policies have to consider the complex interactions that influence the fragile equilibrium of coastal ecosystems. Beaches represent both valuable and vulnerable natural resources because of the various ecosystem services they provide and their sensitivity to climate change and sea level rise.We present the first comprehensive digital record of all Black Sea beaches and provide a rapid assessment of their erosion risk under different scenarios of sea level rise. Through the digitisation of freely available remote-sensed images on the web, we provide broad information on the spatial characteristics and other attributes of all Black Sea beaches (e.g. photo-based visual estimation of the sediment type, presence of coastal defences, urban development). These data have been assembled and stored in full Spatial Data Infrastructure (SDI) - allowing spatial queries, visualisation and data sharing - and are therefore particularly interesting to feed/supply web-GIS portals (coastal atlases) for visualisation purpose, spatial queries or spatial indicators calculations.The resulting Black Sea beaches database contains 1228 beaches, with a total coastline length of 2042km with an area of 224km2. The majority of the Black Sea beaches have been found to have small widths (61% have maximum widths less than 50m), whereas 47% of all beaches presented coastal defence schemes, suggesting an already serious beach erosion problem.The erosion risk of the Black Sea beaches was assessed through the comparison of their maximum widths with estimations of the sea level rise-induced retreat by an ensemble of six 1-D analytical and numerical morphodynamic models. Following more than 17,000 experiments using different combinations of wave conditions, beach sediment textures and slopes and 11 scenarios of sea level rise (up to 2. m), the means (best fits) of the lowest and highest projections by the model ensemble were estimated</t>
  </si>
  <si>
    <t>10.1007/s13157-014-0597-z</t>
  </si>
  <si>
    <t>https://www.scopus.com/inward/record.uri?eid=2-s2.0-84925507884&amp;doi=10.1007%2fs13157-014-0597-z&amp;partnerID=40&amp;md5=6555f06c521be71eab650dac1da4f259</t>
  </si>
  <si>
    <t>A long-term data base (2000–2009) was used to evaluate tidal floodwater salinity and the resulting soil biogeochemical setting (methanogenic or sulfate reducing) at 54 substations, which included a variety of marsh and swamp community types along the freshwater/saltwater boundary of the Cape Fear River/Estuary, North Carolina. During this decade, a variety of extreme climatic events, i.e. floods and droughts, occurred, but overall data reflected long-term, natural conditions. At sites flooded by &gt;1 ppt saline water more than 25 % of the time, wetlands consisted of varying types of tidal marsh. Temperate, tidal swamps were present at sites flooded by this level of saline water less than 12 % of high tides. Flooding &gt;25 % of tides by &gt;1 ppt seawater converted soils in those wetlands from methanogenic into sulfate reducing conditions &gt;50 % of the time. The point along an estuarine gradient where adjacent wetlands are flooded by &gt;1 ppt saline water less than 25 %, but more than 12 % is the zone of transition. The conversion of a tidal swamp to tidal marsh is not only caused by salt water itself, but by the sulfate constituent in seawater. Once a sufficient concentration of sulfate enters soils, sulfate reducing bacteria become active reducing the sulfate into hydrogen sulfide, which is toxic to any wetland plant species not adapted to this toxic substance. The incidence of flooding by high tides containing &gt;1 ppt salinity is an accurate predictor of functional change in adjacent wetlands. Wetlands receiving intermediate levels of saline water, i.e. 12-25 % flooding with 1 ppt floodwater, were in some state of transition from swamp to marsh. Once trees in tidal swamps are killed, the wetland moves inevitably towards a tidal marsh dominated by species of herbaceous vascular plants with varying tolerance to saline water. © 2015, Society of Wetland Scientists.</t>
  </si>
  <si>
    <t>2-s2.0-84925507884"</t>
  </si>
  <si>
    <t>10.1007/s11368-014-1041-y</t>
  </si>
  <si>
    <t>https://www.scopus.com/inward/record.uri?eid=2-s2.0-84925493191&amp;doi=10.1007%2fs11368-014-1041-y&amp;partnerID=40&amp;md5=87d14b5ff84271885f5b515a099f72d7</t>
  </si>
  <si>
    <t>Purpose: This work evaluated the response of two saltmarsh plants, Juncus maritimus and Phragmites australis, to short- and long-term exposure to sediment contaminated with Cd. Materials and methods: Plants (including roots and associated sediment) were placed in vessels in a greenhouse with tidal simulation. Vessels were spiked with Cd, with Cd solution in contact with the sediment/root plant system for 6 h. Half of the vessels were then dismantled whereas the other set was maintained for 2 months. Short-term Cd exposure (6 h) simulated a flood situation with metal in a more bioavailable form. Long-term exposure simulated what normally happens in the field after contamination, the metal being progressively incorporated into the sediment and therefore less available. Results and discussion: Both plants were able to take up considerable amounts of Cd in their belowground tissues in a short-time period</t>
  </si>
  <si>
    <t>10.1007/s11069-014-1476-x</t>
  </si>
  <si>
    <t>https://www.scopus.com/inward/record.uri?eid=2-s2.0-84925487009&amp;doi=10.1007%2fs11069-014-1476-x&amp;partnerID=40&amp;md5=2eeded033410a5300cca3f173537daa8</t>
  </si>
  <si>
    <t>Tsunami inundation mapping is the first step in the development of effective evacuation plans for communities at risk. These maps also provide bases for land use planners in communities to reduce risk by locating critical facilities out of the potential tsunami flood plain. The Makran subduction zone, located off the Indian Ocean coasts of Iran and Pakistan, is an important tsunamigenic zone for the region. On the 27th November, 1945, it was the site of a major earthquake with a moment magnitude of 8.1 and killed about 4,000 people. This event is a proof that Makran coastal areas are unsafe since the tsunami is quite probable. The objective of this study was providing tsunami inundation and hazard maps in Chabahar bay which is located in South East of Iran and the northern coast of Oman Sea. Three different source magnitude scenarios along Makran subduction zone are considered and for each scenario, numerical modeling of tsunami propagation is performed using MIKE 21 FM numerical software. Because the Makran subduction zone is very close to the Chabahar bay, unstructured triangular mesh with a higher level of refinement closer to the area of interest was used so that the tsunami was not numerically dissipated. After analyzing the data obtained from the results, inundation maps were produced, and by combining these maps, tsunami hazard map was provided for the bay. Tsunami wave amplification has been observed mainly in the outer coasts of the bay where the uplifted rocky shore experience up to 18 m wave height. Chabahar bay omega form and two eastern and western headlands cause a considerable depreciation in tsunami wave. Longer distance of coasts within the bay is another reason of tsunami depreciation inside the bay. Based on the generated inundation and hazard maps, two flood zones are specified. The first zone associated with no inundation or low inundation on cliffy shores, and the second zone would experience extensive inundation on the coast of kenarak areas, areas with sandy beaches and gentle slope. © 2014, Springer Science+Business Media Dordrecht.</t>
  </si>
  <si>
    <t>2-s2.0-84925487009"</t>
  </si>
  <si>
    <t>Territoire en Mouvement</t>
  </si>
  <si>
    <t>https://www.scopus.com/inward/record.uri?eid=2-s2.0-84982190195&amp;partnerID=40&amp;md5=eb9d5c4bba82dd896ddda3e2d409a49b</t>
  </si>
  <si>
    <t>Integrated water management of the Rhone delta is facing a considerable set of issues: agricultural inputs draining directly into a national nature reserve, the management of natural risks (floods) and of the global change (sea-level rise), a transit space of migratory species threatened of extinction (eels), safeguarding economic activities (fishing)? All those issues involve the management of the deltaic, central lagoons, the &amp;quot</t>
  </si>
  <si>
    <t>10.1007/s12040-015-0556-y</t>
  </si>
  <si>
    <t>https://www.scopus.com/inward/record.uri?eid=2-s2.0-84934873811&amp;doi=10.1007%2fs12040-015-0556-y&amp;partnerID=40&amp;md5=109e8145d40fe64c6e9682dde7f38a76</t>
  </si>
  <si>
    <t>Hazards associated with tropical cyclones (TCs) are long-duration rotatory high velocity winds, very heavy rain, and storm tide. India has a coastline of about 7516 km of which 5400 km is along the mainland. The entire coast is affected by cyclones with varying frequency and intensity. Thus classification of TC hazard proneness of the coastal districts is very essential for planning and preparedness aspects of management of TCs. So, an attempt has been made to classify TC hazard proneness of districts by adopting a hazard criteria based on frequency and intensity of cyclone, wind strength, probable maximum precipitation, and probable maximum storm surge. Ninety-six districts including 72 districts touching the coast and 24 districts not touching the coast, but lying within 100 km from the coast have been classified based on their proneness. Out of 96 districts, 12 are very highly prone, 41 are highly prone, 30 are moderately prone, and the remaining 13 districts are less prone. This classification of coastal districts based on hazard may be considered for all the required purposes including coastal zone management and planning. However, the vulnerability of the place has not been taken into consideration. Therefore, composite cyclone risk of a district, which is the product of hazard and vulnerability, needs to be assessed separately through a detailed study. © Indian Academy of Sciences.</t>
  </si>
  <si>
    <t>2-s2.0-84934873811"</t>
  </si>
  <si>
    <t>10.1007/s10113-014-0638-4</t>
  </si>
  <si>
    <t>https://www.scopus.com/inward/record.uri?eid=2-s2.0-84939873312&amp;doi=10.1007%2fs10113-014-0638-4&amp;partnerID=40&amp;md5=61f7af0d9914821afefa405c6351a3b3</t>
  </si>
  <si>
    <t>The analysis of landscape pattern changes is of significant importance for understanding spatial ecological dynamics and maintaining sustainable development, especially in wetland ecosystems, which are experiencing indirect human disturbances in arid Central Asia. This study attempted to examine the temporal and spatial dynamics of landscape patterns and to simulate their trends in the Ili River delta of Kazakhstan through quantitative analysis and a cellular automata (CA)-Markov model. This study also sought to examine the effectiveness of using the CA-Markov model for investigating the dynamics of the wetland landscape pattern. The total wetland area, including the river, lake, marsh, and floodplain areas, and the area of sandy land have remained steady, while that of desert grassland has decreased slightly, and shrublands have increased slightly from approximately 1978 to 2007. However, the wetland and shrubland areas exhibited a trend of increasing by 18.6 and 10.3 %, respectively, from 1990 to 2007, while the desert grassland and sandy land areas presented the opposite trend, decreasing by 30.3 and 24.3 %, respectively. The landscape patterns predicted for the year 2020 using probabilistic transfer matrixes for 1990–2007 (Scenario A) and 1990–1998 (Scenario B), respectively, indicated that the predicted landscape for 2020 tends to improve based on Scenario A, but tends to degrade based on Scenario B. However, the overall Kappa coefficient of 0.754 for the 2020 predicted landscapes based on Scenarios A and B indicates that the differences in the predicted landscapes are not distinct. This research indicates that the applied CA-Markov model is effective for the simulation and prediction of spatial patterns in natural or less disturbed landscapes and is valuable for developing land management strategies and reasonably exploiting the wetland resources of the Ili River delta. © 2014, Springer-Verlag Berlin Heidelberg.</t>
  </si>
  <si>
    <t>2-s2.0-84939873312"</t>
  </si>
  <si>
    <t>10.1038/nclimate2474</t>
  </si>
  <si>
    <t>https://www.scopus.com/inward/record.uri?eid=2-s2.0-84922967755&amp;doi=10.1038%2fnclimate2474&amp;partnerID=40&amp;md5=2d354d2419ce340e064ce06c117628b0</t>
  </si>
  <si>
    <t>Barrier islands represent about 10% of the world's coastline, sustain rich ecosystems, host valuable infrastructure and protect mainland coasts from storms. Future climate-change-induced increases in the intensity and frequency of major hurricanes and accelerations in sea-level rise will have a significant impact on barrier islands-leading to increased coastal hazards and flooding-yet our understanding of island response to external drivers remains limited. Here, we find that island response is intrinsically bistable and controlled by previously unrecognized dynamics: the competing, and quantifiable, effects of storm erosion, sea-level rise, and the aeolian and biological processes that enable and drive dune recovery. When the biophysical processes driving dune recovery dominate, islands tend to be high in elevation and vulnerability to storms is minimized. Alternatively, when the effects of storm erosion dominate, islands may become trapped in a perpetual state of low elevation and maximum vulnerability to storms, even under mild storm conditions. When sea-level rise dominates, islands become unstable and face possible disintegration. This quantification of barrier island dynamics is supported by data from the Virginia Barrier Islands, USA and provides a broader context for considering island response to climate change and the likelihood of potentially abrupt transitions in island state. © 2015 Macmillan Publishers Limited. All rights reserved.</t>
  </si>
  <si>
    <t>2-s2.0-84922967755"</t>
  </si>
  <si>
    <t>10.1016/j.jenvman.2014.06.010</t>
  </si>
  <si>
    <t>https://www.scopus.com/inward/record.uri?eid=2-s2.0-84918558387&amp;doi=10.1016%2fj.jenvman.2014.06.010&amp;partnerID=40&amp;md5=8d3731bd8da5b511aceea16cb42d1ed1</t>
  </si>
  <si>
    <t>Physical responses of the coastal zones in the vicinity of Cochin, India due to sea level rise are investigated based on analysis of inundation scenarios. Quantification of potential habitat loss was made by merging the Land use/Land cover (LU/LC) prepared from the satellite imagery with the digital elevation model. Scenarios were generated for two different rates of sea level rise and responses of changes occurred were made to ascertain the vulnerability and loss in extent. LU/LC classes overlaid on 1m and 2m elevation showed that it was mostly covered by vegetation areas followed by water and urban zones. For the sea level rise scenarios of 1m and 2m, the total inundation zones were estimated to be 169.11km2 and 598.83km2 respectively using Geographic Information System (GIS). The losses of urban areas were estimated at 43km2 and 187km2 for the 1m and 2m sea level rise respectively which is alarming information for the most densely populated state of India. Quantitative comparison of other LU/LC classes showed significant changes under each of the inundation scenarios. The results obtained conclusively point that sea level rise scenarios will bring profound effects on the land use and land cover classes as well as on coastal landforms in the study region. Coastal inundation would leave ocean front and inland properties vulnerable. Increase in these water levels would alter the coastal drainage gradients. Reduction in these gradients would increase flooding attributable to rainstorms which could promote salt water intrusion into coastal aquifers and force water tables to rise. Changes in the coastal landforms associated with inundation generate concern in the background that the coastal region may continue to remain vulnerable in the coming decades due to population growth and development pressures. © 2014 Elsevier Ltd.</t>
  </si>
  <si>
    <t>2-s2.0-84918558387"</t>
  </si>
  <si>
    <t>10.3189/2015AoG70A227</t>
  </si>
  <si>
    <t>https://www.scopus.com/inward/record.uri?eid=2-s2.0-84982144426&amp;doi=10.3189%2f2015AoG70A227&amp;partnerID=40&amp;md5=e4e86a7502b7cbd52ec17d0432b3ec91</t>
  </si>
  <si>
    <t>The meltwater from glaciers in Alaska contributes strongly to global sea-level rise, but accurate determination is challenging as only two comparatively small glaciers have long-term measurements of annual mass balance (Gulkana and Wolverine). Simple upscaling of their values to the entire region is error-prone as their representativeness is unknown and might be biased. Alternatively, differencing digital elevation models (DEMs) from two epochs provides overall volume changes for a longer period of time that can be converted to mass changes using appropriate density assumptions. Here we combine outlines from two glacier inventories to determine glacier-specific elevation changes over a 50 year period for 3180 glaciers in western Alaska using DEM differencing. This allows us to determine the representativeness of the land-terminating Gulkana and Wolverine Glaciers for the entire region and to exclude calving glaciers (marine and lacustrine) from the sample. Mean changes for all land-terminating, lake-terminating and tidewater glaciers are -0.23 ± 0.44, -0.63 ± 0.40 and -0.64 ± 0.66ma-1, respectively, and -0.7 and -0.6ma-1 for the two mass-balance or benchmark glaciers. Thus fortuitously their changes better represent calving glaciers and the overall mean (-0.63 ± 1.14ma-1) than the change of land-terminating glaciers, i.e. they are not representative for their own type. Different methods of considering potential DEM artefacts provide variable mean changes but the same general result. © 2015, International Glaciology Society. All rights reserved.</t>
  </si>
  <si>
    <t>2-s2.0-84982144426"</t>
  </si>
  <si>
    <t>10.7480/rius.3.841</t>
  </si>
  <si>
    <t>https://www.scopus.com/inward/record.uri?eid=2-s2.0-84964584473&amp;doi=10.7480%2frius.3.841&amp;partnerID=40&amp;md5=7afb9d3569dbcb0a6126034e62e1b0b7</t>
  </si>
  <si>
    <t>Due to the changing climate and increasing urbanisation delta cities are faced with an increasing flood risk. In The Netherlands many of the flood defence infrastructures, such as dikes and flood walls, need to be adapted or improved in the near future, to comply to current or improved safety standards. These improvements directly affect landscape and urban development. In its 2008 report, the 2nd Delta Committee presented the idea of multifunctional flood defences, which are flood defence structures that deliberately provide opportunities for other functions. Since then, spatial designers and hydraulic engineers together delivered a wide palette of designs and concepts, resulting in a rather fluid and indefinable concept of multifunctional flood defences. This paper presents a method to describe the level of multifunctionality, based on two existing spatial and structural assessment methods from the fields of civil engineering and urban planning. The combined method distinguishes four ascending levels of integration, ranging from spatial optimisation to structural and functional integration. The combined classification method is tested on a selection of cases of multifunctional flood defences in the Netherlands. Based on this test, it is concluded that the classification method is a useful and generic method to describe the level of multifunctionality. Some of the selected examples look very innovative and multifunctional at first glance, while the level of spatial and structural integration is limited. Other examples might not be very spectacular from a spatial designers point of view, but show that true functional integration of flood protection with multiple other functions is already feasible, depending on the local context. The method helps to bridge the gap between the practices of civil engineering and urban and landscape design. Also, it makes clear that flood risk management is part of an overall process of integrated area development, anticipating on what could be described as a multifunctional flood defence zone.</t>
  </si>
  <si>
    <t>2-s2.0-84964584473"</t>
  </si>
  <si>
    <t>10.1007/s12601-015-0004-6</t>
  </si>
  <si>
    <t>https://www.scopus.com/inward/record.uri?eid=2-s2.0-84926295174&amp;doi=10.1007%2fs12601-015-0004-6&amp;partnerID=40&amp;md5=a7d665c451c74e34463eda226557a9c5</t>
  </si>
  <si>
    <t>We investigated the Korean Phragmites australis (haplotype P) distribution patterns and their association with environmental factors in estuaries with (Goseong) and without (Guman) a dike. The intertidal wetland of the Guman River Estuary has a flooding duration of 25% to 68% (average 40%), a range common to Phragmites habitats around the world. Porewater salinity in the Phragmites habitat of the Guman varied with the tides. Salinity of the overlying water influenced the salinity of pore-water only if flooding was above a certain height (overlying water depth of about 30 cm). High salinity was frequently observed in overlying water and pore-water of the Guman but the Phragmites may be able to survive with periodic exposure to freshwater, which relieves high salinity stresses. However, Phragmites experienced limited growth in some regions where flooding frequency was high but freshwater influence was low. Continuous measurement (two weeks) of pore-water salinity suggests that the salinity near the Phragmites rhizosphere is determined by the balance between the tidal and freshwater influences. Phragmites in the Goseong River Estuary was found at elevations about 100 cm lower than in the Guman and Phragmites growth was larger in the Goseong than in the Guman. We hypothesized that lower flooding duration and pore-water salinity, resulting from dike construction, allowed Phragmites to expand into lower elevation areas in the Goseong. The current study demonstrates the effects of coastal developments involving salinity structure and flooding duration changes on Phragmites distribution. © 2015, Korea Ocean Research &amp; Development Institute (KORDI) and the Korean Society of Oceanography (KSO) and Springer Science+Business Media Dordrecht.</t>
  </si>
  <si>
    <t>2-s2.0-84926295174"</t>
  </si>
  <si>
    <t>10.5751/ES-07704-200411</t>
  </si>
  <si>
    <t>https://www.scopus.com/inward/record.uri?eid=2-s2.0-84953317389&amp;doi=10.5751%2fES-07704-200411&amp;partnerID=40&amp;md5=9d42720c8aa5aa5fe84a90c17af65613</t>
  </si>
  <si>
    <t>Adaptation to climate change is a rapidly emerging policy domain. Over the last decade we have witnessed many attempts to enhance the climate robustness of agriculture, urban development, water systems, and nature to an increase in flood and drought risks due to a higher variability in rainfall patterns and sea level rise. In the vulnerable Dutch delta, regional authorities have developed adaptation measures that deal with flood risk, the availability of fresh water, subsidence, and salt water intrusion. In view of all the uncertainties that surround climate change, scientists emphasize that it should be possible to make changes when conditions change or insights evolve. The concept of adaptive governance has been introduced to facilitate the process of climate adaptation. Adaptive governance requires the availability of governance arrangements that facilitate adaptiveness by being flexible to enable adjustment. Although flexible arrangements for adaptation to climate change make sense from an adaptive governance perspective, from a more bureaucratic, political, and legal perspective, there might be good reasons to make arrangements as solid and robust as possible. In this article we answer the question to what extent the arrangements used to implement various adaptation measures are really adaptive and what mechanisms play a role in obstructing the accomplishment of adaptive arrangements. By analyzing and comparing nine adaptation cases, dealing with different climate issues, and the arrangements used to implement them from both a governance and a legal perspective, we are able to get more detailed insight into the main characteristics of the selected arrangements, their degree of adaptiveness, and the main hampering mechanisms for the creation or functioning of adaptive arrangements. © 2015 by the author(s). Published here under license by the Resilience Alliance.</t>
  </si>
  <si>
    <t>2-s2.0-84953317389"</t>
  </si>
  <si>
    <t>10.7480/rius.3.842</t>
  </si>
  <si>
    <t>https://www.scopus.com/inward/record.uri?eid=2-s2.0-84964671783&amp;doi=10.7480%2frius.3.842&amp;partnerID=40&amp;md5=864e52cdf2d08b55941a26a9bda6da98</t>
  </si>
  <si>
    <t>Decisions on measures to improve a flood risk system are in part supported by general ideas about how the system works and should work. After the completion of the Dutch Delta Works around 1990, such new ideas regarding flood risk emerged. Some of these may be appealing at first, but appear debatable after a closer look. In this paper, fourteen such debatable ideas, familiar to most Dutch water professionals, are formulated and criticised, in order to find out what can be learned from them. The most important Dutch national flood risk policy documents since 1990 are reviewed for quotes that illustrate these ideas, complemented by scientific papers and other documents. These quotes present different expressions of these ideas, and their number can suggest whether they are broadly shared or marginal. In twelve of the twenty most important government documents, 47 quotes were found</t>
  </si>
  <si>
    <t>10.1007/s11069-014-1573-x</t>
  </si>
  <si>
    <t>https://www.scopus.com/inward/record.uri?eid=2-s2.0-84925513523&amp;doi=10.1007%2fs11069-014-1573-x&amp;partnerID=40&amp;md5=04bc27b6fbb5d0bcefb0e708d0ec8cc0</t>
  </si>
  <si>
    <t>The review of all available contemporary documents, i.e., technical and photographic reports, newspapers, and other archive material, of the 1908, M 7.1, Messina–Reggio Calabria earthquake has allowed to recognize and classify a large number (365) of independent environmental effects of the earthquake and the subsequent tsunami. The effects have been categorized as slope movement, ground settlement, ground vertical movement and coastal retreat, liquefaction, ground crack, hydrological anomaly, gas emission, light, and rumble. No undisputable evidence of surface faulting has been pointed out. Nevertheless, the widespread and rather homogeneous subsidence of the coastal area of Messina (40–70 cm) might have been caused by slip along a NNE–SSW-trending, east-dipping fault, corresponding to the here proposed Messina Lineament. Likewise, slips along the Reggio Calabria, Armo and Motta San Giovanni faults, suggested by coastal subsidence and slides, ground cracks, and leveling data, cannot be ruled out. A large part of the achieved information has allowed to evaluate the epicentral intensity and local intensities at 74 sites, by applying the environmental seismic intensity scale ESI 2007. This study has led to the most comprehensive picture of the distribution and characteristics of coseismic environmental effects of that earthquake, a crucial knowledge to better estimate the future impact of a similar earthquake on a region that has seen a broad, and often poorly concerned, urban and infrastructural development since then. © 2015, Springer Science+Business Media Dordrecht.</t>
  </si>
  <si>
    <t>2-s2.0-84925513523"</t>
  </si>
  <si>
    <t>10.1007/s11270-015-2373-y</t>
  </si>
  <si>
    <t>https://www.scopus.com/inward/record.uri?eid=2-s2.0-84928540487&amp;doi=10.1007%2fs11270-015-2373-y&amp;partnerID=40&amp;md5=3ada14b1f42a78f2043c1b56a0632411</t>
  </si>
  <si>
    <t>Soil salinization is a worldwide problem of which secondary salinization is increasingly more frequent, threatening agricultural production. Salt accumulation affects not only plants but also the physio-chemical characteristics of the soil, limiting its potential use. Climate change will further increase the rate of salinization of soil and groundwater as it leads to increased evaporation, promotes capillary rise of saline groundwater as well as increased irrigation with brackish water. Episodic seawater inundation of coastal areas is likely to increase in frequency as well. This work analyzed three types of salinization: seawater inundation (by irrigating soils with a 54 dS m-1 NaCl solution), saline groundwater capillary rise (soil contact with a 27 dS m-1 NaCl solution), and irrigation with two types of brackish water with different residual sodium carbonate (RSC). Two soils were used: a mineral soil (7.0 % clay</t>
  </si>
  <si>
    <t>10.1002/2014JC010268</t>
  </si>
  <si>
    <t>https://www.scopus.com/inward/record.uri?eid=2-s2.0-85027928368&amp;doi=10.1002%2f2014JC010268&amp;partnerID=40&amp;md5=21522b459f6c682d460185c6a0487a72</t>
  </si>
  <si>
    <t>Total water levels (TWLs) within estuaries are influenced by tides, wind, offshore waves, and streamflow, all of which are uniquely affected by climate change. The magnitude of TWL associated with various return periods is relevant to understanding how the hydrodynamics of a bay or estuary may evolve under distinct climate scenarios. A methodology for assessing the hydrodynamic response of a small estuary under major boundary condition perturbations is presented in this study. The coupled Advanced Circulation (ADCIRC) and Simulating Waves Nearshore (SWAN) model was used to simulate wave and water elevation conditions within Tillamook Bay, OR, USA for two long-term scenarios</t>
  </si>
  <si>
    <t>Information and Software Technology</t>
  </si>
  <si>
    <t>10.1016/j.infsof.2014.12.007</t>
  </si>
  <si>
    <t>https://www.scopus.com/inward/record.uri?eid=2-s2.0-84921772938&amp;doi=10.1016%2fj.infsof.2014.12.007&amp;partnerID=40&amp;md5=8aa699041661142533209386bfcf15cd</t>
  </si>
  <si>
    <t>Context The software product line engineering (SPLE) community has provided several different approaches for assessing the feasibility of SPLE adoption and selecting transition strategies. These approaches usually include many rules and guidelines which are very often implicit or scattered over different publications. Hence, for the practitioners it is not always easy to select and use these rules to support the decision making process. Even in case the rules are known, the lack of automated support for storing and executing the rules seriously impedes the decision making process. Objective We aim to evaluate the impact of a decision support system (DSS) on decision-making in SPLE adoption. In alignment with this goal, we provide a decision support model (DSM) and the corresponding DSS. Method First, we apply a systematic literature review (SLR) on the existing primary studies that discuss and present approaches for analyzing the feasibility of SPLE adoption and transition strategies. Second, based on the data extraction and synthesis activities of the SLR, the required questions and rules are derived and implemented in the DSS. Third, for validation of the approach we conduct multiple case studies. Results In the course of the SLR, 31 primary studies were identified from which we could construct 25 aspects, 39 questions and 312 rules. We have developed the DSS tool Transit-PL that embodies these elements. Conclusions The multiple case study validation showed that the adoption of the developed DSS tool is justified to support the decision making process in SPLE adoption. ©2015 Elsevier B.V. All rights reserved.</t>
  </si>
  <si>
    <t>2-s2.0-84921772938"</t>
  </si>
  <si>
    <t>10.1371/journal.pone.0121432</t>
  </si>
  <si>
    <t>https://www.scopus.com/inward/record.uri?eid=2-s2.0-84926442281&amp;doi=10.1371%2fjournal.pone.0121432&amp;partnerID=40&amp;md5=0886f463f3f0c2acaf7925dc5124aff9</t>
  </si>
  <si>
    <t>Around the world, peatland degradation and soil subsidence is occurring where these soils have been converted to agriculture. Since initial drainage in the mid-1800s, continuous farming of such soils in the California Sacramento-San Joaquin Delta (the Delta) has led to subsidence of up to 8 meters in places, primarily due to soil organic matter (SOM) oxidation and physical compaction. Rice (Oryza sativa) production has been proposed as an alternative cropping system to limit SOM oxidation. Preliminary research on these soils revealed high N uptake by rice in N fertilizer omission plots, which we hypothesized was the result of SOM oxidation releasing N. Testing this hypothesis, we developed a novel N budgeting approach to assess annual soil C and N loss based on plant N uptake and fallow season N mineralization. Through field experiments examining N dynamics during growing season and winter fallow periods, a complete annual N budget was developed. Soil C loss was calculated from SOM-N mineralization using the soil C:N ratio. Surface water and crop residue were negligible in the total N uptake budget (3 - 4% combined). Shallow groundwater contributed 24 - 33%, likely representing subsurface SOM-N mineralization. Assuming 6 and 25 kg N ha-1 from atmospheric deposition and biological N2 fixation, respectively, our results suggest 77 - 81% of plant N uptake (129 - 149 kg N ha-1) was supplied by SOM mineralization. Considering a range of N uptake efficiency from 50 - 70%, estimated net C loss ranged from 1149 - 2473 kg C ha-1. These findings suggest that rice systems, as currently managed, reduce the rate of C loss from organic delta soils relative to other agricultural practices. © 2015 Kirk et al.</t>
  </si>
  <si>
    <t>2-s2.0-84926442281"</t>
  </si>
  <si>
    <t>10.1007/s00024-014-0936-2</t>
  </si>
  <si>
    <t>https://www.scopus.com/inward/record.uri?eid=2-s2.0-84924406601&amp;doi=10.1007%2fs00024-014-0936-2&amp;partnerID=40&amp;md5=5747878378dc3bc8200c00443667d786</t>
  </si>
  <si>
    <t>NAMIDANCE tsunami simulation and visualization tool is used to create tsunami inundation maps showing quantitative maximum tsunami flow depths in Fethiye. The risk of an extreme, but likely earthquake-generated tsunami is estimated at Fethiye Bay for 14 probabilistic earthquake scenarios. The bay is located 36°39′5″N 29°7′23″E, southwestern Turkey, which has coastline to the eastern Mediterranean Sea. The tsunami simulation and inundation assessment are performed in three stages: (1) formation of a digital elevation model of the region from the best available topography/bathymetry dataset, (2) estimation of a maximum credible tsunami scenario for the region and determination of related earthquake parameters, (3) high resolution tsunami simulation and computation of near shore and overland tsunami dynamics in the study area using tsunami simulation and visualization code NAMIDANCE, (4) determination of spatial distributions of tsunami characteristics (maximum water elevations, water velocities, flow depths) under the critical tsunami condition. The results are based on the most recent descriptions of potential tsunami sources, topographic and bathymetric databases, and tsunami numerical models. We present an innovative study concentrating on preparation of quantitative flow depths and inundation maps with a very high-resolution bathymetry/topographic dataset in the eastern Mediterranean. Inundation maps will be used to analyze the effects of possible tsunamis. The presented research is crucial to raising the awareness of government officials, the public, and other stake holders about the high probability of a tsunami event in Turkey. Moreover, the results of this study will help to plan for evacuation routes, establish safe zones, and assist in preparation for the tsunami, creating public awareness, and planning evacuation routes before the actual tsunami event happens. © 2014, Springer Basel.</t>
  </si>
  <si>
    <t>2-s2.0-84924406601"</t>
  </si>
  <si>
    <t>10.1007/s12601-015-0002-8</t>
  </si>
  <si>
    <t>https://www.scopus.com/inward/record.uri?eid=2-s2.0-84926337003&amp;doi=10.1007%2fs12601-015-0002-8&amp;partnerID=40&amp;md5=a134b4aea3b15679d049771c476ae43b</t>
  </si>
  <si>
    <t>An integrated model system was developed to apply surge-wave coupled simulations to the southern coast of Korea during Typhoon Sanba in 2012. Numerical experiments were carried out to examine the effects of land-dissipated wind on storm surges and the influence of wave-surge coupled simulations on storm surges and surface waves. These numerical experiments used a finite volume ocean model, FVCOM, coupled with a wave model SWAVE. Due to the complex geometry of the coastal area investigated, a high-resolution terrain-following unstructured grid was employed. Atmospheric forcing was generated by a planetary boundary layer model, which was revised by incorporating the effect of the land’s roughness on the typhoon wind. A detailed comparison shows generally good agreement between the measured and simulated wind, surge, and waves. In particular, improved results have been found for the simulation of storm winds and surges when considering the effect of land-dissipated wind. In addition, clearly improved results for storm surges were obtained when adding the coupling effect between waves and surges. The results show a maximum contribution of ~40% by the waveinduced surge to the peak surge height along the coasts. The mean rate of error for peak surge heights decreased from 29.6% to 21.3% after considering the effects of wind dissipation, and decreased again to 17.9% when adding the effects of the waves. These results imply that the effect of wind dissipation caused by land roughness and waves should be taken into account when determining storm surge heights. The results also show the effects of wave-current coupling influences the generation of waves. However, the magnitude of this coupling effect on wave heights was found to be relatively insignificant. © 2015, Korea Ocean Research &amp; Development Institute (KORDI) and the Korean Society of Oceanography (KSO) and Springer Science+Business Media Dordrecht.</t>
  </si>
  <si>
    <t>2-s2.0-84926337003"</t>
  </si>
  <si>
    <t>10.1007/s00024-014-0891-y</t>
  </si>
  <si>
    <t>https://www.scopus.com/inward/record.uri?eid=2-s2.0-84924351365&amp;doi=10.1007%2fs00024-014-0891-y&amp;partnerID=40&amp;md5=b290826aeaeb37cd227c2bfe46f2668c</t>
  </si>
  <si>
    <t>The coastal states and territories of the United States (US) are vulnerable to devastating tsunamis from near-field or far-field coseismic and underwater/subaerial landslide sources. Following the catastrophic 2004 Indian Ocean tsunami, the National Tsunami Hazard Mitigation Program (NTHMP) accelerated the development of public safety products for the mitigation of these hazards. In response to this initiative, US coastal states and territories speeded up the process of developing/enhancing/adopting tsunami models that can be used for developing inundation maps and evacuation plans. One of NTHMP’s requirements is that all operational and inundation-based numerical (O&amp;I) models used for such purposes be properly validated against established standards to ensure the reliability of tsunami inundation maps as well as to achieve a basic level of consistency between parallel efforts. The validation of several O&amp;I models was considered during a workshop held in 2011 at Texas A&amp;M University (Galveston). This validation was performed based on the existing standard (OAR-PMEL-135), which provides a list of benchmark problems (BPs) covering various tsunami processes that models must meet to be deemed acceptable. Here, we summarize key approaches followed, results, and conclusions of the workshop. Eight distinct tsunami models were validated and cross-compared by using a subset of the BPs listed in the OAR-PMEL-135 standard. Of the several BPs available, only two based on laboratory experiments are detailed here for sake of brevity</t>
  </si>
  <si>
    <t>10.5194/nhess-15-557-2015</t>
  </si>
  <si>
    <t>https://www.scopus.com/inward/record.uri?eid=2-s2.0-84924748787&amp;doi=10.5194%2fnhess-15-557-2015&amp;partnerID=40&amp;md5=3c50713437dd5caaa88ae887bac1e26f</t>
  </si>
  <si>
    <t>A storm surge is the sudden rise of sea water over the astronomical tides, generated by an approaching storm. This event poses a major threat to the Philippine coastal areas, as manifested by Typhoon Haiyan on 8 November 2013. This hydro-meteorological hazard is one of the main reasons for the high number of casualties due to the typhoon, with 6300 deaths. It became evident that the need to develop a storm surge inundation map is of utmost importance. To develop these maps, the Nationwide Operational Assessment of Hazards under the Department of Science and Technology (DOST-Project NOAH) simulated historical tropical cyclones that entered the Philippine Area of Responsibility. The Japan Meteorological Agency storm surge model was used to simulate storm surge heights. The frequency distribution of the maximum storm surge heights was calculated using simulation results of tropical cyclones under a specific public storm warning signal (PSWS) that passed through a particular coastal area. This determines the storm surge height corresponding to a given probability of occurrence. The storm surge heights from the model were added to the maximum astronomical tide data from WXTide software. The team then created maps of inundation for a specific PSWS using the probability of exceedance derived from the frequency distribution. Buildings and other structures were assigned a probability of exceedance depending on their occupancy category, i.e., 1% probability of exceedance for critical facilities, 10% probability of exceedance for special occupancy structures, and 25% for standard occupancy and miscellaneous structures. The maps produced show the storm-surge-vulnerable areas in Metro Manila, illustrated by the flood depth of up to 4 m and extent of up to 6.5 km from the coastline. This information can help local government units in developing early warning systems, disaster preparedness and mitigation plans, vulnerability assessments, risk-sensitive land use plans, shoreline defense efforts, and coastal protection measures. These maps can also determine the best areas to build critical structures, or at least determine the level of protection of these structures should they be built in hazard areas. Moreover, these will support the local government units' mandate to raise public awareness, disseminate information about storm surge hazards, and implement appropriate countermeasures for a given PSWS. © 2015 Author(s).</t>
  </si>
  <si>
    <t>2-s2.0-84924748787"</t>
  </si>
  <si>
    <t>https://www.scopus.com/inward/record.uri?eid=2-s2.0-84983146631&amp;partnerID=40&amp;md5=d5e3673a234742a652d2dfeca6afd371</t>
  </si>
  <si>
    <t>The characteristics of a drainage basin have a major effect on the risk potential for flash floods. For a detailed study on the risk potential detailed topographic, geological, soil related, meteorological, and historical data is needed, which is not available in many regions of the world. On the other hand, high resolution Digital Elevation Models are ready to use, from which topographic parameters of a watershed related to the risk potential can be extracted. In this study a complete automated workflow based on ArcGIS Model Builder using standard tools will be introduced and discussed. Some additional tools have been implemented to complete the overall workflow. These tools have been programmed using Python and Java in the context of Arc Objects. The model has been applied to the upper reach of the Akhangaran river south-east of Tashkent in Uzbekistan, which covers a total area of about 3600 km2. For the study area according to Strahler order 4 sub-basins of 6th order, 20 of 5th order, 71 of 4th order, 326 of 3rd order, and 1559 of 2nd order have been classified. The sub-basins have been evaluated according to the stream bifurcation ratio, the drainage density, the stream frequency, the circular ratio, the elongation ratio, and some other parameters. © Geoinformatics International.</t>
  </si>
  <si>
    <t>2-s2.0-84983146631"</t>
  </si>
  <si>
    <t>10.1002/esp.3634</t>
  </si>
  <si>
    <t>https://www.scopus.com/inward/record.uri?eid=2-s2.0-84924088072&amp;doi=10.1002%2fesp.3634&amp;partnerID=40&amp;md5=5829d10f0be1b95e8a9fc5a7cf579946</t>
  </si>
  <si>
    <t>Incised coastal gullies (ICGs) are dynamic features found at the terrestrial-coastal interface. Their geomorphic evolution is driven by the interactions between processes of fluvial knickpoint migration and coastal cliff erosion. Under scenarios of future climate change the frequency and magnitude of the climatological drivers of both terrestrial (fluvial and hillslope) and coastal (cliff erosion) processes are likely to change, with an adjunct impact on these types of coastal features. Here we explore the response of an incised coastal gully to changes in both terrestrial and coastal climate in order to elucidate the key process interactions which drive ICG evolution. We modify an extant landscape evolution model, CHILD, to incorporate processes of soft-cliff erosion. This modified version, termed the Coastal-Terrestrial-CHILD (CT-CHILD) model, is then employed to explore the interactions between changing terrestrial and coastal driving forces on the future evolution of an ICG found on the south-west Isle of Wight, UK. It was found that the magnitude and frequency of storm events will play a key role in determining the future trajectory of ICGs, highlighting a need to understand the role of event sequencing in future projections of landscape evolution. Furthermore, synergistic (positive) and antagonistic (negative) interactions were identified between coastal and terrestrial parameters, such as wave height intensity and precipitation duration, which act to modulate the impact of changes in any one parameter. Of note was the role played by wave height intensity in driving coastal erosion, which was found to play a more important role than sea-level rise in determining rates of coastal erosion. This highlights the need for a greater focus on wave height in studies of soft-cliff erosion. © 2014 John Wiley &amp; Sons, Ltd.</t>
  </si>
  <si>
    <t>2-s2.0-84924088072"</t>
  </si>
  <si>
    <t>10.1007/s11027-013-9489-4</t>
  </si>
  <si>
    <t>https://www.scopus.com/inward/record.uri?eid=2-s2.0-84882463280&amp;doi=10.1007%2fs11027-013-9489-4&amp;partnerID=40&amp;md5=2c774ae557e3aa1fbac893e845cde5b4</t>
  </si>
  <si>
    <t>This study explores the integration of ecosystem services and climate change adaptation in development plans for coastal wetlands in Bangladesh. A new response framework for adaptation is proposed, based on an empirical analysis and consultations with stakeholders, using a modified version of the DPSIR (Driver-Pressure-State-Impact-Response) framework. The framework is tested in the Narail district of Bangladesh, where temperature has increased by about 1 °C in the summer in combination with an increase in rainfall of 0.70 mm day−1 yr−1 in the last decade. Calibrated model (MAGICC/SENGEN) projections forecast, on average, a temperature increase of up to 5 °C and an increase in rainfall of 25 % by the end of this century. Water diversion in the upstream regions of the Ganges River delta contributes to increase water scarcity in the dry season. Enhanced rainfall and the immense pressure of water discharges from upstream water sources are increasing the risk of floods and river erosion in the dry season. An increase in the water holding capacity of rivers, wetlands and canals by dredging is urgently required. The empirical model of this study is intended to support adaptation planning and monitoring in Bangladesh and can be used in other data-poor areas which will suffer from climate change. © 2013, Springer Science+Business Media Dordrecht.</t>
  </si>
  <si>
    <t>2-s2.0-84882463280"</t>
  </si>
  <si>
    <t>10.3301/ROL.2015.105</t>
  </si>
  <si>
    <t>https://www.scopus.com/inward/record.uri?eid=2-s2.0-84930709128&amp;doi=10.3301%2fROL.2015.105&amp;partnerID=40&amp;md5=2eb7b03c8dc0cf795cb83b4ac1ec7018</t>
  </si>
  <si>
    <t>We investigated a ∼11km stretch of the East Sussex coastline (South East England) using airborne Lidar data with the aim to analysing the average recession-rate on high soft cliffs. The recession rate was calculated on a short interval (2007-2009) using two LiDAR-derived Digital Elevation Models (DTM) and following an approach based on a simple trigonometric relation. The calculated retreat values show spatial variability consistent with the geological settings and with the presence or absence of mitigation engineering works. An average rate of retreat of 0.1 m y-1 was calculated for the whole area. The protected sections, where the sea influences are mitigated by a concrete promenade, have retreat values that range between 0.02 m y-1 and 0.09 m y-1. The unprotected sections show the highest values, as expected, ranging between 0.1 m y-1 and 0.3 m y-1. Finally, although retreat trends are not easily predicted because the interplay between numerous factors (eg. sea level rise, storm frequency, wind direction, etc.), future cliff-line positions were estimated on a linear basis, highlighting likely influence of development and engineering structures. © Società Geologica Italiana, Roma 2015.</t>
  </si>
  <si>
    <t>2-s2.0-84930709128"</t>
  </si>
  <si>
    <t>10.1080/02626667.2014.889297</t>
  </si>
  <si>
    <t>https://www.scopus.com/inward/record.uri?eid=2-s2.0-84921027871&amp;doi=10.1080%2f02626667.2014.889297&amp;partnerID=40&amp;md5=90f47fe99e380d3b1bdfd106a5fc6b62</t>
  </si>
  <si>
    <t>Abstract: Cross-section data are essential to describe the topography of rivers and floodplain areas and support flood propagation and inundation modelling. To date, there are only a few guidelines available to assist hydraulic modellers in determining the required quantity and location of cross-sections. The aim of this paper is to investigate the impact of cross-section spacing on the results of hydraulic models. To this end, four hydraulic models were built using the HEC-RAS model code and four different numbers of cross-sections. The geometric data were extracted from a high-resolution digital elevation model (LiDAR DEM) of a 30-km reach of the Johor River in Malaysia. These hydraulic models were then compared using flood water levels recorded at two stream gauging stations during two recent flood events. The independent calibration and validation of the models allowed the evaluation of a set of equations proposed in the literature for determining the distance between cross-sections for hydraulic modelling. © 2014, © 2014 IAHS.</t>
  </si>
  <si>
    <t>2-s2.0-84921027871"</t>
  </si>
  <si>
    <t>10.1680/wama.14.00062</t>
  </si>
  <si>
    <t>https://www.scopus.com/inward/record.uri?eid=2-s2.0-84925362111&amp;doi=10.1680%2fwama.14.00062&amp;partnerID=40&amp;md5=649f0c81804135d784c5f6bcf9994808</t>
  </si>
  <si>
    <t>Although resilience is widely embraced as a concept for adapting urbanised deltas, there is no planning method yet developed to operationalise resilience at the scale of urban development. The recently introduced adaptive pathway method allows stakeholders to consider a wide portfolio of adaptation actions including ‘sell-by dates’ (the time after which an adaptation action is no longer desirable or effective) and the potential to change from one action to another. This paper explores the applicability of this method for the planning of adaptive waterfront development by presenting the results of case study research in one of the flood-prone areas of Rotterdam. It is concluded that the method is effective to evaluate and select appropriate urban flood adaptation strategies. A weak aspect of the method, however, is that it relies on highly detailed information and the capacity of stakeholders to manage long-term pathways. © ICE Publishing: All rights reserved.</t>
  </si>
  <si>
    <t>2-s2.0-84925362111"</t>
  </si>
  <si>
    <t>10.2112/JCOASTRES-D-13-00063.1</t>
  </si>
  <si>
    <t>https://www.scopus.com/inward/record.uri?eid=2-s2.0-84924301557&amp;doi=10.2112%2fJCOASTRES-D-13-00063.1&amp;partnerID=40&amp;md5=6479e6064bf7fda6f29627c8b9cec9d5</t>
  </si>
  <si>
    <t>A three-dimensional numerical model was established based on the Finite Volume Coastal Ocean Model to study the impact of sea-level rise (SLR) on saltwater intrusion in the Pearl River Estuary. The model domain covered the entire river network, estuary, and offshore sea, and the model grid fit well with the coastlines, with a high resolution of ∼100 m in the river mouths. The model validation process showed that the model results fit the observed data fairly well. Results showed that saltwater intrusion in the river mouths was highly sensitive to SLR. Higher SLR enhanced saltwater intrusion, especially in the Modaomen waterway during neap tide. SLR enhanced the landward residual current in the Hongwan waterway and the landward bottom residual current in the Modaomen waterway, both of which carried high salinity water landward and thus made salinity higher. Isohaline of 0.45 (which is the salinity standard for drinking water) moved seaward in the Jiaomen and Hongqili outlets, whereas it moved landward in the Modaomen and Hutiaomen outlets in response to SLR. This pattern was well explained by the net water-flux changes in this branching estuary. © Coastal Education and Research Foundation, Inc. 2015.</t>
  </si>
  <si>
    <t>2-s2.0-84924301557"</t>
  </si>
  <si>
    <t>10.3301/ROL.2015.64</t>
  </si>
  <si>
    <t>https://www.scopus.com/inward/record.uri?eid=2-s2.0-84930718078&amp;doi=10.3301%2fROL.2015.64&amp;partnerID=40&amp;md5=28fb0f3bdfa9a1d0619cb055ec8cc163</t>
  </si>
  <si>
    <t>This study describes an example of analysis of morphological changes by using high resolution DEMs derived from LiDAR data. The evaluation of eroded or deposition volumes is based on the comparison between topographical profiles derived from two time-series of high resolution DEMs. The proposed method has been applied to selected areas of the Vernazza basin (Cinque Terre, eastern Liguria) that suffered strong morphological changes due to the 25 October 2011 very intense rainfall event. Three human embankments areas located along channels, completely or partially destroyed during the event, were selected for calculating eroded volumes whereas five areas in the valley floor were investigated for estimating deposition volumes. The obtained results have shown the impact of human embankments in increasing the effects of very hazardous phenomena typical of hilly or mountain areas, such as debris flows and debris floods. The proposed method, although approximate, can be very useful when a rapid estimation of volume mobilized in specific areas is required. © Società Geologica Italiana, Roma 2015.</t>
  </si>
  <si>
    <t>2-s2.0-84930718078"</t>
  </si>
  <si>
    <t>10.1016/j.geomorph.2014.02.007</t>
  </si>
  <si>
    <t>https://www.scopus.com/inward/record.uri?eid=2-s2.0-84912113102&amp;doi=10.1016%2fj.geomorph.2014.02.007&amp;partnerID=40&amp;md5=686d67b7421f68a0558d9934d188fd7f</t>
  </si>
  <si>
    <t>This contribution analyses a complex sinkhole cluster buried by urban elements in the mantled evaporite karst of Zaragoza city, NE Spain, where active subsidence has caused significant economic losses (~. 0.3. million Euro). The investigation, conducted after the development of the area, has involved the application of multiple surface and subsurface techniques. A detailed map of modern surface deformation indicates two active coalescing sinkholes, whereas the interpretation of old aerial photographs reveals the presence of two additional dormant sinkholes beneath human structures that might reactivate in the near future. DInSAR (Differential Interferometry Synthetic Aperture Radar) displacement data have limited spatial coverage mainly due to high subsidence rates and surface changes (re-pavement), and the Electrical Resistivity Tomography (ERT) and trenching investigations were severely restricted by the presence of urban elements. Nonetheless, the three techniques consistently indicate that the area affected by subsidence is larger than that defined by surface deformation features. The performance of the Ground Penetrating Radar (GPR) technique was adversely affected by the presence of highly conductive and massive anthropogenic deposits, but some profiles reveal that subsidence in the central sector of one of the sinkholes is mainly accommodated by sagging. The stratigraphic and structural relationships observed in a trench dug across the topographic margin of one of the sinkholes may be alternatively interpreted by three collapse events of around 0.6. m that occurred after 290. yr BP, or by progressive fault displacement combined with episodic anthropogenic excavation and fill. Average subsidence rates of &gt;. 6.6. mm/yr and 40. mm/yr have been calculated using stratigraphic markers dated by the radiocarbon method and historical information, respectively. This case study illustrates the need of conducting thorough investigations in sinkhole areas during the pre-planning stage including a geomorphic approach. A sound geomorphic model is essential for the proper design of the site investigation, the interpretation of the data and application of effective mitigation measures. Once sinkhole areas are developed, urban elements largely restrict the applicability and performance of multiple techniques, substantially decreasing the feasibility and benefit/effort ratio of the investigations. © 2014 Elsevier B.V.</t>
  </si>
  <si>
    <t>2-s2.0-84912113102"</t>
  </si>
  <si>
    <t>10.5194/nhess-15-703-2015</t>
  </si>
  <si>
    <t>https://www.scopus.com/inward/record.uri?eid=2-s2.0-84926613346&amp;doi=10.5194%2fnhess-15-703-2015&amp;partnerID=40&amp;md5=9096b86b0ddcc1915b97588c3c25e40b</t>
  </si>
  <si>
    <t>Many studies discuss the economic and technical aspects of flood warnings. Less attention has been given to the social and behavioural patterns that affect alert services. In particular, the literature focuses on warnings activated in river basins or marine environments without providing clear evidence on Mediterranean coastal areas, even though these are subjected to growing flood risk related to climate change. This paper is a first attempt to bridge this gap. Our research develops an in-depth analysis of the village of Cesenatico on the Adriatic Sea coast. Here the municipality adopted two complementary warning systems: a siren and an alert via short message service (SMS). The analysis focuses on a survey conducted in 2011 and 2012 with 228 participants. The relationships between social and behavioural variables and warning services are investigated as well as flood preparedness and information dissemination. Qualitative evidence from informal interviews is used to support the understanding of key responses. The conclusions show how different social and behavioural patterns can influence the effectiveness and use of warning systems, regardless of the technology adopted and the structural mitigation measures implemented. Education, training and accountability are seen to be critical elements for implementation. Finally, the statistical output is used to suggest new questions and new directions for research. © Author(s) 2015.</t>
  </si>
  <si>
    <t>2-s2.0-84926613346"</t>
  </si>
  <si>
    <t>10.1007/s10113-014-0642-8</t>
  </si>
  <si>
    <t>https://www.scopus.com/inward/record.uri?eid=2-s2.0-84928943466&amp;doi=10.1007%2fs10113-014-0642-8&amp;partnerID=40&amp;md5=b6190ee95647681c26868a32d8e47529</t>
  </si>
  <si>
    <t>Natural hazards and major land-use/land-cover change can have significant impacts on humans around the world. If these two concerns exist together in a coastal area, the consequences for people and the environment may be severe. This study investigated the combined effects of land-use changes and natural disasters in the southwest coastal area of Bangladesh. Satellite images were analyzed to detect changes in land cover in the study period of 13 years (1999–2012). Three areas were selected for ground data collection. Household surveys and focus groups were conducted to discover the type, level and effects of disasters. Probit regression analysis was performed to assess the relationship between various disasters with overall income, agricultural production and outward migration. Results from image analysis showed an overall 30 % increase in shrimp culture ponds in the past 13 years. Agricultural land and vegetation decreased by 48 and 3 %, respectively. Barren and built-up areas increased by 73 % due to both land-use activity and natural hazards. Analysis of household data showed cyclones and storm surges had important effects on income, agricultural production and migration. Sustainable management and enhancement of resilience capacity of this area will be crucial in the near future. © 2014, Springer-Verlag Berlin Heidelberg.</t>
  </si>
  <si>
    <t>2-s2.0-84928943466"</t>
  </si>
  <si>
    <t>10.1016/j.advwatres.2014.11.008</t>
  </si>
  <si>
    <t>https://www.scopus.com/inward/record.uri?eid=2-s2.0-84949115661&amp;doi=10.1016%2fj.advwatres.2014.11.008&amp;partnerID=40&amp;md5=623b783143ca4a5c54526e57a6ff5c73</t>
  </si>
  <si>
    <t>Remote Sensing technologies are capable of providing high-resolution spatial data needed to set up advanced flood simulation models. Amongst them, aerial Light Detection and Ranging (LiDAR) surveys or Airborne Laser Scanner (ALS) systems have long been used to provide digital topographic maps. Nowadays, Remote Sensing data are commonly used to create Digital Terrain Models (DTMs) for detailed urban-flood modelling. However, the difficulty of relying on top-view LiDAR data only is that it cannot detect whether passages for floodwaters are hidden underneath vegetated areas or beneath overarching structures such as roads, railroads, and bridges. Such (hidden) small urban features can play an important role in urban flood propagation. In this paper, a complex urban area of Kuala Lumpur, Malaysia was chosen as a study area to simulate the extreme flooding event that occurred in 2003. Three different DTMs were generated and used as input for a two-dimensional (2D) urban flood model. A top-view LiDAR approach was used to create two DTMs: (i) a standard LiDAR-DTM and (ii) a Filtered LiDAR-DTM taking into account specific ground-view features. In addition, a Structure from Motion (SfM) approach was used to detect hidden urban features from a sequence of ground-view images</t>
  </si>
  <si>
    <t>10.1080/17477891.2014.986041</t>
  </si>
  <si>
    <t>https://www.scopus.com/inward/record.uri?eid=2-s2.0-84919457645&amp;doi=10.1080%2f17477891.2014.986041&amp;partnerID=40&amp;md5=ba356385c419834a5bee4c577641ada5</t>
  </si>
  <si>
    <t>This paper investigates farmers crop adaptation processes in response to three recent devastating floods in Islampur, a case-study area in rural Bangladesh. The paper reports a multi-method research project which comprised a questionnaire survey, focus-group discussions and interviews with agricultural block supervisors. The author analyses three recent severe floods in Bangladesh, occurring in 1988, 1995 and 1998, and reviews the adaptation techniques and strategies embraced by the same group of farmers in order to survive the more devastating inundations that occur from time to time. The study concluded that vulnerable farmers are highly resilient and, with appropriate support, their adjustments can be sustainable. This enquiry showed that in the face of climate change both the inclusion of autonomous adaptations into planning and policy-making and the enhancement and support of community-based adaptation can be effective in ensuring the survival of riverine farming systems. This case study can be considered as a key reference case in regard to vulnerable locations in the Ganges-Brahmaputra-Meghna mega-delta basin, particularly in respect to Bangladesh. © 2014 Taylor &amp; Francis.</t>
  </si>
  <si>
    <t>2-s2.0-84919457645"</t>
  </si>
  <si>
    <t>10.1109/JSTARS.2014.2347352</t>
  </si>
  <si>
    <t>https://www.scopus.com/inward/record.uri?eid=2-s2.0-85027945943&amp;doi=10.1109%2fJSTARS.2014.2347352&amp;partnerID=40&amp;md5=cf4263fbb98537861b248840d0164bee</t>
  </si>
  <si>
    <t>The Danube Delta is the only morphohydrographical unit of its type declared for biosphere reservation. The reduced altitudes and the increase in the frequency of hydrological risk phenomena in recent years have suggested that this area is under constant stress. To generate the hydrological risk map of floods within the fluvial delta, cartographic materials created by predecessors and LiDAR techniques were used. In recent years, extreme water levels were recorded: a minimum in 2003 and a maximum in 2006. The use of extreme data allowed the generation of the flood risk map based on hydrogrades. The levels recorded at hydrograde '0' and at hydrograde '10' were assessed. The most exposed areas are found in the apex of the fluvial delta, where the highest levels are recorded. The least exposed areas are found within the delta, where the water has a larger surface area because it is directed through the secondary channels and through other channels. The enclosures with dams, e.g., the polders (Pardina and Sireasa), are protected from floods. The dams can be affected only if they break because of poor maintenance. © 2008-2012 IEEE.</t>
  </si>
  <si>
    <t>2-s2.0-85027945943"</t>
  </si>
  <si>
    <t>10.1016/j.jhydrol.2015.01.036</t>
  </si>
  <si>
    <t>https://www.scopus.com/inward/record.uri?eid=2-s2.0-84922782605&amp;doi=10.1016%2fj.jhydrol.2015.01.036&amp;partnerID=40&amp;md5=c5be14dfcf910c41791faaee63dd0853</t>
  </si>
  <si>
    <t>Wetlands provide a vital resource to ecosystem services and associated rural livelihoods but their extent, geomorphological heterogeneity and flat topography make the representation of their hydrological functioning complex. A semi automated method exploiting 526 MODIS (Moderate Resolution Imaging Spectroradiometer) 8-day 500m resolution images was developed to study the spatial and temporal dynamics of the annual flood across the Niger Inner Delta over the period 2000-2011. A composite band ratio index exploiting the Modified Normalised Difference Water Index (MNDWI) and Normalised Difference Moisture Index (NDMI) with fixed thresholds provided the most accurate detection of flooded areas out of six commonly used band ratio indices. K-means classified Landsat images were used to calibrate the thresholds. Estimated flooded surface areas were evaluated against additional classified Landsat images, previous studies and field stage data for a range of hydrological units: river stretches, lakes, floodplains and irrigated areas. This method illustrated how large amounts of MODIS images may be exploited to monitor flood dynamics with adequate spatial and temporal resolution and good accuracy, except during the flood rise due to cloud presence. Previous correlations between flow levels and flooded areas were refined to account for the hysteresis as the flood recedes and for the varying amplitude of the flood. Peak flooded areas varied between 10300km2 and 20000km2, resulting in evaporation losses ranging between 12km3 and 21km3. Direct precipitation assessed over flooded areas refined the wetland's water balance and infiltration estimates. The knowledge gained on the timing, duration and extent of the flood across the wetland and in lakes, floodplains and irrigated plots may assist farmers in agricultural water management. Furthermore insights provided on the wetland's flood dynamics may be used to develop and calibrate a hydraulic model of the flood in the Niger Inner Delta. © 2015 Elsevier B.V.</t>
  </si>
  <si>
    <t>2-s2.0-84922782605"</t>
  </si>
  <si>
    <t>10.1007/s11069-014-1465-0</t>
  </si>
  <si>
    <t>https://www.scopus.com/inward/record.uri?eid=2-s2.0-84922086725&amp;doi=10.1007%2fs11069-014-1465-0&amp;partnerID=40&amp;md5=1d36d088e5f9f2a805beb3bd76e5435f</t>
  </si>
  <si>
    <t>In recent times, tsunamis and typhoons have threatened Japan’s coastal lands with increased flooding and salinity. Using satellite data, we monitored the effect of increased salinity on vegetation health in the coastal area of southern Japan, which was affected by flooding following Typhoon 9918 in 1999. An index of plant activity called the Normalized Difference Vegetation Index (NDVI) was evaluated before and after the typhoon, and the change in NDVI was computed as a comparison measure. The results were then correlated with electric conductivity, which is a measure of soil salinity. A strong negative correlation was found between NDVI ratio and salt concentration (r = − 0.7731, n = 50, p &lt; 0.0001), indicating that the reduced NDVI values were attributable to increased salinity from the flooding. These results not only provide useful insight into a rapid method of assessing large-scale flood impacts using satellite data, but also validate the monitoring of NDVI as an indicator of salinity damage to vegetation. To summarise, by understanding the changes in vegetation health following natural disasters such as flooding (as revealed by NDVI), we can potentially develop improved management strategies. © 2014, The Author(s).</t>
  </si>
  <si>
    <t>2-s2.0-84922086725"</t>
  </si>
  <si>
    <t>10.1007/s11069-014-1459-y</t>
  </si>
  <si>
    <t>https://www.scopus.com/inward/record.uri?eid=2-s2.0-84922082089&amp;doi=10.1007%2fs11069-014-1459-y&amp;partnerID=40&amp;md5=ef8e90dd9a99884e1a32e3fc844e3605</t>
  </si>
  <si>
    <t>Located at the low-lying deltaic floodplain of Ganges–Brahmaputra–Meghna river basin, Bangladesh suffers damages from flooding with regularity. From the perspective of long-term planning and management, a reliable flood damage function is a critical component in the estimation of flood-induced economic loss. Such functions are, however, notoriously difficult to develop. This study utilizes in-stream water level and flood-affected area (FAA) data from Flood Forecasting and Warning Center and Bangladesh Water Development Board to evaluate the best form and data input characteristics of flood damage functions for Bangladesh. The performance of various function configurations (geographic data, water level data, and function form) was tested. The Nash–Sutcliffe efficiency and residual error analysis results suggest that, in general, the logistic function performs better than the other two function forms, and the maximum of daily-maximal water level is the best suited to estimate (FAA). As expected, when information is available from all basins (the Ganges, the Brahmaputra, and the Meghna), the resulting flood damage functions provide the most accurate estimations of FAA. Furthermore, the comparison between single- and multivariable flood damage functions does not demonstrate a clear advantage of using multivariate function in our study area. When flood damage functions with finer spatial and temporal resolution can be constructed using remote sensing technology or hydrodynamic modeling, the intra-year and district-level changes to FAA can be evaluated. These findings provide a better flood management plan for Bangladesh and have potential to be generalized to other similarly flood-affected nations. © 2014, Springer Science+Business Media Dordrecht.</t>
  </si>
  <si>
    <t>2-s2.0-84922082089"</t>
  </si>
  <si>
    <t>10.1016/j.wsj.2015.12.001</t>
  </si>
  <si>
    <t>https://www.scopus.com/inward/record.uri?eid=2-s2.0-85042726416&amp;doi=10.1016%2fj.wsj.2015.12.001&amp;partnerID=40&amp;md5=45572e641ddc6d28f29972aaf9fd9b74</t>
  </si>
  <si>
    <t>This paper presents outcome of our investigation on the influence of modeling parameters on 1D-2D hydrodynamic inundation model for sewer overflow, developed through coupling of an existing 1D sewer network model (SWMM) and 2D inundation model (BREZO). The 1D-2D hydrodynamic model was developed for the purpose of examining flood incidence due to surcharged water on overland surface. The investigation was carried out by performing sensitivity analysis on the developed model. For the sensitivity analysis, modeling parameters, such as mesh resolution Digital Elevation Model (DEM) resolution and roughness were considered. The outcome of the study shows the model is sensitive to changes in these parameters. The performance of the model is significantly influenced, by the Manning's friction value, the DEM resolution and the area of the triangular mesh. Also, changes in the aforementioned modeling parameters influence the Flood characteristics, such as the inundation extent, the flow depth and the velocity across the model domain. © 2016, National Water Research Center.</t>
  </si>
  <si>
    <t>2-s2.0-85042726416"</t>
  </si>
  <si>
    <t>10.1007/s40641-015-0002-x</t>
  </si>
  <si>
    <t>https://www.scopus.com/inward/record.uri?eid=2-s2.0-84935075789&amp;doi=10.1007%2fs40641-015-0002-x&amp;partnerID=40&amp;md5=c386a2585d13998702d0d8849b7095e2</t>
  </si>
  <si>
    <t>Mangrove forests have survived a number of catastrophic climate events since first appearing along the shores of the Tethys Sea during the late Cretaceous-Early Tertiary. The existence of mangrove peat deposits worldwide attests to past episodes of local and regional extinction, primarily in response to abrupt, rapid rises in sea level. Occupying a harsh margin between land and sea, most mangrove plants and associated organisms are predisposed to be either resilient or resistant to most environmental change. Based on the most recent Intergovernmental Panel on Climate Change (IPCC) forecasts, mangrove forests along arid coasts, in subsiding river deltas, and on many islands are predicted to decline in area, structural complexity, and/or in functionality, but mangroves will continue to expand polewards. It is highly likely that they will survive into the foreseeable future as sea level, global temperatures, and atmospheric CO2 concentrations continue to rise. © 2015, Springer International Publishing AG.</t>
  </si>
  <si>
    <t>2-s2.0-84935075789"</t>
  </si>
  <si>
    <t>Annals of the Association of American Geographers</t>
  </si>
  <si>
    <t>10.1080/00045608.2014.988101</t>
  </si>
  <si>
    <t>https://www.scopus.com/inward/record.uri?eid=2-s2.0-84924276360&amp;doi=10.1080%2f00045608.2014.988101&amp;partnerID=40&amp;md5=ff9f45083cfd0ddef65084f705d2a980</t>
  </si>
  <si>
    <t>Local residents, businesspeople, and policymakers engaged in climate change adaptation often think differently of the time available for action. Their understandings of time, and their practices that invoke time, form the complex and sometimes conflicting temporalities of adaptation to environmental change. They link the conditions of the past to those of the present and the future in a variety of ways, and their contemporary practices rest on such linking explicitly or implicitly. Yet the temporal connections between the present and distant future of places are undertheorized and poorly considered in the science and policy of adaptation to environmental change. In this article we address this theoretical and practical challenge by weaving together arguments from social and environmental geography with evidence from small coastal communities in southeastern Australia. We show that the past conditions residents’ imagined futures and that these local, imagined futures are incongruent with scientific, popular, and policy accounts of the future. Thus we argue that the temporalities of adaptation include incommensurate and unacknowledged ways of knowing and that these affect adaptation practices. We propose that strategies devised by governments for adapting to environmental change need to make visible—and calibrate policies with—the diverse temporalities of adaptation. On this basis, the times between the present and the long-term future can be better navigated as a series of short and negotiated policy steps. © 2015, © 2015 by Association of American Geographers.</t>
  </si>
  <si>
    <t>2-s2.0-84924276360"</t>
  </si>
  <si>
    <t>Proceedings of the Royal Society of Victoria</t>
  </si>
  <si>
    <t>10.1071/RS15016</t>
  </si>
  <si>
    <t>https://www.scopus.com/inward/record.uri?eid=2-s2.0-84959247732&amp;doi=10.1071%2fRS15016&amp;partnerID=40&amp;md5=8fab16aaaacc05c5fb31fe6b0126dc70</t>
  </si>
  <si>
    <t>The Snowy River is a major river in south-eastern Australia, discharging to the Tasman Sea via a barrier estuary, with its entrance constricted by marine sands. Since the construction of the Snowy Mountains Scheme, river flows have not been sufficient to maintain the river channel. A program of environmental flow releases (EFR) is returning water to the river to restore the fluvial reaches and is now trialling flow regimes that may also benefit the estuarine reaches. This paper documents the response of the estuarine segments of the Snowy River to two EFRs</t>
  </si>
  <si>
    <t>IWMI Working Papers</t>
  </si>
  <si>
    <t>10.5337/2015.223</t>
  </si>
  <si>
    <t>https://www.scopus.com/inward/record.uri?eid=2-s2.0-85051595720&amp;doi=10.5337%2f2015.223&amp;partnerID=40&amp;md5=f1550cc8bde2fc115603009b6ba77d1f</t>
  </si>
  <si>
    <t>Ecosystem services are commonly defined as the benefits received by humanity via functioning ecosystems. They can be broadly categorized as provisioning, regulating, cultural, and habitat services</t>
  </si>
  <si>
    <t>10.1007/698-2014-316</t>
  </si>
  <si>
    <t>https://www.scopus.com/inward/record.uri?eid=2-s2.0-84950318631&amp;doi=10.1007%2f698-2014-316&amp;partnerID=40&amp;md5=6ce98ce806750241630ea81490f4bccf</t>
  </si>
  <si>
    <t>Hydromorphology describes the physical and hydrological characteristics of rivers and its habitats including the underlying processes from which they result. Hydromorphology is a supplementary but mandatory element of WFD ecological assessment, and hydromorphological alterations were recognized as one of the most important river management issues across Europe. Hydromorphological assessments try to integrate and provide information on how far the conditions derive from pristine conditions (so-called hydromorphological reference conditions). The ICPDR Joint Danube Survey (JDS) 2 in 2007 delivered results on hydromorphological alterations for the navigable Danube River (from Kelheim (rkm 2,416) to the Danube Delta) for the very first time. A five-class assessment similar - but not equal - to the WFD ecological status classes was implemented according to European standards and methodological approaches for large rivers using the three main categories (1. channel</t>
  </si>
  <si>
    <t>10.1071/ASEG2015AB173</t>
  </si>
  <si>
    <t>https://www.scopus.com/inward/record.uri?eid=2-s2.0-85054791377&amp;doi=10.1071%2fASEG2015AB173&amp;partnerID=40&amp;md5=55c03032bd29750e8acb4f3ce504cae6</t>
  </si>
  <si>
    <t>The Broken Hill Managed Aquifer Recharge (BHMAR) project aimed to define key groundwater resources and aquifer storage options in the lower Darling River floodplain of western NSW. The project was multidisciplinary and utilised airborne electromagnetics (AEM), borehole nuclear magnetic resonance (NMR) and LiDAR DEM data and lithological, hydrostratigraphic and hydrochemical information to develop a suite of hydrogeological and groundwater property maps and products. This abstract discusses the methods and results of estimating the transmissivity of the semi-confined target aquifer. Hydrostratigraphy and hydraulic texture classes were mapped by interpreting the AEM data in conjunction with borehole geophysics and lithological information. Aquifer transmissivity was statistically derived by combining borehole NMR hydraulic conductivity estimates with the mapped 3D distribution of texture classes and hydrostratigraphic units. Using a statistical and GIS approach, the derived aquifer thicknesses in the key areas ranged from 20-40 m and the lower and upper transmissivity bounds ranged from 1 to 10 m2/d, and 10 m2/d to 1000 m2/d, respectively. © 2015, Taylor and Francis. All rights reserved.</t>
  </si>
  <si>
    <t>2-s2.0-85054791377"</t>
  </si>
  <si>
    <t>10.1007/s10113-014-0651-7</t>
  </si>
  <si>
    <t>https://www.scopus.com/inward/record.uri?eid=2-s2.0-84939874311&amp;doi=10.1007%2fs10113-014-0651-7&amp;partnerID=40&amp;md5=33c8b9f211cf0c57ff35a26984d82ff0</t>
  </si>
  <si>
    <t>Growing concern on climate-related flood hazards has led to increasing interest in understanding the interactions between climate, flood, and human responses. This paper jointly investigates climate change trends, impacts on flood events, flood vulnerability and risk, and response strategies in the Pearl River Delta (PRD), a rapidly urbanizing coastal area in southeast China. Our analysis based on a reanalysis dataset and model projections are integrated with literature results, which indicates a climate scenario of increasing mean temperature, precipitation, sea level, typhoon intensity, and the frequency of extreme weather events in the PRD. These trends, together with the continuing urbanization in flood-prone areas, are expected to increase flood frequency and aggravate both the scale and degree of flooding in the PRD area. We further estimate the flood vulnerability of the 11 PRD cities using the indicator system method. The results suggest that the exposure and sensitivity of central cities (Hong Kong, Macao, Shenzhen, and Guangzhou) are very high because of highly exposed populations and assets located in lowland areas. However, the potential vulnerability and risk can be low due to high adaptive capacities (both by hard and soft flood-control measures). A novel framework on flood responses is proposed to identify vulnerable links and response strategies in different phases of a flood event. It further suggests that the flood risks can be mitigated by developing an integrated climate response strategy, releasing accurate early warning and action guidance, sharing flood-related information, and applying the advantages of online social network analysis. © 2014, Springer-Verlag Berlin Heidelberg.</t>
  </si>
  <si>
    <t>2-s2.0-84939874311"</t>
  </si>
  <si>
    <t>10.1016/j.wace.2014.07.004</t>
  </si>
  <si>
    <t>https://www.scopus.com/inward/record.uri?eid=2-s2.0-84928754571&amp;doi=10.1016%2fj.wace.2014.07.004&amp;partnerID=40&amp;md5=ee7c25ffa0dbee2468517ec7322d8fc3</t>
  </si>
  <si>
    <t>Most of the coastal cities in Bangladesh are situated on the riverbanks of low-lying tidal zones at an average elevation of 1.0-1.5. m from the sea level. Construction and management of buildings, roads, power and telecommunication transmission lines, drainage and sewerage and waste management are very difficult and vulnerable to climate change disasters. Cyclonic storms associated with tidal floods impact seriously the infrastructures and thus the livelihoods. Although coastal cities are the ultimate shelters of the coastal people during the extremes events, the coastal cities are not safe and cannot support them due to poor infrastructure. This study analyses the challenges coastal urbanization faces under different situations like cyclones, floods and water-logging, salinity, land-sliding and erosion etc. during the disasters and their effects on city lives for water supply and sanitation, power and electricity and waste management etc., and puts forward recommendations towards sustainable planning of coastal cities. © 2014 The Authors.</t>
  </si>
  <si>
    <t>2-s2.0-84928754571"</t>
  </si>
  <si>
    <t>https://www.scopus.com/inward/record.uri?eid=2-s2.0-85020161435&amp;partnerID=40&amp;md5=5015e2c12ab6dcfc9ccc8cb2eb5753f8</t>
  </si>
  <si>
    <t>Increased exposure to sea-level rise, storm surges, and extreme precipitation is driving local governments to respond to warming-induced disasters with appropriate changes to land use regulation, with the significant help of their states and federal agencies. There are three main policies for dealing with sea-level rise, retreat, accommodation, and protection. West Coast officials are struggling to determine the most effective option for their respective localities. Enhanced plans must meet all the requirements of standard plans and contain various additional provisions forming a comprehensive mitigation program. This approach includes demonstrated integration with other state and/or regional plans, documented implementation capability, and a system of review and assessment of completed mitigation actions, including an economic measure of the effectiveness of each. Federal, state, and local governments all have legal jurisdiction over, and legitimate interests in, coastal development and conservation. The principal federal enactment in this field is the Coastal Zone Management Act of 1972.</t>
  </si>
  <si>
    <t>2-s2.0-85020161435"</t>
  </si>
  <si>
    <t>10.1111/gcb.12754</t>
  </si>
  <si>
    <t>https://www.scopus.com/inward/record.uri?eid=2-s2.0-84924415011&amp;doi=10.1111%2fgcb.12754&amp;partnerID=40&amp;md5=07a071cd350dbf681f675cfacde4914d</t>
  </si>
  <si>
    <t>Estuaries and coastal seas provide valuable ecosystem services but are particularly vulnerable to the co-occurring threats of climate change and oxygen-depleted dead zones. We analyzed the severity of climate change predicted for existing dead zones, and found that 94% of dead zones are in regions that will experience at least a 2 °C temperature increase by the end of the century. We then reviewed how climate change will exacerbate hypoxic conditions through oceanographic, ecological, and physiological processes. We found evidence that suggests numerous climate variables including temperature, ocean acidification, sea-level rise, precipitation, wind, and storm patterns will affect dead zones, and that each of those factors has the potential to act through multiple pathways on both oxygen availability and ecological responses to hypoxia. Given the variety and strength of the mechanisms by which climate change exacerbates hypoxia, and the rates at which climate is changing, we posit that climate change variables are contributing to the dead zone epidemic by acting synergistically with one another and with recognized anthropogenic triggers of hypoxia including eutrophication. This suggests that a multidisciplinary, integrated approach that considers the full range of climate variables is needed to track and potentially reverse the spread of dead zones. © 2014 John Wiley &amp; Sons Ltd.</t>
  </si>
  <si>
    <t>2-s2.0-84924415011"</t>
  </si>
  <si>
    <t>10.1007/s10113-014-0639-3</t>
  </si>
  <si>
    <t>https://www.scopus.com/inward/record.uri?eid=2-s2.0-84939877301&amp;doi=10.1007%2fs10113-014-0639-3&amp;partnerID=40&amp;md5=71f221031711f67a17a518188ad1075c</t>
  </si>
  <si>
    <t>Sea-level rise caused by global climate change will have significant impacts on the coastal zone. On tropical and subtropical coasts, mangrove ecosystems occur in the intertidal zone and are particularly sensitive to sea-level rise. Taking the mangrove ecosystems in the coastal zone of Guangxi province, China, as a case study, the potential impacts of sea-level rise were analyzed by adopting the Intergovernmental Panel on Climate Change (IPCC) vulnerability definition. An indicator system for vulnerability assessment on coastal mangroves undergoing sea-level rise was developed, in which the rate of sea-level rise, subsidence/uplift rate, habitat elevation, mean daily inundation duration, intertidal slope and sedimentation rate were selected as the key indicators. A spatial assessment method based on a geographic information systems platform was established by quantifying each indicator, calculating the vulnerability index and grading the vulnerability. Vulnerability assessment, based on the projection of sea-level rise rates from the present trend and IPCC’s A1FI scenario, was performed for three time periods: short term (2030s), medium term (2050s) and long term (2100s). The results showed that, using the present SLR rate of 0.29 cm/year, the mangrove ecosystems in the coastal zone of Guangxi would be affected only in the long-term scenario up to 2100, but not in the short-term or medium-term scenarios. In the long-term scenario of the present trend, 5.4 % of the mangroves would be within areas of low vulnerability. Under the A1FI climate change scenario, with a sea-level rise rate of 0.59 cm/year, 25.8 and 37.3 % of mangroves were within areas of low vulnerability in the scenarios of up to 2030s and the 2050s, while 23.9 and 13.4 % of mangroves were within areas of low and moderate vulnerability in the 2100s, respectively. The development of this new methodology for vulnerability assessment and the results presented in this study could assist with the objective and quantitative assessment of the vulnerability of mangrove ecosystems undergoing the impacts of sea-level rise elsewhere. Without proper mitigation options, the potential decrease and loss of mangrove habitats and ecosystem services from the Guangxi coast are inevitable. Based on the results of this study, mitigation measures should be considered for securing the future of these mangrove ecosystems, which include the management of sedimentation, control of reclamation, and methods for habitat rehabilitation. © 2014, Springer-Verlag Berlin Heidelberg.</t>
  </si>
  <si>
    <t>2-s2.0-84939877301"</t>
  </si>
  <si>
    <t>10.1007/s11027-013-9488-5</t>
  </si>
  <si>
    <t>https://www.scopus.com/inward/record.uri?eid=2-s2.0-84880427786&amp;doi=10.1007%2fs11027-013-9488-5&amp;partnerID=40&amp;md5=c6cd5890e195f04f7de73637c0c51ed6</t>
  </si>
  <si>
    <t>In the Okavango Delta, Botswana, household adaptation to climatic variability hinges upon access to wetland resources. Household adaptation may be effective for current flood variability, but inadequate for future climate variability. Government interventions through adaptation planning for flood variability may also be inadequate. This study aimed to improve knowledge on adaptation planning in the Okavango Delta and similar areas in the world. The specific objectives were to determine household exposure, adaptive capacity and sensitivity to flood-related shocks, identify and assess government interventions for flood variability, and determine the effect of these interventions on household adaptation to flood variability in the Okavango Delta. Informed by the institutional analysis and development framework, the study used data from a survey of 623 households in five villages, some qualitative methods and secondary data sources. The results indicate that households are inherently sensitive to shocks, due to their dependence on natural resource-based livelihood activities, and that most households had sick members (53 %), and were food insecure (74 %). More households were more affected by river desiccation (84 %) than by flooding (23 %). Adaptation planning was implicitly undertaken in the form of disaster risk reduction, and mainstream development and poverty reduction programmes. These effectively contributed to household adaptation to flood variability but inhibited local institutional learning and innovation. Moreover, they were neither participatory nor conformant to local norms and therefore not sustainable in the long term. There is a need to adopt explicit, flexible and participatory approaches to planning to promote autonomous adaptation to flood variability in the Okavango Delta. © 2013, Springer Science+Business Media Dordrecht.</t>
  </si>
  <si>
    <t>2-s2.0-84880427786"</t>
  </si>
  <si>
    <t>Harvard Environmental Law Review</t>
  </si>
  <si>
    <t>https://www.scopus.com/inward/record.uri?eid=2-s2.0-84983382206&amp;partnerID=40&amp;md5=3c7ec3b62a88c9d07eea410da4f3ad68</t>
  </si>
  <si>
    <t>Coastal areas in the United States are already experiencing the effects of sea-level rise, and the best available science predicts significant additional sea-level rise this century. In addition to sea-level rise, storm intensity and storm surge are also increasing. In some coastal areas, continuing population growth is compounding the threats of climate change and sea-level rise. At the same time, one in six of the federally listed endangered and threatened species in the United States is threatened by sea-level rise. Coastal species face displacement, extirpation, and even extinction due to loss of habitat. They are at risk of being trapped between rising sea levels and human development. This threat is exacerbated by unyielding human-made coastal fortifications. This coalescence of factors leads to the phenomenon known as ""coastal squeeze""-the loss of transitional habitat between land and sea. For coastal areas this means that some of the most imperiled species will be pushed closer to the brink of extinction. ""Assisted migration"" refers to one policy prescription to address this problem. The federal government, through the U.S. Fish and Wildlife Service, has the authority-and responsibility-to consider active and passive assisted migration under the Endangered Species Act in managing species threatened with habitat loss due to sea-level rise. The federally protected Florida panther, loggerhead sea turtle, Key tree-cactus, and Lower Keys marsh rabbit inhabit critically imperiled habitat in south Florida and are analyzed to examine this issue from the perspective of species from differing taxa, habitat types, and natural histories. This Article concludes that assisted migration, coupled with preserve and corridor protection and dramatic reductions in greenhouse gas emissions, are necessary for the conservation of imperiled species threatened with sea-level rise.</t>
  </si>
  <si>
    <t>2-s2.0-84983382206"</t>
  </si>
  <si>
    <t>https://www.scopus.com/inward/record.uri?eid=2-s2.0-84966405159&amp;partnerID=40&amp;md5=a7b901dc6eac90bf4e64171a316f4580</t>
  </si>
  <si>
    <t>Among the natural environmental factors directly influenced by climate change are the sea level and ocean level rise and by default the level of the Black Sea, due to melting glaciers under the effect of global average temperature increase. Climatic risk phenomena is the object of extended research, due to its specific characteristics (severity, recurrence, temporality, etc.), which through its strong ecological and economic impact is in the special consideration of the international organisations and specialised institutions of various countries. Thus, the growing frequency and intensity of extreme weather events (storms, squalls, tornadoes) - rising sea levels during storms (storm surges), drifting sand effect due to wind action, particularly strong wave action during storms, was felt more strongly in the last half century, highlighting the increasing risk in terms of hydrological or meteorological phenomena/climate. This paper analyses some of the multiple changes induced by climatic factors influence stairs along the western shore of the Black Sea.</t>
  </si>
  <si>
    <t>2-s2.0-84966405159"</t>
  </si>
  <si>
    <t>10.5194/hess-19-631-2015</t>
  </si>
  <si>
    <t>https://www.scopus.com/inward/record.uri?eid=2-s2.0-84922020886&amp;doi=10.5194%2fhess-19-631-2015&amp;partnerID=40&amp;md5=530830897749f6908a0fc2ed33b46948</t>
  </si>
  <si>
    <t>Topographic data, such as digital elevation models (DEMs), are essential input in flood inundation modelling. DEMs can be derived from several sources either through remote sensing techniques (spaceborne or airborne imagery) or from traditional methods (ground survey). The Advanced Spaceborne Thermal Emission and Reflection Radiometer (ASTER), the Shuttle Radar Topography Mission (SRTM), the light detection and ranging (lidar), and topographic contour maps are some of the most commonly used sources of data for DEMs. These DEMs are characterized by different precision and accuracy. On the one hand, the spatial resolution of low-cost DEMs from satellite imagery, such as ASTER and SRTM, is rather coarse (around 30 to 90 m). On the other hand, the lidar technique is able to produce high-resolution DEMs (at around 1 m), but at a much higher cost. Lastly, contour mapping based on ground survey is time consuming, particularly for higher scales, and may not be possible for some remote areas. The use of these different sources of DEM obviously affects the results of flood inundation models. This paper shows and compares a number of 1-D hydraulic models developed using HEC-RAS as model code and the aforementioned sources of DEM as geometric input. To test model selection, the outcomes of the 1-D models were also compared, in terms of flood water levels, to the results of 2-D models (LISFLOOD-FP). The study was carried out on a reach of the Johor River, in Malaysia. The effect of the different sources of DEMs (and different resolutions) was investigated by considering the performance of the hydraulic models in simulating flood water levels as well as inundation maps. The outcomes of our study show that the use of different DEMs has serious implications to the results of hydraulic models. The outcomes also indicate that the loss of model accuracy due to re-sampling the highest resolution DEM (i.e. lidar 1 m) to lower resolution is much less than the loss of model accuracy due to the use of low-cost DEM that have not only a lower resolution, but also a lower quality. Lastly, to better explore the sensitivity of the 1-D hydraulic models to different DEMs, we performed an uncertainty analysis based on the GLUE methodology. © 2015 Author(s).</t>
  </si>
  <si>
    <t>2-s2.0-84922020886"</t>
  </si>
  <si>
    <t>10.1007/s12040-014-0515-z</t>
  </si>
  <si>
    <t>https://www.scopus.com/inward/record.uri?eid=2-s2.0-84934880940&amp;doi=10.1007%2fs12040-014-0515-z&amp;partnerID=40&amp;md5=7bb63b3a7ae22b4a94a82c9406dbdfb6</t>
  </si>
  <si>
    <t>Watershed morphometric analysis is important for controlling floods and planning restoration actions. The present study is focused on the identification of suitable sites for locating water harvesting structures using morphometric analysis and multi-criteria based decision support system. The Hathmati watershed of river Hathmati at Idar taluka, Sabarkantha district, Gujarat is experiencing excessive runoff and soil erosion due to high intensity rainfall. Earth observation dataset such as Digital Elevation Model and Geographic Information System are used in this study to determine the quantitative description of the basin geometry. Several morphometric parameters such as stream length, elongation ratio, bifurcation ratio, drainage density, stream frequency, texture ratio, form factor, circularity ratio, and compactness coefficient are taken into account for prioritization of Hathmati watershed. The overall analysis reveals that Hathmati comprises of 13 mini-watersheds out of which, the watershed number 2 is of utmost priority because it has the highest degradation possibilities. The final results are used to locate the sites suitable for water harvesting structures using geo-visualization technique. After all the analyses, the best possibilities of check dams in the mini-watersheds that can be used for soil and water conservation in the watershed are presented. © Indian Academy of Sciences.</t>
  </si>
  <si>
    <t>2-s2.0-84934880940"</t>
  </si>
  <si>
    <t>https://www.scopus.com/inward/record.uri?eid=2-s2.0-84947915726&amp;partnerID=40&amp;md5=5ca2c6d200e70a9c46032e34231cd007</t>
  </si>
  <si>
    <t>Flooding is the most recurrent and devastating phenomenon around the globe. Heavy precipitation in the monsoon season especially in south Asian countries like, Pakistan, Bangladesh and India coupling with snow melting, generates, overflow in the river channels. This overflow in the river channel ravages the downstream areas and cause damages to both life and property. Due to the frequent flooding and its destruction, the demand for flood hazard assessment using GIS and RS, has tremendously increased. In the present study the river channel in the district Swat, northern Pakistan was modeled through the integration of field data, HECRAS, ASTER DEM and GIS. GIS and HEC-GeoRAS were used for the geospatial analysis of the study using ASTER DEM (30 m). The river geometry data was obtained through the field survey using Total Station (Sokkia, Model No= CX105). HEC-RAS has been used for the simulation of the hydrological data. The HECRAS model was calibrated by known water discharge (4971 m3/s) for the peak flood of 2010 with the support of Manning's 'n' values and contraction and expansion of the river channel. The overall model results show an average difference of 0.36 m, which is in the acceptable limits. To validate the results against known water surface (HFL) for the year 2010, a correlation curve was developed. The curve indicated best correlation (R2= 0.99) between known and computed water surfaces. However, due to the relatively coarse resolution of the ASTER DEM, the development of flood hazard map was limited. Further, the study suggested that the integration of GIS, RS and HEC-RAS play a vital role in the prediction of future floods and its spatial inundation in the nearby floodplains. © 2015, National Centre of Excellence in Geology. All rights reserved.</t>
  </si>
  <si>
    <t>2-s2.0-84947915726"</t>
  </si>
  <si>
    <t>10.1007/s11027-013-9506-7</t>
  </si>
  <si>
    <t>https://www.scopus.com/inward/record.uri?eid=2-s2.0-84883665331&amp;doi=10.1007%2fs11027-013-9506-7&amp;partnerID=40&amp;md5=50f790de965642bc26811e0ef334c560</t>
  </si>
  <si>
    <t>Low elevation coastal zone (LECZ) in China is densely populated and economically developed, which is exposed to increasing risks of hazards related to climate change and sea level rise. To mitigate risks and achieve sustainable development, we need to better understand LECZ. As the first step, in this paper we define the extent of the LECZ in China, and analyze the spatial distribution of LECZ and its population, using a geographic information system software (ArcGIS) to combine elevation models and population data sets. Our findings show that, overall, this zone covers 2.0 % of China’s land area but contains 12.3 % of the total population, which is the largest population living in LECZ in the world. There are large regional variations in the distribution of both LECZ and LECZ population, with half of the LECZ within 30 km from the coastline, and Jiangsu Province having the largest LECZ area and population. The LECZ is also concentrated in three major economic zones in China, which accounts for 54 % of LECZ and three quarters of all LECZ population in China. The impact of future climate change on China’s LECZ is exacerbated by rapid economic and population growth, urbanization and environmental degradation. Coordinating development in coastal and inland China, enhancing adaptive capacity and implementing integrated risk management for LECZ are needed to reduce the risks related to climate change and to achieve sustainable development. © 2013, The Author(s).</t>
  </si>
  <si>
    <t>2-s2.0-84883665331"</t>
  </si>
  <si>
    <t>10.1007/s11069-014-1493-9</t>
  </si>
  <si>
    <t>https://www.scopus.com/inward/record.uri?eid=2-s2.0-84925534520&amp;doi=10.1007%2fs11069-014-1493-9&amp;partnerID=40&amp;md5=ad0fef98acc4341419abe61201fdd61a</t>
  </si>
  <si>
    <t>Flood risk management serves to reduce the negative consequences of flood disaster to a certain extent. In agriculture-dominated countries, the extent of damage incurred in crop land by heavy and frequent floods is quite high. The present study aims to develop an optimal rice planning procedure considering the flood risk through hydrodynamic floodplain modeling in flood-prone delta region of Mahanadi river basin in India. As high-resolution topographic data and surveyed river cross sections are unavailable for the study area, MIKE FLOOD model setup is prepared using river cross sections and floodplain elevation model derived from freely available SRTM DEM. In this study, MIKE FLOOD setup is prepared and flood inundation simulation is carried out. Flood inundation extent obtained is compared with RADARSAT-1 image-based inundation extent. Subsequently, flood risk is evaluated for cropping pattern in floodplains using functional relationships between flood characteristics and the expected damage of different rice varieties. Based on the flood risk, an optimal rice planning model is developed for maximizing the net benefits in the floodplain. The average annual expected net benefit of optimal rice allocation model for the study area is to the tune of INR 601 million compared to INR 432 million for normal rice variety cultivation throughout the study area. © 2014, Springer Science+Business Media Dordrecht.</t>
  </si>
  <si>
    <t>2-s2.0-84925534520"</t>
  </si>
  <si>
    <t>10.1007/s11852-014-0349-5</t>
  </si>
  <si>
    <t>https://www.scopus.com/inward/record.uri?eid=2-s2.0-84928379415&amp;doi=10.1007%2fs11852-014-0349-5&amp;partnerID=40&amp;md5=306d5066e48c07f82173091c54504f95</t>
  </si>
  <si>
    <t>With sea level rise, erosion, and human disturbances affecting coastal areas, strategies to protect and stabilize existing shorelines are needed. One popular solution to stabilize while conserving intertidal habitat is the use of “living shoreline” techniques which are designed to mimic natural shoreline communities by using native plants and animals. However, little information is available on the success of living shoreline stabilization. This project evaluated the wave energy attenuation associated with living shorelines that contained Crassostrea virginica (eastern oyster) and/or Spartina alterniflora (smooth cordgrass) in a wave tank. Four living shoreline techniques were assessed, including a control (sediment only), oysters alone, cordgrass alone, and a combination of oysters plus cordgrass. Time since deployment (newly deployed, one-year after deployment) was also assessed to see how wave energy attenuation changed with natural oyster recruitment and plant growth. Wave energy was calculated for each newly deployed and one-year old shoreline stabilization treatment using capacitance wave gauges and generated waves that were representative of boat wakes in Mosquito Lagoon, a shallow-water estuary in Florida. All one-year old treatments attenuated significantly more energy than newly-deployed treatments. The combination of one-year old S. alterniflora plus live C. virginica was the most effective as this treatment reduced 67 % of the wave energy created by a single recreational boat wake, compared to bare sediment. Natural resource managers and landowners facing shoreline erosion issues can use this information to create effective stabilization protocols that preserve shorelines while conserving native intertidal habitats. © 2014, Springer Science+Business Media Dordrecht.</t>
  </si>
  <si>
    <t>2-s2.0-84928379415"</t>
  </si>
  <si>
    <t>Malaysian Journal of Science</t>
  </si>
  <si>
    <t>10.22452/mjs.vol34no1.8</t>
  </si>
  <si>
    <t>https://www.scopus.com/inward/record.uri?eid=2-s2.0-84957800571&amp;doi=10.22452%2fmjs.vol34no1.8&amp;partnerID=40&amp;md5=7c57a6ead8b909f8ae149055ca300596</t>
  </si>
  <si>
    <t>Mangroves have substantial roles to induce sedimentation in the vulnerable coastal regions, which subsequently helps to combat climate change induced impacts like sea level rise. Although Sarawak has numerous pristine estuarine mangroves, studies on the roles of these mangroves in regards to sediment deposition are scanty. Therefore, this study was carried out to determine the sediment accretion and accumulation pattern of pristine Sibuti mangrove using tiles and sediment traps from January to December 2013. Monthly average accretion and accumulation rate of sediments of this mangrove were 0.55 mm and 0.08 g cm-2, respectively. A total of 6.56 mm and 0.93 g cm-2 sediments were accreted and accumulated annually. Significantly positive correlation (r=0.794) was found for the monthly accretion of sediments with accumulation. Accretion and accumulation of sediments were also positively correlated with rainfall. Comparatively higher rate of accretion and accumulation of sediments were estimated in the months of wet season when the rainfall and tidal inundation duration were high. Erosion was found higher in the months of dry season when the rainfall was low. Seasonal variations were not found for sediment accretion as well as accumulation in the study area. The findings of the study suggest that the roles of this forest in regards to sediment accretion through retention is compatible with the predicted annual rate of sea level rise of 1.8 to 5.9 mm within 21st century by IPCC.</t>
  </si>
  <si>
    <t>2-s2.0-84957800571"</t>
  </si>
  <si>
    <t>10.1051/lhb/20150014</t>
  </si>
  <si>
    <t>https://www.scopus.com/inward/record.uri?eid=2-s2.0-84930243478&amp;doi=10.1051%2flhb%2f20150014&amp;partnerID=40&amp;md5=b15083c540b0a4d2879db5d748aa6782</t>
  </si>
  <si>
    <t>The aim of this paper is to present an overview of ""model coupling"" methods and issues in the area of environmental hydrodynamics, particularly coastal hydrodynamics and surface/subsurface hydrology. To this end, we will examine specific coupled phenomena in order to illustrate coupling hypotheses and methods, and to gain new insights from analyses of modelling results in comparison with experiments. Although this is to some extent a review of recent works, nevertheless, some of the methods and results discussed here were not published before, and some of the analyses are new. Moreover, this study is part of a more general framework concerning various types of environmental interactions, such as: interactions between soil water flow (above the water table) and groundwater flow (below the water table)</t>
  </si>
  <si>
    <t>10.1080/03736245.2014.924865</t>
  </si>
  <si>
    <t>https://www.scopus.com/inward/record.uri?eid=2-s2.0-84988269561&amp;doi=10.1080%2f03736245.2014.924865&amp;partnerID=40&amp;md5=21bfcd94eb912705537b71f79ce1bc35</t>
  </si>
  <si>
    <t>Cities are increasingly recognised as places in which climate change risks coalesce and from which climate change adaptation efforts are most likely to be mobilised. In an effort to reduce damages from storm surges and sea-level rise, the City of Cape Town municipal government set out to establish a coastal set-back line. This paper describes the process and highlights the potential for unanticipated conflict and resistance when notions of best practice fail to consider local institutional interests and pre-existing legislation. This insight is important as coastal municipalities in South Africa look to implement set-back lines in compliance with the Integrated Coastal Management Act (Act 24 of 2008). McKenna et al. [McKenna, J., Cooper, A., &amp; O'Hagan, A.M., Managing by principle: A critical analysis of the european principles of integrated coastal zone management (ICZM). Marine Policy, 32, 941-955. doi:10.1016/j.marpol.2008.02.005] elucidate the potential for conflicts and contradictions when applying the principles of Integrated Coastal Zone Management in Europe. Developing and a applying a set-back line for Cape Town's coastline was anticipated to be difficult given that the city remains socio-economically unequal and spatially segregated and that the coastline provides multiple different communities with amenities, resources and opportunities at the same time. What was not anticipated was the encountered resistance from within public sector directorates operating under the same policies. The paper suggests that differences in mentalities, technologies and resources (following Wood, J., and Shearing, C., (2007) Imagining security. Devon: Willan Publishing) make for subjective policy interpretations and applications by local officials. Recognising and managing these differences is critical if notions of best practice prescribed at higher governance levels are to prove useful to climate change adaptation measures at the local scale. © 2014 Society of South African Geographers.</t>
  </si>
  <si>
    <t>2-s2.0-84988269561"</t>
  </si>
  <si>
    <t>10.1002/2014EF000282</t>
  </si>
  <si>
    <t>https://www.scopus.com/inward/record.uri?eid=2-s2.0-85000366292&amp;doi=10.1002%2f2014EF000282&amp;partnerID=40&amp;md5=a29000bfe88540ea3709c4988e805a72</t>
  </si>
  <si>
    <t>Tides exert a major control on the coastal zone by influencing high sea levels and coastal flooding, navigation, sediment dynamics, and ecology. Therefore, any changes to tides have wide ranging and important implications. In this paper, we uniquely assess secular changes in 15 regularly used tidal levels (five high water, five low water and five tidal ranges), which have direct practical applications. Using sea level data from 220 tide gauge sites, we found changes have occured in all analyzed tidal levels in many parts of the world. For the tidal levels assessed, between 36% and 63% of sites had trends significantly different (at 95% confidence level) from zero. At certain locations, the magnitude of the trends in tidal levels were similar to trends in mean sea level over the last century, with observed changes in tidal range and high water levels of over 5 mm yr-1 and 2 mm yr-1, respectively. More positive than negative trends were observed in tidal ranges and high water levels, and vice versa for low water levels. However we found no significant correlation between trends in mean sea level (MSL) and any tidal levels. Spatially coherent trends were observed in some regions, including the north-east Pacific, German Bight and Australasia, and we also found that differences in trends occur between different tidal levels. This implies that analyzing different tidal levels is important. Because changes in the tide are widespread and of similar magnitude to MSL rise at a number sites, changes in tides should be considered in coastal risk assessments. Key Points Changes in tidal levels are globally distributed and large at some sites Mechanisms ranging from global to local affect the trends in tidal levels Significant differences exist between trends in different tidal levels. © 2015 The Authors.</t>
  </si>
  <si>
    <t>2-s2.0-85000366292"</t>
  </si>
  <si>
    <t>https://www.scopus.com/inward/record.uri?eid=2-s2.0-84952666843&amp;partnerID=40&amp;md5=3d63f66c111ac83b23346c23ec85fd40</t>
  </si>
  <si>
    <t>The South Australian planning regime considers the anticipated coastal impacts of climate change (increased storm surge, coastal erosion and sea level rise) to be a serious threat to the State’s natural and urban environments. It adopts the notions of ecologically sustainable development (ESD) and the precautionary principle by accepting climate change as a certain phenomenon and facilitating the implementation of adaptive and protective measures. However, the regime limits the availability of these measures to new developments. It is argued that this “narrow” approach to adaptation reflects the balancing of competing factors consistent with ESD and recognises the practical challenges of implementing a comprehensive policy response in light of resourcing, potential risks and liabilities, the dearth of evidence and climate change perceptions. Moreover, it represents a reasonable governmental response to coastal climate change which influences the potential civil liability of local and State governments for future climate change-based harm. © 2015, Thomson Reuters (Professional) Australia Ltd. All rights reserved.</t>
  </si>
  <si>
    <t>2-s2.0-84952666843"</t>
  </si>
  <si>
    <t>10.1016/j.geomorph.2014.11.013</t>
  </si>
  <si>
    <t>https://www.scopus.com/inward/record.uri?eid=2-s2.0-84917707274&amp;doi=10.1016%2fj.geomorph.2014.11.013&amp;partnerID=40&amp;md5=63c841b5111e8cfc3e104fccd52b700c</t>
  </si>
  <si>
    <t>A key requirement for effective coastal zone management is good knowledge of historical rates of change and the ability to predict future shoreline evolution, especially for rapidly eroding areas. Historical shoreline recession analysis was used for the prediction of future cliff shoreline positions along a section of 9. km between Bridlington and Hornsea, on the northern area of the Holderness Coast, UK. The analysis was based on historical maps and aerial photographs dating from 1852 to 2011 using the Digital Shoreline Analysis System (DSAS) 4.3, extension of ESRI's ArcInfo 10.×. The prediction of future shorelines was performed for the next 40. years using a variety of techniques, ranging from extrapolation from historical data, geometric approaches like the historical trend analysis, to a process-response numerical model that incorporates physically-based equations and geotechnical stability analysis. With climate change and sea-level rise implying that historical rates of change may not be a reliable guide for the future, enhanced visualization of the evolving coastline has the potential to improve awareness of these changing conditions. Following the IPCC, 2013 report, two sea-level rise rates, 2. mm/yr and 6. mm/yr, have been used to estimate future shoreline conditions. This study illustrated that good predictive models, once their limitations are estimated or at least defined, are available for use by managers, planners, engineers, scientists and the public to make better decisions regarding coastal management, development, and erosion-control strategies. © 2014 Elsevier B.V.</t>
  </si>
  <si>
    <t>2-s2.0-84917707274"</t>
  </si>
  <si>
    <t>Studia Quaternaria</t>
  </si>
  <si>
    <t>10.1515/squa-2015-0007</t>
  </si>
  <si>
    <t>https://www.scopus.com/inward/record.uri?eid=2-s2.0-84949982848&amp;doi=10.1515%2fsqua-2015-0007&amp;partnerID=40&amp;md5=0710b957930ec15c39578bd43ed3bc5e</t>
  </si>
  <si>
    <t>The paper presents a research on a marginal zone near Knyszewicze in the southern part of Sokółka Hills (northeastern Poland). Terminal moraine hills are arranged amphitheatrically in a lobal pattern. Dynamics of the Knyszewicze frontal ice-sheet lobe during the Saale Glaciation and successive stages of the marginal zone near the village of Knysze-wicze were reconstructed based on sedimentary and geomorphological analysis, using a digital elevation model and morpholineaments. Three main phases of the Knyszewicze glacial-lobe activity were identified including accumulation of glaciofluvial deposits, advances of the ice margin and ice-lobe retreat. Moraine hills developed at a stable ice-lobe terminus, initially as short end-moraine fans with the foliowing sequence of lithofacies Gh⟹SGh⟹Sh or Gm⟹Gh⟹Sh. Such a sequence indicates cyclic sheet-floods. During a small but dynamic advance of the ice sheet terminus, these deposits were moved forward and monoclinally folded, then furrowed with sloping faults due to horizontal pressure. Typical thrust-block push moraines developed in this way. Ice sheet advance took place when permafrost was present in the substratum and very high water pressure occurred at glacial terminus. Inside a lobal configuration of moraines, there is a rich inventory of glacial forms with a classic terminal depression in the central part. Based on this landform pattern, their shape, rhythm and glaciotectonic disturbances, the land relief may be referred to as a hill-hole pair. The structure of Horczaki Knoll, deposited on the sub-Quaternary tectonic structure, significantly contributed to a development of this marginal zone. © 2015, Scientific Publishers OWN. All rights reserved.</t>
  </si>
  <si>
    <t>2-s2.0-84949982848"</t>
  </si>
  <si>
    <t>10.1016/j.cities.2014.10.001</t>
  </si>
  <si>
    <t>https://www.scopus.com/inward/record.uri?eid=2-s2.0-84908583856&amp;doi=10.1016%2fj.cities.2014.10.001&amp;partnerID=40&amp;md5=232a88f58b34663af51992a887ec551f</t>
  </si>
  <si>
    <t>Ningbo is located in the south-east of Yangtze River Delta by the East China Sea, 220 km south of Shanghai. The city has been an important port in East China for foreign trade since 7th century. Since 1980s, encouraged by China's economic ""open-door"" policy, one of the ways the city attracted foreign investment and thus grew its economy was by establishing multi-functional economic development zones near its deep-water port. As a result, Ningbo is now one of the top ten coastal ports in the world (as measured in Twenty-Foot Equivalent Units, TEUs). Similarly, the city's GDP per capita is approximately three times the national average.The current and historic prosperity of Ningbo is in no small way related to its geographical position, just 20km inland from the Hangzhou estuary and the gateway to the East China Sea. It is also the approximate centre of a 1000km2 coastal plain, at the confluence of the Fenghua and Yao Rivers, and from where the Yong River leads to the sea. However, also a result of this geographic location the city is now facing an increasing risk of coastal flooding caused by increase in urban area</t>
  </si>
  <si>
    <t>10.5751/ES-07018-200130</t>
  </si>
  <si>
    <t>https://www.scopus.com/inward/record.uri?eid=2-s2.0-84923621688&amp;doi=10.5751%2fES-07018-200130&amp;partnerID=40&amp;md5=33428020810639dd5c86bf0a05474b83</t>
  </si>
  <si>
    <t>Decision makers that are responsible for stewardship of natural resources face many challenges, which are complicated by uncertainty about impacts from climate change, expanding human development, and intensifying land uses. A systematic process for evaluating the social and ecological risks, trade-offs, and cobenefits associated with future changes is critical to maximize resilience and conserve ecosystem services. This is particularly true in coastal areas where human populations and landscape conversion are increasing, and where intensifying storms and sea-level rise pose unprecedented threats to coastal ecosystems. We applied collaborative decision analysis with a diverse team of stakeholders who preserve, manage, or restore tidal marshes across the San Francisco Bay estuary, California, USA, as a case study. Specifically, we followed a structured decision-making approach, and we using expert judgment developed alternative management strategies to increase the capacity and adaptability to manage tidal marsh resilience while considering uncertainties through 2050. Because sea-level rise projections are relatively confident to 2050, we focused on uncertainties regarding intensity and frequency of storms and funding. Elicitation methods allowed us to make predictions in the absence of fully compatible models and to assess short- and long-term trade-offs. Specifically we addressed two questions. (1) Can collaborative decision analysis lead to consensus among a diverse set of decision makers responsible for environmental stewardship and faced with uncertainties about climate change, funding, and stakeholder values? (2) What is an optimal strategy for the conservation of tidal marshes, and what strategy is robust to the aforementioned uncertainties? We found that when taking this approach, consensus was reached among the stakeholders about the best management strategies to maintain tidal marsh integrity. A Bayesian decision network revealed that a strategy considering sea-level rise and storms explicitly in wetland restoration planning and designs was optimal, and it was robust to uncertainties about management effectiveness and budgets. We found that strategies that avoided explicitly accounting for future climate change had the lowest expected performance based on input from the team. Our decision-analytic framework is sufficiently general to offer an adaptable template, which can be modified for use in other areas that include a diverse and engaged stakeholder group. © 2015 by the author(s).</t>
  </si>
  <si>
    <t>2-s2.0-84923621688"</t>
  </si>
  <si>
    <t>10.2112/JCOASTRES-D-12-00228.1</t>
  </si>
  <si>
    <t>https://www.scopus.com/inward/record.uri?eid=2-s2.0-84937002812&amp;doi=10.2112%2fJCOASTRES-D-12-00228.1&amp;partnerID=40&amp;md5=4b7504070e15f142ea4cffd75035d5cd</t>
  </si>
  <si>
    <t>There is a growing demand in Australia for better information to assess the risks associated with sea-level rise and coastal inundation. Seamless elevation data across the littoral zone is an essential requirement for the assessment of coastal risks and the development of adaptation and mitigation strategies. Seamless coastal data products require the integration of topographic data with offshore bathymetric data. A prerequisite for the integration process is that the respective elevation data sets be related to the same vertical datum. This article discusses the development of a vertical datum transformation approach to facilitate the creation of seamless elevation data sets across the Australian littoral zone, with a focus on the challenges unique to Australia. Review of international projects, research into the relevant concepts, and an investigation of the data sets available in Australia led to the adoption of an ellipsoid-based transformation approach. Mean sea-level heights related to the ellipsoid and derived from coastal tide gauges were used to enhance a satellite altimetry-derived mean sea surface. Other tidal datums were modelled through hydrodynamic modelling, and the Australian Height Datum was achieved via Australia's current geoid model: AUSGeoid09. Although a transformation procedure has been developed, the current status and availability of Australian tide gauge data prevent the production of a suitably accurate and reliable vertical datum transformation software tool that provides full coverage of the Australian coast. To produce such a tool, Australia requires the collation of existing tide gauge data and metadata, a repository to store that data, an ellipsoid height survey of all tide gauges, and a denser network of tide gauges. © Coastal Education &amp; Research Foundation 2015.</t>
  </si>
  <si>
    <t>2-s2.0-84937002812"</t>
  </si>
  <si>
    <t>10.1007/s10584-014-1301-2</t>
  </si>
  <si>
    <t>https://www.scopus.com/inward/record.uri?eid=2-s2.0-84916606437&amp;doi=10.1007%2fs10584-014-1301-2&amp;partnerID=40&amp;md5=e14edeca7e911178d4021fbf482a3144</t>
  </si>
  <si>
    <t>We simulate the vulnerability of all 35 Florida coastal counties to the ongoing Anthropocene marine transgression using a bathtub model unconstrained by the artificial end date of year 2100. Our projections are based upon the association between rising sea level and atmospheric temperature</t>
  </si>
  <si>
    <t>10.1016/j.geomorph.2014.09.001</t>
  </si>
  <si>
    <t>https://www.scopus.com/inward/record.uri?eid=2-s2.0-84907646264&amp;doi=10.1016%2fj.geomorph.2014.09.001&amp;partnerID=40&amp;md5=01c1d89910fa7d8517d9c42dedd1e421</t>
  </si>
  <si>
    <t>Most theories on the stability of estuarine morphology highlight the dominance of tidal asymmetry in controlling the morphological stability. Numerical modelling experiments over a series of morphologically different idealised estuaries show that wind and waves are far more efficient than tides at eroding intertidal areas, with the effect being subtly dependent on the depth distribution in the intertidal. Moreover, the wind and wave climate can substantially alter the hydrodynamic regime over the entire estuary and in intertidal areas can exert much greater control on asymmetry than tidal currents alone, which dominate the deeper channels. The strong influence of waves on the intertidal hydrodynamic regime means that the depth profile, around which the intertidal morphology stabilises, is highly dependent on the presence of wind and waves. Under tides alone, the currents over intertidal flats will remain flood-dominant causing continued accretion until tidal currents become too weak to entrain sediment. Therefore, estuaries with only tidal currents are likely to evolve into in-filled salt-marshes with drainage channels, whereas fetch-align estuaries have a greater probability of attaining deeper hydrodynamically maintained stable intertidal areas. © 2014 Elsevier B.V.</t>
  </si>
  <si>
    <t>2-s2.0-84907646264"</t>
  </si>
  <si>
    <t>10.1890/14-0239.1</t>
  </si>
  <si>
    <t>https://www.scopus.com/inward/record.uri?eid=2-s2.0-84922017722&amp;doi=10.1890%2f14-0239.1&amp;partnerID=40&amp;md5=cd41fdc22a0a3bb83049656fa7a078b9</t>
  </si>
  <si>
    <t>Arctic ecosystems are vulnerable to the combined effects of climate change and a range of other anthropogenic perturbations. Predicting the cumulative impact of these stressors requires an improved understanding of the factors affecting ecological resilience. In September of 1999, a severe storm surge in the Mackenzie Delta flooded alluvial surfaces up to 30 km inland from the coast with saline waters, driving environmental impacts unprecedented in the last millennium. In this study we combined field monitoring of permanent sampling plots with an analysis of the Landsat archive (1986-2011) to explore the factors affecting the recovery of ecosystems to this disturbance. Soil salinization following the 1999 storm caused the abrupt dieback of more than 30 000 ha of tundra vegetation. Vegetation cover and soil chemistry show that recovery is occurring, but the rate and spatial extent are strongly dependent on vegetation type, with graminoid- and upright shrub-dominated areas showing recovery after a decade, but dwarf shrub tundra exhibiting little to no recovery over this period. Our analyses suggest that recovery from salinization has been strongly influenced by vegetation type and the frequency of freshwater flooding following the storm. With increased ocean storm activity, rising sea levels, and reduced sea ice cover, Arctic coastal ecosystems will be more likely to experience similar disturbances in the future, highlighting the importance of combining field sampling with regional-scale remote sensing in efforts to detect, understand, and anticipate environmental change. © 2015 by the Ecological Society of America</t>
  </si>
  <si>
    <t>2-s2.0-84922017722"</t>
  </si>
  <si>
    <t>10.3390/rs70911695</t>
  </si>
  <si>
    <t>https://www.scopus.com/inward/record.uri?eid=2-s2.0-84942524222&amp;doi=10.3390%2frs70911695&amp;partnerID=40&amp;md5=2eda17c4d82374462c31341d4762a2c5</t>
  </si>
  <si>
    <t>Detailed information about coastal inundation is vital to understanding dynamic and populated areas that are impacted by storm surge and flooding. To understand these natural hazard risks, lidar elevation surfaces are frequently used to model inundation in coastal areas. A single-value surface method is sometimes used to inundate areas in lidar elevation surfaces that are below a specified elevation value. However, such an approach does not take into consideration hydrologic connectivity between elevation grids cells resulting in inland areas that should be hydrologically connected to the ocean, but are not. Because inland areas that should drain to the ocean are hydrologically disconnected by raised features in a lidar elevation surface, simply raising the water level to propagate coastal inundation will lead to inundation uncertainties. We took advantage of this problem to identify hydrologically disconnected inland areas to point out that they should be considered for coastal inundation, and that a lidar-based hydrologic surface should be developed with hydrologic connectivity prior to inundation analysis. The process of achieving hydrologic connectivity with hydrologic-enforcement is not new, however, the application of hydrologically-enforced lidar elevation surfaces for improved coastal inundation mapping as approached in this research is innovative. In this article, we propagated a high-resolution lidar elevation surface in coastal Staten Island, New York to demonstrate that inland areas lacking hydrologic connectivity to the ocean could potentially be included in inundation delineations. For inland areas that were hydrologically disconnected, we evaluated if drainage to the ocean was evident, and calculated an area exceeding 11 ha (~0.11 km2) that could be considered in inundation delineations. We also assessed land cover for each inland area to determine the type of physical surfaces that would be potentially impacted if the inland areas were considered as part of a coastal inundation. A visual analysis indicated that developed, medium intensity and palustrine forested wetland land cover types would be impacted for those locations. This article demonstrates that hydrologic connectivity is an important factor to consider when inundating a lidar elevation surface. This information is needed for inundation monitoring and management in sensitive coastal regions. © 2015 by the authors.</t>
  </si>
  <si>
    <t>2-s2.0-84942524222"</t>
  </si>
  <si>
    <t>10.2166/wp.2015.003</t>
  </si>
  <si>
    <t>https://www.scopus.com/inward/record.uri?eid=2-s2.0-84926318074&amp;doi=10.2166%2fwp.2015.003&amp;partnerID=40&amp;md5=7908a1b7bac357e52cb4fb8d6ee9013d</t>
  </si>
  <si>
    <t>This paper focuses on the recently changed perspectives in the Netherlands' risk reduction philosophy, aimed at protecting a densely populated delta at a lasting high safety level throughout this century while addressing the impacts of climate change and socio-economic developments. The changed perspectives reflect a shift from policy development and implementation following a disaster (reactive) to a nationwide approach of climate-proofing the delta and thus anticipating projections of climate change and socio-economic developments at the end of this century (proactive: prevention). In addition to presenting these changed perspectives, lessons learnt are presented from Dutch experience, which can be applied to flood-prone areas around the globe. The connecting theme through these lessons learnt is the realisation that a proactive approach to flood prevention instead of reacting to flood disasters pays off and should be the way forward for densely populated, flood-prone areas. © IWA Publishing 2015.</t>
  </si>
  <si>
    <t>2-s2.0-84926318074"</t>
  </si>
  <si>
    <t>10.3390/rs70708883</t>
  </si>
  <si>
    <t>https://www.scopus.com/inward/record.uri?eid=2-s2.0-84937825076&amp;doi=10.3390%2frs70708883&amp;partnerID=40&amp;md5=aca85f8c80ac948fef5b2e13e4a016ac</t>
  </si>
  <si>
    <t>A large-area map of the spatial distribution of rice is important for grain yield estimations, water management and an understanding of the biogeochemical cycling of carbon and nitrogen. In this paper, we developed the Normalized Weighted Difference Water Index (NWDWI) for identifying the unique characteristics of rice during the flooding and transplanting period. With the aid of the ASTER Global Digital Elevation Model and the phenological data observed at agrometeorological stations, the spatial distributions of single cropping rice and double cropping early and late rice in the Yangtze River Delta region were generated using the NWDWI and time-series Enhanced Vegetation Index data derived from MODIS/Terra data during the 2000-2010 period. The accuracy of the MODIS-derived rice planting area was validated against agricultural census data at the county level. The spatial accuracy was also tested based on a land use map and Landsat ETM+ data. The decision coefficients for county-level early and late rice were 0.560 and 0.619, respectively. The MODIS-derived area of late rice exhibited higher consistency with the census data during the 2000-2010 period. The algorithm could detect and monitor rice fields with different cropping patterns at the same site and is useful for generating spatial datasets of rice on a regional scale. © 2015 by the authors.</t>
  </si>
  <si>
    <t>2-s2.0-84937825076"</t>
  </si>
  <si>
    <t>10.1016/j.geomorph.2014.08.032</t>
  </si>
  <si>
    <t>https://www.scopus.com/inward/record.uri?eid=2-s2.0-84907626888&amp;doi=10.1016%2fj.geomorph.2014.08.032&amp;partnerID=40&amp;md5=72329ff9404da01ea467a4ae3b6dbacc</t>
  </si>
  <si>
    <t>Salt-marshes are under increasing threat, particularly from sea-level rise and increased wave action associated with climate change. The development and stability of these valuable habitats largely depend on complex interactions between biotic and abiotic processes operating at different scales. Also, interactions between biotic and abiotic processes drive internal morphological change in salt-marshes. In this paper we used a biogeomorphological approach to assess the impact of biological activities and interactions on salt pan formation in Sarcocornia-dominated salt marshes. Salt pans represent a key physiographic feature of salt-marshes and recent studies hypothesized that biogeomorphic processes could be related to salt pan formation in SW Atlantic salt-marshes. The glasswort Sarcocornia perennis is one of the dominant plants in the salt-marshes of the Bahía Blanca Estuary (Argentina) where they form patches up to 8m in diameter. These salt-marshes are also inhabited in great densities by the burrowing crab Neohelice (Chasmagnathus) granulata whose bioturbation rates are among the highest reported for salt-marshes worldwide. A set of biological interactions between N. granulata and S. perennis appears to be responsible for salt pan development in these areas which has not been described elsewhere. The main objective of this work was to determine the ecological interactions occurring between plants and crabs that lead to salt pan formation by using field-based sampling and manipulative experiments. Our results showed that S. perennis facilitated crab colonization of the salt-marsh by buffering otherwise stressful physical conditions (e.g., temperature, desiccation). Crabs preferred to construct burrows underneath plants and, once they reach high densities (up to 40 burrowsm-2), the sediment reworking caused plant die-off in the central area of patches. At this state, the patches lose elevation and become depressed due to the continuous bioturbation by crabs. Thus, salt pans are generated in this case by a set of biogeomorphic processes that include pure ecological interactions such as plant facilitation of crab settlement and also indirect negative effects of crabs on plant survival. Furthermore, crab bioturbation affects sediment structure due to concentration of burrowing activity under plant canopies promoting elevation loss and leading, after a few years, to salt pan formation in a previously vegetated substrate. © 2014 Elsevier B.V.</t>
  </si>
  <si>
    <t>2-s2.0-84907626888"</t>
  </si>
  <si>
    <t>JASSS</t>
  </si>
  <si>
    <t>10.18564/jasss.2577</t>
  </si>
  <si>
    <t>https://www.scopus.com/inward/record.uri?eid=2-s2.0-84926326532&amp;doi=10.18564%2fjasss.2577&amp;partnerID=40&amp;md5=fcdb30b80cea0e2534a1b28d3a895cc8</t>
  </si>
  <si>
    <t>Changing flood risks threaten the value of billions of dollars worth of coastal real estate as well as the viability of coastal communities. This paper presents an agent-based model to capture some of the main features of the housing market that emerges from interactions between autonomous buyers and sellers. We use this model to investigate the adaptive responses of real estate markets to changing patterns of flooding and alternative flood insurance policies. The model includes interactions among households and government through land use regulations, property tax collection and dissemination of flooding risk information. We use detailed data from a flood-prone coastal community in New Jersey, USA to calibrate our model. © JASSS.</t>
  </si>
  <si>
    <t>2-s2.0-84926326532"</t>
  </si>
  <si>
    <t>10.3301/ROL.2015.06</t>
  </si>
  <si>
    <t>https://www.scopus.com/inward/record.uri?eid=2-s2.0-84930536095&amp;doi=10.3301%2fROL.2015.06&amp;partnerID=40&amp;md5=69e8fa849055a82af55fab4a3128b217</t>
  </si>
  <si>
    <t>We investigated surface ground deformations in the Sibari Plain (SP - Calabria, Southern Italy) by means of Small Baseline Subset multitemporal InSAR technique (SBAS), applied to two SAR datasets acquired from 2003 up to 2013 by Envisat (ESA, European Space Agency) and COSMO-SkyMed (ASI, Italian Space Agency) satellites. The retrieved InSAR data show the existence of ground subsidence phenomena up to ∼ - 20 mm/yr. Our investigation is based on integration between InSAR data and geological, well-logs, land use and hydrogeological information. The results show a direct correlation among subsidence, the thickness of Plio-Pleistocene succession and thickness and lithology of the late Holocene deposits. We identified the fast urbanization of the coastal area during the last ∼50 yr and the water table drop as incremental factors of subsidence phenomena. The second factor, due to intensive use of ground water for agriculture, is not the triggering cause of subsidence processes on contrary to the assumption of some previous publications. No evidence of tectonic contribution in the ground deformation pattern is observed. © Società Geologica Italiana, Roma 2015.</t>
  </si>
  <si>
    <t>2-s2.0-84930536095"</t>
  </si>
  <si>
    <t>10.1007/s11270-014-2202-8</t>
  </si>
  <si>
    <t>https://www.scopus.com/inward/record.uri?eid=2-s2.0-84918799980&amp;doi=10.1007%2fs11270-014-2202-8&amp;partnerID=40&amp;md5=ab4541c74f688942638d631011e80acf</t>
  </si>
  <si>
    <t>Tropical coastal areas are sensitive ecosystems to climate change, mainly due to sea level rise and increasing water temperatures. Furthermore, they may be subject to numerous stresses, including heat releases from energy production. The Urias coastal lagoon (SE Gulf of California), a subtropical tidal estuary, receives cooling water releases from a thermoelectric power plant, urban and industrial wastes, and shrimp farm discharges. In order to evaluate the plant thermal impact, we measured synchronous temperature time series close to and far from the plant. Furthermore, in order to discriminate the thermal pollution impact from natural variability, we used a high-resolution hydrodynamic model forced by, amongst others, cooling water release as a continuous flow (7.78 m3 s-1) at 6 °C overheating temperature. Model results and field data indicated that the main thermal impact was temporally restricted to the warmest months, spatially restricted to the surface layers (above 0.6 m) and distributed along the shoreline within ∼100 m of the release point. The methodology and results of this study can be extrapolated to tropical coastal lagoons that receive heat discharges. © Springer International Publishing 2014.</t>
  </si>
  <si>
    <t>2-s2.0-84918799980"</t>
  </si>
  <si>
    <t>10.3390/rs70607938</t>
  </si>
  <si>
    <t>https://www.scopus.com/inward/record.uri?eid=2-s2.0-84933526055&amp;doi=10.3390%2frs70607938&amp;partnerID=40&amp;md5=cab1e84b1d616ad35d00126be1041d2a</t>
  </si>
  <si>
    <t>The hydrodynamics of low-lying riverine floodplains and wetlands play a critical role in hydrology and ecosystem processes. Because small topographic features affect floodplain storage and flow velocity, a hydrodynamic model setup of these regions imposes more stringent requirements on the input Digital Elevation Model (DEM) compared to upland regions with comparatively high slopes. This current study provides a systematic approach to evaluate the required relative vertical accuracy and spatial resolution of current and future satellite-based altimeters within the context of DEM requirements for 2-D floodplain hydrodynamic models. A case study is presented for the Atchafalaya Basin with a model domain of 1190 km2. The approach analyzes the sensitivity of modeled floodplain water elevation and velocity to typical satellite-based DEM grid-box scale and vertical error, using a previously calibrated version of the physically-based flood inundation model (LISFLOOD-ACC). Results indicate a trade-off relationship between DEM relative vertical error and grid-box size. Higher resolution models are the most sensitive to vertical accuracy, but the impact diminishes at coarser resolutions because of spatial averaging. The results provide guidance to engineers and scientists when defining the observation scales of future altimetry missions such as the Surface Water and Ocean Topography (SWOT) mission from the perspective of numerical modeling requirements for large floodplains of O[103] km2 and greater. © 2015 by the authors.</t>
  </si>
  <si>
    <t>2-s2.0-84933526055"</t>
  </si>
  <si>
    <t>10.3390/rs70912478</t>
  </si>
  <si>
    <t>https://www.scopus.com/inward/record.uri?eid=2-s2.0-84942515128&amp;doi=10.3390%2frs70912478&amp;partnerID=40&amp;md5=b44b0d739280df996c9323dca14d0e5a</t>
  </si>
  <si>
    <t>Coastal bays, such as Barataria Bay, are important transition zones between the terrigenous and marine environments that are also optically complex due to elevated amounts of particulate and dissolved constituents. Monthly field data collected over a period of 15 months in 2010 and 2011 in Barataria Bay were used to develop an empirical band ratio algorithm for the Landsat-5 TM that showed a good correlation with the Colored Dissolved Organic Matter (CDOM) absorption coefficient at 355 nm (ag355) (R2 = 0.74). Landsat-derived CDOM maps generally captured the major details of CDOM distribution and seasonal influences, suggesting the potential use of Landsat imagery to monitor biogeochemistry in coastal water environments. An investigation of the seasonal variation in ag355 conducted using Landsat-derived ag355 as well as field data suggested the strong influence of seasonality in the different regions of the bay with the marine end members (lower bay) experiencing generally low but highly variable ag355 and the freshwater end members (upper bay) experiencing high ag355 with low variability. Barataria Bay experienced a significant increase in ag355 during the freshwater release at the Davis Pond Freshwater Diversion (DPFD) following the Deep Water Horizon oil spill in 2010 and following the Mississippi River (MR) flood conditions in 2011, resulting in a weak linkage to salinity in comparison to the other seasons. Tree based statistical analysis showed the influence of high river flow conditions, high- and low-pressure systems that appeared to control ag355 by ~28%, 29% and 43% of the time duration over the study period at the marine end member just outside the bay. An analysis of CDOM variability in 2010 revealed the strong influence of the MR in controlling CDOM abundance in the lower bay during the high flow conditions, while strong winds associated with cold fronts significantly increase CDOM abundance in the upper bay, thus revealing the important role these events play in the CDOM dynamics of the bay. © 2015 by the authors.</t>
  </si>
  <si>
    <t>2-s2.0-84942515128"</t>
  </si>
  <si>
    <t>10.2112/13A-00007.1</t>
  </si>
  <si>
    <t>https://www.scopus.com/inward/record.uri?eid=2-s2.0-84936996436&amp;doi=10.2112%2f13A-00007.1&amp;partnerID=40&amp;md5=40d942abb18be70cec63c0f1b38c8176</t>
  </si>
  <si>
    <t>Each coastal disaster is followed by the inevitable debates about whether rebuilding is the right decision. Hurricanes Sandy and Katrina are good examples, as were the damaging El Niño events along the California coast in 1982-83, 1997-98, and 2009-10. Coastlines globally have been migrating landward since the last Ice Age ended about 18,000 years ago, and all indications are that this trend will continue in the decades and centuries ahead, most likely at an increased pace as the rate of sea-level rise increases. Retreating from the shoreline is not a new approach, and there are many communities and neighborhoods along the coasts of the United States and elsewhere where relocation has occurred and where formerly developed parcels are now underwater. Documenting these lost neighborhoods and those that are in the process of disappearing today is important in providing a longer-term perspective of what we face as a state and as a nation. Coastlines are in constant flux, and with few exceptions, they are migrating inland, either gradually or more rapidly during extreme events. Although there are short-term or temporary approaches that have been used for decades to hold back the ocean, they all have their limits. Communities need to assess their vulnerabilities to future sea-level rise and begin to adapt or prepare for the inevitability of a changing shoreline. © Coastal Education &amp; Research Foundation 2015.</t>
  </si>
  <si>
    <t>2-s2.0-84936996436"</t>
  </si>
  <si>
    <t>Journal of Landscape Architecture</t>
  </si>
  <si>
    <t>10.1080/18626033.2015.1011420</t>
  </si>
  <si>
    <t>https://www.scopus.com/inward/record.uri?eid=2-s2.0-84923383367&amp;doi=10.1080%2f18626033.2015.1011420&amp;partnerID=40&amp;md5=cbff201e7d487befa194505cf6ec7c34</t>
  </si>
  <si>
    <t>One could say that flood defence is as ancient as human sedentism, when seen as the basic protection of cultivated and inhabited land against inundation. And indeed, living with flood risk is still the common condition of most European cities, from Alpine valleys to coastal deltas. However, how we conceive of disaster and the means to protect ourselves have evolved radically, through centuries of extensive reclamation and channelling that have made floods less likely to happen, but have also made them more abstract and potentially more devastating. Following centuries of deluge angst and blinding technicism, current adaptation projects bring about a new perspective that reintegrates flooding into spatial perception and territorial design, but also give rise to new myths that challenge the ethics of landscape architects. © 2015 © 2015 European Council of Landscape Architecture Schools (ECLAS).</t>
  </si>
  <si>
    <t>2-s2.0-84923383367"</t>
  </si>
  <si>
    <t>Geophysica</t>
  </si>
  <si>
    <t>https://www.scopus.com/inward/record.uri?eid=2-s2.0-84930608609&amp;partnerID=40&amp;md5=23857bb4c48f348abdf4337a953ca422</t>
  </si>
  <si>
    <t>The land uplift is a well-known process at the coastal areas of the Gulf of Bothnia in Finland and Sweden. Today, about 700 hectares of new land is rising from the sea every year. This is changing the landscape rapidly, especially at the shallow coastlines and archipelago of Kvarken in Finland where during the last century the uplift rate relative to the sea has been almost 9 mm/year. At the opposite side in Sweden, the High Coast has much steeper landscape and changes there are less prominent during one generation. Due to its unique nature, the area has received the UNESCO World Heritage status. The area is near the uplift maximum of the Fennoscandian postglacial rebound. Since the end of the deglaciation, a total of at least 286 meters of uplift has occurred up to now, which corresponds to the highest point of the ancient shoreline at Skuleberget at the High Coast. The area is expected to almost linearly rise from the sea in the next few thousand years until the remaining about 100 m of depression due to the former ice load are isostatically balanced. With the help of geophysical and climate models future scenarios of land emergence are predicted based on current observations. The apparent uplift rate relative to the sea depends on the future global sea level rise. We also discuss future scenarios of the landscape in this UNESCO World Heritage area. © 2015, Finish Environment Institute. All rights reserved.</t>
  </si>
  <si>
    <t>2-s2.0-84930608609"</t>
  </si>
  <si>
    <t>https://www.scopus.com/inward/record.uri?eid=2-s2.0-84920872517&amp;partnerID=40&amp;md5=f73d58e754f27e856e1a71751f2236dc</t>
  </si>
  <si>
    <t>Disasters are the events which devastate human lives, properties and natural ecosystems</t>
  </si>
  <si>
    <t>Australian Meteorological and Oceanographic Journal</t>
  </si>
  <si>
    <t>10.22499/2.6501.009</t>
  </si>
  <si>
    <t>https://www.scopus.com/inward/record.uri?eid=2-s2.0-84946725145&amp;doi=10.22499%2f2.6501.009&amp;partnerID=40&amp;md5=d0407c6fd34174363c8be80f7358a4a2</t>
  </si>
  <si>
    <t>Sea levels along Australia's coastline are influenced by natural climate variability and anthro-pogenic climate change. Projections of sea-level rise (SLR) for 2090 for the Australian coast-line are similar to the global mean sea-level projections. The global and regional projections are almost independent of the Representative Concentration Pathways (RCPs) for greenhouse gas emissions chosen for the first decades of the 21st century, but they begin to diverge significantly from about 2050. For the business-as-usual scenario (RCP8.5), the rates increase steadi-ly through the 21st century, reaching almost 12 mm yr-1 by 2100 at all locations. For the inter-mediate scenarios of RCP 6.0 and RCP 4.5, the rates stabilise in about 2090 and 2060 at about 7-8 and 6 mm yr-1, respectively. For the strong mitigation scenario (RCP 2.6, requiring significant and urgent mitigation of greenhouse gas emissions), the rate of rise stabilises much earlier than the other scenarios and then reduces slightly to about 4 mm yr-1. On the north and west coasts of Australia, the observed sea-level trends from the start of the projections in 1996 to 2010 are larger than the model projections as a result of the combined effect of SLR and internal modes of climate variability. The impacts of SLR will be felt most profoundly during extreme sea-level events. The meteorological and climate processes that contribute to extreme sea levels around the coast of Australia are highly regionally heterogeneous. Allowances were calculated that provide estimates of the height that present assets or their protective measures would need to be raised to ensure that the likelihood of exceedance of those levels in the future does not change from the present climate. These allowances vary according to SLR projections, their uncertainties and the variability of extreme sea levels. For 2030, when the uncertainty surrounding future SLR scenarios is small, the allowances are approximately the median projected SLR. However by 2090, the larger uncertainties associated with the projections lead to allowances that typically lie to-wards the upper end of the range of projected SLR.</t>
  </si>
  <si>
    <t>2-s2.0-84946725145"</t>
  </si>
  <si>
    <t>https://www.scopus.com/inward/record.uri?eid=2-s2.0-84946744852&amp;partnerID=40&amp;md5=5e1fc0a95851fc72be472b8911ed933f</t>
  </si>
  <si>
    <t>Natural hazards in Ukraine pose a serious problem to communities and form a roadblock to sustainable development. Earthquakes, landslides and floods have a strong impact on environment as well as on local economies. Floods occur at 27% of the territory of Ukraine (165 000 km2). One third of population of Ukraine lives in potentially dangerous areas. Landslides pose an additional threat both in inland and coastal areas of Ukraine. Abrasion and landslides are causing loss of recreational areas and agricultural lands, disappearance of unique landscapes. Earthquakes pose a threat to assets and on the environment as the triggers of landslides and other geotechnical problems. 120 000 km2 of Ukrainian territory (about 20%) are located in seismically dangerous areas. The paper presents analysis of methods and models for floods, landslides and seismic risks assessment and management for the North-Western part of the coastal area of the Black sea and Danube delta of Ukraine. The evaluation of existing methodology has been done.</t>
  </si>
  <si>
    <t>2-s2.0-84946744852"</t>
  </si>
  <si>
    <t>10.1016/j.geomorph.2014.09.002</t>
  </si>
  <si>
    <t>https://www.scopus.com/inward/record.uri?eid=2-s2.0-84907661990&amp;doi=10.1016%2fj.geomorph.2014.09.002&amp;partnerID=40&amp;md5=cb7247e07231270c0055b2dcd773a3f8</t>
  </si>
  <si>
    <t>Recent works have highlighted the interest in coastal geographical databases - collected for coastal management purposes - for obtaining insight into current shoreline changes. On La Réunion, a tropical volcanic high island located in the Southern Indian Ocean, a dataset is available which describes shoreline changes, the coastal geomorphology and the presence of anthropic structures. This database is first supplemented with information on the exposure of each coastal segment to energetic waves and to estuarine sediment inputs. To incorporate relative sea-level changes along the coast in the database, levelling data are analysed in combination with GPS, satellite altimetry and sea-level reconstructions. Finally, a method based on Bayesian networks is used to assess the probabilistic relationships between the variables in the database. The results highlight the high degree of dependency between variables: a retrospective model is able to reproduce 81% of the observations of shoreline mobility. Importantly, we report coastal ground motions for La Réunion island of the order of 1 to 2. mm/year along the coast. However, the resulting differing rates of relative sea-level rise do not significantly impact on shoreline changes. Instead, the results suggest a major control of geological processes and local coastal geomorphic settings on shoreline evolution. While any exploration of a coastal database needs to be complemented with human reasoning to interpret the results in terms of physical processes, this study highlights the significance of revisiting other datasets to gain insight into coastal processes and factors causing shoreline changes, including sea-level changes. © 2014.</t>
  </si>
  <si>
    <t>2-s2.0-84907661990"</t>
  </si>
  <si>
    <t>10.1007/s11069-014-1356-4</t>
  </si>
  <si>
    <t>https://www.scopus.com/inward/record.uri?eid=2-s2.0-84914705767&amp;doi=10.1007%2fs11069-014-1356-4&amp;partnerID=40&amp;md5=85abc4a1b4275a0cb94c1ee05c4eb27c</t>
  </si>
  <si>
    <t>Land use–land cover (LULC) change in space and time is the main cause behind the changing hydrological processes, ecosystem and environment in urban catchments. In the present study, the main focus was on evaluation of spatial and temporal variation of land use and land cover change in a major coastal urban catchment of Mumbai City, India, called Mithi River catchment. The LULC is derived from the topographic map surveyed in the year 1966 and satellite image for the year 2009. The analysis from toposheet and remote sensing data showed that there is a rise in the built-up area of Mithi River catchment, Mumbai by 59.66 % between 1966 and 2009. It also showed adverse human-induced influences on the Mithi River course and its catchment. Flood hydrographs for different land use conditions were derived by using Soil Conservation Service-Curve Number hydrological model and kinematic wave model, for routing available within the HEC-HMS software. Flood plain maps as well as flood hazard maps for the different land use scenarios have been developed by integrating the models HEC-HMS and HEC-RAS with HEC-GeoHMS and HEC-GeoRAS as well as with GIS and remote sensing. Results obtained from the present study revealed marginal increases in the runoff peak discharges and volumes within the catchment. Even though the runoff change is marginal, combined with tidal influence, it may cause major flooding problem. The integrated modeling approach has been found to be very effective for flood estimation, flood plain and flood hazard mapping. The flood plain and flood hazard maps derived can be used as effective tool to minimize the damages within the flood-prone areas of the river basin for the Mumbai City. © 2014, Springer Science+Business Media Dordrecht.</t>
  </si>
  <si>
    <t>2-s2.0-84914705767"</t>
  </si>
  <si>
    <t>10.2112/JCOASTRES-D-13-00215.1</t>
  </si>
  <si>
    <t>https://www.scopus.com/inward/record.uri?eid=2-s2.0-84936995456&amp;doi=10.2112%2fJCOASTRES-D-13-00215.1&amp;partnerID=40&amp;md5=e556a82e4d7cb4a21a927813632ec2b2</t>
  </si>
  <si>
    <t>Sea-level rise is expected to affect natural and urban areas by shifting habitats and inundating infrastructure. To plan for a sustainable future, it is important to identify both human and ecological vulnerabilities to sea-level rise. Here, we simulate impacts to urban, developed lands and environmental systems from sea-level rise by analyzing land cover (surface cover) and land use (land purpose) in the Matanzas River study area in NE Florida. The Sea Level Affecting Marshes Model (SLAMM) simulated land-cover change through wetland migration under three sea-level rise scenarios. Parcel data, including land use classification and land valuation, was overlaid on the simulated, future land cover. Our analysis describes a 2- to 5-km-wide longitudinal band along the NE coast of Florida of expected land-cover change where sea-level rise will likely cause inundation and wetland migration. Under a 0.9-m scenario by 2100, 5,332 ha of land (5% of the study area) will be threatened by some type of land-cover change, and inundation was estimated to affect approximately US$177 million in present property value. The migration of wetlands out of current areas and into new areas is of particular concern because (1) those wetlands will have to keep pace with sea-level rise, and (2) accommodation space must be available for new wetlands to move into. Developed lands have the possibility of hindering up to 6% of the area that wetlands may migrate into. These methods and findings are important for sustainable planning under future climate change. © Coastal Education &amp; Research Foundation 2015.</t>
  </si>
  <si>
    <t>2-s2.0-84936995456"</t>
  </si>
  <si>
    <t>10.1016/j.advwatres.2014.10.010</t>
  </si>
  <si>
    <t>https://www.scopus.com/inward/record.uri?eid=2-s2.0-84911192501&amp;doi=10.1016%2fj.advwatres.2014.10.010&amp;partnerID=40&amp;md5=2c0aa156e53f5df5db00580b3473b717</t>
  </si>
  <si>
    <t>The safety of low-lying deltas is threatened not only by riverine flooding but by storm-induced coastal flooding as well. For the purpose of flood control, these deltas are mostly protected in a man-made environment, where dikes, dams and other adjustable infrastructures, such as gates, barriers and pumps are widely constructed. Instead of always reinforcing and heightening these structures, it is worth considering making the most of the existing infrastructure to reduce the damage and manage the delta in an operational and overall way. In this study, an advanced real-time control approach, Model Predictive Control, is proposed to operate these structures in the Dutch delta system (the Rhine-Meuse delta). The application covers non-linearity in the dynamic behavior of the water system and the structures. To deal with the non-linearity, a linearization scheme is applied which directly uses the gate height instead of the structure flow as the control variable. Given the fact that MPC needs to compute control actions in real-time, we address issues regarding computational time. A new large time step scheme is proposed in order to save computation time, in which different control variables can have different control time steps. Simulation experiments demonstrate that Model Predictive Control with the large time step setting is able to control a delta system better and much more efficiently than the conventional operational schemes. © 2014 Elsevier Ltd.</t>
  </si>
  <si>
    <t>2-s2.0-84911192501"</t>
  </si>
  <si>
    <t>10.3390/rs70506160</t>
  </si>
  <si>
    <t>https://www.scopus.com/inward/record.uri?eid=2-s2.0-84930029166&amp;doi=10.3390%2frs70506160&amp;partnerID=40&amp;md5=91a43b9e465a338572a03f06331ccbfe</t>
  </si>
  <si>
    <t>Airborne LiDAR Bathymetry (ALB) has been rapidly evolving in recent years and now allows fluvial topography to be mapped in high resolution ( &gt; 20 points/m2) and height accuracy ( &lt; 10 cm) for both the aquatic and the riparian area. This article presents methods for enhanced modeling and monitoring of instream meso- and microhabitats based on multitemporal data acquisition. This is demonstrated for a near natural reach of the Pielach River, with data acquired from April 2013 to October 2014, covering two flood events. In comparison with topographic laser scanning, ALB requires a number of specific processing steps. We present, firstly, a novel approach for modeling the water surface in the case of sparse water surface echoes and, secondly, a strategy for improved filtering and modeling of the Digital Terrain Model of the Watercourse (DTM-W). Based on the multitemporal DTM-W we discuss the massive changes of the fluvial topography exhibiting deposition/erosion of 103 m3 caused by the 30-years flood event in May 2014. Furthermore, for the first time, such a high-resolution data source is used for monitoring of hydro-morphological units (mesohabitat scale) including the consequences for the target fish species nase (Chondrostoma nasus, microhabitat scale). The flood events caused a spatial displacement of the hydro-morphological units but did not effect their overall frequency distribution, which is considered an important habitat feature as it documents resilience against disturbances. © 2015 by the authors.</t>
  </si>
  <si>
    <t>2-s2.0-84930029166"</t>
  </si>
  <si>
    <t>Geociencias</t>
  </si>
  <si>
    <t>https://www.scopus.com/inward/record.uri?eid=2-s2.0-84930918783&amp;partnerID=40&amp;md5=9083a9960ca095b325f427e2e86bd6df</t>
  </si>
  <si>
    <t>The determination of non-edifying areas and the vulnerability of the coast zone are preponderant factors to its environment preservation, implies to limit anthropic activities that promote negative impacts and to preserve the included areas between the marine and the continent. The calculus of retrogradation made from Bruun Law on the beaches of Tabuba and Cumbuco, city of Caucaia, has permitted the establishment of a non-edifying zone, based on prediction of sea increasing rates and regional parameters of the beaches. The beaches covers about nine km of extension, where the most notable are the growth of occupation and urbanization, influenced by leisure and tourism activities, and the sea level rise. The consequences observed are the beginning of coastal erosion and the occupation of areas really close to the sea. With the results obtained, it’s noticeable the high vulnerability of the beaches and its need for expanding the non-edifying zone. Moreover, the beaches would only be protected within the optimistic scenario, and in the others scenario, the calculus for the non-edifying zone indicates risk and vulnerability of the studied beaches. © 2015, Universidade Estadual Paulista. All rights reserved.</t>
  </si>
  <si>
    <t>2-s2.0-84930918783"</t>
  </si>
  <si>
    <t>10.1038/nclimate2469</t>
  </si>
  <si>
    <t>https://www.scopus.com/inward/record.uri?eid=2-s2.0-84923007782&amp;doi=10.1038%2fnclimate2469&amp;partnerID=40&amp;md5=91e378b29997fbe1bf5f41ee94b78b40</t>
  </si>
  <si>
    <t>Vietnamese communities in the Mekong Delta are faced with the substantial impacts of rising sea levels and salinity intrusion. The construction of embankments and dykes has historically been the principal strategy of the Vietnamese government to mitigate the effects of salinity intrusion on agricultural production. A predicted sea-level rise of 30 cm by the year 2050 is expected to accelerate salinity intrusion. This study combines hydrologic, agronomic and behavioural assessments to identify effective adaptation strategies reliant on land-use change (soft options) and investments in water infrastructure (hard options). As these strategies are managed within different policy portfolios, the political discussion has polarized between choices of either soft or hard options. This paper argues that an ensemble of hard and soft policies is likely to provide the most effective results for people's livelihoods in the Mekong Delta. The consequences of policy deliberations are likely to be felt beyond the Mekong Delta as levels of rice cultivation there also affect national and global food security. © 2015 Macmillan Publishers Limited. All rights reserved.</t>
  </si>
  <si>
    <t>2-s2.0-84923007782"</t>
  </si>
  <si>
    <t>10.1016/j.ecoleng.2015.05.006</t>
  </si>
  <si>
    <t>https://www.scopus.com/inward/record.uri?eid=2-s2.0-84935891159&amp;doi=10.1016%2fj.ecoleng.2015.05.006&amp;partnerID=40&amp;md5=af4ac84de897d97546af9129e7428195</t>
  </si>
  <si>
    <t>A geographic information system (GIS)-based Area-Time Inundation Index Model (ATIIM) was developed to predict and evaluate availability of hydrologically connected habitats in estuarine and tidal-fluvial regions. The model establishes and describes patterns in the spatial and temporal relationships of the land and water including non-dimensional area-time and volume-time inundation indices. The processing integrates in situ or modeled water-surface elevation (WSE) data with high-resolution elevation data, using established terrain generation and spatial hydrologic analysis methods which are applied in a new geographic domain: the low-relief microtopography characteristic of coastal wetlands. The ATIIM links these data to newly developed, spatially continuous wetted-area algorithms in a GIS module and determines site average bankfull elevation, two- and three-dimensional inundation extent, and other spatial, tabular, and graph-based metrics. It is a cost-effective, rapid assessment tool suitable for the desktop planning environment, and represents an advance over methods that estimate inundation but do not enforce hydrological connectivity. Example model outputs for 11 tidal wetland areas in the lower Columbia River floodplain and estuary illustrate habitat opportunity for threatened and endangered salmon. Outputs for wetland reference sites (tidal marshes and tidal forested wetlands) are compared with river-restoration sites where objectives include increasing salmon access to beneficial habitats by hydrologically reconnecting channels in diked areas of the floodplain. Hydrological process metrics produced by the model, both new and commonly used, support the prioritization of proposed restoration sites, pre-construction planning, and post-construction evaluation. For example, the model can help determine relationships between WSE and habitat opportunity, contrast alternative restoration designs, predict impacts of altered flow regimes, estimate nutrient and biomass fluxes, and provide standardized site comparisons to support effective monitoring of the developmental trajectories of restoration sites. © 2015 Elsevier B.V.</t>
  </si>
  <si>
    <t>2-s2.0-84935891159"</t>
  </si>
  <si>
    <t>10.2112/JCOASTRES-D-14-00037.1</t>
  </si>
  <si>
    <t>https://www.scopus.com/inward/record.uri?eid=2-s2.0-84936996801&amp;doi=10.2112%2fJCOASTRES-D-14-00037.1&amp;partnerID=40&amp;md5=376aab8c9eac44c6f77e7b73c47d4be1</t>
  </si>
  <si>
    <t>Anthropogenic berms are widely deployed to manage coastal flooding. The dynamic erosion of scraped berms exposed to waves and a rising tide in southern California was monitored with a terrestrial laser scanner (TLS) on three occasions in February and March of 2012. An improved characterization of initial berm geometry and the dynamics of berm erosion was pursued to accurately predict the onset and impact of coastal flooding associated with berm erosion and overtopping. TLS is shown to yield a digital terrain model (DTM) with a vertical accuracy of ca. 3 cm, indicating it is an excellent source of data for initializing mechanistic and/or empirical models that could be used to predict the onset and rate of wave overtopping. Minimum scan point spacings required to achieve this level of accuracy are investigated and reported. Additionally, a dimensionless water level representing the fractional submergence of the berm is identified as a good predictor of cumulative berm erosion under the test conditions. © Coastal Education &amp; Research Foundation 2015.</t>
  </si>
  <si>
    <t>2-s2.0-84936996801"</t>
  </si>
  <si>
    <t>10.2166/wcc.2014.045</t>
  </si>
  <si>
    <t>https://www.scopus.com/inward/record.uri?eid=2-s2.0-84930694059&amp;doi=10.2166%2fwcc.2014.045&amp;partnerID=40&amp;md5=76b98ab555b69688f7a4e074095d0165</t>
  </si>
  <si>
    <t>Increasing sea level has the potential to place important infrastructure we rely on every day at risk, yet we lack good data to make decisions on what to do, when, and with what priority. The objectives of the research were to develop a method for estimating the time scales for various increments of sea level rise (SLR) throughout the 21st century, develop an accurate methodology for predicting impacts of SLR at the local level, and develop recommendations as to how existing data sources can be utilized to identify infrastructure vulnerable to SLR. The methodology was applied to southeast Florida using data from the Florida Department of Transportation, the United States Geological Survey, the National Oceanic and Atmospheric Administration and other sources, integrated with low resolution light detection and ranging data, topographic data, and aerial photographic maps to identify potentially vulnerable infrastructure. Overlaying high resolution light detection and ranging data onto a base map enabled creation of mapping tools to evaluate potentially vulnerable infrastructure. Using these recommendations, a protocol was developed to use groundwater adjusted models in southeast Florida which indicated potential underestimation of the risk of damage to public infrastructure and private and public buildings. © IWA Publishing 2015.</t>
  </si>
  <si>
    <t>2-s2.0-84930694059"</t>
  </si>
  <si>
    <t>10.1016/j.jnc.2014.10.003</t>
  </si>
  <si>
    <t>https://www.scopus.com/inward/record.uri?eid=2-s2.0-84930046734&amp;doi=10.1016%2fj.jnc.2014.10.003&amp;partnerID=40&amp;md5=e1e97bcd44e6bfcb1a3bd228cdf2511a</t>
  </si>
  <si>
    <t>Freshwater biodiversity is globally threatened and while most conservation efforts are focussed on natural and larger freshwater systems such as rivers and lakes, in many lowland agricultural landscapes artificial water bodies including ditches may be equally important as habitats for freshwater species. Ditches occur across the agricultural landscape but in particular, those associated with coastal and floodplain grazing marsh, have high conservation value. The importance of this habitat for rare and threatened species afforded priority status under the UK Biodiversity Action Plan is explored. The characteristics of ditches that have high conservation value are described and a set of targets against which such ditches can be assessed are presented. An analysis of the current condition of Sites of Special Scientific Interest (SSSI) for the wider coastal and floodplain grazing marsh habitat demonstrates the range of pressures affecting these sites and highlights that alongside generic freshwater issues such as eutrophication and non-native species, these sites have a unique set of pressures associated with their ongoing management and the vulnerable location of many sites at the coast. Wider conservation strategies for freshwater biodiversity in lowland landscapes across Europe need to factor in the different management requirements of artificial habitats such as ditches alongside more ambitious restoration projects for natural waterbodies. In low lying coastal areas the threat of coastal squeeze for many important grazing marshes will require a strategic approach to allow upstream migration of important biodiversity. © 2014 Elsevier GmbH.</t>
  </si>
  <si>
    <t>2-s2.0-84930046734"</t>
  </si>
  <si>
    <t>10.1175/JPO-D-14-0082.1</t>
  </si>
  <si>
    <t>https://www.scopus.com/inward/record.uri?eid=2-s2.0-84923003468&amp;doi=10.1175%2fJPO-D-14-0082.1&amp;partnerID=40&amp;md5=72cb2b0c25d585c04b0df2ec7fe65f28</t>
  </si>
  <si>
    <t>Model studies and observations in the Hudson River estuary indicate that frontogenesis occurs as a result of topographic forcing. Bottom fronts form just downstream of lateral constrictions, where the width of the estuary increases in the down-estuary (i.e., seaward) direction. The front forms during the last several hours of the ebb, when the combination of adverse pressure gradient in the expansion and baroclinicity cause a stagnation of near-bottom velocity. Frontogenesis is observed in two dynamical regimes: one in which the front develops at a transition from subcritical to supercritical flow and the other in which the flow is everywhere supercritical. The supercritical front formation appears to be associated with lateral flow separation. Both types of fronts are three-dimensional, with strong lateral gradients along the flanks of the channel. During spring tide conditions, the fronts dissipate during the flood, whereas during neap tides the fronts are advected landward during the flood. The zone of enhanced density gradient initiates frontogenesis at multiple constrictions along the estuary as it propagates landward more than 60 km during several days of neap tides. Frontogenesis and frontal propagation may thus be essential elements of the spring-to-neap transition to stratified conditions in partially mixed estuaries. © 2015 American Meteorological Society.</t>
  </si>
  <si>
    <t>2-s2.0-84923003468"</t>
  </si>
  <si>
    <t>10.1080/19475705.2013.816785</t>
  </si>
  <si>
    <t>https://www.scopus.com/inward/record.uri?eid=2-s2.0-84911420889&amp;doi=10.1080%2f19475705.2013.816785&amp;partnerID=40&amp;md5=0f14c1220a72e9061d44e42ae51b5cd7</t>
  </si>
  <si>
    <t>Vulnerability assessment is considered as a key step towards effective disaster risk reduction. It is multi-dimensional, and its assessment is complicated due to the social, economic, political, and institutional patterns of societies. The demand for comprehensive vulnerability assessments including a spatial differentiation of vulnerability is high. In this study, a methodology for the spatial vulnerability assessment of floods in the coastal regions of Bangladesh is developed. For a 706 km2area in the Sundarbans Reserve Forest and its surroundings 12 vulnerability domains are defined and 44 indicators are developed. These indicators are ranked by 20 local experts through an analytic hierarchy process (AHP). All data-sets are transformed into 100 m resolution raster (grid) data-sets in a geographic information system (GIS). This grid approach surmounts the problems of data availability and different data scales, and allows the inclusion of indicators for the social dimension. A spatial vulnerability assessment is carried out using GIS weighted overlay. The resulting maps and figures reveal both the extents and levels of vulnerabilities. The assessment maps are validated by local experts visually, and by using maps of past floods. Ultimately, the transferability of this approach to other contexts is discussed. © 2013 Taylor &amp; Francis.</t>
  </si>
  <si>
    <t>2-s2.0-84911420889"</t>
  </si>
  <si>
    <t>10.2166/wp.2015.011</t>
  </si>
  <si>
    <t>https://www.scopus.com/inward/record.uri?eid=2-s2.0-84926388046&amp;doi=10.2166%2fwp.2015.011&amp;partnerID=40&amp;md5=3102b6558a8e6fb8d54764488a9ccd65</t>
  </si>
  <si>
    <t>Climate change is exacerbating the extremes in hydro-meteorological events. Together with other global drivers under change - population growth, rapid urbanisation, increased asset values - this may result in increased frequencies and even higher impacts of water-related disasters. Further comprehensive actions are needed to reduce the vulnerability and to increase the resilience of exposed populations and assets. © IWA Publishing 2015.</t>
  </si>
  <si>
    <t>2-s2.0-84926388046"</t>
  </si>
  <si>
    <t>Operations Research/ Computer Science Interfaces Series</t>
  </si>
  <si>
    <t>10.1007/978-3-319-16133-4_11</t>
  </si>
  <si>
    <t>https://www.scopus.com/inward/record.uri?eid=2-s2.0-84930638543&amp;doi=10.1007%2f978-3-319-16133-4_11&amp;partnerID=40&amp;md5=ab46cbdfa5f5a3aa72f8cc014f6cf2cf</t>
  </si>
  <si>
    <t>The Netherlands lies in the delta area, which is formed by the Rivers Rhine, Meuse and Scheldt. Being a low-lying country, dikes and other waterretaining structures have been constructed for the purposes of flood protection (transport of water), water supply (transport of water), and navigation (transport over water). All of these objectives are important within the total operational water management. In order to achieve these objectives and make them explicit, we propose a water management approach in which each goal is addressed specifically by a term in a cost function.We assume one centralized Model Predictive Controller, which can determine the balance among the different objectives, as the control strategy for determining which actions to take when controlling the Dutch water system, especially in droughts. Simulation experiments are used to illustrate the potential of this approach under different scenarios in the dry season. © Springer International Publishing Switzerland 2015</t>
  </si>
  <si>
    <t>2-s2.0-84930638543"</t>
  </si>
  <si>
    <t>https://www.scopus.com/inward/record.uri?eid=2-s2.0-84946836051&amp;partnerID=40&amp;md5=36736c5cdb33848b1e592840f374220a</t>
  </si>
  <si>
    <t>Certain vulnerable bathing areas of the Southern Romanian littoral units are strongly infuenced by the progress of the inland and coastal works in the context of sea level rise on a regional and local scale. The sand cells and new formed artifcial sandy beaches include the sediment changes between submerged shore and adjacent</t>
  </si>
  <si>
    <t>10.2112/JCOASTRES-D-13-00183.1</t>
  </si>
  <si>
    <t>https://www.scopus.com/inward/record.uri?eid=2-s2.0-84936991745&amp;doi=10.2112%2fJCOASTRES-D-13-00183.1&amp;partnerID=40&amp;md5=c0d5f3639684be51ab68632918c27034</t>
  </si>
  <si>
    <t>Hurricanes making landfall in the New York-New Jersey Metropolitan Area (NYNJMA) are infrequent, but their effects are considerably greater than those of similar Saffir-Simpson categories in the South. Hurricanes that caused major damage hit the NYNJMA directly in 1821 and 1893, and the only major (Category 3+) U.S. hurricane to hit several major U.S. urban coastal centers was the Long Island-New England Hurricane of 1938. The destruction resulting from landfall of a northern hurricane is greater that of a similar Saffir-Simpson category storm in the South. This damage amplification is the result of both the different characteristics of northern hurricanes and the unique geographic, geologic, oceanographic, and demographic characteristics in the northeast United States. Northern hurricanes move two to three times faster, have enlarged wind fields, and have a mostly coast-normal track that carries their more devastating right side hundreds of kilometers inland. A review of historical hurricane landfalls in the NYNJMA shows how they greatly amplify the damage from hurricane winds, storm surge, and freshwater flooding. Past hurricane landfalls caused great damage when the region was far less settled and developed than today. The NYNJMA is now the most densely settled and developed hurricane-prone urban coastal region in the world, and hurricane landfall will result in damage and economic dislocation that will have national and international economic, as well as other, consequences. © Coastal Education &amp; Research Foundation 2015.</t>
  </si>
  <si>
    <t>2-s2.0-84936991745"</t>
  </si>
  <si>
    <t>Palaeontologia Electronica</t>
  </si>
  <si>
    <t>10.26879/427</t>
  </si>
  <si>
    <t>https://www.scopus.com/inward/record.uri?eid=2-s2.0-84930015387&amp;doi=10.26879%2f427&amp;partnerID=40&amp;md5=39fa4f78d01c0f0e01daa175ab56cbea</t>
  </si>
  <si>
    <t>Burrowing and mud mound-building life-habits of quasiterrestrial fiddler crab Uca lactea from Bengal coast under specific substrate (soft aqueous mud deceptively occurring below rigid sand), hydrodynamic (low-energy and shallow inundation) and geomorphic (coastal mudflats around estuary mouth) conditions are addressed to evaluate geological and geotechnical importance. They construct mud-mounds at burrow (simple, I-shaped and un-branched) heads during tidal recession through oozing out of burrow-base mud-slur. Depth of tidal inundation and substrate undulations control mound population, height and types (dominance of short simple-mounds in high-grounds vs. tall compound-mounds in low-grounds allowing subaerial respiration). Loss of dwelling habitat through mound collapse during high tide is promptly compensated by new constructions. Microbial stabilization of mounds through seasonal algal bloom enhances their preservation under freshly deposited sand layers. They also produce mud-chimneys and feeding-pellets in association with Turritella spp. trails and worm burrows. Despite considerable preservation potentiality of Uca mud-mounds their exact ancient analogues are not yet known. The study provides firsthand criteria to recognize fossil burrows and mud-mounds of Uca and comparative analysis between U. marionis mud-volcanoes and U. lactea mud-mounds. Morphologically they are identical enough to constitute a unique ichnotaxon. The studied ichnocoenose corresponds in fossil records to Skolithos-Taphrhelminthopsis-Ophiomorpha-Planolites-Thalassinoides association within shallow marine Psilonichnus ichnofacies to which Uca mud-mounds are new entrants diagnostic of palaeoshoreline, especially shallow coastal-mudflats at high-tide level. Uca mud-mounds, by virtue of requirement of unique substrate conditions, are considered as ichnological indicators of erosion-prone coastal segments. Their global zoogeographic distribution allows wide application of this ichnological tool. © Society for Vertebrate Paleontology May 2015.</t>
  </si>
  <si>
    <t>2-s2.0-84930015387"</t>
  </si>
  <si>
    <t>10.1007/s11069-014-1327-9</t>
  </si>
  <si>
    <t>https://www.scopus.com/inward/record.uri?eid=2-s2.0-84914815200&amp;doi=10.1007%2fs11069-014-1327-9&amp;partnerID=40&amp;md5=739dfc64b3305fb1c9cda769ef02b4e5</t>
  </si>
  <si>
    <t>Jakarta has suffered major floods in 2002, 2007, and 2013. To cope with and adapt to both the current and future flood problem, the city requires quantitative assessments of flood risk. In this study, we develop a flood risk assessment model for Jakarta. The model is based on the Damagescanner model, adapted for Jakarta using local information on hazard, exposure, and vulnerability. The model was first set up using existing estimates of economic exposure of different land use classes to represent exposure and depth-damage functions (vulnerability curves) from several existing studies in south-east Asia to represent vulnerability. Using these data to simulate damage led to an overestimation by several orders of magnitude. Hence, we held a series of expert meetings and workshops with local stakeholders to develop specific estimates of economic exposure per land use class and to derive vulnerability curves specific for Jakarta. We compare the resulting simulated damages to reported damages and found them to be in good agreement, giving confidence in the use of the model for flood risk assessment. Under current conditions, we found the annual expected damage due to river flooding in Jakarta to be approximately USD 321 million per year. We also examined the sensitivity of flood risk assessments to the use of different vulnerability curves. The sensitivity is high: using the six curves described in this study to simulate risk led to a factor eight difference between the lowest and highest values. Our findings demonstrate that flood risk assessments need to pay close attention to the selection, development, and testing of vulnerability curves. © 2014, Springer Science+Business Media Dordrecht.</t>
  </si>
  <si>
    <t>2-s2.0-84914815200"</t>
  </si>
  <si>
    <t>10.3390/rs70201540</t>
  </si>
  <si>
    <t>https://www.scopus.com/inward/record.uri?eid=2-s2.0-84928817558&amp;doi=10.3390%2frs70201540&amp;partnerID=40&amp;md5=aaefe3cd888162774b64f8eb92243bf0</t>
  </si>
  <si>
    <t>Subsidence in river deltas is a complex process that has both natural and human causes. Increasing human activities like aquaculture and petroleum extraction are affecting the Yellow River delta, and one consequence is subsidence. The purpose of this study is to measure the surface displacements in the Yellow River delta region and to investigate the corresponding subsidence source. In this paper, the Stanford Method for Persistent Scatterers (StaMPS) package was employed to process Envisat ASAR images collected between 2007 and 2010. Consistent results between two descending tracks show subsidence with a mean rate up to 30 mm/yr in the radar line of sight direction in Gudao Town (oilfield), Gudong oilfield and Xianhe Town of the delta, each of which is within the delta, and also show that subsidence is not uniform across the delta. Field investigation shows a connection between areas of non-uniform subsidence and of petroleum extraction. In a 9 km2 area of the Gudao Oilfield, a poroelastic disk reservoir model is used to model the InSAR derived displacements. In general, good fits between InSAR observations and modeled displacements are seen. The subsidence observed in the vicinity of the oilfield is thus suggested to be caused by fluid extraction.</t>
  </si>
  <si>
    <t>2-s2.0-84928817558"</t>
  </si>
  <si>
    <t>10.3390/rs70607062</t>
  </si>
  <si>
    <t>https://www.scopus.com/inward/record.uri?eid=2-s2.0-84933575474&amp;doi=10.3390%2frs70607062&amp;partnerID=40&amp;md5=470283659c7211e878fd8b93e6e67142</t>
  </si>
  <si>
    <t>The cumulative error at a point in a LiDAR-derived DEM consists of three components: propagated LiDAR-sensor error, propagated ground error, and interpolation error. To combine these error components so as to assess the vertical accuracy of a LiDAR-derived DEM, statistical methods based on the error propagation theory are often used. Due to the existence of systematic error, statistical methods are only effective if a large number of checkpoints are available, which may not be affordable in many practical applications. This paper presents approximation theory as an alternative methodology that departs from error propagation theory in fundamental ways. Using approximation theory, an error bound of the cumulative error at any point in the study site can be obtained, thus informing users conservatively of the spatial variation of DEM accuracy and pointing out the weakly determined areas. The new method is illustrated from DEM users' perspective by assessing whether a publicly available LiDAR-derived DEM meets FEMA's accuracy standard for flood risk mapping. The paper calls for a change in the existing methods of assessing and reporting the errors in a LiDAR-derived DEM, in particular those introduced during the ground filtering process. © 2015 by the authors.</t>
  </si>
  <si>
    <t>2-s2.0-84933575474"</t>
  </si>
  <si>
    <t>10.3390/rs70911954</t>
  </si>
  <si>
    <t>https://www.scopus.com/inward/record.uri?eid=2-s2.0-84942532216&amp;doi=10.3390%2frs70911954&amp;partnerID=40&amp;md5=b8a1aa609aaef5ee2aeadd2fb3b89ca5</t>
  </si>
  <si>
    <t>We report the successful case of a rapid response to a flash flood in I-Lan County of Taiwan with a map of inundated areas derived from COSMO-SkyMed 1 radar satellite imagery within 24 hours. The flood was caused by the intensive precipitation brought by Typhoon Soulik in July 2013. Based on the ensemble forecasts of trajectory, an urgent request of spaceborne SAR imagery was made 24 hours before Typhoon Soulik made landfall. Two COSMO-SkyMed images were successfully acquired when the center of Typhoon Soulik had just crossed the northern part of Taiwan. The standard level-1b product (radiometric-corrected, geometric-calibrated and orthorectified image) was generated by using the off-the-shelf SARscape software. Following the same approach used with the Expert Landslide and Shadow Area Delineating System, the regional threshold of each tile image was determined to delineate still water surface and quasi-inundated areas in a fully-automatic manner. The results were overlaid on a digital elevation model, and the same tile was visually compared to an optical image taken by Formosat-2 before this event. With this ancillary information, the inundated areas were accurately and quickly identified. The SAR-derived map of inundated areas was published on a web-based platform powered by Google Earth within 24 hours, with the aim of supporting the decision-making process of disaster prevention and mitigation. A detailed validation was made afterwards by comparing the map with in situ data of the water levels at 17 stations. The results demonstrate the feasibility of rapidly responding to a typhoon-induced flood with a spaceborne SAR-derived map of inundated areas. A standard operating procedure was derived from this work and followed by the Water Hazard Mitigation Center of the Water Resources Agency, Taiwan, in subsequent typhoon seasons, such as Typhoon Trami (August, 2013) and Typhoon Soudelor (August, 2015). © 2015 by the authors.</t>
  </si>
  <si>
    <t>2-s2.0-84942532216"</t>
  </si>
  <si>
    <t>Bulletin of the American Meteorological Society</t>
  </si>
  <si>
    <t>10.1175/BAMS-D-13-00197.1</t>
  </si>
  <si>
    <t>https://www.scopus.com/inward/record.uri?eid=2-s2.0-84921796486&amp;doi=10.1175%2fBAMS-D-13-00197.1&amp;partnerID=40&amp;md5=a5f60256ce862e655988b4aeb6bce9fc</t>
  </si>
  <si>
    <t>Storm surge associated with tropical and extratropical cyclones has a long history of causing death and destruction along our coastlines. With more than 123 million people living in coastal shoreline areas and much of the densely populated Atlantic and Gulf coastal areas less than 10 ft (∼3 m) above mean sea level, the threat has never been greater. In this article, we summarize and integrate the most intensive series of studies completed to date on communication of storm surge risk. These were primarily geographically focused stakeholder surveys for evaluating the storm surge communication perceptions and preferences of forecasters, broadcast meteorologists, public officials, and members of the public - each a primary user group for storm surge forecasts. According to findings from seven surveys, each group strongly supports the National Weather Service (NWS) issuing watches and warnings for storm surge, whether associated with tropical cyclones (TC) or extratropical (ET) cyclones. We discuss results on public understanding of storm surge vulnerability, respondents' preferences for separate storm surge information products, and initial assessments of potential storm surge warning text and graphics. Findings from the research reported here are being used to support relevant NWS decisions, including a storm surge watch and warning product that has been approved for use on an experimental basis in 2015 and the National Hurricane Center (NHC) issuance of local surge inundations maps on an experimental basis in 2014. ©2015 American Meteorological Society.</t>
  </si>
  <si>
    <t>2-s2.0-84921796486"</t>
  </si>
  <si>
    <t>Endangered Species Research</t>
  </si>
  <si>
    <t>10.3354/esr00659</t>
  </si>
  <si>
    <t>https://www.scopus.com/inward/record.uri?eid=2-s2.0-84923010978&amp;doi=10.3354%2fesr00659&amp;partnerID=40&amp;md5=07597f3249c41026cc3f6312ba5d3aba</t>
  </si>
  <si>
    <t>The Dalmatian pelican (DP) Pelecanus crispus and the great white pelican (GWP) Pelecanus onocrotalus are listed as 'Vulnerable' and 'Least Concern', respectively, in the IUCN Red List. We present an updated estimation of the Black Sea/Mediterranean flyway population status of both species, based on data provided by experts working in all 7 countries of the region where pelicans breed and/or overwinter, who came together at the 1st Workshop on Pelican Research and Conservation in Prespa, Greece. The DP breeding population in the Black Sea and Mediterranean countries increased from 1730-2105 pairs in the years 2000-2010 to 2154-2437 pairs in 2011-2012. Approximately 40% of the Palaearctic breeding population of GWP occurred in Southeast Europe and Turkey. In 2011-2012 the GWP population in this region was estimated to be 4702-5175 pairs, and has remained more or less stable during the last decade. Although all the breeding sites for both species are in protected areas, disturbance at nesting places was considered to be the main threat. Direct persecution and electric power lines still cause occasional problems. In deltaic lagoons, erosion and inundation of nesting sites cause breeding failures in DPs, while in inland wetlands large water level fluctuations are a widespread problem. Decrease of fish stocks is a threat, especially in coastal areas. Many stop-over wetlands along GWP migration routes between Southeast Europe and Africa have been seriously degraded or have disappeared, resulting in serious implications for their populations. Conservation needs are listed, but further research is recommended for both species. © The authors 2015.</t>
  </si>
  <si>
    <t>2-s2.0-84923010978"</t>
  </si>
  <si>
    <t>https://www.scopus.com/inward/record.uri?eid=2-s2.0-84946721277&amp;partnerID=40&amp;md5=bf4c73a40791cd1d88235e4cbb5e664f</t>
  </si>
  <si>
    <t>Information about the hydro-meteorological parameters during the extreme sea storms is of significant importance for the sustainable development in the context of flood risk for the coastal areas. Usually there is a lack of sufficiently long history of instrumental measurements of the extreme winds, waves and storm surges. Simulation of historical storms is an important tool to evaluate the potential coastal hazards. In the absence of measured data hindcasts can satisfy the need for historical data. The wave and storm-surge regional numerical simulations have been carried out for the ten most severe storms over the Bulgarian coast of the Black Sea from the period 1972-2012. The ERA-Interim and ERA-40 reanalysis of wind at 10 m and mean sea level pressure have been downscaled with a high resolution atmospheric model ALADIN to the horizontal and time scales suitable for precise evaluation of hydro-meteorological parameters during the storms. The downscaled fields of wind and sea level pressure have been used as input for the wave and storm surge models.</t>
  </si>
  <si>
    <t>2-s2.0-84946721277"</t>
  </si>
  <si>
    <t>10.1175/JPO-D-14-0084.1</t>
  </si>
  <si>
    <t>https://www.scopus.com/inward/record.uri?eid=2-s2.0-84943386590&amp;doi=10.1175%2fJPO-D-14-0084.1&amp;partnerID=40&amp;md5=7416a24a847b3fa42a221f40e100debf</t>
  </si>
  <si>
    <t>The dependency of the estuarine circulation on the depth-to-width ratio of a periodically, weakly stratified tidal estuary is systematically investigated here for the first time. Currents, salinity, and other properties are simulated by means of the General Estuarine Transport Model (GETM) in cross-sectional slice mode, applying a symmetric Gaussian-shaped depth profile. The width is varied over four orders of magnitude. The individual along-channel circulation contributions from tidal straining, gravitation, advection, etc., are calculated and the impact of the depth-to-width ratio on their intensity is presented and elucidated. It is found that the estuarine circulation exhibits a distinct maximum in medium-wide channels (intermediate depth-to-width ratio depending on various parameters), which is caused by a maximum of the tidal straining contribution. This maximum is related to a strong tidal asymmetry of eddy viscosity and shear created by secondary strain-induced periodic stratification (2SIPS): in medium channels, transverse circulation generated by lateral density gradients due to laterally differential longitudinal advection induces stable stratification at the end of the flood phase, which is further increased during ebb by longitudinal straining (SIPS). Thus, eddy viscosity is low and shear is strong in the entire ebb phase. During flood, SIPS decreases the stratification so that eddy viscosity is high and shear is weak. The circulation resulting from this viscosity-shear correlation, the tidal straining circulation, is oriented like the classical, gravitational circulation, with riverine outflow at the surface and oceanic inflow close to the bottom. In medium channels, it is about 5 times as strong as in wide (quasi one-dimensional) channels, in which 2SIPS is negligible. © 2015 American Meteorological Society.</t>
  </si>
  <si>
    <t>2-s2.0-84943386590"</t>
  </si>
  <si>
    <t>10.3390/rs70708586</t>
  </si>
  <si>
    <t>https://www.scopus.com/inward/record.uri?eid=2-s2.0-84937919120&amp;doi=10.3390%2frs70708586&amp;partnerID=40&amp;md5=b136cc43c46205d2e0ab4d3e96cfe355</t>
  </si>
  <si>
    <t>This paper explores the potential of Unmanned Aerial Systems (UASs) for the analysis of variations in the fluvial dynamics of a mid-mountain stream. The UAS photogrammetry was employed to acquire a multitemporal set of high-precision digital terrain models (DTMs) and orthoimages, thereby enabling the reconstruction of variations in riverbed and quantitative analysis of volumetric changes. A hexacopter UAS platform was used for the repeated acquisition of data for the photogrammetric analysis of a stretch of mid-mountain streams with elevated fluvial dynamics. Photogrammetric reconstruction enabled the development of accurate DTMs and orthoimages with spatial resolutions of 2 cm per pixel. These were identified and used to quantitatively assess the segments of channels with active lateral erosion. The UAS-derived data facilitated an analysis of the shifts of stream banks and the calculation of the areal extent of changes and volumetric extent of bank erosion. Comparison of UAS-derived point clouds with aerial LiDAR scanning data demonstrated the high spatial accuracy and precision of the UAS data. The accuracy and high operability of the imaging provide spatial data of a new qualitative level and the potential for the detailed analysis of experimental areas where spatial information is of limited availability. © 2015 by the authors.</t>
  </si>
  <si>
    <t>2-s2.0-84937919120"</t>
  </si>
  <si>
    <t>10.1175/MWR-D-14-00326.1</t>
  </si>
  <si>
    <t>https://www.scopus.com/inward/record.uri?eid=2-s2.0-84945151591&amp;doi=10.1175%2fMWR-D-14-00326.1&amp;partnerID=40&amp;md5=89bf932b27453eb85d685de8d1d26096</t>
  </si>
  <si>
    <t>The authors have developed an assimilation system toward coastal data assimilation around Japan, which consists of a four-dimensional variational (4DVAR) assimilation scheme with an eddy-resolving model in the western North Pacific (MOVE-4DVAR-WNP) and a fine-resolution coastal model covering the western part of the Japanese coastal region around the Seto Inland Sea (MOVE-Seto). The 4DVAR scheme is developed as a natural extension of the 3DVAR scheme used in the Meteorological Research Institute Multivariate Ocean Variational Estimation (MOVE) system. An initialization scheme of incremental analysis update (IAU) is incorporated into MOVE-4DVAR-WNP to filter out high-frequency noises. During the backward integration of the adjoint model, it works as an incremental digital filtering. MOVE-Seto, which is nested within MOVE-4DVAR-WNP, also employs IAU to initialize the interior of the coastal model using MOVE-4DVAR-WNP analysis fields. The authors conducted an assimilation experiment using MOVE-4DVAR-WNP, and results were compared with an additional experiment using the 3DVAR scheme. The comparison reveals that MOVE-4DVAR-WNP improves mesoscale variability. In particular, short-term variability such as small-scale Kuroshio fluctuations is much enhanced. Using MOVE-Seto and MOVE-4DVAR-WNP, the authors also performed a case study focused on an unusual tide event that occurred at the south coast of Japan in September 2011. MOVE-Seto succeeds in reproducing a significant sea level rise associated with this event, indicating the effectiveness of the newly developed system for coastal sea level variability. © 2015 American Meteorological Society.</t>
  </si>
  <si>
    <t>2-s2.0-84945151591"</t>
  </si>
  <si>
    <t>https://www.scopus.com/inward/record.uri?eid=2-s2.0-84944457985&amp;partnerID=40&amp;md5=74d968435c1cd8fd7295db63ba6a006f</t>
  </si>
  <si>
    <t>Information concerning water depth of near shore water region is one of the most basic requirements for coastal q zone management Depth is especially important for near coastal lines, in harbors, and near shoals and banks, $ where changes can occur rapidly as sedimentation, erosion and scouring of channels alters underwater 'I topography. Although, the algorithms used to estimate depth from passive Remote Sensing (RS) satellite data 1 were practicing last two decades, if is necessary to test the algorithms with recently available better quality RS 3 data archives. In addition to that this paper proposes two methods to estimate water depth from single spectral | band and from multispectral band. The single band algorithm called Radiance Based Estimation (RBE) is a modification of Stoffle and Halmo, (1991). Here onwards the single band method proposed by Stoffle and Halmo, (1991) is referred to as SLR (Single-band Linear Regression). A constant attenuation coefficient of a particular band is estimated using SLR method with limited in-situ depth</t>
  </si>
  <si>
    <t>10.1038/NGEO2251</t>
  </si>
  <si>
    <t>https://www.scopus.com/inward/record.uri?eid=2-s2.0-84927930022&amp;doi=10.1038%2fNGEO2251&amp;partnerID=40&amp;md5=4c3bea1c6a3228c7333724e76b9dc65a</t>
  </si>
  <si>
    <t>Coastal communities around the world face an increasing risk from flooding as a result of rising sea level, increasing storminess and land subsidence12. Salt marshes can act as natural buffer zones, providing protection from waves during storms37. However, the effectiveness of marshes in protecting the coastline during extreme events when water levels are at a maximum and waves are highest is poorly understood8,9. Here we experimentally assess wave dissipation under storm surge conditions in a 300-metre-long wave flume tank that contains a transplanted section of natural salt marsh. We find that the presence of marsh vegetation causes considerable wave attenuation, even when water levels and waves are highest. From a comparison with experiments without vegetation, we estimate that up to 60% of observed wave reduction is attributed to vegetation. We also find that although waves progressively flatten and break vegetation stems and thereby reduce dissipation, the marsh substrate remained stable and resistant to surface erosion under all conditions. The effectiveness of storm wave dissipation and the resilience of tidal marshes even at extreme conditions suggest that salt marsh ecosystems can be a valuable component of coastal protection schemes.</t>
  </si>
  <si>
    <t>2-s2.0-84927930022"</t>
  </si>
  <si>
    <t>10.1186/s40562-014-0014-8</t>
  </si>
  <si>
    <t>https://www.scopus.com/inward/record.uri?eid=2-s2.0-85018220846&amp;doi=10.1186%2fs40562-014-0014-8&amp;partnerID=40&amp;md5=9090bf85c15d991ad4a00ba290e0dd28</t>
  </si>
  <si>
    <t>Transported coastal boulders have increasingly come to represent a valuable element of investigations within the broader framework of multi-proxy approaches applied to coastal hazard studies. Through a case study on Taveuni Island in Fiji, this paper outlines some approaches and hindrances to effective timing of prehistorical high-energy marine inundation events (storms and tsunamis) on tropical coastlines from the evidence of reef-platform carbonate boulders. Various sources of errors are outlined that investigators must consider when attempting to use carbonate boulder ages as a surrogate for timing past events. On Taveuni, uranium : thorium dates with a high level of precision (1–7 years) suggest that major inundation events have a return period of approximately 40–45 years since 1650 AD. Of particular importance, considerably different age dates are provided by coral samples sourced from the top and bottom (i.e. opposite faces) of individual boulders, so highlighting interpretation biases that must be avoided. © 2014, Terry and Etienne</t>
  </si>
  <si>
    <t>10.1016/j.coldregions.2014.08.006</t>
  </si>
  <si>
    <t>https://www.scopus.com/inward/record.uri?eid=2-s2.0-84908545383&amp;doi=10.1016%2fj.coldregions.2014.08.006&amp;partnerID=40&amp;md5=dc895e0640661ef5be48a5c66c7b9d5c</t>
  </si>
  <si>
    <t>The Peace-Athabasca Delta (PAD) in northern Alberta is one of the world's largest inland freshwater deltas, home to large populations of waterfowl, muskrat, beaver, and free-ranging wood bison. Following construction of the Bennett Dam in the late 1960s, a paucity of ice-jam flooding in the lower Peace River has resulted in prolonged dry periods and considerable reduction in the area covered by lakes and ponds that provide habitat for aquatic life in the PAD region. Past studies have shown that both regulation and climate have contributed to the drying trend, via increased freezeup levels and reduced breakup flows, respectively. However, it has not so far been possible to assess the relative impacts of these two factors. This question is addressed herein by developing quantitative relationships based on the concept of conditional probability. The new methodology is first tested against observed frequencies of ice-jam floods both before and after regulation</t>
  </si>
  <si>
    <t>10.5194/tc-8-2275-2014</t>
  </si>
  <si>
    <t>https://www.scopus.com/inward/record.uri?eid=2-s2.0-84916614182&amp;doi=10.5194%2ftc-8-2275-2014&amp;partnerID=40&amp;md5=62c45648833cb7020d416f74b9cef6e3</t>
  </si>
  <si>
    <t>In response to climate change, most glaciers are losing mass and hence contribute to sea-level rise. Repeated and accurate mapping of their surface topography is required to estimate their mass balance and to extrapolate/calibrate sparse field glaciological measurements. In this study we evaluate the potential of sub-meter stereo imagery from the recently launched Pléiades satellites to derive digital elevation models (DEMs) of glaciers and their elevation changes. Our five evaluation sites, where nearly simultaneous field measurements were collected, are located in Iceland, the European Alps, the central Andes, Nepal and Antarctica. For Iceland, the Pléiades DEM is also compared to a lidar DEM. The vertical biases of the Pléiades DEMs are less than 1m if ground control points (GCPs) are used, but reach up to 7m without GCPs. Even without GCPs, vertical biases can be reduced to a few decimetres by horizontal and vertical co-registration of the DEMs to reference altimetric data on ice-free terrain. Around these biases, the vertical precision of the Pléiades DEMs is ±1m and even ±0.5m on the flat glacier tongues (1σ confidence level). Similar precision levels are obtained in the accumulation areas of glaciers and in Antarctica. We also demonstrate the high potential of Pléiades DEMs for measuring seasonal, annual and multiannual elevation changes with an accuracy of 1m or better if cloud-free images are available. The negative region-wide mass balances of glaciers in the Mont-Blanc area (-1.04 ± 0.23ma-1 water equivalent, w.e.) are revealed by differencing Satellite pour l'Observation de la Terre 5 (SPOT 5) and Pléiades DEMs acquired in August 2003 and 2012, confirming the accelerated glacial wastage in the European Alps. © Author(s) 2014.</t>
  </si>
  <si>
    <t>2-s2.0-84916614182"</t>
  </si>
  <si>
    <t>10.1007/s10236-014-0772-z</t>
  </si>
  <si>
    <t>https://www.scopus.com/inward/record.uri?eid=2-s2.0-84911808214&amp;doi=10.1007%2fs10236-014-0772-z&amp;partnerID=40&amp;md5=e2d35dc841217ced28b08efe0a35b0f3</t>
  </si>
  <si>
    <t>A 3D unstructured-grid numerical model of the Ems Estuary is presented. The simulated hydrodynamics are compared against tidal gauge data and observations from research cruises. A comparison with an idealized test reveals the capability of the model to reproduce the secondary circulation patterns known from theoretical results. The simulations prove to be accurate and realistic, confirming and extending findings from earlier observations and modeling studies. The basic characteristics of dominant physical processes in the estuary such as tidal amplification, tidal damping, overtide generation, baroclinicity and internal mixing asymmetry are quantified. The model demonstrates an overall dominance of the flood currents in most of the studied area. However, the hypsometric control in the vicinity of Dollart Bay reverses this asymmetry, with the ebb currents stronger than the flood ones. Small-scale bathymetric characteristics and baroclinicity result in a very complex interplay between dominant physical mechanisms in different parts of the tidal channels and over the tidal flats. Residual flow reveals a clear overturning circulation in some parts of the estuary which is related to a mixing asymmetry between flood and ebb currents. We demonstrate that while areas close to the tidal river exhibit overall similarity with density controlled estuarine conditions, in large areas of the outer estuary barotropic forcing and complex bathymetry together with the density distribution affect substantially the horizontal circulation. © 2014, Springer-Verlag Berlin Heidelberg.</t>
  </si>
  <si>
    <t>2-s2.0-84911808214"</t>
  </si>
  <si>
    <t>10.1111/bre.12065</t>
  </si>
  <si>
    <t>https://www.scopus.com/inward/record.uri?eid=2-s2.0-84910641173&amp;doi=10.1111%2fbre.12065&amp;partnerID=40&amp;md5=a2c09706a7341846bea0c7f58d01bc04</t>
  </si>
  <si>
    <t>Fluvio-deltaic stratigraphy develops under continuous morphodynamic interactions of allogenic and autogenic processes, but the role and relative contribution of these processes to the stratigraphic record are poorly understood. We analysed synthetic fluvio-deltaic deposits of several accommodation-to-supply cycles (sequences) with the aim to relate stratigraphic variability to autogenic and allogenic controls. The synthetic stratigraphy was produced in a series of long time-scale (105 years) numerical experiments with an aggregated process-based model using a typical passive-margin topography with constant rates of liquid and solid river discharge subjected to sinusoidal sea-level fluctuation. Post-processing of synthetic stratigraphy allowed us to quantify stratigraphic variability by means of local and regional net sediment accumulation over equally spaced time intervals (1-10 kyr). The regional signal was subjected to different methods of time-series analysis. In addition, major avulsion sites (&gt;5 km from the coastline) were extracted from the synthetic stratigraphy to confirm the interpretations of our analyses. Regional stratigraphic variability as defined in this study is modulated by a long-term allogenic signal, which reflects the rate of sea-level fluctuation, and it preserves two autogenic frequency bands: the intermediate and high-frequency components. The intermediate autogenic component corresponds to major avulsions with a median inter-avulsion period of ca. 3 kyr. This component peaks during time intervals in which aggradation occurs on the delta plain, because super-elevation of channel belts is a prerequisite for large-scale avulsions. Major avulsions occur occasionally during early stages of relative sea-level fall, but they are fully absent once the coast line reaches the shelf edge and incision takes place. These results are consistent with a number of field studies of falling-stage deposition in fluvial systems. The high-frequency autogenic component (decadal to centennial time scales) represents mouthbar-induced bifurcations occurring at the terminal parts of the system, and to a lesser extent, partial or small-scale avulsions (&lt;5 km from the coastline). Bifurcation intensity correlates strongly with the rate of progradation, and thus reaches its maximum during forced regression. However, its contribution to overall stratigraphic variability is much less than that of the large-scale avulsions, which affect the entire area downstream of avulsion nodes. The results of this study provide guidelines for predicting fluvio-deltaic stratigraphy in the context of co-existing autogenic and allogenic processes and underscore the fact that the relative importance and the type of autogenic processes occurring in fluvio-deltaic systems are governed by allogenic forcing. © 2014 John Wiley &amp; Sons Ltd, European Association of Geoscientists &amp; Engineers and International Association of Sedimentologists.</t>
  </si>
  <si>
    <t>2-s2.0-84910641173"</t>
  </si>
  <si>
    <t>Landscape Research</t>
  </si>
  <si>
    <t>10.1080/01426397.2013.773965</t>
  </si>
  <si>
    <t>https://www.scopus.com/inward/record.uri?eid=2-s2.0-84919651523&amp;doi=10.1080%2f01426397.2013.773965&amp;partnerID=40&amp;md5=bbe5d9a3c4c9744926eb10220200ff2f</t>
  </si>
  <si>
    <t>Abstract: This paper describes a research project that aimed to translate complex spatial and scientific data about coastal change into accessible digital formats for general audiences. The project used fine-scale remote sensing techniques including airborne and terrestrial laser scanning to produce spatially accurate and realistic 3D digital visualisations of projected sea level rise at Cotehele Quay, a site on the River Tamar in Cornwall owned and managed by the National Trust. Area residents and stakeholders were involved in a series of focus groups which provided guidance on the integration of the spatial models into a short film. The paper focuses on how the participatory, iterative process adopted in the project shaped the content and design of the film. The paper concludes with a discussion of how this process enhanced the viability of the film as a communication tool for use in wider engagement activities. © 2013, © 2013 Landscape Research Group Ltd.</t>
  </si>
  <si>
    <t>2-s2.0-84919651523"</t>
  </si>
  <si>
    <t>10.1007/s11629-014-3042-0</t>
  </si>
  <si>
    <t>https://www.scopus.com/inward/record.uri?eid=2-s2.0-84912125519&amp;doi=10.1007%2fs11629-014-3042-0&amp;partnerID=40&amp;md5=464cd27c04e7ebebc3c381980ab5cac3</t>
  </si>
  <si>
    <t>Dam-break analysis is of great importance in mountain environment, especially where reservoirs are located upstream of densely populated areas and hydraulic hazard should be assessed for land planning purposes. Accordingly, there is a need to identify suitable operative tools which may differ from the ones used in flat flood-prone areas. This paper shows the results provided by a 1D and a 2D model based on the Shallow Water Equations (SWE) for dam-break wave propagation in alpine regions. The 1D model takes advantage of a topographic toolkit that includes an algorithm for pre-processing the Digital Elevation Model (DEM) and of a novel criterion for the automatic cross-section space refinement. The 2D model is FLO-2D, a commercial software widely used for flood routing in mountain areas. In order to verify the predictive effectiveness of these numerical models, the test case of the Cancano dam-break has been recovered from the historical study of De Marchi (1945), which provides a unique laboratory data set concerning the consequences of the potential collapse of the former Cancano dam (Northern Italy). The measured discharge hydrograph at the dam also provides the data to test a simplified method recently proposed for the characterization of the hydrograph following a sudden dam-break. © 2014, Science Press, Institute of Mountain Hazards and Environment, CAS and Springer-Verlag Berlin Heidelberg.</t>
  </si>
  <si>
    <t>2-s2.0-84912125519"</t>
  </si>
  <si>
    <t>10.1007/s10236-014-0771-0</t>
  </si>
  <si>
    <t>https://www.scopus.com/inward/record.uri?eid=2-s2.0-84919496140&amp;doi=10.1007%2fs10236-014-0771-0&amp;partnerID=40&amp;md5=988acfd05287ccd2c31145119faab044</t>
  </si>
  <si>
    <t>Storm surge modeling and forecast are the key issues for coastal risk early warning systems. As a general objective, this study aims at improving high-frequency storm surge variations modeling within the PREVIMER system (www.previmer.org), along the French Atlantic and English Channel coasts. The paper focuses on (1) sea surface drag parameterization and (2) uncertainties induced by the meteorological data quality. The modeling is based on the shallow-water version of the model for applications at regional scale (MARS), with a 2-km spatial resolution. The model computes together tide and surge, allowing properly taking into account tide-surge interactions. To select the most appropriate parameterization for the study area, a sensitivity analysis on sea surface drag parameterizations is done, based on comparisons of modeled storm surges (extracted with a tidal component analysis) with four tidal gauges, during four storm events, and over about 7.5 years, where the observed water level is processed in the same way as the modeling results. The tested drag parameterizations are a constant one, as reported by Moon et al. (J Atmos Sci 61: 2321–2333, 2007), Makin (Bound-Layer Meteorol 115: 169–176, 2005), and Charnock (J Roy Meteor Soc 81: 639–640, 1955). Charnock’s parameterization, either constant with high value (0.022) or relying on a full statistical description of the sea state, enables to improve storm surges forecast with peak errors 10 cm smaller than those computed with the other drag coefficient formulations. The impact of the meteorological forcing quality is evaluated over January 2012 from the comparison between surges modeled with different meteorological data (ARPEGE, ARPEGE High Resolution and AROME) and observations. For event time scale, storm surge computation is highly improved with ARPEGE High Resolution data. For month time scale, statistics of model accuracy are less sensitive to the choice of meteorological forcing. As a conclusion, the Charnock’s parameterization is advised to model storm surges on the French Atlantic and English Channel coasts, whereas the quality requirements regarding meteorological inputs depend on the time scale of interest. Within the PREVIMER system, aiming at forecasting events, ARPEGE High Resolution data are used. © 2014, The Author(s).</t>
  </si>
  <si>
    <t>2-s2.0-84919496140"</t>
  </si>
  <si>
    <t>10.1007/s12517-013-1089-9</t>
  </si>
  <si>
    <t>https://www.scopus.com/inward/record.uri?eid=2-s2.0-84919941346&amp;doi=10.1007%2fs12517-013-1089-9&amp;partnerID=40&amp;md5=48bad93b6bb7933c242b1cd9a0a27a9a</t>
  </si>
  <si>
    <t>The north Egyptian continental margin has undergone passive margin subsidence since the opening of Tethys, but its post-Mesozoic history has been interrupted by tectonic events that include a phase of extensional faulting in the Late Miocene. This study characterizes the geometry and distribution of Late Miocene normal faulting beneath the northern Nile Delta and addresses the relationship of this faulting to the north–northwestwards propagation of Red Sea–Gulf of Suez rifting at this time. Structural interpretation of a 2D grid of seismic reflection data has defined a Tortonian–Messinian syn-rift megasequence, when tied to well data. Normal fault correlations between seismic lines are constrained by the mapping of fault-related folds. Faults are evenly distributed across the study area and are found to strike predominantly NW–SE to NNW–SSE, with some N–S faults in the north. Faults are interpreted to be &lt;10 km in length, typically in the range 3–6 km. This suggests that rifting in the northern Nile Delta did not proceed beyond a continental rift initiation phase, with distributed, relatively small-scale faults. This contrasts with the Gulf of Suez Rift, where faulting continued to a more evolved fault localization phase, with block-bounding faults &gt;25 km in length. Results suggest that future studies could quantify fault evolution from rift initiation to fault linkage to displacement localization, by studying the spatial variation in faulting from the northern Nile Delta, south–southeastwards to the Gulf of Suez Rift. © 2013, Saudi Society for Geosciences.</t>
  </si>
  <si>
    <t>2-s2.0-84919941346"</t>
  </si>
  <si>
    <t>10.1016/j.tecto.2014.04.042</t>
  </si>
  <si>
    <t>https://www.scopus.com/inward/record.uri?eid=2-s2.0-84921978064&amp;doi=10.1016%2fj.tecto.2014.04.042&amp;partnerID=40&amp;md5=99d7c815cdf3658f92a04091633cb5ce</t>
  </si>
  <si>
    <t>Interpretation of 2500. km of high-resolution multi-channel seismic reflection profiles shows that the Finike Basin evolved during the Pliocene-Quaternary as the result of dramatic subsidence associated with loading of large imbricate thrust panels that carry the western Tauride Mountains in the north in the Late Miocene. The stacked, seaward prograded Quaternary deltas presently resting at 1000-1500. m water depths corroborate the rapid subsidence of the region. The ubiquitous presence of evaporites in the 2000-2400. m-deep Antalya Basin and their absence in the 3000-3200. m deep Finike Basin suggest that the morphology of the Finike Basin and environs must have been considerably different during the Messinian and that this region must have remained above the depositional base of evaporites during this time. The transition from the Messinian to the Pliocene-Quaternary is marked by partitioning of stress into several discrete spatial domains. A dextral strike-slip fault zone developed along the western Antalya Basin, extending from the apex of the Isparta Angle southward into the Anaximander Mountains. This fault zone, referred to as the Antalya Fault zone, transected the Anaximander Mountains (. sensu lato) separating the Anaxagoras Mountain from the Anaximander and Anaximenes Mountains. Hence, the Finike Basin, Sirri Erinç Plateau and the Anaximander and Anaximenes Mountains remained part of the onland Beydağlari Block and experienced ~. 20° counterclockwise rotation during the Late Miocene. We envisage the boundaries of the Beydağlari Block as the Burdur-Fethiye Fault zone in the west, the newly delineated Antalya Fault zone in the east and the east-west trending sector of the Sirri Erinç Plateau in the southwest. Kinematic evaluation of the structural elements mapped across the Finike Basin and the Sirri Erinç Plateau suggest that two additional strike-slip zones developed during the Pliocene-Quaternary relaying the stress between the Antalya Fault zone in the east and the Pliny-Strabo Fault zone in the west. © 2014 Elsevier B.V.</t>
  </si>
  <si>
    <t>2-s2.0-84921978064"</t>
  </si>
  <si>
    <t>10.1038/NGEO2233</t>
  </si>
  <si>
    <t>https://www.scopus.com/inward/record.uri?eid=2-s2.0-84930196135&amp;doi=10.1038%2fNGEO2233&amp;partnerID=40&amp;md5=86d52a1f3ce286356b8be7a7787aafd0</t>
  </si>
  <si>
    <t>River deltas support a disproportionate percentage of the world's population and some are drowning as sea level rises1. Resilient deltas theoretically balance relative sea-level rise with vertical growth from surface sedimentation2-7. Vegetation generally enhances inorganic sedimentation and resiliency in some settings, such as tidal saltwater marshes8, but the effect of vegetation on freshwater marshes in river deltas is less clear. Here we use a hydrodynamic numerical model9 to simulate deposition in a river delta with varying vegetation characteristics and water discharge and show that vegetation does not always enhance sedimentation on a freshwater marsh. For a given flood, we find that intermediate vegetation height and density are optimal for enhancing both sand and mud deposition, whereas tall or dense vegetation causes sand to remain in the river channel, reducing marsh sedimentation. A multivariate regression analysis of remote-sensing data from Wax Lake Delta, Louisiana, USA shows that the delta exhibits a hydrodynamic response to vegetation in agreement with model predictions. Because most sediment is delivered to freshwater deltaic marshes by infrequent storm and flood events, we further suggest that the timing of such events relative to seasonal vegetation growth determines the integrated effect of vegetation on delta resiliency. © 2014 Macmillan Publishers Limited. All rights reserved.</t>
  </si>
  <si>
    <t>2-s2.0-84930196135"</t>
  </si>
  <si>
    <t>10.1007/s11001-014-9225-9</t>
  </si>
  <si>
    <t>https://www.scopus.com/inward/record.uri?eid=2-s2.0-84920257984&amp;doi=10.1007%2fs11001-014-9225-9&amp;partnerID=40&amp;md5=14aa7c70316d28991ea720f11006fb51</t>
  </si>
  <si>
    <t>The North-Andean subduction zone generates recurrent tsunamigenic earthquakes. The seismicity is usually considered to be segmented because of different specific morphological features of the Nazca Plate driving the subduction motion. Most of the recent powerful earthquakes in the margin were located in its northern part. To the south, the region of the Gulf of Guayaquil, only (undocumented) three events in 1901, 1933 and 1953 were possibly powerful and tsunamigenic. Here we are interested in the tsunami signature due to local seismicity. Two realistic earthquake scenarios (Mw = 7 and Mw = 7.5) taking into account the hypothesized segmentation of the area are proposed. Their return period is supposed to be intra-centenary. Then, a larger magnitude unsegmented Mw = 8 scenario is computed (half-millennium return period). The interior of the Gulf of Guayaquil as well as the Santa Elena Peninsula are sheltered areas including numerous coastal infrastructures and the city of Guayaquil. It is predicted that potential flooding would occur at high tide only for both segmented and unsegmented scenarios in (1) south of Playas with however only a few centimeters of wave height and (2) Chanduy (a few meters). Both are important zones of coastal farms. © 2014, Springer Science+Business Media Dordrecht.</t>
  </si>
  <si>
    <t>2-s2.0-84920257984"</t>
  </si>
  <si>
    <t>10.1016/j.gloenvcha.2014.07.013</t>
  </si>
  <si>
    <t>https://www.scopus.com/inward/record.uri?eid=2-s2.0-84923283854&amp;doi=10.1016%2fj.gloenvcha.2014.07.013&amp;partnerID=40&amp;md5=47d4a5fb615f0d13aa10483914688d59</t>
  </si>
  <si>
    <t>Understanding the values and socio-economic characteristics of people at risk from climate change will inform how people feel about the likely distribution of impacts, as well as adaptation responses. This knowledge is necessary if adaptation is to achieve distributive fairness now and into the future. This study advances methods and analyses used in values-based adaptation research by using segmentation to explain the diversity of values that exist within a community, and on this basis identify particular groups at risk. A telephone survey was conducted with residents of Lakes Entrance, Australia-a coastal community already adapting to projected sea-level rise. The purpose was to determine the priorities residents place on a range of lived values-valuations that individuals make about what is important in their lives and the places they live. The telephone survey data was then analysed using cluster analysis to develop a lived values typology of residents. The analysis revealed that there are at least eight types of residents living in Lakes Entrance and that each group of residents has a unique set of lived values that will be differentially affected by sea-level rise and adaptation. The findings indicate that if sea-level rise adaptation policy is to be distributively fair it needs to develop a suite of adaptation responses that ensure that the lived values of each group of residents, and thus a diversity of values, are maintained or enhanced. © 2014 Elsevier Ltd.</t>
  </si>
  <si>
    <t>2-s2.0-84923283854"</t>
  </si>
  <si>
    <t>10.1016/j.cageo.2014.02.001</t>
  </si>
  <si>
    <t>https://www.scopus.com/inward/record.uri?eid=2-s2.0-84925057857&amp;doi=10.1016%2fj.cageo.2014.02.001&amp;partnerID=40&amp;md5=46bba2c8a9c607e535ef8426e14c1a7e</t>
  </si>
  <si>
    <t>The introduction of tidal stream turbines into water bodies can have an impact on the environment due to changes in the hydrodynamic flow fields resulting from the extraction of energy by the tidal turbines. Water levels, tidal currents and flushing characteristics could potentially be significantly altered with the introduction of tidal turbine farms, which could lead to possible loss of habitat and a change in the tidal regime. Therefore, planning of tidal turbines field deployments must take into account possible hydro-environmental impacts. This paper describes research undertaken by the authors in the Shannon Estuary to predict changes in the tidal regime and flushing characteristics, with the introduction of tidal turbine farms of different array configurations. The model was simulated using a 2D hydrodynamic model that was modified to incorporate the effects of tidal turbine fields. Water levels are shown to have been affected with the inclusion of turbines, especially in areas upstream of the turbine farm where inter-tidal zones could become predominately inundated resulting in loss of habitat in the estuary. Flushing parameters were also shown to be altered with the inclusion of turbines, with residence time shown to be increased, which could change pollutant transport in the region. © 2014 Elsevier Ltd.</t>
  </si>
  <si>
    <t>2-s2.0-84925057857"</t>
  </si>
  <si>
    <t>Bulletin of Volcanology</t>
  </si>
  <si>
    <t>10.1007/s00445-014-0880-0</t>
  </si>
  <si>
    <t>https://www.scopus.com/inward/record.uri?eid=2-s2.0-84919919872&amp;doi=10.1007%2fs00445-014-0880-0&amp;partnerID=40&amp;md5=ca2e968c7a9e76bb718ff3d42ab1410d</t>
  </si>
  <si>
    <t>Lava deltas, formed where lava enters the ocean and builds a shelf of new land extending from the coastline, represent a significant local hazard, especially on populated ocean island volcanoes. Such structures are unstable and prone to collapse—events that are often accompanied by small explosions that can deposit boulders and cobbles hundreds of meters inland. Explosions that coincide with collapses of the East Lae ‘Apuki lava delta at Kīlauea Volcano, Hawai‘i, during 2005–2007 followed an evolutionary progression mirroring that of the delta itself. A collapse that occurred when the lava–ocean entry was active was associated with a blast of lithic blocks and dispersal of spatter and fine, glassy tephra. Shortly after delta growth ceased, a collapse exposed hot rock to cold ocean water, resulting in an explosion composed entirely of lithic blocks and lapilli. Further collapse of the delta after several months of inactivity, by which time it had cooled significantly, resulted in no recognizable explosion deposit. Seaward displacement and subsidence of the coastline immediately inland of the delta was measured by both satellite and ground-based sensors and occurred at rates of several centimeters per month even after the lava–ocean entry had ceased. The anomalous deformation ended only after complete collapse of the delta. Monitoring of ground deformation may therefore provide an indication of the potential for delta collapse, while the hazard associated with collapse can be inferred from the level of activity, or the time since the last activity, on the delta. © 2014, Springer-Verlag Berlin Heidelberg (outside the USA).</t>
  </si>
  <si>
    <t>2-s2.0-84919919872"</t>
  </si>
  <si>
    <t>10.1007/s10584-014-1273-2</t>
  </si>
  <si>
    <t>https://www.scopus.com/inward/record.uri?eid=2-s2.0-84911974375&amp;doi=10.1007%2fs10584-014-1273-2&amp;partnerID=40&amp;md5=56494da45fa19b8404807bcf98080499</t>
  </si>
  <si>
    <t>With rising sea levels and possible storm intensification due to climate change, current United States urban coastal flood management strategies will be challenged. Due to limitations of current flood management strategies, evacuation is likely to become increasingly prominent in many coastal areas. Thus it is important to think critically about challenges for successful evacuation planning, particularly for vulnerable communities. This paper brings together the evacuation planning, climate change and environmental justice literatures. We describe the unique challenges that environmental justice communities face with evacuation, and identify best practice guidelines to improve the quality of evacuation planning for these communities. The guidelines presented, while not comprehensive, provide a framework for planners and policymakers to consider when developing evacuation plans, both for current and future climate conditions, and could improve the quality of evacuation planning. © 2014, Springer Science+Business Media Dordrecht.</t>
  </si>
  <si>
    <t>2-s2.0-84911974375"</t>
  </si>
  <si>
    <t>10.1017/njg.2014.14</t>
  </si>
  <si>
    <t>https://www.scopus.com/inward/record.uri?eid=2-s2.0-84936881537&amp;doi=10.1017%2fnjg.2014.14&amp;partnerID=40&amp;md5=6c75bdf75c0bf3c160c3d554c85503ae</t>
  </si>
  <si>
    <t>Flevoland (central Netherlands) is an area of long-term discontinuous deposition that has been reclaimed from the Zuiderzee in the 20th century. Before the reclamation, the Zuiderzee had been in a phase of enlargement, threatening inhabitants on the islands and the shores, since the Medieval Period. During this phase, a surficial clay cover was deposited on the island of Schokland (World Heritage Site: Noordoostpolder, northern Flevoland). We have studied the clay sequence in order to reconstruct the island's flooding history during the last 1200 years. The depositional history of the youngest clay deposit on Schokland is inferred from a literature study, analyses of a digital elevation model, six coring transects, three new 14C accelerator mass spectrometry (AMS) dates and laboratory analyses. The laboratory analyses include thermogravimetric analysis, grain-size end-member modelling (unmixing grain-size distributions), foraminifera, bivalves and ostracods. The geological data were combined with information from historical archives. Together, the results show that a combination of embankments and proximity to the coastline determined the sedimentation history and spatial distribution pattern of the sediment. The results also indicate that sedimentary remains of Late Holocene storm events are still present in the clay deposit on Schokland. © Netherlands Journal of Geosciences Foundation 2014.</t>
  </si>
  <si>
    <t>2-s2.0-84936881537"</t>
  </si>
  <si>
    <t>10.1016/j.ijdrr.2014.04.006</t>
  </si>
  <si>
    <t>https://www.scopus.com/inward/record.uri?eid=2-s2.0-84918570759&amp;doi=10.1016%2fj.ijdrr.2014.04.006&amp;partnerID=40&amp;md5=68c4a53f620e25393d924260e380576c</t>
  </si>
  <si>
    <t>Intense rainfall events can trigger local flooding due to prolonged and extended ponding especially in densely urbanized areas with local flat spots. The frequency of these events is very high and therefore so is their impact on society. In certain cases (i.e., small islands) good characterization of this hazard is an important part of the global risk assessment of the area.In the literature we find a large number of inundation models for regional or global applications, as recently this problem has catalyzed the attention of the research community, but few of them focus on local ponding effects, their primary goal being to assess riverine flood risk.This work presents a simple ponding model developed, tested and applied in different environments, including a challenging one in the Caribbean Islands.The model assumes that the interactions among local and far morphological features, slope, soil use and soil type allow the identification of ponding prone areas.In the particular context of the Global Assessment Report (GAR) such a model has been of dramatic help in identifying risks in Small Islands Developing States (SIDS), which often lack of a well-organized river network and are exposed to torrential rains, such that local flooding is one of the major threats they experience with devastating problems to facilities and lifelines.The model was at first calibrated and validated in central Italy in the area of the L'Aquila city, in a very rich data environment, and after that it was ported to the Caribbean Islands in the framework of the GAR. The model outputs probabilistic information expressed in terms of ponding Likelihood so that this information can be easily taken in a probabilistic risk analysis framework. © 2014 Elsevier Ltd.</t>
  </si>
  <si>
    <t>2-s2.0-84918570759"</t>
  </si>
  <si>
    <t>10.1016/j.cageo.2014.07.018</t>
  </si>
  <si>
    <t>https://www.scopus.com/inward/record.uri?eid=2-s2.0-84925213195&amp;doi=10.1016%2fj.cageo.2014.07.018&amp;partnerID=40&amp;md5=0e25796d5bf0205a7faabd57c26dc01b</t>
  </si>
  <si>
    <t>The potential impacts of ebb-only (one-way) and flood-ebb (two-way) modes of operation of a tidal barrage on the eutrophication potential of the Severn Estuary were investigated in this study using the simple modelling approach adopted by the UK's Comprehensive Studies Task Team (CSTT). The model predictions were compared against CSTT thresholds for assessing eutrophication in estuaries and coastal waters. For the no barrage scenario, as well as the ebb-only and flood-ebb operating modes, the estuary was found to be potentially eutrophic as the predicted equilibrium nutrient concentrations and potential maximum phytoplankton biomass chlorophyll concentrations exceeded the threshold limits. Potential maximum phytoplankton primary productivity under both ebb-only and flood-ebb operating modes were found to be noticeably higher than that for the no barrage scenario. This is believed to be due to a combination of increased water residence time and greater light availability behind the barrage. However, the conditions for phytoplankton production are likely to be more favourable under ebb-only operating mode as the potential for maximum phytoplankton primary production was found to be significantly increased under ebb-only operating mode, with largely decreased suspended particulate matter concentration compared to flood-ebb operating mode where only a small reduction in suspended particulate matter concentration is predicted. © 2014 Elsevier Ltd.</t>
  </si>
  <si>
    <t>2-s2.0-84925213195"</t>
  </si>
  <si>
    <t>10.1016/j.ocemod.2014.08.005</t>
  </si>
  <si>
    <t>https://www.scopus.com/inward/record.uri?eid=2-s2.0-84907810834&amp;doi=10.1016%2fj.ocemod.2014.08.005&amp;partnerID=40&amp;md5=9e507f9f75e31661ff8c5ba6a93028d2</t>
  </si>
  <si>
    <t>Modeling of storm-induced coastal inundation has primarily focused on the surge generated by atmospheric pressure and surface winds with phase-averaged effects of the waves as setup. Through an interoperable model package, we investigate the role of phase-resolving wave processes in simulation of coastal flood hazards. A spectral ocean wave model describes generation and propagation of storm waves from deep to intermediate water, while a non-hydrostatic storm-tide model has the option to couple with a spectral coastal wave model for computation of phase-averaged processes in a near-shore region. The ocean wave and storm-tide models can alternatively provide the wave spectrum and the surface elevation as the boundary and initial conditions for a nested Boussinesq model. Additional surface-gradient terms in the Boussinesq equations maintain the quasi-steady, non-uniform storm tide for modeling of phase-resolving surf and swash-zone processes as well as combined tide, surge, and wave inundation. The two nesting schemes are demonstrated through a case study of Hurricane Iniki, which made landfall on the Hawaiian Island of Kauai in 1992. With input from a parametric hurricane model and global reanalysis and tidal datasets, the two approaches produce comparable significant wave heights and phase-averaged surface elevations in the surf zone. The nesting of the Boussinesq model provides a seamless approach to augment the inundation due to the individual waves in matching the recorded debris line along the coast. © 2014 Elsevier Ltd.</t>
  </si>
  <si>
    <t>2-s2.0-84907810834"</t>
  </si>
  <si>
    <t>10.1016/j.jhydrol.2014.08.011</t>
  </si>
  <si>
    <t>https://www.scopus.com/inward/record.uri?eid=2-s2.0-84906725033&amp;doi=10.1016%2fj.jhydrol.2014.08.011&amp;partnerID=40&amp;md5=a2387b5622532bd97790e65b64795f4b</t>
  </si>
  <si>
    <t>Under coupled influences of human activities and climate change, hydrological alterations are unavoidable and should be addressed in the evaluation of flood risk. In this study, the flood risk in the Pearl River basin, one of the economically developed regions in China, is investigated, based on long term annual maximum series (AMS) from 28 hydrological stations. Results indicate the following: (1) significant hydrological alterations have been identified and alterations of precipitation extreme regimes are one of the pivotal factors triggering hydrological alterations of AMS, as abrupt changes of precipitation extremes occur is similar to that of the AMS in time and space. In the East River basin, however, massive human withdrawal of freshwater, a number of water reservoirs and other hydraulic facilities combine to reduce the flood risk. (2) High flood risk can be found in the upper and middle West River basin and the North River basin with an increasing magnitude of 0-40% and 10-30%, respectively. Besides, frequencies of flood events with return periods of longer than 20. years are found to be significantly decreasing. In the East River basin, however, the frequency of floods with a return period of 20. years is increasing, but the flood volume is greatly decreasing. (3) Higher flood risk due to alterations of hydrological extremes will pose a threat to the existing hydraulic facilities. Furthermore, the higher flood risk in the West River and North River basins will potentially threaten the Pearl River Delta, a densely populated region with highly developed socio-economy. The results of this study will thus be of great value in developing measures for resilience to natural hazards in high development economic and coastal regions. © 2014 Elsevier B.V.</t>
  </si>
  <si>
    <t>2-s2.0-84906725033"</t>
  </si>
  <si>
    <t>10.1007/s10236-014-0782-x</t>
  </si>
  <si>
    <t>https://www.scopus.com/inward/record.uri?eid=2-s2.0-84911806587&amp;doi=10.1007%2fs10236-014-0782-x&amp;partnerID=40&amp;md5=54e75af8c8e002fb192628960befaf68</t>
  </si>
  <si>
    <t>In the Adriatic Sea, storm surges present a significant threat to Venice and to the flat coastal areas of the northern coast of the basin. Sea level forecast is of paramount importance for the management of daily activities and for operating the movable barriers that are presently being built for the protection of the city. In this paper, an EPS (ensemble prediction system) for operational forecasting of storm surge in the northern Adriatic Sea is presented and applied to a 3-month-long period (October–December 2010). The sea level EPS is based on the HYPSE (hydrostatic Padua Sea elevation) model, which is a standard single-layer nonlinear shallow water model, whose forcings (mean sea level pressure and surface wind fields) are provided by the ensemble members of the ECMWF (European Center for Medium-Range Weather Forecasts) EPS. Results are verified against observations at five tide gauges located along the Croatian and Italian coasts of the Adriatic Sea. Forecast uncertainty increases with the predicted value of the storm surge and with the forecast lead time. The EMF (ensemble mean forecast) provided by the EPS has a rms (root mean square) error lower than the DF (deterministic forecast), especially for short (up to 3 days) lead times. Uncertainty for short lead times of the forecast and for small storm surges is mainly caused by uncertainty of the initial condition of the hydrodynamical model. Uncertainty for large lead times and large storm surges is mainly caused by uncertainty in the meteorological forcings. The EPS spread increases with the rms error of the forecast. For large lead times the EPS spread and the forecast error substantially coincide. However, the EPS spread in this study, which does not account for uncertainty in the initial condition, underestimates the error during the early part of the forecast and for small storm surge values. On the contrary, it overestimates the rms error for large surge values. The PF (probability forecast) of the EPS has a clear skill in predicting the actual probability distribution of sea level, and it outperforms simple “dressed” PF methods. A probability estimate based on the single DF is shown to be inadequate. However, a PF obtained with a prescribed Gaussian distribution and centered on the DF value performs very similarly to the EPS-based PF. © 2014, Springer-Verlag Berlin Heidelberg.</t>
  </si>
  <si>
    <t>2-s2.0-84911806587"</t>
  </si>
  <si>
    <t>10.1016/j.margeo.2014.08.009</t>
  </si>
  <si>
    <t>https://www.scopus.com/inward/record.uri?eid=2-s2.0-84914171171&amp;doi=10.1016%2fj.margeo.2014.08.009&amp;partnerID=40&amp;md5=98daada4f09a069fbd7435d9092ea810</t>
  </si>
  <si>
    <t>This report presents an examination of tsunami behavior for the Misawa coast of northeastern Japan based on interpretations of sequential digital photographs of the 2011 Tohoku-oki tsunami, spatial distribution of tsunami deposits, and topographical conditions reconstructed using the Digital Elevation Model (DEM). In the study area, run-up flow and then backwash flow occurred only once. Run-up flow reached maximum inundation height several minutes after tsunami flooding started. Topographic features such as terraces, dissected valleys, coastal lowlands, and artificial seawall constrained the tsunami flow. The sandy tsunami deposit distribution is limited to several hundred meters from the shoreline. Deposits show inland thinning and fining. They also indicate thinning and fining in the direction of higher surfaces. Thick deposits, which are distributed locally in the basin area between the beach ridge and the seawall, exhibited multiple layers of inverse and normal grading formed by repeated acceleration and deceleration for several minutes during the run-up flow. In the area with concentrated backwash flow after the tsunami struck, the sedimentation for tsunami deposits was affected not only by the run-up flow, but also by the backwash flow. © 2014 Elsevier B.V.</t>
  </si>
  <si>
    <t>2-s2.0-84914171171"</t>
  </si>
  <si>
    <t>10.5194/nhess-14-2993-2014</t>
  </si>
  <si>
    <t>https://www.scopus.com/inward/record.uri?eid=2-s2.0-84912085548&amp;doi=10.5194%2fnhess-14-2993-2014&amp;partnerID=40&amp;md5=8cd537d9dd45a523cb1a71586cef3b74</t>
  </si>
  <si>
    <t>This paper deals with the limits in hydrodynamic and morphodynamic predictions for semi-enclosed coastal domains subject to sharp gradients (in bathymetry, topography, sediment transport and coastal damages). It starts with an overview of wave prediction limits (based on satellite images and buoy records) in a restricted domain, namely the Mediterranean basin, followed by an in-depth analysis of the Catalan coast, one of its land boundaries. The morphodynamic modelling for such regions is next discussed, based on the impact of a characteristic storm. The driving wave and surge conditions produce a morphodynamic response that is validated against the pre- and post-storm emerged beach state, recovered from two lidar images. The quality of the fit is discussed in terms of the physical processes and the suitability of the employed modelling suite. From here an assessment of errors and uncertainties is presented, with the aim of establishing the prediction limits for flooding and erosion analyses, key elements for coastal engineering decisions.</t>
  </si>
  <si>
    <t>2-s2.0-84912085548"</t>
  </si>
  <si>
    <t>10.1007/s11069-014-1209-1</t>
  </si>
  <si>
    <t>https://www.scopus.com/inward/record.uri?eid=2-s2.0-84939878203&amp;doi=10.1007%2fs11069-014-1209-1&amp;partnerID=40&amp;md5=134a824159170266a36b8b08b5834265</t>
  </si>
  <si>
    <t>As property damage from flooding continues to increase, particularly in coastal areas, the adoption of strategies to mitigate these losses has never been more important to protecting the health and safety of coastal communities. Both structural and non-structural flood mitigation activities are being considered to buffer the adverse consequences of building structures in areas exposed to flood risk. However, little research has been conducted on the effectiveness of flood mitigation practices, particularly non-structural approaches at the parcel level. Our study addresses this lack of critical knowledge by examining the effect of mitigation activities adopted under the FEMA community rating system on insured property losses across multiple communities within the Clear Creek watershed located just south of Houston, TX and adjacent to Galveston Bay. Specifically, we statistically identify the degree to which various mitigation strategies adopted by a community reduce flood loss claims among 9,555 parcels from 1999 to 2009. Results indicate that several mitigation policies adopted at the community level result in significant savings in property damage for homeowners in the Clear Creek watershed. © 2014, Springer Science+Business Media Dordrecht.</t>
  </si>
  <si>
    <t>2-s2.0-84939878203"</t>
  </si>
  <si>
    <t>10.1080/02626667.2014.884718</t>
  </si>
  <si>
    <t>https://www.scopus.com/inward/record.uri?eid=2-s2.0-84910108684&amp;doi=10.1080%2f02626667.2014.884718&amp;partnerID=40&amp;md5=e24e5c282fa1e7966b52786a5e27c1ff</t>
  </si>
  <si>
    <t>Data unavailability is the main reason for limited applications of hydrodynamic models for predicting inundation in the developing world. This paper aims to generate moderately high-resolution hybrid terrain data by merging height information from low-cost Indian Remote Sensing satellite (IRS) Cartosat-1 stereo satellite images, freely-available Shuttle Radar Topograph Mission (SRTM) digital elevation model (DEM) data, and limited surveyed channel cross-sections. The study reach is characterized by anabranching channels that are associated with channel bifurcation, loops and river islands. We compared the performance of a simple 1D–2D coupled LISFLOOD-FP model and a complex fully 2D finite element TELEMAC-2D model with the hybrid terrain data. The results show that TELEMAC-2D produced significantly improved simulated inundation with the hybrid terrain data, as compared to the SRTM DEM. LISFLOOD-FP was found unsuitable to work with the hybrid DEM in a complicated fluvial environment, as it failed to efficiently divert water in the branches from the main channel. © 2014 IAHS Press.</t>
  </si>
  <si>
    <t>2-s2.0-84910108684"</t>
  </si>
  <si>
    <t>10.1007/s12517-013-1197-6</t>
  </si>
  <si>
    <t>https://www.scopus.com/inward/record.uri?eid=2-s2.0-84911807167&amp;doi=10.1007%2fs12517-013-1197-6&amp;partnerID=40&amp;md5=f330b99b115641c498370b4d55cc6364</t>
  </si>
  <si>
    <t>Various facies characterize the Lower Eocene (Ypresian) that had been named formations which include the Bou Dabbous Formation. It is one of the four lateral equivalents of the Metlaoui Group and consists of micrite and marls with abundant planktonic foraminifera (Globigerina). In this paper, we report on the organic matter (OM) analyses of the Bou Dabbous Formation from nine outcrop cross sections in central and northern Tunisia. The total organic carbon (TOC) values and Rock-Eval analysis showed that this formation had preserved type II/III marine OM. Locally, such as at Oueds Sidi Mansour and Bou Jabia, TOC values are very high. These values are reliable to the structural framework (subsiding grabens) during the deposition of the Bou Dabbous Formation. Biomarker (steranes and terpanes) analysis showed that this OM is very rich in these compounds. Our results exposed that the Bou Dabbous Formation OM is represented by an open planctonic to estuarine algal facies with bacterial contribution as revealed by the relative abundance of the C27 (37–43 %), C28 (26–31 %), and C29 (30–34 %) steranes and the dominance of the hopane compounds for all the samples. The good preservation of OM in the Bou Dabbous Formation has been evidenced by the high abundance of gammacerane and the preservation of the C34 and C35 homohopanes in central Tunisia (Oueds Souinia and Sidi Mansour) compared to the northern part (Tellian Atlas). We interpreted that the development of anoxic conditions in central Tunisia had been induced by water stratification of super-salt water under arid and warm climate. These results concord with the structural and the paleogeographic setting where the Bou Dabbous Formation in central Tunisia was deposited in subsiding grabens separated from the open sea by high sills (horst). In northern Tunisia, eastern upwelling waters rich nutriments enhanced primary organic productivity and therefore the development of anoxic conditions. Rock-Eval maximum pyrolysis temperature (Tmax) values fitting with the interval 425–454 °C show that the OM thermal maturity ranges from immature (central Tunisia), marginally mature (Bizerte region) to the peak of oil generation window (NW Tunisia). We showed that these thermal maturity differentiations were related to the geodynamic evolution that had gone separately central and northern Tunisia. Therefore, the Bou Dabbous formation in central Tunisia had gone subsidence inversion and tendencies to emersion since the Late Eocene epoch and consequently not enough to reach the oil generation window. On the other hand, at the Oligocene–Early Miocene, extensional activity favored dissymmetric subsidence where northern Tunisia (Tellian Atlas) had gone active subsidence associated with high thermal flux in relationship to magmatic activities. Consequently, this feature explains the thermal maturation of the Bou Dabbous OM at this province. © 2014, Saudi Society for Geosciences.</t>
  </si>
  <si>
    <t>2-s2.0-84911807167"</t>
  </si>
  <si>
    <t>10.1016/j.ecoleng.2014.09.031</t>
  </si>
  <si>
    <t>https://www.scopus.com/inward/record.uri?eid=2-s2.0-84907614964&amp;doi=10.1016%2fj.ecoleng.2014.09.031&amp;partnerID=40&amp;md5=bbd420514adecaaed14ad1149b5002d8</t>
  </si>
  <si>
    <t>Many efforts have been made to control invasive Spartina alterniflora and to restore coastal wetlands along the Pacific Rim. This study is the first to report the effects of a Spartina-eradication program on soil greenhouse gas (GHG) emissions. In this study S. alterniflora was eradicated in a pilot program covering an area of 0.63km2 in a Yangtze River estuarine wetland. In the following year after the eradication program was complete, plant growth, soil microbial activities, as well as CO2, CH4 and N2O emissions were investigated. S. alterniflora ramets did not re-grow after the eradication program, while a native plant, Phragmites australis, thrived and produced taller but rather thinner ramets. CO2, CH4 and N2O emissions in areas previously covered by S. alterniflora declined based on measurements made a year after eradication. This may have been caused by the removal of this plant as well as by flooding and/or by the reduced soil microbial biomass and dehydrogenase and β-glucosidase activities. CH4 fluxes significantly increased in the program sites where the native species P. australis was retained, while CO2 and N2O fluxes showed no significant changes. Our study revealed that GHG emissions can be greatly altered by an invasive plant eradication program and analysis of such emissions should be included in comprehensive assessments designed to guide successful restoration practices. Based on scenario analysis, we suggest that from the view of GHG emission equivalency, planting P. australis in approximately 50% of the area where S. alterniflora was eradicated would be appropriate in future management. © 2014 Elsevier B.V.</t>
  </si>
  <si>
    <t>2-s2.0-84907614964"</t>
  </si>
  <si>
    <t>Brazilian Journal of Geology</t>
  </si>
  <si>
    <t>10.5327/Z23174889201400040002</t>
  </si>
  <si>
    <t>https://www.scopus.com/inward/record.uri?eid=2-s2.0-84918567921&amp;doi=10.5327%2fZ23174889201400040002&amp;partnerID=40&amp;md5=a395d901c554712a2e714d25ae0c5486</t>
  </si>
  <si>
    <t>Turbidites have captioned the attention of sedimentologists during the last decades due their importance as hydrocarbon reservoirs. However, their relationship to delta systems still deserves further studies. This paper presents examples from a late deglacial to early post-glacial deltaic and turbidite strata exposed in the surroundings of Vidal Ramos (Santa Catarina State, Brazil), southern portion of the Paraná Basin. There, the uppermost part of the Mafra Formation and the Rio do Sul Formation onlap the Proterozoic basement and comprises an up to 360 m thick package. It includes (base to top) black shales, mass transport deposits (MTD) and sandy turbidites (Mafra Formation) as well as thin bedded turbidites (tbt), including one interval of black shales and sandy turbidites, overlain by proximal delta front sandstones (Rio do Sul Formation). The analysis of the succession shows two more than 150 m thick coarsening-upwards deltaic successions composed of turbidite sand sheets at their base (prodelta), followed by partially collapsed thin bedded turbidites (delta slope wedge) and delta front sandstones. Both turbidite sand-sheets abruptly overlay black shale intervals related to maximum flooding surfaces and therefore record correlative conformities. A detailed stratigraphic section elaborated from the correlation of four logs (1/100) suggests that distal delta front sands includes both thin bedded turbidites and wave reworked sands whereas the proximal delta front was dominated by long-lived underflows (hyperpycnal flows). The succession suggests that the most expressive turbidite beds (base of the delta systems) have resulted from relative sea-level falls (early lowstand) whereas the thin-bedded turbidites were related to the development of the late lowstand wedge. Black shales represent the transgressive systems tract and HST were not deposited or preserved in the area. High sediment supply associated with lowstand tracts could explain the occasional (Vidal Ramos) to common occurrence of slope failures (slumps and diamictites) involving thin bedded turbidites and delta front sandstones. This situation is quite logical in terms of deglacial periods, and resulting high sediment supply, within a long-term icehouse context, with prevalence of lowstand to transgressive settings.</t>
  </si>
  <si>
    <t>2-s2.0-84918567921"</t>
  </si>
  <si>
    <t>10.5194/hess-18-3987-2014</t>
  </si>
  <si>
    <t>https://www.scopus.com/inward/record.uri?eid=2-s2.0-84908032230&amp;doi=10.5194%2fhess-18-3987-2014&amp;partnerID=40&amp;md5=9869744707bdd931b3c0cbbca0690326</t>
  </si>
  <si>
    <t>The Hoa Binh dam (HBD), located on a tributary of the Red River in Vietnam, has a capacity of 9.45 × 109 m3 and was commissioned in December 1988. Although it is important for flood prevention, electricity production and irrigation in northern Vietnam, the Hoa Binh dam has also highly influenced the suspended sediment distribution in the lower Red River basin, in the delta and in the coastal zone. Its impact was analysed from a 50-year data set of water discharge and suspended sediment concentration (1960-2010), and the distribution of water and sediment across the nine mouths of the delta was simulated using the MIKE11 numerical model before and after the dam settlement. Although water discharge at the delta inlet decreased by only 9%, the yearly suspended sediment flux dropped, on average, by 61% at Son Tay near Hanoi (from 119 to 46 × 106 t yr-1). Along the coast, reduced sedimentation rates are coincident with the lower sediment delivery observed since the impoundment of the Hoa Binh dam. Water regulation has led to decreased water discharge in the wet season (-14% in the Red River at Son Tay) and increased water discharge in the dry season (+12% at the same station). The ratios of water and suspended sediment flows, as compared to the total flows in the nine mouths, increased in the northern and southern estuaries and decreased in the central, main Ba Lat mouth. The increasing volume of dredged sediments in the Haiphong harbour is evidence of the silting up of the northern estuary of Cam-Bach Dang. The effect of tidal pumping on enhanced flow occurring in the dry season and resulting from changed water regulation is discussed as a possible cause of the enhanced siltation of the estuary after Hoa Binh dam impoundment. © 2014 Author(s).</t>
  </si>
  <si>
    <t>2-s2.0-84908032230"</t>
  </si>
  <si>
    <t>Journal of Environmental Assessment Policy and Management</t>
  </si>
  <si>
    <t>10.1142/S1464333214500367</t>
  </si>
  <si>
    <t>https://www.scopus.com/inward/record.uri?eid=2-s2.0-84929169734&amp;doi=10.1142%2fS1464333214500367&amp;partnerID=40&amp;md5=c31b2e910d79e9ecbbaed78772281ea6</t>
  </si>
  <si>
    <t>Bangladesh has been identified as one of the countries most vulnerable to climate change and rising sea-level. This is because it is located at the northern end of the funnel-shaped Bay of Bengal, and as a consequence it has experienced a number of severe storm surges in the last three decades. The inhabitants of the coastal region are very poor, and the surges have pushed them to a ""tipping-point""</t>
  </si>
  <si>
    <t>10.1371/journal.pone.0109240</t>
  </si>
  <si>
    <t>https://www.scopus.com/inward/record.uri?eid=2-s2.0-84941916333&amp;doi=10.1371%2fjournal.pone.0109240&amp;partnerID=40&amp;md5=e1427c76394af29fb67186bdfb35c493</t>
  </si>
  <si>
    <t>Objectives: The Great East Japan Earthquake caused a gigantic tsunami which devastated coastal areas of northern Japan on 11 March 2011. Despite the large number of 'resident survivors' who continued to reside in their damaged houses on the second or upper floors, research on the mental health of these individuals has been limited. This study explored the prevalence of depressive reaction and risk factors for depressive reaction among these resident survivors. Methods: A cross-sectional household health support needs screening was conducted for resident survivors in Higashi- Matsushima city, Miyagi prefecture, two to four months after the tsunami. The health interview that was conducted including mental status, assessed by the Patient Health Questionnaire-2 (PHQ-2). Results: Of 5,454 respondents, 8.1% had depressive reaction. After adjustment by the number of weeks from the tsunami and the mortality rate at each respondent's place of residence, depressive reaction was significantly associated with house flooding below or above the ground floor (odds ratios of 1.92, 2.36, respectively), the unavailability of gas supply (odds ratio, 1.67), being female (odds ratio, 1.47), middle aged or elderly (odds ratios of 2.41, 2.42, respectively), regular intake of psychotropic medicine(s) since before the tsunami (odds ratio, 2.53) and the presence of one to five or more than six cohabiters (odds ratios of 0.61, 0.52, respectively). Conclusions: The results suggest a considerable psychological burden (depressive reaction) following the tsunami among resident survivors. Special supports for families with psychiatric problems need to be considered among resident survivors. Restoration of lifeline utilities and the strengthening of social ties of persons living alone may help prevent depressive reaction among resident survivors after a tsunami. © 2014 Matsubara et al. This is an open access article distributed under the terms of the Creative Commons Attribution License, which permits unrestricted use, distribution, and reproduction in any medium, provided the original author and source are credited.</t>
  </si>
  <si>
    <t>2-s2.0-84941916333"</t>
  </si>
  <si>
    <t>10.1007/s13157-014-0554-x</t>
  </si>
  <si>
    <t>https://www.scopus.com/inward/record.uri?eid=2-s2.0-84919865865&amp;doi=10.1007%2fs13157-014-0554-x&amp;partnerID=40&amp;md5=a17562a379de1437bb0b07b1af2dbe45</t>
  </si>
  <si>
    <t>Wetland hydroperiod consists of different components, including frequency, duration and depth. A significant proportion of the seasonally flood-pulsed Okavango Delta is inundated for part of each year. Variation in hydroperiod, driven by the interaction of climate and ecological factors, results in a mosaic of vegetation communities. These communities are highly dynamic over temporal and spatial scales. This study aimed to identify quantitative relationships between hydroperiod components and floodplain vegetation, to better understand the potential effects of hydrological change. A stratified random sample of 30 floodplains was surveyed for species composition and abundance. Hydroperiod components for sample quadrats were estimated from remote sensing and field measurement. Ordination demonstrated strong correlations between species composition and flood frequency, duration, years-since-last-flood and depth. Eight statistically discrete vegetation communities were derived from cluster analysis. Generalized linear models of species distributions along hydrological gradients were used to derive frequency and duration optima. Means of these parameters differed significantly between communities. Increasing hydroperiod corresponded with a progression from grasslands through sedge-dominated to aquatic communities. Species in infrequently flooded areas indicated disturbance and a succession trend towards open woodland. In the sedgelands, average depth was the strongest correlate, while in grasslands and aquatic communities, this was duration. © 2014, Society of Wetland Scientists.</t>
  </si>
  <si>
    <t>2-s2.0-84919865865"</t>
  </si>
  <si>
    <t>10.5194/hess-18-4485-2014</t>
  </si>
  <si>
    <t>https://www.scopus.com/inward/record.uri?eid=2-s2.0-84911368245&amp;doi=10.5194%2fhess-18-4485-2014&amp;partnerID=40&amp;md5=3a1e58797aa82e4bc431cc0fcbb235b8</t>
  </si>
  <si>
    <t>During the last few decades, satellite measurements have been widely used to study the continental water cycle, especially in regions where in situ measurements are not readily available. The future Surface Water and Ocean Topography (SWOT) satellite mission will deliver maps of water surface elevation (WSE) with an unprecedented resolution and provide observation of rivers wider than 100 m and water surface areas greater than approximately 250 x 250 m over continental surfaces between 78° S and 78° N. This study aims to investigate the potential of SWOT data for parameter optimization for large-scale river routing models. The method consists in applying a data assimilation approach, the extended Kalman filter (EKF) algorithm, to correct the Manning roughness coefficients of the ISBA (Interactions between Soil, Biosphere, and Atmosphere)-TRIP (Total Runoff Integrating Pathways) continental hydrologic system. Parameters such as the Manning coefficient, used within such models to describe water basin characteristics, are generally derived from geomorphological relationships, which leads to significant errors at reach and large scales. The current study focuses on the Niger Basin, a transboundary river. Since the SWOT observations are not available yet and also to assess the proposed assimilation method, the study is carried out under the framework of an observing system simulation experiment (OSSE). It is assumed that modeling errors are only due to uncertainties in the Manning coefficient. The true Manning coefficients are then supposed to be known and are used to generate synthetic SWOT observations over the period 2002-2003. The impact of the assimilation system on the Niger Basin hydrological cycle is then quantified. The optimization of the Manning coefficient using the EKF (extended Kalman filter) algorithm over an 18-month period led to a significant improvement of the river water levels. The relative bias of the water level is globally improved (a 30% reduction). The relative bias of the Manning coefficient is also reduced (40% reduction) and it converges towards an optimal value. Discharge is also improved by the assimilation, but to a lesser extent than for the water levels (7%). Moreover, the method allows for a better simulation of the occurrence and intensity of flood events in the inner delta and shows skill in simulating the maxima and minima of water storage anomalies, especially in the groundwater and the aquifer reservoirs. The application of the assimilation method in the framework of an observing system simulation experiment allows evaluating the skill of the EKF algorithm to improve hydrological model parameters and to demonstrate SWOT's promising potential for global hydrology issues. However, further studies (e.g., considering multiple error sources and the difference between synthetic and real observations) are needed to achieve the evaluation of the method.</t>
  </si>
  <si>
    <t>2-s2.0-84911368245"</t>
  </si>
  <si>
    <t>10.5194/nhess-14-3279-2014</t>
  </si>
  <si>
    <t>https://www.scopus.com/inward/record.uri?eid=2-s2.0-84916910015&amp;doi=10.5194%2fnhess-14-3279-2014&amp;partnerID=40&amp;md5=2b7c0c8a3a30eb473b6d38d9a1ccfd9b</t>
  </si>
  <si>
    <t>The southern coastal area of Korea has often been damaged by storm surges and waves due to the repeated approach of strong typhoons every year. The integrated model system is applied to simulate typhoon-induced winds, storm surges, and surface waves in this region during Typhoon Sanba in 2012. The TC96 planetary boundary layer wind model is used for atmospheric forcing and is modified to incorporate the effect of the land's roughness on the typhoon wind. Numerical experiments are carried out to investigate the effects of land-dissipated wind on storm surges and waves using the three-dimensional, unstructured grid, Finite Volume Coastal Ocean Model (FVCOM), which includes integrated storm surge and wave models with highly refined grid resolutions along the coastal region of complex geometry and topography. Compared to the measured data, the numerical models have successfully simulated storm winds, surges, and waves. Better agreement between the simulated and measured storm winds has been found when considering the effect of wind dissipation by land roughness. In addition, this modified wind force leads to clearly improved results in storm surge simulations, whereas the wave results have shown only slight improvement. The study results indicate that the effect of land dissipation on wind force plays a significant role in the improvement of water level modeling inside coastal areas. © 2014 The Authors.</t>
  </si>
  <si>
    <t>2-s2.0-84916910015"</t>
  </si>
  <si>
    <t>10.1016/j.jappgeo.2014.08.012</t>
  </si>
  <si>
    <t>https://www.scopus.com/inward/record.uri?eid=2-s2.0-84908049244&amp;doi=10.1016%2fj.jappgeo.2014.08.012&amp;partnerID=40&amp;md5=6f7283260d0eba5ae8fc0e3ed3d67337</t>
  </si>
  <si>
    <t>Recent flood events in Northern Italy (particularly in the Veneto Region) have brought river embankments into the focus of public attention. Many of these embankments are more than 100. years old and have been repeatedly repaired, so that detailed information on their current structure is generally missing. The monitoring of these structures is currently based, for the most part, on visual inspection and localized measurements of the embankment material parameters. However, this monitoring is generally insufficient to ensure an adequate safety level against floods. For these reasons there is an increasing demand for fast and accurate investigation methods, such as geophysical techniques. These techniques can provide detailed information on the subsurface structures, are non-invasive, cost-effective, and faster than traditional methods. However, they need verification in order to provide reliable results, particularly in complex and reworked man-made structures such as embankments. In this paper we present a case study in which three different geophysical techniques have been applied: electrical resistivity tomography (ERT), frequency domain electromagnetic induction (FDEM) and Ground Penetrating Radar (GPR). Two test sites have been selected, both located in the Province of Venice (NE Italy) where the Tagliamento River has large embankments. The results obtained with these techniques have been calibrated against evidence resolving from geotechnical investigations. The pros and cons of each technique, as well as their relative merit at identifying the specific features of the embankments in this area, are highlighted. The results demonstrate that geophysical techniques can provide very valuable information for embankment characterization, provided that the data interpretation is constrained via direct evidence, albeit limited in space. © 2014 Elsevier B.V..</t>
  </si>
  <si>
    <t>2-s2.0-84908049244"</t>
  </si>
  <si>
    <t>10.1016/j.ecolmodel.2014.06.020</t>
  </si>
  <si>
    <t>https://www.scopus.com/inward/record.uri?eid=2-s2.0-84904296273&amp;doi=10.1016%2fj.ecolmodel.2014.06.020&amp;partnerID=40&amp;md5=4589114f1377173025a68b8d7cdcc43f</t>
  </si>
  <si>
    <t>Salt marshes are well-known sinks of carbon and nitrogen, incorporating them both into sediment and in the halophyte biomass, being key players in the estuarine biogeochemical cycles. Due to aboveground senescence there will inevitably occur losses of C and N rich detritus, becoming prone to the tidal flooding and hydrodynamic regime. On the other hand, the ongoing climate change effects, such as sea level rise (SLR) are known to have influence in the estuarine circulation. The Ria de Aveiro is a mesotidal lagoon located in the Northwestern Portuguese coast, presenting a very complex geometry and characterized by large areas of salt marshes and tidal flats distributed along a web of narrow channels. Residual circulation, tidal asymmetry, tidal dissipation and detritus Lagrangian trajectories were determined from numerical modelling results of the MOHID 2D model that was applied to each coastal system, considering the actual sea level and a sea level rise (SLR) scenario. The results here discussed show that in the case of Ria de Aveiro, the examined salt marsh exports about 15kgCm-2y-1 and 2kgNm-2y-1. Nowadays, Barra salt marsh presents the highest values of residual circulation, but predictions point out to its reduction due to SLR scenario. Barra salt marsh shows highly dynamic conditions by being exposed to higher current velocities, increased erosion rates and longer and more frequent inundation periods. This way, model results of Lagrangian particles indicate that the detrital particles are highly dispersed, with large amounts approaching the outer area of the lagoon, a feature that is highly enhanced in the SLR scenario. These features may have two major implications: (1) enhance the fuelling of secondary production in the coastal shelf and (2) excessive N exports and possible eutrophication of the coastal area. These two consequences (positive and negative) acquire even more importance if all the marsh extension along all the Ria de Aveiro is considered along with its elevated amount of plant-generated detritus. Regarding the present predictions and concerns on estuarine ecology in a global change framework, it becomes important to consider these estuarine salt marshes not only as possible nutrient sinks, but also as a potential N source enhanced by the ongoing climate changes. © 2014 Elsevier B.V.</t>
  </si>
  <si>
    <t>2-s2.0-84904296273"</t>
  </si>
  <si>
    <t>10.2112/JCOASTRES-D-12-00200.1</t>
  </si>
  <si>
    <t>https://www.scopus.com/inward/record.uri?eid=2-s2.0-85013682167&amp;doi=10.2112%2fJCOASTRES-D-12-00200.1&amp;partnerID=40&amp;md5=9a4c1411933513278fc611253b76e322</t>
  </si>
  <si>
    <t>In the present work a storm-surge event, which occurred in Viana do Castelo (Portugal) on 14-17 October 1987, is modelled using the advanced circulation model (ADCIRC). The main purpose of the work is to investigate the ability of ADCIRC to model storm-surge events in the region. Modelling this type of phenomena is of the utmost importance to comply with the European Union directive 2007/60/CE, concerning the assessment and risk management of floods, and to create risk charts used in coastal zone management. During this process, a strong emphasis was given to model calibration before storm-surge modelling. Preceding model calibration a field survey, using global navigation satellite system techniques, was carried out in the Lima Estuary to acquire lacking information required to build the corresponding digital terrain model (DTM). While modelling storm surge, two different domains were considered: a large oceanic and a smaller estuarine. For each of these domains, the model was calibrated with astronomy forcing using, respectively, the 6 and 10 most important tidal constituents, which were determined by harmonic analysis of the Viana do Castelo tidal gauge record. The friction coefficient, wave continuity, and lateral viscosity parameters were changed with this aim. Although the friction coefficient proved to be the most important calibration parameter, the other parameters are also important to achieve stable simulations. For the oceanic domain, the obtained results were improved by considering a variable Coriolis factor. Once the model was calibrated, it was forced using astronomy and meteorology jointly and separately. Atmospheric pressure, wind, and, for the estuarine domain, also river flow were considered as meteorological agents. The storm event was satisfactorily reproduced by the model and it was concluded that meteorology and astronomical effects interact nonlinearly. This nonlinearity is more pronounced when considering the river flow due to the tidal wave-current interaction. © Coastal Education &amp; Research Foundation 2014.</t>
  </si>
  <si>
    <t>2-s2.0-85013682167"</t>
  </si>
  <si>
    <t>10.1016/j.geomorph.2014.07.027</t>
  </si>
  <si>
    <t>https://www.scopus.com/inward/record.uri?eid=2-s2.0-84905695399&amp;doi=10.1016%2fj.geomorph.2014.07.027&amp;partnerID=40&amp;md5=b52eb0bfde18c27926e480df5289b7d6</t>
  </si>
  <si>
    <t>Serra da Estrela is an elevated granite massif in central Portugal, characterized by extensive plateau surfaces incised by deep valleys affected by Quaternary glaciation, bounded by steep fault-generated escarpments. The presence of seven major textural variants of granite provides an opportunity to study the relationships between lithology and relief, whereas DEM analysis helped to show the relationships between lithology and topography objectively. The higher ground is associated with fine- to medium-grained granites and is typified by planar surfaces of low gradient, with occasional angular tors and rock pedestals. Block fields built by angular material are common in the parts that were not previously glaciated. Less elevated parts of the plateau are supported by medium- to coarse-grained granites and show more varied topography, with an abundance of tors, boulder piles, and depressions. Lithological boundaries locally coincide with slope breaks but this is not the rule. In the northern part of the massif a deep topographic basin has evolved in biotite granite, whereas deeply incised valleys follow major fault lines. Geological controls show a hierarchy, in that gross relief reflects the pattern of tectonic uplift and subsidence, whereas lithology and then fracture patterns become more and more important if one focuses on smaller and smaller landforms. © 2014 Elsevier B.V.</t>
  </si>
  <si>
    <t>2-s2.0-84905695399"</t>
  </si>
  <si>
    <t>Physics of the Earth and Planetary Interiors</t>
  </si>
  <si>
    <t>10.1016/j.pepi.2014.09.003</t>
  </si>
  <si>
    <t>https://www.scopus.com/inward/record.uri?eid=2-s2.0-84909596087&amp;doi=10.1016%2fj.pepi.2014.09.003&amp;partnerID=40&amp;md5=86022ece45b8d4caf1696bceb16604d2</t>
  </si>
  <si>
    <t>The 11 March 2011 Tohoku earthquake was the strongest event recorded in recent historic seismicity in Japan. Several researchers reported the deformation and possible mechanism as triggered by a mega thrust fault located offshore at the interface between the Pacific and the Okhotsk Plate. The studies to estimate the deformation in detail and the dynamics involved are still in progress. In this paper, coseismic GPS displacements associated with Tohoku earthquake are used to infer the amount of slip on the fault plane. Starting from the fault displacements configuration proposed by Caltech-JPL ARIA group and Geoazur CNRS, an optimization of these displacements is performed by developing a 3D finite element method (FEM) model, including the data of GPS-acoustic stations located offshore. The optimization is performed for different scenarios which include the presence of topography and bathymetry (DEM) as well as medium heterogeneities. By mean of the optimized displacement distribution for the most complete case (heterogeneous with DEM), a broad slip distribution, not narrowly centered east of hypocenter, is inferred. The resulting displacement map suggests that the beginning of the area of subsidence is not at east of MYGW GPS-acoustic station, as some researchers have suggested, and that the area of polar reversal of the vertical displacement is rather located at west of MYGW. The new fault slip distribution fits well for all the stations at ground and offshore and provides new information on the earthquake generation process and on the kinematics of Northern Japan area. © 2014 Elsevier B.V.</t>
  </si>
  <si>
    <t>2-s2.0-84909596087"</t>
  </si>
  <si>
    <t>10.5194/nhess-14-3345-2014</t>
  </si>
  <si>
    <t>https://www.scopus.com/inward/record.uri?eid=2-s2.0-84919485547&amp;doi=10.5194%2fnhess-14-3345-2014&amp;partnerID=40&amp;md5=4ca8022a24e8e9da7bb5996283c0b28e</t>
  </si>
  <si>
    <t>Lahar modeling represents an excellent tool for designing hazard maps. It allows the definition of potential inundation zones for different lahar magnitude scenarios and sediment concentrations. Here, we present the results obtained for the 2001 syneruptive lahar at Popocatépetl volcano, based on simulations performed with FLO2D software. An accurate delineation of this event is needed, since it is one of the possible scenarios considered if magmatic activity increases its magnitude. &lt;br&gt;&lt;br&gt; One of the main issues for lahar simulation using FLO2D is the calibration of the input hydrograph and rheological flow properties. Here, we verified that geophone data can be properly calibrated by means of peak discharge calculations obtained by the superelevation method. Digital elevation model resolution also resulted as an important factor in defining the reliability of the simulated flows. Simulation results clearly show the influence of sediment concentrations and rheological properties on lahar depth and distribution. Modifying rheological properties during lahar simulation strongly affects lahar distribution. More viscous lahars have a more restricted aerial distribution and thicker depths, and resulting velocities are noticeably smaller. FLO2D proved to be a very successful tool for delimitating lahar inundation zones as well as generating different lahar scenarios not only related to lahar volume or magnitude, but also taking into account different sediment concentrations and rheologies widely documented as influencing lahar-prone areas. © 2014 Author(s).</t>
  </si>
  <si>
    <t>2-s2.0-84919485547"</t>
  </si>
  <si>
    <t>10.5194/nhess-14-3317-2014</t>
  </si>
  <si>
    <t>https://www.scopus.com/inward/record.uri?eid=2-s2.0-84919460164&amp;doi=10.5194%2fnhess-14-3317-2014&amp;partnerID=40&amp;md5=9a5ff8d637aa7a195b04e98a5c822ce2</t>
  </si>
  <si>
    <t>An evaluation of vulnerability to sea level rise is undertaken for the Niger Delta based on 17 physical, social and human influence indicators of exposure, susceptibility and resilience. The assessment used geographic information systems (GIS) techniques to evaluate and analyse the indicators and the index of coastal vulnerability to floods, if sea level rise conditions are occurring. Each indicator value is based on data extracted from various sources, including remote sensing, measured historical data series and a literature search. Further on, indicators are ranked on a scale from 1 to 5 representing ""very low"" to ""very high"" vulnerability, based on their values. These ranks are used to determine a similar rank for the defined coastal vulnerability index (CVSLRI). Results indicate that 42.6% of the Niger Delta is highly vulnerable to sea level rise, such areas being characterised by low slopes, low topography, high mean wave heights, and unconfined aquifers. Moreover, the analysis of social and human influences on the environment indicate high vulnerability to sea level rise due to its ranking for type of aquifer, aquifer hydraulic conductivity, population growth, sediment supply and groundwater consumption. Such results may help decision makers during planning to take proper adaptive measures for reducing the Niger Delta's vulnerability, as well as increasing the resilience to potential future floods. © 2014 Author(s).</t>
  </si>
  <si>
    <t>2-s2.0-84919460164"</t>
  </si>
  <si>
    <t>10.30955/gnj.001254</t>
  </si>
  <si>
    <t>https://www.scopus.com/inward/record.uri?eid=2-s2.0-84909969412&amp;doi=10.30955%2fgnj.001254&amp;partnerID=40&amp;md5=ad3d2e03b3897cccb29c55f311277466</t>
  </si>
  <si>
    <t>The aim of the present study is to investigate the morphodynamic regime of the coastal area of Xylokastro (north coast of Peloponnese), in order to identify and evaluate the processes controlling its formation and evolution. Within this concept, a number of factors have been considered and evaluated</t>
  </si>
  <si>
    <t>10.1007/s11852-013-0299-3</t>
  </si>
  <si>
    <t>https://www.scopus.com/inward/record.uri?eid=2-s2.0-84908402343&amp;doi=10.1007%2fs11852-013-0299-3&amp;partnerID=40&amp;md5=f9c1b335147bc9efd18d895c60a2749e</t>
  </si>
  <si>
    <t>Storm Xynthia occurred on 28 February 2010. It was one of the most destructive climatic events to hit metropolitan France for several decades, causing 47 victims in France, among whom more than half died in the department of Vendée. The occurence of various natural phenomena (atmospheric pressure, strength and orientation of the wind, tidal range) at the same time caused a major coastal flood in several urban areas from Vendée and Charente-Maritime (central Atlantic region of France). The evaluation of the disaster highlighted a number of problems, especially delays in approving the PPR-L (Plan de Prévention des Risques Littoraux) that allowed urbanization in the coastal flood plain that exposed population to major natural risks, such as sea level rise and floods. Since 28th February, 2010, the French government has focused on these issues and tried to define in a more accurate way the criteria used for the flood zonings of the PPR-L. A number of circulars and recommendations have been produced and they all specified rules of protection for properties against the risk of flood and the necessary measures for adapting or building current or future houses (e.g. height of the upper floor, presence of an upper floor refuge) in accordance with the level of risk. The objective of this paper is twofold: we wish to highlight the impact of the disaster Xynthia on the production of PPR-L in the short and medium terms while focusing on the example of the town of La-Faute-sur-Mer. We will also analyze the evolution of the regulations since 28 February 2010, with special attention paid to the proposed criteria to define the hazard. © 2013, Springer Science+Business Media Dordrecht.</t>
  </si>
  <si>
    <t>2-s2.0-84908402343"</t>
  </si>
  <si>
    <t>10.1016/j.geomorph.2014.07.024</t>
  </si>
  <si>
    <t>https://www.scopus.com/inward/record.uri?eid=2-s2.0-84906062879&amp;doi=10.1016%2fj.geomorph.2014.07.024&amp;partnerID=40&amp;md5=059b943f4b296f2f15d898b8256d08e9</t>
  </si>
  <si>
    <t>Flooding is a naturally recurrent phenomenon that causes severe damage to lives and property. Predictions on flood-prone zones are made based on intensity-duration of rainfall, carrying capacity of drainage, and natural or man-made obstructions. Particularly, the lower part of the drainage system and its adjacent geomorphic landforms like floodplains and deltaic plains are considered for analysis, but stagnation in parts of basins that are far away from major riverine systems is less unveiled. Similarly, uncharacteristic flooding in the upper and middle parts of drainage, especially in zones of an anomalous drainage pattern, is also least understood. Even though topographic differences are attributed for such anomalous spatial occurrence of floods, its genetic cause has to be identified for effective management practice. Added to structural and lithological variations, tectonic movements too impart micro-scale terrain undulations. Because active tectonic movements are slow-occurring, long-term geological processes, its resultant topographical variations and drainage anomalies are least correlated with floods. The recent floods of Tamil Nadu also exhibit a unique distribution pattern emphasizing the role of tectonics over it. Hence a detailed geoinformatics-based analysis was carried out to envisage the relationship between spatial distribution of flood and active tectonic elements such as regional arches and deeps, block faults, and graben and drainage anomalies such as deflected drainage, compressed meander, and eyed drainages. The analysis reveals that micro-scale topographic highs and lows imparted by active tectonic movements and its further induced drainage anomalies have substantially controlled the distribution pattern of flood. © 2014 Elsevier B.V.</t>
  </si>
  <si>
    <t>2-s2.0-84906062879"</t>
  </si>
  <si>
    <t>Science Communication</t>
  </si>
  <si>
    <t>10.1177/1075547014550371</t>
  </si>
  <si>
    <t>https://www.scopus.com/inward/record.uri?eid=2-s2.0-84921461688&amp;doi=10.1177%2f1075547014550371&amp;partnerID=40&amp;md5=dc4c65c98471afb760836c94724ccc3b</t>
  </si>
  <si>
    <t>Interactive sea level rise viewers (ISLRVs) are map-based visualization tools that display projections of sea level rise scenarios to communicate their impacts on coastal areas. Information visualization research suggests that as users interact with such tools they construct personalized narratives of their experience. We argue that attention to narrative-building features in ISLRVs can improve communication effectiveness by promoting user engagement and discovery. A content analysis that focuses on the presence and characteristics of narrative-building features in a purposive sample of 20 ISLRVs is conducted. We also identify particular areas where these ISLRVs could be improved as narrative-building tools. © 2014 SAGE Publications.</t>
  </si>
  <si>
    <t>2-s2.0-84921461688"</t>
  </si>
  <si>
    <t>10.1080/08920753.2014.964820</t>
  </si>
  <si>
    <t>https://www.scopus.com/inward/record.uri?eid=2-s2.0-84908398641&amp;doi=10.1080%2f08920753.2014.964820&amp;partnerID=40&amp;md5=2b5ce4db767ff9017bf2a2d5d867e412</t>
  </si>
  <si>
    <t>Relative sea-level rise will affect vulnerable coastal communities globally. Quantifying this effect on the coastal environment and infrastructure provides critical information that enables coastal managers to develop sustainable mitigation and adaptation measures. Modeling applications have enabled the past, present, and future trends in shoreline morphology to be investigated in detail. Predictive numerical models depend largely on the reliability of the input data. This article reports on using the Soft Cliff and Platform Erosion (SCAPE) numerical model to simulate future shoreline evolution trend in the central Accra coast in Ghana. The model input parameters include historic shoreline recession rates, wave data, tidal data, bathymetry, beach volume, beach topography, historic relative sea-level rise rates, and the shoreline orientation. The data fed the SCAPE numerical model which simulated the emergence of soft rock shore profiles over timescale of decades to centuries, to project future positions of the central Accra shoreline for the next 100 years under different scenarios of climate change. Simulated future shoreline positions overlaid on a 2005 orthophoto map of Accra enabled vulnerable areas and infrastructure at risk to be identified. It emerged that a highly populated community in central Accra will be inundated by 2065, while the Rivera beach resort will be eroded from 2035. A natural fish landing site in Osu (suburb in Accra) will be lost from 2045. The study has demonstrated that considerable ecological, economic, social, and national losses should be expected within the next century. Shoreline change management options should be explored to help mitigate the expected impact of the sea-level rise. © Taylor &amp; Francis Group, LLC.</t>
  </si>
  <si>
    <t>2-s2.0-84908398641"</t>
  </si>
  <si>
    <t>10.1016/j.jhydrol.2014.09.078</t>
  </si>
  <si>
    <t>https://www.scopus.com/inward/record.uri?eid=2-s2.0-84908377024&amp;doi=10.1016%2fj.jhydrol.2014.09.078&amp;partnerID=40&amp;md5=89a9ba74196e934054238d10f39ee9f5</t>
  </si>
  <si>
    <t>Accurate records of flash flood magnitudes are required to inform flood forecasting and planning. However, whilst a distributed flood survey is desirable to capture spatial heterogeneity in peak water surface elevation, the field time required for a distributed survey often limits the spatial coverage of such reconstructions. For the first time, we demonstrate the application of Structure-from-Motion (SfM) with Multi-View Stereo (MVS) to reconstruct the magnitude of a flash flood. This approach required only standard digital photographs and ground control points, took only ~30. min in the field, and can be embedded within existing protocols easily. We validated the method against a conventional dGPS survey in three stages: (i) comparison of topographic data revealed that SfM was accurate to within 0.1. m</t>
  </si>
  <si>
    <t>10.1007/s10230-014-0312-6</t>
  </si>
  <si>
    <t>https://www.scopus.com/inward/record.uri?eid=2-s2.0-84911806945&amp;doi=10.1007%2fs10230-014-0312-6&amp;partnerID=40&amp;md5=a0532a69f9a430e62b01151a61a5c75e</t>
  </si>
  <si>
    <t>Mine water rebound predictions made in the late 1990s and early 2000s were critically reviewed in light of subsequent monitoring data and available literature. The VSS–NET physically-based groundwater model simulates the rebound process by representing both laminar and turbulent flow</t>
  </si>
  <si>
    <t>Planning</t>
  </si>
  <si>
    <t>https://www.scopus.com/inward/record.uri?eid=2-s2.0-84939814622&amp;partnerID=40&amp;md5=350faf982cb1176c7638d87c316a5793</t>
  </si>
  <si>
    <t>2-s2.0-84939814622"</t>
  </si>
  <si>
    <t>10.1016/j.envsci.2013.09.005</t>
  </si>
  <si>
    <t>https://www.scopus.com/inward/record.uri?eid=2-s2.0-84894369913&amp;doi=10.1016%2fj.envsci.2013.09.005&amp;partnerID=40&amp;md5=74496b4e64074432c933652d79d6d637</t>
  </si>
  <si>
    <t>Climate change creates challenges for developments in coastal and delta areas. The risks are reduced more effectively if both planned and autonomous adaptations take place. Flood risk management is dominated by planned adaptation, which is primarily command-and-control in nature, e.g. spatial planning and engineered flood defenses. If autonomous adaptation is downplayed people are more likely to make land-use choices that collectively lead to increasing flood risks while leaving the costs of adaptation and land scarcity with governments. Unless governments provide stimuli, autonomous adaptation in flood-prone areas is unlikely to happen due to spatial externalities, path-dependency and time lag between private investment decisions and consequences. This paper reviews the theory and practice of using market-based instruments (MBIs) for flood-risk management as means for autonomous climate change adaptation. While the use of MBIs for climate change mitigation is widely discussed, systematized reviews of various MBIs for climate change adaptation are rare. Yet, international experience shows that such measures as preferential taxes, non-perverse subsidies, flood insurance, marketable permits and transferable development rights can engage local stakeholders and provide price signals that stimulate individual adaptation. MBIs combined with command-based instruments help policy-makers to guide developments in flood-prone zone by affecting individual behavior via market forces. As adverse consequences of climate change become more pronounced locally, quantity-based MBIs unfeasible at present should become more attractive. Price-based MBIs that are currently employed could be designed to strategically account for increasing climate-induced flood and erosion probabilities in coastal and delta areas. © 2013 Elsevier Ltd.</t>
  </si>
  <si>
    <t>2-s2.0-84894369913"</t>
  </si>
  <si>
    <t>10.2112/SI70-074.1</t>
  </si>
  <si>
    <t>https://www.scopus.com/inward/record.uri?eid=2-s2.0-84952305408&amp;doi=10.2112%2fSI70-074.1&amp;partnerID=40&amp;md5=1ea682ce4156bbe058d0606622ebff5f</t>
  </si>
  <si>
    <t>Spatial planning can be seen as an interdisciplinary science that ensures sustainable development and land use, since it integrates policy, social, cultural, economic and environmental management issues. Marine and coastal spatial planning is particularly challenging due to their vulnerable, dynamic and complex nature and to the problems associated with sea level rise, erosion processes and land-use pressures in the coastal zone. Coastal erosion, flooding and shoreline retreat are serious problems along the coast of mainland Portugal. By using an innovative approach of coastal zone spatial planning, this study developed an Integrated Coastal Zone Management Plan for the Portuguese central region (stretch Ovar - Marinha Grande), where alternative planning policies to the previous ones were suggested. The study revealed that socio-economic analysis and the identification and valuation of ecosystems services and land use need to be incorporated in spatial planning to support decision-making favouring sustainable development. According to these approaches the Coastal Plan was developed considering three environmental scenarios to respond to the coastal erosion trends, based on a development model for the coastal region. In addition, the scenarios consider the public investments constraints (national budget) expected in the next decade and the short and medium term of the Plan. This Plan is differentiated from the previous by attempting to lessen further coastal erosion through the integration of different jurisdictions, legislations and directive measures and applying them to the terrain. This strategy shows itself as relevant to promote further forward-thinking Plans for other Portuguese coastal areas. © Coastal Education &amp; Research Foundation 2014.</t>
  </si>
  <si>
    <t>2-s2.0-84952305408"</t>
  </si>
  <si>
    <t>10.1080/01431161.2014.943322</t>
  </si>
  <si>
    <t>https://www.scopus.com/inward/record.uri?eid=2-s2.0-84907380167&amp;doi=10.1080%2f01431161.2014.943322&amp;partnerID=40&amp;md5=6b4836170e2d95340d6d6779527496d0</t>
  </si>
  <si>
    <t>The volume of glaciers in a glacierized basin is an important characteristic for the existence of the glaciers and their evolution. Knowledge of glacier volume motivates scientific interest for two main reasons. First, the volumes of individual glaciers are monitored to estimate future water and sea level rises. Second, glaciers in the Indian Himalayas have been recognized as important water storage systems for municipal, industrial, and hydroelectric power generation purposes. Therefore, estimation of glacier volume is desired to estimate sea level rise accurately. The problem of deriving volume and glacier ice thickness is solved by developing an artificial neural network (ANN) approach that requires glacier boundaries, central branch lines, width-wise lines, digital elevation model (DEM), and slope information. Two geomorphic assumptions were taken in this investigation after testing, and strong relationships were found between elevation values of the frontal ice-denuded area of the Gangotri glacier and ice thickness derived from an ANN. © 2014, © 2014 Taylor &amp; Francis.</t>
  </si>
  <si>
    <t>2-s2.0-84907380167"</t>
  </si>
  <si>
    <t>10.2112/SI71-008.1</t>
  </si>
  <si>
    <t>https://www.scopus.com/inward/record.uri?eid=2-s2.0-84908596979&amp;doi=10.2112%2fSI71-008.1&amp;partnerID=40&amp;md5=ff90570d85e59dfd20a5904b8c154963</t>
  </si>
  <si>
    <t>The study site is located on the Gulf of Mexico and is part of the most valuable lagoon-estuarine system in Mexico, not only in ecological terms but also as an important economic and social site for the country. Although the current state of the environment is still reasonably healthy over much of its area, the natural equilibrium has been greatly affected by human activities, as in many of other coastal lagoons worldwide (e.g., infrastructure and building construction, installation of inappropriately designed defense structures, degradation of vegetation and an artificial lagoon opening). The consequence is a sediment deficit that, combined with the impact of tropical cyclones and the absence of an external sand supply, has led to persistent beach erosion. The analysis of the physical settings, historical shoreline changes and hydrodynamic patterns of the study site has helped to identify the critical elements affecting the current state of the beach. This paper proposes a shoreline protection scheme, based on the understanding of the current functioning of the site, in order to reduce local flooding and erosion risks, which affect the population and tourism, and to preserve the natural environmental services of the area. © 2014 Coastal Education and Research Foundation.</t>
  </si>
  <si>
    <t>2-s2.0-84908596979"</t>
  </si>
  <si>
    <t>10.1111/1477-8947.12033</t>
  </si>
  <si>
    <t>https://www.scopus.com/inward/record.uri?eid=2-s2.0-84894241694&amp;doi=10.1111%2f1477-8947.12033&amp;partnerID=40&amp;md5=bebbc85ef55692b3bf0386fbc1086675</t>
  </si>
  <si>
    <t>The vulnerability of tourism-dependent communities, coastal tourism facilities, and beaches to climate change demands the use of measures that can urgently minimise vulnerability and in the long term achieve sustainable development. This paper makes policy recommendations to address climate change and sea level rise challenges in small island developing states. Using Barbados as a case study, the paper found that innovations in policies and projects have offset the past ills of mass tourism and fortuitously now serve as pre-emptive measures in adapting to climate change. The array of methods for combating these changes includes physical planning policies, integrated coastal zone management, and infrastructure projects. Among the key areas for policy innovation are the adoption of protection, accommodation, and retreat strategies, which are informed by rigorous cost-benefit analysis and stakeholder consultation. Ecosystem-based adaptation to climate change is also necessary, especially for islands where coral reef protection is urgent. Moreover, policy adjustments are required on building construction, water resources management, sewage treatment, coastal zone management, physical planning, and land management. Institutional constraints, including the lack of capacity to implement, monitor, and enforce measures, must also be addressed if progress is to be made in adapting to climate change. A major conclusion is that the severity of coastal damage, the importance of tourism to sustainable development, and the country's adaptive capacity play a key part in the selection and implementation of climate change adaptation measures. © 2013 United Nations.</t>
  </si>
  <si>
    <t>2-s2.0-84894241694"</t>
  </si>
  <si>
    <t>10.1007/s10980-014-0021-3</t>
  </si>
  <si>
    <t>https://www.scopus.com/inward/record.uri?eid=2-s2.0-84896691762&amp;doi=10.1007%2fs10980-014-0021-3&amp;partnerID=40&amp;md5=605711739e337a41698ea607ca84113f</t>
  </si>
  <si>
    <t>This paper investigates the accessibility and usefulness of the Ecosystem Services (ES) framework to policy analysts. Using a mixed methods approach of document analysis and semi-structured interviews we examine how an ES assessment of the benefits of restoring water to the Murray-Darling Basin (MDB) in Australia has been used by government agencies in policy and planning. The ES assessment links changes in water management under the Basin Plan with modelled changes in water quality, river flows and inundation patterns and in turn to modelled freshwater and estuarine ecosystem response. These ecological responses were expressed in terms of incremental ES benefits which were valued monetarily using a variety of valuation techniques. To investigate how these pieces of information were used in the policy debate around the re-allocation of water in the MDB, semi-structured interviews were conducted with 20 Australian, State, and local government officials as well as academics and consultants. The interviews were designed to uncover the complex information dissemination process through networks within and among agencies. The results are mixed as to whether the assessment served to influence public policy. The report has been utilized and cited by Australian federal agencies, the downstream State of South Australia and conservation-based NGOs in their position statements and as such has been used as evidence in support of re-allocation of water in the MDB. A number of interview participants commented that the ES assessment raised awareness and this may lead to broader usage of the information and framework in the implementation phase of MDB water reform. © 2014, Springer Science+Business Media Dordrecht.</t>
  </si>
  <si>
    <t>2-s2.0-84896691762"</t>
  </si>
  <si>
    <t>10.1016/j.quaint.2014.02.029</t>
  </si>
  <si>
    <t>https://www.scopus.com/inward/record.uri?eid=2-s2.0-84905745849&amp;doi=10.1016%2fj.quaint.2014.02.029&amp;partnerID=40&amp;md5=d6fa3a0756d353e5c053434bb865fc8a</t>
  </si>
  <si>
    <t>The acquisition of high quality, well-dated local site records is essential for progressing regional environmental reconstructions. As part of a wider study designed to examine intra- and extra- site ecosystem responses to environmental change, this paper presents new palaeoecological data from the floodplain of the River Torne in the Humberhead Levels, South Yorkshire. The sampling site lies adjacent to the lowland raised mire of Hatfield Moors, a location with a long history of palaeoecological investigations. The potential of using floodplain records to reconstruct local variations in ecosystem response to environmental change is also considered. Coleoptera and pollen are used to reconstruct floodplain ecosystem dynamics, whilst chronologies are established using Bayesian age-depth modelling. Between 10,200cal BP and 2300cal BP, the floodplain experienced multiple phases of ecological change. At 10,200-9910cal BP, a cut-off channel began to infill with peat, while the surrounding floodplain remained relatively dry with Pinus forest growing nearby. Between 9630-9500cal BP and 7270-7020cal BP, a depositional hiatus occurred in the sedimentary record. By the end of this period, the local woodland had diversified and expanded to mixed deciduous tree cover. A wet shift identified at 6870-6160cal BP was shortly followed by a rise in Alnus and Tilia from 6410-6160cal BP. At this time, widespread floodplain paludification had occurred in the Humberhead Levels, which was largely controlled by relative sea-level (RSL) rise and the associated rise in regional water tables. Floodplain expansion also resulted in the widespread occurrence of Alnus dominated fen woodland. The local Torne floodplain experienced varying levels of wetness that influenced the decline and subsequent regeneration of the woodland from 5870-5640cal BP. At this time, the Ulmus decline is identified in the pollen stratigraphic record. Floodplain hydrology appears to have been controlled by a combination of water table fluctuations and changes in channel pattern/flow, both of which can be linked to RSL variations recorded in the Humber Estuary. Floodplain alluviation, also linked to rising water tables, is dated to 4360-4160cal BP. Anthropogenic woodland clearance further upstream may have further compounded this event. © 2014 Elsevier Ltd and INQUA.</t>
  </si>
  <si>
    <t>2-s2.0-84905745849"</t>
  </si>
  <si>
    <t>10.2495/FRIAR140051</t>
  </si>
  <si>
    <t>https://www.scopus.com/inward/record.uri?eid=2-s2.0-84930369201&amp;doi=10.2495%2fFRIAR140051&amp;partnerID=40&amp;md5=fd54842732a363186c042edd6d028c99</t>
  </si>
  <si>
    <t>Catastrophe models often cover large geographic areas spanning multiple countries or, in the case of flood models, entire watersheds. Models must be sufficiently detailed to accurately account for hydrologic variation, which is notably challenging when the modeled region is large. This is particularly true for flood models, which require a highly detailed dataset, usually derived from a digital terrain model (DTM), for reliable floodplain mapping. For one-dimensional (1D) hydraulic models, the floodplain mapping approach tends to yield flat surfaces often resulting in artefacts and inconsistencies near river confluences. Because flood extent is limited by the length of cross-sectional lines along the floodplain, these flat surfaces tend to drop sharply when the simulation reaches a flat delta. The use of a two-dimensional (2D) model avoids these problems, but at a high computational cost, and requires high quality terrain and bathymetry data. This paper presents a new methodology for mapping floodplains using water elevation points along a river network obtained from a 1D hydraulic model and a DTM. The methodology applies kinematic and diffusion wave equations in a simplified manner, using water elevation points as internal boundary conditions. Several parameters control the expansion and smoothing algorithms that generate realistic flood extent maps for different return periods. This methodology is particularly suitable for modeling large domains since it produces accurate results but requires much less computational time than a 2D model. In addition, because the computation uses several source points per cross section, the flood extent is not limited by the cross-sectional length, making this methodology appropriate for levee breaches and in cases where river banks are not well defined and the crosssectional geometry is derived from a DTM. © 2014 WIT Press.</t>
  </si>
  <si>
    <t>2-s2.0-84930369201"</t>
  </si>
  <si>
    <t>10.2112/SI70-073.1</t>
  </si>
  <si>
    <t>https://www.scopus.com/inward/record.uri?eid=2-s2.0-84923224364&amp;doi=10.2112%2fSI70-073.1&amp;partnerID=40&amp;md5=a81708870ed7bba4f518193845c24ff1</t>
  </si>
  <si>
    <t>On a generational scale, on developed shorelines, the world's recreational beaches are doomed. This is largely because of the widespread assumption that preservation of buildings is a higher priority than preservation of beaches in response to sea level rise. Continuing beach degradation will be inevitable through active or passive processes. Active degradation means the actual removal of the beach, mostly as a result of shoreline engineering or mining. By far, the most important cause of beach loss in this category will be hard structures, especially seawalls. The incorrectly but widely perceived panacea of each replenishment will become economically impossible because of raised sea levels. Replenishment leads to intensified beachfront development and this ironically and inevitably will increase the future construction of seawalls. Passive degradation refers to reduction of the quality of the beach to the point that human usage drops, along with political support for costly beach preservation by nourishment. Passive degradation includes trash accumulation, oil spills, beach driving and most importantly, pollution, which is increasing rapidly apace with population growth and remains largely unrecognized by the beach-using public. © Coastal Education &amp; Research Foundation 2014.</t>
  </si>
  <si>
    <t>2-s2.0-84923224364"</t>
  </si>
  <si>
    <t>10.1109/JSTARS.2014.2298452</t>
  </si>
  <si>
    <t>https://www.scopus.com/inward/record.uri?eid=2-s2.0-84894581814&amp;doi=10.1109%2fJSTARS.2014.2298452&amp;partnerID=40&amp;md5=bd38c4aec853147ae9e290f0e3490ff3</t>
  </si>
  <si>
    <t>High precision and high density measurements of surface water topography in laboratory rivers are useful in hydro-morphodynamic studies to analyze energy, momentum, and mass balances in the river system. A close range photogrammetry (CRP) method is developed to provide instantaneous sub-mm vertical and horizontal resolutions of surface water topography along a flowing laboratory river reach, which is infeasible with typical mechanical and point-based river stage measurements. The CRP method uses wax powder seeding of the river surface and two synchronized nonmetric digital cameras to capture stereo-pair images and derive digital elevation models (DEMs) of the river surface water topography. The river water surface DEM accuracy was limited by extent and density of wax coverage, control point accuracy, lighting conditions, as well as camera and lens specifications. Two Nikon D5100 16.2 MP CMOS digital SLR cameras with 20 mm prime lenses were mounted 1.3 m above the river water surface, generating DEM horizontal resolution of 0.3 mm. Control point elevation was surveyed using ultrasonic sensors with 0.3 mm vertical accuracy. The sub-mm overallDEMaccuracy was based on ultrasonic sensor measurements at check points and overall DEM precision was based on differences between repeated images. We demonstrate how the CRP method can generate river surface water topography and bathymetry in a laboratory meandering river and suggest methods for successfully applying CRP in natural river surface water topography mapping. © 2014 IEEE.</t>
  </si>
  <si>
    <t>2-s2.0-84894581814"</t>
  </si>
  <si>
    <t>10.5194/os-10-611-2014</t>
  </si>
  <si>
    <t>https://www.scopus.com/inward/record.uri?eid=2-s2.0-84904364407&amp;doi=10.5194%2fos-10-611-2014&amp;partnerID=40&amp;md5=405fb4071f2f3e7b459f69f1710b89ee</t>
  </si>
  <si>
    <t>The Dutch Wadden Sea is a region of intertidal flats located between the chain of Wadden Islands and the Dutch mainland. We present numerical model results on the tidal prisms and residual flows through the tidal inlets and across one of the main watersheds. The model also provides insight into the pathways of fresh water originating from the two sluices at the Afsluitdijk (enclosure dike) through the use of passive tracers. All these results are obtained from three-dimensional numerical simulations carried out with the General Estuarine Transport Model (GETM), at a horizontal resolution of 200 m and with terrain-following vertical coordinates with 30 layers. We concentrate on the years 2009-2010, for which we impose meteorological forcing, freshwater discharge, and boundary conditions for tidal forcing and storm surges. Results from the model show an excellent agreement with various observational data sets for sea surface height, temperature, salinity and transport through the Texel Inlet. The simulations show that although tides are responsible for a characteristic pattern of residual transport through the inlets, the wind imposes a large variability on its magnitude and can even invert its direction during strong southwesterly winds. Even though these events are sporadic, they play an important role in the flushing of the Dutch Wadden Sea, as they strongly diminish the flushing time of fresh water. In addition, wind can force a residual transport across the Terschelling watershed of the same order, if not larger, than through any of the main tidal inlets, despite the fact that its tidal prism is much smaller than any of those of the inlets. For the pathways of fresh water, the Terschelling watershed turns out to be more important than was previously thought, while the opposite holds for the Vlie Inlet. © Author(s) 2014.</t>
  </si>
  <si>
    <t>2-s2.0-84904364407"</t>
  </si>
  <si>
    <t>10.5194/os-10-473-2014</t>
  </si>
  <si>
    <t>https://www.scopus.com/inward/record.uri?eid=2-s2.0-84902796350&amp;doi=10.5194%2fos-10-473-2014&amp;partnerID=40&amp;md5=a33c47ca87b0c3ff5a2de65be77ade7b</t>
  </si>
  <si>
    <t>Changes in both global and regional mean sea level, and changes in the magnitude of extreme flood heights, are the result of a combination of several distinct contributions most, but not all, of which are associated with climate change. These contributions include effects in the solid earth, gravity field, changes in ocean mass due to ice loss from ice sheets and glaciers, thermal expansion, alterations in ocean circulation driven by climate change and changing freshwater fluxes, and the intensity of storm surges. Due to the diverse range of models required to simulate these systems, the contributions to sea-level change have usually been discussed in isolation rather than in one self-consistent assessment. Focusing on the coastline of northwest Europe, we consider all the processes mentioned above and their relative impact on 21st century regional mean sea levels and the 50-year return flood height. As far as possible our projections of change are derived from process-based models forced by the A1B emissions scenario to provide a self-consistent comparison of the contributions. We address uncertainty by considering both a mid-range and an illustrative high-end combination of the different components. For our mid-range ice loss scenario we find that thermal expansion of seawater is the dominant contributor to change in northwest European sea level by 2100. However, the projected contribution to extreme sea level, due to changes in storminess alone, is in some places significant and comparable to the global mean contribution of thermal expansion. For example, under the A1B emissions scenario, by 2100, change in storminess contributes around 15 cm to the increase in projected height of the 50-year storm surge on the west coast of the Jutland Peninsula, compared with a contribution of around 22 cm due to thermal expansion and a total of 58 cm from all of the contributions we consider. An illustrative combination of our high-end projections suggests increases in the 50-year return level of 86 cm at Sheerness, 95 cm at Roscoff, 106 cm at Esbjerg, and 67cm at Bergen. The notable regional differences between these locations arise primarily from differences in the rates of vertical land movement and changes in storminess. © 2014 Author(s).</t>
  </si>
  <si>
    <t>2-s2.0-84902796350"</t>
  </si>
  <si>
    <t>10.1007/s10064-013-0517-0</t>
  </si>
  <si>
    <t>https://www.scopus.com/inward/record.uri?eid=2-s2.0-84957439974&amp;doi=10.1007%2fs10064-013-0517-0&amp;partnerID=40&amp;md5=53ecbe7720dd97efa103b2bd4aa445f3</t>
  </si>
  <si>
    <t>Jamaica has a long history of damage to the built environment in coastal areas due to storm surge and tsunami. However, there is limited scientific data to aid the establishment of minimal setback distances and to inform mitigation strategies. Developers of coastal area require cost-effective methods to guide their decisions and to develop mitigation strategies to reduce the potential risk posed to development. This paper explores the use of wave-emplaced boulders to determine the wave heights from historical storm surge/tsunami on the North Coast of Jamaica. As most of the study area was undeveloped priory to 1960, there are limited historical written records of storm surges and/or tsunami impact for this specific site. This research undertook geomorphic mapping of the proposed study area to determine the presence, location, spatial distribution, size, density and volume of wave-emplaced boulders along a 2-km stretch of coastline earmarked for development. Based on the wave-emplaced boulders mapped, it was possible to determine the approximate wave heights associated with storms and/or tsunami required to deposit them. The implications for development are discussed. The study of wave-emplaced boulders has provided a rapid and cost-effective method to determine minimal setback distance and the approximate height of waves associated with storms and/or tsunami. The technique developed may be transferable to other areas of coastline earmarked for development along the Jamaican coastline. © 2013, Springer-Verlag Berlin Heidelberg.</t>
  </si>
  <si>
    <t>2-s2.0-84957439974"</t>
  </si>
  <si>
    <t>10.3189/2014JoG13J181</t>
  </si>
  <si>
    <t>https://www.scopus.com/inward/record.uri?eid=2-s2.0-84909998761&amp;doi=10.3189%2f2014JoG13J181&amp;partnerID=40&amp;md5=ec16db27aee0d7e453a314c399a8407f</t>
  </si>
  <si>
    <t>We provide a high-resolution map of elevation change rates dhdt at the Juneau Icefield (JIF), southeastern Alaska, in order to quantify its contribution to sea-level rise between 2000 and 2009/2013. We also produce the first high-resolution map of ice speeds at the JIF, which we use to constrain flux and look for acceleration. We calculate dhdt using stacked digital elevation models (DEMs) from the Advanced Spaceborne Thermal Emission and Reflection Radiometer (ASTER) instrument and the Shuttle Radar Topography Mission (SRTM), taking into account SRTM C-band penetration via comparison with SRTM X-band elevations. Overall, the JIF is losing mass less rapidly (0.13 plusmn</t>
  </si>
  <si>
    <t>10.1016/j.apgeochem.2014.02.014</t>
  </si>
  <si>
    <t>https://www.scopus.com/inward/record.uri?eid=2-s2.0-84897850915&amp;doi=10.1016%2fj.apgeochem.2014.02.014&amp;partnerID=40&amp;md5=89bcd001f3c258bfcbc194ac5aac8f0d</t>
  </si>
  <si>
    <t>To examine the abundance and speciation of iron, six iron species (poor crystalline Fe(III), crystalline Fe(III), non-sulfidic Fe(II), porewater Fe2+, FeS, and FeS2) were investigated in a cross transect (span=250m, depth=~1.2m) in a tidal marsh of the Min River Estuary in the East China Sea. The results suggested that sediment characteristics, pH, redox condition, conductivity, chloride, sulfate, and organic matter create a highly heterogeneous geochemical framework in the cross transect. Correspondingly, the zonation of iron species differed significantly across the tidal marsh. Poor crystalline Fe(III) (48±24μmolg-1) and crystalline Fe(III) (75±32μmolg-1) accumulated on the surface of the high-tide zone and decreased with elevation. The non-sulfidic Fe(II) minerals (140±61μmolg-1) accounted for the largest proportion of the six iron species. The porewater Fe2+ was enriched within the deep layer of the upland region (pH=6.2-6.5) and exhibited a maximum of 11.49mM. The aqueous sulfide concentration was below detection. FeS (39±6μmolg-1) and FeS2 (57±25μmolg-1) accumulated closer to the lower extremity. Tidal water brought O2 and removed certain amounts of dissolved organic carbon, dissolved inorganic carbon, and Fe(III)-bearing particles in an element budget during tidal inundation. Variations of topography, tidal hydrology, seawater intrusion, and organic matter altered the dominant organic matter oxidation pathway and further affected iron mineralization. © 2014 Elsevier Ltd.</t>
  </si>
  <si>
    <t>2-s2.0-84897850915"</t>
  </si>
  <si>
    <t>10.1139/cjes-2013-0054</t>
  </si>
  <si>
    <t>https://www.scopus.com/inward/record.uri?eid=2-s2.0-84894051139&amp;doi=10.1139%2fcjes-2013-0054&amp;partnerID=40&amp;md5=35fdf4e9226ba406278ebf9ffd943021</t>
  </si>
  <si>
    <t>Terraces in the lower Matane River Valley (eastern Quebec, Canada) were studied to describe the stratigraphic architecture of a glacially eroded valley fill. The Matane River Valley hosted a glacial tongue connected with a regional ice cap during the early opening of a calving bay in the modern St. Lawrence Estuary and was subsequently flooded by the Goldthwait Sea as the Laurentide Ice Sheet margin retreated. Stratigraphic, sedimentological, light detection and ranging (LIDAR), and geochemical analyses as well as radiocarbon measurements allowed the identification of four stratigraphic units deposited during and following deglaciation: glacial outwash (unit I), delta bottomsets (unit II), delta foresets (unit III), and fluvial deposits (unit IV). Stable isotope (13C) and C/N ratio values reveal the relative influence of the two end-members (algae and terrestrial plants) on organic matter sources between the stratigraphic units. Climate, major relative sea level fluctuations, and sediment yield are recognized as the main controls on depositional environments in glacially eroded valleys of the northern shore of the Gaspé Peninsula during the Holocene. This paper presents a model of the evolution of the Matane River Valley, which in many points is similar to existing conceptual fjord-valley fill models.</t>
  </si>
  <si>
    <t>2-s2.0-84894051139"</t>
  </si>
  <si>
    <t>https://www.scopus.com/inward/record.uri?eid=2-s2.0-84897875393&amp;partnerID=40&amp;md5=2310796f63f9b11a4409511bae963573</t>
  </si>
  <si>
    <t>We performed tsunami simulations for the Lingayen Gulf using the earthquake parameters of the two earthquake scenarios along the Manila Trench. The Case 1 earthquake scenario (M7.6) with a slip amount of 1.2 m produced smaller maximum wave height of 0.3 m and it arrived in about 1 hour in the inner bay of the Lingayen Gulf. The simulation results showed that Case 2 earthquake scenario (M8.4) with a slip amount of 3.7 m produced the maximum wave height of 1.6 m that arrived in about 1 hour in the inner bay of the Lingayen Gulf. The inundation computations showed that Case 1 produced a maximum height of 0.7 m and inundated approximately 0.13 km2 in a target area in Dagupan City while Case 2 produced a maximum height of 3 m and inundated approximately 0.70 km2 in the same area. The existing tsunami sensor (ASTI tide gauge station) is effective in the inner bay as it alarms the community of an impending tsunami in 30 min and 35 min in Cases 1 and 2, respectively, while it is ineffective in Bolinao coast because there will be a sudden tsunami arrival. Combining ASTI and JICA (proposed tsunami sensor project) tide gauge stations would advance to a better and robust tsunami early warning system in the Lingayen Gulf.</t>
  </si>
  <si>
    <t>2-s2.0-84897875393"</t>
  </si>
  <si>
    <t>10.3390/ijgi3020408</t>
  </si>
  <si>
    <t>https://www.scopus.com/inward/record.uri?eid=2-s2.0-84930325978&amp;doi=10.3390%2fijgi3020408&amp;partnerID=40&amp;md5=fbbd5bc8fa2af77ab93b90161e04435c</t>
  </si>
  <si>
    <t>While sea level rise is a world-wide phenomenon, mitigating its impacts is a local decision-making challenge that is going to require site-specific remedies. Faced with a variety of conflicting mandates and uncertainty as to appropriate responses, local land use planners and managers need place-based decision support tools. With the increasing availability of high-resolution digital elevation models and the advancing speed and sophistication of web-based mapping, a number of web geographic information systems (GIS) tools have been developed to map and visualize what areas of a coastal landscape will potentially be flooded under different scenarios of sea level rise. This paper presents a case study of one such WebGIS application, NJFloodMapper (www.NJFloodMapper.org), with a focus on the user-centered design process employed to help our target audience of coastal decision-makers in the state of New Jersey, USA, access and understand relevant geographic information concerning sea level rise and exposure to coastal inundation, as well as assess the vulnerability of key infrastructure, populations and natural resources within their communities. We discuss the success of this approach amidst the broader context of the application of WebGIS tools in this arena. Due to its flexible design and user-friendly interface, NJFloodMapper has been widely adopted by government and non-governmental agencies in the state to assess coastal flooding exposure and vulnerability in the aftermath of a recent destructive coastal storm. However, additional decision support tools are needed to help coastal decision-makers translate the place-based information into concrete action plans aimed at promoting more resilient coastal land use decisions. © 2014 by the authors</t>
  </si>
  <si>
    <t>10.2112/SI70-013.1</t>
  </si>
  <si>
    <t>https://www.scopus.com/inward/record.uri?eid=2-s2.0-84952326489&amp;doi=10.2112%2fSI70-013.1&amp;partnerID=40&amp;md5=0e018af2d7f6158b11f473ff7aa5dcb4</t>
  </si>
  <si>
    <t>Topographic field data and environmental forcing agents were used to assess morphological changes (1995-2010) at Ginst Spit, Pendine Sands, West Wales and flood potential at Laugharne, a town in the lee of the spit. Areal change between annual surveys showed variable distal end migration eastward extending into the channel of the Towy, Taf and Gwendreath estuaries. Dominant waves emanate from south toward southwest and suggest that the longshore sediment drift is from west toward east. However, sub-dominant waves from southeast are limited by fetch but engender a counter drift back toward the west at the distal end forming the customary northward hook.Wave model results showed significant modifications occurred between the inshore model boundary and the nearshore zone and overall results suggest that spit evolution is dependent on sediment movement that occurs during high spring tidal conditions within this macrotidal environment. Precipitation and flood events were correlated to spit evolution, which suggested that a combination of fluvial and coastal processes in combination contribute to the flooding of Laugharne town. © Coastal Education &amp; Research Foundation 2014.</t>
  </si>
  <si>
    <t>2-s2.0-84952326489"</t>
  </si>
  <si>
    <t>Eos</t>
  </si>
  <si>
    <t>10.1002/2014EO300002</t>
  </si>
  <si>
    <t>https://www.scopus.com/inward/record.uri?eid=2-s2.0-84905560882&amp;doi=10.1002%2f2014EO300002&amp;partnerID=40&amp;md5=e226e1db32cebbec4905aeb75baadab4</t>
  </si>
  <si>
    <t>Storm surge impacts on low-lying coasts threaten vulnerable human communities on a global scale. On 56 December 2013, the margins of the southern North Sea experienced the most significant storm surge in 60 years. Detailed ground surveys immediately following the surge documented considerable variability in inundation levels, with implications for surge forecasting and societal responses to extreme coastal floods. 2014 The Authors.</t>
  </si>
  <si>
    <t>2-s2.0-84905560882"</t>
  </si>
  <si>
    <t>10.1007/s11069-013-0974-6</t>
  </si>
  <si>
    <t>https://www.scopus.com/inward/record.uri?eid=2-s2.0-84897639264&amp;doi=10.1007%2fs11069-013-0974-6&amp;partnerID=40&amp;md5=8aacd8f6ae9e6bfeccc065fd1d6a31b7</t>
  </si>
  <si>
    <t>The northern coasts of the Gulf of Mexico (GoM) are highly vulnerable to the direct threats of climate change, such as hurricane-induced storm surge, and such risks are exacerbated by land subsidence and global sea-level rise. This paper presents an application of a coastal storm surge model to study the coastal inundation process induced by tide and storm surge, and its response to the effects of land subsidence and sea-level rise in the northern Gulf coast. The unstructured-grid finite-volume coastal ocean model was used to simulate tides and hurricane-induced storm surges in the GoM. Simulated distributions of co-amplitude and co-phase lines for semi-diurnal and diurnal tides are in good agreement with previous modeling studies. The storm surges induced by four historical hurricanes (Rita, Katrina, Ivan, and Dolly) were simulated and compared to observed water levels at National Oceanic and Atmospheric Administration tide stations. Effects of coastal subsidence and future global sea-level rise on coastal inundation in the Louisiana coast were evaluated using a ""change of inundation depth"" parameter through sensitivity simulations that were based on a projected future subsidence scenario and 1-m global sea-level rise by the end of the century. Model results suggested that hurricane-induced storm surge height and coastal inundation could be exacerbated by future global sea-level rise and subsidence, and that responses of storm surge and coastal inundation to the effects of sea-level rise and subsidence are highly nonlinear and vary on temporal and spatial scales. © 2013 US Government.</t>
  </si>
  <si>
    <t>2-s2.0-84897639264"</t>
  </si>
  <si>
    <t>10.1002/2013GL058759</t>
  </si>
  <si>
    <t>https://www.scopus.com/inward/record.uri?eid=2-s2.0-84896800671&amp;doi=10.1002%2f2013GL058759&amp;partnerID=40&amp;md5=18edacafccf275f7f8628de023e38919</t>
  </si>
  <si>
    <t>Standard approaches to determining the impacts of sea level rise (SLR) on storm surge flooding employ numerical models reflecting present conditions with modified sea states for a given SLR scenario. In this study, we advance this paradigm by adjusting the model framework so that it reflects not only a change in sea state but also variations to the landscape (morphologic changes and urbanization of coastal cities). We utilize a numerical model of the Mississippi and Alabama coast to simulate the response of hurricane storm surge to changes in sea level, land use/land cover, and land surface elevation for past (1960), present (2005), and future (2050) conditions. The results show that the storm surge response to SLR is dynamic and sensitive to changes in the landscape. We introduce a new modeling framework that includes modification of the landscape when producing storm surge models for future conditions. Key Points Storm surge response to climate change impacts is dynamic A framework for constructing dynamic assessments of SLR is developed ©2014. American Geophysical Union. All Rights Reserved.</t>
  </si>
  <si>
    <t>2-s2.0-84896800671"</t>
  </si>
  <si>
    <t>10.5194/tc-8-1375-2014</t>
  </si>
  <si>
    <t>https://www.scopus.com/inward/record.uri?eid=2-s2.0-84905443302&amp;doi=10.5194%2ftc-8-1375-2014&amp;partnerID=40&amp;md5=013151ff5071eb6bb7e65fc170668c15</t>
  </si>
  <si>
    <t>In Antarctica, uncertainties in mass input and output translate directly into uncertainty in glacier mass balance and thus in sea level impact. While remotely sensed observations of ice velocity and thickness over the major outlet glaciers have improved our understanding of ice loss to the ocean, snow accumulation over the vast Antarctic interior remains largely unmeasured. Here, we show that an airborne radar system, combined with ice-core glaciochemical analysis, provide the means necessary to measure the accumulation rate at the catchment-scale along the Amundsen Sea coast of West Antarctica. We used along-track radar-derived accumulation to generate a 1985-2009 average accumulation grid that resolves moderate- to large-scale features (&gt;25 km) over the Pine Island-Thwaites glacier drainage system. Comparisons with estimates from atmospheric models and gridded climatologies generally show our results as having less accumulation in the lower-elevation coastal zone but greater accumulation in the interior. Ice discharge, measured over discrete time intervals between 1994 and 2012, combined with our catchment-wide accumulation rates provide an 18-year mass balance history for the sector. While Thwaites Glacier lost the most ice in the mid-1990s, Pine Island Glacier's losses increased substantially by 2006, overtaking Thwaites as the largest regional contributor to sea-level rise. The trend of increasing discharge for both glaciers, however, appears to have leveled off since 2008. © Author(s) 2014. CC Attribution 3.0 License.</t>
  </si>
  <si>
    <t>2-s2.0-84905443302"</t>
  </si>
  <si>
    <t>10.5194/hess-18-2599-2014</t>
  </si>
  <si>
    <t>https://www.scopus.com/inward/record.uri?eid=2-s2.0-84904339930&amp;doi=10.5194%2fhess-18-2599-2014&amp;partnerID=40&amp;md5=0901ffc1e326abab889783213bd19e9e</t>
  </si>
  <si>
    <t>In this paper we present a novel method to determine the time of occurrence of tidal slack with a GPS receiver mounted on an anchored buoy commonly used to delineate shipping lanes in estuaries and tidal channels. Slack tide occurs when the tide changes direction from ebb to flood flow or from flood to ebb. The determination of this point in time is not only useful for shipping and salvaging, it is also important information for calibrating tidal models, for determining the maximum salt intrusion and for the further refinement of the theory on tidal propagation. The accuracy of the timing is well within 10 min and the method - able to operate in real time - is relatively cheap and easy to implement on a permanent basis or in short field campaigns. © Author(s) 2014.</t>
  </si>
  <si>
    <t>2-s2.0-84904339930"</t>
  </si>
  <si>
    <t>10.2112/SI70-054.1</t>
  </si>
  <si>
    <t>https://www.scopus.com/inward/record.uri?eid=2-s2.0-84930652365&amp;doi=10.2112%2fSI70-054.1&amp;partnerID=40&amp;md5=09560f31992a3ae56c66b36b1a885e80</t>
  </si>
  <si>
    <t>Floods and shoreline retreat in coastal areas threaten many millions of people across Europe. Moreover, it is agreed that climate change can amplify the magnitude and frequency of flooding events and accelerate the shoreline retreat. The main goal of this work is to assess flood and shoreline retreat risk, and define adaptation strategies under present conditions and future climate change scenarios on the Ria de Aveiro and its littoral. The hydrodynamic model ELCIRC was implemented for the Ria de Aveiro lagoon and GENESIS (U.S. Army Corps of Engineers) and LTC (Long-Term Configuration) shoreline evolution models for the littoral stretch between Esmoriz and Mira. Numerical results in present and future scenarios were used to map the flooded lagoon extension and the shoreline evolution of this coastal stretch. Analysis showed an increase of the lagoon's flooded area, relative to the present, with regions more exposed to sea level rise being lowland areas located at the margins of the lagoon's deeper channels. Examination of the littoral stretch showed a slight increasing trend of shoreline retreat under predicted future climate change scenarios, thereby increasing the probability of sand spit rupture. Data from numerical predictions were integrated into Geographical Information Systems covering the coastal and lagoon study areas, and produced hazard and risk maps including the identification of regional use and activities. Structural and non-structural measures were subsequently developed in order to mitigate flood and shoreline retreat effects. © Coastal Education &amp; Research Foundation 2014.</t>
  </si>
  <si>
    <t>2-s2.0-84930652365"</t>
  </si>
  <si>
    <t>10.2112/SI70-043.1</t>
  </si>
  <si>
    <t>https://www.scopus.com/inward/record.uri?eid=2-s2.0-84952327062&amp;doi=10.2112%2fSI70-043.1&amp;partnerID=40&amp;md5=b67871e349c7523bd36f15743a7c752f</t>
  </si>
  <si>
    <t>About two-third of total population of Mozambique lives along the coast which is 2700 km long. Mozambique is affected by tropical cyclones which are formed in the Indian Ocean, most of them inducing storm surges along the coast. This study presents an analytical model to estimate sea level changes, particularly extreme events (storm surges) from atmospheric pressure and wind data. The meteorological tides, for Maputo tide gauge station, were obtained by applying a low pass filter, with a cut off frequency of 33 hours. The analytical model was validated by comparing the generated meteorological residuals, trough inverted barometer and wind forcing, against the meteorological residual obtained from the tidal gauge. The analysis of the distribution curves of relative and cumulative frequencies, allowed the definition of three classes of storm surges namely: significant, very significant and highly significant for the percentile of 95, 99 and 99.9 respectively. There is a good agreement with a high correlation between the results obtained from the two methods. The alongshore wind, mainly from south or southeast, represents the main contribution for storm surge generation. The analytical model will be used to evaluate changes in the statistical properties of storm surges for future climate change scenarios along the Mozambican coast. © Coastal Education &amp; Research Foundation 2014.</t>
  </si>
  <si>
    <t>2-s2.0-84952327062"</t>
  </si>
  <si>
    <t>10.1016/j.ocemod.2014.08.004</t>
  </si>
  <si>
    <t>https://www.scopus.com/inward/record.uri?eid=2-s2.0-84909979498&amp;doi=10.1016%2fj.ocemod.2014.08.004&amp;partnerID=40&amp;md5=a08176cf86b61d9f57204f9135144784</t>
  </si>
  <si>
    <t>A 3D numerical model is used to simulate the distortion of tidal hydrodynamics in the Ogeechee Estuary, GA. The Ogeechee, like many estuaries found in the Southeastern US, consists of shallow channel networks and extensive intertidal storage in the form of wetlands. Such features are known to induce non-linear overtide generation and significant tidal distortion, otherwise known as tidal stage asymmetry. Simulations are run with varying parameters to assess their effects on modeling tidal distortion for the Ogeechee Estuary: bottom friction coefficients, enhanced wetland friction coefficients, and tidal flat elevations. To succinctly quantify the degree of distortion across the domain, the statistical parameters of skewness and asymmetry are calculated for time series of water surface heights and channel volume fluxes. The intertidal storage causes the peak flood flux to occur later and the peak ebb flux to occur earlier, thereby resulting in positive asymmetry for the volume flux for the full estuary. However, ebb dominance is a localized feature and varies throughout the estuary. Increasing the intertidal storage by lowering wetland elevation enhances the effects on high tide and volume flux magnitudes, decreasing the ebb-dominance and volume flux asymmetry typically associated with intertidal storage thereby indicating the importance of the wetland elevation over the total storage volume. Increased channel bottom friction reduces ebb-dominance by extending the duration of the falling tide. More interestingly, increased wetland friction reduces the influence of wetland intertidal storage on tidal distortion. The model suggests an increase in wetland friction does little to dampen wave propagation at high tide but rather impedes the lateral flooding of wetlands, reducing ebb dominance. Tidal flat elevation has the largest impact on distortion for the Ogeechee Estuary whereas enhanced wetland and bottom frictional influences on distortion are small, albeit not insignificant. © 2014 Elsevier Ltd.</t>
  </si>
  <si>
    <t>2-s2.0-84909979498"</t>
  </si>
  <si>
    <t>Environment and Development Economics</t>
  </si>
  <si>
    <t>10.1017/S1355770X13000405</t>
  </si>
  <si>
    <t>https://www.scopus.com/inward/record.uri?eid=2-s2.0-84897780716&amp;doi=10.1017%2fS1355770X13000405&amp;partnerID=40&amp;md5=332e7540b7ac8bec2ec93d38e5cfc107</t>
  </si>
  <si>
    <t>In a choice experiment, households in Vietnam are offered flood insurance to mitigate increasing catastrophic flood risks due to climate change. Participants are asked to choose their most preferred insurance policy given expected future flood and mortality risks, insurance cover and associated insurance premiums. Although not affordable to everyone, there exists substantial demand for flood insurance. Insurance demand is spatially differentiated, non-linear in flood probabilities and mortality risks, and subject to significant preference heterogeneity. Since respondents are unfamiliar with the concept of flood insurance and education levels are low, choice consistency tests were conducted. These show that choice consistency depends on a combination of respondent characteristics, such as gender and education level, and experimental design characteristics. Copyright © Cambridge University Press 2013.</t>
  </si>
  <si>
    <t>2-s2.0-84897780716"</t>
  </si>
  <si>
    <t>10.2112/SI70-024.1</t>
  </si>
  <si>
    <t>https://www.scopus.com/inward/record.uri?eid=2-s2.0-84952328831&amp;doi=10.2112%2fSI70-024.1&amp;partnerID=40&amp;md5=336751953c5927476348ed7c17048acf</t>
  </si>
  <si>
    <t>The coastal landscapes of Estonia are young (less than 10,000 years old). Their development is affected by the Baltic Sea, by pre-existing geomorphology and by regional tectonic uplift. Since emerging from the sea ∼5,000 years ago, the coastal landscapes have been evolving under regressive sea conditions. The landscape diversity is greatest on coasts with variable topographies and those exposed to wind and waves. Low and flat parts of the coast, which are seasonally inundated, exhibit less variable landscapes. Landscape changes in coastal areas no longer affected directly by the sea have been caused largely by human activity. Abrupt socio-political and economic changes over the last century led to a cessation of traditional land use during the Soviet era with urban sprawl and expansion of recreation areas after re-independence in the beginning of the 1990s. The aim of this paper is to analyze the structure, formation conditions, and the velocity and extent of change in coastal landscapes (for both natural and human-induced impacts) along different coastal regions of Estonia. The Estonian coast can be divided into four distinct regions: 1) Gulf of Finland</t>
  </si>
  <si>
    <t>10.2112/SI70-117.1</t>
  </si>
  <si>
    <t>https://www.scopus.com/inward/record.uri?eid=2-s2.0-84945152644&amp;doi=10.2112%2fSI70-117.1&amp;partnerID=40&amp;md5=02c54b7c6ecef62a80a9418b7c0eea36</t>
  </si>
  <si>
    <t>Deltaic beach-dune systems are extremely dynamic, responding to processes operating on scales from short-term variations related to storm and floods to long-term evolution driven by large-scale sediment dynamics (including lobe switching). On Danube Delta beaches, coastal storms and associated processes lead to a wide range of morphological impacts from moderate deposition to significant erosion. Coastal processes develop with marked temporal differences as a result of variations in storminess related to changes in climatic systems (North Atlantic Oscillation). In order to assess the variations in vulnerability to extreme storms, different sectors along the study site were examined using two storm impact indexes: Storm Impact Categories of Sallenger, 2000 and Dune Stability Factor of Armaroli et al., 2012, based on specific storm thresholds. There is a very good correspondence between the effects of the December 1997-January 1998 extreme storm cluster and the vulnerability of the beach-dune system predicted with both indicators, with significant alongshore variations of storm impact. The driving factors imposing this variability at different time scales are also discussed, ranging from nearshore slope (which imposes different wave heights and storm induced water level increase) and sediment availability (in direct connection with the evolution of different deltaic lobes, position into the littoral cell and the distance to the Sf. Gheorghe arm mouth, river discharge variability and human interventions) to beach-dune morphology (accommodation space and pre-existing coastal morphology). © Coastal Education &amp; Research Foundation 2014.</t>
  </si>
  <si>
    <t>2-s2.0-84945152644"</t>
  </si>
  <si>
    <t>10.1016/j.gloplacha.2014.02.001</t>
  </si>
  <si>
    <t>https://www.scopus.com/inward/record.uri?eid=2-s2.0-84897644265&amp;doi=10.1016%2fj.gloplacha.2014.02.001&amp;partnerID=40&amp;md5=f4f8b4623aae1aa6c5ff3230b0ddc8d2</t>
  </si>
  <si>
    <t>Indian Ocean is the home to many tropical low lying islands and highly populated coastal zones. Since a few recent decades, many of these zones have been gaining a lot of international attention due to fears of sea level rise and possible submersions of islands. In this study we estimate sea level rise and regional sea level variability in Indian Ocean (20°E-140°E, 30°N-35°S) over a period of 60. years from 1950 until 2009. We determine the climatic factors that influence the sea level change and variability in this region. We find that the changes in the Indian Ocean sea level are of steric origin and are also driven by short-term Indian Ocean Dipole events. The trend in this region over 60. years amounts to 1.5. mm/yr, a value lesser (although not statistically different) than the global mean sea level rise over the same period. There is also an east-west increase in sea level trend pattern below 15°S latitude which is more amplified since the two recent decades. Climate-related sea level changes are also studied at different sites in the Indian ocean corresponding to the existence of tide gauge records and has been found that over the long term period (60. years), the sea level trend at most of the individual locations are well within the global mean sea level rise. Total relative sea level change which is the sum of climate-related sea level change and vertical land motion is also estimated at 5 locations with the help of GPS and DORIS measures. © 2014 Elsevier B.V.</t>
  </si>
  <si>
    <t>2-s2.0-84897644265"</t>
  </si>
  <si>
    <t>10.3390/ijgi3010326</t>
  </si>
  <si>
    <t>https://www.scopus.com/inward/record.uri?eid=2-s2.0-84948770090&amp;doi=10.3390%2fijgi3010326&amp;partnerID=40&amp;md5=09d0b65c0ef54214bdc71f59bedf3dff</t>
  </si>
  <si>
    <t>Coastal zones are under severe pressure from anthropogenic activities, as well as on-going climate change with associated sea level rise and increased storminess. These challenges call for integrated and forward looking solutions. The concept on Integrated Coastal Zone Management, as defined during the last twenty years, provides the overall policy frames, but tools to support the planning and management efforts are almost lacking. Furthermore, the forward-looking dimension to embrace the effects of climate change is nearly absent in most implementations. The BLAST project, financed by the European Union Regional Fund through the INTERREG IV North Sea Region Programme, aimed at developing a web-based decision support system to assist Integrated Coastal Zone Management from a climate change perspective, and the current paper describes the methods used and the computing platform for implementing a decision support system. The software applied in developing the system is mainly Open Source components, thus, facilitating a more widespread use of the system. © 2014 by the authors.</t>
  </si>
  <si>
    <t>2-s2.0-84948770090"</t>
  </si>
  <si>
    <t>10.1016/j.uclim.2014.07.009</t>
  </si>
  <si>
    <t>https://www.scopus.com/inward/record.uri?eid=2-s2.0-85027957456&amp;doi=10.1016%2fj.uclim.2014.07.009&amp;partnerID=40&amp;md5=8e4868172511567a339c350a0fd4bf6e</t>
  </si>
  <si>
    <t>Governance dynamics and the interplay between inadequate infrastructural investment and institutional inertia undermine the potential of low-income cities in low-elevation coastal zones to become climate change resilient. This paper explores the influence of these factors as well as household socio-economic characteristics on autonomous household adaptation to climate change. Georgetown, Guyana is used as a case study. Empirical analysis revealed that state inability to solve socio-economic, infrastructural and environmental problems led urban households to independently adopt measures aimed at reducing climate change impacts. Spontaneous maladaptation by all households in response to state failure and weak urban governance, however, exacerbated vulnerability to flooding. The paper has global applicability in that it cautions policymakers and practitioners on the shortcomings of spontaneous maladaptation, and provides prescriptions for improved urban governance and spatial planning to facilitate the climate proofing of cities. Furthermore, it highlights the importance and complexities of financing climate change adaptation, and concludes these will continue to constrain the adaptive capacity of vulnerable city populations in the less developed countries of the South, unless developed global partners cooperate. © 2014 Elsevier B.V.</t>
  </si>
  <si>
    <t>2-s2.0-85027957456"</t>
  </si>
  <si>
    <t>10.1127/0372-8854/2013/0126</t>
  </si>
  <si>
    <t>https://www.scopus.com/inward/record.uri?eid=2-s2.0-84971453996&amp;doi=10.1127%2f0372-8854%2f2013%2f0126&amp;partnerID=40&amp;md5=eb2f6cc1cff1d3b144601e19376b3456</t>
  </si>
  <si>
    <t>Fieldwork substantiated satellite remote sensing and Digital Terrain Model (DTM) based investigations have been carried out to identify and map various geomorphic and tectonic features of a hitherto uninvestigated part of the densely forested and largely inaccessible Piedmont Zone (PZ) of the western Ganga Plain. The 27-49 km wide, gently south to southwestward sloping PZ is composed of alluvia emplaced by sediment gravity and fluvial processes. A large alluvial fan and incised river valley surfaces with numerous cut-off channels/ palaeochannels are the main landforms of the area. The proximal basin margin, against the Himalaya mountain range, is defined by the active Himalayan Frontal Thrust (HFT), which is offset along the transverse Jhirna Fault (JF) and Kalagarh Fault (KF). The middle part of the PZ is longitudinally traversed by the blind, oblique-slip Najibabad Fault (NF). Mountainfront sinuosity (Smf) and valley floor to height ratio (Vf) indicate variable levels of tectonic activities and thus variable subsidence rates along the basin margin (i. e. the HFT), which ultimately controlled the accommodation space for fan sedimentation and thus its location, size and shape. The incised river valley surfaces have developed in response to climate driven reduction in sediment and water budget. However, tectonic activities have influenced their disposition by controlling the channel swinging and migration. Active movements along the faults have further sculpted the landforms of the area. © 2013 Gebr. Borntraeger Verlagsbuchhandlung, Stuttgart, Germany.</t>
  </si>
  <si>
    <t>2-s2.0-84971453996"</t>
  </si>
  <si>
    <t>10.1016/j.envsci.2013.08.006</t>
  </si>
  <si>
    <t>https://www.scopus.com/inward/record.uri?eid=2-s2.0-84894258244&amp;doi=10.1016%2fj.envsci.2013.08.006&amp;partnerID=40&amp;md5=1686bf547afdf3e18c136900c7a9d8c9</t>
  </si>
  <si>
    <t>Although sea-level rise (SLR) is not the only driver of coastal change, it is expected to radically alter the living conditions and prosperity of coastal communities in the decades to come. The economic assessment of sea level rise impacts and of coastal adaptation measures proves to be rather demanding due to the fact that these are complex phenomena, affected by both global conditions and local parameters. All these factors add to the uncertainty involved in climate change assessments, in general, and in SLR impacts in particular, creating significant ambiguity during the policy-making process. This paper wishes to contribute to existing literature by exploring modern management tools for assessing the economic impacts of SLR and the effectiveness of proactive coastal adaptation under uncertain conditions. To this end, first, the economic damages from long-term shoreline retreat and land inundation for scenarios of 0.5-m and 1-m SLR up to 2100 are estimated for the Greek coastal zone, both deterministically and probabilistically. The results indicate that probabilistic damages are lower than the deterministic ones by 6%, on average. However, the uncertainty results in a range of probable values, which are 45% lower and up to 40% higher than the deterministic estimates. Second, and most important, the application of real options valuation (ROV) in the economic assessment of adaptation measures is illustrated using four specific case sites. The findings show that ROV provides decision-makers with the flexibility to 'adjust' the so-called hard engineering structures to future SLR conditions by keeping all options (i.e. scale, deferral, acceleration or abandonment) open till further knowledge is gained. In this way, ROV creates an additional value that cannot be captured by 'conventional' valuation methods and, thus, it offers the potential to maximize long-term benefits for the society by making efficient use of fiscal resources for adaptation strategies. © 2013 Elsevier Ltd.</t>
  </si>
  <si>
    <t>2-s2.0-84894258244"</t>
  </si>
  <si>
    <t>10.5194/nhess-14-2313-2014</t>
  </si>
  <si>
    <t>https://www.scopus.com/inward/record.uri?eid=2-s2.0-84906879063&amp;doi=10.5194%2fnhess-14-2313-2014&amp;partnerID=40&amp;md5=e63c0ab0f7bc1d9f6c9f4993fefaff82</t>
  </si>
  <si>
    <t>In this study, artificial neural networks, including both multilayer perception and the radial basis function neural networks, are applied for modeling and forecasting the maximum and time variation of storm surges at the Tanshui estuary in Taiwan. The physical parameters, including both the local atmospheric pressure and the wind field factors, for finding the maximum storm surges, are first investigated based on the training of neural networks. Then neural network models for forecasting the time series of storm surges are accordingly developed using the major meteorological parameters with time variations. The time series of storm surges for six typhoons were used for training and testing the models, and data for three typhoons were used for model forecasting. The results show that both neural network models perform very well for the forecasting of the time variation of storm surges. © Author(s) 2014. CC Attribution 3.0 License.</t>
  </si>
  <si>
    <t>2-s2.0-84906879063"</t>
  </si>
  <si>
    <t>10.5194/nhess-14-1223-2014</t>
  </si>
  <si>
    <t>https://www.scopus.com/inward/record.uri?eid=2-s2.0-84901357484&amp;doi=10.5194%2fnhess-14-1223-2014&amp;partnerID=40&amp;md5=a10b299e0f03fb8490809718bd4f5c43</t>
  </si>
  <si>
    <t>Advances in the understanding and prediction of tsunami impacts allow for the development of risk reduction strategies for tsunami-prone areas. This paper presents a tsunami vulnerability and risk assessment for the case study of El Salvador, the applied methodology dealing with the complexity and variability of coastal zones by means of (i) an integral approach to cover the entire risk-related process from the hazard, vulnerability and risk assessments to the final risk management</t>
  </si>
  <si>
    <t>10.5194/esurf-2-295-2014</t>
  </si>
  <si>
    <t>https://www.scopus.com/inward/record.uri?eid=2-s2.0-84911379715&amp;doi=10.5194%2fesurf-2-295-2014&amp;partnerID=40&amp;md5=db01eccfd84e645b36a70a5da70c0387</t>
  </si>
  <si>
    <t>The impact of future sea-level rise on coastal erosion as a result of a changing climate has been studied in detail over the past decade. The potential impact of a changing wave climate on erosion rates, however, is not typically considered. We explore the effect of changing wave climates on a pinned, soft-cliff, sandy coastline, using as an example the Holderness coast of East Yorkshire, UK. The initial phase of the study concentrates on calibrating a numerical model to recently measured erosion rates for the Holderness coast using an ensemble of geomorphological and shoreface parameters under an observed offshore wave climate. In the main phase of the study, wave climate data are perturbed gradually to assess their impact on coastal morphology. Forward-modelled simulations constrain the nature of the morphological response of the coast to changes in wave climate over the next century. Results indicate that changes to erosion rates over the next century will be spatially and temporally heterogeneous, with a variability of up to ±25% in the erosion rate relative to projections under constant wave climate. The heterogeneity results from the current coastal morphology and the sediment transport dynamics consequent on differing wave climate regimes. © 2014 Author(s).</t>
  </si>
  <si>
    <t>2-s2.0-84911379715"</t>
  </si>
  <si>
    <t>https://www.scopus.com/inward/record.uri?eid=2-s2.0-84976528185&amp;partnerID=40&amp;md5=884620848ffe4fae4f16f9fd5aa18d76</t>
  </si>
  <si>
    <t>Present study of the coastal changes in Tadri, Uttara Kannada district of Karnataka, comparing Survey of India Toposheet, Coastal Zone Management Plan of Karnataka and traditional ground survey measurement merged with multi temporal satellite imagery (IRS-P6, LISS III, 2011). This analysis gives the result of erosion from year 1978 to 1996 is 7.83 km2, during this period no accretion is noticed. Comparing data set of 1978 with 2011, area of erosion increases to 8.45km2, and accretion by 0.15 km2. And from 1996 to 2011 it is seen erosion of 3.61km2 and accretion of 3.05 km2. Erosion is observed in the northern bank of Tadri river, the probable cause of erosion is tidal action along the earthen embankments results in breaching and due to this flood are occurring in the adjacent area, and an accretion is noticed at the mouth result in narrowing the shape, due to sediments brought from upper reaches of Tadri river. The present studies givea scenario of changes and may help authorities to prepare the better Integrated Coastal Zone Management Plan for coastal protection and further developments. © 2014, National Institute of Science Communication and Information Resources (NISCAIR). All rights reserved.</t>
  </si>
  <si>
    <t>2-s2.0-84976528185"</t>
  </si>
  <si>
    <t>10.1002/rra.2684</t>
  </si>
  <si>
    <t>https://www.scopus.com/inward/record.uri?eid=2-s2.0-84908478017&amp;doi=10.1002%2frra.2684&amp;partnerID=40&amp;md5=fa963f0322ef87b37840baf9128a7489</t>
  </si>
  <si>
    <t>Stream restoration focusing on adaptable natural and inert material use has been implemented through soil bioengineering designs aimed at the stabilization of urbanized streams. Within each design application materials such as large wood, sediment fill and vegetation must be suited to diverse settings. This paper discusses the application of cribwalls as soil bioengineering designs found in two Southern Ontario watersheds and the criteria that influence their performance. Field measurements of cribwall cuttings, sediment sampling, erosion pin monitoring, and computer-generated stream power analysis are used to compare design performance at several sites. It is determined that the technical specifications of the design and site characteristics such as stream power distribution, sediment, and channel planform are equally involved in long-term streambank stability. The results indicate that cribwalls with dense cutting growth perform well on streambanks that offer a greater amount of soil cohesion, nutrients, and infiltration in the mid and upper sections of the bank. In streams with moderate channel slopes and stream power distribution that is above the watershed mean, streams with well-developed floodplains, sinuous channel planforms, and low bank height ratios perform better than those that are confined, straightened, and have greater bank height ratios. Throughout the comparison of several cribwall sites, the implication of this work is to demonstrate how to assess the fitness of similar soil bioengineering designs for application to diverse stream settings and to further validate their significance in stream restoration as designs that are multifunctional. © 2013 John Wiley &amp; Sons, Ltd.</t>
  </si>
  <si>
    <t>2-s2.0-84908478017"</t>
  </si>
  <si>
    <t>10.2112/SI70-067.1</t>
  </si>
  <si>
    <t>https://www.scopus.com/inward/record.uri?eid=2-s2.0-84952318485&amp;doi=10.2112%2fSI70-067.1&amp;partnerID=40&amp;md5=1695cf0fcf6cbfb226ea395f3946c0ca</t>
  </si>
  <si>
    <t>Coastal erosion is a global problem which affects sandy and rocky shores worldwide. Coastal erosion can be triggered by several causes. Local processes can generate erosion hot spots, whereas at the global scale, the main forces are sea level rise, changes in storm climate and human interference. Beaches along the Mediterranean sea are strongly affected by coastal erosion. Recently, the Protocol on Integrated Coastal Zone Management in the Mediterranean (PAP/RAC 2007) recommended the prevention of erosion processes by restoring the natural adaptive capacity of the coast and by improving the knowledge on the state, development and impact of coastal erosion. In order to achieve the objective of the PAP/RAC protocol, we characterized 24 sandy beaches along ∼270 km of the western coastline of the Sardinia island (western Mediterranean). Grain size and mineralogy of the foreshore sediments were analyzed and the intertidal elevation/bathymetric profile were measured using the Differential Global Positioning System. Aerial photos were used to identify the shoreline configuration, the number of bars and morphodynamic features. A digital elevation model (DEM) of the adjacent shelf was produced and acoustic backscatter, grab and box-corer sediment samples were collected in order to characterize the seafloor and to identify the substrate lithology, particularly the distribution of sandy sediments. The investigated coastline is characterized by linear, multibarred beaches and wide transgressive dune fields formed by terrigenous and coarse sand. These linear beaches are alternated with embayed beaches which locally show a mixed terrigenous/bioclastic carbonate composition. Large sandy bodies were found in the inner shelf, often forming dune fields which were uncovered by mud drapes. A database was created to facilitate the characterization of the beach systems along the studied coastline and adjacent inner shelf. It is anticipated that the database will be used by policy makers in support of the implementation of coastal erosion management strategies. © Coastal Education &amp; Research Foundation 2014.</t>
  </si>
  <si>
    <t>2-s2.0-84952318485"</t>
  </si>
  <si>
    <t>10.1016/j.jhazmat.2014.07.070</t>
  </si>
  <si>
    <t>https://www.scopus.com/inward/record.uri?eid=2-s2.0-84906777591&amp;doi=10.1016%2fj.jhazmat.2014.07.070&amp;partnerID=40&amp;md5=c58cf486cfb5f29291219a0d8d7292a1</t>
  </si>
  <si>
    <t>Indoor and outdoor seedling emergence experiments were conducted to thoroughly investigate germination patterns as affected by reclamation and urbanization, the ecological characteristics of soil seed banks, and their relationships with environmental factors in both urbanized and reclaimed regions of the Pearl River Delta in coastal wetlands. The germination rate of the soil seed bank was higher in the indoor experiment compared with that in the outdoor experiment, whereas the number and destiny of the germinated seedlings were greater in the outdoor experiment. The species diversity and number, as well as the richness and evenness indices, were higher in the urbanized region compared with the reclaimed region. However, the dominance and Sørensen similarity indices were greater in the reclaimed region compared with those indices in the urbanized region. Higher salinity and Cadmium (Cd) levels could inhibit seed germination</t>
  </si>
  <si>
    <t>10.2495/FRIAR140061</t>
  </si>
  <si>
    <t>https://www.scopus.com/inward/record.uri?eid=2-s2.0-84930347720&amp;doi=10.2495%2fFRIAR140061&amp;partnerID=40&amp;md5=a972ca25f2ed425ef9eccca4fdf9f731</t>
  </si>
  <si>
    <t>Today, flood risk in Japan occurs mainly in high density populated areas, as a consequence of the rapid urban development of the deltaic plains of Japan during the second half of the 20th century. At the end of the 20th century risk management began to shift from mainly structural management to a more “integrated” management. The evacuation process is one of the factors revealing this shift. In Nagoya the evacuation process enhancement started with the Tokai flood disaster (September 2000) and continues to this day. The most recent flood events (urban flood of 2008 and typhoon No. 14 of 2011) highlight, however, how the crisis management can still be vulnerable regarding evacuation. Our research intends to assess the vulnerability factors of the crisis management system, and especially of the evacuation process through interviews and a questionnaire analysis method, in order to propose an integrated way of dealing with evacuation in the case of a flood, imputing on GIS geographical as well as social characteristics and evacuation patterns. Our research shows that the evacuation process is effective despite low evacuation rate during past flood event. In that regard improving the evacuation process cannot be separated from the improvement of informational tools, but it can be seen that the possession of hazard maps have few impact on evacuation decision. The efficiency of the evacuation process in the case of a small to moderate flood event could therefore be enhanced as the large-scale evacuation broadcast tends to target a population in which more than half of the people do not need to evacuate. In the case of a small flood event those repeated evacuation demands can increase a relatively false sense of security and a loss of interest to flooding in general. © 2014 WIT Press.</t>
  </si>
  <si>
    <t>2-s2.0-84930347720"</t>
  </si>
  <si>
    <t>10.1016/j.jhydrol.2013.09.026</t>
  </si>
  <si>
    <t>https://www.scopus.com/inward/record.uri?eid=2-s2.0-84908152202&amp;doi=10.1016%2fj.jhydrol.2013.09.026&amp;partnerID=40&amp;md5=68f7fb40a46c4564daca61cdf19d455d</t>
  </si>
  <si>
    <t>The Okavango Delta of Botswana is a large arid-zone wetland comprising 20,000km2 of permanent and seasonal floodplains and over 100,000 islands. It has been shown that island groundwater can have very high dissolved arsenic (As) concentration, but the abiotic and biotic controls on As mobility are not well understood in this setting. At New Island, an island located in the seasonal swamp, dissolved As concentration increased from below detection limits in the surface water to 180μg/L in groundwater, present as As(III) species. We investigated the relative importance of hydrologic, geochemical, and geomicrobial processes, as well as influences of recent extreme flooding events, in mobilizing and sequestering As in the shallow groundwater system under this island. Our results suggest that evapotranspiration and through-flow conditions control the location of the high arsenic zone. A combination of processes is hypothesized to control elevated As in the concentration zone of New Island: high evapotranspiration rates concentrate As and other solutes, more alkaline pH leads to desorption of arsenic or dissolution of arsenic sulfides, and formation of thioarsenic complexes acts to keep arsenic in solution. Evidence from X-ray absorption near-edge structure spectroscopy (XANES) and sulfate reducing bacteria (SRB) measurements further suggests that SRBs influence arsenic sequestration as orpiment (As2S3). Although dissolved organic matter (DOM) was not significantly correlated to dissolved As in the groundwater, our results suggest that DOM may serve as an electron donor for sulfate reduction or other microbial reactions that influence redox state and As mobility. These results have important implications for water management in the region and in other large wetland environments. The processes evaluated in this study are also relevant for arsenic removal in subsurface constructed wetland systems that may exhibit rapidly changing processes over small spatial scales. © 2013.</t>
  </si>
  <si>
    <t>2-s2.0-84908152202"</t>
  </si>
  <si>
    <t>10.3390/cli2020078</t>
  </si>
  <si>
    <t>https://www.scopus.com/inward/record.uri?eid=2-s2.0-84982838885&amp;doi=10.3390%2fcli2020078&amp;partnerID=40&amp;md5=c12f22e5a102f76b520ded117552b23b</t>
  </si>
  <si>
    <t>The purpose of this study is to conduct an economic valuation of creating a concrete sea dike system as an adaptation measure to counter the impacts of a rise in sea level using a risk cost-benefit analysis framework. It uses an ex-ante approach with risk considerations for storms, floods, and salinity by specifying probability distribution functions in a simulation process, in order to incorporate these risk factors into the analysis. The results showed that the benefits of storms and floods avoided dominated the dike options. The benefit of salinity avoided was also valuable, with annual rice and aquaculture productivity losses avoided of USD 331.25 per ha and USD 915 per ha, respectively. This study evaluated a range of dike options to adapt to climate change in the Vietnamese Mekong Delta, showing high levels of benefits compared to costs. The larger in scale the dike system options were, the higher the expected net present values (ENPVs) were. Of the dike alternatives applicable to the Vietnamese Mekong Delta, considering the impacts of sea level rise of storms, floods and raised salinity in soil from flooding, small scale dikes that can subsequently be increased in height should be a priority choice. The sensitivity analyses showed that the ENPVs of dike options were very sensitive with changes in discount rate but were not sensitive with increases in salinized areas at all. The findings provide evidence to support the necessity of the construction of a concrete sea dike system in the Vietnamese Mekong Delta, given the context of global climate change. © 2014 by the authors. licensee MDPI, Basel, Switzerland.</t>
  </si>
  <si>
    <t>2-s2.0-84982838885"</t>
  </si>
  <si>
    <t>10.1002/hyp.9727</t>
  </si>
  <si>
    <t>https://www.scopus.com/inward/record.uri?eid=2-s2.0-84892434958&amp;doi=10.1002%2fhyp.9727&amp;partnerID=40&amp;md5=71fe5196adc5503e9a6a1254482f6d96</t>
  </si>
  <si>
    <t>In floodplains, anthropogenic features such as levees or road scarps, control and influence flows. An up-to-date and accurate digital data about these features are deeply needed for irrigation and flood mitigation purposes. Nowadays, LiDAR Digital Terrain Models (DTMs) covering large areas are available for public authorities, and there is a widespread interest in the application of such models for the automatic or semiautomatic recognition of features. The automatic recognition of levees and road scarps from these models can offer a quick and accurate method to improve topographic databases for large-scale applications. In mountainous contexts, geomorphometric indicators derived from DTMs have been proven to be reliable for feasible applications, and the use of statistical operators as thresholds showed a high reliability to identify features. The goal of this research is to test if similar approaches can be feasible also in floodplains. Three different parameters are tested at different scales on LiDAR DTM. The boxplot is applied to identify an objective threshold for feature extraction, and a filtering procedure is proposed to improve the quality of the extractions. This analysis, in line with other works for different environments, underlined (1) how statistical parameters can offer an objective threshold to identify features with varying shapes, size and height</t>
  </si>
  <si>
    <t>10.1002/2014GL061307</t>
  </si>
  <si>
    <t>https://www.scopus.com/inward/record.uri?eid=2-s2.0-84907933334&amp;doi=10.1002%2f2014GL061307&amp;partnerID=40&amp;md5=3526425b6c2ad72127b200e60d9946af</t>
  </si>
  <si>
    <t>Applying the Multidimensional Small Baseline Subset interferometric synthetic aperture radar algorithm to about 1500 Envisat and RADARSAT-2 interferograms spanning 2003-2013, we computed time series of ground deformation over Naples Bay Area in Italy. Two active volcanoes, Vesuvius and Campi Flegrei, are located in this area in close proximity to the densely populated city of Naples. For the first time, and with remarkable clarity, we observed decade-Long elevation-Dependent seasonal oscillations of the vertical displacement component with a peak-To-Peak amplitude of up to 3.0 cm, substantially larger than the long-Term deformation rate (&lt;0.6 cm/yr). Analysis, utilizing surface weather and radiosonde data, linked observed oscillations with seasonal fluctuations of water vapor, air pressure, and temperature in the lower troposphere. The modeled correction is in a good agreement with observed results. The mean, absolute, and RMS differences are 0.014 cm, 0.073 cm, and 0.087 cm, respectively. Atmospherically corrected time series confirmed continuing subsidence at Vesuvius previously observed by geodetic techniques. © 2014. Her Majesty the Queen in Right of Canada.</t>
  </si>
  <si>
    <t>2-s2.0-84907933334"</t>
  </si>
  <si>
    <t>10.1016/j.gca.2014.05.034</t>
  </si>
  <si>
    <t>https://www.scopus.com/inward/record.uri?eid=2-s2.0-84902685819&amp;doi=10.1016%2fj.gca.2014.05.034&amp;partnerID=40&amp;md5=5b2a46acd494ff20ab4e5b035f20834b</t>
  </si>
  <si>
    <t>The compositions and loadings of organic matter in soils and sediments from a diverse range of environments along the Fly River system were determined to investigate carbon transport and sequestration in this region. Soil horizons from highland sites representative of upland sources have organic carbon contents (%OC) that range from 0.3 to 25wt%, carbon:nitrogen ratios (OC/N) that range from 7 to 25mol/mol, highly negative stable carbon isotopic compositions (δ13Corg&lt;-26‰) and variable concentrations of lignin phenols (1&lt;LP&lt;5mg/100mgOC). These compositions reflect inputs from local vegetation, with contributions from bedrock carbon in the deeper mineral horizons. Soils developed on the levees of active floodplains receive inputs of allochthonous materials by overbank deposition as well as autochthonous inputs from local vegetation. In the forested upper floodplain reaches, %OC contents are lower than upland soils (0.8-1.5wt%) as are OC/N ratios (9-15mol/mol) while δ13Corg (-25 to -28‰) and LP (2-6mg/100mgOC) values are comparable to upland soils. These results indicate that organic matter present in these active floodplain soils reflect local (primarily C3) vegetation inputs mixed with allochthonous organic matter derived from eroded bedrock. In the lower reaches of the floodplain, which are dominated by swamp grass vegetation, isotopic compositions were less negative (δ13Corg&gt;-25‰) and non-woody vegetation biomarkers (cinnamyl phenols and cutin acids) more abundant relative to upper floodplain sites. Soils developed on relict Pleistocene floodplain terraces, which are typically not flooded and receive little sediment from the river, were characterized by low %OC contents (&lt;0.6wt%), low OC/N ratios (&lt;9mol/mol), more positive δ13Corg signatures (&gt;-21‰) and low LP concentrations (~3mg/100mgOC). These relict floodplain soils contain modern carbon that reflects primarily local (C3 or C4) vegetation sources. Total suspended solids collected along the river varied widely in overall concentrations (1&lt;TSS&lt;9000mg/L), %OC contents (0.1-60wt%), OC/N ratios (7-17mol/mol) and δ13Corg signatures (-26 to -32‰). These compositions reflect a mixture of C3 vascular plants and freshwater algae. However, little of this algal production appears to be preserved in floodplain soils. A comparison of organic carbon loadings of active floodplain soils (0.2 and 0.5mgC/m2) with previous studies of actively depositing sediments in the adjacent delta-clinoform system (0.4-0.7mgC/m2) indicates that Fly River floodplain sediments are less effective at sequestering organic carbon than deltaic sediments. Furthermore, relict Pleistocene floodplain sites with low or negligible modern sediment accumulation rates display significantly lower loadings (0.1-0.2mgC/m2). This deficit in organic carbon likely reflects mineralization of sedimentary organic carbon during long term oxidative weathering, further reducing floodplain carbon storage. © 2014 Elsevier Ltd.</t>
  </si>
  <si>
    <t>2-s2.0-84902685819"</t>
  </si>
  <si>
    <t>10.1016/j.jenvman.2014.01.042</t>
  </si>
  <si>
    <t>https://www.scopus.com/inward/record.uri?eid=2-s2.0-84894314969&amp;doi=10.1016%2fj.jenvman.2014.01.042&amp;partnerID=40&amp;md5=25149f6a581fc47f9a634b83d980fd23</t>
  </si>
  <si>
    <t>Physical descriptors that characterize Heavily Modified Water Bodies (HMWB) based on the presence of ports should assess the degree of water exchange. The main goal of this study is to determine the optimal procedure for estimating Transport Time Scales (TTS) as physical descriptors in order to characterize and manage HMWB near ports in coastal zones. Flushing Time (FT) and Residence Time (RT), using different approaches-analytical and exponential function methods-and different hydrodynamic scenarios, were computed using numerical models. El Musel (Port of Gijon) was selected to test different transport time scales (FT and RT), methods (analytical and exponential function methods) and hydrodynamic conditions (wind and tidal forcings). FT, estimated by the exponential function method while taking into account a real tidal wave and a mean annual regime of wind as hydrodynamic forcing, was determined to be the optimal physical descriptor to characterize HMWB. © 2014 Elsevier Ltd.</t>
  </si>
  <si>
    <t>2-s2.0-84894314969"</t>
  </si>
  <si>
    <t>10.3390/rs6021514</t>
  </si>
  <si>
    <t>https://www.scopus.com/inward/record.uri?eid=2-s2.0-84894629166&amp;doi=10.3390%2frs6021514&amp;partnerID=40&amp;md5=c56932236f19b9fce7cc27be96583e60</t>
  </si>
  <si>
    <t>Landslides, like other natural hazards, such as avalanches, floods, and debris flows, may result in a lot of property damage and human casualties. The volume of landslide deposits is a key parameter for landslide studies and disaster relief. Using remote sensing and digital terrain model (DTM) data, this paper analyzes errors that can occur in calculating landslide volumes using conventional models. To improve existing models, the mechanisms and laws governing the material deposited by landslides are studied and then the mass balance principle and mass balance line are defined. Based on these ideas, a novel and improved model (Mass Balance Model, MBM) is proposed. By using a parameter called the ""height adaptor"", MBM translates the volume calculation into an automatic search for the mass balance line within the scope of the landslide. Due to the use of mass balance constraints and the height adaptor, MBM is much more effective and reliable. A test of MBM was carried out for the case of a typical landslide, triggered by the Wenchuan Earthquake of 12 May 2008. © 2014 by the authors.</t>
  </si>
  <si>
    <t>2-s2.0-84894629166"</t>
  </si>
  <si>
    <t>10.1016/j.ecolmodel.2013.10.032</t>
  </si>
  <si>
    <t>https://www.scopus.com/inward/record.uri?eid=2-s2.0-84888795963&amp;doi=10.1016%2fj.ecolmodel.2013.10.032&amp;partnerID=40&amp;md5=6a49b3dec24578dcf1b3bcbd5c3852b2</t>
  </si>
  <si>
    <t>Understanding the response of fish populations to habitat change mediated by sea level rise (SLR) is a key component of ecosystem-based management. Yet, no direct link has been established between habitat change due to SLR and fish population production. Here we take a coupled modeling approach to examine the SLR-habitat-fish relationship based on projections of habitat change resulting from a 0.26. m increase in sea level by 2100 as input for a spatially-explicit individual-based model (SEIBM) of juvenile fish growth and mortality. This coupled modeling approach allows for an examination of both mechanistic and behavioral responses to habitat change, as well as the projected impact of these responses on population production. Habitat changes described with the Sea Level Affecting Marshes Model (SLAMM 6.0.1) in response to SLR included a conversion of marsh and higher elevation habitat types into other structural types and open water, and an increase in overall fragmentation. These habitat changes were combined with measures of temporal change in dynamic habitat variables to form a habitat mosaic. The impact of changes in this mosaic on juvenile fish growth and mortality was largely dependent on movement strategy employed in the SEIBM followed by changes in dynamic habitat, and then changes in structural habitat projected by the SLAMM model. Movement strategy and SLR effects interacted strongly, which suggests that how fish respond to habitat change is a critical factor to understanding population-level effects. Overall, projected SLR effects on fish distribution most consistent with field data were initially negative for net fish production, but became net positive by the terminal year of SLR as the positive effects of fragmentation became most important. These results are consistent with empirical studies of coastal marsh production in the Gulf of Mexico and demonstrate the importance of incorporating a holistic measure of habitat quality and fish behavioral responses into any projection of SLR effects on estuarine fish production. © 2013.</t>
  </si>
  <si>
    <t>2-s2.0-84888795963"</t>
  </si>
  <si>
    <t>10.2112/SI70-097.1</t>
  </si>
  <si>
    <t>https://www.scopus.com/inward/record.uri?eid=2-s2.0-84930653911&amp;doi=10.2112%2fSI70-097.1&amp;partnerID=40&amp;md5=c7239ea568da6e49dc29868d1c060f46</t>
  </si>
  <si>
    <t>Global mean sea level rise is an important consequence of climate change because of its impact on coastal regions. Recent studies highlight that tidal propagation in shallow waters tends to be modified with mean sea level rise, intensifying coastal threats. This study aims to quantify changes in tidal patterns in Ria de Aveiro coastal lagoon, Portugal in response to the local mean sea level rise. To achieve this goal the hydrodynamic model ELCIRC, previously calibrated and validated for Ria de Aveiro, was applied, considering the present mean sea level and a local mean sea level rise projection of 0.42 m for the end of the 21st century, assuming no change in bed elevation. The model results for present mean sea level show that the amplitude of the main semidiurnal (M2) and diurnal (K1) constituents decrease whereas the respective phase increases towards the head of the estuary, while the M4 constituent shows an opposite pattern, due to the upstream lagoon shallowness. As consequence, the tidal distortion is higher in the lagoon upper reaches than at the lagoon mouth. Under mean sea level rise conditions, the tidal wave tends to be less distorted in the upper lagoon, given that the M2 amplitude tends to increase while the M4 amplitude tends to decrease. The results highlight that tidal current magnitude decreases toward the channel's head for both scenarios, but their magnitude tends to increase with mean sea level rise. The residual currents showed a net export of materials to the ocean, which will increase with mean sea level rise. © Coastal Education &amp; Research Foundation 2014.</t>
  </si>
  <si>
    <t>2-s2.0-84930653911"</t>
  </si>
  <si>
    <t>10.1007/s00382-013-2041-0</t>
  </si>
  <si>
    <t>https://www.scopus.com/inward/record.uri?eid=2-s2.0-84891805932&amp;doi=10.1007%2fs00382-013-2041-0&amp;partnerID=40&amp;md5=eaa91f0da233947827de7f35ce05028b</t>
  </si>
  <si>
    <t>Two sets of 62-year (1948–2009) and 21-year (1989–2009) high-resolution hindcasts of the meteorological sea level component have been developed for Southern Europe using the Regional Ocean Model System (ROMS) of Rutgers University. These new databases, named GOS 1.1 and GOS 2.1, are a valuable tool for a wide variety of studies, such as those related to a better understanding of sea level variability, flooding risk and coastal engineering studies. The model domain encloses Southern Europe, including the Mediterranean Sea and the Atlantic coast, with a horizontal resolution of 1/8° (~14 km). In order to study the effect of the atmospheric forcing resolution, ROMS is driven with two different regional atmospheric forcings: SeaWind I (30 km of horizontal resolution) and SeaWind II (15 km of horizontal resolution). Both are the result of a dynamical downscaling from global atmospheric reanalysis: NCEP global reanalysis and ERA-Interim global reanalysis, respectively. As a result, two surge data sets are obtained: GOS 1.1 (forced with SeaWind I) and GOS 2.1 (forced with SeaWind II). Surge elevations calculated by ROMS are compared with in situ measurements from tide gauges in coastal areas and with open ocean satellite observations. The validation procedure, testing outcomes from GOS 1.1 and GOS 2.1 against observations, shows the capability of the model to simulate accurately the sea level variation induced by the meteorological forcing. A description of the surge in terms of seasonality and long term trends is also made. The climate variability analysis reveals clear seasonal patterns in the Mediterranean Sea basins. A long-term negative trend for the period 1948–2009 is found, whilst positive trends are computed for the last 20 years (GOS 2.1). © 2014, Springer-Verlag Berlin Heidelberg.</t>
  </si>
  <si>
    <t>2-s2.0-84891805932"</t>
  </si>
  <si>
    <t>10.1007/s11027-013-9459-x</t>
  </si>
  <si>
    <t>https://www.scopus.com/inward/record.uri?eid=2-s2.0-84907066942&amp;doi=10.1007%2fs11027-013-9459-x&amp;partnerID=40&amp;md5=920950463e61022264d14eb512cd55cc</t>
  </si>
  <si>
    <t>This study provides guidelines for strategic management in industrial oil plants linked to uncertainties of climate change through the development of integrated planning methodology with focus on coastal flooding events caused by relative sea level rise (RSLR). The research site is in Redonda Island, located in Guanabara Bay, Rio de Janeiro City, Brazil, and since 1960, it constitutes an industrial oil plant facility. The region suffers interaction with storms and meteorological tides from extratropical cyclones over the South Atlantic Ocean, being vulnerable to risks of disasters, floods, and coastal erosion. A Program on Vulnerability and Adaptation Assessments to Relative Sea Level Rise (“Programa de Avaliação e Adaptação às Vulnerabilidades de Elevação do Nível Relativo do Mar—PAAVENRM”) was developed to avoid compromising the regional and local development in the industrial system of the island, which is an ad hoc instrument designed to anticipate and reduce risks, damages, and losses by occurrence of extreme climatic events in coastal areas prone to flooding caused by RSLR. Results from computer simulation modeling indicate 37 prospective qualitative scenarios that consolidate the conditions of future climate vulnerability of the plant, starting from United Nations Intergovernmental Panel on Climate Change (IPCC) information for RSLR up to 2100. Three quantitative forecasting scenarios were simulated, under boundary conditions preset for different altimetric ranges subject to submersion, based upon ordinary and extraordinary tides measured in the area in relation to RSLR, which allowed the evaluation of the industrial infrastructure at risk. Furthermore, three thematic maps were elaborated for the planning of specific coastal protection interventions. Percentages of physical damage and property losses were estimated. The importance of applying guidelines for medium and long-term corporate strategy management, integrating the risk of flooding, the rigging of civil defense systems, meteorology, and of the plans, programs, and existing systems and others to be developed is highlighted. From this perspective, the proposed scenarios help to identify the most relevant alternatives for mitigation and adaptation under technical criteria for decision making in the study area. © 2013, Springer Science+Business Media Dordrecht.</t>
  </si>
  <si>
    <t>2-s2.0-84907066942"</t>
  </si>
  <si>
    <t>10.1016/j.jhydrol.2014.01.055</t>
  </si>
  <si>
    <t>https://www.scopus.com/inward/record.uri?eid=2-s2.0-84894281941&amp;doi=10.1016%2fj.jhydrol.2014.01.055&amp;partnerID=40&amp;md5=fb983b703b6df7d3a2243e478d81c807</t>
  </si>
  <si>
    <t>In the charismatic wetlands of the Okavango Delta, Botswana, the annual floods of 2009-2011 reached magnitudes last seen 20-30. years ago, considerably affecting life of local populations and the economically important tourism industry. In this study, we analyse results from an attribution modelling system designed to examine how anthropogenic greenhouse gas emissions have contributed to weather and flood risk in our current climate. The system is based on comparison of real world climate and hydrological simulations with parallel counterfactual simulations of the climate and hydrological responses under conditions that might have been had human activities not emitted greenhouse gases. The analyses allow us to address the question of whether anthropogenic climate change contributed to increasing the risk of these high flood events in the Okavango system.Results show that the probability of occurrence of high floods during 2009-2011 in the current climate is likely lower than it would have been in a climate without anthropogenic greenhouse gases. This result is robust across the two climate models and various data processing procedures, although the exact figures for the associated decrease in risk differ. Results also differ between the three years examined, indicating that the ""time-slice"" method used here needs to be applied to multiple years in order to accurately estimate the contribution of emissions to current risk. Simple sensitivity analyses indicate that the reduction in flood risk is attributed to higher temperatures (and thus evaporation) in the current world, with little difference in the analysed domain's rainfall simulated in the two scenarios. © 2014 Elsevier B.V.</t>
  </si>
  <si>
    <t>2-s2.0-84894281941"</t>
  </si>
  <si>
    <t>10.1016/j.chemgeo.2014.02.001</t>
  </si>
  <si>
    <t>https://www.scopus.com/inward/record.uri?eid=2-s2.0-84894064595&amp;doi=10.1016%2fj.chemgeo.2014.02.001&amp;partnerID=40&amp;md5=efeedbc1fa1c5fe64640be7fba59ff57</t>
  </si>
  <si>
    <t>Freshwater re-flooding is a relatively novel approach to remediate drained acid sulfate soil (ASS) wetlands. This study documents the geochemical consequences of restoring freshwater re-flooding for contemporary reduced inorganic sulfur (RIS) and iron species in two coastal floodplain ASS wetlands. Re-flooding has established predominantly reducing/suboxic conditions and encouraged organic carbon accumulation in surface sediments (~20-30%). The pH of former sulfuric horizons has increased by ~2-3 units, partly in response to alkalinity generation from anaerobic metabolism of organic carbon coupled with Fe(III) and SO42- reduction. Despite considerable sulfidisation, reactive Fe (FeR</t>
  </si>
  <si>
    <t>10.1016/j.jhydrol.2013.11.060</t>
  </si>
  <si>
    <t>https://www.scopus.com/inward/record.uri?eid=2-s2.0-84890819031&amp;doi=10.1016%2fj.jhydrol.2013.11.060&amp;partnerID=40&amp;md5=c3fdddf5986f014580540212647557d0</t>
  </si>
  <si>
    <t>Simulations of flood inundation have important practical significance for flood control and disaster alleviation. Accuracy and efficiency are two major indicators in evaluating the performance of flood inundation models. Although a flood inundation model based on hydrodynamics can use detailed topographic data to accurately evaluate flood inundation processes, it is difficult to build a reasonable model for complex topography and variable flood conditions. More importantly, the simulation time for these types of models is generally too long and cannot be accomplished in real time. This paper proposes a new method, named the flood-connected domain calculation (FCDC) method, to improve the efficiency of flood inundation models in regions of complex topography. The main concept of the method is that inundation can only occur in areas where the water level is higher than the terrain elevation and connected with the river</t>
  </si>
  <si>
    <t>10.1016/j.geomorph.2014.01.022</t>
  </si>
  <si>
    <t>https://www.scopus.com/inward/record.uri?eid=2-s2.0-84899052321&amp;doi=10.1016%2fj.geomorph.2014.01.022&amp;partnerID=40&amp;md5=156f7f1b4ac4b96c20e1fcff52c15449</t>
  </si>
  <si>
    <t>A new method is proposed to generate successive topographies in a braided river system. Indeed, braided river morphology models are a key factor influencing river-aquifer interactions and have repercussions in ecosystems, flood risk or water management. It is essentially based on multivariate multiple-point statistics simulations and digital elevation models as training data sets. On the one hand, airborne photography and LIDAR acquired at successive time steps have contributed to a better understanding of the geomorphological processes although the available data are sparse over time and river scales. On the other hand, geostatistics provide simulation tools for multiple and continuous variables, which allow the exploration of the uncertainty of many assumption scenarios. Illustration of the approach demonstrates the ability of multiple-point statistics to produce realistic topographies from the information provided by digital elevation models at two time steps. © 2014 Elsevier B.V.</t>
  </si>
  <si>
    <t>2-s2.0-84899052321"</t>
  </si>
  <si>
    <t>10.5194/nhess-14-1819-2014</t>
  </si>
  <si>
    <t>https://www.scopus.com/inward/record.uri?eid=2-s2.0-84926644183&amp;doi=10.5194%2fnhess-14-1819-2014&amp;partnerID=40&amp;md5=95c0aaef06718d304fb3c0c5310537dc</t>
  </si>
  <si>
    <t>In this paper a procedure to derive synthetic flood design hydrographs (SFDH) using a bivariate representation of rainfall forcing (rainfall duration and intensity) via copulas, which describes and models the correlation between two variables independently of the marginal laws involved, coupled with a distributed rainfall-runoff model, is presented. Rainfall-runoff modelling (R-R modelling) for estimating the hydrological response at the outlet of a catchment was performed by using a conceptual fully distributed procedure based on the Soil Conservation Service - Curve Number method as an excess rainfall model and on a distributed unit hydrograph with climatic dependencies for the flow routing. Travel time computation, based on the distributed unit hydrograph definition, was performed by implementing a procedure based on flow paths, determined from a digital elevation model (DEM) and roughness parameters obtained from distributed geographical information. In order to estimate the primary return period of the SFDH, which provides the probability of occurrence of a hydrograph flood, peaks and flow volumes obtained through R-R modelling were treated statistically using copulas. Finally, the shapes of hydrographs have been generated on the basis of historically significant flood events, via cluster analysis. An application of the procedure described above has been carried out and results presented for the case study of the Imera catchment in Sicily, Italy. © Author(s) 2014. CC Attribution 3.0 License.</t>
  </si>
  <si>
    <t>2-s2.0-84926644183"</t>
  </si>
  <si>
    <t>10.1080/14702541.2014.923579</t>
  </si>
  <si>
    <t>https://www.scopus.com/inward/record.uri?eid=2-s2.0-84907590573&amp;doi=10.1080%2f14702541.2014.923579&amp;partnerID=40&amp;md5=37ccf7035cae64e5089c649675ec3c97</t>
  </si>
  <si>
    <t>Abstract: Observation of cause–effect patterns of change in coastal environments provides insights into vulnerable areas and supports prediction and adaptation to flooding and erosion. Historic and periodic (6–8 year intervals) imagery from the Landsat archive is used to investigate transformations in the Atlantic coast of two Scottish islands over the period 1989–2011. Supervised classification of spectrally normalized images followed by change detection and spatial analysis reveals the patterns of change and the location of the most dynamic coastal areas. Quantitative measures of recent shifts and movement rates of relevant coastal lines, such as the lower limit of land-based vegetation, are assessed with the Digital Shoreline Analysis System. While very low rates are indicated for horizontal changes in the position of the lower limit of land-based vegetation (0.3 m y−1), specific areas have been subjected to high rates of coastal progradation as well as erosion (e.g. 2.5 m y−1 at Stilligarry). Information derived from satellite data supports the characterization of geomorphologically dynamic coasts at regional scales. With a rich and open access archive of imagery, a commitment to continuity, and compatibility with the Earth observation missions of other space programs, the Landsat mission offers useful and otherwise unavailable data for monitoring of coastal areas. © 2014 Royal Scottish Geographical Society.</t>
  </si>
  <si>
    <t>2-s2.0-84907590573"</t>
  </si>
  <si>
    <t>10.1007/s00267-014-0244-8</t>
  </si>
  <si>
    <t>https://www.scopus.com/inward/record.uri?eid=2-s2.0-84919395475&amp;doi=10.1007%2fs00267-014-0244-8&amp;partnerID=40&amp;md5=ba16b878c5d07bcfedeabc1d440dd5c4</t>
  </si>
  <si>
    <t>A habitat transition model, based on the correlation between individual habitats and micro-elevation intervals, showed substantial changes in the future spatial distributions of coastal habitats. The research was performed within two protected areas in Slovenia: Sečovlje Salina Nature Park and Škocjan Inlet Nature Reserve. Shifts between habitats will occur, but a general decline of 42 % for all Natura 2000 habitats is projected by 2060, according to local or global (IPCC AR4) sea level rise predictions. Three different countermeasures for the long-term conservation of targeted habitat types were proposed. The most “natural” is displacement of coastal habitats using buffer zones (1) were available. Another solution is construction of artificial islets, made of locally dredged material (2)</t>
  </si>
  <si>
    <t>10.16555/j.1006-8775.2014.03.008</t>
  </si>
  <si>
    <t>https://www.scopus.com/inward/record.uri?eid=2-s2.0-84992296194&amp;doi=10.16555%2fj.1006-8775.2014.03.008&amp;partnerID=40&amp;md5=936dde4aaeb94ba69fdf68f020ece2e4</t>
  </si>
  <si>
    <t>In this paper, based on heavy rain numerical forecast model AREM (Advanced Regional Eta Model), two different initialization schemes, LAPS and GRAPES-3DVAR, are used to run assimilation experiments of AREM-LAPS and AREM-3DVAR with the same data source (NCEP forecast field, surface data and radio-soundings) during the period from 21 May to 30 July 2008 to investigate the effect of the two initialization schemes on the rainfall simulation. The result suggests that: (1) the forecast TS score by the AREM-LAPS is higher than that by the AREM-3DVAR for rainfall in different areas, at different valid time and with different intensity, especially for the heavy rain, rainstorm and extremely heavy rain</t>
  </si>
  <si>
    <t>10.1002/2014GL059617</t>
  </si>
  <si>
    <t>https://www.scopus.com/inward/record.uri?eid=2-s2.0-84897355778&amp;doi=10.1002%2f2014GL059617&amp;partnerID=40&amp;md5=166e4afcb0054068ef4157fe0fe1ecd6</t>
  </si>
  <si>
    <t>Submarine groundwater discharge (SGD) is an integral part of the hydrological cycle and represents an important aspect of land-ocean interactions. We used a numerical model to simulate flow and salt transport in a nearshore groundwater aquifer under varying wave conditions based on yearlong random wave data sets, including storm surge events the results showed significant flow asymmetry with rapid response of influxes and retarded response of effluxes across the seabed to the irregular wave conditions. While a storm surge immediately intensified seawater influx to the aquifer, the subsequent return of intruded seawater to the sea, as part of an increased SGD, was gradual. Using functional data analysis, we revealed and quantified retarded, cumulative effects of past wave conditions on SGD including the fresh groundwater and recirculating seawater discharge components the retardation was characterized well by a gamma distribution function regardless of wave conditions the relationships between discharge rates and wave parameters were quantifiable by a regression model in a functional form independent of the actual irregular wave conditions. This statistical model provides a useful method for analyzing and predicting SGD from nearshore unconfined aquifers affected by random waves. Key Points Cumulative effects of antecedent wave conditions on SGD Long memory of past wave conditions back to over a hundred days found in the SGD Wave effects characterized well by a gamma distribution function © 2014. American Geophysical Union. All Rights Reserved.</t>
  </si>
  <si>
    <t>2-s2.0-84897355778"</t>
  </si>
  <si>
    <t>10.1016/j.geomorph.2013.09.030</t>
  </si>
  <si>
    <t>https://www.scopus.com/inward/record.uri?eid=2-s2.0-84894957230&amp;doi=10.1016%2fj.geomorph.2013.09.030&amp;partnerID=40&amp;md5=b9b3a1a90fe83a9a16d7e1b705edce91</t>
  </si>
  <si>
    <t>Fluvial systems of the southern Laurentian Great Lakes region are carved into a complex glacial landscape shaped by continental ice and meltwater of the late Pleistocene. These glacially conditioned river catchments are typically small with drainage areas &lt;104km2. A 10-m digital elevation model (DEM) is used to map the spatial distribution of stream gradient for 22 major river catchments of peninsular southern Ontario, which drain to base levels in the lower Great Lakes (Huron, St. Clair, Erie, and Ontario). Raw data from the DEM show stream gradients that exhibit multiscale variance from real and from artifact sources. Based on a vertical slice and multiple-pass moving-window averaging approach, slope data are generalised to the river reach scale (1-2km) as a representative spatial scale for fluvial processes operating over Holocene timescales. Models of specific stream power are then compared with glacial landform and surface geology mapping. Inherited glacial signatures in river slope appear as deviations in a stream length-gradient index (SL/K index), where river reaches are frequently oversteepened or understeepened. Based on a slope-area analysis, and complementary to theories of channel pattern discrimination, constant stream power curves (with power-law exponent of -0.4) provide a first-order approach to stratify river reaches in terms of glacial conditioning and expected planform morphologies. However, multiple-channel planform types are rare and localised in southern Ontario, indicating that oversteepened reaches with high stream powers may often be moderated by (1) sediment calibre, with cobble-beds from inherited glacial sediments</t>
  </si>
  <si>
    <t>10.1016/j.jhydrol.2014.05.020</t>
  </si>
  <si>
    <t>https://www.scopus.com/inward/record.uri?eid=2-s2.0-84904906539&amp;doi=10.1016%2fj.jhydrol.2014.05.020&amp;partnerID=40&amp;md5=cf07acec3660af398d1459141fd4dece</t>
  </si>
  <si>
    <t>Growing advances in remote sensing technologies together with the widespread availability of Digital terrain models (DTM) have intensified the research into two-dimensional (2D) models. Supported by detailed DTM, 2D models can become very accurate tools yet not without an added cost on the computational effort. Floodplain inundation is characterised by a slow varying phenomenon which can last hours, days or even weeks. In this paper we aim to develop a specific parallel diffusive wave model with variable time step suitable for flood inundation. Taking advantage of up to 12 processors, speed-up times ranging from 1.7 to 5.2 and 1.2 to 1.7 are achieved with the Matlab parallel computing toolbox and Fortran OpenMP Application Programming, respectively. The variable time method and the process devised to represent Wet-Dry fronts kept the solution stable and preserved absolute mass conservation. P-DWave performed well against known analytical solutions and dynamic and diffusive models in a total of seven tests. © 2014 Elsevier B.V.</t>
  </si>
  <si>
    <t>2-s2.0-84904906539"</t>
  </si>
  <si>
    <t>https://www.scopus.com/inward/record.uri?eid=2-s2.0-84920986007&amp;partnerID=40&amp;md5=9bebe2a90ad06a2e3d9a2aa47d33fc60</t>
  </si>
  <si>
    <t>The delineation of food-prone areas is one of the most important steps for food risk assessment and mitigation. This study uses a probabilistic and DEM-based framework for the delineation of food-prone areas based on information about the extent of historical flooding in the area of interest. This is particularly useful for the delineation of food-prone areas in cases where more accurate hydraulic profile calculations are not available. The delineation of food-prone areas is carried out by using the Topographic Wetness Index (TWI) which allows for the delineation of a portion of a hydrographic basin potentially exposed to flooding by identifying all the areas characterized by a topographic index that exceeds a given threshold. A Bayesian updating framework is used for estimating the TWI threshold for identifying the food-prone areas based on available information on the spatial extent of historical flooding. An application of the proposed method is demonstrated for the delineation of potentially food-prone areas in the city of Ouagadougou, based on the observed spatial extent of the 2009 flooding event in the city. © 2014 Instituto Geologico y Minero de Espana. All Rights reserved.</t>
  </si>
  <si>
    <t>2-s2.0-84920986007"</t>
  </si>
  <si>
    <t>10.1016/j.ijdrr.2013.12.002</t>
  </si>
  <si>
    <t>https://www.scopus.com/inward/record.uri?eid=2-s2.0-84893393477&amp;doi=10.1016%2fj.ijdrr.2013.12.002&amp;partnerID=40&amp;md5=09ba0f0b56ba9f91c73e8f79aaba833d</t>
  </si>
  <si>
    <t>This study reports on a preliminary assessment of storm surge risk from tropical cyclones at Rarotonga, Cook Islands. Analysis of a 175-year record of cyclones from the Cook Islands indicates minimum annual probabilities of 16% for storm surges and 5% for major storm surge impacts at Rarotonga. Storm surges have historically inundated areas of the coastal lowland where virtually all human activities and infrastructure are currently located. The impacts of such events have been particularly severe in the Cook Islands' capital of Avarua and adjacent communities on the north coast of Rarotonga. Detailed infrastructure mapping combined with analysis of historic storm surge impacts and cyclone tracks in the vicinity of Rarotonga indicates that the storm surge risk is greatest along the north coast where the majority of the Cook Islands' government functions and commercial, industrial, transportation and communication infrastructure is located. Damage to this infrastructure at the shoreline can have serious repercussions throughout the Cook Islands. Any efforts to increase the country's resilience to such impacts must be undertaken within the larger goal of adaptation to future climate changes and rising sea levels. The greatest risk presently to human life arises from many cyclone safety centres in locations where they are exposed to storm surges or flooding. A top priority should be relocation of these shelters to safer locations further inland so that they can provide suitable shelter from storm surges and flooding as well as tsunamis, taking into account other hazards presented by Rarotonga's rugged topography. © 2013 Elsevier Ltd.</t>
  </si>
  <si>
    <t>2-s2.0-84893393477"</t>
  </si>
  <si>
    <t>10.1016/j.geomorph.2013.10.010</t>
  </si>
  <si>
    <t>https://www.scopus.com/inward/record.uri?eid=2-s2.0-84894913813&amp;doi=10.1016%2fj.geomorph.2013.10.010&amp;partnerID=40&amp;md5=35a302cff6f6b4d9cd829d0d49364f22</t>
  </si>
  <si>
    <t>Fine-scale (submeter) resolution digital elevation models (DEMs) created from high precision (subcentimeter) instruments (e.g., total station, rtkGPS, and laser scanning) have become ubiquitous in the field of fluvial geomorphology. They permit a diverse range of spatially explicit analyses including hydraulic modeling, habitat modeling, and geomorphic change detection. While previous studies have assessed the quality of specific topographic survey methods at individual sites or across a limited number of sites, an intercomparison of survey technologies across a diverse range of wadeable streams could help clarify which techniques are feasible, as well as which work best under what circumstances and for what purposes. Although a wealth of existing studies and protocols explain how to undertake each individual technique, in this study we seek to provide guidance on what techniques to use in which circumstances. We quantified the relative quality and the amount of effort spent collecting data to derive bare earth topography from an array of ground-based and airborne survey techniques. We used topographic survey data collected over the summer of 2010 from six sample reaches of varying complexity in the Lemhi River basin, Idaho, USA. We attempted to conduct complete, replicate surveys at each site using total station (TS), real-time kinematic (rtk) GPS, discrete return terrestrial laser scanner (TLS), and airborne LiDaR surveys (ALS). We evaluated the precision and accuracy of derived bare earth DEMs relative to the higher precision total station point data. Discrepancies between pairwise techniques were calculated using propagated DEM errors thresholded at a 95% confidence interval. Mean discrepancies between total station and rtkGPS DEMs were relatively low (≤. 0.05. m), yet TS data collection time was up to 2.4 times longer than rtkGPS. The ALS DEMs had lower accuracy than TS or rtkGPS DEMs, but the aerial coverage and floodplain context of the ALS data set was superior to all other techniques. The TLS bare earth DEM accuracy and precision were lower than any other technique because of vegetation returns misinterpreted as ground returns. Our results are helpful for understanding the strengths and weaknesses of different approaches. © 2013 Elsevier B.V.</t>
  </si>
  <si>
    <t>2-s2.0-84894913813"</t>
  </si>
  <si>
    <t>10.1016/j.worlddev.2014.01.020</t>
  </si>
  <si>
    <t>https://www.scopus.com/inward/record.uri?eid=2-s2.0-84894346215&amp;doi=10.1016%2fj.worlddev.2014.01.020&amp;partnerID=40&amp;md5=5ef7736a7353c8055ee1619f7eed3116</t>
  </si>
  <si>
    <t>We present an innovative global-to-local modeling approach to analyze impacts of uncertain and complex futures on Vietnam's economy via changes in land use patterns. Socio-economic changes are shown to have major implications for the Vietnamese landscape, including natural forest losses with negative consequences for biodiversity and greenhouse gas emissions, and losses of paddy rice and other agricultural lands in the Red River Delta and the Mekong River delta. Climate-related flood risks in these areas further threaten the population, economic assets, and food security. The scenarios reveal the importance of investments in agriculture, land markets, and climate change mitigation and adaptation. © 2014 Elsevier Ltd.</t>
  </si>
  <si>
    <t>2-s2.0-84894346215"</t>
  </si>
  <si>
    <t>10.1016/j.geomorph.2014.01.006</t>
  </si>
  <si>
    <t>https://www.scopus.com/inward/record.uri?eid=2-s2.0-84898702678&amp;doi=10.1016%2fj.geomorph.2014.01.006&amp;partnerID=40&amp;md5=a595362496561583de8c475186f8c52d</t>
  </si>
  <si>
    <t>Recent advances in computer vision and image analysis have led to the development of a novel, fully automated photogrammetric method to generate dense 3d point cloud data. This approach, termed Structure-from-Motion or SfM, requires only limited ground-control and is ideally suited to imagery obtained from low-cost, non-metric cameras acquired either at close-range or using aerial platforms. Terrain models generated using SfM have begun to emerge recently and with a growing spectrum of software now available, there is an urgent need to provide a robust quality assessment of the data products generated using standard field and computational workflows.To address this demand, we present a detailed error analysis of sub-meter resolution terrain models of two contiguous reaches (1.6 and 1.7. km long) of the braided Ahuriri River, New Zealand, generated using SfM. A six stage methodology is described, involving: i) hand-held image acquisition from an aerial platform, ii) 3d point cloud extraction modeling using Agisoft PhotoScan, iii) georeferencing on a redundant network of GPS-surveyed ground-control points, iv) point cloud filtering to reduce computational demand as well as reduce vegetation noise, v) optical bathymetric modeling of inundated areas</t>
  </si>
  <si>
    <t>10.2112/SI70-069.1</t>
  </si>
  <si>
    <t>https://www.scopus.com/inward/record.uri?eid=2-s2.0-84952303360&amp;doi=10.2112%2fSI70-069.1&amp;partnerID=40&amp;md5=09bfd1783e576bf6818e12cd65426c08</t>
  </si>
  <si>
    <t>Shoreline Management Plans in England envisage implementation of managed realignment along 550 km or 10% of the coastline length by 2030. About 66 km of the coastline has been realigned between 1991 and the end of 2013. Therefore, an eight-fold increase in the length of realigned shorelines is expected in the next 20 years. It is now timely to gather and evaluate experiences and lessons learned from existing experience to inform future projects. This article presents results from two surveys concerning experiences and perceptions of managed realignment in the UK. The UK is often recognised as leading the implementation of managed realignment worldwide and it is anticipated that the national experience attracts great interest of international researchers and practitioners. Findings from a qualitative survey focusing on practitioners experience are contrasted by the results from a quantitative survey allowing comparison of practitioners', consultants', researchers' and stakeholders' views. Three key issues identified through the analysis of the responses are discussed in this article: (1) the multiple functions of realignment sites should be emphasised to increase buy-in from stakeholders</t>
  </si>
  <si>
    <t>10.5194/hess-18-3623-2014</t>
  </si>
  <si>
    <t>https://www.scopus.com/inward/record.uri?eid=2-s2.0-84907045076&amp;doi=10.5194%2fhess-18-3623-2014&amp;partnerID=40&amp;md5=bcb39e1d99e69dc18ec8ae076065de4b</t>
  </si>
  <si>
    <t>Trafficking wet soils within and near stream and lake buffers can cause soil disturbances, i.e. rutting and compaction. This-in turn-can lead to increased surface flow, thereby facilitating the leaking of unwanted substances into downstream environments. Wet soils in mires, near streams and lakes have particularly low bearing capacity and are therefore more susceptible to rutting. It is therefore important to model and map the extent of these areas and associated wetness variations. This can now be done with adequate reliability using a high-resolution digital elevation model (DEM). In this article, we report on several digital terrain indices to predict soil wetness by wet-area locations. We varied the resolution of these indices to test what scale produces the best possible wet-areas mapping conformance. We found that topographic wetness index (TWI) and the newly developed cartographic depth-to-water index (DTW) were the best soil wetness predictors. While the TWI derivations were sensitive to scale, the DTW derivations were not and were therefore numerically robust. Since the DTW derivations vary by the area threshold for setting stream flow initiation, we found that the optimal threshold values for permanently wet areas varied by landform within the Krycklan watershed, e.g. 1-2 ha for till-derived landforms versus 8-16 ha for a coarse-textured alluvial floodplain. © 2014 Author(s).</t>
  </si>
  <si>
    <t>2-s2.0-84907045076"</t>
  </si>
  <si>
    <t>10.1016/j.geomorph.2014.04.002</t>
  </si>
  <si>
    <t>https://www.scopus.com/inward/record.uri?eid=2-s2.0-84899885151&amp;doi=10.1016%2fj.geomorph.2014.04.002&amp;partnerID=40&amp;md5=54e538854b7153469b7da0569804a596</t>
  </si>
  <si>
    <t>A detailed record of channel profiles, slopes, and stream discharge on Lillooet River provides an opportunity to study the effects of natural and artificial channel changes that have occurred over the past century. We analyze the long-term effects of channel alterations that may affect flood hazard. In the mid 1940s several meanders were artificially severed, side channels blocked off, and the level of downstream Lillooet Lake was lowered. These measures were thought to increase hydrologic efficiency and decrease flood risk in the largely agricultural valley. Between 1947 and 1994 average channel width in the upper reaches decreased by 50%, most of which occurred by the late 1950s. Between 1945 and 1969 Lillooet River degraded its bed elevation by 3-4m (12.5 to 16.7cma-1) in the upper reaches and up to 2m (8.3cma-1) in the lower reaches. This sudden and profound degradation compares to average bed elevation increases of 2.4cma-1 prior to the engineering works. Between 1969 and 1985 the cross section area increased by 22% in the upper reaches and 13% in the lower reaches and decreased to 12% and 8%, respectively, for the time period 1985 to 2000. The increased sediment supply that was caused by channel straightening accelerated delta advance in Lillooet Lake from 7ma-1 (1858 to 1948) to 30ma-1 for the five-year period following the 1948 channel works. These rates have decreased over time, but with a current advance rate of 10.5ma-1 (1986-2009) are still above the long-term average prior to the channel changes. This study demonstrates the time scale, direction, and magnitude of channel changes following significant artificial river alterations. While the initial goal of decreasing flood risk had been achieved in the short term, the lower river apparently is slowly returning to an overall aggradational phase. Ongoing delta advance will ultimately increase channel elevations in the lower reaches and lead to significant flood hazards for populated areas. © 2014 Elsevier B.V.</t>
  </si>
  <si>
    <t>2-s2.0-84899885151"</t>
  </si>
  <si>
    <t>10.14358/PERS.80.6.551-557</t>
  </si>
  <si>
    <t>https://www.scopus.com/inward/record.uri?eid=2-s2.0-84921884906&amp;doi=10.14358%2fPERS.80.6.551-557&amp;partnerID=40&amp;md5=e663025b7dcb8c44f55c20353474a82b</t>
  </si>
  <si>
    <t>Accurate and rapidly mapped flood boundaries are extremely important for emergency management operations and hydraulic flood model calibration. This study presents a methodology for automatic flood delimitation in SAR images. An Object-based Image Analysis (OBIA) is applied to SAR images and to a Digital Terrain Model (DTM), organizing a database for hydraulic flood models calibration. Principal Component Analysis (PCA) is proposed to automate the determination of flood / non-flood decision thresholds. A previous classification, with a visual threshold selection, is performed for a small set of training images. A first PCA detects correlation between the training thresholds, image, and flood parameters</t>
  </si>
  <si>
    <t>https://www.scopus.com/inward/record.uri?eid=2-s2.0-84894464127&amp;partnerID=40&amp;md5=c3c4c2e9e02daff83bd9704fff3b8dcd</t>
  </si>
  <si>
    <t>The recent floods in the Kedarnath area, Uttarakhand are a classic example of flash floods in the Mandakini River that devastated the country by killing thousands of people besides livestock. Though the duration of the event was small compared to other flood disasters in the country, it resulted in severe damage to property and life. Post-disaster satellite images depict that the river banks were eroded completely along the Kedarnath valley due to the flash floods and few new channels were visible. Extreme erosion took place in the upstream portion of Kedarnath, besides the breach of Chorabari Lake and deposition of debris/sediments in the valley. Hydrological and hydraulic simulation study was carried out in the Mandakini River using space-based inputs to quantify the causes of the flash floods and their impact. Chorabari Lake breach analysis was carried out using Froehlich theory. Flood inundation simulations were done using CARTO DEM of 10 m posting in which the combined effect of lake breach and high-intensity rainfall flood was examined. As the slopes are very steep in the upstream catchment area, lag-time of the peak flood was found to be less and washed-offthe Kedarnath valley without any alert. The study reveals quantitative parameters of the disaster which was due to an integrated effect of high rainfall intensity, sudden breach of Chorabari Lake and very steep topography.</t>
  </si>
  <si>
    <t>2-s2.0-84894464127"</t>
  </si>
  <si>
    <t>10.1002/2014JC010093</t>
  </si>
  <si>
    <t>https://www.scopus.com/inward/record.uri?eid=2-s2.0-84927615420&amp;doi=10.1002%2f2014JC010093&amp;partnerID=40&amp;md5=46b5d7c741f130c124d0b4c427e48ceb</t>
  </si>
  <si>
    <t>Coastal flood hazard zones and the design of coastal defenses are often devised using the maximum recorded water level or a ""design"" event such as the 100 year return level, usually projected from observed extremes. Despite technological advances driving more consistent instrumental records of waves and water levels, the observational record may be short, punctuated with intermittent gaps, and vary in quality. These issues in the record often preclude accurate and robust estimates of extreme return level events. Here we present a total water level full simulation model (TWL-FSM) that simulates the various components of TWLs (waves, tides, and nontidal residuals) in a Monte Carlo sense, taking into account conditional dependencies that exist between the various components. Extreme events are modeled using nonstationary extreme value distributions that include seasonality and climate variability. The resulting synthetic TWLs allow for empirical extraction of return level events and the ability to more robustly estimate and assess present-day flood and erosion hazards. The approach is demonstrated along a northern Oregon, USA littoral cell but is applicable to beaches anywhere wave and water level records or hindcasts are available. Simulations result in extreme 100 year TWL return levels as much as 90 cm higher than those extrapolated from the ""observational"" record. At the Oregon site, this would result in 30% more coastal flooding than the ""observational"" 100 year TWL return level projections. More robust estimates of extreme TWLs and tighter confidence bounds on return level events can aid coastal engineers, managers, and emergency planners in evaluating exposure to hazards. Key Points Developed a probabilistic, full simulation total water level model (TWL-FSM) TWL-FSM captures seasonal and interannual climatic variability in extreme events TWL-FSM return levels are higher than those from the ""observational"" record © 2014. American Geophysical Union. All Rights Reserved.</t>
  </si>
  <si>
    <t>2-s2.0-84927615420"</t>
  </si>
  <si>
    <t>10.1080/02508060.2014.957510</t>
  </si>
  <si>
    <t>https://www.scopus.com/inward/record.uri?eid=2-s2.0-84907578569&amp;doi=10.1080%2f02508060.2014.957510&amp;partnerID=40&amp;md5=125d151f2af2524e557134eb635f68cb</t>
  </si>
  <si>
    <t>Controlled flooding, while heavily contested, is being experimented with in the Dutch delta as a new and ecologically oriented strategy to deal with floods, in contrast to the conventional flood prevention paradigm. The Noordwaard project (2012–15) represents an exemplary case. At the expense of agricultural practices, land is set aside occasionally to accommodate river floods, while restored flood and tidal dynamics aim to benefit nature development. It is argued that although controlled flooding aims to restore historical land and water dynamics in the area, the role of sedimentation processes has remained largely unaddressed in relation to shaping long-term delta futures. © 2014 International Water Resources Association.</t>
  </si>
  <si>
    <t>2-s2.0-84907578569"</t>
  </si>
  <si>
    <t>10.2112/SI70-062.1</t>
  </si>
  <si>
    <t>https://www.scopus.com/inward/record.uri?eid=2-s2.0-84918833509&amp;doi=10.2112%2fSI70-062.1&amp;partnerID=40&amp;md5=cc7853175e82860e250121029d72eea0</t>
  </si>
  <si>
    <t>Recent and historic high-impact events have demonstrated the flood risks faced by exposed coastal areas. These risks will increase due to climate change and economic development. This requires a re-evaluation of coastal disaster risk reduction DRR strategies and prevention, mitigation and preparedness PMP measures. To this end, the UN Office for Disaster Risk Reduction formulated the Hyogo Framework for Action, and the EU has issued the Floods Directive. By their nature, neither is specific about the methods to be used to assess coastal risks, particularly those risks resulting from dune and structure overtopping, the non-stationarity of surge and flash flood events, and coastal morphodynamic response. This paper describes a set of open-source and open-access methods, tools and management approaches to fill this gap. A Coastal Risk Assessment Framework will assess coastal risk at a regional scale. Thus critical hotspots can be identified for which an impact-oriented Early Warning System/Decision Support System is developed. This can be applied in dual mode: as a forecast and warning system and as an ex-ante planning tool to evaluate the vulnerability. The tools are demonstrated on case study sites on a range of EU coasts with diverse geomorphic settings, land use, forcing, hazard types and socio-economic, cultural and environmental characteristics. Specific DRR plans will be developed for all sites. A management guide of PMP measures and management approaches is to be developed. The toolkit will benefit forecasting and civil protection agencies, coastal managers, local government, community members, NGOs, the general public and scientists. © Coastal Education &amp; Research Foundation 2014.</t>
  </si>
  <si>
    <t>2-s2.0-84918833509"</t>
  </si>
  <si>
    <t>10.5194/hess-18-3461-2014</t>
  </si>
  <si>
    <t>https://www.scopus.com/inward/record.uri?eid=2-s2.0-84907047668&amp;doi=10.5194%2fhess-18-3461-2014&amp;partnerID=40&amp;md5=a5b2bed92b296a5e8cd02714e881d570</t>
  </si>
  <si>
    <t>This paper presents a new and easily repeatable method for assessing the susceptibility of glacial lakes to outburst floods (GLOFs) within the Peruvian region of the Cordillera Blanca. The presented method was designed to: (a) be repeatable (from the point of view of the demands on input data), (b) be reproducible (to provide an instructive guide for different assessors), (c) provide multiple results for different GLOF scenarios and (d) be regionally focused on the lakes of the Cordillera Blanca. Based on the input data gained from remotely sensed images and digital terrain models/topographical maps, the susceptibility of glacial lakes to outburst floods is assessed using a combination of decision trees for clarity and numerical calculation for repeatability and reproducibility. A total of seventeen assessed characteristics are used, of which seven have not been used in this context before. Also, several ratios and calculations are defined for the first time. We assume that it is not relevant to represent the overall susceptibility of a particular lake to outburst floods by one result (number), thus it is described in the presented method by five separate results (representing five different GLOF scenarios). These are potentials for (a) dam overtopping resulting from a fast slope movement into the lake, (b) dam overtopping following the flood wave originating in a lake situated upstream, (c) dam failure resulting from a fast slope movement into the lake, (d) dam failure following the flood wave originating in a lake situated upstream and (e) dam failure following a strong earthquake. All of these potentials include two or three components and theoretically range from 0 to 1. The presented method was verified on the basis of assessing the pre-flood conditions of seven lakes which have produced ten glacial lake outburst floods in the past and ten lakes which have not. A comparison of these results showed that the presented method successfully identified lakes susceptible to outburst floods (pre-flood conditions of lakes which have already produced GLOFs).</t>
  </si>
  <si>
    <t>2-s2.0-84907047668"</t>
  </si>
  <si>
    <t>10.2112/SI70-057.1</t>
  </si>
  <si>
    <t>https://www.scopus.com/inward/record.uri?eid=2-s2.0-84940230220&amp;doi=10.2112%2fSI70-057.1&amp;partnerID=40&amp;md5=36039f067d4a1133a5001be7e364fa2c</t>
  </si>
  <si>
    <t>Routine monitoring has already become a legal obligation and apparent necessity for EU members, especially of such dynamic and important habitat as the Baltic Sea and its shores. One of the subsystems of SatBałtyk, a Polish research project for maritime observation, is dedicated to coastal monitoring. It focuses on recording and forecasting the consequences of storm events along the Baltic's Polish shoreline. Three sites (7-12 km-long sections of dune coast) were selected for detailed research: the Dziwnow Spit, Jamno and Bukowo lakes' spits and part of the Hel Peninsula. Work started in 2010 and will continue until 2015. A numerical model, XBeach, was implemented in order to provide forecasts of several parameters, i.e. beach flooding, dune erosion, suspension of matter in the water after storm and rip current occurrence. It combines external data with in situ measurements by the researchers. Many pieces of equipment were installed for this research: a satellite receiving station, underwater probe ADCP (Acoustic Doppler Current Profiler), a tide gauge, a hyperspectral radiometer and two video cameras for constant shoreline observation. The system is currently being calibrated and verified</t>
  </si>
  <si>
    <t>10.1007/s12303-014-0006-x</t>
  </si>
  <si>
    <t>https://www.scopus.com/inward/record.uri?eid=2-s2.0-84957432202&amp;doi=10.1007%2fs12303-014-0006-x&amp;partnerID=40&amp;md5=c101615476052e949816b61efdc9b40d</t>
  </si>
  <si>
    <t>Within BlackGold Lease located in northern Alberta, the Lower Cretaceous McMurray Formation contains the most prolific bitumen reservoirs deposited in fluvial to tidally-influenced estuarine environments. Based on core descriptions and wire-line log evaluation, this study reveals six lithofacies: cross-stratified sandstone and mudstone-clast breccia (Lf1), sandstone-dominated IHS (Lf2), mudstone-dominated IHS (Lf3), thinly interbedded sandstone and mudstone (Lf4), laminated mudstone (Lf5), and clean sandstone with interbedded mudstone (Lf6). To understand the evolution of depositional environments vertical and lateral associations of lithofacies are examined using well cross-sections and lithofacies slice maps. During overall rise in relative sea level, the McMurray Formation evolved through three stages of deposition: early stage represents fluvial channels with minor tidal influence, middle stage represents tidally-influenced estuary with well-developed meandering channels, and late stage represents a drowning of tidally-influenced estuary. The potential bitumen reservoirs are fluvial channel sandstones in the early stage and lower point-bar deposits in the middle stage. The fluvial channel sandstones are well stacked and correlatable between wells, forming sheet-like sandstone bodies that align in a SW-NE direction parallel to the inferred orientation of major channel systems. The lower point-bar deposits consist mainly of base-of-channel and sandstone-dominated IHS deposits. The direction of point-bar migration, which is crucial in horizontal well design for bitumen production, is inferred from lithofacies slice maps. The lateral changes in lithofacies from base-of-channel to abandoned channel-fills through IHS deposits, shown in lithofacies slice maps, probably indicate that the point bar once migrated toward abandoned channel-fills. Based on this lateral lithofacies trend, the dip direction of some point-bar deposits are approximately estimated to be southwestward or northwestward, which is oblique or perpendicular to the major channel orientation. © 2014, The Association of Korean Geoscience Societies and Springer-Verlag Berlin Heidelberg.</t>
  </si>
  <si>
    <t>2-s2.0-84957432202"</t>
  </si>
  <si>
    <t>10.1371/journal.pone.0092405</t>
  </si>
  <si>
    <t>https://www.scopus.com/inward/record.uri?eid=2-s2.0-84899078317&amp;doi=10.1371%2fjournal.pone.0092405&amp;partnerID=40&amp;md5=2a2e9b58b9e17c396d35be455731794c</t>
  </si>
  <si>
    <t>The Um Alhool area in Qatar is a dynamic evaporative ecosystem that receives seawater from below as it is surrounded by sand dunes. We investigated the chemical composition, the microbial activity and biodiversity of the four main layers (L1-L4) in the photosynthetic mats. Chlorophyll a (Chl a) concentration and distribution (measured by HPLC and hyperspectral imaging, respectively), the phycocyanin distribution (scanned with hyperspectral imaging), oxygenic photosynthesis (determined by microsensor), and the abundance of photosynthetic microorganisms (from 16S and 18S rRNA sequencing) decreased with depth in the euphotic layer (L1). Incident irradiance exponentially attenuated in the same zone reaching 1% at 1.7-mm depth. Proteobacteria dominated all layers of the mat (24%-42% of the identified bacteria). Anoxygenic photosynthetic bacteria (dominated by Chloroflexus) were most abundant in the third red layer of the mat (L3), evidenced by the spectral signature of Bacteriochlorophyll as well as by sequencing. The deep, black layer (L4) was dominated by sulfate reducing bacteria belonging to the Deltaproteobacteria, which were responsible for high sulfate reduction rates (measured using 35S tracer). Members of Halobacteria were the dominant Archaea in all layers of the mat (92%-97%), whereas Nematodes were the main Eukaryotes (up to 87%). Primary productivity rates of Um Alhool mat were similar to those of other hypersaline microbial mats. However, sulfate reduction rates were relatively low, indicating that oxygenic respiration contributes more to organic material degradation than sulfate reduction, because of bioturbation. Although Um Alhool hypersaline mat is a nutrient-limited ecosystem, it is interestingly dynamic and phylogenetically highly diverse. All its components work in a highly efficient and synchronized way to compensate for the lack of nutrient supply provided during regular inundation periods. © 2014 Al-Thani et al.</t>
  </si>
  <si>
    <t>2-s2.0-84899078317"</t>
  </si>
  <si>
    <t>10.1785/0120130316</t>
  </si>
  <si>
    <t>https://www.scopus.com/inward/record.uri?eid=2-s2.0-84908093974&amp;doi=10.1785%2f0120130316&amp;partnerID=40&amp;md5=32e911f64504437da29868c2e545ddf1</t>
  </si>
  <si>
    <t>On 26 January 1531, a strong-magnitude earthquake heavily impacted Lisbon downtown. Immediately after the earthquake, the eyewitnesses reported large waves in the Tagus estuary, mainly north of the city and along the northern bank of the river. Descriptions include large impacts on ships anchored in the estuary and even morphological changes in the riverbed. We present a synthesis of the available information concerning both the earthquake and the water disturbance as a basis for the discussion of the probable tectonic source and the magnitude of the associated river oscillations. We hypothesize that the initial disturbance of the water can be attributed to the coseismic deformation of the estuary riverbed, and we use a nonlinear shallow water model to simulate the tsunami propagation and inundation.We show that the Vila Franca de Xira fault is the most probable source of the 1531 event. The largest inundation effects of the model correlate well with the historical descriptions: the impact is relevant in the inner Tagus estuary, but inundation in downtown Lisbon is small. © 2014, Seismological Society of America. All rights reserved.</t>
  </si>
  <si>
    <t>2-s2.0-84908093974"</t>
  </si>
  <si>
    <t>10.1080/01431161.2014.950764</t>
  </si>
  <si>
    <t>https://www.scopus.com/inward/record.uri?eid=2-s2.0-85027932932&amp;doi=10.1080%2f01431161.2014.950764&amp;partnerID=40&amp;md5=95c806b2e5c9ac0ec7aad1e669260906</t>
  </si>
  <si>
    <t>In this article, passive microwave observations in synergy with optical data are exploited to monitor floods and estimate vegetation submerging. The selected site is Sundarban Delta, at the borders between India and Bangladesh. The area is subject to severe monsoon in summer, producing heavy floods and vegetation submerging. Because of their high spatial resolution, Moderate Resolution Imaging Spectroradiometer (MODIS) signatures are used to evaluate the coverage fractions of bare soil, vegetated fields, and permanent water. Multifrequency Advanced Microwave Scanning Radiometer Earth Observing System (AMSR-E) signatures are used to monitor vegetation submerging during monsoon. Results are compared with ground measurements of water level and plant biomass in both agriculture areas and wetlands. Previous studies indicated that, during monsoon, there is a clear effect of brightness temperature decrease and polarization index increase in the C, X and Ka bands over the areas affected by floods. X band data prove to be particularly useful since the sensitivity to flood effects is appreciable and the spatial resolution is better than at C band. In this article, the vegetation submerging effect is estimated with the aid of a radiative transfer model. In the pre-monsoon season, the retrieved value of emerged biomass is close to that of the measured total biomass. During monsoon, it is estimated that up to 3 kg m−2of vegetation biomass is submerged by flood. For both agricultural fields and wetlands, obtained results are consistent with ground measurements of water level. © 2014, © 2014 Taylor &amp; Francis.</t>
  </si>
  <si>
    <t>2-s2.0-85027932932"</t>
  </si>
  <si>
    <t>10.5194/hess-18-1785-2014</t>
  </si>
  <si>
    <t>https://www.scopus.com/inward/record.uri?eid=2-s2.0-84900811289&amp;doi=10.5194%2fhess-18-1785-2014&amp;partnerID=40&amp;md5=4e9d2f55b7b80197071af005b80186d5</t>
  </si>
  <si>
    <t>An approach to assess estuarine environmental flow based on phytoplankton preference, including the complex relationships between hydrological modifications and ecosystem biomass, was developed in this study. We initially established a relationship between biomass requirements for primary and higher nutritional level organisms based on the ecosystem nutritional energy flow principles. Subsequently, diagnostic pigments were employed to represent phytoplankton community biomass, which indicated competition between two groups of phytoplankton in the biochemistry process. Considering empirical relationships between diagnostic pigments and critical environmental factors, biomass responses to river discharge were established by simulating distributions of critical environmental factors under action of river discharges and tide currents. Consequently, environmental flows were recommended for different fish biomass requirements. We used the Yellow River estuary as a case study</t>
  </si>
  <si>
    <t>10.1016/j.margeo.2013.12.016</t>
  </si>
  <si>
    <t>https://www.scopus.com/inward/record.uri?eid=2-s2.0-84896789324&amp;doi=10.1016%2fj.margeo.2013.12.016&amp;partnerID=40&amp;md5=690bcabae50d6bfd48fb2a6418d5c246</t>
  </si>
  <si>
    <t>Newly acquired seismic data allow improved understanding of the architecture and evolution of isolated carbonate platforms on the continental slope of the northern South China Sea. The Xisha carbonate platforms were initiated on a basement high, the Xisha Uplift, in the early Miocene and have remained active up to the present. Their distribution is limited to pre-existing localized, fault-bounded blocks within the Xisha Uplift so individual platforms were small in size at the beginning of the Miocene. However, during the middle Miocene, the platform carbonate factories flourished across an extensive area with 55,900km2. The platforms began to backstep in response to a relative sea-level rise in the late Miocene. Platform-edge reefs, patch reefs, pinnacle reefs, atoll reefs and horseshoe reefs, all developed on various platforms. The distribution of platform carbonates shrank significantly during Pliocene-Quaternary time to isolated carbonate platforms, represented today by Xuande Atoll and Yongle Atoll. Tectonics and eustasy were the two main controls on platform development. Tectonics controlled both the initial topography for reef growth and the distribution of platforms, including those that survived the drowning event associated with the late Miocene rapid relative sea-level rise. Eustasy controlled high-frequency carbonate sequence development. © 2014.</t>
  </si>
  <si>
    <t>2-s2.0-84896789324"</t>
  </si>
  <si>
    <t>10.1016/j.jappgeo.2014.01.012</t>
  </si>
  <si>
    <t>https://www.scopus.com/inward/record.uri?eid=2-s2.0-84894071625&amp;doi=10.1016%2fj.jappgeo.2014.01.012&amp;partnerID=40&amp;md5=0e039ecd80456c91114f611965848fea</t>
  </si>
  <si>
    <t>Sinai Peninsula occupies a part of the arid zone belt of northern Africa and southwestern Asia. The largest ephemeral stream in the Sinai Peninsula is called Wadi El-Arish, which winds down northward to the Mediterranean Sea. The delta of Wadi El-Arish has been built by the heavy floods of the Wadi. The Quaternary aquifer is the main water supply of the delta of Wadi El-Arish and its vicinities. The combined action of aridity and extensive pumping from the Quaternary aquifer led to a noticeable increase in groundwater salinity. The hydrochemistry and isotope hydrology confirm that the Quaternary aquifer is recharged by an old saline groundwater from the Pre-Quaternary. A hydrogeological connection between Quaternary and Pre-Quaternary aquifers in the form of fault(s) should exist to explain the hydro-tectonic regime of this area. The Bouguer gravity map shows the high gravity anomaly of the doubly plunging anticline of Risan Aniza Mountain to the south of El-Arish area, which is a part of the Syrian Arc System of northern Sinai Peninsula. A 3D density contrast model, 3D Euler deconvolution, horizontal derivative and least square separation have been performed. The findings showed that (1) two deep regional faults extending NE-SW, surround the Risan Aniza anticline, and (2) two deep local N-S faults are in the area of Delta Wadi El-Arish. These deep faults are proposed to bring the deep Cretaceous aquifer into contact with the shallow Quaternary aquifer and work as a hydrogeological connection between both aquifers. The present hypothesis has some geological evidences from the subsurface lithology of the nearby wells. © 2014 Elsevier B.V.</t>
  </si>
  <si>
    <t>2-s2.0-84894071625"</t>
  </si>
  <si>
    <t>10.1016/j.geomorph.2013.09.035</t>
  </si>
  <si>
    <t>https://www.scopus.com/inward/record.uri?eid=2-s2.0-84894985339&amp;doi=10.1016%2fj.geomorph.2013.09.035&amp;partnerID=40&amp;md5=95ab9d0e0e5a07a4d1eaceb97f382764</t>
  </si>
  <si>
    <t>The Okavango Delta, situated in the Kalahari Desert (Botswana), is host to extensive areas of seasonal swamp that are characterised by the presence of numerous tree-covered islands. Islands have been shown to play an important role in the landscape through the creation of habitat diversity, focusing of nutrients, and sequestration of salts. Islands are thought to grow through the subsurface precipitation of carbonate and silica, although recent work has suggested that other factors may be involved, notably airborne dust accumulation. In this study, we investigate the role of airborne dust in the maintenance and growth of tree islands in the seasonal swamps of the Okavango Delta. Chemical and grain size analyses indicate that whilst the channels and floodplains in the Okavango are dominated by well-sorted Kalahari sand that covers the entire region, material on the surface of islands is distinctly different. Island soils are enriched in Al2O3 and are characterised by higher proportions of poorly sorted, fine-grained material that we attribute to the addition of airborne dust. Large quantities of material that circulate in anticyclonic systems over southern Africa represent a potentially significant source of particulate sediment to the Okavango, whilst peat fires and the desiccation of the surrounding floodplains during the dry season are also considered to be important sources of local dust. The data suggest that varying proportions of Kalahari sand, dust, and chemical precipitate give rise to the range of compositions found on and within the islands of the Delta. Dust typically accounts for between 20 and 60% of material found on the surface of islands, whilst dust and chemical precipitate dominate the subsurface material. Islands thus appear to grow through a combination of ongoing surface and subsurface processes that result in considerable heterogeneity in soil composition. In both instances vegetation, especially trees, is the main driving force behind island development, not only causing the subsurface accumulation of CaCO3 and SiO2 in island soils, but also trapping airborne dust on the surface of islands. Our study suggests that dust fallout is an equally or possibly even more important contributor to the local topographic irregularities and thus habitat diversity in the Okavango Delta. Despite the potential importance of airborne material to the biogeochemistry and development of tree islands in wetland systems, our knowledge regarding these processes remains poor. © 2013 Elsevier B.V.</t>
  </si>
  <si>
    <t>2-s2.0-84894985339"</t>
  </si>
  <si>
    <t>10.2112/SI70-087.1</t>
  </si>
  <si>
    <t>https://www.scopus.com/inward/record.uri?eid=2-s2.0-84952312981&amp;doi=10.2112%2fSI70-087.1&amp;partnerID=40&amp;md5=c885e04615f908a6aaea360d2ed60356</t>
  </si>
  <si>
    <t>KwaZulu-Natal (KZN) has a high energy, dynamic coastline. The coast is a significant asset, utilised for residential, industrial, transport, nature conservation and recreational purposes. It is also the discharge point for many steep gradient, short-headed rivers. These rivers have highly variable discharges and, together with variable coastal erosion and deposition cycles, place stress on coastal resources and infrastructure. Many of the rivers, particularly those with smaller catchments, discharge into back-beach lagoons before discharging into the ocean. Lagoon outlet dynamics are variable and, when combined with ocean swells and/or river flooding, can cause erosion. Coastal managers need to be aware of the risks to coastal assets and to this end, informed decision-making is vital to ensure sustainability of coastal resources and protection of coastal infrastructure, albeit often inappropriately located. While a strategy of non-intervention of lagoon outlets is always preferable, there comes a point when intervention may be necessary to protect coastal infrastructure, particularly if the intervention can replicate natural processes. Fixed coastal webcams, backed up by on-site photography, are used to illustrate two contrasting examples of coastal management on the KZN south coast at: (a) Margate where intervention resulted in the saving of coastal infrastructure, and (b) Amanzimtoti where a lack of intervention resulted in a train derailment, loss of infrastructure, injuries and significant repair costs. This paper critically reviews these contrasting examples and concludes that a greater understanding of lagoon outlet dynamics can significantly contribute to improved coastal management practices, and in this instance, could have prevented this derailment. © Coastal Education &amp; Research Foundation 2014.</t>
  </si>
  <si>
    <t>2-s2.0-84952312981"</t>
  </si>
  <si>
    <t>10.1109/JSTARS.2013.2284607</t>
  </si>
  <si>
    <t>https://www.scopus.com/inward/record.uri?eid=2-s2.0-84894424090&amp;doi=10.1109%2fJSTARS.2013.2284607&amp;partnerID=40&amp;md5=d9a8cb7b4fc172a9c1ca0a937018bb5d</t>
  </si>
  <si>
    <t>Satellite images have been widely applied in near real-time flood inundation maps in many cases. Such images have significant potential to predict the time, place and scale of a flood event, and can be very useful in emergency response efforts. The detection of floodwaters and the estimation of flood volumes are important to determine a hazard in flood risk. In this study, we conducted surface water detection based on the spatial distribution of the 2010 Indus River flood, which affected the entire Pakistan area. A modified surface water index derived from near-real-time Moderate Resolution Imaging Spectrometer (MODIS) images coupled with a digital elevation model (DEM) was used. We also developed and applied a simplified algorithm to extract the 3D volume of floodplain surface water considering surface heights. The results found that the MODIS-DEM combined approach was feasible for automatic, instant flood detection. This approach shows a methodological possibility as an integrated algorithm for producing flood maps at local to global scales. © 2008-2012 IEEE.</t>
  </si>
  <si>
    <t>2-s2.0-84894424090"</t>
  </si>
  <si>
    <t>10.2112/SI71-001.1</t>
  </si>
  <si>
    <t>https://www.scopus.com/inward/record.uri?eid=2-s2.0-84908602898&amp;doi=10.2112%2fSI71-001.1&amp;partnerID=40&amp;md5=089ea55ca16cf863239cfa66bfe6e517</t>
  </si>
  <si>
    <t>The coastal zones of Latin America have many landforms and environments, including sedimentary cliffs, deeply incised estuaries, headlands, barrier coasts and low lying, muddy coastal plains. These forms will respond differently to the expected changes in climate and associated sea level rise, which may produce coastal erosion in the future. Considering the coasts of Latin America overall, erosion is not yet a serious threat, although it is widespread and it is severe in some parts. Major erosion problems are frequently associated with human intervention in sediment supply, with poor planning or with the morphodynamic nature of the coast. Permanent erosional processes, locally or regionally, are caused by tectonic subsidence, deforestation and the fragmentation of coastal ecosystems, land use changes and sediment deficits because of infrastructure built along the coast. In this article we analyse coastal erosion in Latin America and the challenges it presents to the region. We first highlight the relevance of Latin America in terms of its biodiversity</t>
  </si>
  <si>
    <t>https://www.scopus.com/inward/record.uri?eid=2-s2.0-84976567826&amp;partnerID=40&amp;md5=7c959e3e6b06c41a1acd5b2f2a72c3ef</t>
  </si>
  <si>
    <t>In this study, a two-dimensional numerical model of the Gulf of Khambat has been implemented based on the Delft3D code to study the tidal propagation in the basin. The model has been calibrated and validated versus tidal measurements. Moreover, an analytical model for tidal propagation in converging estuary has been implemented based on the analytical work of Van Rijn (2011a). The two models show a good agreement, also with respect to observations. Moreover, the use of an analytical model with very low computational time, in support to a more sophisticated but computational time consuming numerical model, allows for an easy understanding of the different geometrical parameters (e.g. convergence length, water depth) and physical processes (e.g. damping due to bottom friction, tidal shoaling due to funnelling shape, tidal reflection) affecting the system and for an interpretation of the results of the more complex Delft3D numerical model. The effects of external changes on the physical system (e.g. impact of sea level rise) can also be easily accessed by means of a simple analytical model. © 2014, National Institute of Science Communication and Information Resources (NISCAIR). All rights reserved.</t>
  </si>
  <si>
    <t>2-s2.0-84976567826"</t>
  </si>
  <si>
    <t>10.1007/s10113-013-0514-7</t>
  </si>
  <si>
    <t>https://www.scopus.com/inward/record.uri?eid=2-s2.0-84893646187&amp;doi=10.1007%2fs10113-013-0514-7&amp;partnerID=40&amp;md5=74fe4ecde01c3033b4083fdb716554df</t>
  </si>
  <si>
    <t>Flood risk in coastal zones is projected to increase due to climate change and socioeconomic changes. Over the last decades, population growth, increases in wealth, and urban expansion have been found to be the main causes for increasing losses in coastal areas. These changes may, however, be offset by appropriate management measures. The main goal of this study is to assess future changes in flood risk and the effectiveness of flood risk adaptation measures for the coastal zone in Flanders, Belgium. In order to achieve this, we set up a modeling framework to assess the future flood risk of the Belgian coast including climatic and socioeconomic projections, and used this model to assess the effectiveness of two spatial adaptation measures: compartmentalization and land-use zoning. In this modeling framework, a land-use model, an inundation model, and a damage model were combined to calculate expected annual damage. Results show that without adaptation measures, future flood risk would increase substantially. Compartmentalization would result in an average flood risk reduction of approximately 50 % for both the baseline situation and future scenarios. Land-use zoning would result in smaller flood risk reductions, averaging between 6 and 10 %. Except for the most extreme climate change scenario, compartmentalization would successfully offset the combined adverse effects of socioeconomic growth and climate change on flood risk for this case study. For both compartmentalization and zoning, large differences have been found in their effectiveness at the local level, implying that the choice of adaptation measures should be tailored to local characteristics. © 2013 Springer-Verlag Berlin Heidelberg.</t>
  </si>
  <si>
    <t>2-s2.0-84893646187"</t>
  </si>
  <si>
    <t>https://www.scopus.com/inward/record.uri?eid=2-s2.0-84897850534&amp;partnerID=40&amp;md5=a6bf6e92c71c8f70e86d1c32a1c14b0c</t>
  </si>
  <si>
    <t>A method for tsunami disaster risk assessment for Iquique, northern Chile is tested and proposed in this dissertation. It is based firstly on archive research and a collation of available data, followed by the partial application of the Project Cycle Management (PCM) method for systemic description of the city, and to identify issues that block the development of risk management. From this, and in consideration of previous research, it is inferred that the political benefit of risk management in Chile is not always clearly perceived, and, as responsible stake-holders are mainly government institutions, this causes an impasse in the system. Consequently, this study suggests ways to clarify the concept of risk, making it easier to manage. This entailed developing a method of assessing tsunami risk, using a matrix of hazard v/s impact for risk calculation suitable for Chile, i.e. taking account of local conditions in order to generate appropriately risk scales. The city's vulnerabilities were considered as a pyramid of four-levels, mathematically connected through the weighted sum of impacts, and subject to hazard exposure. The reliability of hazard estimation was considered at the second level, so introducing an incentive to improve the quality of hazard input. The probability of hazard occurrence was assumed in two possible scenarios, due to the lack of statistical data on seismic behavior for northern Chile. The physical input for hazard scenarios was taken from current official inundation maps, and from the estimation of vulnerable zones through analysis of remote sensing data. The outcome of this research includes maps of risk distribution and radar charts indicating different types of vulnerability, clearly showing variables which need to be considered for effective risk reduction. Regardless of assumptions due to lack of data and the limited scope of this work, the risk level in Iquique is high, reaching intolerable levels in some cases. For higher probability of hazard occurrence, the effect of a combined earthquake and tsunami would certainly generate a crisis situation.</t>
  </si>
  <si>
    <t>2-s2.0-84897850534"</t>
  </si>
  <si>
    <t>10.1016/j.gca.2014.07.007</t>
  </si>
  <si>
    <t>https://www.scopus.com/inward/record.uri?eid=2-s2.0-84908037173&amp;doi=10.1016%2fj.gca.2014.07.007&amp;partnerID=40&amp;md5=b1e8c7e92fbca6700e2e8ae37fcab7c8</t>
  </si>
  <si>
    <t>Chemical weathering of silicate minerals releases elements into solution whereas the neoformation of secondary minerals works in the opposite direction, potentially confounding estimates of silicate weathering rates. Silicon isotopes (δ30Si) may be a useful tool to investigate these processes. Here, we present 82 δ30Si measurements from surface waters, pore waters, biogenic silica (BSi), clays, sand and vegetation from the Okavango Delta, Botswana, a freshwater sub-tropical, flood-pulse wetland. Hydrologically, the Okavango is dominated by evapotranspiration water losses to the atmosphere. It receives an annual pulse of water that inundates seasonal floodplains, while river baseflow is sufficient to maintain a permanent floodplain. δ30Si in dissolved silica (DSi) in surface waters along a 300km transect at near-peak flood show a limited range (0.36-1.19‰), implying the Delta is well buffered by a balance of processes adding and removing DSi from the surface water. A key control on DSi concentrations is the uptake, production of BSi and recycling of Si by aquatic vegetation, although the net isotopic effect is necessarily small since all BSi re-dissolves on short timescales. In the sediments, BSi δ30Si (n=30) ranges from -1.49‰ to +0.31‰ and during dissolution, residual BSi tends towards higher δ30Si. The data permit a field-based estimate of the fractionation associated with BSi dissolution, ε30BSi-DSi=-0.26‰, though it is unclear if this is an artefact of the process of dissolution. Clay δ30Si ranges from -0.97‰ to +0.10‰, (n=15, mean=-0.31‰) and include the highest values yet published, which we speculate may be due to an equilibrium isotope effect during diagenetic transformation of BSi. Two key trends in surface water DSi δ30Si merit further examination: declining δ30Si in an area roughly corresponding to the permanent floodplains despite net DSi removal, and increasing δ30Si in the area corresponding to the seasonal floodplains. We infer that evaporative enrichment of surface waters creates two contrasting regimes. Chemical weathering of low δ30Si phases releases low δ30Si DSi in the relatively dilute waters of the permanent floodplains, whereas silicon removal via clay formation or vegetation uptake is the dominant process in the more enriched, seasonal floodplains. © 2014 Elsevier Ltd.</t>
  </si>
  <si>
    <t>2-s2.0-84908037173"</t>
  </si>
  <si>
    <t>Risk, Hazards and Crisis in Public Policy</t>
  </si>
  <si>
    <t>10.1002/rhc3.12040</t>
  </si>
  <si>
    <t>https://www.scopus.com/inward/record.uri?eid=2-s2.0-85016750678&amp;doi=10.1002%2frhc3.12040&amp;partnerID=40&amp;md5=63c0304291038a7bb2bf7ea7094eaf4f</t>
  </si>
  <si>
    <t>Social, economic, and political context for women in Bangladesh makes them more vulnerable to climate change and food security. Climate change has serious impact on food insecurity. However, FAO emphasized that food security depends more on socio-economic condition than agro-climatic ones. To improve the socio-economic condition of the poor women thousands of Microfinance Institutions (MFIs) are working in Bangladesh and it is expected that there are numerous opportunities for strategic collaboration allowing Microfinance Institutions (MFIs) and climate change adaptation, disaster management, and food security of poor. Through, empirical research in the south-western coastal area of Bangladesh this paper reveal that relatively poor understanding on climate change coupled with several other coastal issues (salinity, sea level rise, inundation, cyclones etc.) make rural livelihood a challenge, particularly for women. A number of MFIs are trying to create alternative employment opportunities to enhance food security of women. But study reveals that majority of the poor women failed to induce any improvement in their food security after being member of MFIs. By identifying the problems and expectations related to present forms of MFIs this study explores the expected model of MFIs, which would ensure food security for the rural poor women. © 2014, Policy Studies Organization.</t>
  </si>
  <si>
    <t>2-s2.0-85016750678"</t>
  </si>
  <si>
    <t>10.1016/j.jvolgeores.2014.06.005</t>
  </si>
  <si>
    <t>https://www.scopus.com/inward/record.uri?eid=2-s2.0-84903838275&amp;doi=10.1016%2fj.jvolgeores.2014.06.005&amp;partnerID=40&amp;md5=0537c1a5decec2f1481c7d6b22781d72</t>
  </si>
  <si>
    <t>Although it has generally been accepted that the Martian outflow channels were carved by floods of water, observations of large channels on Venus and Mercury demonstrate that lava flows can cause substantial erosion. Recent observations of large lava flows within outflow channels on Mars have revived discussion of the hypothesis that the Martian channels are also produced by lava. An excellent example is found in south Kasei Valles (SKV), where the most recent major event was emplacement of a large lava flow. Calculations using high-resolution Digital Terrain Models (DTMs) demonstrate that this flow was locally turbulent, similar to a previously described flood lava flow in Athabasca Valles. The modeled peak local flux of approximately 106m3s-1 was approximately an order of magnitude lower than that in Athabasca, which may be due to distance from the vent. Fluxes close to 107m3s-1 are estimated in some reaches but these values are probably records of local surges caused by a dam-breach event within the flow. The SKV lava was locally erosive and likely caused significant (kilometer-scale) headwall retreat at several cataracts with tens to hundreds of meters of relief. However, in other places the net effect of the flow was unambiguously aggradational, and these are more representative of most of the flow. The larger outflow channels have lengths of thousands of kilometers and incision of a kilometer or more. Therefore, lava flows comparable to the SKV flow did not carve the major Martian outflow channels, although the SKV flow was among the largest and highest-flux lava flows known in the Solar System. © 2014.</t>
  </si>
  <si>
    <t>2-s2.0-84903838275"</t>
  </si>
  <si>
    <t>10.2112/SI70-011.1</t>
  </si>
  <si>
    <t>https://www.scopus.com/inward/record.uri?eid=2-s2.0-84934757607&amp;doi=10.2112%2fSI70-011.1&amp;partnerID=40&amp;md5=bc114abc2564187e11e62cd6898788fb</t>
  </si>
  <si>
    <t>A comparison of DTMs off a 2 km-long section of the southern Baltic Sea cliff coast at Wolin Island, composed of unconsolidated Pleistocene sediments with NW exposure and maximum height of 93 m, prepared on the basis of airborne laser scanning (ALS) data collected in 2008, 2009, 2011 and 2012 allowed the magnitude and spatial distribution of changes to be determined. Morphodynamic processes were spatially and temporally diverse. The time period 2008-2012 is dominated by erosion expressed by a negative sediment balance of -33,000 m3. The volume of eroded material was 49,080 m3, while the volume of accumulated material - 15,678 m3. The largest changes were observed in the upper parts of active cliff as a result of mass wasting triggered by loss of the slope stability due to erosion of the lower part of the slope. Significant erosion also occurred on the lower part of the cliff and on the beach. The accumulation is a consequence of material deposition on the beach and at the cliff base. Erosion could be correlated with the number of storm events and with water levels. The results confirm previous studies on the role of factors that regulate the magnitude of coastal erosion, the first being water level rise during the storm events as well as the influence of a series of storms. © Coastal Education &amp; Research Foundation 2014.</t>
  </si>
  <si>
    <t>2-s2.0-84934757607"</t>
  </si>
  <si>
    <t>10.3301/IJG.2013.19</t>
  </si>
  <si>
    <t>https://www.scopus.com/inward/record.uri?eid=2-s2.0-84894474946&amp;doi=10.3301%2fIJG.2013.19&amp;partnerID=40&amp;md5=bf274ff37516b537ecc5d85ba3ed08c1</t>
  </si>
  <si>
    <t>This study focuses on facies analysis and depositional architecture of the Arente shelf-type delta, located at the southernmost margin of the Pleistocene Crati Basin (northern Calabria, southern Italy). Tectonically-controlled Gilbert deltas are extensively discussed in the literature, whereas few works document shelf-type deltas and factors controlling sedimentation. This paper contributes to these issues, with a special focus on evaluating eustatic and tectonic control on depositional architecture also by considering the occurrence of coeval Gilbert-delta systems. The Arente delta complex represents part of the coarse-grained sediments presently exposed along the eastern margin of the Crati Basin. It was sourced from the rising Sila Massif to the E and shows an overall westerly progradation. Conventional sedimentological analysis allowed to distinguish seven different facies associations. Well-exposed sections, at the basin margin, generally show an overall upward transition, locally basinward, from mouth-bar conglomerates and sandstones, to deltafront sandstone, to offshore mudstones. Facies distribution and arrangement are interpreted as the record of a shoal-water fan delta. Depositional processes were clearly influenced by the high sediment input, with a dominance of hyperpycnal deposits. Based on the occurrence of a series of bounding surfaces indicating abrupt drowning stages, the Arente deltaic succession can be divided into 5 distinct transgressive-regressive sequences. The fining and the thinning upward trend of the whole succession and the stacked landward-stepping architecture of the transgressiveregressive sequences, i.e. the E-directed retrogradational behaviour of the Arente delta complex indicate that. Tectonic subsidence provided the accommodation space for the deposition of the delta complex, for the marked local backstepping of the system, and for the progressive drowning of bedrock. Highfrequency sea level fluctuations led to the repeated arrangement of the facies associations</t>
  </si>
  <si>
    <t>10.2478/quageo-2014-0008</t>
  </si>
  <si>
    <t>https://www.scopus.com/inward/record.uri?eid=2-s2.0-84898971814&amp;doi=10.2478%2fquageo-2014-0008&amp;partnerID=40&amp;md5=e213c5bf8470a8f83c1f2dc0585a9673</t>
  </si>
  <si>
    <t>The coastline of Indonesia, which borders almost 17,500 islands and the sea and extends for more than 80,000 km, is vulnerable to sea level rise. This paper aims to investigate the impact of sea level rise on coastal ecology in Indonesia focusing on coastal area of Jakarta, Pekalongan, Semarang and Demak in the northern part of Java Island. Geo-spatial data, i.e. satellite images and maps were used to monitor the environmental changes and primary data were obtained through field survey and observation on the specified area. In Jakarta, sea level rise has been predicted to bring great damages to infrastructure in coastal area. Multiple impacts of sea level rise towards mangrove, agriculture, and aquaculture ecosystem occurs in Pekalongan. Semarang coastal area also suffers from the widening spread of health problems as the coastal inundation increases. At the same time, Demak experiences major losses on mangrove and aquaculture ecosystem due to sea level rise.</t>
  </si>
  <si>
    <t>2-s2.0-84898971814"</t>
  </si>
  <si>
    <t>10.5194/adgeo-38-1-2014</t>
  </si>
  <si>
    <t>https://www.scopus.com/inward/record.uri?eid=2-s2.0-84892964361&amp;doi=10.5194%2fadgeo-38-1-2014&amp;partnerID=40&amp;md5=aceac826821061c38c8023d4ce712a44</t>
  </si>
  <si>
    <t>The risk of tsunami threatens the whole Caribbean coastline especially the Lesser Antilles. The first available models of tsunami propagation estimate that the travel time from the closest seismic sources would only take few minutes to impact the Martinique Island. Considering this threat, the most effective measure is a planned and organized evacuation of the coastal population. This requires an efficient regional warning system, estimation of the maximum expected tsunami flood height, preparation of the population to evacuate, and drawing up of local and regional emergency plans. In order to produce an efficient evacuation plan, we have to assess the number of people at risk, the potential evacuation routes, the safe areas and the available time to evacuate. However, this essential information is still lacking in the French West Indies emergency plans. This paper proposes a model of tsunami evacuation sites accessibility for Martinique directly addressed to decision makers. It is based on a population database at a local scale, the development of connected graphs of roads, the identification of potential safe areas and the velocity setting for pedestrians. Evacuation routes are calculated using the Dijkstra's algorithm which gives the shortest path between areas at risk and designated evacuation sites. The first results allow us to map the theoretical times and routes to keep the exposed population safe and to compare these results with a tsunami travel time scenario.</t>
  </si>
  <si>
    <t>2-s2.0-84892964361"</t>
  </si>
  <si>
    <t>10.2166/wst.2014.133</t>
  </si>
  <si>
    <t>https://www.scopus.com/inward/record.uri?eid=2-s2.0-84902338969&amp;doi=10.2166%2fwst.2014.133&amp;partnerID=40&amp;md5=9ddff8ab0f7a7575d2cfb5ee59df7a46</t>
  </si>
  <si>
    <t>As one of the most developed regions in China, the plain of East China is undergoing gradually increased flooding under the obvious urbanization process. This paper mainly analyses the trend of water level time series in the region during the past decades, and assesses the temporal and spatial variation of water level and indicators of hydrological alteration. The results show that there is a trend of increasing water level. Bigger slope and higher significant level can be observed in monthly minimum than in monthly maximum water level, in peri-urban than in urban areas. Meanwhile, it is observed that the mean monthly minimum and maximum water level increased in both urban and peri-urban regions, while decreased coefficients of variation (Cv) in urban and increased Cv in peri-urban regions were calculated. Most indicators of hydrologic alteration in urban stations are concentrated to the range of variability approach target, while most indicators are discrete in peri-urban stations. And the degree of hydrologic alteration is higher in peri-urban than in urban regions. © IWA Publishing 2014.</t>
  </si>
  <si>
    <t>2-s2.0-84902338969"</t>
  </si>
  <si>
    <t>Journal of Intercultural Communication</t>
  </si>
  <si>
    <t>https://www.scopus.com/inward/record.uri?eid=2-s2.0-85149194065&amp;partnerID=40&amp;md5=5065e8172d0a82969f45592aebc04235</t>
  </si>
  <si>
    <t>This research provides a cross-cultural look at communication's role in community disaster preparation and recovery. Cultures in three diverse sites were investigated: Individuals and community groups in Thailand's Phuket and Phangna provinces which experienced a tsunami in December 2004</t>
  </si>
  <si>
    <t>10.2112/JCOASTRES-D-13-00125.1</t>
  </si>
  <si>
    <t>https://www.scopus.com/inward/record.uri?eid=2-s2.0-84904703397&amp;doi=10.2112%2fJCOASTRES-D-13-00125.1&amp;partnerID=40&amp;md5=252163849548039f129709c14c5c9811</t>
  </si>
  <si>
    <t>Dunes act as flood defenses in coastal zones, protecting low-lying interior lands from flooding. To ensure coastal safety, insight is needed on how dunes develop under different types of management. The current study focuses on two types of coastal dune management: (1) a ""soft engineering"" approach, in which sand fences are placed on the seaward side of foredunes, and (2) ""dynamic coastal management</t>
  </si>
  <si>
    <t xml:space="preserve"> with minimal or no dune maintenance. The effects of these management styles on dune formation are examined for two adjacent coastal sections of the North Sea barrier island of Ameland, The Netherlands, where dynamic coastal management was introduced in 1995 and 1999, respectively. For each section, we analyzed cross-shore profile data from 1980 until 2010, deriving dune foot position, crest position, crest height, and foredune volume for each year and analyzing the situation before and after the change in management. We further assessed the effect of the management regime on dune vegetation. Other factors that could influence dune development were also taken into account, such as beach width and shape, water levels, wave heights, and nourishments. Results show that implementation of dynamic coastal management did not directly affect the volume of the foredune. Growth was occasionally interrupted, coinciding with high-water events. In periods between erosive storms, dune growth rates did not show a significant difference between management types (p = 0.09 and 0.32 for sections 1 and 2, respectively). The main effect of the change was on vegetation development. Dynamic coastal management, therefore, did not reduce coastal safety. © Coastal Education &amp; Research Foundation 2014.§Article§Scopus§2-s2.0-84904703397</t>
  </si>
  <si>
    <t>10.1007/s13157-014-0531-4</t>
  </si>
  <si>
    <t>https://www.scopus.com/inward/record.uri?eid=2-s2.0-84905915760&amp;doi=10.1007%2fs13157-014-0531-4&amp;partnerID=40&amp;md5=c1e955dc528114ef4421819e1615dbfc</t>
  </si>
  <si>
    <t>Tidally influenced wetlands along the Texas coast provide important habitat for wintering waterfowl and myriad other fish and wildlife species. Because habitat values may differ among marsh salinity zones (e.g., waterfowl food resources and use are greatest in fresh and intermediate marsh), the spatial distribution of marsh types is important for understanding the capacity of coastal landscapes to support waterfowl and other wildlife populations and informing coastal restoration priorities. Additionally, documenting spatial patterns of coastal marsh types is necessary for projecting future landscape change and examining impacts of environmental processes (e.g., tropical storms, sea level rise). We used a helicopter-based vegetation survey and remotely sensed imagery to delineate marsh types along the central Texas coast into four categories: fresh, intermediate, brackish, and saline. We recorded vegetation composition at 342 sample points and combined these data with Landsat Thematic Mapper imagery to perform a supervised classification of marsh types throughout our 122,995 ha survey area. Our initial coarse classification delineating coastal marsh from other habitat types was 92 % accurate. Intermediate, brackish, and saline marsh each comprised about 30 % of the coastal marsh in our study area. Freshwater marsh comprised &lt;1 % and may have been underrepresented within the coastal zone due to placement of the inland boundary of our study area. Our final classification of marsh types was 77.2 % accurate which will provide a framework for further delineation efforts. We offer several considerations for future coastal marsh delineation efforts along the Texas coast. © 2014 Society of Wetland Scientists.</t>
  </si>
  <si>
    <t>2-s2.0-84905915760"</t>
  </si>
  <si>
    <t>10.1016/j.envsoft.2013.10.020</t>
  </si>
  <si>
    <t>https://www.scopus.com/inward/record.uri?eid=2-s2.0-84887971756&amp;doi=10.1016%2fj.envsoft.2013.10.020&amp;partnerID=40&amp;md5=3a2af0d97d9f7fa72082f89ee2686cf2</t>
  </si>
  <si>
    <t>Better understanding of the vulnerability of coastal habitats to sea level rise and major storm events are aided by the use of simulation models. Since coastal habitats also undergo frequent nourishment restoration works in order to maintain their viability, vulnerability models must be able to assess the combined effects of sea level rise, storm surge, and beach nourishment. The Sea Level Affecting Marshes Model (SLAMM) was modified and applied to quantify the changes in the beach area in a 5-km stretch of beach in Santa Rosa Island, Florida due to these combined effects. A new methodology to estimate spatial erosion patterns was developed based on measured erosion during three historic storm events representing a wide range of storm intensities over the study area (named storms Ivan (H5), Dennis (H4), and Katrina (TS)). Future major storms over the 2012-2100 period were generated based on the frequency distribution of historic storms using 4000 simulations to account for uncertainty in the storms temporal distribution. Potential effects of individual, successive, and random storms occurring over the area under 0-1.5m nourishment schemes were evaluated. The risk of losing the beach habitat in 90 years for different scenarios is studied based on probability distribution contours constructed with the model results. Simulation results suggest that without nourishment, a major storm with a category of tropical storm or higher will reduce the beach at the end of the period by 97-100%. This loss can be reduced to 60% by maintaining a 1-m beach elevation and can further be reduced to 34% with 1.5m beach nourishment. © 2013 Elsevier Ltd.</t>
  </si>
  <si>
    <t>2-s2.0-84887971756"</t>
  </si>
  <si>
    <t>10.1038/nclimate2383</t>
  </si>
  <si>
    <t>https://www.scopus.com/inward/record.uri?eid=2-s2.0-84961287768&amp;doi=10.1038%2fnclimate2383&amp;partnerID=40&amp;md5=b94f5a5bb961a91d024ee9357155f2b9</t>
  </si>
  <si>
    <t>Local governments are not adapting to sea-level rise because it is difficult to build consensus on the need for change and the best way to implement it. In theory, adaptation pathways can resolve this impasse. Adaptation pathways are a sequence of linked strategies that are triggered by a change in environmental conditions, and in which initial decisions can have low regrets and preserve options for future generations. We report on a project that sought to empirically test the relevance and feasibility of a local pathway for adapting to sea-level rise. We find that triggers of change that have social impacts are salient to local people, and developing a local adaptation pathway helps build consensus among diverse constituencies. Our results show that adaptation pathways are feasible at the local scale, offering a low-risk, low-cost way to begin the long process of adaptation to sea-level rise. © 2014 Macmillan Publishers Limited. All rights reserved.</t>
  </si>
  <si>
    <t>2-s2.0-84961287768"</t>
  </si>
  <si>
    <t>10.1080/10106049.2013.868042</t>
  </si>
  <si>
    <t>https://www.scopus.com/inward/record.uri?eid=2-s2.0-84905746258&amp;doi=10.1080%2f10106049.2013.868042&amp;partnerID=40&amp;md5=98b26ba2a1fb456bd9a4c63012e0f5fd</t>
  </si>
  <si>
    <t>The evaluation of basin characteristics from the morphometric parameters helps in understanding the physical behaviour of the catchments with respect to floods. The advanced technologies, such as Remote sensing and Geographic Information System (GIS), were used for extraction of drainage networks using Cartosat Digital Elevation Model (DEM) for the Upper Krishna basin, to evaluate the morphometric analysis. Basin morphometric parameters were applied to assess the major influencing catchments which cause flooding in the main Krishna River. The morphometric analysis for the ten major potential flood prone river catchments of the basin reveals that, the river catchments such as Krishna, Koyna, Yerla having the greater tendency to peak discharge in a short period of time to the main Krishna River because of high relief ratio (Rh), high ruggedness number and less time of concentration (Tc). The Don catchment having the highest drainage density (Dd), stream frequency, mean bifurcation ratio and infiltration number causes greater runoff influence on the main Krishna River. The Dudhganga and Panchaganga catchments having highest form factor, medium Dd, texture ratio, Rh and time of concentration causes moderate runoff influence towards main Krishna River. The study indicates that systematic analysis of morphometric parameters derived from Cartosat DEM using GIS provide useful information about catchment characteristics with respect to floods management. © 2014 Taylor &amp; Francis.</t>
  </si>
  <si>
    <t>2-s2.0-84905746258"</t>
  </si>
  <si>
    <t>10.7306/gq.1162</t>
  </si>
  <si>
    <t>https://www.scopus.com/inward/record.uri?eid=2-s2.0-84903778742&amp;doi=10.7306%2fgq.1162&amp;partnerID=40&amp;md5=693a75744741e24eae88e2f196a39232</t>
  </si>
  <si>
    <t>Underground coal mining causes surface changes such as subsidence and land use transformations. The knowledge of the character of subsidence in both the past and present provides useful information, e.g. for spatial development. This paper presents a methodology of deter mining surface height changes based on cartographic modelling in geographic information system (GIS) for an old mining site. It has been applied in two test areas of a former coal basin in the Wałbrzych region (SW Poland) characterized by complex geological and mining conditions. Surface changes have been determined based on available topographic maps of this area for a period of 123 years (1886-2009) as the result of a set of interpolation and map algebra operations. The elevation values reach 52 and 63 m for areas A and B, respectively, and the maximum subsidence values determined in GIS are 24 m for study area A and 36 m for area B. The former are associated with mining waste dumps. These results have been compared with the results of predictions based on the empirical Knothe theory of subsidence calculations using spatial statistics parameters. It has been found that Knothe theory-based modelling produces lower subsidence values and more uniform subsidence surface than the applied method based on the actual elevation data. This may be due to either the values of coefficients of subsidence used in the Knothe modelling method or the complex and complicated mining conditions (numerous overlying and inclined coal layers) of the Wałbrzych Coal Basin. The calculated surface height changes for the analysed period are presented graphically and described. © 2014, Polish Geological Institute. All rights reserved.</t>
  </si>
  <si>
    <t>2-s2.0-84903778742"</t>
  </si>
  <si>
    <t>10.1130/G35238.1</t>
  </si>
  <si>
    <t>https://www.scopus.com/inward/record.uri?eid=2-s2.0-84937978683&amp;doi=10.1130%2fG35238.1&amp;partnerID=40&amp;md5=8fdb06d88e948e320244b6fbafbfa9cf</t>
  </si>
  <si>
    <t>The eastern Sahara Desert of Africa is one of the most climatically sensitive areas on Earth, varying from lake-studded savannah woodland to hyperarid desert over the course of a glacial-interglacial cycle. In currently semiarid Sudan there is widespread evidence that a very large freshwater lake once filled the White Nile River valley. Here we present the first quantitative estimate for the dimensions of the lake and a direct age for the emplacement of its shoreline. Using a profile dating approach with the cosmogenic nuclide 10Be, we estimate an exposure age of 109 ± 8 ka for this megalake, indicating that it probably formed during the last interglacial period. This age is supported by optically stimulated luminescence dating of Blue Nile paleochannels associated with the lake. Using a high-resolution digital elevation model, we estimate that the lake was more than 45,000 km2 in area, making it comparable to the largest freshwater lakes on Earth today. We attribute the lake's existence to seasonal flood pulses as a result of local damming of the White Nile by a more southern position of the Blue Nile and greatly increased precipitation associated with an enhanced monsoon. © 2014 Geological Society of America.</t>
  </si>
  <si>
    <t>2-s2.0-84937978683"</t>
  </si>
  <si>
    <t>10.1007/s11069-014-1171-y</t>
  </si>
  <si>
    <t>https://www.scopus.com/inward/record.uri?eid=2-s2.0-84905715222&amp;doi=10.1007%2fs11069-014-1171-y&amp;partnerID=40&amp;md5=0c3c8a2f55f353cb5e7ecf2f985d85d6</t>
  </si>
  <si>
    <t>The moment magnitude (M w) 9.0 Tohoku-Oki Earthquake occurred on March 11, 2011, generating an unusually large tsunami. The seismic shocks and tsunami inundation severely damaged the Fukushima Daiichi Nuclear Power Plant. Radionuclide emission due to reactor breakdown contaminated wide areas of Fukushima and its surroundings. Heavy rainfall causes runoff across surface soil, and fine soil particles are susceptible to uptake by the flowing water. The high radioactivity of grains suspended in floodwater indicates that radioactive fallout was streamed into rivers in particulate form and transported downstream under high-flow conditions. Here, we investigated the diachronic mode of 134Cs and 137Cs in central Fukushima, through which the contaminated air mass drifted and caused wet deposition of radionuclides. Stratigraphic measurements of radioactivity in sediment cores is the method employed in this study to determine the basin-wide movement of 134Cs and 137Cs, to evaluate the significance of the erosion-transportation-accumulation processes on natural decontamination in terrain characterized by steep slopes and high precipitation. Stratigraphic results illustrate the process of fluvial sediment discharge, and the massive deposition of radiocaesium suggests basin-wide movement of fallout during concentrated rainfall. Grain suspension in torrential currents is an important pathway for transportation of radionuclides from land to sea, and the appearance of hotspots on floodplains and the offshore sea floor is the consequence of erosion and transportation under seasonal heavy precipitation. Radioactive horizons occur in offshore sediment columns and thus radiocaesium discharged from the estuary will persist forever under the sea floor if no artificial disturbance occurs. © 2014 Springer Science+Business Media Dordrecht.</t>
  </si>
  <si>
    <t>2-s2.0-84905715222"</t>
  </si>
  <si>
    <t>10.1007/s11852-014-0307-2</t>
  </si>
  <si>
    <t>https://www.scopus.com/inward/record.uri?eid=2-s2.0-84901671231&amp;doi=10.1007%2fs11852-014-0307-2&amp;partnerID=40&amp;md5=e7fb210f3c95e62a8612c389281633c0</t>
  </si>
  <si>
    <t>Coastal dunes are increasingly at risk due to pressures deriving from global climate change, sea level rise, recreation and development. The consequences of the ""coastal squeeze"" in which dunes are placed, such as erosion and the loss of critical ecosystem services, are usually followed by expensive restoration and protection measures, many of which are unsuccessful. Due to the poor understanding and acknowledgement of the key attributes of coastal dunes in decision making processes, it is essential to provide scientific data on the impacts of human interference on coastal dunes so as to inform executives and guide them towards a sustainable management of the coastal zone. The aim of this study was to investigate the impact of five different levels of infrastructure development on the vegetation community structure of coastal dunes in Jeffreys Bay, South Africa. The effects of infrastructure development on dune vegetation were quantified by measuring the richness, diversity, cover, height and composition of plant species. With an increase in infrastructure development a significant decrease in dune width, average species richness and height of the plants occurred, accompanied by a shift in plant community composition. The foredunes that were backed immediately by infrastructure presented significantly greater species richness, diversity, cover and height compared with the foredunes abutted by primary dunes. This study demonstrated that coastal dunes are environments which are sensitive to varying levels of human impact. Informed and comprehensive management planning of these environments is therefore imperative for the restoration and maintenance of remnant dunes and for the conservation of undeveloped coastal dunes. © 2014 Springer Science+Business Media Dordrecht.</t>
  </si>
  <si>
    <t>2-s2.0-84901671231"</t>
  </si>
  <si>
    <t>10.1117/1.JRS.8.083581</t>
  </si>
  <si>
    <t>https://www.scopus.com/inward/record.uri?eid=2-s2.0-84905717645&amp;doi=10.1117%2f1.JRS.8.083581&amp;partnerID=40&amp;md5=0b46aafb5041e12f40cda99a1536d394</t>
  </si>
  <si>
    <t>Flood is one of the most devastating and frequent disasters. Information on spatiotemporal flood dynamics is essential for planners to devise successful strategies for flood monitoring and mitigation of its negative effects. This study aimed to develop an approach for weekly monitoring of floods with the moderate resolution imaging spectroradiometer (MODIS) data in the Mekong River Delta, South Vietnam, using the water fraction model (WFM). We processed the data for 2009 and 2010 through three main steps: (1) data preprocessing to construct a smooth time series of the difference in the values between land surface water index and enhanced vegetation index, (2) flood derivation using WFM, and (3) accuracy assessment. The results compared to the ground reference data indicated satisfactory results with the overall accuracies and Kappa coefficients of 81.1% and 0.62 for 2009 and 80.3% and 0.61 for 2010, respectively. These results were reaffirmed by a close correlation between the MODIS-derived flood area and that of the ground reference map at the provincial level, with the correlation coefficients (R2) of 0.88 for 2009 and 0.83 for 2010. The results also confirmed the earlier arrival and greater intensity of floods in 2009 compared to 2010. © 2014 SPIE.</t>
  </si>
  <si>
    <t>2-s2.0-84905717645"</t>
  </si>
  <si>
    <t>10.1080/01490419.2014.902886</t>
  </si>
  <si>
    <t>https://www.scopus.com/inward/record.uri?eid=2-s2.0-84901699404&amp;doi=10.1080%2f01490419.2014.902886&amp;partnerID=40&amp;md5=115ac8bb39651161fa49cccb5a5d85a1</t>
  </si>
  <si>
    <t>Assessing the vulnerability to storm surges requires amongst other things to identify the degree of coastal exposure to active waves. This paper proposes an integrated analytical approach that involves: 1) the degree of coastal exposure to different wave directions of incidence, 2) the extent of human structures at risk, and 3) the maximum wave height determination for each identified direction based on local wave climate analysis. It contributes to the development of a method for assessing vulnerability of existing built coastal assets to storm surge damages. Results provide a diagnostic of constructions' vulnerability, which is essential for adaptation and mitigation planning. This approach was applied to beaches of Santa Catarina Island on the Brazilian southern coast. The northeast wave direction endangers most of the area due to the existing occupation pattern close to the sea toward that quadrant. Extreme events are more frequently associated with south and southeast wave directions. Integrating all variables, northeast wave direction was confirmed as the most dangerous in the area, followed by southern, eastern and southeastern directions, respectively. These results differ from usual estimations that tend to consider the most frequent wave directions and higher intensities, without considering the potentially affected developed surfaces. © 2014 © Taylor &amp; Francis Group, LLC.</t>
  </si>
  <si>
    <t>2-s2.0-84901699404"</t>
  </si>
  <si>
    <t>Advanced Studies in Theoretical Physics</t>
  </si>
  <si>
    <t>10.12988/astp.2014.49121</t>
  </si>
  <si>
    <t>https://www.scopus.com/inward/record.uri?eid=2-s2.0-84908156498&amp;doi=10.12988%2fastp.2014.49121&amp;partnerID=40&amp;md5=9ce252a7e6a1242cefbc6fcc4195f5e7</t>
  </si>
  <si>
    <t>The river is a multi-resource functions that are vital to human life. The main functions of the river is a source of drinking water, power generation, irrigation fields / farms and aquaculture, transport, supply of building materials, tourism and so forth. In fact the condition of the river, discharge and water quality is even more alarming, as these resources are non-renewable. This research will be discussed further on physical variables such as changes in velocity, density, momentum and drag force, the social impact, attitudes and behavior are good in order to flood hazard mitigation and control, and the relationship between attitudes and behavior in order to mitigate hazard and flood control. Physical variable modeling analysis results showed that the increasing flood flooding the maximum velocity of the river flow will be shifted toward the surface, so with the momentum, but the density of the river water is almost evenly on all levels of the river water, but the drag force will be larger, because the drag force depends on the velocity of the river flow. © 2014 Marthen Kumajas. All Rights Reserved.</t>
  </si>
  <si>
    <t>2-s2.0-84908156498"</t>
  </si>
  <si>
    <t>10.1007/s10712-013-9277-4</t>
  </si>
  <si>
    <t>https://www.scopus.com/inward/record.uri?eid=2-s2.0-84903902949&amp;doi=10.1007%2fs10712-013-9277-4&amp;partnerID=40&amp;md5=d58938a50bd4c48592cc4e880acca045</t>
  </si>
  <si>
    <t>Assessment of the risk arising from near-surface natural hazard is a crucial step in safeguarding the security of the roads in karst areas. It helps authorities and other related parties to apply suitable procedures for ground treatment, mitigate potential natural hazards and minimize human and economic losses. Karstic terrains in the Salento Peninsula (Apulia region-South Italy) is a major challenge to engineering constructions and roads due to extensive occurrence of cavities and/or sinkholes that cause ground subsidence and both roads and building collapse. Cavities are air/sediment-filled underground voids, commonly developed in calcarenite sedimentary rocks by the infiltration of rainwater into the ground, opening up, over a long period of time, holes and tunnels. Mitigation of natural hazards can best be achieved through careful geoscientific studies. Traditionally, engineers use destructive probing techniques for the detection of cavities across regular grids or random distances. Such probing is insufficient on its own to provide confidence that cavities will not be encountered. Frequency of probing and depth of investigation may become more expensive. Besides, probing is intrusive, non-continuous, slow, expensive and cannot provide a complete lateral picture of the subsurface geology. Near-surface cavities usually can be easily detected by surface geophysical methods. Traditional and recently developed measuring techniques in seismic, geoelectrics and georadar are suitable for economical investigation of hazardous, potentially collapsing cavities. The presented research focused on an integrated geophysical survey that was carried out in a near-coast road located at Porto Cesareo, a small village a few kilometers south west of Lecce (south Italy). The roads in this area are intensively affected by dangerous surface cracks that cause structural instability. The survey aimed to image the shallow subsurface structures, including karstic features, and evaluate their extent, as they may cause rock instability and lead to cracking of the road. Seismic refraction tomography and ground-penetrating radar surveys were carried out along several parallel traverses extending about 100 m on the cracked road. The acquired data were processed and interpreted integrally to elucidate the shallow structural setting of the site. Integrated interpretation led to the delineation of hazard zones rich with karstic features in the area. Most of these karstic features are associated with vertical and subvertical linear features and cavities. These features are the main reason of the rock instability that resulted in potentially dangerous cracking of road. © 2014 Springer Science+Business Media Dordrecht.</t>
  </si>
  <si>
    <t>2-s2.0-84903902949"</t>
  </si>
  <si>
    <t>10.5194/adgeo-35-157-2014</t>
  </si>
  <si>
    <t>https://www.scopus.com/inward/record.uri?eid=2-s2.0-84892153815&amp;doi=10.5194%2fadgeo-35-157-2014&amp;partnerID=40&amp;md5=630c0dccba9c094a6dcfbffc385605b6</t>
  </si>
  <si>
    <t>The Central America region hosts a valuable amount of World Heritage Sites (WHS), many of them located in areas of floods, landslides, drought, high winds, intense precipitations, and earthquakes. The effective management of WHS requires the understanding of this type of environmental phenomena and their potential impacts on these sites. The objective of this work is twofold. To make an analysis of some of the atmospheric systems (easterly waves, cold fronts and tropical cyclones [TCs]) hitting Central America, to estimate their effects on socio-economic activities and potential impacts on WHS during the period 2002-2012. The second objective is to identify, for a case study, the potential effects of hydro-meteorological events associated with a tropical storm on the Diquis Delta region in southern Costa Rica. This site, an important unique archeological site of stone spheres, has been proposed by this country as a WHS. To achieve both, public data bases like HURDAT (North Atlantic Hurricane Database), and information from regional newspapers and National Emergency Committees, among other sources, were used for the study of socio-economic impacts caused by these natural hazards. To accomplish the latter, course resolution NCEP/NCAR (National Center for Environmental Prediction/National Center for Atmospheric Research) Reanalysis atmospheric data served to initialize version 5 of a numerical atmospheric mesoscale model (MM5). This approach permitted to obtain higher resolution gridded data for a set of atmospheric variables for a case study associated with the formation of tropical storm Alma upon the Pacific basin. The MM5 resulted winds and precipitation, among other variables, were then used to evaluate potential impacts on the WHS region. Among the systems analyzed for Central America, TCs were the ones that most severely impacted regional social life and worsened the already weak regional economies. During the period analyzed, TCs affected regions where WHS are very relevant to cultural life and touristic income. The MM5 derived data shows its potential for providing detailed space-time atmospheric data to help quantify and anticipate impacts for WHS protection and management. The overall results are expected to bring the attention of organizations and governments about the importance of socio-economic and cultural losses associated with the impacts caused by natural hazards near WHS in the region. © 2014 Author(s).</t>
  </si>
  <si>
    <t>2-s2.0-84892153815"</t>
  </si>
  <si>
    <t>10.1007/s13412-014-0169-9</t>
  </si>
  <si>
    <t>https://www.scopus.com/inward/record.uri?eid=2-s2.0-84977073699&amp;doi=10.1007%2fs13412-014-0169-9&amp;partnerID=40&amp;md5=2faf04863513cafa2696d981d40ad94c</t>
  </si>
  <si>
    <t>The acceleration of sea level rise (SLR) has become a threat to the stability of nation-states worldwide and associated with risks to environmental sustainability, economic infrastructure, and public health. However, from both an international and U.S. perspective, there is a lack of research examining legislative decision makers' perceptions about policies regarding SLR. This study addresses that gap by examining how politics and proximity affects Virginia state legislators' perceptions of the saliency of SLR. A survey of these legislators reveals their perceptions of credible sources of information, SLR-related risk, and who should take the lead to address SLR. While this study confirms other research about the effects of political party, it finds that proximity to coastal areas also greatly influences the perceived saliency of SLR. The findings from this research project enhance our understanding of the challenges inherent in addressing SLR at the state level. Finally, this study points to implications for agenda setting and suggests areas of further study regarding SLR policy at the state and local government levels. © 2014 AESS.</t>
  </si>
  <si>
    <t>2-s2.0-84977073699"</t>
  </si>
  <si>
    <t>10.1109/JSTARS.2014.2328012</t>
  </si>
  <si>
    <t>https://www.scopus.com/inward/record.uri?eid=2-s2.0-84906949109&amp;doi=10.1109%2fJSTARS.2014.2328012&amp;partnerID=40&amp;md5=9a05f8c027c3401f2e49d4c54a09a33d</t>
  </si>
  <si>
    <t>Flood damage assessment needs not only the estimation of the flood extent but also the information on the drainage of the floodplain and the dynamics of variables as water depth and velocity. These data might be gathered by exploiting numerical models of water propagation in floodplains, which enable to build flood scenarios in real time if reliable digital elevation models are available. However, a strong limitation for the application of numerical models could be the lack of information regarding the actual flood extent and the dynamics of flooding and receding phases as well as the locations, where water overflowed and the related flood volumes. Inundation extent can be estimated through synthetic aperture radar (SAR) data and, by exploiting the short revisit time of the images provided by the COSMO-SkyMed (CSK) constellation of four satellites, it is possible to monitor also the dynamics of the flood extent. Hence, it comes out the need of a combined use of multitemporal SAR data and numerical models for the purpose of a reliable flood damage assessment. This paper presents the major outcomes of a combined use of a multitemporal series of CSK observations and a hydrodynamic model aiming at the evaluation of damage scenarios for the flood that hit Albania in January 2010. It is shown that by adjusting the outputs of the model to match the flood extent observed by SAR, the hydrodynamic inconsistencies in CSK estimates can be corrected and a reliable assessment of water depth and water velocities can be accomplished. © 2014 IEEE.</t>
  </si>
  <si>
    <t>2-s2.0-84906949109"</t>
  </si>
  <si>
    <t>10.1007/s10584-014-1135-y</t>
  </si>
  <si>
    <t>https://www.scopus.com/inward/record.uri?eid=2-s2.0-84902295631&amp;doi=10.1007%2fs10584-014-1135-y&amp;partnerID=40&amp;md5=2ff14eba4993acd1463c2648bbff1717</t>
  </si>
  <si>
    <t>There is an on-going debate about climate-induced migration but little empirical evidence. We examine how climate-induced migration has impacted vulnerability and adaptation of a coastal fishing community in Bangladesh. We used household surveys, interviews and focus group discussions to compare fishery dependent households who migrated from Kutubdia Island to mainland with those who stayed behind. Our results suggest that the resettled households are less exposed to floods, sea-level-rise and land erosion than those who stayed behind. They also have more livelihood assets, higher incomes and better access to water supply, health and educational services, technology and markets. In our case study migration has thus been a viable strategy to respond to climate variability and change. © 2014 Springer Science+Business Media Dordrecht.</t>
  </si>
  <si>
    <t>2-s2.0-84902295631"</t>
  </si>
  <si>
    <t>10.1175/JAMC-D-13-0202.1</t>
  </si>
  <si>
    <t>https://www.scopus.com/inward/record.uri?eid=2-s2.0-84901481319&amp;doi=10.1175%2fJAMC-D-13-0202.1&amp;partnerID=40&amp;md5=48864ad504e630266cb308a7da0ac657</t>
  </si>
  <si>
    <t>Numerical weather prediction is moving toward the representation of finescale processes such as the interactions between the sea-breeze flow and urban processes. This study investigates the ability and necessity of using kilometer-to subkilometer-scale numerical simulations with the Canadian urban modeling system over the complex urban coastal area of Vancouver, British Columbia, Canada, during a sea-breeze event. Observations over the densely urbanized areas, collected from the Environmental Prediction in Canadian Cities (EPiCC) network and from satellite imagery, are used to evaluate several aspects of the urban boundary layer features simulated in three model configurations with different grid spacings (2.5 km, 1 km, and 250 m). In agreement with the observations, results from the numerical experiments with 1-km and 250-m grid spacings suggest that two sea-breeze flows converge over the residential areas of Vancouver. The resulting convergence line oscillates around the hill ridge, depending on thermal contrast and flow strength. This propagation mode impacts the growing urban boundary layer, with the presence of subsidence and entrainment events.Urban-induced circulation is superimposed with the sea-breeze circulation and realistically slows down the propagation of the sea-breeze front to the south.Aclear improvement is obtained for numerical experiments with 1-km instead of 2.5-km grid spacing. The use of subkilometer grid spacing provides a more detailed representation of the surface thermal forcing and of local circulations, with resultsmore sensitive to the airflow variability and, thus, to the location ofmeasurement sites. Joint analyses of kilometer-and subkilometerscale numerical experiments are thus recommended for different environmental applications.</t>
  </si>
  <si>
    <t>2-s2.0-84901481319"</t>
  </si>
  <si>
    <t>10.1680/wama.12.00106</t>
  </si>
  <si>
    <t>https://www.scopus.com/inward/record.uri?eid=2-s2.0-84901753807&amp;doi=10.1680%2fwama.12.00106&amp;partnerID=40&amp;md5=b7395fecacc12c07bf48d2fda324b882</t>
  </si>
  <si>
    <t>Risk analysis of areas protected by flood defence systems involves probabilistic analysis of a large number of scenarios in which one or more of the defence sections that make up the system has failed. In systems with large numbers of defence sections, the computational expense of this calculation can be prohibitive. When the probability of failure of each defence section is not negligibly small, sampling approaches that are now in widespread use may not converge on a stable risk estimate in reasonable computational time. To overcome this worrying limitation, this paper reformulates the flood risk calculation in terms of the cumulative distribution function of the volume of floodwater entering a floodplain. An algorithm is presented whose computational expense scales linearly with the number of sections in the flood defence system. The approach is applied to flood risk analysis in areas protected by extensive systems of flood defences in the Thames estuary, revealing how flood risk varies depending on the characteristics of the flood defence system and floodplain topography. It opens up the possibility of more exhaustive risk-based appraisal and uncertainty analysis of flood risk management options than have hitherto been feasible.</t>
  </si>
  <si>
    <t>2-s2.0-84901753807"</t>
  </si>
  <si>
    <t>Boletin de la Asociacion de Geografos Espanoles</t>
  </si>
  <si>
    <t>10.21138/bage.1743</t>
  </si>
  <si>
    <t>https://www.scopus.com/inward/record.uri?eid=2-s2.0-84905860578&amp;doi=10.21138%2fbage.1743&amp;partnerID=40&amp;md5=6dddceea5c9a2d74dc734eab80bf2c1e</t>
  </si>
  <si>
    <t>The aim of this work is to evaluate the significance of both the methodology and the period chosen for the calculation of the local mean sea level. Two methodologies and different periods of a time series of the tide gauge located in Cádiz, are evaluated. Each one of the resulting values are referred to the topographic datum, and projected over a DEM (obtained from Lidar data), adding a 1,17 coefficient high tide in order to maximize the spatial extension of the inundation. The obtained results show significant differences between the calculated mean sea levels. They remark the importance of considering appropriate parameters in the calculation of mean sea levels for estimating inundations.</t>
  </si>
  <si>
    <t>2-s2.0-84905860578"</t>
  </si>
  <si>
    <t>10.1007/s11852-014-0331-2</t>
  </si>
  <si>
    <t>https://www.scopus.com/inward/record.uri?eid=2-s2.0-84905747355&amp;doi=10.1007%2fs11852-014-0331-2&amp;partnerID=40&amp;md5=5fccb5908abcf173b577cca4eba07587</t>
  </si>
  <si>
    <t>The spatial distribution of mangroves in the Mngazana Estuary under sea level rise induced by climate change, together with different substrate elevation change scenarios was predicted for 2020, 2050 and 2100. The present inundation frequency tolerance range was from 0.8 to 31.2 %, equivalent to substrate elevation thresholds of 1.1 and 1.7 m amsl. These thresholds were measured by field surveys and analysis of a gauge station situated near the mouth of the estuary. The predictions were based on the assumption that the inundation frequency tolerance range of mangrove stands remains constant in the future. Through the use of a digital elevation model an initial increase of 2.10 ha year-1 was found in mangrove area between present and 2020 (from 122.6 to 143.6 ha). This was due to habitat becoming available that is currently too compacted for seedling establishment to occur. This compaction resulted from human and cattle traffic for grazing. Thereafter there would be a mean loss of 0.66 ha year-1 from 2020 through 2100. Landward migration of mangroves would not take place due to the elevation limit of adjacent non-mangrove areas. In addition, the loss rate would increase to 1.01 ha year-1 under insufficient sediment accretion, but would decrease to 0.18 ha year-1 under thriving mangroves condition. The analysis of sea storm event in September 2008 showed that local water level increased by 28 cm and maximum affected area was 87.0 ha (about 71 % of mangrove stands). The inundation continued over 5 days. The results indicated that the combination impact of sea level rise, substrate elevation change and sea storm would possibly be a threat to tropical African estuaries with large flat intertidal areas and mangroves. © 2014 Springer Science+Business Media Dordrecht.</t>
  </si>
  <si>
    <t>2-s2.0-84905747355"</t>
  </si>
  <si>
    <t>10.1016/j.jtrangeo.2014.08.016</t>
  </si>
  <si>
    <t>https://www.scopus.com/inward/record.uri?eid=2-s2.0-84907821253&amp;doi=10.1016%2fj.jtrangeo.2014.08.016&amp;partnerID=40&amp;md5=591b6a389f5ec410e8a0b19c7975f734</t>
  </si>
  <si>
    <t>Increased attention has been paid to travel behaviour in circumstances of extreme weather conditions that are expected with climate change, and the analyses usually address intra-city travel. There is lack of assessments on inter-city travel which has less redundancy and is more exposed to extreme weather threats. In addition, much of the research has been carried out in developed countries. This paper provides new perspectives by investigating how people adapt their inter-city travel behaviour to flooding impacts in Bangladesh. With an orthogonal design of three flooding scenarios, questionnaire data were collected in 14 coastal and inland areas. Results of the statistical analyses identify the significant impacts of flooding on people's inter-city travel and reveal significant differences in attitudes and responses to flooding and extreme weather in coastal compared to inland locations. The main factors significantly affecting travel behaviour choice are road disruption, isolation by flood water, and flood frequency. These factors are felt differently in coastal and inland locations. The most common responses are cancelling trips or changing destinations. It is recommended that when making flooding adaptation decisions, it is important to protect road infrastructure and guarantee accessible routes in coastal areas, while offering more flood adaptation education to the inland people. © 2014 Elsevier Ltd.</t>
  </si>
  <si>
    <t>2-s2.0-84907821253"</t>
  </si>
  <si>
    <t>10.1016/j.earscirev.2014.05.011</t>
  </si>
  <si>
    <t>https://www.scopus.com/inward/record.uri?eid=2-s2.0-84902343103&amp;doi=10.1016%2fj.earscirev.2014.05.011&amp;partnerID=40&amp;md5=d12af7d8d9fb7bc1d14f462b97bbbed2</t>
  </si>
  <si>
    <t>There has been significant progress in describing and understanding global-mean sea-level rise, but the regional departures from this global-mean rise are more poorly described and understood. Here, we present a comprehensive analysis of Australian sea-level data from the 1880s to the present, including an assessment of satellite-altimeter data since 1993. Sea levels around the Australian coast are well sampled from 1966 to the present. The first Empirical Orthogonal Function (EOF) of data from 16 sites around the coast explains 69% of the variance, and is closely related to the El Niño Southern Oscillation (ENSO), with the strongest influence on the northern and western coasts. Removing the variability in this EOF correlated with the Southern Oscillation Index reduces the differences in the trends between locations. After the influence of ENSO is removed and allowing for the impact of Glacial Isostatic Adjustment (GIA) and atmospheric pressure effects, Australian mean sea-level trends are close to global-mean trends from 1966 to 2010, including an increase in the rate of rise in the early 1990s. Since 1993, there is good agreement between trends calculated from tide-gauge records and altimetry data, with some notable exceptions, some of which are related to localised vertical-land motions. For the periods 1966 to 2009 and 1993 to 2009, the average trends of relative sea level around the coastline are 1.4±0.3mmyr-1 and 4.5±1.3mmyr-1, which become 1.6±0.2mmyr-1 and 2.7±0.6mmyr-1 after removal of the signal correlated with ENSO. After further correcting for GIA and changes in atmospheric pressure, the corresponding trends are 2.1±0.2mmyr-1 and 3.1±0.6mmyr-1, comparable with the global-average rise over the same periods of 2.0±0.3mmyr-1 (from tide gauges) and 3.4±0.4mmyr-1 (from satellite altimeters). Given that past changes in Australian sea level are similar to global-mean changes over the last 45years, it is likely that future changes over the 21st century will be consistent with global changes. A generalised additive model of Australia's two longest records (Fremantle and Sydney) reveals the presence of both linear and non-linear long-term sea-level trends, with both records showing larger rates of rise between 1920 and 1950, relatively stable mean sea levels between 1960 and 1990 and an increased rate of rise from the early 1990s. © 2014.</t>
  </si>
  <si>
    <t>2-s2.0-84902343103"</t>
  </si>
  <si>
    <t>10.1016/j.geoforum.2014.07.010</t>
  </si>
  <si>
    <t>https://www.scopus.com/inward/record.uri?eid=2-s2.0-84907278905&amp;doi=10.1016%2fj.geoforum.2014.07.010&amp;partnerID=40&amp;md5=7632625277778875042d7dd47f2a7bee</t>
  </si>
  <si>
    <t>Adjustment to predicted environmental change in a place requires people in that place to consider short- and long-term futures there. These futures are imagined with reference to pasts and presents, remembered and lived. This paper presents the stories-relating possible futures to pasts and presents-of residents in tiny, low-lying coastal communities in Gippsland East, Australia, as they make sense of the uncertain futures they may face. It identifies four time stories, about generational continuity, the temporariness of inundation, endurance and acceptance in older age, and the impermanence of infrastructure. It sets these alongside the time-based practices inherent in existing adaptation policies, which do not satisfy the demands for adaptation arising from residents' time stories. We suggest that understanding local residents' time stories can contribute to a better synchronisation in the timing of local adaptation policies. © 2014 Elsevier Ltd.</t>
  </si>
  <si>
    <t>2-s2.0-84907278905"</t>
  </si>
  <si>
    <t>SpringerPlus</t>
  </si>
  <si>
    <t>10.1186/2193-1801-3-466</t>
  </si>
  <si>
    <t>https://www.scopus.com/inward/record.uri?eid=2-s2.0-84920110801&amp;doi=10.1186%2f2193-1801-3-466&amp;partnerID=40&amp;md5=fe259d3d72d503a48cfea7e38f8e39ef</t>
  </si>
  <si>
    <t>The predicted sea-level rise and changes in storm surge regimes are expected to lead to an increasing risk of flooding in coastal regions. Accommodation can be an alternative to protection in many areas, with household-level adaptation potentially constituting an important element of such a strategy, as it can significantly reduce costs. To date, a systematic typology of household-level adaptation to coastal flooding does not exist. In order to bridge this gap, we conducted a series of quantitative surveys in different coastal areas in Denmark, Germany and Argentina. We applied a cluster analysis in order to categorise the adaptive behaviour of coastal households. Coastal households were found to cluster in four groups that we term: the comprehensives, the theoreticians, the minimalists and the structurals. With the exception of households focusing on the implementation of high-effort structural measures, our results show the affiliation to these groups to follow a specific temporal sequence. At the same time, large differences in category affiliation exist between the study areas. Risk communication tools can utilise our typology to selectively target specific types of households or to ensure that the information needs of all groups are addressed. © 2014, Koerth et al.</t>
  </si>
  <si>
    <t>10.1002/2014EO340002</t>
  </si>
  <si>
    <t>https://www.scopus.com/inward/record.uri?eid=2-s2.0-84929169363&amp;doi=10.1002%2f2014EO340002&amp;partnerID=40&amp;md5=7aea205024ec83ba96115eb00cccb251</t>
  </si>
  <si>
    <t>Coastal areas such as bays and estuaries host 30%-50% of the global human population and shipping ports that handle 80% of world trade. These areas are increasingly vulnerable to chemical and biological contamination and to storm surge in the short term and to sea level rise in the long term. © 2014 American Geophysical Union.</t>
  </si>
  <si>
    <t>2-s2.0-84929169363"</t>
  </si>
  <si>
    <t>10.1016/j.jhydrol.2013.11.002</t>
  </si>
  <si>
    <t>https://www.scopus.com/inward/record.uri?eid=2-s2.0-84888424886&amp;doi=10.1016%2fj.jhydrol.2013.11.002&amp;partnerID=40&amp;md5=6cf698d0ae71d8b188b4020c1b025093</t>
  </si>
  <si>
    <t>Freshwater lenses on small islands are some of the most vulnerable aquifer systems in the world. However, there is currently little guidance on methods for rapidly assessing the vulnerability of freshwater lenses to the potential effects of climate change. We address this gap using a simple steady-state analytic modelling approach to develop seawater intrusion (SWI) vulnerability indicator equations, which quantify the propensity for SWI to occur in strip islands due to recharge change and sea-level rise (SLR) (incorporating the effect of land surface inundation (LSI)). The following inferences about SWI vulnerability in freshwater lenses can be made from the analysis: (1) SWI vulnerability indicators for SLR (under flux-controlled conditions) are proportional to lens thickness (or volume) and the rate of LSI and inversely proportional to island width</t>
  </si>
  <si>
    <t>10.1007/s11368-014-0914-4</t>
  </si>
  <si>
    <t>https://www.scopus.com/inward/record.uri?eid=2-s2.0-84904385874&amp;doi=10.1007%2fs11368-014-0914-4&amp;partnerID=40&amp;md5=0cdeed701ae452fbc8bfb39898d63158</t>
  </si>
  <si>
    <t>Purpose: We analysed the status of current water and sediment management practices in six deltas and estuaries, which were part of the European DELTANET, INTERREG-funded network. Materials and methods: These systems-the Danube, Ebro and Vistula deltas and the Elbe, Minho and Severn estuaries-represent different geographic regions of Europe. This enables comparison between the sites' approaches to common coastal issues, notably those associated with sediment budgets, contamination and flood risk. Based on documentary analysis, workshop events and expert discussion, we employ a simple classification scheme to distinguish between levels of risk from these aspects. Results: We suggest that flood risk is the most significant risk, followed by upstream sediment retention and sediment aggradation. Chemical contamination, though less severe, is not unimportant. Key management issues include a lack of environmental quality standards for sediment and suspended particulate matter, as well as the limited deployment of monitoring programmes, regular sediment sampling and associated chemical analyses. Conclusions: These include both general and specific recommendations. Within these, the limited scope of integrated plans that aim for sustainability of the respective systems is highlighted. It is suggested that these do not challenge traditional, classical engineering approaches sufficiently. Nor do they address the origin of many environmental problems, especially those which are closely linked to short-term political and economic priorities. © 2014 Springer-Verlag Berlin Heidelberg.</t>
  </si>
  <si>
    <t>2-s2.0-84904385874"</t>
  </si>
  <si>
    <t>10.1007/s00343-014-3244-x</t>
  </si>
  <si>
    <t>https://www.scopus.com/inward/record.uri?eid=2-s2.0-84904172426&amp;doi=10.1007%2fs00343-014-3244-x&amp;partnerID=40&amp;md5=46fc1df3b85354619e28140f1a771f9c</t>
  </si>
  <si>
    <t>This paper presents a paleoflood study to determine the flood frequency of the Changjiang River, based on core cj0702, taken from the Changjiang River subaqueous delta. We identified flood deposits by means of high-resolution grain-size variation, sensitive population, geochemical indexes and magnetic susceptibility. The core covers a time span of 120 years by 210Pb dating and was sampled at 1-2 cm intervals. Grain size, geochemical elements, and physical parameters were analyzed. The results indicate that the sediment of the core is mainly composed of silt and clay, as well as groups of interbedded silt, clay silt, and clay. Vertically, the grain size pattern was controlled by seasonal variations in water discharge and by the sediment input in winter from the abandoned Huanghe River delta. River flooding caused extreme values in all our measured parameters. We identified more than 20 flood events that occurred since 1887 using the physical parameter analysis method. The environmentally sensitive component of sediment grain size (14.32-96.39 μm) contribution&gt;30%, Zr/Rb ratio&gt;1.5, and magnetic susceptibility&gt;16 were selected as the criteria for flood identification generally. We also found that floods that had taken place in the upstream, midstream, or downstream parts of the river were clearly identified by these indexes while the large-scale floods that covered the whole drainage area did not leave clear indications in the sediment record. This study for identification of flood events is of great significance for understanding hyperpycnal current sedimentation as well as for forecasting of floods. © 2014 Chinese Society for Oceanology and Limnology, Science Press and Springer-Verlag Berlin Heidelberg.</t>
  </si>
  <si>
    <t>2-s2.0-84904172426"</t>
  </si>
  <si>
    <t>10.1590/1809-4422ASOC1149V1742014</t>
  </si>
  <si>
    <t>https://www.scopus.com/inward/record.uri?eid=2-s2.0-84923640817&amp;doi=10.1590%2f1809-4422ASOC1149V1742014&amp;partnerID=40&amp;md5=8eb8f0be1675ff8617975f97de3a3050</t>
  </si>
  <si>
    <t>The coastal zones are potential areas of environmental risks, particularly in the context of extreme climate events. Moreover there is a significant portion of the population living in coastal zones, emphasizing the importance of characterizing situations of risk and vulnerability in these regions. A spatial and contextual analysis was elaborated in Northern coast of São Paulo (Water Resources Management Unit - UGRHI-3) and sub-basins, indicating the distribution of geotechnical risks associated with: landslides in potential areas to occupation (12.3%), flooding (1.8%) and land subsidence (13.5%). At least ten years was found situations under high social vulnerability in areas of high or very high susceptibility of geotechnical risks, besides the socio-spatial segregation of people at risk. Finally, although incipient, this work indicates a positive perspective for disaster risk reduction with the implementation of public policy based on integration territorial management instruments.</t>
  </si>
  <si>
    <t>2-s2.0-84923640817"</t>
  </si>
  <si>
    <t>https://www.scopus.com/inward/record.uri?eid=2-s2.0-84920878074&amp;partnerID=40&amp;md5=be788d690d7174c0046ff9d95ac704d9</t>
  </si>
  <si>
    <t>The Southern Islands comprises an urban planning area in the Central Region of Singapore and is made up of the islands of Kusu, Lazarus, Seringat, Tekukor, St. John, Sentosa and the Sister Islands. The islands had largely been expanded by land reclamation in the 1970s to create recreational space, beaches and swimming of lagoons. The new coastlines are armoured by large quarry stones. Other than Sentosa, the rest of the islands are as yet undeveloped and remain as weekend destinations. As part of the Singapore Tourism Board’s plan to develop the Southern Islands beyond Sentosa, a second phase of land reclamation was started in 2000 to link Seringat, Lazarus and St John. Recent suggestions include turning Lazarus Island into a getaway for the super-rich or housing a casino. The small Kusu is an important pilgrimage island for both the Chinese and Malays and will probably remain so in future. However, whatever development or non-development is planned for Lazarus or Kusu, the impacts of a future rising sea must be addressed regarding the sustainability of the two islands. Reclamation that took place in the 1970s as in Kusu was before concern about global warming. Consequently, the crest of sea walls and platform levels of reclaimed land are low and vulnerable to wave overtopping and inundation during extreme high tides. The newly-reclaimed Lazarus Island with higher platforms and sea walls tells a different story. Inundation analyses using Geographic Information System for different time frames carried out under A2 emission scenario for Lazarus and Kusu suggest that although the two islands tell different tales, nevertheless extra care must be taken in developing or sustaining both islands to avoidfuture problems. © 2014 Geoinformatics International.</t>
  </si>
  <si>
    <t>2-s2.0-84920878074"</t>
  </si>
  <si>
    <t>10.1175/JPO-D-13-0212.1</t>
  </si>
  <si>
    <t>https://www.scopus.com/inward/record.uri?eid=2-s2.0-84910069156&amp;doi=10.1175%2fJPO-D-13-0212.1&amp;partnerID=40&amp;md5=d7103fd13d44f66a3d54e7835027dee1</t>
  </si>
  <si>
    <t>The dynamics associated with lateral circulation in a tidally driven estuarine channel is analyzed on the basis of streamwise vorticity. Without rotational effects, differential advection and diffusive boundary mixing produce two counterrotating vortices (in the cross-channel section) whose strength and sense of circulation may change during a tidal cycle. The streamwise vorticity equation is determined by a balance between baroclinic forcing and turbulent diffusion, which explains the flood-ebb asymmetry of the lateral circulation. Analysis of the lateral salinity gradient shows that differential advection is the main driver of lateral flows, but boundary mixing can also be an important contributor in stratified estuaries. The strength of lateral circulation decreases with increasing stratification. With rotational effects, the lateral Ekman forcing in the bottom boundary layer drives a one-cell lateral circulation that switches its sense of rotation over the tidal cycle. The vorticity budget analysis reveals a three-way balance among the tilting of planetary vorticity by the vertical shear in the along-channel current, baroclinic forcing, and turbulent diffusion. The structure and magnitude of the lateral circulation change with the width of the estuary, expressed nondimensionally as the Kelvin number Ke. This lateral circulation features two counterrotating vortices in narrow estuaries, one vortex filling up the entire cross section in estuaries of intermediate widths and one vortex confined to the left side (looking into the estuary) in wide estuaries. The magnitude of the streamwise vorticity increases rapidly with Ke, reaches a maximum at Ke ≈ 0:5, and decreases slightly in wide estuaries subject to strong rotational control. © 2014 American Meteorological Society.</t>
  </si>
  <si>
    <t>2-s2.0-84910069156"</t>
  </si>
  <si>
    <t>10.1016/j.uclim.2013.12.003</t>
  </si>
  <si>
    <t>https://www.scopus.com/inward/record.uri?eid=2-s2.0-84901854211&amp;doi=10.1016%2fj.uclim.2013.12.003&amp;partnerID=40&amp;md5=bda4ba697ea997d05f2f365ee08e526f</t>
  </si>
  <si>
    <t>Climate Change (CC) increasingly affects cities in low-elevation coastal zones, and households in low-income areas in particular. This article focuses on local CC adaptation and governance in Trinidad and Tobago. First, it investigates the capacity of a poor urban community to adapt to CC, by examining the local impacts of and responses to flooding. Second, based on interviews with a selection of local stakeholders, the article sheds light on the institutional barriers preventing the development and implementation of effective CC adaptation strategies.The data show that households in the case study community experience the impacts of changing climatic conditions, in particular flooding. Households implement a wide range of adaptive measures before, during and after floods. It was revealed that the case study community receives very limited institutional support to withstand flooding. Looking at the different levels of CC adaptation governance in Trinidad and Tobago it can be concluded that although the institutional architecture to support local CC adaptation seems to cover all governance levels, vertical linkages between the various levels have to be strengthened to bridge the gap between community-based and national-level adaptation planning. The main institutional challenges are the lack of coordination and communication between the relevant actors. © 2013 Elsevier Ltd.</t>
  </si>
  <si>
    <t>2-s2.0-84901854211"</t>
  </si>
  <si>
    <t>Urban Policy and Research</t>
  </si>
  <si>
    <t>10.1080/08111146.2013.877388</t>
  </si>
  <si>
    <t>https://www.scopus.com/inward/record.uri?eid=2-s2.0-84966863471&amp;doi=10.1080%2f08111146.2013.877388&amp;partnerID=40&amp;md5=e188c1a272b0d135c65e8f78e2a10cbe</t>
  </si>
  <si>
    <t>Flooding is a current and future risk to the coastal zone. Currently, coastal planners use historical data to estimate the frequency and magnitude of flooding and develop planning tools such as hazard lines. However, in the face of climate variability and change, such flood risk estimation methods and the resultant planning tools are inadequate. This article outlines the steps, assumptions, key complexities and uncertainties associated with developing and applying hazard lines that incorporate sea level change projections. A case study, involving Lake Macquarie City Council in New South Wales, Australia, highlights the advantages and limitations of the hazard line approach at the local council level. The key findings are that hazard lines using global or state-wide sea level change benchmarks typically result in overgeneralised and inconsistent risk assessments and that new methods of flood risk estimation, flood planning and flood mitigation are required. Alternatives recommended include a move away from definitive sea level projections based on state or countrywide approximations towards the development of regionally specific adaptation plans that utilise flexible approaches, such as the identification of critical thresholds and triggers, to manage potential flood risk and enable decision-making under uncertainty. © 2014 Editorial Board, Urban Policy and Research.</t>
  </si>
  <si>
    <t>2-s2.0-84966863471"</t>
  </si>
  <si>
    <t>https://www.scopus.com/inward/record.uri?eid=2-s2.0-84930273321&amp;partnerID=40&amp;md5=59712058eb04e318bf5a8a61b7047166</t>
  </si>
  <si>
    <t>Hydrological hazards exposure is an inherent condition of floodplains. Nonetheless, developing nations facing tight land-supply are currently converting farmlands located in highly exposed deltaic plains into urban uses. Despite the backing-up resistance strategy, this development increases vulnerability to flood events. This paper illustrates this &amp;quot</t>
  </si>
  <si>
    <t>10.1002/2013GC005172</t>
  </si>
  <si>
    <t>https://www.scopus.com/inward/record.uri?eid=2-s2.0-84901380509&amp;doi=10.1002%2f2013GC005172&amp;partnerID=40&amp;md5=d4f883807fae5a13ac38b369a957ed8c</t>
  </si>
  <si>
    <t>Central Cascadia between 43°N and 46°N has reduced interseismic uplift observed in geodetic data and coseismic subsidence seen in multiple thrust earthquakes, suggesting elevated persistent fault creep in this section of the subduction zone. We estimate subduction thrust ""decade-scale"" locking and crustal block rotations from three-component continuous Global Positioning System (GPS) time series from 1997 to 2013, as well as 80 year tide gauge and leveling-derived uplift rates. Geodetic observations indicate coastal central Oregon is rising at a slower rate than coastal Washington, southern Oregon and northern California. Modeled locking distributions suggest a wide locking transition zone that extends inland under central Oregon. Paleoseismic records of multiple great earthquakes along Cascadia indicate less subsidence in central Oregon. The Cascade thrust under central Oregon may be partially creeping for at least 6500 years (the length of the paleoseismic record) reducing interseismic uplift and resulting in reduced coseismic subsidence. Large accretions of Eocene age basalt (Siletzia terrane) between 43°N and 46°N may be less permeable compared to surrounding terranes, potentially increasing pore fluid pressures along the fault interface resulting in a wide zone of persistent fault creep. In a separate inversion, three-component GPS time series from 1 July 2005 to 1 January 2011 are used to estimate upper plate deformation, locking between slow-slip events (SSEs), slip from 16 SSEs and an earthquake mechanism. Cumulative SSEs and tectonic tremor are weakest between 43°N and 46°N where partial fault creep is increased and Siletzia terrane is thick, suggesting that surrounding rock properties may influence the mode of slip. © 2014. American Geophysical Union. All Rights Reserved.</t>
  </si>
  <si>
    <t>2-s2.0-84901380509"</t>
  </si>
  <si>
    <t>10.1016/j.crm.2014.06.002</t>
  </si>
  <si>
    <t>https://www.scopus.com/inward/record.uri?eid=2-s2.0-84906734495&amp;doi=10.1016%2fj.crm.2014.06.002&amp;partnerID=40&amp;md5=75d81fc2ac634e18c6c56353dcafd455</t>
  </si>
  <si>
    <t>This paper presents the application of a new methodology for coastal multi-hazard assessment and management in a changing global climate on the state of Djibouti. The methodology termed the Coastal Hazard Wheel (CHW) is developed for worldwide application and is based on a specially designed coastal classification system that incorporates the main static and dynamic parameters determining the characteristics of a coastal environment. The methodology provides information on the hazards of ecosystem disruption, gradual inundation, salt water intrusion, erosion and flooding and can be used to support management decisions at local, regional and national level, in areas with limited access to geophysical data. The assessment for Djibouti applies a geographic information system (GIS) to develop a range of national hazard maps along with relevant hazard statistics and is showcasing the procedure for applying the CHW methodology for national hazard assessments. The assessment shows that the coastline of Djibouti is characterized by extensive stretches with high or very high hazards of ecosystem disruption, mainly related to coral reefs and mangrove forests, while large sections along the coastlines of especially northern and southern Djibouti have high hazard levels for gradual inundation. The hazard of salt water intrusion is moderate along most of Djibouti's coastline, although groundwater availability is considered to be very sensitive to human ground water extraction. High or very high erosion hazards are associated with Djibouti's sedimentary plains, estuaries and river mouths, while very high flooding hazards are associated with the dry river mouths. © 2014 The Authors.</t>
  </si>
  <si>
    <t>2-s2.0-84906734495"</t>
  </si>
  <si>
    <t>10.1080/18626033.2014.898823</t>
  </si>
  <si>
    <t>https://www.scopus.com/inward/record.uri?eid=2-s2.0-84896323999&amp;doi=10.1080%2f18626033.2014.898823&amp;partnerID=40&amp;md5=fe4049b78a3902493d526231ba35a16d</t>
  </si>
  <si>
    <t>This paper describes an integral approach to flood-risk protection and spatial design that allows for an active involvement of landscape architects and urban designers in the allocation of flood-risk interventions within the Dutch Delta. The Dutch Rijnmond-Drechtsteden area is used as a case study to demonstrate how choices regarding the scale and layer of a flood-risk intervention can shift the location of that intervention. A spatial assessment framework is used to test the spatial impact of different flood-risk interventions at different locations, and determine where the intervention is most required from a spatial point of view. © 2014 European Council of Landscape Architecture Schools (ECLAS).</t>
  </si>
  <si>
    <t>2-s2.0-84896323999"</t>
  </si>
  <si>
    <t>10.1007/s11069-014-1067-x</t>
  </si>
  <si>
    <t>https://www.scopus.com/inward/record.uri?eid=2-s2.0-84905689919&amp;doi=10.1007%2fs11069-014-1067-x&amp;partnerID=40&amp;md5=608098730020f6c70d16c8054b70f604</t>
  </si>
  <si>
    <t>Subsidence has been affecting many cities around the world, such as Nagoya (Japan), Venice (Italy), San Joaquin Valley and Long Beach (California), and Houston (Texas). This phenomenon can be caused by natural processes and/or human activities, including but not limited to carbonate dissolution, extraction of material from mines, soil compaction, and fluid withdrawal. Surface deformation has been an ongoing problem in the Houston Metropolitan area because of the city's location in a passive margin where faulting and subsidence are common. Most of the previous studies attributed the causes of the surface deformation to four major mechanisms: faulting, soil compaction, salt tectonics, and fluid withdrawal (groundwater withdrawal and hydrocarbon extraction). This work assessed the surface deformation in the greater Houston area and their possible relationship with fluid withdrawal. To achieve this goal, data from three complimentary remote sensing techniques Global Positioning System (GPS), Light Detection and Ranging (LiDAR), and Interferometric Synthetic Aperture Radar were used. GPS rates for the last 17 years show a change in surface deformation patterns. High rates of subsidence in the northwestern areas (up to ~4 cm/year) and signs of uplift in the southeast are observed (up to 2 mm\year). High rates of subsidence appear to be decreasing. Contrary to previous studies in which the location of subsidence appeared to be expanding toward the northwest, current results show that the area of subsidence is shrinking and migrating toward the northeast. Digital elevation model generated from airborne LiDAR, revealed changes between salt domes and their surrounding areas. The persistent scatterer interferometry was performed using twenty-five (25) European remote sensing-1/2 scenes. Rates of change in groundwater level and hydrocarbon production were calculated using data from 261 observation wells and 658 hydrocarbon wells. A water level decline of 4 m/year was found in area of highest subsidence, this area also show ~70 million m3/year of hydrocarbon extraction. This study found strong correlation between fluid withdrawals and subsidence. Therefore, both groundwater and hydrocarbon withdrawal in northwest Harris County are considered to be the major drivers of the surface deformation. © 2014 Springer Science+Business Media Dordrecht.</t>
  </si>
  <si>
    <t>2-s2.0-84905689919"</t>
  </si>
  <si>
    <t>10.2166/wst.2014.278</t>
  </si>
  <si>
    <t>https://www.scopus.com/inward/record.uri?eid=2-s2.0-84907354494&amp;doi=10.2166%2fwst.2014.278&amp;partnerID=40&amp;md5=28e7e182b4e89e91415851995ee7c08c</t>
  </si>
  <si>
    <t>Stream structure is usually dominated by various human activities over a short term. An analysis of variation in stream structure from 1979 to 2009 in the Qinhuai River Basin, China, was performed based on remote sensing images and topographic maps by using ArcGIS. A series of river parameters derived from river geomorphology are listed to describe the status of river structure in the past and present. Results showed that urbanization caused a huge increase in the impervious area. The number of rivers in the study area has decreased and length of rivers has shortened. Over the 30 years, there was a 41.03% decrease in river length. Complexity and stability of streams have also changed and consequently the storage capacities of river channels in intensively urbanized areas are much lower than in moderately urbanized areas, indicating a greater risk of floods. Therefore, more attention should be paid to the urban disturbance to rivers. © IWA Publishing 2014.</t>
  </si>
  <si>
    <t>2-s2.0-84907354494"</t>
  </si>
  <si>
    <t>10.3724/SP.J.1248.2014.057</t>
  </si>
  <si>
    <t>https://www.scopus.com/inward/record.uri?eid=2-s2.0-84906218055&amp;doi=10.3724%2fSP.J.1248.2014.057&amp;partnerID=40&amp;md5=1e95a65aa21201df9b26290999e445c0</t>
  </si>
  <si>
    <t>Based on the simulations of 22 CMIP5 models in combination with socio-economic data and terrain elevation data, the spatial distribution of risk levels of flood disaster and the vulnerability to flood hazards in China are projected under the RCP8.5 for the near term period (2016-2035), medium term period (2046-2065) and long term period (2080-2099), respectively. The results show that regions with high flood hazard levels are mainly located in Southeast China, while the vulnerability to flood hazards is high in eastern China. Under the RCP8.5 greenhouse gas emissions scenario, future high flood risk levels will mainly appear in the eastern part of Sichuan, in major part of East China, and in the provinces of Hebei, Beijing, and Tianjin. The major cities in Northeast China, some areas in Shaanxi and Shanxi, as well as the coastal areas in southeastern China will also encounter high flood risks. Compared with the baseline period, the regional flood risk levels will increase towards the end of the 21st century, although the occurrences of floods change little. Due to the coarse resolution of the climate models and the indistinct methodology for determining the weight coefficients, large uncertainty still exists in the projection of flood risks.</t>
  </si>
  <si>
    <t>2-s2.0-84906218055"</t>
  </si>
  <si>
    <t>10.1007/s11442-014-1078-2</t>
  </si>
  <si>
    <t>https://www.scopus.com/inward/record.uri?eid=2-s2.0-84890490067&amp;doi=10.1007%2fs11442-014-1078-2&amp;partnerID=40&amp;md5=67b3eb70684c34d7e48eab54864f07a0</t>
  </si>
  <si>
    <t>Transport of organic carbon via rivers to estuary is a significant geochemical process in the global carbon cycle. This paper presents bulk total organic carbon (TOC) from the Dongjiang catchment to the adjacent Humen outlet, and discusses the applicability of δ 13C and ratio of carbon to nitrogen (C/N) as indicators for sources of organic matter in the surface sediments. Survey results showed that organic carbon concentration in summer were higher than in the winter. An elevated trend of TOC occurred along the river to the Humen outlet in both surveys, and the highest mean values of dissolved and particular organic carbon (DOC~279 μmol L-1 and POC~163 μmol L-1) were observed in the urban deltaic region in summer flood flow. Winter samples had a wide range of δ 13C and C/N (δ13C -24.6‰ to -30.0‰, C/N 4-13), and summer ones varied slightly (δ13C -24.2‰ to -27.6‰, C/N 6-18). As results suggest that POC in the three zones of upstream-delta-outlet dominantly came from riverbank soil, phytoplankton and agricultural C3 plants in winter, whereas main sources were from the riverbank and mangrove soil in summer. Moreover, anthropogenic sewage inputs had 11% and 7% contribution to POC in the deltaic and outlet. Transport accompanied with seasonal freshwater variation, phytoplankton production and degradation, and removal behavior caused variation of organic carbon concentration. The results also discovered that TOC export bulk in Dongjiang was approximately one quarter of Humen flux in the dry flow, and anthropogenic activity significantly impacted the river export contribution. © 2014 Science Press and Springer-Verlag Berlin Heidelberg.</t>
  </si>
  <si>
    <t>2-s2.0-84890490067"</t>
  </si>
  <si>
    <t>10.1016/j.gloenvcha.2014.05.009</t>
  </si>
  <si>
    <t>https://www.scopus.com/inward/record.uri?eid=2-s2.0-84922347631&amp;doi=10.1016%2fj.gloenvcha.2014.05.009&amp;partnerID=40&amp;md5=9d53243abc0156fc2a95e780084db120</t>
  </si>
  <si>
    <t>Successful adaptation to global environmental change will require confronting multiple unfolding challenges in concert. Coastal regions vulnerable to sea level rise and tropical storms will likely also be influenced by resource limitation in an uncertain future. In this paper, we explore the interrelated dynamics of coastal population migration, economic instability, and anthropogenic phosphorus (P) flows. Accounting for P flows and improving human P use efficiency are critical tasks given the finite global supply of phosphate rock and widespread eutrophication. We use material flow analysis to examine societal P metabolism in the Upper Pontchartrain Basin in coastal Louisiana, USA for two 5-y time periods (2001-2005 and 2006-2010) to capture the effects of fertilizer economics and population growth partially driven by the impact of Hurricane Katrina in the lower basin in 2005. Mass balances encompass human-mediated P fluxes in food production and consumption subsystems across agricultural, developed, and forested landscapes. Drastic reductions in locally purchased inorganic P fertilizer (78% decline between periods) were correlated to increases in fertilizer prices. Total P input to the study region decreased from 5452 to 3268MgPy-1 between periods. Changes in P flows were primarily driven by fertilizer economics, declining dairy production, and the influx of new residents, which has been characterized by decentralized settlement that limits P recycling. Societal P metabolic efficiency increased from 22% to 32% due largely to reduced fertilizer inputs. Leakage to the Pontchartrain Estuary and the Mississippi River represented 17-23% of total system P input, while the vast majority of P accumulated within soils, wastewater systems, and landfills. We discuss basin trends and management implications. A historic opportunity exists to encourage future coastal development characterized by synergies between local agriculture and human habitation to promote energy efficient nutrient recycling. The effect would be a decreased vulnerability to future fertilizer price spikes, along with the mitigation of current and future eutrophication. © 2014 Elsevier Ltd.</t>
  </si>
  <si>
    <t>2-s2.0-84922347631"</t>
  </si>
  <si>
    <t>10.2478/s11600-014-0213-x</t>
  </si>
  <si>
    <t>https://www.scopus.com/inward/record.uri?eid=2-s2.0-84901300968&amp;doi=10.2478%2fs11600-014-0213-x&amp;partnerID=40&amp;md5=364fedfa2a5ab36aeba4de81eba54f5b</t>
  </si>
  <si>
    <t>The mouth of the Vistula River, which is a river outlet located in tideless area, is analyzed. The Vistula River mouth is a man-made, artificial channel which was built in the 19th century in order to prevent the formation of ice jams in the natural river delta. Since the artificial river outlet was constructed, no severe ice-related flood risk situations have ever occurred. However, periodic ice-related phenomena still have an impact on the river operation. In the paper, ice processes in the natural river delta are presented first to refer to the historical jams observed in the Vistula delta. Next, the calibrated mathematical model was applied to perform a series of simulations in the Vistula River mouth for winter storm condition to determine the effects of ice on the water level in the Vistula River and ice jam potential of the river outlet. © 2014 Versita Warsaw and Springer-Verlag Wien.</t>
  </si>
  <si>
    <t>2-s2.0-84901300968"</t>
  </si>
  <si>
    <t>10.1080/08920753.2014.923140</t>
  </si>
  <si>
    <t>https://www.scopus.com/inward/record.uri?eid=2-s2.0-84903520718&amp;doi=10.1080%2f08920753.2014.923140&amp;partnerID=40&amp;md5=ca3437315e059ee6ea66fb69a27a743e</t>
  </si>
  <si>
    <t>This article describes a pilot study evaluating the sensitivity of Indigenous community health to climate change impacts on Salish Sea shorelines (Washington State, United States and British Columbia, Canada). Current climate change assessments omit key community health concerns, which are vital to successful adaptation plans, particularly for Indigenous communities. Descriptive scaling techniques, employed in facilitated workshops with two Indigenous communities, tested the efficacy of ranking six key indicators of community health in relation to projected impacts to shellfish habitat and shoreline archaeological sites stemming from changes in the biophysical environment. Findings demonstrate that: when shellfish habitat and archaeological resources are impacted, so is Indigenous community health</t>
  </si>
  <si>
    <t>10.1016/j.jhydrol.2013.08.051</t>
  </si>
  <si>
    <t>https://www.scopus.com/inward/record.uri?eid=2-s2.0-84888419557&amp;doi=10.1016%2fj.jhydrol.2013.08.051&amp;partnerID=40&amp;md5=f8fbddbf3f43e2847ffda45891e0cbfa</t>
  </si>
  <si>
    <t>It is evident in recent literature that hydrodynamic modelling efforts have moved to increasing spatial coverage while trying to preserve simulation accuracies at computationally efficient coarse grids (100m to several km). However, it is clear that there is a need to retain fine spatial resolutions at large scales wherever possible in order to still retrieve meaningful information from models or indeed observations, such as identifying individual assets at risk from flooding for instance. Since it is currently rather impractical to model hydrodynamics across areas larger than a couple of thousand km2 at a fine spatial resolution (finer than 100m), this paper proposes a method to downscale coarse model simulations (model grid size of 100m to several km) to a fine spatial resolution. The method is mass conservative and uses a hydraulic 1D approach within the channel and a pseudo region-growing algorithm on the floodplain. Comparison to a high resolution reference model over a domain size much larger than those traditionally modelled showed that downscaling a 600m grid resolution hydrodynamic LISFLOOD-FP model to 30m leads to average accuracies greater than 30cm in water depth and above 90% in inundation area for a high accuracy digital elevation model (DEM). When employing a SRTM DEM accuracies were still between 0.5m and 1.5m for water depth but agreements in inundated area were much lower than 90%. We speculate that for simulating the world's major rivers and their floodplains at a resolution of 90m, even a speed-efficient model could take over three years to simulate inundation patterns at that resolution for a one-year hydrograph. However, it is expected that the proposed downscaling method could be used to downscale LISFLOOD-FP model simulations run at a 3km resolution with reasonably similar accuracies and at only a fraction of the computational time required by the 90m model. © 2013 Elsevier B.V.</t>
  </si>
  <si>
    <t>2-s2.0-84888419557"</t>
  </si>
  <si>
    <t>10.1007/s13753-014-0035-0</t>
  </si>
  <si>
    <t>https://www.scopus.com/inward/record.uri?eid=2-s2.0-84942100120&amp;doi=10.1007%2fs13753-014-0035-0&amp;partnerID=40&amp;md5=20ece7e5a9dbc1523a8c4cb6dd1367da</t>
  </si>
  <si>
    <t>With global climate change, population growth, and economic development in the twenty-first century, large cyclonic storm surges may result in devastating effects in some coastal areas of the world. However, due to the deficiency of global data and large-scale modeling efforts, the assessment and mapping of potential storm surge impacts at the global level are limited. In this article, the potential inundated area of global coastal zones is projected using information diffusion theory, based on the historical hourly sea-level observation records from the University of Hawaii Sea Level Center (UHSLC), considering variations in coastal morphology and tropical cyclone tracks. Combined with global demographic and GDP data, population and GDP at risk of storm surge impacts are calculated, mapped, and validated through the comparison with historical losses. The resulting potential impact maps provide a preliminary outlook on risks that may help governments of countries to make storm surge disaster prevention and reduction plans. © 2014, The Author(s).</t>
  </si>
  <si>
    <t>2-s2.0-84942100120"</t>
  </si>
  <si>
    <t>10.1080/01490419.2014.902884</t>
  </si>
  <si>
    <t>https://www.scopus.com/inward/record.uri?eid=2-s2.0-84901697590&amp;doi=10.1080%2f01490419.2014.902884&amp;partnerID=40&amp;md5=44eeaad575a2431675123af3e6a72563</t>
  </si>
  <si>
    <t>The rate of sea level rise will roughly double over the next century with a conservative projection of 0.18-0.59 m by 2100 (IPCC 2007). Inundation caused by sea level rise will likely disrupt the physical, economic, and social systems in coastal regions worldwide. All existing methods to assess the potential impacts of sea level rise could only delineate the inundation by a specific sea level rise. In addition to providing another inundation method based on the cost distance GIS function, this research developed an innovative method that calculated the minimum sea level rise needed to inundate each cell in a Digital Elevation Model (DEM). Both methods considered water connectivity and performed better than the simple ""bathtub"" approach, especially with sea level rises below 1 m. Implementation data structures significantly affected the efficiency of the new method. Several data structures were proposed and compared. Our results indicated the combination of a binary heap and hash table data structure was the most efficient implementation. © 2014 © Taylor &amp; Francis Group, LLC.</t>
  </si>
  <si>
    <t>2-s2.0-84901697590"</t>
  </si>
  <si>
    <t>10.1007/s11430-014-4879-3</t>
  </si>
  <si>
    <t>https://www.scopus.com/inward/record.uri?eid=2-s2.0-84903132712&amp;doi=10.1007%2fs11430-014-4879-3&amp;partnerID=40&amp;md5=bfd911022d20048797cba0e5d01e05cb</t>
  </si>
  <si>
    <t>In this study, to further promote the application of the stable carbon isotope natural abundance (SCINA) method to the study of CH4 in paddy fields in China, field experiments were carried out to investigate carbon isotope fractionation during CH4 transport in both rice- and non-rice-growing seasons. More importantly, two new methods for the measurement of the CH4 transport fractionation factor (e{open} transport) in paddy fields were introduced. The results indicated that the closed chamber + syringe method was much better for the determination of e{open} transport during the non-rice-growing season. Presently, e{open} transport was calculated using the δ 13C value of the CH4 emitted from a rice field minus that of the CH4 in the floodwater (-6.7‰ to -3.0‰). In addition, there were three methods available for estimating e{open} transport during the rice-growing season: deduction of the δ 13C value of the CH4 in the floodwater from that of the CH4 emitted from the field (-16.6‰ to -15.2‰)</t>
  </si>
  <si>
    <t>This study examines the different scenarios of sea level rise and its consequences on a coastal industrial city. Analyses of these scenarios were carried out using Digital Elevation Model (DEM) from Shuttle Radar Topography Mission (SRTM) with high resolution remote sensing data (for visualization) within Geospatial Information System (GIS) environment. The SRTM data was validated by GPS observations. A minimum scenario of SLR of 1m by the year 2100 was adopted in assesing the vulnerability of the study area. The extracted layers of vulnerable areas were overlaid on the demographic and land use data of the city to estimate the likely impact on land use and population of the area. The study shows a root mean square error (RMSE) value of 2.07 for SRTM values corresponding to GPS observations that are less than or equal to 3m. The results show that the industrial city is vulnerable to predicted sea level rise. © 2014 Geoinformatics International.</t>
  </si>
  <si>
    <t>2-s2.0-84920876096"</t>
  </si>
  <si>
    <t>https://www.scopus.com/inward/record.uri?eid=2-s2.0-84901823253&amp;partnerID=40&amp;md5=cbe4fe3f8a2d0faa2464dfcce8ac25ad</t>
  </si>
  <si>
    <t>Sea level rise (SLR) due to global warming would severely affect the coastal areas of many countries of the world through inundation of coastal areas and islands, shoreline erosion, and destruction of important ecosystems such as wetlands and mangroves. A significant increase of sea level would hamper the economy, trade, tourism, biodiversity and livelihood. This article attempts to highlight a snapshot of physical, economic and social impacts of SLR and adaptation measures needed in Malaysia. In Malaysia, the total mangrove would be lost with 90 cm rise in the sea level and destruction of coastal bunds could inundate 1000 km2 agricultural lands. Malaysia would be needing 5750 million US$ PPP additional economic cost for SLR in 2030. In addition, Malaysia would lose 7000 km2 land area and more than 0.05 million population would be displaced by 1 m SLR in 2100 if no adaptation measures are taken. The country's total cost of SLR with and without adaptation would be 160.92 and 655.09 million US$/year respectively under A2 scenario. Thus, adaptation measures are necessary to reduce the possible impacts of SLR in coastal zones. Adaptation measures such as coastal defenses, beach nourishment, offshore barriers, flood gate, mangrove creation etc. should be taken to limit the negative impact of SLR in Malaysia. These adaptation measures and responses should be mainstreamed with local policy, planning and resilience-building strategies.</t>
  </si>
  <si>
    <t>2-s2.0-84901823253"</t>
  </si>
  <si>
    <t>10.1016/j.geoforum.2014.08.006</t>
  </si>
  <si>
    <t>https://www.scopus.com/inward/record.uri?eid=2-s2.0-84906496621&amp;doi=10.1016%2fj.geoforum.2014.08.006&amp;partnerID=40&amp;md5=bd8c8a93860a05d73dae3de14daf7596</t>
  </si>
  <si>
    <t>Increasing environmental variability associated with global climate change is expected to produce social instability and human displacement in future decades. As such, there remains a pressing need to understand the implications of environmental changes for human populations and their adaptive capacities. This paper analyzes governmental and intra-community responses to environmental variability through a case study from the Okavango Delta, Botswana. We report findings from fieldwork conducted during May-June 2011 and October 2012-May 2013 in the village of Etsha 13. Following an increase in annual flooding in 2009, 2010, and 2011, the Government of Botswana permanently relocated hundreds of residents to a nearby dryland area, asserting that this new settlement was necessary to reduce future risks from flooding variability. While some residents accepted this position, others elected to return to the floodplain or to illegally divert the flow of the water to protect their homes. This paper explores the micro-politics of these relocation efforts and competing responses in order to examine differential adaptive responses to increased flooding levels. We situate these findings within the burgeoning literature on transformative adaptation and suggest that micro-political dynamics are critical in shaping the limitations to, and possibilities for, effective adaptive responses to global environmental change. © 2014 Elsevier Ltd.</t>
  </si>
  <si>
    <t>2-s2.0-84906496621"</t>
  </si>
  <si>
    <t>Journal of Regional Science</t>
  </si>
  <si>
    <t>10.1111/jors.12112</t>
  </si>
  <si>
    <t>https://www.scopus.com/inward/record.uri?eid=2-s2.0-84901828306&amp;doi=10.1111%2fjors.12112&amp;partnerID=40&amp;md5=9c68184991d643598f9ebbf2e2a62758</t>
  </si>
  <si>
    <t>This study investigates the short- and long-run impact on population dynamics of the major flood in the Netherlands in 1953. A dynamic difference-in-differences analysis reveals that the flood had an immediate negative impact on population growth, but limited long-term effects. In contrast, the resulting flood protection program (Deltaworks), had a persisting positive effect on population growth. As a result, there has been an increase in population in flood-prone areas. Our results suggest a moral hazard effect of flood mitigation leading to more people locating in flood-prone areas, increasing potential disaster costs. © 2014 Wiley Periodicals, Inc.</t>
  </si>
  <si>
    <t>2-s2.0-84901828306"</t>
  </si>
  <si>
    <t>10.1016/j.enggeo.2013.10.019</t>
  </si>
  <si>
    <t>https://www.scopus.com/inward/record.uri?eid=2-s2.0-84888018829&amp;doi=10.1016%2fj.enggeo.2013.10.019&amp;partnerID=40&amp;md5=0c8005c46ad5805dce19d893450e68f3</t>
  </si>
  <si>
    <t>Seismic refraction velocity-versus depth models can complement our understanding of natural soils beneath flood protection levees at locations between geotechnical sites. Levee failures in New Orleans in 2005 are attributable in part to poor understanding of sediments between geotechnical sites. To a first order, subsurface fluvial-deltaic facies in the lower Mississippi delta plain correlate with general geotechnical properties of water content and cohesive strength, but are too laterally variable to be easily predicted from geotechnical sites spaced 100. m apart.An artificial earthen levee, suitable for seismic investigation, lies ~. 15. km S of the city of New Orleans, Louisiana. Values of shear-wave velocity (VSH) versus depth (0-20. m) are derived by forward-ray-trace models of seismic refraction arrivals which match key boundaries identified at (geotechnical) cone-penetration testing sites, spaced at 300. m apart. In particular, a 100-m section along the levee crest shows continuous cracks which are as much as 10. cm wide, and 30. cm deep at their northern end. Cracking may relate to high strain, induced by variable near-surface subsidence of organic-rich sediments. Topographic cross-sections across the levee show variable differential subsidence of 1-2. m. Based on effective medium theory, VP- and VSH-versus-depth profiles indicate unexpectedly greater saturation and lower shear moduli on the unprotected levee side adjacent to the cracks.Integration of geophysical, sedimentary and topographic data, even if only at a few locations can help locate anomalous zones in sub-levee soil between geotechnical boring sites. Future preventive monitoring of flood-protection barriers stands to benefit greatly from integrated data sets ""ground truthed"" to geotechnical data. © 2013 Elsevier B.V.</t>
  </si>
  <si>
    <t>2-s2.0-84888018829"</t>
  </si>
  <si>
    <t>10.1016/j.crm.2013.10.001</t>
  </si>
  <si>
    <t>https://www.scopus.com/inward/record.uri?eid=2-s2.0-84901504678&amp;doi=10.1016%2fj.crm.2013.10.001&amp;partnerID=40&amp;md5=34658b587657bb204d6eaf0294720d0e</t>
  </si>
  <si>
    <t>The physical geography of Bangladesh's coastal area is more diverse and dynamic than is generally recognised. Failure to recognise this has led to serious misconceptions about the potential impacts of a rising sea-level on Bangladesh with global warming. This situation has been aggravated by accounts giving incorrect information on current rates of coastal erosion and land subsidence. This paper describes physical conditions within individual physiographic regions in Bangladesh's coastal area based on ground-surveyed information, and it reviews possible area-specific mitigation measures to counter predicted rates of sea-level rise in the 21st century. Two important conclusions are drawn: the adoption of appropriate measures based on knowledge of the physical geography of potentially-affected areas could significantly reduce the currently-predicted displacement of many millions of people and the impacts of a slowly-rising sea-level are currently much less than those generated by rapidly increasing population pressure on Bangladesh's available land and water resources and by exposure to existing environmental hazards, and the latter problems need priority attention. © 2013 The Author.</t>
  </si>
  <si>
    <t>2-s2.0-84901504678"</t>
  </si>
  <si>
    <t>10.1007/s00267-013-0179-5</t>
  </si>
  <si>
    <t>https://www.scopus.com/inward/record.uri?eid=2-s2.0-84893498479&amp;doi=10.1007%2fs00267-013-0179-5&amp;partnerID=40&amp;md5=65f227b60a8891589fe713a6dc763067</t>
  </si>
  <si>
    <t>The Tampa Bay estuary is a unique and valued ecosystem that currently thrives between subtropical and temperate climates along Florida's west-central coast. The watershed is considered urbanized (42 % lands developed)</t>
  </si>
  <si>
    <t>Cuaternario y Geomorfologia</t>
  </si>
  <si>
    <t>https://www.scopus.com/inward/record.uri?eid=2-s2.0-84916198504&amp;partnerID=40&amp;md5=bf95e668d48b584ca1508e2d65bcde54</t>
  </si>
  <si>
    <t>In the present paper flooding of the Guadalete river estuary (Puerto de Santa Maria, Cadiz) is analysed. The methodology applied allows to consider joint action of river flood flows, astronomical tide and storm surge dimenextreme level. A hydraulic model has been implemented in the estuary, in order to estimate the relative importance of the two processes separately. Three cases were simulated following this methodology, two real extreme events occurred during winter season of 2009/2010 (EV1 y EV2), as well as a hypothetical scenario, a extreme event with low probability associated (EVX). Although results should be assumed with caution, there are not enough data to calibrate the model, result show the flooding modulation caused by storm surge and tide, even in the estuary header. In extreme events simulated EV1 and EV2, overflow does not occur in the channel, therefore the flood does not occur. In the case of simulated scenario EVX, flooded area in the estuary overflow occur in the channel, affecting infrastructure and salt production areas. The study has pointed some weaknesses in the methodology proposal</t>
  </si>
  <si>
    <t>10.1007/s11069-014-1104-9</t>
  </si>
  <si>
    <t>https://www.scopus.com/inward/record.uri?eid=2-s2.0-84905379867&amp;doi=10.1007%2fs11069-014-1104-9&amp;partnerID=40&amp;md5=910ff2380df02f6b46cb4cd1a4505f25</t>
  </si>
  <si>
    <t>In the Lower Rhine Delta of the Netherlands, the high water level is driven by a joint impact of the downstream storm surge and the upstream fluvial discharge, and affected by the operation of existing man-made structures. In scenario-based risk assessment, a large number of stochastic scenarios of storm surges are required for estimating the high water level frequency. In this article, a fast computing stochastic storm surge model is applied to the gauge station of Hook of Holland in the west of the Netherlands. A fixed number of tides are considered in this model based on the information of historical storm surge events. Based on this model, a large number of stochastic storm surge scenarios are derived and forced into a one-dimensional hydrodynamic model of the Netherlands, resulting in peak water levels in Rotterdam, the most vulnerable city in the delta. These peak water levels are statistically analyzed and converted to the high water level frequency curve in Rotterdam. The high water level frequency curve in Rotterdam tends to a much lower design water level compared to the official design water level that is used to design the dikes and structures for protection of the city. Moreover, there is a significant difference in the high water level frequency curves due to the fact that the stochastic storm surge model considers different numbers of tides. This highlights the critical impact of the storm surge duration on the high water level frequency in the Lower Rhine Delta. © 2014 Springer Science+Business Media Dordrecht.</t>
  </si>
  <si>
    <t>2-s2.0-84905379867"</t>
  </si>
  <si>
    <t>10.1080/01431161.2014.916050</t>
  </si>
  <si>
    <t>https://www.scopus.com/inward/record.uri?eid=2-s2.0-84902678729&amp;doi=10.1080%2f01431161.2014.916050&amp;partnerID=40&amp;md5=e26d34411a613749717b41133234244d</t>
  </si>
  <si>
    <t>The sea-level trend in the South China Sea (SCS) is investigated based on 20 years of along-track data from TOPEX and Jason-1/2 satellite altimetry. The average sea-level rise over all the regions in the study area is observed to have a rate of 5.1 ± 0.8 mm year-1 for the period from 1993 to 2012. The steric sea level contributes 45% to the observed sea-level trend. These results are consistent with previous studies. In addition, the results demonstrate that the maximum sea-level rise rate of 8.4 mm year-1 is occurring off the east coast of Vietnam and eastern part of SCS. During 2010-2011, the La Niña event was highly correlated with the dramatic sea-level rise in the SCS</t>
  </si>
  <si>
    <t>10.1080/10106049.2013.838310</t>
  </si>
  <si>
    <t>https://www.scopus.com/inward/record.uri?eid=2-s2.0-84905722920&amp;doi=10.1080%2f10106049.2013.838310&amp;partnerID=40&amp;md5=c7b479dc07bcb23df7e475d4e959efbc</t>
  </si>
  <si>
    <t>It is viable to differentiate the deep and shallow flood inundated regions through a new flood feature extraction techniques named as 'Digital Elevation Model (DEM) and Synthetic Aperture Radar (SAR) image based flood feature extraction model'. The proposed model has been built mainly on the top of DEM of the disaster region without adopting standard multi-layer GIS techniques. To meet the time related factors of flood early warning system the image clustering operations has been automated at three different levels which bifurcates the input datasets and extracts the much required end results such as deep flooded regions, shallow flood inundated regions and non-flooded regions. The model has been tested with SAR flood images of known geographical region as well as remote geographical region. The proposed model can be automated against the input SAR sensor image and corresponding DEM of the respective SAR scene of any part of the world. © 2013 Taylor &amp; Francis.</t>
  </si>
  <si>
    <t>2-s2.0-84905722920"</t>
  </si>
  <si>
    <t>Rocznik Ochrona Srodowiska</t>
  </si>
  <si>
    <t>https://www.scopus.com/inward/record.uri?eid=2-s2.0-84964631016&amp;partnerID=40&amp;md5=1318cc18b1946e24bd4b68be0479656b</t>
  </si>
  <si>
    <t>In the thesis an assessment of operational reliability of a rainwater sewerage system on Rakowiec housing estate in Wrocław was made by the current and predicted drainage area precipitation load. As a result of the conducted hydrodynamic simulations in SWMM 5.0 program with the use of precipitation model of Euler type II it has been proved that it does not meet the requirements of PN-EN 752 standard concerning the frequency of channel outflows. It has been demonstrated that channel outflows are already present for current precipitation with occurrence frequency of 3 times a year. For the scenario of drainage area precipitation load with occurrence frequency of once per 5 years, for which there should not occur channel overloads in the future, significant outflows from the system were demonstrated. The specific volume of outflows ranges from 111 to 122.5 m3 for a hectare of impervious surface (depending on hydraulic conditions on the Odra River estuary), and the degree of flooding amounts to 0.32. The results of the assessment unequivocally indicate that the modernization of the aforementioned sewage system is urgent in order to meet the requirements of PN-EN 752:2008 standard. In order to hydraulically unload the system it is crucial to consider application of storage reservoirs, located in the areas of significant channel outflows occurrence. The reservoirs should be designed for the precipitation frequency of C = 5 years, according to methodology provided in theses [8, 14]. © 2018, Middle Pomeranian Scientific Society of The Environment Protection. All rights reserved.</t>
  </si>
  <si>
    <t>2-s2.0-84964631016"</t>
  </si>
  <si>
    <t>10.1002/2013JF002965</t>
  </si>
  <si>
    <t>https://www.scopus.com/inward/record.uri?eid=2-s2.0-84902374621&amp;doi=10.1002%2f2013JF002965&amp;partnerID=40&amp;md5=191cc377e0a465f76ab2d6e136f11e9a</t>
  </si>
  <si>
    <t>There is a pressing need to understand how different delta morphologies arise because morphology determines a delta's ecologic structure, resilience to relative sea-level rise, and stratigraphic architecture. We use numerical modeling (Delft3D) to explain how deltaic processes and morphology are controlled by the incoming sediment properties. We conducted 36 experiments of river-dominated delta formation varying the following sediment properties of the incoming grain-size distribution: the median, standard deviation, skewness, and percent cohesive sediment, which is a function of the first three properties. Changing standard deviation and skewness produces minimal morphological variation, whereas an increase in dominant grain size (D84) and decrease in percent cohesive sediment produce a transition from elongate deltas with few channels to semicircular deltas with many channels. This transition occurs because critical shear stresses for erosion and settling velocities of grains set the number of channel mouths and the dominant delta-building process. Together, the number of channel mouths and the dominant process - channel avulsion, mouth bar growth, or levee growth - set the delta morphology. Coarse-grained, noncohesive deltas have many channels dominated by avulsion, creating semicircular planforms with relatively smooth delta fronts. Intermediate-grained deltas have many channels dominated by mouth bar growth, creating semicircular planforms with rugose delta fronts. Fine-grained, cohesive deltas have a few channels, the majority of which are dominated by levee growth, creating elongate planforms with smooth delta fronts. The process-based model presented here provides a previously lacking mechanistic understanding of the effects of sediment properties on delta channel network and planform morphology. Key Points Changes in grain size and cohesion induce morphologic variation in deltas Sediment properties set number of channel mouths and their dominant behavior Sediment properties influence channel avulsion, and mouth bar and levee growth ©2014. American Geophysical Union. All Rights Reserved.</t>
  </si>
  <si>
    <t>2-s2.0-84902374621"</t>
  </si>
  <si>
    <t>10.1016/j.ejrs.2014.01.001</t>
  </si>
  <si>
    <t>https://www.scopus.com/inward/record.uri?eid=2-s2.0-84923570478&amp;doi=10.1016%2fj.ejrs.2014.01.001&amp;partnerID=40&amp;md5=11c38220138810ce0d034619927d657f</t>
  </si>
  <si>
    <t>The present study aimed to assess the potential of Remote Sensing (RS) and Geographic Information System (GIS) to quantify soil degradation risk in some soils of the Northern Nile Delta. Physiographic units were mapped using Landsat ETM+ image (2003) and Digital Elevation Model (DEM). The obtained map showed that the study area comprised two distinct landscapes i.e. fluvial lacustrine and flood plains. The main landforms of the area under consideration are grouped as decantation basins, levees, recent river terraces, overflow basins, man-made terraces, fish ponds and turtle backs. A simple model was designed for assessing risk of land degradation depending on the equations of soil and climatic factors. The study demonstrated that about 48.09% of the study area has undergone very high risk of chemical degradation, whereas 51.91 % of the area has undergone low risk of chemical degradation. About 20.12% of the total area was characterized by high risk of physical degradation. The results indicated that the salinity, alkalinity and water logging are the main common degradation hazards. © 2014 Production and hosting by Elsevier B.V. on behalf of National Authority for Remote Sensing and Space Sciences.</t>
  </si>
  <si>
    <t>2-s2.0-84923570478"</t>
  </si>
  <si>
    <t>Asia-Pacific Population Journal</t>
  </si>
  <si>
    <t>10.18356/7b7d7273-en</t>
  </si>
  <si>
    <t>https://www.scopus.com/inward/record.uri?eid=2-s2.0-84934968055&amp;doi=10.18356%2f7b7d7273-en&amp;partnerID=40&amp;md5=211c17deb6c295a89523fc63b9f83113</t>
  </si>
  <si>
    <t>The present paper reports on a case study that investigated under what circumstances households use migration to cope with climate variability and food insecurity. Fieldwork was conducted in three communities in Dong Thap Province in the Upper Mekong Delta in Viet Nam. Methods used included a household survey (N=150), participatory research tools and key informant interviews. Ninety per cent of the survey respondents reported that climate-related stressors, such as floods, storms and changes in rainfall patterns, had adversely affected their livelihoods. Those effects, however, were more often qualified as being ""moderate"" rather than being ""severe"", and for the survey population as a whole, no evidence was found that climatic stressors were principal drivers of migration from the area. The Upper Mekong Delta in Viet Nam is undergoing rapid economic development, with increasing migration mostly being driven by demand for labour in industrial centres. However, an analysis differentiated by income groups reveals that poorer households with little or no land are much more likely to be severely affected by climatic stressors than non-poor households. Their ability to cope and adapt locally is limited, and migration, which in most cases tends to be internal, is a common alternative. The present paper shows the importance of disaggregating climate impacts and migration causes for different socioeconomic groups.</t>
  </si>
  <si>
    <t>2-s2.0-84934968055"</t>
  </si>
  <si>
    <t>10.1016/j.catena.2014.06.023</t>
  </si>
  <si>
    <t>https://www.scopus.com/inward/record.uri?eid=2-s2.0-84904573210&amp;doi=10.1016%2fj.catena.2014.06.023&amp;partnerID=40&amp;md5=3d02385eb6bf7a514eda891d417c5ebe</t>
  </si>
  <si>
    <t>Objective: Estimating river's underwater bed elevations is a necessary but challenging task. The objective of this study is to develop a revised approach to generate accurate and detailed Digital Terrain Models (DTMs) of a river reach by merging LiDAR data for the dry area, with water depth indirectly derived from aerial imagery for wet areas. Methods: This approach was applied along three sub-reaches of the Brenta River (Italy) before and after two major flood events. A regression model relating water depth and intensity of the three colour bands derived from aerial photos, was implemented. More than 2400 in-channel depth calibration points were taken using a differential Global Positioning System (dGPS) along a wide range of underwater bed forms. Results: The resulting DTMs closely matched the field-surveyed bed surface, and allowed to assess that a 10-year recurrence interval flood generated a predominance of erosion processes. Erosion dominated in the upper part of the study segment (-104,082m3), whereas a near-equilibrium is featured on the lower reach (-45,232m3). The DTMs allowed the detection of processes such as riffle-pool downstream migration, and the progressive scour of a pool located near a rip-rap. Conclusion: The presented approach provides an adequate topographical description of the river bed to explore channel adjustments due to flood events. Practice: Combining colour bathymetry and dGPS surveys proved to represent a useful tool for many fluvial engineering, ecology, and management purposes. Implications: The proposed approach represents a valuable tool for river topography description, river management, ecology and restoration purposes, when bathymetric data are not available. © 2014 Elsevier B.V.</t>
  </si>
  <si>
    <t>2-s2.0-84904573210"</t>
  </si>
  <si>
    <t>10.1127/0372-8854/2013/S-00131</t>
  </si>
  <si>
    <t>https://www.scopus.com/inward/record.uri?eid=2-s2.0-84931320110&amp;doi=10.1127%2f0372-8854%2f2013%2fS-00131&amp;partnerID=40&amp;md5=a71aa03528cb0977d2cbae651e7a678a</t>
  </si>
  <si>
    <t>The article presents spatial differences in ground level changes in the Ruhr District due to largescale coal extraction over the past 100 years. Elevation data on historical maps from 1892 was digitised with the help of a Geographic Information System and the interpolated historical surface was intersected with a current Digital Elevation Model, in order to calculate the differences in elevation. As a result, the highest values of subsidence, amounting to more than 25 m, were observed within the coalfields of the former coal mine Zollverein which is distinguished for its long mining history and its World Heritage status. Two examples from the cities of Essen and Dortmund analysed in detail reveal that not only depressions but also elevation features are affected by mining subsidence. These kinds of surface transformations are not visible in the field without a comparison of digital topographical models. The average amount of a net surface lowering was calculated for all maps digitised and analysed, resulting in values between 0.5 m for the map of Kamen, located at the eastern border of the Ruhr District, and 5.2 m for the map of Gelsenkirchen within the central Emscher floodplain with a total area of 128.5 km2. The mean net surface lowering of the total area under investigation (approximately 2,700 km2) amounts to 1.6 m. © 2013 Gebrüder Borntraeger Verlagsbuchhandlung, Stuttgart, Germany.</t>
  </si>
  <si>
    <t>2-s2.0-84931320110"</t>
  </si>
  <si>
    <t>10.1038/ngeo2204</t>
  </si>
  <si>
    <t>https://www.scopus.com/inward/record.uri?eid=2-s2.0-84905224199&amp;doi=10.1038%2fngeo2204&amp;partnerID=40&amp;md5=de34fbc6da2026394f2b350172ca20df</t>
  </si>
  <si>
    <t>Iceberg calving accounts for a significant proportion of annual mass loss from marine-terminating glaciers and may have been a factor in the rapid demise of ancient ice sheets. The largest contributions from the main outlet glaciers of the Greenland ice sheet to sea-level rise over the next two centuries have been projected to be dynamic in origin, that is, driven by glacier flow and calving. However, present physical models remain a coarse approximation of real calving mechanisms because models are poorly constrained by sparse glacier geometry observations. Here we present a record of daily digital elevation models from the calving margin of Greenland's Helheim Glacier at a high spatial resolution. Our digital elevation models are derived from stereo terrestrial photography taken over the summers of 2010 and 2011. We find that during these two summers dynamic mass loss at Helheim Glacier was dominated by calving events exceeding 1 km 3 that were the result of buoyant flexure and the propagation of basal crevasses. We suggest that this buoyancy-driven mechanism for calving may be common elsewhere in Greenland and could be a first-order control on the ice sheet's future contribution to sea-level rise. © 2014 Macmillan Publishers Limited.</t>
  </si>
  <si>
    <t>2-s2.0-84905224199"</t>
  </si>
  <si>
    <t>10.1007/s13157-014-0520-7</t>
  </si>
  <si>
    <t>https://www.scopus.com/inward/record.uri?eid=2-s2.0-84901588134&amp;doi=10.1007%2fs13157-014-0520-7&amp;partnerID=40&amp;md5=ddeeeb68c144a424e841510c8b148849</t>
  </si>
  <si>
    <t>Soils in riparian wetlands are thought to stifle eutrophication in coastal water bodies by entraining and transforming nutrients. Altered hydrology and sea level rise underscore the need to evaluate the role of salinity in nutrient cycling within these settings. We studied three intertidal wetlands along the St. Johns River estuary, Florida in order to relate soil phosphorus composition with the distribution of saltwater. Sites represented a tidal freshwater forest, a brackish marsh, and a saltmarsh. Total phosphorus and organic composition decreased along the axis of the estuary as ambient salinity increased.At upstream wetlands, porewater revealed an inverse correlation between PO4 3- and the presence of saltwater (Cl- and SO4 2-) suggesting soil efflux. During experiments, aerobic soils did not liberate PO4 3- when exposed to seawater. During anaerobic experiments, SO4 2- amended soils from a saltmarsh mobilized substantial amounts of PO4 3- but the same effect was not observed in low-salinity wetland soils. Results indicate that P availability is shaped by saltwater access in the estuary and that SO4 2- reduction may regenerate PO4 3- in the saltmarsh. We suggest this is relevant to the St. John's river in light of ongoing eutrophication and planned surfacewater withdrawals, which may draw saline water farther upstream. © Society of Wetland Scientists 2014.</t>
  </si>
  <si>
    <t>2-s2.0-84901588134"</t>
  </si>
  <si>
    <t>10.1016/j.margeo.2013.11.007</t>
  </si>
  <si>
    <t>https://www.scopus.com/inward/record.uri?eid=2-s2.0-84890335473&amp;doi=10.1016%2fj.margeo.2013.11.007&amp;partnerID=40&amp;md5=d4bf5921fbea780def88506508b166f4</t>
  </si>
  <si>
    <t>A sand balance coastal profile model for estimating cliff and shoreline retreats considering sea level rise is discussed. The model, specifically designed for cliffed coasts fronted by sandy beaches, conditionally permits beach and cliff retreat to occur independently, and includes subaerial cliff erosion and external beach sand sources. The model accommodates complex nearshore and inland topography, high volume beaches, and variable cliff composition, and is suitable where local sand balance is thought to be a primary controller of coastal evolution over decade-century time scales. Designating an upper active beach boundary and beach-cliff intersection divides the coastal profile into active beach and cliff sections separated by a back beach buffer. The buffer acts as a sand reservoir and delays marine driven cliff erosion, resulting in lower estimated cliff retreat compared to previous models neglecting protective beaches. The model was applied on 21. km of cliffs in Marine Corps Base Camp Pendleton, California considering sea level rise ranging from 0.5 to 2. m over 100. yrs using 207 profiles, sand budget deficits estimated from historical data, and sand inputs from terrestrial erosion estimated from a time series of lidar data. Modeled mean and maximum scenario cliff retreats ranged from 4-87. m and 21-179. m, respectively, and provide order of magnitude estimates, but are reliant on model assumptions and do not include potential coastal changes unrelated to local sand balance. The results underscore the influence of protective beaches on cliff retreat. © 2013 Elsevier B.V.</t>
  </si>
  <si>
    <t>2-s2.0-84890335473"</t>
  </si>
  <si>
    <t>10.3189/2014AoG66A001</t>
  </si>
  <si>
    <t>https://www.scopus.com/inward/record.uri?eid=2-s2.0-84903198522&amp;doi=10.3189%2f2014AoG66A001&amp;partnerID=40&amp;md5=a6d7f40c7fbcd71e2129cbf53b5e1492</t>
  </si>
  <si>
    <t>Kyagar glacier is located in the Chinese Karakoram mountains. The glacier tongue entirely blocks the riverbed in the upper Shaksgam valley and impounds a glacial lake, which was the source of several violent and disastrous glacial lake outburst floods (GLOFs). A GLOF early warning system was implemented between 2011 and 2013. We present an integrative analysis of the hazard potential of Kyagar lake, taking into account the ice flow dynamics of Kyagar glacier as well as the recent surface mass-balance response to climate change. Comparison of two high-resolution digital elevation models (DEMs) for the ice dam shows surface lowering rates of &gt;5ma-1 between 2002 and 2011, leading to a significant reduction in the maximum potential lake volume. However, two DEMs covering the entire glacier for the period 2000-10 indicate mass gains in its central part, and flow speed measurements show an acceleration in this region. This pattern of local ice-thickness changes combined with varying ice flow velocities is typical for surge-type glaciers. The velocity of the glacier surface and of the ice dam between 2011 and 2012 are analyzed at high temporal and spatial resolution, based on feature tracking of synthetic aperture radar (SAR) images.</t>
  </si>
  <si>
    <t>2-s2.0-84903198522"</t>
  </si>
  <si>
    <t>10.1007/s13157-014-0540-3</t>
  </si>
  <si>
    <t>https://www.scopus.com/inward/record.uri?eid=2-s2.0-84905906831&amp;doi=10.1007%2fs13157-014-0540-3&amp;partnerID=40&amp;md5=ed094204c1e2458319554c7e85f6a2dc</t>
  </si>
  <si>
    <t>Salt marsh restoration is hypothesized to provide shoreline stabilization, increased fish habitat, and organic carbon subsidies for estuarine food webs. Organic carbon comes from diverse primary producers that differ in carbon fixation rates and areal extent within wetland systems. This study was designed to obtain some of the first estimates of the relative contribution of different primary producers to total organic carbon production within open water and tidally flooded wetlands of the northern San Francisco Estuary (SFE). Carbon fixation rates of phytoplankton, microphytobenthos, and low marsh emergent vegetation were measured in two natural and four restoring wetlands in 2004. Areal (m2) rates of carbon fixation were greatest for low marsh vegetation, while phytoplankton and microphytobenthos rates were one and two orders of magnitude lower, respectively. However, when areal production rates were scaled to the amount of habitat available for each primary producer group, the relative importance of each group varied by location. Given that each primary producer group supports a different subset of estuarine consumers, the type of food subsidy desired should influence the amount open water channel, mudflat and low marsh area restored. Large-scale wetland restoration activities should consider the types of primary producers likely to occupy restored habitats when estimating future food web impacts. © 2014 Society of Wetland Scientists.</t>
  </si>
  <si>
    <t>2-s2.0-84905906831"</t>
  </si>
  <si>
    <t>10.30955/gnj.001226</t>
  </si>
  <si>
    <t>https://www.scopus.com/inward/record.uri?eid=2-s2.0-84902239551&amp;doi=10.30955%2fgnj.001226&amp;partnerID=40&amp;md5=2bd4c27378d4ecdeffb984e567b0fb8a</t>
  </si>
  <si>
    <t>This paper presents the sensitivity analysis results of feed forward multilayer perceptron based Artificial Neural Network model for water level prediction in a data constraint transnational Surma River of Bangladesh. Catchment characteristics, hydro-geomorphological, meteorological and headwater information of the upper catchment area are not available to the authors. As such past daily total rainfall and water levels data available within the country are utilized in this study. Logistic sigmoid activation function with unit steepness parameter is exercised for non-linear transformations in both hidden and output layers. Synaptic weights are adjusted using modified delta rule through error back propagation algorithm. Batch mode of training is adopted for global error minimization. Finally, statistical indicators are used to evaluate the prediction performance of the neural network. The model is then applied to predict water levels with twenty four and forty eight hours lead time. It is found that a single hidden layer with two hidden neurons are adequate to train the network. A higher number of hidden neurons is speeding up the training procedure, but with an unacceptable generalization for the application. The authors have successfully created a model that recognizes the intricate pattern of water levels, without having the spatially distributed geomorphic characteristics of the watershed and the time-series of the climatic factors. © 2014 Global NEST.</t>
  </si>
  <si>
    <t>2-s2.0-84902239551"</t>
  </si>
  <si>
    <t>10.1007/s10661-014-3790-x</t>
  </si>
  <si>
    <t>https://www.scopus.com/inward/record.uri?eid=2-s2.0-84905969840&amp;doi=10.1007%2fs10661-014-3790-x&amp;partnerID=40&amp;md5=0493226cd65c8d36e9588b5d19243f78</t>
  </si>
  <si>
    <t>The accumulation of heavy metals in soil and water is a serious concern due to their persistence and toxicity. This study investigated the vertical distribution of heavy metals, possible sources and their relation with soil texture in a soil profile from seasonally waterlogged agriculture fields of Eastern Ganges basin. Fifteen samples were collected at ∼0.90-m interval during drilling of 13.11 mbgl and analysed for physical parameters (moisture content and grain size parameters: sand, silt, clay ratio) and heavy metals (Fe, Mn, Cr, Cu, Pb, Zn, Co, Ni and Cd). The average metal content was in the decreasing order of Fe&gt;Mn&gt;Cr&gt;Zn&gt;Ni&gt;Cu&gt;Co&gt;Pb&gt;Cd. Vertical distribution of Fe, Mn, Zn and Ni shows more or less similar trends, and clay zone records high concentration of heavy metals. The enrichment of heavy metals in clay zone with alkaline pH strongly implies that the heavy metal distributions in the study site are effectively regulated by soil texture and reductive dissolution of Fe and Mn oxy-hydroxides. Correlation coefficient analysis indicates that most of the metals correlate with Fe, Mn and soil texture (clay and silt). Soil quality assessment was carried out using geoaccumulation index (Igeo), enrichment factor (EF) and contamination factor (CF). The enrichment factor values were ranged between 0.66 (Mn) and 2.34 (Co) for the studied metals, and the contamination factor values varied between 0.79 (Mn) and 2.55 (Co). Results suggest that the elements such as Cu and Co are categorized as moderate to moderately severe contamination, which are further confirmed by Igeo values (0.69 for Cu and 0.78 for Co). The concentration of Ni exceeded the effects-range median values, and the biological adverse effect of this metal is 87 %. The average concentration of heavy metals was compared with published data such as concentration of heavy metals in Ganga River sediments, Ganga Delta sediments and upper continental crust (UCC), which apparently revealed that heavy metals such as Fe, Mn, Cr, Pb, Zn and Cd are influenced by the dynamic nature of flood plain deposits. Agricultural practice and domestic sewage are also influenced on the heavy metal content in the study area. © 2014 Springer International Publishing.</t>
  </si>
  <si>
    <t>2-s2.0-84905969840"</t>
  </si>
  <si>
    <t>10.1007/s00267-014-0299-6</t>
  </si>
  <si>
    <t>https://www.scopus.com/inward/record.uri?eid=2-s2.0-84905564368&amp;doi=10.1007%2fs00267-014-0299-6&amp;partnerID=40&amp;md5=ec2c31926fb23d926355c07810e2b458</t>
  </si>
  <si>
    <t>Many countries are confronting climate change that threatens agricultural production and farmers' lives. Farmers' perceived risks of climate change and factors influencing those perceived risks are critical to their adaptive behavior and well-planned adaptation strategies. However, there is limited understanding of these issues. In this paper, we attempt to quantitatively measure farmers' perceived risks of climate change and explore the influences of risk experience, information, belief in climate change, and trust in public adaptation to those perceived risks. Data are from structured interviews with 598 farmers in the Mekong Delta. The study shows that perceived risks to production, physical health, and income dimensions receive greater priority while farmers pay less attention to risks to happiness and social relationships. Experiences of the events that can be attributed to climate change increase farmers' perceived risks. Information variables can increase or decrease perceived risks, depending on the sources of information. Farmers who believe that climate change is actually happening and influencing their family's lives, perceive higher risks in most dimensions. Farmers who think that climate change is not their concern but the government's, perceive lower risks to physical health, finance, and production. As to trust in public adaptation, farmers who believe that public adaptive measures are well co-ordinated, perceive lower risks to production and psychology. Interestingly, those who believe that the disaster warning system is working well, perceive higher risks to finance, production, and social relationships. Further attention is suggested for the quality, timing, and channels of information about climate change and adaptation. © 2014 Springer Science+Business Media.</t>
  </si>
  <si>
    <t>2-s2.0-84905564368"</t>
  </si>
  <si>
    <t>10.1007/s11069-014-1139-y</t>
  </si>
  <si>
    <t>https://www.scopus.com/inward/record.uri?eid=2-s2.0-84905705360&amp;doi=10.1007%2fs11069-014-1139-y&amp;partnerID=40&amp;md5=bf86c30da180efbb3375973677bf8985</t>
  </si>
  <si>
    <t>The densely populated coastline of Thiruvananthapuram district of Kerala, along the southwest coast of India, is sensitive to sea surge and severe coastal erosion. The December 2004 Indian Ocean Tsunami had inundated several parts of this coastal zone, indicating nature of sensitivity. The present study is an attempt to develop a coastal sensitivity index (CSI) for Thiruvananthapuram coast within the framework of coastal sediment cells. Seven variables, namely (a) coastal slope, (b) geomorphology, (c) shoreline change, (d) mean sea-level rise, (e) nearshore slope, (f) significant wave height and (g) mean tide range, were adopted in calculation of CSI (the square root of the product of the ranked variables divided by the number of variables). Remote sensing data, topographic maps supported by field work and data from numerical models are used in geographic information system environment to generate CS index for each kilometer segment of this 76-km coastline. This study reveals that 72 % of the Thiruvananthapuram coastline falls in the high sensitive category. This exercise, first of its kind for Kerala coast will be useful for disaster mitigation and management. © 2014 Springer Science+Business Media Dordrecht.</t>
  </si>
  <si>
    <t>2-s2.0-84905705360"</t>
  </si>
  <si>
    <t>10.2112/JCOASTRES-D-13-00139.1</t>
  </si>
  <si>
    <t>https://www.scopus.com/inward/record.uri?eid=2-s2.0-84904644750&amp;doi=10.2112%2fJCOASTRES-D-13-00139.1&amp;partnerID=40&amp;md5=f91bd1042d427d2baacdc3a93fb4a74e</t>
  </si>
  <si>
    <t>Multidecadal shoreline changes in Denmark. Multidecadal shoreline changes along ca. 7000 km coastline around Denmark were computed for the time interval between 1862 AD and 2005 AD and were connected with a geomorphological coastal classification. The shoreline data set was based on shoreline positions from historical and modern topographic maps. Coastal landforms were identified on a digital terrain model in combination with aerial photographs. Two shoreline-change computation methods were evaluated at a test site, aiming for optimized time efficiency and accuracy of the countrywide application: a Nearest Neighbor search and a cross-shore transect method based on the ArcGIS-based Digital Shoreline Analysis System (DSAS). The cross-shore transect method was more robust and performed better in the detection of local extremes in shoreline changes, which was crucial for the scope of the mapping. Countrywide shoreline-change distances and rates were, therefore, computed with the DSAS method. Patterns in coastline dynamics were identified through the connection of shoreline-change rates with the occurrence of coastal landforms. Short-term changes and alterations of shoreline evolution through coastal structures were not resolved in this study. Because of the long time span covered, the relative errors originating from data and method are acceptable. The scope of the mapping was to provide a coastal management tool that allows screening for critical sites with respect to coastal erosion. As the first countrywide quantification of historical shoreline changes around Denmark, the mapping can contribute to enhanced adaptation and mitigation strategies in response to increased risks of erosion and flooding under a changing climate. © Coastal Education &amp; Research Foundation 2014.</t>
  </si>
  <si>
    <t>2-s2.0-84904644750"</t>
  </si>
  <si>
    <t>10.1016/j.envsoft.2014.07.006</t>
  </si>
  <si>
    <t>https://www.scopus.com/inward/record.uri?eid=2-s2.0-84904871744&amp;doi=10.1016%2fj.envsoft.2014.07.006&amp;partnerID=40&amp;md5=de06d4bf8a961997e45b9bde89557491</t>
  </si>
  <si>
    <t>A stepwise procedure has been developed in Python to extract information from OpenStreetMap (OSM) for hydrological and hydraulic models using existing and newly developed tools. The procedure focuses on the extraction of paved areas and water bodies. Road density is used to fill in gaps in OSM polygon coverage. Furthermore, it includes automatic downloading of Shuttle Radar Topography Mission (SRTM) elevation data and improving the elevation model with man-made landscape features such as elevated roads that are sampled from OSM. This is useful for hydraulic modelling in data scarce flood plain areas, where sharp elevation differences are dominated by man-made elevated elements. Test cases in Europe, South East Asia and East Africa demonstrate the potential of the procedure, although large differences in completeness of OSM coverage suggest it is best used in combination with other data sources. © 2014 Elsevier Ltd.</t>
  </si>
  <si>
    <t>2-s2.0-84904871744"</t>
  </si>
  <si>
    <t>10.1002/2014JB011132</t>
  </si>
  <si>
    <t>https://www.scopus.com/inward/record.uri?eid=2-s2.0-84906079482&amp;doi=10.1002%2f2014JB011132&amp;partnerID=40&amp;md5=b0c5765d8d44a60bbd5bcbd6e516091f</t>
  </si>
  <si>
    <t>Differencing digital elevation models (DEMs) derived from TerraSAR add-on for Digital Elevation Measurements (TanDEM-X) synthetic aperture radar imagery provides a measurement of elevation change over time. On the East Rift Zone (EZR) of Kīlauea Volcano, Hawai'i, the effusion of lava causes changes in topography. When these elevation changes are summed over the area of an active lava flow, it is possible to quantify the volume of lava emplaced at the surface during the time spanned by the TanDEM-X data - a parameter that can be difficult to measure across the entirety of an ~100â€‰km 2 lava flow field using ground-based techniques or optical remote sensing data. Based on the differences between multiple TanDEM-X-derived DEMs collected days to weeks apart, the mean dense-rock equivalent time-averaged discharge rate of lava at Kīlauea between mid-2011 and mid-2013 was approximately 2â€‰m3/s, which is about half the long-term average rate over the course of Kīlauea's 1983-present ERZ eruption. This result implies that there was an increase in the proportion of lava stored versus erupted, a decrease in the rate of magma supply to the volcano, or some combination of both during this time period. In addition to constraining the time-averaged discharge rate of lava and the rates of magma supply and storage, topographic change maps derived from space-based TanDEM-X data provide insights into the four-dimensional evolution of Kīlauea's ERZ lava flow field. TanDEM-X data are a valuable complement to other space-, air-, and ground-based observations of eruptive activity at Kīlauea and offer great promise at locations around the world for aiding with monitoring not just volcanic eruptions but any hazardous activity that results in surface change, including landslides, floods, earthquakes, and other natural and anthropogenic processes. Key Points Sequential DEMs from TanDEM-X reveal lava discharge rates at Kīlauea Volcano Lava effusion at Kīlauea during 2011-2013 was half the long-term average rate Low lava discharge indicates low magma supply and/or increased magma storage © 2014. American Geophysical Union. All Rights Reserved.</t>
  </si>
  <si>
    <t>2-s2.0-84906079482"</t>
  </si>
  <si>
    <t>10.3390/rs6109930</t>
  </si>
  <si>
    <t>https://www.scopus.com/inward/record.uri?eid=2-s2.0-84923559309&amp;doi=10.3390%2frs6109930&amp;partnerID=40&amp;md5=5411291b4dad6b055c92050853f6472e</t>
  </si>
  <si>
    <t>Continued sea-level rise and coastal development have led to considerable concerns on coastline changes along inhabited islands. Analysis of long-term coastline changes of islands is however limited due to unavailable data and the cost of field work. In this study, high-resolution images taken from 1970-2011 at an interval of about 10 years and topographic maps were collected to determine coastline changes and their drivers in the Zhoushan Islands, China. Results show that nearly all inhabited islands appeared to have noteworthy seaward expansion during the past four decades. Coastline change rates varied among islands, and the annual change rate of Zhoushan Island (the main island) reached 12.83 ± 0.17 m/year during the same period. Since 2003, the study area has been dominated by artificial coast. The proportion of harbor/port and urban/industrial coast has significantly increased, while rocky coasts and shelter-farm coasts have shrunk greatly. Preliminary analysis of drivers for these coastline changes across the Zhoushan Islands highlights the roles of human policies during different periods as well as location, which were the dominant factors controlling the great spatial and temporal complexity of coastline changes of the major islands. Sediment supply from the Yangtze River decreased after the completion of the Three Gorges Dam in 2003</t>
  </si>
  <si>
    <t>Climate Research</t>
  </si>
  <si>
    <t>10.3354/cr01257</t>
  </si>
  <si>
    <t>https://www.scopus.com/inward/record.uri?eid=2-s2.0-84917730550&amp;doi=10.3354%2fcr01257&amp;partnerID=40&amp;md5=0138ddc4a521b9c8b13766001e44786d</t>
  </si>
  <si>
    <t>Climate change is likely to have profound economic consequences for Egypt. This study evaluates the potential economic impacts resulting from changes in water supplies, agriculture, air quality, heat stress, and tourism. Other sensitive sectors, including water pollution, energy consumption, and biodiversity, were not assessed. Sea level rise threatens agricultural land and property in the Nile Delta. Higher temperatures can reduce agricultural production, a situation that can be made worse with lower water supplies. As a result, unemployment and food prices may increase, risking increased malnutrition. Human health in Cairo could be adversely affected by increased particulate matter and heat stress, potentially leading to thousands of deaths valued at tens of billions of Egyptian pounds per year. Annual tourist revenues are estimated to decrease as well. Total economic losses for the sectors mentioned above are estimated to reach ∼200 to 350 billion Egyptian pounds (EGP</t>
  </si>
  <si>
    <t>10.1016/j.envsoft.2014.07.016</t>
  </si>
  <si>
    <t>https://www.scopus.com/inward/record.uri?eid=2-s2.0-84907376885&amp;doi=10.1016%2fj.envsoft.2014.07.016&amp;partnerID=40&amp;md5=3927d5eac01c3e9c1e94e4e829cf802d</t>
  </si>
  <si>
    <t>The 2D numerical simulation of river flow requires a large amount of topographic data to build an accurate Digital Terrain Model which must cover the main river channel and the area likely to be flooded. DTMs for large floodplains are often generated by LiDAR flights. However, it is often impossible to obtain LiDAR data of permanently inundated river beds. These areas are often surveyed and discrete cross-sections of the river channel are obtained. This work presents an algorithm to generate the missing information for the areas between cross-sections. The algorithm allows to generate a river bed which preserves important morphological features such as meanders and thalweg trajectory. Two benchmark cases are studied: a synthetic river-floodplain system and a real case application on a reach of the Ebro river in Spain. The cases are analyzed from a geometry and hydrodynamics perspective by performing 2D simulations with good results. © 2014 Elsevier Ltd.</t>
  </si>
  <si>
    <t>2-s2.0-84907376885"</t>
  </si>
  <si>
    <t>10.1080/02626667.2013.843777</t>
  </si>
  <si>
    <t>https://www.scopus.com/inward/record.uri?eid=2-s2.0-84901697169&amp;doi=10.1080%2f02626667.2013.843777&amp;partnerID=40&amp;md5=98a89f08730eeaa4a6a8dc21011e9ca3</t>
  </si>
  <si>
    <t>River managers worldwide are increasingly addressing flow needs for ecosystem processes and services in their management plans for dams and reservoirs. However, while planning and scientific assessments have advanced substantially, successful re-operation of infrastructure to achieve environmental benefits has been more limited. The Sustainable Rivers Project (SRP) was formalized in 2002, as a national partnership between the United States Army Corps of Engineers and The Nature Conservancy to define and implement environmental flows through adaptive reservoir management. The project has focused on eight demonstration basins containing 36 Corps dams, but is designed to direct the collective experience from these sites to help guide agency-wide operational changes for as many as 600 dams to benefit up to 80 000 river kilometres and tens of thousands of hectares of related floodplain and estuarine habitat. This article summarizes the progress to date on defining and implementing environmental flows through the SRP, and evaluates the technical, social, legal, and institutional factors that act as dominant enabling conditions and constraints to implementation. Editor Z.W. Kundzewicz</t>
  </si>
  <si>
    <t>10.1007/s12517-013-0941-2</t>
  </si>
  <si>
    <t>https://www.scopus.com/inward/record.uri?eid=2-s2.0-84901501907&amp;doi=10.1007%2fs12517-013-0941-2&amp;partnerID=40&amp;md5=546137fb5ab3a66a35a1c93c93f4ee68</t>
  </si>
  <si>
    <t>Flash floods are considered as catastrophic phenomena possessing major hazardous threat to the coastal cities, towns, villages and infrastructures. This study deals with the evaluation of flash flood hazard in the ungauged Wadi Al Lith basin depending on detailed morphometric characteristics of Al Lith basin and its sub-basins. For the detailed study, ASTER data were used for preparing digital elevation model (DEM), and geographical information system (GIS) was used in the evaluation of linear, areal and relief aspects of morphometric parameters. The major parameters such as watershed boundary, flow accumulation, flow direction, flow length and stream ordering are prepared using the ArcHydro Tool. Surface Tool in ArcGIS-10 software, and ASTER (DEM) was used to create different thematic maps such as DEM, contour, slope aspect and hill shade maps. Twenty-five morphometric parameters were measured, calculated and interlinked to produce nine effective parameters for evaluation of the flash flood hazard degree of the study area. Based on nine morphometric parameters which affect the hydrologic behaviour of the Wadi, by influence on time of concentration which has a direct influence on flooding prone area. The flash flood hazard of the Al Lith basin and its sub-basins was identified and classified into three groups (high, medium and low hazard degree). The study provides details on the flash flood-prone area (Wadi Al Lith) and the mitigation measures. This study also helps to plan rainwater harvesting and watershed management in the flash flood alert zones. © 2013 Saudi Society for Geosciences.</t>
  </si>
  <si>
    <t>2-s2.0-84901501907"</t>
  </si>
  <si>
    <t>10.3724/SP.J.1261.2014.00003</t>
  </si>
  <si>
    <t>https://www.scopus.com/inward/record.uri?eid=2-s2.0-85018197527&amp;doi=10.3724%2fSP.J.1261.2014.00003&amp;partnerID=40&amp;md5=eec69d51fd7c51d1789a5ba75a8ed55d</t>
  </si>
  <si>
    <t>Over the last 30 years, terrestrial ichnofossil research was mostly focused on three ichnofacies: the Scoyenia ichnofacies, characterizing transitional fluvio-lacustrine environments, the Mermia ichnofacies, characterizing fully lacustrine settings, and the Termitichnus ichnofacies, characterizing terrestrial environments, especially, paleosol deposits. Specially in China, many terrestrial ichnofossils, including at least 24 ichnogenera from fluvial deposits and 59 ichnogenera from lacustrine deposits, have been found in Mesozoic and Cenozoic basins. Most of them belong to the common elements of the three ichnofacies and consist of feeding, grazing, crawling, dwelling, and resting traces and rhizoliths. Based on the composition, occurrence and distribution characteristics of trace fossils from terrestrial sedimentary basins of China, 36 ichnoassemblages have been proposed. However, the most common 12 ichnoassemblages, in which six are found in fluvial sedimentary environments from the Upper Cretaceous of the Sichuan Basin in western China and Xixia Basin in western Henan Province, include: (1) Scoyenia–Rusophycus ichnoassemblage generated in the floodplain along channels and the shallow water swales or lakes (such as oxbow lakes)</t>
  </si>
  <si>
    <t>10.1038/nclimate2216</t>
  </si>
  <si>
    <t>https://www.scopus.com/inward/record.uri?eid=2-s2.0-84901591464&amp;doi=10.1038%2fnclimate2216&amp;partnerID=40&amp;md5=b820787738804f3384f2c878ee9ffb9f</t>
  </si>
  <si>
    <t>In the high-salinity seaward portions of estuaries, oysters seek refuge from predation, competition and disease in intertidal areas, but this sanctuary will be lost if vertical reef accretion cannot keep pace with sea-level rise (SLR). Oyster-reef abundance has already declined â ̂1/485% globally over the past 100 years, mainly from over harvesting, making any additional losses due to SLR cause for concern. Before any assessment of reef response to accelerated SLR can be made, direct measures of reef growth are necessary. Here, we present direct measurements of intertidal oyster-reef growth from cores and terrestrial lidar-derived digital elevation models. On the basis of our measurements collected within a mid-Atlantic estuary over a 15-year period, we developed a globally testable empirical model of intertidal oyster-reef accretion. We show that previous estimates of vertical reef growth, based on radiocarbon dates and bathymetric maps, may be greater than one order of magnitude too slow. The intertidal reefs we studied should be able to keep up with any future accelerated rate of SLR (ref.) and may even benefit from the additional subaqueous space allowing extended vertical accretion. © 2014 Macmillan Publishers Limited.</t>
  </si>
  <si>
    <t>2-s2.0-84901591464"</t>
  </si>
  <si>
    <t>10.2166/wp.2014.005</t>
  </si>
  <si>
    <t>https://www.scopus.com/inward/record.uri?eid=2-s2.0-84904293170&amp;doi=10.2166%2fwp.2014.005&amp;partnerID=40&amp;md5=385aa33e7fb6784fc46978c9a0670860</t>
  </si>
  <si>
    <t>This paper discusses the historic and contemporary challenges in the management of the lower Mississippi River Basin, and describes the evolving role of the federal government in addressing these challenges. In the early eighteenth century, the federal government was responsible for maintaining a navigable channel. After repeated calls by states for federal assistance with flood control and a devastating flood in 1927, the federal government additionally became the primary body responsible for protecting the Delta from floods. Although the resulting flood control system provided greater protection, it also brought new challenges, such as an increasingly large hypoxic zone in the Gulf of Mexico, land subsidence in southern Louisiana and water quality issues. The confluence of these environmental concerns and changing national values have once again broadened the scope of federal responsibility to include environmental management and ecosystem restoration, along with its original involvement in navigation and flood control. This triad of responsibility carries with it often-competing objectives that must be balanced within legal and institutional constraints, most notably a deficit of available funding for inland waterway projects and what appears to be a lack of political will for continued investment in the maintenance of existing and development of new projects. © 2014 IWA Publishing.</t>
  </si>
  <si>
    <t>2-s2.0-84904293170"</t>
  </si>
  <si>
    <t>10.3189/2014AoG67A001</t>
  </si>
  <si>
    <t>https://www.scopus.com/inward/record.uri?eid=2-s2.0-84907357046&amp;doi=10.3189%2f2014AoG67A001&amp;partnerID=40&amp;md5=aba2f859a9503b97990608f08afad5cd</t>
  </si>
  <si>
    <t>Dynamic ice-sheet models are used to assess the contribution of mass loss from the Greenland ice sheet to sea-level rise. Mass transfer from ice sheet to ocean is in a large part through outlet glaciers. Bed topography plays an important role in ice dynamics, since the acceleration from the slow-moving inland ice to an ice stream is in many cases caused by the existence of a subglacial trough or trough system. Problems are that most subglacial troughs are features of a scale not resolved in most ice-sheet models and that radar measurements of subglacial topography do not always reach the bottoms of narrow troughs. The trough-system algorithm introduced here employs mathematical morphology and algebraic topology to correctly represent subscale features in a topographic generalization, so the effects of troughs on ice flow are retained in ice-dynamic models. The algorithm is applied to derive a spatial elevation model of Greenland subglacial topography, integrating recently collected radar measurements (CReSIS data) of the Jakobshavn Isbræ, Helheim, Kangerdlussuaq and Petermann glacier regions. The resultant JakHelKanPet digital elevation model has been applied in dynamic ice-sheet modeling and sea-level-rise assessment.</t>
  </si>
  <si>
    <t>2-s2.0-84907357046"</t>
  </si>
  <si>
    <t>10.1175/MWR-D-13-00266.1</t>
  </si>
  <si>
    <t>https://www.scopus.com/inward/record.uri?eid=2-s2.0-84905717460&amp;doi=10.1175%2fMWR-D-13-00266.1&amp;partnerID=40&amp;md5=0c81d835df0fc35879ab597ffc2167cf</t>
  </si>
  <si>
    <t>This study evaluates and compares the performances of several variants of the popular ensembleKalman filter for the assimilation of storm surge data with the advanced circulation (ADCIRC) model. Using meteorological data from Hurricane Ike to force the ADCIRC model on a domain including the Gulf ofMexico coastline, the authors implement and compare the standard stochastic ensembleKalman filter (EnKF) and three deterministic square root EnKFs: the singular evolutive interpolated Kalman (SEIK) filter, the ensemble transform Kalman filter (ETKF), and the ensemble adjustment Kalman filter (EAKF). Covariance inflation and localization are implemented in all of these filters. The results from twin experiments suggest that the square root ensemble filters could lead to very comparable performances with appropriate tuning of inflation and localization, suggesting that practical implementation details are at least as important as the choice of the square root ensemble filter itself. These filters also perform reasonably well with a relatively small ensemble size, whereas the stochastic EnKF requires larger ensemble sizes to provide similar accuracy for forecasts of storm surge.</t>
  </si>
  <si>
    <t>2-s2.0-84905717460"</t>
  </si>
  <si>
    <t>10.22499/2.6403.002</t>
  </si>
  <si>
    <t>https://www.scopus.com/inward/record.uri?eid=2-s2.0-84939157572&amp;doi=10.22499%2f2.6403.002&amp;partnerID=40&amp;md5=6d24ceb5559a88e2c8f84ac4e09fe4e8</t>
  </si>
  <si>
    <t>A new historical database describing major floods and associated weather systems that occurred in coastal catchments, from Brisbane in southeastern Australia to Eden approximately 1500 km further south, is described. In order to produce a homogeneous record of major flood and weather-type frequency we restrict attention to the period 1860-2012, when the region (i) is extensively populated, (ii) has an extensive coverage of meteorological stations, (iii) is extensively connected by telecommunication, and (iv) when there is busy coastal shipping offshore. A total of 253 major floods over this period are identified. A flood is considered here to be 'major' if it causes inundation of a river within approximately 50 km of the coast or if there is non-riverine flooding over land near the coast, extending 20 km or more along the coast. All major floods are associated with either (a) East Coast Lows (ECLs) or (b) Tropical Interactions (TIs). Three types of TIs are identified and described. ECLs triggered more major floods than TIs (57 per cent versus 43 per cent), but TIs caused more deaths from freshwater flooding (62 per cent versus 38 per cent) and they tended to cause over twice as many deaths per event (3.6 versus 1.7 deaths/event on average). Some of the most extreme events identified occurred in the 19th century and early-to-mid 20th century. If such events were to occur today they would have catastrophic impacts due to the massive increase in urban development in the study region since that time.</t>
  </si>
  <si>
    <t>2-s2.0-84939157572"</t>
  </si>
  <si>
    <t>10.3189/2014JoG13J119</t>
  </si>
  <si>
    <t>https://www.scopus.com/inward/record.uri?eid=2-s2.0-84903158957&amp;doi=10.3189%2f2014JoG13J119&amp;partnerID=40&amp;md5=17dd0666fd8cf4f4811740342d00cf17</t>
  </si>
  <si>
    <t>Alaskan glaciers are among the largest regional contributors to sea-level rise in the latter half of the 20th century. Earlier studies have documented extensive and accelerated ice wastage in most regions of Alaska. Here we study five decades of mass loss on high-elevation, land-terminating glaciers of the Wrangell Mountains (~4900 km2) in central Alaska based on airborne center-line laser altimetry data from 2000 and 2007, a digital elevation model (DEM) from ASTER and SPOT5, and US Geological Survey topographic maps from 1957. The regional mass-balance estimates derived from center-line laser altimetry profiles using two regional extrapolation techniques agree well with that from DEM differencing. Repeat altimetry measurements reveal accelerated mass loss over the Wrangell Mountains, with the regional mass-balance rate evolving from -0.07±0.19mw.e. a-1 during 1957-2000 to -0.24±0.16mw.e. a-1 during 2000-07. Nabesna, the largest glacier in this region (~1056km2), lost mass four times faster during 2000-07 than during 1957-2000. Although accelerated, the mass change over this region is slower than in other glacierized regions of Alaska, particularly those with tidewater glaciers. Together, our laser altimetry and satellite DEM analyses demonstrate increased wastage of these glaciers during the last 50 years.</t>
  </si>
  <si>
    <t>2-s2.0-84903158957"</t>
  </si>
  <si>
    <t>10.1016/j.ijdrr.2014.06.001</t>
  </si>
  <si>
    <t>https://www.scopus.com/inward/record.uri?eid=2-s2.0-84906494791&amp;doi=10.1016%2fj.ijdrr.2014.06.001&amp;partnerID=40&amp;md5=9c1187c6c2e690eafc7a78805f52e0e9</t>
  </si>
  <si>
    <t>The objectives of the study are flood hazard mapping and crops and settlement vulnerability assessment in a low laying riverine flood prone area of Bangladesh for different flood magnitudes. Flood hazard maps have been developed for different flood magnitudes integrating the Digital Elevation Model (DEM) data of Shuttle Radar Topographic Mission (SRTM) and interpolation of water level height of different water stations. Frequency analysis has been carried out to determine the water level of 2.33, 5, 10, 20, 50 and 100-year return periods flood. Landuse or land cover map has been generated from the LANDSAT satellite images supervised classification. Vulnerability functions of risk elements and flood hazard maps are analyzed in GIS environment to develop vulnerability maps. Most of the settlement vulnerable areas were found in low laying lands from the settlement and crops vulnerability maps. This flood hazard vulnerability map can be used for selecting the type of crops and area for cultivation during the monsoon period on the basis of magnitudes of inundation of different flood zones. © 2014 Elsevier Ltd.</t>
  </si>
  <si>
    <t>2-s2.0-84906494791"</t>
  </si>
  <si>
    <t>World Applied Sciences Journal</t>
  </si>
  <si>
    <t>10.5829/idosi.wasj.2014.32.03.14505</t>
  </si>
  <si>
    <t>https://www.scopus.com/inward/record.uri?eid=2-s2.0-84975486128&amp;doi=10.5829%2fidosi.wasj.2014.32.03.14505&amp;partnerID=40&amp;md5=be83593cf630a0172ab03e208ee472b7</t>
  </si>
  <si>
    <t>A survey of the detailed quantitative assessment of the vulnerability of the Nile Delta coast of Egypt to the impacts of SLR and land subsidence is presented. Remote sensing, GIS and modeling techniques are used together with ground-based surveys to assess vulnerability of the most important economic and historic centers along the coast, the Governorates of Alexandria, Beheira, Kafr El-Sheikh and Damietta. The technique has also readily applicable to other vulnerable areas of the coastal zone of Egypt such as the governorate of Suez, Port Said and Matruh for future planning. The results indicated that, the Mediterranean coastal governorates are ranked as low-moderate and high vulnerable to the SLR. Also, in these governorates alone, over 4 million people will have abandon their homes, 0.5 million jobs and tourism income may also be lost due to SLR. The loss of the world famous historic, cultural and archeological sites is unaccountable. The severe land-use interference and the large population involved and conflicting requirements for the development makes it necessary to use decision-support systems based on GIS for future development and planning of these areas. Short-term adaptation measures are also necessary in the frame of the no regrets policy, involving beach nourishment, sand dune fixation, upgrading awareness and building institutional capability in the integrated coastal zone management are highly recommended. © IDOSI Publications, 2014.</t>
  </si>
  <si>
    <t>2-s2.0-84975486128"</t>
  </si>
  <si>
    <t>10.1002/2014JB011514</t>
  </si>
  <si>
    <t>https://www.scopus.com/inward/record.uri?eid=2-s2.0-84919632454&amp;doi=10.1002%2f2014JB011514&amp;partnerID=40&amp;md5=d96f0a59fda1dbc8e17fb95c9a0f4036</t>
  </si>
  <si>
    <t>Like many subduction zone earthquakes, the deadliest aspects of the 1964 M = 9.2 Alaska earthquake were the tsunamis it caused. The worst of these were generated by local submarine landslides induced by the earthquake. These caused high runups, engulfing several coastal towns in Prince William Sound. In this paper, we study one of these cases in detail, the Port Valdez submarine landslide and tsunami. We combine eyewitness reports, preserved film, and careful posttsunami surveys with new geophysical data to inform numerical models for landslide tsunami generation. We review the series of events as recorded at Valdez old town and then determine the corresponding subsurface events that led to the tsunami. We build digital elevation models of part of the pretsunami and posttsunami fjord-head delta. Comparing them reveals a ∼1500 m long region that receded 150 m to the east, which we interpret as the primary delta landslide source. Multibeam imagery and high-resolution seismic reflection data identify a ∼400 m wide chute with hummocky deposits at its terminus, which may define the primary slide path. Using these elements we run hydrodynamic models of the landslide-driven tsunamis that match observations of current direction, maximum inundation, and wave height at Valdez old town. We speculate that failure conditions at the delta front may have been influenced by manmade changes in drainage patterns as well as the fast retreat of Valdez and other glaciers during the past century. © 2014. American Geophysical Union. All Rights Reserved.</t>
  </si>
  <si>
    <t>2-s2.0-84919632454"</t>
  </si>
  <si>
    <t>10.1016/j.jag.2014.03.021</t>
  </si>
  <si>
    <t>https://www.scopus.com/inward/record.uri?eid=2-s2.0-84904474182&amp;doi=10.1016%2fj.jag.2014.03.021&amp;partnerID=40&amp;md5=b7b2f03d6fdb2f955a03c582d6db8137</t>
  </si>
  <si>
    <t>The impact of the construction of a large dam on riparian vegetation cover can be multifold. How the riparian vegetation cover changes at different elevation zones in response to the construction of a large dam and the subsequent impound of reservoir water is still an open question. In this study, we used satellite remote sensing data integrated with geographic information system (GIS) to monitor vegetation cover change at different riparian elevation zones on a large spatial scale, taking the Three Gorges Dam in China as an example. Due to the large scale of this newly formed reservoir, it is expected to impact the riparian vegetation canopy both directly and indirectly. We chose to monitor vegetation cover changes along the 100 km riparian stretch of river directly upstream of the Three Gorges Dam site, over the construction period of eleven years (2000-2010), using MODIS vegetation indices products, digital elevation model (DEM) data from ASTER, and the time series water level data of the Three Gorges reservoir as the data sources. Results show that non-vegetated area increased in the inundated zone (below 175 m), as expected</t>
  </si>
  <si>
    <t>Games</t>
  </si>
  <si>
    <t>10.3390/g5020127</t>
  </si>
  <si>
    <t>https://www.scopus.com/inward/record.uri?eid=2-s2.0-84903488075&amp;doi=10.3390%2fg5020127&amp;partnerID=40&amp;md5=172436c1e2e65b1cfcb2b7a82e9afc62</t>
  </si>
  <si>
    <t>Agents located from downstream to upstream along an estuary and exposed to a flooding risk have to invest in facilities like a seawall (or dike). As the benefits of that local public good increase along the estuary, upstream agents have to bargain for monetary compensation with the most downstream agent in exchange for more protection effort. The paper analyses different bargaining protocols and determines the conditions under which agents are better off. The results show that upstream agents are involved in a chicken game when they have to bargain with the most downstream agent. © 2014 by the authors</t>
  </si>
  <si>
    <t>10.1002/2014JB011639</t>
  </si>
  <si>
    <t>https://www.scopus.com/inward/record.uri?eid=2-s2.0-84931588054&amp;doi=10.1002%2f2014JB011639&amp;partnerID=40&amp;md5=089b2bc013255ea4ddb41a5c2ec9880b</t>
  </si>
  <si>
    <t>We present a new surface reconstruction procedure based on the Bayesian inference method for coastal relative sea level variation during the twentieth century. Average rates are computed from tide gauge records. Models based on a Voronoi tessellation adapt to the level of information which proves well suited to the strong heterogeneity of data. Each point of the reconstructed surface is defined through a probability density function, a format particularly well adapted to this climate-related datum. The resolution of reconstructed surfaces strongly varies among the six large regions considered and within a given region. Anomalous sea level variations recorded locally are shown to reflect either anthropogenic effects or well-identified fast tectonics. For a poor data coverage, these can cause a problematic distortion of the reconstructed surface. Europe, North America, Australia, and Africa present a single trend with a decreasing precision of the reconstructed surface as a function of resolution of the tide gauge record. The most prominent feature in Europe is the pronounced uplift of Fennoscandia. Coasts of United States have the best resolution in North America and present stronger rates of sea level rise on the Atlantic than their European counterparts. Australia (especially in the North) and Africa are poorly resolved. Asia and South America depart clearly from this trend: a relatively uniform rise is obtained for Asia in spite of a good tide gauge record. Conversely, the reconstructed surface for South America presents an exceptional degree of roughness, at odds with a relatively poor record. Overall, this method not only offers a new assessment of sea level change (validating earlier results) but also quantifies the reliability of estimates. ©2014. American Geophysical Union. All Rights Reserved.</t>
  </si>
  <si>
    <t>2-s2.0-84931588054"</t>
  </si>
  <si>
    <t>10.5194/nhess-14-2027-2014</t>
  </si>
  <si>
    <t>https://www.scopus.com/inward/record.uri?eid=2-s2.0-85006416099&amp;doi=10.5194%2fnhess-14-2027-2014&amp;partnerID=40&amp;md5=ea0f9a1541903c0f5a0204f3fd5049bd</t>
  </si>
  <si>
    <t>This research reconstructs the past evolution of the Limpopo River, a transboundary system located in southeastern Africa, and describes its geomorphological settings through a literature review and field work activities, with the aim of analysing flood hazard in the basin. Major changes have occurred since the late Jurassic-early Cretaceous period due to successive tectonic events. The paper demonstrates that the apparently abandoned drainage conformation of the palaeo-Limpopo in the upper and middle stretches of the river today constitutes preferential flood-prone areas in the case of major rainfall events. An important palaeo-delta is identified in the lower Limpopo, which imposes a particular drainage pattern onto the floodplain in Mozambique and influences the flood dynamics at present. The adopted method is helpful in determining flood hazard in a data-scarce area showing complex fluvial dynamics, and allows for the identification of unsuitable locations for human settlements. © Author(s) 2014. CC Attribution 3.0 License.</t>
  </si>
  <si>
    <t>2-s2.0-85006416099"</t>
  </si>
  <si>
    <t>10.1080/17445647.2013.862748</t>
  </si>
  <si>
    <t>https://www.scopus.com/inward/record.uri?eid=2-s2.0-84891924258&amp;doi=10.1080%2f17445647.2013.862748&amp;partnerID=40&amp;md5=10f8ff0689f197a7e1f27489b62d02be</t>
  </si>
  <si>
    <t>The Dandiero Basin is located on the northern part of the 300 km-long Danakil depression. The geologic succession filling the Dandiero Basin is up to 1000 m thick and consists of three synthems, inascending order: the Early-to-Middle Pleistocene Maebele Synthem of fluvio-lacustrine origin</t>
  </si>
  <si>
    <t>10.1080/01431161.2013.871084</t>
  </si>
  <si>
    <t>https://www.scopus.com/inward/record.uri?eid=2-s2.0-84890934533&amp;doi=10.1080%2f01431161.2013.871084&amp;partnerID=40&amp;md5=085b64857ce839fea64a1ee3bd4ecdfa</t>
  </si>
  <si>
    <t>Floodplain inundation plays a key role in riparian ecosystems. Remote sensing provides an advanced technology for detecting floodplain inundation, but the trade-off between the spatial and temporal resolutions of remotely sensed imagery is a well-known issue. Sub-pixel mapping is an effective way to mitigate the trade-off by improving the spatial resolution of image classification results while keeping their temporal resolution. It is therefore useful for improving the mapping of highly dynamic flood inundation using coarse-resolution images. However, traditional sub-pixel mapping algorithms have limitations on delineating the extent of floodplain inundation that reveals linear and complex characteristics. A modified pixel-swapping (DMPS) algorithm which is based on a digital elevation model (DEM) is thus developed in this study. It is built on the widely accepted pixel-swapping (PS) algorithm and one of its derivatives, the linearized pixel-swapping (LPS) algorithm. A Landsat image recording a significant flood inundation event in the Chowilla Floodplain of the Murray-Darling Basin in Australia was used as a case study. The results show that the DMPS algorithm outperformed the original PS and LPS algorithms both in accuracy and rationality of the resultant map. It improves the accuracy and the kappa coefficient by about 5% and 0.1, respectively, in comparison with the PS algorithm. The spatial pattern of inundation derived from the DMPS algorithm reveals fewer breakpoints and errors along the river channels. Moreover, it is observed that the DMPS algorithm is less sensitive to some critical parameters compared with the PS and LPS algorithms. It is hoped that the proposed DMPS algorithm will broaden the application of coarse-resolution sensors in floodplain inundation detection, which would thereby benefit the ecological studies in floodplains. © 2013 Taylor &amp; Francis.</t>
  </si>
  <si>
    <t>2-s2.0-84890934533"</t>
  </si>
  <si>
    <t>10.1080/17445647.2013.859636</t>
  </si>
  <si>
    <t>https://www.scopus.com/inward/record.uri?eid=2-s2.0-84897584929&amp;doi=10.1080%2f17445647.2013.859636&amp;partnerID=40&amp;md5=fb87a707c0ca87c1c8f0b261a1e79ac3</t>
  </si>
  <si>
    <t>The Vietnamese Mekong Delta (VMD) has an important role in terms of food security and socio-economic development of the region. The VMD is a densely populated area and is a social and economic hotspot for coastal hazard risks and vulnerability. The amount of people exposed to flooding, storm surges and seasonal river floods in VMD is estimated to increase as the sea level rises, land-use changes and urbanization in flood-prone areas is growing. Therefore, it is necessary to focus on assessing and mapping flood hazard, risk and vulnerability of the Mekong delta. There are many flood hazard and risk studies carried out in the VMD, however very little is done with respect to vulnerability. The region is facing a rapid economic growth and vulnerability to floods becomes an important issue to be addressed.The study presented here focuses on mapping of the vulnerability of the VMD, based on the situation in the area and on the available data. The study evaluates the VMD districts from vulnerability point of view and presents maps, which will be helpful to the decision makers who need to take measures on how to reduce and mitigate the flood impact in the area. Collaboration between deltas' administrations, multiple stakeholders and organizations, at national and international level (delta alliances), has to be undertaken to support the most vulnerable areas and to learn from each other. Mapping vulnerability offers the opportunity to get a broad overview on affected areas and on possible adaptation options that could be applied, directing resources at more in-depth investigation of the most promising adaptation strategies. Moreover, at a later stage, it can also serve to evaluate the effectiveness of the adaptation measures.The present study presents a map of flood vulnerability for the VMD for the years 2000 and 2050 (see Main Map). The map is created by applying Coastal Cities Flood Vulnerability Index (CCFVI) methodology</t>
  </si>
  <si>
    <t>10.1051/lhb/2014003</t>
  </si>
  <si>
    <t>https://www.scopus.com/inward/record.uri?eid=2-s2.0-84900806993&amp;doi=10.1051%2flhb%2f2014003&amp;partnerID=40&amp;md5=cd980751aa93e44cc667514d6dd2d870</t>
  </si>
  <si>
    <t>The Xynthia storm severely hit the coastlines of Charente Maritime and Vendée (central part of the Bay of Biscay) in the night between the 27th and the 28th February 2010. The associated storm surge exceeded 1.5 m in La Rochelle while being in phase with a high spring tide, which caused the overall sea-level to reach the exceptional value of 8.0 m above marine chart datum. Numerous dykes and dunes were flooded or breached and large coastal areas were inundated. This study aims to analyse the main physical processes that controlled the storm surge during Xynthia. A modelling system fully-coupling the codes SELFE (Zhang et al., 2008) and WWMII (Roland et al., 2012) was implemented over the North-East Atlantic Ocean and resulted in tides and wave predictions with errors of the order of 1 to 2% and 15%, respectively. The storm surge was well predicted in the Bay of Biscay, with a 0.1 to 0.2 m underestimation of the peak. The analysis of model results revealed that the storm surge was due mainly to the SW wind that induced an Ekman transport, amplified by the presence of young and steep waves in the Bay of Biscay. This particular sea state was related to the uncommon track of Xynthia, which crossed the Bay of Biscay from SW to NE, limiting the fetch to a few hundreds of km. © 2014 Société Hydrotechnique de France.</t>
  </si>
  <si>
    <t>2-s2.0-84900806993"</t>
  </si>
  <si>
    <t>Journal of Political Ecology</t>
  </si>
  <si>
    <t>10.2458/v21i1.21125</t>
  </si>
  <si>
    <t>https://www.scopus.com/inward/record.uri?eid=2-s2.0-84894092489&amp;doi=10.2458%2fv21i1.21125&amp;partnerID=40&amp;md5=030013589678998cd4fa4e6143875b0a</t>
  </si>
  <si>
    <t>Environmental changes, such as sea level rise, are forcibly displacing communities around the world. Forced displacement, inadequate governance mechanisms to address relocation and economic-based adaptation and restoration efforts are leading to devastating social, cultural, health, and economic consequences for the people and communities affected. This article focuses on three tribal communities in coastal Louisiana that are experiencing rapid environmental change and risk of displacement due to historical discriminatory processes, oil and dam-related development projects, oil disasters, increased exposure to hurricanes, and relative sea level rise. Focusing on the political ecology of the communities' experiences of environmental change, including the impacts of displacement and decisions to stay in-place vs. relocate, this paper addresses broader issues of adaptive governance structures and policy implications. Building on Bronen's (2011) rights-based approach to adaptation and Shearer's (2012) approach to a political ecology of adaptation, I argue that governance structures should be put in place that support communities' in-situ adaptation efforts or, if the community decides its current location is no longer inhabitable, to assist community-led relocation efforts. Multiple forms of knowledge should be incorporated into and should inform the structures supporting the adaptation process. I highlight the social, political, environmental and economic context within which environmental changes are occurring in coastal Louisiana through discussion on the loss of the commons, the creation of an energy sacrifice zone, cost-benefit based restoration efforts and forced displacement and relocation.</t>
  </si>
  <si>
    <t>2-s2.0-84894092489"</t>
  </si>
  <si>
    <t>10.1080/01431161.2014.890306</t>
  </si>
  <si>
    <t>https://www.scopus.com/inward/record.uri?eid=2-s2.0-84897564625&amp;doi=10.1080%2f01431161.2014.890306&amp;partnerID=40&amp;md5=6b83f27a6ebd896dd30768969162e677</t>
  </si>
  <si>
    <t>The study investigates land-cover change in the Ha Tien Plain, once considered to be the last remaining extensive wetland area of seasonally inundated grassland in the Mekong Delta. For this purpose, two Landsat images recorded in 1991 and 2009, respectively, were classified using the C5.0 decision tree classifier. A subsequent change detection analysis revealed a significant decrease of 77% of the area classified as seasonally inundated grassland in 1991, mainly due to the conversion into agriculture, aquaculture, and forest. Since these wetlands support a high diversity of flora and a rich avifauna, there should be a focus on the protection of the last remnant patches of seasonally inundated grasslands in the Ha Tien Plain in order to preserve their biodiversity values and ecosystem functions. © 2014 Taylor &amp; Francis.</t>
  </si>
  <si>
    <t>2-s2.0-84897564625"</t>
  </si>
  <si>
    <t>10.1007/s10113-013-0447-1</t>
  </si>
  <si>
    <t>https://www.scopus.com/inward/record.uri?eid=2-s2.0-84900844689&amp;doi=10.1007%2fs10113-013-0447-1&amp;partnerID=40&amp;md5=55d5190484791927da7cdd44ab8397dd</t>
  </si>
  <si>
    <t>Climate change increases the vulnerability of low-lying coastal areas. Careful spatial planning can reduce this vulnerability, provided that decision-makers have insight into the costs and benefits of adaptation options. This paper addresses the question which adaptation options are suitable, from an economic perspective, to adapt spatial planning to climate change at a regional scale. We apply social cost-benefit analysis to assess the net benefits of adaptation options that deal with the impacts of climate change-induced extreme events. From the methods applied and results obtained, we also aim at learning lessons for assessing climate adaptation options. The case study area, the Zuidplaspolder, is a large-scale urban development project in the Netherlands. The costs as well as the primary and secondary benefits of adaptation options relating to spatial planning (e.g. flood-proof housing and adjusted infrastructure) are identified and where possible quantified. Our results show that three adaptation options are not efficient investments, as the investment costs exceed the benefits of avoided damages. When we focus on 'climate proofing' the total area of the Zuidplaspolder, when the costs and benefits of all the presented adaptation options are considered together, the total package has a positive net present value. The study shows that it is possible to anticipate climate change impacts and assess the costs and benefits of adjusting spatial planning. We have learned that scenario studies provide a useful tool but that decision-making under climate change uncertainty also requires insight into the probabilities of occurrence of weather extremes in the future. © 2013 Springer-Verlag Berlin Heidelberg.</t>
  </si>
  <si>
    <t>2-s2.0-84900844689"</t>
  </si>
  <si>
    <t>10.2112/JCOASTRES-D-13-00022.1</t>
  </si>
  <si>
    <t>https://www.scopus.com/inward/record.uri?eid=2-s2.0-84896387634&amp;doi=10.2112%2fJCOASTRES-D-13-00022.1&amp;partnerID=40&amp;md5=abbbca570229f347ae1755b2949705f9</t>
  </si>
  <si>
    <t>Huang, W.</t>
  </si>
  <si>
    <t>10.1002/2013WR014091</t>
  </si>
  <si>
    <t>https://www.scopus.com/inward/record.uri?eid=2-s2.0-84896716590&amp;doi=10.1002%2f2013WR014091&amp;partnerID=40&amp;md5=e37845b2065023940360c2f07dea6c31</t>
  </si>
  <si>
    <t>Modeling the routing of flood waters across large floodplains is challenging because flows respond to dynamic hydraulic controls from complex geomorphology, vegetation, and multiple water sources. In this study, we analyzed the topographic and hydrologic controls of inundation dynamics of a large floodplain unit (2440 km2) along the lower Amazon River. We combined land topography derived from the Shuttle Radar Topography Mission (SRTM) with underwater topography derived from an extensive echo-sounding survey to generate a seamless digital elevation model (DEM). Floodplain inundation was simulated using LISFLOOD-FP, which combines one-dimensional river routing with two-dimensional overland flow, and a local hydrological model. For the first time, accurate simulation of filling and drainage of an Amazon floodplain was achieved with quantification of changes in water elevation, flooding extent, and river-floodplain exchange. We examined the role of diffuse overbank versus channelized flows on river-floodplain exchange. Diffuse overbank flows represent 93% of total river to floodplain discharge and 54% of floodplain to river discharge. Floodplain discharge during high-water was four times higher than field observation values when the SRTM v.4 DEM with no correction was used for simulation because of a -4.4 m elevation bias originating from residual motion errors of the SRTM interferometric baseline. Key Points Topographic and hydrologic controls of inundation dynamics were analyzed Diffuse overbank flows represent 93% of total river to floodplain discharge Position of SRTM interferometric baseline is an important source of DEM error ©2013. American Geophysical Union. All Rights Reserved.</t>
  </si>
  <si>
    <t>2-s2.0-84896716590"</t>
  </si>
  <si>
    <t>10.1007/s10113-013-0540-5</t>
  </si>
  <si>
    <t>https://www.scopus.com/inward/record.uri?eid=2-s2.0-84900805912&amp;doi=10.1007%2fs10113-013-0540-5&amp;partnerID=40&amp;md5=a0bf80f29c626a60fcdbe0477486d2f1</t>
  </si>
  <si>
    <t>There is a growing consensus among researchers that social aspects and the involvement of local communities play a critical role in public decision-making processes in the coastal zone. Social capital is a parameter which has recently gained significant attention in this context. It is regarded that it has a significant influence on the adaptation capacity of local communities to climate change impacts. The present paper aims to contribute to this field through an examination of citizens' perceptions of three coastal zone management policies (hold the line, managed realignment and no active intervention) along with the influence of social capital on the level of social acceptability for these proposed policy options. For this purpose, a quantitative empirical study was conducted for the first time in five coastal areas of Greece that are regarded as high flood-risk areas due to sea-level rise. Respondents demonstrated that they are willing to accept changes in their social and natural environments in order to confront sea-level rise and are more positive towards the managed realignment option, as long as this is accompanied by financial compensation for those whose properties will be affected. Regarding the influence of social capital, through the results of an ordinal regression, it was observed that institutional and social trust influence positively citizens' level of agreement for the managed realignment policy. Furthermore, respondents who believe that a sense of reciprocity exists in their community are also more willing to accept active intervention policies. © 2013 Springer-Verlag Berlin Heidelberg.</t>
  </si>
  <si>
    <t>2-s2.0-84900805912"</t>
  </si>
  <si>
    <t>10.2112/JCOASTRES-D-13-00001.1</t>
  </si>
  <si>
    <t>https://www.scopus.com/inward/record.uri?eid=2-s2.0-84893254862&amp;doi=10.2112%2fJCOASTRES-D-13-00001.1&amp;partnerID=40&amp;md5=e4e681c525563c7c42244019dbfcadc9</t>
  </si>
  <si>
    <t>Subsistence resources are critical for indigenous communities in the Kotzebue Sound region of NW Alaska. Global sea-level rise (SLR) and coastal erosion are likely to create unfavorable and hazardous conditions for coastal and estuarine settlements. It is unclear how SLR and erosion might affect coastal subsistence resources because of highly complex ecological interactions. This study integrates physical, anthropological, and survey data to assess coastal vulnerability and to identify areas of concern for local and regional planning and environmental protection. This study analyzes and integrates historical and projected physical coastal changes within the Kotzebue Sound region with (1) a coastal vulnerability index (CVI)</t>
  </si>
  <si>
    <t>10.1086/675255</t>
  </si>
  <si>
    <t>https://www.scopus.com/inward/record.uri?eid=2-s2.0-84897423974&amp;doi=10.1086%2f675255&amp;partnerID=40&amp;md5=221cd7c8cbc9a51f5131a6c3087523d0</t>
  </si>
  <si>
    <t>The late Paleozoic archives a prolonged icehouse, long recognized by means of Gondwanan continental glaciation. In contrast, the paleotropics have long been considered warm. Here we present the hypothesis of upland glaciation in the Ancestral Rocky Mountains (ARM) of western equatorial Pangaea, a region located within 11° of the paleoequator. The data to support this hypothesis include (a) a Permo-Pennsylvanian valley with glacial attributes and diamictite exhibiting rare striated clasts</t>
  </si>
  <si>
    <t>10.2112/JCOASTRES-D-12-00252.1</t>
  </si>
  <si>
    <t>https://www.scopus.com/inward/record.uri?eid=2-s2.0-84893243441&amp;doi=10.2112%2fJCOASTRES-D-12-00252.1&amp;partnerID=40&amp;md5=0ff6c805c6fdd09bdb744f42ce33bc44</t>
  </si>
  <si>
    <t>River diversions offer a mechanism by which sediment-laden waters can be introduced into interdistributary basins and bays to build new land that provides a substrate for wetland growth. Two geometric models were developed to allow calculation of future performance of river diversions with emphasis on the Mississippi River. These geometries, a truncated cone and a uniform width geometry, assume a constant discharge of sediment into the receiving basin and thus avoid many of the complexities of the evolutionary processes. Model results from both geometries show a clear life cycle of growth and deterioration in a diversion that experiences relative sea level rise and, under certain combinations of relative sea level rise, depth of receiving waters and sediment discharge rate, situations in which a subaerial platform will never form. A comparison of subaerial deposits in larger versus smaller diversions, assuming the same total sediment discharge in both cases, reveals that the total subaerial land area for the larger diversions is substantially greater than the sum of the two volumes of the smaller diversions. Model results have been used to illustrate, through examples, the effect of bottom slope and sea level rise on diversion performance. Recommendations have been made for the selection (quantification) of diversion parameters to be used in the models. These include annual sediment input, proportion of sediment retained in the diversion deposit, sediment bulking factor, foreset slope, and subsidence rate. Other required input parameters are considered to be known, namely, average diversion water discharge, initial depth of receiving waters, bottom slope, deposit angle or width, and future sea level rise. We also include general recommendations for selection and utilization of diversion sites. © 2014 Coastal Education &amp; Research Foundation.</t>
  </si>
  <si>
    <t>2-s2.0-84893243441"</t>
  </si>
  <si>
    <t>10.2112/JCOASTRES-D-13-00041.1</t>
  </si>
  <si>
    <t>https://www.scopus.com/inward/record.uri?eid=2-s2.0-84900396040&amp;doi=10.2112%2fJCOASTRES-D-13-00041.1&amp;partnerID=40&amp;md5=2825f2eda35eb028d16d8c4e5dd200c7</t>
  </si>
  <si>
    <t>Ennis, B.</t>
  </si>
  <si>
    <t>10.1016/j.landurbplan.2013.09.013</t>
  </si>
  <si>
    <t>https://www.scopus.com/inward/record.uri?eid=2-s2.0-84892367860&amp;doi=10.1016%2fj.landurbplan.2013.09.013&amp;partnerID=40&amp;md5=b99c7719f3017a382794169128ddb1db</t>
  </si>
  <si>
    <t>Land-use change is a major driver behind the loss of ecosystem services. We assessed changes in ecosystem services from land-use conversions during the period 1918-2006 in the Doñana marshland and estuary in southwestern Spain, one of the largest European wetlands. We contrasted those results with social perceptions of ecosystem services trends using two techniques (expert judgment by a multidisciplinary scientific panel and semi-structured interviews of locals and visitors). The results show that by 2006, (1) 70.5% of the natural or semi-natural land covers had been converted to intensive agriculture and other mono-functional uses, hampering the performance of regulating services and (2) 31% of the wetland area had been strictly protected, affecting cultural and provisioning services. Our results show that land-use changes have led to a polarized territorial matrix exhibiting fundamental trade-offs in ecosystem service supply, where provisioning services produced for exportation and sale in the market, such as cash crops and fiber, have been enhanced at the expense of regulating services, such as hydrological regulation, flood buffering, and habitats for species and specific cultural and provisioning services used traditionally by the locals. © 2013 Elsevier B.V.</t>
  </si>
  <si>
    <t>2-s2.0-84892367860"</t>
  </si>
  <si>
    <t>10.1007/s10113-013-0520-9</t>
  </si>
  <si>
    <t>https://www.scopus.com/inward/record.uri?eid=2-s2.0-84897024394&amp;doi=10.1007%2fs10113-013-0520-9&amp;partnerID=40&amp;md5=4e2e688a2e3b0da3de6c2d4253f71844</t>
  </si>
  <si>
    <t>Salt marshes worldwide are faced with threats from rising sea levels and coastal development. We measured changes in salt marsh vegetation structure using remote sensing and its consequences for carbon sequestration, wave attenuation, and sediment trapping ability using remotely sensed imaging, field measurement data, and the published literature data pertaining to the Yangtze Estuary, a rapidly urbanizing area in Eastern China. From 1980 to 2010, the total area of vegetated salt marsh decreased by 17 %, but the vegetation structure changed more dramatically, with the ratio of Phragmites/Spartina/Scirpus changing from 24:0:76, to 77:0:23, 44:13:43, and 33:39:28 in 1980, 1990, 2000, and 2010, respectively. Carbon sequestration increased slightly from 1980 to 2010, with the dramatic shifts in plant species composition. The total length of seawall inadequately protected by salt marsh vegetation increased from 44 km in 1980 to 300 km in 2010. Sediment accretion increased (from 8 to 14 million m3/year) due to the spread of Spartina, which to some extent compensated the loss of total vegetated area in the salt marsh. Changes in the delivery of functions were not linearly related to the change in the area of vegetated salt marsh, but more from the combined effect of changing vegetation structure, sediment input, and land reclamation. Under threat of sea-level rise, protection and maintenance of vegetation structure outside the seawall are of great importance for the safe economic development inside the seawall. © 2013 Springer-Verlag Berlin Heidelberg.</t>
  </si>
  <si>
    <t>2-s2.0-84897024394"</t>
  </si>
  <si>
    <t>10.1007/s11069-013-0818-4</t>
  </si>
  <si>
    <t>https://www.scopus.com/inward/record.uri?eid=2-s2.0-84890999197&amp;doi=10.1007%2fs11069-013-0818-4&amp;partnerID=40&amp;md5=8ddc986bb3942fec6e8888cfb0a634e4</t>
  </si>
  <si>
    <t>The scientific community is confident that warming of the Earth's climate is unequivocal. Sea-level rise, which poses potential threats to coastal areas, is one of the most recognised possible impacts of this climate change. The nonlinearities, complexities, and spatial and temporal lags are common characteristics of coastal processes driven by human and natural interaction. With the acknowledgement of the complexity and dynamic nature of coastal systems, this paper introduces a spatial-temporal assessment framework, for addressing both the temporal and spatial variations, when assessing the vulnerability of natural and human systems in coastal areas. The framework is based upon a combination of system dynamics (SD) modelling and geographical information systems by taking into account spatial (x, y, z) and temporal (t) dimensions. The strategy of the adopted approach is to use the loose coupling approach by which a spatial model component is incorporated into a SD model component through a data converter. © 2013 Springer Science+Business Media Dordrecht.</t>
  </si>
  <si>
    <t>2-s2.0-84890999197"</t>
  </si>
  <si>
    <t>10.13168/AGG.2013.0060</t>
  </si>
  <si>
    <t>https://www.scopus.com/inward/record.uri?eid=2-s2.0-84898425441&amp;doi=10.13168%2fAGG.2013.0060&amp;partnerID=40&amp;md5=73ada08bd6da11896b68f839dc59719e</t>
  </si>
  <si>
    <t>Withdrawal of natural gas is being planned in the area of lower Mackenzie River Delta in northern Canada. The subsidence caused by the gas withdrawal is predicted to reach about 0.5 m within the next 25-30 years. Due to the low laying land, the ground subsidence may result in hydrological changes and flooding of large areas that is of a major concern to environmental protection. A monitoring scheme is being designed to verify the prediction models. One of the important tasks of the monitoring scheme will be to separate ground subsidence due to gas withdrawal from the total surface deformation resulting from natural causes such as permafrost degradation and post-glacial isostatic or tectonic uplift/subsidsence of the area. Global Positioning System (GPS) and satellite Interferometric Synthetic Aperture Radar (InSAR) are being considered as the main tools of monitoring.</t>
  </si>
  <si>
    <t>2-s2.0-84898425441"</t>
  </si>
  <si>
    <t>10.1007/s10064-013-0495-2</t>
  </si>
  <si>
    <t>https://www.scopus.com/inward/record.uri?eid=2-s2.0-84899638007&amp;doi=10.1007%2fs10064-013-0495-2&amp;partnerID=40&amp;md5=0e1537eb3e303e86b6599d3b569dc3b3</t>
  </si>
  <si>
    <t>Due to the subsidence caused by coal mining activities, the cultivated land in the eastern plain of China has suffered serious damage. Currently, there is no criterion for demarcating damaged cultivated land for crop compensation, land requisition, and/or land reclamation. This paper describes the development of a new method and assessment criterion for determining the boundaries of damaged cultivated land caused by coal mining subsidence. A damage evaluation indicator system is proposed, based on the analysis of the subsidence influence and land damage types. The establishment of demarcation criterion is achieved by comprehensively analyzing the influence of the groundwater depth, surface inclination, chemical pollution, and the visual cultivated land sensitivity (VCLS). To assist the practicality of using this system, a digital elevation model (DEM) and additional information about the surface slopes of the Yanzhou coal mining area are generated</t>
  </si>
  <si>
    <t>10.1002/esp.3439</t>
  </si>
  <si>
    <t>https://www.scopus.com/inward/record.uri?eid=2-s2.0-84892678121&amp;doi=10.1002%2fesp.3439&amp;partnerID=40&amp;md5=404f8e7e31d2ac7851f2fc04265e82fe</t>
  </si>
  <si>
    <t>Saturated floodplains in Arctic deltas provide conditions favourable for frost mound growth. Little work has been reported from these settings to determine the origin of frost mounds and the controls on their distribution, to assess the longevity of individual mounds, or to quantify variation of mound distribution over time. A case study is presented on low mounds in low-centred syngenetic ice-wedge polygons of Big Lake Delta Plain, outer Mackenzie Delta. In 2008 and 2009, 12 mounds were examined by drilling to describe their morphologic variations and to investigate their growth processes. The mounds, containing a core of ice 15 to 58 cm thick, were less than 1 m high and 3·7 to 8·5 m in diameter</t>
  </si>
  <si>
    <t>10.1016/j.compgeo.2013.09.012</t>
  </si>
  <si>
    <t>https://www.scopus.com/inward/record.uri?eid=2-s2.0-84885732438&amp;doi=10.1016%2fj.compgeo.2013.09.012&amp;partnerID=40&amp;md5=a8c0f11fee8249f028390d635cbf06fd</t>
  </si>
  <si>
    <t>The ancient masonry seawall along China's Qiantang River is an important structure for defending the prosperous estuarine area, including Hangzhou, Jiaxing, and part of Shanghai, against violent floods, tides and waves. Modified discontinuous deformation analysis (DDA) is used here to analyze the failure mechanisms and stability of the blocky seawall structure. The backfilling soil is properly integrated into the DDA model, by means of the proposed soil discretization approach, and with an accurate interface shear strength model that the authors presented. According to the simulation results by the modified DDA, the existing seawall is generally in good state. Nevertheless, routine inspection and early restoration are recommended to avoid progressive failures of the seawall. © 2013 Elsevier Ltd.</t>
  </si>
  <si>
    <t>2-s2.0-84885732438"</t>
  </si>
  <si>
    <t>10.1007/s11069-013-0866-9</t>
  </si>
  <si>
    <t>https://www.scopus.com/inward/record.uri?eid=2-s2.0-84891099729&amp;doi=10.1007%2fs11069-013-0866-9&amp;partnerID=40&amp;md5=b431d517fe5d53b02a3e6f9f56fca382</t>
  </si>
  <si>
    <t>This study investigated contributory factors to flood hazard around Scotland. There is a need to develop preliminary assessments of areas potentially vulnerable to flooding for compliance with the European Union Directive on the Assessment and Management of Flood Risks (2007/60/EC). Historical accounts of coastal flood events in Scotland, notably in a storm in January 2005, had shown that estimates of risk based on still water levels required further information to identify sites at which waves and surges could combine. Additionally, it was important to add the effect of future sea-level rise and other drivers from published sources. Analysis of multiple years' tidal data at seven sites, including estuaries, compared recorded water levels at high-return periods to those derived from a spatially interpolated numerical model contained within a publicly available flood risk map. For gauges with the longest records, increases were seen over time that reflected rises in mean sea level. Exposure to wave energy was computed from prevailing wind strength and direction at 36 stations, related to wave fetch and incident wind direction. Although the highest wave exposure was at open coast locations exposed to the long Atlantic fetch, GIS analysis of coastal rasters identified other areas in or close to estuaries that also had high exposure. Projected sea-level change, when added to the surge and wave analyses, gives a spatially extensive structured variable flood risk assessment for future coastal flood hazard to complement the public flood risk map. Such tools can help fulfil the requirements of the EC Directive and may be a useful approach in other regions with high spatial variability in coastal flood risk related to exposure to waves and wind. © 2013 Springer Science+Business Media Dordrecht.</t>
  </si>
  <si>
    <t>2-s2.0-84891099729"</t>
  </si>
  <si>
    <t>10.2112/JCOASTRES-D-13-00118.1</t>
  </si>
  <si>
    <t>https://www.scopus.com/inward/record.uri?eid=2-s2.0-84900417253&amp;doi=10.2112%2fJCOASTRES-D-13-00118.1&amp;partnerID=40&amp;md5=6b7c6e486569e8e001a33e9d20e1de15</t>
  </si>
  <si>
    <t>Schmid, K.</t>
  </si>
  <si>
    <t>10.1007/s11069-013-0868-7</t>
  </si>
  <si>
    <t>https://www.scopus.com/inward/record.uri?eid=2-s2.0-84891129097&amp;doi=10.1007%2fs11069-013-0868-7&amp;partnerID=40&amp;md5=2d41223c935a3663a42d333216dc4bf9</t>
  </si>
  <si>
    <t>In order to overcome the shortage that point-based data acquisition techniques cannot retrieve the whole basin subsidence caused by underground mining, and to avoid complex splicing of terrestrial 3D laser scanner (TLS) point cloud data and the errors caused by such splicing, GPS/TLS combined technology is employed for mining subsidence monitoring. The basic idea of the monitoring technology is put forward. In this article, an application of the method to a coal mining area in China is presented. Support vector machine (SVM) model for GPS level conversion in the mining area is established, and a comparative analysis of SVM, BP neural network and polynomial established local quasi-geoid in the mining area is conducted. Ground surface digital elevation model (DEM) of the mining area is established by using TLS point cloud data, and the ground surface dynamic subsidence basin is obtained through a subtraction of two DEMs. The results indicate that the quasi-geoid established by using SVM model features a relatively high level of stability and accuracy and that the established mining surface DEM and subsidence basin can provide the fundamental data for the reconstruction of ecological environment in the mining area. GPS/TLS combined monitoring technology is a new monitoring technology, which entangles the advantages of both GPS and TLS and could offset their disadvantages, thus obtaining complementary advantages. According to analysis on its application in the mining area, we conclude that the technology is feasible and has a great application prospect for the mining area purposes. © 2013 Springer Science+Business Media Dordrecht.</t>
  </si>
  <si>
    <t>2-s2.0-84891129097"</t>
  </si>
  <si>
    <t>Canadian Water Resources Journal</t>
  </si>
  <si>
    <t>10.1080/07011784.2014.881058</t>
  </si>
  <si>
    <t>https://www.scopus.com/inward/record.uri?eid=2-s2.0-84898917202&amp;doi=10.1080%2f07011784.2014.881058&amp;partnerID=40&amp;md5=a20f15bbf324afb2b12ae470799a35c0</t>
  </si>
  <si>
    <t>This study presents a geographic information system (GIS)-supported three-dimensional fuzzy risk assessment approach (3D GIS-FRA) for flood risk assessment that is based on the development of a fuzzy-set risk model, 3D GIS mapping, and a hydro-statistical simulation. Using GIS and a digital elevation model (DEM), urban settings under different levels of flood risk are visualized and hydraulic simulations conducted for various river flow scenarios to determine the flow rates for specified risk levels. Then, a statistical analysis is carried out using historical records to establish a set of risk criteria that consider critical factors that affect the peak flow rate. Finally, the developed fuzzy-set risk model is applied to examine the flood risks using the outputs from the hydraulic models and statistical analysis. The developed method is applied to a section of the Red River in Southern Manitoba, Canada. The 3D GIS-FRA results indicate that there is a possibility of having a highly risky situation for the upper-bound extreme condition for the study area, although only limited impacts are expected for a 25-year flood. For the 75-year flood scenario, the overall flood risk level is high for the whole area. The results indicate that the developed risk analysis system is useful for systematically quantifying the flood risks and the related system uncertainties. © 2014 Canadian Water Resources Association.</t>
  </si>
  <si>
    <t>2-s2.0-84898917202"</t>
  </si>
  <si>
    <t>10.1007/s13157-013-0478-x</t>
  </si>
  <si>
    <t>https://www.scopus.com/inward/record.uri?eid=2-s2.0-84899094872&amp;doi=10.1007%2fs13157-013-0478-x&amp;partnerID=40&amp;md5=7baa1a5c6d5bb080112ee11fc8e909d8</t>
  </si>
  <si>
    <t>Respiration in tidal marshes plays an important role in the global carbon cycle, but is little investigated in Asia. In this study, ecosystem respiration in three brackish marshes dominated by Spartina alterniflora (smooth cordgrass), Phragmites australis (common reed) and Cyperus malaccensis (shichito matgrass) were examined monthly during 2009 in the subtropical tidal wetland of the Min River estuary of southeast China. Measurements were taken before and after tidal inundation. Soil porewater CO2 concentrations at soil depths of 5 and 10 cmwere also measured. Differences in ecosystem respiration before and after tidal inundation stages were statistically indistinguishable in each vegetation type on an annual scale but differed by month. Monthly variation in ecosystem respiration was apparent and overall respiration in P. australis stand had the highest respiration of the vegetation types. Monthly average CO 2 concentration in soil porewater did not differ significantly between the two depths. Ecosystem respiration in P. australis and C. malaccensis stands had a significant positive correlation with soil and air temperature, and a significant negative correlation with soil pH in S. alterniflora and C. malaccensis stands. Our results suggested that the brackish marsh ecosystem of subtropical estuary emits CO2 to the atmosphere at relatively higher level, but the emission pattern did not differ before and after tides. © Society of Wetland Scientists 2013.</t>
  </si>
  <si>
    <t>2-s2.0-84899094872"</t>
  </si>
  <si>
    <t>10.1007/s10584-013-1008-9</t>
  </si>
  <si>
    <t>https://www.scopus.com/inward/record.uri?eid=2-s2.0-84890547738&amp;doi=10.1007%2fs10584-013-1008-9&amp;partnerID=40&amp;md5=b083f51e1af9a0c6735804770780c87c</t>
  </si>
  <si>
    <t>The Niger River is the third largest river in the African continent. Nine riparian countries share its basin, which rank all among the world's thirty poorest. Existing challenges in West Africa, including endemic poverty, inadequate infrastructure and weak adaptive capacity to climate variability, make the region vulnerable to climate change. In this study, a risk-based methodology is introduced and demonstrated for the analysis of climate change impacts on planned infrastructure investments in water resources systems in the Upper and Middle Niger River Basin. The methodology focuses on identifying the vulnerability of the Basin's socio-economic system to climate change, and subsequently assessing the likelihood of climate risks by using climate information from a multi-run, multi-GCM ensemble of climate projections. System vulnerabilities are analyzed in terms of performance metrics of hydroelectricity production, navigation, dry and rainy season irrigated agriculture, flooding in the Inner Delta of the Niger and the sustenance of environmental flows. The study reveals low to moderate risks in terms of stakeholder-defined threshold levels for most metrics in the 21st Century. The highest risk levels were observed for environmental flow targets. The findings indicate that the range of projected changes in an ensemble of CMIP3 GCM projections imply only relatively low risks of unacceptable climate change impacts on the present large-scale infrastructure investment plan for the Basin. © 2013 Springer Science+Business Media Dordrecht.</t>
  </si>
  <si>
    <t>2-s2.0-84890547738"</t>
  </si>
  <si>
    <t>10.1007/s10040-014-1099-z</t>
  </si>
  <si>
    <t>https://www.scopus.com/inward/record.uri?eid=2-s2.0-84901281334&amp;doi=10.1007%2fs10040-014-1099-z&amp;partnerID=40&amp;md5=af4eeb33042b5c6cbda8f7fc7174494d</t>
  </si>
  <si>
    <t>Irrigation in low-lying coastal plains may enhance the formation of fresh groundwater lenses, which counteract salinization of groundwater and soil. This study presents seasonal dynamics of such a freshwater lens and discusses its influence on the salinity distribution of the unconfined aquifer in the coastal plain of Ravenna, Italy, combining field observations with numerical modeling (SEAWAT). The lens originates from an irrigation ditch used as a water reservoir for spray irrigation. The geometry of the freshwater lens shows seasonal differences because of freshwater infiltration during the irrigation season and upconing of deeper saltwater for the remainder of the year. The extent of the freshwater lens is controlled by the presence of nearby drainage ditches. Irrigation also results in a temperature anomaly in the aquifer because of the infiltration of warm water during the irrigation season. The surficial zone in the vicinity of the irrigation ditch is increased considerably in thickness. Finally, different irrigation alternatives and the influence of sea-level rise are simulated. This shows that it is necessary to integrate irrigation planning into the water management strategy of the coastal zone to have maximum benefits for freshening of the aquifer and to make optimal use of the existing infrastructure. © 2014 Springer-Verlag Berlin Heidelberg.</t>
  </si>
  <si>
    <t>2-s2.0-84901281334"</t>
  </si>
  <si>
    <t>10.1080/01431161.2013.870680</t>
  </si>
  <si>
    <t>https://www.scopus.com/inward/record.uri?eid=2-s2.0-84890911570&amp;doi=10.1080%2f01431161.2013.870680&amp;partnerID=40&amp;md5=6eeff1280cc7321a903fa4fd83995cc7</t>
  </si>
  <si>
    <t>Validation of sea-surface temperature (SST) provided by the MODIS-Aqua sensor (Moderate Resolution Imaging Spectroradiometer) for the inner and mid-shelves of the southwest of Buenos Aires Province (Argentina), is presented for the first time. In situ data obtained with a multi-parametric sonde YSI-6600 and a CTD SBE91 between 2002 and 2011 are used for comparison with the satellite SST product. The match-up exercise was established after comparing different spatial boxes, time difference windows, wind speeds, and also a coefficient of variation. The comparison exercise was made in the coastal zone and the rest of the inner and mid-shelves separately. In the coastal zone, applying a 3 × 2 pixel box and a time window of ±3 hours led to the most accurate results, with a coefficient of determination (R2) of 0.99, a bias of 0.62°C, and a root-mean-square-error (RMSE) of 0.79°C. In the inner-mid-shelves when applying a coefficient of variability &lt;0.3, a time window of ±3 hours, and taking only values of wind speed &gt; 6 m s-1, R2 is 0.97, bias is 0.46°C, and RMSE is 0.95°C. Wind speed plays a major role in the inner-mid-shelves as the SST product is affected by stratification and formation of a diurnal thermocline in the 'skin and sub-skin layer' when wind speed is below 6 m s-1. The results for the two shelves are very similar. Finally, the spatial and temporal variability of the SST satellite product was analysed in the study area for the period August 2002-December 2010. The results show that inter-annual variability is not significant and that there is no positive or negative trend for the 9 years of the study. Seasonality is the main component of temporal variability, with variation in amplitude signal depending on bathymetry changes, physical forcing, stability of the water column, and presence of flood plains. © 2013 Taylor &amp; Francis.</t>
  </si>
  <si>
    <t>2-s2.0-84890911570"</t>
  </si>
  <si>
    <t>10.2166/wcc.2013.171</t>
  </si>
  <si>
    <t>https://www.scopus.com/inward/record.uri?eid=2-s2.0-84898078292&amp;doi=10.2166%2fwcc.2013.171&amp;partnerID=40&amp;md5=ba14db2564cce5b22a6c66d7f89543d4</t>
  </si>
  <si>
    <t>New flood risk management policies account for climate and socio-economic change by embracing a more integrated approach. Their implementation processes require: collaboration between a group of stakeholders</t>
  </si>
  <si>
    <t>10.1007/s10113-012-0401-7</t>
  </si>
  <si>
    <t>https://www.scopus.com/inward/record.uri?eid=2-s2.0-84900843043&amp;doi=10.1007%2fs10113-012-0401-7&amp;partnerID=40&amp;md5=08dc570e3bba05cb6eb94de3a64a5807</t>
  </si>
  <si>
    <t>It is generally acknowledged that adapting low-lying, flood-prone deltas to the projected impacts of climate change is of great importance. Deltas are densely populated and often subject to high risk. Climate-proof planning is, however, not only a new but also a highly complex task that poses problems for existing institutional and administrative structures, which are the product of times in which climate issues were of little importance. This paper assesses the capacity of the historically grown Dutch planning institutions to promote climate-proof planning for flood-prone areas. The Adaptive Capacity Wheel provides the methodological framework. The analysis focuses on two planning projects in the west of the Netherlands: the Zuidplas Polder project at the regional level and the Westergouwe project at the local level. It is shown that the planning institutions involved in these projects enable climate-proof planning, but to a limited extent. They face five institutional weaknesses that may cause risks on the long term. To climate-proof urban developments in flood-prone areas, it is necessary to break through the strong path-dependent development of planning institutions and to build in more flexibility in existing rules and procedures. © 2013 Springer-Verlag Berlin Heidelberg.</t>
  </si>
  <si>
    <t>2-s2.0-84900843043"</t>
  </si>
  <si>
    <t>10.1007/s10584-014-1106-3</t>
  </si>
  <si>
    <t>https://www.scopus.com/inward/record.uri?eid=2-s2.0-84901232167&amp;doi=10.1007%2fs10584-014-1106-3&amp;partnerID=40&amp;md5=b23796d7533750f2c465487f8e96771b</t>
  </si>
  <si>
    <t>As sea level rises, coastal communities will face increased risks of flooding, storm surge, and inundation. In some areas, structural protective measures will be built, and for some properties, accommodation to sea level rise may be possible. For other areas, however, some form of retreat will be either preferred on economic or sociopolitical grounds or required given fiscal constraints. This paper considers how society can proactively manage shoreline retreat in those locations where it is deemed the preferable policy. A three-part strategy is proposed: (1) reduce new development in the highest-risk areas</t>
  </si>
  <si>
    <t>10.1002/2013JC009327</t>
  </si>
  <si>
    <t>https://www.scopus.com/inward/record.uri?eid=2-s2.0-84898970423&amp;doi=10.1002%2f2013JC009327&amp;partnerID=40&amp;md5=065de4dbbe3700db1ac9d5c11d2ed9d2</t>
  </si>
  <si>
    <t>Decadal sea-level variability along the coast of Japan and its relation to large-scale ocean circulation changes from 1993 to 2010 was investigated using tide-gauge and satellite-derived sea-level data. A singular value decomposition (SVD) analysis is performed between coastal sea levels of Japan and sea levels in the western North Pacific. The first SVD mode reveals that the northward shifts of the Kuroshio Extension (KE) jet and the Kuroshio southeast of Japan accompany the coastal sea-level rise in the early 2000s and 2010, and their southward shifts accompany the coastal sea-level fall in the late 1990s and the late 2000s. The shifts of the KE jet are induced by westward propagating Rossby wave from the eastern North Pacific, which is concentrated along the KE jet axis as jettrapped Rossby waves. The resulting sea-level changes along the coast of Japan show a strong spatial contrast. The sea-level fluctuation is quite large along the southeastern coast of Japan that is under the direct influence of the jet-trapped Rossby waves, and also large in the western coast of Japan, probably due to coastal waves that are excited by the incoming Rossby waves, but is small north of the KE jet latitude. Hence, the nature of the wave trapped by the KE jet produces an ""active zone"" and a ""shadow zone"" of coastal sea-level variability of Japan. Our results indicate that the correct representation of western boundary currents is necessary for reliable prediction of future coastal sea-level changes. © 2013. American Geophysical Union. All Rights Reserved.</t>
  </si>
  <si>
    <t>2-s2.0-84898970423"</t>
  </si>
  <si>
    <t>10.1016/j.jag.2013.11.010</t>
  </si>
  <si>
    <t>https://www.scopus.com/inward/record.uri?eid=2-s2.0-84897435799&amp;doi=10.1016%2fj.jag.2013.11.010&amp;partnerID=40&amp;md5=70677708b2d1958b6fafc45c381c3579</t>
  </si>
  <si>
    <t>Land subsidence is a common phenomenon occurring in several regions worldwide. Persistent subsidence causes strong consequences on the affected areas and related problems include environmental, economic and social aspects. A set of forty-two Synthetic Aperture Radar (SAR) images, acquired in 1995-2001 by the European Space Agency (ESA) satellites ERS1 and ERS2, were processed with Persistent Scatterer Interferometry (PSI) technique to investigate spatial and temporal patterns of deformation in the Delta municipality (Thessaloniki plain, Northern Greece), a deltaic area with a long history of land subsidence related to aquifer system compaction. Exploitation of output products of a PSI analysis, both average LOS (Line of Sight) deformation rates and displacement time series, revealed a large subsidence area due to intense groundwater withdrawal. Higher displacement velocities have been observed south-west of Kalochori and south of Sindos, from both sides of the Gallikos River. In those areas deformation rates of roughly 4.5 cm/yr have been recorded, during the period from 1995 to 2001. Increasing subsidence rates are measured moving toward the mouth of the Gallikos River, where the thickest sequence of compressible Quaternary sediments is observed. Displacement time series retrieved by PSI technique has been compared with the temporal evolution of the deformation as measured by pre-existing leveling surveys, showing a great agreement. A 2-D finite element model has been run along two representative cross sections in the Kalochori area, in order to simulate the observed temporal evolution of subsidence, coupling the geotechnical behavior of the formations and the piezometric surface level. Finally, results obtained by the subsidence model have been positively compared with the PSI-based information on displacement, providing accurate and perfectly verified results. Outcomes of this work demonstrated the potential of repeat-pass satellite SAR interferometry (InSAR) as suitable technique for increasing knowledge about the extent and the rate of the deformations in case of subsidence events. Moreover, InSAR turned out to be a valuable tool to validate subsidence models and represents a cost-efficiency method, alternative to ground-based measurements for investigating surface deformation phenomena. © 2013 Elsevier B.V.</t>
  </si>
  <si>
    <t>2-s2.0-84897435799"</t>
  </si>
  <si>
    <t>10.1007/s11069-014-1064-0</t>
  </si>
  <si>
    <t>https://www.scopus.com/inward/record.uri?eid=2-s2.0-84899975948&amp;doi=10.1007%2fs11069-014-1064-0&amp;partnerID=40&amp;md5=d8aa979cd98bc1953409b6b6aefa6e1b</t>
  </si>
  <si>
    <t>Many regions of the world are experiencing an increase in frequency and intensity of floods. There has been increasing understanding among emergency preparedness and natural disaster planners that rapid urbanization is enhancing the risk from river flooding in urban areas. Many regions of Canada have been exposed to particularly severe floods over the course of the last few years, much of this due to land-use change. This study aims at understanding the risk of flooding for the City of Metro Vancouver, British Columbia, Canada, which is located in the Fraser River Delta. The paper presents a fast, efficient and reliable method that can be used to produce vegetation maps from advanced very high resolution radiometer images and SPOT vegetation maps. A 10-day maximum normalized difference vegetation index maps were produced to assess the dynamics of the urbanization process in Vancouver. Remotely sensed data show a significant decrease in vegetation cover in the Metro Vancouver City between 1984 and 2012. The proposed method can be used as an effective tool for raising early land-use change awareness and assist with flood risk management. Flood risk management has a substantial impact on human health and well-being in urban areas, and this flood risk information will be used to assess the impact of flooding and explore the complex relationship between land-use change, urbanization, flooding and impact on urban dwellers. © 2014 Springer Science+Business Media Dordrecht.</t>
  </si>
  <si>
    <t>2-s2.0-84899975948"</t>
  </si>
  <si>
    <t>10.1002/2013JF002737</t>
  </si>
  <si>
    <t>https://www.scopus.com/inward/record.uri?eid=2-s2.0-84895795158&amp;doi=10.1002%2f2013JF002737&amp;partnerID=40&amp;md5=a5141782d44a259c57a390a937fe6471</t>
  </si>
  <si>
    <t>The hydrologic processes by which tide affects river channel and riparian morphology within the tidal freshwater zone are poorly understood yet are fundamental to predicting the fate of coastal rivers and wetlands as sea level rises. We investigated patterns of sediment accretion in riparian wetlands along the nontidal through oligohaline portion of two coastal plain rivers in Maryland, U.S., and how flow velocity, water level, and suspended sediment concentration (SSC) in the channel may have contributed to those patterns. Sediment accretion was measured over a 1 year period using artificial marker horizons, channel hydrology was measured over a 1 month period using acoustic Doppler current profilers, and SSC was predicted from acoustic backscatter. Riparian sediment accretion was lowest at the nontidal sites (mean and standard deviation = 8 ± 8 mm yr-1), highest at the upstream tidal freshwater forested wetlands (TFFW) (33 ± 28 mm yr-1), low at the midstream TFFW (12 ± 9 mm yr-1), and high at the oligohaline (fresh-to-brackish) marshes (19 ± 8 mm yr-1). Channel maximum flood and ebb velocity was twofold faster at the oligohaline than tidal freshwater zone on both tidal rivers, corresponding with the differences in in-channel SSC: The oligohaline zone's SSC was more than double the tidal freshwater zone's and was greater than historical SSC at the nontidal gages. The tidal wave characteristics differed between rivers, leading to significantly greater in-channel SSC during floodplain inundation in the weakly convergent than the strongly convergent tidal river. High sediment accretion at the upstream TFFW was likely due to high river discharge following a hurricane. Key Points Sediment accretion was highest near the head of tide and oligohaline estuary Velocity and suspended sediment were lower in the tidal fresh than oligohaline Tidal stage-velocity phase lag affected suspended sediment concentration ©2013. American Geophysical Union. All Rights Reserved.</t>
  </si>
  <si>
    <t>2-s2.0-84895795158"</t>
  </si>
  <si>
    <t>10.1007/s10584-014-1080-9</t>
  </si>
  <si>
    <t>https://www.scopus.com/inward/record.uri?eid=2-s2.0-84901190157&amp;doi=10.1007%2fs10584-014-1080-9&amp;partnerID=40&amp;md5=09fb1f95a6c35408d4e441cbe16dc651</t>
  </si>
  <si>
    <t>We present regional sea-level projections and associated uncertainty estimates for the end of the 21st century. We show regional projections of sea-level change resulting from changing ocean circulation, increased heat uptake and atmospheric pressure in CMIP5 climate models. These are combined with model- and observation-based regional contributions of land ice, groundwater depletion and glacial isostatic adjustment, including gravitational effects due to mass redistribution. A moderate and a warmer climate change scenario are considered, yielding a global mean sea-level rise of 0.54 ±0.19 m and 0.71 ±0.28 m respectively (mean ±1σ). Regionally however, changes reach up to 30 % higher in coastal regions along the North Atlantic Ocean and along the Antarctic Circumpolar Current, and up to 20 % higher in the subtropical and equatorial regions, confirming patterns found in previous studies. Only 50 % of the global mean value is projected for the subpolar North Atlantic Ocean, the Arctic Ocean and off the western Antarctic coast. Uncertainty estimates for each component demonstrate that the land ice contribution dominates the total uncertainty. © 2014 Springer Science+Business Media Dordrecht.</t>
  </si>
  <si>
    <t>2-s2.0-84901190157"</t>
  </si>
  <si>
    <t>Built Environment</t>
  </si>
  <si>
    <t>10.2148/benv.40.2.281</t>
  </si>
  <si>
    <t>https://www.scopus.com/inward/record.uri?eid=2-s2.0-84900295780&amp;doi=10.2148%2fbenv.40.2.281&amp;partnerID=40&amp;md5=8391cc3589b5fa90cd7c1fb0423ccb3f</t>
  </si>
  <si>
    <t>After the catastrophe caused by hurricane Katrina in 2005, New Orleans architects and engineers started a process to develop an integrated and comprehensive urban water management plan. During five years, a group of American and Dutch designers, engineers, planners and scientists worked together to develop a new approach for the water management system in the metropolitan area. The plan proposes a system which is different from the pre-Katrina system in two ways. First, instead of a continuing soil subsidence, the new water system will result in a stabilization of soil-and groundwater levels. Second, instead of separating urban districts and downgrading public spaces, the new water system will contribute to new spatial quality and coherence of the urban fabric. The plan shows that innovative water management strategies not only improve protection against flooding, but also create new perspectives for the spatial, social and economic future of the delta city. The most innovative aspect of the plan is the way in which hydraulic engineering, spatial design and governance are related to each other from the regional to the neighbourhood scale.</t>
  </si>
  <si>
    <t>2-s2.0-84900295780"</t>
  </si>
  <si>
    <t>10.1002/wcc.253</t>
  </si>
  <si>
    <t>https://www.scopus.com/inward/record.uri?eid=2-s2.0-84890405149&amp;doi=10.1002%2fwcc.253&amp;partnerID=40&amp;md5=9a627520637deb0f98ffa7afc0065509</t>
  </si>
  <si>
    <t>Global-mean sea-level rise will drive impacts and adaptation needs around the world's coasts over the 21st century and beyond. A key element in assessing these issues is the development of scenarios (or plausible futures) of local relative sea-level rise to support impact assessment and adaptation planning. This requires combining a number of different but uncertain components of sea level which can be linked to climatic and non-climatic (i.e., uplift/subsidence of coastal land) factors. A major concern remains about the possibility of significant contributions from the major Greenland and Antarctic ice sheets and this must be factored into the assessments, despite the uncertainty. This paper reviews the different mechanisms which contribute to sea-level change and considers a methodology for combining the available data to create relative (or local) sea-level rise scenarios suitable for impact and adaptation assessments across a range of sophistication of analysis. The methods that are developed are pragmatic and consider the different needs of impact assessment, adaptation planning, and long-term decision making. This includes the requirements of strategic decision makers who rightly focus on low probability but high consequence changes and their consequences. Hence plausible high end sea-level rise scenarios beyond the conventional Intergovernmental Panel on Climate Change (IPCC) range and which take into account evidence beyond that from the current generation of climate models are developed and their application discussed. Continued review and development of sea-level scenarios is recommended, starting with assimilating the insights of the forthcoming IPCC AR5 assessment. © 2013 John Wiley &amp; Sons, Ltd.</t>
  </si>
  <si>
    <t>2-s2.0-84890405149"</t>
  </si>
  <si>
    <t>10.30955/gnj.001206</t>
  </si>
  <si>
    <t>https://www.scopus.com/inward/record.uri?eid=2-s2.0-84899898357&amp;doi=10.30955%2fgnj.001206&amp;partnerID=40&amp;md5=2cb779a420b4f945848615c1309ff17a</t>
  </si>
  <si>
    <t>Since a spectrum of hydrological and geomorphological conditions produce flood pulse environment in a riverine or a deltaic system, it is essential to have the knowledge on spatial and temporal distributions of river flow and dependent processes for environmental flow requirements, ecosystem maintenance, water resources management, and hydrological forecasting among others. Such systems being complex as the exchange of flows between the main channel and the flood plains are not well understood, flow partitioning dynamics between the various channels on large water bodies are often difficult to represent even with sophisticated models. In view of this, an attempt has been made to apply a short-term stochastic forecasting model-an Auto Regressive Integrated Moving Average (ARIMA) aided by Artificial Neural Networks (ANNs) to partition flows into the downstream tributaries, viz.: Lopis and Gadikwe channels from the Khiandiandavhu-Maunachira (K-M) Junction Junction (the main river channel) river system of the iconic Okavango delta in Botswana. As such, observed monthly flow data between October 2005 and September 2008 at the K-M Junction, and the two downstream tributaries were used to test the performance of these hybrid models for the complex deltaic system. It was found that the partitioned flows at Lopis and Gadikwe agree very well with observations when using a Single Input Multiple Output (SIMO) ANN (i.e. an inverse variant of the widely used Multi Input Single Output (MISO) ANN architecture) and an ARIMA (1,1,1) model. The Mean Squared Errors (MSEs) in the forecasts were also minimal, thus giving some hope on the use of such a hybrid mode for the rest of the branched river networks of the whole Okavango delta. © 2014 Global NEST Printed in Greece. All rights reserved.</t>
  </si>
  <si>
    <t>2-s2.0-84899898357"</t>
  </si>
  <si>
    <t>10.1175/JPO-D-13-0214.1</t>
  </si>
  <si>
    <t>https://www.scopus.com/inward/record.uri?eid=2-s2.0-84899848377&amp;doi=10.1175%2fJPO-D-13-0214.1&amp;partnerID=40&amp;md5=76c0ea165ef45d0bc9bc9c729f48621d</t>
  </si>
  <si>
    <t>With the global sea level rising, it is imperative to quantify how the dynamics of tidal estuaries and embayments will respond to increased depth and newly inundated perimeter regions. With increased depth comes a decrease in frictional effects in the basin interior and altered tidal amplification. Inundation due to higher sea level also causes an increase in planform area, tidal prism, and frictional effects in the newly inundated areas. To investigate the coupling between ocean forcing, tidal dynamics, and inundation, the authors employ a high-resolution hydrodynamic model of San Francisco Bay, California, comprising two basins with distinct tidal characteristics. Multiple shoreline scenarios are simulated, ranging from a leveed scenario, in which tidal flows are limited to present-day shorelines, to a simulation in which all topography is allowed to flood. Simulating increased mean sea level, while preserving original shorelines, produces additional tidal amplification. However, flooding of adjacent low-lying areas introduces frictional, intertidal regions that serve as energy sinks for the incident tidal wave. Net tidal amplification in most areas is predicted to be lower in the sea level rise scenarios. Tidal dynamics show a shift to a more progressive wave, dissipative environment with perimeter sloughs becoming major energy sinks. The standing wave southern reach of the bay couples more strongly back to the central portion of the bay, in contrast to the progressive wave northern reach of the bay. Generation of the M4 overtide is also found to vary between scenarios and is a nonnegligible contributor to net changes in high water elevation. ©2014 American Meteorological Society.</t>
  </si>
  <si>
    <t>2-s2.0-84899848377"</t>
  </si>
  <si>
    <t>10.1007/s11707-013-0418-3</t>
  </si>
  <si>
    <t>https://www.scopus.com/inward/record.uri?eid=2-s2.0-84900316099&amp;doi=10.1007%2fs11707-013-0418-3&amp;partnerID=40&amp;md5=65a584b04530bdb4cd26dcd4b3bf3cd9</t>
  </si>
  <si>
    <t>The Digital Elevation Model (DEM) based on the historical sea-charts and on-site hydrological records were used to examine the morphological change of the Elbe River estuary. The results show that siltation predominated in the tidal flat in the northern estuary, with a net siltation rate of 1.8 cm·a-1 during 1927-2006. In contrast, a continuous erosion prevailed in the main river channel, south of the estuary, with a net erosion rate of 2.5 cm·a-1 in the same time. In addition, a seaward shift of the estuarine island has happened with the old island coalescing to the northern tidal flat and new one emerging through siltation process. The tidal asymmetry via ebbing flow (maximum at 140 cm·s-1, and average at 76 cm·s-1) prevailed in the tidal flat, meaning continuous aggradation northwestward, while flooding flow (maximum at 100 cm ·s-1, and average at 67 cm·s-1) dominated in the main river channel with deepening thaweg at south, showing a landward sedimentation via the tidal pumping processes. This dextral extension of the estuarine morphology is due to the Coriolis force, leading to the inconsistent directions of in-out flows, which enables to facilitate the estuarine siltation. Human dredging prevailing in the estuary has dramatically altered the nature of the silted river channel to erosional since the last century. This is characterized by a net erosion rate of 3.2 cm·a-1 derived from the DEMs mapping, but only partially accounting for the dredging amount of 1994-2006, when the total dredging volume was 67 × 106 m3, equal to 5.9 cm·a-1. © 2013 Higher Education Press and Springer-Verlag Berlin Heidelberg.</t>
  </si>
  <si>
    <t>2-s2.0-84900316099"</t>
  </si>
  <si>
    <t>Irish Journal of Earth Sciences</t>
  </si>
  <si>
    <t>10.3318/IJES.2013.31.5</t>
  </si>
  <si>
    <t>https://www.scopus.com/inward/record.uri?eid=2-s2.0-84894103436&amp;doi=10.3318%2fIJES.2013.31.5&amp;partnerID=40&amp;md5=4d1ec609f1d76eb40b8e8bf98c7eaee2</t>
  </si>
  <si>
    <t>Inter-tidal environments play a central role in relative sea level (RSL) reconstruction studies and the use of composite records developed from elemental (organic carbon, total nitrogen) and isotopic (δ13C) data have recently been applied in these environments. Sample pretreatment to remove inorganic carbon is a critical first step in this approach, but can distort the data. This paper presents the results of a comparative pilot study examining the performance of two acid preparation techniques (acid rinsing and acid fumigation) when applied to saltmarsh sediments from the Portmarnock and Shannon estuaries. In high marsh to supratidal settings, acid rinsing caused depletion of both Corg and Ntot, though no significant change to Corg/Ntot (C/N) was recorded. At lower altitudes, increased Ntot losses led to distortion of C/N ratios. Both pre-treatment methods produced comparable δ13C signatures in higher elevation contexts, but acid rinsing produced a depletion of 0.6% in low marsh and tidal flat samples. Whilst differences between pre-treatment methods are observed, offsets are relatively small when compared to the range of elemental and isotopic values encountered across a saltmarsh and should not affect environmental interpretations when used for RSL reconstruction. © 2013 Royal Irish Academy.</t>
  </si>
  <si>
    <t>2-s2.0-84894103436"</t>
  </si>
  <si>
    <t>10.1007/s11069-014-1034-6</t>
  </si>
  <si>
    <t>https://www.scopus.com/inward/record.uri?eid=2-s2.0-84899945661&amp;doi=10.1007%2fs11069-014-1034-6&amp;partnerID=40&amp;md5=77d35f92bac366e579f713d771d56d8c</t>
  </si>
  <si>
    <t>The 2004 Indian Ocean tsunami had a significant impact on the Tamil Nadu coast in India. In this paper, a range of field survey data collected by different survey teams available in literature have been analyzed and compiled to serve as a basis for validation of numerical tsunami simulations. The individual field surveys reveal a significant scatter in the run-up data between the different teams, which point out that the uncertainty in these data must be taken into account when using them for validation. The inundation of the 2004 Indian Ocean tsunami is simulated for the coastlines of Chennai and Nagapattinam based on high-resolution topography. Different spatially uniform Manning friction as well as heterogeneous friction maps is used. Overall, the simulation results showed a good agreement with the field observations, but there are also some observed spatial variability in the goodness of the fit between the data and simulations. In some areas, clear discrepancies are found. The results obtained using detailed land use maps including spatially variable friction are not significantly more accurate than those employing spatially constant values. For most areas, parameters indicating relatively low friction provided best match with the observations. This may also suggest that the inundation is often strongly governed by local variations in topography. © 2014 Springer Science+Business Media Dordrecht.</t>
  </si>
  <si>
    <t>2-s2.0-84899945661"</t>
  </si>
  <si>
    <t>10.1016/j.geomorph.2013.08.023</t>
  </si>
  <si>
    <t>https://www.scopus.com/inward/record.uri?eid=2-s2.0-84887233409&amp;doi=10.1016%2fj.geomorph.2013.08.023&amp;partnerID=40&amp;md5=3e60c2942416e743119dea4c3ab58f21</t>
  </si>
  <si>
    <t>Comparison between historical maps from the 1900s, 1980s and a modern map from the 2000s of the Pomeranian Bight at the southern Baltic Sea indicates that a major part of the coastline has been suffering continuous erosion. This also holds for a major part of other coasts on a global scale. Quantifying coastal geomorphological changes on a decadal-to-centennial temporal scale thus needs to be intensified for coastal protection activities and integrated coastal zone management. This study applies an estimation of sediment mass balance including the investigation of sediment source-to-sink transport. In the case of absent historical survey data, a numerical approach, namely the Dynamic Equilibrium Shore Model (DESM), is developed to approximate the historical morphology and to estimate sediment budget of wave-dominated coasts based on the information of historical coastline configuration derived from maps, a high-resolution modern Digital Elevation Model (DEM) and relative sea-level change. The basic concept of the model is a dynamic equilibrium of the coastal cross-shore profiles adapting to sediment mass balancing of a semi-enclosed coastal area, in which the unknown parameters of the cross-shore profile shapes are calculated by numerical iterations. The model is applied at the Pomeranian Bight, in order to validate its capability in reflecting the pattern of bed level change and estimating sediment mass volume. Two tests of the model are conducted in approximating historical DEMs in 1980s and ca. 1900. The changes of approximated DEMs from past to present are then respectively compared with the ones derived from a nautical sea chart in 1980s, and the ones produced by a complex morphodynamic model that uses the approximated DEM at ca. 1900 as a starting point to hindcast the coastal morphological evolution of the research area. The deposition/erosion patterns along the coastline are consistent in both comparisons. The pre-conditions and limitations of the model are discussed in detail. The model proposed here can serve as a useful tool for coastal morphological studies and potential applications for the future projection of coastal morphogenesis. © 2013 Elsevier B.V.</t>
  </si>
  <si>
    <t>2-s2.0-84887233409"</t>
  </si>
  <si>
    <t>10.1002/2013JC009454</t>
  </si>
  <si>
    <t>https://www.scopus.com/inward/record.uri?eid=2-s2.0-84898960409&amp;doi=10.1002%2f2013JC009454&amp;partnerID=40&amp;md5=509411cea57668c7f39a7910d7a72c10</t>
  </si>
  <si>
    <t>Mean sea level is one of the most important indicators for climate variability and change. Here, we use tide-gauge data and satellite measurements to examine recent trends in the mean relative sea level (RSL) in the Northwest Atlantic. We then combine model output and satellite observations to provide sea level projections in the 21st century. The mean RSL trend based on historical tide-gauge data shows large regional variations, from 2 to 4 mm/yr (above the global mean RSL rise rate) in the southeast to 22 mm/yr in the northwest along East Canada. This spatial difference can to a large degree be attributed to that in the vertical land motion measured by the Global Positioning System (GPS). The combination of altimeter-measured sea level change with the GPS data can approximately account for tide-gauge measurements at most stations over 1993-2011. When the GPS data are used, the projected mean RSL rise between 1980-1999 and 2090-2099 ranges from 38 to 63 cm along the Scotia-Fundy and Newfoundland coasts and smaller along Labrador, the northern Gulf of St. Lawrence, and the St. Lawrence Estuary. In spite of considerable uncertainties the ocean steric and dynamical effect is the dominant contributor (35-70 cm) to the RSL rise along the Canadian east coast. The land-ice (glaciers and ice sheets) melt contributes to the RSL rise by 10-15 cm except at Nain where it is negligible. The effect of the vertical land uplift is large (40-50 cm) at Nain, Sept-iles and Rimouski, significantly reducing the magnitude of the RSL rise. © 2013. American Geophysical Union. All Rights Reserved.</t>
  </si>
  <si>
    <t>2-s2.0-84898960409"</t>
  </si>
  <si>
    <t>IEEE Transactions on Software Engineering</t>
  </si>
  <si>
    <t>10.1109/TSE.2013.44</t>
  </si>
  <si>
    <t>https://www.scopus.com/inward/record.uri?eid=2-s2.0-84898474065&amp;doi=10.1109%2fTSE.2013.44&amp;partnerID=40&amp;md5=75f94d1198596ba58133e98b9dec1c65</t>
  </si>
  <si>
    <t>Context. The equivalent mutant problem (EMP) is one of the crucial problems in mutation testing widely studied over decades. Objectives. The objectives are: to present a systematic literature review (SLR) in the field of EMP</t>
  </si>
  <si>
    <t>10.1504/IJETM.2014.059456</t>
  </si>
  <si>
    <t>https://www.scopus.com/inward/record.uri?eid=2-s2.0-84896694701&amp;doi=10.1504%2fIJETM.2014.059456&amp;partnerID=40&amp;md5=acf8ce14277a7ff87c5620f2273e0a44</t>
  </si>
  <si>
    <t>Multitemporal topographic measurements are essential for monitoring municipal landfills for economic and security reasons. Accurate evaluation of the landfill volumes still to exploit and the extent of subsidence occurring in the closed plots are critical parameters in landfill management. A municipal landfill located in central Italy has been imaged by a UAV helicopter able to fly in full autonomy in industrial areas. Very high resolution images have been processed by a photogrammetric chain in order to obtain Digital Surface Models and orthorectified images. The resolution of these products was 2.8 cm and the vertical precision of the DSM was at worse 0.5 m, resulting into acceptable errors (better than 5%) on available volume estimations. The DSM has been compared to elevation values produced by conventional theodolite and LIDAR measurements. It is shown that the UAV helicopter system is more flexible and more productive than the two other techniques for a similar precision. Copyright © 2014 Inderscience Enterprises Ltd.</t>
  </si>
  <si>
    <t>2-s2.0-84896694701"</t>
  </si>
  <si>
    <t>10.1126/science.1248222</t>
  </si>
  <si>
    <t>https://www.scopus.com/inward/record.uri?eid=2-s2.0-84900306768&amp;doi=10.1126%2fscience.1248222&amp;partnerID=40&amp;md5=c9e9f38087d5df99a407abd4d69e6c1f</t>
  </si>
  <si>
    <t>Integration of models for storms and floods, damages and protections, should aid resilience planning and investments.</t>
  </si>
  <si>
    <t>2-s2.0-84900306768"</t>
  </si>
  <si>
    <t>10.1016/j.cageo.2013.12.011</t>
  </si>
  <si>
    <t>https://www.scopus.com/inward/record.uri?eid=2-s2.0-84894438993&amp;doi=10.1016%2fj.cageo.2013.12.011&amp;partnerID=40&amp;md5=ca2d542f477c126bc80b4fccb5cee334</t>
  </si>
  <si>
    <t>Many research projects in recent years have focused on marine renewable energy devices and structures due to the growing interest in marine renewable energy. These devices and structures have very different life spans. Schemes such as the Severn Barrage in the UK, as originally proposed by the Severn Tidal Power Group (STPG), would be the largest tidal renewable energy generation project in the world and would be operational for well over a century if built. Due to the long working life of some of these marine renewable energy schemes, it is important to study the impacts of climate change on such schemes, and particularly sea level rise. This study focuses on investigating the impacts of sea level rise due to climate change on the largest macro-tidal estuary in the UK, namely the Severn Estuary and Bristol Channel, and the alterations of the impacts and the performance of the Severn Barrage as a result of climate change. A hierarchy of computer models was implemented to identify the more localised impacts of climate change in the region of the study. Moreover, the potential benefits of the barrage on reducing flood risk, as well as the impact of climate change and the barrage on intertidal mudflats were investigated. The model predictions showed that the barrage would reduce flood risk due to the sea level rise. Furthermore, annual power output and the initial reduction in flood risk of the barrage would not be affected by sea level rise. © 2014 Elsevier Ltd.</t>
  </si>
  <si>
    <t>2-s2.0-84894438993"</t>
  </si>
  <si>
    <t>10.1111/1477-8947.12038</t>
  </si>
  <si>
    <t>https://www.scopus.com/inward/record.uri?eid=2-s2.0-84894061715&amp;doi=10.1111%2f1477-8947.12038&amp;partnerID=40&amp;md5=702a69273b9ee78e3576be772002ecb6</t>
  </si>
  <si>
    <t>Adaptive strategies are important for reducing the vulnerability of atoll communities to climate change and sea level rise in both the short and long term. This paper seeks to contribute to the emerging discourse on migration as a form of adaptation to climate change based on empirical studies in the two atoll communities, Reef Islands and Ontong Java, which are located in the periphery of Solomon Islands. The paper will outline current migration patterns in the two island groups and discuss how some of this migration may contribute to adaptation to climate change and other stresses. It shows that migration currently improves access to financial and social capital, reduces pressure on natural resources and makes island communities less vulnerable to extreme weather events and other shocks - all factors that contribute positively to adaptive capacity. It also shows that there are major barriers to migration that reduce the efficacy of positive outcomes to both migrants and their home communities, including high transport costs and problems in gaining access to housing, employment and government services in urban destination areas. If it is accepted that voluntary migration may play a positive role in adaptation to climate change in exposed atoll communities, addressing some of the barriers to migration seems logical. This may be done by efforts to stimulate migrant income opportunities, by improving migrant living conditions and by improving the transport services to the islands. © 2014 United Nations.</t>
  </si>
  <si>
    <t>2-s2.0-84894061715"</t>
  </si>
  <si>
    <t>10.2112/JCOASTRES-D-13-00060.1</t>
  </si>
  <si>
    <t>https://www.scopus.com/inward/record.uri?eid=2-s2.0-84900394061&amp;doi=10.2112%2fJCOASTRES-D-13-00060.1&amp;partnerID=40&amp;md5=4636e63176fcb0d1e11c04fcfa23646e</t>
  </si>
  <si>
    <t>Zheng, J</t>
  </si>
  <si>
    <t>10.1038/nclimate2120</t>
  </si>
  <si>
    <t>https://www.scopus.com/inward/record.uri?eid=2-s2.0-84895499527&amp;doi=10.1038%2fnclimate2120&amp;partnerID=40&amp;md5=3d965f79a037232ffee3a5f6b41150a3</t>
  </si>
  <si>
    <t>Hurricanes are causing increasing damage to many coastal regions worldwide. Offshore wind turbines can provide substantial clean electricity year-round, but can they also mitigate hurricane damage while avoiding damage to themselves? This study uses an advanced climate-weather computer model that correctly treats the energy extraction of wind turbines to examine this question. It finds that large turbine arrays (300+ GW installed capacity) may diminish peak near-surface hurricane wind speeds by 25-41 m s -1 (56-92 mph) and storm surge by 6-79%. Benefits occur whether turbine arrays are placed immediately upstream of a city or along an expanse of coastline. The reduction in wind speed due to large arrays increases the probability of survival of even present turbine designs. The net cost of turbine arrays (capital plus operation cost less cost reduction from electricity generation and from health, climate, and hurricane damage avoidance) is estimated to be less than today's fossil fuel electricity generation net cost in these regions and less than the net cost of sea walls used solely to avoid storm surge damage. © 2014 Macmillan Publishers Limited.</t>
  </si>
  <si>
    <t>2-s2.0-84895499527"</t>
  </si>
  <si>
    <t>10.1007/s11069-013-0834-4</t>
  </si>
  <si>
    <t>https://www.scopus.com/inward/record.uri?eid=2-s2.0-84891013906&amp;doi=10.1007%2fs11069-013-0834-4&amp;partnerID=40&amp;md5=c2d8e1c7e21dcfcaf585d7bce1669b0d</t>
  </si>
  <si>
    <t>Tsunami impact on a coast can be reduced by applying a submerged vertical barrier to reflect tsunami before the catastrophic waves are built up near the coast. However, construction of such long walls by conventional submarine technology is difficult. In this paper, the construction of extended submarine walls at a depth of between 50 and 500 m below sea level by a relatively simple and efficient technology is described. The submarine walls can consist either of high-strength steel fences with anchors or two parallel steel fences with distance holders, lowered into the sea and fixed with rocks inserted from top. Alternatively, the barriers could be built from gabions (prefabricated steel net baskets filled with rocks) and lowered into the sea. The space between these tsunami barriers and the coast can be filled with solid material, thus allowing reclamation of new land, or this gap can be used for fish farming. These barriers can contribute to preservation of beaches and natural ecosystems at the coast. © 2013 The Author(s).</t>
  </si>
  <si>
    <t>2-s2.0-84891013906"</t>
  </si>
  <si>
    <t>10.1016/j.envsci.2014.01.001</t>
  </si>
  <si>
    <t>https://www.scopus.com/inward/record.uri?eid=2-s2.0-84900343343&amp;doi=10.1016%2fj.envsci.2014.01.001&amp;partnerID=40&amp;md5=b8747f2c4f5cbd32f5461c92c6ba3a03</t>
  </si>
  <si>
    <t>Through analysis of the dynamics between science and decision-making, we argue that diagnosing fit-for purpose approaches to linking science and decision-making may be possible. Such diagnosis should enable identification of appropriate processes, institutions, objects (e.g. tools, information products) and relationships that can facilitate outcomes. We begin the paper by unsettling the traditional constructions that science must distance itself from debates about values and what is at stake, and so from policy making. Then, drawing from mixed methods case studies in coastal South-eastern Australia, we describe how scientific research has had a bearing on decisions affecting society and the environment. These analyses suggest that the willingness and capacity of research organisations, programmes or projects to actively reflect on and participate in the evolution of the 'operating environment' for their research is integral to their ability to inform outcomes through science. © 2014 Elsevier Ltd.</t>
  </si>
  <si>
    <t>2-s2.0-84900343343"</t>
  </si>
  <si>
    <t>10.1007/s11027-013-9448-0</t>
  </si>
  <si>
    <t>https://www.scopus.com/inward/record.uri?eid=2-s2.0-84899917764&amp;doi=10.1007%2fs11027-013-9448-0&amp;partnerID=40&amp;md5=3056a2776916984fa207e89adc3b5307</t>
  </si>
  <si>
    <t>Climate change exacerbates the public policy challenges already present in managing contested landscapes. Coastal managers deal with multiple stressors and multiple stakeholders and have a difficult challenge in managing competing land use as sea level rise (SLR) reduces the amount of prized coastal land. The information needed to inform on the type and timing of adaptation strategies reflects a major gap in the planning and implementation of adaptation options. We present here an inundation risk assessment framework (IRAF) for estimating the impacts of increasing SLR inundation extent probabilities and the cost of inundation damage through time for public and private infrastructure assets. The framework integrates the cost of damage across asset classes in order to help decision-makers judge the economic utility of various adaptation options and the timing of implementation. We provide an example of this methodology using a case study from Southeast Australia in a low lying estuarine region with an increasingly urbanized population. The methodology shows a clear pathway in which to integrate multiple asset classes into a temporally based damage cost analysis. Such methodology will help address the timing of adaptation and allow for the development of trigger points to guide adaptation planning. Thus, the framework developed in this paper can be easily transferred to other regions and countries facing the same types of SLR risks. As SLR and inundation encroachment continue to occur, decisions regarding protection, repair, and retreat will be made depending on the resources available to local governments. The challenge is to balance decision making with both the timing of implementation as well as costs (both of action and inaction). By understanding the areas of land lost to inundation and the cost of inaction through time, local governments can assess the rationality of adaptation at points in the present and future. © 2013 Springer Science+Business Media Dordrecht.</t>
  </si>
  <si>
    <t>2-s2.0-84899917764"</t>
  </si>
  <si>
    <t>10.30955/gnj.000898</t>
  </si>
  <si>
    <t>https://www.scopus.com/inward/record.uri?eid=2-s2.0-84899967704&amp;doi=10.30955%2fgnj.000898&amp;partnerID=40&amp;md5=d2e457573d32aa961f6cdc44a59b7c92</t>
  </si>
  <si>
    <t>The present study investigates recent and future evolution of the beach zone of Almiros Bay, one of the most touristic developed beaches of north Crete, in relation to its morphodynamic setting and the anticipated sea level rise. The beach zone is exposed to northerly winds, with maximum wave heights and periods of 4.3 m and 9 s, respectively. The comparison of the aerial photographs (1982-1996) and a satellite image of 2007 have revealed an extended retreat of the beach zone, with its highest retreating rates (i.e. 0.6-0.8 m y-1 for the last 25 years) found at its central part. Moreover, an estimation of the future shoreline retreat, due to the anticipated sea level rise (i.e. 0.38 or 1 m for the year 2100), has shown that there is a potential coastal zone loss from 48% up to 100%, respectively. A gross evaluation of the economical impact due to the aforementioned beach loss accounts to approximately from $ 270,000 up to $ 720.000, annually. © 2014 Global NEST Printed in Greece. All rights reserved.</t>
  </si>
  <si>
    <t>2-s2.0-84899967704"</t>
  </si>
  <si>
    <t>10.1007/s10113-013-0442-6</t>
  </si>
  <si>
    <t>https://www.scopus.com/inward/record.uri?eid=2-s2.0-84897028791&amp;doi=10.1007%2fs10113-013-0442-6&amp;partnerID=40&amp;md5=991ed39473dd7c48a94c018fcd081b91</t>
  </si>
  <si>
    <t>Climate change impacts affecting coastal areas, such as sea-level rise and storm surge events, are expected to have significant social, economic and environmental consequences worldwide. Ongoing population growth and development in highly urbanised coastal areas will exacerbate the predicted impacts on coastal settlements. Improving the adaptation potential of highly vulnerable coastal communities will require greater levels of planning and policy integration across sectors and scales. However, to date, there is little evidence in the literature which demonstrates how climate policy integration is being achieved. This paper contributes to this gap in knowledge by drawing on the example provided by the process of developing cross-sectoral climate change adaptation policies and programmes generated for three coastal settlement types as part of the South East Queensland Climate Adaptation Research Initiative (SEQCARI), a 3-year multi-sectoral study of climate change adaptation options for human settlements in South East Queensland, Australia. In doing so, we first investigate the benefits and challenges to cross-sectoral adaptation to address climate change broadly and in coastal areas. We then describe how cross-sectoral adaptation policies and programmes were generated and appraised involving the sectors of urban planning and management, coastal management, emergency management, human health and physical infrastructure as part of SEQCARI. The paper concludes by discussing key considerations that can inform the development and assessment of cross-sectoral climate change adaptation policies and programmes in highly urbanised coastal areas. © 2013 The Author(s).</t>
  </si>
  <si>
    <t>2-s2.0-84897028791"</t>
  </si>
  <si>
    <t>10.1007/s10584-013-0996-9</t>
  </si>
  <si>
    <t>https://www.scopus.com/inward/record.uri?eid=2-s2.0-84890559992&amp;doi=10.1007%2fs10584-013-0996-9&amp;partnerID=40&amp;md5=8fab9fdff4b0b3955985076089cb96db</t>
  </si>
  <si>
    <t>Sea-level rise and extreme events have the potential to significantly impact coastal energy infrastructure through flooding and erosion. Disruptions to supply, transportation and storage of energy have global ramifications and potential contamination of the natural environment. On a European scale, there is limited information about energy facilities and their strategic plans for adapting to climate change. Using a Geographical Information System this paper assesses coastal energy infrastructure, comprising (1) oil/gas/LNG/tanker terminals and (2) nuclear power stations. It discusses planning and adaptation for sea-level rise and extreme events. Results indicate 158 major oil/gas/LNG/tanker terminals in the European coastal zone, with 40 % located on the North Sea coast. There are 71 operating nuclear reactors on the coast (37 % of the total of European coastal countries), with further locations planned in the Black, Mediterranean and Baltic Seas. The UK has three times more coastal energy facilities than any other country. Many north-west European countries who have a high reliance on coastal energy infrastructure have a high awareness of sea-level rise and plan for future change. With long design lives of energy facilities, anticipating short, medium and long-term environmental and climatic change is crucial in the design, future monitoring and maintenance of facilities. Adaptation of coastal infrastructure is of international importance, so will be an ongoing important issue throughout the 21st century. © 2013 Springer Science+Business Media Dordrecht.</t>
  </si>
  <si>
    <t>2-s2.0-84890559992"</t>
  </si>
  <si>
    <t>10.1080/17565529.2013.868335</t>
  </si>
  <si>
    <t>https://www.scopus.com/inward/record.uri?eid=2-s2.0-84899911037&amp;doi=10.1080%2f17565529.2013.868335&amp;partnerID=40&amp;md5=d1ed64f7cdd7aa777bb397275e255eca</t>
  </si>
  <si>
    <t>This paper integrates information on climate-change, hydrodynamic models, and geographic overlays to assess the vulnerability of coastal areas in Bangladesh to larger storm surges and sea-level rise (SLR) by 2050. The approach identifies polders, coastal populations, settlements, infrastructure, and economic activity at risk of inundation, and estimates the damage from storm surge inundation versus the cost of several adaptation measures. A 27-centimetre SLR and 10% intensification of wind speed resulting from global warming suggest that the vulnerable zone increases in size by 69% given a +3-metre inundation depth, and by 14% given a +1-metre inundation depth. Estimates indicate investments including strengthening polders, foreshore afforestation, additional multi-purpose cyclone shelters, cyclone-resistant private housing, and further strengthening of the early warning and evacuation system would cost more than $2.4 billion, with an annual recurrent cost of more than $50 million. These estimates can serve as a prototype in climate negotiations of the adaptation costs of extreme weather events. © 2013 Taylor &amp; Francis.</t>
  </si>
  <si>
    <t>2-s2.0-84899911037"</t>
  </si>
  <si>
    <t>10.2112/JCOASTRES-D-13-00149.1</t>
  </si>
  <si>
    <t>https://www.scopus.com/inward/record.uri?eid=2-s2.0-84900458489&amp;doi=10.2112%2fJCOASTRES-D-13-00149.1&amp;partnerID=40&amp;md5=e1264fb6e10ee63848ea093d372fecc6</t>
  </si>
  <si>
    <t>Kuang, C.</t>
  </si>
  <si>
    <t>10.1007/s11027-012-9418-y</t>
  </si>
  <si>
    <t>https://www.scopus.com/inward/record.uri?eid=2-s2.0-84887999883&amp;doi=10.1007%2fs11027-012-9418-y&amp;partnerID=40&amp;md5=cef82cea93923d93dd3cfddaa7faeec8</t>
  </si>
  <si>
    <t>Consequence of the sea level rise (SLR) on the Mediterranean coastal areas in Egypt, particularly the Nile River Delta, has become an issue of major concern to Egypt's population and the government. Previous publications disregard the entire Mediterranean coast of Egypt as an integral unit subject to the impacts of the SLR. This study aims to analyzing the risks, ranking the vulnerability and suggesting adaptation measures to mitigate the impact of the SLR along the Mediterranean coast of Egypt. Although the prominent features of Egypt's Mediterranean coastal zone are the low lying coast of the Nile Delta, associated with land subsidence, tectonic activities and erosion</t>
  </si>
  <si>
    <t>10.2112/JCOASTRES-D-11-00226.1</t>
  </si>
  <si>
    <t>https://www.scopus.com/inward/record.uri?eid=2-s2.0-84889045383&amp;doi=10.2112%2fJCOASTRES-D-11-00226.1&amp;partnerID=40&amp;md5=8b832c0f1f80309622a76f96f63bb12d</t>
  </si>
  <si>
    <t>The Santa Irene flood, at the end of October 1982, is one of the most dramatically and widely reported flood events in Spain. Its renown is mainly attributable to the collapse of the Tous dam, but its main message is to be the paradigm of the incidence of the maritime/littoral weather and its temporal sea-level rise on the coastal plains inland floods. The Santa Irene flood was attributable to a meteorological phenomenon known as gota fría (cold drop), a relatively frequent and intense rainy phenomenon on the Iberian Peninsula, particularly on the Spanish E to SE inlands and coasts. There are some circumstances that can easily come together to unleash the cold drop there: cold and dry polar air masses coming onto the whole Iberian Peninsula and the north of Africa, high sea-water temperatures, and low atmospheric pressure (cyclone) areas in the western Mediterranean basin</t>
  </si>
  <si>
    <t>10.1007/s11852-013-0273-0</t>
  </si>
  <si>
    <t>https://www.scopus.com/inward/record.uri?eid=2-s2.0-84895022699&amp;doi=10.1007%2fs11852-013-0273-0&amp;partnerID=40&amp;md5=adba2e754b0194874f66faeebec602e1</t>
  </si>
  <si>
    <t>Sea level changes are caused by several natural phenomena, including mainly ocean thermal expansion, glacial melt from Greenland and Antarctica. It was estimated, in this respect, that global average sea level rose, during the 20th Century, by at least 10 cm. This trend is expected to continue and most likely accelerated during the 21st Century due to human-induced global warming. Global average sea level is expected to rise, by the year 2100, due to global warming between 0.18 and 0.59 cm. Such a rise in sea-level will significantly impact coastal areas due to the high concentration of natural and socioeconomic activities and assets located along the coast. The northern coastal zone of the Nile Delta is generally low land, and is consequently vulnerable to direct and indirect impacts of sea level rise (SLR) due to climate changes, particularly inundation. Despite the uncertainty associated with developed scenarios for climate change and expected SLR, there is a need, according to precautionary approach, to assess and analyze the impacts of SLR. Such an assessment, on one hand, can assist in formulating effective adaptation options to specific, sometimes localized, impacts of SLR. On the other hand, such an analysis can contribute significantly to the development of integrated approach to deal with the impacts of SLR. The objective of this paper is to assess and spatially analyze the risks of expected sea level rise (SLR), in particular inundation, and its implications up to the year 2100 in Kafr El Sheikh Governorate, Egypt, using GIS techniques. For that purpose, a GIS was developed for the study area and then utilized to identify the spatial extent of those areas that would be vulnerable to inundation by SLR. Moreover, various land uses/land covers susceptible to such inundation were identified. Results indicate that more than 22.59 % and 24.50 % of the total area of Kafr El Sheikh Governorate would be vulnerable to inundation under B1 and A1FI (IPCC most optimistic and pessimistic scenarios), respectively. No significant difference was noticed between the two scenarios in terms of spatial extent of SLR impacts. It was also found that a significant proportion of these areas were found to be currently either undeveloped or wetlands. Moreover, it was found that about 90.13 % of the vulnerable areas are actually less exposed to the risks of SLR due to the existence of a number of man-made features, not intended as protection measures, e.g. International Coastal Highway, that can be used to limit the areas vulnerable to inundations by SLR. © Springer Science+Business Media Dordrecht 2013.</t>
  </si>
  <si>
    <t>2-s2.0-84895022699"</t>
  </si>
  <si>
    <t>10.3390/rs5126382</t>
  </si>
  <si>
    <t>https://www.scopus.com/inward/record.uri?eid=2-s2.0-84891472492&amp;doi=10.3390%2frs5126382&amp;partnerID=40&amp;md5=44af30ce5a39db76978f13cfa55c0e32</t>
  </si>
  <si>
    <t>Accurate terrain models are a crucial component of studies of river channel evolution. In this paper we describe a new methodology for creating high-resolution seamless digital terrain models (DTM) of river channels and their floodplains. We combine mobile laser scanning and low-altitude unmanned aerial vehicle (UAV) photography-based methods for creating both a digital bathymetric model of the inundated river channel and a DTM of a point bar of a meandering sub-arctic river. We evaluate mobile laser scanning and UAV-based photogrammetry point clouds against terrestrial laser scanning and combine these data with an optical bathymetric model to create a seamless DTM of two different measurement periods. Using this multi-temporal seamless data, we calculate a DTM of difference that allows a change detection of the meander bend over a one-year period. © 2013 by the author.</t>
  </si>
  <si>
    <t>2-s2.0-84891472492"</t>
  </si>
  <si>
    <t>10.1080/08920753.2013.848747</t>
  </si>
  <si>
    <t>https://www.scopus.com/inward/record.uri?eid=2-s2.0-84888051906&amp;doi=10.1080%2f08920753.2013.848747&amp;partnerID=40&amp;md5=577b05355204de7a29e3eecbba44cee2</t>
  </si>
  <si>
    <t>Scientific projections for climate change induced sea-level-rise highlight current and potential future consequences for low lying coastal areas. In response considerable attention has been directed toward the task of coastal adaptation planning. Experience to date indicates that adaptation planning is more complex and contested than anticipated. We argue that this is partly due to the constrained way adaptation planning is conceptualized, whereby limited attention is directed toward understanding coastal adaptation planning as a site of complex and contested knowledge dynamics. Consequently, we use a knowledge systems perspective to explore coastal adaptation planning in order to highlight some of the knowledge exchange dynamics involved. In doing so we draw on views expressed in semi-structured interviews with a diverse range of stakeholders with an interest in coastal management in Victoria, Australia. While the focus is on coastal adaptation planning in Victoria, the insights generated are intended to contribute to broadening the way in which adaptation is conceptualized. © 2013 Copyright Taylor and Francis Group, LLC.</t>
  </si>
  <si>
    <t>2-s2.0-84888051906"</t>
  </si>
  <si>
    <t>10.1007/s11069-011-9962-x</t>
  </si>
  <si>
    <t>https://www.scopus.com/inward/record.uri?eid=2-s2.0-84888642835&amp;doi=10.1007%2fs11069-011-9962-x&amp;partnerID=40&amp;md5=2014d94732f8009350790fdf1479813a</t>
  </si>
  <si>
    <t>Coastal hazards in many areas of the world are increasing as a result of rapid changes in various geological and physical variables driven by dynamic coastal processes. Development activities, global warming, climate change and sea-level rise not only introduce any new types of coastal hazards, but they also affect the existing hazards. The southern coastal Tamil Nadu of India faces severe threat due to rapid changes in geology and geomorphology, sea-level change, tropical cyclones and associated storm surges. In this present work, erosion hazard and vulnerability level along the southern coastal Tamil Nadu have been assessed using remote sensing and GIS. The erosion and accretion made in different parts of the study area have been measured and analysed. The coastal vulnerability index (CVI) has been used to map the relative vulnerability along the study area. The CVI ranks both geological and physical variables in terms of their physical contribution to sea-level rise and vulnerability. The data within the coastal vulnerability index show significant variability at different spatial scales. The vulnerability is caused by a complex interaction of various natural and human-induced coastal processes. The natural processes due to geology and geomorphology, the combined action of waves and currents, variations in sea level, tectonics and storms affect the vulnerability. The human activities include manipulation of hydrological cycles through construction of buildings along beaches, coastal structures such as harbours, beach protecting structures and jetties, mining of beach sand, destruction of protective dune systems. Thus, the present study clearly focuses on the vulnerability and risk parameters along the study area. It is also recommended that proper coastal management plans, beach filling and nourishment projects should be made to save the coastal area from severe erosion threat and hazards. © 2011 Springer Science+Business Media B.V.</t>
  </si>
  <si>
    <t>2-s2.0-84888642835"</t>
  </si>
  <si>
    <t>10.1016/j.gloplacha.2013.09.002</t>
  </si>
  <si>
    <t>https://www.scopus.com/inward/record.uri?eid=2-s2.0-84885369212&amp;doi=10.1016%2fj.gloplacha.2013.09.002&amp;partnerID=40&amp;md5=2ed7d9f9689a588fe5cc026d290be0ee</t>
  </si>
  <si>
    <t>This paper presents a first assessment of the global effects of climate-induced sea-level rise on the erosion of sandy beaches, and its consequent impacts in the form of land loss and forced migration of people. We consider direct erosion on open sandy coasts and indirect erosion near selected tidal inlets and estuaries, using six global mean sea-level scenarios (in the range of 0.2-0.8m) and six SRES socio-economic development scenarios for the 21st century. Impacts are assessed both without and with adaptation in the form of shore and beach nourishment, based on cost-benefit analysis that includes the benefits of maintaining sandy beaches for tourism. Without nourishment, global land loss would amount to about 6000-17,000km2 during the 21st century, leading to 1.6-5.3million people being forced to migrate and migration costs of US$ 300-1000billion (not discounted). Optimal beach and shore nourishment would cost about US$ 65-220billion (not discounted) during the 21st century and would reduce land loss by 8-14%, forced migration by 56-68% and the cost of forced migration by 77-84% (not discounted). The global share of erodible coast that is nourished increases from about 4% in 2000 to 18-33% in 2100, with beach nourishment being 3-4 times more frequent than shore nourishment, reflecting the importance of tourism benefits. In absolute terms, with or without nourishment, large countries with long shorelines appear to have the largest costs, but in relative terms, small island states appear most impacted by erosion. Considerable uncertainty remains due to the limited availability of basic coastal geomorphological data and models on a global scale. Future work should also further explore the effects of beach tourism, including considering sub-national distributions of beach tourists. © 2013 Elsevier B.V.</t>
  </si>
  <si>
    <t>2-s2.0-84885369212"</t>
  </si>
  <si>
    <t>10.1016/j.wace.2013.10.001</t>
  </si>
  <si>
    <t>https://www.scopus.com/inward/record.uri?eid=2-s2.0-84890120324&amp;doi=10.1016%2fj.wace.2013.10.001&amp;partnerID=40&amp;md5=0d22dc841975f8176447b6f3fe5d692a</t>
  </si>
  <si>
    <t>Coastal zone is exposed to various natural forces including cyclones and tsunamis, which are constantly affecting the shorelines, beaches and headlands, causing storm surges, erosion/accretion, landslides, and coastal flooding. Magnitude and risk of disasters are directly proportional to the sensitivity and inversely proportional to degree of resilience of exposed community. To mitigate the ill effects of hazards, a thorough understanding of the vulnerability causing factors and coping capabilities is required for which vulnerability analysis is essential. A study was undertaken in the most vulnerable coastal zone in Cuddalore District of Tamil Nadu, with a goal to draw a comprehensive vulnerability framework combining Geo-Physical-Natural factors with Socio-Economic-Institutional factors responsible for causing vulnerability at habitation levels and to construct composite vulnerability index (CVI) and dimensional indices. Analysis on changes along the shoreline using the information extracted from the satellite imageries between the years 1972 and 2011 indicated that the average net rate of shoreline change was +0.15myear-1. Of the total length of 42km studied for shoreline changes, about 40.5% of the coastline is accreting, 15.72% is medium to highly eroded and 18.23% is classified under low erosion zone. The flood hazard mapping study undertaken for a stretch of ~14km along the Cuddalore coastline for 1-in-100-year extreme flood level, including local mean sea level and global sea-level rise, indicated maximum inundation level to be 3.62m form MSL for the Cuddalore coastal region. The composite hazard line drawn on the GIS map shows that in the study area seventeen habitations (coastal settlements) are vulnerable to storm surge coastal flooding generated by one in 100 year return period storm surge (3.62m height). CVI of 17 habitations in study area was developed on a scale of 'one' to 'five' by considering nine broad dimensions of vulnerability viz., geographic, demographic, institutional, natural, social, safety infrastructure, physical, livelihood and economic, each expressed by five indicators, using a total of seventy five variables of vulnerability, with weightage of 22.20%, 13.19%, 13.34%, 13.35%, 9.20%, 6.24%,5.89%, 9.83% and 6.77% respectively, arrived through Analytic Hierarchy Process (AHP). The results indicated that two habitations viz. Samiyarpettai (3.18) and C. Pudupettai (3.10) have CVI in acutely vulnerable (level 3-CVI between 3 and 4) category and rest of the 15 habitations are in the highly vulnerable (level 2-CVI between 2 and 3) category. Dimension wise vulnerability indices appear to differ considerably among different habitations. Institutional vulnerability is in a lower range owing to a better prepared coastal community after 2004 Tsunami. CVI construction enables the policy makers to devise a suitable strategy for vulnerability reduction. The habitation vulnerability mapping provides information for prioritisation of the vulnerability dimensions and is a very useful tool for developing effective policy to reduce vulnerability at habitation level. © 2013 The Authors.</t>
  </si>
  <si>
    <t>2-s2.0-84890120324"</t>
  </si>
  <si>
    <t>10.5194/nhess-13-2927-2013</t>
  </si>
  <si>
    <t>https://www.scopus.com/inward/record.uri?eid=2-s2.0-84888154232&amp;doi=10.5194%2fnhess-13-2927-2013&amp;partnerID=40&amp;md5=ddb87082ec65881350eb6f2c81d7a3d8</t>
  </si>
  <si>
    <t>El Salvador is the smallest and most densely populated country in Central America</t>
  </si>
  <si>
    <t>https://www.scopus.com/inward/record.uri?eid=2-s2.0-84891337469&amp;partnerID=40&amp;md5=2d476564cca43cef2632d5e7c3c717c1</t>
  </si>
  <si>
    <t>The area under study lies adjacent to Palk Bay and is a shadow zone. An attempt is made to understand the geomorphic evolution of the area, examine the changes that occurred to the shoreline in 33 years and analyse the impact of rise in sea level in the study area. Topographic maps, aerial photographs, local maps, SRTM, and other related information are collected and digitized. Digital Shoreline Analysis System is used to calculate the rate of shoreline variation using end point rate method and to identify the different types of coasts such as erosional, accretional and neutral. The elevation data available in SRTM data are used to calculate the impact of rise in sea level. From the study, we infer that the study area was once part of a larger river system and the alluvial plains are the remains of an abandoned delta. The different inundation diagrams for 1, 2, 5 and 8 m hypothetical rises in sea level are prepared and discussed.</t>
  </si>
  <si>
    <t>2-s2.0-84891337469"</t>
  </si>
  <si>
    <t>GeoPlanet: Earth and Planetary Sciences</t>
  </si>
  <si>
    <t>10.1007/978-3-642-30209-1_27</t>
  </si>
  <si>
    <t>https://www.scopus.com/inward/record.uri?eid=2-s2.0-84894609652&amp;doi=10.1007%2f978-3-642-30209-1_27&amp;partnerID=40&amp;md5=9abb096ecc3ebe1259fd8ccc4075dd99</t>
  </si>
  <si>
    <t>Cohesive sediment soils are encountered throughout Egypt at many locations, posing various physical and chemical characteristics in beds of lakes, estuaries and flash flood flows. The entire delta region is made up of clayey soil formed from various consecutive Nile floods before construction of the High Dam. Thus, it is very important to determine the erosional stability of such cohesive soils as a function of sediment chemical properties and mineral content. In the current research, 48 samples are collected from various locations throughout Egypt. All samples are subject to physical tests for grain size distribution, and X-ray diffraction analysis for mineral contents. Laboratory experiments are carried out on these samples for finding the difference in terms of erosion characteristics caused by different sediment composition among all samples. Assuming other properties of cohesive soils constant, the gene expression programming (GEP) algorithms are applied to relate the clay mineral content to experimental critical shear stress. Results show an excellent potentiality for the GEP for being applied on finding relations between complex parameters with nonlinear relationships with respect to soil erosion.© Springer-Verlag Berlin Heidelberg 2013.</t>
  </si>
  <si>
    <t>2-s2.0-84894609652"</t>
  </si>
  <si>
    <t>10.1007/s11368-013-0723-1</t>
  </si>
  <si>
    <t>https://www.scopus.com/inward/record.uri?eid=2-s2.0-84887320106&amp;doi=10.1007%2fs11368-013-0723-1&amp;partnerID=40&amp;md5=c1ca7b43c7a090377d1af2df42ee3627</t>
  </si>
  <si>
    <t>Purpose: Sediment fingerprinting is a relatively recent research technique, capable of determining the origin of suspended sediment. In this study, we investigated sub-basins within a larger watershed we examined previously. The objectives were to determine if there was spatial variation in the origin of the suspended sediments and to test a streamlined fingerprinting approach which would reduce the cost, thereby paving the way for adoption by government agencies. Materials and methods: Samples were collected from three tributaries, the outlet of the main stem, and at the middle of the main stem. Two methods to collect suspended sediment samples were compared: a mobile continuous-flow centrifuge and automated samplers. A relatively small initial tracer suite consisting of stable isotopes of nitrogen (N) and carbon (C) (15N and 13C), total N (TN), and total C (TC) was tested. Tracer concentrations were obtained through a single mass spectrometry analysis requiring &lt;1 g of sediment. Results and discussion: Multivariate discriminant analysis showed that three of the four tracers (δ 15N, δ 13C, and TC) from the initial pool were capable of accurate classification of the source samples. A multivariate mixing model showed that banks contributed the majority of sediment throughout all locations sampled and that in tributaries it was an even more dominant source. Despite variations in land use and stream order, the legacy sediments comprising the banks and floodplains were the main factor in impairment for suspended sediment. We found a small but statistically significant difference in δ 15N and δ 13C concentrations collected using automated samplers vs. the mobile centrifuge, but the effect on analysis of sediment source proportions was minimal. Conclusions: The results of this study indicate that, at least in the study watershed, the majority of sediment in suspension was of streambank origin. A cost-effective tracer suite was identified as well as an attempt to make a streamlined approach to the technique. The streamlined approach cost much less ($7,550 US) than the conventional approach ($46,600 US) and should be suitable for total maximum daily loads analysis by state government agencies in the Southern Piedmont region of the USA. © 2013 Springer-Verlag Berlin Heidelberg.</t>
  </si>
  <si>
    <t>2-s2.0-84887320106"</t>
  </si>
  <si>
    <t>10.5194/nhess-13-3049-2013</t>
  </si>
  <si>
    <t>https://www.scopus.com/inward/record.uri?eid=2-s2.0-84890096646&amp;doi=10.5194%2fnhess-13-3049-2013&amp;partnerID=40&amp;md5=f3e32817f5669e87d06dcd99de1cbc69</t>
  </si>
  <si>
    <t>Wave induced set-up is a process that leads to increased water levels in coastal regions. When coupled with storm conditions, wave set-up - or, for brevity, set-up - can significantly increase the risk of flooding or structural damage and therefore is of particular importance when considering coastal management or issues related to the planning of nearshore infrastructures. Here, we investigate the effects of set-up in the coastal region of the Gulf of Finland in the Baltic Sea, close to Tallinn, Estonia, although the results will have wider relevance for many other areas. Due to a lack of continuous wave data we employ modelling to provide input data using a calculation scheme based on a high-resolution (470 m) spectral wave model WAM to replicate spatial patterns of wave properties based on high-quality, instrument-measured wind data from the neighbourhood of the study site. The results indicate that for the specific geometry of coastline under consideration, there is a variation in set-up which is strongly affected by wind direction. The maximum set-up values are up to 70-80 cm in selected locations. This is more than 50% of the all-time maximum water level and thus may serve as a substantial source of marine hazard for several low-lying regions around the city. Wind directions during storms have changed in recent years and, with climate variability potentially increasing, these results will encourage further tests which may be used in a policy setting regarding defences or other structures in and around coastlines. In particular, with urban development now taking place in many coastal regions (including the one within this study) these results have implications for local planners. They may also be incorporated into new storm warning systems.</t>
  </si>
  <si>
    <t>2-s2.0-84890096646"</t>
  </si>
  <si>
    <t>10.1017/S1466046613000215</t>
  </si>
  <si>
    <t>https://www.scopus.com/inward/record.uri?eid=2-s2.0-84886716462&amp;doi=10.1017%2fS1466046613000215&amp;partnerID=40&amp;md5=4711da29416db510f3e28f12af05301d</t>
  </si>
  <si>
    <t>Coastal megadeltas in Asia have emerged rapidly</t>
  </si>
  <si>
    <t>10.2112/JCOASTRES-D-12-00196.1</t>
  </si>
  <si>
    <t>https://www.scopus.com/inward/record.uri?eid=2-s2.0-84889041883&amp;doi=10.2112%2fJCOASTRES-D-12-00196.1&amp;partnerID=40&amp;md5=404c77e3879e498512cb77ddce5bef8d</t>
  </si>
  <si>
    <t>Sea level rise and an increase in storm frequency and intensity are two major impacts expected to result from climate change in coastal ecosystems. Coastal national parks have many low-lying areas that are at risk from inundation resulting from these impacts. To help park managers meet their goal of preserving resources, we developed a methodology to evaluate risk of inundation from sea level rise and storm surge at sentinel sites, areas of importance for natural, cultural, and infrastructural resources. We selected the most recent, readily available, and appropriate geospatial tools, models, and data sets to conduct case studies of our coastal inundation risk assessments in two northeastern coastal national parks-Cape Cod National Seashore, MA, and Assateague Island National Seashore, MD/VA. We collected elevation data at sentinel sites using real-time kinematic global positioning system (RTK GPS) technology. We used three modeling approaches: modified bathtub modeling</t>
  </si>
  <si>
    <t>10.3354/cr01178</t>
  </si>
  <si>
    <t>https://www.scopus.com/inward/record.uri?eid=2-s2.0-84889063121&amp;doi=10.3354%2fcr01178&amp;partnerID=40&amp;md5=89e0c7ac9f3aaa1e6bf9e946e56cf2fc</t>
  </si>
  <si>
    <t>Estuaries are dynamic and their physical and chemical characteristics can change over a scale of hours to years. Consequently, estuarine fish assemblages often exhibit large temporal variations in abundance and composition related to changes in a range of parameters such as river flow, estuarine mouth phase, habitat availability, temperature, salinity and turbidity, all of which are likely to be highly affected by climate change. Many organisms become more stressed towards their range boundaries and the distributions of these species can be expected to shift as environmental conditions change. Preliminary studies have highlighted the increased occurrence of tropical fish species in estuaries along the southeast coast of South Africa. Climate change is also predicted to alter precipitation patterns, which will affect the quality, rate, magnitude and timing of freshwater delivery to estuaries, and will potentially exacerbate existing human modifications of these flows. This is likely to result in changes to fish communities, as river flow has been found to have a major impact on the structure and functioning of fish communities in South African estuaries. The predicted increase in the frequency of extreme weather events, together with sea level rise, may result in a loss of estuarine habitat, which will ultimately affect estuarine fish communities and have implications for fisheries targeting estuary-associated species. © Inter-Research 2013.</t>
  </si>
  <si>
    <t>2-s2.0-84889063121"</t>
  </si>
  <si>
    <t>EURO Journal on Decision Processes</t>
  </si>
  <si>
    <t>10.1007/s40070-013-0014-5</t>
  </si>
  <si>
    <t>https://www.scopus.com/inward/record.uri?eid=2-s2.0-84896503711&amp;doi=10.1007%2fs40070-013-0014-5&amp;partnerID=40&amp;md5=75ca427a31a06862898171b279241552</t>
  </si>
  <si>
    <t>Climate change brings new challenges for traditional environmental risk management, particularly for major infrastructure projects, where the decisions made today can have long-term implications. A major challenge is that projections of future climate are deeply uncertain. If this uncertainty is not managed appropriately, long-lived infrastructure may need to be replaced or expensively retrofitted before the end of the design lifetime. The Thames Estuary 2100 Project (TE2100) was one of the first major infrastructure projects to explicitly recognise and address the issue of the deep uncertainty in climate projections throughout the planning process. In this paper, we discuss the innovations and techniques that were adopted in this case that enabled it to cope with this uncertainty. We classify the overall approach as ‘dynamic robustness’, which aims to build flexible strategies that can be changed over time as more is learnt or as conditions change. The project combined four key innovations: (1) the ‘decision-centric’ process</t>
  </si>
  <si>
    <t>10.1130/GES00899.1</t>
  </si>
  <si>
    <t>https://www.scopus.com/inward/record.uri?eid=2-s2.0-84889668011&amp;doi=10.1130%2fGES00899.1&amp;partnerID=40&amp;md5=41b2429304dec8c6d30e0bb08ee1593e</t>
  </si>
  <si>
    <t>Characterizations of tsunami hazards along the Cascadia subduction zone hinge on uncertainties in megathrust rupture models used for simulating tsunami inundation. To explore these uncertainties, we constructed 15 megathrust earthquake scenarios using rupture models that supply the initial conditions for tsunami simulations at Bandon, Oregon. Tsunami inundation varies with the amount and distribution of fault slip assigned to rupture models, including models where slip is partitioned to a splay fault in the accretionary wedge and models that vary the updip limit of slip on a buried fault. Constraints on fault slip come from onshore and offshore paleoseismological evidence. We rank each rupture model using a logic tree that evaluates a model's consistency with geological and geophysical data. The scenarios provide inputs to a hydrodynamic model, SELFE, used to simulate tsunami generation, propagation, and inundation on unstructured grids with &lt;5-15 m resolution in coastal areas. Tsunami simulations delineate the likelihood that Cascadia tsunamis will exceed mapped inundation lines. Maximum wave elevations at the shoreline varied from ~4 m to 25 m for earthquakes with 9-44 m slip and Mw 8.7-9.2. Simulated tsunami inundation agrees with sparse deposits left by the A.D. 1700 and older tsunamis. Tsunami simulations for large (22-30 m slip) and medium (14-19 m slip) splay fault scenarios encompass 80%-95% of all inundation scenarios and provide reasonable guidelines for landuse planning and coastal development. The maximum tsunami inundation simulated for the greatest splay fault scenario (36- 44 m slip) can help to guide development of local tsunami evacuation zones. © 2013 Geological Society of America.</t>
  </si>
  <si>
    <t>2-s2.0-84889668011"</t>
  </si>
  <si>
    <t>10.1007/s11852-013-0277-9</t>
  </si>
  <si>
    <t>https://www.scopus.com/inward/record.uri?eid=2-s2.0-84893183580&amp;doi=10.1007%2fs11852-013-0277-9&amp;partnerID=40&amp;md5=96211937cc9f2b43d1141cbae5f05d44</t>
  </si>
  <si>
    <t>Coastal vulnerability assessments to climate change impacts have been conducted in the past. However, few if any account for the highly variable risk associated with tidal stage in macro-tidal environments. The purpose of this research was to develop a geomatics tool which interactively determines the biophysical vulnerability of a macro-tidal estuary in the Bay of Fundy to varying levels of storm surge and tide state. A conceptual framework was designed to illustrate the relative interrelationships between exposure conditions (surge height, tidal stage), biophysical state (freeboard, exposure, width of foreshore, intertidal slope, observed erodibility, shore protection) and morphological resilience condition. This conceptual framework was then used to develop a dynamic, custom Python programming script within ArcGIS 9.3 to calculate coastal vulnerability for user determined combinations of surge height and tide state. The analysis was conducted for four coastlines, backshore, upper foreshore, middle foreshore and lower foreshore, to reflect varying biophysical states with varying tide levels. The results of the tool were compared with known areas of concern (high erosion, dyke overtopping), as determined by historical records, local expert knowledge and GIS analysis of aerial photography. The number of known locations of concern is lower than that of the results produced by the tool. This is most likely due to the results being analyzed at extreme water levels, greater than higher high water large tide. However, this estimation of vulnerability may limit negative impacts of climate change by highlighting vulnerable areas prior to an event, allowing coastal managers and planners to install measures to reduce the vulnerability and enhance the adaptive capacity of local communities. © Springer Science+Business Media Dordrecht 2013.</t>
  </si>
  <si>
    <t>2-s2.0-84893183580"</t>
  </si>
  <si>
    <t>10.1016/j.geomorph.2013.02.014</t>
  </si>
  <si>
    <t>https://www.scopus.com/inward/record.uri?eid=2-s2.0-84887191090&amp;doi=10.1016%2fj.geomorph.2013.02.014&amp;partnerID=40&amp;md5=5216c95115f401bc62a9e7ad51ec2ab2</t>
  </si>
  <si>
    <t>The wide, sediment-starved continental shelf and modern coastal areas of the southeastern United States retain well-preserved but scattered remnants of a submerged paleolandscape. This paper presents a conceptual model of stratigraphic deposition and landscape formation since the last interglacial on the continental shelf of South Carolina, with portions of North Carolina, Georgia, and Florida (USA). Data for this study include multibeam bathymetry surveys, sidescan sonar mosaics, high-resolution subbottom profiles, and ground-truth surveys from 250. m to the modern tidewater region.Four bathymetric zones are recognized with eleven landforms and landform indicators. The described zones range in depths from the modern shoreline, across the shelf, and over the shelf edge to 250. m MSL. Relative sea level curves are presented for the area and discussed in conjunction with cultural and climatic events.The potential for preservation of Paleoamerican sites is high at the shelf edge between 130. m and 45. m, with Archaic and later occupations likely in depths of less than 25. m. Prominent vantage points for Paleoamericans (&gt;. 11. kya) would have existed at the shelf edge, and tidewater resources would have been available nearby for a period of almost 6. ka. Rapid transgression rates (&gt;. 60. km/ka) after the sea level rose over the shelf edge make preservation of tidewater sites less likely on the outer and middle shelf. Searches for the earliest Paleoamericans should focus on promontories at the edge of the shelf and along future discoveries of paleoincisions on the shelf. Mapping and delineating this paleolandscape and associated unconsolidated sedimentary deposits interspersed with rocky plains and ledges will continue to be a priority to marine archeologists, coastal managers, fishery scientists, and marine spatial planners over the next several decades. © 2013 Elsevier B.V.</t>
  </si>
  <si>
    <t>2-s2.0-84887191090"</t>
  </si>
  <si>
    <t>10.1007/s10872-013-0206-4</t>
  </si>
  <si>
    <t>https://www.scopus.com/inward/record.uri?eid=2-s2.0-84888303634&amp;doi=10.1007%2fs10872-013-0206-4&amp;partnerID=40&amp;md5=4e4041417bef2a23eff479c3ea76526f</t>
  </si>
  <si>
    <t>Rivers transport nutrients and suspended sediment matter (SSM) as well as fresh water from land to coastal regions, where the biological productivity is high. In the coastal area, the buoyancy of fresh water leads to the formation of horizontal anticyclonic gyres and vertical circulations, which affect the variation of biological production such as plankton blooms. However, the primary production caused by the 3-D dynamics have not been quantitatively discussed, and observations can hardly capture the daily temporal variations of phytoplankton blooms. We developed an ocean general circulation model including a simple ecosystem model, to investigate the 3-D and temporal changes in phytoplankton blooms caused by riverine input such as flooding. The distribution patterns of nutrients and phytoplankton differ significantly from that of fresh water. The phytoplankton maxima shift from the downstream (right-hand side of the river mouth) to the upstream regions (left-hand side of the river mouth). The shift that occurs is categorized by the different nitrate origins: (1) river-originated nitrate is dominant in the downstream region</t>
  </si>
  <si>
    <t>10.1038/nature12609</t>
  </si>
  <si>
    <t>https://www.scopus.com/inward/record.uri?eid=2-s2.0-84886815233&amp;doi=10.1038%2fnature12609&amp;partnerID=40&amp;md5=db0f6cd1d9d1202b06ed35929ba49c0c</t>
  </si>
  <si>
    <t>At the Last Glacial Maximum (LGM), about 21,000 years before present, land-based ice sheets held enough water to reduce global mean sea level by 130 metres. Yet after decades of study, major uncertainties remain as to the distribution of that ice. Here we test four reconstructions of North American deglacial ice-sheet history by quantitatively connecting them to high-resolution oxygen isotope (δ 18 O) records from the Gulf of Mexico using a water mixing model. For each reconstruction, we route meltwater and seasonal runoff through the time-evolving Mississippi drainage basin, which co-evolves with ice geometry and changing topography as ice loads deform the solid Earth and produce spatially variable sea level in a process known as glacial isostatic adjustment. The δ 18 O records show that the Mississippi-drained southern Laurentide ice sheet contributed only 5.4 ± 2.1 metres to global sea level rise, of which 0.66 ± 0.07 metres were released during the meltwater pulse 1A event 14,650-14,310 years before present, far less water than previously thought. In contrast, the three reconstructions based on glacial isostatic adjustment overpredict the δ 18 O-based post-LGM meltwater volume by a factor of 1.6 to 3.6. The fourth reconstruction, which is based on ice physics, has a low enough Mississippi-routed meltwater discharge to be consistent with δ 18 O constraints, but also contains the largest LGM North American ice volume. This suggests that modelling based on ice physics may be the best way of matching isotopic records while also sequestering enough water in the North American ice sheets to match the observed LGM sea level fall. © 2013 Macmillan Publishers Limited.</t>
  </si>
  <si>
    <t>2-s2.0-84886815233"</t>
  </si>
  <si>
    <t>10.1134/S0001433813060042</t>
  </si>
  <si>
    <t>https://www.scopus.com/inward/record.uri?eid=2-s2.0-84890875546&amp;doi=10.1134%2fS0001433813060042&amp;partnerID=40&amp;md5=c0e5003bf7b8aa64614ef45c20839976</t>
  </si>
  <si>
    <t>We suggested a method for modelling the transport of pollutants over the Black Sea water basin adjacent to Big Sochi. The model is based on the application of the Institute of Numerical Mathematics Ocean Model (INMOM) over the entire basin of Big Sochi in two versions: M1 and M2. In the first version, we use uniform spatial resolution of the model with a step of ~4 km</t>
  </si>
  <si>
    <t>10.1016/j.jhydrol.2013.09.034</t>
  </si>
  <si>
    <t>https://www.scopus.com/inward/record.uri?eid=2-s2.0-84885757567&amp;doi=10.1016%2fj.jhydrol.2013.09.034&amp;partnerID=40&amp;md5=15d118784168a7a934a082eff041057e</t>
  </si>
  <si>
    <t>Flood is one of the natural hazards which occur all over the world and it is critical to be controlled through proper management. Severe flood events in Kelantan, Malaysia cause damage to both life and property every year, and therefore the development of flood model to recognize the susceptible areas in watersheds is important for decision makers. Remote sensing (RS) and geographic information system (GIS) techniques could be useful in hydrological studies while they are able to fulfill all the requirements for comprehensive, rapid and accurate analysis. The aim of the current research is to compare the prediction performances of two different approaches such as rule-based decision tree (DT) and combination of frequency ratio (FR) and logistic regression (LR) statistical methods for flood susceptibility mapping at Kelantan, Malaysia. DT is based on the rules which are created precisely and strongly by considering all the characteristics of the variables which can enhance the performance of the flood susceptibility mapping. On the other hand, LR as multivariate statistical analysis (MSA) has some weak points. For that reason, FR was used to analyze the impact of classes of each variable on flood occurrence and overcome the weakness of LR. At first, flood inventory map with a total of 155 flood locations was extracted from various sources over the part of the Kelantan. Then the flood inventory data was randomly divided into a testing dataset 70% (115 flood locations) for training the models and the remaining 30% (40 flood locations) was used for validation purpose. The spatial database includes digital elevation model (DEM), curvature, geology, river, stream power index (SPI), rainfall, land use/cover (LULC), soil type, topographic wetness index (TWI) and slope. For validation both success and prediction rate curves were performed. The validation results showed that, area under the curve for the results of DT and integrated method of FR and LR was 87% and 90% for success rate and 82% and 83% for prediction rate respectively. © 2013 Elsevier B.V.</t>
  </si>
  <si>
    <t>2-s2.0-84885757567"</t>
  </si>
  <si>
    <t>10.1016/j.envsci.2012.11.002</t>
  </si>
  <si>
    <t>https://www.scopus.com/inward/record.uri?eid=2-s2.0-84890233268&amp;doi=10.1016%2fj.envsci.2012.11.002&amp;partnerID=40&amp;md5=071ae6bfc540e5569245c0ed07ad85ee</t>
  </si>
  <si>
    <t>Wetlands are too often perceived as standalone elements and are poorly integrated into river basin management. The Ramsar Convention recognizes the critical linkage between wetlands, water and river basin management</t>
  </si>
  <si>
    <t>10.1016/j.gloplacha.2013.09.019</t>
  </si>
  <si>
    <t>https://www.scopus.com/inward/record.uri?eid=2-s2.0-84886237693&amp;doi=10.1016%2fj.gloplacha.2013.09.019&amp;partnerID=40&amp;md5=d83a8199b39ff3e58a027252b8685e9a</t>
  </si>
  <si>
    <t>Evidence is presented from three estuarine tide gauges located in the Sundarban area of southwest Bangladesh of relative sea level rise substantially in excess of the generally accepted rates from altimetry, as well as previous tide-gauge analyses. It is proposed that the difference arises from the use of Relative Mean Sea Level (RMSL) to characterise the present and future coastal flood hazard, since RMSL can be misleading in estuaries in which tidal range is changing. Three tide gauges, one located in the uninhabited mangrove forested area (Sundarban) of southwest Bangladesh, the others in the densely populated polder zone north of the present Sundarban, show rates of increase in RMSL ranging from 2.8mma-1 to 8.8mma-1. However, these trends in RMSL disguise the fact that high water levels in the polder zone have been increasing at an average rate of 15.9mma-1 and a maximum of 17.2mma-1. In an area experiencing tidal range amplification, RMSL will always underestimate the rise in high water levels</t>
  </si>
  <si>
    <t>10.1016/j.jenvman.2013.08.062</t>
  </si>
  <si>
    <t>https://www.scopus.com/inward/record.uri?eid=2-s2.0-84884724960&amp;doi=10.1016%2fj.jenvman.2013.08.062&amp;partnerID=40&amp;md5=95795b100ee15f888341380221ca0f39</t>
  </si>
  <si>
    <t>A numerical model based on the random walk particle tracking technique is developed to simulate the transport of the contaminants discharged into the coastal area of Guangxi, China from rivers. The model couples a 1D river flow module and a 2D coastal circulation module. Two transport timescales, i.e., the age and the arrival time, are introduced to characterize the contaminant transport process. The age is the time for a particle taken to enter the domain of interest after it left the place where the age is initially set to zero. The arrival time, on the other hand, is the age of the particle arriving at a particular place most quickly after release. It is useful for emergency responses to such an accident as toxic substance leakage. By the numerical model, the age and the arrival time under various conditions in the coastal area of Guangxi, China are studied in details. The age distribution and the arrival time of particles at a specific location are shown to closely rely on the coastal hydrodynamic environment in addition to the distance of the location from the source where particles are released. Particles released at spring tide and at ebb tide are found to spread more quickly than those released at neap tide and at flood tide, respectively. Alarge carrying discharge of river reduces the ages of the contaminants from the river concerned when transported to a place within the coastal area, while it has less influence on the arrival time, particularly in a place along the coast. © 2013 Elsevier Ltd.</t>
  </si>
  <si>
    <t>2-s2.0-84884724960"</t>
  </si>
  <si>
    <t>10.2478/squa-2013-0005</t>
  </si>
  <si>
    <t>https://www.scopus.com/inward/record.uri?eid=2-s2.0-84888085320&amp;doi=10.2478%2fsqua-2013-0005&amp;partnerID=40&amp;md5=7f72a0290f4a0b95145af8ea699f7ae7</t>
  </si>
  <si>
    <t>The Memphite ruin mounds around the modem town of Mit Rahina in northern Egypt form a part of a region around which the capital of Egypt migrated through time. Some of these migrations were the responses to landscape changes and the area is one that is subject to a number of types of landscape change. The delta and river systems as well as the deserts that surround Memphis changed profoundly as global temperatures rose at the end of the last ice age. This paper summarises the main landscape processes that affected the area and proposes a model for river migration and delta-head change in the Memphite floodplain.</t>
  </si>
  <si>
    <t>2-s2.0-84888085320"</t>
  </si>
  <si>
    <t>10.1016/j.jhydrol.2013.09.033</t>
  </si>
  <si>
    <t>https://www.scopus.com/inward/record.uri?eid=2-s2.0-84885699805&amp;doi=10.1016%2fj.jhydrol.2013.09.033&amp;partnerID=40&amp;md5=719421b041e7add9ad1ad5245101b967</t>
  </si>
  <si>
    <t>Two conceptual storage-based approaches have been developed for incorporating floodplain inundation modelling capability in two water resources planning models. Approach one is a simple method suitable for data limited environment, in which, flow in a river reach within a floodplain is partitioned into two components, in-stream and overbank flow, based on the in-stream capacity. A flood volume-area relationship derived from the flood inundation time series, which is generated by analysing daily MODIS imagery, is used to estimate flooded area for the overbank flow. The losses due to evaporation and groundwater seepage from floodplain are calculated using the estimated flooded area. This approach was implemented in the floodplain area of the Murray-Darling Basin in Australia. The simulated flow was compared with gauged data in 216 stations. The model has produced daily time series of floodplain stores and fluxes. The mass-balance analysis shows that the long term mass balance error was negligible for all floodplain reaches. Approach two is more comprehensive and suitable for areas with high resolution topography data. LiDAR data is used to divide a floodplain into multiple storages based on pre-defined threshold of floodplain inundation heights. The storage characteristics including disconnected storage volume (or, dead storage) and hydraulic connectivity between floodplain storages and a river reach are derived from the LiDAR data using a spatial data processing technique. This information is used to estimate floodplain inundation area for overbank flow. Approach 2 successfully simulated inundation depths, duration and extents in two reaches of Murrumbidgee floodplain. The performance of Approach 2 is highly satisfactory in terms of flood extent, depth and duration at a very high spatial resolution. The key limitations of Approach one are that this approach is unable to produce the spatial variability of floodplain inundation depth and extent and it does not incorporate dead storage. These limitations can be overcome by integrating it with Approach two. A key advantage of Approach two is the quick run time compared to a two dimensional hydrodynamic model. This makes the approach highly suitable to be incorporated in river system models for various scenario analyses for planning and management, which requires the model to run for over 100. years at a daily time step. The limitations of this approach are the requirement of very high resolution topographic data and the inability to produce flood velocity. © 2013 Elsevier B.V.</t>
  </si>
  <si>
    <t>2-s2.0-84885699805"</t>
  </si>
  <si>
    <t>10.1007/s11852-013-0284-x</t>
  </si>
  <si>
    <t>https://www.scopus.com/inward/record.uri?eid=2-s2.0-84893200064&amp;doi=10.1007%2fs11852-013-0284-x&amp;partnerID=40&amp;md5=c74143073db29cc9a50f7ae57ad9fd21</t>
  </si>
  <si>
    <t>Coastal ecosystems generate diverse services, such as protection, production of food, climate regulation and recreation across the globe. These services are vital for extremely vulnerable coastal areas for enhancing present and future adaptation capacity under changing climate. Bangladesh has long coastline which provides opportunities to large population for multiple resource uses</t>
  </si>
  <si>
    <t>10.5194/nhess-13-3291-2013</t>
  </si>
  <si>
    <t>https://www.scopus.com/inward/record.uri?eid=2-s2.0-84890496869&amp;doi=10.5194%2fnhess-13-3291-2013&amp;partnerID=40&amp;md5=b2007da811373fce198861cc6605b4ba</t>
  </si>
  <si>
    <t>As a consequence of change in global climate, an increased frequency of natural hazards such as storm surges, tsunamis and cyclones, is predicted to have dramatic affects on the coastal communities and ecosystems by virtue of the devastation they cause during and after their occurrence. The tsunami of December 2004 and the Thane cyclone of 2011 caused extensive human and economic losses along the coastline of Puducherry and Tamil Nadu. The devastation caused by these events highlighted the need for vulnerability assessment to ensure better understanding of the elements causing different hazards and to consequently minimize the after-effects of the future events. This paper demonstrates an analytical hierarchical process (AHP)-based approach to coastal vulnerability studies as an improvement to the existing methodologies for vulnerability assessment. The paper also encourages the inclusion of socio-economic parameters along with the physical parameters to calculate the coastal vulnerability index using AHP-derived weights. Seven physical-geological parameters (slope, geomorphology, elevation, shoreline change, sea level rise, significant wave height and tidal range) and four socio-economic factors (population, land use/land cover (LU/LC), roads and location of tourist areas) are considered to measure the physical vulnerability index (PVI) as well as the socio-economic vulnerability index (SVI) of the Puducherry coast. Based on the weights and scores derived using AHP, vulnerability maps are prepared to demarcate areas with very low, medium and high vulnerability. A combination of PVI and SVI values are further utilized to compute the coastal vulnerability index (CVI). Finally, the various coastal segments are grouped into the 3 vulnerability classes to obtain the coastal vulnerability map. The entire coastal extent between Muthiapet and Kirumampakkam as well as the northern part of Kalapet is designated as the high vulnerability zone, which constitutes 50% of the coastline. The region between the southern coastal extent of Kalapet and Lawspet is the medium vulnerability zone and the remaining 25% is the low vulnerability zone. The results obtained enable the identification and prioritization of the more vulnerable areas of the region in order to further assist the government and the residing coastal communities in better coastal management and conservation. © 2013 Author(s).</t>
  </si>
  <si>
    <t>2-s2.0-84890496869"</t>
  </si>
  <si>
    <t>https://www.scopus.com/inward/record.uri?eid=2-s2.0-84890936125&amp;partnerID=40&amp;md5=fe6a97f8e6ef34d2789a5f7a69890884</t>
  </si>
  <si>
    <t>The importance of bathymetry may be obvious to mariners, ocean modellers and marine geologists, but among the general public only the boating community seems to understand the importance of knowing water depths and the shape of the sea bottom. Most uses of bathymetry are not compelling enough to attract the attention of the general public, yet there are many instances where knowing the shape of the bottom can save lives. Most dramatic are those times when the coast is struck by huge tsunamis, storm surges, or wind waves. The direction and size of these long waves are affected by bathymetry through wave refraction, which focuses their energy toward shallow ridges and away from deeper canyons. Many thousands of people have died because they lived at coastal locations toward which bathymetry focused the enormous energy of these long waves. The public needs to appreciate the importance of bathymetry in identifying coastal locations most susceptible to catastrophe when these marine hazards strike.</t>
  </si>
  <si>
    <t>2-s2.0-84890936125"</t>
  </si>
  <si>
    <t>10.3390/cli1030148</t>
  </si>
  <si>
    <t>https://www.scopus.com/inward/record.uri?eid=2-s2.0-84905819183&amp;doi=10.3390%2fcli1030148&amp;partnerID=40&amp;md5=4276107f91611ef46c4d3aec2b92e76d</t>
  </si>
  <si>
    <t>In the wake of increasing flood disasters, there is an increasing use of flood inundation models to assess risks and impacts at different temporal and spatial scales. Assessing the impacts of extreme climatic rainfall events will require developing design rainfall profiles to represent rainfall under different conditions. Rainfall profiles of different return periods were developed using the Flood Estimation Handbook (FEH) methodology for a small rural catchment of Scotland, to assess flood risks at a catchment scale. Rainfall induced runoff flows were estimated based on a set of catchment characteristics. The channel and floodplain flows were modelled using a two-dimensional hydrodynamic model-TUFLOW. The main channel was represented by a one-dimensional linear channel based on surveyed data and the floodplain topography, was represented by a digital terrain model based on Light Detection and Ranging (LiDAR). A range of hydrological events with different return periods are simulated. Results show that many residential houses and an extensive area of agricultural land are at risk of flooding from extreme events such as a 1 in 100 year flood. © 2013 by the authors</t>
  </si>
  <si>
    <t>Romanian Reports in Physics</t>
  </si>
  <si>
    <t>https://www.scopus.com/inward/record.uri?eid=2-s2.0-84890265753&amp;partnerID=40&amp;md5=da067a54827e9b42d85db8e958a05290</t>
  </si>
  <si>
    <t>The spatially distributed rainfall-runoff model TOPKAPI (TOPographic Kinematic APproximation and Integration) has been widely used for continuous modelling of floods. The model utilises three non-linear reservoir differential equations for the drainage in the soil, the overland flow on saturated or impervious soil, and the channel flow along the drainage network, respectively. The reservoirs derive from the integration in space of the non-linear kinematic wave model. The geometry of the catchment is described by a lattice of cells - the pixels of the digital elevation model (DEM) and their slope - over which the equations are integrated to lead to a cascade of non-linear reservoirs. The parameterisation relies on the digital thematic maps of soil, geology and land use. The model was applied on the upper river basin of Someşul Mare, upstream Beclean (4328 km2) for the 2000-2006 interval: the years 2000-2002 were used for calibration, the model being validated for the 2003-2006 period. The soil and the landuse maps were reclassified with respect to hydrological properties (e.g., soil depth, soil texture, surface roughness, canopy interception). For the time-dependent input, precipitation and temperature from eight meteorological stations have been used. The trial-and-error calibration - based on visually matching the modelled streamflow with the observed one - managed to reproduce the behaviour of the catchment while keeping the parameters within their physically meaningful values. The model reproduced well the behaviour of the streamflow, the peak time, the increase and the recession of the floods. In general, the small floods were overestimated in terms of peak flow. However, considering that only one station (out of eight) is located inside the basin, the first modelling results are very satisfactory.</t>
  </si>
  <si>
    <t>2-s2.0-84890265753"</t>
  </si>
  <si>
    <t>10.1080/19475705.2012.746243</t>
  </si>
  <si>
    <t>https://www.scopus.com/inward/record.uri?eid=2-s2.0-84888054980&amp;doi=10.1080%2f19475705.2012.746243&amp;partnerID=40&amp;md5=fdb4c96c636d29dbaeee46d55b17f014</t>
  </si>
  <si>
    <t>The representation and modelling of physical and natural systems are mostly implemented using partial differential equations. Physical processes such as flooding, tsunamis, avalanches, earthquakes and landslides undeniably possess complex systems behaviour. Modelling such dynamic phenomena can be adequately addressed by using geocomplexity - complex systems theory and cellular automata (CA). This study develops a novel approach that couples geographic information systems (GIS), multicriteria evaluation (MCE) and CA to simulate shallow landslide flows occurring in urban areas. The landslide susceptibility map produced from the MCE model was used as one input for the CA model. The high-resolution digital elevation model (DEM) is used to calculate topographic variables such as slope gradient, aspect gradient, stream power index, topographic wetness index, and flow direction which were all used in model design. The developed MCE-CA simulation model was tested on historical landslide data in Metro Vancouver, Canada. The spatial extents of the landslide simulations were compared with actual data to test the model simulation outcomes. The developed model has a potential to become useful tool that can aid urban planners and emergency workers in identifying and mitigating threats due to landslides. © 2013 Copyright Taylor and Francis Group, LLC.</t>
  </si>
  <si>
    <t>2-s2.0-84888054980"</t>
  </si>
  <si>
    <t>10.1016/j.enggeo.2013.10.006</t>
  </si>
  <si>
    <t>https://www.scopus.com/inward/record.uri?eid=2-s2.0-84887356702&amp;doi=10.1016%2fj.enggeo.2013.10.006&amp;partnerID=40&amp;md5=fa89238cf9a2c273fb2e2c194f8ef9f2</t>
  </si>
  <si>
    <t>This paper presents a novel approach to predict long-term settlement in the Trondheim harbour, mid Norway, from high-resolution shear-wave seismic reflection data, complemented with cone penetration test results (CPTU) and index soil properties from nearby boreholes in this reclaimed coastal area. The data enables sub-surface geo-characterisation in high-resolution, down to the basement at a depth of about 175m. Correlations between shear-wave velocity and Janbu's classical 1D consolidation parameters (m, M0, M1, σ'c and OCR) are used for settlement analysis. Both the magnitude and rate of time-settlement predictions compare well with the measured settlements from GPS levelling and PSInSAR data acquired since the late 1980s and the early 1990s in the area, respectively. The shear-wave reflection data further provide important input to understand the spatial patterns of land-subsidence in the Trondheim harbour. The highest settlement rates occur in areas where depth to bedrock is greatest and where thicker deposits with low stiffness are found. In summary, the data and workflow presented here are useful tools for predicting settlements based on correlations with shear-wave velocity measurements. © 2013 Elsevier B.V.</t>
  </si>
  <si>
    <t>2-s2.0-84887356702"</t>
  </si>
  <si>
    <t>10.5194/nhess-13-3249-2013</t>
  </si>
  <si>
    <t>https://www.scopus.com/inward/record.uri?eid=2-s2.0-84890522367&amp;doi=10.5194%2fnhess-13-3249-2013&amp;partnerID=40&amp;md5=06d452886a48b16c17f565ba159bb863</t>
  </si>
  <si>
    <t>Advances in the understanding and prediction of tsunami impacts allow the development of risk reduction strategies for tsunami-prone areas. This paper presents an integral framework for the formulation of tsunami evacuation plans based on tsunami vulnerability assessment and evacuation modelling. This framework considers (i) the hazard aspects (tsunami flooding characteristics and arrival time), (ii) the characteristics of the exposed area (people, shelters and road network), (iii) the current tsunami warning procedures and timing, (iv) the time needed to evacuate the population, and (v) the identification of measures to improve the evacuation process. The proposed methodological framework aims to bridge between risk assessment and risk management in terms of tsunami evacuation, as it allows for an estimation of the degree of evacuation success of specific management options, as well as for the classification and prioritization of the gathered information, in order to formulate an optimal evacuation plan. The framework has been applied to the El Salvador case study, demonstrating its applicability to site-specific response times and population characteristics. © Author(s) 2013.</t>
  </si>
  <si>
    <t>2-s2.0-84890522367"</t>
  </si>
  <si>
    <t>10.1130/GES00706.1</t>
  </si>
  <si>
    <t>https://www.scopus.com/inward/record.uri?eid=2-s2.0-84889635967&amp;doi=10.1130%2fGES00706.1&amp;partnerID=40&amp;md5=718e76124c183ae549c8e18740412d98</t>
  </si>
  <si>
    <t>Mafic lava flows are common</t>
  </si>
  <si>
    <t>10.1007/s10064-013-0474-7</t>
  </si>
  <si>
    <t>https://www.scopus.com/inward/record.uri?eid=2-s2.0-84891146219&amp;doi=10.1007%2fs10064-013-0474-7&amp;partnerID=40&amp;md5=bc1836a47b6cc5c516a0062c611da12d</t>
  </si>
  <si>
    <t>A number of areas worldwide are suffering from the land subsidence, including the southern Yangtze River delta, the most developed area in China. Land subsidence is mainly induced by excessive groundwater pumping and has caused numerous problems, for example, flooding, structural cracking, and ground fissuring. Although several countermeasures have been adopted to mitigate the land subsidence problem in the southern Yangtze River delta, commonly using groundwater recharge, land subsidence is still developing even when groundwater levels are rising. The observation data of land subsidence in each stratum show that the deformation of the pumped aquifer is even greater than that in the adjacent aquitards when groundwater levels are recovering. Laboratory test results on the aquifer sand in Shanghai and Changzhou (two cities in the studied area, which have the most sufficient observation data about the land subsidence and groundwater level developing with time) proved that sand creep deformation is significant and is partially responsible for the land subsidence without groundwater level drawdown. Considering the difficulty and cost of collecting borehole samples from deep pumped aquifers to obtain the essential parameters for the existing sand creep calculation models, a simplified method was then proposed to calculate the sand creep deformation in the pumped aquifer. The relationship between the sand creep rate and the time can be recognized as linear using double logarithmic coordinates and the slope can be assumed to be one. In the proposed method, the laboratory test data are not necessary. Finally, case histories from Shanghai and Changzhou were used to verify the effectiveness of the proposed method. © 2013 Springer-Verlag Berlin Heidelberg.</t>
  </si>
  <si>
    <t>2-s2.0-84891146219"</t>
  </si>
  <si>
    <t>10.1016/j.geomorph.2013.07.012</t>
  </si>
  <si>
    <t>https://www.scopus.com/inward/record.uri?eid=2-s2.0-84885060694&amp;doi=10.1016%2fj.geomorph.2013.07.012&amp;partnerID=40&amp;md5=62d13f7929e5750de6e08ced7c4bd731</t>
  </si>
  <si>
    <t>Coastal transitional environments such as estuaries, coastal inlets and tidal lagoons are the result of the interaction of several exogenous forcing factors (e.g. tidal regime, local wind and wave climate, sea-level rise, sediment supply) many of which are, in principle, variable in time over historical and geological timescales. Besides the natural variability of the external constraints, human interventions in some components of the system can either directly or indirectly affect long-term sediment dynamics in the whole system.In this paper the evolution of a schematic tidal basin, with non-uniform sediments and subject to geological and anthropogenic processes, is reproduced by means of a two dimensional morphodynamic model and qualitatively compared to the events which historically took place in the Venice Lagoon during the last four centuries</t>
  </si>
  <si>
    <t>10.1007/s11852-013-0251-6</t>
  </si>
  <si>
    <t>https://www.scopus.com/inward/record.uri?eid=2-s2.0-84883864847&amp;doi=10.1007%2fs11852-013-0251-6&amp;partnerID=40&amp;md5=edc4ba5fbd4797ecb1f8bda7a9780402</t>
  </si>
  <si>
    <t>Bangladesh, at the confluence of the sediment-laden Ganges and Brahmaputra Rivers, supports an enormous and rapidly growing population (&gt;140 million in 2011), across low-lying alluvial and delta plains that have accumulated over the past few thousand years. It has been identified as one of the most vulnerable places in the world to the impacts of climate change and sea-level rise. Although abundant sediment supply has resulted in accretion on some parts of the coast of Bangladesh, others are experiencing rapid erosion. We report a systematic assessment of rates of shoreline change over a 20-year period from 1989 to 2009, using Landsat satellite images with pixel resolution of 30 m on the ground. A Band ratio approach, using Band-5 divided by Band-2, discriminated the water line on images that were largely cloud-free, adequately registered, and at comparable tidal stages. Rates of shoreline change were calculated for &gt;16,000 transects generated at 50 m intervals along the entire mainland coastline (&gt;1,100 km) and major islands, using the End Point Rate (EPR) method in the Digital Shoreline Analysis System (DSAS) extension in ArcGIS®. Erosion characterises most of the seaward margin of the Sundarbans in western Bangladesh. Retreat rates of up to 20 m/yr are typical, with little evidence that local devastation of the mangrove fringe by Cyclone Sidr in November 2007 had resulted in uncharacteristic long-term rates of retreat where it made landfall. Erosion exceeded accretion in the Barguna Patuakhali coastal zone, most of which eroded at up to 20 m/yr, but with truncation of the southern tip of the Patharghata Upazila at up to 100 m/yr. In Bhola, erosion at rates of up to 120 m/yr were observed along much of the coast, but in the Noakhali Feni coastal zone, similar rates of erosion were balanced by rapid accretion of the main promontory by more than 600 m/yr. Rates of change were more subdued in the Chittagong and Cox's Bazar coastal zones of southeast Bangladesh. Islands in the Meghna estuary were especially dynamic</t>
  </si>
  <si>
    <t>10.1142/S1464333213500105</t>
  </si>
  <si>
    <t>https://www.scopus.com/inward/record.uri?eid=2-s2.0-84884150204&amp;doi=10.1142%2fS1464333213500105&amp;partnerID=40&amp;md5=9ea443f1870c7191b3d1e95f85a0648f</t>
  </si>
  <si>
    <t>The Intergovernmental Panel on Climate Change (IPCC) (2007, 2012:11) warned that the mega deltas in South Asia (e.g. the Ganges Brahmaputra Meghna River Basin) will be at great risk due to increased flooding, and the region's poverty would reduce the capacity of the inhabitants to adapt to change. This paper provides a »bottom up» impact approach which focuses on a methodological contribution for assessment of vulnerability and adaptation (V &amp; A) in a riverine flood-prone area, »Islampur» in Bangladesh, where various impact assessment guidelines have been taken into consideration. In this study the evaluation of V &amp; A assessments at community level has been accomplished mainly by a weighted matrix index value derived from two participatory rapid appraisals (PRAs). Based on the distribution pattern of various weighted value indices of V &amp; A issues, the required adaptation techniques can be adopted for immediate policy-making, and appropriate actions should be undertaken through establishing community-based adaptation committees (CBAC). © Imperial College Press.</t>
  </si>
  <si>
    <t>2-s2.0-84884150204"</t>
  </si>
  <si>
    <t>10.1038/nclimate1944</t>
  </si>
  <si>
    <t>https://www.scopus.com/inward/record.uri?eid=2-s2.0-84887164445&amp;doi=10.1038%2fnclimate1944&amp;partnerID=40&amp;md5=7321a6f09261409167922c9010f12022</t>
  </si>
  <si>
    <t>Extreme weather, sea-level rise and degraded coastal ecosystems are placing people and property at greater risk of damage from coastal hazards. The likelihood and magnitude of losses may be reduced by intact reefs and coastal vegetation, especially when those habitats fringe vulnerable communities and infrastructure. Using five sea-level-rise scenarios, we calculate a hazard index for every 1 km 2 of the United States coastline. We use this index to identify the most vulnerable people and property as indicated by being in the upper quartile of hazard for the nation's coastline. The number of people, poor families, elderly and total value of residential property that are most exposed to hazards can be reduced by half if existing coastal habitats remain fully intact. Coastal habitats defend the greatest number of people and total property value in Florida, New York and California. Our analyses deliver the first national map of risk reduction owing to natural habitats and indicates where conservation and restoration of reefs and vegetation have the greatest potential to protect coastal communities. © 2013 Macmillan Publishers Limited. All rights reserved .</t>
  </si>
  <si>
    <t>2-s2.0-84887164445"</t>
  </si>
  <si>
    <t>https://www.scopus.com/inward/record.uri?eid=2-s2.0-84883792591&amp;partnerID=40&amp;md5=5d333226c0dec902b11d12d2680fe95e</t>
  </si>
  <si>
    <t>The law with respect to coastal management in New South Wales, particularly those laws dealing with sea level rise, is a dynamic area that is, once again, currently under review. This article discusses Stage 1 of this reform and analyses it in the broader context of the ""public interest"" test. The importance of this test for decision-makers, especially those at the local government interface, is highlighted, with particular attention paid to both climate change impacts and recent, relevant judicial decisions. It further explores the tension between private property rights and the public interest test in the context of the coastline, and suggests that a balance may be found in applying innovative planning mechanisms such as rolling easements.</t>
  </si>
  <si>
    <t>2-s2.0-84883792591"</t>
  </si>
  <si>
    <t>10.1007/s10584-013-0848-7</t>
  </si>
  <si>
    <t>https://www.scopus.com/inward/record.uri?eid=2-s2.0-84887618582&amp;doi=10.1007%2fs10584-013-0848-7&amp;partnerID=40&amp;md5=ae2f5a0f9129c32e900b23645528c08d</t>
  </si>
  <si>
    <t>The magnitude and frequency of coastal storms are expected to increase with rising global sea levels, which necessitates evaluating coastal flood adaptation measures. This study examines an important issue in the context of coastal flood protection, namely, the decision when to adopt protection measures. For any given coastal region, our benefit-cost framework allows us to determine the optimal timing of initiating protection that maximizes expected net benefits. We present an application of this framework to a coastal area in Connecticut. Our results suggest that the optimal timing of adopting protection may vary across different census blocks within the study area. We find that using a relatively low discount rate in the benefit-cost analysis implies greater heterogeneity in the timing decisions and earlier overall adoption, whereas, with higher discount rates, the timing decisions are reduced to a choice between early protection and no protection at all. If possible negative environmental and aesthetic impacts of sea barriers are taken into account, delaying protection would become more desirable, with the extent of delay being sensitive to the relative magnitude of one-time costs (e.g., loss of ocean view and recreational opportunities) vs. continuous costs (e.g., shoreline erosion and loss of wetlands). © 2013 Springer Science+Business Media Dordrecht.</t>
  </si>
  <si>
    <t>2-s2.0-84887618582"</t>
  </si>
  <si>
    <t>10.1016/j.geomorph.2013.06.011</t>
  </si>
  <si>
    <t>https://www.scopus.com/inward/record.uri?eid=2-s2.0-84883550659&amp;doi=10.1016%2fj.geomorph.2013.06.011&amp;partnerID=40&amp;md5=503a6ac88558aefc5142fa22fc6d77da</t>
  </si>
  <si>
    <t>Hurricane Ike caused substantial beach erosion along the coast of the Bolivar Peninsula, TX. Much of the erosion was caused by the offshore (ebb) flow of the ca. 5. m storm surge that formed spatially discrete scour features. Using aerial photography and repeat LiDAR data, we identify five types of scour features and describe the alongshore distribution in four flow environments. Type 1 scours are relatively small and compact features associated mainly with flow off a wide, vegetated (grasses, shrubs, trees) surface across a wide beach. Type 2 scours are large and branching forms associated mainly with flow that was channeled by streets or gaps between structures. Type 3 scours are large and blocky features associated with flow off a marsh surface, across a highway, which removed almost all beach sands from the surface. Type 4 scours are elongated, shore perpendicular channels associated with the same flow characteristics as Type 3 scours. Type 5 scours are elongated, shore-perpendicular features, sometimes branching, associated with flow through gaps in a destroyed shore protection structure. Repeat imagery indicates that many of the features persisted for at least seven months. Recent aerial photography indicates that aspects of some features remained evident more than three years after Ike's landfall. © 2013 Elsevier B.V.</t>
  </si>
  <si>
    <t>2-s2.0-84883550659"</t>
  </si>
  <si>
    <t>https://www.scopus.com/inward/record.uri?eid=2-s2.0-84881145261&amp;partnerID=40&amp;md5=73d3879d06e0fd276d448a17f2bd9f40</t>
  </si>
  <si>
    <t>With rising sea levels, changes in precipitation patterns and an increased incidence of severe weather events being predicted as a result of global climate change, the Department of Conservation commissioned a study to determine the potential impacts of these effects on New Zealand's archaeological sites, which are mostly located near the coast. A Geographic Information System (GIS)-based case study examined the distribution of archaeological sites in the Whangarei District and assessed the risk to the archaeological resource primarily from sea level rise associated with future climate change. The results of the analysis are fairly conclusive. Currently, the major threats to archaeological sites in coastal areas are erosion, fooding and ground instability, and some sites are at risk from more than one of these threats. Approximately one-third of the recorded site locations in the Whangarei District are potentially threatened by these hazards, regardless of any future climate change effects. Climate change will exacerbate existing coastal hazards, and increase the likelihood and severity of impacts on archaeological sites. An additional 2.5-10% of archaeological sites might be afected by increased threats due to predicted changes in climate, including rising sea levels. The types of sites that are most likely to be affected in the Whangarei District are coastal midden and small habitation sites relating to Māori occupation. Although these could be afected by all three of the major hazards identifed, they are particularly susceptible to coastal erosion. Land stability issues and fooding are likely to affect a greater range of sites, including larger sites such as pā and sites relating to early European settlement. It is not possible to quantify the risk to sites from increased land instability as a result of global climate change, but it is noted that any increase in extreme weather events would not be confined to coastal areas. These sites potentially hold significant information relating to the history of both the district and New Zealand. The implications of the study are that coastal sites are already under considerable threat, and that important archaeological information is being lost at a rate that may increase signifcantly in the future. Action is needed now to protect or retrieve the information from signifcant sites under threat in coastal areas before these sites disappear completely. © July 2013, New Zealand Department of Conservation.</t>
  </si>
  <si>
    <t>2-s2.0-84881145261"</t>
  </si>
  <si>
    <t>10.1038/nclimate1979</t>
  </si>
  <si>
    <t>https://www.scopus.com/inward/record.uri?eid=2-s2.0-84883406939&amp;doi=10.1038%2fnclimate1979&amp;partnerID=40&amp;md5=77b4f618bcd68c5c675aab4441fa2786</t>
  </si>
  <si>
    <t>Flood exposure is increasing in coastal cities owing to growing populations and assets, the changing climate, and subsidence. Here we provide a quantification of present and future flood losses in the 136 largest coastal cities. Using a new database of urban protection and different assumptions on adaptation, we account for existing and future flood defences. Average global flood losses in 2005 are estimated to be approximately US$6 billion per year, increasing to US$52 billion by 2050 with projected socio-economic change alone. With climate change and subsidence, present protection will need to be upgraded to avoid unacceptable losses of US$1 trillion or more per year. Even if adaptation investments maintain constant flood probability, subsidence and sea-level rise will increase global flood losses to US$60-63 billion per year in 2050. To maintain present flood risk, adaptation will need to reduce flood probabilities below present values. In this case, the magnitude of losses when floods do occur would increase, often by more than 50%, making it critical to also prepare for larger disasters than we experience today. The analysis identifies the cities that seem most vulnerable to these trends, that is, where the largest increase in losses can be expected. © 2013 Macmillan Publishers Limited. All rights reserved.</t>
  </si>
  <si>
    <t>2-s2.0-84883406939"</t>
  </si>
  <si>
    <t>10.5194/hess-17-3235-2013</t>
  </si>
  <si>
    <t>https://www.scopus.com/inward/record.uri?eid=2-s2.0-84883148707&amp;doi=10.5194%2fhess-17-3235-2013&amp;partnerID=40&amp;md5=eb8bb560228e86fbebd5b0f74d99e35e</t>
  </si>
  <si>
    <t>This paper offers a conceptual approach to explore the complex dynamics of floodplains as fully coupled human-water systems. A number of hydrologists have recently investigated the impact of human activities (such as flood control measures, land-use changes, and settlement patterns) on the frequency and severity of floods. Meanwhile, social scientists have shown how interactions between society and waters in deltas and floodplain areas, including the frequency and severity of floods, have an impact on the ways in which social relations unfold (in terms of governance processes, policies, and institutions) and societies are organised (spatially, politically, and socially). However, we argue that the interactions and associated feedback mechanisms between hydrological and social processes remain largely unexplored and poorly understood. Thus, there is a need to better understand how the institutions and governance processes interact with hydrological processes in deltas and floodplains to influence the frequency and severity of floods, while (in turn) hydrological processes co-constitute the social realm and make a difference for how social relations unfold to shape governance processes and institutions. Our research goal, therefore, is not in identifying one or the other side of the cycle (hydrological or social), but in explaining the relationship between them: how, when, where, and why they interact, and to what result for both social relations and hydrological processes? We argue that long time series of hydrological and social data, along with remote sensing data, can be used to observe floodplain dynamics from unconventional approaches, and understand the complex interactions between water and human systems taking place in floodplain areas, across scales and levels of human impacts, and within different hydro-climatic conditions, socio-cultural settings, and modes of governance. © Author(s) 2013.</t>
  </si>
  <si>
    <t>2-s2.0-84883148707"</t>
  </si>
  <si>
    <t>10.1016/j.quaint.2013.03.041</t>
  </si>
  <si>
    <t>https://www.scopus.com/inward/record.uri?eid=2-s2.0-84880616089&amp;doi=10.1016%2fj.quaint.2013.03.041&amp;partnerID=40&amp;md5=c081a67fa1f4a1dc2184c6f94bf365aa</t>
  </si>
  <si>
    <t>The impoundment and operation of the Three Gorges Reservoir (TGR) are geophysical ""controlled experiments"". However, detailed procedures, data source and uncertainties on TGR's basic parameters, such as lengths, water areas and volumes, were not available to the science community, and are provided in this study by using Landsat images, SRTM DEM data and in situ measurements. Reservoir lengths are between 650km and 700km at the water level of 175m above sea level (a.s.l.). The natural (but near maximum) water area of the Yangtze River within the reservoir (at the full range of 699km) based on Landsat images was 489km2 in August, 2002, before the impoundment. At 175m a.s.l., the total water area mapped by Landsat images (929km2) is ~10% less than those derived from SRTM DEM data (1006km2) and reported by Three Gorges Corporation (TGC) (1040km2). SRTM DEM data could classify 90-92% of these areas as water areas, while the total areas from Landsat, SRTM and TGC have over 96% agreements at water levels ≤170m. The larger estimate of water area by DEM data from both TGC and SRTM at 175m could be partially explained by the construction of levees. The total static volumes derived from SRTM DEM data above 70m have a linear relationship (R2=0.99, Mean Absolute Difference=0.43km3) with those reported by the Information Center of Water Resource (ICWR), Ministry of Water Resource, China. The analysis also suggests that the ICWR-reported water volumes in the reservoir neglect the wedge storage in a flooding peak. © 2013 Elsevier Ltd and INQUA.</t>
  </si>
  <si>
    <t>2-s2.0-84880616089"</t>
  </si>
  <si>
    <t>10.1016/S1001-6279(13)60042-6</t>
  </si>
  <si>
    <t>https://www.scopus.com/inward/record.uri?eid=2-s2.0-84885345750&amp;doi=10.1016%2fS1001-6279%2813%2960042-6&amp;partnerID=40&amp;md5=53666230fecb5ea8bb98210980c61750</t>
  </si>
  <si>
    <t>A 2D depth-averaged numerical model is set up to simulate the macro-scale hydrodynamic characteristics, sediment transport patterns and morphological evolution in Hangzhou Bay, a large macro-tidal estuary on the eastern coast of China. By incorporating the shallow water equations, the suspended sediment transport equation and the mass-balance equation for sediment</t>
  </si>
  <si>
    <t>10.1130/G34646.1</t>
  </si>
  <si>
    <t>https://www.scopus.com/inward/record.uri?eid=2-s2.0-84882982463&amp;doi=10.1130%2fG34646.1&amp;partnerID=40&amp;md5=e2dcf9dc3772cbc5a67bf56a5766cd97</t>
  </si>
  <si>
    <t>The densely populated, low-lying Ganges-Brahmaputra Delta is highly vulnerable to global sea-level rise. In order to estimate the rate of subsidence of the delta, we examined submerged salt-producing kiln sites in the coastal Sundarbans (a huge UNESCO-protected mangrove forest). These kilns were built just above the winterly spring high-tide level of the time, but their bases are currently located ~155 cm below the corresponding modern level. According to optically stimulated luminescence (OSL) dating, the kilns were last fired ~300 yr ago, and salt production was terminated by a catastrophic event that affected the kiln sites at different levels and locations. 14C ages of charcoal at the kilns' bases and associated mangrove stump horizons support the OSL dates. Based on the elevations and ages, the 300 yr average rate of sinking of the outer delta is 5.2 ± 1.2 mm/yr, which includes 0.8 mm/yr of eustatic sea-level rise. With the expectation of further acceleration of sea-level rise, the already-present problematic situation will be aggravated, and only prudent control of sediment accretion will keep southern Bangladesh above sea level. © 2013 Geological Society of America.</t>
  </si>
  <si>
    <t>2-s2.0-84882982463"</t>
  </si>
  <si>
    <t>10.1016/j.quaint.2012.12.041</t>
  </si>
  <si>
    <t>https://www.scopus.com/inward/record.uri?eid=2-s2.0-84872945954&amp;doi=10.1016%2fj.quaint.2012.12.041&amp;partnerID=40&amp;md5=ba3b51d015744b585c5743a34d3a1d09</t>
  </si>
  <si>
    <t>Site GNL Quintero 1 (GNLQ1), located in Quintero Bay (32°S, Central Chile) constitutes the first evidence of a drowned terrestrial site on the continental West Coast of South America covered by sea-level rise after the Last Glacial Maximum. The site currently lies 650 m offshore and 13 m underwater, covers an area of ∼64 m2 and contains several discrete exposed and shallow-buried bone deposits. Through underwater archaeology survey and test excavations, a significant amount of animal bone assigned to the Late Pleistocene was successfully recovered and analyzed. After recovery and prior to the analyses, the bones were subjected to conservation and stabilization treatments, resulting in good preservation of the material. Taxonomic analyses (NISP 224) revealed high taxonomic diversity of extinct fauna (Camelidae, Cervidae, Artiodactyla, Equidae, Mylodontidae, Canidae, Rodentia and Xenarthra). The sample represents a continental faunal assemblage belonging to a drowned terrestrial context, probably related to an estuarine-lagoon environment. Taphonomic analysis allowed macroscopic identification of natural marks (punctures) associated with large and small size carnivores. The bones also show abrasion related to the action of marine sands along with colour alterations. By applying Scanning Electron Microscope (SEM) micrographs and Energy-Dispersive Spectroscopy (EDS) to fossil bones, marks and colour alterations were identified. Marks indicated rodent gnawing and trampling, while colour alterations were attributed to diagenesis processes, discarding thermal treatment. Site GNLQ1 is identified as having very high potential, for it provides the first evidence for a submerged palaeolandscape viable for human occupation and movement along the Pacific Coast of South America during the Late Pleistocene. © 2013 Elsevier Ltd</t>
  </si>
  <si>
    <t>2-s2.0-84872945954"</t>
  </si>
  <si>
    <t>10.2112/JCOASTRES-D-12-00230.1</t>
  </si>
  <si>
    <t>https://www.scopus.com/inward/record.uri?eid=2-s2.0-84881511149&amp;doi=10.2112%2fJCOASTRES-D-12-00230.1&amp;partnerID=40&amp;md5=43538a46da11bdee4c4e153a8c6dd816</t>
  </si>
  <si>
    <t>The cost of upgrading and raising coastal defences is an important consideration in societal response to sea-level rise. Currently available unit cost estimates have a limited empirical basis. This article presents new information on the unit costs of adapting coastal defences for three specific case studies in low-lying delta regions: The Netherlands, New Orleans, and Vietnam. Typical measures include dikes, flood walls, storm surge barriers, and nourishment. These unit cost estimates are significantly higher than earlier estimates that are still the main source of costs for global vulnerability assessments. Factors affecting these unit costs include local economic factors (material and labour costs), design choices related to the alignment of the system, and the types of measures for implementation of the system in an urban or rural environment. On the basis of an example for a Dutch sea dike, it is shown that the material quantities and associated costs are expected to rise linearly, in the case of depth-limited wave breaking, for the range of sea-level rise rates that are expected in the coming century. However, other factors, such as increasing costs for implementation of wider coastal defences in an urban environment and future changes in material and labour costs, could contribute to a nonlinear increase of the costs. Further collection and analysis of project information for coastal defence projects in other regions is recommended to strengthen the empirical basis of the cost estimates that are used for regional and global assessments. © 2012, the Coastal Education &amp; Research Foundation (CERF).</t>
  </si>
  <si>
    <t>2-s2.0-84881511149"</t>
  </si>
  <si>
    <t>10.1016/j.quaint.2013.08.027</t>
  </si>
  <si>
    <t>https://www.scopus.com/inward/record.uri?eid=2-s2.0-84885331184&amp;doi=10.1016%2fj.quaint.2013.08.027&amp;partnerID=40&amp;md5=c3fbfba071578826ee7d9f448aebbc8a</t>
  </si>
  <si>
    <t>The construction of the Aswan Dam put an end to a form of relationship between people and the environment that had its origin in the pre-Pharaonic period. The annual Nile flood had been tamed and managed for centuries by the societies of the Nile delta. However, by the nineteenth century, attempts to modernize Egypt according to Western standards led to a gradual change in how the river was managed and exploited, focusing on permanent irrigation of the land. These changes took the form of successive hydraulic engineering projects that transformed the entire landscape. Our project aims to analyze how this long process took place, from the Greco-Roman period to the present day, by focussing on the middle valley of the Nile, in the area corresponding to the Oxyrhynchus nome (province), in order to reconstruct the methods of flood management and how they have transformed the landscape.For this purpose, we have combined an analysis of archaeological and written documentation, consisting primarily of papyrological data and secondary sources. We have also combined a reading of the historical cartography with the identification of traces of dykes and canals from satellite images (CORONA, ASTER, Quickbird, Worldview 2), and related enhancing functions of satellite imagery. These data were organized and registered on a GIS geodatabase that enabled all the information to be analyzed and confirmed. Our initial findings define an ancient landscape, in which old channels structured the landscape around the nome. These channels, and their levees associated with dykes, favoured both the containment of water and terrestrial transport, in an area that would be completely inundated in the flood season. This combination of channels with some element of retention was important for territorial and administrative organization within the nome, the administrative territorial division of Egypt, and its subdivision the toparchy. © 2013 Elsevier Ltd and INQUA.</t>
  </si>
  <si>
    <t>2-s2.0-84885331184"</t>
  </si>
  <si>
    <t>10.1007/s00024-012-0538-9</t>
  </si>
  <si>
    <t>https://www.scopus.com/inward/record.uri?eid=2-s2.0-84883386270&amp;doi=10.1007%2fs00024-012-0538-9&amp;partnerID=40&amp;md5=5ca5acec642a90fac3ca365a0e85c7e4</t>
  </si>
  <si>
    <t>Regional source tsunamis pose a potentially devastating hazard to communities and infrastructure on the New Zealand coast. But major events are very uncommon. This dichotomy of infrequent but potentially devastating hazards makes realistic assessment of the risk challenging. Here, we describe a method to determine a probabilistic assessment of the tsunami hazard by regional source tsunamis with an ""Average Recurrence Interval"" of 2,500-years. The method is applied to the east Auckland region of New Zealand. From an assessment of potential regional tsunamigenic events over 100,000 years, the inundation of the Auckland region from the worst 100 events is modelled using a hydrodynamic model and probabilistic inundation depths on a 2,500-year time scale were determined. Tidal effects on the potential inundation were included by coupling the predicted wave heights with the probability density function of tidal heights at the inundation site. Results show that the more exposed northern section of the east coast and outer islands in the Hauraki Gulf face the greatest hazard from regional tsunamis in the Auckland region. Incorporating tidal effects into predictions of inundation reduced the predicted hazard compared to modelling all the tsunamis arriving at high tide giving a more accurate hazard assessment on the specified time scale. This study presents the first probabilistic analysis of dynamic modelling of tsunami inundation for the New Zealand coast and as such provides the most comprehensive assessment of tsunami inundation of the Auckland region from regional source tsunamis available to date. © 2012 Springer Basel AG.</t>
  </si>
  <si>
    <t>2-s2.0-84883386270"</t>
  </si>
  <si>
    <t>Australian Planner</t>
  </si>
  <si>
    <t>10.1080/07293682.2012.727841</t>
  </si>
  <si>
    <t>https://www.scopus.com/inward/record.uri?eid=2-s2.0-84881651621&amp;doi=10.1080%2f07293682.2012.727841&amp;partnerID=40&amp;md5=1efcc184c17a9a9201f7160a7c101878</t>
  </si>
  <si>
    <t>In coastal areas, extreme weather events, such as floods and cyclones, can have debilitating effects on the social and economic viability of marine-based industries. In March 2011, the Great Barrier Reef Marine Park Authority implemented an Extreme Weather Response Program, following a period of intense flooding and cyclonic activity between December 2010 and February 2011. In this paper, we discuss the results of a project within the Program, which aimed to: (1) assess the impacts of extreme weather events on regional tourism and commercial fishing industries</t>
  </si>
  <si>
    <t>10.2166/wp.2013.124</t>
  </si>
  <si>
    <t>https://www.scopus.com/inward/record.uri?eid=2-s2.0-84885202195&amp;doi=10.2166%2fwp.2013.124&amp;partnerID=40&amp;md5=cf992b4def1b26ca258106fffad2624d</t>
  </si>
  <si>
    <t>Successful adaptation to climate change requires flexible adaptation strategies which consider regional ecological, economic and social circumstances. Coastal zones are considered to be significantly vulnerable to climate change impacts. The projected impacts of climate change in the metropolitan region of Bremen-Oldenburg, Germany (a coastal area), are, for example, rising sea level, salt water intrusion, temporary groundwater scarcity in the summer and increased (heavy) rainfalls. This paper uses an existing framework, the Adaptive Capacity Wheel (ACW), complemented by two additional dimensions: adaptation motivation and adaptation belief. The objectives were first, to assess the adaptive capacity of water governance in the study region, and second, to show how the ACW can be used as an approach and a communication tool with stakeholders to identify strengths and weaknesses. Based on this, a further objective was to discover what lessons and recommendations can be drawn that could help water experts and stakeholders in the future. The results show a high adaptive capacity and that the addition of the psychological dimensions was valuable. However, it is important to look closely at each dimension assessed by the ACW. The key recommendations are: to improve public participation</t>
  </si>
  <si>
    <t>https://www.scopus.com/inward/record.uri?eid=2-s2.0-84885147415&amp;partnerID=40&amp;md5=f5612d31d0d349e28e74c6f034f32294</t>
  </si>
  <si>
    <t>We interpret two thin sand layers in the estuarine marsh at Salt Creek, on the southern shore of the Strait of Juan de Fuca, as the products of tsunamis propagated by earthquakes at the Cascadia subduction zone. The sand layers extend for about 60 m along the left bank of the creek about 800 m from the mouth, and can be traced to the base of a nearby upland area. One layer is exposed in the creek bank about 400 m further upstream, but they are only patchily distributed in the rest of the central area of the marsh. Both layers contain brackish-marine epipsammic diatoms. The lower sand layer marks a sharp contact between intertidal peaty mud and overlying mud, perhaps reflecting modest coseismic subsidence in association with tsunami deposition, but little or no change in the bracketing sediment occurs in association with the upper sand layer. The ages of the sand layers are not closely constrained, but were most likely deposited by tsunamis generated by great earthquakes at the Cascadia subduction zone about 1650 and 1300 years ago. The Cascadia great earthquake of AD1700 may have induced slight subsidence in the marsh, but no tsunami deposit was detected at the inferred contact. The absence of deposits from the marsh immediately inland of the 4 m-high barrier beach indicates that the largest tsunamis in the late Holocene at this site have not overtopped the barrier, which suggests that these tsunamis were likely only 2-3 m high.</t>
  </si>
  <si>
    <t>2-s2.0-84885147415"</t>
  </si>
  <si>
    <t>Knowledge Management</t>
  </si>
  <si>
    <t>https://www.scopus.com/inward/record.uri?eid=2-s2.0-84883366682&amp;partnerID=40&amp;md5=f3b822ac22799a952b1cd6910ab32577</t>
  </si>
  <si>
    <t>Flooding is a situation that occurs when land that is usually dry is covered with water of a river overflow or heavy rainfall. Floods are among the most devastating natural disasters in the world, claiming more lives and causing more property damage than any other natural phenomena. In Nigeria, flooding and erosion constitutes the most critical elements of coastal hazards. Though not leading in terms of claiming lives, floods affect and displace more people than any other disaster</t>
  </si>
  <si>
    <t>10.1007/s11069-013-0691-1</t>
  </si>
  <si>
    <t>https://www.scopus.com/inward/record.uri?eid=2-s2.0-84884905065&amp;doi=10.1007%2fs11069-013-0691-1&amp;partnerID=40&amp;md5=73dc8e53ce6a8c9e7d9858b2209158d4</t>
  </si>
  <si>
    <t>Catastrophic flooding associated with sea-level rise and change of hurricane patterns has put the northeastern coastal regions of the United States at a greater risk. In this paper, we predict coastal flooding at the east bank of Delaware Bay and analyze the resulting impact on residents and transportation infrastructure. The three-dimensional coastal ocean model FVCOM coupled with a two-dimensional shallow water model is used to simulate hydrodynamic flooding from coastal ocean water with fine-resolution meshes, and a topography-based hydrologic method is applied to estimate inland flooding due to precipitation. The entire flooded areas with a range of storm intensity (i.e., no storm, 10-, and 50-year storm) and sea-level rise (i.e., current, 10-, and 50-year sea level) are thus determined. The populations in the study region in 10 and 50 years are predicted using an economic-demographic model. With the aid of ArcGIS, detailed analysis of affected population and transportation systems including highway networks, railroads, and bridges is presented for all of the flood scenarios. It is concluded that sea-level rise will lead to a substantial increase in vulnerability of residents and transportation infrastructure to storm floods, and such a flood tends to affect more population in Cape May County but more transportation facilities in Cumberland County, New Jersey. © 2013 Springer Science+Business Media Dordrecht.</t>
  </si>
  <si>
    <t>2-s2.0-84884905065"</t>
  </si>
  <si>
    <t>10.4138/atlgeol.2013.001</t>
  </si>
  <si>
    <t>https://www.scopus.com/inward/record.uri?eid=2-s2.0-84885079006&amp;doi=10.4138%2fatlgeol.2013.001&amp;partnerID=40&amp;md5=e7b7163c7ebaa0ec680bf261e4b77f50</t>
  </si>
  <si>
    <t>Slope failures present a hazard around the world, with considerable impact on communication/ transportation corridors, resource sectors, and coastal and urban development. Although poorly documented in much of Atlantic Canada, mass movements are known to have resulted in 71 fatalities in Newfoundland. In the Ferryland, Newfoundland, disaster of around 1823, 42 fishermen were reportedly killed when a cave roof collapsed onto them. Debris floods and flows are widespread in areas of higher relief in both Newfoundland and Cape Breton Island, and tend to be most hazardous for highway engineering and community development. Rotational slumps in glaciomarine clays are evident along the major river valleys of Labrador and are an important consideration during hydroelectric development. In other areas of Atlantic Canada, earthflows affect transportation routes and involve movement of saturated sediment during spring thaw. Along the Gulf of St. Lawrence, Northumberland Strait and the Bay of Fundy coastlines, friable rocks, glaciotectonic activity, frost wedging, and coastal erosion have resulted in many small failures and incremental retreat of coastal cliffs. Ongoing climate change will have an impact on slope failure activity. Increasing summer frequency and intensity of thunderstorms and hurricane events, increased winter precipitation in some locations, and possible erratic freeze-thaw events would result in an increase in debris flows triggered by precipitation, and rockfalls triggered by freeze-thaw. Human utilization of coastal areas is also contributing to the frequency and hazard of slope failures across Atlantic Canada. © Atlantic Geology 2013.</t>
  </si>
  <si>
    <t>2-s2.0-84885079006"</t>
  </si>
  <si>
    <t>10.1007/s10040-013-0995-y</t>
  </si>
  <si>
    <t>https://www.scopus.com/inward/record.uri?eid=2-s2.0-84882931027&amp;doi=10.1007%2fs10040-013-0995-y&amp;partnerID=40&amp;md5=e34a8dabae1753855d5ae141fe7dc24d</t>
  </si>
  <si>
    <t>Dynamic variation in the saltwater-freshwater transition zone below a seafront beach in South Korea was investigated with long-term monitoring of the groundwater in relation to the precipitation, wave height, and tide. Correlation, spectral analysis, and regression analysis of monitoring data were performed to deduce the relationships between these factors. The general shape of the transition zone was affected by the seasonal groundwater levels, but temporary fluctuations were predominantly affected by local rising-groundwater-level events. The distinct increases in the groundwater level were closely related to the wave height. Different patterns of electrical conductivity (EC) change were detected in the shallow and deep zones, and these differences indicated that the transition zone was highly dynamic. The EC values at shallow depths were temporarily increased by the wave setup and tidal fluctuations during the rising-groundwater events, but the EC at greater depths was reduced by the seaward or downward movement of the relative freshwater. In exceptional cases, during extreme increases in the groundwater level resulting from seawater flooding, the rapid downward flow of the flooding saltwater through the well bore caused synchronous EC fluctuations at all depths. © 2013 Springer-Verlag Berlin Heidelberg.</t>
  </si>
  <si>
    <t>2-s2.0-84882931027"</t>
  </si>
  <si>
    <t>10.1007/s00024-012-0490-8</t>
  </si>
  <si>
    <t>https://www.scopus.com/inward/record.uri?eid=2-s2.0-84883437288&amp;doi=10.1007%2fs00024-012-0490-8&amp;partnerID=40&amp;md5=12f22a6e64d757b327b5a22c7ea2c35a</t>
  </si>
  <si>
    <t>The Pacific is well known for producing tsunamis, and events such as the 2011 Tōhoku-oki, Japan disaster demonstrate the vulnerability of coastal communities. We review what is known about the current state of tsunami risk management for Pacific Island countries and territories (PICTs), identify the issues and challenges associated with affecting meaningful tsunami disaster risk reduction (DRR) efforts and outline strategies and possible ways forward. Small island states are scattered across the vast Pacific region and these states have to varying degrees been affected by not only large tsunamis originating in circum-Pacific subduction zones, but also more regionally devastating events. Having outlined and described what is meant by the risk management process, the various problems associated with our current understanding of this process are examined. The poorly understood hazard related to local, regional and distant sources is investigated and the dominant focus on seismic events at the expense of other tsunami source types is noted. We reflect on the challenges of undertaking numerical modelling from generation to inundation and specifically detail the problems as they relate to PICTs. This is followed by an exploration of the challenges associated with mapping exposure and estimating vulnerability in low-lying coastal areas. The latter part of the paper is devoted to exploring what mitigation of the tsunami risk can look like and draw upon good practice cases as exemplars of the actions that can be taken from the local to regional level. Importantly, given the diversity of PICTs, no one approach will suit all places. The paper closes by making a series of recommendations to assist PICTs and the wider tsunami research community in thinking through improvements to their tsunami risk management processes and the research that can underpin these efforts. © 2012 Springer Basel AG.</t>
  </si>
  <si>
    <t>2-s2.0-84883437288"</t>
  </si>
  <si>
    <t>10.1038/ngeo1922</t>
  </si>
  <si>
    <t>https://www.scopus.com/inward/record.uri?eid=2-s2.0-84882767963&amp;doi=10.1038%2fngeo1922&amp;partnerID=40&amp;md5=0713c3fd04ceace107fe1750b79aa486</t>
  </si>
  <si>
    <t>During the last glacial cycle, greenhouse gas concentrations fluctuated on decadal and longer timescales. Concentrations of methane, as measured in polar ice cores, show a close connection with Northern Hemisphere temperature variability, but the contribution of the various methane sources and sinks to changes in concentration is still a matter of debate. Here we assess changes in methane cycling over the past 160,000 years by measurements of the carbon isotopic composition δ 13 C of methane in Antarctic ice cores from Dronning Maud Land and Vostok. We find that variations in the δ 13 C of methane are not generally correlated with changes in atmospheric methane concentration, but instead more closely correlated to atmospheric CO 2 concentrations. We interpret this to reflect a climatic and CO 2 -related control on the isotopic signature of methane source material, such as ecosystem shifts in the seasonally inundated tropical wetlands that produce methane. In contrast, relatively stable δ 13 C values occurred during intervals of large changes in the atmospheric loading of methane. We suggest that most methane sources - most notably tropical wetlands - must have responded simultaneously to climate changes across these periods. © 2013 Macmillan Publishers Limited.</t>
  </si>
  <si>
    <t>2-s2.0-84882767963"</t>
  </si>
  <si>
    <t>10.1007/s10040-013-1022-z</t>
  </si>
  <si>
    <t>https://www.scopus.com/inward/record.uri?eid=2-s2.0-84885699688&amp;doi=10.1007%2fs10040-013-1022-z&amp;partnerID=40&amp;md5=8a2ea2670b185b1b427c8c3f05ecf488</t>
  </si>
  <si>
    <t>Groundwater flow exerts a crucial control on the boundary between the sea and freshwater and is thus a key factor for preserving groundwater resources and preventing seawater intrusion in coastal areas. Although it is highly probable that geological faults in coastal areas affect groundwater flow patterns, the effect has not been described yet in detail. This study is aimed at detecting and imaging groundwater flow and its temporal change around a fault in a coastal area through resistivity and chargeability distributions using electrical sounding. The Okoshiki area in central Kyushu, southwest Japan, was selected as a case study area, because of the presence of Kamiouda Fault. The measurements were conducted along six lines of both parallel and perpendicular orientations to the coastline. A feature suggesting a fault zone was evident on two lines. Through the temporal change of resistivity, movement and mixing processes of the seawater and freshwater during the ebb, low and flood tides were interpreted. A conceptual model of the processes was constructed in which a fault zone and the configuration of bedrock are dominant elements by acting as a selective path and a barrier to the groundwater flow, respectively. © 2013 Springer-Verlag Berlin Heidelberg.</t>
  </si>
  <si>
    <t>2-s2.0-84885699688"</t>
  </si>
  <si>
    <t>10.1016/j.jenvman.2013.04.048</t>
  </si>
  <si>
    <t>https://www.scopus.com/inward/record.uri?eid=2-s2.0-84879334394&amp;doi=10.1016%2fj.jenvman.2013.04.048&amp;partnerID=40&amp;md5=223647304e5498da35b48da0ce8f4df3</t>
  </si>
  <si>
    <t>Road development in relatively undisturbed floodplain systems, such as the floodplains of the Mekong River, will impact hydraulics and interrupt the natural flow of water. This affects the ecology and environment, and the livelihoods of people who depend on fishing and agriculture. On the other hand, floods can severely damage road infrastructure in years with large floods and can cause high annual maintenance costs. Improving road development practices in floodplains is a complex, multidimensional task involving hydraulic and geotechnical analysis, ecosystem analysis, socio-economic analysis, policy analysis, etc. This paper analyses the planning practice of road development and rehabilitation and how this practice can be improved in support of economically and environmentally sustainable roads in floodplains. It is concluded that although ample technical, planning and environmental assessment guidelines exist, guidelines need updating to address cumulative impacts at floodplain level and factors hampering the implementation in guidelines should be addressed in the guideline design (process). © 2013 Elsevier Ltd.</t>
  </si>
  <si>
    <t>2-s2.0-84879334394"</t>
  </si>
  <si>
    <t>10.1007/s12524-012-0243-2</t>
  </si>
  <si>
    <t>https://www.scopus.com/inward/record.uri?eid=2-s2.0-84883761214&amp;doi=10.1007%2fs12524-012-0243-2&amp;partnerID=40&amp;md5=29a4191f519e55fcacdb3d8b488c85b2</t>
  </si>
  <si>
    <t>The study evaluates and compares Digital Elevation Model (DEM) data of various grid spacing derived using high resolution Cartosat 1 stereo data for hydrologic applications. DEM is essential in modeling different environmental processes which depend on surface elevation. The accuracy of derived DEM varies with grid spacing and source. The CartoDEM is the photogrammetric DEM derived from stereo pairs. Damanganga basin lying in the Western Ghats was analysed using 11 Carto stereo pairs. The process of triangulation resulted in RMSE of 0.42. DEM was extracted at 10 m, 20 m, 30 m, 40 m, 50 m and 90 m grid spacing and compared with ASTER GDEM (30 m) and SRTM DEM (90 m). DEM accuracy was checked with Root Mean Square Error (RMSE) statistic for random points generated in different elevation zones. Extracted stream networks were compared based on Correctness Index and Figure of Merit index, calculated for all the Digital Elevation Models at varying cell sizes. In order to further evaluate the DEM's, a simple flood simulation with no water movement and no consideration of real time precipitation data was carried out and relationship between heights of flood stage and inundation area for each Digital Elevation Model was also established. © 2012 Indian Society of Remote Sensing.</t>
  </si>
  <si>
    <t>2-s2.0-84883761214"</t>
  </si>
  <si>
    <t>Critical Sociology</t>
  </si>
  <si>
    <t>10.1177/0896920512437054</t>
  </si>
  <si>
    <t>https://www.scopus.com/inward/record.uri?eid=2-s2.0-84887277111&amp;doi=10.1177%2f0896920512437054&amp;partnerID=40&amp;md5=2d7225ffbe7b2e493679fe0ad13c6626</t>
  </si>
  <si>
    <t>As global reductions in greenhouse gas emissions seem an ever more distant prospect, attention has turned to adaptation to the unavoidable impacts of climate change. On the key frontier of sea level rise, this amounts to the injunction 'build sea walls'. But what are the implications of a scramble for coastal protection technologies? This article explores sea wall politics in one of the countries most vulnerable to sea level rise: Egypt. It is shown that protection of the Nile Delta coastline is skewed towards sunk capital and expected investments rather than poor people. This is a consequence of the neoliberal policies of the Mubarak regime and, on a more fundamental level, of uneven and combined development in Egypt. The latter process is thus undergoing an inversion and reappearing as 'uneven and combined apocalypse', on the threatened coastlines of Egypt and elsewhere. © The Author(s) 2012.</t>
  </si>
  <si>
    <t>2-s2.0-84887277111"</t>
  </si>
  <si>
    <t>10.1175/WAF-D-12-00076.1</t>
  </si>
  <si>
    <t>https://www.scopus.com/inward/record.uri?eid=2-s2.0-84883865559&amp;doi=10.1175%2fWAF-D-12-00076.1&amp;partnerID=40&amp;md5=b44c9bd776499fbef3bc12b620f9a754</t>
  </si>
  <si>
    <t>The operational forecast demands and constraints of the National Hurricane Center require that a storm surge model in research mode be tested against a benchmark model such as Sea, Lake, and Overland Surges from Hurricanes (SLOSH) for accuracy, computation time, and numerical stability before the model is used for operational forecasts. Additionally, the simulated results must be in a geographic information system format to facilitate the usage of computed storm surge for various applications. This paper presents results from a demonstration project to explore the pathway for the transition of the Coastal and Estuarine Storm Tide (CEST) model to an operational forecast model by testing CEST over SLOSH basins in Florida. The performance and stability of CEST were examined by conducting simulations for Hurricane Andrew (1992) and more than 100 000 synthetic hurricanes for nine SLOSH basins covering the Florida coast and Lake Okeechobee. The results show that CEST produces peak surge heights similar to those from SLOSH. Additionally, CEST has proven to be numerically stable against all synthetic hurricanes and the computation time of CEST is comparable to that of SLOSH. Therefore, CEST has the potential to be used for operational forecasts of storm surge. The potential of producing more detailed real-time surge inundation forecasts was also investigated through the simulations of Andrew's surge on various grids with different cell sizes. The results indicate that CEST can produce 48-h forecasts using a single processor in about 40 min over a grid generated by reducing the cell edge size of the SLOSH grid by 4 times . © 2013 American Meteorological Society.</t>
  </si>
  <si>
    <t>2-s2.0-84883865559"</t>
  </si>
  <si>
    <t>10.1016/j.ecolmodel.2013.05.001</t>
  </si>
  <si>
    <t>https://www.scopus.com/inward/record.uri?eid=2-s2.0-84880698870&amp;doi=10.1016%2fj.ecolmodel.2013.05.001&amp;partnerID=40&amp;md5=2efe984bdc980b33cad495b7bd46dd17</t>
  </si>
  <si>
    <t>Projecting global climate change (GCC) effects on fish populations has primarily focused on temperature, while non-temperature effects are rarely simulated. In this study, we used a non-linear matrix population projection model of Atlantic croaker (Micropogonias undulatus) in the mid-Atlantic Bight to illustrate how global climate change effects, in addition to temperature, can be incorporated into population projections. The model was a multiple time step, stage-within-age matrix projection model with two nursery regions (Virginia and North Carolina estuaries) for young-of-the-year (YOY, egg to age-1) life stage development and a single ocean spatial box for adults. Late juvenile mortality was density-dependent and calibrated to generate a spawner-recruit relationship similar to observed values. Model simulations were for 160 years. Global climate change effects were estimated for 2020, 2050, and 2080, which resulted in three new sets of parameter values of the matrix model. The first 40 years of the 160 years were baseline, followed by 40 years of 2020 parameter values, 40 years of 2050 values, and 40 years of 2080 values. Changes in the parameters of the matrix model were based on changes in annual and seasonal temperatures generated by global circulation models, as well as presumed changes in precipitation causing increased hypoxia, increased variability in salinity, rising sea level, and changes in ocean circulation causing increased northward and offshore transport. Global climate change resulted in increased croaker abundance with lower inter-annual variability. Sensitivity analysis with each GCC effect imposed singly showed that the increase in croaker abundance under GCC was due to the complex suite of positive and negative responses across multiple life stages. The major positive response was due to warmer temperatures, and the major negative effects were due to increased variability in salinity, increased offshore transport, and sea level rise. A second sensitivity analysis showed that important, but highly uncertain, effects produced smoothly increasing population responses with increasing magnitude. We discuss how effects other than temperature can be important to projecting population responses to GCC, and the strengths and weaknesses of our analysis. Our analysis demonstrates how a variety of GCC-related effects can be incorporated into traditional population models</t>
  </si>
  <si>
    <t>10.1007/s12517-012-0651-1</t>
  </si>
  <si>
    <t>https://www.scopus.com/inward/record.uri?eid=2-s2.0-84884205988&amp;doi=10.1007%2fs12517-012-0651-1&amp;partnerID=40&amp;md5=aa6f0d3d2c0a4c3cbbe446a93e478bf9</t>
  </si>
  <si>
    <t>Groundwater suitability for agriculture in an island with limited recharge area may easily be influenced by seawater intrusion. The aim of this study was to investigate seawater intrusion to the suitability of the groundwater for oil palm cultivation at the ex-promontory land of Carey Island in Malaysia. This is the first study that used the integrated method of geo-electrical resistivity and hydro-geochemical methods to investigate seawater intrusion to the suitability of groundwater for oil palm cultivation at two different land cover condition. The relationship between earth resistivity, total dissolved solids and earth conductivity was derived with crop suitability classification according to salinity, used to identify water types and also oil palm tolerance to salinity. Results from the contour conductivity maps show that area facing severe coastal erosion and area still intact with mangrove forest exhibits unsuitable groundwater condition for oil palm at the unconfined aquifer thickness of 15 and 31 m, respectively. Based on local sea-level rise prediction and Ghyben-Herzberg assumption (sharp interface), the condition in the study area, especially in severe erosion area, by the twenty-first century will no longer be suitable for oil palm plantation. The application of geo-electrical method combined with geochemical data, aided with the information on environmental history and oil palm physiography, has demonstrated that the integration of techniques is an effective tool in defining the status of agricultural suitability affected by salinity at the coastal aquifer area. © 2012 Saudi Society for Geosciences.</t>
  </si>
  <si>
    <t>2-s2.0-84884205988"</t>
  </si>
  <si>
    <t>10.1086/671392</t>
  </si>
  <si>
    <t>https://www.scopus.com/inward/record.uri?eid=2-s2.0-84885116523&amp;doi=10.1086%2f671392&amp;partnerID=40&amp;md5=f3ebdb41d089d7f4efec9e91ae20979b</t>
  </si>
  <si>
    <t>High-resolution digital elevation models of Earth's solid-fluid interface reveal that Earth's bimodal elevation distribution is characterized by a dominant mode at or very close to present-day sea level. It is hypothesized that sea level is Earth's dominant modal elevation because it is the only elevation where two opposing first-order surface processes- erosion and deposition-act to increase the area of a single elevation. The observation that sea level is the dominant elevation implies that (1) the time needed for the modal elevation to adjust is very short and/or (2) long-term (~106- 107 yr) mean sea level has not varied significantly from its present height. The mass of material that defines the sea level modal elevation is quite small, whether integrated over 1 or 100 m of thickness, and could be transported in!104 yr. This would suggest that the shoreline, at no matter what height relative to the present 0-m elevation, was probably always Earth's dominant elevation. However, Eurasia, North America, and Australia have dominant elevations near sea level, and their entire above-sea-level hypsometries appear to be graded to present-day sea level. In contrast, Africa and South America have dominant elevations significantly higher than sea level and appear to be graded to elevations significantly higher than sea level. The erosional adjustment time scale of continental hypsom-etries is 1107 yr. This would suggest that Eurasia, North America, and Australia have been graded to a height of sea level close to present-day 0 m on a time scale of at least one to a few times 107 yr. Reconstruction of a new global sea level curve for the past 150 m.yr. using areas of continental flooding as a function of time suggest that long-term sea level has been at or close to present-day sea level on a time scale of 40 m.yr. and was not more than ~150 m higher at any time in the past 150 m.yr. Given 106-107-yr time scales and modest amplitudes of sea level variability, it is perhaps not surprising that most continents are characterized by modern sea level as their dominant modal elevation. © 2013 by The University of Chicago.</t>
  </si>
  <si>
    <t>2-s2.0-84885116523"</t>
  </si>
  <si>
    <t>10.1007/s11069-013-0603-4</t>
  </si>
  <si>
    <t>https://www.scopus.com/inward/record.uri?eid=2-s2.0-84884534165&amp;doi=10.1007%2fs11069-013-0603-4&amp;partnerID=40&amp;md5=464708887508055a79fb914b88d01fee</t>
  </si>
  <si>
    <t>Tsunamis are among the most destructive and lethal of coastal hazards. These are time-specific events, and despite directly affecting a narrow strip of coastline, a single occurrence can have devastating effects and cause massive loss of life, especially in urbanized coastal areas. In this work, in order to consider the time dependence of population exposure to tsunami threat, the variation of spatio-temporal population distribution in the daily cycle is mapped and analyzed in the Lisbon Metropolitan Area. High-resolution daytime and nighttime population distribution maps are developed using 'intelligent dasymetric mapping,' that is, applying areal interpolation to combine best-available census data and statistics with land use and land cover data. Workplace information and mobility statistics are considered for mapping daytime distribution. In combination with a tsunami hazard map, information on infrastructure, land use and terrain slope, the modeled population distribution is used to assess people's evacuation speed, applying a geospatial evacuation modeling approach to the city of Lisbon. The detailed dynamic population exposure assessment allows producing both daytime and nighttime evacuation time maps, which provide valuable input for evacuation planning and management. Results show that a significant amount of population is at risk, and its numbers increase dramatically from nighttime to daytime, especially in the zones of high tsunami flooding susceptibility. Also, full evacuation can be problematic in the daytime period, even if initiated immediately after a major tsunami-triggering earthquake. The presented approach greatly improves tsunami risk assessment and can benefit all phases of the disaster management process. © 2013 Springer Science+Business Media Dordrecht.</t>
  </si>
  <si>
    <t>2-s2.0-84884534165"</t>
  </si>
  <si>
    <t>10.1007/s10872-013-0186-4</t>
  </si>
  <si>
    <t>https://www.scopus.com/inward/record.uri?eid=2-s2.0-84880578379&amp;doi=10.1007%2fs10872-013-0186-4&amp;partnerID=40&amp;md5=69d26fbc69af8158ed81d962cf649f23</t>
  </si>
  <si>
    <t>A two-dimensional hydrodynamic and particle tracking model was used to estimate the dispersion and retention of barnacle larvae from their possible spawning sites in a tropical monsoon-influenced estuarine system (central west coast of India). Validation of the hydrodynamic simulations yielded a good match with field measurements. The pattern of larval dispersal in the region varied with the winds and currents. The seasonal changes in abundance could be attributed to physical forcing and weather conditions. The extent of barnacle larval dispersal from spawning sites varied from 10 to 78 km for different sites and seasons. During a 24-h cycle, the larval abundance showed one to two peaks in the estuarine area. The increased larval abundance is favored by the flood currents, pushing the larvae into the estuary. Physical forcing in the region helps in transport of the larvae from their spawning sites hugging to the coast and contributing to the population within the estuary. Field observations and numerical experiments suggest the occurrence of higher larval abundance in the estuary during post-monsoon. The dispersal pattern indicated that the barnacle population present in the estuary is well mixed, and with a seasonally changing pattern. © 2013 The Oceanographic Society of Japan and Springer Japan.</t>
  </si>
  <si>
    <t>2-s2.0-84880578379"</t>
  </si>
  <si>
    <t>10.4461/GFDQ.2013.36.4</t>
  </si>
  <si>
    <t>https://www.scopus.com/inward/record.uri?eid=2-s2.0-84884254799&amp;doi=10.4461%2fGFDQ.2013.36.4&amp;partnerID=40&amp;md5=99bf8f0446e5801fb43461e2ac395364</t>
  </si>
  <si>
    <t>This paper focuses on the spatial coexistence between different hazards (strong west winds, beach sedimentary crisis and flash floods) in outlets of small catchments in a sedimentary basin. This study was carried out in the department of Upper Normandy located in north-western France. To anticipate possible future hazards and damages without depending on meteorological triggers (neither intense rainfall nor synoptic conditions), we combine previous knowledge accumulated on local phenomena to highlight the pre-conditioning factors and identify those areas characterised by the highest susceptibility to risk due to the accumulation of numerous hazards. This approach enables both space and time distribution patterns of natural hazards to be revealed. In space, the risk susceptibility strongly depends on morphology. Populations located at the outlet of large wet valleys, at the final outlets of small basins at a short distance from the plateaus and on the coastal fringe appear to be the most endangered. Even if hazards never occur at the same time, these areas can be affected by different hazards during one year (summer flash floods, floods, winter storm surges). This study identifies 14 sensitive areas along hollow shapes of the study area. Finally, our methodological investigations question the creation of a warning system combining mainland and marine hazards in these 14 outlets.</t>
  </si>
  <si>
    <t>2-s2.0-84884254799"</t>
  </si>
  <si>
    <t>10.1002/gj.2517</t>
  </si>
  <si>
    <t>https://www.scopus.com/inward/record.uri?eid=2-s2.0-84883558929&amp;doi=10.1002%2fgj.2517&amp;partnerID=40&amp;md5=e986c72432bb20ce84feaffd0000c920</t>
  </si>
  <si>
    <t>Investigations on turbidite sandstones are mostly confined to marine deep-water systems with only limited information available on those developed in lacustrine environments. In this paper, we document the characteristics and distribution of a previously unrecognized sequence of lacustrine turbidite sandstones from the Dongying Sag in the Bohai Bay Basin, North China Craton. The Eocene Shahejie Formation in the Dongying Sag has been previously interpreted as a shallow lacustrine deposit, such as a deltaic system, with delta-front to sag and back-barrier environments. However, the numerous sandstone layers associated with the third member (Es3) of the Shahejie Formation define an integrated deep-water turbidite system. Analysis of the characteristics of lithofacies, seismic facies and wire-line logs of the sandstone layers has been undertaken, as well as investigation of the distribution characteristics and the factors governing the development of these sandstones. The results from our study show that the development of this turbidite sequence was controlled by a number of parameters including sediment supply, accommodation of the sag, palaeo-topography, hydrodynamics, scale and formation of the delta, subsidence rate of the sedimentary basin, and tectonic activity associated with the Jiyang Movement during the Cenozoic destruction of the North China Craton. © 2013 John Wiley and Sons, Ltd.</t>
  </si>
  <si>
    <t>2-s2.0-84883558929"</t>
  </si>
  <si>
    <t>10.1007/s10584-013-0860-y</t>
  </si>
  <si>
    <t>https://www.scopus.com/inward/record.uri?eid=2-s2.0-84884704450&amp;doi=10.1007%2fs10584-013-0860-y&amp;partnerID=40&amp;md5=930765f29a61eabe84b18a7e73bae16f</t>
  </si>
  <si>
    <t>2-s2.0-84884704450"</t>
  </si>
  <si>
    <t>10.2112/JCOASTRES-D-12-00028.1</t>
  </si>
  <si>
    <t>https://www.scopus.com/inward/record.uri?eid=2-s2.0-84884652479&amp;doi=10.2112%2fJCOASTRES-D-12-00028.1&amp;partnerID=40&amp;md5=4b227c24d10abf141fa95c50f78feafa</t>
  </si>
  <si>
    <t>In the city of Cartagena de Indias, the urban areas of Bocagrande and Castillogrande were built over large sandbars and are extremely sensitive to the risk of coastal flooding during storm surges. However, the risk of flooding is not directly related to local meteorological conditions, but results essentially from hydrodynamic phenomena due to the arrival of heavy swell from far away. A statistical study based on hourly sea-level observations from 1950 to 2000 showed the existence of overflow levels of 0.29, 0.34, and 0.37 m corresponding to return periods of 10, 50, and 100 years. Numerical modeling of overflows was performed from a reanalysis of atmospheric pressure as well as wind and wave data sets produced by the National Oceanic and Atmospheric Administration. The models used were ADCIRC® for the simulation of tides and wind setup, SWAN® for the simulation of wave setup, and pCOULWAVE ® for wave run-up estimation. Coastal flooding that affected the city in January 2010 was validated using a HORUS® video monitoring system. Simulations were conducted on expected extreme sea levels during the 21st century. Flooding simulations were performed using both a light detection and ranging high-resolution digital elevation model and a water propagation model based on a recursive algorithm. Results showed the extreme vulnerability of Bocagrande and Castillogrande areas facing the risk of submersion. They raise questions for future risks of flooding taking into account the rates of sea-level rise as well as the effects of wave erosion. © 2012, the Coastal Education &amp; Research Foundation (CERF).</t>
  </si>
  <si>
    <t>2-s2.0-84884652479"</t>
  </si>
  <si>
    <t>10.1016/j.geomorph.2013.03.014</t>
  </si>
  <si>
    <t>https://www.scopus.com/inward/record.uri?eid=2-s2.0-84884975572&amp;doi=10.1016%2fj.geomorph.2013.03.014&amp;partnerID=40&amp;md5=d62737f66933a4071619cada2ec0c8e0</t>
  </si>
  <si>
    <t>In this study the floodplain width (FW) was assessed for the entire RhÔne catchment river network (32,160. km long) to highlight controlling factors. The FW data, which is measured every kilometre on a digital elevation model (DTM), is aggregated into spatial homogenous segments using a Pettitt break detection test, resulting in aggregated geographical objects (AGO). Based on these AGOs, an analysis of the variability of the floodplain width was performed. The general pattern for the RhÔne network shows a downstream increase in FW related to the concept of river continuum. This general pattern explains ca. 30% of the variation in FW. Deviations from this general trend are, however, large. Values for floodplain widths are normalized for catchment scale to study deviations that do not depend on scale effects. Based on a conceptual model, the main environmental parameters influencing FW were identified. These parameters include lithology and different parameters that influence the river profile, such as base level changes and tectonics, sediment load and discharge. An analysis of catchment-wide patterns shows that the main variations on the scaling effect are caused by lithology. Superposed on this general scaling pattern, disturbed by lithological variations, are the variations in floodplain width caused by disturbances in the geomorphic system, which influence floodplain slope, sediment, and water discharge and which include inherited landscapes. Although large data sets become increasingly available and the applied methodology reduces data noise, data availability and quality still hampers studies at a larger scale. Nevertheless, such information sources are becoming crucial because they are more and more accessible and diverse, and the analysis is now easier with the increasing capacities of GIS technologies. As a result, they are becoming very complementary to field studies to understand geomorphic processes at wider spatial and longer temporal scales. In a sense, the tradition of geomorphology may evolve in the next years, with image data providing additional evidence of Earth evolution. © 2013 Elsevier B.V.</t>
  </si>
  <si>
    <t>2-s2.0-84884975572"</t>
  </si>
  <si>
    <t>10.1007/s10661-013-3121-7</t>
  </si>
  <si>
    <t>https://www.scopus.com/inward/record.uri?eid=2-s2.0-84881149633&amp;doi=10.1007%2fs10661-013-3121-7&amp;partnerID=40&amp;md5=9ef3a486e781eb64afa58244a66eddee</t>
  </si>
  <si>
    <t>The management of protected areas in karstic regions is a challenge because flooded cave systems form there and provide underground hydrological conducts that may link different zones. As a consequence, affectations to the protected areas can possibly occur as a consequence of human activities in remote areas and may therefore pass undetected. Thus, the monitoring of possible contaminants in these regions is becoming imperative. In this work, we analyze the concentration of essential (iron) and non-essential metals (cadmium and chromium) in the seagrass Thalassia testudinum that grows in Yalahau Lagoon, located in a near-to-pristine protected area of the Yucatán Peninsula, close to the rapidly developing touristic belt of the Mexican Caribbean. Salinity and silicate patterns show that Yalahau is an evaporation lagoon, where groundwater discharge is important. High iron (&gt;400 μg/g), cadmium (&gt;4 μg/g), and chromium (≈1 μg/g) concentrations were found in the area of highest groundwater input of the lagoon. High levels (5.1 μg/g) were also found near the town dump. In the rest of the sampling sites, metal concentrations remained near to background levels as estimated from other works. Temporal changes of concentrations in the seagrass tissues show also a local input and an input from the groundwater that could provoke an environmental problem in the Yalahau Lagoon in the near future. © 2013 Springer Science+Business Media Dordrecht.</t>
  </si>
  <si>
    <t>2-s2.0-84881149633"</t>
  </si>
  <si>
    <t>10.1175/WCAS-D-13-00010.1</t>
  </si>
  <si>
    <t>https://www.scopus.com/inward/record.uri?eid=2-s2.0-84885676771&amp;doi=10.1175%2fWCAS-D-13-00010.1&amp;partnerID=40&amp;md5=dccb40d35e34a6d24545270abe2ae13b</t>
  </si>
  <si>
    <t>For millions of people living along the coastal fringe, sea level rise is perhaps the greatest threat to livelihoods over the coming century. With the refinement and downscaling of global climate models and increasing availability of airborne-lidar-based inundation models, it is possible to predict and quantify these threats with reasonable accuracy where such information is available. For less developed countries, especially small island states, access to high-resolution digital elevation models (DEMs) derived from lidar is limited. The only freely available DEMs that could be used for inundation modeling by these nations are those based on data from the Shuttle Radar Topography Mission (SRTM). These data, with a horizontal resolution of ≈90m and a vertical accuracy of ±5-10 m, are generally unsuitable for local-scale planning and adaption projects. To address this disparity, low-cost ground-based techniques were tested and applied to accurately determine coastal topography in the Solomon Islands. This method had a significantly improved vertical accuracy (±2 cm) and was readily learned by local community members, who were able to independently map and determine the vulnerability of their costal community to inundation from sea level rise. For areas where lidar is not economically viable, this method is intended to provide an important balance of cost, simplicity, accuracy, and local participation that can assist remote coastal communities with coastal planning decisions. The method can enhance local capacity and arguably promotesmore meaningful local engagement in sea level rise planning and adaptation activities. © 2013 American Meteorological Society.</t>
  </si>
  <si>
    <t>2-s2.0-84885676771"</t>
  </si>
  <si>
    <t>10.1175/JCLI-D-12-00381.1</t>
  </si>
  <si>
    <t>https://www.scopus.com/inward/record.uri?eid=2-s2.0-84885341330&amp;doi=10.1175%2fJCLI-D-12-00381.1&amp;partnerID=40&amp;md5=f3b25637159a0eed8e8a5efe642af57e</t>
  </si>
  <si>
    <t>The Antarctic ice sheet constitutes the largest reservoir of freshwater on earth, representing tens ofmeters of sea level rise if it were to melt completely. However, because of the remote location of the continent and the concomitant sparse data coverage, much remains unknown regarding the climate variability in Antarctica and the surrounding Southern Ocean. This study uses the high-resolution ECMWF Interim Re-Analysis (ERAInterim) data during 1979-2010 to calculate the meridional moisture transport associated with the mean circulation, planetary waves, and synoptic-scale systems. The resulting moisture flux, which is dominated by the synoptic scales, is largely consistent with results from theoretical assumptions and previous studies. Here, high interannual and regional variability in the total meridional moisture flux is found, with no significant trend over the last 30 years. Further, the variability of the meridional moisture flux cannot be explained by the southern annularmode or El Ni~no-SouthernOscillation, even in the Pacific sector. In addition, theAmundsen Sea sector experiences the highest variability inmeridionalmoisture transport and reveals a statistically significant decrease in the moisture flux at synoptic scales along the coastal zone. These results suggest that the Amundsen Sea provides a window on the complex nature of atmospheric moisture transport in the high southern latitudes. © 2013 American Meteorological Society.</t>
  </si>
  <si>
    <t>2-s2.0-84885341330"</t>
  </si>
  <si>
    <t>10.1016/j.gloplacha.2013.06.009</t>
  </si>
  <si>
    <t>https://www.scopus.com/inward/record.uri?eid=2-s2.0-84880936898&amp;doi=10.1016%2fj.gloplacha.2013.06.009&amp;partnerID=40&amp;md5=a286a7918533775ce14124e232fd16f5</t>
  </si>
  <si>
    <t>The islands of Oahu and Maui, Hawaii, with significantly different rates of localized sea-level rise (SLR, approximately 65% higher rate on Maui) over the past century due to lithospheric flexure and/or variations in upper ocean water masses, provide a unique setting to investigate possible relations between historical shoreline changes and SLR. Island-wide and regional historical shoreline trends are calculated for the islands using shoreline positions measured from aerial photographs and survey charts. Historical shoreline data are optimized to reduce anthropogenic influences on shoreline change measurements. Shoreline change trends are checked for consistency using two weighted regression methods and by systematic exclusion of coastal regions based on coastal aspect (wave exposure) and coastal geomorphology. Maui experienced the greatest extent of beach erosion over the past century with 78% percent of beaches eroding compared to 52% on Oahu. Maui also had a significantly higher island-wide average shoreline change rate at 0.13. ±. 0.05. m/yr compared to Oahu at 0.03. ±. 0.03. m/yr (at the 95% Confidence Interval). Differing rates of relative SLR around Oahu and Maui remain as the best explanation for the difference in overall shoreline trends after examining other influences on shoreline change including waves, sediment supply and littoral processes, and anthropogenic changes</t>
  </si>
  <si>
    <t>10.2478/s11600-013-0104-6</t>
  </si>
  <si>
    <t>https://www.scopus.com/inward/record.uri?eid=2-s2.0-84880069708&amp;doi=10.2478%2fs11600-013-0104-6&amp;partnerID=40&amp;md5=8fee62fd93f17710e7a3f53f3e4be0f8</t>
  </si>
  <si>
    <t>The numerical modeling of flood wave propagation following the hypothetical breaks of the embankments of the Bielkowo hydro-power plant storage reservoir (Kolbudy II Reservoir) on the Radunia River in Poland has been presented. The results of computations were used to estimate the parameters of the flood waves, which are indispensable for the flood zone determination and mapping and then for the flood risk analysis. When estimating the reach and area of the inundation, related to the embankments failures, digital terrain model, and mathematical model of flood wave propagation are necessary. For the numerical simulations of flood, the mathematical model of free surface, two-dimensional unsteady water flow was applied. Four locations of potential breaks of the reservoir embankments were considered. The computed flood zones were presented on the flood hazard maps. The maps have been used by the local authorities and the dam owner to manage the flood risk related to hydro-power plants operations on the Radunia River. This type of research has been done for the first time for the water plant managed by the ENERGA Elektrownie Straszyn. © 2013 Versita Warsaw and Springer-Verlag Wien.</t>
  </si>
  <si>
    <t>2-s2.0-84880069708"</t>
  </si>
  <si>
    <t>10.1002/jgrc.20314</t>
  </si>
  <si>
    <t>https://www.scopus.com/inward/record.uri?eid=2-s2.0-84884240542&amp;doi=10.1002%2fjgrc.20314&amp;partnerID=40&amp;md5=311affd6b2234c2778044dbe37a3ec35</t>
  </si>
  <si>
    <t>Hurricane Ike (2008) made landfall near Galveston, Texas, as a moderate intensity storm. Its large wind field in conjunction with the Louisiana-Texas coastline's broad shelf and large scale concave geometry generated waves and surge that impacted over 1000 km of coastline. Ike's complex and varied wave and surge response physics included: the capture of surge by the protruding Mississippi River Delta</t>
  </si>
  <si>
    <t>10.1007/s10708-012-9457-7</t>
  </si>
  <si>
    <t>https://www.scopus.com/inward/record.uri?eid=2-s2.0-84882859735&amp;doi=10.1007%2fs10708-012-9457-7&amp;partnerID=40&amp;md5=33f26891df99d2fed73d3215e5f92b0c</t>
  </si>
  <si>
    <t>A steady-state subsidence forecast model was developed as a proof of concept to estimate changes in surface elevations of the wetlands and evacuation routes across coastal Louisiana for the years 2015, 2025, 2050, and 2100. Subsidence estimates were derived from an empirical study published by the National Geodetic Survey. Forecasted vertical change was subtracted from current surface elevations. Land and evacuation routes estimated to have surfaces at or below 0 m in elevation, NAVD88, were quantified and classified as vulnerable to inundation hazards. The extent of the coastal zone susceptible to hurricane induced storm surge was also evaluated relative to surge models published by the National Weather Service. The results indicate spatially heterogeneous rates of subsidence that are forecasted to consume nearly 50 % of the existing coastal margin wetlands by 2100. The most significant rate increases are anticipated between 2015 and 2050. Relative to the impact on evacuation routes, subsidence occurring between the 2015 and 2025 forecast years expanded at slower rates when compared to the latter half of the century. Subsidence adjusted storm surge forecasts reveal similar patterns. The methods employed and findings produced demonstrate forecasting capabilities that provide emergency managers and transportation engineers with resources applicable to evacuation modeling, hazard mitigation, environmental sustainability research, costal restoration efforts, and more. © 2012 Springer Science+Business Media B.V.</t>
  </si>
  <si>
    <t>2-s2.0-84882859735"</t>
  </si>
  <si>
    <t>10.1016/j.geomorph.2013.03.035</t>
  </si>
  <si>
    <t>https://www.scopus.com/inward/record.uri?eid=2-s2.0-84883445076&amp;doi=10.1016%2fj.geomorph.2013.03.035&amp;partnerID=40&amp;md5=756d049485d383b6f24a3dc1f8cbf7d9</t>
  </si>
  <si>
    <t>Ecomorphodynamic feedbacks play an important role in the susceptibility and response of barrier islands to disturbance by overwash. Dune-building grasses, like Ammophila breviligulata, can help to restore areas of high relief after overwash events (i.e., resist disturbance). If overwash recurs before dunes have reestablished, however, overwash-adapted ""maintainer"" species, like Spartina patens (upright variety), may preferentially survive. Maintainer species help to preserve low, flat topography, thereby increasing the likelihood of future overwash (i.e., reinforcing disturbance). Under frequent disturbance conditions, this positive feedback may lead to overwash persistence. We explore the potential influence of the maintainer feedback on two morphologically distinct barrier islands in the Virginia Coast Reserve (VCR), located in the Mid-Atlantic Bight of the U.S. East Coast.Combined topographic and vegetation surveys show that on Hog Island (high-relief, rotating), where dunes dominated by A. breviligulata are ubiquitous, overwash zones are currently limited in extent and related to beach width rather than dominance by S. patens. Historical aerial photos and stratigraphic evidence (ground-penetrating radar, cores) indicate that gradual recovery has taken place following overwash events on Hog Island, except where the beach is narrow and eroding. Conversely, on Metompkin Island (low-relief, transgressing), overwash is widespread and dominated by S. patens, particularly along the rapidly migrating northern half of the island, where shell armoring is also common. Overwash has generally been more prevalent and persistent here than on Hog Island. We present a new conceptual model of the response of barrier islands to disturbance incorporating ecological and physical processes. Our findings suggest that in barrier systems where both dune-building grasses and overwash-adapted maintainer species are common (like the VCR), the maintainer feedback is likely to be a more important dynamic on islands already susceptible to frequent disturbance because of physical factors. The maintainer feedback, therefore, has the potential to accelerate large-scale shifts from dune-dominated to overwash-dominated barrier morphologies as the effects of climate change (increased storm intensity, sea level rise) cause overwash to become more frequent. © 2013.</t>
  </si>
  <si>
    <t>2-s2.0-84883445076"</t>
  </si>
  <si>
    <t>10.1134/S1995425513050090</t>
  </si>
  <si>
    <t>https://www.scopus.com/inward/record.uri?eid=2-s2.0-84884771853&amp;doi=10.1134%2fS1995425513050090&amp;partnerID=40&amp;md5=7ec324a0aebbc7f456fef59c89ceabe5</t>
  </si>
  <si>
    <t>This article reports a study of the enzymatic activity of modern and lower soils of the islands and terrace floodplain close to Lobanovskaya Creek in the right bank of the delta of the Selenga River. Environmental conditions determining the variation in enzymatic activity at the sampling sites are addressed. The enzyme activity of the soils of the right-bank part of the delta is assessed and compared to that of soils of the left-bank part (sampled at sites which have different landscape and ecological parameters). © 2013 Pleiades Publishing, Ltd.</t>
  </si>
  <si>
    <t>2-s2.0-84884771853"</t>
  </si>
  <si>
    <t>10.1016/j.jhydrol.2013.07.015</t>
  </si>
  <si>
    <t>https://www.scopus.com/inward/record.uri?eid=2-s2.0-84881540623&amp;doi=10.1016%2fj.jhydrol.2013.07.015&amp;partnerID=40&amp;md5=aeb6f23662a04da4364c16cd69907e79</t>
  </si>
  <si>
    <t>The Macquarie Marshes is an intermittently flooded wetland complex covering nearly 200,000. ha. It is one of the largest semi-permanent wetland systems in the Murray-Darling Basin, Australia, and portions of the Marshes are listed as internationally important under the Ramsar Convention. Previous studies indicate that the Marshes have undergone accelerated ecological degradation since the 1980s. The ecological degradation is documented in declining biodiversity, encroaching of terrestrial species, colonisation of exotic species, and deterioration of floodplain forests. There is strong evidence that reduction in river flows is the principal cause of the decrease in ecological values. Although the streams are relatively well gauged and modelled, the lack of hydrological records within the Marshes hampers any attempts to quantitatively investigate the relationship between hydrological variation and ecosystem integrity.To enable a better understanding of the long-term hydrological variations within the key wetland systems, and in particular, to investigate the impacts of the different water management policies (e.g. environmental water) on wetlands, a river system model including the main wetland systems was needed. The morphological complex nature of the Marshes means that the approximation of hydrological regimes within wetlands using stream hydrographs would have been difficult and inaccurate. In this study, we built a coupled 1D/2D MIKE FLOOD floodplain hydrodynamic model based on a 1. m DEM derived from a LiDAR survey. Hydrological characteristics of key constituent wetlands such as the correlation between water level and inundation area, relationships between stream and wetlands and among wetlands were estimated using time series extracted from hydrodynamic simulations. These relationships were then introduced into the existing river hydrological model (IQQM) to represent the wetlands.The model was used in this study to simulate the daily behaviours of inflow/outflow, volume, and inundated area for key wetlands within the Marshes under natural conditions and recent water management practices for the period of July 1 1991 to June 30 2009. The results revealed that the recent water management practices have induced large changes to wetland hydrology. The most noticeable changes include the dramatic reductions in high flows (i.e. flows with less than 25% exceedence, reduction ranges from 85% to 98% of the high flow peak depending on the location), areal inundation extent (ranging from 13% to 79% depending on climatic conditions), and flow rising/falling rates (over 90% for high flows). Our analysis also highlighted that the impacts of water management practices on some of the flow variables for wetland habitats contrasted with those for instream habitats. For example, we did not find any evident alterations in the low flows (i.e. 75% exceedence) attributable to water management. © 2013.</t>
  </si>
  <si>
    <t>2-s2.0-84881540623"</t>
  </si>
  <si>
    <t>10.5670/oceanog.2013.48</t>
  </si>
  <si>
    <t>https://www.scopus.com/inward/record.uri?eid=2-s2.0-84881525800&amp;doi=10.5670%2foceanog.2013.48&amp;partnerID=40&amp;md5=4fb0b032e56f65b70f4aaf92119905d6</t>
  </si>
  <si>
    <t>Feedbacks between flooding and plant growth that help to stabilize marshes against rising sea level are being investigated in estuaries at Plum Island, Massachusetts, and North Inlet, South Carolina. Net annual primary production of the marsh grass Spartina alterniflora has been quite variable through the years, and correlates positively with sea level during the growing season at both sites. The elevation of the marsh surface relative to mean high water determines the duration of flooding, or hydroperiod, that in turn affects plant growth. The effect of flooding was tested experimentally using an in situ bioassay to simulate growth at different relative elevations. At North Inlet, we found a parabolic response to relative elevation, with clear evidence of minimum and maximum vertical limits and an optimal elevation for growth. The Plum Island bioassay provided evidence of the super-optimal side of the growth curve. In both marshes, the responses of S. alterniflora to rising sea level, at their current elevations, are consistent with the bioassay results. This growth curve is important because it defines suboptimal elevations that are unstable for marshes and super-optimal elevations that are stable. Instability results when an increase in sea level decreases primary production, leading to declines in mineral sedimentation and sediment organic matter accretion. Conversely, stability results when rising sea level stimulates primary production, leading to increased sedimentation and organic matter accretion. There also has been interannual variability in the maximum standing biomass (a proxy for productivity) of another marsh grass, Spartina patens, but no significant correlation has been found with sea level, possibly due to methodological limitations. Finally, both Spartina species responded positively to nitrogen and have remained highly productive for 13 years of fertilization at Plum Island and 30 years at North Inlet. © 2013 by The Oceanography Society. All rights reserved.</t>
  </si>
  <si>
    <t>2-s2.0-84881525800"</t>
  </si>
  <si>
    <t>10.5194/nhess-13-2425-2013</t>
  </si>
  <si>
    <t>https://www.scopus.com/inward/record.uri?eid=2-s2.0-84897065596&amp;doi=10.5194%2fnhess-13-2425-2013&amp;partnerID=40&amp;md5=b1df27a5c31c2fb45d2686fa1e05dba0</t>
  </si>
  <si>
    <t>The potential of repeat-pass space borne SAR (Synthetic Aperture Radar) interferometry has been exploited to investigate spatial patterns of land subsidence in the Anthemountas basin, in the northern part of Greece. The PSI (Persistent Scatterer Interferometry) approach, based on the processing of long series of SAR acquisitions, has been applied to forty-two images acquired in 1995-2001 by ERS1/2 satellites. Interferometric results have been analysed at a basin scale as support for land motion mapping and at a local scale for the characterisation of ground motion events affecting the village of Perea in the Thermaikos municipality and the ""Macedonia"" international airport. PSI results revealed a moderate subsidence phenomenon along the wider coastal zone of Anthemountas basin corresponding to intense groundwater extraction. Highest values, exceeding-20 mm yr-1, were measured in the airport area where the thickest sequence of compressible Quaternary sediments occurs. Intense subsidence has been detected also in the Perea village (maximum deformation of-10 to-15 mm yr-1), where a series of fractures, causing damages to both buildings and infrastructure, occurred in 2005-2006. © 2013 Author(s).</t>
  </si>
  <si>
    <t>2-s2.0-84897065596"</t>
  </si>
  <si>
    <t>10.1007/s11852-013-0234-7</t>
  </si>
  <si>
    <t>https://www.scopus.com/inward/record.uri?eid=2-s2.0-84883888790&amp;doi=10.1007%2fs11852-013-0234-7&amp;partnerID=40&amp;md5=9dfe8a89733f71aa6793a07cf7a78218</t>
  </si>
  <si>
    <t>The coastal stretch of north-eastern Mediterranean Morocco holds vitally important ecological, social, and economic functions. The implementation of large-scale luxury tourism resorts shall push socio-economic development and facilitate the shift from a mainly agrarian to a service economy. Sufficient water availability and intact beaches are among the key requirements for the successful realization of regional development plans. The water situation is already critical, additional water-intense sectors could overstrain the capacity of water resources. Further, coastal erosion caused by sea-level rise is projected. Regional climate change is observable, and must be included in regional water management. Long-term climate trends are assessed for the larger region (Moulouya basin) and for the near-coastal zone at Saidia. The amount of additional water demand is assessed for the large-dimensioned Saidia resort</t>
  </si>
  <si>
    <t>10.1007/s10347-012-0348-7</t>
  </si>
  <si>
    <t>https://www.scopus.com/inward/record.uri?eid=2-s2.0-84884589901&amp;doi=10.1007%2fs10347-012-0348-7&amp;partnerID=40&amp;md5=ea84cbd4f6134c5be2b969763b0c7cf0</t>
  </si>
  <si>
    <t>The Oscar Range in Western Australia's Canning Basin exhibits folded Proterozoic, quartzite, quartzite conglomerate, phyllite, and metavolcanic rocks that survive with positive relief. Facies of the Pillara Limestone were deposited around this relief during Late Devonian (Frasnian) time. A segment of the Great Devonian Barrier Reef with a linear reef margin strikes parallel to the outer paleoislands in the Mowanbini Archipelago. A more sheltered strait separates inner islands from the cratonic Devonian mainland on the Kimberley Block. Large fan-deltas emanated from the craton, but locally small shoal-water deltas prograded from a drainage basin on one of the larger paleoislands in the Oscar Range. That island is expressed today by local topography exhumed from beneath a cover of former Devonian, Carboniferous, and Permian strata. The Devonian shoal-water delta rests unconformably on tilted Proterozoic phyllite and incorporates abundant phyllitic debris accumulated under fluvial to shoreface conditions. Some quartzite pebbles and hydrothermal quartz were derived from a source more than a kilometer away. Rare gastropods and stromatoporoid fragments in the deltaic sediments were abraded from the adjacent reef margin. The clast-supported conglomerate in the exposed shoal-water delta is mapped over a distance of 130 m to within 15 m of the inner reef margin, exposed nearby on steeply dipping phyllite. A cyclic succession of mixed clastic and carbonate parasequences, 31.5 m in thickness, follows above a disconformity surface on the delta-top facies. The overall succession represents a minor fall in relative sea level associated with erosion of delta facies and a major transgression characterized by a retrograde parasequence stacking pattern. The succession shifts through siliciclastic-rich shoreface to intertidal distal back-reef facies, ending with a subtidal, siliciclastic-poor proximal back-reef facies. The study demonstrates how variability in sedimentary cycles is influenced by local paleogeographic constraints in an island system dominated by quartzite highlands and phyllite lowlands. © 2012 Springer-Verlag Berlin Heidelberg.</t>
  </si>
  <si>
    <t>2-s2.0-84884589901"</t>
  </si>
  <si>
    <t>10.2112/JCOASTRES-D-12-00162.1</t>
  </si>
  <si>
    <t>https://www.scopus.com/inward/record.uri?eid=2-s2.0-84884604907&amp;doi=10.2112%2fJCOASTRES-D-12-00162.1&amp;partnerID=40&amp;md5=7d8c83fce9b0e86cf498c0ff1c5cbd2d</t>
  </si>
  <si>
    <t>As sea level rise accelerates and land development intensifies along coastlines, tidal wetlands will become increasingly threatened by coastal squeeze. Barriers that protect inland areas from rising sea level prevent or reduce tidal flows, and impermeable surfaces prevent wetland migration to the adjacent uplands. As vegetation succumbs to submergence by rising sea levels on the seaward edge of a wetland, those wetlands prevented from inland migration will decrease in area, if not disappear completely. Tools to identify locations where coastal squeeze is likely to occur are needed for coastal management. We have developed a ""Coastal Squeeze Index"" that can be used to assess the potential of coastal squeeze along the borders of a single wetland and to rank the threats faced by multiple wetlands. The index is based on surrounding topography and impervious surfaces derived from light detection and ranging and advanced spaceborne thermal emission and reflection radiometry imagery, respectively, and uses a fuzzy logic approach. We assume that coastal squeeze varies continuously over the coastal landscape and tested several fuzzy logic functions before assigning a continuous weight, from 0 to 1, corresponding to the influence of slope and impervious surfaces on coastal squeeze. We then combined the ranked variables to produce a map of coastal squeeze as a continuous index. Using this index, we compare the present and future threat of coastal squeeze to marshes in Wells and Portland, Maine, in the United States and Kouchibouguac National Park in New Brunswick, Canada. © 2012, the Coastal Education &amp; Research Foundation (CERF).</t>
  </si>
  <si>
    <t>2-s2.0-84884604907"</t>
  </si>
  <si>
    <t>10.1111/1745-5871.12011</t>
  </si>
  <si>
    <t>https://www.scopus.com/inward/record.uri?eid=2-s2.0-84881542134&amp;doi=10.1111%2f1745-5871.12011&amp;partnerID=40&amp;md5=93d54961de519d378cdb555664414821</t>
  </si>
  <si>
    <t>Globally, sea-level rise is expected to impact on many coastal regions and settlements. While mitigation of global greenhouse gas emissions remains an important task, adaptation is now seen as a critical component of the policy equation. Local government is a key player in adaptation planning and managing risk through their mandated role in land use planning and development control. Yet, managing the predicted impacts of climate change is proving to be a complex and difficult task for planners and policy makers. This paper reports on a case of local government deliberation on possible planning responses to address future sea-level rise impacts in New South Wales, Australia. Using structured, expert opinion of planners and other technical experts engaged in a collaborative network in the Sydney region, we explore the feasibility of implementing planning and policy measures at the local and regional scales to respond to inundation risk as a result of sea-level rise and storm surge events. Our research shows how local governments employ specific scale-oriented strategies to engage private and public actors at different scales to manage legal, financial, and technical risks in coastal adaptation. © 2013 The Authors © 2013 Institute of Australian Geographers.</t>
  </si>
  <si>
    <t>2-s2.0-84881542134"</t>
  </si>
  <si>
    <t>10.1007/s10533-013-9826-4</t>
  </si>
  <si>
    <t>https://www.scopus.com/inward/record.uri?eid=2-s2.0-84884909055&amp;doi=10.1007%2fs10533-013-9826-4&amp;partnerID=40&amp;md5=6220b56629c8f6661e4dc774dd0f419c</t>
  </si>
  <si>
    <t>Dissolved organic matter (DOM) is an essential component of the carbon cycle and a critical driver in controlling variety of biogeochemical and ecological processes in wetlands. The quality of this DOM as it relates to composition and reactivity is directly related to its sources and may vary on temporal and spatial scales. However, large scale, long-term studies of DOM dynamics in wetlands are still scarce in the literature. Here we present a multi-year DOM characterization study for monthly surface water samples collected at 14 sampling stations along two transects within the greater Everglades, a subtropical, oligotrophic, coastal freshwater wetland-mangrove-estuarine ecosystem. In an attempt to assess quantitative and qualitative variations of DOM on both spatial and temporal scales, we determined dissolved organic carbon (DOC) values and DOM optical properties, respectively. DOM quality was assessed using, excitation emission matrix (EEM) fluorescence coupled with parallel factor analysis (PARAFAC). Variations of the PARAFAC components abundance and composition were clearly observed on spatial and seasonal scales. Dry versus wet season DOC concentrations were affected by dry-down and re-wetting processes in the freshwater marshes, while DOM compositional features were controlled by soil and higher plant versus periphyton sources respectively. Peat-soil based freshwater marsh sites could be clearly differentiated from marl-soil based sites based on EEM-PARAFAC data. Freshwater marsh DOM was enriched in higher plant and soil-derived humic-like compounds, compared to estuarine sites which were more controlled by algae- and microbial-derived inputs. DOM from fringe mangrove sites could be differentiated between tidally influenced sites and sites exposed to long inundation periods. As such coastal estuarine sites were significantly controlled by hydrology, while DOM dynamics in Florida Bay were seasonally driven by both primary productivity and hydrology. This study exemplifies the application of long term optical properties monitoring as an effective technique to investigate DOM dynamics in aquatic ecosystems. The work presented here also serves as a pre-restoration condition dataset for DOM in the context of the Comprehensive Everglades Restoration Plan (CERP). © 2013 Springer Science+Business Media Dordrecht.</t>
  </si>
  <si>
    <t>2-s2.0-84884909055"</t>
  </si>
  <si>
    <t>10.1016/j.envsoft.2013.03.004</t>
  </si>
  <si>
    <t>https://www.scopus.com/inward/record.uri?eid=2-s2.0-84892545219&amp;doi=10.1016%2fj.envsoft.2013.03.004&amp;partnerID=40&amp;md5=3bbb8f3599f32bae4d296c3aa492426b</t>
  </si>
  <si>
    <t>There is a strong link between decision making and environmental stresses. Two dilemmas confront decision makers: how and when to adapt to sea level rise, due to complexities of environmental systems and the changing nature of the decision making process. This process is inherently complex and often involves many stakeholders with conflicting views. Considering the complexity and dynamic nature of coastal systems, this paper introduces a Spatial Temporal Decision framework to assess coastal vulnerability, and the adaptation alternatives to SLR. The STD is based upon a combination of: System Dynamics modelling</t>
  </si>
  <si>
    <t>10.1007/s13157-013-0422-0</t>
  </si>
  <si>
    <t>https://www.scopus.com/inward/record.uri?eid=2-s2.0-84880810190&amp;doi=10.1007%2fs13157-013-0422-0&amp;partnerID=40&amp;md5=b3eaee7c0c43fd601acaf6746086a482</t>
  </si>
  <si>
    <t>Water management to protect agriculture in alluvial floodplains often conflicts with wildlife use of seasonal floodwater. Such is the case along the Mississippi River in southeastern Missouri where migrating shorebirds forage in shallow-flooded fields. I estimated the current availability of habitat for foraging shorebirds within the New Madrid and St. Johns Basins based on daily river elevations (1943-2009), under assumptions that shorebirds forage in open habitat with water depth &lt;15 cm and use mudflats for 3 days after exposure. The area of shorebird foraging habitat, based on replicated 50-year random samples, averaged 975 ha per day during spring and 33 ha per day during fall. Adjustments to account for habitat quality associated with different water depths, duration of mudflat exposure, intra-seasonal availability, and state of agricultural crops, indicated the equivalent of 494 ha daily of optimal habitat during spring and 11 ha during fall. Proposed levees and pumps to protect cropland would reduce shorebird foraging habitat by 80 %: to 211 ha (108 optimal ha) per day during spring and 9 ha (&lt;3 optimal ha) per day during fall. Alternative water management that allows natural flooding below a prescribed elevation would retain nearly all existing shorebird foraging habitat during fall and about 60 % of extant habitat during spring. © 2013 US Government.</t>
  </si>
  <si>
    <t>2-s2.0-84880810190"</t>
  </si>
  <si>
    <t>10.1007/s11069-013-0670-6</t>
  </si>
  <si>
    <t>https://www.scopus.com/inward/record.uri?eid=2-s2.0-84881056747&amp;doi=10.1007%2fs11069-013-0670-6&amp;partnerID=40&amp;md5=134ca3bc1f2aea7ffe296eb98d082b24</t>
  </si>
  <si>
    <t>Taiwan suffers from losses of economic property and human lives caused by flooding almost every year. Flooding is an inevitable, reoccurring, and the most damaging disaster in Taiwan since Taiwan is located in the most active tropic cyclone formation region of the Western Pacific. Flooding problem is further worse in land subsidence areas along southwestern coast of Taiwan due to groundwater overdraft. Increasing number of people is threatened with floods owing to climate change since it would induce sea level rise and intensify extreme rainfall. Assessments of flooding vulnerability depend not only on flooding severity, possible damage of assets exposed to floods should also be simultaneously considered. This paper aims at exploring how climate change might impact the flooding vulnerability of lowland areas in Taiwan. A flooding vulnerability evaluation scheme is proposed in this study which incorporates flooding severity (the maximum inundation depth determined by a two-dimensional model) and potential economic losses for various land uses. Effects of climate change on flooding vulnerability focus on alterations of rainfall depth for various recurrence intervals. The flood-prone Yunlin coastal area, located in southwestern Taiwan, is chosen to illustrate the proposed methodology. The results reveal that reducing flooding vulnerability can be achieved by either reducing flooding severity (implementation of flood-mitigation measures) or decreasing assets exposed to floods (suspension of land uses for flood-detention purpose). Performance of currently implemented flood-mitigation measures is insufficient to reduce flooding vulnerability when facing with climate change. However, the scenario suggested in this study to sustain room for floods efficiently reduces flooding vulnerability in both without- and with climate change situations. The suggestions provided in this study could support decision processes and help easing flooding problems of lowland management in Taiwan under climate change. © 2013 Springer Science+Business Media Dordrecht.</t>
  </si>
  <si>
    <t>2-s2.0-84881056747"</t>
  </si>
  <si>
    <t>10.1007/s11069-013-0735-6</t>
  </si>
  <si>
    <t>https://www.scopus.com/inward/record.uri?eid=2-s2.0-84884905013&amp;doi=10.1007%2fs11069-013-0735-6&amp;partnerID=40&amp;md5=05f0d7a7b6c403aafc5602771b189a88</t>
  </si>
  <si>
    <t>The transition from one system to another as a mechanism of adaptation to an external disturbance is widely discussed in terms of 'regime shifts' in resilience research. But occupational transitions by communities due to coastal hazards such as coastal erosion and strong waves have not been studied in depth from a systems perspective. Such a perspective can contribute towards a better understanding of the process and pattern behind transformation among coastal societies. The present case study of coastal occupational communities in Central Java province, Indonesia, includes fishers, brackish pond farmers and labourers. It investigates the historical occupational transitions and the factors that drive them. The study draws on Participatory Rural Appraisal exercises such as historical timeline analysis and participatory discussions along with a socio-economic survey to study the factors and processes that led these communities to transitional pathways. Historical narratives of the community reveal the significance and influence of livelihood capitals such as social, human, financial, physical and natural capital in the transitions. Through the 'Marble and Cup' conceptual framework of the systems transitions, the irreversibility of occupational transitions due to the destruction of natural assets is outlined. This depicts a multi-locale and one-dimensional transition to a singular occupational mode (essentially labourers) in the face of a disturbance like sea level rise, necessitating transformation and building of the livelihood capitals across geographical scales. © 2013 Springer Science+Business Media Dordrecht.</t>
  </si>
  <si>
    <t>2-s2.0-84884905013"</t>
  </si>
  <si>
    <t>https://www.scopus.com/inward/record.uri?eid=2-s2.0-84883473218&amp;partnerID=40&amp;md5=812dc35e4ee014ec69d76198a2449ad4</t>
  </si>
  <si>
    <t>Gonu was the strongest tropical cyclone to hit the region since records began in 1945. In June 2007, cyclone Gonu made landfall in Oman, affecting more than 20000 people and killing 50, before reaching the Islamic Republic of Iran. In Iran, roads and electricity networks were destroyed by the winds and floods. A cargo ship sank in the coastal waters of Haghani jetty in Bandar-Abbass. Analysis of hourly sea level recorded by tide gauges of the National Cartographic Center of Iran (NCC) at Jask and Bandar-Abbas provides a record of non-tidal sea level during the period of 6-7 June 2007, when cyclone crossed the south coast of Iran. Analysis shows that historical NCC tide-gauge data would be useful for testing the numerical models that are now emerging as an important component of defense from storm surges in the coast.</t>
  </si>
  <si>
    <t>2-s2.0-84883473218"</t>
  </si>
  <si>
    <t>10.1016/j.margeo.2013.07.006</t>
  </si>
  <si>
    <t>https://www.scopus.com/inward/record.uri?eid=2-s2.0-84882978445&amp;doi=10.1016%2fj.margeo.2013.07.006&amp;partnerID=40&amp;md5=6245c457b81a4e86cd806c2da46175b8</t>
  </si>
  <si>
    <t>The formation of berms and their transformation into beach ridges in a micro-tidal environment is coupled to wave run-up and overtopping during extreme sea levels. A straight-forward comparison between extreme sea levels due to storm-surges and active berm levels is impossible in the semi-enclosed bays along the Baltic Sea. Quite often, the maximum water levels do not coincide with the maximum intensity of the wave driven processes because of seiches in the Baltic. In this paper, we look into the joined distribution of extreme water levels and high-energetic wave conditions at Feddet, a sandy prograding spit on the south-eastern Baltic shores of Zealand, Denmark. The modern, sandy beach at this location consists of a beachface with a shallow incipient berm, a mature berm, and a dune-covered beach ridge. It borders a beach-ridge plain to the west, where more than 20. N-S oriented beach ridges and swales are present. Measured water-level data from 1991 to 2012 and topographical observations, carried out during fair weather period and during a storm event, provided the basis for a conceptual model exhibiting berm formation and transformation into the local beach-ridge system. The character of extreme sea level events is identified using thirty-three well described extreme events throughout a period of 15. years. Analysis of the meteorological conditions during these events revealed that berm formation only occurred during 20% of all extreme events when onshore winds, high-energy wave action and elevated water coincided. These berm-forming events had a mean return period of once every three years. The average age between successive beach ridges on the beach-ridge plain was about 180. years, which means that the transformation of a berm into a single beach ridge is the result of a large number of storm episodes with high-energy waves and extreme water levels. © 2013 Elsevier B.V.</t>
  </si>
  <si>
    <t>2-s2.0-84882978445"</t>
  </si>
  <si>
    <t>10.1016/j.ocemod.2013.05.009</t>
  </si>
  <si>
    <t>https://www.scopus.com/inward/record.uri?eid=2-s2.0-84879808008&amp;doi=10.1016%2fj.ocemod.2013.05.009&amp;partnerID=40&amp;md5=985c6fdcc03a1006b46c21247c3e7c8d</t>
  </si>
  <si>
    <t>Tsunami are propagating waves characterized by long wavelengths and large amplitudes close to the shore. They may also have a profile characterised by a large trough preceding the positive wave. These waves are destructive, causing severe damage to structures and human casualties when they reach coastal areas (e.g., Indian Ocean, 2004</t>
  </si>
  <si>
    <t>10.1111/gcb.12236</t>
  </si>
  <si>
    <t>https://www.scopus.com/inward/record.uri?eid=2-s2.0-84880134501&amp;doi=10.1111%2fgcb.12236&amp;partnerID=40&amp;md5=82d19cb5c520429dfc3504d6c6bb9108</t>
  </si>
  <si>
    <t>Climate change (CC) and sea level rise (SLR) are phenomena that could have severe impacts on the distribution of coastal dune vegetation. To explore this we modeled the climatic niches of six coastal dunes plant species that grow along the shoreline of the Gulf of Mexico and the Yucatan Peninsula, and projected climatic niches to future potential distributions based on two CC scenarios and SLR projections. Our analyses suggest that distribution of coastal plants will be severely limited, and more so in the case of local endemics (Chamaecrista chamaecristoides, Palafoxia lindenii, Cakile edentula). The possibilities of inland migration to the potential 'new shoreline' will be limited by human infrastructure and ecosystem alteration that will lead to a 'coastal squeeze' of the coastal habitats. Finally, we identified areas as future potential refuges for the six species in central Gulf of Mexico, and northern Yucatán Peninsula especially under CC and SLR scenarios. © 2013 John Wiley &amp; Sons Ltd.</t>
  </si>
  <si>
    <t>2-s2.0-84880134501"</t>
  </si>
  <si>
    <t>10.1007/s11852-013-0235-6</t>
  </si>
  <si>
    <t>https://www.scopus.com/inward/record.uri?eid=2-s2.0-84883875653&amp;doi=10.1007%2fs11852-013-0235-6&amp;partnerID=40&amp;md5=56ff3af58502be8f76f092f821d3eaaa</t>
  </si>
  <si>
    <t>Coastal zones experience increased rates of coastal erosion, due to rising sea levels, increased storm surge frequencies, reduced sediment delivery and anthropogenic transformations. Yet, coastal zones host ecosystems that provide associated services which, therefore, may be lost due to coastal erosion. In this paper we assess to what extent past and future coastal erosion patterns lead to losses in land cover types and associated ecosystem service values. Hence, historical (based on CORINE land cover information) and projected (based on Dynamic and Interactive Vulnerability Assessment - DIVA - simulations) coastal erosion patterns are used in combination with a benefits transfer approach. DIVA projections are based on regionalized IPCC scenarios. Relative to the period 1975-2050, a case study is provided for selected European coastal country member states. For historical (1975-2006) coastal erosion trends, we observe territory losses in coastal agricultural, water body and forest &amp; semi-natural areas - total coastal erosion equaling over 4,500 km2. Corresponding coastal ecosystem service values decrease from about €22.3 billion per year in 1975 to about €21.6 billion per year in 2006. For future (2006-2050) coastal erosion projections, total territory losses equal between ~3,700 km2 and ~5,800 km2 - coastal wetland areas being affected most severely. Corresponding coastal ecosystem service values decrease to between €20.1 and €19.4 billion per year by 2050. Hence, we argue that the response strategy of EU member states to deal with coastal erosion and climate change impacts should be based on the economic as well as the ecological importance of their coastal zones. © 2013 Springer Science+Business Media Dordrecht.</t>
  </si>
  <si>
    <t>2-s2.0-84883875653"</t>
  </si>
  <si>
    <t>10.1007/s00024-012-0513-5</t>
  </si>
  <si>
    <t>https://www.scopus.com/inward/record.uri?eid=2-s2.0-84877962398&amp;doi=10.1007%2fs00024-012-0513-5&amp;partnerID=40&amp;md5=dbedb6f63466e3f5b0f060e872a7bf5c</t>
  </si>
  <si>
    <t>The tsunami generated by the 1 November, 1755 earthquake off the coast of Portugal affected mainly the coastlines of the Iberian Peninsula and Northwest Morocco, but was also observed in some places along the North Atlantic coasts. To determine whether the event could have effected the French coastline, we conducted a study to search for signs of the tsunami in historical records from all tide gauge stations off the French Atlantic coast during the twentieth century, specifically for the 28 February, 1969 and the 26 May, 1975 tsunamis that were recorded by the Portuguese tide gauge network. Because many recordings are available in La Rochelle (located on the southwest coast of France), we focused our study on this harbor. The analysis of the tide gauge data shows no evidence for tsunamis in La Rochelle, neither in 1969 nor in 1975. To confirm this lack of tsunami signals, we used nonlinear, shallow water equations to compute the tsunami propagation to the French Atlantic coastline for both 1969 and 1975 events. Results obtained from these simulations confirm otherwise unnoticeable wave amplitudes at La Rochelle harbor. In a second step, tsunamis from three different scenarios for the 1755 earthquake were modeled to estimate the impact of such a tsunami on the French Atlantic coast, with a focus on La Rochelle harbor. A comparison of the functions of tide configuration was made in order to analyse the difference in impact. The results show that, while the harbor is poorly impacted, several areas (western part of the island of Ré and northern coast of the island of Oléron) may have experienced a moderate impact from 0.5 to 1 m, especially since the tide was high at the time of arrival, possibly causing local inundations in lowland areas. © 2012 Springer Basel AG.</t>
  </si>
  <si>
    <t>2-s2.0-84877962398"</t>
  </si>
  <si>
    <t>10.1002/hyp.9360</t>
  </si>
  <si>
    <t>https://www.scopus.com/inward/record.uri?eid=2-s2.0-84881543117&amp;doi=10.1002%2fhyp.9360&amp;partnerID=40&amp;md5=5cca6032ee5421864dd200b759ea31e8</t>
  </si>
  <si>
    <t>This paper investigates the development of flood hazard and flood risk delineations that account for uncertainty as improvements to standard floodplain maps for coastal watersheds. Current regulatory floodplain maps for the Gulf Coastal United States present 1% flood hazards as polygon features developed using deterministic, steady-state models that do not consider data uncertainty or natural variability of input parameters. Using the techniques presented here, a standard binary deterministic floodplain delineation is replaced with a flood inundation map showing the underlying flood hazard structure. Additionally, the hazard uncertainty is further transformed to show flood risk as a spatially distributed probable flood depth using concepts familiar to practicing engineers and software tools accepted and understood by regulators. A case study of the proposed hazard and risk assessment methodology is presented for a Gulf Coast watershed, which suggests that storm duration and stage boundary conditions are important variable parameters, whereas rainfall distribution, storm movement, and roughness coefficients contribute less variability. The floodplain with uncertainty for this coastal watershed showed the highest variability in the tidally influenced reaches and showed little variability in the inland riverine reaches. Additionally, comparison of flood hazard maps to flood risk maps shows that they are not directly correlated, as areas of high hazard do not always represent high risk. © 2012 John Wiley &amp; Sons, Ltd.</t>
  </si>
  <si>
    <t>2-s2.0-84881543117"</t>
  </si>
  <si>
    <t>10.1007/s00024-012-0543-z</t>
  </si>
  <si>
    <t>https://www.scopus.com/inward/record.uri?eid=2-s2.0-84883389747&amp;doi=10.1007%2fs00024-012-0543-z&amp;partnerID=40&amp;md5=bbc99043521165c20f764ca70ce741c8</t>
  </si>
  <si>
    <t>Regional source tsunamis represent a potentially devastating threat to coastal communities in New Zealand, yet are infrequent events for which little historical information is available. It is therefore essential to develop robust methods for quantitatively estimating the hazards posed, so that effective mitigation measures can be implemented. We develop a probabilistic model for the tsunami hazard posed to the Auckland region of New Zealand from the Kermadec Trench and the southern New Hebrides Trench subduction zones. An innovative feature of our model is the systematic analysis of uncertainty regarding the magnitude-frequency distribution of earthquakes in the source regions. The methodology is first used to estimate the tsunami hazard at the coastline, and then used to produce a set of scenarios that can be applied to produce probabilistic maps of tsunami inundation for the study region</t>
  </si>
  <si>
    <t>Economia Politica</t>
  </si>
  <si>
    <t>https://www.scopus.com/inward/record.uri?eid=2-s2.0-84897585146&amp;partnerID=40&amp;md5=90cd5af8a929ae3afc307f2b66e4ed3a</t>
  </si>
  <si>
    <t>The reaction of markets and people to extreme events is studied with respect to their oscillations following the occurring after a severe perturbation. The phenomenon is modeled with a pseudo memorydamped accelerator. It is the case of the people, mostly peasants, returning to their homes after leaving them as a consequence of the 1951 Po River flood in Polesine (Italy), of the variation of the number of Revenue Passenger Miles (RPM) in the US after the 2001 September 11th terrorist attack in New York, of the number of abortions in Italy following the 1978 law which legalized the abortions and of the embezzlement crimes in Italy during the clean hands period at the end of the last century. We verified that in the four cases the return to normality had similar features: the number of individuals affected by the extreme event had a step-like variation followed by oscillation with decreasing amplitude. The assumption is that the evolution of a market or population may be governed by an equation similar to that of an oscillator including a memory formalism, and that the extreme event is the delta function which generates the Green function. We also show how the memory may stabilize the market or the population, when the perturbation is constant while an increasing perturbation may lead to a crisis. We estimate the parameters characterizing the effects of the extreme event of the 2001 September 11th terrorist attack and of the 1978 abortion law in Italy.</t>
  </si>
  <si>
    <t>2-s2.0-84897585146"</t>
  </si>
  <si>
    <t>10.1007/s11069-013-0682-2</t>
  </si>
  <si>
    <t>https://www.scopus.com/inward/record.uri?eid=2-s2.0-84881039436&amp;doi=10.1007%2fs11069-013-0682-2&amp;partnerID=40&amp;md5=2e007b280152f440a5842900cf9cced1</t>
  </si>
  <si>
    <t>The coastal area of Guangdong Province is one of the most developed regions in China. It is also often under severe risk of storm surges, as one of the few regions in China which are seriously threatened by storm surges. Based on the data of storm surges in the study area in the past 30 years, the return periods of 18 tide stations for storm surge are calculated separately. Using the spatial analysis technology of ArcGIS, combined with the topography data of the study area, the submerged scope for storm surge in the coastal area of Guangdong Province is determined, and the hazard assessment is carried out. According to the view of systematic point, this article quotes the result of vulnerability assessment which was done by the author in the previous research. Based on the hazard evaluation and vulnerability evaluation, risk assessment of storm surges in the study region is done, and the risk zoning map is drawn. According to the assessment, Zhuhai, Panyu and Taishan are classified as the highest risk to storm surges in Guangdong Province</t>
  </si>
  <si>
    <t>10.1038/nclimate1970</t>
  </si>
  <si>
    <t>https://www.scopus.com/inward/record.uri?eid=2-s2.0-84885198003&amp;doi=10.1038%2fnclimate1970&amp;partnerID=40&amp;md5=c380a4fdc10411b3e4384d58176766c8</t>
  </si>
  <si>
    <t>Marine vegetated habitats (seagrasses, salt-marshes, macroalgae and mangroves) occupy 0.2% of the ocean surface, but contribute 50% of carbon burial in marine sediments. Their canopies dissipate wave energy and high burial rates raise the seafloor, buffering the impacts of rising sea level and wave action that are associated with climate change. The loss of a third of the global cover of these ecosystems involves a loss of CO 2 sinks and the emission of 1 Pg CO 2 annually. The conservation, restoration and use of vegetated coastal habitats in eco-engineering solutions for coastal protection provide a promising strategy, delivering significant capacity for climate change mitigation and adaption. © 2013 Macmillan Publishers Limited. All rights reserved.</t>
  </si>
  <si>
    <t>2-s2.0-84885198003"</t>
  </si>
  <si>
    <t>10.2112/JCOASTRES-D-12-00181.1</t>
  </si>
  <si>
    <t>https://www.scopus.com/inward/record.uri?eid=2-s2.0-84884206373&amp;doi=10.2112%2fJCOASTRES-D-12-00181.1&amp;partnerID=40&amp;md5=48caeb5a1e63a933e243878c8c00f58c</t>
  </si>
  <si>
    <t>Tide data are the oldest and longest oceanographic records and comprise one of the few tools for understanding, quantifying, and separating century-scale human and climate impacts on the coastal zone. Our archival research indicates that continuous measurements of tides began in 1844 in the western Atlantic, 1853 in the Eastern Pacific, and 1858 in the Western Pacific. At least 50 multiyear tide series existed by the year 1900. With few exceptions, however, these 19th and early 20th century measurements have not been analyzed in more than a century and have been forgotten and neglected by the scientific community. This article describes historical tide measurements in the Pacific Ocean and North America, their current status, and ongoing efforts to recover the data. Possible uses of the data include assessing trends in sea level, tidal properties, and river flow, and reanalyzing extreme events such as historical storms and floods. More than 600 years of station data are confirmed to still exist in paper form, out of approximately 1900 years total. © 2013, the Coastal Education &amp; Research Foundation (CERF).</t>
  </si>
  <si>
    <t>2-s2.0-84884206373"</t>
  </si>
  <si>
    <t>10.5751/ES-05427-180313</t>
  </si>
  <si>
    <t>https://www.scopus.com/inward/record.uri?eid=2-s2.0-84884959451&amp;doi=10.5751%2fES-05427-180313&amp;partnerID=40&amp;md5=8bfb000d1be3460f031ffd146f4c60b9</t>
  </si>
  <si>
    <t>The flood is a well-known phenomenon in the Vietnamese Mekong River Delta (MRD). Although people have experienced the impact of floods for years, some adapt well, but others are vulnerable to floods. Resilience to floods is a useful concept to study the capacity of rural households to cope with, adapt to, and benefit from floods. Knowledge of the resilience of households to floods can help disaster risk managers to design policies for living with floods. Most researchers attempt to define the concept of resilience</t>
  </si>
  <si>
    <t>https://www.scopus.com/inward/record.uri?eid=2-s2.0-84893583007&amp;partnerID=40&amp;md5=9163c653b839dcf664088b6362c16017</t>
  </si>
  <si>
    <t>The Ogunquit wastewater treatment plant (WWTP) is in a regulated coastal sand dune system and coastal barrier resource system (CBRS), between the Ogunquit River estuary and the Gulf of Maine. The facility has flooded during major historic storm events and faces ever-increasing risks from such events because of rising sea levels and greater storm frequency. Adaptation options to address potential flooding, storm surge, and sea level rise (SLR) were desired. A study assessed the aforementioned risks, along with anticipated changes in regulatory requirements, aging infrastructure, changes in population demographics, and increased competition for funding. This study also outlined mitigation strategies. Regulatory limitations, aging infrastructure, and anticipated SLR impacts suggest that there is no practical long-term solution that would allow the town to continue using the existing WWTP site beyond 2032-2052, given Ogunquit Sewage District's current risk tolerance.</t>
  </si>
  <si>
    <t>2-s2.0-84893583007"</t>
  </si>
  <si>
    <t>10.1007/s11069-013-0630-1</t>
  </si>
  <si>
    <t>https://www.scopus.com/inward/record.uri?eid=2-s2.0-84881068229&amp;doi=10.1007%2fs11069-013-0630-1&amp;partnerID=40&amp;md5=104a51376004073142d620a8316737fe</t>
  </si>
  <si>
    <t>A very severe cyclonic storm 'Thane' developed over the Bay of Bengal during 25-30 December 2011, crossed the Tamilnadu coast between Pondicherry and Cuddalore (southeast coast of India) in early hours of 30 December with a wind speed 120-140 km/h. The offshore tide record reveals that the surge started to generate around 1100 hours on 29 December 2011 with a height 0.4 m and later raised to 0.68 m at the time of land fall, that is, early hours (0000 hours) of 30 December 2011. Field reconnaissance survey on surge run-up and inundation distance at 15 selected locations of cyclone affected areas reveals that the vulnerability levels are highly variable along the coast. The inundation distance extended up to 30-230 m landward from the shoreline and run-up reached to 1.6-3.2 m above chart datum depending upon the cross-shore geometry of the location. In the areas (Verranampattinam, Chinamudaliyar kuppam and Silver beach) near cyclone landfall, the run-up was up to 2.5-3.2 m and the inundation distance extended up to a maximum of 230 m. However, in the areas located about 150 km north of cyclone landfall, the run-up limited from 1.6 to 1.7 m and the inundation distance extended up to only a maximum of 169 m. The inundation distance is mainly influenced by the slope of the beach. In the areas having beach slope between 1 in 135 and 1 in 220, the inundation distance was 210-230 m. However, in the areas having beach slope 1 in 17 to 1 in 34, the inundation distance is restricted between 35 and 50 m. © 2013 Springer Science+Business Media Dordrecht.</t>
  </si>
  <si>
    <t>2-s2.0-84881068229"</t>
  </si>
  <si>
    <t>10.2112/JCOASTRES-D-12-00209.1</t>
  </si>
  <si>
    <t>https://www.scopus.com/inward/record.uri?eid=2-s2.0-84884659869&amp;doi=10.2112%2fJCOASTRES-D-12-00209.1&amp;partnerID=40&amp;md5=cebf7de61397c7d02042184e412a59a5</t>
  </si>
  <si>
    <t>In a previously published experiment, canopy reflectance spectrum was measured for three monospecific canopies as water level was artificially increased. As the water rose, spectral features appeared that could not be explained by the experimenters. To better understand their published results, a combination of a shallow-water reflectance model and a canopy reflectance model was used to simulate the spectral effects observed with increasing levels of inundation. Information from the Lee shallow water, in particular, helped explain the key spectral features observed during high water levels. However, the simulation results also suggested interesting implications regarding the nonlinear mixing of water and vegetation reflection spectra as found in marsh or other flooded canopies. As water level increases, the influence of leaf reflectance below the water's surface changes the characteristics of the background aquatic spectrum. In particular, the simulation yielded a 20-nm shift in the red-edge position as water rose from the bottom to the top of the canopy, which is very similar to the experimental results. This suggests that the interaction of water and chlorophyll absorption features and leaf reflectance near the red-edge of the vegetation spectrum can significantly the influence red-edge position of an inundated canopy. This, in turn, could affect the use of the red-edge position for indicating plant condition in remote-sensing applications of inundated vegetation. © 2012, the Coastal Education &amp; Research Foundation (CERF).</t>
  </si>
  <si>
    <t>2-s2.0-84884659869"</t>
  </si>
  <si>
    <t>10.5194/hess-17-4015-2013</t>
  </si>
  <si>
    <t>https://www.scopus.com/inward/record.uri?eid=2-s2.0-84886069853&amp;doi=10.5194%2fhess-17-4015-2013&amp;partnerID=40&amp;md5=000d9e12bc2ab1ca32dbd1c10ad5a24b</t>
  </si>
  <si>
    <t>This paper evaluates the results of benchmark testing a new inertial formulation of the St. Venant equations, implemented within the LISFLOOD-FP hydraulic model, using different high resolution terrestrial LiDAR data (10 cm, 50 cm and 1 m) and roughness conditions (distributed and composite) in an urban area. To examine these effects, the model is applied to a hypothetical flooding scenario in Alcester, UK, which experienced surface water flooding during summer 2007. The sensitivities of simulated water depth, extent, arrival time and velocity to grid resolutions and different roughness conditions are analysed. The results indicate that increasing the terrain resolution from 1 m to 10 cm significantly affects modelled water depth, extent, arrival time and velocity. This is because hydraulically relevant small scale topography that is accurately captured by the terrestrial LIDAR system, such as road cambers and street kerbs, is better represented on the higher resolution DEM. It is shown that altering surface friction values within a wide range has only a limited effect and is not sufficient to recover the results of the 10 cm simulation at 1 m resolution. Alternating between a uniform composite surface friction value (n = 0.013) or a variable distributed value based on land use has a greater effect on flow velocities and arrival times than on water depths and inundation extent. We conclude that the use of extra detail inherent in terrestrial laser scanning data compared to airborne sensors will be advantageous for urban flood modelling related to surface water, risk analysis and planning for Sustainable Urban Drainage Systems (SUDS) to attenuate flow. © Author(s) 2013.</t>
  </si>
  <si>
    <t>2-s2.0-84886069853"</t>
  </si>
  <si>
    <t>10.2166/wp.2013.205</t>
  </si>
  <si>
    <t>https://www.scopus.com/inward/record.uri?eid=2-s2.0-84885397259&amp;doi=10.2166%2fwp.2013.205&amp;partnerID=40&amp;md5=3b5f821034e661d2a78219df27956715</t>
  </si>
  <si>
    <t>Tidal estuaries constrained by embankments in the Sundarbans have failed to respond to a &gt;1 m sea level rise over the past 100 years since their construction. This paper shows that this has led to a disequilibrium morphology leading to channel erosion that has undermined embankments, causing mass failure, breaching and subsequent flooding during surge events. Predicted future sea level rise will exacerbate this trend and managed realignment of embankments will be needed to accommodate it. Management practices have, however, modified this underlying process of erosion. The increasing practice of severing tributary channels from the main channel using flap sluices to create freshwater storage ponds has, in many cases, reduced tidal flow in the main channels so that they are not only accreting rather than eroding, but capable of accommodating future sea level rise without erosion. In contrast, the rapid spread of salt water aquaculture in the Sundarbans, flooding previous paddy land, has led to an increase in tidal discharge and accelerated erosion of the embankments in estuary channels conveying water to the ponds. This paper concludes that existing management practices may have a more significant impact on flooding in the Sundarban than the predicted sea level rise due to global warming. © IWA Publishing 2013.</t>
  </si>
  <si>
    <t>2-s2.0-84885397259"</t>
  </si>
  <si>
    <t>10.1007/s00343-013-2281-1</t>
  </si>
  <si>
    <t>https://www.scopus.com/inward/record.uri?eid=2-s2.0-84892851330&amp;doi=10.1007%2fs00343-013-2281-1&amp;partnerID=40&amp;md5=65402c4fb92dce1c4754f6ddec86515e</t>
  </si>
  <si>
    <t>The sedimentary facies of the subaqueous Changjiang (Yangtze) River delta since the late Pleistocene was studied based on lithology and foraminifera analysis for two boreholes, CJK07 and CJK11, along with 14C dating. Four sedimentary facies were identified, namely fluvial, tidal flat, offshore, and prodelta facies. The fluvial sedimentary facies is comprised of fluvial channel lag deposits, fluvial point bar deposits, and floodplain deposits, showing a fining-upward sequence in general with no benthic foraminifera. A layer of stiff clay overlies the fluvial deposits in core CJK07, indicating a long-term exposure environment during the Last Glacial Maximum (LGM). During the postglacial sea-level rise around 13-7.5 cal ka BP, the tidal flat facies was deposited in core CJK11, characterized by abundant silt-clay couplets. Euryhaline species dominate the subtidal flat foraminiferal assemblages, while almost no foraminifera was found in the intertidal flat. The offshore environment was the major sedimentary environment when the sea level reached its highest level around 7.5 cal ka BP, with a maximum accumulation rate of 10 mm/a found in core CJK11. Prodelta sediments have been deposited in core CJK11 since ~3 cal ka BP, after the formation of the Changjiang River delta. The difference in sedimentary facies between core CJK07 and CJK11 is due to their location: core CJK07 was in an interfluve while core CJK11 was in an incised valley during the LGM. Furthermore, AMS 14 C dating of core CJK07 shows poor chronological order, indicating that the sediments were reworked by strong tidal currents and that sediment deposited since ~7.7 cal ka BP in core CJK07 was eroded away by modern hydrodynamic forces caused by the southward shift of the Changjiang River delta depocenter. © 2013 Chinese Society for Oceanology and Limnology, Science Press and Springer-Verlag Berlin Heidelberg.</t>
  </si>
  <si>
    <t>2-s2.0-84892851330"</t>
  </si>
  <si>
    <t>10.1080/10106049.2013.768297</t>
  </si>
  <si>
    <t>https://www.scopus.com/inward/record.uri?eid=2-s2.0-84887169952&amp;doi=10.1080%2f10106049.2013.768297&amp;partnerID=40&amp;md5=04d1886636d55201b19edf134154c1c4</t>
  </si>
  <si>
    <t>Inventorying and monitoring are imperative to management of vulnerable coastal wetlands. Multi-date and multi-sensor remote sensing offer new capabilities to wetland programmes such as the US National Wetland Inventory. This pilot study focuses on swamp forests and pocosins, marshes, shrub-scrub and invasive Phragmites australis. Combinations of spaceborne multi-date Synthetic Aperture Radar (SAR) imagery and airborne light detection and ranging (LiDAR) elevation (bare earth elevation and vegetation height) were evaluated. Multi-date SAR data (horizontal-horizontal and horizontal-vertical dual polarizations) highlighted physiognomic dynamics, with LiDAR vegetation canopy discerning selected classes. The highest overall accuracy used SAR, LiDAR canopy and digital elevation model (DEM) data (81% κ = 0.744), but not significantly different from the SAR-only classification (81% κ = 0.742). Both classifications exceeded the data combination using SAR data and DEM (66% κ = 0.521) and SAR data with vegetation canopy (80% κ = 0.725). This approach requires investigation using advanced classification algorithms to prove its potential for monitoring wetland change, sea-level rise, and invasive species. © 2013 Taylor &amp; Francis.</t>
  </si>
  <si>
    <t>2-s2.0-84887169952"</t>
  </si>
  <si>
    <t>10.1002/jgrc.20283</t>
  </si>
  <si>
    <t>https://www.scopus.com/inward/record.uri?eid=2-s2.0-84885141723&amp;doi=10.1002%2fjgrc.20283&amp;partnerID=40&amp;md5=e79865b25deafed0e3f483fd799c705f</t>
  </si>
  <si>
    <t>The effects of wind input parameterizations on wave estimations under hurricane conditions are examined using the unstructured grid, third-generation wave model, Simulating WAves Nearshore (SWAN). Experiments using Hurricane Ike wind forcing, which impacted the Gulf of Mexico in 2008, illustrate that the default and recommended setting for the wind input parameterization tends to overestimate the maximum significant wave heights in the deep Gulf of Mexico by about 2 m when comparing with observations. The overestimation can be remedied either by adjusting the maximum value of the surface drag coefficient or by substituting a high wind speed formula for the default low to moderate wind speed. Because of added dissipative effects in the shallow coastal areas, the overestimations found in deep water have limited effect on the waves in the near shore shallower waters. Thus, previous wave model results using a low to moderate wind speed bulk formula may still be reliable in waters shallower than about 20-30 m even while overestimating significant wave heights in deeper waters under hurricane conditions. ©2013. American Geophysical Union. All Rights Reserved.</t>
  </si>
  <si>
    <t>2-s2.0-84885141723"</t>
  </si>
  <si>
    <t>10.3390/rs5105122</t>
  </si>
  <si>
    <t>https://www.scopus.com/inward/record.uri?eid=2-s2.0-84887517151&amp;doi=10.3390%2frs5105122&amp;partnerID=40&amp;md5=deac8d1654669854e12276206b3ef32a</t>
  </si>
  <si>
    <t>Earth Observation is a powerful tool for the detection of floods. Microwave sensors are typically favored as they deliver data enabling water detection independent of solar illumination or cloud cover conditions. However, scale issues play an important role in radar based flood mapping. Depending on the flood related phenomenon under investigation, some sensors might be more suitable than others. In this study, we elucidate flood mapping at different spatial scale investigating the capability of Envisat ASAR Wide Swath Mode data at 150 m spatial resolution, as well as TerraSAR-X Scansar and Stripmap data at 8.25 m and 2.5 m resolution to especially assess urban flooding. For this purpose, we evaluate the results of automated multi-temporal water extraction from data sources of different scale against other parameters, such as settlement density, also taking a highly accurate building layer digitized from Quickbird data into consideration. Results reveal that while Envisat ASAR WSM derived flood maps are suitable to support the understanding of general flood patterns in a larger region, high resolution data of sensors such as TerraSAR-X is needed to truly assess urban flooding. However, even radar data of high spatial resolution still shows limitations</t>
  </si>
  <si>
    <t>10.5194/os-9-721-2013</t>
  </si>
  <si>
    <t>https://www.scopus.com/inward/record.uri?eid=2-s2.0-84882779678&amp;doi=10.5194%2fos-9-721-2013&amp;partnerID=40&amp;md5=efe219a6bb74acb649b4c77fed1ff795</t>
  </si>
  <si>
    <t>The accurate parameterisation of momentum and heat transfer across the air-sea interface is vital for realistic simulation of the atmosphere-ocean system. In most modelling applications accurate representation of the wind stress is required to numerically reproduce surge, coastal ocean circulation, surface waves, turbulence and mixing. Different formulations can be implemented and impact the accuracy of the instantaneous and long-term residual circulation, the surface mixed layer, and the generation of wave-surge conditions. This, in turn, affects predictions of storm impact, sediment pathways, and coastal resilience to climate change. The specific numerical formulation needs careful selection to ensure the accuracy of the simulation. Two wind stress parameterisations widely used in the ocean circulation and the storm surge communities respectively are studied with focus on an application to the NW region of the UK. Model-observation validation is performed at two nearshore and one estuarine ADCP (acoustic Doppler current profiler) stations in Liverpool Bay, a hypertidal region of freshwater influence (ROFI) with vast intertidal areas. The period of study covers both calm and extreme conditions to test the robustness of the 10 m wind stress component of the Coupled Ocean-Atmosphere Response Experiment (COARE) bulk formulae and the standard Charnock relation. In this coastal application a realistic barotropic-baroclinic simulation of the circulation and surge elevation is set-up, demonstrating greater accuracy occurs when using the Charnock relation, with a constant Charnock coefficient of 0.0185, for surface wind stress during this one month period. © Author(s) 2013.</t>
  </si>
  <si>
    <t>2-s2.0-84882779678"</t>
  </si>
  <si>
    <t>10.1002/grl.50758</t>
  </si>
  <si>
    <t>https://www.scopus.com/inward/record.uri?eid=2-s2.0-84881184910&amp;doi=10.1002%2fgrl.50758&amp;partnerID=40&amp;md5=fc08b2d0403c1afeb0c8b6d8457e46f0</t>
  </si>
  <si>
    <t>Differential Interferometric Synthetic Aperture Radar is applied to the coast of the Yellow River delta (YRD) in China. Like many deltas, the coastline of the YRD is dominated by aquaculture. Advanced Land Observation Satellite Phased Array L-Band Synthetic Aperture Radar (SAR) and Envisat Advanced SAR data acquired between 2007 and 2011 show that subsidence rates are as high as 250 mm/y at aquaculture facilities, likely due to groundwater pumping. These rates exceed local and global average sea level rise by nearly 2 orders of magnitude and suggest that subsidence and associated relative sea level rise may present a significant hazard for Asian megadeltas. © 2013. American Geophysical Union. All Rights Reserved.</t>
  </si>
  <si>
    <t>2-s2.0-84881184910"</t>
  </si>
  <si>
    <t>10.1155/2013/294956</t>
  </si>
  <si>
    <t>https://www.scopus.com/inward/record.uri?eid=2-s2.0-84884243109&amp;doi=10.1155%2f2013%2f294956&amp;partnerID=40&amp;md5=bd17d3a3cf74507461feee2efeb040b1</t>
  </si>
  <si>
    <t>The contribution of the large-scale atmospheric environment to precipitation and flooding during Hurricane Floyd was investigated in this study. Through the vortex removal technique in the Weather Research and Forecasting (WRF) model, the vortex associated with Hurricane Floyd (1999) was mostly removed in the model initial conditions and subsequent integration. Results show that the environment-induced precipitation can account for as much as 22% of total precipitation in the innermost model domain covering North Carolina coastal area and 7% in the focused hydrological study area. The high-resolution precipitation data from the WRF model was then used for input in a hydrological model to simulate river runoff. Hydrological simulation results demonstrate that without the tropical systems and their interactions with the large-scale synoptic environment the synoptic environment would only contribute 10% to the total discharge at the Tarboro gauge station. This suggests that Hurricane Floyd and Hurricane Dennis preceding it, along with the interactions between these tropical systems and the large-scale environment, have contributed to the bulk (90%) of the record amount of flood water in the Tar-Pamlico River Basin. © 2013 Qianhong Tang et al.</t>
  </si>
  <si>
    <t>2-s2.0-84884243109"</t>
  </si>
  <si>
    <t>10.1680/wama.12.00005</t>
  </si>
  <si>
    <t>https://www.scopus.com/inward/record.uri?eid=2-s2.0-84883292602&amp;doi=10.1680%2fwama.12.00005&amp;partnerID=40&amp;md5=3833e8bb330549b269ad58e212800d36</t>
  </si>
  <si>
    <t>This paper describes the application of dynamic system modelling to investigate the consequences for water supply of maintaining environmental flow requirements in the Gorganrud River Basin in Iran. In this study the output results of Vensim and Weap models were compared and found to match each other closely. However, for a specific scenario on the same computer, Vensim was more than 100 times faster than Weap. Currently, about 55% of the time the Gorganrud Estuary is dry without any in-stream environmental flow, causing grave environmental problems, particularly in relation to fish habitat. If the reservoirs are operated to maintain environmental flow requirements, there is less than 10% supply-demand deficit for agricultural uses but flows are maintained to the estuary throughout the year at about 1 m3/s, which benefits the river ecosystem</t>
  </si>
  <si>
    <t>10.1016/j.scitotenv.2013.06.024</t>
  </si>
  <si>
    <t>https://www.scopus.com/inward/record.uri?eid=2-s2.0-84880354528&amp;doi=10.1016%2fj.scitotenv.2013.06.024&amp;partnerID=40&amp;md5=1e22790015f8d2bf9080159643113bd1</t>
  </si>
  <si>
    <t>The generation of acidity and subsequent mobilization of toxic metals induced by acid sulfate soils (ASSs) are known to cause severe environmental damage to many coastal wetlands and estuaries of Australia and worldwide. Mangrove ecosystems serve to protect coastal environments, but are increasingly threatened from such ASS-induced acidification due to variable hydrological conditions (i.e., inundation-desiccation cycles). However, the impact of such behaviors on trace metal distribution, bio-availability and accumulation in mangrove tissues, i.e., leaves and pneumatophores, are largely unknown. In this study, we examined how ASS-induced acidifications controlled trace metal distribution and bio-availability in gray mangrove (Avicennia marina) soils and in tissues in the Kooragang wetland, New South Wales, Australia. We collected mangrove soils, leaves and pneumatophores from a part of the wetland acidified from ASS (i.e., an affected site) for detailed biogeochemical studies. The results were compared with samples collected from a natural intertidal mangrove forest (i.e., a control site) located within the same wetland. Soil pH (mean: 5.90) indicated acidic conditions in the affected site, whereas pH was near-neutral (mean: 7.17) in the control site. The results did not show statistically significant differences in near-total and bio-available metal concentrations, except for Fe and Mn, between affected and control sites. Iron concentrations were significantly (p values. ≤. 0.001) greater in the affected site, whereas Mn concentrations were significantly (p values. ≤. 0.001) greater in the control site. However, large proportions of near-total metals were potentially bio-available in control sites. Concentrations of Fe and Ni were significantly (p values. ≤. 0.001) greater in leaves and pneumatophores of the affected sites, whereas Mn, Cu, Pb and Zn were greater in control sites. The degree of metal bio-accumulation in leaves and pneumatophores suggest contrasting hydrological behaviors and near-surface geochemical conditions favoring differential metal uptake by mangrove plants in the two sites. © 2013 Elsevier B.V.</t>
  </si>
  <si>
    <t>2-s2.0-84880354528"</t>
  </si>
  <si>
    <t>10.1007/s11069-013-0742-7</t>
  </si>
  <si>
    <t>https://www.scopus.com/inward/record.uri?eid=2-s2.0-84884900343&amp;doi=10.1007%2fs11069-013-0742-7&amp;partnerID=40&amp;md5=5e85289285007b381e0872e56382d3dd</t>
  </si>
  <si>
    <t>Flood susceptibility mapping using geomorphologic approaches is effective for delineating flood extent and various degrees of potential flood-affected areas. This approach is useful where the channel system and floodplain morphology change dynamically and in regions where detailed digital elevation models are not available. The first important step in flood zonation using this approach is detailed geomorphologic mapping, also called landform classification. This study aims to describe landform classification using the rule-based method of Ho et al. (Int J Geoinform 8(4):27-38, 2012) adapted to local characteristics in the western plain of the Red River delta, northern Vietnam. The original classification scheme is generally based on the moist condition classification, local land-surface parameters, and relative position indices derived from multi-temporal Landsat data and a shuttle radar topographic mission digital elevation model (SRTM DEM). This study uses average elevations and the standard deviation of elevations as local land-surface parameters rather than local relief, which was used in the study by Ho et al. (Int J Geoinform 8(4):27-38, 2012). Multi-temporal land cover classification was performed using an integrated method to effectively correct the SRTM DEM. The overall classification is consistent with manual mapping by visual comparison. The quantitative comparison between landform units and past flood-affected areas demonstrates a precise boundary delineation of landform objects using this method. The high agreement between the boundaries of landform units and flood-inundated areas suggests the applicability of this method taking advantage of readily available remotely sensed datasets in alluvial floodplains. © 2013 Springer Science+Business Media Dordrecht.</t>
  </si>
  <si>
    <t>2-s2.0-84884900343"</t>
  </si>
  <si>
    <t>10.5194/tc-7-823-2013</t>
  </si>
  <si>
    <t>https://www.scopus.com/inward/record.uri?eid=2-s2.0-84883185780&amp;doi=10.5194%2ftc-7-823-2013&amp;partnerID=40&amp;md5=26d7fc584256923e3a09d4e1886db6ab</t>
  </si>
  <si>
    <t>We produce the first icefield-wide volume change rate and glacier velocity estimates for the Cordillera Darwin Icefield (CDI), a 2605 km2 temperate icefield in southern Chile (69.6°W, 54.6° S). Velocities are measured from optical and radar imagery between 2001-2011. Thirty-six digital elevation models (DEMs) from ASTER and the SRTM DEM are stacked and a weighted linear regression is applied to elevations on a pixel-by-pixel basis to estimate volume change rates. The CDI lost mass at an average rate of -3.9±1.5 Gt yr-1 between 2000 and 2011, equivalent to a sea level rise (SLR) of 0.01±0.004mmyr-1 and an area-averaged thinning rate of -1.5±0.6mw.e.(water equivalent) yr-1. Thinning is widespread, with concentrations near the front of two northern glaciers (Marinelli, Darwin) and one western (CDI-08) glacier. Thickening is apparent in the south, most notably over the advancing Garibaldi Glacier. The northeastern part of the CDI has an average thinning rate of -1.9±0.7mw.e. yr-1, while the southwestern part has an average thinning rate of -1.0±0.4mw.e. yr -1. Velocities are obtained over many of the CDI glaciers for the first time. We provide a repeat speed time series at the Marinelli Glacier. There we measure maximum front speeds of 7.5±0.2mday-1 in 2001, 9.5±0.6mday-1 in 2003 and 10±0.3mday-1 in 2011. The maintenance of high front speeds from 2001 to 2011 supports the hypothesis that Marinelli is in the retreat phase of the tidewater cycle, withdynamic thinning governed by the fjord bathymetry. © Author(s) 2013.</t>
  </si>
  <si>
    <t>2-s2.0-84883185780"</t>
  </si>
  <si>
    <t>10.1002/wrcr.20412</t>
  </si>
  <si>
    <t>https://www.scopus.com/inward/record.uri?eid=2-s2.0-84883293132&amp;doi=10.1002%2fwrcr.20412&amp;partnerID=40&amp;md5=2f2af8e6c5f377114c06e79108365828</t>
  </si>
  <si>
    <t>Hydrodynamic modeling of large remote forested floodplains, such as the Amazon, is hindered by the vegetation signal contained within Digital Elevation Models (DEMs) such as the Shuttle Radar Topography Mission (SRTM). Not removing the vegetation signal causes DEMs to be overelevated preventing the correct simulation of overbank inundation. Previous efforts to remove this vegetation signal have either not accounted for its spatial variability or relied upon single assumed error values. As a possible solution, a systematic approach to removing the vegetation signal which accounts for spatial variability using recently published estimates of global vegetation heights is proposed. The proposed approach is applied to a well-studied reach of the Amazon floodplain where previous hydrodynamic model applications were affected by the SRTM vegetation signal. Greatest improvements to hydrodynamic model accuracy were obtained by subtracting 50-60% of the vegetation height from the SRTM. The vegetation signal removal procedure improved the RMSE (Root-Mean-Square Error) accuracy of the hydrodynamic model than when using the original SRTM in three ways: (1) seasonal floodplain water elevation predictions against TOPEX/Poseidon observations improved from 6.61 to 1.84 m</t>
  </si>
  <si>
    <t>10.1007/s10584-013-0746-z</t>
  </si>
  <si>
    <t>https://www.scopus.com/inward/record.uri?eid=2-s2.0-84884140931&amp;doi=10.1007%2fs10584-013-0746-z&amp;partnerID=40&amp;md5=4db47a3259e99f71554a529c7c65c155</t>
  </si>
  <si>
    <t>Tribal communities in the United States, particularly in coastal areas, are being forced to relocate due to accelerated rates of sea level rise, land erosion, and/or permafrost thaw brought on by climate change. Forced relocation and inadequate governance mechanisms and budgets to address climate change and support adaptation strategies may cause loss of community and culture, health impacts, and economic decline, further exacerbating tribal impoverishment and injustice. Sovereign tribal communities around the US, however, are using creative strategies to counter these losses. Taking a human rights approach, this article looks at communities' advocacy efforts and strategies in dealing with climate change, displacement, and relocation. Case studies of Coastal Alaska and Louisiana are included to consider how communities are shaping their own relocation efforts in line with their cultural practices and values. The article concludes with recommendations on steps for moving forward toward community-led and government-supported resettlement programs. © 2013 Springer Science+Business Media Dordrecht.</t>
  </si>
  <si>
    <t>2-s2.0-84884140931"</t>
  </si>
  <si>
    <t>10.1002/jgrc.20305</t>
  </si>
  <si>
    <t>https://www.scopus.com/inward/record.uri?eid=2-s2.0-84887068641&amp;doi=10.1002%2fjgrc.20305&amp;partnerID=40&amp;md5=28b02930c316bc52d672847ffa10931f</t>
  </si>
  <si>
    <t>This paper investigates model response sensitivities to mesh resolution, topographical details, bottom friction formulations, the interaction of wind waves and circulation, and nonlinear advection on tidal and hurricane surge and wave processes at the basin, shelf, wetland, and coastal channel scales within the Gulf of Mexico. Tides in the Gulf of Mexico are modestly energetic processes, whereas hurricane surge and waves are highly energetic. The unstructured-mesh, coupled wind-wave and circulation modeling system, SWAN+ADCIRC, is implemented to generate modeled tidal harmonic constituents and hurricane waves and surge for a Hurricane Ike (2008) hindcast. In the open ocean, mesh resolution requirements are less stringent in achieving accurate tidal signals or matching hurricane surge and wave responses</t>
  </si>
  <si>
    <t>10.1007/978-94-007-6461-3_21</t>
  </si>
  <si>
    <t>https://www.scopus.com/inward/record.uri?eid=2-s2.0-84883382461&amp;doi=10.1007%2f978-94-007-6461-3_21&amp;partnerID=40&amp;md5=07c21ac4bd9ababf975f6bb8bd2f15b0</t>
  </si>
  <si>
    <t>The main objective of this paper is to highlight the dynamics of biotic community in terms of spatial and temporal relationship. The biotic community dynamics in St. Gheorghe Branch were discussed based on existing data and the results of our own research during 2003-2009. Surface water and sediment samples have been collected monthly from two control sections, Murighiol and Uzlina. The analyzed parameters were according to the Norm concerning the reference objectives for the surface water quality classification (Romanian Order MEWM no. 161/2006) and also, to the EU Water Framework Directive 2000/60/EC which established a framework for community action in the field of water policy. The variation of parameters during the investigated period along St. Gheorghe Branch was strongly influenced by the climatic conditions (drought, flood). Further studies need to be carried out in this area in order to accomplish a sustainable management and to evaluate the occurrence of persistent organic pollutants and toxic metals in tissues, and to assess the risk of these contaminants on the ecosystem and human health. © Springer Science+Business Media Dordrecht 2013.</t>
  </si>
  <si>
    <t>2-s2.0-84883382461"</t>
  </si>
  <si>
    <t>10.1007/s11852-013-0276-x</t>
  </si>
  <si>
    <t>https://www.scopus.com/inward/record.uri?eid=2-s2.0-84883866184&amp;doi=10.1007%2fs11852-013-0276-x&amp;partnerID=40&amp;md5=7398db6203427bbb1292779deaa26d96</t>
  </si>
  <si>
    <t>Cocos Bay is a barrier beach under threat of marine erosion from the high energy environment of the Atlantic Ocean. This barrier beach borders the Ramsar listed Nariva Swamp, and helps maintain its delicate wetland ecosystem, however, ongoing coastal erosion at this beach threatens the longevity of this freshwater wetland. Due to the geographical location of Cocos Bay being exposed to Atlantic generated storm events and the low relief of the study area, there is a potential threat of storm surges breaching the barrier beach. Owing to the geological setting of the region (located in an active seismic province with earthquakes, volcanicity and landslides), there also exists the threat of tsunamis. This paper is a GIS simulation of the area extent of inundation and the affected infrastructure from such events. It utilizes a DEM and land-use to quantifying inundation areas, and the extent of vulnerability of various elements. The low relief of the barrier beach renders the area extremely vulnerable from events that trigger sea level increases. Simulations revealed that as little as a 1 m storm surge has the potential to disrupt the Nariva Swamp and threaten coastal infrastructure while higher storm surges and tsunamis have the potential to decimate the entire area. The flood-risk model generated indicates a very high vulnerability to storm surges, along the entire length of the coastline. These results have implications for future development and sustainable management of this ecologically sensitive area. © 2013 Springer Science+Business Media Dordrecht.</t>
  </si>
  <si>
    <t>2-s2.0-84883866184"</t>
  </si>
  <si>
    <t>10.1016/j.coldregions.2013.08.004</t>
  </si>
  <si>
    <t>https://www.scopus.com/inward/record.uri?eid=2-s2.0-84883618836&amp;doi=10.1016%2fj.coldregions.2013.08.004&amp;partnerID=40&amp;md5=f7514e9d02fab59766e6acfc7df746fa</t>
  </si>
  <si>
    <t>Ice breakup is a controlling factor in the hydrology of arctic deltas, including the Mackenzie River Delta, which is characterized by numerous channels and lakes. Ice jams that may form during the spring breakup often result in flooding, thus replenishing delta lakes with essential water, sediment and nutrients. These processes are primarily driven by the flow of the lower Mackenzie River. The present study, carried out under the auspices of the International Polar Year, examines how the ice cover of the lower Mackenzie River can break up while still retaining a significant portion of its mechanical strength. This is the so-called mechanical breakup, a necessary condition for occurrence of ice jams farther downstream. In most rivers, mechanical breakup can simply result from the rising freshet flow, but this is doubtful for the Lower Mackenzie, owing to the low water surface slope and thick winter ice cover. Analysis of extensive measurements obtained during the 2008 breakup event indicates that mechanical breakup can primarily result from javes, the sharp waves generated upon ice-jam release, which are known to amplify hydrodynamic forces. Further confirmation is provided by archived hydrometric station data for the period 2000-2011. The present results on the conditions of breakup initiation are consistent with past findings while indicating a lower base temperature for the accumulation of ""thawing"" degree-days. This difference is shown to be linked to water-ice heat exchanges and radiative fluxes. Recommendations for future research include upstream extension of the study reach to include the range of influence of releasing ice jams, and physics-based modeling of the decreasing ice competence during the pre-breakup period. © 2013.</t>
  </si>
  <si>
    <t>2-s2.0-84883618836"</t>
  </si>
  <si>
    <t>Air, Soil and Water Research</t>
  </si>
  <si>
    <t>10.4137/ASWR.S13143</t>
  </si>
  <si>
    <t>https://www.scopus.com/inward/record.uri?eid=2-s2.0-84887201147&amp;doi=10.4137%2fASWR.S13143&amp;partnerID=40&amp;md5=ee42a36a31432698380243eabc1ed0fe</t>
  </si>
  <si>
    <t>A better understanding and prediction of the dynamic processes that govern the coastal zone is the topic of the current paper</t>
  </si>
  <si>
    <t>10.1007/s11069-013-0748-1</t>
  </si>
  <si>
    <t>https://www.scopus.com/inward/record.uri?eid=2-s2.0-84884910543&amp;doi=10.1007%2fs11069-013-0748-1&amp;partnerID=40&amp;md5=8d9eedf100c89597a14997d8a5bd2075</t>
  </si>
  <si>
    <t>Several coastal zones are facing shoreline retreat problems, losing territory due to energetic sea actions, negative sediment transport balances and climate change phenomena. To deal with this problem, efficient tools are necessary to help decision-makers choose the right procedures to follow. These tools should assess, estimate and project scenarios of coastal evolution in a medium-to-long-term perspective. To perform reliable projections, as many variables as possible should be analysed, and the impact of each of these variables on the shoreline evolution should be understood. This study aimed to analyse three climate change phenomena that are considered the most important in a Portuguese west coast stretch (at Aveiro region). The considered phenomena are the wave height increasing due to storms, the wave direction changes and the sea level rise. A shoreline evolution numerical model, long-term configuration, developed to support coastal zone planning and management in relation to erosion problems was applied. This work defined a methodology for classification of risk areas, considering the uncertainty associated with different wave climate sequences on simulations. As a result, different risk maps according to considered climate change effects were obtained, defining areas of high, medium and low risk of territory loss due to erosion. A generalized erosion tendency and shoreline retreat were observed, particularly in the downdrift side of groins. The sea water level rise showed lower impacts in the shoreline evolution than wave direction changes, or wave height increasing, which presents the highest impact. © 2013 Springer Science+Business Media Dordrecht.</t>
  </si>
  <si>
    <t>2-s2.0-84884910543"</t>
  </si>
  <si>
    <t>10.1080/17445647.2013.821096</t>
  </si>
  <si>
    <t>https://www.scopus.com/inward/record.uri?eid=2-s2.0-84887070157&amp;doi=10.1080%2f17445647.2013.821096&amp;partnerID=40&amp;md5=edf4f37f000607f110243404f9c1f646</t>
  </si>
  <si>
    <t>A new fluvial terrace map with a tectonic framework for the northwest Iberian lower Miño River is presented. It is the first integrated map to cover the entire lower, 67-km reach of the Miño River, and to cover both the Spanish and Portuguese side of the river. The map is presented at a scale of 1:200,000, although its features were mapped at a scale of 1:5000. Various map layers can be viewed, such as a digital elevation model (DEM), fluvial sediment thickness layers, a palaeoflow direction layer, a lineament and fault layer, and two terrace and tectonic basin layers, showing up to 10 fluvial terraces and a floodplain level. Interpretation of the map shows that next to regional tectonic uplift and glacioeustacy, local basin subsidence and small-scale block movement are very important for the fluvial network, localised fluvial terrace formation, and preservation. © 2013 Copyright Willem Viveen.</t>
  </si>
  <si>
    <t>2-s2.0-84887070157"</t>
  </si>
  <si>
    <t>https://www.scopus.com/inward/record.uri?eid=2-s2.0-84879588227&amp;partnerID=40&amp;md5=480129c171fe0373c37eae734f09ec86</t>
  </si>
  <si>
    <t>Storms, tsunamis, and rising sea levels threaten US coastal communities and their economies. Much of the nation's existing coastal infrastructure must be adapted to expected future conditions or relocated, and new coastal development and post-storm reconstruction should be planned, sited, and maintained with coastal geologic hazards clearly in mind. Low-lying areas along the Gulf and Atlantic coasts are routinely battered by hurricanes and other tropical systems. Barrier islands are particularly vulnerable. The combination of storm surge and large waves can wash over islands, undermining structures built on the shoreline or dunes and destroying roads and bridges connecting the islands to the mainland. The number of hurricane-related deaths has decreased over the past century due in large part to our improved ability to both predict landfall location and evacuate at-risk populations. Unfortunately, the cost of damages has dramatically increased, reflecting rapidly growing coastal populations, more construction in hazardous locations, and more expensive buildings.</t>
  </si>
  <si>
    <t>2-s2.0-84879588227"</t>
  </si>
  <si>
    <t>10.1111/1365-2664.12043</t>
  </si>
  <si>
    <t>https://www.scopus.com/inward/record.uri?eid=2-s2.0-84875658693&amp;doi=10.1111%2f1365-2664.12043&amp;partnerID=40&amp;md5=f2f08700aa1e446e056c327018508392</t>
  </si>
  <si>
    <t>Summary: Climate change-induced rises in sea level threaten to drastically reduce the areal extent of important salt marsh habitats for large numbers of waterfowl and waders. Furthermore, recent changes in management practice have rendered existent salt marshes unfavourable to many birds, as lack of grazing has induced an increase in high-sward communities on former good-quality marshes. Based on a high-resolution digital elevation model and two scenarios for projected rise in near-future sea levels, we employ an ArcMap allocation model to foresee the areal loss in salt marsh associated with these changes. In addition, we quantify the areal extent of inadequate salt marsh management in four EU Special Protection Areas for Birds, and demonstrate concurrent population dynamics in four species relying on managed habitats. We conclude by investigating potential compensation for climate change-induced salt marsh losses by means of more efficient management. Our models indicate that by the end of this century 15·3-43·6% of existent salt marshes will be flooded due to rising sea levels, and that inadequate managed salt marsh presently makes up around 51·1% of total marshes. Thus, re-establishing extensive areas of well-managed marshes might counterbalance the loss expected from rising sea levels during the next century. In addition to positive effects on plant diversity, this will benefit energetically challenged herbivorous waterfowl such as light-bellied brent geese Branta bernicla hrota L. and increase potential recovery of wader populations with unfavourable conservation status such as black-tailed godwit Limosa limosa L., dunlin Calidris alpina L. and ruff Philomachus pugnax L. Synthesis and applications. Implementing environmentally friendly management schemes based on extensive grazing (around 1 cow per hectare) is an important initiative to counteract the accelerating climate change-induced habitat loss in near-coastal areas across the globe, and to secure priority salt marsh habitats that support internationally important populations of breeding, wintering and staging waterfowl. However, this may only be a temporary solution that will have to be supplemented by increased reintegration with the sea and managed retreat of seawalls or near-coastal agricultural areas to effectively safeguard the future salt marsh biome. Implementing environmentally friendly management schemes based on extensive grazing (around 1 cow per hectare) is an important initiative to counteract the accelerating climate change-induced habitat loss in near-coastal areas across the globe, and to secure priority salt marsh habitats that support internationally important populations of breeding, wintering and staging waterfowl. However, this may only be a temporary solution that will have to be supplemented by increased reintegration with the sea and managed retreat of seawalls or near-coastal agricultural areas to effectively safeguard the future salt marsh biome. © 2013 British Ecological Society.</t>
  </si>
  <si>
    <t>2-s2.0-84875658693"</t>
  </si>
  <si>
    <t>10.1007/s11625-013-0215-7</t>
  </si>
  <si>
    <t>https://www.scopus.com/inward/record.uri?eid=2-s2.0-84879784438&amp;doi=10.1007%2fs11625-013-0215-7&amp;partnerID=40&amp;md5=3a9f017a898d17698476f2443b43ef5b</t>
  </si>
  <si>
    <t>Atoll countries are particularly vulnerable to coastal hazards in the context of global change, which justifies the interest in population exposure assessments. This paper contributes to addressing this need by assessing the current exposure of the population of two areas of the South Tarawa Urban District (Tarawa Atoll, Republic of Kiribati) to coastal erosion and flooding. The assessment is based on data relating to island morphology (digital terrain models and shoreline change), land use (building extension and coastal works) and environmental changes reconstructed for the 1969-2008 period. The results highlight rapid changes in land use and significant differences in current population exposure to coastal erosion and flooding between and within study sites. Between 1969 and 2007-2008, the built area located less than 20 m from the reference shoreline has increased by a factor of 4.2 at Bairiki and by a factor of 32.2 at Eita-Bangantebure, enhancing population exposure given that land elevation is low (12.6 and 77.4 % &lt;2 m at Bairiki and Eita-Bangantebure, respectively). Nevertheless, in Bairiki, 87.5 % of the built area is currently not exposed to coastal erosion (&gt;20 m from the coastline) and flooding (&gt;1.5 m). Building exposure is higher at Eita-Bangantebure, where 71.3 % of the built area is currently not exposed (using the same criteria), but 17.1 % shows medium to very high levels of exposure, due to very low land elevation (22.3 % of the land area &lt;1.5 m) and shoreline recession. The Eita-Bangantebure case study exemplifies the maladaptive trajectories of change that have been reported in other atoll countries. © 2013 Springer Japan.</t>
  </si>
  <si>
    <t>2-s2.0-84879784438"</t>
  </si>
  <si>
    <t>10.1002/wrcr.20212</t>
  </si>
  <si>
    <t>https://www.scopus.com/inward/record.uri?eid=2-s2.0-84879893315&amp;doi=10.1002%2fwrcr.20212&amp;partnerID=40&amp;md5=a2f0c73eddf553d96a4a8fddfd7460ee</t>
  </si>
  <si>
    <t>Key Points first attempt to map river flow dynamics in the Amazon basin new empirical equation for time of peak of flood waves designed for large rivers the map has a percentage of detection of 83.4% Research on actual requirements for a numerically consistent representation of flow dynamics in large-scale river-flood models are needed to improve both modeling performance and computational efficiency. Still, regional- and global-scale characterizations of river hydrodynamics are absent. A first attempt to map river hydrodynamics in the Amazon Basin is presented. Flood wave type maps at 0.25° spatial resolution are derived from a classification method based on the analysis of Saint-Venant equation terms. Global river geometry data sets derived from both digital elevation models and empirical equations supported by stream gauge observations are used as input variables. Errors of input variables are estimated, and a sensitivity analysis is performed. Results show that 64.5% of rivers (headwaters and high-slope rivers) can be represented by the kinematic wave (KI), 34.5% (main Amazon tributaries, low slope, and wetland regions) by the diffusive wave (DF), and 1% (lower Amazon) by the full Saint-Venant equations (SV). In a rigorous scenario, i.e., a case where the most restricted classification of each grid cell is considered, ∼33% is classified as KI, ∼62% as DF, and ∼5% as SV. Most of the basin presents subcritical flow with very low Froude number (Fr), while the Andean region is dominated by larger Fr values and supercritical flow can be found. According to our evaluation mostly based on in situ data, the map has a percentage of detection of 83.4%. ©2013. American Geophysical Union. All Rights Reserved.</t>
  </si>
  <si>
    <t>2-s2.0-84879893315"</t>
  </si>
  <si>
    <t>10.1002/joc.3579</t>
  </si>
  <si>
    <t>https://www.scopus.com/inward/record.uri?eid=2-s2.0-84879604480&amp;doi=10.1002%2fjoc.3579&amp;partnerID=40&amp;md5=2109249a13b3ac9cf3c7333d19568759</t>
  </si>
  <si>
    <t>Climatic change-related impacts on coastal areas became an important issue in past decades and nowadays threaten many human settlements and activities. Coastal hazards are linked to flooding and erosion processes associated with sea level rise and the increased strength of hurricanes, cyclones and storms. The main aim of this work is the characterization of coastal storms in Cadiz (SW Spain) and the determination of their recurrence intervals and relationships with several regional cycles. Storm characterization was carried out using the Storm Power Index (Dolan and Davis, 1992) and five classes were obtained, from class I (weak events) to V (extreme events). Storm occurrence probability was 96% for class I (i.e. almost one event per year) to 3% for class V. The return period for class V was 25 years and ranged from 6 to 8 years for classes III and IV storms, e.g. significant and severe events. Classes I and II showed a period of recurrence ranging from 1 to 3 years. Stormy winter seasons were 2009/10 (12 events), 1995/6 and 2002/3 (with 10 events each) and 1993/4 (8 events). Approximately 40% of the change in monthly wave data and storminess indices was related to several teleconnection patterns, the most important drivers of change being the Arctic Oscillation (AO), 21.45%, and the North Atlantic Oscillation (NAO), 19.65%. It is interesting to note that a great number of storms, larger storm duration and higher values of Storm Power Index were only observed when neutral to strong negative NAO and AO phases occurred at the same time (89 storms and 3355 h) and/or when there was an abrupt change of NAO and AO phases, i.e. they moved from a positive to negative phase without passing through a neutral phase. The results obtained in this work have wider applications for ocean and coastal management. It is suggested that methodology used can be easily applied in different areas where wave buoy data are available. In the same way, information obtained with this kind of work constitutes the first step in the development of coastal protection plans to preserve socio-economic activities from the impact of severe storm events. © 2012 Royal Meteorological Society.</t>
  </si>
  <si>
    <t>2-s2.0-84879604480"</t>
  </si>
  <si>
    <t>10.1007/s11069-012-0279-1</t>
  </si>
  <si>
    <t>https://www.scopus.com/inward/record.uri?eid=2-s2.0-84876910784&amp;doi=10.1007%2fs11069-012-0279-1&amp;partnerID=40&amp;md5=ee141ec08458f3f55d76b848c6fb06cb</t>
  </si>
  <si>
    <t>Storm surges in the North Sea are one of the threats for coastal infrastructure and human safety. Under an anthropogenic climate change, the threat of extreme storm surges may be enlarged due to changes in the wind climate. Possible future storm surge climates based on transient simulations (1961-2100) are investigated with a hydrodynamical model for the North Sea. The climate change scenarios are based on regionalized meteorological conditions with the regional climate model CCLM which is forced by AR4 climate simulations with the general circulation model ECHAM5/MPIOM under two IPCC emission scenarios (SRES A1B and B1) and two initial conditions. Possible sea level rise in the North Sea is not taken into account. The analysis of future wind-induced changes of the water levels is focused on extreme values. Special emphasis is given to the southeastern North Sea (German Bight). Comparing the 30-year averages of the annual 99 percentiles of the wind-induced water levels between the four climate realizations and the respective control climates, a small tendency toward an increase is inferred for all climate change realizations toward the end of the twenty-first century. Concerning the German Bight, the climate change signals are higher for the North Frisian coastal areas than for the East Frisian ones. This is consistent with an increase in frequency of strong westerly winds. Considering the whole time series (1961-2100) for selected areas, this tendency is superimposed with strong decadal fluctuations. It is found that uncertainties are related not only to the used models and emission scenarios but also to the initial conditions pointing to the internal natural variability. © 2012 Springer Science+Business Media B.V.</t>
  </si>
  <si>
    <t>2-s2.0-84876910784"</t>
  </si>
  <si>
    <t>10.1007/s11625-013-0213-9</t>
  </si>
  <si>
    <t>https://www.scopus.com/inward/record.uri?eid=2-s2.0-84879788113&amp;doi=10.1007%2fs11625-013-0213-9&amp;partnerID=40&amp;md5=985748b26f5ffe9c9f22601e1136b5ce</t>
  </si>
  <si>
    <t>Small island communities are inherently coastal communities, sharing many of the attributes and challenges faced by cities, towns and villages situated on the shores of larger islands and continents. In the context of rapidly changing climates, all coastal communities are challenged by their exposure to changing sea levels, to increasingly frequent and severe storms, and to the cumulative effects of higher storm surges. Across the globe, small island developing states, and small islands in larger states, are part of a distinctive set of stakeholders threatened, not only by climate change but also by shifting social, economic, and cultural conditions. C-Change is a collaborative International Community-University Research Alliance (ICURA) project whose goal is to assist participating coastal communities in Canada and the Caribbean region to share experiences and tools that aid adaptation to changes in their physical environment, including sea-level rise and the increasing frequency of extreme weather events associated with climate change. C-Change researchers have been working with eight partner communities to identify threats, vulnerabilities, and risks, to improve understanding of the ramifications of climate change to local conditions and local assets, and to increase capacity for planning for adaptation to their changing world. This paper reports on the knowledge gained and shared and the challenges to date in this ongoing collaboration between science and society. © 2013 Springer Japan.</t>
  </si>
  <si>
    <t>2-s2.0-84879788113"</t>
  </si>
  <si>
    <t>10.1016/j.geomorph.2013.05.006</t>
  </si>
  <si>
    <t>https://www.scopus.com/inward/record.uri?eid=2-s2.0-84881252470&amp;doi=10.1016%2fj.geomorph.2013.05.006&amp;partnerID=40&amp;md5=ee8b8b14cf34ab7160f693f6e33f2f3e</t>
  </si>
  <si>
    <t>Flooding is a persistent natural hazard, and even modest changes in future climate are believed to lead to large increases in flood magnitude. Previous studies of extreme floods have reported a range of geomorphic responses from negligible change to catastrophic channel change. This paper provides an assessment of the geomorphic effects of a rare, high magnitude event that occurred in the Lockyer valley, southeast Queensland in January 2011. The average return interval of the resulting flood was ~2000years in the upper catchment and decreased to ~30years downstream. A multitemporal LiDAR-derived DEM of Difference (DoD) is used to quantify morphological change in two study reaches with contrasting valley settings (confined and unconfined). Differences in geomorphic response between reaches are examined in the context of changes in flood power, channel competence and degree of valley confinement using a combination of one-dimensional (1-D) and two-dimensional (2-D) hydraulic modelling. Flood power peaked at 9800Wm-2 along the confined reach and was 2-3 times lower along the unconfined reach. Results from the DoD confirm that the confined reach was net erosional, exporting ~287,000m3 of sediment whilst the unconfined reach was net depositional gaining ~209,000m3 of sediment, 70% of the amount exported from the upstream, confined reach. The major sources of eroded sediment in the confined reach were within channel benches and macrochannel banks resulting in a significant increase of channel width. In the unconfined reach, the benches and floodplains were the major loci for deposition, whilst the inner channel exhibited minor width increases. The presence of high stream power values, and resultant high erosion rates, within the confined reach is a function of the higher energy gradient of the steeper channel that is associated with knickpoint development. Dramatic differences in geomorphic responses were observed between the two adjacent reaches of contrasting valley configuration. The confined reach experienced large-scale erosion and reorganisation of the channel morphology that resulted in significantly different areal representations of the five geomorphic features classified in this study. © 2013 Elsevier B.V.</t>
  </si>
  <si>
    <t>2-s2.0-84881252470"</t>
  </si>
  <si>
    <t>10.5194/nhess-13-1135-2013</t>
  </si>
  <si>
    <t>https://www.scopus.com/inward/record.uri?eid=2-s2.0-84879194682&amp;doi=10.5194%2fnhess-13-1135-2013&amp;partnerID=40&amp;md5=25625fa8d06b437a88265f9830bfa95a</t>
  </si>
  <si>
    <t>Climate change impact on storm surge regime is of great importance for the safety and maintenance of Venice. In this study a future storm surge scenario is evaluated using new high resolution sea level pressure and wind data recently produced by EC-Earth, an Earth System Model based on the operational seasonal forecast system of the European Centre for Medium-Range Weather Forecasts (ECMWF). The study considers an ensemble of six 5 yr long simulations of the rcp45 scenario at 0.25 resolution and compares the 2094-2098 to the 2004-2008 period. EC-Earth sea level pressure and surface wind fields are used as input for a shallow water hydrodynamic model (HYPSE) which computes sea level and barotropic currents in the Adriatic Sea. Results show that a high resolution climate model is needed for producing realistic values of storm surge statistics and confirm previous studies in that they show little sensitivity of storm surge levels to climate change. However, some climate change signals are detected, such as increased persistence of high pressure conditions, an increased frequency of windless hour, and a decreased number of moderate windstorms. © 2013 Author(s).</t>
  </si>
  <si>
    <t>2-s2.0-84879194682"</t>
  </si>
  <si>
    <t>Environment and Planning A</t>
  </si>
  <si>
    <t>10.1068/a45386</t>
  </si>
  <si>
    <t>https://www.scopus.com/inward/record.uri?eid=2-s2.0-84879511329&amp;doi=10.1068%2fa45386&amp;partnerID=40&amp;md5=87be75ed2608ded0c043a545f4a7acb2</t>
  </si>
  <si>
    <t>The importance of the interactions between global environmental and socioeconomic changes in shaping vulnerability and exposure to hazards is now increasingly recognised. However, relatively little attention has been focused on the ways in which these interactions help to shape planning and policy in response to both processes. This paper examines how the intersections between the twin crises of economic recession and climate change are influencing hazards mitigation policy and climate change adaptation planning in three of Ireland's coastal cities. The cities of Dublin, Cork, and Galway are important case studies for this analysis due to the magnitude of socioeconomic and environmental changes they have witnessed in recent years. The paper begins by using the doubleexposure framework to analyse how the interactions between global environmental and socioeconomic change have produced the contextual environment within which decision making and policy formation take place. This is followed by the presentation and analysis of the results of semistructured interviews with local decision makers and stakeholders. These illustrate that the interactions between environmental change and economic crisis have created the material and ideological conditions in which a neoliberal growth centred discourse of economic development dominates all areas of decision making andpolicy. This has important implications for environmental policy and planning in cities, promoting a vision of a modern competitive city in which technological solutions are the preferred means of addressing flood risks. These decisions in turn reshape the exposures and vulnerabilities of local communities. © Pion and its Licensors.</t>
  </si>
  <si>
    <t>2-s2.0-84879511329"</t>
  </si>
  <si>
    <t>10.5194/nhess-13-999-2013</t>
  </si>
  <si>
    <t>https://www.scopus.com/inward/record.uri?eid=2-s2.0-84879219706&amp;doi=10.5194%2fnhess-13-999-2013&amp;partnerID=40&amp;md5=db17319d2bc2bb37cb29542783cd3613</t>
  </si>
  <si>
    <t>Recent flooding events, like Katrina (USA, 2005) or Xynthia (France, 2010), illustrate the complexity of coastal systems and the limits of traditional flood risk analysis. Among other questions, these events raised issues such as: how to choose flooding scenarios for risk management purposes?, how to make a society more aware and prepared for such events? and which level of risk is acceptable to a population?. The present paper aims at developing an inverse approach that could seek to address these three issues. The main idea of the proposed method is the inversion of the usual risk assessment steps: starting from the maximum acceptable hazard level (defined by stakeholders as the one leading to the maximum tolerable consequences) to finally obtain the return period of this threshold. Such an inverse approach would allow for the identification of all the offshore forcing conditions (and their occurrence probability) inducing a threat for critical assets of the territory, such information being of great importance for coastal risk management. This paper presents the first stage in developing such a procedure. It focuses on estimation (through inversion of the flooding model) of the offshore conditions leading to the acceptable hazard level, estimation of the return period of the associated combinations, and thus of the maximum acceptable hazard level. A first application for a simplified case study (based on real data), located on the French Mediterranean coast, is presented, assuming a maximum acceptable hazard level. Even if only one part of the full inverse method has been developed, we demonstrate how the inverse method can be useful in (1) estimating the probability of exceeding the maximum inundation height for identified critical assets, (2) providing critical offshore conditions for flooding in early warning systems, and (3) raising awareness of stakeholders and eventually enhance preparedness for future flooding events by allowing them to assess risk to their territory. The next challenge is to develop a framework to properly identify the acceptable hazard level, as an input to the present inverse approach. © 2013 Author(s).</t>
  </si>
  <si>
    <t>2-s2.0-84879219706"</t>
  </si>
  <si>
    <t>10.1002/jgrc.20207</t>
  </si>
  <si>
    <t>https://www.scopus.com/inward/record.uri?eid=2-s2.0-84880714751&amp;doi=10.1002%2fjgrc.20207&amp;partnerID=40&amp;md5=ab418d60ef604c7b3774b4fc372b1858</t>
  </si>
  <si>
    <t>Hurricane Bob moved up the U.S. east coast and crossed over southern New England and the Gulf of Maine [with peak marine winds up to 54 m/s (100 mph)] on 19-20 August 1991, causing significant damage along the coast and shelf. A 3-D fully wave-current-coupled finite-volume community ocean model system was developed and applied to simulate and examine the coastal ocean responses to Hurricane Bob. Results from process study-oriented experiments showed that the impact of wave-current interaction on surge elevation varied in space and time, more significant over the shelf than inside the inner bays. While sea level change along the coast was mainly driven by the water flux controlled by barotropic dynamics and the vertically integrated highest water transports were essentially the same for cases with and without water stratification, the hurricane-induced wave-current interaction could generate strong vertical current shear in the stratified areas, leading to a strong offshore transport near the bottom and vertical turbulent mixing over the continental shelf. Stratification could also result in a significant difference of water currents around islands where the water is not vertically well mixed. ©2013. American Geophysical Union. All Rights Reserved.</t>
  </si>
  <si>
    <t>2-s2.0-84880714751"</t>
  </si>
  <si>
    <t>10.1016/j.jappgeo.2013.03.001</t>
  </si>
  <si>
    <t>https://www.scopus.com/inward/record.uri?eid=2-s2.0-84875799714&amp;doi=10.1016%2fj.jappgeo.2013.03.001&amp;partnerID=40&amp;md5=3515e590d36b9ea3cb65ebe2ad988185</t>
  </si>
  <si>
    <t>Earthen flood defence embankments are linear structures, raised above the flood plain, that are commonly used as flood defences in rural settings</t>
  </si>
  <si>
    <t>10.1007/s11069-013-0612-3</t>
  </si>
  <si>
    <t>https://www.scopus.com/inward/record.uri?eid=2-s2.0-84876896568&amp;doi=10.1007%2fs11069-013-0612-3&amp;partnerID=40&amp;md5=e370ab7fb7813a5b1dcc50f8c22f2d91</t>
  </si>
  <si>
    <t>Low-lying, densely populated coastal areas worldwide are under threat, requiring coastal managers to develop new strategies to cope with land subsidence, sea-level rise and the increasing risk of storm-surge-induced floods. Traditional engineering approaches optimizing for safety are often suboptimal with respect to other functions and are neither resilient nor sustainable. Densely populated deltas in particular need more resilient solutions that are robust, sustainable, adaptable, multifunctional and yet economically feasible. Innovative concepts such as 'Building with Nature' provide a basis for coastal protection strategies that are able to follow gradual changes in climate and other environmental conditions, while maintaining flood safety, ecological values and socio-economic functions. This paper presents a conceptual framework for Building with Nature that is used to evaluate coastal protection strategies, based on a case study of the Holland coast in the Netherlands. The added value and the limitations of these strategies are discussed. © 2013 Springer Science+Business Media Dordrecht.</t>
  </si>
  <si>
    <t>2-s2.0-84876896568"</t>
  </si>
  <si>
    <t>10.1007/s00024-012-0537-x</t>
  </si>
  <si>
    <t>https://www.scopus.com/inward/record.uri?eid=2-s2.0-84882955818&amp;doi=10.1007%2fs00024-012-0537-x&amp;partnerID=40&amp;md5=073f31c64de152c95cf469f042dd8ab7</t>
  </si>
  <si>
    <t>The M w = 9.0 earthquake that occurred off the coast of Japan's Tohoku region produced a great tsunami causing catastrophic damage and loss of life. Within hours of the tsunami event, satellite data were readily available and massive media coverage immediately circulated thousands of photographs and videos of the tsunami. Satellite data allow a rapid assessment of inundated areas where access can be difficult either as a result of damaged infrastructure (e.g., roads, bridges, ports, airports) or because of safety issues (e.g., the hazard at Nuclear Power Plant at Fukushima). In this study, we assessed in a day tsunami inundation distances and runup heights using satellite data (very high-resolution satellite images from the GeoEye1 satellite and from the DigitalGlobe worldview, SRTM and ASTER GDEM) of the Tohoku region, Northeast Japan. Field survey data by Japanese and other international scientists validated our results. This study focused on three different locations. Site selection was based on coastal morphologies and the distance to the tsunami source (epicenter). Study sites are Rikuzentakata, Oyagawahama, and Yagawahama in the Oshika Peninsula, and the Sendai coastal plain (Sendai City to Yamamoto City). Maximum inundation distance (6 km along the river) and maximum runup (39 m) at Rikuzentakata estimated from satellite data agree closely with the 39.7 m inundation reported in the field. Here the ria coastal morphology and horn shaped bay enhanced the tsunami runup and effects. The Sendai coastal plain shows large inundation distances (6 km) and lower runup heights. Natori City and Wakabayashi Ward, on the Sendai plain, have similar runup values (12 and 16 m, respectively) obtained from SRTM data</t>
  </si>
  <si>
    <t>10.1007/s13157-013-0410-4</t>
  </si>
  <si>
    <t>https://www.scopus.com/inward/record.uri?eid=2-s2.0-84877765463&amp;doi=10.1007%2fs13157-013-0410-4&amp;partnerID=40&amp;md5=fdff033e5f01c8a71c4a6efb41fc11e7</t>
  </si>
  <si>
    <t>With sea level rise, coastal ecosystems farther inland are expected to experience extended duration of inundation and elevated salinity. However, the effects of elevated salinity on initial recruitment of native and invasive woody species in coastal ecosystems are poorly understood. We assessed effects of elevated salinity across a range of soil types on germination of the invasive Triadica sebifera and two natives, Baccharis halimifolia and Morella cerifera, using growth chamber and greenhouse experiments. In both studies, germination was compared across four salinity levels (0, 10, 20, and 30 g/l). In the greenhouse, percent germination of these species was also compared across soils spanning the five dominant vegetation zones that define a typical coastal transition ecosystem in coastal Mississippi, USA. Final percent germination of all species decreased with increased salinities in both experiments. In the greenhouse, germination of all species was reduced in soils from the most seaward vegetation zones. Overall, there were species-specific germination responses to salinity treatments and soil types. Of the three species, B. halimifolia was least sensitive to increasing salinity. Germination of the invasive Triadica sebifera did not differ across salinity levels in inland soils, displaying plasticity of germination traits. This plasticity may increase the likelihood of successful germination under some degree of salinity stress, and thereby contribute to the inland spread of T. sebifera along coastal transition ecosystems. © 2013 Society of Wetland Scientists.</t>
  </si>
  <si>
    <t>2-s2.0-84877765463"</t>
  </si>
  <si>
    <t>10.1007/s00024-012-0568-3</t>
  </si>
  <si>
    <t>https://www.scopus.com/inward/record.uri?eid=2-s2.0-84883026345&amp;doi=10.1007%2fs00024-012-0568-3&amp;partnerID=40&amp;md5=ef4aa193265869d851ca56afc21527fa</t>
  </si>
  <si>
    <t>On March 11, 2011 at 5:46:23 UTC (March 10 11:46:23 PM Galapagos Local Time), the Mw 9.0 Great East Japan Earthquake occurred near the Tohoku region off the east coast of Japan, spawning a Pacific-wide tsunami. Approximately 12,000 km away, the Galapagos Islands experienced moderate tsunami impacts, including flooding, structural damage, and strong currents. In this paper, we present observations and measurements of the tsunami effects in the Galapagos, focusing on the four largest islands in the archipelago</t>
  </si>
  <si>
    <t>10.1016/j.jhydrol.2013.03.050</t>
  </si>
  <si>
    <t>https://www.scopus.com/inward/record.uri?eid=2-s2.0-84879460710&amp;doi=10.1016%2fj.jhydrol.2013.03.050&amp;partnerID=40&amp;md5=f2b21bd23a252ebbac6f0405afc4b47e</t>
  </si>
  <si>
    <t>Satellite-based Synthetic Aperture Radar (SAR) has proved useful for obtaining information on flood extent, which, when intersected with a Digital Elevation Model (DEM) of the floodplain, provides water level observations that can be assimilated into a hydrodynamic model to decrease forecast uncertainty. With an increasing number of operational satellites with SAR capability, information on the relationship between satellite first visit and revisit time and forecast performance is required to optimise the operational scheduling of satellite imagery. By using an Ensemble Transform Kalman Filter (ETKF) and a synthetic analysis with the 2D hydrodynamic model LISFLOOD-FP based on a real flooding case affecting an urban area (summer 2007, Tewkesbury, Southwest UK), we evaluate the sensitivity of the forecast performance to visit parameters. We emulate a generic hydrologic-hydrodynamic modelling cascade by imposing a bias and spatiotemporal correlations to the inflow error ensemble into the hydrodynamic domain. First, in agreement with previous research, estimation and correction for this bias leads to a clear improvement in keeping the forecast on track. Second, imagery obtained early in the flood is shown to have a large influence on forecast statistics. Revisit interval is most influential for early observations. The results are promising for the future of remote sensing-based water level observations for real-time flood forecasting in complex scenarios. © 2013 The Authors.</t>
  </si>
  <si>
    <t>2-s2.0-84879460710"</t>
  </si>
  <si>
    <t>10.1007/s10236-013-0624-2</t>
  </si>
  <si>
    <t>https://www.scopus.com/inward/record.uri?eid=2-s2.0-84879841263&amp;doi=10.1007%2fs10236-013-0624-2&amp;partnerID=40&amp;md5=39041a45cccd975bf9ccb0e4edc15b6a</t>
  </si>
  <si>
    <t>In real-time operational coastal forecasting systems for the northwest European shelf, the representation accuracy of tide-surge models commonly suffers from insufficiently accurate tidal representation, especially in shallow near-shore areas with complex bathymetry and geometry. Therefore, in conventional operational systems, the surge component from numerical model simulations is used, while the harmonically predicted tide, accurately known from harmonic analysis of tide gauge measurements, is added to forecast the full water-level signal at tide gauge locations. Although there are errors associated with this so-called astronomical correction (e.g. because of the assumption of linearity of tide and surge), for current operational models, astronomical correction has nevertheless been shown to increase the representation accuracy of the full water-level signal. The simulated modulation of the surge through non-linear tide-surge interaction is affected by the poor representation of the tide signal in the tide-surge model, which astronomical correction does not improve. Furthermore, astronomical correction can only be applied to locations where the astronomic tide is known through a harmonic analysis of in situ measurements at tide gauge stations. This provides a strong motivation to improve both tide and surge representation of numerical models used in forecasting. In the present paper, we propose a new generation tide-surge model for the northwest European Shelf (DCSMv6). This is the first application on this scale in which the tidal representation is such that astronomical correction no longer improves the accuracy of the total water-level representation and where, consequently, the straightforward direct model forecasting of total water levels is better. The methodology applied to improve both tide and surge representation of the model is discussed, with emphasis on the use of satellite altimeter data and data assimilation techniques for reducing parameter uncertainty. Historic DCSMv6 model simulations are compared against shelf wide observations for a full calendar year. For a selection of stations, these results are compared to those with astronomical correction, which confirms that the tide representation in coastal regions has sufficient accuracy, and that forecasting total water levels directly yields superior results. © 2013 Springer-Verlag Berlin Heidelberg.</t>
  </si>
  <si>
    <t>2-s2.0-84879841263"</t>
  </si>
  <si>
    <t>10.1007/s10236-013-0618-0</t>
  </si>
  <si>
    <t>https://www.scopus.com/inward/record.uri?eid=2-s2.0-84878898249&amp;doi=10.1007%2fs10236-013-0618-0&amp;partnerID=40&amp;md5=1296ce6ee0df6d6ab96f04c177bf79f6</t>
  </si>
  <si>
    <t>The research presented in this paper involves the application of the joint probability method to the estimation of extreme water levels resulting from astronomical tides and surge residuals and the investigation of the effects of tide-surge interactions on extreme water levels. The distribution of tide peaks was analysed from field records (&lt;20 years) and a 46-year dataset of monthly maximum tidal amplitudes. Large surges were extracted from both field records and a numerical model hindcast covering the 48 largest storm events in the Irish Sea over the period 1959-2005. Extreme storm surges and tides were independently modelled using the generalised extreme value statistical model, and derived probability distributions were used to compute extreme water levels. An important, and novel, aspect of this research is an analysis of tide-surge interactions and their effects on total water level</t>
  </si>
  <si>
    <t>10.1016/j.envsci.2012.10.010</t>
  </si>
  <si>
    <t>https://www.scopus.com/inward/record.uri?eid=2-s2.0-84877605160&amp;doi=10.1016%2fj.envsci.2012.10.010&amp;partnerID=40&amp;md5=2fd7e6e351294a1f61aaeab1cba984e2</t>
  </si>
  <si>
    <t>Water management and particularly flood defence have a long history of collective action in low-lying countries like the Netherlands. The uncertain but potentially severe impacts of the recent climate change issue (e.g. sea level rise, extreme river discharges, salinisation) amplify the wicked and controversial character of flood safety policy issues. Policy proposals in this area generally involve drastic infrastructural works and long-term investments. They face the difficult challenge of framing problems and solutions in a publicly acceptable manner in ever changing circumstances. In this paper, we analyse and compare (1) how three key policy proposals publicly frame the flood safety issue, (2) the knowledge referred to in the framing and (3) how these frames are rhetorically connected or disconnected as statements in a long-term conversation. We find that (1) framings of policy proposals differ in the way they depict the importance of climate change, the relevant timeframe and the appropriate governance mode</t>
  </si>
  <si>
    <t>10.3301/IJG.2012.06</t>
  </si>
  <si>
    <t>https://www.scopus.com/inward/record.uri?eid=2-s2.0-84876084241&amp;doi=10.3301%2fIJG.2012.06&amp;partnerID=40&amp;md5=87464eccef803f40164dffe75dbb3714</t>
  </si>
  <si>
    <t>The Upper Valdarno Basin stands out from the Neogene-Quaternary basins of the Northern Apennines given its outstanding fossil mammal record, good quality of natural and artificial outcrops and remarkable chronological control on the basin-fill succession. The present paper aims to summarize the stratigraphic and sedimentological studies focused on the Upper Valdarno Basin during the past decades, and integrate them with recent investigations. The Upper Valdarno Basin is located about 35 km SE of Florence between the Chianti Mountains and the Pratomagno Ridge. It consists of a main asymmetric tectonic depression filled with 550 m of Plio-Pleistocene fluvio-lacustrine deposits (Upper Valdarno Basin s.s.) and a minor basin known as the Palazzolo sub-basin. The Upper Valdarno Basin fill is made of three unconformity-bounded units, named Castel - nuovo dei Sabbioni (CSB), Montevarchi (VRC), Torrente Ciuffenna (UFF) synthems, whereas the Palazzolo sub-basin fill consists of the Fosso Salceto (OLC) and Torrente Ciuffenna (UFF) synthems. The Upper Valdarno Basin formed during Late Pliocene because of the tectonic damming of a northeastward flowing drainage. The early phase of basin development is recorded by the accumulation of fluvial gravels in vallive settings, whereas the definitive of these streams damming caused the development of lacustrine conditions at about 3.1 Ma. The accumulation of deltaic sand fed from the SW margin caused the lake filling and stopped the deposition of the CSB Synthem. Before 2.58 Ma, a tectonic phase caused uplift of the basin and partial erosion of the CSB deposits. Deposition of the lower part of the VRC Synthem occurred during a marked basin broadening and accumulation of alluvial fan successions, which were capped by aeolian-reworked alluvial sand deposited at about 2.5 Ma. At about 2.3 Ma, a new deformative phase caused further basin widening, erosion along the SW margin and development of a small lake in the central areas. Deposition of the upper part of the Montevarchi Synthem started just after this tectonic phase and was characterized by development of axial fluvial drainage and marginal alluvial fans. During the Early Pleistocene (Olduvai Subchron, 1.95-1.78 Ma) a subsidence pulse promoted development of floodplain lakes and swamps in the axial part of the basin, where thick organic-rich mud were accumulated. During late Early Pleistocene the capture of the paleo-Arno River, which started to flow into the basin, caused the development of a marked unconformity. This unconformity was covered by fluvial and alluvial fan deposit in the axial part and along the margin respectively. © Società Geologica Italiana, Roma 2013.</t>
  </si>
  <si>
    <t>2-s2.0-84876084241"</t>
  </si>
  <si>
    <t>10.1016/j.geomorph.2013.03.003</t>
  </si>
  <si>
    <t>https://www.scopus.com/inward/record.uri?eid=2-s2.0-84877007225&amp;doi=10.1016%2fj.geomorph.2013.03.003&amp;partnerID=40&amp;md5=b5a2c85f414a917afceb8f15243d1372</t>
  </si>
  <si>
    <t>To better understand how the hydrology of bar-built estuaries affects breaching and closing patterns, a model is developed that incorporates an estuary hydrologic budget with a geomorphic model of the inlet system. Erosion of the inlet is caused by inlet flow, whereas the only morphologic effect of waves is the deposition of sand into the inlet. When calibrated, the model is able to reproduce the initial seasonal breaching, seasonal closure, intermittent closures and breaches, and the low-streamflow (closed state) estuary hydrology of the Carmel Lagoon, located in Central California. Model performance was tested against three separate years of water-level observations. When open during these years, the inlet was visually observed to drain directly across the beach berm, in accordance with model assumptions. The calibrated model predicts the observed 48-h estuary stage amplitude with root mean square errors of 0.45m, 0.39m and 0.42m for the three separate years. For the calibrated model, the probability that the estuary inlet is closed decreases exponentially with increasing inflow (streamflow plus wave overtopping), decreasing 10-fold in probability as mean daily inflow increases from 0.2 to 1.0m3/s. Seasonal patterns of inlet state reflect the seasonal pattern of streamflow, though wave overtopping may become the main hydrologic flux during low streamflow conditions, infrequently causing short-lived breaches. In a series of sensitivity analyses it is seen that the status of the inlet and storage of water are sensitive to factors that control the storage, transmission, and inflow of water. By varying individual components of the berm system and estuary storage, the amount of the time the estuary is open may increase by 57%, or decrease by 44%, compared to the amount of time the estuary is open during calibrated model conditions for the 18.2-year model period. The individual components tested are: berm height, width, length, and hydraulic conductivity</t>
  </si>
  <si>
    <t>10.1007/s12517-011-0411-7</t>
  </si>
  <si>
    <t>https://www.scopus.com/inward/record.uri?eid=2-s2.0-84874949608&amp;doi=10.1007%2fs12517-011-0411-7&amp;partnerID=40&amp;md5=9e34621f62cae3a0a4ff17be98271c5e</t>
  </si>
  <si>
    <t>Although flash floods are one of the major natural disasters that may hamper human development in arid areas, aspects of the process leading to their initiation remain uncertain and poorly understood. In the present study, wadi El-Alam Basin, one of the major basins in the Eastern Desert of Egypt that is frequently subjected to severe flash flood damage, is selected for investigation. Here, a hydrological modeling approach was used to predict flash flood hazard within the basin. Earlier work conducted for the same basin showed that such approach is successful and was able to accurately highlight the locations of historical flood damage. However, such work was based on one set of arbitrary model parameters. The present study has taking into account the rainfall as the excitation factor in the adopted hydrological modeling. The study aims to build on the earlier study by investigating impacts of variation of rainfall depth, areal coverage, and location on flash flood generation. Results demonstrate that the basin under study requires a rainstorm intensity of at least 40 mm in order to initiate surface runoff with a noticeable flood peak at its main outlet. The location of rainstorm has a major effect on the shape of the basin final hydrograph. Furthermore, in the study basin, the upstream flood appears to be of a magnitude and a peak flow that is much higher than those for downstream ones, which believes to be strongly attributed to the surface steepness and impermeability of the former. The used approach shows to be useful in the rapid assessing of flash flood hazard in mountainous desert and could be adopted, with appropriate modifications, elsewhere in arid regions. © 2011 Saudi Society for Geosciences.</t>
  </si>
  <si>
    <t>2-s2.0-84874949608"</t>
  </si>
  <si>
    <t>10.1016/j.eiar.2013.02.002</t>
  </si>
  <si>
    <t>https://www.scopus.com/inward/record.uri?eid=2-s2.0-84875611582&amp;doi=10.1016%2fj.eiar.2013.02.002&amp;partnerID=40&amp;md5=2ecc14cac8a88671a8e96ce627fea1fe</t>
  </si>
  <si>
    <t>Analysis of the risks of sea-level rise favours conventionally measured metrics such as the area of land that may be subsumed, the numbers of properties at risk, and the capital values of assets at risk. Despite this, it is clear that there exist many less material but no less important values at risk from sea-level rise. This paper re-theorises these multifarious social values at risk from sea-level rise, by explaining their diverse nature, and grounding them in the everyday practices of people living in coastal places. It is informed by a review and analysis of research on social values from within the fields of social impact assessment, human geography, psychology, decision analysis, and climate change adaptation. From this we propose that it is the 'lived values' of coastal places that are most at risk from sea-level rise. We then offer a framework that groups these lived values into five types: those that are physiological in nature, and those that relate to issues of security, belonging, esteem, and self-actualisation. This framework of lived values at risk from sea-level rise can guide empirical research investigating the social impacts of sea-level rise, as well as the impacts of actions to adapt to sea-level rise. It also offers a basis for identifying the distribution of related social outcomes across populations exposed to sea-level rise or sea-level rise policies. © 2013 Elsevier Inc.</t>
  </si>
  <si>
    <t>2-s2.0-84875611582"</t>
  </si>
  <si>
    <t>10.1007/s13157-013-0402-4</t>
  </si>
  <si>
    <t>https://www.scopus.com/inward/record.uri?eid=2-s2.0-84877732873&amp;doi=10.1007%2fs13157-013-0402-4&amp;partnerID=40&amp;md5=9cdd4882809ce30a3c0894c2d2aec3dd</t>
  </si>
  <si>
    <t>This study seeks to identify key components of structure and growth habit of Schoenoplectus pungens (bulrush) that allow it to thrive in severe environments. Schoenoplectus pungens, an emergent herbaceous plant growing in shallow, high energy freshwater and brackish coastal wetlands, occurs throughout North America and several continents. We observe the plant in ecologically distinctive Laurentian Great Lakes and Pacific Northwestern estuaries. Plant populations were characterized in terms of above-ground and below-ground biomass, stem density, diameter, height, and flexibility. Plants grown in flooded planters for research were compared with populations in their natural environments. The modulus of elasticity was found to be similar for planter- and wild-grown plants from fresh and brackish waters. Aerenchyma tissue, important for conducting oxygen to roots, increased with flooding and possibly reduced stem flexibility. Stem diameter and height increased as water depths or flooding increased, while below-ground biomass decreased. Soils ranging from coarse gravels to clays supported S. pungens. Most regeneration occurs as sprouts from rhizomes, not seedlings. Below-ground biomass accounted for a greater proportion of total biomass than above-ground biomass in most zones. This study collected large below-ground biomass samples that allowed for more effective evaluation of root and rhizome structure than traditional small samples. © 2013 Society of Wetland Scientists.</t>
  </si>
  <si>
    <t>2-s2.0-84877732873"</t>
  </si>
  <si>
    <t>10.1007/s00367-012-0317-8</t>
  </si>
  <si>
    <t>https://www.scopus.com/inward/record.uri?eid=2-s2.0-84875395637&amp;doi=10.1007%2fs00367-012-0317-8&amp;partnerID=40&amp;md5=35392f386e18b09b1c5243bcf684940b</t>
  </si>
  <si>
    <t>The identification of potential coastal inundation caused by future sea level rise requires not only time series records from tide gauges, but also high-quality digital elevation models (DEMs). This study assesses the importance of DEM vertical accuracy in predicting inundation by sea level rise along the Valdelagrana beach and marshes of the Bay of Cádiz (SW Spain). A present-day (2000) and a projected (2100) high tide have been spatialized over a traditional (aerial photogrammetry) regional DEM of Andalusia with a horizontal spatial resolution of 10 m and a vertical accuracy of 0. 68 m RMSE (root mean square error), and a LIDAR-derived DEM of the Valdelagrana study site with the same spatial resolution but a vertical accuracy of 0. 205 m RMSE. The simulations are based on a bathtub model, which accounts for the effect of vertical barriers. The results reveal that the presence of infrastructures such as roads and salterns is the key to delimit the extent of water penetration during high tides in an otherwise homogeneously flat area comprising the beach and marshes of Valdelagrana. Moreover, in comparison with the highly accurate LIDAR DEM, the inundation areas derived from the lower-resolution DEM are overestimated by 72 % and 26 % for the present-day and future scenarios respectively. These findings demonstrate that DEM vertical accuracy is a critical variable in meaningfully gauging the impacts of sea level rise. © 2012 Springer-Verlag Berlin Heidelberg.</t>
  </si>
  <si>
    <t>2-s2.0-84875395637"</t>
  </si>
  <si>
    <t>10.1007/s11069-012-0317-z</t>
  </si>
  <si>
    <t>https://www.scopus.com/inward/record.uri?eid=2-s2.0-84876924090&amp;doi=10.1007%2fs11069-012-0317-z&amp;partnerID=40&amp;md5=7dc85d65dec89311639082260d4f7840</t>
  </si>
  <si>
    <t>The measurement and recording of the height and spatial extent reached by coastal storm surges is fundamental to scientific progress in understanding these phenomena. Such information is required for better prediction and for risk assessment. Model-based evaluation of increasing delta vulnerability, for example, cannot be tested without long-term, consistent, and sustained observation of actual events. Also, storm surges occur within the temporal context of tidal variation, which must first be characterized through observation. Present standard approaches for measuring storm surges are not optimum. Thus, tidal gauges provide information at one point, whereas the heights reached by surges vary spatially. Also, post-surge ground surveys are expensive, laborious, and commonly lack comparison to similar data obtained for previous surges or for high tides. The advent of moderate spatial resolution, high temporal resolution remote sensing initiated by the launch of the two NASA MODIS sensors greatly reduces these constraints. For over a decade, daily coverage of most coastal land areas, though restricted by cloud cover, has systematically captured the maximum extents reached by both high tides and by storm surges. Automated water classification algorithms are now transforming the incoming image data into GIS water boundary files, again at daily or near-daily time steps. This paper provides a retrospective view of sample storm surges as mapped via these sensors and describes: (a) the present, MODIS-based surface water surveillance system, (b) the mapping enhancement to be provided by frequent-repeat, wide-swath satellite radar imaging, and (c) the emerging prospects for routine global surveillance of storm surge events. Such will be necessary if long-term trends are to be recognized, characterized, and understood, along coastal zones now being affected by both increasing subsidence and rising sea level. © 2012 Springer Science+Business Media B.V.</t>
  </si>
  <si>
    <t>2-s2.0-84876924090"</t>
  </si>
  <si>
    <t>10.2112/12A-00012.1</t>
  </si>
  <si>
    <t>https://www.scopus.com/inward/record.uri?eid=2-s2.0-84880239702&amp;doi=10.2112%2f12A-00012.1&amp;partnerID=40&amp;md5=051a1fcfd5f02cc64ea3a6223658de64</t>
  </si>
  <si>
    <t>Makowski, C.</t>
  </si>
  <si>
    <t>10.2112/JCOASTRES-D-12-00150.1</t>
  </si>
  <si>
    <t>https://www.scopus.com/inward/record.uri?eid=2-s2.0-84880235069&amp;doi=10.2112%2fJCOASTRES-D-12-00150.1&amp;partnerID=40&amp;md5=30a3e947c171ce7a0b40d8d3b8eb1eae</t>
  </si>
  <si>
    <t>Berry, A.</t>
  </si>
  <si>
    <t>10.1007/s11069-011-0075-3</t>
  </si>
  <si>
    <t>https://www.scopus.com/inward/record.uri?eid=2-s2.0-84876927639&amp;doi=10.1007%2fs11069-011-0075-3&amp;partnerID=40&amp;md5=b6ea08d03ecf3ab79c0f30976662140d</t>
  </si>
  <si>
    <t>This paper describes the options appraisal undertaken in the UK within the major TE2100 project to investigate the future of protecting London from flooding from the sea. An economic analysis, within a Benefit-Cost framework complemented by Multi-Criteria Analysis, shows that improving the existing flood defences and, in 2070, constructing a new Thames Barrier downstream from the existing one are the ""front runner"" options for tackling the increase in flood risk that is anticipated in the future. Both sensitivity and scenario analysis have little effect on option choice. Uncertainties inevitably remain, however, when looking so far ahead, but it is clear that continuing to protect this area from the sea is highly cost-beneficial. Also the very high standard of protection now, and the robustness of the existing flood defence assets, mean that major new interventions will not be needed for some time (i. e. until c. 2070). We therefore have time to monitor the situation, carefully plan measures to maintain and enhance the existing defences, and to seek to restrain the growth of risk in the Estuary and in London through carefully designed and implemented resilience-building flood plain management measures. Rather than having to rush to new engineering works, because we have not anticipated what is needed but are forced to respond hastily to a ""crisis"" situation, the adaptive approach that is now possible is a key legacy of the TE2100 project. © 2012 Springer Science+Business Media B.V.</t>
  </si>
  <si>
    <t>2-s2.0-84876927639"</t>
  </si>
  <si>
    <t>10.1007/s10533-012-9805-1</t>
  </si>
  <si>
    <t>https://www.scopus.com/inward/record.uri?eid=2-s2.0-84879222970&amp;doi=10.1007%2fs10533-012-9805-1&amp;partnerID=40&amp;md5=0d26901871f8d3ba80a55a8a5b24c96d</t>
  </si>
  <si>
    <t>Tidal freshwater wetlands are sensitive to sea level rise and increased salinity, although little information is known about the impact of salinification on nutrient biogeochemistry in tidal freshwater forested wetlands. We quantified soil nitrogen (N) and phosphorus (P) mineralization using seasonal in situ incubations of modified resin cores along spatial gradients of chronic salinification (from continuously freshwater tidal forest to salt impacted tidal forest to oligohaline marsh) and in hummocks and hollows of the continuously freshwater tidal forest along the blackwater Waccamaw River and alluvial Savannah River. Salinification increased rates of net N and P mineralization fluxes and turnover in tidal freshwater forested wetland soils, most likely through tree stress and senescence (for N) and conversion to oligohaline marsh (for P). Stimulation of N and P mineralization by chronic salinification was apparently unrelated to inputs of sulfate (for N and P) or direct effects of increased soil conductivity (for N). In addition, the tidal wetland soils of the alluvial river mineralized more P relative to N than the blackwater river. Finally, hummocks had much greater nitrification fluxes than hollows at the continuously freshwater tidal forested wetland sites. These findings add to knowledge of the responses of tidal freshwater ecosystems to sea level rise and salinification that is necessary to predict the consequences of state changes in coastal ecosystem structure and function due to global change, including potential impacts on estuarine eutrophication. © 2012 US Government.</t>
  </si>
  <si>
    <t>2-s2.0-84879222970"</t>
  </si>
  <si>
    <t>https://www.scopus.com/inward/record.uri?eid=2-s2.0-84880751826&amp;partnerID=40&amp;md5=e8f2726332e54f8834355066bfedb27f</t>
  </si>
  <si>
    <t>Despite the importance and implications of coastal hazards, very few studies have been focused on their analysis and mapping on a regional scale in a systematic and integrated way. This article presents a methodology based on the detailed analysis of natural hazards affecting coastal zones: floods, erosion, sea level rise, tsunamis, landslides, etc., and the study and mapping of the factors involved (coastal geomorphology, coastal processes, historical events, human activities...). These factors and hazards are evaluated and integrated to prepare maps which include the assessments of each individual hazard and the overall ones. A mapping system in strips parallel to the coast is used, allowing the recognition and interpretation of the characteristics of the coast and the associated hazards. This methodology is applied to the coastal zone of Murcia, showing its usefulness for studying and mapping coastal hazards and its applicability to other regions.</t>
  </si>
  <si>
    <t>2-s2.0-84880751826"</t>
  </si>
  <si>
    <t>10.5194/hess-17-1733-2013</t>
  </si>
  <si>
    <t>https://www.scopus.com/inward/record.uri?eid=2-s2.0-84879048916&amp;doi=10.5194%2fhess-17-1733-2013&amp;partnerID=40&amp;md5=3c237546f56260b9ce8f79befbac7d11</t>
  </si>
  <si>
    <t>The hydrological consequences of historical, contemporary and future human activities on a coastal system were investigated by means of numerical models. The changes in the morphology of the Lagoon of Venice during the last century result from the sedimentological response to the combined effects of human interventions on the environment and global changes. This study focuses on changes from 1927 to 2012 and includes the changes planned for the protection of the city of Venice from storm surges and exceptional tides under future sea level rise scenarios. The application of a hydrodynamic model allowed for the analysis of the morphological effects on the lagoon circulation, the interaction with the sea and the internal mixing processes. The absolute values of the exchange between the lagoon and sea increased from 1927 to 2002 (from 3900 to 4600 m3 s-1), while the daily fraction of lagoon water volume exchanged decreased. At the same time, the flattening of the lagoon and loss of morphological heterogeneity enhanced the internal mixing processes driven by the tide and wind, reducing thus the overall water renewal time from 11.9 days in 1927 to 10.8 days in 2002. Morphological changes during the last decade reduced the water exchange through the inlets and induced an increase of the basin-wide water renewal time of 0.5 day. In the future, Venice Lagoon will evolve to a more restricted environment due to sea level rise, which increases the lagoon volume, and periodical closure of the lagoon from the sea during flooding events, which reduces the communication with the open sea. Therefore, the flushing capacity of the lagoon will decrease considerably, especially in its central part. Furthermore, some considerations on the impact of the hydromorphological changes on the ecological dynamics are proposed. © 2013 Author(s).</t>
  </si>
  <si>
    <t>2-s2.0-84879048916"</t>
  </si>
  <si>
    <t>10.1007/s11069-012-0362-7</t>
  </si>
  <si>
    <t>https://www.scopus.com/inward/record.uri?eid=2-s2.0-84876901445&amp;doi=10.1007%2fs11069-012-0362-7&amp;partnerID=40&amp;md5=9ceb3f990ecaf3af4d1074a1b70323d8</t>
  </si>
  <si>
    <t>It is estimated that nearly one-third of India's population lives on the coast and is dependent on its resources. Shoreline erosion, storm surges and extreme events have resulted in severe loss of human life, damage to ecosystems and to property along the coast of India. Studies carried out in the Cuddalore region of South India reveal that this low-lying coastal zone, which suffered significant erosion during the last century, has been severely affected by the tsunami of 2004, storm floods and cyclones. In response to these impacts, a variety of coastal defense measures and adaptation strategies have been implemented in the region, although with only limited success. In order to inform future coastal planning in this region, the work reported here identifies a composite hazard line, seaward of which coastal flooding events will have a return interval of less than 1 in 100 years. The area landward of the coastal hazard line will be unaffected by 100 years of coastal erosion at present day rates. The study directly supports the Integrated Coastal Zone Management (ICZM) Plan of the Tamil Nadu State through the identification and assessment of coastal hazards and the overall vulnerability to coastal flooding and erosion. The key results from this pilot study will be used directly by the State of Tamil Nadu in the protection of the coastal livelihoods, better conservation measures and sustainable development along the coast. This study is a step toward mapping the hazard line for the entire coast of India that helps protect human lives and property. © 2012 Springer Science+Business Media B.V.</t>
  </si>
  <si>
    <t>2-s2.0-84876901445"</t>
  </si>
  <si>
    <t>10.1007/s11069-012-0215-4</t>
  </si>
  <si>
    <t>https://www.scopus.com/inward/record.uri?eid=2-s2.0-84876929897&amp;doi=10.1007%2fs11069-012-0215-4&amp;partnerID=40&amp;md5=03447b3b13f4c68f028f84810441cf05</t>
  </si>
  <si>
    <t>No other region is more threatened by natural perils than coasts. Fierce winds, storm surges, large waves and tsunamis expend their destructive energy when they reach the coastline. Constituting, in many cases, the boundary between continental plates, coasts experience earthquakes and volcanic eruptions more frequently. The changing climate poses the threat of sea level rise. Most global trade crosses the oceans</t>
  </si>
  <si>
    <t>10.1016/j.jhydrol.2013.04.008</t>
  </si>
  <si>
    <t>https://www.scopus.com/inward/record.uri?eid=2-s2.0-84877834698&amp;doi=10.1016%2fj.jhydrol.2013.04.008&amp;partnerID=40&amp;md5=677bce0c3e7d0d1f897f4dba180041e4</t>
  </si>
  <si>
    <t>Dissolved carbon dioxide (CO2) may be highly enriched in groundwater. However, the contribution of groundwater discharge as a source of CO2 to rivers, estuaries and coastal waters is poorly understood. We performed high resolution measurements of radon (222Rn, a natural groundwater tracer) and the partial pressure of CO2 (pCO2) in a highly modified tidal creek and estuary (North Creek, Richmond River, New South Wales, Australia) to assess whether CO2 in surface waters was driven by groundwater discharge. A spatial survey revealed increasing 222Rn activities (up to 17.3dpmL-1) and pCO2 (up to 11,151μatm) in the upstream direction. The enrichment occurred in a drained coastal acid sulphate soil wetland upstream of a mangrove forest. Time series experiments (24-h) were performed at two stations upstream and downstream of the pCO2 enrichment area. Upstream measurements demonstrated a significant correlation between pCO2 and 222Rn while downstream values resulted in a significant inverse relationship between pCO2 and dissolved oxygen apparently as a result of respiration in nearby mangroves. Measurements taken 2days after a 245mm precipitation event revealed the highest recorded 222Rn activities (up to 86.1dpmL-1) and high pCO2 (up to 11,217μatm), showing a strong groundwater influence after flooding. These observations imply that groundwater discharge drove CO2 dynamics at the upstream station while multiple complex processes drove CO2 at the downstream station. A 222Rn mass balance model demonstrated that groundwater discharge accounted for about 76% of surface water in this floodplain creek. The CO2 evasion rates (799±225mmolm-2d-1) were driven primarily by currents rather than wind. Groundwater-derived CO2 fluxes into the creek averaged 1622mmolm-2d-1, a value twice as high as atmospheric CO2 evasion and consistent with carbon uptake within the creek and downstream exports. These results demonstrate that groundwater seepage was a major factor driving CO2 evasion to the atmosphere from the creek. Groundwater discharge should be accounted for in CO2 budgets in coastal systems. © 2013 Elsevier B.V.</t>
  </si>
  <si>
    <t>2-s2.0-84877834698"</t>
  </si>
  <si>
    <t>10.2112/JCOASTRES-D-11-00216.1</t>
  </si>
  <si>
    <t>https://www.scopus.com/inward/record.uri?eid=2-s2.0-84877661184&amp;doi=10.2112%2fJCOASTRES-D-11-00216.1&amp;partnerID=40&amp;md5=93bea303a9835305c9ffa2b8abc510c4</t>
  </si>
  <si>
    <t>Coastal flood-risk mapping requires the prediction of wave runup and overtopping of dikes and beaches. The cross-shore numerical model CSHORE is adjusted to predict irregular wave runup on impermeable dikes. The model is compared with 137 wave runup tests and 97 wave overtopping tests. The seaward boundary of the computation is taken at the location where wave setup is negligible. The spectral period and peak period at this boundary location are specified as input. The model predicts the measured cross-shore variation of the spectral significant wave height on the barred and sloping beaches in front of the dikes. The measured 2% and 1% exceedence runup heights are predicted within errors of about 20% for the spectral period used as input to CSHORE. The model predicts the threshold of wave overtopping, but the minor wave overtopping rates can be predicted only within a factor of 10. The model is also compared with 120 tests for wave runup on gentle uniform slopes as well as wave runup data on natural beaches in order to assess the utility of the numerical model for coastal flood-risk mapping on sand beaches. © 2012, the Coastal Education &amp; Research Foundation.</t>
  </si>
  <si>
    <t>2-s2.0-84877661184"</t>
  </si>
  <si>
    <t>10.1038/nclimate1756</t>
  </si>
  <si>
    <t>https://www.scopus.com/inward/record.uri?eid=2-s2.0-84877037313&amp;doi=10.1038%2fnclimate1756&amp;partnerID=40&amp;md5=f689a874a5d5020e46facabb9354f804</t>
  </si>
  <si>
    <t>Sea-level rise threatens coastal salt-marshes and mangrove forests around the world, and a key determinant of coastal wetland vulnerability is whether its surface elevation can keep pace with rising sea level. Globally, a large data gap exists because wetland surface and shallow subsurface processes remain unaccounted for by traditional vulnerability assessments using tide gauges. Moreover, those processes vary substantially across wetlands, so modelling platforms require relevant local data. The low-cost, simple, high-precision rod surface-elevation table-marker horizon (RSET-MH) method fills this critical data gap, can be paired with spatial data sets and modelling and is financially and technically accessible to every country with coastal wetlands. Yet, RSET deployment has been limited to a few regions and purposes. A coordinated expansion of monitoring efforts, including development of regional networks that could support data sharing and collaboration, is crucial to adequately inform coastal climate change adaptation policy at several scales. © 2013 Macmillan Publishers Limited. All rights reserved.</t>
  </si>
  <si>
    <t>2-s2.0-84877037313"</t>
  </si>
  <si>
    <t>10.1016/j.quaint.2012.07.008</t>
  </si>
  <si>
    <t>https://www.scopus.com/inward/record.uri?eid=2-s2.0-84875610144&amp;doi=10.1016%2fj.quaint.2012.07.008&amp;partnerID=40&amp;md5=576264bd65deafdb2442b251cbe0d1c0</t>
  </si>
  <si>
    <t>The study presents a brief review of the main evolutionary stages of the Danube deltaic area, according to the most recent discoveries in the field, as well as an emphasis on the new delimitating criteria for the hinterland in the ancient (7th century B.C.-5th century A.D.) and medieval times (14th-18th centuries A.D.) A cartographic delimitation model for the studied settlements' hinterlands was created. The Danube Delta is a dynamic interface between the geological history, the deltaic morphogenesis and the human occupation. The Danube Delta complex is one of the most important geo-political and cultural entities which can be described as a compound geographical unit that provides an exceptional biodiversity. Although this area has been intensely inhabited during the previous historical periods, underlined in the case of several ancient and medieval sources, only limited archaeological sites have been identified up to the present, and they are affected by the permanent extension and mobility of the Danube Delta. The Greek cities of Istros/Histria and Orgame/Argamum, colonies established by Miletus, which later continued their development as Roman cities, were located in the lagoonal region on the coast. The Roman fortification of Halmyris was situated on the Danube Delta's southern branch and the small bastion was located on the island called "" Bisericuta"" Two other medieval fortresses were identified</t>
  </si>
  <si>
    <t>10.1016/j.geomorph.2013.04.005</t>
  </si>
  <si>
    <t>https://www.scopus.com/inward/record.uri?eid=2-s2.0-84877821158&amp;doi=10.1016%2fj.geomorph.2013.04.005&amp;partnerID=40&amp;md5=d611fe3b2b3382f85c278c647f9d4eb3</t>
  </si>
  <si>
    <t>Aspects of the geomorphic evolution of Wadi El-Arish, the largest ephemeral drainage system in the Sinai Peninsula, are still ambiguous, and its paleochannels remain undefined. One of the obstacles that impede recognition of these paleodrainage features is the variation in topography from past to present. Some of this variation is attributable to the post Miocene tectonic activity in the region. This activity might have continued to the present, and led to developing an alternative course for the paleoriver. The folded Syrian Arc Belt in North Sinai had a significant influence on the shape and direction of Wadi El-Arish. Anticlinal ridges appear to have formed natural barriers that blocked the water flow across the main drainage course during humid periods, and forced Wadi El-Arish to deviate from its original course. In this research, we attempt to reconstruct the structural deformation and simulate the paleotopography to understand the evolution of the paleodrainage systems of the region. The unique perspective offered by space-borne radar data was used to define the structurally controlled paleolakes along Wadi El-Arish and to trace its former course. With a length of 109km, the former main channel course of Wadi El-Arish was depicted west of Gebel Halal. Three major paleolakes were defined within structurally controlled depressions. The largest lake occupied an area of at least 337km2 and contained approximately 10.7km3 of water when filled during pluvial phases. The simulation of the paleotopography was confirmed by field observations, and led to a concept for improved management of the renewable water resources in the study area. Thus, a 2km long canal with a depth of 6m is recommended to be established within the structural uplift. This canal would redirect the occasional runoff to a vast flat area west of Gebel Halal to provide water for approximately 1400km2 of fertile land for agricultural development. The flow redirection would also help to mitigate the negative effects of flash floods in El-Arish City and maximize the harvesting of rain water that would otherwise be lost to the sea. © 2013 Elsevier B.V.</t>
  </si>
  <si>
    <t>2-s2.0-84877821158"</t>
  </si>
  <si>
    <t>10.1007/s00024-012-0527-z</t>
  </si>
  <si>
    <t>https://www.scopus.com/inward/record.uri?eid=2-s2.0-84883022204&amp;doi=10.1007%2fs00024-012-0527-z&amp;partnerID=40&amp;md5=83b29265d6d9cf11a6fe526566c2ac9b</t>
  </si>
  <si>
    <t>The coast of California was significantly impacted by two recent teletsunami events, one originating off the coast of Chile on February 27, 2010 and the other off Japan on March 11, 2011. These tsunamis caused extensive inundation and damage along the coast of their respective source regions. For the 2010 tsunami, the NOAA West Coast/Alaska Tsunami Warning Center issued a state-wide Tsunami Advisory based on forecasted tsunami amplitudes ranging from 0.18 to 1.43 m with the highest amplitudes predicted for central and southern California. For the 2011 tsunami, a Tsunami Warning was issued north of Point Conception and a Tsunami Advisory south of that location, with forecasted amplitudes ranging from 0.3 to 2.5 m, the highest expected for Crescent City. Because both teletsunamis arrived during low tide, the potential for significant inundation of dry land was greatly reduced during both events. However, both events created rapid water-level fluctuations and strong currents within harbors and along beaches, causing extensive damage in a number of harbors and challenging emergency managers in coastal jurisdictions. Field personnel were deployed prior to each tsunami to observe and measure physical effects at the coast. Post-event survey teams and questionnaires were used to gather information from both a physical effects and emergency response perspective. During the 2010 tsunami, a maximum tsunami amplitude of 1.2 m was observed at Pismo Beach, and over $3-million worth of damage to boats and docks occurred in nearly a dozen harbors, most significantly in Santa Cruz, Ventura, Mission Bay, and northern Shelter Island in San Diego Bay. During the 2011 tsunami, the maximum amplitude was measured at 2.47 m in Crescent City Harbor with over $50-million in damage to two dozen harbors. Those most significantly affected were Crescent City, Noyo River, Santa Cruz, Moss Landing, and southern Shelter Island. During both events, people on docks and near the ocean became at risk to injury with one fatality occurring during the 2011 tsunami at the mouth of the Klamath River. Evaluations of maximum forecasted tsunami amplitudes indicate that the average percent error was 38 and 28 % for the 2010 and 2011 events, respectively. Due to these recent events, the California tsunami program is developing products that will help: (1) the maritime community better understand tsunami hazards within their harbors, as well as if and where boats should go offshore to be safe, and (2) emergency managers develop evacuation plans for relatively small ""Warning"" level events where extensive evacuation is not required. Because tsunami-induced currents were responsible for most of the damage in these two events, modeled current velocity estimates should be incorporated into future forecast products from the warning centers. © 2012 Springer Basel (outside the USA).</t>
  </si>
  <si>
    <t>2-s2.0-84883022204"</t>
  </si>
  <si>
    <t>10.1127/1860-1804/2013/0002</t>
  </si>
  <si>
    <t>https://www.scopus.com/inward/record.uri?eid=2-s2.0-84879386163&amp;doi=10.1127%2f1860-1804%2f2013%2f0002&amp;partnerID=40&amp;md5=9f14d4a9e6022c95e115c858a80bbb63</t>
  </si>
  <si>
    <t>The paper evaluates the Quaternary coastal evolution of Oman. The plate tectonic setting and the Quaternary climate evolution are reviewed and identifi ed as key factors of coastal evolution. The Arabian Plate is characterised by a northward movement forming a continent-continent collision zone in the west</t>
  </si>
  <si>
    <t>10.2112/JCOASTRES-D-12-00114.1</t>
  </si>
  <si>
    <t>https://www.scopus.com/inward/record.uri?eid=2-s2.0-84877660308&amp;doi=10.2112%2fJCOASTRES-D-12-00114.1&amp;partnerID=40&amp;md5=7da0ef7bfb90dad3552401131873f32a</t>
  </si>
  <si>
    <t>Coastal flood risk in California is concentrated around urbanized embayments that are protected by infrastructure, such as levees, pumps, and flood walls, which pose a challenge to accurate flood prediction. A capability to predict coastal urban flooding at the parcel-scale (individual home or street) from high ocean levels (extreme high tides) is shown here by coupling a regional ocean forecasting system to an embayment-scale hydrodynamic model that incorporates detailed information about flood defenses. A unique flooding data set affords the rare opportunity to validate model predictions and allows us to identify model data that are essential for accurate forecasting. In particular, results show that flood defense height data are critical, and here, that information is supplied by a Real Time Kinematic Global Positioning System (RTK-GPS) survey, which yields ca. 1-cm, vertical root mean-squared error accuracy. Bathymetry surveys and aerial Light Detection and Ranging (LIDAR) data characterizing the embayment also prove essential. Moreover, hydrodynamic modeling of flood inundation is shown to significantly improve on planar surface models, which overestimate inundation, particularly when manipulated to account for run-up in a simplistic way. This is attributed to the transient nature of overtopping flows and motivates the need for dynamic, spatially-distributed overtopping models that are tailored to the urban environment. © 2012, the Coastal Education &amp; Research Foundation.</t>
  </si>
  <si>
    <t>2-s2.0-84877660308"</t>
  </si>
  <si>
    <t>10.1016/j.geomorph.2013.04.020</t>
  </si>
  <si>
    <t>https://www.scopus.com/inward/record.uri?eid=2-s2.0-84877801290&amp;doi=10.1016%2fj.geomorph.2013.04.020&amp;partnerID=40&amp;md5=0d93610054074a20309b2cafeab0ceac</t>
  </si>
  <si>
    <t>The Mississippi River Delta Plain has experienced substantial wetland loss from subsidence, erosion, and sea level rise, threatening coastal communities and the ecosystems that support them. The Atchafalaya River, the largest distributary of the Mississippi River, has one of the few prograding delta features along the ~200-km deltaic coastline. Understanding changes in the Atchafalaya River Delta complex (ARDC) development has critical implications for future prediction and management strategy for the Mississippi River Delta Plain. This study was organized to answer two major questions: (1) how did development of the ARDC respond to fluctuation in riverine sediment supply over the period 1989-2010, and (2) has vegetation succession helped stabilize subaerial land? The study quantified annual total suspended sediment yields to the two ARDC subdeltas-Atchafalaya River subdelta (ARSD) and Wax Lake outlet subdelta (WLSD)-classified delta land cover using satellite imagery over ~5-year intervals into three classes: barren land, vegetation, and open water and investigated the relationship of delta land change with sediment yield and vegetation succession. Over the entire 21-year study period, we found a net land gain of 59km2, with the ARSD accounting for 58% of this gain and WLSD 42%. Sediment yield to the subdeltas decreased from an average annual of 38megatonnes (MT) for ARSD and 18 MT for WLSD during 1989-1995 to an average annual of 24MT for ARSD and 17MT for WLSD during 2004-2010, corresponding to the decrease in riverine suspended sediment concentration. Concurrently, total land growth rate decreased from 2.4km2y-1 to 1.6km2y-1 for ARSD and 3.2km2y-1 to 0.6km2y-1 for WLSD. However, the ARDC had a net land loss of 2.1km2 during 1999-2004 because of tropical system effects in conjunction with the lack of large river floods (defined as discharge&gt;13,800m3s-1). On average, more than 60% of newly vegetated land remained vegetated in subsequent years, and when compared with barren areas, vegetated land was less likely (7.3% vs. 32%) to be converted to water, indicating vegetative stabilization effect. However, during the period without a major flood, vegetation buffering against tropical system erosion was limited. This indicates that over the period 1989 to 2010 land growth of the ARDC was dictated by large flood events. © 2013 Elsevier B.V.</t>
  </si>
  <si>
    <t>2-s2.0-84877801290"</t>
  </si>
  <si>
    <t>10.1016/j.ecoleng.2013.04.057</t>
  </si>
  <si>
    <t>https://www.scopus.com/inward/record.uri?eid=2-s2.0-84884589105&amp;doi=10.1016%2fj.ecoleng.2013.04.057&amp;partnerID=40&amp;md5=14c92caf80cc5802902eab288e6cd88f</t>
  </si>
  <si>
    <t>The delta of the Colorado River in Mexico supports about a million hectares of riparian, marsh and estuarine habitats of international importance. Some of these habitats depend on flows of fresh and brackish water from the U.S. and Mexico. Up to now, these flows were the incidental result of water management actions taken to provide water for agriculture and municipal use, protect against flooding, and dispose of saline agricultural return flows. This paper briefly describes the wetlands and documents recent bi-national efforts to provide environmental flows to the delta, codified in Minutes 306, 316 and 319 of the water treaty between the U.S. and Mexico for the utilization of Colorado River water. Providing water for environmental uses in this watershed will be a daunting task given the many competing uses for water and expected diminished flows due to climate change. The paper serves as an introduction to a special issue of Ecological Engineering, Wetlands of the Colorado River Delta, which contributes 17 new research articles to the science based on these diverse aquatic habitats. We hope these studies will be useful to those developing management strategies to preserve and enhance these habitats for the future. © 2013 Elsevier B.V.</t>
  </si>
  <si>
    <t>2-s2.0-84884589105"</t>
  </si>
  <si>
    <t>10.1016/j.jhydrol.2013.01.042</t>
  </si>
  <si>
    <t>https://www.scopus.com/inward/record.uri?eid=2-s2.0-84875547950&amp;doi=10.1016%2fj.jhydrol.2013.01.042&amp;partnerID=40&amp;md5=0f4f5a66a91441a9dc0ef8f5861fc872</t>
  </si>
  <si>
    <t>Since the topographical data obtained from LiDAR (Light Detection and Ranging) measurements is superior in resolution and accuracy as compared to conventional geospatial data, over the last decade aerial LiDAR (Light Detection and Ranging) has been widely used for obtaining geospatial information. However, digital terrain models made from LiDAR data retain some degree of uncertainty as a result of the measurement principles and the operational limitations of LiDAR surveying. LiDAR cannot precisely measure topographical elements such as ground undulation covered by vegetation, curbstones, etc. Such instrumental and physical uncertainties may impact an estimated result in an inundation flow simulation. Meanwhile, how much and how these topographical uncertainties affect calculated results is not understood. To evaluate the effect of topographical uncertainty on the calculated inundation flow, three representative terrains were prepared that included errors in elevation. Here, the topographical uncertainty that was introduced was generated using a fractal algorithm in order to represent the spatial structure of the elevation uncertainty. Then, inundation flows over model terrains were calculated with an unstructured finite volume flow model that solved shallow water equations. The sensitivity of the elevation uncertainty on the calculated inundated propagation, especially the local flow velocity, was evaluated. The predictability of inundation flow over complex topography is discussed, as well as its relationship to topographical features. © 2013 Elsevier B.V.</t>
  </si>
  <si>
    <t>2-s2.0-84875547950"</t>
  </si>
  <si>
    <t>10.1002/grl.50278</t>
  </si>
  <si>
    <t>https://www.scopus.com/inward/record.uri?eid=2-s2.0-84877969876&amp;doi=10.1002%2fgrl.50278&amp;partnerID=40&amp;md5=2a80ad0088fb4d7670d8c3ff588e7f37</t>
  </si>
  <si>
    <t>In total, Icelandic ice caps contain ∼3600 km3 of ice, which if melted would raise sea level by ∼1 cm. Here, we present an overview of mass changes of Icelandic ice masses since the end of the 19th century. They have both gained and lost mass during this period. Changes in ice volume have been estimated both through surface mass balance measurements (performed annually since ∼1990) and differencing of digital elevation models derived from various satellite and airborne observations. While the glaciers showed little mass loss as the 20th century began, losses increased rapidly after 1925, peaked in the 1930s and 1940s, and remained significant until the 1960s. After being near-zero or even positive during the 1980s and early 1990s, glacier mass budgets declined considerably, and have since the mid-1990s shown an average annual loss of 9.5±1.5 Gt a-1, contributing ∼0.03 mm a-1 to sea level rise. Since 1995 interannual variability in mass loss is high, ranging from 2.7 to 25.3±1.5 Gt a-1, corresponding to surface mass balances of -0.2 to -2.2 ± 0.15 m we a-1. This variability is driven by climate fluctuations and also by transient reduction of albedo due to volcanic eruptions. Key Points Icelandic ice caps both gained and lost mass since end of the 19th century mass variability driven by climate and temporary volcanic events mass balance variations relate to air temperature rather than precipitation. ©2013. American Geophysical Union. All Rights Reserved.</t>
  </si>
  <si>
    <t>2-s2.0-84877969876"</t>
  </si>
  <si>
    <t>10.1007/s12594-013-0121-8</t>
  </si>
  <si>
    <t>https://www.scopus.com/inward/record.uri?eid=2-s2.0-84880287016&amp;doi=10.1007%2fs12594-013-0121-8&amp;partnerID=40&amp;md5=71dce5399ed777cf4ffdec4700d77709</t>
  </si>
  <si>
    <t>Major earthquakes that trigger tsunamis are great natural hazards. The devastations caused by the December 26, 2004 Sumatran earthquake, and the March 11, 2011 Japan earthquake, and associated tsunamis will remain in our memories for a long time. Such events reaffirm the need for studying the cause and effects of large earthquakes of the past and to prepare the world better for the future. In such an effort, to understand the pattern of earthquakes and their effects on the geomorphic evolution, we have studied deformation history in the Andaman and Nicobar Islands, located in one of the most active convergent margins of the world. Focusing on tectonically formed coastal terraces and determining the timing of their formation from the exposed dead corals, we have been able to reconstruct the history of major earthquakes in these islands for the last 40 kyr. Our results in conjunction with the existing radiocarbon age data from coastal terraces of these islands appear to suggest that the frequency of major earthquakes (M &gt; 7) in the region has increased during the last 9 kyr. In confirmation with some earlier work, we find evidences for a major earthquake and a tsunami between 500-600 cal yr BP and possibly 4 others during 6-9 cal kyr BP. Our results also indicate that there has been a continuous subsidence of the south Andaman Islands. © 2013 Geological Society of India.</t>
  </si>
  <si>
    <t>2-s2.0-84880287016"</t>
  </si>
  <si>
    <t>https://www.scopus.com/inward/record.uri?eid=2-s2.0-84875751678&amp;partnerID=40&amp;md5=f9c7ba403ab1e7e49815111e7370f001</t>
  </si>
  <si>
    <t>Tsunami simulations and inundation analyses are conducted on the northwestern coast of Sabah by assuming earthquake along the Manila Trench (MT) proposed by Salcedo (2010). TUNAMI (Tohoku University's Numerical Analysis Model for Inverstigation) code is used. To calculate tsunami propagation and inundation we perform numerical simulations of linear and nonlinear shallow water wave equations in a spherical coordinate system with four different spatial grid sizes of 60, 20, 6.6667 and 2.2222 arc-sec. As output points, 24 tide gauge stations are assumed along Kudat coastal areas. Seven scenarios with different moment magnitudes are considered to perform tsunami simulations. Earthquake source regions are divided into four segments, MTl, MT2, MT3, and MT4. Single and multi segmentation are used to assess the scenario earthquakes for all three target areas, Kudat Peninsula, Balambangan Island and Banggi Island. Computation results show that the tsunami heights are larger with large slip on the fault. We found that the slip on the segment MTl is not sensitive for the tsunami height to the coastal area of northwest Sabah. We also found that the most significant tsunami is expected from MT4, as well as MT3 and MT2 cause large tsunamis.</t>
  </si>
  <si>
    <t>2-s2.0-84875751678"</t>
  </si>
  <si>
    <t>10.1785/0120120122</t>
  </si>
  <si>
    <t>https://www.scopus.com/inward/record.uri?eid=2-s2.0-84877270374&amp;doi=10.1785%2f0120120122&amp;partnerID=40&amp;md5=d6825fa1c71b4d606347c65fe109334c</t>
  </si>
  <si>
    <t>A multiple time window inversion of 53 high-sampling tsunami waveforms on ocean-bottom pressure, Global Positioning System, coastal wave, and tide gauges shows a temporal and spatial slip distribution during the 2011 Tohoku earthquake. The fault rupture started near the hypocenter and propagated into both deep and shallow parts of the plate interface. A very large slip (approximately 25 m) in the deep part off Miyagi at a location similar to the previous 869 Jogan earthquake model was responsible for the initial rise of tsunami waveforms and the recorded tsunami inundation in the Sendai and Ishinomaki plains. A huge slip, up to 69 m, occurred in the shallow part near the trench axis 3 min after the rupture initiation. This delayed shallow rupture extended for 400 km with more than a 10-m slip, at a location similar to the 1896 Sanriku tsunami earthquake, and was responsible for the peak amplitudes of the tsunami waveforms and the maximum tsunami heights measured on the northern Sanriku coast, 100 km north of the largest slip. The average slip on the entire fault was 9.5 m, and the total seismic moment was 4:2 × 1022 N ·m (Mw 9.0). The large horizontal displacement of seafloor slope was responsible for 20%-40% of tsunami amplitudes. The 2011 deep slip alone could reproduce the distribution of the 869 tsunami deposits, indicating that the 869 Jogan earthquake source could be similar to the 2011 earthquake, at least in the deep-plate interface. The large tsunami at the Fukushima nuclear power station is due to either the combination of a deep and shallow slip or a triggering of a shallow slip by a deep slip, which was not accounted for in the previous tsunami-hazard assessments.</t>
  </si>
  <si>
    <t>2-s2.0-84877270374"</t>
  </si>
  <si>
    <t>10.1038/nclimate1725</t>
  </si>
  <si>
    <t>https://www.scopus.com/inward/record.uri?eid=2-s2.0-84877079457&amp;doi=10.1038%2fnclimate1725&amp;partnerID=40&amp;md5=e00ac498082c8b21813ebbb0b0097703</t>
  </si>
  <si>
    <t>Strong evidence on climate change underscores the need for actions to reduce the impacts of sea-level rise. Global mean sea level may rise 0.18-0.48 m by mid-century and 0.5-1.4 m by the end of the century. Besides marine inundation, it is largely unrecognized that low-lying coastal areas may also be vulnerable to groundwater inundation, which is localized coastal-plain flooding due to a rise of the groundwater table with sea level. Measurements of the coastal groundwater elevation and tidal influence in urban Honolulu, Hawaii, allow estimates of the mean water table, which was used to assess vulnerability to groundwater inundation from sea-level rise. We find that 0.6 m of potential sea-level rise causes substantial flooding, and 1 m sea-level rise inundates 10% of a 1-km wide heavily urbanized coastal zone. The flooded area including groundwater inundation is more than twice the area of marine inundation alone. This has consequences for decision-makers, resource managers and urban planners, and may be applicable to many low-lying coastal areas, especially where groundwater withdrawal is not substantial. © 2013 Macmillan Publishers Limited. All rights reserved.</t>
  </si>
  <si>
    <t>2-s2.0-84877079457"</t>
  </si>
  <si>
    <t>10.1016/j.tecto.2012.12.022</t>
  </si>
  <si>
    <t>https://www.scopus.com/inward/record.uri?eid=2-s2.0-84875381251&amp;doi=10.1016%2fj.tecto.2012.12.022&amp;partnerID=40&amp;md5=be84f72f7c5b905e155eef2c1d1e47d4</t>
  </si>
  <si>
    <t>Passive margins display various structural and morphological patterns resulting in a complex coupling between local effects. We performed an integrated analysis from the ocean to the continent at the crustal scale of the post-breakup evolution of the northern Namibian margin in terms of vertical displacements and palaeotopography. A main topographic scarp that disappears where the Palaeo-Proterozoic Damara belt crosses the coast separates the Namibian margin and the South African plateau. We analysed this transition using a synthetic crustal cross-section based on a compilation of published data as well as new field data.The thinned margin displays two domains separated by a deep sedimentary trough. This trough separates a proximal part with landward tilted blocks from the distal part with seaward tilted blocks. This structural pattern reveals a complex flowing pattern of the ductile crust controlled by magmatism. Onshore, the basalts and Cenozoic conglomerates recorded a progressive seaward tilting of the coastal zone.Post-breakup vertical motions were estimated with subsidence curves in the offshore domain and from isostatic adjustments induced by the variations of cover thickness (depth of magmatic intrusions and Apatite Fission Tracks) in onshore domain. Three domains are recognised: a subsiding offshore domain, a uplifting continental domain and a transitional domain, located on both sides of the current shoreline with successive phases of uplift and subsidence. The offshore subsidence displays variations along the margin controlled by the thinning crust generated by the continental breakup. The onshore palaeotopogaphy is approximately assessed since the end of rifting by integrating the isostatic adjustment induced by denudation: the mean elevation of the plateau has remained above 1000. m since continental breakup. No significant additional uplift was pointed out during the late Cretaceous or late Neogene. Therefore, we conclude that the South African plateau has been present in northern Namibia since 130. Ma, at least. © 2013 Elsevier B.V.</t>
  </si>
  <si>
    <t>2-s2.0-84875381251"</t>
  </si>
  <si>
    <t>10.1007/s11027-012-9396-0</t>
  </si>
  <si>
    <t>https://www.scopus.com/inward/record.uri?eid=2-s2.0-84879837770&amp;doi=10.1007%2fs11027-012-9396-0&amp;partnerID=40&amp;md5=e9828b6d98095e988f1e8d00d70081ba</t>
  </si>
  <si>
    <t>Bangladesh has a large aerial extent of freshwater wetlands for her deltaic characteristics. In 1970, the total area of wetlands in Bangladesh is estimated to be 70000-80000 km2, approximately, i.e., 50 % of total national land area. In the recent years, most of these wetlands are being lost and degraded primarily because of flood control projects, irrigation and agricultural activities and others human interference. Unfortunately, over the last three decades in the name of wetland development, local habitats were not taken care of. In this paper, the stakeholder and scenario analyses are employed for measuring public views towards wetlands degradation in Bangladesh. Involvement of stakeholders helps reconcile their different conflicting interests in wetlands, hence creating a common understanding about the problem under study. An exploratory scenario analysis illustrates different themes fulfilled by the wetlands and their associated services in case study Chalan Beel. The Chalan Beel once covered an area of approximately 651,230 acres in 1967. Currently, the permanent flooded area of the Chalan Beel has been reduced to about 18,120 acres. The scenarios show that most of the wetlands in Bangladesh are converted into agricultural lands, settlements, roads, and highways. Aquatic plants and animals are lost and endangered due to human interference and natural disturbance. The government, policymakers and some private organizations are trying to design suitable policy for wetland management but they are not able to reach this goal. It is observed that the local and national policies are facing complexities to create an effective regime to set aside the wetlands management policy in Bangladesh. In this context, this paper proposed an Increased Public Awareness (IPA) policy model that could be pathways for both short and long-term solutions of wetlands degradation in developing nations like Bangladesh. © 2012 Springer Science+Business Media B.V.</t>
  </si>
  <si>
    <t>2-s2.0-84879837770"</t>
  </si>
  <si>
    <t>Fuzzy Sets and Systems</t>
  </si>
  <si>
    <t>10.1016/j.fss.2012.10.001</t>
  </si>
  <si>
    <t>https://www.scopus.com/inward/record.uri?eid=2-s2.0-84872502292&amp;doi=10.1016%2fj.fss.2012.10.001&amp;partnerID=40&amp;md5=ec8aed054d7add8eff36e134b5762151</t>
  </si>
  <si>
    <t>A linguistic decision tree algorithm (LID3) is applied to the problem of predicting storm surge. Of particular interest is the prediction of large positive storm surge for flood warning purposes. The application site is the North Sea which has a well-understood physical system for the generation and progression of storm surge, which lends itself to testing of the LID3 algorithm on a real-world prediction problem. Using available water level and meteorological data, the decision tree provides predictions of surge on the Thames Estuary up to 8h in advance, accurate to the order of 0.1m, which is comparable to alternative data driven methods. However, the success of the data driven approaches applied here are all limited by the sparsity of training data for extreme events (which by their nature are rare). A major benefit of the decision tree approach is the ability to make inference from the resulting IF-THEN rules of the tree structure. In this application of the LID3 algorithm, clear and plausible model rules can be deduced from the tree structure that are consistent with our understanding of the physical drivers of storm surge at this location. The label semantic framework is interpreted probabilistically, allowing the user to employ standard statistical approaches to identify statistically significant rules. It is demonstrated that the rules can successfully discriminate between surges that may pose a threat and those that should not, based on tide gauge measurements available up to 8h prior to the surge signal reaching the Thames Estuary. This is promising for the potential application of such computationally efficient and easy to implement rule learning algorithms for the further investigation of complex environmental systems. © 2012 Elsevier B.V.</t>
  </si>
  <si>
    <t>2-s2.0-84872502292"</t>
  </si>
  <si>
    <t>Lithology and Mineral Resources</t>
  </si>
  <si>
    <t>10.1134/S0024490213020028</t>
  </si>
  <si>
    <t>https://www.scopus.com/inward/record.uri?eid=2-s2.0-84877344649&amp;doi=10.1134%2fS0024490213020028&amp;partnerID=40&amp;md5=fa24aa4da1fd17a7498f10122b4821d4</t>
  </si>
  <si>
    <t>Data on types of Holocene sediments overlying the Upper Pleistocene glacial sediments and constituting the Curonian (Kurshskaya) Spit are summarized to assess its geological stability. The data made it possible to define and describe four main types of sections: (1) peaty, (2) peaty-sandy, (3) gravelly-sandy, (4) muddy-sandy-sapropelic. These spit sections are correlated with the counterparts in adjacent areas of the Baltic Sea and Curonian Lagoon (Kurshskaya Bay). The role of different sources is elucidated for sedimentary material in the spit. Data on recent processes of erosion and accumulation in coastal areas of the spit are compared with types of sediments and sections in the spit and adjacent areas of the sea and lagoon. It is established that paleostraits filled with peat and sapropel represent low-stability areas of the spit. Various scenarios of the spit evolution in response to high sea-level rise are considered. © 2013 Pleiades Publishing, Ltd.</t>
  </si>
  <si>
    <t>2-s2.0-84877344649"</t>
  </si>
  <si>
    <t>10.2112/SI63-009.1</t>
  </si>
  <si>
    <t>https://www.scopus.com/inward/record.uri?eid=2-s2.0-84879639816&amp;doi=10.2112%2fSI63-009.1&amp;partnerID=40&amp;md5=f6c1a4c6fc2393a0e3dbe4d37df17043</t>
  </si>
  <si>
    <t>The aim of this study is to improve estimates of wetland land loss in two study regions of coastal Louisiana, U.S.A., due to the extreme storms that impacted the region between 2004 and 2009. The estimates are based on change-detection-mapping analysis that incorporates pre and postlandfall (Hurricanes Katrina, Rita, Gustav, and Ike) fractional-water classifications using a combination of high-resolution (&lt;5 m) QuickBird, IKONOS, and GeoEye-1, and medium-resolution (30 m) Landsat Thematic Mapper satellite imagery. This process was applied in two study areas: the Hackberry area located in the southwestern part of chenier plain that was impacted by Hurricanes Rita (September 24, 2005) and Ike (September 13, 2008), and the Delacroix area located in the eastern delta plain that was impacted by Hurricanes Katrina (August 29, 2005) and Gustav (September 1, 2008). In both areas, effects of the hurricanes include enlargement of existing bodies of open water and erosion of fringing marsh areas. Surge-removed marsh was easily identified in stable marshes but was difficult to identify in degraded or flooded marshes. Persistent land loss in the Hackberry area due to Hurricane Rita was approximately 5.8% and increased by an additional 7.9% due to Hurricane Ike, although this additional area may yet recover. About 80% of the Hackberry study area remained unchanged since 2003. In the Delacroix area, persistent land loss due to Hurricane Katrina measured approximately 4.9% of the study area, while Hurricane Gustav caused minimal impact of 0.6% land loss by November 2009. Continued recovery in this area may further erase Hurricane Gustav's impact in the absence of new storm events. © Coastal Education &amp; Research Foundation 2013.</t>
  </si>
  <si>
    <t>2-s2.0-84879639816"</t>
  </si>
  <si>
    <t>https://www.scopus.com/inward/record.uri?eid=2-s2.0-84877802095&amp;partnerID=40&amp;md5=8599c08444c564d807b574ffd0910251</t>
  </si>
  <si>
    <t>This study aims at deriving a geoid over India using the Gravity field and steady-state Ocean Circulation Explorer (GOCE) satellite, evaluate its accuracy and application potential. The main objective is to convert satellite-derived ellipsoid height to orthometric height using geoid derived from GOCE and convert an ellip-soid digital terrain model (DTM) to orthometric DTM for hydrology, flood undulation and coastal management. The study was carried out over two areas, viz. Kosi river basin, Bihar and Mahanadi river basin, Odisha. The results indicate that over a total of 148 benchmarks, the GOCE geoid has a bias of 1.5 m with reference to the ground geoid. The study also demon-strated that using benchmark data, it is feasible to derive a geoid from GOCE with 10-15 cm accuracy that would meet most of the user requirements.</t>
  </si>
  <si>
    <t>2-s2.0-84877802095"</t>
  </si>
  <si>
    <t>10.1007/s00704-012-0771-2</t>
  </si>
  <si>
    <t>https://www.scopus.com/inward/record.uri?eid=2-s2.0-84879504026&amp;doi=10.1007%2fs00704-012-0771-2&amp;partnerID=40&amp;md5=0a0b30fbd5bcf1efe4c7a895f04236a5</t>
  </si>
  <si>
    <t>This paper tried to reconstruct the time series (TS) of monthly average temperature (MAT), monthly accumulated precipitation (MAP), and monthly accumulated runoff (MAR) during 1901-1960 in the Kaidu River Basin using the Delta method and the three-layered feed forward neural network with backpropagation algorithm (TLBP-FFNN) model. Uncertainties in the reconstruction of hydrometeorological parameters were also discussed. Available monthly observed hydrometeorological data covering the period 1961-2000 from the Kaidu River Basin, the monthly observed meteorological data from three stations in Central Asia, monthly grid climatic data from the Climatic Research Unit (CRU), and Coupled Model Intercomparison Project Phase 3 (CMIP3) dataset covering the period 1901-2000 were used for the reconstruction. It was found that the Delta method performed very well for calibrated and verified MAT in the Kaidu River Basin based on the monthly observed meteorological data from Central Asia, the monthly grid climatic data from CRU, and the CMIP3 dataset from 1961 to 2000. Although calibration and verification of MAP did not perform as well as MAT, MAP at Bayinbuluke station, an alpine meteorological station, showed a satisfactory result based on the data from CRU and CMIP3, indicating that the Delta method can be applied to reconstruct MAT in the Kaidu River Basin on the basis of the selected three data sources and MAP in the mountain area based on CRU and CMIP3. MAR at Dashankou station, a hydrological gauge station on the verge of the Tianshan Mountains, from 1961 to 2000 was well calibrated and verified using the TLBP-FFNN model with structure (8,1,1) by taking MAT and MAP of four meteorological stations from observation</t>
  </si>
  <si>
    <t>10.1029/2012JB009481</t>
  </si>
  <si>
    <t>https://www.scopus.com/inward/record.uri?eid=2-s2.0-84880710737&amp;doi=10.1029%2f2012JB009481&amp;partnerID=40&amp;md5=c3d7d9068df45fc07929cfa488c07956</t>
  </si>
  <si>
    <t>Subduction megathrust earthquakes occur at the interface between the subducting and overriding plates. These hazardous phenomena are only partially understood because of the absence of direct observations, the restriction of the instrumental seismic record to the past century, and the limited resolution/completeness of historical to geological archives. To overcome these restrictions, modeling has become a key-tool to study megathrust earthquakes. We present a novel model to investigate the seismic cycle at subduction thrusts using complementary analog (paper 1) and numerical (paper 2) approaches. Here we introduce a simple scaled gelatin-on-sandpaper setup including realistic tectonic loading, spontaneous rupture nucleation, and viscoelastic response of the lithosphere. Particle image velocimetry allows to derive model deformation and earthquake source parameters. Analog earthquakes are characterized by ""quasi-periodic"" recurrence. Consistent with elastic theory, the interseismic stage shows rearward motion, subsidence in the outer wedge and uplift of the ""coastal area"" as a response of locked plate interface at shallow depth. The coseismic stage exhibits order of magnitude higher velocities and reversal of the interseismic deformation pattern in the seaward direction, subsidence of the coastal area, and uplift in the outer wedge. Like natural earthquakes, analog earthquakes generally nucleate in the deeper portion of the rupture area and preferentially propagate upward in a crack-like fashion. Scaled rupture width-slip proportionality and seismic moment-duration scaling verifies dynamic similarities with earthquakes. Experimental repeatability is statistically verified. Comparing analog results with natural observations, we conclude that this technique is suitable for investigating the parameter space influencing the subduction interplate seismic cycle. © 2012. American Geophysical Union. All Rights Reserved.</t>
  </si>
  <si>
    <t>2-s2.0-84880710737"</t>
  </si>
  <si>
    <t>10.1080/17565529.2013.789789</t>
  </si>
  <si>
    <t>https://www.scopus.com/inward/record.uri?eid=2-s2.0-84879660422&amp;doi=10.1080%2f17565529.2013.789789&amp;partnerID=40&amp;md5=d4f9c605fa55ddc681a1e052238e9699</t>
  </si>
  <si>
    <t>Climate change is a process which is global in nature, but which has direct consequences at regional and local levels. Coastal areas as a whole, and small coastal river basins across the Baltic Sea in particular, are especially vulnerable since they directly suffer the influences of phenomena such as heavy precipitation and flash floods, the frequency of which has been increasing over the last few years, as well as rising sea levels. This paper describes the framework of the process of adaptation to climate change in small coastal river basins, based on a case study from the city of Klaipėda in Lithuania. In particular, the paper outlines the degree of vulnerability of coastal areas and describes some of the work undertaken and experiences gathered by the EU's BaltCICA project (Climate Change: Impacts, Costs and Adaptation in the Baltic Sea Region), which has been undertaken with a view to identify the problems and developing adaptation options in the region. © 2013 Copyright Taylor and Francis Group, LLC.</t>
  </si>
  <si>
    <t>2-s2.0-84879660422"</t>
  </si>
  <si>
    <t>10.1016/j.jhydrol.2013.04.031</t>
  </si>
  <si>
    <t>https://www.scopus.com/inward/record.uri?eid=2-s2.0-84878445270&amp;doi=10.1016%2fj.jhydrol.2013.04.031&amp;partnerID=40&amp;md5=aa7a017acbba3cc8cf6b212fbf73933a</t>
  </si>
  <si>
    <t>Over a long term, Semarang Coastal and Lowland areas have experienced salt water intrusion. This condition is accelerated due to land subsidence, sea level rise and groundwater exploitation. The purposes of this research paper were to highlight the salt water intrusion from 1995 until 2108 based on well log measurement and MODFOW numerical modeling in Coastal and Lowland of Semarang City. Sea level rise projection also was considered for salt intrusion projection in the future. MODFLOW was used to compute the groundwater flow field, MT3D for the salt transport, and ArcGIS Environments for coherent geographic visualization. A calibration of the model was conducted based on observation best match. The results obtained illustrate the development of a forward onshore sea salt water intrusion since 1995. It also showed the 2008 recorded sea water intrusion and provide groundwater sea water contamination projection for the years 2018 until 2108. Moreover, fresh water distribution near the coast in previous years developed into brackish water then into saline groundwater. Result showed the movement of saline groundwater from coastline to landward years by years from 2018, 2028, 2048, 2068, 2088 and 2108 following high hydraulic conductivity area. Salt intrusion was also driven by future sea level rise which result to the increase of the fresh water front forward move. andcopy</t>
  </si>
  <si>
    <t>10.1002/hyp.9838</t>
  </si>
  <si>
    <t>https://www.scopus.com/inward/record.uri?eid=2-s2.0-84880043855&amp;doi=10.1002%2fhyp.9838&amp;partnerID=40&amp;md5=174b2c58994eef6f157d83bc10382bf2</t>
  </si>
  <si>
    <t>Hydrologic connectivity is fundamental to understanding floodplain processes along meandering river corridors. This study contributes to understanding hydrologic connectivity by utilizing a high resolution Light Detection and Ranging DEM with a new GIS-based approach for identifying the precise elevation of flood stage. The method created a high-resolution longitudinal channel bank profile, enabling a detailed examination of embanked floodplain hydrologic connectivity. A simple channel cross-section approach is likely to result in a large underestimation of floodplain inundation and hydrologic connectivity along meandering river floodplains because of differences in the elevation of the natural levee surface relative to floodplain bottoms and the considerable variability in the elevation of the channel bank profile. There is a large disparity in discharge duration associated with floodplain inundation in comparison to river channel bank inundation. A discharge duration of 10% is associated with inundation of 87% of the floodplain surface whereas only 53% of the channel bank profile is overtopped. An apparent threshold in inundation occurs as the discharge duration decreases below about 35%. While a duration of 25% results in very little of the channel bank being overtopped, it inundates 50% of the floodplain surface. Floodplain borrow pits, which are created in association with dike construction, represent a constant anthropogenic influence on the lower Mississippi embanked floodplain morphology, and are inundated by low discharge magnitudes. The results of the investigation shed new light on the topic of hydrologic connectivity for an important embanked fluvial system that has previously received little attention concerning its physical floodplain processes. © 2013 John Wiley &amp; Sons, Ltd.</t>
  </si>
  <si>
    <t>2-s2.0-84880043855"</t>
  </si>
  <si>
    <t>10.1007/s11625-013-0205-9</t>
  </si>
  <si>
    <t>https://www.scopus.com/inward/record.uri?eid=2-s2.0-84879781882&amp;doi=10.1007%2fs11625-013-0205-9&amp;partnerID=40&amp;md5=d419cf97b5a90596403826a2ab6acdc2</t>
  </si>
  <si>
    <t>In the context of rapid population growth and urbanization, atoll countries have engaged in reclamation works and in the construction of coastal defences to extend inhabitable areas and reduce the threats posed by coastal erosion and flooding. Despite their major role in asset protection, coastal structures are still poorly documented. However, a better knowledge of the characteristics of these structures (location, type, condition, management status, etc.) would facilitate the establishment of consistent construction and maintenance programmes, and also contribute to a better understanding of shoreline changes. To address this need, this paper provides an assessment of coastal structures on Tarawa Atoll in Kiribati. The results highlight the abundance of structures, mostly seawalls (94.7 % of the total), which stretch along 29 % of the coastline. The protected shoreline decreases from urban (53.9 % at Bairiki) to rural islands (27.3 % at Buota), in proportion to population pressure. The occurrence and height of structures are greater on windward, ocean shores than on lagoon shores. Seawall condition is better in rural islands, compared to urban and semi-urban areas. The observed differences in the characteristics and physical condition of coastal structures mainly reflect differences in the management status of structures and the availability of building materials and funding. More generally, the occurrence and characteristics of coastal structures are strongly correlated to population densities, land-use dynamics and shoreline mobility. At some locations, the failure of coastal protection highlights the seriousness of the problems raised by land-use practices in Tarawa. © 2013 Springer Japan.</t>
  </si>
  <si>
    <t>2-s2.0-84879781882"</t>
  </si>
  <si>
    <t>10.1002/jgrc.20258</t>
  </si>
  <si>
    <t>https://www.scopus.com/inward/record.uri?eid=2-s2.0-84885152350&amp;doi=10.1002%2fjgrc.20258&amp;partnerID=40&amp;md5=6165ad84602857b1b79ac98875f8968b</t>
  </si>
  <si>
    <t>The tidal regime in the Bohai Sea, China, is investigated using observations and an established numerical tidal model. The area has recently experienced rapid coastline changes due to natural developments of the Yellow River delta and large-scale anthropogenic land reclamation. These morphological changes are not reflected in most global bathymetric databases and are thus rarely incorporated into investigations of the Bohai Sea. It is shown that there have indeed been significant changes in the tidal regime in the Bohai Sea over the last 35 years, with M2 amplitudes changing up to 20 cm in some parts. The model captures some of these changes when the appropriate bathymetries are used. Furthermore, the simulations show that the tides in the Bohai Sea have become more sensitive to future sea level rise and the way in which it is implemented in the model (i.e., whether or not flood defenses are included). These sensitivity changes are due to the recent coastal developments. ©2013. American Geophysical Union. All Rights Reserved.</t>
  </si>
  <si>
    <t>2-s2.0-84885152350"</t>
  </si>
  <si>
    <t>10.1007/s11442-013-1005-y</t>
  </si>
  <si>
    <t>https://www.scopus.com/inward/record.uri?eid=2-s2.0-84873258395&amp;doi=10.1007%2fs11442-013-1005-y&amp;partnerID=40&amp;md5=110a10d3a78e7e9c16f9bb85d662a1b9</t>
  </si>
  <si>
    <t>The mouth bar in the Yangtze estuarine waterways has a significant influence on navigational transport within the estuary, flood discharge and construction of the Shanghai Port. In this paper the morphological evolution and mechanisms of mouth bar formation of the Yangtze estuarine waterways are studied by analyzing hundreds of years of historical data and the latest profile maps of some or the main mouth bar channels in the Yangtze Estuary. The results are shown as follows: The mouth bars in the North Branch have moved gradually from outside the mouth to the inside and formed a huge sand bar. In the North Channel, the head of the mouth bar has migrated about 30 kilometers downstream, and a channel bar has been developing since 2001. Two mouth bar tops, which always existed in the North Passage, disappeared in 2010. The head of the mouth bar in the South Passage has migrated downstream about 14 km and the number of tops increased at first but is reduced to only one now. According to the results, we can conclude that the evolution of the mouth bars differs depending on their location. In the North Branch it is directly related to large-scale reclamation in Chongming Island, but in the North Passage it has a close relationship with regulation of the Yangtze Estuary Deepwater Channel. However, the evolution of mouth bars in the North Channel and South Passage is not only connected with the Yangtze Estuary Deepwater Channel Regulation Project, but also with the reclamation in the East Hengsha Shoal and the closure of the Qingcaosha Reservoir. © 2013 Science Press and Springer-Verlag Berlin Heidelberg.</t>
  </si>
  <si>
    <t>2-s2.0-84873258395"</t>
  </si>
  <si>
    <t>10.1007/s11069-013-0610-5</t>
  </si>
  <si>
    <t>https://www.scopus.com/inward/record.uri?eid=2-s2.0-84877061932&amp;doi=10.1007%2fs11069-013-0610-5&amp;partnerID=40&amp;md5=beb779b448f12d980da173afcefe8480</t>
  </si>
  <si>
    <t>Extreme sea-level events (e. g. caused by storm surges) can cause coastal flooding, and considerable disruption and damage. To understand the impacts or hazards expected by different sea levels, waves and defence failures, it is useful to monitor and analyse coastal flood events, including generating numerical simulations of floodplain inundation. Ideally, any such modelling should be calibrated and validated using information recorded during real events, which can also add plausibility to synthetic flood event simulations. However, such data are rarely compiled for coastal floods. This paper demonstrates the capture of such a flood event dataset, and its integration with defence and floodplain modelling to reconstruct, archive and better understand the regional impacts of the event. The case-study event comprised a significant storm surge, high tide and waves in the English Channel on 10 March 2008, which resulted in flooding in at least 37 distinct areas across the Solent, UK (mainly due to overflow and outflanking of defences). The land area flooded may have exceeded 7 km2, with the breaching of a shingle barrier at Selsey contributing to up to 90 % of this area. Whilst sea floods are common in the Solent, this is the first regional dataset on flood extent. The compilation of data for the validation of coastal inundation modelling is discussed, and the implications for the analysis of future coastal flooding threats to population, business and infrastructure in the region. © 2013 Springer Science+Business Media Dordrecht.</t>
  </si>
  <si>
    <t>2-s2.0-84877061932"</t>
  </si>
  <si>
    <t>10.1007/s10236-012-0587-8</t>
  </si>
  <si>
    <t>https://www.scopus.com/inward/record.uri?eid=2-s2.0-84879687993&amp;doi=10.1007%2fs10236-012-0587-8&amp;partnerID=40&amp;md5=ad97bd3875ef8e1f357fa645dbbb288e</t>
  </si>
  <si>
    <t>The Mississippi River (MR) freshwater outflow is a major circulation forcing mechanism for the Northern Gulf of Mexico. We investigate the transport and fate of the brackish waters under flood conditions. The largest outflow in history (45,000 m3/s in 2011) is compared with the second largest outflow in the last 8 years (41,000 m3/s in 2008). Realistically forced simulations reveal the synergistic effect of enhanced discharge, winds, stratification of ambient shelf waters, and offshore circulation over the transport of plume waters. The strongest impact is attributed to the evolution of the Loop Current (LC) and associated frontal cyclonic eddies and anticyclonic rings, which exhibited distinctly different influence during the two study periods. The northward LC intrusion in the summer of 2011 weakened and blocked the buoyancy-driven downstream (westward) transport of brackish waters. The 2011 flood was thus characterized by upstream (eastward) flow and an extensive coverage of the Mississippi-Alabama-Florida shelf. An immediate response between the LC and the brackish offshore eastward spreading is computed during and after this historic event. The absence of a LC northward intrusion during the 2008 flood, in combination with wind effects, promotes downstream advection of MR waters towards the Louisiana-Texas shelf</t>
  </si>
  <si>
    <t>10.5194/nhess-13-1209-2013</t>
  </si>
  <si>
    <t>https://www.scopus.com/inward/record.uri?eid=2-s2.0-84879294590&amp;doi=10.5194%2fnhess-13-1209-2013&amp;partnerID=40&amp;md5=361d020812699f0494df5e2c286f9d19</t>
  </si>
  <si>
    <t>Assessing coastal vulnerability to climate change at regional scales is now mandatory in France since the adoption of recent laws to support adaptation to climate change. However, there is presently no commonly recognised method to assess accurately how sea level rise will modify coastal processes in the coming decades. Therefore, many assessments of the physical component of coastal vulnerability are presently based on a combined use of data (e.g. digital elevation models, historical shoreline and coastal geomorphology datasets), simple models and expert opinion. In this study, we assess the applicability and usefulness of a multi-criteria decision-mapping method (the analytical hierarchy process, AHP) to map physical coastal vulnerability to erosion and flooding in a structured way. We apply the method in two regions of France: the coastal zones of Languedoc-Roussillon (north-western Mediterranean, France) and the island of La Réunion (south-western Indian Ocean), notably using the regional geological maps. As expected, the results show not only the greater vulnerability of sand spits, estuaries and low-lying areas near to coastal lagoons in both regions, but also that of a thin strip of erodible cliffs exposed to waves in La Réunion. Despite gaps in knowledge and data, the method is found to provide a flexible and transportable framework to represent and aggregate existing knowledge and to support long-term coastal zone planning through the integration of such studies into existing adaptation schemes. © 2013 Author(s).</t>
  </si>
  <si>
    <t>2-s2.0-84879294590"</t>
  </si>
  <si>
    <t>10.2112/JCOASTRES-D-12-00175.1</t>
  </si>
  <si>
    <t>https://www.scopus.com/inward/record.uri?eid=2-s2.0-84877643721&amp;doi=10.2112%2fJCOASTRES-D-12-00175.1&amp;partnerID=40&amp;md5=33e3fd80c93c74bb0fd29aac19a895a4</t>
  </si>
  <si>
    <t>Sea-level rise remains one of the most pressing societal concerns relating to climate change. A significant proportion of the global population, including many of the world's large cities, are located close to the coast in potentially vulnerable regions such as river deltas. The Permanent Service for Mean Sea Level (PSMSL) continues to evolve and provide global coastal sea-level information and products that help to develop our understanding of sea-level and land motion processes. Its work aids a range of scientific research, not only in long-term change, but also in the measurement and understanding of higher frequency variability such as storm surges and tsunamis. The PSMSL has changed considerably over the past 10 years, and the aim of this paper is to update the community about these changes as well as provide an overview of our continuing work. © 2012, the Coastal Education &amp; Research Foundation.</t>
  </si>
  <si>
    <t>2-s2.0-84877643721"</t>
  </si>
  <si>
    <t>10.1111/sjtg.12021</t>
  </si>
  <si>
    <t>https://www.scopus.com/inward/record.uri?eid=2-s2.0-84880023317&amp;doi=10.1111%2fsjtg.12021&amp;partnerID=40&amp;md5=ffeb2bb2740552cc9fe0c7e8e67fc512</t>
  </si>
  <si>
    <t>As in the past, most Pacific Island people live today along island coasts and subsist largely on foods available both onshore and offshore. On at least two occasions in the 3500 years that Pacific Islands have been settled, sea level changes affected coastal bioproductivity to the extent that island societies were transformed in consequence. Over the past 200 years, sea level has been rising along most Pacific Island coasts causing loss of productive land through direct inundation (flooding), shoreline erosion and groundwater salinization. Responses have been largely uninformed, many unsuccessful. By the year 2100, sea level may be 1.2m higher than today. Together with other climate-linked changes and unsustainable human pressures on coastal zones, this will pose huge challenges for livelihoods. There is an urgent need for effective and sustainable adaptation of livelihoods to prepare for future sea level rise in the Pacific Islands region. There are also lessons to be learned from past failures, including the need for adaptive solutions that are environmentally and culturally appropriate, and those which appropriate decision makers are empowered to design and implement. Around the middle of the twenty-first century, traditional coastal livelihoods are likely to be difficult to sustain, so people in the region will need alternative food production systems. Within the next 20-30 years, it is likely that many coastal settlements will need to be relocated, partly or wholly. There are advantages in anticipating these needs and planning for them sooner rather than later. In many ways, the historical and modern Pacific will end within the next few decades. There will be fundamental irreversible changes in island geography, settlement patterns, subsistence systems, societies and economic development, forced by sea level rise and other factors. © 2013 The Author Singapore Journal of Tropical Geography © 2013 Department of Geography, National University of Singapore and Wiley Publishing Asia Pty Ltd.</t>
  </si>
  <si>
    <t>2-s2.0-84880023317"</t>
  </si>
  <si>
    <t>10.1016/j.geomorph.2013.03.029</t>
  </si>
  <si>
    <t>https://www.scopus.com/inward/record.uri?eid=2-s2.0-84877684795&amp;doi=10.1016%2fj.geomorph.2013.03.029&amp;partnerID=40&amp;md5=2ca22e33ad7d89431426cf224a076705</t>
  </si>
  <si>
    <t>The presence of Mesozoic and Cenozoic marine sediments at an altitude of 1.2. km near Scoresby Sund (central east Greenland) and Nuussuaq Peninsula (central west Greenland), and even up to 2. km in the Kangerdlugssuaq region (south-central east Greenland), illustrates significant uplifts of Greenland's margins. The magnitude of these uplifts somewhat contrasts with the absence of major tectonic activity along Greenland margins during the Cenozoic. In this study we test to which degree these vertical motions can be explained by glacial processes. We analyze the influence of the ice sheet loading in the central part of Greenland and the carving of the fjord systems on the evolution of the topography by numerically modeling these processes backward in time. In our experiments, we start with the modern topography and ice thickness and evaluate the pre-glacial topography calculating the flexural isostatic response to unloading the ice sheet. By restoring erosion backward in time and calculating the flexural isostatic effects, we estimate the influence of glacial carving (hereafter, the carving of the Earth surface by glacial-related erosion) and evaluate the pre-erosional topography of Greenland. Our analyses show that (1) the load of the ice sheet causes up to 850. m subsidence of the bedrock topography of the central part of Greenland. (2) The peripheral bulging caused by this ice loading has a negligible effect on amplitude of the uplifted Greenland margins. (3) Glacial carving and corresponding development of the large fjord system has a significant influence on vertical motion of passive margins of central (east and west) Greenland and can explain up to 1.2. km uplift. (4) The models show, however, that much of Greenland's topography is not caused by ice-related processes, and thus origin of these older mountain chains remains enigmatic. (5) Masses eroded from the regions of significant glacial erosion are larger than the recognized amount of sediments within adjacent off-shore basins, meaning that either the topography of those margins formed before breakup of Greenland or that sediments can be moved far away by the ocean. We also illustrate that our estimations are conservative because of low resolution of the DEMs used for calculations. Higher DEM resolution may increase effects of glacial carving by ~40%. © 2013 Elsevier B.V.</t>
  </si>
  <si>
    <t>2-s2.0-84877684795"</t>
  </si>
  <si>
    <t>https://www.scopus.com/inward/record.uri?eid=2-s2.0-84877144104&amp;partnerID=40&amp;md5=8e73675d739a0415efba49a5dd38ea0f</t>
  </si>
  <si>
    <t>Over the past few years, several attempts have been performed to find alternative ""chemical proxies"" in order to discriminate ""tsunami backwash deposits"" from ""typical marine sediments"". A wide range of statistical tools has been selected in order to investigate the sediments and/or terrestrial soils transportation mechanism during the tsunami inundation period by using several types of chemical tracers. To relate the physical and chemical characteristics of Typical Marine Sediments (TMS), Tsunami Backwash Deposits (TBD), Onshore Tsunami Deposits (OTD) and Coastal Zone Soils (CZS) with their synchrotron radiation based micro-X-ray Fluorescence (μ-SXRF) spectra, the μ-SXRF spectra were built in the appropriate selected spectra range from 3,000 eV to 8,000 eV. Further challenges were considered by using the first-order derivative μ-SXRF spectra coupled with Probability Distribution Function (PDF), Hierarchical Cluster Analysis (HCA) and Principal Component Analysis (PCA) in order to investigate the elemental distribution characteristics in various types of terrestrial soils and marine sediments. Dendrographic classifications and multi-dimensional plots of principal components (i.e. bi-polar and three dimensional plots) could indicate the impacts of terrestrial soils and/or marine sediments transport on onshore and/or offshore during the tsunami inundation period. Obviously, these advanced statistical analyses are quite useful and provide valuable information and thus shed new light on the study of paleotsunami.</t>
  </si>
  <si>
    <t>2-s2.0-84877144104"</t>
  </si>
  <si>
    <t>10.5194/nhess-13-1779-2013</t>
  </si>
  <si>
    <t>https://www.scopus.com/inward/record.uri?eid=2-s2.0-84880476734&amp;doi=10.5194%2fnhess-13-1779-2013&amp;partnerID=40&amp;md5=96cbf814d7633acb65fa3ba91638bdc9</t>
  </si>
  <si>
    <t>This paper seeks to investigate the effectiveness of sea-defense structures in preventing/reducing the tsunami overtopping as well as evaluating the resulting tsunami impact at El Jadida, Morocco. Different tsunami wave conditions are generated by considering various earthquake scenarios of magnitudes ranging from &lt;i&gt;M&lt;/i&gt;w Combining double low line 8.0 to &lt;i&gt;M&lt;/i&gt;w Combining double low line 8.6. These scenarios represent the main active earthquake faults in the SW Iberia margin and are consistent with two past events that generated tsunamis along the Atlantic coast of Morocco. The behaviour of incident tsunami waves when interacting with coastal infrastructures is analysed on the basis of numerical simulations of near-shore tsunami waves' propagation. Tsunami impact at the affected site is assessed through computing inundation and current velocity using a high-resolution digital terrain model that incorporates bathymetric, topographic and coastal structures data. Results, in terms of near-shore tsunami propagation snapshots, waves' interaction with coastal barriers, and spatial distributions of flow depths and speeds, are presented and discussed in light of what was observed during the 2011 Tohoku-oki tsunami. Predicted results show different levels of impact that different tsunami wave conditions could generate in the region. Existing coastal barriers around the El Jadida harbour succeeded in reflecting relatively small waves generated by some scenarios, but failed in preventing the overtopping caused by waves from others. Considering the scenario highly impacting the El Jadida coast, significant inundations are computed at the sandy beach and unprotected areas. The modelled dramatic tsunami impact in the region shows the need for additional tsunami standards not only for sea-defense structures but also for the coastal dwellings and houses to provide potential in-place evacuation. © Author(s) 2013.</t>
  </si>
  <si>
    <t>2-s2.0-84880476734"</t>
  </si>
  <si>
    <t>10.1038/nclimate1826</t>
  </si>
  <si>
    <t>https://www.scopus.com/inward/record.uri?eid=2-s2.0-84878591172&amp;doi=10.1038%2fnclimate1826&amp;partnerID=40&amp;md5=4dae27130e43a4af174691b28e3cc7c6</t>
  </si>
  <si>
    <t>Barring an unprecedented large-scale effort to raise island elevation, barrier-island communities common along the US East Coast are likely to eventually face inundation of the existing built environment on a timescale that depends on uncertain climatic forcing. Between the present and when a combination of sea-level rise and erosion renders these areas uninhabitable, communities must choose levels of defensive expenditures to reduce risks and individual residents must assess whether and when risk levels are unacceptably high to justify investment in housing. We model the dynamics of coastal adaptation as the interplay of underlying climatic risks, collective actions to mitigate those risks, and individual risk assessments based on beliefs in model predictions and processing of past climate events. Efforts linking physical and behavioural models to explore shoreline dynamics have not yet brought together this set of essential factors. We couple a barrier-island model with an agent-based model of real-estate markets to show that, relative to people with low belief in model predictions about climate change, informed property owners invest heavily in defensive expenditures in the near term and then abandon coastal real estate at some critical risk threshold that presages a period of significant price volatility. © 2013 Macmillan Publishers Limited. All rights reserved.</t>
  </si>
  <si>
    <t>2-s2.0-84878591172"</t>
  </si>
  <si>
    <t>10.1016/j.cageo.2013.05.004</t>
  </si>
  <si>
    <t>https://www.scopus.com/inward/record.uri?eid=2-s2.0-84879131046&amp;doi=10.1016%2fj.cageo.2013.05.004&amp;partnerID=40&amp;md5=373bcc3cf4d681da234f01fcc8c00ba3</t>
  </si>
  <si>
    <t>The processes of wetting and drying have many important physical and biological impacts on shallow water systems. Inundation and dewatering effects on coastal mud flats and beaches occur on various time scales ranging from storm surge, periodic rise and fall of the tide, to infragravity wave motions. To correctly simulate these physical processes with a numerical model requires the capability of the computational cells to become inundated and dewatered. In this paper, we describe a method for wetting and drying based on an approach consistent with a cell-face blocking algorithm. The method allows water to always flow into any cell, but prevents outflow from a cell when the total depth in that cell is less than a user defined critical value. We describe the method, the implementation into the three-dimensional Regional Oceanographic Modeling System (ROMS), and exhibit the new capability under three scenarios: an analytical expression for shallow water flows, a dam break test case, and a realistic application to part of a wetland area along the Georgia Coast, USA. © 2013.</t>
  </si>
  <si>
    <t>2-s2.0-84879131046"</t>
  </si>
  <si>
    <t>10.1007/s11069-013-0591-4</t>
  </si>
  <si>
    <t>https://www.scopus.com/inward/record.uri?eid=2-s2.0-84877079077&amp;doi=10.1007%2fs11069-013-0591-4&amp;partnerID=40&amp;md5=18b436305cc07aa7fcd862826c7c5c05</t>
  </si>
  <si>
    <t>Coastal northern Australia is largely owned and occupied by Aboriginal people who are strongly connected to their traditional country. We assess the views of Aboriginal people in Arnhem Land on the impacts of climate change and their possible precautionary responses to both sea level rise and a potential increase in the intensity of tropical cyclones in coastal communities. All respondents had heard about climate change, and 48 % had already seen environmental changes, particularly sea level rise, which they attributed to climate change. Fifty-eight percent of respondents would consider relocating in the future for safety reasons, although most respondents perceived living close to the sea as highly important for their future well-being, emphasising their strong connection to their traditional sea country. Many of those willing to relocate would consider moving inland, either temporarily or permanently, provided that community facilities could also be moved. Other respondents who said they would be unlikely to relocate in the future because of climate change impacts, and would prefer to adapt in situ with government support (e. g. building more shelters for severe cyclones, building sea walls and better roads for quick evacuation if necessary). We recommend that the diversity of adaptation preferences among Aboriginal people should be accommodated in policy to minimise social impacts of climate change and to take advantage of potential opportunities that could arise from moving. © 2013 Springer Science+Business Media Dordrecht.</t>
  </si>
  <si>
    <t>2-s2.0-84877079077"</t>
  </si>
  <si>
    <t>10.1002/grl.50568</t>
  </si>
  <si>
    <t>https://www.scopus.com/inward/record.uri?eid=2-s2.0-84880551979&amp;doi=10.1002%2fgrl.50568&amp;partnerID=40&amp;md5=d1ce92700f49932fa69ac47a9d80c109</t>
  </si>
  <si>
    <t>Delta margins are subject to relatively high rates of land subsidence and have the potential to significantly exacerbate future changes in sea levels predicted by global warming models used in impact studies. Through a combined analysis of GPS and persistent scatterer interferometry data, we determine that most of the coastline of Alexandria has been subject to moderate land subsidence over the past decade (0.4 mm/yr on average and up to 2 mm/yr locally). This contrasts to previous studies that suggested subsidence in excess of 3 mm/yr. Based on our findings, we infer that on multi-century to millennia timescales, land subsidence in the area of Alexandria is dominated by tectonic setting and earthquakes or gravitational collapse episodes of a growth fault, whereas on shorter interseismic decadal to century timescales, subsidence rates are likely steady and moderate, in agreement with natural compaction and dewatering of the observed Holocene sediment layer. Key Points Use of a combined analysis of GPS and PSI data Alexandria coastal are has been subject to moderate land subsidence Important considerations for local planning and policy development ©2013. American Geophysical Union. All Rights Reserved.</t>
  </si>
  <si>
    <t>2-s2.0-84880551979"</t>
  </si>
  <si>
    <t>10.1007/s13157-013-0401-5</t>
  </si>
  <si>
    <t>https://www.scopus.com/inward/record.uri?eid=2-s2.0-84877730652&amp;doi=10.1007%2fs13157-013-0401-5&amp;partnerID=40&amp;md5=a9a921ea14cbf28599fde6677af28338</t>
  </si>
  <si>
    <t>Water level fluctuations are well known to structure wetland vegetation along lakeshores, but the hydroperiod components that drive plant community change are often not differentiated. This study characterized river delta plant communities and examined the distribution and hydroperiods of dominant species in response to a changing, hypervariable lake water regime. At three intervals over an 18 year period we mapped plant communties and developed hydroperiod graphs of dominant plant species at comparable points along their elevation distribution. These low diversity community types (sedge, willow, and cottonwood/alder dominated) generally shifted upslope as lake water levels increased. Hydroperiod graphs showed that the dominant sedge species (Carex vesicaria) moved upslope enough to maintain a similar hydroperiod as lake water levels increased, but the dominant shrub species (Salix spp.) did not. The lower sedge boundary was best correlated to late summer water levels, indicating that inundation duration and growing season length was likely controlling the lower limit of sedge vegetation. Salix spp. distribution was likely controlled primarily by maximum depth and secondarily by inundation duration. Hydroperiod graphs provide a simple way of relating key hydrologic variables to the distribution of wetland vegetation, and to predict vegetation response to future reservoir water levels. © 2013 Society of Wetland Scientists.</t>
  </si>
  <si>
    <t>2-s2.0-84877730652"</t>
  </si>
  <si>
    <t>10.1007/s10533-012-9817-x</t>
  </si>
  <si>
    <t>https://www.scopus.com/inward/record.uri?eid=2-s2.0-84879224836&amp;doi=10.1007%2fs10533-012-9817-x&amp;partnerID=40&amp;md5=f3930f52141fbe14f5be2728d97e5ce1</t>
  </si>
  <si>
    <t>The Okavango River, in semi-arid northwestern Botswana, flows for over 400 km in a pristine wetland developed on a large (&gt;22,000 km2) alluvial fan (Okavango Delta). An annual flood pulse inundates the floodplains of the wetlands and travels across the Delta in 4-6 months. In this study, we assess the effects of long hydraulic residence time, variable hydrologic interaction between river-floodplain-wetland and evapotranspiration on carbon cycling. We measured dissolved inorganic carbon (DIC) concentrations and stable carbon isotopes of DIC (δ13CDIC) from river water when the Delta was not flooded (low water) and during flooding (high water). During low water, the average DIC concentration was 31 % higher and the δ13CDIC 2.1 ‰ more enriched compared to high water. In the lower Delta with seasonally flooded wetlands, the average DIC concentration increased by 70 % during low water and by 331 % during high water compared to the Panhandle with permanently flooded wetlands. The increasing DIC concentration downriver is mostly due to evapoconcentration from transpiration and evaporation with increased transit time. The average δ13CDIC between low and high water decreased by 3.7 ‰ in the permanently flooded reaches compared to an increase of 1.6 ‰ in the seasonally flooded reaches. The lower δ13CDIC during high water in the permanently flooded reaches suggest that DIC influx from the floodplain-wetland affects river's DIC cycling. In contrast, higher river channel elevations relative to the wetlands along seasonal flooded reaches limit hydrologic interaction and DIC cycling occurs mostly by water column processes and river-atmospheric exchange. We conclude that river-wetlands interaction and evapoconcentration are important factors controlling carbon cycling in the Okavango Delta. © 2013 Springer Science+Business Media Dordrecht.</t>
  </si>
  <si>
    <t>2-s2.0-84879224836"</t>
  </si>
  <si>
    <t>10.1007/s11852-011-0175-y</t>
  </si>
  <si>
    <t>https://www.scopus.com/inward/record.uri?eid=2-s2.0-84878106952&amp;doi=10.1007%2fs11852-011-0175-y&amp;partnerID=40&amp;md5=d3a5908cedb8b3cbe5f36568c583daa9</t>
  </si>
  <si>
    <t>A growing awareness of increasing trends in coastal erosion and flooding due to climate change is triggering a demand for the rapid assessment of the potential responses of the coastlines around the world, principally in locations where human occupation is especially endangered. Investigations of present and future physical vulnerability and associated social risk have, therefore, become crucial for coastal management. In order to provide a quick and simple methodology for the identification of vulnerable coastal segments, Sharples (2006) has proposed a mapping methodology, called the smartline approach, which consists of representing, by means of simple lines, a geomorphic classification of the hinterland, backshore and beaches. The aim of this paper is to apply the smartline approach to coastal vulnerability assessment with inclusion of social data. The results show that this methodology is appropriate for the indication of coastal segments with varying degrees of vulnerability to erosion and flooding and for the appraisal of the resulting social risk. © 2011 Springer Science+Business Media B.V.</t>
  </si>
  <si>
    <t>2-s2.0-84878106952"</t>
  </si>
  <si>
    <t>Journal of Geophysical Research Atmospheres</t>
  </si>
  <si>
    <t>10.1002/jgrd.50516</t>
  </si>
  <si>
    <t>https://www.scopus.com/inward/record.uri?eid=2-s2.0-84880861238&amp;doi=10.1002%2fjgrd.50516&amp;partnerID=40&amp;md5=3e2a6c5ae5c4121e86107d046617d222</t>
  </si>
  <si>
    <t>Stratocumulus clouds (SC) often exist over the eastern subtropical oceans during the summer and have significant impacts on the surface radiation budget. Both atmospheric subsidence and lower troposphere stability (LTS) have been found to play important roles in maintaining SC. Using global climate model simulations, we find that irrigation in California's Central Valley results in a decrease of land surface temperature, leading to a smaller land-sea heat contrast, and a corresponding reduction in sea breeze, subsidence, and LTS over the near-coastal region. The decrease in LTS directly drives a reduction in modeled SC coverage, and it would arguably do so in reality because of the well-known link between LTS and SC coverage. Consequently, simulated absorbed surface solar radiation over this region increases by 8 W/m2 (3.7%) due to the reduction in SC cover, resulting in the warming at the Earth's surface. This study has important implications for how SC can change with regard to future climate. In contrast to the general effects of climate change on the formation of SC, our results suggest that irrigation practices in the Central Valley may drive a decrease in nearby SC coverage. Key Points Irrigation causes land temperature decrease and smaller land-sea heat contrast. Absorbed surface solar radiation nearby California increased by 7.8 W/m2. It suggests that SC occurrences may decrease due to California irrigation. © 2013. American Geophysical Union. All Rights Reserved.</t>
  </si>
  <si>
    <t>2-s2.0-84880861238"</t>
  </si>
  <si>
    <t>10.1002/grl.50286</t>
  </si>
  <si>
    <t>https://www.scopus.com/inward/record.uri?eid=2-s2.0-84876901928&amp;doi=10.1002%2fgrl.50286&amp;partnerID=40&amp;md5=4f8d7e9f1fe28a929016fda87514d2a8</t>
  </si>
  <si>
    <t>On 19 March 2008, a small explosive eruption at the summit of Kīlauea Volcano, Hawai'i, heralded the formation of a new vent along the east wall of Halema'uma'u Crater. In the ensuing years, the vent widened due to collapses of the unstable rim and conduit wall</t>
  </si>
  <si>
    <t>10.1086/669230</t>
  </si>
  <si>
    <t>https://www.scopus.com/inward/record.uri?eid=2-s2.0-84875343598&amp;doi=10.1086%2f669230&amp;partnerID=40&amp;md5=d83fd6b82bfc2624bb995507fbf1ba36</t>
  </si>
  <si>
    <t>Understanding sedimentary provenance is essential when investigating clastic strata. The lack of compositional variability in mature sediments associated with Cambrian cratonic sequences in the United States makes traditional petrographic discrimination of sedimentary origin difficult. The upper Cambrian Mount Simon Sandstone of the Illinois Basin is a quartz arenite (Q93F5L2 and Qm85F5Lt10) with unconstrained sediment provenance and is also the reservoir for ongoing injection of a million tons of CO2. This study investigates whether fluctuations in sedimentary provenance caused changes in the composition and texture of the Mount Simon Sandstone reservoir through its deposition. Core descriptions, petrographic analyses of 35 thin sections, and LA-ICPMS analyses of five detrital zircon samples, collected from 878 feet of the Mount Simon Sandstone depositional interval in Stephenson County, Illinois, the only known core that includes the entire formation, yield new compositional data and U-Pb ages. Compositional heterogeneities observed from the top to the bottom along the core, including changes in polycrystalline quartz (from 1% to 22%) and feldspar (from 0% to 19%), suggests provenance change during Mount Simon Sandstone deposition. Seven U-Pb age populations, from 487 detrital zircon grains, correspond to Laurentian source terranes: Superior (2780- 2570 and 3000-2800 Ma), Penokean (1990-1800 Ma), Central Plains (1700-1620 and 1790-1750 Ma), Granite-Rhyolite (1500-1300 Ma), and Grenville and Midcontinent Rift (1280-1023 Ma). Variations in detrital zircon age spectra correlate with compositional changes, representing changes in sedimentary provenance that occurred during the Late Cambrian. Early in Mount Simon Sandstone deposition, braided fluvial systems transported detritus from Archean and Mesoproterozoic sources. A shift to marine-influenced deltas led to sourcing from predominantly Archean terranes. We hypothesize that a sea level rise obscured proximal sources and drove headwater incision cratonward. © 2013 by The University of Chicago. All rights reserved.</t>
  </si>
  <si>
    <t>2-s2.0-84875343598"</t>
  </si>
  <si>
    <t>10.3906/yer-1205-3</t>
  </si>
  <si>
    <t>https://www.scopus.com/inward/record.uri?eid=2-s2.0-84879044912&amp;doi=10.3906%2fyer-1205-3&amp;partnerID=40&amp;md5=98166c6478843f3014a2a329b583a7a1</t>
  </si>
  <si>
    <t>With the rising sea level becoming a more pressing issue to coastal areas, a comprehensive analysis has been conducted to assess the vulnerability of the Çukurova Delta under the projected inundation by the end of the century. The level of inundation was estimated from a multimission satellite altimetry sea level anomaly and significant wave height data between September 1992 and February 2012. Superposed to the clear annual oscillation with 6.2 cm amplitude peaking around the beginning of October, the mean sea level signal exhibits a positive trend of 3.4 ± 0.1 mm/year over the altimetric data period. The extreme wave height with a 100-year return period is estimated to be about 6.1 ± 0.03 m, based on extreme probability distribution of the significant wave height data. In addition, taking the effects of tidal and meteorological forcings on the sea level into account, the maximum level of flooding expected to occur by the year 2100 reaches up to 6.7 m. GIS-based inundation mapping on the high resolution elevation model indicates that 69% of the area would be at risk of flooding. Nearshore settlements, lagoons, and the agricultural lands are the most severely impacted areas due to the inundation. The results can contribute to enhancing wetland conservation and management in the Çukurova Delta. © TÜBİTAK.</t>
  </si>
  <si>
    <t>2-s2.0-84879044912"</t>
  </si>
  <si>
    <t>10.5194/nhess-13-523-2013</t>
  </si>
  <si>
    <t>https://www.scopus.com/inward/record.uri?eid=2-s2.0-84880589866&amp;doi=10.5194%2fnhess-13-523-2013&amp;partnerID=40&amp;md5=fe22156bb071cb35a5feb0bb1786b1b4</t>
  </si>
  <si>
    <t>We report on the hydrologic and morphologic setting of the Samborombón Bay, Argentina, which is expected at the end of the 21st century as a consequence of possible scenarios of relative sea level rise (RSLR). The geomorphological analysis of the Samborombón coastland points out only minor changes occurred over the last 40 yr. The modifications are mainly related to the construction of canals to enhance the floodplain drainage. A digital elevation model (DEM) obtained by the Shuttle Radar Topography Mission (SRTM) data archive, ad hoc calibrated/validated for the study area, highlights that about 3000 km2 of coastal plain present a morphological setting at high risk of sea flooding. The analysis of sea level and storm surge events recorded from 1905 to 2010 in Buenos Aires provides the RSLR rate and the return period of extreme floods. In addition, vertical land movements (VLM) measured by the permanent GPS stations of Buenos Aires and La Plata allow for the quantification of the eustatic component of the RSLR and estimating a plausible RSLR rate in the Samborombón Bay. Taking into account possible RSLR scenarios at the end of 2100 as resulting from the statistical analysis of (i) tide gauge and GPS time series and (ii) Intergovernmental Panel on Climate Change (IPCC) predictions, the potential effect of the increased sea level on the Samborombón coastland is simulated. The results show that the combined rise of sea levels, surficial waters and groundwater will lead to a new morphohydrologic setting of the coastal area, especially in the lowlying southern sector. Here, a coastline retreat up to 40 km is expected, with temporary submersion up to 4000 km 2 during storm surges. © Author(s) 2013.</t>
  </si>
  <si>
    <t>2-s2.0-84880589866"</t>
  </si>
  <si>
    <t>10.1007/s10584-012-0541-2</t>
  </si>
  <si>
    <t>https://www.scopus.com/inward/record.uri?eid=2-s2.0-84879156145&amp;doi=10.1007%2fs10584-012-0541-2&amp;partnerID=40&amp;md5=b35cbf7d0122fa2b05388393ca8ca2ef</t>
  </si>
  <si>
    <t>Human impacts on marine fisheries go back many centuries or even thousands of years in some coastal areas. Full global exploitation of the most productive fish stocks probably occurred around 1990. Many stocks have been overexploited and the assessment and management required to rein this in and to combat other human pressures, such as pollution, has been slow to mature, but is showing positive trends. The need to protect marine ecosystems for their intrinsic value and for the services they provide has also been recognised and is being embodied in legislation and turned into operational tools. As with terrestrial systems, it will not be easy to find acceptable balances between food production and conservation objectives. Climate change imposes a new set of pressures on marine ecosystems</t>
  </si>
  <si>
    <t>10.1080/02626667.2013.813946</t>
  </si>
  <si>
    <t>https://www.scopus.com/inward/record.uri?eid=2-s2.0-84883488524&amp;doi=10.1080%2f02626667.2013.813946&amp;partnerID=40&amp;md5=5bc1f7d04e79ebe286f9986cff0d1932</t>
  </si>
  <si>
    <t>Water supply to the world's megacities is a problem of quantity and quality that will be a priority in the coming decades. Heavy pumping of groundwater beneath these urban centres, particularly in regions with low natural topographic gradients, such as deltas and floodplains, can fundamentally alter the hydrological system. These changes affect recharge area locations, which may shift closer to the city centre than before development, thereby increasing the potential for contamination. Hydrogeological simulation analysis allows evaluation of the impact on past, present and future pumping for the region of Kolkata, India, on recharge area locations in an aquifer that supplies water to over 13 million people. Relocated recharge areas are compared with known surface contamination sources, with a focus on sustainable management of this urban groundwater resource. The study highlights the impacts of pumping on water sources for long-term development of stressed city aquifers and for future water supply in deltaic and floodplain regions of the world.Editor D. KoutsoyiannisCitation Sahu, P., Michael, H.A., Voss, C.I., and Sikdar, P.K., 2013. Impacts on groundwater recharge areas of megacity pumping: analysis of potential contamination of Kolkata, India, water supply. Hydrological Sciences Journal, 58 (6), 1340-1360. © 2013 IAHS Press.</t>
  </si>
  <si>
    <t>2-s2.0-84883488524"</t>
  </si>
  <si>
    <t>10.1080/08920753.2013.784891</t>
  </si>
  <si>
    <t>https://www.scopus.com/inward/record.uri?eid=2-s2.0-84878159969&amp;doi=10.1080%2f08920753.2013.784891&amp;partnerID=40&amp;md5=135fb3d7515cbe6d822bb1bce3e37644</t>
  </si>
  <si>
    <t>California has a forty-year history of successful coastal zone management. The San Francisco Bay Conservation and Development Commission, the California Coastal Commission, and the State Coastal Conservancy have protected and made accessible hundreds of miles of shoreline. While each agency has played a critical role, this article focuses on the Coastal Commission. Implementing the California Coastal Act, the Coastal Commission has partnered with local government, other agencies, nongovernmental organizations (NGOs), and the public to concentrate new development in already developed areas, and much of the rural coastal zone looks as it did in 1972. The Commission has protected and expanded public shoreline access through its regulatory actions. Using strong ecological science the Commission has protected a wide variety of sensitive habitats and wetlands. And under the authority of the Coastal Zone Management Act, the Commission has reviewed thousands of federal projects to assure that they are consistent with the Coastal Act. Challenges continue, though, including population growth, sea-level rise, and inadequate funding to update local coastal land use plans to address new issues, such as climate change adaptation. New investment is needed at the national, state, and local level to continue the success of the California program. © 2013 Copyright Taylor and Francis Group, LLC.</t>
  </si>
  <si>
    <t>2-s2.0-84878159969"</t>
  </si>
  <si>
    <t>10.1002/wrcr.20213</t>
  </si>
  <si>
    <t>https://www.scopus.com/inward/record.uri?eid=2-s2.0-84877980337&amp;doi=10.1002%2fwrcr.20213&amp;partnerID=40&amp;md5=77d057c160a5ae6bdf38e4ade42aaf91</t>
  </si>
  <si>
    <t>Impacts of rising sea level on the hydraulic balance between aquifers and the ocean threaten fresh water resources and aquatic ecosystems along many world coastlines. Understanding the vulnerability of groundwater systems to these changes and the primary factors that determine the magnitude of system response is critical to developing effective management and adaptation plans in coastal zones. We assessed the vulnerability of two types of groundwater systems, recharge-limited and topography-limited, to changes caused by sea-level rise over a range of hydrogeologic settings. Vulnerability in this context is defined by the rate and magnitude of salinization of coastal aquifers and changes in groundwater flow to the sea. Two-dimensional variable-density groundwater flow and salt transport simulations indicate that the response of recharge-limited systems is largely minimal, whereas topography-limited systems are vulnerable for various combinations of permeability, vertical anisotropy in permeability, and recharge. World coastlines were classified according to system type as a vulnerability indicator. Results indicate that approximately 70% of world coastlines may be topography-limited, though variability in hydrogeologic conditions strongly affects classification. Future recharge and sea-level rise scenarios have much less influence on the proportion of vulnerable coastlines than differences in permeability, distance to a hydraulic divide, and recharge, indicating that hydrogeologic properties and setting are more important factors to consider in determining system type than uncertainties in the magnitude of sea-level rise and hydrologic shifts associated with future climate change. © 2013. American Geophysical Union. All Rights Reserved.</t>
  </si>
  <si>
    <t>2-s2.0-84877980337"</t>
  </si>
  <si>
    <t>10.1016/j.geomorph.2013.02.023</t>
  </si>
  <si>
    <t>https://www.scopus.com/inward/record.uri?eid=2-s2.0-84876983697&amp;doi=10.1016%2fj.geomorph.2013.02.023&amp;partnerID=40&amp;md5=128133effd2a3123c14c4250d1906a41</t>
  </si>
  <si>
    <t>Tidal embayments are characterized by a wide variety of landscape features, often including either complex tidal channel networks or extensive flood-tidal deltas. The origin of these features and the influence of hydrodynamic drivers and initial geological setting on their long-term characteristics are essentially unexplored. A model was applied to simulate the long-term morphological evolution of tidal embayments, with the purpose of providing insight into the environmental conditions that lead to the differences in tidal embayment morphology. Numerical simulations indicated that the interaction between hydrodynamics, sediment transport, and the evolving topography gives rise to the formation of channel networks. The tidal range and the depth of the initially unchannelized tidal basin controlled the way in which the morphology evolved and determined the timescale over which channels and intertidal areas developed. Channel network formation occurred more rapidly when the tidal range increased and/or when the initial basin depth decreased. Tidal basins with a large initial depth showed the development of a flood-tidal delta and for these deep basins channel incision could remain absent over long timescales. Both tidal range and initial bathymetry affected final basin hypsometry and channel network characteristics, including the channel density and the fraction of the basin occupied by the channels. All the simulated morphologies, with different combinations of the tidal range and depth of the basin, evolved towards a state of less morphodynamic activity for which the relative intertidal area was proportional to the ratio of tidal amplitude to basin depth. © 2013 Elsevier B.V.</t>
  </si>
  <si>
    <t>2-s2.0-84876983697"</t>
  </si>
  <si>
    <t>10.1002/qj.2043</t>
  </si>
  <si>
    <t>https://www.scopus.com/inward/record.uri?eid=2-s2.0-84880699012&amp;doi=10.1002%2fqj.2043&amp;partnerID=40&amp;md5=22bdf3f336582b1cf6e6b251675278d0</t>
  </si>
  <si>
    <t>The frequency of occurrence and formation mechanisms of wave-cloud lines off the northwest coast of Australia are investigated. Prior to the present study, little was known about these wave-cloud lines. Apart from being spectacular atmospheric phenomenon in their own right, these wave clouds can have a role in the secondary initiation of convection and can be a hazard to low-flying aircraft. A climatology of wave clouds, produced from visible satellite imagery, suggests two main types of cloud lines form over northwest Australia. The first are bore-like waves, similar in structure to the 'morning glory' of northeast Australia, and occur at least 2 to 3 times per month throughout the entire year. The second type are convectively generated cloud lines, which are more circular in shape, appear to originate from convective storms and occur at least 0.5 to 1.5 times per month during the wet season. High-resolution, nested simulations are performed with the Met Office Unified Model for case-studies of each type of wave. The bore-like waves occurred in the presence of synoptic-scale, low-level southeasterly flow and a heat low along the northwest coast of Australia. At night, the offshore southeasterlies accelerate into the heat low and collide with the onshore sea breeze. The southeasterlies override the sea breeze and the wave-cloud lines form at the leading edge of this front. The convectively generated waves radiate outwards from the convective storms producing compensating subsidence and adiabatic warming. These waves take the form of n=2 mode wave fronts, which span the entire depth of the troposphere and are similar in structure to waves produced by deep convection which are described in previous studies. © 2012 Royal Meteorological Society.</t>
  </si>
  <si>
    <t>2-s2.0-84880699012"</t>
  </si>
  <si>
    <t>10.5194/nhess-13-669-2013</t>
  </si>
  <si>
    <t>https://www.scopus.com/inward/record.uri?eid=2-s2.0-84879244679&amp;doi=10.5194%2fnhess-13-669-2013&amp;partnerID=40&amp;md5=e5ecc02625e0ed25f7203c1102f58443</t>
  </si>
  <si>
    <t>A new methodology for the generation of flood hazard maps is presented fusing remote sensing and volunteered geographical data. Water pixels are identified utilizing a machine learning classification of two Landsat remote sensing scenes, acquired before and during the flooding event as well as a digital elevation model paired with river gage data. A statistical model computes the probability of flooded areas as a function of the number of adjacent pixels classified as water. Volunteered data obtained through Google news, videos and photos are added to modify the contour regions. It is shown that even a small amount of volunteered ground data can dramatically improve results. © 2013 Author(s).</t>
  </si>
  <si>
    <t>2-s2.0-84879244679"</t>
  </si>
  <si>
    <t>10.1007/s12524-012-0210-y</t>
  </si>
  <si>
    <t>https://www.scopus.com/inward/record.uri?eid=2-s2.0-84878798680&amp;doi=10.1007%2fs12524-012-0210-y&amp;partnerID=40&amp;md5=12840750792e5b1ad4b3d70897d0273d</t>
  </si>
  <si>
    <t>The name 'Seven Pagodas' has served as a nickname for the south Indian port of Mahabalipuram since the early European explorers used it as landmark for navigation as they could see summits of seven temples from the sea. There are many theories concerning the name Seven Pagodas. The present study has compared coastline and adjacent seven monuments illustrated in a 17th century Portolan Chart (maritime map) with recent remote sensing data. This analysis throws new light on the name ""Seven Pagodas"" for the city. This study has used DEM of the site to simulate the coastline which is similar to the one depicted in the old portolan chart. Through this, the then sea level and corresponding flooding extent according to topography of the area and their effect on monuments could be analyzed. Most importantly this work has in the process identified possibly the seven monuments that constituted the name Seven Pagodas and this provides an alternative explanation to one of the mysteries of history. This work has demonstrated unique method of studying coastal archaeological sites. As large numbers of heritage sites around the world are on coastlines, this methodology has potential to be very useful for coastal heritage preservation and management. © 2012 Indian Society of Remote Sensing.</t>
  </si>
  <si>
    <t>2-s2.0-84878798680"</t>
  </si>
  <si>
    <t>10.5194/nhess-13-1595-2013</t>
  </si>
  <si>
    <t>https://www.scopus.com/inward/record.uri?eid=2-s2.0-84880160451&amp;doi=10.5194%2fnhess-13-1595-2013&amp;partnerID=40&amp;md5=6bf912b5d9dc18138cdc5df168398f8d</t>
  </si>
  <si>
    <t>This study aims to assess the performance of raster-based flood modeling methods on a wide diversity of coastal marshes. These methods are applied to the flooding associated with the storm Xynthia, which severely hit the western coast of France in February 2010. Static and semi-dynamic methods are assessed using a combination of LiDAR data, post-storm delineation of flooded areas and sea levels originating from both tide gauge measurements and storm surge modeling. Static methods are applied to 27 marshes showing a wide geomorphological diversity. It appears that these methods are suitable for marshes with a small distance between the coastline and the landward boundary of the marsh, which causes these marshes to flood rapidly. On the contrary, these methods overpredict flooded areas for large marshes where the distance between the coastline and the landward boundary of the marsh is large, because the flooding cannot be considered as instantaneous. In this case, semi-dynamic methods based on surge overflowing volume calculations can improve the flooding prediction significantly. This study suggests that static and semi-dynamic flood modeling methods can be attractive and quickly deployed to rapidly produce predictive flood maps of vulnerable areas under certain conditions, particularly for small distances between the coastline and the landward boundary of the low-lying coastal area. © Author(s) 2013.</t>
  </si>
  <si>
    <t>2-s2.0-84880160451"</t>
  </si>
  <si>
    <t>https://www.scopus.com/inward/record.uri?eid=2-s2.0-84877003916&amp;partnerID=40&amp;md5=14a1196b63b0661d82d905d49f57d638</t>
  </si>
  <si>
    <t>Airborne LIDAR technique by its specifications and characteristics in terms of precision of the numerical terrain model and the use of the GIS technique can be used in geomorphology. REELD campaign (elaboration of a precise numerical model of the terrain over the whole Romanian Danube Plain with more than 600,000 ha distributed along 1,000 km and variable widths from 1 to 80 km large were scan from 600 m altitude) represented an opportunity for the analyse of actual geomorphology processes. After a brief introduction about airborne LIDAR technique and a short description of parameters and methodology used in the field campaign, this paper consider the application of the airborne LIDAR technique to the provision of elevation data at accuracies and spatial densities suitable to use with the current generation of high-resolution hydraulic models. Finally, the scientific challenges to describe geomorphologic processes and map the soil loss, due to erosion, using the combination of airborne LIDAR data and GIS technology for a rapid production of cartographic representations of floodplain environments is particularly pointed out.</t>
  </si>
  <si>
    <t>2-s2.0-84877003916"</t>
  </si>
  <si>
    <t>10.2112/SI63-007.1</t>
  </si>
  <si>
    <t>https://www.scopus.com/inward/record.uri?eid=2-s2.0-84879656063&amp;doi=10.2112%2fSI63-007.1&amp;partnerID=40&amp;md5=9937a0b2091891af575ec44e256d16cc</t>
  </si>
  <si>
    <t>Mass accumulation rates (MAR</t>
  </si>
  <si>
    <t>10.5194/nhess-13-1827-2013</t>
  </si>
  <si>
    <t>https://www.scopus.com/inward/record.uri?eid=2-s2.0-84880652193&amp;doi=10.5194%2fnhess-13-1827-2013&amp;partnerID=40&amp;md5=c719820f6659ba9ec0c774c12f735f43</t>
  </si>
  <si>
    <t>Glacial lakes are potentially dangerous sources of glacial lake outburst floods (GLOFs), and represent a serious natural hazard in Himalayan countries. Despite the development of various indices aimed at determining the outburst probability, an objective evaluation of the thousands of Himalayan glacial lakes has yet to be completed. In this study we propose a single index, based on the depression angle from the lakeshore, which allows the lakes to be assessed using remotely sensed digital elevation models (DEMs). We test our approach on five lakes in Nepal, Bhutan, and Tibet using images taken by the declassified Hexagon KH-9 satellite before these lakes experienced an outburst flood. All five lakes had a steep lakefront area (SLA), on which a depression angle was steeper than our proposed threshold of 10 before the GLOF event, but the SLA was no longer evident after the events. We further calculated the potential flood volume (PFV)</t>
  </si>
  <si>
    <t>10.1007/s11069-012-0210-9</t>
  </si>
  <si>
    <t>https://www.scopus.com/inward/record.uri?eid=2-s2.0-84876944969&amp;doi=10.1007%2fs11069-012-0210-9&amp;partnerID=40&amp;md5=eef627f9df4a18cae767f0734c74d897</t>
  </si>
  <si>
    <t>Along the southern coast of the North Sea, a large proportion of the Flemish coastal plain consists of densely populated reclaimed land, much of which lying below mean high tide level. This is particularly the case along the northern coast of France, from Dunkirk to the Belgium border, where the shoreline consists of coastal dunes that protect low-lying reclaimed lands from marine flooding. This area is vulnerable and subject to several risks. Extreme weather conditions could induce strong surges that could cause (1) a shoreline retreat, (2) marine submersion and (3) land and/or urban flooding due to drainage problems of the polders. Highly energetic events such as the November 2007 storm could have had much more severe consequences especially if they occurred at high tide and/or during a spring tide. In the current context of global change and projected sea-level rise, it is then important for the local authorities to take into account the potential impacts and return periods of such events, in order to implement coastal risk policies prevention and management, to reinforce sea defense, increase pumping station efficiency and plan warning systems against marine submersion and polder flooding, which is not the case yet in Northern France. © 2012 Springer Science+Business Media B.V.</t>
  </si>
  <si>
    <t>2-s2.0-84876944969"</t>
  </si>
  <si>
    <t>10.1007/s11069-012-0193-6</t>
  </si>
  <si>
    <t>https://www.scopus.com/inward/record.uri?eid=2-s2.0-84876941731&amp;doi=10.1007%2fs11069-012-0193-6&amp;partnerID=40&amp;md5=0daf167d0e42df815417c63841ed6288</t>
  </si>
  <si>
    <t>The devastation due to storm surge flooding caused by extreme wind waves generated by the cyclones is a severe apprehension along the coastal regions of India. In order to coexist with nature's destructive forces in any vulnerable coastal areas, numerical ocean models are considered today as an essential tool to predict the sea level rise and associated inland extent of flooding that could be generated by a cyclonic storm crossing any coastal stretch. For this purpose, the advanced 2D depth-integrated (ADCIRC-2DDI) circulation model based on finite-element formulation is configured for the simulation of surges and water levels along the east coast of India. The model is integrated using wind stress forcing, representative of 1989, 1996, and 2000 cyclones, which crossed different parts of the east coast of India. Using the long-term inventory of cyclone database, synthesized tracks are deduced for vulnerable coastal districts of Tamil Nadu. Return periods are also computed for the intensity and frequency of cyclones for each coastal district. Considering the importance of Kalpakkam region, extreme water levels are computed based on a 50-year return period data, for the generation of storm surges, induced water levels, and extent of inland inundation. Based on experimental evidence, it is advocated that this region could be inundated/affected by a storm with a threshold pressure drop of 66 hpa. Also it is noticed that the horizontal extent of inland inundation ranges between 1 and 1. 5 km associated with the peak surge. Another severe cyclonic storm in Tamil Nadu (November 2000 cyclone), which made landfall approximately 20 km south of Cuddalore, has been chosen to simulate surges and water levels. Two severe cyclonic storms that hit Andhra coast during 1989 and 1996, which made landfall near Kavali and Kakinada, respectively, are also considered and computed run-up heights and associated water levels. The simulations exhibit a good agreement with available observations from the different sources on storm surges and associated inundation caused by these respective storms. It is believed that this study would help the coastal authorities to develop a short- and long-term disaster management, mitigation plan, and emergency response in the event of storm surge flooding. © 2012 Springer Science+Business Media B.V.</t>
  </si>
  <si>
    <t>2-s2.0-84876941731"</t>
  </si>
  <si>
    <t>10.5194/nhess-13-1375-2013</t>
  </si>
  <si>
    <t>https://www.scopus.com/inward/record.uri?eid=2-s2.0-84919382405&amp;doi=10.5194%2fnhess-13-1375-2013&amp;partnerID=40&amp;md5=8b4a45bcc985a1f51460510358f1b999</t>
  </si>
  <si>
    <t>The adoption of 2007/60/EC Directive requires European countries to implement flood hazard and flood risk maps by the end of 2013. Flood risk is the product of flood hazard, vulnerability and exposure, all three to be estimated with comparable level of accuracy. The route to flood risk assessment is consequently much more than hydraulic modelling of inundation, that is hazard mapping. While hazard maps have already been implemented in many countries, quantitative damage and risk maps are still at a preliminary level. A parsimonious quasi-2-D hydraulic model is here adopted, having many advantages in terms of easy set-up. It is here evaluated as being accurate in flood depth estimation in urban areas with a high-resolution and up-todate Digital Surface Model (DSM). The accuracy, estimated by comparison with marble-plate records of a historic flood in the city of Florence, is characterized in the downtown's most flooded area by a bias of a very few centimetres and a determination coefficient of 0.73. The average risk is found to be about 14 €m-2 yr-1, corresponding to about 8.3% of residents' income. The spatial distribution of estimated risk highlights a complex interaction between the flood pattern and the building characteristics. As a final example application, the estimated risk values have been used to compare different retrofitting measures. Proceeding through the risk estimation steps, a new micro-scale potential damage assessment method is proposed. This is based on the georeferenced census system as the optimal compromise between spatial detail and open availability of socio-economic data. The results of flood risk assessment at the census section scale resolve most of the risk spatial variability, and they can be easily aggregated to whatever upper scale is needed given that they are geographically defined as contiguous polygons. Damage iscalculated through stage-damage curves, starting from census data on building type and function, for the main categories in the study area: structures, household contents and commercial contents. This method is tested in the area of the St. Croce district in Florence, one of the most seriously affected in the famous 1966 flood. © 2013 Author(s). CC Attribution 3.0 License.</t>
  </si>
  <si>
    <t>2-s2.0-84919382405"</t>
  </si>
  <si>
    <t>10.1007/s11069-012-0520-y</t>
  </si>
  <si>
    <t>https://www.scopus.com/inward/record.uri?eid=2-s2.0-84874199316&amp;doi=10.1007%2fs11069-012-0520-y&amp;partnerID=40&amp;md5=9b191f3acdaeb16bd52fb12c9695181b</t>
  </si>
  <si>
    <t>One of the important recent advances in the field of hurricane/storm modelling has been the development of high-fidelity numerical simulation models for reliable and accurate prediction of wave and surge responses. The computational cost associated with these models has simultaneously created an incentive for researchers to investigate surrogate modelling (i. e. metamodeling) and interpolation/regression methodologies to efficiently approximate hurricane/storm responses exploiting existing databases of high-fidelity simulations. Moving least squares (MLS) response surfaces were recently proposed as such an approximation methodology, providing the ability to efficiently describe different responses of interest (such as surge and wave heights) in a large coastal region that may involve thousands of points for which the hurricane impact needs to be estimated. This paper discusses further implementation details and focuses on optimization characteristics of this surrogate modelling approach. The approximation of different response characteristics is considered, and special attention is given to predicting the storm surge for inland locations, for which the possibility of the location remaining dry needs to be additionally addressed. The optimal selection of the basis functions for the response surface and of the parameters of the MLS character of the approximation is discussed in detail, and the impact of the number of high-fidelity simulations informing the surrogate model is also investigated. Different normalizations of the response as well as choices for the objective function for the optimization problem are considered, and their impact on the accuracy of the resultant (under these choices) surrogate model is examined. Details for implementation of the methodology for efficient coastal risk assessment are reviewed, and the influence in the analysis of the model prediction error introduced through the surrogate modelling is discussed. A case study is provided, utilizing a recently developed database of high-fidelity simulations for the Hawaiian Islands. © 2012 Springer Science+Business Media Dordrecht.</t>
  </si>
  <si>
    <t>2-s2.0-84874199316"</t>
  </si>
  <si>
    <t>Siberian Mathematical Journal</t>
  </si>
  <si>
    <t>10.1134/S0037446613040022</t>
  </si>
  <si>
    <t>https://www.scopus.com/inward/record.uri?eid=2-s2.0-84883435776&amp;doi=10.1134%2fS0037446613040022&amp;partnerID=40&amp;md5=61a0c7b331372120dccdbd196b69c5af</t>
  </si>
  <si>
    <t>We find new generalized normal homogeneous but not normal homogeneous Riemannian metrics on spheres of dimensions 4n+3, n ≥ 1, and all homogeneous space forms covered by them</t>
  </si>
  <si>
    <t>Asia-Pacific Journal of Atmospheric Sciences</t>
  </si>
  <si>
    <t>10.1007/s13143-013-0024-z</t>
  </si>
  <si>
    <t>https://www.scopus.com/inward/record.uri?eid=2-s2.0-84883031669&amp;doi=10.1007%2fs13143-013-0024-z&amp;partnerID=40&amp;md5=aee4737e0819df7dc19f528134cc077e</t>
  </si>
  <si>
    <t>The transition mechanism of stratus cloud into warm sea fog over the Yellow Sea near the western coastal area of the Korean Peninsula is investigated using numerical simulation with a 1D turbulence model, PAFOG, coupled with a 3D regional model, WRF. The coupled model system was run in the two approaches, Eulerian and Lagrangian. For the selected warm sea fog case, the model results in the Eulerian approach showed that the bottom of the stratus cloud was lowered by cooling of the air just below the cloud base by turbulent heat loss. The Lagrangian approach showed the lowering of the stratus cloud top, owing to the evaporation of cloud droplets in this region by the entrainment of warm and dry air above the cloud top. The sensitivity test to SST indicated that the timing of water vapor saturation just below the cloud base depended on the magnitude of the turbulent heat flux from the sea surface. The subsidence rate was found to be important: when the subsidence rate was set to be half of the prescribed value, neither the lowering of the stratus cloud top nor the bottom occurred and the model could not produce a fog. © 2013 Korean Meteorological Society and Springer Science+Business Media Dordrecht.</t>
  </si>
  <si>
    <t>2-s2.0-84883031669"</t>
  </si>
  <si>
    <t>10.1038/NGEO1783</t>
  </si>
  <si>
    <t>https://www.scopus.com/inward/record.uri?eid=2-s2.0-84877249297&amp;doi=10.1038%2fNGEO1783&amp;partnerID=40&amp;md5=45a94c35c8dfd8f429583e5b2899cc4d</t>
  </si>
  <si>
    <t>During the middle and late Eocene (∼48-34 Myr ago), the Earth's climate cooled1,2 and an ice sheet built up on Antarctica. The stepwise expansion of ice on Antarctica3,4induced crustal deformation and gravitational perturbations around the continent. Close to the ice sheet, sea level rose5,6despite an overall reduction in the mass of the ocean caused by the transfer of water to the ice sheet. Here we identify the crustal response to ice-sheet growth by forcing a glacial-hydro isostatic adjustment model7 with an Antarctic ice-sheet model. We find that the shelf areas around East Antarctica first shoaled as upper mantle material upwelled and a peripheral forebulge developed. The inner shelf subsequently subsided as lithosphere flexure extended outwards from the ice-sheet margins. Consequently the coasts experienced a progressive relative sea-level rise. Our analysis of sediment cores from the vicinity of the Antarctic ice sheet are in agreement with the spatial patterns of relative sea-level change indicated by our simulations. Our results are consistent with the suggestion8 that near-field processes such as local sea-level change influence the equilibrium state obtained by an icesheet grounding line.</t>
  </si>
  <si>
    <t>2-s2.0-84877249297"</t>
  </si>
  <si>
    <t>10.5194/nhess-13-869-2013</t>
  </si>
  <si>
    <t>https://www.scopus.com/inward/record.uri?eid=2-s2.0-85016614443&amp;doi=10.5194%2fnhess-13-869-2013&amp;partnerID=40&amp;md5=cb4b84fc590d2d41d765d8ae0f5e3d36</t>
  </si>
  <si>
    <t>The development of susceptibility maps for debris flows is of primary importance due to population pressure in hazardous zones. However, hazard assessment by process-based modelling at a regional scale is difficult due to the complex nature of the phenomenon, the variability of local controlling factors, and the uncertainty in modelling parameters. A regional assessment must consider a simplified approach that is not highly parameter dependant and that can provide zonation with minimum data requirements. A distributed empirical model has thus been developed for regional susceptibility assessments using essentially a digital elevation model (DEM). The model is called Flow-R for Flow path assessment of gravitational hazards at a Regional scale (available free of charge under www.flow-r.org) and has been successfully applied to different case studies in various countries with variable data quality. It provides a substantial basis for a preliminary susceptibility assessment at a regional scale. The model was also found relevant to assess other natural hazards such as rockfall, snow avalanches and floods. The model allows for automatic source area delineation, given user criteria, and for the assessment of the propagation extent based on various spreading algorithms and simple frictional laws. We developed a new spreading algorithm, an improved version of Holmgren's direction algorithm, that is less sensitive to small variations of the DEM and that is avoiding over-channelization, and so produces more realistic extents. The choices of the datasets and the algorithms are open to the user, which makes it compliant for various applications and dataset availability. Amongst the possible datasets, the DEM is the only one that is really needed for both the source area delineation and the propagation assessment</t>
  </si>
  <si>
    <t>10.1029/2012GL053000</t>
  </si>
  <si>
    <t>https://www.scopus.com/inward/record.uri?eid=2-s2.0-84874482451&amp;doi=10.1029%2f2012GL053000&amp;partnerID=40&amp;md5=ae62e93a4ee5bb7610134a5f6d4c52a2</t>
  </si>
  <si>
    <t>We solve the sea-level equation to investigate the pattern of the gravitationally self-consistent sea-level variations (fingerprints) corresponding to modeled scenarios of future terrestrial ice melt. These were obtained from separate ice dynamics and surface mass balance models for the Greenland and Antarctic ice sheets and by a regionalized mass balance model for glaciers and ice caps. For our mid-range scenario, the ice melt component of total sea-level change attains its largest amplitude in the equatorial oceans, where we predict a cumulative sea-level rise of ~ 25 cm and rates of change close to 3 mm/yr from ice melt alone by 2100. According to our modeling, in low-elevation densely populated coastal zones, the gravitationally consistent sea-level variations due to continental ice loss will range between 50 and 150% of the global mean. This includes the effects of glacial-isostatic adjustment, which mostly contributes across the lateral forebulge regions in North America. While the mid range ocean-averaged elastic-gravitational sea-level variations compare with those associated with thermal expansion and ocean circulation, their combination shows a complex regional pattern, where the former component dominates in the Equatorial Pacific Ocean and the latter in the Arctic Ocean. Key points Sea-level fingerprints of future terrestrial ice melt are studied SLR in Arctic ocean mainly due to ocean response with small ice melt impact SLR due to ice melt critical to Equatorial Pacific Ocean and Oceania ©2012. American Geophysical Union. All Rights Reserved.</t>
  </si>
  <si>
    <t>2-s2.0-84874482451"</t>
  </si>
  <si>
    <t>10.1007/s11852-012-0220-5</t>
  </si>
  <si>
    <t>https://www.scopus.com/inward/record.uri?eid=2-s2.0-84874297257&amp;doi=10.1007%2fs11852-012-0220-5&amp;partnerID=40&amp;md5=543c977efcfa3053ad6007711beb3844</t>
  </si>
  <si>
    <t>The interface between the sea and land is a very dynamic system that is always migrating landward or seaward. The landward migration results in the shoreline threatening coastal infrastructure and destroying the coastal environment. Coastal erosion has resulted in both social and economic problems. Coastal cities have also experienced increasing infrastructure development and population growth. This has resulted in a land ""squeeze situation"" in which both the shoreline and the ""humanline"" are competing for space along the coast. This struggle for space could result in serious environmental disaster as a result of the dynamics of the oceanic system, which could impact the immediate environs severely. The aim of this study was to determine if the rate of human encroachment of coastal lands for development exceed the rate at which the shoreline is moving inland as part of its natural cyclic behaviour. This study used 1985 aerial photographs and 2005 orthophoto map of the Accra western coast. Major land cover was identified, classified and overlayed in GIS environment. This enabled changes to be estimated. The shorelines were also digitised and the rate of change computed using the DSAS software. The results indicate that the estimated total area of land lost by human encroachment on the coastal land within the period under study is about 242,139. 7 m2. However, the rate of land lost to human development is about 8,349. 64 m2/year, which is relatively high. The historic rate of erosion computed for the period under study is about 1. 92 m/year. Comparing the two rates indicates that human activities are moving closer to the shoreline as compared to the rate at which the shoreline is moving inland. This study recommends that setback lines should be put in place to protect lands for the shoreline's cyclic activities. © 2012 Springer Science+Business Media Dordrecht.</t>
  </si>
  <si>
    <t>2-s2.0-84874297257"</t>
  </si>
  <si>
    <t>10.1126/science.1240543</t>
  </si>
  <si>
    <t>https://www.scopus.com/inward/record.uri?eid=2-s2.0-84881060080&amp;doi=10.1126%2fscience.1240543&amp;partnerID=40&amp;md5=34fd5a85cf1a6387c9abebc5f55e0996</t>
  </si>
  <si>
    <t>The future impacts of anthropogenic global change on marine ecosystems are highly uncertain, but insights can be gained from past intervals of high atmospheric carbon dioxide partial pressure. The long-term geological record reveals an early Cenozoic warm climate that supported smaller polar ecosystems, few coral-algal reefs, expanded shallow-water platforms, longer food chains with less energy for top predators, and a less oxygenated ocean than today. The closest analogs for our likely future are climate transients, 10,000 to 200,000 years in duration, that occurred during the long early Cenozoic interval of elevated warmth. Although the future ocean will begin to resemble the past greenhouse world, it will retain elements of the present ""icehouse"" world long into the future. Changing temperatures and ocean acidification, together with rising sea level and shifts in ocean productivity, will keep marine ecosystems in a state of continuous change for 100,000 years.</t>
  </si>
  <si>
    <t>2-s2.0-84881060080"</t>
  </si>
  <si>
    <t>10.1007/s11852-012-0231-2</t>
  </si>
  <si>
    <t>https://www.scopus.com/inward/record.uri?eid=2-s2.0-84874328005&amp;doi=10.1007%2fs11852-012-0231-2&amp;partnerID=40&amp;md5=6b38b9c903ceabbfadd8b3dacdca20cc</t>
  </si>
  <si>
    <t>The Wairoa River, a barrier enclosed estuary situated in Hawke's Bay, New Zealand was modelled using a one-dimensional hydrodynamic model. Water level data obtained during a flood and a bathymetric survey were available but the entrance cross-section had not been surveyed. This paper describes the calibration of the model to jointly optimise the selection of the Manning coefficient and the depth of the estuary entrance. © 2013 Springer Science+Business Media Dordrecht.</t>
  </si>
  <si>
    <t>2-s2.0-84874328005"</t>
  </si>
  <si>
    <t>10.1504/IJGW.2013.057283</t>
  </si>
  <si>
    <t>https://www.scopus.com/inward/record.uri?eid=2-s2.0-84892168461&amp;doi=10.1504%2fIJGW.2013.057283&amp;partnerID=40&amp;md5=4e431258d8212a4af1aeb31a05baeab8</t>
  </si>
  <si>
    <t>Small-island developing states (SIDS) are particularly vulnerable to the effects of climate change, sea level rise and extreme weather events. Sea-level rise is expected to exacerbate coastal erosion. Adaptation measures in response to this in SIDS have the potential to reduce some of the adverse impacts, yet they have limitations. This article addresses the degree to which households on the island of Kosrae, Federated States of Micronesia (FSM), are affected by coastal erosion, the autonomous adaptation measures they have implemented, the limitations thereof, and the loss and damage incurred as a result. This analysis is based on quantitative and qualitative data. We found that 70% of the 363 households we interviewed experienced adverse effects of coastal erosion. Of those suffering from impacts, 60% carried out adaptation measures. Yet, 92% of those respondents who carried out adaptation measures indicated that these measures were insufficient, resulting in loss and damage to livelihoods, housing and culture. This empirical case study contributes to the critical debate on the impacts of climate change beyond adaptation. Copyright © 2013 Inderscience Enterprises Ltd.</t>
  </si>
  <si>
    <t>2-s2.0-84892168461"</t>
  </si>
  <si>
    <t>10.1111/gto.12005</t>
  </si>
  <si>
    <t>https://www.scopus.com/inward/record.uri?eid=2-s2.0-84875256928&amp;doi=10.1111%2fgto.12005&amp;partnerID=40&amp;md5=3adf6f164060aa729ea4c92956ffab6d</t>
  </si>
  <si>
    <t>Glaciers are an important element of the Earth system. Glaciers provide numerous, though poorly appreciated, ecological and economic benefits. However, glacial processes can also be hazards. Local glacial hazards include catastrophic floods from lakes impounded by glaciers and their moraines, landslides and debris flows induced by glacier thinning and retreat and permafrost thaw, and enhanced seismicity and volcanism due to large-scale deglaciation. Regionally, rivers can be affected by changes in sediment supply from glacier forefields. Perhaps the greatest hazard that glaciers pose on a global scale of coastal erosion and flooding caused by sea-level rise. If Earth's climate continues to warm, as scientists forecast, the rate of sea-level rise will increase and some low-lying coastal areas will be flooded by the end of this century. © 2013 Blackwell Publishing Ltd, The Geologists' Association &amp; The Geological Society of London.</t>
  </si>
  <si>
    <t>2-s2.0-84875256928"</t>
  </si>
  <si>
    <t>10.2113/gssajg.116.1.1</t>
  </si>
  <si>
    <t>https://www.scopus.com/inward/record.uri?eid=2-s2.0-84890329927&amp;doi=10.2113%2fgssajg.116.1.1&amp;partnerID=40&amp;md5=5ec7975ffbc96458ff8ca708921cf465</t>
  </si>
  <si>
    <t>The Okavango Delta is southern Africa's largest wetland ecosystem and probably the most pristine large wetland ecosystem in the world. Alex du Toit was the first to recognize the role of faulting in the origin of the Delta, proposing that the Delta lies within a graben structure related to the East African Rift Valley system. The history of its rivers is more ancient, extending back to the breakup of Gondwana. Two mantle plumes initiated the breakup of Gondwana: the 140 Ma Karoo plume and the 130 Ma Parana-Etendeka plume. Domical uplift and rifting associated with these plumes created two major river systems: the Okavango-Zambezi-Limpopo system and the Vaal-Orange system. The climate at the time of breakup was hot and humid and the interior experienced extensive erosion, so much so that by the Oligocene (ca. 30 Ma), the sub-continent had been planed to base level, rising only a few hundred metres above sea level and mantled by thick, leached soils (now known as the African Erosion Surface). Warping in the continent interior created uplifted arches and depressions, most notably the Kalahari basin. Arching severed the link between the lower Limpopo and its central African headwaters (Zambezi-Okavango), and a large lake formed in the Kalahari depression (Lake Palaeo-Makgadikgadi). This lake gradually disappeared, partly due to sedimentation but mainly due to the increasing dry climate. The East Africa Rift system commenced in the Afar about 30 Ma ago and began to propagate southwards. In southern Malawi and especially in Zambia, the path of rifting has not yet been clearly established and the region is characterized by numerous horsts and grabens. One of these grabens passes through the Okavango Delta. The formation of these grabens has profoundly affected the courses of the rivers in the region. The Okavango River debouches into the graben forming a large alluvial fan. Lakes have periodically existed at the toe of the Okavango fan where it abuts the bounding fault scarps, but these are not permanent. Some Okavango water discharges across the bounding fault scarps and flows into the Makgadikgadi depression to the southeast. The Okavango River catchment is largely underlain by Kalahari sand, which forms the major particulate sediment carried by the river. Consequently, sediment carried by the river is mainly fine sand, with little silt and mud. The dissolved solid concentration in the river water is low (ca. 40 mg/L) and consists mainly of silica and calcium and magnesium bicarbonates. However, the volume of water entering the Delta each year is large and hence the solutes constitute the largest component of the sediment carried into the Delta. The Okavango River discharges onto the alluvial fan where water is carried in channels that form the major primary distributaries. Channel margins are formed by vegetal material and are permeable, leaking water which sustains permanent swamps in the upper portion of the alluvial fan. The arrival of the seasonal flood increases the rate of channel leakage, forming the seasonal swamps on the lower fan. The advance of the flood water across the seasonal swamps is slow, as much of it infiltrates the ground, taking four to five months to traverse the 250 km length of the fan. Bedload is confined to channels and as water leaks through the channel margins, channel beds aggrade, increasing leakage, which further promotes bed aggradation. Channels eventually fail and water diverts elsewhere. Channel formation and failure results in a constant shift in the distribution of water across the Delta surface. The demise of a channel system results in desiccation of the surrounding peat, which is then destroyed by slow-burning peat fires. Nutrients and fine particulate material accumulated in the peat is released, enriching the soil. Most of the water delivered to the Delta annually is lost to the atmosphere by evapotranspiration because of the semi-arid climate. Transpiration of groundwater by terrestrial plants is the dominant means of water loss. The high transpiration rate of trees is particularly important: trees grow on islands and their transpiration lowers the water table beneath islands so there is a net flow of water towards islands. Solutes, especially silica and carbonates of calcium and magnesium, precipitate, leaving only the very soluble sodium carbonate in solution. Its concentration rises and impacts on the vegetation, resulting in a zonation in the distribution of plant species on islands. The salinity of the groundwater ultimately rises to the point where gravity induced advection occurs, thus transferring the sodium carbonate to the deep groundwater. This process prevents the formation of surface saline brine in the Delta and surface water remains fresh. The accumulation of precipitated solutes results in expansion and this form of chemical precipitation is the major mechanism of sedimentation in the distal regions of the Delta. Islands are mainly initiated as a consequence of termite activity during dry periods. Sand ridges which form by channel bed sedimentation may also result in islands. Constant changes in the distribution of water across the fan due to channel failure have profound effects on the ecology of the Delta: regions of swamp may revert to dry land, when rain flushes accumulated salts from the island soils</t>
  </si>
  <si>
    <t>10.1504/IJGW.2013.057284</t>
  </si>
  <si>
    <t>https://www.scopus.com/inward/record.uri?eid=2-s2.0-84892163059&amp;doi=10.1504%2fIJGW.2013.057284&amp;partnerID=40&amp;md5=683e70c7d209d827f6e63fc8ecdbfaef</t>
  </si>
  <si>
    <t>Salinity intrusion in soil caused by climate-induced hazards, especially cyclones and sea level rise (SLR), is adversely affecting rice production in coastal Bangladesh. The southwest coastal district of Satkhira is one of the most vulnerable areas because of its high exposure to salinity intrusion and widespread poverty. Based on a survey of 360 farming households in four villages and on focus group discussions, in-depth interviews and community consultations, this paper explores how salinity intrusion affects rice production. This research demonstrates that salinity levels in the soil have increased sharply over the last 20 years. The introduction of saline-tolerant rice cultivars has been the most important adaptation measure being practised. These adaptation measures, however, have not been enough to deal with the sudden increase in salinity after cyclone Aila hit the area in 2009, with devastating consequences. In that year, farmers in the study areas lost their entire potential yield of aman rice production. Copyright © 2013 Inderscience Enterprises Ltd.</t>
  </si>
  <si>
    <t>2-s2.0-84892163059"</t>
  </si>
  <si>
    <t>10.1016/j.ecoleng.2012.12.095</t>
  </si>
  <si>
    <t>https://www.scopus.com/inward/record.uri?eid=2-s2.0-84884589418&amp;doi=10.1016%2fj.ecoleng.2012.12.095&amp;partnerID=40&amp;md5=5070b3e5d5c6e484e100af242cfb09be</t>
  </si>
  <si>
    <t>An obstructive tidal sandbar forms in the estuary of the Colorado River, Mexico, during periods of low fluvial discharge. The sandbar typically develops at a bedload convergence zone centered approximately 30. km landward from Montague Island near the river's mouth. The estuary provides important spawning habitat for the endangered totoaba (Totoaba macdonaldi) and commercially exploited Gulf corvina (Cynoscion othonopterus), as well as habitat for larval shrimp, all of which are impacted by reduced freshwater/sea water mixing when the sandbar is present.Sequential satellite images, aerial photographs, overflights, and ground observations were used to document the geomorphology of the tidal sandbar and its formation, removal, and subsequent reappearance in response to long-term variations in fluvial flow following completion of Glen Canyon Dam in 1964. Evidence for the formation of the sandbar during low-discharge periods prior to anthropogenic manipulation of the river's flow was also examined.Water data sensors were installed upstream from the current sandbar to monitor the frequency of tidal overflow and document the effect of tides on salinity. Topographic surveys of the sandbar were completed both before and after the 2010 Mw 7.2 El Mayor-Cucapah Earthquake which caused subsidence of lands immediately east of the sandbar's crest.Utilizing topographic data and knowledge of the sandbar's geomorphologic and sedimentary history, we designed and installed a system of dredged pilot channels to improve connectivity between the upper and lower estuary by facilitating tidal and fluvial flow across the barrier. The effectiveness of the pilot channels is currently under evaluation. If the pilot channels fail to establish the desired level of connectivity, installation and maintenance of a more substantial dredged channel may be necessary to meet restoration objectives. © 2013 Elsevier B.V.</t>
  </si>
  <si>
    <t>2-s2.0-84884589418"</t>
  </si>
  <si>
    <t>Middle East Journal of Scientific Research</t>
  </si>
  <si>
    <t>10.5829/idosi.mejsr.2013.13.1.64121</t>
  </si>
  <si>
    <t>https://www.scopus.com/inward/record.uri?eid=2-s2.0-84874132449&amp;doi=10.5829%2fidosi.mejsr.2013.13.1.64121&amp;partnerID=40&amp;md5=895c5891de588e454141cb547f17ea9d</t>
  </si>
  <si>
    <t>The coastal region of Bangladesh covers about 20% of total land area and over 30% of the cultivable lands of the country. It includes highly diverse ecosystems e.g. the world's largest single tract of mangroves (the Sundarbans), beaches, coral reefs, dunes and wetlands. With its dynamic natural environments, provides a range of goods and services to the peoples of Bangladesh. It is agreed and documented that being a deltaic coastal country, Bangladesh is one of the most vulnerable countries to climate change in the world. Climaterelated change in coastal zones embodies potential additional stress on systems that are already under intense and growing pressure. The country has already been facing several climate change effects such as increasing cyclones, flood frequency probabilities, erosion, inundation, rising water tables, salt water intrusion and biological effects. Coastal environments particularly at risk include mangroves, tidal deltas and low-lying coastal plains, sandy beaches, coastal wetlands, estuaries and coral reefs. These bio-geophysical possessions will have consequent effects on ecosystems and eventually affect socio-economic systems in the coastal zone. The Sundarbans, most important ecosystem of the country will be totally lost with one meter rise in sea level. There are two options to minimize the impacts named mitigation and adaptation. It is needed to be considered both mitigation and adaptation options for Bangladesh, even though the country has very limited scope for mitigation. This is why mitigation involves global efforts to execute and adaptation is more local. As a result, effective adaptation policies and mitigation measures ought to be developed and implemented to minimize climate related impacts on Bangladesh. © IDOSI Publications, 2013.</t>
  </si>
  <si>
    <t>2-s2.0-84874132449"</t>
  </si>
  <si>
    <t>10.1590/S1679-87592013000100003</t>
  </si>
  <si>
    <t>https://www.scopus.com/inward/record.uri?eid=2-s2.0-84876934069&amp;doi=10.1590%2fS1679-87592013000100003&amp;partnerID=40&amp;md5=8ae25a01ee94aa6965c390936f489535</t>
  </si>
  <si>
    <t>The Jaguaribe River is the largest semi-arid Brazilian river and represents an important water source for the state of Ceará. The Castanhão Weir, built to regulate the flow of the Jaguaribe, began operating successfully in the 1990s. As a result, the hydrodynamic regime of the estuary has undergone alteration and is no longer subject to the former annual climatological variability of the dry and rainy seasons. This paper introduces an assessment of the changes in the hydrological conditions resulting from the construction of the weir and investigates the structure of the density stratification in the estuary. A field experiment was conducted at the end of the dry season in November 2009, during which salinity and temperature were monitored at different levels for three tidal cycles. The temporal variations in salinity and temperature during the tidal cycles were 16 psu and 1.5°C, respectively. The salinity exhibited a vertical variation of four units, while the temperature variation was much lower. Several stratification indicators were calculated from the observed density: the stratification coefficient, the Brunt-Väisälä frequency and the potential energy anomaly. The results showed that the parameters behave similarly, differences being observed only in their relative magnitudes. The vertical structure of the estuary exhibited marked stratification during the ebb tide but vertical homogeneity during both flood and high tide. With the regularized flow existing under present conditions, the estuary exhibits hyposaline and a partially mixed structure for the period studied, despite the typical expectation of a hypersaline and well-mixed vertical structure.</t>
  </si>
  <si>
    <t>2-s2.0-84876934069"</t>
  </si>
  <si>
    <t>10.1175/jpo-d-11-0156.1</t>
  </si>
  <si>
    <t>https://www.scopus.com/inward/record.uri?eid=2-s2.0-84874960593&amp;doi=10.1175%2fjpo-d-11-0156.1&amp;partnerID=40&amp;md5=1eabe6d6f6e3ac4cf1410a810cca6570</t>
  </si>
  <si>
    <t>The effect of tides, river, wind and Earth's rotation on the three-dimensional circulation in the Dee, a macrotidal estuary, are investigated using a fine-resolution model. The interactions of the large tidal amplitude, currents, river, and wind-generated circulation require baroclinic and unsteady studies to properly understand the estuarine dynamics. Assessment of the model skill has been carried out by model-observation comparisons for salinity, which is the main control for density, surface elevation, current, and turbulence. Stationary nondimensional numbers were only partially able to characterize the dynamics in this (real) complex macrotidal estuary. At low water, tidal straining and constrained river flow cause stratification. Large spatial variability occurs in the current and residual patterns, with flood-dominated maximum values occurring within the tidal channels. The tides control residual circulation by modulating stratification through tidal straining and bathymetric constraint on river flow. Tide-stratification-river interaction causes an unsteady pattern of residual circulation and tidal pulses. River-induced pulses are enhanced near low tide-inducing density-driven circulation. Wind effects are concentrated near the surface, mainly occurring at high tide because of increased fetch. Even though Coriolis has, overall, a small contribution it produces tidal pulses modifying the current and salinity distribution. © 2013 American Meteorological Society.</t>
  </si>
  <si>
    <t>2-s2.0-84874960593"</t>
  </si>
  <si>
    <t>Journal of Public Transportation</t>
  </si>
  <si>
    <t>10.5038/2375-0901.16.3.4</t>
  </si>
  <si>
    <t>https://www.scopus.com/inward/record.uri?eid=2-s2.0-84887364227&amp;doi=10.5038%2f2375-0901.16.3.4&amp;partnerID=40&amp;md5=4c1461f70d9cc5d6b01b3d9249d0aa2f</t>
  </si>
  <si>
    <t>The potential for sea level rise inundation of critical transportation infrastructure rises as the threat of climate change continues. Inundation of public transportation including railroads and bus routes, specifically those located in low-lying coastal areas, are vulnerable to these impacts. Therefore, identifying vulnerable facilities in order to implement adaptation planning practices is essential to protecting these facilities and avoiding impacts on mobility. This research focuses on the application of the Transit Inundation Modeling Method (TIMM) to a transit network (railways and bus routes) in Philadelphia County, Pennsylvania. TIMM is developed based on the need to identify transit infrastructure systems that are vulnerable to sea level rise using Geographic Information Systems (GIS). Applying TIMM to a real-world transit network provides an example for how transit agencies throughout the nation can begin to identify at-risk links and nodes based on potential sea level rise inundation levels.</t>
  </si>
  <si>
    <t>2-s2.0-84887364227"</t>
  </si>
  <si>
    <t>10.1016/j.geomorph.2012.11.002</t>
  </si>
  <si>
    <t>https://www.scopus.com/inward/record.uri?eid=2-s2.0-84871702464&amp;doi=10.1016%2fj.geomorph.2012.11.002&amp;partnerID=40&amp;md5=b0d0a1303289ebbc8549d7442e59ea36</t>
  </si>
  <si>
    <t>A magnitude 6.8 earthquake triggered a channel-damming landslide causing the lower Cedar River, Washington, to occupy an existing floodplain side channel. The channel and floodplain ecosystem initially underwent rapid geomorphic changes until the system energy approached a new system state according to Le Chatelier's general law. Multiple lines of evidence support observations that channel expansion proceeded rapidly as energy was focused on the banks of the overfit side channel until the channel's geomorphology was consistent with total system energy available for work. Large trees recruited to the channel helped create lateral channel expansion as well as bed topographic variability. One year of pre-disturbance data was compared with three years of post-disturbance data in a spatially explicit analysis of the complexity of channel form and bed surface elevations. Estimates of changes in sediment storage and erosion and, channel conveyance capacity were calculated for all time periods and interannual comparisons were carried out. Statistical analyses of aggraded and eroded areas of the channel indicated a rapid increase in complexity of the channel during the first three years and then exhibited decreasing complexity in the final year of the study. © 2012 Elsevier B.V.</t>
  </si>
  <si>
    <t>2-s2.0-84871702464"</t>
  </si>
  <si>
    <t>10.2110/sepmsp.104.02</t>
  </si>
  <si>
    <t>https://www.scopus.com/inward/record.uri?eid=2-s2.0-84940297243&amp;doi=10.2110%2fsepmsp.104.02&amp;partnerID=40&amp;md5=bdc0c2d20f6a15be194865d0b4ddb9ec</t>
  </si>
  <si>
    <t>A basin-scale pedostratigraphic model that focuses on paleosols and their pedostratigraphic relationships has been established for the Cenomanian Dunvegan Formation, a unit that represents a large delta complex. A detailed sequence stratigraphic and paleogeographic framework permits analysis of paleosol development with respect to distance from marine shorelines and coeval valleys. Paleosols that bracket sequence boundaries vary depending upon their paleo-landscape position. The sequence-bounding package of paleosols can be partitioned into three spatial zones based upon both the degree of development and the architecture of the paleosols. Zone 1 occurs in seaward localities near the maximum regressive shoreline and is characterized by hydromorphic, weakly developed paleosols typical of a poorly drained, progradational, and aggradational coastal plain. Zone 2 occurs in an intermediate location and is characterized by well-developed Alfisol-like welded paleosols that record a complex architecture indicating (i) an aggradational phase</t>
  </si>
  <si>
    <t>10.1007/s12524-011-0198-8</t>
  </si>
  <si>
    <t>https://www.scopus.com/inward/record.uri?eid=2-s2.0-84874944249&amp;doi=10.1007%2fs12524-011-0198-8&amp;partnerID=40&amp;md5=6b13333c7c3bed1e1f4a22fa058fb632</t>
  </si>
  <si>
    <t>Cyclone is one of the major coastal hazards affecting the Indian coastline bringing floods and widespread damage due to rain, storm surges and heavy winds. Hence, coastal risk assessment is essential to identify the threats to the land and population, from cyclones. The risk assessment has been carried out in northern coast of Tamil Nadu, India, for the stretch from Kattivakkam to Kovalam. Risk is the probability of expected losses from a given hazard and it varies according to the vulnerability of the region. The risk assessment has been structured in four components, namely, Environmental Vulnerability, Social Vulnerability, Hazard Potential and Mitigation Capacity. The thematic layers and hazard maps are created using Satellite data and Geographic Information System. Coastal risk indices are generated for each component of risk using Analytic Hierarchy Process. Based on the index value, the level of risk is mapped and the results help in faster and appropriate decision making. © 2011 Indian Society of Remote Sensing.</t>
  </si>
  <si>
    <t>2-s2.0-84874944249"</t>
  </si>
  <si>
    <t>10.3390/rs5020687</t>
  </si>
  <si>
    <t>https://www.scopus.com/inward/record.uri?eid=2-s2.0-84874777399&amp;doi=10.3390%2frs5020687&amp;partnerID=40&amp;md5=c26ca1b9e61c64049abbdba01a8e9a1d</t>
  </si>
  <si>
    <t>Satellite remote sensing is a valuable tool for monitoring flooding. Microwave sensors are especially appropriate instruments, as they allow the differentiation of inundated from non-inundated areas, regardless of levels of solar illumination or frequency of cloud cover in regions experiencing substantial rainy seasons. In the current study we present the longest synthetic aperture radar-based time series of flood and inundation information derived for the Mekong Delta that has been analyzed for this region so far. We employed overall 60 Envisat ASAR Wide Swath Mode data sets at a spatial resolution of 150 meters acquired during the years 2007-2011 to facilitate a thorough understanding of the flood regime in the Mekong Delta. The Mekong Delta in southern Vietnam comprises 13 provinces and is home to 18 million inhabitants. Extreme dry seasons from late December to May and wet seasons from June to December characterize people's rural life. In this study, we show which areas of the delta are frequently affected by floods and which regions remain dry all year round. Furthermore, we present which areas are flooded at which frequency and elucidate the patterns of flood progression over the course of the rainy season. In this context, we also examine the impact of dykes on floodwater emergence and assess the relationship between retrieved flood occurrence patterns and land use. In addition, the advantages and shortcomings of ENVISAT ASAR-WSM based flood mapping are discussed. The results contribute to a comprehensive understanding of Mekong Delta flood dynamics in an environment where the flow regime is influenced by the Mekong River, overland water-flow, anthropogenic floodwater control, as well as the tides. © 2013 by the authors.</t>
  </si>
  <si>
    <t>2-s2.0-84874777399"</t>
  </si>
  <si>
    <t>https://www.scopus.com/inward/record.uri?eid=2-s2.0-84889849167&amp;partnerID=40&amp;md5=e77485d73150dd76c1dbf6695542dd1e</t>
  </si>
  <si>
    <t>2-s2.0-84889849167"</t>
  </si>
  <si>
    <t>10.2112/SI_67_10</t>
  </si>
  <si>
    <t>https://www.scopus.com/inward/record.uri?eid=2-s2.0-84883182173&amp;doi=10.2112%2fSI_67_10&amp;partnerID=40&amp;md5=ab3a6a7a5487415e33b1f34dbf9ade6f</t>
  </si>
  <si>
    <t>Coastal Louisiana's built and natural environment faces risks from catastrophic tropical storms. Concurrently, the region is experiencing a dramatic conversion of coastal land and associated habitats to open water and a loss of important services provided by such ecosystems. Louisiana's Coastal Protection and Restoration Authority (CPRA) engaged in a detailed modeling, simulation, and analysis exercise, the results of which informed Louisiana's 2012 Comprehensive Master Plan for a Sustainable Coast. The Master Plan defines a set of coastal risk-reduction and restoration projects to be implemented in the coming decades to reduce hurricane flood risk to coastal communities and restore the Louisiana coast. Risk-reduction and restoration projects were selected to provide the greatest level of risk-reduction and land-building benefits under a given budget constraint while being consistent with other objectives and principles of the Master Plan. A RAND project team, with the guidance of CPRA and other members of the Master Plan Delivery Team, developed a computer-based decision-support tool, called the CPRA Planning Tool. The Planning Tool provided technical analysis that supported the development of the Master Plan through CPRA and community-based deliberations. This article provides a summary of the Planning Tool and its application in supporting the development of Louisiana's Master Plan. © 2013 Coastal Education &amp; Research Foundation.</t>
  </si>
  <si>
    <t>2-s2.0-84883182173"</t>
  </si>
  <si>
    <t>10.1016/j.geomorph.2012.07.025</t>
  </si>
  <si>
    <t>https://www.scopus.com/inward/record.uri?eid=2-s2.0-84872301123&amp;doi=10.1016%2fj.geomorph.2012.07.025&amp;partnerID=40&amp;md5=b75bed9c4be0913865a315a4243b3a52</t>
  </si>
  <si>
    <t>The modeling of soil erosion by water supposes an accurate and thorough understanding of the hydrology. Thus, it is critical to have a good delineation of the surface flow path. The flow network data are critical for important uses such as flood forecasting and watershed management. Geographic Information System (GIS) functions are able to compute a flow network directly from the digital elevation models. Because the flow directions are only based on the topography, the other factors controlling the flow directions are overlooked. In the agricultural areas, work such as tillage can have a large impact on the flow direction. We propose a 5-step procedure to account for such man-made features. The use of this procedure clearly improves the quality of the computed flow network. This procedure has been successfully implemented in a GIS and improves the prediction of surface flow and therefore improves water erosion modeling at the watershed scale. © 2012 Elsevier B.V.</t>
  </si>
  <si>
    <t>2-s2.0-84872301123"</t>
  </si>
  <si>
    <t>10.1080/08920753.2013.768514</t>
  </si>
  <si>
    <t>https://www.scopus.com/inward/record.uri?eid=2-s2.0-84875316497&amp;doi=10.1080%2f08920753.2013.768514&amp;partnerID=40&amp;md5=ff1ee518565d08066126d4cf96dc76bf</t>
  </si>
  <si>
    <t>The adaptive capacity of coastal disasters caused by climate change in order to strengthen southwestern Taiwan against natural calamities in the future is investigated. In Taiwan, the coastal zone suffers from approximately four typhoons each year, and the exceptionally high sea levels caused by storm surges frequently results in coastal disasters and hinders the development of the coastal area. The problems of sea-level rises and frequent typhoons induced by climate change have threatened the Taiwanese coastal environments. These influences as well as serious land subsidence upon a scenario year were carried out in the southwest coastal areas. The present study focuses on the construction of the disaster characteristics, model establishment for situation analysis of water environmental factors, impact estimation and indefinite analysis on disasters, and vulnerability and risk estimation of coastal disasters on the study area. These results could provide useful information to establish strategies to implement as well as how to analyze the benefits of such a program. © 2013 Copyright Taylor and Francis Group, LLC.</t>
  </si>
  <si>
    <t>2-s2.0-84875316497"</t>
  </si>
  <si>
    <t>10.2112/JCOASTRES-D-12-00053.1</t>
  </si>
  <si>
    <t>https://www.scopus.com/inward/record.uri?eid=2-s2.0-84872976643&amp;doi=10.2112%2fJCOASTRES-D-12-00053.1&amp;partnerID=40&amp;md5=0f6558bc093353496b9201648ebf5c5d</t>
  </si>
  <si>
    <t>Hasan, G.M.J.</t>
  </si>
  <si>
    <t>https://www.scopus.com/inward/record.uri?eid=2-s2.0-84890145586&amp;partnerID=40&amp;md5=3b35c8592137f998e09050557f05a2b7</t>
  </si>
  <si>
    <t>The performance of the concept was evaluated using statistical hydrological and geomorphological methods to assess the model's capability in simulating the phenomena of flash flood, muddy flood in sloping regions of the study area, located in Western Tam Dao mountain, Vinh Phuc province. By using ArcGIS 9.3 software, the processing steps are as follows: From DEM, extracting vertical eroded, watershed and stream accumulated, separating the watershed into a number of sub-basins, and then calculating the average slope value for each sub-basin</t>
  </si>
  <si>
    <t>https://www.scopus.com/inward/record.uri?eid=2-s2.0-84946156443&amp;partnerID=40&amp;md5=61cbaeef1eb5d2334f3ef5253cf689b6</t>
  </si>
  <si>
    <t>Current data has shown that the sea level is increasing day by day and is never stagnant. Peninsular Malaysia is prone to affects from sea level rise, hence, it is important to investigate sea level rise in Peninsular Malaysia. We plotted time series graphs for 8 tidal stations around Peninsular Malaysia, to investigate the trend of sea level rise from 1992 to 2009. Then we projected sea level rise in each tidal station to predict the sea level rise in the year 2050 and 2100</t>
  </si>
  <si>
    <t>10.1007/s10113-012-0315-4</t>
  </si>
  <si>
    <t>https://www.scopus.com/inward/record.uri?eid=2-s2.0-84873524981&amp;doi=10.1007%2fs10113-012-0315-4&amp;partnerID=40&amp;md5=f3453ea30b484c9b390ad70ed824fd28</t>
  </si>
  <si>
    <t>Australian coastal areas have been identified as highly vulnerable to climate change, with major projected impacts including sea level rise, extreme weather events, increased erosion, and a change in coastal processes and wave patterns. Such impacts would cause coastal settlements and ecosystems to face increasingly uncertain conditions. In response to increased risk, effective coastal management at local and regional scales is needed, with governing bodies providing significant leadership. This research explores the challenges of applying effective adaptation responses to projected climate change in vulnerable coastal systems on the South Coast of the Fleurieu Peninsula, South Australia. In particular, the option of planned retreat as a management response to coastal risk is critically examined, with the incorporation of learning from Byron Bay, NSW. A mixed methods approach was undertaken by integrating documentary interrogation with the analysis of interview responses from key coastal managers. It was determined that despite the increase in adaptation planning and development of management strategy options to manage sea level rise on the Fleurieu Peninsula, there is a lack of implementation of adaptation responses. In addition, planning seems to focus largely on the implications of sea level rise on infrastructure, often overlooking other risks and possible ecological impacts. Inconsistencies in governance are reflected at all levels, indicating a need for comprehensive improvements to ensure the incorporation of appropriate risk responses into planning decisions. © 2012 Springer-Verlag.</t>
  </si>
  <si>
    <t>2-s2.0-84873524981"</t>
  </si>
  <si>
    <t>10.1038/srep01926</t>
  </si>
  <si>
    <t>https://www.scopus.com/inward/record.uri?eid=2-s2.0-84881175049&amp;doi=10.1038%2fsrep01926&amp;partnerID=40&amp;md5=1be1b5533c940e06e3be2bb10661536e</t>
  </si>
  <si>
    <t>The review of geochronological and historical data documents that the largest southern European deltas formed almost synchronously during two short intervals of enhanced anthropic pressure on landscapes, respectively during the Roman Empire and the Little Ice Age. These growth phases, that occurred under contrasting climatic regimes, were both followed by generalized delta retreat, driven by two markedly different reasons: after the Romans, the fall of the population and new afforestation let soil erosion in river catchments return to natural background levels</t>
  </si>
  <si>
    <t>Environmental Science and Engineering (Subseries: Environmental Science)</t>
  </si>
  <si>
    <t>10.1007/978-3-642-29107-4_22</t>
  </si>
  <si>
    <t>https://www.scopus.com/inward/record.uri?eid=2-s2.0-85029521745&amp;doi=10.1007%2f978-3-642-29107-4_22&amp;partnerID=40&amp;md5=ebf0bf83d8c0677ae7d2261280df6650</t>
  </si>
  <si>
    <t>Safety is a primary consideration in any building. There are many risk factors which can cause casualties such as earthquake, fire, flood, terrorism, etc. One of the important considerations in an emergency situation is evacuation of people. This is of great importance when a large number of people are or gathered together in a confined space such as mosques, subway stations, shopping malls, etc. To predict the evacuation of a place, an effective way is to simulate evacuation behavior. In this paper as a study case, we simulated the evacuation behavior of the Classes Building of Azarbaijan Shahid Madani University by using distinct element method (DEM). In DEM, analysis can compute the position of each element (person) step by step by solving the equation of motion. Human body is modeled as a circular element. Contact force acts on human body through virtual spring and virtual dashpot. Algorithm that can consider avoidance, overtaking, and pass between elements naturally, is used. The parameters used for human body are based on experiments done by Professor Kiyono at Kyoto University. Different cases are considered and evacuation behavior, evacuation time, and density on exits are estimated quantitatively and obtained results are discussed. As results show, number of exits and people have great influences on evacuation behavior. © 2013, Springer-Verlag Berlin Heidelberg.</t>
  </si>
  <si>
    <t>2-s2.0-85029521745"</t>
  </si>
  <si>
    <t>10.3189/2013J0G12J081</t>
  </si>
  <si>
    <t>https://www.scopus.com/inward/record.uri?eid=2-s2.0-84878373721&amp;doi=10.3189%2f2013J0G12J081&amp;partnerID=40&amp;md5=45fdff8fe3742908f5bdb059435bf6bd</t>
  </si>
  <si>
    <t>Both lake-calving Yakutat Glacier (337km2), Alaska, USA, and its parent icefield (810km2) are experiencing strong thinning, and under current climate conditions will eventually disappear. Comparison of digital elevation models shows that Yakutat Glacier thinned at area-averaged rates of 4.76±0.06mw.e. a-1 (2000-07) and 3.66 plusmn</t>
  </si>
  <si>
    <t>10.4000/geomorphologie.10120</t>
  </si>
  <si>
    <t>https://www.scopus.com/inward/record.uri?eid=2-s2.0-84877291299&amp;doi=10.4000%2fgeomorphologie.10120&amp;partnerID=40&amp;md5=4cfbb044bf7cb4f2406b1e9343311672</t>
  </si>
  <si>
    <t>This article is aimed at studying relations between basin and hydrological network morphologies and flood discharges. Morphological traits extracted from the Digital Elevation Model (DEM) using an original algorithm are used to explain spatially distributed rainfall discharges on two experimental catchments within the Gordon d'Anduze river basin (Gard). Results show the influence of drained areas on discharge measures and highlight two types of hydrological behaviour: a principal network where discharge measures follow a power-law function with drained areas and a secondary network where discharge measures can be neither explained by drained area values nor by morphological traits extracted from the DEM. This result emphasises the distinction between slopes and networks hydrological behaviours. Moreover, it points out the differences between the two catchment studied, particularly on the spatial variability of the both types function and reveals the most prominent geological and pedological influence on the mechanisms which are responsible for the hydrological activity of catchment networks.</t>
  </si>
  <si>
    <t>2-s2.0-84877291299"</t>
  </si>
  <si>
    <t>10.3724/SP.J.1248.2013.201</t>
  </si>
  <si>
    <t>https://www.scopus.com/inward/record.uri?eid=2-s2.0-84900008165&amp;doi=10.3724%2fSP.J.1248.2013.201&amp;partnerID=40&amp;md5=0c79657a04173d0946771931516d3bb3</t>
  </si>
  <si>
    <t>This paper reviews assessment of climate change impacts on economy, society and ecological environment in the coastal areas of South China based on published literatures</t>
  </si>
  <si>
    <t>10.3368/er.31.1.46</t>
  </si>
  <si>
    <t>https://www.scopus.com/inward/record.uri?eid=2-s2.0-84874188306&amp;doi=10.3368%2fer.31.1.46&amp;partnerID=40&amp;md5=bfcc633bfade3a8c5af796e6dd04ff0f</t>
  </si>
  <si>
    <t>Elwha River restoration is humanity's largest dam removal project to date. Reservoir revegetation will be most effective if it is rapid and spatially extensive to stabilize residual sediment, impede invasive plants, and restore other riparian functions. I evaluated how birds could enhance Elwha restoration by dispersing native seeds to reservoir sediment deposits. I evaluated three factors affecting avian seed dispersal: (1) number of native woody plants with bird-dispersed seeds</t>
  </si>
  <si>
    <t>10.1002/jgrc.20412</t>
  </si>
  <si>
    <t>https://www.scopus.com/inward/record.uri?eid=2-s2.0-84890252231&amp;doi=10.1002%2fjgrc.20412&amp;partnerID=40&amp;md5=884c6111b2d503b52f7504e5a843493e</t>
  </si>
  <si>
    <t>In this paper, we assess the risk of future coastal flooding in the Severn Estuary, examining the contribution from low probability extreme sea level rise scenarios resulting from the possibility of increased rates of ice sheet mass loss in the coming century. A simple asymmetric probability distribution is constructed to include sea level rise scenarios of up to 1.9 m by 2100, based on recent assessments of future sea level rise in the UK. A regular sampling procedure, sampling every 1 mm, is used to increase the boundary water levels associated with a current 1:200 year event to force a two-dimensional hydrodynamic model of coastal inundation to examine the influence of sea level rise on inundation of the Somerset Levels region. From the resulting ensemble of predictions an estimation of risk (conditioned upon the hazard and the probability of occurrence) by 2100 is established. The results indicate that although the likelihood of extreme sea level rise due to rapid ice sheet mass loss is low, the resulting hazard can be large, resulting in a significant (29.7%) increase to the projected risk. These findings clearly demonstrate that uncertainty in future sea level rise, mostly associated with the rate of ice sheet mass loss, is a vital component of coastal flood risk, and therefore, needs to be accounted for by decision makers when considering mitigation policies related to coastal flooding. Key Points Future flood risk due to sea level rise is examined in the Severn Estuary The importance of low probability, high consequence scenarios is assessed Low probability scenarios are an important contribution to future risk ©2013. American Geophysical Union. All Rights Reserved.</t>
  </si>
  <si>
    <t>2-s2.0-84890252231"</t>
  </si>
  <si>
    <t>10.2112/SI63-015.1</t>
  </si>
  <si>
    <t>https://www.scopus.com/inward/record.uri?eid=2-s2.0-84879630219&amp;doi=10.2112%2fSI63-015.1&amp;partnerID=40&amp;md5=d4d5f29db3ca41cb5b14219ddce41699</t>
  </si>
  <si>
    <t>Sea-level rise, a dominant driving force of change for coastal regions, is becoming increasingly important as a hazard to humans and urban areas in the coastal zone worldwide as global climate change takes effect. The geologic record shows that sea level, due to past natural climate factors, has been highly variable, as much as 6-8 m higher than present during the last interglacial warm period and 130 m lower during the last glacial period. Sea level was fairly stable for the past 3,000 years until about the mid- 19 th century. During the 20th century, sea level began rising at a global average rate of 1.7 mm/yr. The current average rise rate is 3.1 mm/yr, a 50% increase over the past two decades. Many regions are experiencing even greater rise rates due to local geophysical (e.g., Louisiana, Chesapeake Bay) and oceanographic (Mid-Atlantic coast) forces. A few regions experience rise rates less than the global average due to land uplift. Observations show the increase of carbon emissions since the Industrial Revolution has increased global mean temperature of the air and ocean, which is responsible for sea-level rise due to ice sheet melting and steric expansion, and many related environmental changes. Sea-level rise, with high regional variability, is exhibiting acceleration and is expected to continue for centuries unless mitigation is enacted to reduce atmospheric carbon. Low-lying coastal plain regions, deltas, and most islands are highly vulnerable. Adaptation planning on local, state and national scales for projected sea-level rise of 0.5-2 m by A.D. 2100 is advisable. Sustained global rise in sea level of 4 m to as much as 8 m is possible, but not likely until well after A.D. 2100. © Coastal Education &amp; Research Foundation 2013.</t>
  </si>
  <si>
    <t>2-s2.0-84879630219"</t>
  </si>
  <si>
    <t>Journal of Land Use Science</t>
  </si>
  <si>
    <t>10.1080/1747423X.2011.620994</t>
  </si>
  <si>
    <t>https://www.scopus.com/inward/record.uri?eid=2-s2.0-84874478583&amp;doi=10.1080%2f1747423X.2011.620994&amp;partnerID=40&amp;md5=9fe97d16445ce2d57b237b0f61a85fe5</t>
  </si>
  <si>
    <t>The main objective of this work is to evaluate sustainable landuse management (SLM) through biophysics and socio-economic elements for the purpose of combating and tackling sustainability constraints that preclude the agricultural development. From the geomorphological point of view, three main landscapes were identified: (1) fluvio-lacustrine plain</t>
  </si>
  <si>
    <t>10.1007/s11027-011-9356-0</t>
  </si>
  <si>
    <t>https://www.scopus.com/inward/record.uri?eid=2-s2.0-84871982141&amp;doi=10.1007%2fs11027-011-9356-0&amp;partnerID=40&amp;md5=23b3c3916ec7c31d78f08ea53a6c36de</t>
  </si>
  <si>
    <t>Climate change and sea level rise (SLR) pose risks to coastal communities around the world, but societal understanding of the distributional and equity implications of SLR impacts and adaptation actions remains limited. Here, we apply a new analytic tool to identify geographic areas in the contiguous United States that may be more likely to experience disproportionate impacts of SLR, and to determine if and where socially vulnerable populations would bear disproportionate costs of adaptation. We use the Social Vulnerability Index (SoVI) to identify socially vulnerable coastal communities, and combine this with output from a SLR coastal property model that evaluates threats of inundation and the economic efficiency of adaptation approaches to respond to those threats. Results show that under the mid-SLR scenario (66. 9 cm by 2100), approximately 1,630,000 people are potentially affected by SLR. Of these, 332,000 (~20%) are among the most socially vulnerable. The analysis also finds that areas of higher social vulnerability are much more likely to be abandoned than protected in response to SLR. This finding is particularly true in the Gulf region of the United States, where over 99% of the most socially vulnerable people live in areas unlikely to be protected from inundation, in stark contrast to the least socially vulnerable group, where only 8% live in areas unlikely to be protected. Our results demonstrate the importance of considering the equity and environmental justice implications of SLR in climate change policy analysis and coastal adaptation planning. © 2011 The Author(s).</t>
  </si>
  <si>
    <t>2-s2.0-84871982141"</t>
  </si>
  <si>
    <t>10.1016/j.advwatres.2012.09.003</t>
  </si>
  <si>
    <t>https://www.scopus.com/inward/record.uri?eid=2-s2.0-84870198145&amp;doi=10.1016%2fj.advwatres.2012.09.003&amp;partnerID=40&amp;md5=c1110f8209df786dd90c0529197443a9</t>
  </si>
  <si>
    <t>This study is focused on the integration of bare earth lidar (Light Detection and Ranging) data into unstructured (triangular) finite element meshes and the implications on simulating storm surge inundation using a shallow water equations model. A methodology is developed to compute root mean square error (RMSE) and the 95th percentile of vertical elevation errors using four different interpolation methods (linear, inverse distance weighted, natural neighbor, and cell averaging) to resample bare earth lidar and lidar-derived digital elevation models (DEMs) onto unstructured meshes at different resolutions. The results are consolidated into a table of optimal interpolation methods that minimize the vertical elevation error of an unstructured mesh for a given mesh node density. The cell area averaging method performed most accurate when DEM grid cells within 0.25 times the ratio of local element size and DEM cell size were averaged. The methodology is applied to simulate inundation extent and maximum water levels in southern Mississippi due to Hurricane Katrina, which illustrates that local changes in topography such as adjusting element size and interpolation method drastically alter simulated storm surge locally and non-locally. The methods and results presented have utility and implications to any modeling application that uses bare earth lidar. © 2012 Elsevier Ltd.</t>
  </si>
  <si>
    <t>2-s2.0-84870198145"</t>
  </si>
  <si>
    <t>10.1117/1.JRS.7.073564</t>
  </si>
  <si>
    <t>https://www.scopus.com/inward/record.uri?eid=2-s2.0-84897899489&amp;doi=10.1117%2f1.JRS.7.073564&amp;partnerID=40&amp;md5=fe1dc0670f0243c3b70acf498a324b33</t>
  </si>
  <si>
    <t>Floods seem to appear with increased frequency from one year to another. They create great damage to property and in some cases even result in lost lives. However, a quick and effective response by rescue services can greatly reduce the consequences. Machine learning techniques can reduce the time necessary for flood mapping. We test various machine learning methods to find the one with the highest classification accuracy.We also present the most important points for quick and effective machine learning procedures on remote sensing data. First, the data must be prepared correctly. We use satellite images, digital terrain models (DTMs), and the river network. The data in its primary form (e.g., bands of multispectral satellite images or DTMs) is insufficient. We also need certain derived attributes, such as the vegetation index or the slope derived from the DTM. Second, we must select suitable training samples and a suitable machine learning method. This approach to determining floods is presented in a case study of flash floods in the Selška Sora river valley. Machine learning techniques have proven successful in quickly determining flooded areas. The best results are produced by the J48 decision tree algorithm. The success of the ensemble machine learning methods is comparable to the J48 algorithm, while the JRip classification is not as good. © 2013 Society of Photo-Optical Instrumentation Engineers (SPIE).</t>
  </si>
  <si>
    <t>2-s2.0-84897899489"</t>
  </si>
  <si>
    <t>10.1007/s00531-012-0816-x</t>
  </si>
  <si>
    <t>https://www.scopus.com/inward/record.uri?eid=2-s2.0-84874019371&amp;doi=10.1007%2fs00531-012-0816-x&amp;partnerID=40&amp;md5=4d7b435f4bfe02c2db9f10fe7f64d573</t>
  </si>
  <si>
    <t>This paper presents results of a multi-channel seismic reflection survey at Lake Van and provides constraints on the sedimentary evolution of the lake. The geophysical data of the lake confirm the existence of three physiographic provinces: a shelf, a slope, and a deep, relatively flat basin. The most prominent features identified on the shelf and slope are clinoforms, submerged channels, as well as closely spaced lake floor depressions, reflecting a highly variable lake-level history. The morphological depressions are interpreted as resulting from subaquatic erosion by channelized, sediment-laden currents into horizontally bedded fan sediments. Submerged channels on the eastern shelf are interpreted as meandering-slope channels, probably as a consequence of a lake-level fall that exposed the shelf area. Clinoforms on the Eastern fan may represent relict deltas formed during stationary or slightly rising lake-level intervals. Merging subsurface imaging interpretation with morphological studies of exposed sediments reveals lake-level fluctuations of several hundreds of meters during the past ca. ~550 ka. The lake has three prominent basins (Tatvan, Deveboynu, and the Northern basin) separated by basement ridges (e. g., the Northern ridge). The seismic units in the Tatvan and Northern basins are dominated by alternations of well-stratified and chaotic reflections, while the Deveboynu basin subsurface consists mainly of chaotic units. The chaotic seismic facies are interpreted as mass-flow deposits, probably triggered by earthquakes and/or rapid lake-level fluctuations. The moderate-to-high-amplitude, well-stratified facies seen in the deeper parts of the basins are interpreted as lacustrine deposits intercalated with tephra layers. The occurrence of a clinoform in the deepest part of the lake suggests a major flooding stage of Lake Van more than ~400 ka ago. Seismic profiles from the deepest part of the lake basin show remarkably uniform and continuous stratigraphic units without any major erosional feature following the flooding event, indicating that the lake was never completely dry afterward and therefore significantly older than previously suggested. © 2012 Springer-Verlag.</t>
  </si>
  <si>
    <t>2-s2.0-84874019371"</t>
  </si>
  <si>
    <t>10.3390/rs5115662</t>
  </si>
  <si>
    <t>https://www.scopus.com/inward/record.uri?eid=2-s2.0-84904658701&amp;doi=10.3390%2frs5115662&amp;partnerID=40&amp;md5=6354aab770c29693a74f5f447283b45a</t>
  </si>
  <si>
    <t>Tidal harmonic analysis simulations along with simulations spanning four specific historical time periods in 2003 and 2004 were conducted to test the performance of a northern Gulf of Mexico tidal model. A recently developed method for detecting inundated areas based on integrated remotely sensed data (i.e., Radarsat-1, aerial imagery, LiDAR, Landsat 7 ETM+) was applied to assess the performance of the tidal model. The analysis demonstrates the applicability of the method and its agreement with traditional performance assessment techniques such as harmonic resynthesis and water level time series analysis. Based on the flooded/non-flooded coastal areas estimated by the integrated remotely sensed data, the model is able to adequately reproduce the extent of inundation within four sample areas from the coast along the Florida panhandle, correctly identifying areas as wet or dry over 85% of the time. Comparisons of the tidal model inundation to synoptic (point-in-time) inundation areas generated from the remotely sensed data generally agree with the results of the traditional performance assessment techniques. Moreover, this approach is able to illustrate the spatial distribution of model inundation accuracy allowing for targeted refinement of model parameters. © 2013 by the authors.</t>
  </si>
  <si>
    <t>2-s2.0-84904658701"</t>
  </si>
  <si>
    <t>10.1016/j.ecoleng.2012.09.004</t>
  </si>
  <si>
    <t>https://www.scopus.com/inward/record.uri?eid=2-s2.0-84884587327&amp;doi=10.1016%2fj.ecoleng.2012.09.004&amp;partnerID=40&amp;md5=3cce467bebd911cb10af5501b709d320</t>
  </si>
  <si>
    <t>The intertidal portion of Mexico's Colorado River Delta is a dynamic environment subject to complex interactions of tectonic, fluvial, and tidal forces at the head of the Gulf of California. We review the historical interactions of these forces, use sequential satellite images, overflights, ground observations, and interferometric synthetic aperture radar (InSAR) data to study the effects of the 2010 Mw 7.2 El Mayor-Cucapah Earthquake on changing patterns of tidal inundation within the Delta, and assess effects of these changes to the fluvial/hydrological regime of the Colorado River estuary and nearby Ciénega de Santa Clara wetland. The objectives of this study are to highlight for environmental scientists, land managers, and ecological engineers the contribution of tectonic forces in shaping the intertidal Delta environment and to provide information on the effects of the 2010 earthquake which will be of practical value in planning and designing management measures and restoration projects for the estuary and Ciénega.The Colorado River estuary is at present blocked by a tidal sand bar which restricts access by marine species to the upper estuary and obstructs the flow of fresh water into the lower estuary. Located 13. km east of the estuary, the Ciénega is a 6000. ha wetland supported by agricultural drain water from Arizona and Mexico. South of the Ciénega is the Santa Clara Slough, an unvegetated 26,000. ha basin subject to periodic inundation from the northern Gulf's high amplitude tides, which have historically reached the margins of the Ciénega several times each year.The El Mayor-Cucapah earthquake ruptured the previously unknown Indiviso Fault which extends into the intertidal zone just west of the Ciénega. The Ciénega experienced only minor surface deformation having no direct effects to the wetland. Most of the significant ground movement and surface deformation occurred west of the Indiviso Fault adjacent to the estuary, where portions of the intertidal flats underwent extensive liquefaction, northward coseismic displacement and post-seismic subsidence. These surface deformations changed the pattern of tidal inundation, triggering development of a new system of natural tidal channels and creating conditions favorable for installation of projects to restore connectivity between the upper and lower estuary. The changed pattern of tidal inundation may also have contributed to an observed reduction in the occurrence of tidal flooding along the southwestern margin of the Ciénega following the earthquake. © 2012 Elsevier B.V.</t>
  </si>
  <si>
    <t>2-s2.0-84884587327"</t>
  </si>
  <si>
    <t>Geoscience Canada</t>
  </si>
  <si>
    <t>10.12789/geocanj.2013.40.004</t>
  </si>
  <si>
    <t>https://www.scopus.com/inward/record.uri?eid=2-s2.0-84877032884&amp;doi=10.12789%2fgeocanj.2013.40.004&amp;partnerID=40&amp;md5=de5940981f8dc8f80ceccabec7b39924</t>
  </si>
  <si>
    <t>Rapid retreat rates of sea cliffs exposing glacial material are a widespread problem, especially in Atlantic Canada, and one that will continue. Prediction of retreat rates at specific sites involves many variables, but a factor that has commonly been overlooked in such prediction is the slope of the bedrock surface under the glacial material. A glaciated bedrock platform is generally necessary to establish a stable situation of temporary equilibrium, and as sealevel rises, the bedrock slope determines the location of the new equilibrium position. An example from Nova Scotia shows that bedrock slope is so low on some coasts that the only longrange limiting factor is kinetic, i.e. how fast hydrodynamic energy can remove glacial material. Prediction of coastal retreat scenarios requires better information on the bedrock surface than is commonly available. © 2013 GAC/AGC®.</t>
  </si>
  <si>
    <t>2-s2.0-84877032884"</t>
  </si>
  <si>
    <t>10.1177/0309133313496835</t>
  </si>
  <si>
    <t>https://www.scopus.com/inward/record.uri?eid=2-s2.0-84887456761&amp;doi=10.1177%2f0309133313496835&amp;partnerID=40&amp;md5=fef27b566b4467c8267a79b30a256996</t>
  </si>
  <si>
    <t>Global sea-level rise (SLR) is projected to accelerate over the next century, with research indicating that global mean sea level may rise 18-48 cm by 2050, and 50-140 cm by 2100. Decision-makers, faced with the problem of adapting to SLR, utilize elevation data to identify assets that are vulnerable to inundation. This paper reviews techniques and challenges stemming from the use of Light Detection and Ranging (LiDAR) digital elevation models (DEMs) in support of SLR decision-making. A significant shortcoming in the methodology is the lack of comprehensive standards for estimating LiDAR error, which causes inconsistent and sometimes misleading calculations of uncertainty. Workers typically aim to reduce uncertainty by analyzing the difference between LiDAR error and the target SLR chosen for decision-making. The practice of mapping vulnerability to SLR is based on the assumption that LiDAR errors follow a normal distribution with zero bias, which is intermittently violated. Approaches to correcting discrepancies between vertical reference systems for land and tidal datums may incorporate tidal benchmarks and a vertical datum transformation tool provided by the National Ocean Service (VDatum). Mapping a minimum statistically significant SLR increment of 32 cm is difficult to achieve based on current LiDAR and VDatum errors. LiDAR DEMs derived from 'ground' returns are essential, yet LiDAR providers may not remove returns over vegetated areas successfully. LiDAR DEMs integrated into a GIS can be used to identify areas that are vulnerable to direct marine inundation and groundwater inundation (reduced drainage coupled with higher water tables). Spatial analysis can identify potentially vulnerable ecosystems as well as developed assets. A standardized mapping uncertainty needs to be developed given that SLR vulnerability mapping requires absolute precision for use as a decision-making tool. © The Author(s) 2013.</t>
  </si>
  <si>
    <t>2-s2.0-84887456761"</t>
  </si>
  <si>
    <t>10.1111/gcb.12064</t>
  </si>
  <si>
    <t>https://www.scopus.com/inward/record.uri?eid=2-s2.0-84871931544&amp;doi=10.1111%2fgcb.12064&amp;partnerID=40&amp;md5=ea56b542e5cccaca0cf12b66882bb530</t>
  </si>
  <si>
    <t>Many studies have explored the benefits of adopting more sophisticated modelling techniques or spatial data in terms of our ability to accurately predict ecosystem responses to global change. However, we currently know little about whether the improved predictions will actually lead to better conservation outcomes once the costs of gaining improved models or data are accounted for. This severely limits our ability to make strategic decisions for adaptation to global pressures, particularly in landscapes subject to dynamic change such as the coastal zone. In such landscapes, the global phenomenon of sea level rise is a critical consideration for preserving biodiversity. Here, we address this issue in the context of making decisions about where to locate a reserve system to preserve coastal biodiversity with a limited budget. Specifically, we determined the cost-effectiveness of investing in high-resolution elevation data and process-based models for predicting wetland shifts in a coastal region of South East Queensland, Australia. We evaluated the resulting priority areas for reserve selection to quantify the cost-effectiveness of investment in better quantifying biological and physical processes. We show that, in this case, it is considerably more cost effective to use a process-based model and high-resolution elevation data, even if this requires a substantial proportion of the project budget to be expended (up to 99% in one instance). The less accurate model and data set failed to identify areas of high conservation value, reducing the cost-effectiveness of the resultant conservation plan. This suggests that when developing conservation plans in areas where sea level rise threatens biodiversity, investing in high-resolution elevation data and process-based models to predict shifts in coastal ecosystems may be highly cost effective. A future research priority is to determine how this cost-effectiveness varies among different regions across the globe. © 2012 Blackwell Publishing Ltd.</t>
  </si>
  <si>
    <t>2-s2.0-84871931544"</t>
  </si>
  <si>
    <t>10.1007/s11852-012-0218-z</t>
  </si>
  <si>
    <t>https://www.scopus.com/inward/record.uri?eid=2-s2.0-84874339229&amp;doi=10.1007%2fs11852-012-0218-z&amp;partnerID=40&amp;md5=4383917bc186c68296c5e0e4b1c0d979</t>
  </si>
  <si>
    <t>This paper presents a generic framework for assessing inherent climate change hazards in coastal environments through a combined coastal classification and hazard evaluation system. The framework is developed to be used at scales relevant for regional and national planning and aims to cover all coastal environments worldwide through a specially designed coastal classification system containing 113 generic coastal types. The framework provides information on the degree to which key climate change hazards are inherent in a particular coastal environment, and covers the hazards of ecosystem disruption, gradual inundation, salt water intrusion, erosion and flooding. The system includes a total of 565 individual hazard evaluations, each graduated into four different hazard levels based on a scientific literature review. The framework uses a simple assessment methodology with limited data and computing requirements, allowing for application in developing country settings. It is presented as a graphical tool-the Coastal Hazard Wheel-to ease its application for planning purposes. © 2012 The Author(s).</t>
  </si>
  <si>
    <t>2-s2.0-84874339229"</t>
  </si>
  <si>
    <t>10.1134/S1028334X13030185</t>
  </si>
  <si>
    <t>https://www.scopus.com/inward/record.uri?eid=2-s2.0-84876205741&amp;doi=10.1134%2fS1028334X13030185&amp;partnerID=40&amp;md5=f26f2d3b6fbd07533b8cd3ed1a558894</t>
  </si>
  <si>
    <t>2-s2.0-84876205741"</t>
  </si>
  <si>
    <t>10.1111/gcb.12054</t>
  </si>
  <si>
    <t>https://www.scopus.com/inward/record.uri?eid=2-s2.0-84871931827&amp;doi=10.1111%2fgcb.12054&amp;partnerID=40&amp;md5=6cb155e0f7b2ccd60ed150243dd60ce8</t>
  </si>
  <si>
    <t>Assessing the ecological importance of clouds has substantial implications for our basic understanding of ecosystems and for predicting how they will respond to a changing climate. This study was conducted in a coastal Bishop pine forest ecosystem that experiences regular cycles of stratus cloud cover and inundation in summer. Our objective was to understand how these clouds impact ecosystem metabolism by contrasting two sites along a gradient of summer stratus cover. The site that was under cloud cover ~15% more of the summer daytime hours had lower air temperatures and evaporation rates, higher soil moisture content, and received more frequent fog drip inputs than the site with less cloud cover. These cloud-driven differences in environmental conditions translated into large differences in plant and microbial activity. Pine trees at the site with greater cloud cover exhibited less water stress in summer, larger basal area growth, and greater rates of sap velocity. The difference in basal area growth between the two sites was largely due to summer growth. Microbial metabolism was highly responsive to fog drip, illustrated by an observed ~3-fold increase in microbial biomass C with increasing summer fog drip. In addition, the site with more cloud cover had greater total soil respiration and a larger fractional contribution from heterotrophic sources. We conclude that clouds are important to the ecological functioning of these coastal forests, providing summer shading and cooling that relieve pine and microbial drought stress as well as regular moisture inputs that elevate plant and microbial metabolism. These findings are important for understanding how these and other seasonally dry coastal ecosystems will respond to predicted changes in stratus cover, rainfall, and temperature.© 2012 Blackwell Publishing Ltd.</t>
  </si>
  <si>
    <t>2-s2.0-84871931827"</t>
  </si>
  <si>
    <t>10.1002/hyp.9244</t>
  </si>
  <si>
    <t>https://www.scopus.com/inward/record.uri?eid=2-s2.0-84872679634&amp;doi=10.1002%2fhyp.9244&amp;partnerID=40&amp;md5=7673766ec80c5c580411ddab046db62b</t>
  </si>
  <si>
    <t>Levees, channels and water storages built on the world's floodplain wetlands control flows for irrigation, flood mitigation and erosion management. Assessing their distribution and hydrological impacts through time and across broad extents is limited by significant costs and technical challenges. We tested the effectiveness of three new semi-automated geographic information systems and traditional visual interpretation techniques for detecting earthworks. We used commercially or freely available two-dimensional and three-dimensional spatial imagery within 19 quadrats in an agricultural floodplain of the Murray-Darling Basin, southeastern Australia. Semi-automated digital elevation model (DEM) analysis performed best for spatial accuracy (78% of earthworks correctly predicted within 25m), overall classification accuracy (97.7%) and kappa (0.64), compared with traditional visual interpretation techniques using Landsat TM (52%, 96.3%, 0.39), SPOT (53%, 95.8%, 0.27) and aerial photography (72%, 97.2%, 0.31). DEM analysis also outperformed semi-automated image segmentation (16%, 93%, 0.29) and integrated analysis (75%, 96.0%, 0.43) that used spectral information. Semi-automated techniques were slow (DEM analysis: 27418s/km2</t>
  </si>
  <si>
    <t>10.1007/s13157-012-0359-8</t>
  </si>
  <si>
    <t>https://www.scopus.com/inward/record.uri?eid=2-s2.0-84873701909&amp;doi=10.1007%2fs13157-012-0359-8&amp;partnerID=40&amp;md5=9bfd52bc29c5e226d7363cec35df1ac1</t>
  </si>
  <si>
    <t>We investigated the predictive strength of forested wetland maps produced using digital elevation models (DEMs) derived from Light Detection and Ranging (LiDAR) data and multiple topographic metrics, including multiple topographic wetness indices (TWIs), a TWI enhanced to incorporate information on water outlets, normalized relief, and hybrid TWI/relief in the Coastal Plain of Maryland. LiDAR DEM based wetland maps were compared to maps of inundation and existing wetland maps. TWIs based on the most distributed FD8 (8 cells) and somewhat distributed D∞ (1-2 cells) flow routing algorithms were better correlated with inundation than a TWI based on a non-distributed D8 (1 cell) flow routing algorithm, but D∞ TWI class boundaries appeared artificial. The enhanced FD8 TWI provided good prediction of wetland location but could not predict periodicity of inundation. Normalized relief provided good prediction of inundation periodicity but was less able to map wetland boundaries. A hybrid of these metrics provided good measurement of wetland location and inundation periodicity. Wetland maps based on topographic metrics included areas of flooded forest that were similar to an aerial photography based wetland map. These results indicate that LiDAR based topographic metrics have potential to improve accuracy and automation of wetland mapping. © 2012 US Government.</t>
  </si>
  <si>
    <t>2-s2.0-84873701909"</t>
  </si>
  <si>
    <t>10.1016/j.gloenvcha.2012.09.003</t>
  </si>
  <si>
    <t>https://www.scopus.com/inward/record.uri?eid=2-s2.0-84872616856&amp;doi=10.1016%2fj.gloenvcha.2012.09.003&amp;partnerID=40&amp;md5=d8e818c9b1d8641137f4886a2fca78c4</t>
  </si>
  <si>
    <t>Wetlands are highly dynamic and productive systems that have been under increased pressure from changes in land use and water management strategies. In Eastern Africa, wetlands provide resources at multiple spatial and temporal levels through farming, fishing, livestock ownership and a host of other ecosystem services that sustain the local economy and individual livelihoods. As part of a broader effort to describe future development scenarios for East African coastal wetlands, this qualitative study focuses on understanding the processes by which river water depletion has affected local food production systems in Kenya's Tana River Delta over the past 50 years, and how this situation has impacted residents' livelihoods and well-being. Interviews performed in six villages among various ethnic groups, geographical locations and resource profiles indicated that the agro-ecological production systems formerly in place were adapted to the river's dynamic flooding patterns. As these flooding patterns changed, the local population diversified and abandoned or adopted various farming, fishing and livestock-rearing techniques. Despite these efforts, the decrease in water availability affected each subcomponent of the production systems under study, which led to their collapse in the 1990s. Water depletion negatively impacted local human well-being through the loss of food security. The current study provides a detailed account of the dynamics of agro-ecological production systems facing the effects of river water depletion in a wetland-associated environment in Sub-Saharan Africa. © 2012 Elsevier Ltd.</t>
  </si>
  <si>
    <t>2-s2.0-84872616856"</t>
  </si>
  <si>
    <t>https://www.scopus.com/inward/record.uri?eid=2-s2.0-84996449355&amp;partnerID=40&amp;md5=83a9003e05fc37725558af00310e9ef2</t>
  </si>
  <si>
    <t>The proceedings contain 66 papers. The special focus in this conference is on Development and Planning. The topics include: Assessment of outdoor thermal comfort and its relation to urban geometry</t>
  </si>
  <si>
    <t xml:space="preserve"> cultural heritage tourism research</t>
  </si>
  <si>
    <t>10.1175/JCLI-D-12-00034.1</t>
  </si>
  <si>
    <t>https://www.scopus.com/inward/record.uri?eid=2-s2.0-84874840000&amp;doi=10.1175%2fJCLI-D-12-00034.1&amp;partnerID=40&amp;md5=15362cdb7e38cdd8eeffc5a1edbe282f</t>
  </si>
  <si>
    <t>The Madden-Julian oscillation (MJO) and convectively coupled equatorial waves are the dominant modes of synoptic-to-subseasonal variability in the tropics. These systems have frequently been examined with proxies for convection such as outgoing longwave radiation (OLR). However, upper-tropospheric water vapor (UTWV) gives a more complete picture of tropical circulations because it is more sensitive to the drying and warming associated with subsidence. Previous studies examined tropical variability using relatively short (3-7 yr) UTWV datasets. Intersatellite calibration of data from the High Resolution Infrared Radiation Sounder (HIRS) has recently produced a homogeneous 32-yr climate data record ofUTWVfor 200-500 hPa. This study explores the utility of HIRS UTWV for identifying the MJO and equatorial waves. Spectral analysis shows that the MJO and equatorial waves stand out above the low-frequency background in UTWV, similar to previous findings with OLR. The fraction of variance associated with the MJO and equatorial Rossby waves is actually greater in UTWV than in OLR. Kelvin waves, on the other hand, are overshadowed in UTWV by horizontal advection from extratropical Rossby waves. For the MJO, UTWV identifies subsidence drying in the subtropics, poleward of the convection. These dry anomalies are associated with the MJO's subtropical Rossby gyres. MJO events with dry anomalies over the central North Pacific Ocean also amplify the 200-hPa flow pattern over North America 7 days later. These events cannot be identified using equatorial OLR alone, which demonstrates that UTWV is a useful supplement for identifying the MJO, equatorial waves. © 2013 American Meteorological Society.</t>
  </si>
  <si>
    <t>2-s2.0-84874840000"</t>
  </si>
  <si>
    <t>10.1007/s11069-012-0538-1</t>
  </si>
  <si>
    <t>https://www.scopus.com/inward/record.uri?eid=2-s2.0-84874203098&amp;doi=10.1007%2fs11069-012-0538-1&amp;partnerID=40&amp;md5=bcf294b13da35d5e68db6a3cb914d395</t>
  </si>
  <si>
    <t>In this paper, I applied statistical, econometric, and mathematical methodologies to evaluate the conditions required for implementing a publicly supported trans-boundary flood risk management plan in accordance with the EU Floods Directive (2007/60/EU). Although this paper adopts a focus on the methodology rather than on solving a specific problem, the Scheldt estuary is used to provide an illustrative case study of this approach. I showed that, apart from some expected minor differences, the Belgians and the Dutch can be considered a relatively homogeneous population. Moreover, I estimated the main determinants of both perceived flood risk (PFR) and willingness to pay (WTP) for a compensation fund by using a linear model and an ordered probit model (based on a double-bounded dichotomous-choice approach), respectively. Some policies appear to be potentially effective: a campaign to inform the general public about evacuation and trauma management could increase WTP by 19 and 21 %, respectively</t>
  </si>
  <si>
    <t>https://www.scopus.com/inward/record.uri?eid=2-s2.0-84889855094&amp;partnerID=40&amp;md5=15ed276731735893285148e14d49943d</t>
  </si>
  <si>
    <t>Alluvial soils, which are found under the grasslands in the study area, are formed by erosive and sedimentation activity of waters from surface and river flows. These waters in river valleys, depending on the activity duration, flow speed and the frequency of overflows, determine the spatial distribution of sediments, the variability of their mechanical composition, as well as the layers thickness, the content of organic matter and the diversity of the lay of alluvial material areas. The mentioned factors have significant influence on the structure of soil profile and on the elements circulation in the trophic chain: soil - water - plant - animal - human. The aim of the study was the typological identification of soils in the floodplain of the Warta estuary valley, as well as the characterization of their basic physical and chemical features, with the special consideration to contamination with heavy metals. Moreover, the chemical content of the plant communities in the study area was described. The studies were conducted in the Warta valley on the passage between Świerkocin and Kłopotowo, on grasslands which are part of the right flood terrace of the valley, between the water surface and the levee (floodbank). Objects of varied habitat conditions and vegetation were isolated on the chosen area for the specific research. The characterization of soil conditions was performed according to the methods commonly used in pedology. Based on the description of morphological features of soil pits, the following subtypes of alluvial soils were distinguished: heavy humus, medium brown, actual medium, actual very light. Shaped plant communities were qualified to the following floristic types: Glyceria maxima, Phalaris arundinacea, Poa trivialis, Poa pratensis, Festuca rubra and Corynephorus cannescens. The analyzed soils were evaluated as rich in general forms: P, K, Mg, Ca, Na i S. Compacted soils were usually rich in absorbable phosphorus, the content of absorbable magnesium was from very low to high, while in very light soils the content of phosphorus and magnesium was law. Regardless of the soil type, the content of absorbable potassium found in all soil samples was very low. The analyzed soils had the natural content of heavy metals (Cd, Co, Cu, Ni, Pb, Zn, Mn, Fe), only in surface layer of heavy humus alluvial soil high contamination with cadmium and raised contamination with zinc were found. Varied content of macroelements was found in the grassland sward of the individual study points. The richest in P, K, Mg, Ca and Na was the community of rough bluegrass (Poa trivialis), located on river actual medium alluvial soil in the vicinity of embankment and subject to the constant flooding of Warta. The poorest in the analyzed heavy metals were the communities of Poa pratensis and Festuca rubra with Corynephorus cannescens on actual very light alluvial soil. Only in case of lead, high content in the sward of Phalaris arundinacea formed on actual medium alluvial soil near the water surface was found. As regards other heavy metals there was no excess of their content in the grassland sward of the studied area.</t>
  </si>
  <si>
    <t>2-s2.0-84889855094"</t>
  </si>
  <si>
    <t>10.2112/SI_67_1.1</t>
  </si>
  <si>
    <t>https://www.scopus.com/inward/record.uri?eid=2-s2.0-84883176708&amp;doi=10.2112%2fSI_67_1.1&amp;partnerID=40&amp;md5=ac6eca0b9e7b0b5e5d402fb78eab0d11</t>
  </si>
  <si>
    <t>Louisiana is in the midst of a land loss crisis that has claimed more than 4800 km2 since the 1930s. Unless aggressive, large-scale action is taken, Louisiana could lose an additional 4500 km2 in the next 50 years, resulting in a projected increase in annual damages from hurricane storm surge flooding of more than23 billion. Louisiana's 2012 Coastal Master Plan is a long-term plan with clear economic, social, and environmental benefits, such as decreasing potential damages from storm surge by5.3 billion to18 billion. Implementation of projects in the master plan should result in no net loss of land after 20 years and an annual net gain of land after 30 years. To develop the plan, the Coastal Protection and Restoration Authority (CPRA) utilized a state-of-the-art systems approach to coastal planning and a science-based decision-making process that resulted in a funding- and resource-constrained plan that makes the greatest progress toward achieving a sustainable coast. A series of integrated, coastwide predictive models were developed to provide data for a new planning tool used to identify the suite of projects that would make the greatest progress toward meeting the master plan objectives while considering uncertainties in future environmental conditions. Recognizing that the success of the plan hinges on stakeholder support, as well as science, the CPRA also implemented a comprehensive outreach plan to obtain input and feedback from key stakeholders and the public. The resulting plan recommends a specific list of restoration and protection projects and has achieved widespread support. © 2013 Coastal Education &amp; Research Foundation.</t>
  </si>
  <si>
    <t>2-s2.0-84883176708"</t>
  </si>
  <si>
    <t>10.1016/j.ocemod.2012.12.004</t>
  </si>
  <si>
    <t>https://www.scopus.com/inward/record.uri?eid=2-s2.0-84873839972&amp;doi=10.1016%2fj.ocemod.2012.12.004&amp;partnerID=40&amp;md5=f35e83d6ba244715603d9099ba8d78ff</t>
  </si>
  <si>
    <t>It has been suggested in recent papers that even moderate sea-level rise (SLR) may have significant and unexpected effects on the tidal dynamics of the European Shelf. The response of the tidal amplitudes varied significantly between the studies, however. Here, it is shown that the way SLR is implemented in the tidal models used for the investigations causes significant differences between the results. When vertical walls are added at the present coastline, the changes are due to (subtly) changed properties of the propagating wave as the water depth is altered, whereas when flooding of existing land is allowed, the response is controlled by the newly introduced dissipation in the new cells. For example, the response of the Irish Sea is controlled by the flooding of estuaries, increasing the tidal amplitudes through the increased dissipation in the newly formed cells as explained by the dampened harmonic oscillator, whereas the North Sea is dominated by the flooding of the Dutch coast which shifts the areas of tidal energy dissipation from the present coastline to the new cells and thus moves the amphidromic points towards the coast. This is further supported by semi-analytical solutions to the Taylor problem. Identifying the processes which control the responses of shelf sea tides to SLR not only increase our knowledge about tidal systems, but also aids predictions of how other shelf sea systems will respond to future climate change. © 2013 Elsevier Ltd.</t>
  </si>
  <si>
    <t>2-s2.0-84873839972"</t>
  </si>
  <si>
    <t>Science et Changements Planetaires - Secheresse</t>
  </si>
  <si>
    <t>10.1684/sec.2013.0389</t>
  </si>
  <si>
    <t>https://www.scopus.com/inward/record.uri?eid=2-s2.0-84897074430&amp;doi=10.1684%2fsec.2013.0389&amp;partnerID=40&amp;md5=5b07986cdd4b9a05d607c38029d9f071</t>
  </si>
  <si>
    <t>This paper assesses the hydrology of flash floods in urbanized dryland catchments of Makkah. The original landscape and land cover of the catchments have witnessed significant changes over the past few decades, during which most of the alluvial channels and the mountain foot slopes have been covered by urban sprawl. The occasional threat of flash floods has prompted the development of a mitigation measure including installation of a rainfall-sewage system, culverts, small dams upstream, and lining of the levees of some channels. However, the latest flash flood event of the 30th of December, 2010 resulted in fatalities and demonstrated the insufficiency of the current mitigation system to control flash floods. The runoff coefficient was estimated from the opportunistic observations and measurements of the flow discharge parameters for the latest event, in addition to the recorded rainfall parameters. The digital elevation model (DEM) was analysed using the Geographical Information System (GIS) to determine the spatially distributed time-area zones of the catchment, which were used to simulate the runoff hydrographs under certain runoff coefficients and designed storms of long return periods. The development of urban areas at the expense of the alluvial channels has resulted in a significant surge of total runoff and peak discharges as well as and the reduction of transmission loss into the underlying alluvium. Consequently, it is estimated that the 50-year simulated runoff parameters will far exceed the designed discharge capacities of installed culverts and lined channels, which may endanger certain urban areas in Makkah. The integrated management strategy of flash floods in Makkah should include the construction of several small dams on the fingertips of alluvial channels to reduce sediment and water influx to the urban areas and the conveying alluvial channels. Additionally, the levees of active channels should be controlled and maintained to convey the estimated flow magnitudes to outlet.</t>
  </si>
  <si>
    <t>2-s2.0-84897074430"</t>
  </si>
  <si>
    <t>10.1002/hyp.9232</t>
  </si>
  <si>
    <t>https://www.scopus.com/inward/record.uri?eid=2-s2.0-84872184184&amp;doi=10.1002%2fhyp.9232&amp;partnerID=40&amp;md5=6cb5f827374c35368c4167ca554f6043</t>
  </si>
  <si>
    <t>The sea level change along the Peninsular Malaysia and Sabah-Sarawak coastlines for the 21st century is investigated along the coastal areas of Peninsular Malaysia and Sabah-Sarawak because of the expected climate change during the 21st century. The spatial variation of the sea level change is estimated by assimilating the global mean sea level projections from the Atmosphere-Ocean coupled Global Climate Model/General Circulation Model (AOGCM) simulations to the satellite altimeter observations along the subject coastlines. Using the assimilated AOGCM projections, the sea level around the Peninsular Malaysia coastline is projected to rise with a mean in the range of 0.066 to 0.141m in 2040 and 0.253m to 0.517m in 2100. Using the assimilated AOGCM projections, the sea level around Sabah-Sarawak coastlines is projected to rise with a mean in the range of 0.115m to 0.291m in 2040 and 0.432m to 1.064m in 2100. The highest sea level rise occurs at the northeast and northwest regions in Peninsular Malaysia and at north and east sectors of Sabah in Sabah-Sarawak coastline. © 2012 John Wiley &amp; Sons, Ltd..</t>
  </si>
  <si>
    <t>2-s2.0-84872184184"</t>
  </si>
  <si>
    <t>10.1007/s12517-012-0614-6</t>
  </si>
  <si>
    <t>https://www.scopus.com/inward/record.uri?eid=2-s2.0-84940217097&amp;doi=10.1007%2fs12517-012-0614-6&amp;partnerID=40&amp;md5=81bd196576c0bf87a08b874de32325bd</t>
  </si>
  <si>
    <t>Flood inundation maps are dependent on the topographic and geomorphologic features of a wadi (drainage basin) in arid regions, which are most susceptible for potential flash flood occurrences, such as in the southwestern part of the Kingdom of Saudi Arabia. It is not possible to control the potential flood hazards by using only technological instruments that forewarn the occurrences or imminence. Additionally, it would be better to prepare flood risk maps so as to delineate the risky areas to educate the administrators and local settlers. The availability of these maps is the key requirement for any urban development that entails land use allocation, identification of dam, tunnel, highway, bridge sites, and infrastructure locations for sustainable future. This paper suggests the necessary steps in flood inundation map preparation after determining the possible flood discharge. For this purpose, a set of critical cross-sections along the possible flood plain are taken in the field with surveying methods and measurements. The calculation of the average flow velocity in each section is calculated according to the cross-section geometric, hydraulic, and material properties. Synthetic rating curves (SRC) are prepared for each cross section, which are very useful especially in arid and semi-arid regions where there are no perennial surface water flows for natural rating curve measurements. All the SRCs appear in the form of power function which relates the flow depth to discharge in a given cross section. It is then possible to calculate the flood depth in the cross section through its SRC. Depending on the cross-section shape, the flood width can be calculated. The connection of a series of widths on a scaled topographic map delineates the flood inundation area. If digital elevation map (DEM) is available, then the SRCs can be integrated with these maps and the flood inundation delineation can be achieved automatically. Since DEMs are not available, the topographic maps are used for this purpose in order to delineate flood inundation areas within wadis Hali and Yiba from the southwestern Kingdom of Saudi Arabia. © 2012 Saudi Society for Geosciences.</t>
  </si>
  <si>
    <t>2-s2.0-84940217097"</t>
  </si>
  <si>
    <t>10.2112/SI63-016.1</t>
  </si>
  <si>
    <t>https://www.scopus.com/inward/record.uri?eid=2-s2.0-84879631529&amp;doi=10.2112%2fSI63-016.1&amp;partnerID=40&amp;md5=b6fc992c2712d5ee5ac2ee3845d98d91</t>
  </si>
  <si>
    <t>The accuracy with which coastal topography has been mapped directly affects the reliability and usefulness of elevationbased sea-level rise vulnerability assessments. Recent research has shown that the qualities of the elevation data must be well understood to properly model potential impacts. The cumulative vertical uncertainty has contributions from elevation data error, water level data uncertainties, and vertical datum and transformation uncertainties. The concepts of minimum sealevel rise increment and minimum planning timeline, important parameters for an elevation-based sea-level rise assessment, are used in recognition of the inherent vertical uncertainty of the underlying data. These concepts were applied to conduct a sea-level rise vulnerability assessment of the Mobile Bay, Alabama, region based on high-quality lidar-derived elevation data. The results that detail the area and associated resources (land cover, population, and infrastructure) vulnerable to a 1.18-m sea-level rise by the year 2100 are reported as a range of values (at the 95% confidence level) to account for the vertical uncertainty in the base data. Examination of the tabulated statistics about land cover, population, and infrastructure in the minimum and maximum vulnerable areas shows that these resources are not uniformly distributed throughout the overall vulnerable zone. The methods demonstrated in the Mobile Bay analysis provide an example of how to consider and properly account for vertical uncertainty in elevation-based sea-level rise vulnerability assessments, and the advantages of doing so. © Coastal Education &amp; Research Foundation 2013.</t>
  </si>
  <si>
    <t>2-s2.0-84879631529"</t>
  </si>
  <si>
    <t>10.1002/2013JC008939</t>
  </si>
  <si>
    <t>https://www.scopus.com/inward/record.uri?eid=2-s2.0-84892918411&amp;doi=10.1002%2f2013JC008939&amp;partnerID=40&amp;md5=a1b74137fd0b84176599b018ef23dd59</t>
  </si>
  <si>
    <t>Strong and strategic collaborations among experts from academia, federal operational centers, and industry have been forged to create a U.S. IOOS Coastal and Ocean Modeling Testbed (COMT). The COMT mission is to accelerate the transition of scientific and technical advances from the coastal and ocean modeling research community to improved operational ocean products and services. This is achieved via the evaluation of existing technology or the development of new technology depending on the status of technology within the research community. The initial phase of the COMT has addressed three coastal and ocean prediction challenges of great societal importance: estuarine hypoxia, shelf hypoxia, and coastal inundation. A fourth effort concentrated on providing and refining the cyberinfrastructure and cyber tools to support the modeling work and to advance interoperability and community access to the COMT archive. This paper presents an overview of the initiation of the COMT, the findings of each team and a discussion of the role of the COMT in research to operations and its interface with the coastal and ocean modeling community in general. Detailed technical results are presented in the accompanying series of 16 technical papers in this special issue. © 2013. American Geophysical Union. All Rights Reserved.</t>
  </si>
  <si>
    <t>2-s2.0-84892918411"</t>
  </si>
  <si>
    <t>10.1007/s10113-012-0321-6</t>
  </si>
  <si>
    <t>https://www.scopus.com/inward/record.uri?eid=2-s2.0-84873522276&amp;doi=10.1007%2fs10113-012-0321-6&amp;partnerID=40&amp;md5=aad0fea9f801bbffa4b31fbb1613c4c5</t>
  </si>
  <si>
    <t>The city of Saint-Louis is marked by recurrent floods, despite the decrease in rainfall. The town that grew downstream the vast plain where Senegalese-Mauritanian basin topography flattens considerably has experienced periodic flooding since its foundation. In 2003, the premature flooding of the Senegal River urged the Senegalese authorities to take the initiative to open a breach in the coastal sand strip of the ""Langue de Barbarie</t>
  </si>
  <si>
    <t xml:space="preserve"> in order to evacuate the water surplus from the river to the ocean and therefore resolve forever the problem of river flooding. But the disruption of estuarine dynamics has led to a rapid expansion of this gap: a few meters wide at its excavation, it reaches over 2,700 m in August 2009. Moreover, 10 months after the widening of the gap, the old river mouth was completely closed. If the natural movement of a mouth can be observed on some major deltas in the world (even on the Senegal River in the past), this is here a true man-made relocation. Based on the statistical analysis of series of hydrological data, this article demonstrates on the one hand that climatic conditions in 2003 which generated a major flood is an anomaly detected in the sequence of dry climate variability observed in the Sahel. On the other hand, it studies the rapid evolution of this new mouth of the Senegal River and discusses some of impacts on the regional social-ecological system, in this sensitive Sahelian environment. © 2012 Springer-Verlag.§Article§Scopus§2-s2.0-84873522276</t>
  </si>
  <si>
    <t>Photogrammetrie, Fernerkundung, Geoinformation</t>
  </si>
  <si>
    <t>10.1127/1432-8364/2013/0181</t>
  </si>
  <si>
    <t>https://www.scopus.com/inward/record.uri?eid=2-s2.0-84885156963&amp;doi=10.1127%2f1432-8364%2f2013%2f0181&amp;partnerID=40&amp;md5=98a5b72a3fd2a3252887770f3101ff0b</t>
  </si>
  <si>
    <t>Floodplain ecosystems offer valuable carbon sequestration potential. In comparison to otherterrestrial ecosystems, riparian torests have a considerably higher storage capacity for organic carbon (Corg). However, a scientific foundation for the creation of large-scale maps that show the spatial distribution of COrgis still lacking. In this paper we explore a machllle learning approach using remote sensing and additional geographic data for an area-wide high-resolution estimation of CO,gstock distribution and evaluate the relevance ofindividual geofactors. The research area is the Danube Floodplai n National Park in Austria, one of the very few pristi ne riparian habitats left in Central Europe. Two satellite image (Ikonos and Rapid- Eye), hi torical and current topographic map., a digital elevation model (DEM), and mean groundwater level (MGW) were included. We compared c1assi fications of COI'gstocks in vegetation, soils, and total biomass based on two, three, fOllr, and five classes. The results showed that a spatiallllodel of CO,gin riparian forests can be generated by using a combination of object-based image analysis (OBI A) and classification and regression tree (CART) algorithm The complexity ofAoodplains, where patterns of COrgdistribution are inherently difficult to defi ne, clearly exacerbated the challenge of achieving high classification accuracy. In asses ing the relevance of individual geofactors, we found that remote sensing parameters are more important for the classification of CO,gin vegetation, whereas parameters from auxiliary geodata, e.g. elevation or historical riverbeds, have more inAuence for the classification of soil Cegstocks This was also confirmed by a comparative linear multiple regression analysis. © 2013 E. Schweizerbart'sche Verlagsbuchhandlung, Stuttgart, Germany.</t>
  </si>
  <si>
    <t>2-s2.0-84885156963"</t>
  </si>
  <si>
    <t>10.1080/23249676.2013.827897</t>
  </si>
  <si>
    <t>https://www.scopus.com/inward/record.uri?eid=2-s2.0-84944866249&amp;doi=10.1080%2f23249676.2013.827897&amp;partnerID=40&amp;md5=f009d61a6ba4d8fd31c03e627a541bb4</t>
  </si>
  <si>
    <t>Model predictive control (MPC) is an advanced technique for controlling water resources systems over short-term prediction horizons by optimizing control trajectories of hydraulic structures. Future system states are forecasted by an internal model that simulates the system response to a set of external disturbances and control inputs. This paper deals with the design and numerical implementation of dedicated simplified hydraulic models for representing flood routing processes in MPC. We present alternatives for the numerical implementation in simulation mode as well as first-order sensitivity mode and discuss the trade-off between model accuracy and computational performance in sequential and simultaneous MPC set-ups in application to two test cases: The first one is a fictitious estuary case with little potential for simplifying the full dynamic model. The second case is an application of MPC to the control of flood detention measures along the Rhine River in Germany. Both cases show the high potential of the inertial models with a semi-implicit time integration in combination with a sequential MPC set-up. © 2013 IAHR and WCCE.</t>
  </si>
  <si>
    <t>2-s2.0-84944866249"</t>
  </si>
  <si>
    <t>Foldtani Kozlony</t>
  </si>
  <si>
    <t>https://www.scopus.com/inward/record.uri?eid=2-s2.0-84875604059&amp;partnerID=40&amp;md5=8d5290f96ce92a8b0cec549d713a52af</t>
  </si>
  <si>
    <t>Revisiting the Tihany, Fehérpart section, overviewing archive data, comparison with successions of nearby wells, well-logs, stratigraphic data and results of the high-resolution seismic surveys on Lake Balaton resulted a coherent picture on the depositional environment, age, stratigraphic correlation and palaeogeographic connections of the Tihany Formation. In addition to former analyses of grain-size distributions, carbonate and clay content, the sedimentary structures were investigated, a pilot study of gamma-ray measurements on the field was carried out, and several orders of cyclicity were demonstrated. Palaeontological data from earlier studies were collected and analyzed, and magnetic polarity of the rocks was measured. The Tihany, Fehérpart section is correlated with the Spiniferites tihanyensis dinoflagellate, the MN11 micromammal and the Lymnocardium decorum littoral mollusc biozones. With the exception of the lowermost few metres, it shows normal magnetic polarity. It is underlain by open lacustrine, reverse polarity shales of the Congeria praerhomboidea zone, and is overlain by layers indicative of the Prosodacnomya zone. The latter is well definied by the radiometric age (7.9 Ma) of the overlying volcanosedimentary suite. Therefore the Fehérpart section was deposited either 8.1-8.0 Ma (C4n.2n) or 8.3-8.2 Ma (C4r.1n chron) ago. The Tihany Formation was deposited in a variety of palaeoenvironments related to deltas entering Lake Pannon. It consists of parasequences, i.e. shallowing up successions from below wave base to lake level, generated by sediment accumulation. Parasequences were formed on the delta front or in inter-distributary bays to delta-plain swamps and distributary channels. Beyond the high frequency lake-level and partly autocyclic environmental fluctuations, most likely climatically induced fourth-order lake-level changes of about 15-30 m amplitude occurred, resulting in minor transgressions followed by repeated progradation of deltaic lobes. Although the Tihany (as well as the very alike Somló) Formation is currently found along the rim of the hills, it was originally deposited in the same way as the Újfalu Formation known only from the subsurface of deep basins. The dynamics of deltaic settings feeding to Lake Pannon can be understood by studying the Tihany Formation in outcrops. The only difference between the two formations might be in the number of overlying delta cycles and their thickness</t>
  </si>
  <si>
    <t>10.2166/wcc.2013.018</t>
  </si>
  <si>
    <t>https://www.scopus.com/inward/record.uri?eid=2-s2.0-84896871969&amp;doi=10.2166%2fwcc.2013.018&amp;partnerID=40&amp;md5=cb97d8aec1fd6d7f2bdbae0f6576db69</t>
  </si>
  <si>
    <t>The Pearl River Delta (PRD) region has experienced rapid economic and population growth in the last three decades. The delta includes coastal megacities, such as Hong Kong. These low-lying urbanised coastal regions in the PRD are vulnerable to flood risks from unpredictable climatic conditions. These can result in increasing storm surges, rising sea level and intensified rainstorms causing coastal and inland flooding, all of which impact the delta. This paper has taken the coastal megacity of Hong Kong as a case, focusing on two study sites: Shenzhen River and Tai O town, chosen for their peculiar inland and coastal flood problems. A sustainable flood risk appraisal (SFRA) template was developed against which sustainable flood risk management (FRM) practices in these sites were benchmarked. Thirty-eight stakeholders were interviewed during this research in order to understand the current FRM practices, their barriers and their constraints. It was found that FRM in the case study currently focuses on hard engineering, while neglecting other important sustainability indicators. A SFRA practice that takes public participation, equity of flood preparedness and environmental friendly into account could be effective in achieving sustainable flood risk mitigation practices in Hong Kong and other coastal cities in the PRD. © IWA Publishing 2013.</t>
  </si>
  <si>
    <t>2-s2.0-84896871969"</t>
  </si>
  <si>
    <t>10.1093/gji/ggt408</t>
  </si>
  <si>
    <t>https://www.scopus.com/inward/record.uri?eid=2-s2.0-84892460506&amp;doi=10.1093%2fgji%2fggt408&amp;partnerID=40&amp;md5=69cd9138d24e25da2a2f134e51a6ead9</t>
  </si>
  <si>
    <t>Traditional methods used to invert gravity data are generally based on smoothness as a regularizer and the time-lapse inversion of gravity data is traditionally based on sequential inversion. A smooth density model can be in contradiction with the known geology of the target and sequential time-lapse inversion may lead to the presence of artefacts in the sequence of tomograms due to the propagation of errors from the initial dataset and its associated tomogram.We propose a deterministic time-lapse algorithm to invert a sequence of gravity data combining two features: an image focusing technique and the use of a time-dependent regularizer using an Active Time Constrained (ATC) approach. These two features are included directly in the objective function to minimize. The ATC inversion of time-lapse gravity data is efficient in filtering out noise-contaminated data as long as the noise is not correlated over time. Our approach can also be used to incorporate prior information regarding the density model we want to retrieve. The forward solver is based on a commercial finite element solver with a high flexibility in meshing irregular domains, a feature that is important to include realistic topography from digital elevation maps, for instance, and to describe the density distribution of geological structures with complex geometries.We benchmark the accuracy of the forward modelling code using an analytical expression and test the effectiveness of the focusing algorithm. We show the advantage of our approach in the case of the water flooding of an oil reservoir in order to detect and monitor the position of the oil-water encroachment front. We also test the model against synthetic data describing the evolution of a hydrothermal system feed by a magmatic source and the collapse of a mine. In all these cases, the approach we follow is successful in monitoring density changes. © The Authors 2013. Published by Oxford University Press on behalf of The Royal Astronomical Society.</t>
  </si>
  <si>
    <t>2-s2.0-84892460506"</t>
  </si>
  <si>
    <t>10.1002/jgrb.50174</t>
  </si>
  <si>
    <t>https://www.scopus.com/inward/record.uri?eid=2-s2.0-84894495112&amp;doi=10.1002%2fjgrb.50174&amp;partnerID=40&amp;md5=3385e0c40e7beea55fd5a9adecdb6ec2</t>
  </si>
  <si>
    <t>[1] Analysis of Lake Bonneville shorelines using lidar digital elevation data challenges accepted models of Wasatch fault deformation since the late Pleistocene. While footwall deformation of the Weber segment of theWasatch fault is consistent with back-rotation of the footwall block and greatest displacement rate toward the center of the segment, shorelines along the footwall of the Salt Lake City segment decrease in elevation toward the interior and are highest at the segment boundaries, an opposite pattern of footwall deformation than predicted for boundaries arresting or strongly inhibiting displacement during earthquakes. The spatial pattern of footwall rebound implies that some of the proposed persistent fault segment boundaries do not stop earthquake ruptures that originate on adjacent fault segments, nor constrain ruptures initiated within the Salt Lake City segment. Net vertical fault displacement at the boundary between the Salt Lake and Provo segments is 16-20m over the past 16.3-18.5 ka, corresponding to a vertical displacement rate of 0.8-1.2mm/yr, a net fault slip rate of 2.0-2.8mm/yr, and horizontal extension rate of 1.8-2.6mm/yr on the 25° west-southwest dipping fault that forms the southern Salt Lake City segment boundary. Shoreline analysis suggests isostatic rebound caused by a drop in lake level was concentrated during a relatively short (~2000 year) time period following the Bonneville flood at ~16 ka. Lidar-derived topography in conjunction with robust geomorphic datums improves our ability to map deformation associated with lithospheric flexure and faulting while demonstrating the limitation of lacustrine shorelines in this type of analysis. © 2013. American Geophysical Union. All Rights Reserved.</t>
  </si>
  <si>
    <t>2-s2.0-84894495112"</t>
  </si>
  <si>
    <t>10.2112/SI63-017.1</t>
  </si>
  <si>
    <t>https://www.scopus.com/inward/record.uri?eid=2-s2.0-84879629681&amp;doi=10.2112%2fSI63-017.1&amp;partnerID=40&amp;md5=48e20097311aacaf8b31b28638fe3790</t>
  </si>
  <si>
    <t>The northern Gulf of Mexico coast of the United States has been identified as highly vulnerable to sea-level rise, based on a combination of physical and societal factors. Vulnerability of human populations and infrastructure to projected increases in sea level is a critical area of uncertainty for communities in the extremely low-lying and flat northern gulf coastal zone. A rapidly growing population along some parts of the northern Gulf of Mexico coastline is further increasing the potential societal and economic impacts of projected sea-level rise in the region, where observed relative rise rates range from 0.75 to 9.95 mm per year on the Gulf coasts of Texas, Louisiana, Mississippi, Alabama, and Florida. A 1-m elevation threshold was chosen as an inclusive designation of the coastal zone vulnerable to relative sea-level rise, because of uncertainty associated with sea-level rise projections. This study applies a Coastal Economic Vulnerability Index (CEVI) to the northern Gulf of Mexico region, which includes both physical and economic factors that contribute to societal risk of impacts from rising sea level. The economic variables incorporated in the CEVI include human population, urban land cover, economic value of key types of infrastructure, and residential and commercial building values. The variables are standardized and combined to produce a quantitative index value for each 1-km coastal segment, highlighting areas where human populations and the built environment are most at risk. This information can be used by coastal managers as they allocate limited resources for ecosystem restoration, beach nourishment, and coastal-protection infrastructure. The study indicates a large amount of variability in index values along the northern Gulf of Mexico coastline, and highlights areas where long-term planning to enhance resiliency is particularly needed. © Coastal Education &amp; Research Foundation 2013.</t>
  </si>
  <si>
    <t>2-s2.0-84879629681"</t>
  </si>
  <si>
    <t>10.1016/j.geomorph.2012.11.022</t>
  </si>
  <si>
    <t>https://www.scopus.com/inward/record.uri?eid=2-s2.0-84880044047&amp;doi=10.1016%2fj.geomorph.2012.11.022&amp;partnerID=40&amp;md5=b369f07ba3ff237fd24308a291c38cd2</t>
  </si>
  <si>
    <t>During the 1999 Chi-Chi earthquake (Mw=7.6) in Taiwan, the coseismic displacement induced fault scarps and a pop-up structure in the Taan River. The fault scarps across the river experienced maximum vertical slip of 10m, which disturbed the dynamic equilibrium of the fluvial system. As a result, rapid incision in the weak bedrock, with a maximum depth of 20m, was activated within a decade after its armor layer was removed. This case provides an excellent opportunity for closely tracking and recording the progressive evolution of river morphology that is subjected to coseismic uplift. Based on multistaged orthophotographs and digital elevation model (DEM) data, the process of morphology evolution in the uplift reach was divided into four consecutive stages. Plucking is the dominant mechanism of bedrock erosion associated with channel incision and knickpoint migration. The astonishingly high rate of knickpoint retreat (KPR), as rapid as a few hundred meters per year, may be responsible for the rapid incision in the main channel. The reasons for the high rate of KPR are discussed in depth. The total length of the river affected by the coseismic uplift is 5km: 1km in the uplift reach and 4km in the downstream reach. The downstream reach was affected by a reduction in sediment supply and increase in stream power. The KPR cut through the uplift reach within roughly a decade</t>
  </si>
  <si>
    <t>10.1007/s10584-012-0510-9</t>
  </si>
  <si>
    <t>https://www.scopus.com/inward/record.uri?eid=2-s2.0-84872660674&amp;doi=10.1007%2fs10584-012-0510-9&amp;partnerID=40&amp;md5=c20bbebba62aa8dfe6db49088629b2d3</t>
  </si>
  <si>
    <t>Sea-level rise (SLR) threatens islands and coastal communities due to vulnerable infrastructure and populations concentrated in low-lying areas. LiDAR (Light Detection and Ranging) data were used to produce high-resolution DEMs (Digital Elevation Model) for Kahului and Lahaina, Maui, to assess the potential impacts of future SLR. Two existing LiDAR datasets from USACE (U. S. Army Corps of Engineers) and NOAA (National Oceanic and Atmospheric Administration) were compared and calibrated using the Kahului Harbor tide station. Using tidal benchmarks is a valuable approach for referencing LiDAR in areas lacking an established vertical datum, such as in Hawai'i and other Pacific Islands. Exploratory analysis of the USACE LiDAR ground returns (point data classified as ground after the removal of vegetation and buildings) indicated that another round of filtering could reduce commission errors. Two SLR scenarios of 0.75 (best-case) to 1.9 m (worst-case) (Vermeer and Rahmstorf Proc Natl Acad Sci 106:21527-21532, 2009) were considered, and the DEMs were used to identify areas vulnerable to flooding. Our results indicate that if no adaptive strategies are taken, a loss ranging from $18.7 million under the best-case SLR scenario to $296 million under the worst-case SLR scenario for Hydrologically Connected (HC</t>
  </si>
  <si>
    <t>10.1175/2012EI000496.1</t>
  </si>
  <si>
    <t>https://www.scopus.com/inward/record.uri?eid=2-s2.0-84887130895&amp;doi=10.1175%2f2012EI000496.1&amp;partnerID=40&amp;md5=85d291c5bbe03db46e71073c311e7ce3</t>
  </si>
  <si>
    <t>Recent research in mesoscale hydrology suggests that the size of the reservoirs and the land-use/land-cover (LULC) patterns near them impact the extreme weather [e.g., probable maximum flood (PMF)]. A key question was addressed by W. Yigzaw et al.: How do reservoir size and/or LULC modify extreme flood patterns, specifically PMF via modification of probable maximum precipitation (PMP)? Using the American River watershed (ARW) as a representative example of an impounded watershed with Folsom Dam as the flood control structure, they applied the distributed Variable Infiltration Capacity (VIC) model to simulate the PMF from the atmospheric feedbacks simulated for various LULC scenarios. The current study presents a methodology to extend the impacts of these modified extreme flood patterns on the downstream Sacramento County, California. The research question addressed is, what are the relative effects of downstream flood hazards to population on the American River system under various PMF scenarios for the Folsom Dam? To address this goal, a two-dimensional flood model, the Flood in Two Dimensions-Graphics Processing Unit (Flood2D-GPU), is calibrated using synthetic aperture radar (SAR) and Landsat satellite observations and observed flood stage data. The calibration process emphasized challenges associated with using National Elevation Dataset (NED) digital elevation model (DEM) and topographic light detection and ranging (lidar)-derived DEMs to achieve realistic flood inundation. Following this calibration exercise, the flood model was used to simulate four land-use scenarios (control, predam, reservoir double, and nonirrigation). The flood hazards are quantified as downstream flood hazard zones by estimating flood depths and velocities and its impacts on risk to population using depth-velocity hazard relationships provided by U.S. Bureau of Reclamation (USBR). From the preliminary application of methodology in this study, it is evident from comparing downstream flood hazard that similar trends in PMF comparisons reported by W. Yigzaw et al. were observed. Between the control and nonirrigation, the downstream flood hazard is pronounced by -3.90% for the judgment zone and -2.40% for high hazard zones. Comparing the control and predam scenarios, these differences are amplified, ranging between 0.17% and -1.34%. While there was no change detected in the peak PMF discharges between the control and reservoir-double scenarios, it still yielded an increase in high hazard areas for the latter. Based on this preliminary bottom-up vulnerability assessment study, it is evident that what was observed in PMF comparisons by W. Yigzaw et al. is confirmed in comparisons between control versus predam and control versus nonirrigation. While there was no change detected in the peak PMF discharges between the control and reservoir-double scenarios, it still yielded a noticeable change in the total areal extents: specifically, an increase in high hazard areas for the latter. Continued studies in bottom-up vulnerability assessment of flood hazards will aid in developing suitable mitigation and adaptation options for a much needed resilient urban infrastructure. © 2013.</t>
  </si>
  <si>
    <t>2-s2.0-84887130895"</t>
  </si>
  <si>
    <t>10.2134/jeq2012.0287</t>
  </si>
  <si>
    <t>https://www.scopus.com/inward/record.uri?eid=2-s2.0-84874999028&amp;doi=10.2134%2fjeq2012.0287&amp;partnerID=40&amp;md5=d710afb6c35716dba015a721689feb56</t>
  </si>
  <si>
    <t>Tidal freshwater wetlands in urban settings can be subject to elevated N concentrations, which can promote the exchange of N between the marsh, water, and atmosphere, including denitrification. We used a multitiered approach consisting of direct measurements of N fluxes and denitrification, tidal hypsometry, and N load modeling to examine N exchanges in an urban tidal freshwater wetland of the Delaware River Estuary, Philadelphia, PA.Sediment cores and aboveground biomass were collected at 20 locations across a range of elevations and plant communities in April, July, and October 2010. Nitrate was taken up bythe marsh during all seasons. In the spring, the high rate of NH4+ production from the sediment was correlated with NO3 - uptake, suggesting dissimilatory reduction to NH4+ as a potentially important process. Denitrification rates were greatest in July, averaging 5.5 ± 0.6 mg N m-2 h-1. Adjusted for tidal inundation using a refi ned digital elevation model, denitrification averaged 0.08, 0.5, and 0.2 g N m-2 mo-1 for April, July, and October, respectively. Less than 10% of the modeled N load was estimated to have been removed in the months measured. A combination of high N load, limited marsh area that represented ~1% of the watershed area, and conservative extrapolation of denitrification rates contributed to the low estimate of the N load attenuated. © American Society of Agronomy, Crop Science Society of America, and Soil Science Society of America.</t>
  </si>
  <si>
    <t>2-s2.0-84874999028"</t>
  </si>
  <si>
    <t>10.1002/qj.2078</t>
  </si>
  <si>
    <t>https://www.scopus.com/inward/record.uri?eid=2-s2.0-84875381798&amp;doi=10.1002%2fqj.2078&amp;partnerID=40&amp;md5=6820c05eb0740bec1f977524f8749f80</t>
  </si>
  <si>
    <t>This paper presents an integrated 'Clouds-to-Coast' ensemble modelling framework of coastal flood risk due to wave overtopping. The modelling framework consists of four key components: meteorological forecasts, wave-tide-surge predictions, nearshore wave models and surf zone models. This type of ensemble prediction approach allows us to estimate the probabilities of various outcomes and so improve our understanding of the reliability of results. It also provides a measure of the uncertainty associated with predictions, which can be particularly large for extreme storms, and allows us to assess how the uncertainty propagates from meteorological forecasts to overtopping and subsequent coastal flood risk predictions. © 2013 Royal Meteorological Society.</t>
  </si>
  <si>
    <t>2-s2.0-84875381798"</t>
  </si>
  <si>
    <t>10.1111/gcb.12078</t>
  </si>
  <si>
    <t>https://www.scopus.com/inward/record.uri?eid=2-s2.0-84873177618&amp;doi=10.1111%2fgcb.12078&amp;partnerID=40&amp;md5=6c0986f079c17724810e2a48d05a0b08</t>
  </si>
  <si>
    <t>The world's coastal habitats are critical to human well-being, but are also highly sensitive to human habitat alterations and climate change. In particular, global climate is increasing sea levels and potentially altering storm intensities, which may result in increased risk of flooding in coastal areas. In the Pacific Northwest (USA), coastal dunes that protect the coast from flooding are largely the product of a grass introduced from Europe over a century ago (Ammophila arenaria). An introduced congener (A. breviligulata) is displacing A. arenaria and reducing dune height. Here we quantify the relative exposure to storm-wave induced dune overtopping posed by the A. breviligulata invasion in the face of projected multi-decadal changes in sea level and storm intensity. In our models, altered storm intensity was the largest driver of overtopping extent, however the invasion by A. breviligulata tripled the number of areas vulnerable to overtopping and posed a fourfold larger exposure than sea-level rise over multi-decadal time scales. Our work demonstrates the importance of a transdisciplinary approach that draws on insights from ecology, geomorphology, and civil engineering to assess the vulnerability of ecosystem services in light of global change. © 2012 Blackwell Publishing Ltd.</t>
  </si>
  <si>
    <t>2-s2.0-84873177618"</t>
  </si>
  <si>
    <t>Science, Technology and Society</t>
  </si>
  <si>
    <t>10.1177/0971721813484376</t>
  </si>
  <si>
    <t>https://www.scopus.com/inward/record.uri?eid=2-s2.0-84875975186&amp;doi=10.1177%2f0971721813484376&amp;partnerID=40&amp;md5=9f0337fa0c870408cc0c462586e352b2</t>
  </si>
  <si>
    <t>In this article, I compare two accounts of how biodiversity restoration, flood protection and bio-physical models are co-produced in the Netherlands. Both are historical accounts of the interplay between research practices, policy discourse and intervention practices, one focusing on rivers and the other on the coastal environment. Three questions will be central to my comparison of the two paths of co-production. First, how have institutional conditions of research contributed to shaping the bio-physical models? Second, how has epistemic indeterminacy been tamed in the two cases? Third, how do the models of rivers and coasts perform biodiversity? I conclude by arguing that adaptive approaches to biodiversity restoration require an adaptive epistemology, which implies tolerating a certain degree of epistemic indeterminacy. © 2013 SAGE Publications.</t>
  </si>
  <si>
    <t>2-s2.0-84875975186"</t>
  </si>
  <si>
    <t>10.1002/hyp.8425</t>
  </si>
  <si>
    <t>https://www.scopus.com/inward/record.uri?eid=2-s2.0-84872183404&amp;doi=10.1002%2fhyp.8425&amp;partnerID=40&amp;md5=85e5a6c687594ed5778e1d6b569bfea9</t>
  </si>
  <si>
    <t>A key aspect of large river basins partially neglected in large-scale hydrological models is river hydrodynamics. Large-scale hydrologic models normally simulate river hydrodynamics using simplified models that do not represent aspects such as backwater effects and flood inundation, key factors for some of the largest rivers of the world, such as the Amazon. In a previous paper, we have described a large-scale hydrodynamic approach resultant from an improvement of the MGB-IPH hydrological model. It uses full Saint Venant equations, a simple storage model for flood inundation and GIS-based algorithms to extract model parameters from digital elevation models. In the present paper, we evaluate this model in the Solimões River basin. Discharge results were validated using 18 stream gauges showing that the model is accurate. It represents the large delay and attenuation of flood waves in the Solimões basin, while simplified models, represented here by Muskingum Cunge, provide hydrographs are wrongly noisy and in advance. Validation against 35 stream gauges shows that the model is able to simulate observed water levels with accuracy, representing their amplitude of variation and timing. The model performs better in large rivers, and errors concentrate in small rivers possibly due to uncertainty in river geometry. The validation of flood extent results using remote sensing estimates also shows that the model accuracy is comparable to other flood inundation modelling studies. Results show that (i) river-floodplain water exchange and storage, and (ii) backwater effects play an important role for the Amazon River basin hydrodynamics. © 2011 John Wiley &amp; Sons, Ltd.</t>
  </si>
  <si>
    <t>2-s2.0-84872183404"</t>
  </si>
  <si>
    <t>10.1007/s11027-012-9363-9</t>
  </si>
  <si>
    <t>https://www.scopus.com/inward/record.uri?eid=2-s2.0-84873523858&amp;doi=10.1007%2fs11027-012-9363-9&amp;partnerID=40&amp;md5=b60728211fc7314e52374a2eb179840c</t>
  </si>
  <si>
    <t>This study assessed the autonomous adaptation cost requirements of coastal households to sea level rise impacts at a level to accommodate and protect (excluding retreat). The study examined six vulnerable villages, including both urbanized and fishery communities, located in the Gulf of Thailand. Half of them were near the shore, and the other half were further inland. In initiating the study, to assess actual adaptation costs, common household adaptative measures were first identified</t>
  </si>
  <si>
    <t>10.1029/2012JF002471</t>
  </si>
  <si>
    <t>https://www.scopus.com/inward/record.uri?eid=2-s2.0-84877674331&amp;doi=10.1029%2f2012JF002471&amp;partnerID=40&amp;md5=fe0725122542c33d7b2782566cb5c219</t>
  </si>
  <si>
    <t>Previous predictions on the ability of coastal salt marshes to adapt to future sea level rise (SLR) neglect the influence of changing storm activity that is expected in many regions of the world due to climate change. We present a new modeling approach to quantify this influence on the ability of salt marshes to survive projected SLR, namely, we investigate the separate influence of storm frequency and storm intensity. The model is applied to a salt marsh on the German island of Sylt and is run for a simulation period from 2010 to 2100 for a total of 13 storm scenarios and 48 SLR scenarios. The critical SLR rate for marsh survival, being the maximum rate at which the salt marsh survives until 2100, lies between 19 and 22 mm yr-1. Model results indicate that an increase in storminess can increase the ability of the salt marsh to accrete with sea level rise by up to 3 mm yr-1, if the increase in storminess is triggered by an increase in the number of storm events (storm frequency). Meanwhile, increasing storminess, triggered by an increase in the mean storm strength (storm intensity), is shown to increase the critical SLR rate for which the marsh survives until 2100 by up to 1 mm yr-1 only. On the basis of our results, we suggest that the relative importance of storm intensity and storm frequency for marsh survival strongly depends on the availability of erodible fine-grained material in the tidal area adjacent to the salt marsh. © 2013. American Geophysical Union. All Rights Reserved.</t>
  </si>
  <si>
    <t>2-s2.0-84877674331"</t>
  </si>
  <si>
    <t>Soils and Rocks</t>
  </si>
  <si>
    <t>https://www.scopus.com/inward/record.uri?eid=2-s2.0-84897143515&amp;partnerID=40&amp;md5=71eeb56bb9b9bafa1f441454d633ba3e</t>
  </si>
  <si>
    <t>This paper presents the results from a preliminary inventory of natural and man-made hazards and/or disasters in Brazil. The data were collected from previous studies, aerial photographs, satellite images and field studies. The data were obtained to evaluate the spatial distribution of natural and man-made hazards and disasters in different cities and states and to delimit the areas that have been the most affected during the last 50 years. A total of 28 different types of hazards/disasters were identified in Brazil</t>
  </si>
  <si>
    <t>10.2112/SI_67_5</t>
  </si>
  <si>
    <t>https://www.scopus.com/inward/record.uri?eid=2-s2.0-84883156204&amp;doi=10.2112%2fSI_67_5&amp;partnerID=40&amp;md5=9903aefa3ad6860bc5dc72bcac70e48c</t>
  </si>
  <si>
    <t>Louisiana's 2012 Master Plan for a sustainable coast was designed to minimize economic damage from storm surges and to maximize wetland habitat for fish and wildlife. Selecting projects for inclusion in the master plan depended partly on models that simulated the effects of management options on environmental factors that control habitat quality for fish and wildlife. We used 13 models to predict the effects of the master plan on habitat quality for fish and wildlife in coastal Louisiana. Habitat quality was predicted to change more for the Neotropical songbirds and seven other modeled species losing habitat quality with the status quo (-37%) than it was predicted to increase for five modeled species gaining habitat quality with the status quo (+18%). The master plan was predicted to slow or negate all changes associated with the status quo. All of the modeled fish and wildlife belong to people of the state of Louisiana, people living in countries bordering the Gulf of Mexico, and to people throughout the Americas. Thus, declining fish and wildlife habitat quality in Louisiana probably will cause market and nonmarket losses, which although concentrated in Louisiana, will extend across the Americas. As funding for Louisiana's master plan is pursued, it is important to consider that almost all of the causes for net wetland losses in Louisiana are external to the owners of these wetlands but that the fish and wildlife that use these wetlands belong to and benefit people throughout the Americas. © 2013 Coastal Education &amp; Research Foundation.</t>
  </si>
  <si>
    <t>2-s2.0-84883156204"</t>
  </si>
  <si>
    <t>10.1080/19475705.2012.690782</t>
  </si>
  <si>
    <t>https://www.scopus.com/inward/record.uri?eid=2-s2.0-84874181796&amp;doi=10.1080%2f19475705.2012.690782&amp;partnerID=40&amp;md5=47f31c1954ca350aa83ee23f1560a22b</t>
  </si>
  <si>
    <t>Intensive geological fractures and their associated karst features in tropical regions are often associated with unpredictable environmental and geotechnical engineering problems. This requires precise modelling using modern techniques. A 20 m spatial resolution Digital Elevation Model (DEM), a Geographic Information System (GIS) and Weighted Spatial Probability Modelling (WSPM) were integrated to predict the occurrence of flooding, landslides, sinkholes and earth subsidence in Kuala Lumpur, Malaysia. Five essential thematic layers were extracted using set of automated algorithms and then they were weighted. Layers included were geological fractures, stream network, micro-depressions, slope and lithological contact. All these thematic layers were assigned weights according to their level of contributions to the occurrence of flooding, landslide, sinkholes and earth subsidence. The map demonstrated that areas having very high geohazard susceptibility show an area of 4.155 km2 (8%), whereas the areas characterized by low susceptibility for the occurrence of geohazard is approximately 16.394 (31.5%) of total Kuala Lumpur area. The natural hazard probability model was validated by comparing its results with the published landslide locations and geophysical and geotechnical maps of Kuala Lumpur and the comparison showed strong agreement. © 2013 Copyright Taylor and Francis Group, LLC.</t>
  </si>
  <si>
    <t>2-s2.0-84874181796"</t>
  </si>
  <si>
    <t>10.1016/j.ecoleng.2013.03.003</t>
  </si>
  <si>
    <t>https://www.scopus.com/inward/record.uri?eid=2-s2.0-84884590815&amp;doi=10.1016%2fj.ecoleng.2013.03.003&amp;partnerID=40&amp;md5=6b2af640bacb4f25050860b0f15aada3</t>
  </si>
  <si>
    <t>The 1977 creation of the Cienega de Santa Clara, an 18,000. ha wetland (6500. ha cattail marsh with 11,500. ha of open water lagoons and mudflats) in Sonora, Mexico, was the unintended consequence of the solution to reduce the salinity of the U.S. water deliveries to Mexico. Under the 1944 Water Treaty, the U.S. was obliged to deliver water to Mexico. But the water that was delivered from the U.S. harmed crops in Mexico because it included brackish agricultural runoff from fields in the Lower Colorado River basin. In 1972, Minute 242 to the Treaty called for a reduction in the salinity of U.S. deliveries. As a result, the U.S. diverted the agricultural runoff to a desiccated Colorado Delta floodplain in Sonora, Mexico, inadvertently creating the Cienega de Santa Clara, a wetland that now provides habitat for protected species (Desert Pupfish and the Yuma Clapper Rail), and wintering grounds for more than 200,000 migratory waterbirds. In June 1993, the wetland became part of Mexico's Upper Gulf of California and Colorado River Delta Biosphere Reserve. The Yuma Desalting Plant, completed in 1992, was constructed by the U.S. to desalinate the agricultural runoff that flows to the Cienega. The high cost of operation and abundant Colorado River flow have kept the plant idle. However, the past decade of drought in the Colorado Basin has now made the agricultural runoff a valuable resource to meet growing U.S. water demands, but operating the plant could risk damage to the Cienega wetlands. In response, a binational collaboration of government agencies, environmental groups and university scientists began working together to protect and study this wetland. Replacement flows and environmental monitoring during the 2010-2011 trial run of the Yuma Desalting Plant are prompting a shift from passive to active management of this binational ecosystem. The purpose of this paper is to identify management practices that could help maximize the ecological benefits of water flows. The suggested management practices are based on historical variations in quantity, timing and quality of inflows, occasional dredgings and wildfires. The most important management recommendation is a formal allocation of water of adequate volume and quality. The agreement reached in 2010s Minute 316 to the Treaty is a precedent for successful efforts to protect shared ecosystems along the U.S.-Mexico border. © 2013 Elsevier B.V.</t>
  </si>
  <si>
    <t>2-s2.0-84884590815"</t>
  </si>
  <si>
    <t>10.1002/qj.1926</t>
  </si>
  <si>
    <t>https://www.scopus.com/inward/record.uri?eid=2-s2.0-84875375619&amp;doi=10.1002%2fqj.1926&amp;partnerID=40&amp;md5=a7ada94514541ac8f2c53024b49c463a</t>
  </si>
  <si>
    <t>This article discusses a coupled water level forecasting system constructed for the River Dee (UK) using parsimonious, physically interpretable, time series models. Tidal forecasts, provided by a simple harmonic model, and observed water levels at the upstream boundary are used to drive a nonlinear hydrological model which forecasts water levels at three gauged sites on the flood plain. The assimilation of observed data and use of the model for real-time forecasting is presented. The results generated indicate that the forecasts of river water can be both timely and accurate except close to the tidal boundary where the the tide is affected by the weir at Chester. © 2012 Royal Meteorological Society.</t>
  </si>
  <si>
    <t>2-s2.0-84875375619"</t>
  </si>
  <si>
    <t>10.2112/JCOASTRES-D-12-00127.1</t>
  </si>
  <si>
    <t>https://www.scopus.com/inward/record.uri?eid=2-s2.0-84872950882&amp;doi=10.2112%2fJCOASTRES-D-12-00127.1&amp;partnerID=40&amp;md5=91e3ed8a724d69a9872645c5bc522fb2</t>
  </si>
  <si>
    <t>Obeysekera, J. and Park, J., 2013. Scenario-based projection of extreme sea levels. Heavily populated urban centers and natural areas located in low-lying coastal regions are highly vulnerable to sea-level extremes. Historical data at many tide gages suggest that changes over time in extremes generally follow the rise in mean sea level. Assuming this observation to hold in the future, a relationship between mean sea-level rise and its associated extremes with a generalized extreme value distribution can provide future return levels of extreme sea levels. Current projections of future sea level, which include varying degrees of acceleration, may result in large increases in extremes that need to be accounted for in the evaluation of existing coastal projects or in the planning of new ones. Because precise quantitative estimates of the uncertainties in sea-level rise projections are not available, scenario-based approaches have been suggested for project evaluation and design. Here, we propose a general method based on the synthesis of extreme value statistics with sea-level rise scenarios that allows any combination of linear or nonlinear local and global sea-level rise components and can accommodate the nonstationary evolution of sea-level extremes. The temporal variation of the design level of protection for coastal projects, expressed as the return period of extreme events, and the future behavior of the risk are explored. The concepts are demonstrated through application to tide gage data at several locations in the United States. © Coastal Education &amp; Research Foundation 2013.</t>
  </si>
  <si>
    <t>2-s2.0-84872950882"</t>
  </si>
  <si>
    <t>10.1007/s11069-012-0540-7</t>
  </si>
  <si>
    <t>https://www.scopus.com/inward/record.uri?eid=2-s2.0-84874197161&amp;doi=10.1007%2fs11069-012-0540-7&amp;partnerID=40&amp;md5=a9f96e1fafdb8e83c65bb7f50f3a18e6</t>
  </si>
  <si>
    <t>Many developing countries are very vulnerable to flood risk since they are located in climatic zones characterised by extreme precipitation events, such as cyclones and heavy monsoon rainfall. Adequate flood mitigation requires a routing mechanism that can predict the dynamics of flood waves as they travel from source to flood-prone areas, and thus allow for early warning and adequate flood defences. A number of cutting edge hydrodynamic models have been developed in industrialised countries that can predict the advance of flood waves efficiently. These models are not readily applicable to flood prediction in developing countries in Asia, Africa and Latin America, however, due to lack of data, particularly terrain and hydrological data. This paper explores the adaptations and adjustments that are essential to employ hydrodynamic models like LISFLOOD-FP to route very high-magnitude floods by utilising freely available Shuttle Radar Topographic Mission digital elevation model, available topographical maps and sparse network of river gauging stations. A 110 km reach of the lower Damodar River in eastern India was taken as the study area since it suffers from chronic floods caused by water release from upstream dams during intense monsoon storm events. The uncertainty in model outputs, which is likely to increase with coarse data inputs, was quantified in a generalised likelihood uncertainty estimation framework to demonstrate the level of confidence that one can have on such flood routing approaches. Validation results with an extreme flood event of 2009 reveal an encouraging index of agreement of 0. 77 with observed records, while most of the observed time series records of a 2007 major flood were found to be within 95 % upper and lower uncertainty bounds of the modelled outcomes. © 2013 Springer Science+Business Media Dordrecht.</t>
  </si>
  <si>
    <t>2-s2.0-84874197161"</t>
  </si>
  <si>
    <t>10.1007/s10666-012-9342-2</t>
  </si>
  <si>
    <t>https://www.scopus.com/inward/record.uri?eid=2-s2.0-84874556909&amp;doi=10.1007%2fs10666-012-9342-2&amp;partnerID=40&amp;md5=f065aceb64fbcd8554caa51b6f2ea311</t>
  </si>
  <si>
    <t>In this paper, I develop an optimization model for integrated coastal management in which decisions arise from an area-based algorithm that minimizes predicted damage caused by beach erosion and inshore flooding, while accounting for economic, social, and environmental losses. The model favors the involvement of stakeholders in coastal management, but does not use complicated assessment procedures for non-economic indicators or relative weights to combine economic, social, and environmental indicators. Instead, the integration between economic activities or properties and the environmental status and landscape is represented objectively and non-linearly by referring to initial and sustainability conditions, combined with budgetary and environmental constraints. The model successfully accounted for both human and environmental dynamics by depicting delayed effects, neighborhood externalities, and feedback effects. It calculated a single optimal value for each integrated coastal management strategy, which permitted the support of future decisions and the evaluation of past decisions. The model's insights were based on reliable estimates, with reliability determined by calculating the confidence level. The model was successfully applied to Italy's Comacchio coastal municipality, where it revealed the priorities for optimal beach nourishment, dune fixation, and residential and holiday housing development based on budget constraints, beach losses, flood damage, pollution impacts, and land-use constraints. © 2012 Springer Science+Business Media B.V.</t>
  </si>
  <si>
    <t>2-s2.0-84874556909"</t>
  </si>
  <si>
    <t>Environment and Urbanization Asia</t>
  </si>
  <si>
    <t>10.1177/0975425313510770</t>
  </si>
  <si>
    <t>https://www.scopus.com/inward/record.uri?eid=2-s2.0-84996255135&amp;doi=10.1177%2f0975425313510770&amp;partnerID=40&amp;md5=b9288ca9e6e47e06800af801652a1f08</t>
  </si>
  <si>
    <t>Intensive storms enhanced flooding is fast emerging as one of the biggest threats to urbanization in Asia. The need to manage this risk is critical for achieving a sustainable growth pattern. The authors study the Pearl River Delta (PRD) and propose a generic sustainable flood risk appraisal (SFRA) framework that can be used to benchmark flood risk management (FRM) practice against sustainability objectives. The framework addresses social, environmental and economic concerns, and further illustrates that climate change and governance are two main drivers to achieving sustainability in FRM. This article further explains how the template could be of value in recuperating the FRM practices in the PRD. © 2013, National Institute of Urban Affairs (NIUA). All rights reserved.</t>
  </si>
  <si>
    <t>2-s2.0-84996255135"</t>
  </si>
  <si>
    <t>10.1111/jawr.12082</t>
  </si>
  <si>
    <t>https://www.scopus.com/inward/record.uri?eid=2-s2.0-84897074816&amp;doi=10.1111%2fjawr.12082&amp;partnerID=40&amp;md5=20e0f47bd2637878b4e388a2c5291c19</t>
  </si>
  <si>
    <t>Satellite Synthetic Aperture Radar (SAR) was evaluated as a method to operationally monitor the occurrence and distribution of storm- and tidal-related flooding of spatially extensive coastal marshes within the north-central Gulf of Mexico. Maps representing the occurrence of marsh surface inundation were created from available Advanced Land Observation Satellite (ALOS) Phased Array type L-Band SAR (PALSAR) (L-band) (21 scenes with HH polarizations in Wide Beam [100 m]) data and Environmental Satellite (ENVISAT) Advanced SAR (ASAR) (C-band) data (24 scenes with VV and HH polarizations in Wide Swath [150 m]) during 2006-2009 covering 500 km of the Louisiana coastal zone. Mapping was primarily based on a decrease in backscatter between reference and target scenes, and as an extension of previous studies, the flood inundation mapping performance was assessed by the degree of correspondence between inundation mapping and inland water levels. Both PALSAR- and ASAR-based mapping at times were based on suboptimal reference scenes</t>
  </si>
  <si>
    <t>10.1016/j.ecoleng.2012.12.094</t>
  </si>
  <si>
    <t>https://www.scopus.com/inward/record.uri?eid=2-s2.0-84872661417&amp;doi=10.1016%2fj.ecoleng.2012.12.094&amp;partnerID=40&amp;md5=2b2d55dcf1ef11322f88da6813511dd9</t>
  </si>
  <si>
    <t>Wetland restoration is becoming more common across the globe, encouraged by an increasing number of success stories, and facilitated by emerging environmental conservation and offset legislation. However, much care is still required as the 'art and science' of wetland restoration is considered to be rudimentary compared to the complexity of natural wetland environments (Zedler, 2001). Gaining a sound appreciation of wetland hydrology is fundamental to predicting future ecological function in response to wetland restoration projects (Callaway, 2001). In this regard, hydrodynamic numerical models can be used to predict hydrological behaviour and wetland inundation extents, providing that the models are an adequate representation of the real-world environment.Wetland restoration commenced at Hexham Swamp, Australia, in 2008. For the past 40 years this former estuarine wetland has been degraded by hydrological modifications resulting from the operation of one-way floodgates at its downstream end. The restoration project involves progressively opening the floodgates and allowing saline tidal waters to re-inundate the wetland flats, which have become dominated by a vast monoculture of Phragmites australis. A TUFLOW hydrodynamic model of Hexham Swamp was developed to identify areas within the wetland likely to be influenced by opening the floodgates. The model's predictive capacity was improved during the course of the project by the collection of high resolution ground elevation data and advancements in the numerical representation of the floodgates structure. Calibration of the numerical model was undertaken progressively as the restoration project advanced. One of the most critical parameters for matching observed data was the definition of the top-of-bank elevations along the wetland creekbanks. These elevations define the level at which water starts to overtop the banks and inundate the lower-lying wetland flats.The development of a predictive numerical model of Hexham Swamp wetland has been limited by the availability of accurate topographic data given the dense vegetation covering the majority of the model domain. This has necessitated a pragmatic and incremental approach to wetland restoration in order to manage risk and uncertainty. It is envisaged that topographic data collection will become easier over the next decade or so as the vegetation slowly transitions from its existing tall freshwater reeds to lower profile saltmarsh communities and open water ponds. © 2013 Elsevier B.V.</t>
  </si>
  <si>
    <t>2-s2.0-84872661417"</t>
  </si>
  <si>
    <t>https://www.scopus.com/inward/record.uri?eid=2-s2.0-84996465473&amp;partnerID=40&amp;md5=9dd0e5969a66c09efc3fe9a9d8b015d5</t>
  </si>
  <si>
    <t>The proceedings contain 21 papers. The special focus in this conference is on Wave Modelling, Coastal Processes, Coastal Zone Management, Sediment Transport and Erosion. The topics include: Unrelenting challenges for freaque wave studies in ocean coastal regions</t>
  </si>
  <si>
    <t xml:space="preserve"> developing integrated remote sensing and GIS procedures for oil spill monitoring on the Libyan coast</t>
  </si>
  <si>
    <t>10.1002/qj.2040</t>
  </si>
  <si>
    <t>https://www.scopus.com/inward/record.uri?eid=2-s2.0-84875378200&amp;doi=10.1002%2fqj.2040&amp;partnerID=40&amp;md5=e66c7653176305cd8fb14b8a86449f90</t>
  </si>
  <si>
    <t>A computationally inexpensive inundation model has been developed from freely available data sources for the northern Bay of Bengal region to estimate flood risk from storm surges. This is the first time Shuttle Radar Topography Mission (SRTM) terrain data have been used in a dynamic coastal inundation model. To reduce SRTM noise, and the impact of vegetation artefacts on the ground elevation, the SRTM data were up-scaled from their native 90 m resolution to 900 m. A sub-grid routine allowed estuary channels with widths less than this resolution to be simulated efficiently, and allowed six major river flows to be represented. The inundation model was forced with an IIT-D model hindcast of the 2007 cyclone Sidr flood event, using parameters from two cyclone databases (IBTrACs and UNISYS). Validation showed inundation prediction accuracy with a root mean squared error (RMSE) on predicted water level of ∼ 2 m, which was of the same order of magnitude as the forcing water-level uncertainties. Therefore, SRTM and other publicly available data can be useful for coastal flood risk management in data-poor regions, although the associated uncertainty needs to be expressed to end users. Better SRTM processing techniques may improve inundation model performance, and future work should also seek to improve storm tide uncertainties in this region. © 2012 Royal Meteorological Society.</t>
  </si>
  <si>
    <t>2-s2.0-84875378200"</t>
  </si>
  <si>
    <t>10.1193/1.4000123</t>
  </si>
  <si>
    <t>https://www.scopus.com/inward/record.uri?eid=2-s2.0-84877981781&amp;doi=10.1193%2f1.4000123&amp;partnerID=40&amp;md5=666bc5b5709b0ca0983e5068e12e50f6</t>
  </si>
  <si>
    <t>The 2011 off the Pacific coast of Tohoku-oki earthquake triggered an extremely large tsunami. The authors conducted a field survey in Asahi City, Chiba Prefecture, after the occurrence of the earthquake. Although located farther away from the source region of the earthquake, there was still significant damage in this area. Tsunami-inundated areas in Asahi City were identified from the map developed by disaster relief volunteers and the satellite images captured after the event. Polygons to demonstrate the tsunami-inundated areas were developed in the geographic information system. The authors compared the identified affected areas with the existing tsunami hazard map of Asahi City. The relationship between the tsunami-inundated areas and the locations of seawalls and tide-prevention forests was evaluated. In addition, a numerical simulation of tsunami propagation was performed and the ratio of totally collapsed buildings to the total number of buildings, that is, damage ratio, in terms of the estimated inundation depths was evaluated. © 2013, Earthquake Engineering Research Institute.</t>
  </si>
  <si>
    <t>2-s2.0-84877981781"</t>
  </si>
  <si>
    <t>Annales de Geographie</t>
  </si>
  <si>
    <t>10.3917/ag.692.0445</t>
  </si>
  <si>
    <t>https://www.scopus.com/inward/record.uri?eid=2-s2.0-84883339911&amp;doi=10.3917%2fag.692.0445&amp;partnerID=40&amp;md5=38727ebdaf2b9fb696ac1dec513e7cd0</t>
  </si>
  <si>
    <t>According to the ""adaptation cycle"" theory (Hoiling and Gunderson 2001), human adaptation to the changing coastal environment may be enhanced by repeated disaster experiences. However, one might establish a distinction between planned ""first order"" adaptation processes and spontaneous ""second order"" social and economic adaptation processes (Birkmann 2011). This paper aims to investigate the coastal Mississippi case-study to test the factors that help explain why ""second order"" adaptation is more efficient than planned ""first order"" adaptation. Coastal Mississippi has experienced two devastating hurricane strikes from Camille (1969) to Katrina (2005). For this reason, this case-study is focused on investigating theories about adaptation and mitigation policies versus coastal hazards. This paper reviews the Mississippi Coast's experience with an eye to lessons learned and lessons lost from these catastrophic events. The comparison between the disaster responses during Camille and Katrina displays significant progress. However, comparing the post-Camille reconstruction and the ongoing post-Katrina rebuilding process also shows evidence of the difficulty of learning lessons from disasters. This is vividly underscored when land developers and home owners rebuilt in vulnerable locations. Local interests strongly reject options like ""potential buy-out areas"" and demand instead an increased protection, eventually under the guise of soft environmental restoration programmes whenever structural options are not available. Unfortunately, the climate-change driven sea-level rise thwarts these mitigation strategies on the long run. For this reason, the next major hurricane-induced storm surge could well cause another disaster, similar to or worse than those already caused by Camille and Katrina, except if a strategic retreat from the shoreline is actually implemented. Nowadays, market forces seem more efficient in triggering a ""second-order"" urban adaptation process than faltering planners. © Armand Colin.</t>
  </si>
  <si>
    <t>2-s2.0-84883339911"</t>
  </si>
  <si>
    <t>10.1016/j.gloenvcha.2012.09.001</t>
  </si>
  <si>
    <t>https://www.scopus.com/inward/record.uri?eid=2-s2.0-84872608197&amp;doi=10.1016%2fj.gloenvcha.2012.09.001&amp;partnerID=40&amp;md5=66a3c0c3a4016722fe14dbbd59acd4d3</t>
  </si>
  <si>
    <t>Diverse vulnerabilities of Bangladesh's agricultural sector in 16 sub-regions are assessed using experiments designed to investigate climate impact factors in isolation and in combination. Climate information from a suite of global climate models (GCMs) is used to drive models assessing the agricultural impact of changes in temperature, precipitation, carbon dioxide concentrations, river floods, and sea level rise for the 2040-2069 period in comparison to a historical baseline. Using the multi-factor impacts analysis framework developed in Yu et al. (2010), this study provides new sub-regional vulnerability analyses and quantifies key uncertainties in climate and production. Rice (aman, boro, and aus seasons) and wheat production are simulated in each sub-region using the biophysical Crop Environment REsource Synthesis (CERES) models. These simulations are then combined with the MIKE BASIN hydrologic model for river floods in the Ganges-Brahmaputra-Meghna (GBM) Basins, and the MIKE21 Two-Dimensional Estuary Model to determine coastal inundation under conditions of higher mean sea level. The impacts of each factor depend on GCM configurations, emissions pathways, sub-regions, and particular seasons and crops. Temperature increases generally reduce production across all scenarios. Precipitation changes can have either a positive or a negative impact, with a high degree of uncertainty across GCMs. Carbon dioxide impacts on crop production are positive and depend on the emissions pathway. Increasing river flood areas reduce production in affected sub-regions. Precipitation uncertainties from different GCMs and emissions scenarios are reduced when integrated across the large GBM Basins' hydrology. Agriculture in Southern Bangladesh is severely affected by sea level rise even when cyclonic surges are not fully considered, with impacts increasing under the higher emissions scenario. © 2012.</t>
  </si>
  <si>
    <t>2-s2.0-84872608197"</t>
  </si>
  <si>
    <t>10.1016/j.landurbplan.2012.12.001</t>
  </si>
  <si>
    <t>https://www.scopus.com/inward/record.uri?eid=2-s2.0-84872763890&amp;doi=10.1016%2fj.landurbplan.2012.12.001&amp;partnerID=40&amp;md5=15db745faf249d64472310dd7d515959</t>
  </si>
  <si>
    <t>The effectiveness of urban master plans in limiting development in a disaster-prone area of China was empirically investigated by measuring cities' land-cover changes against their master plans. If a master plan serves as guidance for urban polices that reduce property loss from earthquakes, floods, landslides, land subsidence, and rises in sea level, it will substantially limit urban development in areas at risk from environmental hazards. An environmental risk map weighted toward valuable forms of land cover was generated using geospatial databases of China's Yangtze River Delta region. Based on this data, the effects of five master plan measures-ring-road patterns, block size, the area of urban built-up lands, the locations of industrial sites, and preservation zoning-were tested using the multiple regression method. Cities showing a high degree of compliance, in particular with preservation zoning, had a smaller amount of urban land located in high-risk zones, on average, by 14km2. Among the top ten cities exposed to disproportionately high risks, eight were towns and only two were cities like Huzhou and Kunshan. © 2012 Elsevier B.V.</t>
  </si>
  <si>
    <t>2-s2.0-84872763890"</t>
  </si>
  <si>
    <t>10.1080/17538947.2011.596578</t>
  </si>
  <si>
    <t>https://www.scopus.com/inward/record.uri?eid=2-s2.0-84872021088&amp;doi=10.1080%2f17538947.2011.596578&amp;partnerID=40&amp;md5=05c07125dfae71af6b1fdf7eac5bf4fd</t>
  </si>
  <si>
    <t>With the development of science and technology the entire Earth, together with all of its phenomena, is gradually becoming an object of computer digitisation. For several years, this process has also affected water components, which are essential for the development of humans and economies on Earth. Therefore, monitoring of its resources and movement across the Earth's surface is the main object of investigation of several research institutions. In recent years, hydraulic modelling has experienced significant development that meets water and computer connection conditions. This study consequently dealt with hydraulic modelling and uncertainties in the data that may affect the resulting flood zone. We analysed the effect of cross-sections generated and the subsequent inundation areas in Digital Elevation Models of different resolutions. The basic DEM was constructed from data obtained by the LIDAR method. Hydraulic results were obtained using a one-dimensional (1-D) model, HEC-RAS, and its extension, HEC-GeoRAS. The Olše and Stonávka river junction, located in the northeast region of the Czech Republic, was selected for investigation. The resolutions selected for the study to generate cross-sections and the subsequent inundation areas were 1 m, 5 m and 10 m. The resulting cross-sections were confronted with the actual surveyed cross-sections. © 2013 Copyright Taylor and Francis Group, LLC.</t>
  </si>
  <si>
    <t>2-s2.0-84872021088"</t>
  </si>
  <si>
    <t>10.1038/nclimate1664</t>
  </si>
  <si>
    <t>https://www.scopus.com/inward/record.uri?eid=2-s2.0-84871839003&amp;doi=10.1038%2fnclimate1664&amp;partnerID=40&amp;md5=890aac964d3b05c2b0d5b224e1566c99</t>
  </si>
  <si>
    <t>Climate-change (CC)-driven sea-level rise (SLR) will result in coastline retreat due to landward movement of the coastal profile (that is, the Bruun effect). Coastline change adjacent to commonly found tidal inlets will be influenced not only by the Bruun effect, but also by SLR-driven basin infilling and CC-driven variations in rainfall/runoff. However, as a model that accounts for all of the above-mentioned processes has been lacking so far, most coastal CC impact studies until now have considered only the Bruun effect. Here, we present a scale-aggregated model capable of providing rapid assessments of coastline change adjacent to small inlet-estuary/lagoon systems due to the combined effect of CC-driven SLR and variations in rainfall/runoff. Model applications to four representative systems show that the Bruun effect represents only 25-50% of total potential coastline change, and underline the significance of coastline change due to SLR-driven basin infilling and CC-driven variations in rainfall/runoff. © 2013 Macmillan Publishers Limited. All rights reserved.</t>
  </si>
  <si>
    <t>2-s2.0-84871839003"</t>
  </si>
  <si>
    <t>10.1016/j.envsoft.2011.12.006</t>
  </si>
  <si>
    <t>https://www.scopus.com/inward/record.uri?eid=2-s2.0-84870295819&amp;doi=10.1016%2fj.envsoft.2011.12.006&amp;partnerID=40&amp;md5=92af130e634d3acab961a61ffa7bf8c0</t>
  </si>
  <si>
    <t>In this paper, we present one multi-scale integrated simulation technology for emergency preparedness with a holistic approach in hurricane, related storm surge and flood forecasting</t>
  </si>
  <si>
    <t>10.1130/GSATG165A.1</t>
  </si>
  <si>
    <t>https://www.scopus.com/inward/record.uri?eid=2-s2.0-84870250437&amp;doi=10.1130%2fGSATG165A.1&amp;partnerID=40&amp;md5=47ed9e708f17d94280ae60fbfe98b44f</t>
  </si>
  <si>
    <t>The catastrophic flood of 2010 along the Indus River began in July with unusually intense but not unprecedented rainfall in the upland catchment. During four months, close to 2,000 fatalities occurred and ∼20,000,000 inhabitants were displaced. The meteorological events triggered but did not cause this ""natural"" disaster. Analysis of multi-temporal remote sensing and topography instead indicates that most damage was caused by dam and barrage-related backwater effects, reduced water and sediment conveyance capacity, and multiple failures of irrigation system levees. The numerous failures extended from upstream areas, where some record discharges occurred, to downstream reaches and the delta, where peak discharges were not extreme. In Sindh, Pakistan, two major river avulsions (sudden changes in flow location) occurred. At one of these (the northern avulsion), Indus water flooded ∼8,000 km2 of agricultural land to depths of 1-3 m</t>
  </si>
  <si>
    <t>10.1007/s11069-012-0427-7</t>
  </si>
  <si>
    <t>https://www.scopus.com/inward/record.uri?eid=2-s2.0-84871878857&amp;doi=10.1007%2fs11069-012-0427-7&amp;partnerID=40&amp;md5=381bc12685a6a22b7cd6147fe5f9bb0a</t>
  </si>
  <si>
    <t>A study on the possible inundation limit in SE coast of India was carried out using various physical, geological and satellite imageries. The coastal inundation hazard map was prepared for this particular region as it was affected by many cyclones, flooding, storm surge and tsunami waves during the last six decades. The results were generated using various satellite data (IRS-P6 LISS3</t>
  </si>
  <si>
    <t>10.1080/01431161.2012.738946</t>
  </si>
  <si>
    <t>https://www.scopus.com/inward/record.uri?eid=2-s2.0-84870494166&amp;doi=10.1080%2f01431161.2012.738946&amp;partnerID=40&amp;md5=534ba946886688f50a59fa12758de784</t>
  </si>
  <si>
    <t>Rice means life for millions of people and it is planted in many regions of the world. It primarily grows in the major river deltas of Asia and Southeast Asia, such as the Mekong Delta, known as the Rice Bowl of Vietnam, the second-largest rice-producing nation on Earth. However, Latin America, the USA, and Australia have extensive rice-growing regions. In addition, rice is the most rapidly growing source of food in Africa. Rice is therefore of significant importance to food security in an increasing number of low-income food-deficit countries. This review article gives a complementary overview of how remote sensing can support the assessment of paddy rice cultivation worldwide. This article presents and discusses methods for rice mapping and monitoring, differentiating between the results achievable using different sensors of various spectral characteristics and spatial resolution. The remote sensing of rice-growing areas can not only contribute to the precise mapping of rice areas and the assessment of the dynamics in rice-growing regions, but can also contribute to harvest prediction modelling, the analyses of plant diseases, the assessment of rice-based greenhouse gas (methane) emission due to vegetation submersion, the investigation of erosion-control-adapted agricultural systems, and the assessment of ecosystem services in rice-growing areas. © 2013 Copyright Taylor and Francis Group, LLC.</t>
  </si>
  <si>
    <t>2-s2.0-84870494166"</t>
  </si>
  <si>
    <t>10.1002/joc.3405</t>
  </si>
  <si>
    <t>https://www.scopus.com/inward/record.uri?eid=2-s2.0-84864843491&amp;doi=10.1002%2fjoc.3405&amp;partnerID=40&amp;md5=cbb46770b4958ee9e72a11d042c92244</t>
  </si>
  <si>
    <t>Current climate 1-in-100-year storm tide heights along the coast of Victoria, southeast Australia were estimated by combining probabilities of storm surge and tide heights determined from hydrodynamic modelling. For this return period, levels lie between 1 and 2 m above mean sea level along much of the coastline. Future climate 1-in-100-year storm tide heights were estimated by adding high-end estimates of future sea-level rise from recent literature. The effect of climate change through consistent wind-speed increases was also examined and it was found that, for the late 21st Century, the contribution of wind-speed increase to the increases in extreme storm surge heights is considerably smaller, by a factor of more than 2, than the contribution of sea-level rise. A computationally inexpensive approach to assessing current and future vulnerability to coastal inundation due to sea-level extremes is then demonstrated for the Victorian coast. A simple inundation algorithm was used with high-resolution terrestrial elevation data from a Light Detection and Ranging (LiDAR) survey of the Victorian coast to evaluate the potential vulnerability of nine coastal regions to inundation by current and future climate 1-in-100-year storm tides. The response of different regions varied from exhibiting proportional increases in inundation to sea-level rise to nonlinear responses, where the exceedance of critical sea-level thresholds led to large stepwise increases in land area or number of land parcels affected by inundation. These responses were a function of both coastal topography and the spatial density of land parcels. The low computational cost of the methodology permits different time horizons and uncertainties in future climate change to be considered using a scenario-based approach and is therefore useful in assessing options for adaptation to climate change. © 2011 Royal Meteorological Society.</t>
  </si>
  <si>
    <t>2-s2.0-84864843491"</t>
  </si>
  <si>
    <t>10.1007/s11069-012-0342-y</t>
  </si>
  <si>
    <t>https://www.scopus.com/inward/record.uri?eid=2-s2.0-84870802049&amp;doi=10.1007%2fs11069-012-0342-y&amp;partnerID=40&amp;md5=a2e20e33259ff82fd729c56f4078eca4</t>
  </si>
  <si>
    <t>Low-lying, densely populated coastal areas worldwide are under threat, requiring coastal managers to develop new strategies to cope with land subsidence, sea-level rise and the increasing risk of storm-surge-induced floods. Traditional engineering approaches optimizing for safety are often suboptimal with respect to other functions and are neither resilient nor sustainable. Densely populated deltas in particular need more resilient solutions that are robust, sustainable, adaptable, multifunctional and yet economically feasible. Innovative concepts such as 'Building with Nature' provide a basis for coastal protection strategies that are able to follow gradual changes in climate and other environmental conditions, while maintaining flood safety, ecological values and socio-economic functions. This paper presents a conceptual framework for Building with Nature that is used to evaluate coastal protection strategies, based on a case study of the Holland coast in the Netherlands. The added value and the limitations of these strategies are discussed. © 2012 Springer Science+Business Media B.V.</t>
  </si>
  <si>
    <t>2-s2.0-84870802049"</t>
  </si>
  <si>
    <t>10.1007/s00343-013-2048-8</t>
  </si>
  <si>
    <t>https://www.scopus.com/inward/record.uri?eid=2-s2.0-84872582348&amp;doi=10.1007%2fs00343-013-2048-8&amp;partnerID=40&amp;md5=43c5347237402ffcadb863f890a35863</t>
  </si>
  <si>
    <t>To reduce typhoon-caused damages, numerical and empirical methods are often used to forecast typhoon storm surge. However, typhoon surge is a complex nonlinear process that is difficult to forecast accurately. We applied a principal component back-propagation neural network (PCBPNN) to predict the deviation in typhoon storm surge, in which data of the typhoon, upstream flood, and historical case studies were involved. With principal component analysis, 15 input factors were reduced to five principal components, and the application of the model was improved. Observation data from Huangpu Park in Shanghai, China were used to test the feasibility of the model. The results indicate that the model is capable of predicting a 12-hour warning before a typhoon surge. © 2013 Chinese Society for Oceanology and Limnology, Science Press and Springer-Verlag Berlin Heidelberg.</t>
  </si>
  <si>
    <t>2-s2.0-84872582348"</t>
  </si>
  <si>
    <t>10.1016/j.cageo.2012.09.024</t>
  </si>
  <si>
    <t>https://www.scopus.com/inward/record.uri?eid=2-s2.0-84870663581&amp;doi=10.1016%2fj.cageo.2012.09.024&amp;partnerID=40&amp;md5=8bf885cfe4274f913924a205f62b9d04</t>
  </si>
  <si>
    <t>Remote sensing technology has great potential for measuring lake inundation areas and lake levels, and providing important lake water quantity and quality information which can be used for improving our understanding of climate change impacts on the global water cycle, and assessing the influence of the projected future climate change on the global water resources. One remote sensing approach is to estimate lake level from satellite measured inundation area based on the inundation area-lake level rating (IALLR) curves. However, this approach is not easy to implement because of a lack of data for constructing the IALLR curves. In this study, an innovative and robust approach to construct the IALLR curves from the digital elevation model (DEM) data collected during the Shuttle Radar Topography Mission (SRTM) was developed and tested. It was shown that the IALLR curves derived from the SRTM DEM data could be used to retrieve lake level from satellite measured inundation area. Applying the constructed IALLR curve to the estimated inundation areas from 16 Landsat Thematic Mapper (TM) images, 16 lake levels of Lake Champlain in Vermont were obtained. The root mean square error (RMSE) of the estimated lake levels compared to the observed water levels at the U.S. Geological Survey (USGS) gauging station (04294500) at Burlington, Vermont is about 0.12. m. © 2012 Elsevier Ltd.</t>
  </si>
  <si>
    <t>2-s2.0-84870663581"</t>
  </si>
  <si>
    <t>10.2166/wcc.2012.048</t>
  </si>
  <si>
    <t>https://www.scopus.com/inward/record.uri?eid=2-s2.0-84872548408&amp;doi=10.2166%2fwcc.2012.048&amp;partnerID=40&amp;md5=c51a2d1be8ae958f7ed51802f426a900</t>
  </si>
  <si>
    <t>Desiccation of river channels, resulting from low inflows, is among the major shocks affecting household livelihoods in the Okavango Delta, Botswana. Household coping and adaptive strategies against this shock are believed to be inadequate owing to changes in policy, land use and environmental conditions. This paper aims to improve knowledge on household capacity to adapt to desiccation in the Okavango Delta. It identifies and assesses the impacts of desiccation on rural livelihoods, the household strategies, and the impacts of institutional changes on household responses. Informed by the sustainable livelihood and socio-ecological frameworks, the study used a survey of 526 households and other qualitative methods. The results show that desiccation adversely affected livelihood activities. Household responses included livestock relocation to wetter areas, livelihood diversification, digging of wells and boreholes, and switching from flood recession to rainfed cultivation. Land use and institutional changes inhibited household adaptation to desiccation. Additionally, households did not sufficiently use opportunities resulting from desiccation. The study concludes that the ability to capitalise on opportunities created by climatic shocks needs to be developed at all levels, as this can improve adaptation to the impacts of, and reduce losses from, future climate variability and change in Botswana and other developing countries. © IWA Publishing 2012.</t>
  </si>
  <si>
    <t>2-s2.0-84872548408"</t>
  </si>
  <si>
    <t>10.5194/tc-6-1103-2012</t>
  </si>
  <si>
    <t>https://www.scopus.com/inward/record.uri?eid=2-s2.0-84870034783&amp;doi=10.5194%2ftc-6-1103-2012&amp;partnerID=40&amp;md5=f9371ed4b1d119434ddaaddf83acd6ef</t>
  </si>
  <si>
    <t>Canadian Arctic glaciers have recently contributed large volumes of meltwater to the world's oceans. To place recently observed glacier wastage into a historical perspective and to determine the region's longer-term (∼50 years) contribution to sea level, we estimate mass and volume changes for the glaciers of Baffin and Bylot Islands using digital elevation models generated from airborne and satellite stereoscopic imagery and elevation postings from repeat airborne and satellite laser altimetry. In addition, we update existing glacier mass change records from GRACE satellite gravimetry to cover the period from 2003 to 2011. Using this integrated approach, we find that the rate of mass loss from the region's glaciers increased from 11.1 ± 3.4 Gt aĝ̂'1 (271 ± 84 kg mĝ̂'2 aĝ̂'1) for the period 1963-2006 to 23.8 ± 6.1 Gt aĝ̂'1 (581 ± 149 kg mĝ̂'2 aĝ̂'1) for the period 2003-2011. The doubling of the rate of mass loss is attributed to higher temperatures in summer with little change in annual precipitation. Through both direct and indirect effects, changes in summer temperatures accounted for 70-98% of the variance in the rate of mass loss, to which the Barnes Ice Cap was found to be 1.7 times more sensitive than either the Penny Ice Cap or the region's glaciers as a whole. This heightened sensitivity is the result of a glacier hypsometry that is skewed to lower elevations, which are shown to have a higher mass change sensitive to temperature compared to glacier surfaces at higher elevations. Between 2003 and 2011 the glaciers of Baffin and Bylot Islands contributed 0.07 ± 0.02 mm aĝ̂'1 to sea level rise accounting for 16% of the total contribution from glaciers outside of Greenland and Antarctica, a rate much higher than the longer-term average of 0.03 ± 0.01 mm aĝ̂'1 (1963 to 2006). © Author(s) 2012.</t>
  </si>
  <si>
    <t>2-s2.0-84870034783"</t>
  </si>
  <si>
    <t>10.5194/hess-16-3851-2012</t>
  </si>
  <si>
    <t>https://www.scopus.com/inward/record.uri?eid=2-s2.0-84880786636&amp;doi=10.5194%2fhess-16-3851-2012&amp;partnerID=40&amp;md5=fc8fdd24d38afcd538acb07aef6527b7</t>
  </si>
  <si>
    <t>Riparian zone delineation is a central issue for managing rivers and adjacent areas</t>
  </si>
  <si>
    <t>10.1007/s10584-012-0468-7</t>
  </si>
  <si>
    <t>https://www.scopus.com/inward/record.uri?eid=2-s2.0-84868711482&amp;doi=10.1007%2fs10584-012-0468-7&amp;partnerID=40&amp;md5=fb9bc6e7fce9a7dce9a07f5d627f06da</t>
  </si>
  <si>
    <t>Shanghai is a low-lying city (3-4 m elevation) surrounded on three sides by the East China Sea, the Yangtze River Estuary, and Hangzhou Bay. With a history of rapid changes in sea level and land subsidence, Shanghai is often plagued by extreme typhoon storm surges. The interaction of sea level rise, land subsidence, and storm surges may lead to more complex, variable, and abrupt disasters. In this paper, we used MIKE 21 models to simulate the combined effect of this disaster chain in Shanghai. Projections indicate that the sea level will rise 86.6 mm, 185.6 mm, and 433.1 mm by 2030, 2050, and 2100, respectively. Anthropogenic subsidence is a serious problem. The maximum annual subsidence rate is 24.12 mm/year. By 2100, half of Shanghai is projected to be flooded, and 46 % of the seawalls and levees are projected to be overtopped. The risk of flooding is closely related to the impact of land subsidence on the height of existing seawalls and levees. Land subsidence increases the need for flood control measures in Shanghai. © 2012 Springer Science+Business Media B.V.</t>
  </si>
  <si>
    <t>2-s2.0-84868711482"</t>
  </si>
  <si>
    <t>10.5194/tc-6-1483-2012</t>
  </si>
  <si>
    <t>https://www.scopus.com/inward/record.uri?eid=2-s2.0-84870925016&amp;doi=10.5194%2ftc-6-1483-2012&amp;partnerID=40&amp;md5=5826a1334dfb4b695c08c09d8bc1af4a</t>
  </si>
  <si>
    <t>Glacier inventories provide essential baseline information for the determination of water resources, glacier-specific changes in area and volume, climate change impacts as well as past, potential and future contribution of glaciers to sea-level rise. Although Greenland is heavily glacierised and thus highly relevant for all of the above points, a complete inventory of its glaciers was not available so far. Here we present the results and details of a new and complete inventory that has been compiled from more than 70 Landsat scenes (mostly acquired between 1999 and 2002) using semi-automated glacier mapping techniques. A digital elevation model (DEM) was used to derive drainage divides from watershed analysis and topographic attributes for each glacier entity. To serve the needs of different user communities, we assigned to each glacier one of three connectivity levels with the ice sheet (CL0, CL1, CL2</t>
  </si>
  <si>
    <t>10.1016/j.tecto.2011.10.002</t>
  </si>
  <si>
    <t>https://www.scopus.com/inward/record.uri?eid=2-s2.0-84868626979&amp;doi=10.1016%2fj.tecto.2011.10.002&amp;partnerID=40&amp;md5=54b0ee1af1e5bcecf8418bf984f876e6</t>
  </si>
  <si>
    <t>Located at the converging junction between the Eurasian and Philippine Sea plates, the island of Taiwan is subject to an active lithospheric deformation as well as seismicity. Taking the difference between the satellite altimetry data (ALT) that give the absolute sea level variation and the tide gauge data (TG) that record the relative sea level variation, we obtain the absolute vertical crustal motion of the tide gauge sites. We use 20 TG stations along the west and east coasts of Taiwan along with the ALT measurements from the TOPEX/Poseidon-Jason satellites in the nearby waters. The ALT-TG results are compared with vertical GPS measurements in discussing vertical motion. We find a general subsidence of the entire Taiwan coast during the past two decades. The west coast sees no prominent vertical motion but with a severe local subsidence due to the over-withdrawal of groundwater. On the east coast, the ALT-TG results in the northern section demonstrate a northward dipping motion. The elastic thickness of the neighboring oceanic lithosphere modeled as an elastic plate with the flexure of the subducting plate shows that the adjacent Philippine Sea plate should be an old, thick oceanic plate, which could drag the slab into the mantle as manifested in a gentle northward subsidence in the northeast Taiwan. In the southern section of the east coast, the ALT-TG results reveal a segmented or undulating pattern in the vertical-motion rates. Judging from the different behaviors between the co-seismic and interseismic vertical motions marked by the major earthquakes during the studied period, we postulate a temporal saw-tooth scenario for the deformation in phases. It demonstrates the opposite motions under different mechanisms in the frontal sections of the subduction zone, which can be understood with lateral collision and slab dragging subject to varied temporal and spatial dependences. © 2011 Elsevier B.V.</t>
  </si>
  <si>
    <t>2-s2.0-84868626979"</t>
  </si>
  <si>
    <t>10.1142/S1793431112500339</t>
  </si>
  <si>
    <t>https://www.scopus.com/inward/record.uri?eid=2-s2.0-84872857783&amp;doi=10.1142%2fS1793431112500339&amp;partnerID=40&amp;md5=99dcb0bf3c7cd4ff34dcee1af501cc91</t>
  </si>
  <si>
    <t>The Great East Japan Earthquake of March 11, 2011 generated a massive tsunami wave that severely damaged coastal areas of Japan. Furthermore, the wave propagated into rivers, causing damage upstream far from shore. Videos recorded during this tsunami event were collected and analyzed to estimate the celerity of tsunami propagation in river and on the land. The result shows good comparison with estimation based on theoretical approaches that use water level measurement data. It was found that the tsunami celerity in river is approximately 25-30 km/h, and moved upstream with gradual deceleration. However, wave celerity on land was decreased significantly due to debris and dominant ground friction. The propagation trend in river mainstream and floodplain behaves differently in the location where the mainstream is not parallel to the embankment. Tsunami discharge and velocity in a river induced by tsunami wave were estimated based on continuity equation using the measured water level variation along the Sunaoshi River. The maximum estimated discharge is approximately 152 m3/s with the maximum velocity of 1.4 m/s. © 2012 World Scientific Publishing Company.</t>
  </si>
  <si>
    <t>2-s2.0-84872857783"</t>
  </si>
  <si>
    <t>10.1002/rra.1532</t>
  </si>
  <si>
    <t>https://www.scopus.com/inward/record.uri?eid=2-s2.0-84867999928&amp;doi=10.1002%2frra.1532&amp;partnerID=40&amp;md5=978fabadd326d02538ca3d907ea6ea7b</t>
  </si>
  <si>
    <t>In-channel large woody debris (LWD) promotes quality aquatic habitat through sediment sorting, pool scouring and in-stream nutrient retention and transport. LWD recruitment occurs by numerous ecological and geomorphic mechanisms including channel migration, mass wasting and natural tree fall, yet LWD sourcing on the watershed scale remains poorly constrained. We developed a rapid and spatially extensive method for using light detection and ranging data to do the following: (i) estimate tree height and recruitable tree abundance throughout a watershed</t>
  </si>
  <si>
    <t>10.1007/s11069-012-0309-z</t>
  </si>
  <si>
    <t>https://www.scopus.com/inward/record.uri?eid=2-s2.0-84867234472&amp;doi=10.1007%2fs11069-012-0309-z&amp;partnerID=40&amp;md5=4d24b0b0dc8236f7971391f8bf341373</t>
  </si>
  <si>
    <t>Accurate quantification of hurricane surge probabilities is critically important for coastal planning and design. Recently, the joint probability method has been shown to yield statistically reliable surge probabilities and has quickly become the method of choice for extreme-value surge analysis in the United States. A main disadvantage of the joint probability method is the requirement to have accurate computational surge simulations for a large array of hurricane conditions. Recently, this shortcoming has been overcome by using a variety of interpolation schemes to reduce the number of surge simulations required to an optimal sample for joint probability analysis. One interpolation scheme uses response functions, or physically based dimensionless scaling laws, that consider the relative impact of hurricane landfall position, central pressure, and storm size on surge magnitude at the location of interest. Here, the influence of regional changes in bathymetry on the physically based response function form is investigated. It will be shown that the influence of continental shelf width on surge generation along a continuous coast is coupled with the influence of storm size and that this coupled physical effect can be treated within the response functions via dimensionless scaling. The surge response function model presented here has an algebraic form for rapid calculation. This model performs well for the entire 600-km Texas coast, yielding accurate surge estimates (root-mean-square errors less than 0. 22 m and R 2 correlations better than 0. 97) with virtually no bias (mean error magnitudes less than 0. 03 m). © 2012 Springer Science+Business Media B.V.</t>
  </si>
  <si>
    <t>2-s2.0-84867234472"</t>
  </si>
  <si>
    <t>10.5194/hess-16-4637-2012</t>
  </si>
  <si>
    <t>https://www.scopus.com/inward/record.uri?eid=2-s2.0-84873805866&amp;doi=10.5194%2fhess-16-4637-2012&amp;partnerID=40&amp;md5=c35c2d68ebe56c7d0271137abf788a4c</t>
  </si>
  <si>
    <t>The present paper investigated the extent of the flood propagation in the Vietnamese Mekong Delta under different projected flood hydrographs, considering the 2000 flood event (the 20-yr return period event, T. V. H. Le et al., 2007) as the basis for computation. The analysis herein was done to demonstrate the particular complexity of the flood dynamics, which was simulated by the 1-D modelling system ISIS used by the Mekong River Commission. The floods of the year 2050 are simulated using a projected sea level rise of +30 cm. The future flood hydrograph changes at Kratie, Cambodia, were also applied for the upstream boundary condition by using an adjusted regional climate model. Two future flood hydrographs were applied at the upstream part of the delta, the first one in a scenario of climate change without considering developments in the Mekong Basin,and the second one in a scenario of climate change taking into account future development of the delta. Analyses were done to identify the areas sensitive to floods, considering the uncertainty of the projection of both the upstream and downstream boundary conditions. In addition, due to the rice-dominated culture in the Vietnamese Mekong Delta, possible impacts of floods on the rice-based farming systems were also analysed. © Author(s) 2012.</t>
  </si>
  <si>
    <t>2-s2.0-84873805866"</t>
  </si>
  <si>
    <t>https://www.scopus.com/inward/record.uri?eid=2-s2.0-84873295422&amp;partnerID=40&amp;md5=5b7b5d162b0697f5ca07310f0da4b109</t>
  </si>
  <si>
    <t>Under the actual anthropogenous disturbance induced to the many coastal processes over Romanian Black Sea coast, the littoral evolution at the sea-land interface, for a period of several decades, had registered some significant variation. The multi-annual survey of the shoreline evolution and beach profiles reveals the need to limit the activity in areas of the coastal zone and to setup the priority for coastal protection/rehabilitation and management plans. The evaluation results over the evolution parameters variability of the Transitional Romanian Black Sea Coastal System, represented by the Navodari-Mamaia sector, shows that a significant coastal response process to climate changes/sea level rise trend, with an obvious influence on future development of natural environment, together with the socio-economic activities in coastal space. For erosion control, to restore natural environments in the mentioned coastal sector it was necessary to determine reasonable response of the shore to natural factors, in the complex built environment. Experimental researches on sand management along coastlines are extended in the several ongoing projects, and it is crucial for coastal planners to develop certain improved shore response models according with the EU policies on coastal conservation. Improved forecast models will assist them in the development of sustainable solution of coastal protection.</t>
  </si>
  <si>
    <t>2-s2.0-84873295422"</t>
  </si>
  <si>
    <t>Transnational Environmental Law</t>
  </si>
  <si>
    <t>10.1017/S204710251200009X</t>
  </si>
  <si>
    <t>https://www.scopus.com/inward/record.uri?eid=2-s2.0-84889857907&amp;doi=10.1017%2fS204710251200009X&amp;partnerID=40&amp;md5=d80fc88fe308bd8b47a623abc3daf6b3</t>
  </si>
  <si>
    <t>In light of the urgent need for coastal adaptation policies and the impediments to their implementation, this article examines the early experience with coastal adaptation policies in the EU (in particular the Netherlands and the UK) and Australia, with a view to identifying the important features of an effective regulatory framework for coastal adaptation. We conclude that an integrated approach to coastal adaptation law is currently needed to lay the foundations for the required long-term strategy. Such an approach would establish processes by which adaptation objectives are agreed for each part of the coast, ensure land use planning that can accommodate future change and does not expose new communities to risk, integrate coastal adaptation with biodiversity and coastal zone policy, allocate regulatory responsibility in a way that promotes subsidiarity and consistency, and ensure that funds are available for future measures. Copyright © Cambridge University Press 2012.</t>
  </si>
  <si>
    <t>2-s2.0-84889857907"</t>
  </si>
  <si>
    <t>10.2112/JCOASTRES-D-10-00177.1</t>
  </si>
  <si>
    <t>https://www.scopus.com/inward/record.uri?eid=2-s2.0-84866558413&amp;doi=10.2112%2fJCOASTRES-D-10-00177.1&amp;partnerID=40&amp;md5=53bfb0f5550aab2fd75c8a021bdf92b7</t>
  </si>
  <si>
    <t>March, R.G. and Smith, E.H., 2012. Modeling potential coastal vegetation response to sea level rise and storm surge on estuarine peninsulas. Upland vegetation changes in response to sea level rise and storm surge were evaluated on two peninsulas adjacent to the Copano BayAransas Bay system and within a semiarid coastal environment in south-central Texas. Potential natural land cover models were created in a geographical information system (GIS) using soil data attributes and elevation data to compare land cover shifts under various sea level rise and storm surge scenarios. Ecological sites used as mapping units were related to land cover classes by generating a classification crosswalk. Crosswalks were expanded in the GIS to define how each land cover type would change with each meter of estuarine inundation using digital elevation models. Potential natural land cover maps show that grassland and/or evergreen are concentrated in the center of both peninsulas with grassland lining the perimeter. Mainland connections of Lamar and Live Oak peninsulas are primarily salty prairie and grassland, respectively. On Lamar Peninsula, a 1-m sea level rise results in a conversion of salty prairie (-99) to estuarine emergent (97). A total rise of 3 m reduces grassland by 99 and evergreen forest by 71. A 1-m sea level rise on Live Oak Peninsula eliminates over half of the salty prairie, which becomes estuarine emergent class. These values indicate the vegetation that will at least be temporarily impacted by storm surge. Higher elevations and steeper slopes on Live Oak Peninsula result in lower inundation values for upland habitats as compared with Lamar Peninsula. Sea level rise and storm surge events will continue to be a major influence on vegetative composition in estuarine environments and should be considered in future land use and conservation planning. © the Coastal Education &amp; Research Foundation 2012.</t>
  </si>
  <si>
    <t>2-s2.0-84866558413"</t>
  </si>
  <si>
    <t>10.1344/105.000001743</t>
  </si>
  <si>
    <t>https://www.scopus.com/inward/record.uri?eid=2-s2.0-84865683899&amp;doi=10.1344%2f105.000001743&amp;partnerID=40&amp;md5=e272e783f38d65fa2331aa3e3963dc1c</t>
  </si>
  <si>
    <t>Overwash is a natural storm-related process that occurs when wave runup overcomes the dune crest. Because coastlines are globally occupied, overwash is a hazardous process and there is a need to identify vulnerable areas. This study proposes a method to detect overwash-prone areas in the Ancão peninsula, Portugal, and eventually outlines a vulnerability map. Dune base (DLOW) and crest (DHIGH) topography were surveyed. Three different storm scenarios (5-, 10- and 25- year return period storms) and associated waves and sea level were determined. According to these data, extreme wave runup (RHIGH) was calculated by a parameterisation set for intermediate-reflective beaches. The maps for collision and overwash regimes were designed by comparing RHIGH values with DLOW and DHIGH. Almost the entire dune base along the peninsula is vulnerable to collision regime. The overwash process was identified mainly along the tidal inlet hazard area and within the human-occupied portion of the beach, where overwash is expected to occur within 5 years of return period. The developed method considers the main overwash driving forces and proved to identify hazardous areas previously observed in the area. Occasional differences between modelled and observed overwash areas can be attributable to equipment errors, morphology interpretation subjectivity and maladjustments in runup parameterisation. Nevertheless, the method proved to be effective in reproducing the overall Ancão peninsula vulnerability and can be widely applied. Therefore, it is a simple and potentially important tool for coastal management that enables mitigation strategies for occupied coasts and assessment of geological and ecological consequences in natural areas.</t>
  </si>
  <si>
    <t>2-s2.0-84865683899"</t>
  </si>
  <si>
    <t>10.1111/gcb.12009</t>
  </si>
  <si>
    <t>https://www.scopus.com/inward/record.uri?eid=2-s2.0-84868204475&amp;doi=10.1111%2fgcb.12009&amp;partnerID=40&amp;md5=431bb495aed1f55713489c534ec16765</t>
  </si>
  <si>
    <t>Soil properties, accretion, and accumulation were measured in tidal freshwater forests (tidal forests) of the Ogeechee, Altamaha, and Satilla rivers of the South Atlantic (Georgia USA) coast to characterize carbon (C) sequestration and nutrient (nitrogen-N, phosphorus-P) accumulation in these understudied, uncommon, and ecologically sensitive wetlands. Carbon sequestration and N and P accumulation also were measured in a tidal forest (South Newport River) that experiences saltwater intrusion to evaluate the effects of sea level rise (SLR) and saltwater intrusion on C, N and P accumulation. Finally, soil accretion and accumulation of tidal forests were compared with tidal fresh, brackish and salt marsh vegetation downstream to gauge how tidal forests may respond to SLR. Soil accretion determined using 137C and 210Pb averaged 1.3 and 2.2 mm yr -1, respectively, and was substantially lower than the recent rate of SLR along the Georgia coast (3.0 mm yr -1). Healthy tidal forest soils sequestered C (49-82 g m -2 yr -1), accumulated N (3.2-5.3 g m -2 yr -1) and P (0.29-0.56 g m -2 yr -1) and trapped mineral sediment (340-650 g m -2 yr -1). There was no difference in long-term accretion, C sequestration, and nutrient accumulation between healthy tidal forests and tidal forests of the South Newport River that experience saltwater intrusion. Accelerated SLR is likely to lead to decline of tidal forests and expansion of oligohaline and brackish marshes where soil accretion exceeds the current rate of SLR. Conversion of tidal forest to marshes will lead to an increase in the delivery of some ecosystem services such as C sequestration and sediment trapping, but at the expense of other services (e.g. denitrification, migratory songbird habitat). As sea level rises in response to global warming, tidal forests and their delivery of ecosystem services face a tenuous future unless they can migrate upriver, and that is unlikely in most areas because of topographic constraints and increasing urbanization of the coastal zone. © 2012 Blackwell Publishing Ltd.</t>
  </si>
  <si>
    <t>2-s2.0-84868204475"</t>
  </si>
  <si>
    <t>10.3319/TAO.2012.04.17.01(WMH)</t>
  </si>
  <si>
    <t>https://www.scopus.com/inward/record.uri?eid=2-s2.0-84871903424&amp;doi=10.3319%2fTAO.2012.04.17.01%28WMH%29&amp;partnerID=40&amp;md5=162aa7da4630326744ee8be9bb60dfef</t>
  </si>
  <si>
    <t>Flooding is examined by comparing maximum envelopes of water against the 0.2% (= 1-in-500-year return-period) flooding surface generated as part of revising the Federal Emergency Management Agency's flood insurance rate maps for Franklin, Wakulla, and Jefferson counties in Florida's Big Bend Region. The analysis condenses the number of storms to a small fraction of the original 159 used in production. The analysis is performed by assessing which synthetic storms contributed to inundation extent (the extent of inundation into the floodplain), coverage (the overall surface area of the inundated floodplain) and the spatially variable 0.2% flooding surface. The results are interpreted in terms of storm attributes (pressure deficit, radius to maximum winds, translation speed, storm heading, and landfall location) and the physical processes occurring within the natural system (storms surge and waves)</t>
  </si>
  <si>
    <t>10.1111/j.1365-246X.2012.05666.x</t>
  </si>
  <si>
    <t>https://www.scopus.com/inward/record.uri?eid=2-s2.0-84869095235&amp;doi=10.1111%2fj.1365-246X.2012.05666.x&amp;partnerID=40&amp;md5=9aa3cd70e7642065fd87f82870e1eebe</t>
  </si>
  <si>
    <t>The M w 7.8 2006 July 17 earthquake off the southern coast of Java, Indonesia, has been responsible for a very large tsunami causing more than 700 casualties. The tsunami has been observed on at least 200 km of coastline in the region of Pangandaran (West Java), with run-up heights from 5 to more than 20 m. Such a large tsunami, with respect to the source magnitude, has been attributed to the slow character of the seismic rupture, defining the event as a so-called tsunami earthquake, but it has also been suggested that the largest run-up heights are actually the result of a second local landslide source. Here we test whether a single slow earthquake source can explain the tsunami run-up, using a combination of new detailed data in the region of the largest run-ups and comparison with modelled run-ups for a range of plausible earthquake source models. Using high-resolution satellite imagery (SPOT 5 and Quickbird), the coastal impact of the tsunami is refined in the surroundings of the high-security Permisan prison on Nusa Kambangan island, where 20 m run-up had been recorded directly after the event. These data confirm the extreme inundation lengths close to the prison, and extend the area of maximum impact further along the Nusa Kambangan island (about 20 km of shoreline), where inundation lengths reach several hundreds of metres, suggesting run-up as high as 10-15 m. Tsunami modelling has been conducted in detail for the high run-up Permisan area (Nusa Kambangan) and the PLTU power plant about 25 km eastwards, where run-up reached only 4-6 m and a video recording of the tsunami arrival is available. For the Permisan prison a high-resolution DEM was built from stereoscopic satellite imagery. The regular basin of the PLTU plant was designed using photographs and direct observations. For the earthquake's mechanism, both static (infinite) and finite (kinematic) ruptures are investigated using two published source models. The models account rather well for the sea level variation at PLTU, showing a better agreement in arrival times with the finite rupture, and predict the Permisan area to be one of the regions where tsunami waves would have focussed. However, the earthquake models that match the data at PTLU do not predict that the wave heights at Permisan are an overall maximum, and do not predict there more than 10 m of the 21 observed. Hence, our results confirm that an additional localized tsunami source off Nusa Kambangan island, such as a submarine landslide, may have increased the tsunami impact for the Permisan site. This reinforces the importance for hazard assessment of further mapping and understanding local potential for submarine sliding, as a tsunami source added to usual earthquake sources. © 2012 The Authors Geophysical Journal International © 2012 RAS.</t>
  </si>
  <si>
    <t>2-s2.0-84869095235"</t>
  </si>
  <si>
    <t>https://www.scopus.com/inward/record.uri?eid=2-s2.0-84867138327&amp;partnerID=40&amp;md5=41e11aa8a7062e840feb924e9c0dc725</t>
  </si>
  <si>
    <t>Under current rules, rising sea levels could result in significant cuts to maritime zone entitlements, particularly those of island states. Jurisdictional uncertainty poses risks to offshore mineral exploration and exploitation activities, thereby depleting the income and other benefits generated by such activities to host states. Developing small island states, which are among the most vulnerable to sea-level rise and the least responsible for climate change (a key cause of sea-level rise) - and for who appropriate exploitation of natural resources provides an opportunity for development - have the most to lose in this scenario. This article examines a number of options to address this issue, both within current international rules and proposals for new rules of international law. The deficiencies of existing proposals, which have paid little attention to the implications of sea-level rise for offshore resource exploration and exploitation, are identified. Ultimately, this article demon- strates that a new rule of international law that ""fixes"" continental shelf entitlements would be the most efficient and equitable way to resolve this issue, thereby assisting small island developing states to preserve the benefits of offshore mineral resources to their peoples.</t>
  </si>
  <si>
    <t>2-s2.0-84867138327"</t>
  </si>
  <si>
    <t>Review of African Political Economy</t>
  </si>
  <si>
    <t>10.1080/03056244.2012.710838</t>
  </si>
  <si>
    <t>https://www.scopus.com/inward/record.uri?eid=2-s2.0-84866456639&amp;doi=10.1080%2f03056244.2012.710838&amp;partnerID=40&amp;md5=d9edd55a40d9f6e49430db7dfe1963b9</t>
  </si>
  <si>
    <t>In a corner of the Egyptian revolutionary drama, the fisherfolk of the northern Nile Delta have begun to organise. They suffer an indicative predicament. The two great lagoons of Borullus and Manzala have largely been enclosed by fish farms as the Mubarak regime sought to expand Egypt's aquaculture industry. On the other hand, the sea is threatening to submerge the ground on which the very same fishing communities are based. How can we understand the pinch in which they find themselves? This article questions the sustainability of the Egyptian aquaculture miracle, examines the likely impacts of sea level rise on the communities north of Borullus and Manzala, and seeks to conceptualise the dialectic between the two processes. While the fisherfolk prepare to fight against the encroaching farms, however, there is little on the horizon in the way of struggle against the other, perhaps even more dangerous side of the squeeze. © 2012 Copyright ROAPE Publications Ltd.</t>
  </si>
  <si>
    <t>2-s2.0-84866456639"</t>
  </si>
  <si>
    <t>10.1029/2012GL053136</t>
  </si>
  <si>
    <t>https://www.scopus.com/inward/record.uri?eid=2-s2.0-84865720632&amp;doi=10.1029%2f2012GL053136&amp;partnerID=40&amp;md5=05f881b88538e45b9f153d773d578175</t>
  </si>
  <si>
    <t>A time-series composed of 156 ASTER derived Digital Elevation Models (DEMs) and a radar-penetration-bias corrected version of the Shuttle Radar Topography Mission (SRTM) DEM is used to derive ice surface height and volume changes at the Southern Patagonian Ice Field (SPI) in southern South America. The observations, made between February 2000 and March 2012, indicate that the ice field is rapidly losing volume at many of the largest outlet glaciers, and in most cases thinning extends to the highest elevations of the ice field. Mass loss is occurring at a rate of-20.0± 1.2 Gt a-1, which, when summed with mass-loss at the adjacent Northern Patagonian Ice Field results in a combined rate of-24.4± 1.4 Gt a-1, equivalent to +0.067 ±0.004mm a-1 of sea level rise. Our decade-long mass loss rates are substantially higher than those derived during the last three decades of the 20th century, but are in good agreement with recent GRACE observations. Our volume loss estimate is sensitive to constraints applied to the amount of thickening in the accumulation zone. New field measurements and a continued DEM time-series will be required to refine our estimates. © 2012. American Geophysical Union. All Rights Reserved.</t>
  </si>
  <si>
    <t>2-s2.0-84865720632"</t>
  </si>
  <si>
    <t>10.1111/j.1745-5871.2012.00778.x</t>
  </si>
  <si>
    <t>https://www.scopus.com/inward/record.uri?eid=2-s2.0-84869883081&amp;doi=10.1111%2fj.1745-5871.2012.00778.x&amp;partnerID=40&amp;md5=e096f1f90dc95d10de68e02cd4dccfca</t>
  </si>
  <si>
    <t>The marine inundation generated by Tropical Cyclone Yasi, north Queensland, February 2011, flooded at least 130 beachfront homes and many commercial businesses, becoming the most substantial marine inundation impact in Australia's modern history. As a consequence, guidelines for building in storm tide impact areas have been developed and discussions are beginning on whether Australia needs a national standard for buildings impacted by these events. Central to this will be determining which areas of coastal land need to be subjected to the standard, and this will likely be based upon the magnitude of a particular return interval event. The veracity of the current method for determining these return intervals is difficult to determine as there has been no objective way to assess the accuracy of this approach. One such method is developed here - applying extreme value theory statistics to millennial scale sedimentary records of tropical cyclone marine inundations. The approach is applied to a 5000-year-long beach ridge record of tropical cyclone inundations near Tully Heads and the results suggest that the inundation generated by Tropical Cyclone Yasi here had a return interval of approximately 1000 years. This is a substantially lower figure than the approximately 5000-year return interval suggested by the currently accepted approach. Irrespective of which method is more accurate, the marine inundation generated by Yasi was a very rare event and one that may become more common under a future altered climate. © 2012 The Author. Geographical Research © 2012 Institute of Australian Geographers.</t>
  </si>
  <si>
    <t>2-s2.0-84869883081"</t>
  </si>
  <si>
    <t>Central European Journal of International and Security Studies</t>
  </si>
  <si>
    <t>https://www.scopus.com/inward/record.uri?eid=2-s2.0-84872016109&amp;partnerID=40&amp;md5=afba56a6f55064bbf788a6580ea7f6bd</t>
  </si>
  <si>
    <t>Tuvalu is a small island developing state (SIDS) with least developed country (LDC) status. The island has gained international attention due to the threat to its land territory as a result of climate change and subsequent sea-level rises. At the United Nations Climate Change Conference, held in Copenhagen in December 2009, Tuvalu was described as being at serious risk of becoming the first state to become uninhabitable due to the impacts of climate change. The majority of climate change scientists agree that a key driver of climate change is the burning of fossil fuels, predominantly for energy production. Energy security is multifaceted and connections can be drawn between the energy demands of the wealthier, industrialised states and the less developed states that are experiencing the detrimental impacts of the meeting of these demands. For Tuvalu, the lack of access to adequate, affordable, reliable, safe and environmentally benign energy is a severe development constraint. Currently, Tuvalu is close to being a totally oil dependent economy (83% of primary energy), whose energy security is dependent upon foreign aid to ensure its ability to pay international oil companies. Costs of all imported goods are exacerbated by its geographical isolation. This paper analyses the impact of international aid on energy security in Tuvalu and comments on the Tuvaluan Government's commitment to 100% renewable energy - ""being carbon neutral"" - by 2020. Although this is a commendable aspiration it is clear that even if Tuvalu were to end reliance on fossil fuels it would still be at risk of disastrous inundation unless the industrialised states radically reduce their own dependency on such fuels and dramatically reduce the global levels of greenhouse gas emissions.</t>
  </si>
  <si>
    <t>2-s2.0-84872016109"</t>
  </si>
  <si>
    <t>10.1016/j.scitotenv.2011.09.088</t>
  </si>
  <si>
    <t>https://www.scopus.com/inward/record.uri?eid=2-s2.0-84865194805&amp;doi=10.1016%2fj.scitotenv.2011.09.088&amp;partnerID=40&amp;md5=399a55d230fda6074d87a1a3b0f580e2</t>
  </si>
  <si>
    <t>The fate and cycling of macronutrients introduced into estuaries depend upon a range of interlinked processes. Hydrodynamics and morphology in combination with freshwater inflow control the freshwater flushing time, and the timescale for biogeochemical processes to operate that include microbial activity, particle-dissolved phase interactions, and benthic exchanges. In some systems atmospheric inputs and exchanges with coastal waters can also be important. Climate change will affect nutrient inputs and behaviour through modifications to temperature, wind patterns, the hydrological cycle, and sea level rise. Resulting impacts include: 1) inundation of freshwater systems 2) changes in stratification, flushing times and phytoplankton productivity 3) increased coastal storm activity 4) changes in species and ecosystem function. A combination of continuing high inputs of nutrients through human activity and climate change is anticipated to lead to enhanced eutrophication in the future. The most obvious impacts of increasing global temperature will be in sub-arctic systems where permafrost zones will be reduced in combination with enhanced inputs from glacial systems.Improved process understanding in several key areas including cycling of organic N and P, benthic exchanges, resuspension, impact of bio-irrigation, particle interactions, submarine groundwater discharges, and rates and magnitude of bacterially-driven recycling processes, is needed. Development of high frequency in situ nutrient analysis systems will provide data to improve predictive models that need to incorporate a wider variety of key factors, although the complexity of estuarine systems makes such modelling a challenge. However, overall a more holistic approach is needed to effectively understand, predict and manage the impact of macronutrients on estuaries. © 2011 Elsevier B.V.</t>
  </si>
  <si>
    <t>2-s2.0-84865194805"</t>
  </si>
  <si>
    <t>10.1016/j.pce.2012.09.013</t>
  </si>
  <si>
    <t>https://www.scopus.com/inward/record.uri?eid=2-s2.0-84868487442&amp;doi=10.1016%2fj.pce.2012.09.013&amp;partnerID=40&amp;md5=8f27019ebe05c31ffa3382184c8e6b8e</t>
  </si>
  <si>
    <t>Flood recession farming commonly known as molapo farming in the Okavango Delta is an important land use and livelihood activity for poor and vulnerable communities living on its fringes. Molapo farming is mainly practised by subsistence farmers. The study on the system was conducted in the villages of Shorobe and Tubu in the Okavango Delta in Ngamiland District, Botswana. The objective of the study was to find out if indigenous knowledge (IK) still has a role in molapo farming and if current land use policy supports or stifle the practice and the attendant IK. Indigenous knowledge systems (IKSs) within molapo farming were studied using focused group discussions, Participatory Rural Appraisals (PRAs) and open ended interviews. Policy content and process analysis was done through document perusal and stakeholder analysis. The study found that in Tubu more than 50% of molapo farms are owned by women making molapo farming an important livelihood activity for marginalised groups. The Ngamiland land use plan acknowledges the importance of stakeholder participation and IK in land management. However the use of IK is not evident in the plan and subsequent recommendations. Molapo farming is considered a potential threat to the ecological functioning of the Delta, through use of inputs such as fertilizers and pesticides. Consequently farmers have been discouraged from practicing molapo farming on floodplains. However according to the farmers, ploughing in floodplains minimizes cutting of trees and renders use of fertilizer unnecessary due to annual deposition of nutrients through flood waters. We conclude that although IK still plays an important role in molapo farming there exists no policy environment to use the knowledge and support the practice. We recommend that sustainable molapo farming requires the use of IK within an Integrated Land Use Planning process. © 2012 Elsevier Ltd.</t>
  </si>
  <si>
    <t>2-s2.0-84868487442"</t>
  </si>
  <si>
    <t>10.1002/rhc3.11</t>
  </si>
  <si>
    <t>https://www.scopus.com/inward/record.uri?eid=2-s2.0-85043334943&amp;doi=10.1002%2frhc3.11&amp;partnerID=40&amp;md5=46815dec5771680b965969412031aeb9</t>
  </si>
  <si>
    <t>Continued population growth and development in exposed areas across Coastal Louisiana has created a new geography of hazards and disasters within the coastal zone. Increasing storm frequencies coupled with sea level rise will undoubtedly intensify the intersection between flood hazards and coastal residents. Accordingly, the baseline (inherent) capacity of places to adequately prepare for and rebound from disaster events will be negatively impacted. This paper summarizes the value of incorporating research-based techniques into a non-structural assessment of flood vulnerability within the Northshore Region of Louisiana. The exploratory nature of the methodology employed in this study was focused on determining the value of non-structural measures of vulnerability in mitigation planning and the role of research in evidence-based decision support for public officials. The outcome of the study highlighted new perspectives for measuring vulnerability within a policy environment, offering community officials a more robust understanding of the dynamic intersection of the physical threats, social vulnerability, and economic components of flood risk. This knowledge is currently being used by decision makers in the region to cultivate enhanced mitigation tactics that have traditionally been structurally focused. By incorporating the biophysical, economic, and social vulnerability into a qualitative “place” vulnerability matrix for the study area, the authors have been able to gain a more robust understanding of the flood risks across the region. By integrating this new understanding of risk into potential mitigation strategies, planning for risk reduction expenditures can more appropriately consider the drivers of place-specific vulnerability. © 2013 Wiley Periodicals, Inc.</t>
  </si>
  <si>
    <t>2-s2.0-85043334943"</t>
  </si>
  <si>
    <t>10.1007/s11852-012-0191-6</t>
  </si>
  <si>
    <t>https://www.scopus.com/inward/record.uri?eid=2-s2.0-84870299731&amp;doi=10.1007%2fs11852-012-0191-6&amp;partnerID=40&amp;md5=88177226abdde611abe3e97fdfde0a1b</t>
  </si>
  <si>
    <t>Coastal systems are characterized by high geophysical and biophysical sensitivity as being their massive occupation a serious issue concerning their self-regulation. Worldwide coastal areas are exposed to problems such as coastal erosion, degradation and destruction of marine habitats, pollution and rising sea level. Thus, it is crucial to design models of coastal vulnerability assessment to ensure a better management of coastal areas. This study characterizes the vulnerability of the coastal stretch between the beaches of Porto de Mós and Falésia in the Algarve, corresponding to 52 km of the south coast of Portugal. The expansion of urban areas was modelled using a Cellular Automata (CA) based approach. Results show that 65% of the coastal stretch has high and very high vulnerability caused by both physical and human factors. Results further indicate that urban growth may interfere with the natural evolution of the coastal geomorphology. The scenario of urban expansion for the year 2015 highlights the need to develop effective urban planning processes to ensure a correct balance between the geophysical resilience of coastal systems and the promotion of the coastal sector as a strategic asset for the regional and national economy. © 2012 Springer Science+Business Media B.V.</t>
  </si>
  <si>
    <t>2-s2.0-84870299731"</t>
  </si>
  <si>
    <t>Journal of Applied Sciences Research</t>
  </si>
  <si>
    <t>https://www.scopus.com/inward/record.uri?eid=2-s2.0-84873814569&amp;partnerID=40&amp;md5=a6960a53be61e1979eede07f7e19ffe8</t>
  </si>
  <si>
    <t>The present study deals with subsurface geology and source rock characteristics to evaluate Alam El Bueib (AEB) Formation. Basin-mode 1D soft-ware is used for construction and prediction of either geological or geochemical models. On the other hand, calculation of tectonic subsidence and sedimentation rates in the study area through time, using tectonic sedimentation time plots were carried out to make a relation between geological processes and maturation through time. The lithostratigraphic cross sections, thickness variations, and lithofacies of some Alam El Bueib reservoirs are discussed to distinguish the shape, the extent of sedimentary basins and the environment of deposition. The geochemical study assisted in the identification of potential source intervals within Alam El Bueib Formation. The evaluation of the source rocks in the study area includes geochemical parameters</t>
  </si>
  <si>
    <t>10.3189/2012AoG60A061</t>
  </si>
  <si>
    <t>https://www.scopus.com/inward/record.uri?eid=2-s2.0-84870933854&amp;doi=10.3189%2f2012AoG60A061&amp;partnerID=40&amp;md5=090a126c306faba91aeb276dd855b828</t>
  </si>
  <si>
    <t>Prediction of future changes in dynamics of the Earth's ice sheets, mass loss and resultant contribution to sea-level rise are the main objectives of ice-sheet modeling. Mass transfer from ice sheet to ocean is, in large part, through outlet glaciers. Subglacial topography plays an important role in ice dynamics</t>
  </si>
  <si>
    <t>10.1002/rra.1523</t>
  </si>
  <si>
    <t>https://www.scopus.com/inward/record.uri?eid=2-s2.0-84867982942&amp;doi=10.1002%2frra.1523&amp;partnerID=40&amp;md5=19fe7df9788e3c8d5ff44be35fb77c1b</t>
  </si>
  <si>
    <t>As urban development increases, a need is emerging to understand and predict river behaviour in order to focus rehabilitation efforts and protect the natural river system while preserving urban infrastructure. Stream assessment methods are reviewed to demonstrate the need for a physically based and objective method that is also accessible in terms of time, data requirements and expertise. The case of Highland Creek near Toronto, Canada, is used to demonstrate a new type of initial stream assessment method that is based on the concept of stream power and performed entirely in a geographic information system using information from a digital elevation model (DEM). The results from this analysis are tested against existing information for Highland Creek. This includes a hydraulic model (Hydraulic Engineering Center's 'River Analysis System'), field-measured slopes, air photos and the geomorphic effects of an extreme flood. In addition, the results are presented in map form to demonstrate the effectiveness of visualizing the stream-power distribution over the entire basin and also the usefulness of overlaying stream power onto other available information. The slopes extracted from the DEM are found to be statistically similar to those from a one-dimensional hydraulic model and field-measured slopes. Individual peaks in slope as well as locations of stream-power maxima and minima are found to correlate to actual channel features as seen in air photos. The extreme flood event of August 2005 caused a dramatic change in channel form at the exact location of maximum energy predicted by the DEM-based stream-power analysis. The case of Highland Creek illustrates how this approach yields a useful outcome for understanding stream dynamics and stability as part of a stream assessment process. © 2011 John Wiley &amp; Sons, Ltd.</t>
  </si>
  <si>
    <t>2-s2.0-84867982942"</t>
  </si>
  <si>
    <t>Journal of Planning Literature</t>
  </si>
  <si>
    <t>10.1177/0885412212456880</t>
  </si>
  <si>
    <t>https://www.scopus.com/inward/record.uri?eid=2-s2.0-84871374490&amp;doi=10.1177%2f0885412212456880&amp;partnerID=40&amp;md5=d100bfcb3732dbf14958c92d15e80373</t>
  </si>
  <si>
    <t>Holding back the sea"" is a predicament that is complicated by coastal development trends, eroding shore zones, and changing environmental conditions such as sea level rise. Planners are important players in shaping adaptive responses and identifying and prioritizing appropriate land-use planning strategies. This article provides an overview of existing regulatory provisions, studies, and planning efforts, as well as approaches and strategies to managing erosion of ""high wave energy"" and ""low-to-medium wave energy"" shorelines. The article also highlights the multiple sectors and stakeholders involved, and the need for continued research geared at evaluating the viability and feasibility of natural approaches such as living shorelines. © The Author(s) 2012.</t>
  </si>
  <si>
    <t>2-s2.0-84871374490"</t>
  </si>
  <si>
    <t>10.5200/baltica.2012.25.11</t>
  </si>
  <si>
    <t>https://www.scopus.com/inward/record.uri?eid=2-s2.0-84871519137&amp;doi=10.5200%2fbaltica.2012.25.11&amp;partnerID=40&amp;md5=53c4126f29bef5f5e372c0c2bf0662f1</t>
  </si>
  <si>
    <t>Based on geostatistical modelling the authors compared relative sea level records for the Litorina and post-Litorina Sea with tide gauge and GPS derived crustal velocity measurements in Fennoscandia and in the Baltic region. Results show good fit between the geological record and GPS derived crustal velocity measurements indicating that the postglacial rebound (PGR) centre on the northwest coast of the Bothnian Sea and the isostatic zero-line in the southern Baltic remained stable during the last 8000 14C yrs BP (8900 cal yrs BP). An average Baltic Sea level rise of 1.4±0.4 mm/y for the 20th century was estimated, which is found to be at about one fifth compared to the mid-Holocene sea level rise. However, considering the recent estimates of eustatic sea level rise for the 21st century the slowly uplifting coastal areas in southern Sweden, SE Finland, Estonia, Latvia and NW Russia, which have experienced a long term relative sea level fall, will probably also be affected by future sea level rise reminiscent of the mid-Holocene one. © Baltica 2012.</t>
  </si>
  <si>
    <t>2-s2.0-84871519137"</t>
  </si>
  <si>
    <t>10.1080/15715124.2012.740483</t>
  </si>
  <si>
    <t>https://www.scopus.com/inward/record.uri?eid=2-s2.0-84874339646&amp;doi=10.1080%2f15715124.2012.740483&amp;partnerID=40&amp;md5=bb04671f2fd7b46564c7097ff99eb2b0</t>
  </si>
  <si>
    <t>River water level forecasts play an essential role in operational river management, and uncertainty estimates in the forecasts can support and influence decision-making. Currently, uncertainty estimates in thewater level forecasts are commonly available at forecast locationswhere water level measurements are available, but are lacking at the remaining ungauged forecast locations. In the research presented in this paper, we investigate the combined use of (i) spatial interpolation of the errors (or residuals) in water level forecasts to ungauged locations, and (ii) quantile regression, which is a widely used technique to estimate the quantiles of a distribution, in this case, the error distribution around water level forecasts. The methodology was applied to the IJssel River in the Netherlands, using seven measurement locations and 5 years of hindcasted water levels. We applied a simple inverse-distance interpolation of the residuals in the water level forecasts, and carried out quantile regression on the interpolated residuals. Validation of the methodology showed that the estimated quantiles represented the observations to about 5%accuracy for forecast lead times of 24 h and greater. For shorter lead times, the accuracy varied per station, but was generally poorer due to the relatively greater spread of the interpolated residuals around the true residuals for shorter lead times. For delta rivers such as the IJssel River, the presented methodology is an easy-to-implement and (for lead times of 24 h or greater) accurate technique to augment river level forecasts at ungauged locations with uncertainty estimates. Improvement of themethod would be supported by further research into interpolation techniques that take into account additional factors such as proximity of a tributary, influence of wind, or the proximity of a model boundary.</t>
  </si>
  <si>
    <t>2-s2.0-84874339646"</t>
  </si>
  <si>
    <t>10.1016/j.gloenvcha.2012.07.004</t>
  </si>
  <si>
    <t>https://www.scopus.com/inward/record.uri?eid=2-s2.0-84866152500&amp;doi=10.1016%2fj.gloenvcha.2012.07.004&amp;partnerID=40&amp;md5=09da814d2b6cc9081b2b47049a377711</t>
  </si>
  <si>
    <t>Flood damage modelling has traditionally been limited to the local, regional or national scale. Recent flood events, population growth and climate change concerns have increased the need for global methods with both spatial and temporal dynamics. This paper presents a first estimation of global economic exposure to both river and coastal flooding for the period 1970-2050, using two different methods for damage assessment. One method is based on population and the second is based on land-use within areas subject to 1/100 year flood events. On the basis of population density and GDP per capita, we estimate a total global exposure to river and coastal flooding of 46 trillion USD in 2010. By 2050, these numbers are projected to increase to 158 trillion USD. Using a land-use based assessment, we estimated a total flood exposure of 27 trillion USD in 2010. For 2050 we simulate a total exposure of 80 trillion USD. The largest absolute exposure changes between 1970 and 2050 are simulated in North America and Asia. In relative terms we project the largest increases in North Africa and Sub-Saharan Africa. The models also show systematically larger growth in the population living within hazard zones compared to total population growth. While the methods unveil similar overall trends in flood exposure, there are significant differences in the estimates and geographical distribution. These differences result from inherent model characteristics and the varying relationship between population density and the total urban area in the regions of analysis. We propose further research on the modelling of inundation characteristics and flood protection standards, which can complement the methodologies presented in this paper to enable the development of a global flood risk framework. © 2012 Elsevier Ltd.</t>
  </si>
  <si>
    <t>2-s2.0-84866152500"</t>
  </si>
  <si>
    <t>Central European Journal of Geosciences</t>
  </si>
  <si>
    <t>10.2478/s13533-012-0101-3</t>
  </si>
  <si>
    <t>https://www.scopus.com/inward/record.uri?eid=2-s2.0-84883865164&amp;doi=10.2478%2fs13533-012-0101-3&amp;partnerID=40&amp;md5=f25536b0017e6846901d59be1454bf54</t>
  </si>
  <si>
    <t>The eustatic sea-level rise due to global warming is predicted to reach approximately 18 - 59 cm by the year 2100, which necessitates the identification and protection of sensitive sections of coastline. In this study, the classification of the southern coast of the Gulf of Corinth according to the sensitivity to the anticipated future sealevel rise is attempted by applying the Coastal Sensitivity Index (CSI), with variable ranges specifically modified for the coastal environment of Greece, utilizing GIS technology. The studied coastline has a length of 148 km and is oriented along the WNW-ESE direction. CSI calculation involves the relation of the following physical variables, associated with the sensitivity to long-term sea-level rise, in a quantifiable manner: geomorphology, coastal slope, relative sea-level rise rate, shoreline erosion or accretion rate, mean tidal range and mean wave height. For each variable, a relative risk value is assigned according to the potential magnitude of its contribution to physical changes on the coast as the sea-level rises. Every section of the coastline is assigned a risk ranking based on each variable, and the CSI is calculated as the square root of the product of the ranked variables divided by the total number of variables. Subsequently, a CSI map is produced for the studied coastline. This map showed that an extensive length of the coast (57.0 km, corresponding to 38.7% of the entire coastline) is characterized as highly and very highly sensitive primarily due to the low topography, the presence of erosion-susceptible geological formations and landforms and fast relative sea-level rise rates. Areas of high and very high CSI values host socio-economically important land uses and activities. © Versita sp. z o.o.</t>
  </si>
  <si>
    <t>2-s2.0-84883865164"</t>
  </si>
  <si>
    <t>10.1002/rra.1509</t>
  </si>
  <si>
    <t>https://www.scopus.com/inward/record.uri?eid=2-s2.0-84867399628&amp;doi=10.1002%2frra.1509&amp;partnerID=40&amp;md5=ae644ace2db6cad15979f87e3f449118</t>
  </si>
  <si>
    <t>Detailed surveys of the upper Hudson River Estuary and its floodplain from the early 1900s and digital mapping of the same areas today provide an opportunity to evaluate changes over the 20th century. This study uses a geographic information system to quantitatively compare water areas and islands mapped by the United States Army Corps of Engineers in 1907 and 1911 along an approximately 60-km reach from Athens to Troy, NY, with the same features mapped in the late 20th century. The comparison shows a substantial decrease in total water area approximately 30% less than the 1907-1911 quantity, with secondary channels disproportionally affected (~70% less). The number and total area of islands has also dramatically decreased by approximately 65% and 85%, respectively. These changes primarily reflect the success of navigation improvement projects undertaken since the 19th century that transformed a shallow, island-braided river in the study reach to one characterized by a deeper, single-thread channel. Dredge spoils from the main channel were used to fill secondary channels and other backwater areas, a practice with implications for reproduction, growth and/or survival of native plants and animals. © 2012 John Wiley &amp; Sons, Ltd.</t>
  </si>
  <si>
    <t>2-s2.0-84867399628"</t>
  </si>
  <si>
    <t>10.5194/hess-16-4517-2012</t>
  </si>
  <si>
    <t>https://www.scopus.com/inward/record.uri?eid=2-s2.0-84870539924&amp;doi=10.5194%2fhess-16-4517-2012&amp;partnerID=40&amp;md5=0fae37ae3bb6f33061b1ce6eb6e1b96f</t>
  </si>
  <si>
    <t>Probability estimates of the future change of extreme precipitation events are usually based on a limited number of available global climate model (GCM) or regional climate model (RCM) simulations. Since floods are related to heavy precipitation events, this restricts the assessment of flood risks. In this study a relatively simple method has been developed to get a better description of the range of changes in extreme precipitation events. Five bias-corrected RCM simulations of the 1961-2100 climate for a single greenhouse gas emission scenario (A1B SRES) were available for the Rhine basin. To increase the size of this five-member RCM ensemble, 13 additional GCM simulations were analysed. The climate responses of the GCMs are used to modify an observed (1961-1995) precipitation time series with an advanced delta change approach. Changes in the temporal means and variability are taken into account. It is found that the range of future change of extreme precipitation across the five-member RCM ensemble is similar to results from the 13-member GCM ensemble. For the RCM ensemble, the time series modification procedure also results in a similar climate response compared to the signal deduced from the direct model simulations. The changes from the individual RCM simulations, however, systematically differ from those of the driving GCMs, especially for long return periods. © 2012 Author(s).</t>
  </si>
  <si>
    <t>2-s2.0-84870539924"</t>
  </si>
  <si>
    <t>10.1007/s11852-012-0200-9</t>
  </si>
  <si>
    <t>https://www.scopus.com/inward/record.uri?eid=2-s2.0-84870291979&amp;doi=10.1007%2fs11852-012-0200-9&amp;partnerID=40&amp;md5=11d9945835f9598668ee360978cd5f5a</t>
  </si>
  <si>
    <t>The Intergovernmental Panel on Climate Change (IPCC) considers eustatic sea level rise to be a major impact driven by climate change. Relative sea level change, whether positive or negative, will affect industries, communities and ecology along the world's coastlines and estuaries. Estimates of global eustatic sea level rise between 1961 and 2003 are 1.8 ± 0.5 mm a-1, reflecting results from validated global tide gauge records. Over the last two decades, several studies have used automatic tide gauge records with at least 80 years of data to generate global prediction models. The IPCC recognises that global change is not uniform, therefore local policy for flood management and coastal protection should rely on local change models that incorporate glacio-isostatic adjustment (GIA) and apply accurate data correction techniques. Some of the longest tidal records are held within the Northern Hemisphere, e. g. Cascais, Amsterdam, Aberdeen, Sheerness and Newlyn. The UK provides several important case studies highlighting changes in relative sea level between the north and the south, primarily due to variations in GIA rates of land uplift and subsidence. Tide gauge records are held by a variety of governmental, non-governmental and private organisations. However, each source may typically compile data in different ways, relying on diverse equipment and recording techniques, often with variations in frequency, length, quality and corrections applied. Even within a single organisation there may be differences in dataset quality. This paper examines some of the key sources of error when working with historical tidal datasets in local geographic areas and aims to identify the limitations of locally derived data thereby assisting in the determination of relative sea level trends that are of widespread value to infrastructure and policy makers. © 2012 Springer Science+Business Media B.V.</t>
  </si>
  <si>
    <t>2-s2.0-84870291979"</t>
  </si>
  <si>
    <t>10.5194/nhess-12-2943-2012</t>
  </si>
  <si>
    <t>https://www.scopus.com/inward/record.uri?eid=2-s2.0-84879233754&amp;doi=10.5194%2fnhess-12-2943-2012&amp;partnerID=40&amp;md5=d6ea6c6eecdcc373ea6e35d885399898</t>
  </si>
  <si>
    <t>High water level at the coast may be the result of different combinations of offshore hydrodynamic conditions (e.g. wave characteristics, offshore water level, etc.). Providing the contour of the ""critical"" set of offshore conditions leading to high water level is of primary importance either to constrain early warning networks based on hydro-meteorological forecast or observations, or for the assessment of the coastal flood hazard return period. The challenge arises from the use of computationally intensive simulators, which prevent the application of a grid approach consisting in extracting the contour through the systematic evaluation of the simulator on a fine design grid defined in the offshore conditions domain. To overcome such a computational difficulty, we propose a strategy based on the kriging meta-modelling technique combined with an adaptive sampling procedure aiming at improving the local accuracy in the regions of the offshore conditions that contribute the most to the estimate of the targeted contour. This methodology is applied to two cases using an idealized site on the Mediterranean coast (southern France): (1) a two-dimensional case to ease the visual analysis and aiming at identifying the combination of offshore water level and of significant wave height</t>
  </si>
  <si>
    <t>10.2166/wpt.2012.060</t>
  </si>
  <si>
    <t>https://www.scopus.com/inward/record.uri?eid=2-s2.0-84871069595&amp;doi=10.2166%2fwpt.2012.060&amp;partnerID=40&amp;md5=80060b13c28a7d20ff2403c08225e7ed</t>
  </si>
  <si>
    <t>In recent decades, the Pearl River Delta (PRD) region has experienced strong economic and population growth. By 2050 120 million people are expected to live in the region, which currently has eleven major cities, and the emer- ging mega-city formed by Hong Kong, Shenzhen and Guangzhou. The populous coastal cities and low lying flood plains in the PRD experience flood risk via: (i) intense precipitation from storms, (ii) inland pluvial flooding, (iii) storm surges. Climate change, including global sea level rise forecasts of more than 1 m by 2100, mean that flood risk is expected to increase in future. Sustainable flood risk management (SFRM) must be adopted to miti- gate these risks. Strategies such as the UK's 'making space for water' programme seek to tackle flood risk through planning, but such a strategic approach is not evident in the PRD. Recent coastal land reclamation pro- jects in the PRD illustrate the conflict between urban growth pressure and flood risk, and that more comprehensive, or sustainable, flood risk management is not currently practiced. This paper examines flood risk management practice in the PRD. It starts with a theoretical sustainable flood risk appraisal (SFRA) template developed from literature and global best practice, against which PRD practice is benchmarked. The paper dis- cusses a case study in Hong Kong and Shenzhen where in-depth discussions with more than 30 stakeholders were held to understand barriers and constraints to realising SFRM. This research seeks to further the practice of SFRM in the PRD, and comparable urbanising mega-deltas in the region.© IWA Publishing 2012.</t>
  </si>
  <si>
    <t>2-s2.0-84871069595"</t>
  </si>
  <si>
    <t>https://www.scopus.com/inward/record.uri?eid=2-s2.0-84867557316&amp;partnerID=40&amp;md5=6e4817d5fd8072066ef22be4552db566</t>
  </si>
  <si>
    <t>The historical and future storm surge climate over the South China Sea Sunda Shelf was derived using a barotropic two dimensional model. The atmospheric forcings were obtained from the UKMO regional climate modeling system, PRECIS (Providing Regional Climates for Impacts Studies), forced at the boundary by the ECHAM4 simulation output under the SRES A2 emission experiment. In general, the model simulates historical sea surface elevation characteristics satisfactory although there is a substantial underestimation for the sea level elevation at local scales. The climate change analysis suggests that the storm surge extreme over the Sunda Shelf is expected to increase along the coastal area of the Gulf of Thailand and east coast of Peninsular Malaysia in the future (2071-2100). The projected increment is averagely ~9% over the Sunda Shelf region by the end of the 21 st century corresponding to about 5% stronger wind speed as compare to the baseline period of 1961-1990.</t>
  </si>
  <si>
    <t>2-s2.0-84867557316"</t>
  </si>
  <si>
    <t>Futures</t>
  </si>
  <si>
    <t>10.1016/j.futures.2012.04.002</t>
  </si>
  <si>
    <t>https://www.scopus.com/inward/record.uri?eid=2-s2.0-84864005527&amp;doi=10.1016%2fj.futures.2012.04.002&amp;partnerID=40&amp;md5=ce736c59581dd0ab44ec3d851aa5bf22</t>
  </si>
  <si>
    <t>Australians have strong attachments to the coast. The impact of climate change brings to the fore deep-seated socio-cultural values, which add to the already complex and uncertain biophysical changes that challenge our preparations for future climate change.Our research aims to examine the role of worldviews and deep seated values in decision-making in response to climate change. The objective is to show how a multi-layered discourse analysis using causal layered analysis (CLA) can provide a powerful means of revealing the underlying social and cultural influences on decision-making and provide more insight into potential pathways for more effective responses to complex phenomena such as climate change. A case study of coastal governance in the south west of Western Australia, which is highly vulnerable to sea-level rise, provides the context of the research.We have found that CLA as a critical research tool has proven to be a useful method in uncovering the dominance of the administrative rationalist worldview on coastal governance. In our view, future coastal governance would benefit from a shift towards greater participatory governance and the incorporation of more reflexive practice so that the deeper emotional and relational aspects of decision-making balance out the dominant problem-solving discourse. © 2012 Elsevier Ltd.</t>
  </si>
  <si>
    <t>2-s2.0-84864005527"</t>
  </si>
  <si>
    <t>10.2478/v10117-012-0028-2</t>
  </si>
  <si>
    <t>https://www.scopus.com/inward/record.uri?eid=2-s2.0-84871259328&amp;doi=10.2478%2fv10117-012-0028-2&amp;partnerID=40&amp;md5=4da4d214cf843efbdbf0ab30c05a585c</t>
  </si>
  <si>
    <t>Dynamic environment in coastal area, especially due to coastal erosion process, has negative impact on human environment. Sayung coastal area, located in Central Java-Indonesia, has experienced severe impact of coastal erosion. As the result of the coastal erosion, hundreds of settlement located in coastal area has been destructed. Moreover, fishponds as the land use dominated in the coastal area also has been severely destroyed. Besides the coastal erosion, increasing of inundated area due to sea level rise also threaten the local community. Although devastating impact suffering the coastal area, the people of Tambaksari, as the part of Sayung area, decided to live and adapt with the coastal erosion. This paper aims to identify the coastal erosion and understand adaptation strategies held by the local community related to reduce the impact of the coastal erosion. Based on this research, various adaptation strategies has been identified, namely (1) Planting mangrove alongside the shoreline, (2) elevating the ground level, (3) building staged house, (4) utilizing deep well for freshwater supply, (5), maintaining social interaction with mainland community, (6) Collecting fish from the mangrove as the food, and (7) changing work into the tourism sector.</t>
  </si>
  <si>
    <t>2-s2.0-84871259328"</t>
  </si>
  <si>
    <t>10.2747/1548-1603.49.5.664</t>
  </si>
  <si>
    <t>https://www.scopus.com/inward/record.uri?eid=2-s2.0-84866869025&amp;doi=10.2747%2f1548-1603.49.5.664&amp;partnerID=40&amp;md5=ccb20181f12dfc024b11c54e76cdce74</t>
  </si>
  <si>
    <t>Accurate high-resolution terrain data are essential for hydrological modeling in lowlands. This study integrates elevation survey data and vegetation data at the point and 50 m scales to develop a fine-resolution digital elevation model (DEM) for the northern Everglades of Florida. The terrain was divided into two vertical strata (lowland and highland) based on a 50 m scale vegetation map. The DEM in highlands was interpolated with all the survey points and later adjusted using an association between vegetation and hydroperiod (the number of days per year that land is flooded). The DEM in lowlands was interpolated with elevation surveys tagged as lowland types. The two DEMs were then combined, forming a new DEM with a 7.7 cm mean absolute validation error-a significant (2.3 cm) improvement over the previous DEM.</t>
  </si>
  <si>
    <t>2-s2.0-84866869025"</t>
  </si>
  <si>
    <t>10.1080/15715124.2012.739173</t>
  </si>
  <si>
    <t>https://www.scopus.com/inward/record.uri?eid=2-s2.0-84874320989&amp;doi=10.1080%2f15715124.2012.739173&amp;partnerID=40&amp;md5=5d49743d93356b29c1cc9237cc02c431</t>
  </si>
  <si>
    <t>This article describes how the governance arrangements of the 2.2 billion Euro water safety programme Room for the River are enabling a transition towards integrated river basin management in the Netherlands. We observe that in terms of integrating multiple objectives and spatial scales, the programme design and multi-level governance processes in the programme have enabled the establishment of integrated plans and designs. We conclude that Room for the River plays an important role in a transition to integrated river basin management in the Netherlands through practical implementation of the strategic policy vision for integrated water management. Also, through application of a mixed centralized-decentralized governance approach, the programme has tackled governance pitfalls related to centralized planning approaches that previously impeded integrated water management. Although several of the governance lessons of the programme are being adopted by, for example, the Delta Programme, we have identified a risk that continuity of the newly introduced governance approach may be lost when the Room for the River programme is completed in 2015. © 2012 International Association for Hydro-Environment Engineering and Research.</t>
  </si>
  <si>
    <t>2-s2.0-84874320989"</t>
  </si>
  <si>
    <t>Operations Research</t>
  </si>
  <si>
    <t>10.1287/opre.1110.1028</t>
  </si>
  <si>
    <t>https://www.scopus.com/inward/record.uri?eid=2-s2.0-84871881376&amp;doi=10.1287%2fopre.1110.1028&amp;partnerID=40&amp;md5=4f8827ffd81f4eb72d61ffa14f478593</t>
  </si>
  <si>
    <t>Dike height optimization is of major importance to the Netherlands because a large part of the country lies below sea level, and high water levels in rivers can cause floods. Recently impovements have been made on the cost-benefit model introduced by van Dantzig after the devastating flood in the Netherlands in 1953. We consider the extension of this model to nonhomogeneous dike rings, which may also be applicable to other deltas in the world. A nonhomogeneous dike ring consists of different segments with different characteristics with respect to flooding and investment costs. The individual segments can be heightened independently at different moments in time and by different amounts, making the problem considerably more complex than the homogeneous case. We show how the problem can be modeled as a mixed-integer nonlinear programming problem, and we present an iterative algorithm that can be used to solve the problem. Moreover, we consider a robust optimization approach to deal with uncertainty in the model parameters. The method has been implemented and integrated in software, which is used by the government to determine how the safety standards in the Dutch Water Act should be changed. © 2012 INFORMS.</t>
  </si>
  <si>
    <t>2-s2.0-84871881376"</t>
  </si>
  <si>
    <t>10.1016/j.ecoleng.2012.08.024</t>
  </si>
  <si>
    <t>https://www.scopus.com/inward/record.uri?eid=2-s2.0-84866981457&amp;doi=10.1016%2fj.ecoleng.2012.08.024&amp;partnerID=40&amp;md5=a0b1d23134801af110c9c2f0f300e7d0</t>
  </si>
  <si>
    <t>Many invaders can substantially modify the habitats that they invade, but the long-term effects of these changes on the invaders themselves remain uncertain. Spartina alterniflora, an aggressive invasive plant of coastal wetlands, can reduce the tidal inundation time and accumulate standing litter by sediment trapping and by high production. A 16-year chronosequence of S. alterniflora invasion in Dongtan marsh in Yangtze River estuary, China revealed that S. alterniflora had a 5-year enhancement followed by a longer decline. Steady decreases in the tidal inundation time and increases in the standing litter per unit living mass were observed. A controlled experiment showed that the growth of S. alterniflora was significantly limited by the decrease in the inundation time and by the standing litter. These results indicate that the changes in habitats caused by invaders can limit the invaders over time because the accumulation of habitat changes creates certain habitat properties that exceed the optimal range for invaders. These findings highlight the importance of the impacts of invasion on the long-term dynamics of invasive populations. © 2012 Elsevier B.V.</t>
  </si>
  <si>
    <t>2-s2.0-84866981457"</t>
  </si>
  <si>
    <t>10.1111/j.1467-7717.2012.01278.x</t>
  </si>
  <si>
    <t>https://www.scopus.com/inward/record.uri?eid=2-s2.0-84865863291&amp;doi=10.1111%2fj.1467-7717.2012.01278.x&amp;partnerID=40&amp;md5=c461d4a2eb37114abea153d255c23bf3</t>
  </si>
  <si>
    <t>On 30 May 2008, the Government of the Netherlands informed the national parliament about the effectiveness of preventive evacuation of coastal and river areas in case of flooding. Analysis of a case study showed that it is impossible to evacuate coastal areas preventively within a 48-hour time span preceding a worst credible scenario flood caused by a storm surge. This fact illustrates the need for alternative evacuation strategies, such as vertical evacuation (evacuating to safe havens, inside the flood zone) or shelter-in-place (hiding), to reduce loss of life and the impact of the evacuation. This paper defines these strategies and demonstrates, by returning to the case study used by the Dutch government, that they require different measures, methods of approach, and crisis management processes. In addition, it addresses the need for flexible and scalable preparation so that after detecting and understanding the threat, authorities and citizens can make decisions about different evacuation strategies. © 2012 The Author(s). Journal compilation © Overseas Development Institute, 2012.</t>
  </si>
  <si>
    <t>2-s2.0-84865863291"</t>
  </si>
  <si>
    <t>10.1007/s11069-012-0234-1</t>
  </si>
  <si>
    <t>https://www.scopus.com/inward/record.uri?eid=2-s2.0-84866042688&amp;doi=10.1007%2fs11069-012-0234-1&amp;partnerID=40&amp;md5=1ac490685063b6e82e018b9168507b28</t>
  </si>
  <si>
    <t>Worldwide, there is a need to enhance our understanding of vulnerability and to develop methodologies and tools to assess vulnerability. One of the most important goals of assessing coastal flood vulnerability, in particular, is to create a readily understandable link between the theoretical concepts of flood vulnerability and the day-to-day decision-making process and to encapsulate this link in an easily accessible tool. This article focuses on developing a Coastal City Flood Vulnerability Index (CCFVI) based on exposure, susceptibility and resilience to coastal flooding. It is applied to nine cities around the world, each with different kinds of exposure. With the aid of this index, it is demonstrated which cities are most vulnerable to coastal flooding with regard to the system's components, that is, hydro-geological, socio-economic and politico-administrative. The index gives a number from 0 to 1, indicating comparatively low or high coastal flood vulnerability, which shows which cities are most in need of further, more detailed investigation for decision-makers. Once its use to compare the vulnerability of a range of cities under current conditions has been demonstrated, it is used to study the impact of climate change on the vulnerability of these cities over a longer timescale. The results show that CCFVI provides a means of obtaining a broad overview of flood vulnerability and the effect of possible adaptation options. This, in turn, will allow for the direction of resources to more in-depth investigation of the most promising strategies. © 2012 The Author(s).</t>
  </si>
  <si>
    <t>2-s2.0-84866042688"</t>
  </si>
  <si>
    <t>10.1007/s11707-012-0304-4</t>
  </si>
  <si>
    <t>https://www.scopus.com/inward/record.uri?eid=2-s2.0-84866161959&amp;doi=10.1007%2fs11707-012-0304-4&amp;partnerID=40&amp;md5=105f026f1a2e6a6808fddb7d708fab59</t>
  </si>
  <si>
    <t>Storm surge is one of the most serious oceanic disasters. Accurate and timely numerical prediction is one of the primary measures for disaster control. Traditional storm surge models lack of accuracy and time effects. To overcome the disadvantages, in this paper, an analytical cyclone model was first added into the Finite-Volume Coastal Ocean Model (FVCOM) consisting of high resolution, flooding and drying capabilities for 3D storm surge modeling. Then, we integrated MarineTools Pro into a geographic information system (GIS) to supplement the storm surge model. This provided end users with a friendly modeling platform and easy access to geographically referenced data that was required for the model input and output. A temporal GIS tracking analysis module was developed to create a visual path from storm surge numerical results. It was able to track the movement of a storm in space and time. MarineTools Pro' capabilities could assist the comprehensive understanding of complex storm events in data visualization, spatial query, and analysis of simulative results in an objective and accurate manner. The tools developed in this study further supported the idea that the coupled system could enhance productivity by providing an efficient operating environment for accurate inversion or storm surge prediction. Finally, this coupled system was used to reconstruct the storm surge generated by Typhoon Agnes (No. 8114) and simulated typhoon induced-wind field and water elevations of Yangtze Estuary and Hangzhou Bay. The simulated results show good correlation with actual surveyed data. The simple operating interface of the coupled system is very convenient for users, who want to learn the usage of the storm surge model, especially for first-time users, which can save their modeling time greatly. © 2012 Higher Education Press and Springer-Verlag Berlin Heidelberg.</t>
  </si>
  <si>
    <t>2-s2.0-84866161959"</t>
  </si>
  <si>
    <t>https://www.scopus.com/inward/record.uri?eid=2-s2.0-84867942032&amp;partnerID=40&amp;md5=0c112a38a65de81f7944e74a6790b733</t>
  </si>
  <si>
    <t>Starting with the decade 1991-2000 a global increase in frequency and intensity of manifestation of natural disasters was observed. One of the reasons for this growth is the warming of global climate. Floods are one of the largest natural disasters affecting many countries throughout the year. In this paper are presented some aspects regarding the characteristics of the digital terrain model and the technological flux of digital terrain model generation for a flood area in the Timis county.</t>
  </si>
  <si>
    <t>2-s2.0-84867942032"</t>
  </si>
  <si>
    <t>10.5194/tc-6-1345-2012</t>
  </si>
  <si>
    <t>https://www.scopus.com/inward/record.uri?eid=2-s2.0-84875695242&amp;doi=10.5194%2ftc-6-1345-2012&amp;partnerID=40&amp;md5=a0fa2886a7b36cec0ddc08ff1695aaac</t>
  </si>
  <si>
    <t>The mass balance of ice sheets is an intensively studied topic in the context of global change and sea-level rise. However-particularly in Antarctica-obtaining mass balance estimates remains difficult due to various logistical problems. In the framework of the TASTE-IDEA (Trans-Antarctic Scientific Traverses Expeditions-Ice Divide of East Antarctica) program, an International Polar Year project, continuous ground penetrating radar (GPR) measurements were carried out during a traverse in Adelie Land (East Antarctica) during the 2008-2009 austral summer between the Italian-French Dome C (DC) polar plateau site and French Dumont D'Urville (DdU) coastal station. The aim of this study was to process and interpret GPR data in terms of snow accumulation, to analyse its spatial and temporal variability and compare it with historical data and modelling. The focus was on the last 300 yr, from the pre-industrial period to recent times. Beta-radioactivity counting and gamma spectrometry were applied to cores at the LGGE laboratory, providing a depth-age calibration for radar measurements. Over the 600 km of usable GPR data, depth and snow accumulation were determined with the help of three distinct layers visible on the radargrams (≈ 1730, 1799 and 1941 AD). Preliminary results reveal a gradual increase in accumulation towards the coast (from ≈ 3 cm w.e. a-1 at Dome C to ≈ 17 cm w.e. a-1 at the end of the transect) and previously undocumented undulating structures between 300 and 600 km from DC. Results agree fairly well with data from previous studies and modelling. Drawing final conclusions on temporal variations is difficult because of the margin of error introduced by density estimation. This study should have various applications, including model validation. © 2013 Author(s).</t>
  </si>
  <si>
    <t>2-s2.0-84875695242"</t>
  </si>
  <si>
    <t>10.1016/j.margeo.2012.10.005</t>
  </si>
  <si>
    <t>https://www.scopus.com/inward/record.uri?eid=2-s2.0-84870064624&amp;doi=10.1016%2fj.margeo.2012.10.005&amp;partnerID=40&amp;md5=adb07a8a84a552d7933a764fb9d1075d</t>
  </si>
  <si>
    <t>Submerged coastal notches characterize the coast of the wider Rijeka area, NW Croatian coast, Adriatic Sea. These notches originate from a notch formed approximately 2,000years ago, their depth ranges between 0.50 and 1.15m and their subsidence history is a matter of debate. A detailed study of all the available data in relation to the tectonics of the area was made using signal analysis techniques. Our analysis revealed that the notch depth reflects the superimposition of two different effects, a quasi-regional relative sea-level rise of about 55cm, and of a subsequent, local, tectonic subsidence with amplitude gradually increasing to 60cm in the vicinity of the major thrust in the Bakar Bakar-Vinodol area. Elastic dislocation modeling permitted to explain this last local subsidence in terms of loading of the footwall of this thrust and provide evidence for an unrecorded earthquake of minimum magnitude Mw 6.8, which occurred most probably in the last few centuries. This result indicates that the convergence between the Southern Alps and the Adria is at least partly accommodated by earthquakes, and puts some constraints in the estimations of the seismic risk in the wider region. © 2012 Elsevier B.V.</t>
  </si>
  <si>
    <t>2-s2.0-84870064624"</t>
  </si>
  <si>
    <t>Water Quality Research Journal of Canada</t>
  </si>
  <si>
    <t>10.2166/wqrjc.2012.111</t>
  </si>
  <si>
    <t>https://www.scopus.com/inward/record.uri?eid=2-s2.0-84873664351&amp;doi=10.2166%2fwqrjc.2012.111&amp;partnerID=40&amp;md5=0c8945079baf472d56a8ccb1c92a2a55</t>
  </si>
  <si>
    <t>This study presents a numerical investigation of storm-induced circulation and hydrographic distributions over the Pearl River Estuary (PRE) in South China's Guangdong Province during super Typhoon Koryn in June 1993. The nested-grid modelling system used in this study has three downscaling subcomponents: an outer-most sub-model with a coarse horizontal resolution of ~7 km for simulating surface elevations and depth-mean currents forced by wind and tides over China Seas from Bohai Sea to the northern South China Sea</t>
  </si>
  <si>
    <t>10.1007/s00343-012-1295-4</t>
  </si>
  <si>
    <t>https://www.scopus.com/inward/record.uri?eid=2-s2.0-84867421817&amp;doi=10.1007%2fs00343-012-1295-4&amp;partnerID=40&amp;md5=9830359ad7f216d61e6cad1c083eabb1</t>
  </si>
  <si>
    <t>In an estuary, tidal, wave and other marine powers interact with the coast in different ways and affect estuary morphology as well as its evolution. In the Huanghe (Yellow) River estuaries and nearby delta, there are many small sediment-affected estuaries with a unique morphology, such as the Xiaoqing River estuary. In this study, we investigated the special evolution and genetic mechanism of the Xiaoqing River estuary by analyzing graphic and image data with a numerical simulation method. The results show that NE and NE-E tide waves are the main driving force for sandbar formation. Sediment shoals have originated from huge amounts of sediment from the Huanghe River, with consequent deposition at the Xiaoqing River mouth. The lateral suspended sediments beyond the river mouth move landward. Siltation takes place on the northern shoreline near the river mouth whereas erosion occurs in the south. The deposits come mainly from scouring of the shallow seabed on the northern side of the estuary. Storm surges speed up deposition in the estuary. Development of the sediment shoals has occurred in two steps involving the processes of growth and further southward extension. Although the southward shift increases the river curvature and length, the general eastward orientation of the estuary is unlikely to change. Processes on the adjacent shorelines do not affect the development of the sediment shoals. The study presents a morphodynamic evolutionary model for the Xiaoqing River estuary, with a long-term series cycle, within which a relatively short cycle occurs. © 2012 Chinese Society for Oceanology and Limnology, Science Press and Springer-Verlag Berlin Heidelberg.</t>
  </si>
  <si>
    <t>2-s2.0-84867421817"</t>
  </si>
  <si>
    <t>10.1002/joc.2425</t>
  </si>
  <si>
    <t>https://www.scopus.com/inward/record.uri?eid=2-s2.0-84869097228&amp;doi=10.1002%2fjoc.2425&amp;partnerID=40&amp;md5=61adb99342229132c9a98cdffbe878bb</t>
  </si>
  <si>
    <t>Tropical cyclone-generated storm surges are among the most deadly and costly natural disasters to impact the United States. Unfortunately, no comprehensive storm surge dataset provides reliable, historical storm surge information for the United States. This paper introduces SURGEDAT, the first comprehensive surge database for the US Gulf Coast. SURGEDAT identifies the location and height of peak storm surge for 195 surge events since 1880. A total of 62 sources were utilized to construct this dataset, including 28 Federal Government sources, numerous academic publications, and more than 3000 pages of newspaper from 16 daily periodicals. Surge heights in this database range from Hurricane Katrina's 8.47 m surge to 1.22 m surges generated by 20 separate events. Spatial analysis reveals enhanced surge magnitudes and frequencies along the Central and Western Gulf Coast, as well as the Florida Keys, while reduced levels of surge activity were observed along the eastern Florida Panhandle and the West Coast of Florida. The methods utilized to create this database are thoroughly documented, a table provides the comprehensive list of surges, and a map provides the spatial distribution of peak surge events. SURGEDAT will be valuable to coastal stakeholders, including planners and emergency managers, coastal scientists, and the hurricane and storm surge research communities. © 2011 Royal Meteorological Society.</t>
  </si>
  <si>
    <t>2-s2.0-84869097228"</t>
  </si>
  <si>
    <t>10.1029/2012GL053577</t>
  </si>
  <si>
    <t>https://www.scopus.com/inward/record.uri?eid=2-s2.0-84867569842&amp;doi=10.1029%2f2012GL053577&amp;partnerID=40&amp;md5=42e624260fff1c592f1f79491959f3a4</t>
  </si>
  <si>
    <t>Significant buffering of storm surges by vegetation canopies has been suggested by limited observations and simple numerical studies, particularly following recent Hurricanes Katrina, Rita, and Wilma. Here we simulate storm surge and inundation over idealized topographies using a three-dimensional vegetation-resolving storm surge model coupled to a shallow water wave model and show that a sufficiently wide and tall vegetation canopy reduces inundation on land by 5 to 40 percent, depending upon various storm and canopy parameters. Effectiveness of the vegetation in dissipating storm surge and inundation depends on the intensity and forward speed of the hurricane, as well as the density, height, and width of the vegetation canopy. Reducing the threat to coastal vegetation from development, sea level rise, and other anthropogenic factors would help to protect many coastal regions against storm surges. © 2012. American Geophysical Union. All Rights Reserved.</t>
  </si>
  <si>
    <t>2-s2.0-84867569842"</t>
  </si>
  <si>
    <t>10.5194/adgeo-31-75-2012</t>
  </si>
  <si>
    <t>https://www.scopus.com/inward/record.uri?eid=2-s2.0-84871000667&amp;doi=10.5194%2fadgeo-31-75-2012&amp;partnerID=40&amp;md5=e096f9e52981ad6425a1d4718f3bfef4</t>
  </si>
  <si>
    <t>General circulation models (GCMs) project an increasing frequency and intensity of heavy rainfall events due to global climate change. This rather holds true for regions that are even expected to experience an overall decrease in average annual precipitation. Consequently, this may be attended by an increasing frequency and magnitude of flood events. However, time series of GCMs show a bias in simulating 20th century precipitation and temperature fields and, therefore, cannot directly be used to force hydrological models in order to assess the impact of the projected climate change on certain components of the hydrological cycle. For a posteriori correction, the so-called delta change approach is widely-used which adds the 30-year monthly differences for temperature or ratios for precipitation of the GCM data to each month of a historic climate data set. As the variability of the climate variables in the scenario period is not transferred, this approach is especially questionable if discharge extremes are to be analyzed. In order to preserve the variability given by the GCM, methods of statistical bias correction are applied. This study aims to investigate the impact of two methods of bias correction, the delta change approach and a statistical bias correction, on the large scale modeling of flood discharges, using the example of 25 macroscale catchments in Europe. The discharge simulation is carried out with the global integrated model WaterGAP3 (Water - Global Assessment and Prognosis). Results show that the two bias correction methods lead to distinctively different trends in future flood flows. © Author(s) 2012.</t>
  </si>
  <si>
    <t>2-s2.0-84871000667"</t>
  </si>
  <si>
    <t>Australian Journal of Basic and Applied Sciences</t>
  </si>
  <si>
    <t>https://www.scopus.com/inward/record.uri?eid=2-s2.0-84872691126&amp;partnerID=40&amp;md5=174b9a7773affcd75b16e9b379e450bf</t>
  </si>
  <si>
    <t>This study aims to address the impact of degradation processes on the soil productivity in the irrigated agriculture east of the Nile Delta. The study area extends between longitudes 31°20' and 32° 15' E &amp; latitudes 29° 54' and 31° 12' N. The preliminary landforms of the area were delineated by using remote sensing data. The area includes flood plain, fluvio-lacustrine and aeolian deposits as main landforms. A semi detailed survey was carried out in order to verify landform units and collecting soil samples. Historical data of year 1975 have been used with the data extracted from current work to assess the land degradation hazard and soil productivity. Results indicate that the degradation processes are sweeping the investigated soils, where 69.73 % of the area has been degraded during the period of 1975 - 2011. During the same period the soil productivity was shifted from low to high grade only in 30.27% of the total area. The main degradation processes overcome the study area are soil salinity, alkalinity, water logging and compaction. The agriculture development in the area requires improved drainage network and proper land management.</t>
  </si>
  <si>
    <t>2-s2.0-84872691126"</t>
  </si>
  <si>
    <t>10.1029/2012JF002523</t>
  </si>
  <si>
    <t>https://www.scopus.com/inward/record.uri?eid=2-s2.0-84867638384&amp;doi=10.1029%2f2012JF002523&amp;partnerID=40&amp;md5=380039d4d0b505ab40812338c5cb3b53</t>
  </si>
  <si>
    <t>A new physically based approach for calculating glacier ice thickness distribution and volume is presented and applied to all glaciers and ice caps worldwide. Combining glacier outlines of the globally complete Randolph Glacier Inventory with terrain elevation models (Shuttle Radar Topography Mission/Advanced Spaceborne Thermal Emission and Reflection Radiometer), we use a simple dynamic model to obtain spatially distributed thickness of individual glaciers by inverting their surface topography. Results are validated against a comprehensive set of thickness observations for 300 glaciers from most glacierized regions of the world. For all mountain glaciers and ice caps outside of the Antarctic and Greenland ice sheets we find a total ice volume of 170 × 103 21 × 103 km3, or 0.43 0.06 m of potential sea level rise. © 2012. American Geophysical Union. All Rights Reserved.</t>
  </si>
  <si>
    <t>2-s2.0-84867638384"</t>
  </si>
  <si>
    <t>10.1080/01431161.2012.701348</t>
  </si>
  <si>
    <t>https://www.scopus.com/inward/record.uri?eid=2-s2.0-84909996538&amp;doi=10.1080%2f01431161.2012.701348&amp;partnerID=40&amp;md5=86d978f13e7814c65e783c2d7e49a1d2</t>
  </si>
  <si>
    <t>In this study, we examined how satellite time-series-based characterization of ecological cycles and trends is sensitive to the temporal depth and spacing of the time series and whether the observed sensitivities were cover and/or cycle specific. We fitted a harmonic regression (with annual, semi-annual and quasi-decadal cycles) to an 85-image Landsat time series (1989–2002) covering the lower Okavango Delta, varying the temporal depth and spacing of time-series vectors following two different but comparable approaches (i.e. systematic vs random variation). The results show that as the temporal depth decreases, the sensitivity to both short- and long-term ecological cycles was lost in the seasonally dynamic environment. The degree to which characterization of ecological cycles and trends was influenced by temporal depth and spacing was dependent on the functional type of vegetation and dynamics of the disturbance regime(s). Ecological cycles were comparatively better characterized, even at reduced temporal depths, for woodland-dominated areas, riparian vegetation and more frequently flooded areas (i.e. less dynamic systems) compared with less routinely and non-flooded grasslands, mixed savannas and more frequently burned areas. Detection sensitivity was also found to be cycle specific, as, at reduced temporal depths, the semi-annual cycle was less easily detected than the annual cycle for the majority of the study area. Temporal spacing of time-series vectors was also found to be important: the chances of misinterpreting system variability as a change were much higher when vectors were randomly chosen. Interestingly, at a reduced temporal depth, the harmonic model unexpectedly produced a higher coefficient of determination due to model under-specification for both vector selection approaches. However, randomly selected vectors produced much larger artefacts. These results indicate the need for caution in selecting a time series not only for its temporal depth but also for its temporal spacing, particularly as related to the inherent environmental periodicity of the study area. © 2012 Taylor and Francis.</t>
  </si>
  <si>
    <t>2-s2.0-84909996538"</t>
  </si>
  <si>
    <t>Louisiana Law Review</t>
  </si>
  <si>
    <t>https://www.scopus.com/inward/record.uri?eid=2-s2.0-84872475897&amp;partnerID=40&amp;md5=6e7a1b2a96edc07f32be76a168698266</t>
  </si>
  <si>
    <t>Coastal land loss is an inevitable consequence of the confluence of three primary factors: population growth, vanishing wetlands, and rising sea levels. Society may either mitigate coastal land loss by engaging in human engineering projects that create technological solutions or restore natural processes that protect the coastal zone, or it may choose to adapt to coastal land loss by shifting development and other human and economic resources out of areas especially at risk for coastal land loss. This Article first details the primary threats to coastal lands. Next, the Article discusses two primary means of addressing coastal land loss-mitigation and adaptation-applying those terms slightly differently than they are used in the broader climate change context in order to focus more precisely on the coastal land loss phenomena and its solutions. Finally, the Article makes three normative claims for why policy-makers should approach coastal land loss mitigation in particular with caution: (1) uncertainty of mitigation's effectiveness-scientifically and institutionally</t>
  </si>
  <si>
    <t>10.1111/j.1365-246X.2012.05687.x</t>
  </si>
  <si>
    <t>https://www.scopus.com/inward/record.uri?eid=2-s2.0-84869083984&amp;doi=10.1111%2fj.1365-246X.2012.05687.x&amp;partnerID=40&amp;md5=f6686375ec23afe3885e7c1dadbbcc58</t>
  </si>
  <si>
    <t>The Pearl River Delta (PRD) is one of the most important economic regions with the highest population densities in China. With its dramatic increasing population and economy, hazards associated with land subsidence frequently occur here that amplify the negative effect of sea level rise. However, land subsidence has not been regularly measured in this region. Here, we use interferometric synthetic aperture radar (InSAR) to investigate the rate and extent of land subsidence in the PRD region. Assuming purely vertical displacements, multi-track interferograms from different viewing geometries are combined to estimate the linear rate map and time series at a higher resolution in time than is possible with a single track. The results show apparent subsidence along the coastal region of Shenzhen associated with rapid urban development in recent years. The average subsidence rate within 500 m of the coast is about 2.5 mmyr -1, and the maximum is up to about 6 mmyr -1 with respect to the central part of the city. Much of the land surface in the PRD is less than 2 m above mean sea level</t>
  </si>
  <si>
    <t>10.1002/clen.201100679</t>
  </si>
  <si>
    <t>https://www.scopus.com/inward/record.uri?eid=2-s2.0-84866510796&amp;doi=10.1002%2fclen.201100679&amp;partnerID=40&amp;md5=b009e474f1d0dabea7f2805051f58d73</t>
  </si>
  <si>
    <t>Interest in sustainable development for the natural, socio-economic, and cultural resources of coastal zones is growing worldwide. On the other hand, the range of threats to coastal zones increasingly posed by hydro-meteorological natural phenomena has led to a trend in the analysis and assessment of risks to these areas. The available literature dealing with coastal risk assessment is quite wide, focusing mainly on the risk evaluation of coastal flooding and erosion resulting directly from the occurrence of extreme natural events. The risk assessment methodologies are usually specific to the conditions and available data of each country, society or location, though most have evolved to assess the risk concept more precisely and rigorously. However, there are still very few studies that present feasible and effective methodologies, which lead to the effective integration of risk analysis at all levels. In Mexico coastal risk analysis has barely begun despite our extensive coastline, which is highly vulnerable to the threat of tropical cyclones. This paper aims to give a broad view of the risk assessment methodologies which already exist, in order to provide a starting point for future efforts in Mexico and elsewhere. © 2012 WILEY-VCH Verlag GmbH &amp; Co. KGaA, Weinheim.</t>
  </si>
  <si>
    <t>2-s2.0-84866510796"</t>
  </si>
  <si>
    <t>10.1002/esp.3259</t>
  </si>
  <si>
    <t>https://www.scopus.com/inward/record.uri?eid=2-s2.0-84872382516&amp;doi=10.1002%2fesp.3259&amp;partnerID=40&amp;md5=041f2f64584e0e47eda9e4018cf25796</t>
  </si>
  <si>
    <t>Glacier recession and landform development in a debris-charged glacial landsystem characterized by an overdeepening is quantified using digital photogrammetry, digital elevation model (DEM) construction and mapping of the Icelandic glacier Kvíárjökull for the period 1945-2003. Melting of ice-cores is recorded by surface lowering rates of 0·8myr-1 (1945-1964), 0·3myr-1 (1964-1980), 0·015myr-1 (1980-1998) and 0·044myr-1 (1998-2003). The distribution/preservation of pushed and stacked ice-cored moraine complexes are determined by the location of the long-term glacial drainage network in combination with retreat from the overdeepening, into which glacifluvial sediment is being directed and where debris-rich ice masses are being reworked and replaced by esker networks produced in englacial meltwater pathways that bypassed the overdeepening and connected to outwash fans prograding over the snout. Recent accelerated retreat of Kvíárjökull, potentially due to increased mass balance sensitivity, has made the snout highly unstable, especially now that the overdeepening is being uncovered and the snout flooded by an expanding pro-glacial, and partially supraglacial, lake. This case study indicates that thick sequences of debris-charged basal ice/controlled moraine have a very low preservation potential but ice-cored moraine complexes can develop into hummocky moraine belts in de-glaciated terrains because they are related to the process of incremental stagnation, which at Kvíárjökull has involved periodic switches from transport-dominant to ablation-dominant conditions. Glacier recession is therefore recorded temporally and spatially by two suites of landforms relating to two phases of landform production which are likely typical for glaciers occupying overdeepenings: an early phase of active, temperate recession recorded by push moraines and lateral moraines and unconfined pro-glacial meltwater drainage</t>
  </si>
  <si>
    <t>10.2112/JCOASTRES-D-11-00136.1</t>
  </si>
  <si>
    <t>https://www.scopus.com/inward/record.uri?eid=2-s2.0-84870222028&amp;doi=10.2112%2fJCOASTRES-D-11-00136.1&amp;partnerID=40&amp;md5=39939fc59b512e43dd4b67e7b1730204</t>
  </si>
  <si>
    <t>Thorne, K.M.</t>
  </si>
  <si>
    <t>10.1007/s10668-012-9363-7</t>
  </si>
  <si>
    <t>https://www.scopus.com/inward/record.uri?eid=2-s2.0-84867881973&amp;doi=10.1007%2fs10668-012-9363-7&amp;partnerID=40&amp;md5=461a13be0d5c57eaeca020e00016c8aa</t>
  </si>
  <si>
    <t>Sub-Saharan African countries are being strongly urged to enhance their rice production, because their rice consumption and importation rates have been rapidly increasing in recent years. Areas planted to rice in Africa are classified agro-ecologically into rainfed upland, rainfed lowland, and irrigated. Rainfed lowland includes extensive areas of unexploited land that has great potential for the promotion of rice growing. For the unexploited rainfed lowlands of Ghana, we have been studying the development of low-cost rice-farming systems that require no large-scale irrigation or land reclamation. For such systems, it is important to select suitable areas where water for rice farming can be obtained naturally</t>
  </si>
  <si>
    <t>10.1007/s11069-012-0287-1</t>
  </si>
  <si>
    <t>https://www.scopus.com/inward/record.uri?eid=2-s2.0-84867229350&amp;doi=10.1007%2fs11069-012-0287-1&amp;partnerID=40&amp;md5=012d00ca7248607cb289be18dbb051b9</t>
  </si>
  <si>
    <t>In this study, a numerical model of tide surge was developed and applied to the coast of Taiwan and the adjacent sea area. This two-dimensional model has a fine horizontal resolution and takes into account the interaction between storm surges and astronomical tides, which is suitable for describing the complicated physical properties of storm surges along the coast of Taiwan. The model is driven by the tidal elevation at the open boundaries using a global ocean tidal model and is forced by the meteorological conditions using a cyclone model. The numerical model was calibrated and verified against the observed tide and surge tide for five typhoon events. The results indicate reasonable agreement between the model simulations and the observed data. The model was then used to study the effects of both different typhoon paths and the intensity of the wind stress and pressure at the typhoon center on the surge height. The regression equations for the surge height and pressure difference were also established for predicting the surge height along the coast of Taiwan. © 2012 Springer Science+Business Media B.V.</t>
  </si>
  <si>
    <t>2-s2.0-84867229350"</t>
  </si>
  <si>
    <t>10.5194/nhess-12-2515-2012</t>
  </si>
  <si>
    <t>https://www.scopus.com/inward/record.uri?eid=2-s2.0-84869192693&amp;doi=10.5194%2fnhess-12-2515-2012&amp;partnerID=40&amp;md5=8b31062cbe6814ba9bb0f0162fdefbb1</t>
  </si>
  <si>
    <t>Sandy shorelines are dynamic with constant changes that can cause hazards in developed areas. The causes of change may be either natural or anthropogenic. This paper evaluates evidence for shoreline changes and their causative factors using a case study on the east coast of South Africa. Beach morphology trends were found to be location-specific, but overall the beaches show a receding trend. It was hypothesized that wave, tide, sea level and wind trends as well as anthropogenic influences are causative factors, and their contributions to shoreline changes were evaluated. Maximum significant wave heights, average wave direction, peak period and storm event frequencies all show weak increasing trends, but only the increases in peak period and wave direction are statistically significant. The chronic beach erosion cannot be attributed to wave climate changes since they are still too small to explain the observations. Instead, the impacts of sea level rise and reductions in the supply of beach sediments are suggested as the main causative factors. The analysis also identifies a trend in the frequency of severe erosion events due to storms that coincide with a 4.5-yr extreme tide cycle, which demonstrates the potential impact of future sea level rise. © 2012 Author(s).</t>
  </si>
  <si>
    <t>2-s2.0-84869192693"</t>
  </si>
  <si>
    <t>10.2166/wp.2012.119</t>
  </si>
  <si>
    <t>https://www.scopus.com/inward/record.uri?eid=2-s2.0-84865776593&amp;doi=10.2166%2fwp.2012.119&amp;partnerID=40&amp;md5=ed83b6b017613e36fc4913d25a65df6d</t>
  </si>
  <si>
    <t>Flood defence management in Jakarta is a critical governmental activity, since Jakarta is a low-lying delta metropolis. Its protection against flooding is crucial for the continuing of economic activities. Despite the urgent need for action, the implementation of flood defences like the Eastern Flood Canal has been a lengthy and strenuous process. The first plans to construct the Canal date back to the early 1970s and gained support early during the policy design process but the actual construction only started in 2003 after institutional and political changes. Earlier evaluations point to a lack of financial resources as a cause of delayed implementation. We have explored the causes beyond budgetary reasons, and have used Kingdon's streams model to structure the policy design and implementation process, and to analyze the co-evolution of politics (the political stream), policies (the solutions stream) and social-ecological context (the problem stream). We have paid due attention to the effects of decentralization and the realized political reforms. Our research has revealed three causes for the implementation delay: (a) the disconnection of political and institutional developments for problems and solutions before 1998</t>
  </si>
  <si>
    <t>10.1080/15715124.2012.663383</t>
  </si>
  <si>
    <t>https://www.scopus.com/inward/record.uri?eid=2-s2.0-84863662214&amp;doi=10.1080%2f15715124.2012.663383&amp;partnerID=40&amp;md5=880a73984d353e1f1b706fb9dc0ee294</t>
  </si>
  <si>
    <t>The Vietnamese Mekong Delta (VMD) has an important role in terms of food security and socio-economic development of the region</t>
  </si>
  <si>
    <t>Macquarie Journal of International and Comparative Environmental Law</t>
  </si>
  <si>
    <t>https://www.scopus.com/inward/record.uri?eid=2-s2.0-84876556303&amp;partnerID=40&amp;md5=a30f92a83503c802fc0219ea1c3dce4e</t>
  </si>
  <si>
    <t>Coastal areas of Australia are periodically subjected to hazards and impacts of ravaging storms and inundation. Where development has occurred, or is planned to occur, there arises a need to ensure that beaches are maintained for the public good. Protective works by private landowners and public authorities may have an adverse as well as perverse effect of reducing beach width and habitat, especially into the future under projected conditions of rising sea levels and more intense storms. It is necessary to view many sandy sections of the coast as transient being subject to shoreline change and hence change in the position of jurisdictional and property boundaries. There is scope for environmental law in Australia to make use of experience in the United States (US) in the application of the Public Trust Doctrine to coastal areas. This doctrine recognises that governments at all levels owe a duty of care to protect environmental assets for the common benefit of the public. The beach must be seen as one such asset. It is important that planning and coastal protection laws of the states are clarified in ways that provide an obligation on public authorities to maintain and protect beaches.</t>
  </si>
  <si>
    <t>2-s2.0-84876556303"</t>
  </si>
  <si>
    <t>10.1680/wama.12.00018</t>
  </si>
  <si>
    <t>https://www.scopus.com/inward/record.uri?eid=2-s2.0-84871095709&amp;doi=10.1680%2fwama.12.00018&amp;partnerID=40&amp;md5=bff190632fbcf2fe0947695cb5c29087</t>
  </si>
  <si>
    <t>Flooding is an increasing hazard to society and good governance now implies careful water management in terms of design, planning and control of urban and rural areas. This requires that rainstorms, extreme water levels and so on are taken into account with relevant precision. A great aid is the existence of graphical information systems with raster-based digital elevation models (DEMs). Modern technology such as Lidar means that DEMs are of everincreasing resolution. This paper describes how, without adaptations, a DEM can be used efficiently for detailed 2D flooding simulations. The method is based on four components: the sub-grid method</t>
  </si>
  <si>
    <t>10.1002/clen.201200059</t>
  </si>
  <si>
    <t>https://www.scopus.com/inward/record.uri?eid=2-s2.0-84867847137&amp;doi=10.1002%2fclen.201200059&amp;partnerID=40&amp;md5=f49c7c45d4fc751079ee35e68d190d15</t>
  </si>
  <si>
    <t>A field study was carried out in two typical marsh wetlands (Sites A and B) with different flooding frequencies in the Yellow River Delta of China in three different dates to investigate spatial and temporal distributions of soil organic carbon (SOC) and total nitrogen (TN) along the distance away from one tidal creek and the Yellow River, respectively. The results showed that SOC and TN contents and densities generally decreased with depth, except for an obvious accumulation peak of TN at the 20-40cm soil layer</t>
  </si>
  <si>
    <t>10.3319/TAO.2012.05.03.01(WMH)</t>
  </si>
  <si>
    <t>https://www.scopus.com/inward/record.uri?eid=2-s2.0-84871870164&amp;doi=10.3319%2fTAO.2012.05.03.01%28WMH%29&amp;partnerID=40&amp;md5=109725688e0ca611ffa3dfb50f65e3f9</t>
  </si>
  <si>
    <t>Coastal inundation due to wave overtopping coastal structures and storm surges often causes serious damage and danger to the population of Taiwan. Ascertaining the areas that are prone to coastal inundation is essential to provide countermeasures for mitigating the problem. Simulations without precipitation are examined in this study since overtopping has been determined to be a controlling factor in coastal flooding. We present scenarios for the simulation of coastal flooding with a unified wind wave and hydrological watershed model. The eastern coastal areas in Taiwan are selected as the study area. Simulations show that the resulting waves and tidal levels, generated by the Rankin-Vortex model and wind wave calculations, can be successfully obtained from the input data during wave overtopping simulations. A watershed model, WASH123D, was then employed for surface routing. The simulations indicate that the low-lying Yilan River and Dezikou Stream drainage systems were among the primary areas subject to inundation. Extensive inundation along both sides of the river banks was obtained in the case of extreme overtopping events. Coastal inundation could occur between the estuary of the Meilun Stream and most of the Nan-Bai-Bin areas in Hualien City. Calculations showed that more croplands flooded than did residential regions. No further damage to the upland of Hualien City was identified. The remaining study sites, Sinchen Township, Taitung City and Taimali Township, would only be slightly affected by seawater run-ups. Inundations caused by overtopping under extreme circumstances only affected the coast with almost trifling influence inland.</t>
  </si>
  <si>
    <t>2-s2.0-84871870164"</t>
  </si>
  <si>
    <t>10.1111/gcb.12024</t>
  </si>
  <si>
    <t>https://www.scopus.com/inward/record.uri?eid=2-s2.0-84868143894&amp;doi=10.1111%2fgcb.12024&amp;partnerID=40&amp;md5=52aab722a7be9ff403e573deffa39c0e</t>
  </si>
  <si>
    <t>The extraordinary growth of human populations and development in coastal areas over the last half century has eliminated and degraded coastal habitats and threatened the persistence of associated wildlife. Moreover, human-induced sea-level rise (SLR) is projected to further eliminate and alter the same coastal ecosystems, especially low-lying regions. Whereas habitat loss and wildlife population declines from development are well documented, contemporary SLR has not yet been implicated in declines of coastal faunal populations. In addition, the projection of severe synergistic impacts from the combination of development and SLR is well described, yet the scientific literature offers little empirical evidence of the influence of these forces on coastal wildlife. Analysis of aerial photographs from 1959 to 2006 provided evidence of a 64% net loss of the endangered Lower Keys marsh rabbit's (Sylvilagus palustris hefneri</t>
  </si>
  <si>
    <t>https://www.scopus.com/inward/record.uri?eid=2-s2.0-84872137787&amp;partnerID=40&amp;md5=0928ed5c129e72cd3617f5475eba4ff0</t>
  </si>
  <si>
    <t>In recent years humans have endured increasing numbers of natural disasters, of which flooding is the greatest and most common throughout the world. Iran is also exposed to floods, considering the severe damage recently incurred in Golestan province, particularly Gorganroud watershed. Due to the importance of the subject and lack of comprehensive studies on flood risk in the country's watersheds, it is crucial to perform flood risk assessment using appropriate tools, such as Landsat ETM+ imaging and digital elevation model data collections in geographic information system throughout the region. For this purpose, database maps of 6 sub-watersheds in Gorganroud watershed were prepared in 5 layers affecting flooding in the region. By overlaying and weighing three layers in GIS software, a layer of flood hazard intensity was obtained. Next, by means of obtained numbers and scoring, the overuse layer priorities were determined. Then, these two flooding layers were overlaid with the help of a two-dimensional matrix, and the final map of flood risk was obtained. Finally, it was found that Chelichay and Sarab Gorganroud, making up to 24.59% of the Gorganroud watershed, are the most risky sub-watersheds. In light of the fact that the data pertaining to Gorganroud watershed have never been entirely used to sort out the risk priorities in the region, the new method presented in this paper can lead to a more accurate and comprehensive understanding about what is really taking place in it.</t>
  </si>
  <si>
    <t>2-s2.0-84872137787"</t>
  </si>
  <si>
    <t>Journal of Natural Resources Policy Research</t>
  </si>
  <si>
    <t>10.1080/19390459.2012.728861</t>
  </si>
  <si>
    <t>https://www.scopus.com/inward/record.uri?eid=2-s2.0-84867644248&amp;doi=10.1080%2f19390459.2012.728861&amp;partnerID=40&amp;md5=5256aef6bcf877a1d7bb081de7d0ffca</t>
  </si>
  <si>
    <t>The flood pulse, as the main driver of Botswana's Okavango Delta system, creates variable responses in terms of its biophysical, socio-economic aspects which presents challenges for its management. This, along with the perturbation caused by substantially increased human impacts in the last few decades, has led to the initiation of a systematic framework for management, the Okavango Delta Management Plan (ODMP). This paper analyses the extent to which the ODMP accommodates adaptive management principles in its implementation, and focuses on the scale aspects of institutional arrangements, still founded on administrative, not social-ecological, boundaries. Specifically, we examine the hierarchy of decision-making and highlight the challenges associated with scale mismatch. Centralized sectoral decision-making has prevented the ODMP being adopted as all parties' responsibility. Scale effects compound this, because decision-making at the national level challenges the implementing district level's efforts at transdisciplinary responses. Nevertheless, capacity-building on the ground means that district officers are increasingly adopting integrated, collaborative responses to management issues. © 2012 Copyright Taylor and Francis Group, LLC.</t>
  </si>
  <si>
    <t>2-s2.0-84867644248"</t>
  </si>
  <si>
    <t>10.1080/01490419.2011.646606</t>
  </si>
  <si>
    <t>https://www.scopus.com/inward/record.uri?eid=2-s2.0-84871097438&amp;doi=10.1080%2f01490419.2011.646606&amp;partnerID=40&amp;md5=a179aab521c119323176d9e0e8329bd6</t>
  </si>
  <si>
    <t>Coastal topography is the principal variable that affects the movement of the tsunami wave on land. Therefore, land surface elevation data are critical to a tsunami model for computing extent of inundation. Elevation data from India's remote sensing satellite CARTOSAT-1 are available for the entire Indian coastline, while elevation data collected using Airborne Laser Terrain Mapper (ALTM) are only available for selected sections of the coastline. This study was carried out to evaluate the suitability of CARTOSAT-1 and ALTM elevation data sets in the tsunami inundation modeling. Two areas of the coastal Tamil Nadu that were severely affected during the December 2004 tsunami and surveyed extensively for mapping the extent of inundation were selected as the study areas. Elevation data sets from ALTM, CARTOSAT-1 and field measurement collected using Real-time Kinematic GPS (RTK-GPS) were compared for these areas. The accuracy of ALTM and CARTOSAT-1 data, the significance of interpolation methods and data used on model outputs were studied. The analysis clearly revealed that the elevation accuracy of CARTOSAT-1 data (+/-2m) was much lower than ALTM data (+/-0.6m). However, it was found that despite the differing elevation accuracy, both ALTM and CARTOSAT-1 can be used to produce tsunami inundation maps for open coasts with an accuracy of 185 m (2 grid cells) at 75% and 50% confidence level, respectively. © 2012 Copyright Taylor and Francis Group, LLC.</t>
  </si>
  <si>
    <t>2-s2.0-84871097438"</t>
  </si>
  <si>
    <t>10.1146/annurev-environ-021611-135158</t>
  </si>
  <si>
    <t>https://www.scopus.com/inward/record.uri?eid=2-s2.0-84883267257&amp;doi=10.1146%2fannurev-environ-021611-135158&amp;partnerID=40&amp;md5=ab70bf10a01e6141a3a56a06cd3085ae</t>
  </si>
  <si>
    <t>With continuing influx of large numbers of people into coastal regions, human stresses on coastal ecosystems and resources are growing at the same time that climate variability and change and associated consequences in the marine environment are making coastal areas less secure for human habitation. The article reviews both climatic and nonclimatic drivers of the growing stresses on coastal natural and human systems, painting a picture of the mostly harmful impacts that result and the interactive and systemic challenges coastal managers face in managing these growing risks. Although adaptive responses are beginning to emerge, the adaptation challenge is enormous and requires not just incremental but also transformative changes. At the same time, such ""wicked"" problems, by definition, defy all-encompassing, definitive, and final solutions</t>
  </si>
  <si>
    <t>10.3390/rs4113417</t>
  </si>
  <si>
    <t>https://www.scopus.com/inward/record.uri?eid=2-s2.0-84870773337&amp;doi=10.3390%2frs4113417&amp;partnerID=40&amp;md5=eedba15265451295dbfe28187bf162cb</t>
  </si>
  <si>
    <t>Tidal flats provide habitat for biodiversity, protection from storm surges and sea level rise, and a range of other ecosystem services. However, no simple method exists for mapping tidal flats over large (&gt;1,000 km) extents, and consequently their global status and distribution remain poorly understood. Existing mapping methods are restricted to small areas with known tidal regimes because tidal flats are only fully exposed for a brief period around low tide. Here we present a method for mapping tidal flats over very large areas and demonstrate its utility by mapping the tidal flats of China, the Democratic People's Republic of Korea and the Republic of Korea. We (i) generated tide height predictions at the acquisition time of all Landsat Archive images of our study area using a validated regional tide model, (ii) selected suitable images acquired in the upper and lower 10% of the tidal range, (iii) converted high and low tide images to a land and water class image derived from the Normalized Differenced Water Index (NDWI) and, (iv) subtracted the high tide classified image from the low tide classified image, resulting in delineation of the tidal flat. Using this method, we mapped the tidal flats for 86.8% of the study area coastline (13,800 km). A confusion matrix for error assessment indicated an accuracy of &gt;85% for the resulting tidal flat map. Our method enables coastal morphology to be mapped and monitored at continental scales, providing critical data to inform coastal adaptation measures for sea level rise, for monitoring coastal habitat loss and for developing ecosystem-based coastal conservation measures. © 2012 by the authors.</t>
  </si>
  <si>
    <t>2-s2.0-84870773337"</t>
  </si>
  <si>
    <t>10.1029/2012WR012514</t>
  </si>
  <si>
    <t>https://www.scopus.com/inward/record.uri?eid=2-s2.0-84869481951&amp;doi=10.1029%2f2012WR012514&amp;partnerID=40&amp;md5=bed26522d760f80a98c0558fc99bb77a</t>
  </si>
  <si>
    <t>This paper presents a new computationally efficient hydraulic model for simulating the spatially distributed dynamics of water surface elevation, wave speed, and inundation extent over large data sparse domains. The numerical scheme is based on an extension of the hydraulic model LISFLOOD-FP to include a subgrid-scale representation of channelized flows, which allows river channels with any width below that of the grid resolution to be simulated. The scheme is shown to be numerically stable and scalable, before being applied to an 800 km reach of the river Niger in Mali. The Niger application focused on the performance of four different model structures: a model without channels (two-dimensional (2-D) model), a model without a floodplain (one-dimensional (1-D) model), a model of the main channels and floodplain (1-D/2-D model), and the subgrid approach developed here. Inclusion of both the channel network and the floodplain was shown to be essential, meaning that large scale models of this region, including routing models for land surface schemes, will require a floodplain component. Including subgrid-scale channels on the floodplain changed inundation dynamics over the delta significantly and increased simulation accuracy in terms of water level, wave propagation speed, and inundation extent. Furthermore, only the subgrid model showed a consistent parameterization when calibrated against either gauge or ICESat water level data, suggesting that connectivity provided by small channels is a strong control on the hydraulics of the floodplain, or, at the very least, that low resolution gridded hydraulic models require additional connectivity to represent the delta flow dynamics. © 2012 American Geophysical Union. All Rights Reserved.</t>
  </si>
  <si>
    <t>2-s2.0-84869481951"</t>
  </si>
  <si>
    <t>International Journal of Computational Intelligence Systems</t>
  </si>
  <si>
    <t>10.1080/18756891.2012.733237</t>
  </si>
  <si>
    <t>https://www.scopus.com/inward/record.uri?eid=2-s2.0-84867271630&amp;doi=10.1080%2f18756891.2012.733237&amp;partnerID=40&amp;md5=0b12cdedb22566fc493c7ada443e2a02</t>
  </si>
  <si>
    <t>Information fusion has been a hot topic currently, how to make information fusion for intelligent decision is a challenge. Although the applications of random set theory attract many researchers, the probability function distribution is still imprecise. In this paper, we give a new definition of probability distribution function (PDF) of random set theory, and propose an integration methodology for urban flood risk assessment by fusing multi-source information (e. g., remote sensing images, Digital Elevation Model (DEM) and rainstorm data) based on random set theory. The methodology analyzes and fuses the multi-source information, which overcomes the uncertainty of the decision makers of flood risk and generates precise estimates of the probability of flood risk. In our experiments, we take Wuhan city in China and three kinds of data sources information as an example to assess flood risk level. The experiments indicate that our algorithm not only provide precise estimates of the probability of flood risk but also give the bound of probability. © 2012 Copyright the authors.</t>
  </si>
  <si>
    <t>2-s2.0-84867271630"</t>
  </si>
  <si>
    <t>Geo-Eco-Trop</t>
  </si>
  <si>
    <t>https://www.scopus.com/inward/record.uri?eid=2-s2.0-84878880220&amp;partnerID=40&amp;md5=42dff91894c757c2452327c22167501d</t>
  </si>
  <si>
    <t>Warming of the climate system is unequivocal, as it is now evident from observations of increases in global average air and ocean temperatures, widespread melting of snow and ice and rising global average sea level. In this framework, sea level rise is virtually certain. This will impact ecosystems, coastal areas, human health, and economies. Vietnam is very likely to be one of the most affected countries with its 3200 km of shorelines with amplified vulnerability in large areas already affected by subsidence such as the Mekong and Red River deltas. In January 2009, international broadcast news have relayed the information that 27 houses located on the southern coast of Vietnam, in the fishing village of Phan Thiet, 200 km east of Ho Chi Minh City, have collapsed and that another hundred buildings were also threatened of destruction. According to experts, this event was definitely one of the consequences of global warning. This article shows, using the multi dates of Google Earth, that this assumption is not correct and highlights the real causes of this rapid and inevitable retreat of the coastline in this village, namely the mismanagement of natural resources, the lack of land use planning and the non-existence of policies focused on natural hazard management in the uncontrolled construction the seaside resort of Mui Ne, a few kilometers east.</t>
  </si>
  <si>
    <t>2-s2.0-84878880220"</t>
  </si>
  <si>
    <t>10.1007/s10533-012-9712-5</t>
  </si>
  <si>
    <t>https://www.scopus.com/inward/record.uri?eid=2-s2.0-84873103137&amp;doi=10.1007%2fs10533-012-9712-5&amp;partnerID=40&amp;md5=980416db5c39c3257abbc2b44c05835a</t>
  </si>
  <si>
    <t>Methane (CH4) is an important greenhouse gas whose emission from the largest source, wetlands is controlled by a number of environmental variables amongst which temperature, water-table, the availability of substrates and the CH4 transport properties of plants are most prominent and well characterised. Coastal wetland ecosystems are vulnerable to invasion by alien plant species which can make a significant local contribution to altering their species composition. However the effect of these changes in species composition on CH4 flux is rarely examined and so is poorly understood. Spartina alterniflora, a perennial grass native to North America, has spread rapidly along the south-east coast of China since its introduction in 1979. From 2002, this rapid invasion has extended to the tidal marshes of the Min River estuary, an area that, prior to invasion was dominated by the native plant Cyperus malaccensis. Here, we compare CH4 flux from the exotic invasive plant S. alterniflora with measurements from the aggressive native species Phragmites australis and the native species C. malaccensis following 3-years of monitoring. CH4 emissions were measured over entire tidal cycles. Soil CH4 production potentials were estimated for stands of each of above plants both in situ and in laboratory incubations. Mean annual CH4 fluxes from S. alterniflora, P. australis and C. malaccensis dominated stands over the 3 years were 95. 7 (±18. 7), 38. 9 (±3. 26) and 10. 9 (±5. 26) g m-2 year-1, respectively. Our results demonstrate that recent invasion of the exotic species S. alterniflora and the increasing presence of the native plant P. australis has significantly increased CH4 emission from marshes that were previously dominated by the native species C. malaccensis. We also conclude that higher above ground biomass, higher CH4 production and more effective plant CH4 transport of S. alterniflora collectively contribute to its higher CH4 emission in the Min River estuary. © 2012 Springer Science+Business Media B.V.</t>
  </si>
  <si>
    <t>2-s2.0-84873103137"</t>
  </si>
  <si>
    <t>10.1016/j.jenvman.2012.06.036</t>
  </si>
  <si>
    <t>https://www.scopus.com/inward/record.uri?eid=2-s2.0-84864033723&amp;doi=10.1016%2fj.jenvman.2012.06.036&amp;partnerID=40&amp;md5=2355f7721c6a007b47fd8d85ad7439ed</t>
  </si>
  <si>
    <t>Global sea level is rising, and the relative rate in the Chesapeake Bay region of the East Coast of the United States is greater than the worldwide rate. Sea-level rise can cause saline water to migrate upstream in estuaries and rivers, threatening freshwater habitat and drinking-water supplies. The effects of future sea-level rise on two tributaries of Chesapeake Bay, the James and Chickahominy (CHK) Rivers, were evaluated in order to quantify the salinity change with respect to the magnitude of sea-level rise. Such changes are critical to: 1) local floral and faunal habitats that have limited tolerance ranges to salinity</t>
  </si>
  <si>
    <t>10.2478/v10156-011-0039-2</t>
  </si>
  <si>
    <t>https://www.scopus.com/inward/record.uri?eid=2-s2.0-84883635957&amp;doi=10.2478%2fv10156-011-0039-2&amp;partnerID=40&amp;md5=2e7abe3a0d34861c8fa0d94bf8547517</t>
  </si>
  <si>
    <t>Currently regional mean sea level trends and variations are inferred from the analysis of several individual local tide gauge data that spanonly a long period of time at a given region. In this study, we propose using a model to merge various tide gauge data, regardless of theirtime span, in a single solution, to estimate parameters representative of regional mean sea level trends. The proposed model can accountfor the geographical correlations among the local tide gauge stations as well as serial correlations, if needed, for individual stations' data.Such a vigorous regional solution enables statistically optimal uncertainties for estimated and projected trends. The proposed formulationalso unifies all the local reference levels by modeling their offsets from a predefined station's reference level. To test its effectiveness, theproposed model was used to investigate the regional mean sea level variations for the coastal areas of the Florida Panhandle using 26 localtide gauge stations that span approximately 830 years of monthly averages from the Permanent Service for Mean Sea Level repository. Thenew estimate for the regional trend is 2.14 mm/yr with a ±0.03 mm/yr standard error, which is an order of magnitude improvement overthe most recent mean sea level trend estimates and projections for the Florida region obtained from simple averages of local solutions.  ©.</t>
  </si>
  <si>
    <t>2-s2.0-84883635957"</t>
  </si>
  <si>
    <t>https://www.scopus.com/inward/record.uri?eid=2-s2.0-84875623936&amp;partnerID=40&amp;md5=308927e942fc0308276fe926743673ec</t>
  </si>
  <si>
    <t>Soils are well-known as the essential part of the landscape and their features are mainly controlled by the landforms on which they are formed. The main objective of this study is to set the correlation between soils and physiography for the area extended from Biba and Bani Mazar districts, west of the river Nile. The landforms of the study area were delineated by using the digital elevation model, Landsat ETM+ and ground truth data. The produced map was imported into a Geo-database as a base map. The data extracted from satellite images and digital elevation model indicated that the area under investigation includes three main physiography units i.e. flood plain, desert plain, and the interference zone. The main soil sets in the studied area were identified using the American Soil Taxonomy. Then, the soil map of the studied area were produced depend on the correlation between landforms and soils, using Arc-GIS 9.3 software. The results indicate that the soils of the study area represent a high correlation with associated landforms.</t>
  </si>
  <si>
    <t>2-s2.0-84875623936"</t>
  </si>
  <si>
    <t>10.1016/j.tecto.2012.08.009</t>
  </si>
  <si>
    <t>https://www.scopus.com/inward/record.uri?eid=2-s2.0-84868612036&amp;doi=10.1016%2fj.tecto.2012.08.009&amp;partnerID=40&amp;md5=f10c7c5f91b21282174c6ab01cb2944e</t>
  </si>
  <si>
    <t>Anthropogenic ground subsidence due to massive pumping of groundwater is one of the severe environmental hazards in Taiwan. The Yunlin County located in the southwestern coastal region of Taiwan is one of the most counties with serious land subsidence because of the agricultural needs. In certain areas of the region, the subsidence rate reaches as much as 14.3. cm/yr. The severe land subsidence gives rise to the risk of flood hazard and damage of infrastructures in this area. We represented a Persistent Scatterers InSAR (PSInSAR) results deduced from 1996 to 1999 time span for monitoring of land subsidence in this area. The PSInSAR results show that Baojhou, Tuku and Yuanchang Townships reveal a maximum subsidence rate of about 7.8. cm/yr along the LOS and Lunbei Township located on the northern Yunlin reveals a subsidence rate of 3.5. cm/yr, which is quite coincident with the precise leveling result. This result has proven that the effective reduction of labor and cost could be achieved by using this technique on monitoring land subsidence in Yunlin County. © 2012 Elsevier B.V.</t>
  </si>
  <si>
    <t>2-s2.0-84868612036"</t>
  </si>
  <si>
    <t>10.1016/j.ecoleng.2012.08.019</t>
  </si>
  <si>
    <t>https://www.scopus.com/inward/record.uri?eid=2-s2.0-84884589308&amp;doi=10.1016%2fj.ecoleng.2012.08.019&amp;partnerID=40&amp;md5=fbd672b61fec7cc77de6674ce7986a9f</t>
  </si>
  <si>
    <t>Greenhouse and field trials were conducted to determine the salinity limits for main vegetation types in Cienega de Santa Clara, an oligohaline marsh in the delta of the Colorado River in Mexico. The Cienega is the largest brackish marsh in the Sonoran Desert and supports numerous bird, mammal and invertebrate species, including threatened or endangered marsh birds. It is supported by brackish agricultural return flows from the USA and Mexico, and operation of the Yuma Desalting Plant (YDP) could reduce the volume and increase the salinity of inflows. Current inflows average 4m3s-1 at 2.8gL-1 Total Dissolved Solids (TDS), and the dominant vegetation type is Typha domingensis, with subdominant stands of Schoenoplectus americanus and other emergent species distributed amidst the Typha stands. A greenhouse experiment showed that under flooded-soil conditions, T. domingensis had a linear reduction in relative growth rate based on biomass production (RGRBiomass) with salinity, with zero RGRBiomass at 8.3gL-1 TDS and a 50% reduction at 4.0gL-1 TDS. S. americanus was about twice as salt-tolerant, with zero RGRBiomass at 12.5gL-1 TDS and 50% RGRBiomass at 9gL-1 TDS. The results are consistent with other studies that show a mean reduction in RGRBiomass of 13.3% per g L-1 TDS for Typha spp. and 4.3% per g L-1 TDS for Schoenoplectus spp. Field surveys showed that T. domingensis stands were restricted to salinities of 6.5gL-1 TDS or less, and that annual biomass production was reduced by 85% in a stand at 5.9gL-1 TDS compared to a stand at 3.0gL-1 TDS. Normalized Difference Vegetation Index (NDVI) values of T. domingensis stands from satellite imagery showed a linear decline with increasing salinity in the marsh. It was concluded that 6gL-1 TDS is the approximate upper limit for vigorous stands of T. domingensis, and that replacement by S. americanus is a possibility if salinities increase. Implications for marsh vegetation structure and habitat value are discussed under different possible operating scenarios for the YDP. © 2012 Elsevier B.V.</t>
  </si>
  <si>
    <t>2-s2.0-84884589308"</t>
  </si>
  <si>
    <t>10.2166/wcc.2012.019</t>
  </si>
  <si>
    <t>https://www.scopus.com/inward/record.uri?eid=2-s2.0-84864080809&amp;doi=10.2166%2fwcc.2012.019&amp;partnerID=40&amp;md5=a1239ac98d1332175d2a63b194536646</t>
  </si>
  <si>
    <t>With prevailing changes in climate and increasing population, small drinking water systems in the climate-vulnerable parts of the world have already exhibited and left traces of prominent unpredictability of water availability, in terms of both water quantity and water quality. Dimensions of climate change, such as large variability in precipitation pattern, rise in temperature and associated increase in evaporation rates, as well as their consequences, are surely going to affect the unsophisticated, small drinking water systems which are serving mass populations in South Asia and many other parts of the world. This research paper aims to analyze the possible extents of vulnerability of some selected small drinking water systems currently being operated in the coastal areas of Bangladesh as a result of the predicted changes in climatic parameters such as temperature, precipitation and evaporation along with sea level rise and extreme events such as cyclones. However, to examine possible future climate change scenarios, four Global Climate Models have been applied in developing projections of different climatic parameters for Bangladesh. Based on the projections of climate models and associated key vulnerabilities being assessed, this paper features the evaluation of potential technological resilience of specific small drinking water systems from the Bangladesh perspective. © WSSTP 2012 Journal of Water and Climate Change.</t>
  </si>
  <si>
    <t>2-s2.0-84864080809"</t>
  </si>
  <si>
    <t>10.5194/os-8-211-2012</t>
  </si>
  <si>
    <t>https://www.scopus.com/inward/record.uri?eid=2-s2.0-84859345044&amp;doi=10.5194%2fos-8-211-2012&amp;partnerID=40&amp;md5=5b3c48b7f249ba00656db9845de3b503</t>
  </si>
  <si>
    <t>ENSURF (Ensemble SURge Forecast) is a multi-model application for sea level forecast that makes use of several storm surge or circulation models and near-real time tide gauge data in the region, with the following main goals: 1. providing easy access to existing forecasts, as well as to its performance and model validation, by means of an adequate visualization tool</t>
  </si>
  <si>
    <t>10.1007/s10584-012-0402-z</t>
  </si>
  <si>
    <t>https://www.scopus.com/inward/record.uri?eid=2-s2.0-84862141425&amp;doi=10.1007%2fs10584-012-0402-z&amp;partnerID=40&amp;md5=1ce559ef3b915f55143921ffe55df182</t>
  </si>
  <si>
    <t>The morphodynamic response of large tidal inlet/basin systems to future relative sea level rise (RSLR), incorporating both Eustatic sea level rise and local land subsidence effects, is qualitatively investigated using the state-of-the-art Delft3D numerical model and the Realistic analogue modelling philosophy. The modelling approach is implemented on a highly schematised morphology representing a typical large inlet/basin system located on the Dutch Wadden Sea (Ameland Inlet) over a 110-year study period. Three different RSLR Scenarios are considered: (a) No RSLR, (b) IPCC lower sea level rise (SLR) projection (0. 2 m SLR by 2100 compared to 1990) and land subsidence, and (c) IPCC higher SLR projection (0. 7 m SLR by 2100 compared to 1990) and land subsidence. Model results indicate that, for the 110-year study duration, the existing flood dominance of the system will increase with increasing rates of RSLR causing the ebb-tidal delta to erode and the basin to accrete. The rates of erosion/accretion are positively correlated with the rate of RSLR. Under the No RSLR condition, the tidal flats continue to develop while under the high RSLR scenario tidal flats eventually drown, implying that under this condition the system may degenerate into a tidal lagoon within the next 110 years. The tidal flats are stable under the low RSLR scenario implying that, at least for the next 100 years, this may be the critical RSLR condition for the maintenance of the system. Essentially the results of this study indicate that, as the Eustatic SLR is likely to be greater than the apparently critical rise of 0. 2 m (by 2100 compared to 1990), the tidal flats in these systems will at least diminish. In the worst, but not unlikely, scenario that the Eustatic SLR is as high as the IPCC higher projections (0. 7 m by 2100), the tidal flats may completely disappear. In either case, the associated environmental and socio-economic impacts will be massive. Therefore, more research focusing on the quantification of the physical and socio-economic impacts of RSLR on these systems is urgently needed to enable the development of effective and timely adaptation strategies. © 2012 Springer Science+Business Media B.V.</t>
  </si>
  <si>
    <t>2-s2.0-84862141425"</t>
  </si>
  <si>
    <t>10.1007/s11852-010-0104-5</t>
  </si>
  <si>
    <t>https://www.scopus.com/inward/record.uri?eid=2-s2.0-84860613921&amp;doi=10.1007%2fs11852-010-0104-5&amp;partnerID=40&amp;md5=caa37a5b05c4ebe76743a0b994bc9913</t>
  </si>
  <si>
    <t>The human history of coastal regions around the world has been under assault for decades, from forces that include dam building, coastal modifications, the destruction of wetlands, marine erosion, population growth and rampant development, looting, and other processes. Global warming will exacerbate the destruction of cultural resources in coastal zones through accelerated sea level rise, intensified storm cycles, and related coastal erosion. Although average global sea levels have been rising for ~20,000 years, they slowed dramatically about 7,000 years ago. Rates of sea level rise now appear to be increasing rapidly due to growing anthropogenic emissions of carbon dioxide and other greenhouse gases. Global warming and rising seas, especially when combined with population growth and the implementation of measures designed to protect endangered coastal properties, threaten the deep maritime history of human migrations, settlement, and adaptations in coastal areas around the world. Ranging in age from the mid-Pleistocene to recent historic times, coastal archaeological sites contain invaluable data on ancient coastal societies, fisheries, and ecosystems. Archaeologists, historians, and other cultural resource managers must do more to anticipate, evaluate, and mitigate the effects of global warming, sea level rise, and coastal erosion on the long history of human maritime cultures. © 2010 Springer Science+Business Media B.V.</t>
  </si>
  <si>
    <t>2-s2.0-84860613921"</t>
  </si>
  <si>
    <t>10.1007/s10584-011-0340-1</t>
  </si>
  <si>
    <t>https://www.scopus.com/inward/record.uri?eid=2-s2.0-84859264874&amp;doi=10.1007%2fs10584-011-0340-1&amp;partnerID=40&amp;md5=77bf1c46dfe005ee2c621b09f72a3070</t>
  </si>
  <si>
    <t>This paper uses two models to examine the direct and indirect costs of sea-level rise for Europe for a range of sea-level rise scenarios for the 2020s and 2080s: (1) the DIVA model to estimate the physical impacts of sea-level rise and the direct economic cost, including adaptation, and (2) the GTAP-EF model to assess the indirect economic implications. Without adaptation, impacts are quite significant with a large land loss and increase in the incidence of coastal flooding. By the end of the century Malta has the largest relative land loss at 12% of its total surface area, followed by Greece at 3.5% land loss. Economic losses are however larger in Poland and Germany ($483 and $391 million, respectively). Coastal protection is very effective in reducing these impacts and optimally undertaken leads to protection levels that are higher than 85% in the majority of European states. While the direct economic impact of sea-level rise is always negative, the final impact on countries' economic performances estimated with the GTAP-EF model may be positive or negative. This is because factor substitution, international trade, and changes in investment patterns interact with possible positive implications. The policy insights are (1) while sea-level rise has negative and huge direct economic effects, overall effects on GDP are quite small (max -0.046% in Poland)</t>
  </si>
  <si>
    <t>10.1007/s11852-010-0105-4</t>
  </si>
  <si>
    <t>https://www.scopus.com/inward/record.uri?eid=2-s2.0-84865487165&amp;doi=10.1007%2fs11852-010-0105-4&amp;partnerID=40&amp;md5=3b77ad655ca94398c791fa15398b0eae</t>
  </si>
  <si>
    <t>Traditionally the coastal zone of the easternmost (Russian) part of the Gulf of Finland has not been considered as an area of active litho- and morphodynamics, but a recent study has shown that the easternmost part of the coastal zone suffers from erosion. Within some coastal segments the shoreline recession rate reaches 2 - 2. 5 m/year. As well as determining the hydrodynamic reasons for recent erosion acceleration, important geological and geomorphic features of coastal zone which influenced the lithodynamics were established. The Kurortny District of St. Petersburg is located along the northern coast of the Gulf of Finland to the west of the St. Petersburg Flood Protection Facility. It has special importance as a unique recreation zone of the North-West of Russia. Coastal erosion is one of the most serious problems of the area. The analysis of historical materials, archive aerial photographs and modern high-resolution satellite images have shown that advancing parts of coast are almost non-existant with most sections of the coast being eroded and further retreating. Field monitoring between 2004 and 2007 showed intense damage to sandy beaches during autumn and winter storms and progressive erosion of the dunes system. Among the most important natural reasons for the erosion processes are that the coastline is open to storm waves induced by westerly and south-westerly winds, the geological structure of coastal area (easily eroded Quaternary deposits) and a sediment deficit. In some areas sediment loss was the result of the submarine coastal slope morphology (a steep slope of a narrow submarine terrace within the area of sediment drift discharge), with erosion of an alongshore submarine sandy terrace and erosion runnels at the depth 8-12 m. The situation becomes worse due to anthropogenic impact. The southern coastal zone dynamics are also very active. According to an aerial and satellite photos analysis from 1975-1976 to 1989-1990, sandy beaches to the west of Lebyazhye village were eroded up to 30 m, and near Bolshaya Izora village up to 70 m. The comparison of coastine GPSsurvey with old nautical and topographic charts published in the 1980s shows the considerable change. © 2010 Springer Science+Business Media B.V.</t>
  </si>
  <si>
    <t>2-s2.0-84865487165"</t>
  </si>
  <si>
    <t>10.2112/JCOASTRES-D-12A-00002.1</t>
  </si>
  <si>
    <t>https://www.scopus.com/inward/record.uri?eid=2-s2.0-84864183366&amp;doi=10.2112%2fJCOASTRES-D-12A-00002.1&amp;partnerID=40&amp;md5=6a4639dca2650e22f32309ed3a483aa4</t>
  </si>
  <si>
    <t>Tsunamis in the eastern Mediterranean and Red Seas, induced by earthquakes and/or volcanic activity, pose potential hazards to shipping and fixed harbor infrastructure within the Suez Canal. Potential vulnerabilities of the Suez Canal to possible tsunami impacts are reviewed by reference to geological, historical, archeoseismological, and anecdotal data. Tsunami catalogues and databases compiled by earlier researchers are perused to estimate potential return periods for tsunami events that could directly affect the Suez Canal and operational infrastructures. Analysis of these various records indicates a centurial return period, or multiples thereof, for long-wave repetition that could generally impact the Nile Delta, whereas numerical models indicate a multidecadal frequency. It is estimated that tsunami waves 2 m high would begin to break about 4 to 10 km down-canal, whereas a 10-m wave break would occur about 0.5 to 3 km into the Canal. © 2012 Coastal Education &amp; Research Foundation.</t>
  </si>
  <si>
    <t>2-s2.0-84864183366"</t>
  </si>
  <si>
    <t>10.1109/JSTARS.2012.2199468</t>
  </si>
  <si>
    <t>https://www.scopus.com/inward/record.uri?eid=2-s2.0-84863514729&amp;doi=10.1109%2fJSTARS.2012.2199468&amp;partnerID=40&amp;md5=3cd241d4b4684be1e04969158f1c64b5</t>
  </si>
  <si>
    <t>Tsunami propagation in shallow water zone is often modeled by the shallow water equations (also called Saint-Venant equations) that are derived from conservation of mass and conservation of momentum equations. Adding friction slope to the conservation of momentum equations enables the system to simulate the propagation over the coastal area. This means the system is also able to estimate inundation zone caused by the tsunami. Applying Neumann boundary condition and Hansen numerical filter bring more interesting complexities into the system. We solve the system using the two-step finite-difference MacCormack scheme which is potentially parallelizable. In this paper, we discuss the parallel implementation of the MacCormack scheme for the shallow water equations in modern graphics processing unit (GPU) architecture using NVIDIA CUDA technology. On a single Fermi-generation NVIDIA GPU C2050, we achieved 223x speedup with the result output at each time step over the original C code compiled with -O3 optimization flag. If the experiment only outputs the final time step result to the host, our CUDA implementation achieved around 818x speedup over its single-threaded CPU counterpart. © 2012 IEEE.</t>
  </si>
  <si>
    <t>2-s2.0-84863514729"</t>
  </si>
  <si>
    <t>10.1016/j.jhydrol.2012.05.063</t>
  </si>
  <si>
    <t>https://www.scopus.com/inward/record.uri?eid=2-s2.0-84863881624&amp;doi=10.1016%2fj.jhydrol.2012.05.063&amp;partnerID=40&amp;md5=8a62574bcd7949155abc4bfe2670d263</t>
  </si>
  <si>
    <t>The climate scenarios of the IPCC suggest that adaptation to future climate change will be required. The North Sea Region, a marginal sea of the Atlantic Ocean between Great Britain, Scandinavia, Germany, the Netherlands and Belgium, is particularly affected due to rising sea level and a changing water balance. Water management plays a key role in sustainable management of natural and societal resources. This paper presents a participatory study of community approaches to regional adaptation to climate change. Water management adaptation options to regional climate induced changes until 2050 were developed together with stakeholders for the Wesermarsch County (Northern Germany). Available information on expected regional climate change and a modelling study on hydrological change suggested that adaptation of water management will be required until 2050. A regional stakeholder forum formulated a vision on how the Wesermarsch should look like in 2050. Following the holistic approach of collaborative planning, two stakeholder groups developed an adaptation portfolio on how urban and rural areas could adapt their water management to cope with the expected changes. Since most of the stakeholders do not want the county to undergo significant changes in terms of landscape and land use, they proposed technical measures to enforce flood protection and enhance the performance of the existing water management system. Adaptation in terms of land use change was not proposed although information on comparable examples from similar regions was available. To justify the proposed adaptation options, available information on expected climate change impacts was used selectively. Uncertainty in model projections was partly ignored to legitimate suggesting inflexible (technical) adaptation measures. However, collaborative planning proved to be helpful for a joint adaptation to climate change at the regional scale. Stakeholders as well as scientists took active part in the participatory learning process as required by EU directives. © 2012 Elsevier B.V.</t>
  </si>
  <si>
    <t>2-s2.0-84863881624"</t>
  </si>
  <si>
    <t>10.1029/2012GL051959</t>
  </si>
  <si>
    <t>https://www.scopus.com/inward/record.uri?eid=2-s2.0-84862170544&amp;doi=10.1029%2f2012GL051959&amp;partnerID=40&amp;md5=a7d5afdf0b56d187ce4aa10fe47661f0</t>
  </si>
  <si>
    <t>Wave breaking across the surf zone elevates the mean water level at the shoreline (setup), and drives fluctuations about the mean (runup). Runup often is divided into sea-swell (0.04-0.3 Hz) and lower frequency infragravity (0.00-0.04 Hz) components. With energetic incident waves, runup is dominated by infragravity frequencies, and total water levels (combined setup and runup) can exceed 3m, significantly contributing to coastal flooding and erosion. Setup and runup observations on sandy beaches are scattered about empirical parameterizations based on near-shoreline beach slope and deep water wave height and wavelength. Accurate parameterizations are needed to determine flooding and erosion risk to coastal ecosystems and communities. Here, numerical simulations with the Boussinesq wave model funwaveC are shown to statistically reproduce typical empirical setup and runup parameterizations. Furthermore, the model infragravity runup Rs(ig) strongly depends on the incident wave directional and frequency spread (about the mean direction and peak frequency). Realistic directional spread variations change Rs (ig) equivalent to a factor of two variation in incident wave height. The modeled Rs(ig) is shown to vary systematically with a new, non-dimensional spreading parameter that involves peak frequency, frequency spread, and directional spread. This suggests a new parameterization for Rs(ig) potentially useful to predict coastal flooding and erosion. © 2012. American Geophysical Union. All Rights Reserved.</t>
  </si>
  <si>
    <t>2-s2.0-84862170544"</t>
  </si>
  <si>
    <t>https://www.scopus.com/inward/record.uri?eid=2-s2.0-84861989696&amp;partnerID=40&amp;md5=9bd950c87c6ad4692946a73ba321c91a</t>
  </si>
  <si>
    <t>The longest sea level records kept in the western hemisphere are those from measuring stations in Key West, FL, the southernmost tip of the US. The records date to 1846 and, despite several multiyear gaps in information, show a long-term trend of sea level rise of about 2 millimeters per year in the area. The South Florida Regional Planning Council has combined efforts with the four-county Treasure Coast Regional Planning Council to the north along the state's east coast to join other government, private, and not-for-profit groups in an organization called the Southeast Florida Regional Partnership. The evaluations could include such factors as planning and zoning, construction in the erosion-prone areas, and possible buyout of homes and other structures in high-risk areas. For use in wetland restoration projects, the Delta unit has unlined front compartments, alternately rectangular and triangular. The geotextile-lined rear section accommodates more economical fill, such as earth or sand, to allow planting.</t>
  </si>
  <si>
    <t>2-s2.0-84861989696"</t>
  </si>
  <si>
    <t>Chinese Science Bulletin</t>
  </si>
  <si>
    <t>10.1007/s11434-012-4993-6</t>
  </si>
  <si>
    <t>https://www.scopus.com/inward/record.uri?eid=2-s2.0-84862829868&amp;doi=10.1007%2fs11434-012-4993-6&amp;partnerID=40&amp;md5=c99237467cfbf064382ee256bb829bfb</t>
  </si>
  <si>
    <t>A tidal bore is a unique Earth surface process, characterized by its highly destructive energy, predictable periodicities and magnitudes, and the production of characteristic sedimentary features. Tidal bores and associated rapid flood flows are highly turbulent flows of the upper-flow regime with a velocity over several meters per second. Reynolds (R e) and Froude (F r) numbers, respectively, are larger than 10 4 and 1.0, making them significantly different from regular tidal flows but analogous to turbidity currents. Until now, understanding of tidal-bore depositional processes and products has been limited because of the difficulty and hazards involved with gauging tidal bores directly. The Qiantang bore is known as the largest breaking bore in the world. Field surveys were carried out in May 2010, along the north bank of the Qiantang Estuary to observe the occurrence of peak bores, including regular observations of current, water level and turbidity at the main channel. Several short cores were sampled on the intertidal flats to study the characteristic sedimentary features of tidal bores. Hydrodynamic and sedimentological studies show that the processes of sediment resuspension, transport and deposition are controlled primarily by the tidal bores, and the subsequent abruptly accelerated and decelerated flood flows, which only account for one tenth of each semidiurnal tidal cycle in the estuary. Tidal-bore deposits are generally poorly sorted because of rapid sedimentation after highly mixed suspension by intense turbulence. This behavior is characteristic of the absence of tractive-current depositional components in a C-M diagram. It also goes along with well-developed massive bedding, graded bedding, basal erosion structures, convolute bedding and dewatering structures. Together, these sedimentary features can constitute fingerprinting of turbidites, widely distributed in the deep-water environment. However, a tidal bore is triggered by intensely deformed tidal waves propagating into a shallow-water environment, which returns to regular tidal flows rapidly after the passage of the bore head. The tidal-bore deposits are usually bounded by the intertidal-flat deposits with typical tidal beddings at the top and on both flanks. The difference between tidal-bore deposits (TBD) and tidal sandy/muddy deposits (TSD/TMD) is evident not only in sedimentary structures, but also in the grain-size composition. They can be clearly distinguished in grain-size bivariate plots, typically the plot of mean grain size vs. standard deviation (or sorting). Some trend variations generally exist in mean grain size with TBD&gt;TSD&gt;TMD, sorting with TMD&gt;TBD&gt;TSD (larger value indicating poorer sorting), and both skewness and kurtosis with TSD&gt;TBD&gt;TMD. These findings will undoubtedly shed new light on our understanding of tidal-bore sedimentology, ancient tidal-bore sedimentary facies and environments, and related oil-and-gas field prospecting. © 2012 The Author(s).</t>
  </si>
  <si>
    <t>2-s2.0-84862829868"</t>
  </si>
  <si>
    <t>10.1007/s11629-012-2148-5</t>
  </si>
  <si>
    <t>https://www.scopus.com/inward/record.uri?eid=2-s2.0-84858683801&amp;doi=10.1007%2fs11629-012-2148-5&amp;partnerID=40&amp;md5=9ffcbaa63e12acf98b98485f8f0320d0</t>
  </si>
  <si>
    <t>The precision modeling of dam break floods can lead to formulation of proper emergency action plan to minimize flood impacts within the economic lifetime of the assets. Application of GIS techniques in integration with hydrological modeling for mapping of the flood inundated areas can play a momentous role in further minimizing the risk and likely damages. In the present study, dam break analysis using DAMBRK model was performed under various likely scenarios. Probable Maximum Flood (PMF) calculated for a return period of 1000 years using deterministic approach was adopted for dam break analysis of the proposed dam under various combinations of breach dimensions. The available downstream river cross-sections data sets were used as input in the model to generate the downstream flood profile. Dam break flow depths generated by the DAMBRK model under various combinations of structural failure are subsequently plotted on Digital Elevation Model (DEM) of the downstream of dam site to map the likely affected area. The simulation results reveals that in one particular case the flood without dam may be more intense if a rainfall of significant intensity takes place. © 2012 Science Press, Institute of Mountain Hazards and Environment, CAS and Springer-Verlag Berlin Heidelberg.</t>
  </si>
  <si>
    <t>2-s2.0-84858683801"</t>
  </si>
  <si>
    <t>10.1029/2011GC003976</t>
  </si>
  <si>
    <t>https://www.scopus.com/inward/record.uri?eid=2-s2.0-84859372947&amp;doi=10.1029%2f2011GC003976&amp;partnerID=40&amp;md5=6bcd5994fae790237a33f8350975f42a</t>
  </si>
  <si>
    <t>Coastal regions are increasingly affected by larger storms and rising sea level predicted by global warming models, aggravating the situation in the city of Venice where tidal-induced seasonal flooding coupled with natural and anthropogenic subsidence have been perennial problems. In light of accelerated efforts to protect Venice from the rise in sea level we assess land subsidence in the Venice Lagoon over the last decade. Through a combined analysis of GPS position time series from 2001.55 to 2011.00 for four stations installed by the Magistrato alle Acque di Venezia and thousands of observations of InSAR permanent scatterers using RADARSAT-1 images from 2003.3 to 2007.85, we determine that the northern lagoon subsides at a rate of 2-3 mm/yr, whereas the southern lagoon subsides at 3-4 mm/yr. The city of Venice continues to subside, at a rate of 1-2 mm/yr, in contrast to geodetic studies in the last decade of the 20th Century suggesting that subsidence has been stabilized. The GPS results indicate a general eastward tilt in subsidence and that the natural subsidence rate related to the retreat of the Adriatic plate subducting beneath the Apennines is at least 0.4-0.6 mm/yr. Our combined GPS and InSAR analysis demonstrates high spatial resolution in the vertical direction with a precision of 0.1-0.2 mm/yr with respect to a global reference frame. Continued efforts to secure the city of Venice from flooding must also take into account the significant local and regional subsidence rates as well as the expected rise in sea level. Copyright 2012 by the American Geophysical Union.</t>
  </si>
  <si>
    <t>2-s2.0-84859372947"</t>
  </si>
  <si>
    <t>10.1016/j.ecoleng.2012.04.030</t>
  </si>
  <si>
    <t>https://www.scopus.com/inward/record.uri?eid=2-s2.0-84864038717&amp;doi=10.1016%2fj.ecoleng.2012.04.030&amp;partnerID=40&amp;md5=b30a1bb5413c4444a7c11615a1052d2c</t>
  </si>
  <si>
    <t>Increasing coastal urbanisation has replaced many natural shorelines with seawalls or revetments. These often have piles of boulders deployed at their bases as protection from wave surge. The effect of the rock-type on the structure and diversity of assemblages that develop on these boulders has received little attention, although engineers frequently choose to deploy durable boulders, which may not be of the same material as the natural rock-type of the area. We examined assemblages in natural (sandstone) and artificially created (basalt) boulder-fields in Sydney Harbour (Australia). Preliminary mensurative sampling showed that several sessile taxa differed between basalt and sandstone boulder-fields. The boulder-fields were, however, located in different parts of the harbour and thus were spatially confounded. Therefore an experiment was done to test whether recruitment of these species was affected by rock-type, the locations of the boulder-fields or both. Quarried basalt and sandstone boulders, with no pre-existing biota, were deployed in boulder-fields of each rock-type and assemblages were sampled over time. Assemblage structure and recruitment were extremely variable at different times and locations, but there were consistently more barnacles on basalt boulders and more foliose algae on sandstone boulders. The effects of rock-type on the development of intertidal assemblages are complex and, with the exception of some taxa, context dependent. With increased interest in sustaining natural biodiversity within modified and built habitats, it is important to consider the material used when constructing artificial boulder-fields to protect coastal infrastructure. © 2012 Elsevier B.V..</t>
  </si>
  <si>
    <t>2-s2.0-84864038717"</t>
  </si>
  <si>
    <t>10.5194/nhess-12-2103-2012</t>
  </si>
  <si>
    <t>https://www.scopus.com/inward/record.uri?eid=2-s2.0-84863658145&amp;doi=10.5194%2fnhess-12-2103-2012&amp;partnerID=40&amp;md5=814f47c6a7a38ee4e3b62787ae70fe19</t>
  </si>
  <si>
    <t>Recent tsunami disasters, such as the 2004 Indian Ocean tsunami or the 2011 Japan earthquake and tsunami, have highlighted the need for effective risk management. Remote sensing is a relatively new method for risk analysis, which shows significant potential in conducting spatially explicit risk and vulnerability assessments. In order to explore and discuss the potential and limitations of remote sensing techniques, this paper presents a case study from the tsunami-affected Andaman Sea coast of Thailand. It focuses on a local assessment of tsunami hazard and vulnerability, including the socio-economic and ecological components. High resolution optical data, including IKONOS data and aerial imagery (MFC-3 camera) as well as different digital elevation models, were employed to create basic geo-data including land use and land cover (LULC), building polygons and topographic data sets and to provide input data for the hazard and vulnerability assessment. Results show that the main potential of applying remote sensing techniques and data derives from a synergistic combination with other types of data. In the case of hazard analysis, detailed LULC information and the correction of digital surface models (DSMs) significantly improved the results of inundation modeling. The vulnerability assessment showed that remote sensing can be used to spatially extrapolate field data on socio-economic or ecological vulnerability collected in the field, to regionalize exposure elements and assets and to predict vulnerable areas. Limitations and inaccuracies became evident regarding the assessment of ecological resilience and the statistical prediction of vulnerability components, based on variables derived from remote sensing data. © 2012 Author(s).</t>
  </si>
  <si>
    <t>2-s2.0-84863658145"</t>
  </si>
  <si>
    <t>10.1080/01431161.2012.700421</t>
  </si>
  <si>
    <t>https://www.scopus.com/inward/record.uri?eid=2-s2.0-84873171219&amp;doi=10.1080%2f01431161.2012.700421&amp;partnerID=40&amp;md5=98afe5dc2ebb86581e6dada2caf7f898</t>
  </si>
  <si>
    <t>During recent years, synthetic aperture radar (SAR) data have been increasingly used for flood mapping. New radar satellites especially, such as TerraSAR-X, Radarsat-2 and COSMO-SkyMed, provide high-resolution data with high potential for fast and reliable detection of inundated areas. This article compares three simple approaches to derive water areas from SAR data in relation to the German–Vietnamese project, Water-related Information System for the Sustainable Development of the Mekong Delta (WISDOM). Two methods are pixel based and use histogram-based grey-level thresholds, as well as a homogeneity criterion for classification. The third approach is object based and applies characteristic attributes of water objects such as grey value, texture and relations to neighbouring objects. Further discussed are the influence of a variation of the thresholds and the challenges to validate water masks derived from active remote-sensing data.We implemented one of the introduced approaches for surface water derivation in a water mask processor for automatic water mask calculation from radar satellite imagery (WaMaPro). This fully automatic processing chain was developed to process TerraSAR-X and Environmental Satellite Advanced Synthetic Aperture Radar (ENVISAT ASAR) imagery in order to meet the demands for automatic flood monitoring. © 2012 Taylor &amp; Francis.</t>
  </si>
  <si>
    <t>2-s2.0-84873171219"</t>
  </si>
  <si>
    <t>10.1016/j.envsoft.2011.11.008</t>
  </si>
  <si>
    <t>https://www.scopus.com/inward/record.uri?eid=2-s2.0-84855191369&amp;doi=10.1016%2fj.envsoft.2011.11.008&amp;partnerID=40&amp;md5=19e7a843f1ce82bc9790839a9e630a6c</t>
  </si>
  <si>
    <t>Observed data of coastal inundation are very rare, yet are essential for testing the performance of simulation models for this significant natural hazard. In this paper we therefore examine the extent to which observed data can constrain predictions of a typical flood inundation model for a coastal flood event that affected the Somerset Levels in the UK on 13th December 1981. In doing so, a detailed reconstruction is made of the flooding that occurred along a 20km stretch of the North Somerset coast, potentially providing a benchmark data set for comparative model analysis. Information on the extent of flooding was gathered from photographs taken on the day following the storm ('hard' or quantitative data), and contemporary newspaper reports and interviews with a number of people who had first hand experience of the storm and the consequent flooding ('soft' or qualitative data). Data on tidal levels and wave overtopping rates were collated from contemporary reports. Information on the topography of the study area and the configuration and heights of the sea defences at the time was determined from a variety of sources. Across the whole domain the model correctly predicted 85% of the flooded area</t>
  </si>
  <si>
    <t>10.1016/j.envsoft.2011.12.003</t>
  </si>
  <si>
    <t>https://www.scopus.com/inward/record.uri?eid=2-s2.0-84856399066&amp;doi=10.1016%2fj.envsoft.2011.12.003&amp;partnerID=40&amp;md5=fe2658c662a52d544088094b69f4b826</t>
  </si>
  <si>
    <t>An approach to generate river cross-sections from the Advanced Spaceborne Thermal Emission and Reflection Radiometer Global Digital Elevation Model (ASTER GDEM) is discussed. The low resolution and the inadequate vertical accuracy of such global data present difficulties in differentiating features of hydraulic importance, which necessitate pre-processing of the DEMs before they are used. A vertical bias correction carried out by comparison of elevation points with a high accuracy terrain model produces a considerable improvement to the cross-sections obtained. In a situation where there are some flow/stage measurements at either end of the river reach, an optimization routine combined with a conceptual flow routing method can provide an additional tool to identify the parameters of an equivalent river section. The extracted cross-sections were used in a 1D river modeling tool HEC-RAS/GeoRAS to simulate flooding on a part of the Tisza River, Hungary. Model results are encouraging and show good potential for using the suggested method in the areas of topographic data scarcity. © 2011 Elsevier Ltd.</t>
  </si>
  <si>
    <t>2-s2.0-84856399066"</t>
  </si>
  <si>
    <t>10.1002/rra.1524</t>
  </si>
  <si>
    <t>https://www.scopus.com/inward/record.uri?eid=2-s2.0-84855496318&amp;doi=10.1002%2frra.1524&amp;partnerID=40&amp;md5=a5412469e12ad4b8be27db2bf2556b8a</t>
  </si>
  <si>
    <t>Sustainable management of global water resources requires changing of dam operations to maintain river, floodplain and estuary ecosystems. Re-operating dams for ecological objectives must be evaluated rigorously because of the complexity of ecological responses to streamflow, uncertainty in the long-term and large-scale conservation impacts on freshwater ecosystems and the foregone environmental or social benefits from other uses of water. Prescribed releases at five demonstration sites in the Sustainable Rivers Project, a partnership between the US Army Corps of Engineers (Corps) and The Nature Conservancy to plan and implement environmental flow prescriptions at Corps dams nationwide, have been evaluated in terms of their immediate and direct ecological outcomes. Advancing dam re-operation as a freshwater conservation strategy at these and other sites will require additional evidence about longer-term and broader impacts on biodiversity and ecosystems. A pragmatic framework for monitoring and evaluating dam re-operation as a conservation strategy includes a balanced assessment of direct responses and long-term effects, institutional partnerships that can implement monitoring and evaluation at an ecosystem scale and improved reporting of scientific investigations to facilitate long-term monitoring and cross-site learning. © 2011 John Wiley &amp; Sons, Ltd.</t>
  </si>
  <si>
    <t>2-s2.0-84855496318"</t>
  </si>
  <si>
    <t>10.1007/s11852-012-0206-3</t>
  </si>
  <si>
    <t>https://www.scopus.com/inward/record.uri?eid=2-s2.0-84865456498&amp;doi=10.1007%2fs11852-012-0206-3&amp;partnerID=40&amp;md5=63902dd279a5f852c4ced182d0a976b2</t>
  </si>
  <si>
    <t>This article reports on the application of dasymetric mapping techniques to interpolate and disaggregate block group population counts to smaller areal units (i. e., tax parcels) and derive surface population models with more realistic representations of population distributions in our residential study area in Miami-Dade, Florida. Three methods of dasymetric interpolation were tested: (i) binary, (ii) three-class, and (iii) limiting variable. Our enhanced limiting variable approach introduced an adjustment factor for parcel vacancy rates in the dasymetric calculations, and applied dasymetric mapping techniques to disaggregate future population projections to the tax lot level of analysis. The limiting variable interpolation generated the lowest coefficient of variation (0.188), followed by the three-class interpolation (0.645). We also found that population densities vary substantially within land use classes of single family, medium density and high density classes, and these variations also highlighted the importance of incorporating vacancy rates when interpolating population counts to categorical land use data. Overall, the enhanced dasymetric mapping technique is particularly useful for examining the impact of sea-level rise as its derivatives are compatible with high resolution LiDAR and orthoimagery data. Coastal counties can also benefit from such high resolution surface population models to enhance the accuracy of hazard-related vulnerability assessments and to guide the development of relevant shore zone conservation and adaptation strategies. © 2012 Springer Science+Business Media B.V.</t>
  </si>
  <si>
    <t>2-s2.0-84865456498"</t>
  </si>
  <si>
    <t>10.1142/S1793431112500108</t>
  </si>
  <si>
    <t>https://www.scopus.com/inward/record.uri?eid=2-s2.0-84855991610&amp;doi=10.1142%2fS1793431112500108&amp;partnerID=40&amp;md5=ad3110cfa4448080420aa3a4949532ea</t>
  </si>
  <si>
    <t>In the Indian Ocean and the South China Sea, many hundreds of thousands of lives have been lost due to tsunami events, and almost half of the lives lost occurred following the 2004 Indian Ocean event. Potential tsunami case scenarios have been simulated in these regions by a number of researchers to calculate the hazard level. The hazard level is based on a variety of conditions, such as the tsunami height, the inundation area, and the arrival time. However, the current assessments of the hazard levels do not focus on the tsunami risk to a coastal population. This study proposes a new method to quantify the risk to the coastal population in the region that includes the Indian Ocean and the South China Sea. The method is simple and combines the use of readily available tsunami data, far-field tsunami simulation models to determine the regional risk and global population data. An earthquake-generated tsunami was simulated, following an earthquake that had a magnitude larger than 8.5 M w and occurred along a potential subduction zone. The 2004 Indian Ocean event seemed to be a ""worst case scenario""</t>
  </si>
  <si>
    <t>10.1007/s11069-011-9921-6</t>
  </si>
  <si>
    <t>https://www.scopus.com/inward/record.uri?eid=2-s2.0-84859493657&amp;doi=10.1007%2fs11069-011-9921-6&amp;partnerID=40&amp;md5=ec9e1f7beae81f0c1769727acfc106e9</t>
  </si>
  <si>
    <t>Dongting Lake is the second largest freshwater lake in China, and its water surface area varied very significantly during last decade. Remote sensing technology has more advantages in macro monitoring of lake water surface area than the traditional methods. In the paper, an integrated threshold method of water body extraction based on MODIS data is given, which synthesizes several factors, including vegetation index-NDVI, spectrum characters of water body, cloud and shadow, and the SRTM digital elevation information. With this method and 356 scenes MODIS 8-Day composite (MOD09Q1) image, water surface area of Dongting Lake was dynamically monitored from 2000 to 2009. The result shows that during 1 year, the water area variation in Dongting Lake area had a typical seasonal (monsoon) behavior, and during last decade, the water area decreased gradually and obviously. Based on variation monitoring, yearly max-submersion time index has been suggested to analyze flood hazard in study area. With the support of ArcGIS software, authors estimated the yearly submersion time of the Dongting Lake for each year separately and average submersion time from 2000 to 2009. The result shows 67. 46% of study area is being with high flood hazard. © Springer Science+Business Media B.V. 2011.</t>
  </si>
  <si>
    <t>2-s2.0-84859493657"</t>
  </si>
  <si>
    <t>10.1016/j.advwatres.2012.02.010</t>
  </si>
  <si>
    <t>https://www.scopus.com/inward/record.uri?eid=2-s2.0-84860525477&amp;doi=10.1016%2fj.advwatres.2012.02.010&amp;partnerID=40&amp;md5=d3864b976560a4fadd0d2408bd72f778</t>
  </si>
  <si>
    <t>The advent of airborne LIDAR sparked a renewed research drive in two-dimensional hydraulic modelling at the turn of the millennium due to its ability to rapidly generate accurate DEMs over wide areas. Terrestrial LIDAR applies the same principle but uses a mobile ground-based platform, allowing rapid collection of terrain data in urban areas at decimetric scale. Here we apply two computationally efficient hydraulic models to DEMs of a small urban test site in Alcester, UK, derived from terrestrial and airborne LIDAR data at 10. cm and 1. m scales. The first model, LISFLOOD-FP, is a 2D raster-based model employing a simplified formulation of the de St. Venant equations, whilst the second model, ISIS-FAST, employs a proprietary rapid flood spreading algorithm. The response of the models to changes in DEM resolution and data source are analysed and compared across two event scales. For the first time we show that a flood wave propagating across an urban domain responds to small scale topographic features, such as street kerbs and road surface camber, which are not represented in airborne data but which are resolved by the terrestrial laser scanner. Importantly these features are preserved even if the 10. cm terrestrial data are degraded to the 1. m scale of the airborne DEM. The results indicate that inclusion of these features improves the representation of hydraulic connectivity over the DEM, and hence flood risk estimation. LISFLOOD-FP is shown to be more robust to changes in DEM resolution than ISIS-FAST due to the momentum conservation inherent to the simplified shallow water formulation, but the reduced computational requirements of ISIS-FAST at 10. cm scale allow it to be used for ensemble simulations. The extra detail inherent in terrestrial laser scanning data is advantageous where accurate representation of surface features is required, with potential benefit to high asset-value flood risk analysis and future studies into coupled surface/sewer and pluvial urban inundation models. © 2012 Elsevier Ltd.</t>
  </si>
  <si>
    <t>2-s2.0-84860525477"</t>
  </si>
  <si>
    <t>10.1007/s11069-012-0151-3</t>
  </si>
  <si>
    <t>https://www.scopus.com/inward/record.uri?eid=2-s2.0-84864401584&amp;doi=10.1007%2fs11069-012-0151-3&amp;partnerID=40&amp;md5=06b4defd4b28e1d1fc3ae783f9bc5eae</t>
  </si>
  <si>
    <t>Although the elderly are commonly thought to be disproportionately vulnerable to natural hazards, the elderly populations of coastal communities are continuing to grow. Because there is little to no empirical hazards work specifically addressing the vulnerable elderly in coastal communities, this paper uses Sarasota County, Florida, as a case study to analyze how vulnerable the elderly are to hurricane hazards and whether all elderly people are equally vulnerable. To explore the spatial variations in degree and composition of vulnerability among this population, the analysis maps physical exposure to hurricane storm-surge inundation and precipitation-induced flooding and creates social vulnerability indices by applying principal components analysis to census block group data in a geographic information system. The results show that elderly inhabitants of barrier islands face a considerable physical threat from hurricane-induced storm surge and flooding but are less socially vulnerable because of their wealth</t>
  </si>
  <si>
    <t>10.1007/s11852-012-0180-9</t>
  </si>
  <si>
    <t>https://www.scopus.com/inward/record.uri?eid=2-s2.0-84863293995&amp;doi=10.1007%2fs11852-012-0180-9&amp;partnerID=40&amp;md5=bf06d4f327ca81467ec87c6779bae940</t>
  </si>
  <si>
    <t>Sea-level rise as a result of climate change increases inundation and erosion, which are affected by a complex interplay of physical environmental parameters at the coast. China's coast is vulnerable to accelerated sea-level rise and associated coastal flooding because of physical and socio-economical factors such as its low topography, highly developed economy, and highly dense population. To identify vulnerable sections of the coast, this paper presents a national assessment of the vulnerability of the Chinese coast using 8 physical variables: sea-level rise, coastal geomorphology, elevation, slope, shoreline erosion, land use, mean tide range, and mean wave height. A coastal vulnerability index was calculated by integrating the differentially weighted rank values of the 8 variables, based on which the coastline is segmented into 4 classes. The results show that 3% of the 18,000-km-long Chinese coast is very highly vulnerable, 29% is highly vulnerable, 58% is moderately vulnerable, and 10% is in the low-vulnerable class. Findings further reveal that large amounts of land and population will be vulnerable to inundation by coastal flooding from sea level rise and storm surge. Finally, some suggestions are presented for decision makers and other concerned stakeholders to develop appropriate coastal zone management and mitigation measures. © 2012 Springer Science+Business Media B.V.</t>
  </si>
  <si>
    <t>2-s2.0-84863293995"</t>
  </si>
  <si>
    <t>10.1007/s10584-011-0379-z</t>
  </si>
  <si>
    <t>https://www.scopus.com/inward/record.uri?eid=2-s2.0-84864277700&amp;doi=10.1007%2fs10584-011-0379-z&amp;partnerID=40&amp;md5=0e7b4e8a1394d6c7be1b9fc069fae070</t>
  </si>
  <si>
    <t>The development of successful coastal adaptation strategies for both the built and natural environments requires combining scenarios of climate change and socio-economic conditions, and risk assessment. Such planning needs to consider the adaptation costs and residual damages over time that may occur given a range of possible storm conditions for any given sea level rise scenario. Using the metric of the expected value of annual adaptation costs and residual damages, or another metric that can be related to the elevation of flooding, a simplified method to carry this out is presented. The approach relies upon developing damage-flooding depth probability exceedance curves for various scenarios over a given planning period and determining the areas under the curves. While the approach does have limitations, it is less complex to implement than using Monte Carlo simulation approaches and may be more intuitive to decision makers. A case study in Maine, USA is carried out to illustrate the method. © 2011 Springer Science+Business Media B.V.</t>
  </si>
  <si>
    <t>2-s2.0-84864277700"</t>
  </si>
  <si>
    <t>10.1080/02508060.2012.687511</t>
  </si>
  <si>
    <t>https://www.scopus.com/inward/record.uri?eid=2-s2.0-84862302402&amp;doi=10.1080%2f02508060.2012.687511&amp;partnerID=40&amp;md5=dd3180cb099e82995dd287ec7020966d</t>
  </si>
  <si>
    <t>Historical land-cover changes in three delta regions in Southeast Asia are assessed by using selected Landsat images from 1990 to 2005. Potential inundation areas of the delta regions for different return periods are estimated by using digital elevation model data and extreme-value distribution of annual maximum river discharges. The results indicate significant changes of natural land cover within the potential inundation areas due to agricultural exploitation and industrialization. Implications for flood-mitigation policies are discussed. There is a clear need for sustainable land-use management strategies in all three areas. © 2012 Copyright 2012 International Water Resources Association.</t>
  </si>
  <si>
    <t>2-s2.0-84862302402"</t>
  </si>
  <si>
    <t>10.1111/j.1477-8947.2012.001450.x</t>
  </si>
  <si>
    <t>https://www.scopus.com/inward/record.uri?eid=2-s2.0-84861465037&amp;doi=10.1111%2fj.1477-8947.2012.001450.x&amp;partnerID=40&amp;md5=daa78ce032f0ff0301b8c3c86bad77f4</t>
  </si>
  <si>
    <t>Fish is a major source of livelihood for the majority of people living around the Okavango Delta in northwestern Botswana. Gender dynamics and governance regimes determine differential access to, and control of, resources between women and men in the area. The purpose of this case study is to critically assess the embeddedness of gendered inequities in the governance of Okavango Delta fishery. Primary data was collected through focus group discussions and face-to-face interviews of 96 basket fishers from five villages along the Panhandle area of the Okavango River. The study found that past and present Okavango Delta fishery policy and programme interventions tended to entrench rather than minimize gendered disparities between women and men fishers' access to and control over fish resources, asset accumulation and employment opportunities. Basket fishers have intimate knowledge of flood variability, fish migration and habitat and use this knowledge to make decisions about when and where to harvest what fish species. Women fishers' ecological knowledge, interests and concerns however, have been excluded from current zoning and closed season regulations and co-management structures. The paper concludes that past and current development interventions as well as the regulatory framework continue to entrench pre-existing gender relations in the fishery sector which excludes, disempowers and marginalizes women fishers. We recommend innovative co-management and local based structures which recognize the diversity of interests and interest groups. © 2012 United Nations.</t>
  </si>
  <si>
    <t>2-s2.0-84861465037"</t>
  </si>
  <si>
    <t>International Journal of Sustainable Development and World Ecology</t>
  </si>
  <si>
    <t>10.1080/13504509.2011.650230</t>
  </si>
  <si>
    <t>https://www.scopus.com/inward/record.uri?eid=2-s2.0-84864832558&amp;doi=10.1080%2f13504509.2011.650230&amp;partnerID=40&amp;md5=50db070b691603af7b69b8931f8b4eec</t>
  </si>
  <si>
    <t>Scientific consensus shows that the changes related to climate change are already occurring and will intensify in the future. This will likely result in significant alterations to coastal ecosystems such as mangroves, increase coastal hazards and affect lifestyles of coastal communities. There is increasing speculation that mangrove, a socio-economically important ecosystem, will become more fragile and sensitive to uncertain climate variability such as sea level rise. As a result, mangrove-dependent societies may find themselves trapped in a downward spiral of ecological degradation in terms of their livelihoods and life security. Strengthening the resilience capacity of coastal communities to help them cope with this additional threat from climate change and to ensure sustainability calls for immediate action. In this context, this paper critically examines the regional implications of expected sea level rise and threats to mangrove-dependent communities through a case study approach. The main objective is to highlight the requirement for climate change communication and education to impart information that will fulfil three expectations: (1) confer understanding; (2) assess local inference on climate change through a participatory approach; and (3) construct a framework for climate change awareness among mangrove-dependent communities through community-based non-formal climate change education. This scale of approach is attracting increasing attention from policymakers to achieve climate change adaptation and derive policies from a social perspective.</t>
  </si>
  <si>
    <t>10.1007/s11069-012-0276-4</t>
  </si>
  <si>
    <t>https://www.scopus.com/inward/record.uri?eid=2-s2.0-84866022551&amp;doi=10.1007%2fs11069-012-0276-4&amp;partnerID=40&amp;md5=3a10c2ac8793700d2b8abf4e94711b16</t>
  </si>
  <si>
    <t>The study area is 56-km coastal zone of Chennai district of the Tamil Nadu state, southeast coast of India. The coastline, which includes tourist resorts, ports, hotels, fishing villages, and towns, has experienced threats from many disasters such as storms, cyclones, floods, tsunami, and erosion. This was one of the worst affected area during 2004 Indian Ocean tsunami and during 2008 Nisha cyclone. The present study aims to develop a Coastal Vulnerability Index for the Chennai coast using eight relative risk variables to know the high and low vulnerable areas, areas of inundation due to future SLR, and land loss due to coastal erosion. Both conventional and remotely sensed data were used and analyzed with the aid of the remote sensing and geographic information system tools. Zones of vulnerability to coastal natural hazards of different magnitude (high, medium, and low) are identified and shown on a map. Coastal regional elevation, near-shore bathymetry, and socio-economic conditions have been considered as additional important variables. This study revealed that 11. 01 km of the coastline has low vulnerability, 16. 66 km has medium vulnerability, and 27. 79 km is highly vulnerable in the study area, showing the majority of coastline is prone to erosion. The map prepared for the Chennai coast can be used by the state and district administration involved in the disaster mitigation and management plan and also as a tool in planning a new facility and for insurance purpose. © 2012 Springer Science+Business Media B.V.</t>
  </si>
  <si>
    <t>2-s2.0-84866022551"</t>
  </si>
  <si>
    <t>10.1007/s11852-012-0207-2</t>
  </si>
  <si>
    <t>https://www.scopus.com/inward/record.uri?eid=2-s2.0-84860619985&amp;doi=10.1007%2fs11852-012-0207-2&amp;partnerID=40&amp;md5=9c58da5ceeed6b951b8653f4208bf83f</t>
  </si>
  <si>
    <t>Archaeological investigations along the coastlines of Denmark and northern Germany have produced invaluable data concerning the Stone Age, and particularly our Mesolithic fishing, hunting and gathering ancestors. However, a number of different natural and human forces have partially or totally destroyed this important resource, particularly in other parts of North West Europe such as Britain and Ireland. What is more, further problems can be predicted as a consequence of climate change with possible rising sea levels and storm events. This paper considers the value of Mesolithic coastal archaeology, the threats posed to it, and the steps which are being taken to address these threats. The conclusion is that although research and policy is moving ahead, much more needs to be done in order to understand and preserve these sites before it is too late. © 2012 Springer Science+Business Media B.V.</t>
  </si>
  <si>
    <t>2-s2.0-84860619985"</t>
  </si>
  <si>
    <t>10.1016/j.ocemod.2012.02.005</t>
  </si>
  <si>
    <t>https://www.scopus.com/inward/record.uri?eid=2-s2.0-84859792879&amp;doi=10.1016%2fj.ocemod.2012.02.005&amp;partnerID=40&amp;md5=6e2e940375669ec0302012680365c706</t>
  </si>
  <si>
    <t>The response of Chesapeake Bay to forcing from two hurricanes is investigated using an unstructured-grid three-dimensional hydrodynamic model SELFE. The model domain includes Chesapeake Bay, its tributaries, and the extended continental shelf in the mid-Atlantic Bight. The hurricanes chosen for the study are Hurricane Floyd (1999) and Hurricane Isabel (2003), both of which made landfall within 100. km of the mouth of the Bay. The model results agree reasonably well with field observations of water level, velocity, and salinity. From the Bay's water level response to the hurricanes, it was found that the storm surge in the Bay has two distinct stages: an initial stage set up by the remote winds and the second stage - a primary surge induced by the local winds. For the initial stage, the rising of the coastal sea level was setup by the remote wind of both hurricanes similarly, but for the second stage, the responses to the two hurricanes' local winds are significantly different. Hurricane Floyd was followed by down-Bay winds that canceled the initial setup and caused a set-down from the upper Bay. Hurricane Isabel, on the other hand, was followed by up-Bay winds, which reinforced the initial setup and continued to rise up against the head of the Bay. From the perspective of volume and salt fluxes, it is evident that an oceanic saltwater influx is pushed into the Bay from the continental shelf by the remote wind fields in the initial stages of the storm surge for both Floyd and Isabel. In the second stage after the hurricane made landfall, the Bay's local wind plays a key role in modulating the salinity and velocity fields through vertical mixing and longitudinal salt transport. Controlled numerical experiments are conducted in order to identify and differentiate the roles played by the local wind in stratified and destratified conditions. Down-estuary local wind stress (of Hurricane Floyd-type) tends to enhance stratification under moderate winds, but exhibits an increasing-then-decreasing stage when the wind stress increases. The up-estuary local wind stress (of Hurricane Isabel-type) tends to penetrate deeper into the water column, which reduces stratification by reversing gravitational circulation. To characterize mixing conditions in the estuary, a modified horizontal Richardson number that incorporates wind stress, wind direction, horizontal salinity gradient, and vertical eddy viscosity is used for both hurricanes. Finally, the direct precipitation of rainfall into the Bay during Hurricane Floyd appears to create not only a thin surface layer of low salinity but also a seaward barotropic pressure gradient that affects the subsequent redistribution of salinity after the storm. © 2012 Elsevier Ltd.</t>
  </si>
  <si>
    <t>2-s2.0-84859792879"</t>
  </si>
  <si>
    <t>10.1007/s10584-011-0394-0</t>
  </si>
  <si>
    <t>https://www.scopus.com/inward/record.uri?eid=2-s2.0-84865435683&amp;doi=10.1007%2fs10584-011-0394-0&amp;partnerID=40&amp;md5=c0639e83c525b17807485ccb180eee16</t>
  </si>
  <si>
    <t>Sea-level rise is a major coastal issue in the 21st century because many of the world's built assets are located in the coastal zone. Coastal erosion and flooding are serious threats along the coast of Ghana, particularly, the eastern coast where the Volta delta is located. Past human interventions, climate change and the resultant rise in sea-levels, increased storm intensity and torrential rainfall have been blamed for these problems. Accelerated sea-level rise and storm surge pose serious threat to coastal habitat, bio-diversity and socio-economic activities in the coastal zone of Ghana and elsewhere. There is the need for an holistic assessment of the impacts of sea-level rise on the coast zone in order to formulate appropriate adaptation policies and strategies to mitigate the possible effects. Using the eastern coast of Ghana as a case study, this paper assesses the physical impacts of accelerated sea level rise and storm surge on the coastal environment. It evaluates adaptation policies and plans that could be implemented to accommodate the present and any future impacts. Field investigation and Geographic Information System (GIS) are among the methods used for the assessment. The outcome of the assessment has provided comprehensive knowledge of the potential impacts of accelerated sea-level rise and storm surge on the eastern coast. It has facilitated identification of management units, the appraisal of alternate adaptation policies and the selection of the best policy options based upon the local conditions and environmental sustainability. Among other things, this paper reveals that the eastern coast of Ghana is highly vulnerable to accelerated sea-level rise and therefore, requires sustainable adaptation policies and plans to manage the potential impacts. It recommends that various accommodation policies, which enable areas to be occupied for longer before eventual retreat, could be adapted to accommodate vulnerable settlements in the eastern coast of Ghana. © 2012 Springer Science+Business Media B.V.</t>
  </si>
  <si>
    <t>2-s2.0-84865435683"</t>
  </si>
  <si>
    <t>10.1016/j.gloplacha.2012.06.001</t>
  </si>
  <si>
    <t>https://www.scopus.com/inward/record.uri?eid=2-s2.0-84862627451&amp;doi=10.1016%2fj.gloplacha.2012.06.001&amp;partnerID=40&amp;md5=6c7214c181a0486a43731d394c55b75d</t>
  </si>
  <si>
    <t>Global climate change is expected to increase the risks of coastal flood disasters due to accelerating sea level rise and increasing intensity and frequency of storm surges. Coastal marsh vegetation is considered, on the one hand, to increase resistance to a landward propagating flood wave, such as a storm surge, and hence to protect against flood disasters. On the other hand, coastal marsh vegetation is dying off at several places around the world due to accelerating sea level rise. Here we present hydrodynamic model simulations of flood attenuation by a tidal marsh, with particular focus on the effects of spatial patterns of vegetation die-off. It is shown that a same percentage of marsh die-off but occurring as different spatial patterns of marsh break-up has largely different effects on flood attenuation. Patches of die-off that are directly connected to tidal channels have a much greater effect on increased landward flood propagation, while a same percentage of marsh die-off, but occurring at inner marsh locations disconnected from tidal channels, has only a minor effect. This implies that a random pattern of up to 50% of marsh die-off still provides a considerable flood attenuating effect. However with increasing percentage of random marsh die-off the flood attenuating effect decreases exponentially, since the chance for vegetation die-off occurring directly adjacent to tidal channels increases. This study demonstrates that tidal marsh die-off, which may increase with ongoing global change, is expected to have non-linear effects on reduced coastal protection against flood waves. © 2012 Elsevier B.V.</t>
  </si>
  <si>
    <t>2-s2.0-84862627451"</t>
  </si>
  <si>
    <t>10.1016/j.geomorph.2011.09.006</t>
  </si>
  <si>
    <t>https://www.scopus.com/inward/record.uri?eid=2-s2.0-84856627740&amp;doi=10.1016%2fj.geomorph.2011.09.006&amp;partnerID=40&amp;md5=6add12c3284d50ce4f45bdd6af80e61e</t>
  </si>
  <si>
    <t>The definition of storm morphological thresholds along the coast of the Emilia-Romagna Region strictly depends on its configuration and variability. The region is located in northern Italy, facing the Adriatic Sea. The coastline is characterised by very different levels of economic development, ranging from natural zones with dunes to highly developed stretches protected by breakwaters and groynes. The Integrated Coastal Zone Management effort is mainly concentrated on preserving urban areas that generate significant income for the regional economy. Natural areas, while small in comparison to the urbanised zone, are important for environment preservation. Because of such a multiplicity of issues at stake, it was decided to produce two different thresholds: one for the morphological impact on natural sectors and another for inundation and damage to structures along urbanised zones. The ""forcing"" component of the threshold definition for natural areas was calculated by summing the effects of surge + tide + waves (run-up elevation) to find the Maximum Water Level (MWL) reached by the sea during one, ten and one-hundred year storm return periods. For urbanised zones, historical storm information was collected starting from the 1960s in order to identify the forcing conditions causing real damages. Each storm was classified in terms of wave height, period, direction and surge level. Morphological information were obtained from Lidar flights performed in 2003 and 2004 and from direct surveys undertaken in September 2008 and February 2009 as part of the monitoring programme for the MICORE Project. The computed MWL for each return period was then compared to beach elevations along natural areas in order to calculate the Dune Stability Factor (DSF), an index that accounts for the eroded sediment volume above the MWL during a storm. Based on analysis along 41 profile lines at a 500. m spacing, it was found that the 1-in-1. year return period wave height + 1-in-1. year return period surge are able to erode and/or overwash 2/3 of the dunes. The historical storm hydrodynamic information was used to estimate which wave and surge conditions are able to inundate at least 2/3 of the beach profiles. The MWL was again compared to beach elevations, this time along 63 anthropogenic profiles spaced 500. m apart (or 1/3 of the urbanised coastline). It was found that a wave heights &gt;= 2. m and surge + tide levels &gt;= 0.7. m are able to flood between 18% and 36% of the built-up coast. The defined thresholds are related to the present coastal characteristics and are not ""static"", meaning that they are likely to change according to future evolution of the coastline. They are very important because they can be used as thresholds to issue warnings and alert the Civil Protection. Moreover they are the first thresholds defined for the Emilia-Romagna coastline and will be used as starting values to generate ""dynamic"" thresholds based on numerical model predictions of morphological change for a given wave and surge level. © 2011 Elsevier B.V.</t>
  </si>
  <si>
    <t>2-s2.0-84856627740"</t>
  </si>
  <si>
    <t>10.5194/nhess-12-1045-2012</t>
  </si>
  <si>
    <t>https://www.scopus.com/inward/record.uri?eid=2-s2.0-84859890942&amp;doi=10.5194%2fnhess-12-1045-2012&amp;partnerID=40&amp;md5=83df39617a781a581f7f076b0d91ca0f</t>
  </si>
  <si>
    <t>Uncertainty analyses of flood damage assessments generally require a large amount of model evaluations. This is often hampered by the high computational costs necessary to calculate flood extents and depths using 2-dimensional flow models. In this paper we developed a new approach to estimate flood inundation depths that can be incorporated in a Monte Carlo uncertainty analysis. This allows estimation of the uncertainty in flood damage estimates and the determination of which parameters contribute the most to this uncertainty. The approach is applied on three breach locations on the west coast of the Netherlands. In total, uncertainties in 12 input parameters were considered in this study, related to the storm surge, breach growth and the damage calculation. We show that the uncertainty in flood damage estimates is substantial, with the bounds of the 95% confidence range being more than four times smaller or larger than the median. The most influential parameter is uncertainty in depth-damage curves, but five other parameters also contribute substantially. The contribution of uncertainty in parameters related to the damage calculation is about equal to the contribution of parameters related to the volume of the inflowing water. Given the emphasis of most risk assessments on the estimation of the hazard, this implies that the damage calculation aspect deserves more attention in flood risk research efforts. Given the large uncertainties found in this study, it is recommended to always perform multiple calculations in flood simulations and damage assessments to capture the full range of model outcomes. © Author(s) 2012. CC Attribution 3.0 License.</t>
  </si>
  <si>
    <t>2-s2.0-84859890942"</t>
  </si>
  <si>
    <t>10.1007/s11852-012-0205-4</t>
  </si>
  <si>
    <t>https://www.scopus.com/inward/record.uri?eid=2-s2.0-84865448812&amp;doi=10.1007%2fs11852-012-0205-4&amp;partnerID=40&amp;md5=e38851d626ac96e263c22dc413d78ce9</t>
  </si>
  <si>
    <t>The supply of freshwater to estuarine ecosystems is a critical factor in maintaining the overall health and organization of coastal marshes. Specifically along the Texas Gulf coast, the coupled effects of decreased freshwater inflows to the estuary and natural processes (e. g., precipitation, wind, and tides) can exert significant salt-stress on coastal marsh vegetation. In this project we sought to quantitatively link the inflow of freshwater to the estuary (San Antonio Bay) with Aransas National Wildlife Refuge (ANWR) coastal marsh salinity and assess the influence of salinity and inundation on Carolina wolfberry (Lycium carolinianum Walt.) phenology (leaf and fruit abundance). The Carolina wolfberry is one of the more common high marsh plant species found at ANWR and has been shown to be a key food source for endangered Whooping Cranes which inhabit the coastal marshes of the ANWR each fall/winter. Results from our study show that periods of decreased freshwater inflows to the estuary correlated with increased marsh salinity at the ANWR. Wolfberry plants at ANWR marsh sites displayed increased fruit abundance during years which had lower mean summer time salinity (June, July, and August) in San Antonio Bay</t>
  </si>
  <si>
    <t>10.1130/GSATG144A.1</t>
  </si>
  <si>
    <t>https://www.scopus.com/inward/record.uri?eid=2-s2.0-84861972190&amp;doi=10.1130%2fGSATG144A.1&amp;partnerID=40&amp;md5=5496240bc5b3946e9e113d91eca3a2c3</t>
  </si>
  <si>
    <t>Despite evidence that weathering plays a role in forming intertidal, estuarine, and fluvial rock platforms, many publications uncritically refer to ""wave-cut"" or ""stream-cut"" rock platforms. The alternative explanations of chemical weathering and physical water erosion of rock platforms have been debated since 1839. Our new approach to this long-standing problem introduces data from fluvial as well as coastal rock platforms and documents the saprock-bedrock division of weathering profiles. We report local field evidence for a dominant role of differential weathering of sedimentary beds in an intertidal rock platform at Sunset Bay and a riverside platform near Days Creek, both in southwest Oregon, USA. Despite continuing tectonic uplift, both rock platforms remain within the zone of modern water table and intertidal fluctuation. Above this zone of frequent wet/dry cycling, rock is weakened by subaerial weathering, as documented by decreased rock hardness from the application of a Schmidt hammer, high slaking quantified by wetting-drying experiments, Munsell color indication of elevated oxidation of fine fractures, and peripheral loosening of calcareous fossils. At these sites, the shape and elevation of rock platforms in coastal and fluvial settings appear to reflect differences in strength between bedrock and saprock within the zone of water table fluctuation. In our study sites, waves and floods do not ""cut"" rock but remove clasts already weakened by weathering to expose the local water table as a bedrock surface. Other local agents of rock removal include salt weathering, eolian abrasion, landslides, debris flows, and fungal, plant, and molluscan bioerosion.</t>
  </si>
  <si>
    <t>2-s2.0-84861972190"</t>
  </si>
  <si>
    <t>10.1007/s11069-012-0103-y</t>
  </si>
  <si>
    <t>https://www.scopus.com/inward/record.uri?eid=2-s2.0-84860884082&amp;doi=10.1007%2fs11069-012-0103-y&amp;partnerID=40&amp;md5=e03dcb8d774c68b5b72372abad51aa89</t>
  </si>
  <si>
    <t>Digital elevation models (DEMs) used in geospatial analysis like the simulation of geophysical flows, such as floods, landslides, and block and ash flows, differ in resolution, acquisition time and generation methodology, which results in varied representation of topographic features. This study investigates the effects of DEMs on the output of a granular flow model, TITAN2D by comparing the output using different DEMs to that obtained with a ""true"" representation of the terrain, which is considered to be that obtained by using TOPSAR 5 m data. Seven DEMs at four resolutions from four sources were used for Mammoth Mountain, California, a cumulodome volcano. TITAN2D was run for seven different locations of an eruption of a potential dome and two different collapse volumes. The resulting outputs were subsequently compared with TOPSAR 5 m output, and qualitative and statistical inferences were drawn. DEMs with different resolutions and sources generated different outputs that led to different flow maps. For moderate and smaller scale flows (O(10 4) m 3 - O(10 5)m 3), different representations can affect the computation of accurate footprint of the flow and fine DEM resolution is critical for correct characterization of these flows. © 2012 Springer Science+Business Media B.V.</t>
  </si>
  <si>
    <t>2-s2.0-84860884082"</t>
  </si>
  <si>
    <t>10.2112/JCOASTRES-D-10-00077.1</t>
  </si>
  <si>
    <t>https://www.scopus.com/inward/record.uri?eid=2-s2.0-82855177567&amp;doi=10.2112%2fJCOASTRES-D-10-00077.1&amp;partnerID=40&amp;md5=137e77c879cbce78f8e8310e5e55902e</t>
  </si>
  <si>
    <t>This paper investigates the changes in the long-term hydroclimatic conditions in the SE Baltic Sea, along the Lithuanian coast, on the basis of the monitoring data obtained within a 45-year period (19612005). Furthermore, the paper discusses the processes behind those changes. Time series of relevant data along the Lithuanian coast from previous centuries were used to investigate climatic variability and trends. The study finds an increased period of westerly winds during winter. During recent decades, the impact of global climate change on sea-level rise has drawn wide interest, since the coastline changes have ecological, economic, and social impacts on the coastal areas of the Baltic Sea. The analysis of the trends for the Lithuanian coastal zone found results similar to those obtained from global and regional analyses showing increasing sea levels today and in the future. © 2012, the Coastal Education &amp; Research Foundation (CERF).</t>
  </si>
  <si>
    <t>2-s2.0-82855177567"</t>
  </si>
  <si>
    <t>10.5194/nhess-12-379-2012</t>
  </si>
  <si>
    <t>https://www.scopus.com/inward/record.uri?eid=2-s2.0-84861555102&amp;doi=10.5194%2fnhess-12-379-2012&amp;partnerID=40&amp;md5=f99cda7936413dbb18f8f825e4c239e0</t>
  </si>
  <si>
    <t>Coastal floods are a consistent threat to oceanfront countries, causing major human suffering and substantial economic losses. Climate change is exacerbating the problem. An early warning system is essential to mitigate the loss of life and property from coastal flooding. The purpose of this study is to develop a coastal flooding early warning system (CoFEWs) by integrating existing sea-state monitoring technology, numerical ocean forecasting models, historical database and experiences, as well as computer science. The proposed system has capability of offering data for the past, information for the present and future. The system was developed for the Taiwanese coast due to its frequent threat by typhoons. An operational system without any manual work is the basic requirement of the system. Integration of various data sources is the system kernel. Numerical ocean models play an important role within the system because they provide data for assessment of possible flooding. The regional wave model (SWAN) that nested with the large domain wave model (NWW III) is operationally set up for coastal wave forecasting, in addition to the storm surge predicted by a POM model. Data assimilation technology is incorporated for enhanced accuracy. A warning signal is presented when the storm water level that accumulated from astronomical tide, storm surge, and wave-induced run-up exceeds the alarm sea level. This warning system has been in practical use for coastal flooding damage mitigation in Taiwan for years. An example of the system operation during the Typhoon Haitung which struck Taiwan in 2005 is illustrated in this study. © 2012 Author(s).</t>
  </si>
  <si>
    <t>2-s2.0-84861555102"</t>
  </si>
  <si>
    <t>Evaluation of the effects of tsunami damage relative to earthquake damage may help to identify critical coastal zone structures and exposed populations for near field tsunami risk. In this work, we propose to define the ratio between tsunami intensity and earthquake intensity as a measure of near field tsunami vulnerability for coastal communities. This parameter is estimated for 13 tsunami events reported in North Algeria from the 14 th century to present. Although the results show that there are no tsunamis that are unusually large for the size of the earthquake that generated them, coastal communities remain at risk from these periodic hazards. We also use tsunami modelling and published information to estimate maximum inundation in Northern Algeria. Then, we generate a flooding map, which reveals the communities, buildings and infrastructure that are exposed to the tsunami hazard. This map shows that the majority of the people in Algiers and Oran live above 5 meters in elevation, and are hence not exposed to the hazard. Despite this, the coastline remains vulnerable to tsunami as earthquakes can damage poorly constructed buildings and other infrastructure, weakening it prior to the arrival of the tsunami. To increase resilience in the coastal zone, tsunami and earthquake awareness, education and preparedness must become a priority in the context of regional early warning programs.</t>
  </si>
  <si>
    <t>2-s2.0-84858986556"</t>
  </si>
  <si>
    <t>10.1144/0016-76492011-093</t>
  </si>
  <si>
    <t>https://www.scopus.com/inward/record.uri?eid=2-s2.0-84865958800&amp;doi=10.1144%2f0016-76492011-093&amp;partnerID=40&amp;md5=a8b8edd76366d9024e43c1cb5f1595e1</t>
  </si>
  <si>
    <t>Integrated seismic and well data provide for the first time a picture of the geological evolution of the Venice area over the last 5 Ma and a 3D subsoil model, which is fundamental to prediction of the anthropogenic uplift of Venice by seawater injection. A Pliocene southward prograding complex formed a shelf-slope system, whereas subsidence related to the Apennine foredeep development led to the establishment of a Early Pleistocene deep-water environment, favouring the accumulation of a thick turbidite succession. The NE progradation of the palaeo-Po river delta during the Middle Pleistocene promoted a drastic environmental revolution, followed by the deposition of cyclothems linked to glacio-eustatic changes.</t>
  </si>
  <si>
    <t>2-s2.0-84865958800"</t>
  </si>
  <si>
    <t>10.1002/esp.2238</t>
  </si>
  <si>
    <t>https://www.scopus.com/inward/record.uri?eid=2-s2.0-84857689834&amp;doi=10.1002%2fesp.2238&amp;partnerID=40&amp;md5=e059324921188442f29a86dc1f174a4b</t>
  </si>
  <si>
    <t>The paper presents the results of a multi-temporal, differential interferometric synthetic aperture radar (DInSAR) analysis aiming to identify active surface deformation phenomena in south-eastern Sicily. The study area has been chosen because of its strong seismicity, high concentration of industrial and agricultural activities, and high density of people living in the coastal area. Furthermore, the morphology, lithology and climatic features of this sector of the Hyblean foreland are suitable for an interferometric analysis, providing a high coherence over the area. The Small BAseline Subset (SBAS) multitemporal DInSAR technique was used to calculate mean ground velocity maps and displacement time series from a large data set of European Remote Sensing Satellites (ERS 1-2) images spanning the time period 1992-2000. The reliability of the DInSAR results was tested calculating the East SAR and Up SAR values over two permanent global positioning system (GPS) stations in the area, and comparing them with the East GPS and Up GPS values. The residuals between GPS and DInSAR velocities were 1 and 0.6mm/yr for the Up and East components, respectively. Four main subsiding areas, previously undetected, have been identified, corresponding with the towns of Augusta, Siracusa, Priolo, and Villasmundo. The observed deformation phenomena are located within coastal structural basins, filled with Pleistocene and Holocence deposits, except the Villasmundo land subsidence, which is located on the Hyblean plateau. The measured deformation rates reach values up to -18mm/yr in Augusta, -6mm/yr in Siracusa, -5mm/yr in Villasmundo and -4.5mm/yr in Priolo. The examination of velocity profiles, time series, and geological data allows us to relate all the detected deformation patterns primarily to groundwater over-exploitation. A multi-dimensional interpolation with kriging was performed to obtain a field subsidence map. A first-order elastic deformation model was used to simulate the peculiar features of the Villasmundo subsidence. © 2011 John Wiley &amp; Sons, Ltd.</t>
  </si>
  <si>
    <t>2-s2.0-84857689834"</t>
  </si>
  <si>
    <t>10.1007/s11069-011-9948-8</t>
  </si>
  <si>
    <t>https://www.scopus.com/inward/record.uri?eid=2-s2.0-84858799370&amp;doi=10.1007%2fs11069-011-9948-8&amp;partnerID=40&amp;md5=c3f3e800f187cd1f1540cc5f1f657f60</t>
  </si>
  <si>
    <t>Estimates of return periods of extreme sea level events along the coast are useful for impact assessment. In this study, a vertically integrated 2D model was developed for the simulation of storm surges in the Bay of Bengal. The bathymetry for the model was derived from an improved ETOPO-5 data set, which was prepared in our earlier work. The meteorological forcing for the model was obtained from the cyclone model of Holland using the data available for 136 low-pressure systems that occurred during 1974-2000 in the Bay of Bengal. The simulated total sea level and the surge component were obtained for each event. The simulated peak levels showed good agreement with the observations available at few stations. The annual maxima of sea levels, extracted from the simulations, were fitted with Gumbel distribution using r-largest annual maxima method to estimate the 5- and 50-year return periods of extreme events at 26 stations along the east coast of India. The return periods estimated from simulated sea levels showed good agreement with those obtained from observations. The 5- and 50-year return levels of total sea level along the east coast of India show a considerable increase from south to north, with the 50-year return total sea levels being as high as 6.9 and 8.7 m at stations along the north eastern coast such as Sagar Island and Chandipur, respectively. The high return levels are expected at these stations as the cyclones developed in the Bay of Bengal generally move north or north-west, producing extreme events in the northern part, and moreover, these stations are characterized by high tidal ranges. However, at some regions in the southern part such as Surya Lanka and Machilipatnam, though 50-year return levels of total sea level are not very high (2.98 and 2.97 m, respectively) because of the relatively lower tidal ranges, high return levels of surges (0.84 and 0.57 m, respectively) are found. In addition to the role of shallow depths (5.0 and 6.1 m, respectively) at the two stations, the high return levels of surges are attributed to the effect of geometrical configuration at Surya Lanka and width (100 km) and orientation of continental shelf at Machilipatnam. © 2011 Springer Science+Business Media B.V.</t>
  </si>
  <si>
    <t>2-s2.0-84858799370"</t>
  </si>
  <si>
    <t>10.1007/s10584-011-0093-x</t>
  </si>
  <si>
    <t>https://www.scopus.com/inward/record.uri?eid=2-s2.0-84864283557&amp;doi=10.1007%2fs10584-011-0093-x&amp;partnerID=40&amp;md5=0b3e759390175c353d2c0a1efbf2f171</t>
  </si>
  <si>
    <t>Increased tidal levels and storm surges related to climate change are projected to result in extremely adverse effects on coastal regions. Predictions of such extreme and small-scale events, however, are exceedingly challenging, even for relatively short time horizons. Here we use data from observations, ERA-40 re-analysis, climate scenario simulations, and a simple feature model to find that the frequency of extreme storm surge events affecting Venice is projected to decrease by about 30% by the end of the twenty-first century. In addition, through a trend assessment based on tidal observations we found a reduction in extreme tidal levels. Extrapolating the current +17 cm/century sea level trend, our results suggest that the frequency of extreme tides in Venice might largely remain unaltered under the projected twenty-first century climate simulations. © 2011 Springer Science+Business Media B.V.</t>
  </si>
  <si>
    <t>2-s2.0-84864283557"</t>
  </si>
  <si>
    <t>10.5194/nhess-12-2347-2012</t>
  </si>
  <si>
    <t>https://www.scopus.com/inward/record.uri?eid=2-s2.0-84864720262&amp;doi=10.5194%2fnhess-12-2347-2012&amp;partnerID=40&amp;md5=72c21e1743f999d07f16dd72b3fdfcdf</t>
  </si>
  <si>
    <t>Sea level rise, changes in storms and wave climate as a consequence of global climate change are expected to increase the size and magnitude of flooded and eroding coastal areas, thus having profound impacts on coastal communities and ecosystems. River deltas, beaches, estuaries and lagoons are considered particularly vulnerable to the adverse effects of climate change, which should be studied at the regional/local scale. This paper presents a regional vulnerability assessment (RVA) methodology developed to analyse site-specific spatial information on coastal vulnerability to the envisaged effects of global climate change, and assist coastal communities in operational coastal management and conservation. The main aim of the RVA is to identify key vulnerable receptors (i.e. natural and human ecosystems) in the considered region and localize vulnerable hot spot areas, which could be considered as homogeneous geographic sites for the definition of adaptation strategies. The application of the RVA methodology is based on a heterogeneous subset of bio-geophysical and socio-economic vulnerability indicators (e.g. coastal topography, geomorphology, presence and distribution of vegetation cover, location of artificial protection), which are a measure of the potential harm from a range of climate-related impacts (e.g. sea level rise inundation, storm surge flooding, coastal erosion). Based on a system of numerical weights and scores, the RVA provides relative vulnerability maps that allow to prioritize more vulnerable areas and targets of different climate-related impacts in the examined region and to support the identification of suitable areas for human settlements, infrastructures and economic activities, providing a basis for coastal zoning and land use planning. The implementation, performance and results of the methodology for the coastal area of the North Adriatic Sea (Italy) are fully described in the paper. © Author(s) 2012.</t>
  </si>
  <si>
    <t>2-s2.0-84864720262"</t>
  </si>
  <si>
    <t>10.1175/MWR-D-11-00118.1</t>
  </si>
  <si>
    <t>https://www.scopus.com/inward/record.uri?eid=2-s2.0-84864840916&amp;doi=10.1175%2fMWR-D-11-00118.1&amp;partnerID=40&amp;md5=bdfd372ed98128bf05eb2c5d92607f4b</t>
  </si>
  <si>
    <t>Accurate, real-time forecasting of coastal inundation due to hurricanes and tropical storms is a challenging computational problem requiring high-fidelity forward models of currents and water levels driven by hurricane-force winds. Despite best efforts in computational modeling there will always be uncertainty in storm surge forecasts. In recent years, there has been significant instrumentation located along the coastal United States for the purpose of collecting data-specifically wind, water levels, and wave heights-during these extreme events. This type of data, if available in real time, could be used in a data assimilation framework to improve hurricane storm surge forecasts. In this paper a data assimilation methodology for storm surge forecasting based on the use of ensemble Kalman filters and the advanced circulation (ADCIRC) storm surge model is described. The singular evolutive interpolated Kalman (SEIK) filter has been shown to be effective at producing accurate results for ocean models using small ensemble sizes initialized by an em- pirical orthogonal function analysis. The SEIK filter is applied to the ADCIRC model to improve storm surge forecasting, particularly in capturing maximum water levels (high water marks) and the timing of the surge. Two test cases of data obtained from hindcast studies of Hurricanes Ike and Katrina are presented. It is shown that a modified SEIK filter with an inflation factor improves the accuracy of coarse-resolution forecasts of storm surge resulting from hurricanes. Furthermore, the SEIK filter requires only modest computational resources to obtain more accurate forecasts of storm surge in a constrained time window where forecasters must interact with emergency responders. © 2012 American Meteorological Society.</t>
  </si>
  <si>
    <t>2-s2.0-84864840916"</t>
  </si>
  <si>
    <t>10.1080/09669582.2012.699063</t>
  </si>
  <si>
    <t>https://www.scopus.com/inward/record.uri?eid=2-s2.0-84863915694&amp;doi=10.1080%2f09669582.2012.699063&amp;partnerID=40&amp;md5=d687ff0987ecc8c6c648b6b73e2b619c</t>
  </si>
  <si>
    <t>Sea level rise (SLR) is considered a growing, certain and prominent consequence of anthropogenic climate change. Despite the high value of tourism properties and economic activity in the coastal zone, the tourism sector is largely absent from the SLR literature. This study created a geo-referenced database of 906 major coastal resort properties in 19 Caribbean Community (CARICOM) countries to assess their potential risk to a scenario of one-metre SLR. An estimated 266 (29%) resort properties would be partially or fully inundated by one-metre SLR</t>
  </si>
  <si>
    <t>10.1111/j.1365-3121.2012.01064.x</t>
  </si>
  <si>
    <t>https://www.scopus.com/inward/record.uri?eid=2-s2.0-84863775980&amp;doi=10.1111%2fj.1365-3121.2012.01064.x&amp;partnerID=40&amp;md5=84e31e6e61bda7e9036d18f0b628ceec</t>
  </si>
  <si>
    <t>The Zumaia section, the most complete and representative section of the early Palaeogene (hemi)-pelagic succession of the Pyrenees, is widely acknowledged as a key reference for the Palaeocene-Eocene boundary. New high-resolution δ 13C org of the Zumaia section (-23.8 to -28.8‰) confirms the position of the Carbon Isotope Excursion and enhances the distinction between the different steps of the CIE/PETM event. According to new magnetic susceptibility data and detailed cycle counting, the entire duration of the CIE/PETM in Zumaia is estimated in ∼168±16ka. Moreover, the investigation of palynofacies and low-field magnetic susceptibility reveal significant detrital influx during the interval. Several magnetic susceptibility phases and trends are recognised and are interpreted in terms of sea-level fluctuations before, during and after the PETM. Coupled with results from other sections, our data reveal the presence of an unconformity followed by an eustatic sea-level rise (TST) in the latest Palaeocene. © 2012 Blackwell Publishing Ltd.</t>
  </si>
  <si>
    <t>2-s2.0-84863775980"</t>
  </si>
  <si>
    <t>10.1007/s00382-011-1185-z</t>
  </si>
  <si>
    <t>https://www.scopus.com/inward/record.uri?eid=2-s2.0-84862985070&amp;doi=10.1007%2fs00382-011-1185-z&amp;partnerID=40&amp;md5=ddf6e1da7b09a4a77fedae55203a6c74</t>
  </si>
  <si>
    <t>Globally-coupled climate models are generally capable of reproducing the observed trends in the globally averaged atmospheric temperature or mean sea level. However, the global models do not perform as well on regional/local scales. Here, we present results from four 100-year ocean model experiments for the Western Baltic Sea. In order to simulate storm surges in this region, we have used the General Estuarine Transport Model (GETM) as a high-resolution local model (spatial resolution ≈ 1 km), nested into a regional atmospheric and regional oceanic model in a fully baroclinic downscaling approach. The downscaling is based on the global model ECHAM5/MPI-OM. The projections are imbedded into two greenhouse-gas emission scenarios, A1B and B1, for the period 2000-2100, each with two realisations. Two control runs from 1960 to 2000 are used for validation. We use this modelling system to statistically reproduce the present distribution of surge extremes. The usage of the high-resolution local model leads to an improvement in surge heights of at least 10% compared to the driving model. To quantify uncertainties associated with climate projections, we investigate the impact of enhanced wind velocities and changes in mean sea levels. The analysis revealed a linear dependence of surge height and mean sea level, although the slope parameter is spatially varying. Furthermore, the modelling system is used to project possible changes within the next century. The results show that the sea level rise has greater potential to increase surge levels than does increased wind speed. The simulations further indicate that the changes in storm surge height in the scenarios can be consistently explained by the increase in mean sea level and variation in wind speed. © 2011 Springer-Verlag.</t>
  </si>
  <si>
    <t>2-s2.0-84862985070"</t>
  </si>
  <si>
    <t>10.1016/j.jhydrol.2012.02.045</t>
  </si>
  <si>
    <t>https://www.scopus.com/inward/record.uri?eid=2-s2.0-84859440382&amp;doi=10.1016%2fj.jhydrol.2012.02.045&amp;partnerID=40&amp;md5=dc6ed01efe7b07c83c84d28da17f7805</t>
  </si>
  <si>
    <t>Precise Digital Elevation Models (DEMs) are required for the accurate modeling of floodplain hydrodynamics. The accuracy of currently available spaceborne DEMs however is hindered by a variety of errors which reduce the flow connectivity between river channels and the surrounding floodplains. Here we introduce a new algorithm for adjusting a spaceborne DEM which utilizes the information from a prescribed drainage networks dataset. The algorithm is designed to remove all the pits in the spaceborne DEM caused by vegetation canopies, sub-pixel sized structures, and random radar speckles while minimizing the amount of modification required for removing the pits. The proposed algorithm was applied to the SRTM3 DEM with reference to the drainage network information in the HydroSHEDS flow direction map. With consideration of the systematic errors in the SRMT3 DEM, small channels connecting floodplains were successfully implemented into the adjusted DEM. The accuracy of the adjusted DEM was validated using hydrodynamic simulations with the LISFLOOD-FP model in a middle reach of the Amazon River. The simulated water surface elevations and flooded areas with the adjusted DEM shows better agreement to observation data when compared to the results from the original SRTM3 DEM. The flow connectivity ensured by the DEM adjustment algorithm is found to be essential for representing realistic water exchanges between river channels and floodplains in hydrodynamics modeling. © 2012 Elsevier B.V.</t>
  </si>
  <si>
    <t>2-s2.0-84859440382"</t>
  </si>
  <si>
    <t>On 29 September 2009 at 17:48:11 UTC, a large earthquake of magnitude 8 struck off-shore of the Samoa Islands and generated a large tsunami that destroyed several villages and caused more than 160 fatalities. This report first presents the characteristics of the earthquake and discusses the best estimations for the fault parameters, which are the necessary input data for the hydrodynamic tsunami calculations. Then, the assessment of the near-real time systems invoked by the Global Disasters Alert and Coordination System (GDACS)1 and the post-event calculations are performed, making comparisons with the observed tidal measurements and post-event survey. It was found that the most severely damaged locations are the Southern section of the Western Samoa Islands, Tutuila Isl in American Samoa and Niuatoputapu Isle in Tonga. This is in agreement with the locations indicated by the Red Cross as the most affected and with the results of the post-tsunami surveys. Furthermore, an attempt was made to map the inundation events using more detailed digital elevation models (DEM) and hydrodynamic modelling with good results. The flooded areas for which we had satellite images and post-tsunami surveys confirm the inundated areas identified correctly by the hydrodynamic model. Indications are given on the DEM grid size needed for the different simulations.</t>
  </si>
  <si>
    <t>2-s2.0-84858965347"</t>
  </si>
  <si>
    <t>10.1016/j.envsoft.2012.01.001</t>
  </si>
  <si>
    <t>https://www.scopus.com/inward/record.uri?eid=2-s2.0-84857365593&amp;doi=10.1016%2fj.envsoft.2012.01.001&amp;partnerID=40&amp;md5=63413012a8493133d2c502c923eaa27b</t>
  </si>
  <si>
    <t>It is becoming good practice to prepare risk assessments of river basins and coastal areas on a global scale. The novel sustainable flood retention basin (SFRB) concept provides a rapid classification technique for impoundments, which have a pre-defined or potential role in flood defense. However, most SFRB do often perform multiple functions simultaneously and thus are associated with multiple SFRB types. Nevertheless, previous SFRB classification systems assign each SFRB to a specific type relying on its main function. To handle the problem, this study aims to comprehensively assess the multiple functions of SFRB with the help of multi-label classification. The popular multi-label classifiers multi-label support vector machine (MLSVM), multi-label K-nearest neighbor (MLKNN) and back-propagation for multi-label learning (BP-MLL) were applied to predict the types of SFRB based on two data sets (one from Scotland and one from Baden). Findings indicate that multi-label classification schemes provide deeper insights into all potential functions of SFRB and help planners and engineers to make better use of them. © 2012 Elsevier Ltd.</t>
  </si>
  <si>
    <t>2-s2.0-84857365593"</t>
  </si>
  <si>
    <t>10.1175/JPO-D-10-05010.1</t>
  </si>
  <si>
    <t>https://www.scopus.com/inward/record.uri?eid=2-s2.0-84864506117&amp;doi=10.1175%2fJPO-D-10-05010.1&amp;partnerID=40&amp;md5=d9fba6ba00a73892210130197a64cea4</t>
  </si>
  <si>
    <t>Data from the Hudson River estuary demonstrate that the tidal variations in vertical salinity stratification are not consistent with the patterns associated with along-channel tidal straining. These observations result from three additional processes not accounted for in the traditional tidal straining model: 1) along-channel and 2) lateral advection of horizontal gradients in the vertical salinity gradient and 3) tidal asymmetries in the strength of vertical mixing. As a result, cross-sectionally averaged values of the vertical salinity gradient are shown to increase during the flood tide and decrease during the ebb. Only over a limited portion of the cross section does the observed stratification increase during the ebb and decrease during the flood. These observations highlight the three-dimensional nature of estuarine flows and demonstrate that lateral circulation provides an alternate mechanism that allows for the exchange of materials between surface and bottom waters, even when direct turbulent mixing through the pycnocline is prohibited by strong stratification.© 2012 American Meteorological Society.</t>
  </si>
  <si>
    <t>2-s2.0-84864506117"</t>
  </si>
  <si>
    <t>Population along coastal areas currently shows about three times average growth compared to other parts of the world. On the other hand, coastal flooding is a real threat to lives and property, and it is difficult to manage. Studies indicate that greenhouse gas emissions affect climate change and sea level rise (SLR). It is difficult to determine the exact value of the SLR and floodplain area because of the long-term effects, complexity, and source of uncertainties. This study attempts to calculate the SLR for the coast of Iran in the form of future scenarios. By using geographic information system (GIS) and digital elevation models, we predicted water level and flood depth. The high water level, which includes wind setup, wave setup, run up and permanent SLR, was investigated during the 21st century. These factors are calculated for the coast of Iran (Bandar Abbas) in five future scenarios based on the GIS rules. In the other view, increasing in coastal flood hazards, population growth and land use change means that the people, property, and environment along the coastal area will be exposed to greater inundation where improvements in coastal protection are absent or slow to improve. The results show that the ratio of whole flood plain area from S0 (present scenario) to S4 (worse scenario) is 3.5, but this ratio, in the case of residential flood plain, increases to 34. This means the residential area is more affected than other land uses. This study can help coastal managers make land use change plans for flood risk management as adequate methods.</t>
  </si>
  <si>
    <t>2-s2.0-84861370828"</t>
  </si>
  <si>
    <t>10.1428/37632</t>
  </si>
  <si>
    <t>https://www.scopus.com/inward/record.uri?eid=2-s2.0-84884859684&amp;doi=10.1428%2f37632&amp;partnerID=40&amp;md5=70434bc67c352b1a5ece26ecddf10ce0</t>
  </si>
  <si>
    <t>This study aims to discuss and quantify the reaction of a market or a population to perturbations assuming that their behaviour is governed by a differential equation containing a memory formalism modelling their evolution. A perturbation acts on a market, as well as on a population, as the delta function to generate the Green function. In both cases the memory has a stabilising effect. In the case of markets it is seen how the memory formalisms will definitely stabilise the market when the intensity of the perturbation is small relative to the effect of the memory</t>
  </si>
  <si>
    <t>10.1029/2012WR011951</t>
  </si>
  <si>
    <t>https://www.scopus.com/inward/record.uri?eid=2-s2.0-84864063943&amp;doi=10.1029%2f2012WR011951&amp;partnerID=40&amp;md5=fe4bd31889da9da99b8ab30849ca5ddd</t>
  </si>
  <si>
    <t>Two-dimensional (2-D) satellite imagery has been increasingly employed to improve prediction of floodplain inundation models. However, most focus has been on validation of inundation extent, with little attention on the spatial variations of water elevation and slope. The availability of high resolution Interferometric Synthetic Aperture Radar (InSAR) imagery offers unprecedented opportunity for quantitative validation of surface water heights and slopes derived from 2D hydrodynamic models. In this study, the LISFLOOD-ACC hydrodynamic model is applied to the central Atchafalaya Basin Floodway System, Louisiana, during high flows typical of spring floods in the Mississippi Delta region, for the purpose of demonstrating the utility of InSAR in 2-D floodplain model calibration. Two schemes calibrating Manning's roughness in channels and floodplains are compared. First, the model is calibrated in terms of water elevations at a single in situ gage during a 62-d simulation period from 1 April 2008 to 1 June 2008. Second, the model is calibrated in terms of water elevation changes calculated from ALOS PALSAR 2D imagery acquired on 16 April 2008 and 1 June 2009, an interval of 46 d. The best-fit model shows that the mean absolute error is 5.7 cm/46 d for InSAR water level calibration. Daily storage changes within the ∼230-km2 model area are also calculated to be on the order of 107 m3 d-1 during high water of the modeled period. The favorable comparison between both approaches demonstrates the feasibility of SAR interferometry for 2-D hydrodynamic model calibration and for improved understanding of complex floodplain hydrodynamics. © 2012. American Geophysical Union. All Rights Reserved.</t>
  </si>
  <si>
    <t>2-s2.0-84864063943"</t>
  </si>
  <si>
    <t>10.1007/s11069-011-9891-8</t>
  </si>
  <si>
    <t>https://www.scopus.com/inward/record.uri?eid=2-s2.0-84864394997&amp;doi=10.1007%2fs11069-011-9891-8&amp;partnerID=40&amp;md5=d6be571363dcd67e6ee5341bd86ef1b8</t>
  </si>
  <si>
    <t>Hazards associated with tropical cyclones are long-duration rotatory high-velocity winds, very heavy rain and storm tide. India has a coastline of about 7,516 km of which 5,400 km is along the mainland. The entire coast is affected by cyclones with varying frequency and intensity. The India Meteorological Department (IMD) is the nodal government agency that provides weather services related to cyclones in India. However, IMD has not identified cyclone-prone districts following any specific definition though the districts for which cyclone warnings are issued have been identified. On the other hand, for the purpose of better cyclone disaster management in the country, it is necessary to define cyclone proneness and identify cyclone-prone coastal districts. It is also necessary to decide degree of hazard proneness of a district by considering cyclone parameters so that mitigation measures are prioritised. In this context, an attempt has been made to prepare a list of cyclone hazard prone districts by adopting hazard criteria. Out of 96 districts under consideration, 12, 45, 31 and 08 districts are in very high, high, moderate and low categories of proneness, respectively. In general, the coastal districts of West Bengal, Orissa, Andhra Pradesh and Tamil Nadu are more prone and are in the high to very high category. The cyclone hazard proneness factor is very high for the districts of Nellore, East Godawari, and Krishna in Andhra Pradesh</t>
  </si>
  <si>
    <t>10.1016/j.compgeo.2011.12.010</t>
  </si>
  <si>
    <t>https://www.scopus.com/inward/record.uri?eid=2-s2.0-84862788879&amp;doi=10.1016%2fj.compgeo.2011.12.010&amp;partnerID=40&amp;md5=c4dc19b4d9b4a4225c5c1a2d618afc68</t>
  </si>
  <si>
    <t>In this study, a numerical simulation of true triaxial tests was conducted using the three-dimensional distinct element method (DEM) in order to examine how unsaturated granular materials collapse under general stress states. The collapse process was simulated by reducing the intergranular adhesive forces corresponding to the effect of the capillary suction during the isotropic compression and the shearing processes under general stress states. Based on the relationship between the void ratio and the mean principal stress after collapsing, it was found that the initially soaked compression line obtained with an inundation test may be used to predict the collapse of granular materials under a general stress state. From the analysis for the fabric tensor in the particle aggregate after collapsing, the skeleton structures became identical to those in which no intergranular adhesive force was applied. Furthermore, even though the collapse process was simulated under a plane strain condition, the shear band inside the sample did not occur clearly, and the slippage between particles was instead induced randomly during collapsing. © 2012 Elsevier Ltd.</t>
  </si>
  <si>
    <t>2-s2.0-84862788879"</t>
  </si>
  <si>
    <t>10.1007/s11069-012-0149-x</t>
  </si>
  <si>
    <t>https://www.scopus.com/inward/record.uri?eid=2-s2.0-84861655178&amp;doi=10.1007%2fs11069-012-0149-x&amp;partnerID=40&amp;md5=2efc4ae58af64eba4b88e451b9a9bbb7</t>
  </si>
  <si>
    <t>The impact of relative sea-level rise (RSLR), damage to and possible responses in the Ebro Delta (NW Mediterranean) has been analyzed. Impact was determined by delineating delta areas prone to flooding under different RSLR scenarios. The surface areas of the different habitats were then quantified for flooding impact and affected ecosystems were assessed. The obtained results enabled us to characterize the Ebro Delta as a coastal environment that is highly sensitive to changes in sea level, with affected flooded areas likely to range between about 45 and 60 % for different RSLR scenarios, from which about 26 % would be inundated by subsidence only. In absolute terms, the habitat most likely to be affected by flooding was cropland. In relative terms, the most affected habitats were those typical of the lowest areas: saltwater wetlands, riparian buffer and areas of saline vegetation. Under present deltaic evolution with no sediment supply, adaptation is considered a plausible option for managing the Ebro delta under a RSLR scenario. This implies permitting surface area losses or land use changes in the lower parts of the delta, where natural values will be reinforced, and concentrating agriculture in the higher parts of the deltaic plain. © 2012 Springer Science+Business Media B.V.</t>
  </si>
  <si>
    <t>2-s2.0-84861655178"</t>
  </si>
  <si>
    <t>10.5194/nhess-12-1799-2012</t>
  </si>
  <si>
    <t>https://www.scopus.com/inward/record.uri?eid=2-s2.0-84861824848&amp;doi=10.5194%2fnhess-12-1799-2012&amp;partnerID=40&amp;md5=7864740e0ca3ddcfe45d4b19b6fc1458</t>
  </si>
  <si>
    <t>This paper deals with the failure risk of masonry constructions under the effect of floods. It is developed within a probabilistic framework, with loads and resistances considered as random variables. Two complementary approaches have been investigated for this purpose:-a global approach based on combined effects of several governing parameters with individual weighted contribution (material quality and geometry, presence and distance between columns, beams, openings, resistance of the soil and its slope..),-and a reliability method using the failure mechanism of masonry walls standing out-plane pressure. The evolution of the probability of failure of masonry constructions according to the flood water level is analysed. The analysis of different failure probability scenarios for masonry walls is conducted to calibrate the influence of each ""vulnerability governing parameter"" in the global approach that is widely used in risk assessment at the urban or regional scale. The global methodology is implemented in a GIS that provides the spatial distribution of damage risk for different flood scenarios. A real case is considered for the simulations, i.e. Cheffes sur Sarthe (France), for which the observed river discharge, the hydraulic load according to the Digital Terrain Model, and the structural resistance are considered as random variables. The damage probability values provided by both approaches are compared. Discussions are also developed about reduction and mitigation of the flood disaster at various scales (set of structures, city, region) as well as resilience. © 2012 Author(s).</t>
  </si>
  <si>
    <t>2-s2.0-84861824848"</t>
  </si>
  <si>
    <t>10.1177/0956247811433538</t>
  </si>
  <si>
    <t>https://www.scopus.com/inward/record.uri?eid=2-s2.0-84860516157&amp;doi=10.1177%2f0956247811433538&amp;partnerID=40&amp;md5=e55163aa0d31e19516a971f434a55dad</t>
  </si>
  <si>
    <t>Dhaka is one of the largest megacities in the world and its population is growing rapidly. Due to its location on a deltaic plain, the city is extremely prone to detrimental flooding, and risks associated with this are expected to increase further in the coming years due to global climate change impacts as well as the high rate of urbanization the city is facing. The lowest-lying part of Dhaka, namely Dhaka East, is facing the most severe risk of flooding. Traditionally, excess water in this part of the city was efficiently stored in water ponds and gradually drained into rivers through connected canals. However, the alarming increase in Dhaka's population is causing encroachment of these water retention areas because of land scarcity. The city's natural drainage is not functioning well and the area is still not protected from flooding, which causes major threats to its inhabitants. This situation increases the urgency to adapt effectively to current flooding caused by climate variability and also to the impacts of future climate change. Although the government is planning several adaptive measures to protect the area from floods, a systematic framework to analyze and assess them is lacking. The objective of this paper is to develop an integrated framework for the assessment and prioritization of various (current and potential) adaptation measures aimed at protecting vulnerable areas from flooding. The study identifies, analyzes, assesses and prioritizes adaptive initiatives and measures to address flood risks in the eastern fringe area, and the adaptation assessment is conducted within the framework of multi-criteria analysis (MCA) methodology. MCA facilitates the participation of stakeholders and hence allows normative judgements, while incorporating technical expertise in the adaptation assessment. Based on the assessment, adaptive measures are prioritized to indicate which actions should be implemented first. Such a participatory integrated assessment of adaptation options is currently lacking in the decision-making process in the city of Dhaka and could greatly help reach informed and structured decisions in the development of adaptation strategies for flood protection. © 2012 International Institute for Environment and Development (IIED).</t>
  </si>
  <si>
    <t>2-s2.0-84860516157"</t>
  </si>
  <si>
    <t>10.1126/science.1220614</t>
  </si>
  <si>
    <t>https://www.scopus.com/inward/record.uri?eid=2-s2.0-84864779544&amp;doi=10.1126%2fscience.1220614&amp;partnerID=40&amp;md5=5d913461ec8b7b125fdfb75137d46c26</t>
  </si>
  <si>
    <t>Global warming is predicted to have a profound impact on the Greenland Ice Sheet and its contribution to global sea-level rise. Recent mass loss in the northwest of Greenland has been substantial. Using aerial photographs, we produced digital elevation models and extended the time record of recent observed marginal dynamic thinning back to the mid-1980s. We reveal two independent dynamic ice loss events on the northwestern Greenland Ice Sheet margin: from 1985 to 1993 and 2005 to 2010, which were separated by limited mass changes. Our results suggest that the ice mass changes in this sector were primarily caused by short-lived dynamic ice loss events rather than changes in the surface mass balance. This finding challenges predictions about the future response of the Greenland Ice Sheet to increasing global temperatures.</t>
  </si>
  <si>
    <t>2-s2.0-84864779544"</t>
  </si>
  <si>
    <t>10.1007/s10236-011-0508-2</t>
  </si>
  <si>
    <t>https://www.scopus.com/inward/record.uri?eid=2-s2.0-84861099754&amp;doi=10.1007%2fs10236-011-0508-2&amp;partnerID=40&amp;md5=d166b2bbe6c536fc1db1781ca1411174</t>
  </si>
  <si>
    <t>Modeling studies of future changes in coastal hydrodynamics, in terms of storm surges and wave climate, need appropriate wind and atmospheric forcings, a necessary requirement for the realistic reproduction of the statistics and the resolution of small scale features. This work compares meteorological results from different climate models in the Mediterranean area, with a focus on the Adriatic Sea, in order to assess their capability to reproduce coastal meteorological features and their possibility to be used as forcings for hydro-dynamic simulations. Five meteorological datasets are considered. They are obtained from two regional climate models, implemented with different spatial resolutions and setups and are downscaled from two different global climate models. Wind and atmospheric pressure fields are compared with measurements at four stations along the Italian Adriatic coast. The analysis is carried out both on simulations of the control period 1960-1990 and on the A1B Intergovernmental Panel for Climate Change scenario projections (2070- 2100), highlighting the ability of each model in reproducing the statistical coastal meteorological behavior and possible changes. The importance of simulated global- and regional-scale meteorological processes, in terms of correct spatial resolution of the phenomena, is also discussed. Within the Adriatic Sea, the meteorological climate is influenced by the local orography that controls the strengthening of north-eastern katabatic winds like Bora. Results show indeed that the increase in spatial resolution provides a more realistic wind forcing for the hydrodynamic simulations. Moreover, the chosen setup and the global climate models that drive the regional downscalings appear to play an important role in reproducing correct atmospheric pressure fields. The comparison between scenario and control simulations shows a small increase in the mean atmospheric pressure values, while a decrease in mean wind speed and in extreme wind events is observed, particularly for the datasets with higher spatial resolution. Finally, results suggest that an ensemble of downscaled climate models is likely to provide the most suitable climatic forcings (wind and atmospheric pressure fields) for coastal hydrodynamic modeling. © 2011 Springer Science+Business Media, LLC.</t>
  </si>
  <si>
    <t>2-s2.0-84861099754"</t>
  </si>
  <si>
    <t>10.1007/s13157-012-0276-x</t>
  </si>
  <si>
    <t>https://www.scopus.com/inward/record.uri?eid=2-s2.0-84863985582&amp;doi=10.1007%2fs13157-012-0276-x&amp;partnerID=40&amp;md5=f49ed1f50ccac5c43b6c6fc63a924f7f</t>
  </si>
  <si>
    <t>Transitional wetlands occur along an estuarine salinity continuum bracketed by salt and nontidal freshwater wetlands. Long-term disturbances, such as sea level rise, may shift physical characteristics and hydrologic features of estuarine systems leading to transitional wetland habitat alterations, with unknown affects to associated biological communities. To begin to assess the ecological significance of a change in transitional wetland character, physicochemical parameters, and fish and invertebrate communities were surveyed seasonally in two extensive meso-oligohaline marshes, currently undergoing changes due to sea level rise. Faunal communities were similar between marshes, and included economically important species and forage fish. Temporal shifts in communities occurred seasonally and annually with high variability in species abundance among years. Drastic annual variability in salinity regimes due to extremes in precipitation occurred during the survey period driving shifts in biotic community composition. © Society of Wetland Scientists 2012.</t>
  </si>
  <si>
    <t>2-s2.0-84863985582"</t>
  </si>
  <si>
    <t>10.1007/s11852-010-0109-0</t>
  </si>
  <si>
    <t>https://www.scopus.com/inward/record.uri?eid=2-s2.0-84860616200&amp;doi=10.1007%2fs11852-010-0109-0&amp;partnerID=40&amp;md5=a9081c1582a17afaafb6146d857136d9</t>
  </si>
  <si>
    <t>In this paper I review a host of natural and cultural processes that have affected the preservation and integrity of archaeological sites on islands in the West Indies, many of which are located in low-lying coastal areas. Given the position of the Caribbean lithospheric plate-juxtaposed between four others-it is no surprise that by its very nature the region is volcanically active and frequently associated with earthquake and tsunami events. This makes coastal zones, and related archaeological sites in the region, highly susceptible to a wide range of destructive natural events. The high frequency of tropical systems (hurricanes and storms) in the Caribbean and rising sea level, coupled with human activities such as sand mining, development, and looting, makes the region's archaeological record one of the most vulnerable and threatened in the world. Ongoing research is dedicated to understanding how past populations may have been affected by these events in the past. © 2010 Springer Science+Business Media B.V.</t>
  </si>
  <si>
    <t>2-s2.0-84860616200"</t>
  </si>
  <si>
    <t>10.1016/j.pce.2010.01.002</t>
  </si>
  <si>
    <t>https://www.scopus.com/inward/record.uri?eid=2-s2.0-84858804914&amp;doi=10.1016%2fj.pce.2010.01.002&amp;partnerID=40&amp;md5=5a1fb223f4333ffa771cc04dcf94cbe6</t>
  </si>
  <si>
    <t>Land subsidence is a severe geologic hazard threatening the lowlying transitional coastal areas worldwide. Monitoring land subsidence has been significantly improved over the last decade by space borne earth observation techniques based on Synthetic Aperture Radar (SAR) interferometry. Within the INLET Project, funded by Magistrato alle Acque di Venezia - Venice Water Authority (VWA) and Consorzio Venezia Nuova (CVN), we use Interferometric Point Target Analysis (IPTA) to characterize the ground displacements within the Venice Lagoon. IPTA measures the movement of backscattering point targets (PTs) at the ground surface that persistently reflect radar signals emitted by the SAR system at different passes. For this study 80 ERS-1/2 and 44 ENVISAT SAR scenes recorded from 1992 to 2005 and from 2003 to 2007, respectively, have been processed. Highly reliable displacement measurements have been detected for thousands of PTs located on the lagoon margins, along the littorals, in major and small islands, and on single structures scattered within the lagoon. On the average, land subsidence ranges from less than 1. mm/year to 5. mm/year, with some PTs that exhibit values also larger than 10. mm/year depending on both the local geologic conditions and the anthropic activities. A network of a few tens of artificial square trihedral corner reflectors (TCRs) has been established before summer 2007 in order to monitor land subsidence in the inner lagoon areas where "" natural"" reflectors completely lack (e.g., on the salt marshes). The first interferometric results on the TCRs appear very promising. © 2010 Elsevier Ltd.</t>
  </si>
  <si>
    <t>2-s2.0-84858804914"</t>
  </si>
  <si>
    <t>10.1080/02626667.2012.685742</t>
  </si>
  <si>
    <t>https://www.scopus.com/inward/record.uri?eid=2-s2.0-84863592700&amp;doi=10.1080%2f02626667.2012.685742&amp;partnerID=40&amp;md5=899bf0aef75480782fdb4ec1bd0c20dd</t>
  </si>
  <si>
    <t>The main purpose of this work is to provide a digital terrain model (DTM) for hydrologists working on northern Algeria that allows the implementation of regional methods for the estimation of hydrological parameters, such as decennial instantaneous flood flows or average annual inflows. This DTM must allow the satisfactory determination of watershed contours, as well as obtaining morphometric parameters that may be compared among themselves in the study area. The DTM which we propose is a compromise between small pixel sizes that give good accuracy and larger pixels making it possible to cover the area uniformly. We show that the DTM with the grid of 100 m is perfectly adapted, subject to it being previously manually corrected in the endoreic and relatively flat areas. This DTM makes possible to correctly obtain the principal morphometric parameters used in hydrology. Thus, we are providing hydrologists with a 100-m resolution DEM in Lambert projection that is suitable for use in Algerian hydrology. © 2012 Copyright 2012 IAHS Press.</t>
  </si>
  <si>
    <t>2-s2.0-84863592700"</t>
  </si>
  <si>
    <t>10.1016/j.geomorph.2011.07.035</t>
  </si>
  <si>
    <t>https://www.scopus.com/inward/record.uri?eid=2-s2.0-84856673722&amp;doi=10.1016%2fj.geomorph.2011.07.035&amp;partnerID=40&amp;md5=8819328c2c377edb838850d974bbbc0d</t>
  </si>
  <si>
    <t>Along the coast, anticipating the different morphological responses induced by storm events is crucial for managers to evaluate coastal risks and to develop the best measures to mitigate them. In this paper, a methodology is developed to determine the best storm intensity parameter to derive storm thresholds for different morphological responses. The methodology is applied to the northern part of the Gulf of Lions coastline where storm events can induce important morphological changes. These include shoreline retreat, beach and dune erosion, significant migration of nearshore bars, overwashes and even breaches of coastal barriers, as well as damage to coastal defences and coastal infrastructure. In order to evaluate historical storm characteristics and impact, an extensive review was undertaken to obtain quantitative datasets (beach profiles, wave records), aerial photographs and more qualitative information on morphological evolution and coastal damage. Re-analysis of hydrodynamic and morphology data was undertaken, and hindcast wave modelling results were used to characterised storm intensities. The methodology developed to evaluate storm thresholds consists of obtaining morphological evolution indicators (evidence of breaching, overwash processes, volume variations and migration of morphological patterns) that can be directly linked to a storm event and its characteristics. Results demonstrate that in such a quasi-non-tidal wave-dominated environment, with intermediate double-barred beach shoreface morphology, major coastal changes occur following the maximum significant wave height reached during the storm, or else according to maximum wave run-up elevation regarding upper beach impact, a wave height dependant parameter. Inversely storm surge (and water level) alone, as well as total storm energy, do not explain any storm impact scale. Storm-specific datasets indicate that important morphological evolution is observed during moderate storm events (significant wave heights over 2.7. m). Above this threshold, the morphological behaviour changes radically. The main characteristics are a rapid offshore migration of the nearshore bars and large deposition of sand on the upper beach. However, the major morphological changes are associated with even more energetic events. When the significant wave height reaches 5. m, important impacts are observed: breaching and overtopping of natural coastal barriers, and severe dune erosion and impacts to coastal infrastructure on urbanised beaches. Qualitative observations show an important increase in damage when the storm waves reach 5. m. The methods employed can be applied easily to any coastal segment and provide coastal managers with tools to evaluate different coastal evolution and coastal damage induced by storm events. © 2011 Elsevier B.V.</t>
  </si>
  <si>
    <t>2-s2.0-84856673722"</t>
  </si>
  <si>
    <t>10.1016/j.geomorph.2011.07.034</t>
  </si>
  <si>
    <t>https://www.scopus.com/inward/record.uri?eid=2-s2.0-84856674412&amp;doi=10.1016%2fj.geomorph.2011.07.034&amp;partnerID=40&amp;md5=077e58c6ceb62d43535fb142471cdd98</t>
  </si>
  <si>
    <t>The temporal and spatial patterns of storm-induced damage along the Catalan coast (NW Mediterranean) during the last 50 years have been analyzed to identify main climatic and non-climatic forcings. In the absence of systematic data, a storm-induced damage database compiled from press news has been built, which together with an intensity scale has allowed us to characterize the frequency and intensity of damage. Although no temporal trend has been detected in storm-induced hazards, coastal damage has increased at a rate of about 40% per decade during the last 50. years along the Catalan coast. The main non-climatic factors identified controlling this trend were the urban growth along the coastal fringe and the generalized erosive behavior of beaches. The first one increased values at risk and the second one increased their exposure to storm-induced hazards. In spite of the importance of non-climatic factors to modulate coastal damage, an exponential dependence of damages on storm-induced inundation and erosion was detected. In addition to this, storm-induced geomorphic changes along the Ebro delta coast have also been analyzed. During the period analyzed, ""harmful"" storms seem to be clustered, with most of the events being present in the late 1990s and especially from 2001 to 2004, resulting in frequent events of intense beach/barrier breaching, massive overwash and flooding. They are mainly expressed in sensitive areas which are subject to long-term erosional processes and comprise a low-lying profile and a narrow beach. This reflects the role of coastal morphology in controlling the intensity of storm-induced hazards along the deltaic coast. Shoreline evolution rates calculated during this period were significantly larger than the previously recorded ones, reflecting a pulsating erosion behavior where large pulses occur during stormy periods and are reduced during post-storm periods. Under the present scenario of maximum coastal development, storm-induced damage has been reported almost every year which could indicate that the present overall beach configuration status along the Catalan coast has reached its limit for protecting the hinterland against storms. © 2011 Elsevier B.V.</t>
  </si>
  <si>
    <t>2-s2.0-84856674412"</t>
  </si>
  <si>
    <t>10.1080/13658816.2011.627859</t>
  </si>
  <si>
    <t>https://www.scopus.com/inward/record.uri?eid=2-s2.0-84864590791&amp;doi=10.1080%2f13658816.2011.627859&amp;partnerID=40&amp;md5=57e5b3d190b4be6949323f1f30920937</t>
  </si>
  <si>
    <t>Due to the expected future climate change, glacier ice as a resource will be further diminished and its sea-level rise contribution further increased. A key for a more accurate determination of future glacier evolution is to improve our currently sparse knowledge on glacier bedrock topography. Here, we present a simplified method implemented in a geographic information system to approximate subglacial topography at a regional scale from spatial interpolation of local ice thickness values. The latter were derived from an ice-dynamical approach, which relates glacier thickness to its local surface slope, total vertical extent, and basal shear stress. The only input data required are glacier outlines, a set of central branch lines, and a digital elevation model (DEM). The modeled glacier beds are in good agreement with other, more complex modeling approaches and direct measurements. The observed local deviations can be explained with the sensitive dependence of our approach on the surface slope and the different methods used for spatial interpolation. The mean glacier thickness derived here for a sample of 40 glaciers in the Swiss Alps is slightly smaller than that derived from a similar, but scalar approach. Further adjustments of the data processing are possible to achieve agreement with available validation data. However, despite its local inaccuracies, the resulting DEM without glaciers can facilitate several applications such as the detection of overdeepenings or the modeling of future glacier evolution. © 2012 Copyright Taylor and Francis Group, LLC.</t>
  </si>
  <si>
    <t>2-s2.0-84864590791"</t>
  </si>
  <si>
    <t>10.5194/nhess-12-1431-2012</t>
  </si>
  <si>
    <t>https://www.scopus.com/inward/record.uri?eid=2-s2.0-84861305450&amp;doi=10.5194%2fnhess-12-1431-2012&amp;partnerID=40&amp;md5=80e1abfe5320568d1e7e529e6d4853e1</t>
  </si>
  <si>
    <t>Coastal flooding is a problem of increasing relevance in low-lying coastal regions worldwide. In addition to the anticipated increase in likelihood and magnitude of coastal floods due to climate change, there is rapid growth in coastal assets and infrastructure. Sustainable and integrated coastal flood management over large areas and varying coastline types cannot be simply treated as local combinations of flood defences and floodplains. Rather, a system level analysis of floodplains is required to structure the problem as a first step before applying quantitative models. In this paper such a model is developed using system diagrams and the Source-Pathway-Receptor (SPR) concept, to structure our understanding of large and complex coastal flood systems. A graphical systems model is proposed for the assessment of coastal flood systems with regard to individual elements and their topological relationships. Two examples are discussed-a unidirectional model for a large-scale flood system, and a multi-directional model for a smaller-scale system, both based on the Western Scheldt estuary. The models help to develop a comprehensive understanding of system elements and their relationships and provide a holistic overview of the coastal flood system. The approach shows that a system level analysis of floodplains is more effective than simple topographic maps when conveying complex information. The models are shown to be useful as an apriori approach for making the assumptions about flood mechanisms explicit and for informing inputs to numerical models. © 2012 Author(s).</t>
  </si>
  <si>
    <t>2-s2.0-84861305450"</t>
  </si>
  <si>
    <t>10.5194/nhess-12-85-2012</t>
  </si>
  <si>
    <t>https://www.scopus.com/inward/record.uri?eid=2-s2.0-84861540293&amp;doi=10.5194%2fnhess-12-85-2012&amp;partnerID=40&amp;md5=d5e9dde1c4aa04e331bfe7400ad8ea4c</t>
  </si>
  <si>
    <t>Coastal forests are known to protect coastal areas from environmental degradation. In this paper, we examined another important role of coastal forests - to mitigate tsunami devastations to coastal areas. Using a two-dimensional numerical model (Harada and Imamura model, 2005), we evaluated the damping effects of a coastal forest to resist tsunami inundation in Yogyakarta, Indonesia. In the simulations, we set up a two-km long control forest with a representative topography of the study site and experimented its damping performance sensitivity under various width configurations, e.g. 20, 40, 60, 80, 100 and 200 m. The initial tsunami wave was set such that the inundation depth at the front edge of the forest would not exceed 4 m (tree fragility limit). The forest variables such as species, density, DBH, height and canopy size were determined from a typical forest of the site (Casuarina plantation, 4 trees/100 m 2, Diameter at Breast Height Combining double low line =0.20 m). The results showed that coastal forest with 100 m width reduced inundation flux, depth and area by 17.6, 7.0 and 5.7%, respectively. Exponential models were found to describe the relationships between forest width and tsunami inundation transmission. An additional experiment was performed using actual topography and a forest plantation plan with 100 m width for 2.46 km 2. In this experiment, the results showed that the plan would reduce inundation flux by 10.1%, while the exponential model estimated it to be 10.6%, close to the numerical model results. It suggests that statistical models of forest width and damping effects are useful tools for plantation planning, as it allows for quicker evaluation of the impact of coastal forest without simulation modeling that requires a lot of data, time and computing power. © 2012 Author(s). CC Attribution 3.0 License.</t>
  </si>
  <si>
    <t>2-s2.0-84861540293"</t>
  </si>
  <si>
    <t>10.1007/s11069-012-0166-9</t>
  </si>
  <si>
    <t>https://www.scopus.com/inward/record.uri?eid=2-s2.0-84864402882&amp;doi=10.1007%2fs11069-012-0166-9&amp;partnerID=40&amp;md5=691db9f3fb63df4f2b563733c22a202c</t>
  </si>
  <si>
    <t>The 2004 tsunami that struck the Sumatra coast gave a warning sign to Malaysia that it is no longer regarded as safe from a future tsunami attack. Since the event, the Malaysian Government has formulated its plan of action by developing an integrated tsunami vulnerability assessment technique to determine the vulnerability levels of each sector along the 520-km-long coastline of the north-west coast of Peninsular Malaysia. The scope of assessment is focused on the vulnerability of the physical characteristics of the coastal area, and the vulnerability of the built environment in the area that includes building structures and infrastructures. The assessment was conducted in three distinct stages which stretched across from a macro-scale assessment to several local-scale and finally a micro-scale assessment. On a macro-scale assessment, Tsunami Impact Classification Maps were constructed based on the results of the tsunami propagation modelling of the various tsunami source scenarios. At this stage, highly impacted areas were selected for an assessment of the local hazards in the form of local flood maps based on the inundation modelling output. Tsunami heights and flood depths obtained from these maps were then used to produce the Tsunami Physical Vulnerability Index (PVI) maps. These maps recognize sectors within the selected areas that are highly vulnerable to a maximum tsunami run-up and flood event. The final stage is the development of the Structural Vulnerability Index (SVI) maps, which may qualitatively and quantitatively capture the physical and economic resources that are in the tsunami inundation zone during the worst-case scenario event. The results of the assessment in the form of GIS-based Tsunami-prone Vulnerability Index (PVI and SVI) maps are able to differentiate between the various levels of vulnerability, based on the tsunami height and inundation, the various levels of impact severity towards existing building structures, property and land use, and also indicate the resources and human settlements within the study area. Most importantly, the maps could help planners to establish a zoning scheme for potential coastline development based on its sensitivity to tsunami. As a result, some recommendations on evacuation routes and tsunami shelters in the potentially affected areas were also proposed to the Government as a tool for relief agencies to plan for safe evacuation. © 2012 Springer Science+Business Media B.V.</t>
  </si>
  <si>
    <t>2-s2.0-84864402882"</t>
  </si>
  <si>
    <t>10.1007/s11069-012-0196-3</t>
  </si>
  <si>
    <t>https://www.scopus.com/inward/record.uri?eid=2-s2.0-84864404660&amp;doi=10.1007%2fs11069-012-0196-3&amp;partnerID=40&amp;md5=17309f023169ecaa73934a6f42d0c31a</t>
  </si>
  <si>
    <t>The 2004 Indian Ocean tsunami and the 2011 Great Tohoku Japan earthquake and tsunami focused a great deal of the world's attention on the effect of tsunamis on buildings and infrastructure. When a tsunami impacts structures in a coastal community, the structures are often not strong enough to withstand the forces and may collapse. Therefore, to maximize the survival probability, people evacuate to higher ground or move outside the inundation zone. However, this is not always possible because of short warning times for near-field tsunamis. Thus, sheltering-in-place or ""sheltering-near-place"" using vertical evacuation should be considered as an alternative approach to lateral evacuation from a tsunami inundation zone. This paper presents the method and results of a study to develop and demonstrate a methodology that applied genetic optimization to determine optimal tsunami shelter locations with the goal of reducing evacuation time, thereby maximizing the probability of survival for the population in a coastal community. The City of Cannon Beach, Oregon, USA, was used as an illustrative example. Several cases were investigated ranging from a single shelter to multiple shelters with locations of high elevation already in place near the city. The method can provide decision-support for the determination of locations for tsunami vertical evacuation shelters. The optimum location of the shelter(s), which was found to vary depending on the number of shelters considered, can reduce the evacuation time significantly, thereby reducing the number of fatalities and increasing the safety of a community. © 2012 Springer Science+Business Media B.V.</t>
  </si>
  <si>
    <t>2-s2.0-84864404660"</t>
  </si>
  <si>
    <t>10.1080/08920753.2012.692311</t>
  </si>
  <si>
    <t>https://www.scopus.com/inward/record.uri?eid=2-s2.0-84866725170&amp;doi=10.1080%2f08920753.2012.692311&amp;partnerID=40&amp;md5=2cc82e2a77579020bbf49db4f0c13baa</t>
  </si>
  <si>
    <t>It is widely acknowledged that in times of climate change loss of coastal resources and risk for human life can be minimized by implementing adaptation strategies. Such strategies need to encompass a balanced mix of non-structural (institutional) and structural (technical) measures based on sound scientific knowledge. This article discusses measures carried out to protect the city of Venice, Italy from flooding (locally known as ""high water""), and reflects on their ability to anticipate a possible acceleration of sea-level rise as induced by climate change. It is based on scientific literature, legislative and policy documents of key institutions, reports and documents of organizations working on Venice issues, newspaper articles, and interviews. Our analysis shows that the synergic action of the hydraulic defense infrastructure under construction is in principle adequate to withstand a broad range of sea-level rise scenarios for the next 100 years. However, when the goal is to use these investments effectively major changes in the existing institutional arrangements will be required in the years to come. The Venice findings point out the difficulties and yet the importance of identifying and implementing both non-structural and structural measures to adapt to climate change. © 2012 Copyright Taylor and Francis Group, LLC.</t>
  </si>
  <si>
    <t>2-s2.0-84866725170"</t>
  </si>
  <si>
    <t>10.1111/j.1749-8198.2012.00495.x</t>
  </si>
  <si>
    <t>https://www.scopus.com/inward/record.uri?eid=2-s2.0-84862661644&amp;doi=10.1111%2fj.1749-8198.2012.00495.x&amp;partnerID=40&amp;md5=1918b2fc815e8d1c696fd289bd94e0ec</t>
  </si>
  <si>
    <t>This review examines recent literature on economic impacts, vulnerabilities and adaptation to climate change in coastal cities and regions of the developed world. Major areas of focus within this body of literature include study of the economic impacts of extreme events, examination of the economic consequences of sea level rise, and investigation of the multiple factors that influence economic vulnerability and resilience. Despite blossoming interest in the local and regional economic dimensions of climate change, the majority of work on this topic is focused on coastal cities and regions in the Global North. This work is also largely conducted outside the field of economic geography in disciplines that include natural hazards, economics, planning, and human dimensions of global environmental change, among others. While these studies have made important contributions to knowledge about how climate change may affect developed coastal cities and regions, there is substantial room for new engagement by economic geographers. In addition to a clear need for more work on the Global South, areas where economic geographers seem especially well-positioned to contribute include comprehensive assessments of coastal economic impacts which incorporate both market and non-market measures, investigation of the effects of climate change on patterns of growth and spatial inequality across coastal and related inland areas, and development of new theoretical understandings of how changing environmental baselines may influence regional economic growth and decline. © 2012 The Authors. Geography Compass © 2012 Blackwell Publishing Ltd.</t>
  </si>
  <si>
    <t>2-s2.0-84862661644"</t>
  </si>
  <si>
    <t>10.1016/j.gloplacha.2012.06.003</t>
  </si>
  <si>
    <t>https://www.scopus.com/inward/record.uri?eid=2-s2.0-84863478806&amp;doi=10.1016%2fj.gloplacha.2012.06.003&amp;partnerID=40&amp;md5=88f873636adc26e92f65b6023f19afb9</t>
  </si>
  <si>
    <t>The timing of suborbital-scale sea-level fluctuations within Marine Isotope Stage 3 (MIS 3) remains a matter of debate. We use a set of co-registered signals of the sediment core MD05-2897 from the southern South China Sea (SCS) to evaluate the phase relationship between sea-level fluctuations and climatic events during early MIS 3. During Heinrich Stadials 6, 5a and 5 (HS6, HS5a, HS5), planktonic foraminiferal δ 18O values of core MD05-2897 increased by 0.8-1.0‰due to an enrichment of δ 18O in precipitation and/or a reduction of monsoon precipitation. The alkenone-derived sea surface temperature (U 37 K'-SST) recorded 1.0-2.0°C cooling signatures during wintertime of HS6, HS5a and HS5, which were attributed to a stronger influx of cold surface waters from the northern SCS driven by the strengthened winter monsoon. Therefore, a combination of foraminiferal δ 18O and U 37 K'-SST results well documents these Heinrich stadials of the East Asian monsoon climate. Moreover, we find that the terrigenous n-alkane abundance of core MD05-2897, which is independent of changes in vegetation types around the southern SCS throughout MIS 3, is potentially an indicator for relative sea-level changes on suborbital timescale. The n-alkane abundance was relatively higher during the first half of HS6, HS5a and HS5 and afterward significantly decreased during the second half of these Heinrich stadials. This may suggest relatively lower sea level at the beginning of Heinrich stadials and sea-level rises afterward. Our new results add to the growing body of evidence that the timing of millennial-scale sea-level rises during early MIS 3 was simultaneous with Heinrich stadials. © 2012 Elsevier B.V.</t>
  </si>
  <si>
    <t>2-s2.0-84863478806"</t>
  </si>
  <si>
    <t>10.1007/s10668-012-9347-7</t>
  </si>
  <si>
    <t>https://www.scopus.com/inward/record.uri?eid=2-s2.0-84865822684&amp;doi=10.1007%2fs10668-012-9347-7&amp;partnerID=40&amp;md5=76c03d10aa321e096998b11d735d7099</t>
  </si>
  <si>
    <t>The article explored systemic tendencies for state-led development projects in Nigeria, such as the recently concluded Lower Niger River dredging, to compromise indigenous livelihoods. Development research methods were sensitized with James Ferguson's antipolitics machine critique and used to elicit participants' perspectives of the structuring role of the Niger River on their livelihoods, their evaluation of the participatory content of the project and potential project effects on their livelihoods. Participants claimed the Niger River system singularly structures their livelihoods by facilitating recession farming and fishing. In relation to the participatory content and (un)anticipated effects of the dredging project, key informants insisted that it was undemocratically conceived and executed</t>
  </si>
  <si>
    <t>10.1007/s11252-011-0221-4</t>
  </si>
  <si>
    <t>https://www.scopus.com/inward/record.uri?eid=2-s2.0-84861457477&amp;doi=10.1007%2fs11252-011-0221-4&amp;partnerID=40&amp;md5=d68fa6e5ae1b8fe69ce9018c27fe7d53</t>
  </si>
  <si>
    <t>The River Thames through central London has seen significant environmental recovery, particularly in regard to water quality, but a substantial barrier to further ecological improvement is the spatial restriction of riparian areas. Flood defence walls represent a potential habitat for ecological improvements to benefit biodiversity. However before restoration actions are considered, an understanding of the current biodiversity and ecological status of these structures is necessary. Physical habitat and macroinvertebrate richness of flood defence walls at 15, evenly spaced sites along a 32 Km reach in central London were evaluated. We found no longitudinal patterns in total macroinvertebrate richness among our 15 sites, but did find that richness was influenced by wall type. Specifically, we found the highest richness on brick walls and lowest richness on concrete walls. Further, wall sections with algal cover supported significantly higher numbers of macroinvertebrates than sections lacking algal cover. However, reaches of the river where the channel was constricted had fewer macroinvertebrates likely due to scouring flows. These results show that macroinvertebrates of the river walls are influenced by habitat availability (i. e., wall type) and localised river flows. This work suggests that appropriate management of river wall habitats has the potential to enhance the biodiversity of highly modified, urban rivers. © 2011 Springer Science+Business Media, LLC.</t>
  </si>
  <si>
    <t>2-s2.0-84861457477"</t>
  </si>
  <si>
    <t>10.3390/rs4082419</t>
  </si>
  <si>
    <t>https://www.scopus.com/inward/record.uri?eid=2-s2.0-84868113329&amp;doi=10.3390%2frs4082419&amp;partnerID=40&amp;md5=51b8fcb017ef5eed8dd55712ed9e26ec</t>
  </si>
  <si>
    <t>This study evaluates the quality of the Advanced Spaceborne Thermal Emission Radiometer-Global Digital Elevation Model version 2 (ASTER GDEM2) in comparison with the previous version (GDEM1) as well as the Shuttle Radar Topographic Mission (SRTM) DEM and topographic-map-derived DEM (Topo-DEM) using inundation area analysis for the projected location of the Karian dam, Indonesia. In addition, the vertical accuracy of each DEM is evaluated using the Real-Time Kinematic differential Global Positioning Systems (RTK-dGPS) data obtained from an intensive geodetic survey. The results of the inundation area analysis show that GDEM2 produced a higher maximum contour level (MCL) (64 m) than did GDEM1 (55 m), and thus, GDME2 has a better quality. In addition, the GDEM2-derived MCL is similar to those produced by SRTM DEM (69 m) and Topo-DEM (62 m). The improvement in the contour level in GDEM2 is believed to be related to the successful removal of voids (artifacts) and anomalies present in GDEM1. However, our RTK-dGPS results show that the vertical accuracy of GDEM2 is much lower than that of GDEM1 and the other DEMs, which is contradictory to the accuracy stated in the GDEM2 validation document. The vertical profiles of all DEMs show that GDEM2 contains a comparatively large number of undulation effects, thereby resulting in higher root mean square error (RMSE) values. These undulation effects may have been introduced during the GDEM2 validation process. Although the results of this study may be site-specific, it is important that they be considered for the improvement of the next GDEM version.© 2012 by the authors.</t>
  </si>
  <si>
    <t>2-s2.0-84868113329"</t>
  </si>
  <si>
    <t>10.1590/S1679-87592012000300011</t>
  </si>
  <si>
    <t>https://www.scopus.com/inward/record.uri?eid=2-s2.0-84868675115&amp;doi=10.1590%2fS1679-87592012000300011&amp;partnerID=40&amp;md5=f69ff6f0537aa4e4a6e86e67ba27e013</t>
  </si>
  <si>
    <t>The hydrodynamics, morphology and sedimentology of the Taperaçu estuary were investigated. This is one of several estuaries located within the largest mangrove fringe in the world, bordering the Amazon region, subject to a macrotidal regime and regionally atypical negligible fresh water supply. The results reveal widespread sand banks that occupy the central portion of the estuarine crosssection. Well-sorted very fine sandy sediments of marine origin prevail. Shorter flood phases, with substantially higher current velocities, were observed in the upper sector of Taperaçu, as expected for a shallow, friction-dominated estuary. However, ebb domination can be expected for estuaries with large associated mangrove areas and substantial estuarine infilling, both of which situations occur on the Taperaçu. The tidal asymmetry favoring flood currents could be the result of the absence of an effective fluvial discharge. Furthermore, it was observed that the Taperaçu is connected by tidal creeks to the neighboring Caeté estuary, allowing a stronger flux during the flood and intensifying the higher flood currents. As a whole, the results have shown a complex interaction of morphological aspects (friction, fluvial drainage, connections with neighbor estuaries, infilling and large storage area) in determining hydrodynamic patterns, thus improving the understanding of Amazon estuaries.</t>
  </si>
  <si>
    <t>2-s2.0-84868675115"</t>
  </si>
  <si>
    <t>10.1007/s10584-011-0337-9</t>
  </si>
  <si>
    <t>https://www.scopus.com/inward/record.uri?eid=2-s2.0-84859268424&amp;doi=10.1007%2fs10584-011-0337-9&amp;partnerID=40&amp;md5=d5d50bd66c7fd21b69d82ca0f8446341</t>
  </si>
  <si>
    <t>The PESETA project makes a high-resolution integrated assessment of the effects of climate change in Europe in the following impact categories: agriculture, river floods, coastal systems, tourism and human health. Many relevant methodological decisions underlie the multi-disciplinary assessment, such as the selection of the climate scenarios and the economic valuation of the physical impacts. The main purpose of this article is to document the methodological framework of the PESETA project, identifying also where further research is required. How the different sources of uncertainty have been addressed in the project is explicitly analysed, including the climate change scenarios and the various sectoral methodologies. © 2011 Springer Science+Business Media B.V.</t>
  </si>
  <si>
    <t>2-s2.0-84859268424"</t>
  </si>
  <si>
    <t>10.5194/nhess-12-495-2012</t>
  </si>
  <si>
    <t>https://www.scopus.com/inward/record.uri?eid=2-s2.0-84861550026&amp;doi=10.5194%2fnhess-12-495-2012&amp;partnerID=40&amp;md5=c99ea7a9c9f71747d5e13bc644ec010c</t>
  </si>
  <si>
    <t>This paper presents an advanced approach to statistically analyse storm surge events. In former studies the highest water level during a storm surge event usually was the only parameter that was used for the statistical assessment. This is not always sufficient, especially when statistically analysing storm surge scenarios for event-based risk analyses. Here, Archimedean Copula functions are applied and allow for the consideration of further important parameters in addition to the highest storm surge water levels. First, a bivariate model is presented and used to estimate exceedance probabilities of storm surges (for two tide gauges in the German Bight) by jointly analysing the important storm surge parameters ""highest turning point"" and ""intensity"". Second, another dimension is added and a trivariate fully nested Archimedean Copula model is applied to additionally incorporate the significant wave height as an important wave parameter. With the presented methodology, reliable and realistic exceedance probabilities are derived and can be considered (among others) for integrated flood risk analyses contributing to improve the overall results. It is highlighted that the concept of Copulas represents a promising alternative for facing multivariate problems in coastal engineering. © 2012 Author(s) CC Attribution 3.0 License.</t>
  </si>
  <si>
    <t>2-s2.0-84861550026"</t>
  </si>
  <si>
    <t>10.3354/cr01069</t>
  </si>
  <si>
    <t>https://www.scopus.com/inward/record.uri?eid=2-s2.0-84860197916&amp;doi=10.3354%2fcr01069&amp;partnerID=40&amp;md5=0016eee03ab41056193e986d46ea53a7</t>
  </si>
  <si>
    <t>Rising global sea level increases the vulnerability of coastal regions to storm surge flooding. The impact of extreme high waters resulting from the combination of tidal oscillations and changes in mean sea level and in storm surges during the 21st century has been explored in the Bizkaian coast (northern Spain). Mean sea level variations due to temperature changes were estimated from an ensemble mean of global atmosphere-ocean general circulation models in the Bay of Biscay under A1B and A2 climate change scenarios. Changes in the frequency and intensity of storm surges were obtained from the output of a barotropic regional ocean model forced by greenhouse gas concentrations during 2000-2100. The storm surge model was calibrated using available tide gauge observations. Based on the above estimations, return levels of total sea level extremes are expected to increase by up to 40 cm with respect to present-day values. The likely impacts of resulting floods on coastal and estuarine habitats of the Bizkaian coast were assessed applying the return levels to a high precision light detection and ranging (LiDAR) based Digital Terrain Model. Results show that during the second half of the 21st century up to 202 ha are under risk of flooding, of which 50% correspond to urbanized land including industrial and residential areas. This represents a more than 3-fold increase compared to the area at risk from present sea level extremes. This study provides insight into both regional sea level variability and local floodrisks, and thus provides inputs for the formulation of effective mid-term adaptation measures to sea level extremes. © Inter-Research 2012.</t>
  </si>
  <si>
    <t>2-s2.0-84860197916"</t>
  </si>
  <si>
    <t>10.1016/j.geomorph.2011.06.040</t>
  </si>
  <si>
    <t>https://www.scopus.com/inward/record.uri?eid=2-s2.0-84857634552&amp;doi=10.1016%2fj.geomorph.2011.06.040&amp;partnerID=40&amp;md5=fc7192b0c5f8a99c363a39aebbc97c7d</t>
  </si>
  <si>
    <t>A sufficiently detailed floodplain typology is assumed to be useful in the estimation of local flood risk, planning flood control and river restoration measures and for the survey of landscape ecological patterns. Although floodplains are defined by a range of hydrological, geomorphological and geoecological criteria, floodplain classification should start with geomorphometric characterization of stream channels and floodplains in a valley setting. The study areas selected for the geomorphometric analyses are two representative catchments in the hill regions of Southwest-Hungary: the Kapos River, a river of medium size by Hungarian standards (a tributary of the Sió Canal and of the Danube), and a small tributary in the Drava River system, the Bükkösd Stream. For the delimitation and characterization of their floodplains Digital Elevation Models (DEMs), archive military surveys, and topographic maps have been used. The diagnostic parameters selected for the classification are floodplain width, floodplain (or valley floor) slope, valley confinement (expressed by a longitudinal profile index, LPI), channel sinuosity (indicating river mechanism), and valley depth. They have been analyzed in relationship with the distribution of tributary confluences along the river longitudinal profile. Currently, a large majority of watercourses in the region are channelized and some are dammed for fish-ponds, but the present-day floodplains had been built earlier by seminatural streams. Therefore, the classification is based on pre-regulation floodplain conditions (reconstructed from archive sources), which should be target conditions for any future management or restoration efforts. A visual comparison of the distribution of floodplain parameter values along the longitudinal profile shows that the LPI index is a useful tool for the characterization of the floodplain segments. The floodplain types are classified as 1) no floodplain (LPI values are &gt;. 0.25, mostly &gt;. 0.5)</t>
  </si>
  <si>
    <t>10.1111/j.1365-2486.2012.02736.x</t>
  </si>
  <si>
    <t>https://www.scopus.com/inward/record.uri?eid=2-s2.0-84864583760&amp;doi=10.1111%2fj.1365-2486.2012.02736.x&amp;partnerID=40&amp;md5=9b920eab9459e45bf4b90953861f7839</t>
  </si>
  <si>
    <t>Sea-level rise (SLR) due to global warming will result in the loss of many coastal areas. The direct or primary effects due to inundation and erosion from SLR are currently being assessed; however, the indirect or secondary ecological effects, such as changes caused by the displacement of human populations, have not been previously evaluated. We examined the potential ecological consequences of future SLR on &gt;1,200 islands in the Southeast Asian and the Pacific region. Using three SLR scenarios (1, 3, and 6 m elevation, where 1 m approximates most predictions by the end of this century), we assessed the consequences of primary and secondary SLR effects from human displacement on habitat availability and distributions of selected mammal species. We estimate that between 3–32% of the coastal zone of these islands could be lost from primary effects, and consequently 8–52 million people would become SLR refugees. Assuming that inundated urban and intensive agricultural areas will be relocated with an equal area of habitat loss in the hinterland, we project that secondary SLR effects can lead to an equal or even higher percent range loss than primary effects for at least 10–18% of the sample mammals in a moderate range loss scenario and for 22–46% in a maximum range loss scenario. In addition, we found some species to be more vulnerable to secondary than primary effects. Finally, we found high spatial variation in vulnerability: species on islands in Oceania are more vulnerable to primary SLR effects, whereas species on islands in Indo-Malaysia, with potentially 7–48 million SLR refugees, are more vulnerable to secondary effects. Our findings show that primary and secondary SLR effects can have enormous consequences for human inhabitants and island biodiversity, and that both need to be incorporated into ecological risk assessment, conservation, and regional planning.</t>
  </si>
  <si>
    <t>10.1007/s10236-012-0543-7</t>
  </si>
  <si>
    <t>https://www.scopus.com/inward/record.uri?eid=2-s2.0-84865695822&amp;doi=10.1007%2fs10236-012-0543-7&amp;partnerID=40&amp;md5=1ee2ba1a99f9251d06da325b511ea4ec</t>
  </si>
  <si>
    <t>Sea level comprises a mean level, tidal elevation and a residual elevation. Knowledge of what causes maximum water levels is often key in coastal management. However, different methods to extract deviations in water level (residuals) from modelled and observed elevation can give different results. The Dee Estuary, northwest England is a macrotidal estuary that undergoes periodic stratification. It is used here to demonstrate methods to extract the residual water level in response to the following interactive processes: tidal, river-induced stratification and flow, meteorology and waves. Using modelling techniques, the interaction and contribution of different physical processes are investigated. Classical harmonic tidal analysis, model simulations and filtering techniques have been used to ""de-tide"" the total elevation for short-term (approximately month long) records. Each technique gives a different result highlighting the need to select the correct method for a required study. Analysis of the residual components demonstrates that all processes inducing residuals interact with the tide generating a semi-diurnal residual component. It is suggested that modelling methods enable the full effect of tidal interaction to remain in the residual, whilst harmonic tidal analysis (partly) modify and filtering methods (fully) remove this component of the residual. The analysis methods presented and their influences on the resultant residual are applicable to other study sites. However, when applied specifically to the mouth of the Dee Estuary, the external surge is found to be the main contributor to the total residual, whilst local wind and stratification effects are of secondary importance. © Springer-Verlag 2012.</t>
  </si>
  <si>
    <t>2-s2.0-84865695822"</t>
  </si>
  <si>
    <t>Water Wheel</t>
  </si>
  <si>
    <t>https://www.scopus.com/inward/record.uri?eid=2-s2.0-84863492715&amp;partnerID=40&amp;md5=33fd05bda906590c6298abc2ee26f197</t>
  </si>
  <si>
    <t>The South African Environmental Observation Network (SAEON) is the principal investigator in a study to examine the influence of predicted climate change and sea-level change on the diversity, distribution, abundance and community composition of salt marshes in selected estuaries in South Africa. Coastal wetlands could experience substantial losses as a result of sea-level rise. These economically valuable ecosystems are highly productive and provide a number of important functions, such as flood and storm protection, waste assimilation, nursery areas for fisheries, supply or organic matter to estuarine and marine environments and nature conservation. If salt marshes are to survive rising water levels, they must be able to accrete at a rate such that surface elevations gain is sufficient to offset the rate of water level rise. A number of studies have shown that coastal marshes are able to accrete at a rate equal to the historical rate of eustatic sea-level rise.</t>
  </si>
  <si>
    <t>2-s2.0-84863492715"</t>
  </si>
  <si>
    <t>10.2112/JCOASTRES-D-11-00126.1</t>
  </si>
  <si>
    <t>https://www.scopus.com/inward/record.uri?eid=2-s2.0-84864257257&amp;doi=10.2112%2fJCOASTRES-D-11-00126.1&amp;partnerID=40&amp;md5=3f3d1f8aeaab9cce352f5101239a9edd</t>
  </si>
  <si>
    <t>A raster-based, spatially distributed implementation of the storm impact scale, designed to assess barrier island vulnerability, is presented. The two core topographic parameters of the scale, dune ridge and dune toe elevation, are extracted from a high-resolution, light detection and ranging (LIDAR)-derived digital elevation model (DEM). In addition, the beach slope, necessary to compute wave run-up, is extracted from the beach face. Innovative implementation of least cost path analysis and a physics-based model of an elastic sheet are used to map the dune ridge and dune toe. The robustness and efficiency of the topographic feature extraction method is demonstrated along 4 km of shoreline in Pea Island, Outer Banks, North Carolina. © 2012 Coastal Education &amp; Research Foundation.</t>
  </si>
  <si>
    <t>2-s2.0-84864257257"</t>
  </si>
  <si>
    <t>Journal of Economic Behavior and Organization</t>
  </si>
  <si>
    <t>10.1016/j.jebo.2012.01.005</t>
  </si>
  <si>
    <t>https://www.scopus.com/inward/record.uri?eid=2-s2.0-84857298918&amp;doi=10.1016%2fj.jebo.2012.01.005&amp;partnerID=40&amp;md5=81f9bf1e36085d3c1c7d6038bd6487f0</t>
  </si>
  <si>
    <t>Natural disasters may increase in frequency and severity in the future as a result of climate change, which is likely to have an impact on the demand for natural disaster insurance. Insights about individual risk beliefs and behavioural responses to changing risks are relevant for insurers, as it allows them, for example, to estimate the demand for new insurance products that cover weather-related damage. This study elicits individual risk beliefs and the demand for low-probability, high-impact flood insurance using the contingent valuation survey method among approximately 1000 homeowners in the Dutch river delta. This study is of practical relevance since currently flood insurance is not available in the Netherlands, while insurers have been considering to provide such insurance. Individuals generally do not behave in accordance with the expected utility model since a significant proportion of homeowners neglect the low-probability flood risk. The willingness-to-pay (WTP) of those individuals who demand flood insurance is on average considerably higher than the expected value of the flood risk they face. Moreover, the WTP for flood insurance is less than proportionally related to increased flood probabilities that were presented to respondents in the questionnaire. Individuals follow a process of Bayesian updating of flood probabilities, since perceptions of flood risk are an important determinant of the WTP, while objective risks derived from geographical characteristics influence the WTP to a lesser extent. Communication of baseline probabilities and changes in flood probabilities using risk ladders facilitate the comprehension of risk by respondents, and has a considerable effect on the level of the WTP and its sensitivity to probability changes. The results indicate that the current ex post public compensation scheme of flood damage lowers demand for private insurance. © 2012 Elsevier B.V.</t>
  </si>
  <si>
    <t>2-s2.0-84857298918"</t>
  </si>
  <si>
    <t>10.1002/hyp.8268</t>
  </si>
  <si>
    <t>https://www.scopus.com/inward/record.uri?eid=2-s2.0-84861228116&amp;doi=10.1002%2fhyp.8268&amp;partnerID=40&amp;md5=4be109db68fb1ea38028b601156e5521</t>
  </si>
  <si>
    <t>This work proposes a method for detecting inundation between semi-diurnal low and high water conditions in the northern Gulf of Mexico using high-resolution satellite imagery. Radarsat 1, Landsat imagery and aerial photography from the Apalachicola region in Florida were used to demonstrate and validate the algorithm. A change detection approach was implemented through the analysis of red, green and blue (RGB) false colour composites image to emphasise differences in high and low tide inundation patterns. To alleviate the effect of inherent speckle in the SAR images, we also applied ancillary optical data. The flood-prone area for the site was delineated a priori through the determination of lower and higher water contour lines with Landsat images combined with a high-resolution digital elevation model. This masking technique improved the performance of the proposed algorithm with respect to detection techniques using the entire Radarsat scene. The resulting inundation maps agreed well with historical aerial photography as the probability of detection reached 83%. The combination of SAR data and optical images, when coupled with a high-resolution digital elevation model, was shown to be useful for inundation mapping and have a great potential for evaluating wetting/drying algorithms of inland and coastal hydrodynamic models. © 2011 John Wiley &amp; Sons, Ltd.</t>
  </si>
  <si>
    <t>2-s2.0-84861228116"</t>
  </si>
  <si>
    <t>10.5194/nhess-12-1277-2012</t>
  </si>
  <si>
    <t>https://www.scopus.com/inward/record.uri?eid=2-s2.0-84860621162&amp;doi=10.5194%2fnhess-12-1277-2012&amp;partnerID=40&amp;md5=3d3adc9dd1562358bd1b9be4c84f9b97</t>
  </si>
  <si>
    <t>A large rock avalanche occurred at 03:27:30 PDT, 6 August 2010, in the Mount Meager Volcanic Complex southwest British Columbia. The landslide initiated as a rock slide in Pleistocene rhyodacitic volcanic rock with the collapse of the secondary peak of Mount Meager. The detached rock mass impacted the volcano's weathered and saturated flanks, creating a visible seismic signature on nearby seismographs. Undrained loading of the sloping flank caused the immediate and extremely rapid evacuation of the entire flank with a strong horizontal force, as the rock slide transformed into a debris flow. The disintegrating mass travelled down Capricorn Creek at an average velocity of 64 m s -1, exhibiting dramatic super-elevation in bends to the intersection of Meager Creek, 7.8 km from the source. At Meager Creek the debris impacted the south side of Meager valley, causing a runup of 270 m above the valley floor and the deflection of the landslide debris both upstream (for 3.7 km) and downstream into the Lillooet River valley (for 4.9 km), where it blocked the Lillooet River river for a couple of hours, approximately 10 km from the landslide source. Deposition at the Capricorn-Meager confluence also dammed Meager Creek for about 19 h creating a lake 1.5 km long. The overtopping of the dam and the predicted outburst flood was the basis for a night time evacuation of 1500 residents in the town of Pemberton, 65 km downstream. High-resolution GeoEye satellite imagery obtained on 16 October 2010 was used to create a post-event digital elevation model. Comparing pre- and post-event topography we estimate the volume of the initial displaced mass from the flank of Mount Meager to be 48.5 × 10 6 m 3, the height of the path (H) to be 2183 m and the total length of the path (L) to be 12.7 km. This yields H/L Combining double low line 0.172 and a fahrböschung (travel angle) of 9.75°. The movement was recorded on seismographs in British Columbia and Washington State with the initial impact, the debris flow travelling through bends in Capricorn Creek, and the impact with Meager Creek are all evident on a number of seismograms. The landslide had a seismic trace equivalent to a M Combining double low line 2.6 earthquake. Velocities and dynamics of the movement were simulated using DAN-W. The 2010 event is the third major landslide in the Capricorn Creek watershed since 1998 and the fifth large-scale mass flow in the Meager Creek watershed since 1930. No lives were lost in the event, but despite its relatively remote location direct costs of the 2010 landslide are estimated to be in the order of $10 M CAD. © Author(s) 2012.</t>
  </si>
  <si>
    <t>2-s2.0-84860621162"</t>
  </si>
  <si>
    <t>10.1007/s13157-011-0229-9</t>
  </si>
  <si>
    <t>https://www.scopus.com/inward/record.uri?eid=2-s2.0-84863719139&amp;doi=10.1007%2fs13157-011-0229-9&amp;partnerID=40&amp;md5=ab0242de7a3f7ce592a2a0f05f242a5f</t>
  </si>
  <si>
    <t>Regulated flow releases are key components in the ecological restoration of river ecosystems. Understanding relationships among hydrology, habitat inundation, and ecological processes at appropriate spatial scales is required to optimise ecological outcomes. This study used highresolution remotely sensed data to develop a threedimensional (3D) channel and floodplain riverine habitat inundation model. High-resolution LiDAR and digital imagery data were used to develop 3D digital-elevation models. Data segmentation techniques were used to map channel and non-channel areas, while in-channel habitats were identified through topographic characteristics. Objectoriented analysis was used to separate overbank vegetated and non-vegetated areas. Field surveys were undertaken to record the location and diameter of large woody debris (LWD), and canopy foliar density in addition to general landscape description. A qualitative evaluation of the accuracy of the habitat map showed that LiDAR-based discrimination of topographic features and the derivation of a canopy foliar density layer was successful. Mapping of LWD was unsuccessful due to size relative to the LiDAR point cloud density and vertical resolution. The highresolution remotely sensed data used in this study provide a useful tool for understanding river processes at reach scales by linking inundation patterns to geomorphic features, providing a framework for predicting ecological outcomes from river flow regimes. © Society of Wetland Scientists 2011.</t>
  </si>
  <si>
    <t>2-s2.0-84863719139"</t>
  </si>
  <si>
    <t>10.1007/s11069-012-0261-y</t>
  </si>
  <si>
    <t>https://www.scopus.com/inward/record.uri?eid=2-s2.0-84866021682&amp;doi=10.1007%2fs11069-012-0261-y&amp;partnerID=40&amp;md5=b1852e615403f245631f21751d76a2a1</t>
  </si>
  <si>
    <t>The Indian Ocean tsunami event of December 26, 2004 not only left massive casualties and economic damages, but also raised concerns about the destruction and recovery of coastal ecosystems. This work aimed to analyze the spatial patterns and temporal trajectories of vegetation damage and recovery using a multisensor multitemporal remote sensing, dataset. Using the study area of Koh Phra Thong, Thailand as a case study, we demonstrate the capabilities of remote sensing analysis in assessing the consequences of an extreme flooding event on the dynamics of coastal vegetation. Field surveys and satellite mid-resolution multispectral satellite data covering the period from February 2003 to December 2009 were used to map flooded areas and coastal vegetation loss and recovery following the tsunami. Normalized Difference Reflectance change detection was performed to map the extent of flooded areas. Vegetation Fraction Cover derived using spectral unmixing techniques was used to study the multitemporal changes in coastal vegetation after the event. Vegetation change detection techniques were applied to characterize the vegetation cover changes in two different time frames: short-term changes (from 4 days to 1 year after the event), and long-term dynamics (up to 5 years after). Estimates of vegetation change (decline, recovery, and gain) were quantified and mapped, with extreme vegetation losses found directly after the tsunami (up to 79 % in flooded areas). After 1 year, different trends had developed, indicating that recovering vegetation had reached up to 55 % of pre-tsunami land cover, but with different trajectories for each vegetation type. © 2012 Springer Science+Business Media B.V.</t>
  </si>
  <si>
    <t>2-s2.0-84866021682"</t>
  </si>
  <si>
    <t>Atmospheric Environment</t>
  </si>
  <si>
    <t>10.1016/j.atmosenv.2011.12.023</t>
  </si>
  <si>
    <t>https://www.scopus.com/inward/record.uri?eid=2-s2.0-84862818718&amp;doi=10.1016%2fj.atmosenv.2011.12.023&amp;partnerID=40&amp;md5=041a125dd2c50f9225877fbdb44ab29e</t>
  </si>
  <si>
    <t>In this work we investigated an air pollution episode during the landfall process of a tropical cyclone (TC) in Hong Kong. TCs affect air condition and account for most air pollution episodes in summer of this region. In August 2008, TC Nuri made direct landfall in Hong Kong. Before its landfall, an air pollution episode occurred, where major pollutants like SO 2 and PM 10 increased eight and six times higher respectively. Rather than using single measurement method, we combined ground air sampling, lidar, sunphotometer and satellite lidar CALIPSO with focus on aerosol to study the episode mechanism, and some new phenomena were found. During the episode, it was found that heavy inland aerosol plumes existed in areas larger than urbanized regions and were elevated vertically and transported southward. During episode, planetary boundary layer (PBL) expansion and height increase were observed, which is different from previous reported PBL compression and height decrease. While vertical subsidence and horizontal stagnation and consequently local aerosol accumulation were attributed as the main episode cause in previous cases, our observation showed that transported aerosols dominated in this TC landfall event. This can be further confirmed by examining aerosol chemical composition, size distribution and single scattering albedo, where transported related species showed significantly change and local indicators remained relatively stable. Invigorated cloud droplets were found on the boundary layer top upon aerosol elevation. The results indicate that site difference and TC tracks should be considered for analyzing episode formation mechanism. They can cause difference in the strength of vertical subsidence and horizontal advection and affect pollution flow direction, which subsequently results in different pollution formation processes. © 2011 Elsevier Ltd.</t>
  </si>
  <si>
    <t>2-s2.0-84862818718"</t>
  </si>
  <si>
    <t>Contributions to Mineralogy and Petrology</t>
  </si>
  <si>
    <t>10.1007/s00410-012-0733-9</t>
  </si>
  <si>
    <t>https://www.scopus.com/inward/record.uri?eid=2-s2.0-84864373269&amp;doi=10.1007%2fs00410-012-0733-9&amp;partnerID=40&amp;md5=8e35d07b1ec53dd379de13656c6707e4</t>
  </si>
  <si>
    <t>An array of samples from the eastern Upper Basin Member of the Plateau Rhyolite (EUBM) in the Yellowstone Plateau, Wyoming, were collected and analyzed to evaluate styles of deposition, geochemical variation, and plausible sources for low δ 18O rhyolites. Similar depositional styles and geochemistry suggest that the Tuff of Sulphur Creek and Tuff of Uncle Tom's Trail were both deposited from pyroclastic density currents and are most likely part of the same unit. The middle unit of the EUBM, the Canyon flow, may be composed of multiple flows based on a wide range of Pb isotopic ratios (e. g., 206Pb/ 204Pb ranges from 17. 54 to 17. 86). The youngest EUBM, the Dunraven Road flow, appears to be a ring fracture dome and contains isotopic ratios and sparse phenocrysts that are similar to extra-caldera rhyolites of the younger Roaring Mountain Member. Petrologic textures, more radiogenic 87Sr/ 86Sr in plagioclase phenocrysts (0. 7134-0. 7185) than groundmass and whole-rock ratios (0. 7099-0. 7161), and δ 18O depletions on the order of 5‰ found in the Tuff of Sulphur Creek and Canyon flow indicate at least a two-stage petrogenesis involving an initial source rock formed by assimilation and fractional crystallization processes, which cooled and was hydrothermally altered. The source rock was then lowered to melting depth by caldera collapse and remelted and erupted. The presence of a low δ 18O extra-caldera rhyolite indicates that country rock may have been hydrothermally altered at depth and then assimilated to form the Dunraven Road flow. © 2012 Springer-Verlag.</t>
  </si>
  <si>
    <t>2-s2.0-84864373269"</t>
  </si>
  <si>
    <t>10.2166/nh.2012.114</t>
  </si>
  <si>
    <t>https://www.scopus.com/inward/record.uri?eid=2-s2.0-84865159452&amp;doi=10.2166%2fnh.2012.114&amp;partnerID=40&amp;md5=b065265a8efd4eb21139b5337a283c06</t>
  </si>
  <si>
    <t>Hydraulic modelling is widely used for deriving flood hazard maps featuring depth of flooding and flow velocity from discharge scenarios. Due to uncertainties about flow conditions or inaccurate terrain models, flood hazards maps obtained from hydraulic modelling may be of limited relevance and accuracy. Hydraulic modelling is particularly challenging in Arctic regions, where ice jams lead to flooding in areas that would not be subjected to inundation under open-water conditions. As numerical models of ice jam processes require information that may be difficult and expensive to collect, an alternative approach based on the photo interpretation of documented historical events is presented here. Orthophotographs and a digital elevation model at high resolution are used to support the photo interpretation process. Tested in an Icelandic watershed prone to ice jam floods, reconstructions provide locally unprecedented and robust information on the extent and depth of flooding of inundations induced by ice jams. © 2012 IWA Publishing.</t>
  </si>
  <si>
    <t>2-s2.0-84865159452"</t>
  </si>
  <si>
    <t>10.1080/01431161.2012.663113</t>
  </si>
  <si>
    <t>https://www.scopus.com/inward/record.uri?eid=2-s2.0-84863243789&amp;doi=10.1080%2f01431161.2012.663113&amp;partnerID=40&amp;md5=34ce40033a7fee512ca93412d26d6aad</t>
  </si>
  <si>
    <t>Energy consumption in China is currently based on coal, but the exploitation of coal resources is accompanied by serious threats to the environment. In order to balance mine exploitation, land resource protection and land reclamation, there is an opportunity for monitoring land subsidence in mining area. This article examines a case study of Yanzhou mining area (YZMA) and proposes a new method for dynamic monitoring of land subsidence, which is a hybrid approach using a combination of multi-scale edge detection, relational model establishment and digital elevation model (DEM) difference analysis. A wavelet transform is used to extract the edges of water and marsh, which are buffered with the model to achieve the acquisition of the subsidence edge. DEM difference analysis is finally used to modify the results. The results indicate that this hybrid method improves subsidence monitoring performance by ±0.02 km2 of the area accuracy. This method can be viewed as an effective approach to monitor a wide range of land subsidence in plain mining areas of China. © 2012 Copyright Taylor and Francis Group, LLC.</t>
  </si>
  <si>
    <t>2-s2.0-84863243789"</t>
  </si>
  <si>
    <t>Geologia Croatica</t>
  </si>
  <si>
    <t>10.4154/gc.2012.01</t>
  </si>
  <si>
    <t>https://www.scopus.com/inward/record.uri?eid=2-s2.0-84858629203&amp;doi=10.4154%2fgc.2012.01&amp;partnerID=40&amp;md5=d7e72b09029a245aee695e2c8baacff3</t>
  </si>
  <si>
    <t>The Palaeogene Promina Beds (PB), exposed in the Dinaric coastal range, is about a 2km thick heterogeneous succession representing a late sedimentary fill of the North Dalmatian foreland basin. The paper focuses on the middle part of the PB represented by a prominent transgressive unit. The study of this unit is based on field mapping, logging and facies analysis, as well as the investigation of stratigraphic surfaces and facies successions. The unit extends for more than 63km, along the entire basin. Deposition began transgressively over both alluvial deposits of the Lower PB and karstified basin basement. Along its extent the studied unit may be represented either by stacked (highfrequency), marine transgressive-regressive cycles, by lacustrine deposits, mainly limestones, or by a single, marine limestone unit. An ideal transgressive-regressive cycle includes a transgressive segment of limestones, and a regressive segment of storm-wave dominated shelf to gravelly beachface (coarsening-upward) deposits. Gravelly beaches are represented by several types. One of them included the steeply inclined, lower beachface which is situated below the intertidal zone. The cycles are separated by lower-rank discontinuity surfaces (flooding surfaces), while their two segments are separated by a lower-rank transgressive-regressive turnaround surface. Lacustrine deposits originated due to a rise in groundwater induced by a sea-level rise basinwards. The deposition of a single limestone unit resulted from a transgressive onlap over uplifted, Eocene and Cretaceous carbonates of the basin basement. The end of the transgression is marked by condensation processes indicated by glauconite, skeletal debris, planktonic foraminifera and hardgrounds, and a major transgressive-regressive turnaround. The subsequent evolution is almost uniform along the entire extent of the studied unit, and includes shelf to delta and shelf to beach cycles of the highstand. The studied allostratigraphic unit is here given a formal name: the Novigrad Alloformation.</t>
  </si>
  <si>
    <t>2-s2.0-84858629203"</t>
  </si>
  <si>
    <t>Geodetski Vestnik</t>
  </si>
  <si>
    <t>10.15292/geodetski-vestnik.2012.04.802-813</t>
  </si>
  <si>
    <t>https://www.scopus.com/inward/record.uri?eid=2-s2.0-84872325992&amp;doi=10.15292%2fgeodetski-vestnik.2012.04.802-813&amp;partnerID=40&amp;md5=a30fd86fa7827abe02a994f512e096cf</t>
  </si>
  <si>
    <t>In September 2010, one of the greatest floods in recent decades affected Slovenia, following intense rain between September 16th and 19th. Members of the Anton Melik Geographical Institute of the Scientific Research Centre of the Slovenian Academy of Sciences and Arts made their first terrestrial oblique imaging of the floods on Ljubljansko Barje (the Ljubljana moor) from Sv. Ana hill over Podpeč on the September 20th, 2010. The floods on the Ljubljana moor, Radensko polje and Dobrepolje were later also covered with handheld imaging made from helicopter on September 23rd, 2010. Terrestrial imaging was made in the time of the highest waters and the imaging from helicopter when the floods were retreating. The floods on Ljubljana moor around Podpeč are presented. Images made with the Canon PowerShot SX10 IS non-metric camera were used. The camera was calibrated afterwards, but the calibration data could not be used directly due to not knowing the parameters of zoom in the time of imaging.The flooding boundary was measured from the non-metric images with the interactive orientation of image on the DEM. The results of interactive orientation of non-metric images made with the photogrammetrically derived DEM with a cell size of 5 m × 5 m and LiDAR derived DEM with a cell size of 1 m × 1 m are presented. The evaluation of the method for the 3D data acquisition is also made.</t>
  </si>
  <si>
    <t>2-s2.0-84872325992"</t>
  </si>
  <si>
    <t>10.1007/s11434-011-4786-3</t>
  </si>
  <si>
    <t>https://www.scopus.com/inward/record.uri?eid=2-s2.0-84856227293&amp;doi=10.1007%2fs11434-011-4786-3&amp;partnerID=40&amp;md5=84ab6162c874d3baf274d39ec8ecefcc</t>
  </si>
  <si>
    <t>Archaeological analysis of a section of ancient rice fields at Tianluoshan for diatoms, seeds and phytoliths has shown that the highest local sea level in eastern China during the Holocene appeared before 7.0 ka BP. Entering the Mid-Holocene, as seawater regressed, a vast wetland plain appeared in the coastal area, where farmers of the Neolithic Hemudu culture cultivated rice. However, there were still several sea-level fluctuations in the Mid-Holocene, of which the biggest were from 6.4 to 6.3 ka BP and from 4.6 to 2.1 ka BP. In addition, in the period dominated by wetland grass vegetation, 6.3 to 4.6 ka BP, smaller fluctuations apparently pushed the coastline back on to the land. Even though the sea-level rises associated with these shoreline transgressions did not have the intensity of the highest sea level period, there still would have been profound impacts on the lives and production activities of people living in the region. Archaeological evidence from ancient rice fields at Tianluoshan shows that larger sea-level rise events pushed seawater onto the land and inundated large areas of rice fields, whereas weaker sea-level rise events resulted in the intrusion of seawater along rivers, causing an increase in soil salinity and a decrease in rice yields. The impact of sea-level rise on rice cultivation caused changes in local diet. In regions where rice production fell, the prevalence of gathering and hunting rose. High sea levels in the early Holocene imply that the origin of rice cultivation in the eastern coastal plain is likely to have been in small nearby mountain basins. © 2011 Science China Press and Springer-Verlag Berlin Heidelberg.</t>
  </si>
  <si>
    <t>2-s2.0-84856227293"</t>
  </si>
  <si>
    <t>10.1007/s11069-011-9905-6</t>
  </si>
  <si>
    <t>https://www.scopus.com/inward/record.uri?eid=2-s2.0-84855299776&amp;doi=10.1007%2fs11069-011-9905-6&amp;partnerID=40&amp;md5=e5275e8e5121e97902410edbc69d16e7</t>
  </si>
  <si>
    <t>Since coastal tourism is one of the fastest growing sectors of tourism industry, coastal areas have become increasingly vulnerable in the case of flooding. While in recent years a number of different methods have been put forward to map coastal flood risks, the implications of tourism dynamics for the assessment of human casualties has remained largely overlooked in these models. This chapter examines to what extent the ignorance of (residential) coastal tourism may bias the calculations of human casualties. To this end, a case study has been conducted on the Belgian coast. Both the dynamic nature of coastal tourism and the behaviour of residential tourists in storm surge scenarios are considered. The results of this study show that including tourism dynamics in flood risk management is justified and appropriate, depending on the tourist attractiveness of the flood-prone area and its temporal fluctuations. © 2011 Springer Science+Business Media B.V.</t>
  </si>
  <si>
    <t>2-s2.0-84855299776"</t>
  </si>
  <si>
    <t>10.4038/jnsfsr.v40i1.4169</t>
  </si>
  <si>
    <t>https://www.scopus.com/inward/record.uri?eid=2-s2.0-84859204685&amp;doi=10.4038%2fjnsfsr.v40i1.4169&amp;partnerID=40&amp;md5=a3404df18ab937e7dfce5bb4a72cd58b</t>
  </si>
  <si>
    <t>Mapping coastal inlets and their catchment areas is essential for management of the coastal zone. The coastal inlets are important channels of exchange of nutrients, water and sediment between the land and sea. They are also important elements of the coastal hydrological system and play a vital role in controlling the water flow into the sea during floods. Blocking of the coastal inlets is one of the main causes of flooding in the lower reaches of the major rivers in Sri Lanka. Delineation of the boundaries of inlet catchments is essential for modelling the inlet processes and this is normally done using elevation data. The traditional sources of elevation data are the topographic maps. In Sri Lanka, detailed topographic maps (1:10,000) are available only for a limited area, and the rest of the country is covered by 1:50,000 and 1:63,360 maps. The low resolution maps are not sufficiently detailed in areas of low relief, such as the coastal lowlands. As a result, the catchment boundaries based on these data sources are not accurate enough for inlet studies. Two alternative sources of elevation data that can be used for this type of studies are the shuttle radar topography mission (SRTM) global data set and light detection and ranging (LiDAR) data (5 m) available for a limited area of the coastal belt. This study compares the traditional map data for the Galle district with the SRTM digital elevation models (DEM) at 30 m and 90 m resolutions and LiDAR DEMs. At first, the DEMs derived from all data sources were compared using the cross-sectional profiles. Secondly, a comparison was made using the spot heights obtained from 1:10,000 maps with the corresponding heights from the SRTM 30 m DEM. The 1:10,000 scale agricultural based mapping project (ABMP) (10 k ABMP) was used as the reference data set and all other data products were compared with that. The analysis of the data revealed that the LiDAR data set has the best match with the 10 k ABMP dataset. The SRTM 30 m DEM showed a high level of correlation with 10k ABMP maps at the high elevations, but the match at the low elevations was less as indicated by the low R2 values. However, the SRTM data is marginally better than the 50 k ABMP in the coastal area. This suggests that SRTM 30 m data set is the best data set available for the delineation of inlet boundaries in the coastal areas.</t>
  </si>
  <si>
    <t>2-s2.0-84859204685"</t>
  </si>
  <si>
    <t>10.1002/met.272</t>
  </si>
  <si>
    <t>https://www.scopus.com/inward/record.uri?eid=2-s2.0-84870670430&amp;doi=10.1002%2fmet.272&amp;partnerID=40&amp;md5=33a9a67618ffb0e6ab830db2d35f0a75</t>
  </si>
  <si>
    <t>A methodology of exploratory data analysis investigating the phenomenon of orographic precipitation enhancement is proposed. The precipitation observations obtained from three Swiss Doppler weather radars are analysed for the major precipitation event of August 2005 in the Alps. Image processing techniques are used to detect significant precipitation cells/pixels from radar images while filtering out spurious effects due to ground clutter. The contribution of topography to precipitation patterns is described by an extensive set of topographical descriptors computed from the digital elevation model at multiple spatial scales. Additionally, the motion vector field is derived from subsequent radar images and integrated into a set of topographic features to highlight the slopes exposed to main flows. Following the exploratory data analysis with a recent algorithm of spectral clustering, it is shown that orographic precipitation cells are generated under specific flow and topographic conditions. Repeatability of precipitation patterns in particular spatial locations is found to be linked to specific local terrain shapes, e.g. at the top of hills and on the upwind side of the mountains. This methodology and our empirical findings for the Alpine region provide a basis for building computational data-driven models of orographic enhancement and triggering of precipitation. © 2011 Royal Meteorological Society.</t>
  </si>
  <si>
    <t>2-s2.0-84870670430"</t>
  </si>
  <si>
    <t>10.14712/23361980.2015.19</t>
  </si>
  <si>
    <t>https://www.scopus.com/inward/record.uri?eid=2-s2.0-84863686570&amp;doi=10.14712%2f23361980.2015.19&amp;partnerID=40&amp;md5=b3cd78942bbe7964b270e01045d3d79c</t>
  </si>
  <si>
    <t>One of main topics of interdisciplinary project NIVA - Water Retention in Floodplains and Possibilities of Retention Capacity Increase is the assessment of flood wave transformation in the floodplain. The project focuses on broad field of floodplain ecosystem services and flood mitigation is a phenomenon which is researched by the team from Czech Technical University from different points of view and using different methods. Despite the fact that the main influence on flood wave transformation is flow retardation due to the flow velocity decrease, the retention in surface depressions within floodplain has been analyzed to get better overview of whole transformation process. Detailed digital relief model (DRM) has been used for given purposes to be able to analyze terrain depressions volumes. First, the methodology of analysis was prepared and tested on artificial surface. This surface was created using random raster generation, filtration and resampling with final resolution of 1,000 × 1,000 units and height of maximum 10 units above datum. The methodology itself is based on analysis of areas inundated by water at different elevation levels. Volume is then calculated for each depression using extraction of terrain elevations under corresponding water level. The method was then applied on the area of Lužnice River floodplain section to assess the retention capacity of real floodplain with natural character which usually means higher surface retention capacity in comparison to trained rivers. Results obtained from above mentioned analysis applied on Lužnice river are presented in this paper. The importance of floodplain retention capacity for flood transformation is low as results from obtained values.</t>
  </si>
  <si>
    <t>2-s2.0-84863686570"</t>
  </si>
  <si>
    <t>10.1017/S0016774600000500</t>
  </si>
  <si>
    <t>https://www.scopus.com/inward/record.uri?eid=2-s2.0-84870399871&amp;doi=10.1017%2fS0016774600000500&amp;partnerID=40&amp;md5=89a1568ed7693e0818152918d329b589</t>
  </si>
  <si>
    <t>Hydrogeological research in coastal areas has gained considerable attention over the last decades due to increasing stresses on fresh groundwater resources. Fundamental groundwater flow and solute transport analyses remain essential for a concise understanding of the governing processes that lead to salinisation of fresh groundwater resources. However, the challenge of modern research is the application and quantification of these processes in real world cases. In this context, deltaic areas are amongst the most difficult study areas as they often have a complex groundwater salinity distribution. The Wadden Sea area in the northern part of the Netherlands is an example of such an area. We quantified salt water intrusion and salinisation of groundwater flow systems in two representative case studies in the Wadden Sea area, using the density dependent groundwater flow and transport code M0CDENS3D. The results indicate that sea-level rise and autonomous processes will cause severe salimsation in the future, especially in the low polder areas close to the sea. In addition, we show that enhanced land subsidence due to salt exploitation accelerates this process. Salinisation can be mitigated to some extent by raising surface water levels in polders and by creating saline groundwater collection areas that maintain a low controlled water level.</t>
  </si>
  <si>
    <t>2-s2.0-84870399871"</t>
  </si>
  <si>
    <t>10.1007/s11069-011-0046-8</t>
  </si>
  <si>
    <t>https://www.scopus.com/inward/record.uri?eid=2-s2.0-83855161528&amp;doi=10.1007%2fs11069-011-0046-8&amp;partnerID=40&amp;md5=0c6e1c15f78015c8a4f063bfdbcc4566</t>
  </si>
  <si>
    <t>Sea level rise threatens to increase the impacts of future storms and hurricanes on coastal communities. However, many coastal hazard mitigation plans do not consider sea level rise when assessing storm surge risk. Here we apply a GIS-based approach to quantify potential changes in storm surge risk due to sea level rise on Long Island, New York. We demonstrate a method for combining hazard exposure and community vulnerability to spatially characterize risk for both present and future sea level conditions using commonly available national data sets. Our results show that sea level rise will likely increase risk in many coastal areas and will potentially create risk where it was not before. We find that even modest and probable sea level rise (. 5 m by 2080) vastly increases the numbers of people (47% increase) and property loss (73% increase) impacted by storm surge. In addition, the resulting maps of hazard exposure and community vulnerability provide a clear and useful example of the visual representation of the spatial distribution of the components of risk that can be helpful for developing targeted hazard mitigation and climate change adaptation strategies. Our results suggest that coastal agencies tasked with managing storm surge risk must consider the effects of sea level rise if they are to ensure safe and sustainable coastal communities in the future. © 2011 Springer Science+Business Media B.V.</t>
  </si>
  <si>
    <t>2-s2.0-83855161528"</t>
  </si>
  <si>
    <t>10.1193/1.4000023</t>
  </si>
  <si>
    <t>https://www.scopus.com/inward/record.uri?eid=2-s2.0-84874584410&amp;doi=10.1193%2f1.4000023&amp;partnerID=40&amp;md5=1f3bf6dafd422be462d8fa575d76d9a0</t>
  </si>
  <si>
    <t>This paper presents the results of a field survey conducted by the authors after the 2010 Chile earthquake. The authors visited the affected area about a month after the earthquake. The usefulness of satellite images captured after the earthquake to detect damaged buildings in Concepción is discussed, compared with the field photos taken by the authors. GIS datasets for the damage levels of buildings in Talca and the tsunami-inundated areas in Talcahuano, Dichato, and Constitución are constructed in this study. The GIS dataset for the damage levels of buildings in Talca is compared with the satellite images, and the possibility of detecting damage to adobe houses is investigated. Further, a series of fundamental analyses are performed using a digital elevation model (DEM) that is constructed from ASTER images (ERSDAC 2009), and the usefulness of the DEM is evaluated comparing with the field survey results. © 2012, Earthquake Engineering Research Institute.</t>
  </si>
  <si>
    <t>2-s2.0-84874584410"</t>
  </si>
  <si>
    <t>10.1007/s11069-011-9950-1</t>
  </si>
  <si>
    <t>https://www.scopus.com/inward/record.uri?eid=2-s2.0-82855176969&amp;doi=10.1007%2fs11069-011-9950-1&amp;partnerID=40&amp;md5=fc3ce0025e491bb3dc7b0e5cf6e298f9</t>
  </si>
  <si>
    <t>Nagapattinam, in the east coast of India, was severely affected during the deadliest Indian Ocean tsunami of December 26, 2004. The tsunami caused heavy damage to life and property, and the death toll was about 3,378 in Nagapattinam taluk. Certain villages along the coast witnessed large inundation while adjacent villages were protected from the fury of the tsunami waves. This study was carried out to examine the underlying causes for the vulnerability along Nagapattinam coast with the help of field observations, remote sensing, and geographical information system as tools. Coastal areas with high sand dunes have been protected from tsunami, and areas adjacent to backwaters were inundated. Realtime Kinematic Global Positioning System and high-resolution satellite data were used to map the topographic information and maximum extent of inundation. Thematic maps on land use, land cover, and coastal geomorphology were generated using remote sensing and field data. Using field data as the primary source of information, tsunami hazard maps have been generated for Nagapattinam. © 2011 Springer Science+Business Media B.V.</t>
  </si>
  <si>
    <t>2-s2.0-82855176969"</t>
  </si>
  <si>
    <t>10.1007/s11027-011-9326-6</t>
  </si>
  <si>
    <t>https://www.scopus.com/inward/record.uri?eid=2-s2.0-84857457241&amp;doi=10.1007%2fs11027-011-9326-6&amp;partnerID=40&amp;md5=dbc09889e5d3643eaa1de43c6a88460f</t>
  </si>
  <si>
    <t>This study contends that climatic events such as storms and floods may significantly impact on cost of protection through climate proofing of housing structures along the Atlantic coastal zone in the Southwest region of Cameroon. Household level protection is purposely examined on the rationale that current protective efforts constitute the building blocks for long-term adaptation. Examining the determinants of the cost of current protection stands good stead to better inform policy to promote future adaptation to climatic stress. Hence, from a research sample of 400 households, the study estimates a function that relates household-level protection costs to their characteristics. Sixty-four percent of the homes studied have been hit at least once by strong winds, and an average of 2 times in the last 5 years, and 36% of houses have once been hit by storm surge from the sea nearby. With an average monthly income of 120.000 FCFA (US$ 285), the coastal residents spend on average 145,500 FCFA (US$ 346) in preparation against floods. The statistical estimates of the cost function reveal significant positive signs, implying that the experiences and location of homes within floodplain increases the cost of protection no matter the structural characteristics of the house. The study observes that the proximity to the coast and in flood plains significantly increases the cost of protection, and the ability to invest in preventive measures and climate proofing housing structures increase as individual income grows. The findings indicate the need for improvement of monitoring and forecasting systems for floods, intensification of awareness and proper urban planning. The policy implications are reinforced by the low incomes of most residents, as this calls for external assistance through transfer of planning skills, capital and public options to reinforce the resilience and choices made at the household level. © 2011 Springer Science+Business Media B.V.</t>
  </si>
  <si>
    <t>2-s2.0-84857457241"</t>
  </si>
  <si>
    <t>10.1002/rra.1455</t>
  </si>
  <si>
    <t>https://www.scopus.com/inward/record.uri?eid=2-s2.0-80053247816&amp;doi=10.1002%2frra.1455&amp;partnerID=40&amp;md5=11495d809624a2c868d00188cd2d0256</t>
  </si>
  <si>
    <t>To improve the ecological functioning of riverine ecosystems, large-scale floodplain rehabilitation has been carried out in the Rhine-Meuse Delta since the 1990s. This paper evaluates changes in abundance of 93 breeding bird species over a period of 10 years in response to rehabilitation, by comparing population changes in 75 rehabilitated sites with 124 non-rehabilitated reference sites. Such quantitative, multi-species, large-scale and long-term evaluations of floodplain rehabilitation on biodiversity are still scarce, particularly studies that focus on the terrestrial component. We try to understand the effects by relating population trends to ecological and life-history traits and strategies of breeding birds. More specifically, we try to answer the question whether rehabilitation of vegetation succession or hydro-geomorphological river processes is the key driver behind recent population changes in rehabilitated sites. Populations of 35 species have significantly performed better in rehabilitated sites compared to non-rehabilitated floodplains, whereas only 8 have responded negatively to rehabilitation. Differences in effects between species are best explained by the trait selection of nest location. Reproductive investment and migratory behaviour were less strong predictors. Based on these three traits we defined eight life-history strategies that successfully captured a substantial amount of variation in rehabilitation effects. We conclude that spontaneous vegetation succession and initial excavations are currently more important drivers of population changes than rehabilitation of hydrodynamics. The latter are strongly constrained by river regulation. If rehabilitation of hydro-geomorphological processes remains incomplete in future, artificial cyclic floodplain rejuvenation will be necessary for sustainable conservation of characteristic river birds. © 2010 John Wiley &amp; Sons, Ltd.</t>
  </si>
  <si>
    <t>2-s2.0-80053247816"</t>
  </si>
  <si>
    <t>10.30638/eemj.2012.267</t>
  </si>
  <si>
    <t>https://www.scopus.com/inward/record.uri?eid=2-s2.0-84873826163&amp;doi=10.30638%2feemj.2012.267&amp;partnerID=40&amp;md5=ef114d84973de141feacf90dee42668e</t>
  </si>
  <si>
    <t>In Romania the atmospheric precipitation intensity increases from East to West and from lowlands to highlands. Average annual precipitations in the Danube Delta and on the seashore hardly reach 400 mm per year, increasing to 500 - 600 mm per year in the lowlands and exceeding 1000 mm per year in the highlands. This paper studies the main atmospheric causes that determined the heavy rains on the 5th of September, 2007, which occurred over the Central-Southern part of Moldavia, Romania between 9am and 12pm. The convective clouds developed above the Northern part of the Romanian plain followed a certain path over the central-south part of Moldavia, finally led to significant torrential rains from quantitative viewpoint. At continental level, a particularly barometric phenomenon occurred from NE to SW of Europe. The Azores anticyclone was extended on the Western half of the continent and the European part of Russia was under the influence of an anticyclone nucleus. Under the Azores anticyclone dorsal, it was a connection between two active cores, one located in the SW part of Bulgaria, Greece's N and NW Russia's. Six hours after production, this phenomenon has moved from West to East, while the Azores anticyclone has expanded a dorsal to the North Central parts of Europe. Also, this paper presents the social and economic impact of significant floods on the local communities from the affected areas.</t>
  </si>
  <si>
    <t>2-s2.0-84873826163"</t>
  </si>
  <si>
    <t>10.1007/s10584-011-0118-5</t>
  </si>
  <si>
    <t>https://www.scopus.com/inward/record.uri?eid=2-s2.0-84856225389&amp;doi=10.1007%2fs10584-011-0118-5&amp;partnerID=40&amp;md5=1f2d361cb8f70006e7fcf087a1a3671b</t>
  </si>
  <si>
    <t>On the island of Ameland (The Netherlands), natural gas has been extracted from a dune and salt marsh natural area since 1986. This has caused a soil subsidence of c. 1-25 cm, which can be used as a model to infer effects of future sea level rise. The aims of our study were (a) to relate the changes in the vegetation, and more specifically, in plant diversity, during the extraction period to soil subsidence and weather fluctuations, and (b) to use these relations to predict future changes due to the combination of ongoing soil subsidence and climate change. We characterised climate change as increases in mean sea level, storm frequency and net precipitation. Simultaneous observations were made of vegetation composition, elevation, soil chemistry, net precipitation, groundwater level, and flooding frequency over the period 1986-2001. By using multiple regression the changes in the vegetation could be decomposed into (1) an oscillatory component due to fluctuations in net precipitation, (2) an oscillatory component due to incidental flooding, (3) a monotonous component due to soil subsidence, and (4) a monotonous component not related to any measured variable but probably due to eutrophication. The changes were generally small during the observation period, but the regression model predicts large changes by the year 2100 that are almost exclusively due to sea level rise. However, although sea level rise is expected to cause a loss of species, this does not necessarily lead to a loss of conservancy value. © 2011 The Author(s).</t>
  </si>
  <si>
    <t>2-s2.0-84856225389"</t>
  </si>
  <si>
    <t>10.30955/gnj.000878</t>
  </si>
  <si>
    <t>https://www.scopus.com/inward/record.uri?eid=2-s2.0-84869447645&amp;doi=10.30955%2fgnj.000878&amp;partnerID=40&amp;md5=c9834615be0b8246845cf6ea68122567</t>
  </si>
  <si>
    <t>Determining peak flows for ungaged areas is difficult and involves high uncertainty. Advanced computer capabilities provided by geographical information systems and hydrologic modeling software are used for detailed determination of the parameters involved, both for simple methods as the rational method and more detailed ones as the application of synthetic hydrographs. For the determination of the runoff coefficients and other runoff parameters, digital elevation models were combined with geologic and land use maps in order to extract morphologic and other distributed parameters with the use of GIS for computation of watershed runoff. The discharges were determined by the rational method, the Fuller's formula and a hydrologic model using synthetic hydrographs according to SCS. A dependable estimate of the design discharge is necessary both for demarcation studies of watercourses and the assessment and management of flood risks according to the guidelines of Directive 2007/60/EC. In this paper a case study in Western Peloponnese is presented. Area specific fitted equations relating the drainage area to the peak flows were developed, that can be used in adjacent regions. The results of the hydrologic studies performed for many geographical units of the new Patra - Pyrgos - Tsakona highway, presently under construction, are analyzed and presented. Results of the rational method and modeling with the HEC-HMS system using SCS hydrographs were compared. Transverse drainage works, where the motorway crosses watercourses, were designed with the 50-yr design discharges determined by the hydrologic model with the use of synthetic hydrographs, lag time and CN, depending on land use, geology and soil cover, determined according to SCS. In the case of bridges with piers the corresponding 100-yr values were used. Differences between the rational method and the hydrologic model are not significant in most cases. Pronounced differences were noticed only in the combined presence of high water transmissivity soils and forest cover. Regional equations were developed for use. In the basins used there are no areas with major urban development or basins with control structures. The equations refer to the 50-yr design flood and can be used in any further computation that may be required in the vicinity without further hydrologic analysis. Comparison with other studies shows good agreement and with similar equations from other projects resemblance. © 2012 Global NEST Printed in Greece. All rights reserved.</t>
  </si>
  <si>
    <t>2-s2.0-84869447645"</t>
  </si>
  <si>
    <t>10.1029/2011JC007552</t>
  </si>
  <si>
    <t>https://www.scopus.com/inward/record.uri?eid=2-s2.0-84863360039&amp;doi=10.1029%2f2011JC007552&amp;partnerID=40&amp;md5=86ff9a6c9a0e02677c038e6a173bf30d</t>
  </si>
  <si>
    <t>Particle size distributions (PSDs) of suspended particulate matters in a coastal zone are lognormal and multimodal in general. The multimodal PSD, which is caused by the mixing of multiple particle and aggregate size groups under flocculation and erosion/resuspension, is a record of the particle and aggregate dynamics in a coastal zone. Curve-fitting software was used to decompose the multimodal PSD into subordinate lognormal PSDs of primary particles, flocculi, microflocs, and macroflocs. The curve-fitting analysis for a time series of multimodal PSDs in the Belgian coastal zone showed the dependency of the multimodality on (1) shear-dependent flocculation in a flood and ebb tide, (2) breakage-resistant flocculation in the spring season, and (3) silt-sized particle erosion and advection in a storm surge. Also, for modeling and simulation purposes, the curve-fitting analysis and the settling flux estimation for the multimodal PSDs showed the possibility of using discrete groups of primary particles, flocculi, microflocs, and macroflocs as an approximation of a continuous multimodal PSD. Copyright 2012 by the American Geophysical Union.</t>
  </si>
  <si>
    <t>2-s2.0-84863360039"</t>
  </si>
  <si>
    <t>10.2112/JCOASTRES-D-11-00020.1</t>
  </si>
  <si>
    <t>https://www.scopus.com/inward/record.uri?eid=2-s2.0-84857825576&amp;doi=10.2112%2fJCOASTRES-D-11-00020.1&amp;partnerID=40&amp;md5=c8bed69cd981e5230d768c89bd302c7e</t>
  </si>
  <si>
    <t>This study assesses the stability of Arctic gravel coasts across a range of timescales, based on field and remote-sensing studies of three coastal sites near Resolute Bay, Nunavut. It considers shore-zone sensitivity to ice, wind, and wave forcing at storm-event and annual timescales within a longer-term context, including coastal emergence resulting from postglacial isostatic uplift partially counteracted by accelerating sea-level rise. Another long-term factor associated with climate change is the potential for increased seasonal depth of thaw in the beachface and nearshore. The coast in this area is ice bound on average for 10 months of the year, but the annual duration of ice cover has decreased over the past 30 years (19792009) by 0.95 d/y. A longer open-water season has implications for the number and timing of storm-wave events, with increased probability of storms impacting the coast later in the season when the seasonal thaw layer is approaching maximum thickness. Overall, shoreline progradation surpassed erosion in the Resolute area between 1958 and 2006, reflecting a combination of sediment supply and emergence. The coastal impacts of storms were found to be short lived and not necessarily indicative of longer-term trends. Gravel shorelines can be resilient in the face of intermittent storm impacts, but thresholds of stability in this high-latitude setting are poorly understood. If current trends of rising sea level, increasing open-water duration, and more frequent effective wave events continue, there is a heightened potential for more rapid coastal change in the region. © 2012, the Coastal Education &amp; Research Foundation (CERF).</t>
  </si>
  <si>
    <t>2-s2.0-84857825576"</t>
  </si>
  <si>
    <t>10.1029/2011JC007124</t>
  </si>
  <si>
    <t>https://www.scopus.com/inward/record.uri?eid=2-s2.0-84862908153&amp;doi=10.1029%2f2011JC007124&amp;partnerID=40&amp;md5=b629cd7e9ceecb25383c47c407ca0655</t>
  </si>
  <si>
    <t>Albemarle-Pamlico Sound (APS) is a shallow lagoonal estuary connected to the Atlantic Ocean through narrow inlets. The circulation dynamics and salt balance in this estuary are investigated using a numerical model. Although the vertical stratification is weak, the mean flow features a two-layer gravitational circulation with speeds reaching several centimeters per second. Analysis of the momentum budget shows a primary balance among the barotropic pressure gradient as a result of sea level slope, the baroclinic pressure gradient due to horizontal salinity gradients, and stress divergence. The salt budget for APS is determined by the balance between river flow and salt exchange through the inlets. At the inlets, the salt flux resulting from estuarine shear flow is much weaker than that due to tidal pumping and subtidal barotropic transport. Tidal pumping produces a net influx of salt into APS: Strong flood currents push oceanic water into the estuary through a propagating density front, whereas ebb currents advect lighter estuarine water over denser bottom water. The salt flux due to the subtidal barotropic transport across the inlets shows large temporal fluctuations associated with wind events. This transport can be either a source or sink of salt to APS and correlates well with the sea level difference across each inlet. Higher-sea level on the shelf leads to an intrusion of oceanic water into APS whereas higher-sea level inside APS leads to a withdrawal of estuarine water to the shelf. Copyright 2012 by the American Geophysical Union.</t>
  </si>
  <si>
    <t>2-s2.0-84862908153"</t>
  </si>
  <si>
    <t>10.1007/s10584-011-0145-2</t>
  </si>
  <si>
    <t>https://www.scopus.com/inward/record.uri?eid=2-s2.0-84856697991&amp;doi=10.1007%2fs10584-011-0145-2&amp;partnerID=40&amp;md5=b333da12b877e13d675e1e2008147d59</t>
  </si>
  <si>
    <t>Knowledge of the likely future wind, wave and surge climate in Liverpool Bay is of importance for coastal flood defence management. We examine a 140-year time series (1960-2100) of wind and wave model projections at the WaveNet buoy location in Liverpool Bay and also of surge model projection at two ports in Liverpool Bay, namely Liverpool and Heysham. To this end we use model projections from the UK Climate Projections 09 (UKCP09) programme. We use a medium emissions scenario ensemble from the HadCM3 climate model sensitivity tests. A continental shelf model (CS3) with ~12 km resolution was used to separately simulate the waves and the surge. The models are forced by hourly wind and pressure data from the Met Office (Hadley Centre) regional climate model (RCM). Swell wave boundary conditions are generated over the full Atlantic using global climate model (GCM) winds. Analysis of significant changes in the statistics over time shows that there is little change in extreme wave and surge conditions in Liverpool Bay. Although there is a slight increase in the severity of the most extreme events, the frequency of extreme wind and wave events is slightly reduced, while the frequency of extreme surge events slightly increases over the 140-year period. From the model projections, we find that the trends in the local wind are directly reflected in the wave field within Liverpool Bay. The trends in the skew surge projections deviate slightly from those in the wind patterns. © 2011 Springer Science+Business Media B.V.</t>
  </si>
  <si>
    <t>2-s2.0-84856697991"</t>
  </si>
  <si>
    <t>10.1007/s10236-011-0475-7</t>
  </si>
  <si>
    <t>https://www.scopus.com/inward/record.uri?eid=2-s2.0-84861098917&amp;doi=10.1007%2fs10236-011-0475-7&amp;partnerID=40&amp;md5=d6c1a3fced026e64cfe05a6d273553e4</t>
  </si>
  <si>
    <t>Sea surface temperature satellite imagery and a regional hydrodynamic model are used to investigate the variability and structure of the Liverpool Bay thermohaline front. A statistically based water mass classification technique is used to locate the front in both data sets. The front moves between 5 and 35 km in response to spring-neap changes in tidal mixing, an adjustment that is much greater than at other shelf-sea fronts. Superimposed on top of this fortnightly cycle are semi-diurnal movements of 5-10 km driven by flood and ebb tidal currents. Seasonal variability in the freshwater discharge and the density difference between buoyant inflow and more saline Irish Sea water give rise to two different dynamical regimes. During winter, when cold inflow reduces the buoyancy of the plume, a bottom-advected front develops. Over the summer, when warm river water provides additional buoyancy, a surface-advected plume detaches from the bottom and propagates much larger distances across the bay. Decoupled from near-bed processes, the position of the surface front is more variable. Fortnightly stratification and re-mixing over large areas of Liverpool Bay is a potentially important mechanism by which freshwater, and its nutrient and pollutant loads, are exported from the coastal plume system. Based on length scales estimated from model and satellite data, the erosion of post-neap stratification is estimated to be responsible for exporting approximately 19% of the fresh estuarine discharge annually entering the system. Although the baroclinic residual circulation makes a more significant contribution to freshwater fluxes, the episodic nature of the spring-neap cycle may have important implications for biogeochemical cycles within the bay. © 2011 Springer Science+Business Media, LLC.</t>
  </si>
  <si>
    <t>2-s2.0-84861098917"</t>
  </si>
  <si>
    <t>10.1007/s11852-011-0176-x</t>
  </si>
  <si>
    <t>https://www.scopus.com/inward/record.uri?eid=2-s2.0-84857690306&amp;doi=10.1007%2fs11852-011-0176-x&amp;partnerID=40&amp;md5=17bc874c8a44b0baa5b59b2ebddf6e4c</t>
  </si>
  <si>
    <t>The Indian subcontinent is highly prone to the detrimental impacts of hazards viz. cyclones, floods and storm surges. Of late, these events have become extreme in nature and intensity. While occurrence and severity of the events is being linked to the phenomenon of climate change, their devastating potentialities are also getting triggered due to lack of resilience and coping capacity of the human community. That in turn depends on distribution of activities over the land i. e. land use pattern, affecting the socio -economic conditions directly. A coastal village often lacks infrastructural support, administrative attention and planning standards compared to a coastal city, thereby making it more vulnerable to disasters like flood. In a coastal city it is easy to govern and manage livelihood as land use depends highly on anthropogenic decisions. While in a coastal village, activities would highly depend on its natural characteristics viz. coastal geomorphology, soil, vegetation cover i. e. governance of livelihood by the eco-system. Hence, managing disaster through in-situ pro-active or developmental measures in a rural planning unit though imperative, is a challenging task. This paper focuses on spatial planning techniques for Restoration of ecological buffers and livelihood enhancement that would sustainably combat the impact of flood at village level in a coastal area. Geographic Information System (GIS) and Remote Sensing (RS) techniques have been used extensively in this study as application tools. © 2011 Springer Science+Business Media B.V.</t>
  </si>
  <si>
    <t>2-s2.0-84857690306"</t>
  </si>
  <si>
    <t>10.1007/s11069-011-9955-9</t>
  </si>
  <si>
    <t>https://www.scopus.com/inward/record.uri?eid=2-s2.0-82855161358&amp;doi=10.1007%2fs11069-011-9955-9&amp;partnerID=40&amp;md5=c4cfc9aba1c775d89837e0219c805e1b</t>
  </si>
  <si>
    <t>The Indian Ocean Tsunami of December 2004 caused inundation of seawater along the Northern coast of Tamil Nadu, India, resulting in loss of 8,000 people with extensive damage to properties. The paper describes the inundation of seawater in two northern districts, namely Kancheepuram and Villupuram districts, which showed distinct patterns of inundation of seawater and run-up levels due to variations in geomorphic features. TUNAMI N2 model was used to predict the seawater inundation for earthquakes occurred in 1881 at Car Nicobar, Sumatra 2004 and a worst-case scenario. The coastal areas with beaches having gentle slope showed more inundation compared with coastal areas having varied slope and habited by sand dunes and coastal vegetation. Appreciable inundation of seawater with tsunami simulated for 1881 Car Nicobar indicated that proximity to the source plays a major role besides earthquake parameters in causing inundation. The worst-case scenario generated from subduction zone of Car Nicobar using Sumatra 2004 earthquake parameters revealed extreme vulnerability of coasts of both the districts to giant tsunamis. © 2011 Springer Science+Business Media B.V.</t>
  </si>
  <si>
    <t>2-s2.0-82855161358"</t>
  </si>
  <si>
    <t>https://www.scopus.com/inward/record.uri?eid=2-s2.0-85017298239&amp;partnerID=40&amp;md5=3592f5a770e49b7c922d9b91e4155a00</t>
  </si>
  <si>
    <t>2-s2.0-85017298239"</t>
  </si>
  <si>
    <t>10.1002/rra.1442</t>
  </si>
  <si>
    <t>https://www.scopus.com/inward/record.uri?eid=2-s2.0-84856299088&amp;doi=10.1002%2frra.1442&amp;partnerID=40&amp;md5=878d7bfeec2fa140574821299825b42f</t>
  </si>
  <si>
    <t>This study tested the applicability of airborne scanning laser altimetry (LiDAR) for characterizing surface connectivity of floodplain water bodies by comparing it with in situ measurements of water levels, and examined whether LiDAR derived data accurately predicted the occurrence of globally imperilled unionid mussels. We intensively examined 10 isolated and 3 connected floodplain water bodies (IWBs and CWBs, respectively) located within a 15-km lowland segment of the Kiso River in Japan. Using a digital elevation model (DEM) of floodplain ground surface, which is derived from LiDAR, and water surface DEM, which is obtained from records of water level fluctuations, the frequency of surface connectivity between IWBs and the main channel (inundation frequency) was calculated. Inundation frequency of IWBs was also measured in situ using water level and temperature probes. Also, the occurrence of mussels in CWBs and IWBs were examined. LiDAR derived data well predicted in situ derived one with a high level of accuracy (r 2&gt;0.77), validating the LiDAR-based approach. Some errors existed in the predictive model, indicating that the applicability of LiDAR data is limited by its spatial resolution and snapshot nature. The occurrence of mussels was positively explained by an increasing level of inundation frequency, and the high accuracies of empirical models were validated using data for other 67 water bodies within the study segment. This study overall demonstrated a high potential of LiDAR data for efficiently monitoring hydrological and biological conditions of floodplain water bodies in the Kiso River and beyond. © 2010 John Wiley &amp; Sons, Ltd.</t>
  </si>
  <si>
    <t>2-s2.0-84856299088"</t>
  </si>
  <si>
    <t>https://www.scopus.com/inward/record.uri?eid=2-s2.0-84867116665&amp;partnerID=40&amp;md5=217499fb5047be2cd750857e35e51967</t>
  </si>
  <si>
    <t>Climate change is projected to cause sea level rise, and an increase in the frequency and severity of extreme weather events. As most of Queensland's population is settled in coastal areas, these events pose a major threat to development. The Queensland government has recognised this threat, and recently released a new Coastal Plan and associated legislative amend- ments. This plan seeks to minimise new development along the coast, and increase the resilience of existing development. This article will analyse the new regime for coastal management in Queensland, and conclude that it represents a positive step forward in safeguarding against the predicted impacts of climate change.</t>
  </si>
  <si>
    <t>2-s2.0-84867116665"</t>
  </si>
  <si>
    <t>10.1002/rra.1444</t>
  </si>
  <si>
    <t>https://www.scopus.com/inward/record.uri?eid=2-s2.0-80555140397&amp;doi=10.1002%2frra.1444&amp;partnerID=40&amp;md5=5859ef0c7d6f23287a3897bf22ae4f03</t>
  </si>
  <si>
    <t>Movement of invertebrates among large rivers, tributaries, and floodplain lakes or dispersal of adult aquatic insects from riverine or floodplain habitats may provide important subsidies to food webs in receiving habitats. Intensive sampling at habitat interfaces and artificial labelling are two approaches to assess freshwater invertebrate dispersal, but these are difficult to implement at a landscape scale. Natural chemical tracers have been used to track dispersal of fishes and marine invertebrates, but the potential applicability of stable isotope ratios as natural tracers of invertebrate dispersal in freshwater environments has not been assessed. We evaluated stable hydrogen and oxygen isotopes (δD and δ 18O) as natural markers of source environment and dispersal of macroinvertebrates in the middle Mississippi River, tributaries and floodplain wetlands. Water and invertebrates were collected from 12 sites during 2007-2008. Water δD and δ 18O differed among the river, its tributaries, and floodplain wetlands and were strongly correlated with invertebrate δD and δ 18O. Variability in invertebrate δ 18O rendered it ineffective as an indicator of invertebrate source environment. Mean δD of Mississippi River invertebrates differed from δD of invertebrates from floodplain wetlands</t>
  </si>
  <si>
    <t>10.1080/14693062.2012.728792</t>
  </si>
  <si>
    <t>https://www.scopus.com/inward/record.uri?eid=2-s2.0-84870982827&amp;doi=10.1080%2f14693062.2012.728792&amp;partnerID=40&amp;md5=6608cab814d706a6a7283ca8be8ff987</t>
  </si>
  <si>
    <t>Owing to globalization, the potential impacts of climate change/sea-level rise in one country/region are likely to affect and be felt elsewhere. Such indirect impacts could be significant but have received a limited analysis. This deficiency is addressed here using the indirect impacts on coastal infrastructure for the UK as an example. National opportunities and threats are identified. Potential indirect national threats include disruption of supply chains, security threats due to forced migration, a decline in national prestige, and impacts on the finance and insurance industries. Potential opportunities include export of world-leading coastal hazard and management expertise, and benefits to national prestige conferred by a strong response to climate change. Such opportunities and threats depend on several distinct dimensions of change, especially the magnitude of climate and socio-economic change, and the success/failure of appropriate responses. Promoting adaptation and climate mitigation is important to exploit the opportunities and address the threats. Adaptation should deal with more than the effects of climate change and link to the wider development agenda. These lessons are transferable to other developed countries and, indeed, many of the actions will be strengthened by collective action.</t>
  </si>
  <si>
    <t>10.1016/j.ocemod.2012.01.006</t>
  </si>
  <si>
    <t>https://www.scopus.com/inward/record.uri?eid=2-s2.0-84862807582&amp;doi=10.1016%2fj.ocemod.2012.01.006&amp;partnerID=40&amp;md5=0bb2d824d93622f71108ff28f1b7b0bf</t>
  </si>
  <si>
    <t>A dike-groyne module is developed and implemented into the unstructured-grid, three-dimensional primitive equation finite-volume coastal ocean model (FVCOM) for the study of the hydrodynamics around human-made construction in the coastal area. The unstructured-grid finite-volume flux discrete algorithm makes this module capable of realistically including narrow-width dikes and groynes with free exchange in the upper column and solid blocking in the lower column in a terrain-following coordinate system. This algorithm used in the module is validated for idealized cases with emerged and/or submerged dikes and a coastal seawall where either analytical solutions or laboratory experiments are available for comparison. As an example, this module is applied to the Changjiang Estuary where a dike-groyne structure was constructed in the Deep Waterway channel in the inner shelf of the East China Sea (ECS). Driven by the same forcing under given initial and boundary conditions, a comparison was made for model-predicted flow and salinity via observations between dike-groyne and bed-conforming slope algorithms. The results show that with realistic resolution of water transport above and below the dike-groyne structures, the new method provides more accurate results. FVCOM with this MPI-architecture parallelized dike-groyne module provides a new tool for ocean engineering and inundation applications in coastal regions with dike, seawall and/or dam structures. © 2012 Elsevier Ltd.</t>
  </si>
  <si>
    <t>2-s2.0-84862807582"</t>
  </si>
  <si>
    <t>10.1016/j.geomorph.2011.12.026</t>
  </si>
  <si>
    <t>https://www.scopus.com/inward/record.uri?eid=2-s2.0-84856495938&amp;doi=10.1016%2fj.geomorph.2011.12.026&amp;partnerID=40&amp;md5=89bf876f28d22f50bb9e255031dc95fe</t>
  </si>
  <si>
    <t>Landslides are ubiquitous along the Oregon coast. Many are large, deep slides in sedimentary rock and are dormant or active only during the rainy season. Morphology, observed movement rates, and total movement suggest that many are at least several hundreds of years old. The offshore Cascadia subduction zone produces great earthquakes every 300-500. years that generate tsunami that inundate the coast within minutes. Many slides and slide-prone areas underlie tsunami evacuation and emergency response routes. We evaluated the likelihood of existing and future large rockslides being triggered by pore-water pressure increase or earthquake-induced ground motion using field observations and modeling of three typical slides. Monitoring for 2-9. years indicated that the rockslides reactivate when pore pressures exceed readily identifiable levels. Measurements of total movement and observed movement rates suggest that two of the rockslides are 296-336. years old (the third could not be dated). The most recent great Cascadia earthquake was M 9.0 and occurred during January 1700, while regional climatological conditions have been stable for at least the past 600. years. Hence, the estimated ages of the slides support earthquake ground motion as their triggering mechanism. Limit-equilibrium slope-stability modeling suggests that increased pore-water pressures could not trigger formation of the observed slides, even when accompanied by progressive strength loss. Modeling suggests that ground accelerations comparable to those recorded at geologically similar sites during the M 9.0, 11 March 2011 Japan Trench subduction-zone earthquake would trigger formation of the rockslides. Displacement modeling following the Newmark approach suggests that the rockslides would move only centimeters upon coseismic formation</t>
  </si>
  <si>
    <t>10.1007/s13157-011-0248-6</t>
  </si>
  <si>
    <t>https://www.scopus.com/inward/record.uri?eid=2-s2.0-84857511713&amp;doi=10.1007%2fs13157-011-0248-6&amp;partnerID=40&amp;md5=3cf7a0b2a045c4a9eaf0bf3bb66dac5b</t>
  </si>
  <si>
    <t>We used tree-ring analysis to evaluate the combined effects of rising water levels and 13 years of municipal wastewater addition on growth of baldcypress in a subsiding swamp forest in southern Louisiana. Trees in the treatment, downstream outflow, and adjacent untreated control areas all experienced increased growth coinciding with a period of widespread rapid subsidence and waterlevel increases in the late 1960s. Tree growth in the treatment and outflow sites began to decrease before wastewater application began in 1992, and afterward was apparently unaffected by treatment. In contrast, trees in the control site have not experienced growth declines. Hydrological changes caused by subsidence have apparently overwhelmed any effect of wastewater treatment on baldcypress growth. Increasing inundation may have increased growth initially by eliminating competition from species less tolerant of inundation</t>
  </si>
  <si>
    <t>https://www.scopus.com/inward/record.uri?eid=2-s2.0-84871526700&amp;partnerID=40&amp;md5=8a17f3ee6262416d4c81436392f567cf</t>
  </si>
  <si>
    <t>In 2008, the Second State Delta Committee, commissioned by the Dutch Secretary of Public Works and Water Management, provided suggestions on how to defend the Netherlands against the expected impacts of climate change, such as sea level rise, longer periods of drought, more intense periods of rainfall and additional land subsidence over the coming two hundred years (Veerman, 2008). In this paper we show that even though no crisis actually occurred, the Second Delta Committee succeeded in three areas. First, the committee managed to create awareness and set the agenda for climate adaptation policy and the issue of safety in Dutch water management. Second, the committee succeeded to a large extent in getting the media, the public and politics to accept its frame and framing of the problems, causes, moral judgments and suggested remedies. Third, the committee has to a certain degree already succeeded in having its recommendations translated into policy programmes. It will be argued that framing strategies were key to the committee's success and that the committee used various framing strategies to convince the Cabinet, citizens and others of the urgency and necessity of implementing adaptation measures. The most important framing strategies identified were adherence to the climate adaptation narrative, using the story of our delta identity, creating a sense of urgency and collectiveness, and creating a crisis narrative.</t>
  </si>
  <si>
    <t>2-s2.0-84871526700"</t>
  </si>
  <si>
    <t>10.1016/j.marpetgeo.2011.11.008</t>
  </si>
  <si>
    <t>https://www.scopus.com/inward/record.uri?eid=2-s2.0-83955161054&amp;doi=10.1016%2fj.marpetgeo.2011.11.008&amp;partnerID=40&amp;md5=cf101cccbe12d742e9c06cfafbbc2583</t>
  </si>
  <si>
    <t>GC and GC/MS/MS analysis on rock extracts has shown that the bitumen in the peralkaline Ilímaussaq intrusion, previously assumed to be abiogenic, is biotic in origin. A biotic origin is in accordance with previously published stable carbon isotopic data on bituminous matter in the rocks. The biomarker distribution in the bitumen, including the less common bicadinanes, resembles that of oil seeps on the central West Greenland coast 2200 km farther north, whose source rocks and migration history are relatively well established. We use a recent re-construction of the subsidence and later exhumation of the West Greenland coastal region during the Mesozoic-Cenozoic (Japsen et al., 2006a, b) to anticipate that hydrocarbons migrated from deeper parts of the basin offshore west of Greenland. The rocks of Ilímaussaq were probably more deeply invaded than the surrounding granites due to their higher proportion of corroded minerals, which may explain why bitumen has not been observed elsewhere in the area.Hydrocarbon gases (C1-C5) present in fluid inclusions were also analysed, after having been released by treatment with hydrochloric acid that resulted in an almost complete disintegration of the Ilímaussaq intrusion rocks. The acid extraction method proved generally more efficient than the crushing procedure applied by others, but gave similar results for the chemical composition of the gas (CH 4: 88-97%) and isotopic ratios (δ 13CCH4: -1.6 to -5.0‰</t>
  </si>
  <si>
    <t>10.14358/PERS.78.3.259</t>
  </si>
  <si>
    <t>https://www.scopus.com/inward/record.uri?eid=2-s2.0-84857978401&amp;doi=10.14358%2fPERS.78.3.259&amp;partnerID=40&amp;md5=257d59c1ae028c7cc3981797c45ac884</t>
  </si>
  <si>
    <t>Riparian ecotones are unique, diverse networks of vegetation and soils in close proximity to streams, rivers, and lakes. Previous approaches to riparian boundary delineation utilized fixed width buffers, but using a fixed width riparian buffer only takes the watercourse into consideration</t>
  </si>
  <si>
    <t>10.1016/j.geomorph.2011.11.002</t>
  </si>
  <si>
    <t>https://www.scopus.com/inward/record.uri?eid=2-s2.0-84855986203&amp;doi=10.1016%2fj.geomorph.2011.11.002&amp;partnerID=40&amp;md5=e5f32e31308d570d7730f5ed3a0ddad1</t>
  </si>
  <si>
    <t>Historical and instrumental data show that the Pacific coast of Mexico has been exposed to destructive tsunamis over at least the past 500. years. This coast is also affected by hurricanes generated in the eastern Pacific. The great 1985 Mexico earthquake and its aftershock generated tsunamis that affected the Ixtapa-Zihuatanejo and Michoacán coast. The purpose of our study was two-fold - a) to determine whether storm and tsunami deposits could be distinguished, and b) whether tsunami deposits from historical events are preserved in the tropical environments of the Ixtapa-Zihuatanejo coast.Two anomalous sand units in the Ixtapa estuary are interpreted to be the result of high-energy marine inundation events that occurred in the last century. Several lines of evidence using a multi-proxy approach (historical studies, interviews with local witnesses, geomorphological and geological surveys, coring and trenching, laboratory analyses including grain size, micropaleontology, geochemistry, magnetic susceptibility and radiometric dating, and numerical modeling) indicate the occurrence of two tsunamis that we link to local events: the 21st September 1985 Mexico and possibly the 14th March 1979 Petatlan earthquakes. We thereby provide the first onshore geological evidence of historical tsunamis on the Pacific coast of Mexico. © 2011 Elsevier B.V.</t>
  </si>
  <si>
    <t>2-s2.0-84855986203"</t>
  </si>
  <si>
    <t>10.1007/s11069-011-9949-7</t>
  </si>
  <si>
    <t>https://www.scopus.com/inward/record.uri?eid=2-s2.0-82855165068&amp;doi=10.1007%2fs11069-011-9949-7&amp;partnerID=40&amp;md5=db43345fc2003bdccf0a6bf19141a8fd</t>
  </si>
  <si>
    <t xml:space="preserve">                             During two distinct earthquakes occurred on March 7, 1867 and October 6, 1944, tsunami waves were also observed at some localities around the Gulf of Edremit, NE Aegean Sea. The first event (M                             w                              = 6.8) mostly affected the city of Mitilini of Lesvos Island while the Gulf of Edremit-Ayvaci{dotless}k earthquake (M                             S                              = 6.8) largely affected the northern and eastern coastal areas of the Gulf of Edremit. In 1944 earthquake, numerous surface cracks and water gushes were reported. The coastal neighborhoods of the town of Ayvali{dotless}k in the east were flooded by tsunami waves. At the WSW extend of the main fault observed on land, which is parallel to the present-day slip vectors, some normal-oblique faults were observed close and subparallel to the northern coast. On the basis of historical documents, reports, interviews, geological setting, field observations and marine seismic reflection data, the 1944 earthquake was not triggered by one of the main fault segments but by a secondary fault or fault group which was described in this study. Depending on the distribution of tensional and compressional forces in the region, which rotates clockwise under the control of the middle strand of the North Anatolian fault, secondary fault groups become important. The moment tensor parameters of such small-size events have been determined and have obtained consistent results with the faults proposed in this study. © 2011 Springer Science+Business Media B.V.                         </t>
  </si>
  <si>
    <t>2-s2.0-82855165068"</t>
  </si>
  <si>
    <t>10.1016/j.tourman.2011.08.013</t>
  </si>
  <si>
    <t>https://www.scopus.com/inward/record.uri?eid=2-s2.0-84856471733&amp;doi=10.1016%2fj.tourman.2011.08.013&amp;partnerID=40&amp;md5=57c2dd9d84c836739492265339b4f3ec</t>
  </si>
  <si>
    <t>This study geospatially analyzes beach availability for global recreational tourism management with focus on a case study of Jekyll Island off the coast of Georgia, USA. Aerial digital imagery in combination with Light Detection and Ranging (LiDAR) data and geographic information system (GIS) mapping and analysis are employed to delineate accurate shorelines with regard to accessible and available beach area. This analysis demonstrates geospatial techniques for the identification, delineation, qualification and geovisualization of dry beaches, a popular tourist destination worldwide that is subjected to diurnal flooding by tides. The accurate depiction of shorelines using remotely sensed differences in Mean Higher High Water (MHHW) and Mean Lower Low Water (MLLW) levels is required to identify dry beach areas available for coastal tourism and management. Such information allows tourists to choose beach areas suitable for recreational or ecological activities. Dry beach availability also assists coastal restoration managers to plan and implement beach conservation measures. Results predict shoreline changes and dry beach access while promoting minimal impacts by tourists on fragile coastal dune ecosystems. © 2011 Elsevier Ltd.</t>
  </si>
  <si>
    <t>2-s2.0-84856471733"</t>
  </si>
  <si>
    <t>10.1127/0372-8854/2012/0079</t>
  </si>
  <si>
    <t>https://www.scopus.com/inward/record.uri?eid=2-s2.0-84881434135&amp;doi=10.1127%2f0372-8854%2f2012%2f0079&amp;partnerID=40&amp;md5=08f98a6259c38a01ed5189bd9422002a</t>
  </si>
  <si>
    <t>The Mantung High Plain of the western Murray Basin is a karstic surface of low relief developed on the Early Miocene Mannum Limestone. Dissected by the River Murray in its Gorge section it is exposed for some tens of kilometres on either side of the River Murray and to the east persists in unconformity beneath a thin sedimentary cover. The Plain is attributed to corrosion planation, i. e. dissolution and collapse down to the Pliocene water table associated first with the ancestral allogenic and exoreic River Murray that then flowed in shallow valley graded to a relatively high regional baselevel, and in later Pliocene times to the estuary that inundated the valley. During the Quaternary the Plain was left high and dry (and converted to the High Plain) by the incision of the Murray and becoming graded to lower baselevels and water tables. Conservation was enhanced by the widespread formation of a calcrete duricrust. © 2012 Gebr. Borntraeger Verlagsbuchhandlung, Stuttgart, Germany.</t>
  </si>
  <si>
    <t>2-s2.0-84881434135"</t>
  </si>
  <si>
    <t>10.2112/JCOASTRES-D-10-00011.1</t>
  </si>
  <si>
    <t>https://www.scopus.com/inward/record.uri?eid=2-s2.0-84856006195&amp;doi=10.2112%2fJCOASTRES-D-10-00011.1&amp;partnerID=40&amp;md5=7bda0c1c8f3569713acc6d58ac34d01a</t>
  </si>
  <si>
    <t>Coastal communities and ecosystems, including those along the Carolina coast of the eastern United States, are at risk to permanent or episodic inundation, contamination of freshwater supplies, and a host of other climate change related environmental hazards due to sea level rise. In order to guide development of mitigation and adaptation strategies, stakeholders will require information on baseline conditions and projections of change. However, the interpretation of impact assessments is not always straightforward given the uncertainties in measuring relative sea level rise, the challenges in predicting the magnitude of change, and the difficulty in acquiring appropriate data and methodologies for quantifying impacts. In addition, many sea level rise assessments are not at spatial or temporal scales most relevant for decision makers. In the context of sea level rise assessments, this study presents a model to describe the various sources of compounding uncertainty that can compromise evaluations and complicate interpretations. Sea level trends and impacts along the Carolina coastlinea region at risk to significant economic and environmental lossesare then reviewed as a means of (1) illustrating the compounding sources of uncertainty and (2) testing the state of our knowledge and identifying information gaps and processing limitations that impede understanding adaptation to sea level rise. © 2012, the Coastal Education &amp; Research Foundation (CERF).</t>
  </si>
  <si>
    <t>2-s2.0-84856006195"</t>
  </si>
  <si>
    <t>10.1127/0372-8854/2012/0072</t>
  </si>
  <si>
    <t>https://www.scopus.com/inward/record.uri?eid=2-s2.0-84881469737&amp;doi=10.1127%2f0372-8854%2f2012%2f0072&amp;partnerID=40&amp;md5=40dfaa523b1247677f9949cd57718df5</t>
  </si>
  <si>
    <t>This paper presents the results of a survey of an estuary in Senegal since a humaninduced breach was opened in a bar at the mouth of the embayment in October 2003 to reduce the effect of a major flood event. The evolution of the new mouth's width has been analysed using a Landsat time series of 94 scenes, covering the period 2003-2010. This series is complemented by recent high resolution Alos-PRISM data, and very high resolution Ikonos data. The survey indicates a rapid opening of the new mouth in the first days after the breaching (270m wide after 10 days) and during the first three years (about 1,900 m wide in September 2006). Then, a strong shortening of the mouth appears (689 m wide in April 2007). The next evolution shows a relatively regular widening of the mouth with limited shortening events during highwater periods (autumn 2007, 2008, and 2009). In May 2010, the mouth was 2,400 m wide and then slightly decreased to 2,145 m wide on September 15, 2010. The general trend is the opening of the mouth with an average of about 300 m per year since the breaching. The effect of the high flow period (August to November) seems to shorten the mouth width but with various amplitudes, -1,210 m in 2006, only -215 m in 2008. During this period the northern sandbar is more or less north-south oriented. In contrast, during the dry season when the littoral drift dominates, the mouth width generally increases except in 2007. The main part of the widening is due to the erosion of the southern part of the mouth (about -2,300 m). The northern part is barely affected because it is regularly fed with sand transported by the littoral drift. The erosion of the southern part results in a NNE-SSW oriented coastline showing also the important effect of the littoral drift. The most recent observations show that the evolution of the mouth will probably change in the near future. The opening of the new mouth in 2010 has been stopped for the first time since the breaching. New changes are now visible such as the natural breaching of Babagueye Island formed in February 2010 in front of the new mouth. All these major changes also induced large-scale ecological and human effects. The direct impact of the new breach on flood mitigation remains unknown. If Saint-Louis City seems less subject to recurrent river flooding by overflow, flooding by stagnation of water from precipitation remains worrying. © 2012 Gebr. Borntraeger Verlagsbuchhandlung, Stuttgart, Germany.</t>
  </si>
  <si>
    <t>2-s2.0-84881469737"</t>
  </si>
  <si>
    <t>10.1007/s12517-010-0276-1</t>
  </si>
  <si>
    <t>https://www.scopus.com/inward/record.uri?eid=2-s2.0-85027916789&amp;doi=10.1007%2fs12517-010-0276-1&amp;partnerID=40&amp;md5=72bf796486e4b06d07495659da7a4ec5</t>
  </si>
  <si>
    <t>Over 1 km thick Mesozoic sedimentary sequence is exposed over a wide area in the Upper Indus basin of north Pakistan along the western margin of the Indian Plate. The Mesozoic sequence is comprised of clastic facies in the lower part, while carbonate facies are dominant in the upper part. About 200 m thick mixed sequence of interbedded sandstone, siltstone, clay, and carbonaceous shale represents the lower Jurassic Datta Formation in the Salt and Trans Indus Ranges in North Pakistan. The Datta Formation constitutes important reservoir horizons in a number of oil fields in the western Himalayan foreland basins where it is encountered at a depth of about 4 km in various wells. The Datta Formation is described from different parts of the range front to understand the internal architecture of various sedimentary facies and their depositional system. The thickness and lithofacies assemblages of the Datta Formation change in different parts of the range front as well as in subsurface of the Upper Indus basin. The Datta Formation represents a coarsening upward deltaic sequence in most parts of the basin. On the basis of lithological variations and sedimentary structures, a number of depositional facies have been recognized which include channel belt facies, floodplain/ abandoned channel facies, swamp facies, and lagoonal facies. Further north, in the Kalachitta and Hazara regions, the siliciclastic facies change to more complex assemblages of interbedded bauxite, silcrete, marl, and some limestone. These sediments represent deposition in a deltaplain setting of a fluvial-dominated delta with northwestward flowing channels. © Saudi Society for Geosciences 2010.</t>
  </si>
  <si>
    <t>2-s2.0-85027916789"</t>
  </si>
  <si>
    <t>10.2112/JCOASTRES-D-10-00104.1</t>
  </si>
  <si>
    <t>https://www.scopus.com/inward/record.uri?eid=2-s2.0-81255182734&amp;doi=10.2112%2fJCOASTRES-D-10-00104.1&amp;partnerID=40&amp;md5=d3ef44c0712c98b76b1a854cd14a1c70</t>
  </si>
  <si>
    <t>It has been well established that numerous coastal areas are threatened by sea-level rise and coastal flooding. Some of these vulnerable lands contain significant archeological sites and cultural resources. The accurate calculation of shoreline rates of change and identification of coastal hazard zones for areas containing cultural resources is crucial for the development of effective coastal zone management strategies that address resource conservation and preservation. This investigation employed geospatial and analytical statistical techniques to conduct a shoreline change study on Rainsford Island occurring from 1944 to 2008. The 4.45-ha island, located in Boston Harbor, Massachusetts, consists of two heavily eroded drumlins connected by a low-lying bar. Past archeological surveys have concluded that Rainsford Island has numerous historical sites and is an area of high prehistoric sensitivity. A recent geophysical survey mapped a Revolutionary War era cemetery on the island. Multiple data sources were integrated, including historical maps, aerial photographs, and airborne laser topographic data for shoreline delineation over various temporal and spatial scales. The Digital Shoreline Analysis System was used to determine rate-of-change statistics and distances, and to identify hotspot areas of erosion and accretion. The results show that the island eroded during the study period at a rate of 0.05 m/y on average, with erosion rates as high as -0.59 m/y. The bar has migrated SE resulting in erosion along the island's northern shoreline. Predictive modeling indicates that 26% of the island would become inundated with 1 m of sea-level rise including the area containing the cemetery. © 2012, the Coastal Education &amp; Research Foundation (CERF). © 2012 Coastal Education &amp; Research Foundation.</t>
  </si>
  <si>
    <t>2-s2.0-81255182734"</t>
  </si>
  <si>
    <t>10.1186/2192-1709-1-9</t>
  </si>
  <si>
    <t>https://www.scopus.com/inward/record.uri?eid=2-s2.0-84993952114&amp;doi=10.1186%2f2192-1709-1-9&amp;partnerID=40&amp;md5=0f1238f6c19f597be09f480b8cadc682</t>
  </si>
  <si>
    <t>Introduction: The Florida coast is one of the most species-rich ecosystems in the world. This paper focuses on the sensitivity of the habitat of threatened and endangered shorebirds to sea level rise induced by climate change, and on the relationship of the habitat with the coastline evolution. We consider the resident Snowy Plover (Charadrius alexandrinus nivosus), and the migrant Piping Plover (Charadrius melodus) and Red Knot (Calidris canutus) along the Gulf Coast of Mexico in Florida. Methods: We analyze and model the coupled dynamics of habitat patches of these imperiled shorebirds and of the shoreline geomorphology dictated by land cover change with consideration of the coastal wetlands. The land cover is modeled from 2006 to 2100 as a function of the A1B sea level rise scenario rescaled to 2 m. Using a maximum-entropy habitat suitability model and a set of macroecological criteria we delineate breeding and wintering patches for each year simulated. Results: Evidence of coupled ecogeomorphological dynamics was found by considering the fractal dimension of shorebird occurrence patterns and of the coastline. A scaling relationship between the fractal dimensions of the species patches and of the coastline was detected. The predicted power law of the patch size emerged from scale-free habitat patterns and was validated against 9 years of observations. We predict an overall 16% loss of the coastal landforms from inundation. Despite the changes in the coastline that cause habitat loss, fragmentation, and variations of patch connectivity, shorebirds self-organize by preserving a power-law distribution of the patch size in time. Yet, the probability of finding large patches is predicted to be smaller in 2100 than in 2006. The Piping Plover showed the highest fluctuation in the patch fractal dimension</t>
  </si>
  <si>
    <t>Environmetrics</t>
  </si>
  <si>
    <t>10.1002/env.1133</t>
  </si>
  <si>
    <t>https://www.scopus.com/inward/record.uri?eid=2-s2.0-84855926525&amp;doi=10.1002%2fenv.1133&amp;partnerID=40&amp;md5=06a820eb6ab6377e8fe22be064e7e9aa</t>
  </si>
  <si>
    <t>As hurricanes approach landfall, there are several hazards for which coastal populations must be prepared. Damaging winds, torrential rains, and tornadoes play havoc with both the coast and inland areas; but, the biggest seaside menace to life and property is the storm surge. Wind fields are used as the primary forcing for the numerical forecasts of the coastal ocean response to hurricane force winds, such as the height of the storm surge and the degree of coastal flooding. Unfortunately, developments in deterministic modeling of these forcings have been hindered by computational expenses. In this paper, we present a multivariate spatial model for vector fields, that we apply to hurricane winds. We parameterize the wind vector at each site in polar coordinates and specify a circular conditional autoregressive model for the vector direction, and a spatial CAR model for speed. We apply our framework for vector fields to hurricane surface wind fields for Hurricane Floyd of 1999 and compare our circular conditional autoregressive model to prior methods that decompose wind speed and direction into its N-S and W-E cardinal components. Copyright © 2011 John Wiley &amp; Sons, Ltd.</t>
  </si>
  <si>
    <t>Environment and Planning B: Planning and Design</t>
  </si>
  <si>
    <t>10.1068/b36077</t>
  </si>
  <si>
    <t>https://www.scopus.com/inward/record.uri?eid=2-s2.0-84856328533&amp;doi=10.1068%2fb36077&amp;partnerID=40&amp;md5=74d5f8988215f43a64f045602c2c7150</t>
  </si>
  <si>
    <t>Assessments of changing risks in the future often focus on climate change alone, and ignore other relevant drivers such as socioeconomic changes. If other relevant drivers are considered at all, expert judgment is often used to create scenarios and the underlying logic is not always apparent. In this paper we describe an algorithm-based method for developing quantitative future scenarios of the built environment in East Anglia, England with a focus on a coastal management unit, designated sub-cell 3b. The four UK Foresight socioeconomic storylines were inputs to the study: World Markets, Local Stewardship, Global Sustainability, and National Enterprise. On the basis of estimated regional demand, the distributions of new residential and nonresidential properties were calculated under all scenarios using a GIS-based multicriteria analysis. The buildings are distributed across a large swath of East Anglia using four attraction factors with different weightings to reflect the storylines. The factors are the existing settlements, transport networks, coastline, and floodplain. The results show increases in the number of residential and nonresidential properties within the coastal flood plain of sub-cell 3b under all socioeconomic scenarios, especially under World Markets and National Enterprise. These increases may lead to a significant increase in flood risk and to a lesser extent in the erosion risk in the study site. More importantly, the multicriteria method presented here demonstrates an algorithm-based approach that provides feasible and flexible tools for the development of socioeconomic scenarios in the context of impact and risk assessment. Hence, the scenario assumptions are explicit, reproducible and easily adjustable, as required. © 2012 Pion Ltd and its Licensors.</t>
  </si>
  <si>
    <t>2-s2.0-84856328533"</t>
  </si>
  <si>
    <t>10.2112/JCOASTRES-D-10-00069.1</t>
  </si>
  <si>
    <t>https://www.scopus.com/inward/record.uri?eid=2-s2.0-84855370165&amp;doi=10.2112%2fJCOASTRES-D-10-00069.1&amp;partnerID=40&amp;md5=ed66d68fa62c8d43b877854f2845ca4b</t>
  </si>
  <si>
    <t>Mombasa is the second largest city in Kenya and the largest international seaport in East Africa, with over 650,000 inhabitants. The city has a history of natural disasters associated with extreme climatic events, most recently, the severe rain-induced flooding in October 2006, which affected about 60,000 people and caused damage to important infrastructure. Because the city is expected to continue to experience rapid growth, the future impacts of such events can only increase. Changes in sea level and storm surges are components of climate change that have the potential to further increase the threats of flooding within the city. This geographic information systembased study provides a first quantitative estimate, both now and through the twenty-first century, of the number of people and associated economic assets potentially exposed to coastal flooding due to sea-level rise and storm surges in Mombasa. The current exposure to a 1aSaŠ100 y extreme water level for the Mombasa district is estimated at 190,000 people and US$$470 million in assets. About 60% of this exposure is concentrated in the Mombasa Island division of the city, where about 117,000 people (2005 estimate) live below 10 m elevation. By 2080, exposure could grow to over 380,000 people and US$$15 billion in assets, assuming the well-known A1B sea-level and socioeconomic scenario. Future exposure is more sensitive to socioeconomic than climate scenarios. However, there is significant scope within the city limits to steer future development to areas that are not threatened by sea-level rise. Hence, forward planning to focus population and asset growth in less vulnerable areas could be an important part of a strategic response to sea-level rise. The methods used here could be applied more widely to other coastal cities in Africa and elsewhere to better understand present and future exposure and worst-case risks due to climate change and rising sea levels. © 2012, the Coastal Education &amp; Research Foundation (CERF). © 2012 Coastal Education &amp; Research Foundation.</t>
  </si>
  <si>
    <t>2-s2.0-84855370165"</t>
  </si>
  <si>
    <t>10.1016/j.earscirev.2011.10.004</t>
  </si>
  <si>
    <t>https://www.scopus.com/inward/record.uri?eid=2-s2.0-84855247232&amp;doi=10.1016%2fj.earscirev.2011.10.004&amp;partnerID=40&amp;md5=21e5397d1c559b7cd0a962d07e1514ef</t>
  </si>
  <si>
    <t>Vertical ground motion (VGM) rates stand as crucial information, either for predicting the impact of the actual sea level rise along low-lying coasts or refining geodynamic problems. Because present day VGM rates have a magnitude smaller than 10. mm/yr, they remain challenging to quantify and often elusive. We focus on the quantification of global-scale VGM rates in order to identify global or regional trends. We computed VGM rates by combining tide gauges records and local satellite altimetry, which yield a new dataset of 634 VGM rates. We further compare this database to previous studies that use geodetic techniques and tide gauges records in order to evaluate the consistency of both our results and previous ones. The magnitudes differ by less than 5. mm/yr, and similar subsidence and uplift general tendencies appear. Even if the asset of our database stands in the greater number of sites, the combination of all studies, each with different pros and cons, yields a hybrid dataset that makes our attempt to extract VGM trends more robust than any other, independent study. Fennoscandia, the West coast of North America, and the eastern coast of Australia are uplifting, while the eastern coast of North America, the British Isles and Western Europe, the eastern Mediterranean Sea, Japan, and the western coast of Australia are subsiding. Glacial Isostatic Adjustment (GIA) is expected to provide a major contribution to the present-day signal. Aside from Fennoscandia, observed VGM often depart from the GIA model predictions of Peltier (2004). This either results from an underestimate of the model predictions or from the influence of other processes: indeed, the influence of the geodynamic setting appears in particular along the coasts of western North America or Japan, where the alternation of transform faults and subduction zones makes it possible to assign contrasted behaviours to the local geodynamic context. Local mechanisms like anthropogenic processes or sediment compaction, also contribute to VGM. This remains true for the critical cases of Venice, the Gulf of Mexico, the Ganges delta, and the Maldives, which are particularly exposed to the current sea level rise. © 2011 Elsevier B.V.</t>
  </si>
  <si>
    <t>2-s2.0-84855247232"</t>
  </si>
  <si>
    <t>10.1017/S0016774600000457</t>
  </si>
  <si>
    <t>https://www.scopus.com/inward/record.uri?eid=2-s2.0-84870413695&amp;doi=10.1017%2fS0016774600000457&amp;partnerID=40&amp;md5=885700cc502662293182a55090182a72</t>
  </si>
  <si>
    <t>The availability of nearly 100 years of bathymetric measurements allows the analysis of the morphodynamic evolution of the Dutch Wadden Sea under rising sea level and increasing human constraint. The historically observed roll-over mechanisms of landward barrier and coastline retreat cannot be sustained naturally due to numerous erosion control measures that have fixed the tidal basin and barrier dimensions. Nevertheless, the large continuous sedimentation in the tidal basins (nearly 600 million m3), the retained inlets and the similar channel-shoal characteristics of the basins during the observation period indicate that the Wadden Sea is resilient to anthropogenic influence, and can import sediment volumes even larger than those needed to compensate the present rate of sea-level rise. The largest sedimentation occurs in the Western Wadden Sea, where the influence of human intervention is dominant. The large infilling rates in closed-off channels, and along the basin shoreline, rather than a gradual increase in channel flat heights, render it likely that this sedimentation is primarily a response to the closure of the Zuiderzee and not an adaptation to sea-level rise. Most of the sediments were supplied by the ebb-tidal deltas. It is, however, unlikely that the sediment volume needed to reach a new equilibrium morphology in the Western Wadden Sea can be delivered by the remaining ebb-tidal deltas alone.</t>
  </si>
  <si>
    <t>2-s2.0-84870413695"</t>
  </si>
  <si>
    <t>10.5751/ES-04886-170327</t>
  </si>
  <si>
    <t>https://www.scopus.com/inward/record.uri?eid=2-s2.0-84867121283&amp;doi=10.5751%2fES-04886-170327&amp;partnerID=40&amp;md5=9f6ffba0c178b4cf0fcfccaf9cd8599a</t>
  </si>
  <si>
    <t>Regional and global scale ecosystem service assessments have demonstrated the socioeconomic value of protecting biodiversity and have been integrated into associated policy. Local government decision makers are still unsure of the applicability, return on investment, and usefulness of these assessments in aiding their decision making. Cape Town, a developing city in a globally recognized biodiversity hotspot, has numerous competing land uses. City managers, with a tightly constrained budget, requested an exploratory study on the links between ecosystem services and biodiversity conservation within this municipal area. We set out to develop and test a simple and rapid ecosystem service assessment method aimed at determining the contribution natural vegetation remnants make to ecosystem service provision. We took selected services, identified in conjunction with city managers, and assessed these in two ways. First we used an area weighted approach to attribute services to vegetation types and assessed how these had changed through time and into the future given development needs. Second, we did a regulatory and cultural service remnant distance analysis to better understand proximity effects and linkages. Provisioning services were found to have been most severely affected through vegetation transformation. Regulatory services have been similarly affected, and these losses are more significant because regulatory services can only function in situ and cannot be outsourced in the way provisioning services can. The most significant losses were in coastal zone protection and flood mitigation services, both of which will be placed under even greater pressure given the predicted changes in climatic regimes. The role of remnant vegetation in regulating and cultural services was shown to be a significant additional consideration in making the case for conservation in the city. Our rapid assessment approach does not allow for nuanced and individual understanding of the trade-offs presented by individual remnant patches, but is particularly strong in quickly identifying issues, key focus areas, and opportunities provided by this research direction, and thereby serving to facilitate and drive constructive engagement between ecosystem service experts and city planners. © 2012 by the author(s).</t>
  </si>
  <si>
    <t>2-s2.0-84867121283"</t>
  </si>
  <si>
    <t>10.1017/S0016774600000469</t>
  </si>
  <si>
    <t>https://www.scopus.com/inward/record.uri?eid=2-s2.0-84870401609&amp;doi=10.1017%2fS0016774600000469&amp;partnerID=40&amp;md5=72be7ac5916f09b5febc3ea1613dd4c4</t>
  </si>
  <si>
    <t>Tidal channel networks, estuaries and ebb deltas are usually formed over a period longer than observations cover. Much is known about their characteristics and formation from linear stability analyses, numerical modelling and field observations. However, experiments are rare whilst these can provide data-rich descriptions of morphological evolution in fully controlled boundary and initial conditions. Our objective is to ascertain whether tidal basins can be formed in experiments, what the possible scale effects are, and whether morphological equilibrium of such systems exists. We experimentally created tidal basins with simple channel networks and ebb deltas in a 1.2 by 1.2 m square basin with either a fixed or self-formed tidal inlet and initially flat sediment bed in the tidal basin raised above the bed of the sea. Rather than create tides by varying water level we tilted the entire basin over the diagonal. The advantage of this novel method is that the bed surface slopes in downstream direction both during flood and ebb phases, resulting in significant transport and morphological change in the flood phase as well as the ebb phase. This overcomes the major problem of earlier experiments which were entirely ebb-dominated, and reduces the experiment time by an order of magnitude. Ebb deltas formed in sand were entirely bedload dominated whereas the lightweight plastic sediment was intermittently suspended. Channels bifurcated during channel deepening and backward erosion to form a network of up to four orders. For initially dry tidal plains, the tidal prism increased as more sediment eroded from basin to ebb delta, so that evolution accelerated initially. The rate of change, the size of the channels and the final length of channels and delta were very sensitive to the tidal amplitude, tidal period and initial water depth in the basin. Most experiments with sand terminated with all sediment below the threshold for motion, whilst lightweight sediment remained mobile in the inlet region and firstorder channels, suggesting that sustained morphodynamics are feasible in experiments. We discuss how this novel experimental setup can be extended to produce tidal deltas, estuaries and other tidal systems and study their dynamics as a function of their forcing.</t>
  </si>
  <si>
    <t>2-s2.0-84870401609"</t>
  </si>
  <si>
    <t>10.1016/j.earscirev.2011.12.004</t>
  </si>
  <si>
    <t>https://www.scopus.com/inward/record.uri?eid=2-s2.0-84857192712&amp;doi=10.1016%2fj.earscirev.2011.12.004&amp;partnerID=40&amp;md5=a814d34c9da23f2a17283824ceed057c</t>
  </si>
  <si>
    <t>This review is intended to identify differences between beaches in short-fetch environments and beaches on exposed coasts, while also distinguishing between the different subcategories of fetch-limited beaches. Subcategories are discussed largely in terms of estuaries, lakes and reservoirs. The term fetch-limited refers to basins that are small enough that distance rather than wind duration is always a limitation to wave generation. Attention is focused on basins where fetch distances are &lt;50km. The dimensions of small basins provide a limit on the energy potential of the waves, causing geologic and biologic controls to be more significant and wind-induced currents, tidal currents and ice to be relatively more effective than on exposed beaches. Shoreline orientations differ greatly over short distances, causing great differences in exposure to dominant winds and isolating beach segments. Limited longshore sediment exchanges result in beach sediments that closely resemble local source materials. The absence of high-energy waves causes beaches and bar forms to be smaller, and the absence of swell waves following storms and the relatively calm conditions reduces the speed of recovery of post-storm profiles and the cyclic nature of beach response. The beaches are often fronted by flat shallow platforms that undergo little morphologic change and help dissipate waves at low water levels. The narrow beaches are poor sources of sediment for wind-blown sand and dunes are small or frequently absent. The narrow beaches and reduced wave energies allow upland vegetation and algae and seagrass to grow close to the active foreshore. This vegetation, the wrack deposited on the beach, and driftwood logs are better able to resist the low-energy waves and are more effective in resisting beach change. Erosion rates of 2-3myr -1 are common in some estuaries and can be &gt;7myr -1. Rates of up to 1.5myr -1 can occur in small lakes and reservoirs. Shore parallel protection structures are common and have greater survivability in low-energy environments than high-energy environments</t>
  </si>
  <si>
    <t>10.1007/s11069-011-0060-x</t>
  </si>
  <si>
    <t>https://www.scopus.com/inward/record.uri?eid=2-s2.0-84856386076&amp;doi=10.1007%2fs11069-011-0060-x&amp;partnerID=40&amp;md5=bf480801fe56565fd3928a63f49fbdeb</t>
  </si>
  <si>
    <t>Floods are regular feature in rapidly urbanizing Dhaka, the capital city of Bangladesh. It is observed that about 60% of the eastern Dhaka regularly goes under water every year in monsoon due to lack of flood protection. Experience gathered from past devastating floods shows that, besides structural approach, non-structural approach such as flood hazard map and risk map is effective tools for reducing flood damages. In this paper, assessment of flood hazard by developing a flood hazard map for mid-eastern Dhaka (37.16 km 2) was carried out by 1D hydrodynamic simulation on the basis of digital elevation model (DEM) data from Shuttle Radar Topography Mission and the hydrologic field-observed data for 32 years (1972-2004). As the topography of the area has been considerably changed due to rapid land-filling by land developers which was observed in recent satellite image (DigitalGlobe image</t>
  </si>
  <si>
    <t>Geography Research Forum</t>
  </si>
  <si>
    <t>https://www.scopus.com/inward/record.uri?eid=2-s2.0-84873662211&amp;partnerID=40&amp;md5=40a3110bc30bdc3782dae0beba8e0327</t>
  </si>
  <si>
    <t>Both basins of the Dead Sea (DS) have been deeply damaged in the last 50 years by anthropogenic intrusion in its water balance. The northern basin is receding, together with the fresh water aquifers along its shores. This has led to the formation of sinkholes, subsidence areas and landslides, affecting wide coastal segments, and bringing development to a halt along the western DS shore. In the southern basin, the water level is rising threatening the tourist-hotel area lying on its shores. This overview of planning and decision making in the last four decades shows that environmental degradation, conflict between industry and tourism, conservation versus development, water scarcity, unsustainable water and wastewater management have remained persistent problems. Coordination among agents of management and planning, missing for decades, is essential to cope with the problems of the DS region, which are expected to grow increasingly severe on both DS shores, in the absence of sustainable solutions. Critical decisions made recently have to be effectively implemented to avoid a catastrophe.</t>
  </si>
  <si>
    <t>2-s2.0-84873662211"</t>
  </si>
  <si>
    <t>10.1002/hyp.8183</t>
  </si>
  <si>
    <t>https://www.scopus.com/inward/record.uri?eid=2-s2.0-84857374189&amp;doi=10.1002%2fhyp.8183&amp;partnerID=40&amp;md5=1129380ea8844d0cf16600616805c6c9</t>
  </si>
  <si>
    <t>The Mekong Delta is one of the largest and most intensively used estuaries in the world. Each year it witnesses widespread flooding which is both the basis of the livelihood for more than 17 million people but also the major hazard. Therefore, a thorough understanding of the hydrologic and hydraulic features is urgently required for various planning purposes. While the general causes and characteristics of the annual floods are understood, the inundation dynamics in the floodplains in Vietnam which are highly controlled by dikes and other control structures have not been investigated in depth. Especially, quantitative analyses are lacking, mainly due to scarce data about the inundation processes in the floodplains. Therefore, a comprehensive monitoring scheme for channel and floodplain inundation was established in a study area in the Plain of Reeds in the northeastern part of the Vietnamese Delta. This in situ data collection was complemented by a series of high-resolution inundation maps derived from the TerraSAR-X satellite for the flood seasons 2008 and 2009. Hence, the inundation dynamics in the channels and floodplains, and the interaction between channels and floodplains, could be quantified for the first time. The study identifies the strong human interference which is governed by flood protection levels, cropping patterns and communal water management. In addition, we examine the tidal influence on the inundation in various parts of the Delta, since it is expected that climate change-induced sea level rise will increase the tidal contribution to floodplain inundation. © 2011 John Wiley &amp; Sons, Ltd.</t>
  </si>
  <si>
    <t>2-s2.0-84857374189"</t>
  </si>
  <si>
    <t>10.1016/j.jag.2012.01.012</t>
  </si>
  <si>
    <t>https://www.scopus.com/inward/record.uri?eid=2-s2.0-84864517206&amp;doi=10.1016%2fj.jag.2012.01.012&amp;partnerID=40&amp;md5=b0dfae04415f97308f22814c2b4a5861</t>
  </si>
  <si>
    <t>Several flood mapping classification techniques, applied to single-date and multi-date SAR images of ERS2, based on the Danube River flooding of 2006 in Romania are compared, as part of an effort to explore the feasibility of mapping flooded areas by SAR images acquired through radar sensors. Among 7 SAR images analyzed for the same study site located around Bistret of Romania, several represent ""dry"" and several ""wet"" conditions, where the latter represent the major Danube flooding event of 2006. The images were classified into (1) permanent water (Danube River and lakes), (2) flooded area, and (3) dry land, using single image, pixel-based classification, frequency-based contextual classification, and principal component analysis (PCA) combined with Isodata classification. The flooded areas delineated from the above procedures for the study site at Bistret are visually compared with that of Landsat-TM images and MODIS mosaic and digitally compared with referenced flooded area produced by the DEM data of SRTM. Apparently there is no one technique that is clearly better partly because of the nature of SAR data (radar echoes) and partly because of data noise even though the images were first subjected to speckle filtering and geometric corrections, and partly because SAR images could appear dark not only because of flooding but also because of smooth surfaces, target sizes, etc. However, if multi-date SAR images of both DRY and WET (flooding) conditions are available, it seems that PCA combined with the Isodata classifier would give better defined flooded areas of the Danube River than the simple single image, pixel-based classification or the contextual classification. © 2012 Elsevier B.V.</t>
  </si>
  <si>
    <t>2-s2.0-84864517206"</t>
  </si>
  <si>
    <t>10.1080/01431161.2010.532826</t>
  </si>
  <si>
    <t>https://www.scopus.com/inward/record.uri?eid=2-s2.0-82155170568&amp;doi=10.1080%2f01431161.2010.532826&amp;partnerID=40&amp;md5=f0de120ae2497008df47fe0e71aebf19</t>
  </si>
  <si>
    <t>Successful identification and mapping of different cropping patterns under cloudy conditions of a specific crop through remote sensing provides important baseline information for planning and monitoring. In Vietnam, this information is either missing or unavailable</t>
  </si>
  <si>
    <t>Science China: Physics, Mechanics and Astronomy</t>
  </si>
  <si>
    <t>10.1007/s11433-011-4584-6</t>
  </si>
  <si>
    <t>https://www.scopus.com/inward/record.uri?eid=2-s2.0-84858795799&amp;doi=10.1007%2fs11433-011-4584-6&amp;partnerID=40&amp;md5=41ea1f06f23e99c839f08fbb3cf19213</t>
  </si>
  <si>
    <t>The distribution characteristics of the impact craters can provide a large amount of information on impact history and the lunar evolution process. In this research, based on the digital elevation model (DEM) data originating from Change'E-1 CCD stereo camera, three automatic extraction methods for the impact craters are implemented in two research areas: direct extraction from flooded DEM data (the Flooded method), object-oriented extraction from DEM data by using ENVI ZOOM function (the Object-Oriented method) and novel object-oriented extraction from flooded DEM data (the Flooded Object-Oriented method). Accuracy assessment, extracted degree computation, cumulative frequency analysis, shape and age analysis of the extracted craters combined display the following results. (1) The Flooded Object-Oriented method yields better accuracy than the other two methods in the two research areas</t>
  </si>
  <si>
    <t>10.1109/JSTARS.2011.2179638</t>
  </si>
  <si>
    <t>https://www.scopus.com/inward/record.uri?eid=2-s2.0-84857731767&amp;doi=10.1109%2fJSTARS.2011.2179638&amp;partnerID=40&amp;md5=0bf74e88b07142e02f45a12d7e45a780</t>
  </si>
  <si>
    <t>The 2009-2010 Data Fusion Contest organized by the Data Fusion Technical Committee of the IEEE Geoscience and Remote Sensing Society was focused on the detection of flooded areas using multi-temporal and multi-modal images. Both high spatial resolution optical and synthetic aperture radar data were provided. The goal was not only to identify the best algorithms (in terms of accuracy), but also to investigate the further improvement derived from decision fusion. This paper presents the four awarded algorithms and the conclusions of the contest, investigating both supervised and unsupervised methods and the use of multi-modal data for flood detection. Interestingly, a simple unsupervised change detection method provided similar accuracy as supervised approaches, and a digital elevation model-based predictive method yielded a comparable projected change detection map without using post-event data. © 2012 IEEE.</t>
  </si>
  <si>
    <t>2-s2.0-84857731767"</t>
  </si>
  <si>
    <t>10.1007/s10584-011-0062-4</t>
  </si>
  <si>
    <t>https://www.scopus.com/inward/record.uri?eid=2-s2.0-83055188487&amp;doi=10.1007%2fs10584-011-0062-4&amp;partnerID=40&amp;md5=33a120ab793e4436642eb2a229cb30e4</t>
  </si>
  <si>
    <t>While increasing research is focusing on the effective adaptation to climate change in richer (developed) countries, comparatively little has focused specifically on this subject in poorer (developing) countries such as most in the Pacific Islands region. A significant barrier to the development of effective and sustainable adaptive strategies for climate change in such places is the gap between risk and perceived risk. This study looks at a vulnerable location in Fiji-the densely populated Rewa River Delta where environmental changes resulting from shoreline retreat and floods are expected to increase over the next few decades and entail profound societal disruption. The numbers of people living in the Rewa Delta who know of climate change and could correctly identify its contributory causes are few although many rank its current manifestations (floods, riverbank erosion, groundwater salinization) as among their most serious environmental challenges. While lack of awareness is a barrier to adaptation, there are also cultural impediments to this such as short-term planning perspectives, spiritual beliefs, traditional governance structures. One way forward is to empower community leaders in places like the Rewa Delta to make appropriate decisions and for regional governments to continue working together to find solutions that acknowledge the variation in sub-regional trans-national vulnerability to climate change. © 2011 Springer Science+Business Media B.V.</t>
  </si>
  <si>
    <t>2-s2.0-83055188487"</t>
  </si>
  <si>
    <t>Annals of Global Analysis and Geometry</t>
  </si>
  <si>
    <t>10.1007/s10455-012-9314-4</t>
  </si>
  <si>
    <t>https://www.scopus.com/inward/record.uri?eid=2-s2.0-84866882586&amp;doi=10.1007%2fs10455-012-9314-4&amp;partnerID=40&amp;md5=3cf38e559a6db28635b74dd7ceca080c</t>
  </si>
  <si>
    <t>In this study, we establish a sharp relation between δ-invariants and Riemannian submersions with totally geodesic fibers. By using this relationship, we establish an optimal inequality involving δ-invariants for submanifolds of the complex projective space CPm(4) via Hopf's fibration π: S2m+1 → C Pm(4). Moreover, we completely classify submanifolds of complex projective space which satisfy the equality case of the inequality. © 2012 Springer Science+Business Media B.V.</t>
  </si>
  <si>
    <t>2-s2.0-84866882586"</t>
  </si>
  <si>
    <t>10.1007/s10584-011-0295-2</t>
  </si>
  <si>
    <t>https://www.scopus.com/inward/record.uri?eid=2-s2.0-84856702717&amp;doi=10.1007%2fs10584-011-0295-2&amp;partnerID=40&amp;md5=99af3f3833c3ceb0c3c2e85c630e6262</t>
  </si>
  <si>
    <t>With over 2,000 miles (3,218 km) of ocean and estuarine coastline, California faces significant coastal management challenges as a result of climate change-induced sea level rise. Under high emission scenarios, recent models predict 1. 4 m or more of sea level rise by 2100, accompanied by increasing storm surges. This article investigates the most important issues facing coastal managers, explores the policy tools available for adapting to the impacts of climate change, assesses institutional constraints to adaptation, and identifies priorities for future research and policy action. We find that adaptation tools exist for dealing with anticipated increases in coastal erosion and flooding, but they involve significant costs and tradeoffs. In particular, coastal armoring, such as seawalls, can protect developed coastal lands, but destroys beaches and habitat. Although California already has policies and institutions that aim to balance the competing objectives for coastal development, management agencies are at the early stages of understanding how to facilitate adaptation. Research priorities to inform coastal adaptation planning include: (i) inventorying coastal resources to provide a firmer basis for balancing decisions on property and habitat protection, (ii) identifying opportunities for coastal habitat migration, (iii) assessing the vulnerabilities of existing and planned coastal infrastructure, and (iv) experimenting with alternatives to armoring as a way of managing the changing coastline. © 2011 Springer Science+Business Media B.V.</t>
  </si>
  <si>
    <t>2-s2.0-84856702717"</t>
  </si>
  <si>
    <t>10.1007/s13412-011-0056-6</t>
  </si>
  <si>
    <t>https://www.scopus.com/inward/record.uri?eid=2-s2.0-84977138007&amp;doi=10.1007%2fs13412-011-0056-6&amp;partnerID=40&amp;md5=7656960bfdec6a8889ad837b5b717581</t>
  </si>
  <si>
    <t>Sea-level rise impact assessments are urgently needed by local planners to make informed decisions about adaptation and vulnerability. Most assessments to date, however, focus on large urban centers, coastlines of economic significance, or involve physical or economic modeling expertise that may be expensive or unavailable to town planners. Despite the large number of small coastal communities in the USA, few methodologies have been developed based on locally available data and expertise. Our research team at Bowdoin College served as a boundary organization working with community stakeholders to identify and meet their needs in developing a simplified, inexpensive methodology based on widely available data to assess sea level rise (SLR) and storm surge impacts on coastal Maine communities. We used two municipalities, Brunswick and Harpswell, as case studies. LIDAR maps were used in a geographic information system framework to model SLR scenarios (projected for the year 2100) of 0. 61 (2 ft), 1, and 2 m. Storm surge scenarios based on historical data were modeled additively to SLR projections. We analyzed the potential impacts of SLR and storm surge changes on land acreage, buildings, transportation networks, piers, and coastal marshes. Coastal Maine communities may face substantial impacts to land, infrastructure, intertidal ecosystems, and livelihoods. We identify issues in existing data and governance structures that make implementing this simplified analysis challenging, and we suggest recommendations for overcoming them. Our work provides a useful framework for assessing vulnerability and resilience at the municipal level and the development of subnational adaptation protocols. © 2012 AESS.</t>
  </si>
  <si>
    <t>2-s2.0-84977138007"</t>
  </si>
  <si>
    <t>10.1029/2011JC007733</t>
  </si>
  <si>
    <t>https://www.scopus.com/inward/record.uri?eid=2-s2.0-84862289264&amp;doi=10.1029%2f2011JC007733&amp;partnerID=40&amp;md5=1e547eabc23d0e4fdb7812871479f12e</t>
  </si>
  <si>
    <t>Sea level rise associated with idealized Greenland and Antarctic ice sheet melting events is examined using a global coupled ocean sea-ice model that has a free surface formulation and thus can simulate fast barotropic motions. The perturbation experiments follow the Coordinated Ocean-ice Reference Experiment (CORE) version III. All regions of the global ocean experience a sea level rise within 7-8days of the initialization of a polar meltwater input of 0.1Sv (1Sv10=6m3s-1). The fast adjustment contrasts sharply with the slower adjustment associated with the smaller steric sea level evolution that is also connected with melt events. The global mean sea level rises by 9mmyr-1 when this forcing is applied either from Greenland or Antarctica. Nevertheless, horizontal inter-basin gradients in sea level remain. For climate adaption in low-lying coastal and island regions, it is critical that the barotropic sea level signal associated with melt events is taken into consideration, as it leads to a fast sea level rise from melting ice sheets for the bulk of the global ocean. A linear relation between sea level rise and global meltwater input is further supported by experiments in which idealized melting occurs only in a region east or west of the Antarctic Peninsula, and when melting rates are varied between 0.01Sv and 1.0Sv. The results indicate that in ocean models that do not explicitly represent the barotropic signal, the barotropic component of sea level rise can be added off-line to the simulated steric signal. © 2012 American Geophysical Union. All Rights Reserved.</t>
  </si>
  <si>
    <t>2-s2.0-84862289264"</t>
  </si>
  <si>
    <t>10.1007/s10113-011-0239-4</t>
  </si>
  <si>
    <t>https://www.scopus.com/inward/record.uri?eid=2-s2.0-84856954691&amp;doi=10.1007%2fs10113-011-0239-4&amp;partnerID=40&amp;md5=d5396ec0b04adfeca60760508ad2c579</t>
  </si>
  <si>
    <t>The paper provides a first quantitative estimate of the potential number of people and value of assets exposed to coastal flooding in Dar es Salaam, Tanzania. The study used an elevation-based geographic information system-analysis based on physical exposure and socio-economic vulnerability under a range of climate and socio-economic scenarios. It particularly considered a worst-case scenario assuming even if defences (natural and/or man-made) exist, they are subjected to failure under a 100-year flood event. About 8% of Dar es Salaam lies within the low-elevation coastal zone (below the 10 m contour lines). Over 210,000 people could be exposed to a 100-year coastal flood event by 2070, up from 30,000 people in 2005. The asset that could be damaged due to such event is also estimated to rise from US$35 million (2005) to US$10 billion (2070). Results show that socio-economic changes in terms of rapid population growth, urbanisation, economic growth, and their spatial distribution play a significant role over climate change in the overall increase in exposure. However, the study illustrates that steering development away from low-lying areas that are not (or less) threatened by sea-level rise and extreme climates could be an effective strategic response to reduce the future growth in exposure. Enforcement of such policy where informal settlements dominate urbanisation (as in many developing countries) could undoubtedly be a major issue. It should be recognised that this analysis only provides indicative results. Lack of sufficient and good quality observational local climate data (e.g. long-term sea-level measurements), finer-resolution spatial population and asset distribution and local elevation data, and detailed information about existing coastal defences and current protection levels are identified as limitations of the study. As such, it should be seen as a first step towards analysing these issues and needs to be followed by more detailed, city-based analyses. © 2011 Springer-Verlag.</t>
  </si>
  <si>
    <t>2-s2.0-84856954691"</t>
  </si>
  <si>
    <t>10.1080/01431161.2011.608091</t>
  </si>
  <si>
    <t>https://www.scopus.com/inward/record.uri?eid=2-s2.0-84857989490&amp;doi=10.1080%2f01431161.2011.608091&amp;partnerID=40&amp;md5=cfc831bea41987f297fb1a04692ad85d</t>
  </si>
  <si>
    <t>Traditional 'in situ' measurement techniques often fail to record the spatial distribution of floodplains. In that case, remote sensing provides inexpensive and reliable methodologies to map flooded areas and compute flood damage. The identification and monitoring of floods, due to their highly dynamic nature, require the use of high-time-resolution satellite images with the drawback that such images usually have low to medium spatial resolution. In this context, the traditional classification techniques would not be suitable for delineating floods because they use 'hard methods' of classification, where the coarse pixel is assigned to a unique land cover class, generating inaccurate maps of the flooded area. In contrast, the 'soft methods' assign several land cover classes within the coarse pixels. In this article, the theoretical basis regarding an innovative methodology of sub-pixel analysis (SA) to identify flooded areas is developed. The improvement in flood delineation is achieved with the use of primary topographic attributes, which stem from a digital elevation model (DEM). The methodology was applied to the monitoring of flood events in the lower Senegal River Valley, using satellite images with moderate spatial resolution. The proposed methodology was demonstrated to be effective for mapping the flood extent: the correct mapping of flooded areas was about 80% in all considered regions, whilst the better performance of supervised classification was 53%. © 2012 Taylor and Francis Group, LLC.</t>
  </si>
  <si>
    <t>2-s2.0-84857989490"</t>
  </si>
  <si>
    <t>10.1177/097542531200300103</t>
  </si>
  <si>
    <t>https://www.scopus.com/inward/record.uri?eid=2-s2.0-84996178596&amp;doi=10.1177%2f097542531200300103&amp;partnerID=40&amp;md5=b3bdf57a88504a260de21bfecd1fc200</t>
  </si>
  <si>
    <t>Asia's urbanized mega-deltas are experiencing increased incidences of flooding. Flood risk is increasing due to urban growth, which makes people more vulnerable and threatens economic assets, and due to factors that increase flood hazard, including reduced delta aggradation, subsidence though natural resource extraction, and climate change, including extreme weather events, such as typhoons, and sea level rise. The recent history of flooding in Asia's deltaic cities and the drivers of that risk have been examined in this article. We give particular attention to the Pearl River Delta, and its cities of Guangzhou, Hong Kong and Shenzhen, important economic centres of Asia. The flood risk is substantial, but flood risk management appear to suffer through a lack of sufficient strategic planning, and the difficulty of defending deltaic cities through traditional engineering approaches alone. Drawing on lessons from flood risk management internationally, we suggest that there are ways forward in developing flood mitigation strategies for deltaic cities in the region, which deserve further exploration. © 2012, National Institute of Urban Affairs (NIUA). All rights reserved.</t>
  </si>
  <si>
    <t>2-s2.0-84996178596"</t>
  </si>
  <si>
    <t>10.1016/j.ecolmodel.2011.10.021</t>
  </si>
  <si>
    <t>https://www.scopus.com/inward/record.uri?eid=2-s2.0-82055169043&amp;doi=10.1016%2fj.ecolmodel.2011.10.021&amp;partnerID=40&amp;md5=6b9554639a3a9c0147d5eb0e44935613</t>
  </si>
  <si>
    <t>Changes in coastal habitats due to sea-level rise provide an uncertain, yet significant threat to shoreline dependent birds. Rising sea levels can cause habitat fragmentation and loss which can result in considerable reduction in their foraging and nesting areas. Computational models and their algorithmic assumptions play an integral role in exploring potential mitigation responses to uncertain and potentially adverse ecological outcomes. The presence of uncertainty in metapopulation models is widely acknowledged but seldom considered in their development and evaluation, specifically the effects of uncertain model inputs on the model outputs. This paper was aimed to (1) quantify the contribution of each uncertain input factor to the uncertainty in the output of a metapopulation model which evaluated the effects of long-term sea-level rise on the population of Snowy Plovers (Charadrius alexandrinus) found in the Gulf Coast of Florida, and (2) determine the ranges of model inputs that produced a specific output for the purpose of formulating environmental management decisions. This was carried out by employing global sensitivity and uncertainty analysis (GSA) using two generic (model independent) methods, the qualitative screening Morris method and a quantitative variance-based Sobol' method coupled with Monte Carlo filtering. The analyses were applied to three density dependence scenarios: assuming a ceiling-type density dependence, assuming a contest-type density dependence, and assuming that density dependence is uncertain as to being ceiling- or contest-dependent. The sources of uncertainty in the outputs depended strongly on the type of density dependence considered in the model. In general, uncertainty in the outputs highly depended on the uncertainty in stage matrix elements (fecundity, adult survival, and juvenile survival), dispersal rate from central areas with low current populations (the ""Big Bend"" area of Florida) to the northern, panhandle populations, the maximum growth rate, and density dependence type. Our results showed that increasing the maximum growth rate to a value of 1.2 or larger will increase the final average population of Snowy Plovers assuming a contest-type density dependence. Results suggest that studies that further quantify which density dependence relationship best describes Snowy Plover population dynamics should be conducted since this is the main driver of uncertainty in model outcomes. Furthermore, investigating the presence of Snowy Plovers in the Big Bend region may be important for providing connection between the panhandle and peninsula populations. © 2011 Elsevier B.V.</t>
  </si>
  <si>
    <t>2-s2.0-82055169043"</t>
  </si>
  <si>
    <t>10.1007/s10584-011-0107-8</t>
  </si>
  <si>
    <t>https://www.scopus.com/inward/record.uri?eid=2-s2.0-84856227004&amp;doi=10.1007%2fs10584-011-0107-8&amp;partnerID=40&amp;md5=811e69757042cc6be4e68d87b0e474ac</t>
  </si>
  <si>
    <t>Accelerated sea level rise (SLR) in the twenty-first century will result in unprecedented coastal recession, threatening billions of dollars worth of coastal developments and infrastructure. Therefore, we cannot continue to depend on the highly uncertain coastal recession estimates obtained via the simple, deterministic method (Bruun rule) that has been widely used over the last 50 years. Furthermore, the emergence of risk management style coastal planning frameworks is now requiring probabilistic (rather than deterministic, single value) estimates of coastal recession. This paper describes the development and application of a process based model (PCR model) which provides probabilistic estimates of SLR driven coastal recession. The PCR model is proposed as a more appropriate and defensible method for determining coastal recession due to SLR for planning purposes in the twenty-first century and beyond. © 2011 The Author(s).</t>
  </si>
  <si>
    <t>2-s2.0-84856227004"</t>
  </si>
  <si>
    <t>10.1007/s11069-011-0072-6</t>
  </si>
  <si>
    <t>https://www.scopus.com/inward/record.uri?eid=2-s2.0-84856367680&amp;doi=10.1007%2fs11069-011-0072-6&amp;partnerID=40&amp;md5=6daf755f7e7a44ed87d635bc1a7e7aec</t>
  </si>
  <si>
    <t>Under the US National Flood Insurance Program, lands behind levees certified as protecting against the 100-year flood are considered to be out of the officially recognized ""floodplain."" However, such lands are still vulnerable to flooding that exceeds the design capacity of the levees-known as residual risk. In the Sacramento-San Joaquin Delta of California, we encounter the curious situation that lands below sea level are considered not ""floodplain"" and open to residential and commercial development because they are ""protected"" by levees. Residents are not informed that they are at risk from floods, because officially they are not in the floodplain. We surveyed residents of a recently constructed subdivision in Stockton, California, to assess their awareness of their risk of flooding. Median household income in the development was $80,000, 70% of respondents had a 4-year university degree or higher, and the development was ethnically mixed. Despite the levels of education and income, they did not understand the risk of being flooded. Given that literature shows informed individuals are more likely to take preventative measures than uninformed individuals, our results have important implications for flood policy. Climate-change-induced sea-level rise exacerbates the problems posed by increasing urbanization and aging infrastructure, increasing the threat of catastrophic flooding in the California Delta and in flood-prone areas worldwide. © 2012 Springer Science+Business Media B.V.</t>
  </si>
  <si>
    <t>2-s2.0-84856367680"</t>
  </si>
  <si>
    <t>10.1007/s13369-012-0227-0</t>
  </si>
  <si>
    <t>https://www.scopus.com/inward/record.uri?eid=2-s2.0-84861505360&amp;doi=10.1007%2fs13369-012-0227-0&amp;partnerID=40&amp;md5=4930dea47202c197cda192a3303daec7</t>
  </si>
  <si>
    <t>Estimation of flooding is indispensable for the design of hydraulic structures such as dams, especially when there are many potential small dam sites available, but no flow data is being measured at these sites. If stream gauging stations are present upstream and downstream of the proposed dam site, empirical relationships can be developed for the site. The equation development process becomes more difficult when lateral flow releases are considered at various locations in a river reach. This issue is addressed in the present study, in which empirical equations are developed for flood prediction in the upper reaches of the Chenab River, between Marala Headworks and Qadirabad Headworks. The purpose is to predict flood magnitudes within selected reaches of the Chenab River. The selected gauging stations are Marala Headworks, Alexandra Bridge, Khanki Headworks and Qadirabad Headworks. To develop the equations, a multiple nonlinear regression analysis is used. Average river and watershed slopes for four watersheds are extracted from a digital elevation model, using geographic information systems software. The developed peak flood equations for the region are tested with observed flood data, and results show that these equations estimate peak floods within an acceptable range of accuracy. The developed empirical equations are region-specific, so their application to other areas requires discretion. However, these equations can be used to approximate floods in other regions with similar climatic and physiographic characteristics. © 2012 King Fahd University of Petroleum and Minerals.</t>
  </si>
  <si>
    <t>2-s2.0-84861505360"</t>
  </si>
  <si>
    <t>10.1016/j.enggeo.2011.11.006</t>
  </si>
  <si>
    <t>https://www.scopus.com/inward/record.uri?eid=2-s2.0-84856216801&amp;doi=10.1016%2fj.enggeo.2011.11.006&amp;partnerID=40&amp;md5=e8f6c4d9908d954e49bf3cf95ec00711</t>
  </si>
  <si>
    <t>Long-term excessive groundwater withdrawal causes severe land subsidence and considerable economic loss. During the period of land subsidence, aquifer sands present complex deformation characteristics. Field data in the Southern Yangtse Delta, China have shown that the deformation characteristics of aquifer sands are closely related to the changing patterns of groundwater level the aquifer units have experienced. When the groundwater level fluctuates yearly within a certain range, the aquifer unit behaves primarily as an elastic material. When the groundwater level rises and falls alternatively with the average decreasing but higher than the previous lowest value the unit has experienced, the aquifer unit behaves primarily as a visco-elastic and elasto-plastic material. However, when the average level decreases and is lower than the previous lowest value the unit has experienced, the aquifer unit behaves primarily as a visco-elastic, elasto-plastic, and visco-plastic material. The plastic and creep deformation of aquifer sands is also proved through laboratory tests. With the increasing cycle number of loading, the creep and plastic deformation decreases and the expansion under unloading is closer to the compression under loading in a single cycle. On the basis of field and laboratory data, a new mechanical model is constructed, which can describe various kinds of deformation characteristics under different changing patterns of groundwater level, including elastic, visco-elastic, plastic, and visco-plastic deformation. The model includes two yielding stresses and six parameters. When the appropriate field data are available, the six parameters of the model can be determined through graphic methods. Then the deformation of aquifer units can be calculated if the changing groundwater level is known. © 2011 Elsevier B.V.</t>
  </si>
  <si>
    <t>2-s2.0-84856216801"</t>
  </si>
  <si>
    <t>10.1016/j.margeo.2011.12.006</t>
  </si>
  <si>
    <t>https://www.scopus.com/inward/record.uri?eid=2-s2.0-84862794760&amp;doi=10.1016%2fj.margeo.2011.12.006&amp;partnerID=40&amp;md5=f6af80c4faef6d6d0c4c9bc6837d0325</t>
  </si>
  <si>
    <t>We present uranium-thorium chronology for a 102m core through a Pleistocene reef at Tahiti (French Polynesia) sampled during IODP Expedition 310 ""Tahiti Sea Level"". We employ total and partial dissolution procedures on the older coral samples to investigate the diagenetic overprint of the uranium-thorium system. Although alteration of the U-Th system cannot be robustly corrected, diagenetic trends in the U-Th data, combined with sea level and subsidence constraints for the growth of the corals enables the age of critical samples to be constrained to marine isotope stage 9. We use the ages of the corals, together with δ 18O based sea-level histories, to provide maximum constraints on possible paleo water-depths. These depth constraints are then compared to independent depth estimates based on algal and foraminiferal assemblages, microbioerosion patterns, and sedimentary facies, confirming the accuracy of these paleo water-depth estimates. We also use the fact that corals could not have grown above sea level to place a maximum constraint on the subsidence rate of Tahiti to be 0.39mka -1, with the most likely rate being close to the existing minimum estimate of 0.25mka -1. © 2011 Elsevier B.V.</t>
  </si>
  <si>
    <t>2-s2.0-84862794760"</t>
  </si>
  <si>
    <t>https://www.scopus.com/inward/record.uri?eid=2-s2.0-84875984820&amp;partnerID=40&amp;md5=75d4c387d0b3a02b5426bde8455843b7</t>
  </si>
  <si>
    <t>This study developed a rule-based method for generating a landform classification map of an alluvial plain for further assessment of flood susceptibility. Thresholds of the Modified Normalized Difference Water Index (MNDWI) and land cover characteristics were extracted from Landsat and Advanced Spaceborne Thermal Emission and Reflection Radiometer (ASTER) data. Local relief, average elevation, and channel features were calculated using a Shuttle Radar Topographic Mission Digital Elevation Model (SRTM DEM). Then, relative position indices of polygons were used to classify small-scale landform objects. These inputs were combined based on a rule. The landform classification map by this method was compared to a manual map by visual interpretation. Significant consistence of dominated landform categories between the two maps demonstrates the effectiveness of the rule-base method despite the limitation on spatial resolution of medium-resolution data for detecting some small features. Moreover, the remarkable merits of the rule-based method in comparison with the manual method are its relative time savings, objectivity, and ease of editing. © Geolnformatics International.</t>
  </si>
  <si>
    <t>2-s2.0-84875984820"</t>
  </si>
  <si>
    <t>10.1029/2012JC008000</t>
  </si>
  <si>
    <t>https://www.scopus.com/inward/record.uri?eid=2-s2.0-84866990917&amp;doi=10.1029%2f2012JC008000&amp;partnerID=40&amp;md5=09d0e4aeb6e46197cfdc8ca7b51d4f0f</t>
  </si>
  <si>
    <t>This paper explores different analytical solutions of the tidal hydraulic equations in convergent estuaries. Linear and quasi-nonlinear models are compared for given geometry, friction, and tidal amplitude at the seaward boundary, proposing a common theoretical framework and showing that the main difference between the examined models lies in the treatment of the friction term. A general solution procedure is proposed for the set of governing analytical equations expressed in dimensionless form, and a new analytical expression for the tidal damping is derived as a weighted average of two solutions, characterized by the usual linearized formulation and the quasi-nonlinear Lagrangean treatment of the friction term. The different analytical solutions are tested against fully nonlinear numerical results for a wide range of parameters, and compared with observations in the Scheldt estuary. Overall, the new method compares best with the numerical solution and field data. The new accurate relationship for the tidal damping is then exploited for a classification of estuaries based on the distance of the tidally averaged depth from the ideal depth (relative to vanishing amplification) and the critical depth (condition for maximum amplification). Finally, the new model is used to investigate the effect of depth variations on the tidal dynamics in 23 real estuaries, highlighting the usefulness of the analytical method to assess the influence of human interventions (e.g. by dredging) and global sea-level rise on the estuarine environment. © 2012. American Geophysical Union.</t>
  </si>
  <si>
    <t>2-s2.0-84866990917"</t>
  </si>
  <si>
    <t>10.2112/JCOASTRES-D-11-00052.1</t>
  </si>
  <si>
    <t>https://www.scopus.com/inward/record.uri?eid=2-s2.0-84857808924&amp;doi=10.2112%2fJCOASTRES-D-11-00052.1&amp;partnerID=40&amp;md5=a3cd3b0394bf95211b67c94274afcfa2</t>
  </si>
  <si>
    <t>Storm-surge flooding and marsh response throughout the coastal wetlands of Louisiana were mapped using several types of remote sensing data collected before and after Hurricanes Gustav and Ike in 2008. These included synthetic aperture radar (SAR) data obtained from the (1) C-band advance SAR (ASAR) aboard the Environmental Satellite, (2) phased-array type L-band SAR (PALSAR) aboard the Advanced Land Observing Satellite, and (3) optical data obtained from Thematic Mapper (TM) sensor aboard the Land Satellite (Landsat). In estuarine marshes, L-band SAR and C-band ASAR provided accurate flood extent information when depths averaged at least 80 cm, but only L-band SAR provided consistent subcanopy detection when depths averaged 50 cm or less. Low performance of inundation mapping based on C-band ASAR was attributed to an apparent inundation detection limit (&gt;30 cm deep) in tall Spartina alterniflora marshes, a possible canopy collapse of shoreline fresh marsh exposed to repeated storm-surge inundations, wind-roughened water surfaces where water levels reached marsh canopy heights, and relatively high backscatter in the near-range portion of the SAR imagery. A TM-based vegetation index of live biomass indicated that the severity of marsh dieback was linked to differences in dominant species. The severest impacts were not necessarily caused by longer inundation but rather could be caused by repeated exposure of the palustrine marsh to elevated salinity floodwaters. Differential impacts occurred in estuarine marshes. The more brackish marshes on average suffered higher impacts than the more saline marshes, particularly the nearshore coastal marshes occupied by S. alterniflora. © 2012, the Coastal Education &amp; Research Foundation (CERF).</t>
  </si>
  <si>
    <t>2-s2.0-84857808924"</t>
  </si>
  <si>
    <t>Global Journal of Comparative Law</t>
  </si>
  <si>
    <t>10.1163/2211906X-00102004</t>
  </si>
  <si>
    <t>https://www.scopus.com/inward/record.uri?eid=2-s2.0-84939779488&amp;doi=10.1163%2f2211906X-00102004&amp;partnerID=40&amp;md5=2a8c7d4819044c0bd343793154b9e238</t>
  </si>
  <si>
    <t>Climate change and sea level rise are realities that are upon us which will profoundly impact the lives and basic rights of millions of coastal residents all over the world. As the law stands both at the international and at certain national levels, the basic human rights of the climate displaced are not adequately protected. This paper identifies two possible displacement scenarios, based on the continued availability/non-availability of land in the face of sea level rise and other climate change impacts, namely, the sinking Small Island Developing States phenomeon where land disappears and there is no surplus land to support habitation and all other cases where the coastal land is battered severely but it can be re-utilised through appropriate adaptation measures or even if coastal frontage land disappears there is still land available inland. On this basis, it forwards three possible solutions: 1) bilateral or regional treaties to facilitate resettlement of the inhabitants of sinking Small Island Developing States, 2) appropriate coastal climate change adaptation implemented via integrated coastal zone management and 3) creation of new arrangements under the international climate change regime to provide financial assistance and technological support to respond to both situations. Even though the primary focus of this paper is on coastal communities in South Asia, the lessons that it offers are relevant to other coastal contexts as well.</t>
  </si>
  <si>
    <t>10.1007/s10652-011-9214-3</t>
  </si>
  <si>
    <t>https://www.scopus.com/inward/record.uri?eid=2-s2.0-84855943156&amp;doi=10.1007%2fs10652-011-9214-3&amp;partnerID=40&amp;md5=8fd6ace9d4540d69b3522f3cf295bdb1</t>
  </si>
  <si>
    <t>The interactions of physical processes between estuaries and upstream river floodplains are of great importance to the fish habitats and ecosystems in coastal regions. Traditionally, a hydraulic analysis of floodplains has used one- or two-dimensional models. While this approach may be sufficient for planning the engineering design for flood protection, it is inadequate when floodwaters inundate the floodplain in a complex manner. Similarly, typical estuarine and coastal modeling studies do not consider the effect of upstream river floodplains because of the technical challenge of modeling wetting and drying processes in floodplains and higher bottom elevations in the upstream river domain. While various multi-scale model frameworks have been proposed for modeling the coastal oceans, estuaries, and rivers with a combination of different models, this paper presents a modeling approach for simulating the hydrodynamics in the estuary and river floodplains, which provides a smooth transition between the two regimes using an unstructured-grid, coastal ocean model. This approach was applied to the Skagit River estuary and its upstream river floodplain of Puget Sound along the northwest coast of North America. The model was calibrated with observed data for water levels and velocities under low-flow and high-flood conditions. This study successfully demonstrated that a three-dimensional estuarine and coastal ocean model with an unstructured-grid framework and wetting-drying capability can be extended much further upstream to simulate the inundation processes and the dynamic interactions between the estuarine and river floodplain regimes. © 2011 Springer Science+Business Media B.V.</t>
  </si>
  <si>
    <t>2-s2.0-84855943156"</t>
  </si>
  <si>
    <t>10.1111/j.1365-2664.2011.02101.x</t>
  </si>
  <si>
    <t>https://www.scopus.com/inward/record.uri?eid=2-s2.0-84855969667&amp;doi=10.1111%2fj.1365-2664.2011.02101.x&amp;partnerID=40&amp;md5=f7aef8e91a191f8743bf8fddb530843d</t>
  </si>
  <si>
    <t>Estuarine wetlands are important nurseries for fish and decapod crustaceans. Flood mitigation structures (such as levees, culverts and floodgates) that fragment wetland habitat can reduce fish and crustacean passage and subsequently impact biodiversity. Remediating structures to enhance connectivity, tidal flushing and fish and crustacean passage are assumed to be important ways to rehabilitate estuarine wetlands, but they are rarely evaluated with a robust sampling protocol. Furthermore, studies are inconsistently applied across different barrier types, and success is variable. Consequently, those rehabilitating wetlands are left with an incomplete understanding of what trajectories of change (if any) may be expected from barrier remediation. In collaboration with landholders and managers, 'floodgate remediation' (structural and operational changes to increase tidal flushing and connectivity) was undertaken in three tidal creeks in two coastal river systems in northern New South Wales, Australia. Changes in fish and crustacean passage were measured for two different techniques (flap gates built into larger gates and the intermittent opening of gates with manual winching) using a BACI design over 2years. Temporal changes in assemblages and species richness in managed creeks were compared to those in reference creeks (i.e. without floodgates) and control creeks (with closed floodgates). Both types of floodgate remediation enhanced the passage of fish and crustaceans and had significant impacts on assemblages in managed creeks when compared to control and reference creeks. This shift was sustained for the duration of our study in two of the three creeks and was driven primarily by an increase in the number of estuarine-marine-dependent species. Synthesis and applications. Our study demonstrates that floodgate remediation can facilitate fish and crustacean passage and rehabilitate aquatic assemblages in defaunated, tidally restricted wetlands. Given that the vast majority of floodgates throughout south-eastern Australia can be altered to promote connectivity, such remediation may play an important part in guarding against future declines in estuarine connectivity arising from climate change. © 2012 The Authors. Journal of Applied Ecology © 2012 British Ecological Society.</t>
  </si>
  <si>
    <t>2-s2.0-84855969667"</t>
  </si>
  <si>
    <t>10.5047/eps.2011.11.009</t>
  </si>
  <si>
    <t>https://www.scopus.com/inward/record.uri?eid=2-s2.0-84876369275&amp;doi=10.5047%2feps.2011.11.009&amp;partnerID=40&amp;md5=bafa1d790b2645a40d357cfcef50adc4</t>
  </si>
  <si>
    <t>The coastline of the Maddalena peninsula (south-eastern Sicily, Italy) is characterised by the occurrence of a boulder field associated to an extended soil stripping area and by a gravel/sandy berm. The accumulation of the boulders has been mostly correlated to the impact of the December 28, 1908 tsunami wave. The use of Terrestrial Laser Scanner survey techniques, associated to Differential Global Position System determinations, permits to obtain new data for the assessment of tsunami impact on this coastal area. The computing of the surveyed data using the most recent equations is a useful tool in order to estimate the theoretic inundation limit and to reconstruct its variability in function of the boulders size and of the coastal topography. Moreover, the entire new data set allows to confirm that the hypothesis of the tsunami impact is the most reasonable to explain the occurrence of boulders weighing up to 50 tons on the Maddalena peninsula. Copyright © The Society of Geomagnetism and Earth, Planetary and Space Sciences (SGEPSS).</t>
  </si>
  <si>
    <t>2-s2.0-84876369275"</t>
  </si>
  <si>
    <t>10.1029/2011JC007469</t>
  </si>
  <si>
    <t>https://www.scopus.com/inward/record.uri?eid=2-s2.0-84855697031&amp;doi=10.1029%2f2011JC007469&amp;partnerID=40&amp;md5=fa2e97c9f81675466c42032c4fd6e1bb</t>
  </si>
  <si>
    <t>In this study, we extend the advanced approach of combining tide gauge and satellite altimetry data with supplemental equations from adjacent tide gauge records of at least 30years of common data to investigate the relative importance of the nonclimate contribution of vertical land movement to the observed rates of sea level change along the coasts of southern Europe. The sensitivity tests proved that the advanced approach is robust and accurate at the submillimeter per year level of around 0.4mm yr-1 in estimating rates of vertical land movements. It enabled identifying stations displaying large rates of vertical land movements that must be taken into account when predicting future sea level rise and appraising the exposure to its impacts on populations and assets. The average rate of coastal climate-related sea level rise in the Mediterranean Sea was consequently revisited to be of 1.7mm yr -1 over the past century, whereas the Atlantic northern Iberian coast revealed a significant high rate of sea level rise in excess of 3.4mm yr -1 for the past 70years. Future work should consider applying this powerful approach to other geographic contexts as a useful source of supplementary data for geodynamic studies. Copyright 2012 by the American Geophysical Union.</t>
  </si>
  <si>
    <t>2-s2.0-84855697031"</t>
  </si>
  <si>
    <t>10.2495/FRIAR120131</t>
  </si>
  <si>
    <t>https://www.scopus.com/inward/record.uri?eid=2-s2.0-84865571887&amp;doi=10.2495%2fFRIAR120131&amp;partnerID=40&amp;md5=84e7793293b2d9156f85a446c24b4689</t>
  </si>
  <si>
    <t>The purpose of this paper is to describe the natural disasters of flooding and coastal erosion in Thailand, which have resulted in many deaths and large-scale property damage. The magnitude and frequency of Thailand's flooding in the past and the present are also examined. The MIKE 11 and URSB hydrological models are shown to be the most suitable models for forecasting floods in Thailand, as well as for planning short and long term protection and mitigation measures. With its long length of coastline on both the Gulf of Thailand and the Andaman Sea, Thailand faces the increasing occurrence of coastal erosion. The major causes of coastal erosion originate from both natural processes and human activities. A simulation of a rise in sea level by incremental degrees and their potential impact on some major cities in Southeast Asia is described and measures to mitigate and limit the negative impact of coastal erosion are presented in order to preserve the environment for future generations. © 2012 WIT Press.</t>
  </si>
  <si>
    <t>2-s2.0-84865571887"</t>
  </si>
  <si>
    <t>10.2495/ST110291</t>
  </si>
  <si>
    <t>https://www.scopus.com/inward/record.uri?eid=2-s2.0-84880139779&amp;doi=10.2495%2fST110291&amp;partnerID=40&amp;md5=a441dee2eb4f09eb041013cfca078479</t>
  </si>
  <si>
    <t>In many developing countries, accelerated population growth, urban expansion in flood plain areas, increasing consumption (principally of disposable goods), inadequate solid waste collection and the lack of integrated water and environmental management policies lead to dumping of solid waste into canals and rivers and onto its banks, which correspond to the 'floating litter'. In Brazil, this occurs mainly in metropolitan regions, like in the megacity of Rio de Janeiro, located in the southeast of the country. The State Environmental Institute, in an attempt to limit the advance of floating litter in the coastal zones, installed barriers across the mouth of contributory rivers, labeled 'eco-barriers'. This institute promoted the removal in 2008 of about 150 tons of plastic, metal, wood and carton from the eco-barriers. The aim of the present study is to identify the impacts of the solid waste disposal into the rivers and canals and onto its banks where eco-barriers were installed, as well as to analyze the potential factors that contribute the entry of this waste into water bodies. The impacts and the factors were determined through the observation of river and canal banks at the end of 2009 and three eco-barriers in 2008. In addition, indicators were calculated. The increase of municipal Gross Domestic Product may play a greater role in the increase of public solid waste generation than in the increase of household solid waste generation. The floating litter fosters the propagation of vectors that transmit diseases, hampers the development of mangrove swamps (plastic suffocates seedlings), contaminates the water table, obstructs rainfall drainage ditches (favoring the occurrence of severe urban flooding) and attracts birds which pose hazards to airplanes. © 2011 WIT Press.</t>
  </si>
  <si>
    <t>2-s2.0-84880139779"</t>
  </si>
  <si>
    <t>10.1007/s13157-012-0281-0</t>
  </si>
  <si>
    <t>https://www.scopus.com/inward/record.uri?eid=2-s2.0-84863985241&amp;doi=10.1007%2fs13157-012-0281-0&amp;partnerID=40&amp;md5=4f5b579005ef1a480378a29d2c5d6e76</t>
  </si>
  <si>
    <t>Biogeochemical processing of dissolved organic matter (DOM) in aquatic environments can alter its chemical quality and its bioavailability to the microbial loop. In this study, we evaluated the relative importance to DOM character of allochthonous and autochthonous DOM inputs and photo-degradation in a large, pristine wetland, the Okavango Delta of Botswana. We performed an intensive spatial sampling of surface water and analyzed for chemical and physical parameters (pH, conductivity, dissolved oxygen saturation, temperature, and channel depth), dissolved organic matter (DOM), and particulate organic matter (POM). We used UV-vis absorbance, fluorescence spectroscopy, and parallel factor analysis of excitation emission matrix data (EEM-PARAFAC) to characterize DOM. Our findings from principal component analysis (PCA) show downstream changes in DOM chemistry to be dominated by photo-degradation, suggesting that DOM in the Okavango Delta is transformed photo-chemically in shallower downstream reaches after being mobilized from the permanent swamp and seasonal floodplains. Additionally, we found that the PARAFAC model developed for the Everglades, a large, anthropogenically-altered wetland in North America, was well suited to tracking DOM dynamics in the Okavango Delta and may be useful for characterizing DOM in other sub-tropical, seasonally flooded wetlands. © Society of Wetland Scientists 2012.</t>
  </si>
  <si>
    <t>2-s2.0-84863985241"</t>
  </si>
  <si>
    <t>10.1016/j.apgeochem.2011.10.006</t>
  </si>
  <si>
    <t>https://www.scopus.com/inward/record.uri?eid=2-s2.0-84855432423&amp;doi=10.1016%2fj.apgeochem.2011.10.006&amp;partnerID=40&amp;md5=08efad9a85976102031f358abe34a22c</t>
  </si>
  <si>
    <t>Carbon dioxide emissions and heat flow have been determined from the Ohaaki hydrothermal field, Taupo Volcanic Zone (TVZ), New Zealand following 20a of production (116MW e). Soil CO 2 degassing was quantified with 2663 CO 2 flux measurements using the accumulation chamber method, and 2563 soil temperatures were measured and converted to equivalent heat flow (Wm -2) using published soil temperature heat flow functions. Both CO 2 flux and heat flow were analysed statistically and then modelled using 500 sequential Gaussian simulations. Forty subsoil CO 2 gas samples were also analysed for stable C isotopes. Following 20a of production, current CO 2 emissions equated to 111±6.7T/d. Observed heat flow was 70±6.4MW, compared with a pre-production value of 122MW. This 52MW reduction in surface heat flow is due to production-induced drying up of all alkali-Cl outflows (61.5MW) and steam-heated pools (8.6MW) within the Ohaaki West thermal area (OHW). The drying up of all alkali-Cl outflows at Ohaaki means that the soil zone is now the major natural pathway of heat release from the high-temperature reservoir. On the other hand, a net gain in thermal ground heat flow of 18MW (from 25MW to 43.3±5MW) at OHW is associated with permeability increases resulting from surface unit fracturing by production-induced ground subsidence. The Ohaaki East (OHE) thermal area showed no change in distribution of shallow and deep soil temperature contours despite 20a of production, with an observed heat flow of 26.7±3MW and a CO 2 emission rate of 39±3T/d. The negligible change in the thermal status of the OHE thermal area is attributed to the low permeability of the reservoir beneath this area, which has limited production (mass extraction) and sheltered the area from the pressure decline within the main reservoir. Chemistry suggests that although alkali-Cl outflows once contributed significantly to the natural surface heat flow (~50%) they contributed little (&lt;1%) to pre-production CO 2 emissions due to the loss of &gt;99% of the original CO 2 content due to depressurisation and boiling as the fluids ascended to the surface. Consequently, the soil has persisted as the major (99%) pathway of CO 2 release to the atmosphere from the high temperature reservoir at Ohaaki. The CO 2 flux and heat flow surveys indicate that despite 20a of production the variability in location, spatial extent and magnitude of CO 2 flux remains consistent with established geochemical and geophysical models of the Ohaaki Field. At both OHW and OHE carbon isotopic analyses of soil gas indicate a two-stage fractionation process for moderate-flux (&gt;60gm -2d -1) sites</t>
  </si>
  <si>
    <t>10.1353/sgo.2012.0028</t>
  </si>
  <si>
    <t>https://www.scopus.com/inward/record.uri?eid=2-s2.0-84867909274&amp;doi=10.1353%2fsgo.2012.0028&amp;partnerID=40&amp;md5=7afc1bd95babfa8b69de8df233b1be04</t>
  </si>
  <si>
    <t>The US coastal Northeast and mid-Atlantic region is a densely populated urban corridor that is susceptible to a variety of natural hazards, including hurricanes, nor'easters, and flooding. Climate change impacts, such as rising sea levels, further exacerbate the vulnerability of this region. Given the region's exposure to natural hazards and its importance as a population core, it is imperative to assess the vulnerability of the population that resides here. This paper examines the human vulnerability of 184 counties based on demographic, social and economic factors. Datafrom the American Community Survey (2005 to 2009) is used for analysis. Results indicate that 7 of the 15 most vulnerable counties have population sizes of more than half a million each. Most counties at the bottom end of vulnerability spectrum have low populations. The most vulnerable counties are located along the Atlantic coast. Economic and social conditions correlate more highly with vulnerability than does demographics.</t>
  </si>
  <si>
    <t>2-s2.0-84867909274"</t>
  </si>
  <si>
    <t>10.1007/s10584-011-0043-7</t>
  </si>
  <si>
    <t>https://www.scopus.com/inward/record.uri?eid=2-s2.0-83055188506&amp;doi=10.1007%2fs10584-011-0043-7&amp;partnerID=40&amp;md5=430e25e5de8da70938d2def5496e17f7</t>
  </si>
  <si>
    <t>Seaports are located in vulnerable areas to climate change impacts: on coasts susceptible to sea-level rise and storms or at mouths of rivers susceptible to flooding. They serve a vital function within the local, regional, and global economy. Their locations in the heart of sensitive estuarine environments make it an imperative to minimize the impacts of natural hazards. Climate impacts, like a projected SLR of.6 m to 2 m and doubling of Category 4 and 5 hurricanes by 2100, will result in more extreme events at many seaports. To assess the current state of knowledge on this issue, we surveyed port authorities from around the world about how administrators felt climate change might impact their operations, what sea-level change would create operational problems, and how they planned to adapt to new environmental conditions. The planned rapid expansion of ports reported by the survey respondents indicates that adaptation measures should be considered as ports construct new infrastructure that may still be in use at the end of the century. Respondents agreed that the ports community needs to address this issue and most felt relatively uninformed about potential climate impacts. Although most ports felt that SLR would not be an issue at their port this century, sea-level rise was nevertheless an issue of great concern. Our results suggest opportunities for the scientific community to engage with port practitioners to prepare proactively for climate change impacts on this sector. © 2011 Springer Science+Business Media B.V.</t>
  </si>
  <si>
    <t>2-s2.0-83055188506"</t>
  </si>
  <si>
    <t>10.1007/s11069-011-0059-3</t>
  </si>
  <si>
    <t>https://www.scopus.com/inward/record.uri?eid=2-s2.0-84856384113&amp;doi=10.1007%2fs11069-011-0059-3&amp;partnerID=40&amp;md5=d050ef67270e0d918a79e422ecc59c3e</t>
  </si>
  <si>
    <t>The 4th IPCC report highlights the increased vulnerability of the coastal areas from floods due to sea-level rise (SLR). The existing coastal flood control structures in Bangladesh are not adequate to adapt these changes and new measures are urgently necessary. It is important to determine the impacts of SLR on flooding to analyse the performance of the existing structures and corresponding impact to plan for suitable adaptation and mitigation measures to reduce the impacts of floods on coastal zone. The study aims to develop a comprehensive understanding of the possible effects of SLR on floods in the coastal zone of Bangladesh. A hydrodynamic model, which is a combination of surface and river parts, was utilized for flood simulation. The tool was applied under a range of future scenarios, and results indicate both spatial variability of risk and changes in flood characteristics between now and under SLR. Estimated impact on population, infrastructure and transportation is also exposed. These types of impact estimation would be of value to flood plain management authorities to minimize the socio-economic impact. © 2011 Springer Science+Business Media B.V.</t>
  </si>
  <si>
    <t>2-s2.0-84856384113"</t>
  </si>
  <si>
    <t>10.2112/JCOASTRES-D-11-00031.1</t>
  </si>
  <si>
    <t>https://www.scopus.com/inward/record.uri?eid=2-s2.0-84855391841&amp;doi=10.2112%2fJCOASTRES-D-11-00031.1&amp;partnerID=40&amp;md5=7432ed906cda5256dc74debc10c8880e</t>
  </si>
  <si>
    <t>Kotzebue Sound comprises a large part of the Northwest Arctic Borough (NAB) shoreline. It has a diverse coastal geomorphology. Natural coastal dynamics and global sea-level rise (SLR) are contributing to changes in the erosion and accretion of beaches. Recently published data from the joint project of the University of Colorado (Institute of Arctic and Alpine Research) and National Park Service (Arctic Network Inventory and Monitoring Program) for the first time makes systematic quantitative analysis of coastal changes along the Northwest Alaskan coast possible. This study is based on shoreline indicators derived from 112 aerial photographs, spanning more than 50 years, from 1950 to 2003, processed by research staff at the Institute of Arctic and Alpine Research. The images were used in this study to locate and digitize the shoreline indicators for 1950, 1980, and 2003. Integration of Geographic Information Systems (GIS) with National Oceanic and Atmospheric Administration's Digital Ahoreline Analysis System (DSAS) provided quantitative measurements of historical coastal changes. Projections of SLR in the Arctic from climate models and historical erosion data were used to estimate future erosion rates. The results show mean erosion rates of -0.12 to -0.08 m/yr in the region from 1950 to 2003. The northern and southern shorelines showed erosion between 1950 and 1980, but slight accretion/stabilization between 1980 and 2003. These changes possibly correlate with Aleutian low anomaly variations that affected the climate in the area of study. On the basis of the predictions of SLR in the Arctic for 20002049 and 20502100, mean erosion rates may increase to 0.61.65 m/yr. This would translate into an approximately 701000-m retreat of the shore, depending on its slope, composition, and geomorphologic type. These results help to assess coastal vulnerability and can contribute to regional planning efforts. © 2012, the Coastal Education &amp; Research Foundation (CERF). © 2012 Coastal Education &amp; Research Foundation.</t>
  </si>
  <si>
    <t>2-s2.0-84855391841"</t>
  </si>
  <si>
    <t>10.2747/1548-1603.49.2.202</t>
  </si>
  <si>
    <t>https://www.scopus.com/inward/record.uri?eid=2-s2.0-84858649869&amp;doi=10.2747%2f1548-1603.49.2.202&amp;partnerID=40&amp;md5=dcc07efbb196c48a7ca8d63a40a06e7a</t>
  </si>
  <si>
    <t>Two geographically related questions with regard to hurricane-induced storm-surge impacts were investigated: (1) What observational scale of analysis is appropriate? (2) Is the effect of observational scale on model results predictable? These two research questions were investigated in the context of storm surge-induced impacts to single-family residential structures in Florida. The study was conducted for 21 coastal counties in Florida at five spatial scales of analysis: parcel, block, block group, tract, and county. The research findings reveal a monotonically decreasing relationship between predicted standardized residential loss (the ratio of predicted loss at scale X and the predicted loss at parcel scale) and the observational scale of analysis. This monotonic relationship was consistent for most Florida counties, primarily due to the notable spatial distribution of housing units and proximity to the coastline.</t>
  </si>
  <si>
    <t>2-s2.0-84858649869"</t>
  </si>
  <si>
    <t>10.1007/s11069-011-9957-7</t>
  </si>
  <si>
    <t>https://www.scopus.com/inward/record.uri?eid=2-s2.0-82855175179&amp;doi=10.1007%2fs11069-011-9957-7&amp;partnerID=40&amp;md5=248b7afcd33dc221dd765c012a95f386</t>
  </si>
  <si>
    <t>Natural disasters can neither be predicted nor prevented. Urban areas with a high population density coupled with the construction of man-made structures are subjected to greater levels of risk to life and property in the event of natural hazards. One of the major and densely populated urban areas in the east coast of India is the city of Chennai (Madras), which was severely affected by the 2004 Tsunami, and mitigation efforts were severely dampened due to the non-availability of data on the vulnerability on the Chennai coast to tsunami hazard. Chennai is prone to coastal hazards and hence has hazard maps on its earth-quake prone areas, cyclone prone areas and flood prone areas but no information on areas vulnerable to tsunamis. Hence, mapping has to be done of the areas where the tsunami of December 2004 had directly hit and flooded the coastal areas in Chennai in order to develop tsunami vulnerability map for coastal Chennai. The objective of this study is to develop a GIS-based tsunami vulnerability map for Chennai by using a numerical model of tsunami propagation together with documented observations and field measurements of the evidence left behind by the tsunami in December 2004. World-renowned and the second-longest tourist beach in the world ""Marina"" present in this region witnessed maximum death toll due to its flat topography, resulting in an inundation of about 300 m landward with high flow velocity of the order of 2 m/s. © 2011 Springer Science+Business Media B.V.</t>
  </si>
  <si>
    <t>2-s2.0-82855175179"</t>
  </si>
  <si>
    <t>10.1007/s10584-011-0123-8</t>
  </si>
  <si>
    <t>https://www.scopus.com/inward/record.uri?eid=2-s2.0-84856213032&amp;doi=10.1007%2fs10584-011-0123-8&amp;partnerID=40&amp;md5=316d3ba22f430282af7d21478b1af4f8</t>
  </si>
  <si>
    <t>In this paper, change-points in time series of annual extremes in temperature and precipitation in the Zhujiang River Basin are analyzed with the CUSUM test. The data cover the period 1961-2007 for 192 meteorological stations. Annual indicators are analyzed: mean temperature, maximum temperature, warm days, total precipitation, 5-day maximum precipitation, and dry days. Significant change-points (1986/87, 1997/98, 1968/69, and 2003/04) are detected in the time series of most of the indicators. The change-point in 1986/87 is investigated in more detail. Most stations with this change-point in temperature indicators are located in the eastern and coastal areas of the basin. Stations with this change-point in dry days are located in the western area. The means and trends of the temperature indicators increase in the entire basin after 1986/87. The highest magnitudes can be found at the coast and delta. Decreasing (increasing) tendencies in total and 5-day maximum precipitation (dry days) are mostly observed in the western and central regions. The detected change-points can be explained by changes in the indices of the Western Pacific subtropical high and the East Asian summer monsoon as well as by change-points in wind directions. In years when the indices simultaneously increase and decrease (indices taking reverse directions to negative and positive) higher annual temperatures and lower annual precipitation occur in the Zhujiang River Basin. The high station density and data quality are very useful for spatially assessing change-points of climatic extreme events. The relation of the change points to large-scale oscillation can provide valuable data for planning adaptation measures against climate risks, e. g. for flood control, disaster preparedness, and water resource management. © 2011 Springer Science+Business Media B.V.</t>
  </si>
  <si>
    <t>2-s2.0-84856213032"</t>
  </si>
  <si>
    <t>10.2112/JCOASTRES-D-11-00008.1</t>
  </si>
  <si>
    <t>https://www.scopus.com/inward/record.uri?eid=2-s2.0-84855983427&amp;doi=10.2112%2fJCOASTRES-D-11-00008.1&amp;partnerID=40&amp;md5=0d29ac5cda9f5d2113b5d7afe6a11bc9</t>
  </si>
  <si>
    <t>Majuro is the capital and most populated atoll in the Republic of the Marshall Islands and is located approximately 3700 km WSW of Oahu, Hawaii. Like other atolls, Majuro is considered highly vulnerable to sea level rise. One of the widely perceived impacts of sea level rise on atoll islands is widespread chronic erosion. Using a combination of aerial photos and satellite imagery, this study presents an analysis of shoreline change over a 34- to 37-year study period, characterized by rapidly increasing population, coastal development, and rising sea level (3.0 mm y -1). Results show most (93%) urban and rural villages have increased in size over the study period. Shoreline change analysis indicates the urban area has expanded both toward the lagoon and onto the ocean-facing reef flat. Shoreline change within the urban area of Majuro has been largely driven by widespread reclamation for a mix of residential, commercial, and industrial activities. Rural areas of the atoll typically have lower rates of shoreline change relative to those of urban areas. Analysis indicates that the rural lagoon shore is predominantly eroding, whereas the ocean-facing shore is largely accreting. Any shoreline response to sea level rise along the Majuro coast is likely masked by widespread anthropogenic impacts to the coastal system. © 2012, the Coastal Education &amp; Research Foundation (CERF).</t>
  </si>
  <si>
    <t>2-s2.0-84855983427"</t>
  </si>
  <si>
    <t>10.1108/17568691211200218</t>
  </si>
  <si>
    <t>https://www.scopus.com/inward/record.uri?eid=2-s2.0-84864565276&amp;doi=10.1108%2f17568691211200218&amp;partnerID=40&amp;md5=e67a79272b68e73ba176525833f7ea6f</t>
  </si>
  <si>
    <t>Purpose: Climate change has several impacts on people's lives, directly or indirectly, and displacement is one such indirect effect. The purpose of this paper is to bring this fact to light, as Bangladesh is going to face severe problems due to the displacement of population predicted by researchers. Design/methodology/approach: This paper is an outcome of a thorough study of Bogi village in the southwestern coastal region of Bangladesh. Several factors such as demographic conditions, natural disasters, land loss and changes in landuse pattern, have been taken into consideration. Methods used for data collection were questionnaire survey and focus group discussions in the study area. The nature and extent of displacement are found by comparing the changes in occupation, location of settlement and permanent migration of family members. Findings: Population growth rate decreased in recent years as the annual growth rate for both sexes was 0.89 in between 1991 and 2001 but in recent years, from 2001 to 2005, it was 0.63, which is a clear indication that the natural growth is hampered or a major proportion of the population is migrating. On the other hand, 361 hectors of land were lost throughout the last 18 years. As a result, 93 percent of people in that area were forced to move to other places for at least one time in their life. The major reason of displacement found was loss of land and occupation caused by cyclone, storm surge and erosion. Practical implications: The study findings depict scenarios of rural urban migration due to disasters and critically found out the sectors to be addressed. The study can be a representative of the condition of almost all the remote coastal region and may work as a hammering tool to formulate strategic options to deal with the environmental issues and socio-economic situation. Originality/value: Sophisticated but commonly used methods and techniques have been used to find out the problems associated with climate change and disasters in the coastal belt. The study has taken an initiative to identify climate change impacts at micro level on the basis of spatial and non-spatial attributes. The way this study was conducted can be a popular path to put future researches on a human-oriented track. © Emerald Group Publishing Limited.</t>
  </si>
  <si>
    <t>2-s2.0-84864565276"</t>
  </si>
  <si>
    <t>10.2112/11A-00026.1</t>
  </si>
  <si>
    <t>https://www.scopus.com/inward/record.uri?eid=2-s2.0-84857871975&amp;doi=10.2112%2f11A-00026.1&amp;partnerID=40&amp;md5=7ab6d7bf23144b07dcc3497d3979734c</t>
  </si>
  <si>
    <t>Originally planned to evaluate storm surge barriers, the New York City Panel on Climate Change (NPCC) instead developed a process for government agencies and private stakeholders to adapt critical infrastructure in New York City to the effects of climate change. In its influential 2010 report, the NPCC ignored the literature documenting the lessons learned from Hurricane Katrina striking New Orleans in 2005. A report by the American Society of Civil Engineers (ASCE) sums up these lessons in 10 calls to action. An examination of the NPCC report suggests that half of these lessons have been learned and half have not. Essentially, the ASCE makes public safety, health, and welfare, not adapting critical infrastructure, its top priorities. The NPCC report fails to quantify the risks, does not address the question of an acceptable level of risk, and does not evaluate the consequences of severe coastal flooding. Although storm surge barriers have been found to be hydrologically and technically feasible, they are dismissed as mere contributions to the discussion that are not needed for at least the next several decades, despite the report's own accounting of the extreme uncertainty and possible effects of severe hurricanes and nor'easters. The NPCC report features Flexible Adaptation Pathways to plan and revise adaptation measures over time, which ignore the possibility of hedging strategies and the well-established precautionary principle. Without an engineering presence, the NPCC also overlooks consideration of lead times in planning major projects. It is concluded that the NPCC report is delaying regional measures against severe coastal flooding, discouraging hedging and the precautionary principle, and deterring adequate measures to protect public safety, health, and welfare. © 2012, the Coastal Education &amp; Research Foundation (CERF).</t>
  </si>
  <si>
    <t>2-s2.0-84857871975"</t>
  </si>
  <si>
    <t>10.1007/s00445-011-0540-6</t>
  </si>
  <si>
    <t>https://www.scopus.com/inward/record.uri?eid=2-s2.0-84857447438&amp;doi=10.1007%2fs00445-011-0540-6&amp;partnerID=40&amp;md5=c5017d893ad97fd4dce5fff3fc7130d6</t>
  </si>
  <si>
    <t>Mt. Cameroon is one of the most active effusive volcanoes in Africa. About 500,000 people living or working around its fertile flanks are subject to significant threat from lava flow inundation. Lava flow hazard and risk were assessed by simulating probable lava flow paths using the DOWNFLOW code. The vent opening probability density function and lava flow length distribution were determined on the basis of available data from past eruptions at Mt. Cameroon volcano. Code calibration was performed through comparison with real lava flow paths. The topographic basis for simulations was the 90-m resolution SRTM DEM. Simulated lava flows from about 80,000 possible vents were used to produce a detailed lava flow hazard map. The lava flow risk in the area was mapped by combining the hazard map with digitized infrastructures (i. e., human settlements and roads). Results show that the risk of lava flow inundation is greatest in the most inhabited coastal areas comprising the town of Limbe, which constitutes the center of Cameroon's oil industry and an important commercial port. Buea, the second most important town in the area, has a much lower risk although it is significantly closer to the summit of the volcano. Non-negligible risk characterizes many villages and most roads in the area surrounding the volcano. In addition to the conventional risk mapping described above, we also present (1) two reversed risk maps (one for buildings and one for roads), where each point on the volcano is classified according to the total damage expected as a consequence of vent opening at that point</t>
  </si>
  <si>
    <t>10.1590/s1679-87592012000100002</t>
  </si>
  <si>
    <t>https://www.scopus.com/inward/record.uri?eid=2-s2.0-84861705729&amp;doi=10.1590%2fs1679-87592012000100002&amp;partnerID=40&amp;md5=fa9cbc7fc552e39b8cd0c4147ff03bdd</t>
  </si>
  <si>
    <t>Analysis of thermohaline properties and currents sampled at an anchor station in the Piaçaguera Channel (Santos Estuary) in the austral winter was made in terms of tidal (neap and spring tidal cycles) and non-tidal conditions, with the objective to characterize the stratification, circulation and salt transport due to the fortnightly tidal modulation. Classical methods of observational data analysis of hourly and nearly synoptic observations and analytical simulations of nearly steady-state salinity and longitudinal velocity profiles were used. During the neap tidal cycle the flood (v&lt;0) and ebb (v&gt;0) velocities varied in the range of -0.20 m/s to 0.30 m/s associated with a small salinity variation from surface to bottom (26.4 psu to 30.7 psu). In the spring tidal cycle the velocities increased and varied in the range of -0.40 m/s to 0.45 m/s, but the salinity stratification remained almost unaltered. The steady-state salinity and velocity profiles simulated with an analytical model presented good agreement (Skill near 1.0), in comparison with the observational profiles. During the transitional fortnightly tidal modulation period there was no changes in the channel classification (type 2a - partially mixed and weakly stratified), because the potential energy rate was to low to enhance the halocline erosion. These results, associated with the high water column vertical stability (RiL &gt;20) and the low estuarine Richardson number (RiE=1.6), lead to the conclusions: i) the driving mechanism for the estuary circulation and mixing was mainly balanced by the fresh water discharge and the tidal forcing associated with the baroclinic component of the gradient pressure force</t>
  </si>
  <si>
    <t>10.1007/s11852-011-0165-0</t>
  </si>
  <si>
    <t>https://www.scopus.com/inward/record.uri?eid=2-s2.0-84857688894&amp;doi=10.1007%2fs11852-011-0165-0&amp;partnerID=40&amp;md5=d44558570e59116f21ef81ffd22b1bfa</t>
  </si>
  <si>
    <t>Vietnam's coastal zone provides a diverse range of natural resources and favourable conditions for social and economic development. However, its coastal ecosystems are highly vulnerable, due to several natural coastal hazards, over-exploitation and other human activities. In spite of diverse interventions, Vietnam's coastal zone continues to experience significant damage from floods, erosion and typhoons. These hazards are being intensified by climate change and associated rising sea levels. This paper assesses the potential vulnerability of Vietnam's coast to climate change and discusses possible adaptation policies and plan to reduce the impacts. GIS analysis was used for the assessment of coastal vulnerability. Related literature was reviewed to develop detailed understanding of coastal adaptation to climate change. Adaptation policies and plans were appraised to identify potential coastal adaptation policies and plans that could be adapted by Vietnam. It was identified that vulnerability of the coastal zone of Vietnam could not be attributed only to climatic factors, but also to the physical condition of the coastline. Much of Vietnam's coastline, particularly, areas around the Red River delta and the Mekong River have elevations below 1 m. These coastlines are largely developed and serve as economic centres of the country, which makes the coast more vulnerable to climate change and the rising sea level. The paper concluded that a non-structural approach (coastal buffer zones, building houses on stilts, storm warning systems, growing of flood-resistant crops and elevated storm shelters with medicine and food storage) could be used by Vietnam to adapt her low-lying coastline around the two deltas to climate change as this strategy enables vulnerable areas to be occupied for longer before eventual retreat. However, for these policies to be successful, it should be planned, implemented well in advance, monitored and evaluated over time. © 2011 Springer Science+Business Media B.V.</t>
  </si>
  <si>
    <t>2-s2.0-84857688894"</t>
  </si>
  <si>
    <t>10.1007/978-3-642-17475-9_22</t>
  </si>
  <si>
    <t>https://www.scopus.com/inward/record.uri?eid=2-s2.0-84894628725&amp;doi=10.1007%2f978-3-642-17475-9_22&amp;partnerID=40&amp;md5=d82303fafe503c456eb90e3a9a1dfcbc</t>
  </si>
  <si>
    <t>The aim of the chapter is to present an application of the numerical simulation of flood wave propagation following a hypothetical break of the embankment of Kolbudy II reservoir located at the Radunia River in Poland. The estimation of the reach of inundation following the embankment failure requires a digital terrain model (DTM) and a mathematical model of flood wave hydrodynamics. The digital elevation and land development models were created using an orthophotomap. For the hydrodynamics mathematical model of free surface, a two-dimensional shallow water flow was applied. The location of potential breach was selected as an example of hypothetical failure of one of the four Kolbudy II reservoir dikes. The computations were finally used to determine the flood risk maps. The maps have been used by the local authorities and the dam owner to manage the flood risk related to the Bielkowo hydropower plant operation. © Springer-Verlag Berlin Heidelberg 2011.</t>
  </si>
  <si>
    <t>2-s2.0-84894628725"</t>
  </si>
  <si>
    <t>45th US Rock Mechanics / Geomechanics Symposium</t>
  </si>
  <si>
    <t>https://www.scopus.com/inward/record.uri?eid=2-s2.0-82555173683&amp;partnerID=40&amp;md5=c868402e2286bc1f44d93e692dffcd24</t>
  </si>
  <si>
    <t>In recent years numerical modeling has been shown to provide the opportunity to better investigate caving mechanisms and to increase our understanding of the factors governing caving induced subsidence. Cave development and surface subsidence are the products of complex rock mass response, including brittle fracture driven failure of the rock mass and complex kinematic mechanisms. The authors present a review of numerical modeling of caving problems carried out to date using a hybrid Finite/Discrete technique (FEM/DEM) incorporating fracture mechanics principles and discuss the approaches adopted to-date to simulate the impact that a number of factors play on both cave development and surface subsidence, including the presence of major geological structures and draw control. Preliminary 3-dimensional models are also presented in which caving is indirectly simulated by using a continuum based strain softening approach integrated with mesh adaptivity to reproduce the large strain deformations typically associated with surface subsidence. © 2011 ARMA, American Rock Mechanics Association.</t>
  </si>
  <si>
    <t>2-s2.0-82555173683"</t>
  </si>
  <si>
    <t>10.1007/s11069-011-9812-x</t>
  </si>
  <si>
    <t>https://www.scopus.com/inward/record.uri?eid=2-s2.0-80053545129&amp;doi=10.1007%2fs11069-011-9812-x&amp;partnerID=40&amp;md5=87fc1489cfb52be5f266f7b6130de625</t>
  </si>
  <si>
    <t>There is an increasing concern that the current management practices for many coastal regions are unsustainable. Very few countries have planned to deal with the exacerbation of environmental decline in the face of sea level rise. It is therefore necessary to assess socioeconomic and environmental impacts of sea level rises to better understand the vulnerability of coastal zones, as part of devising adaptive and integrated management principles. This paper presents a systematic approach by which relevant stakeholders can be actively engaged in prioritising flood impact issues and deriving information for quantification of impacts for adaptation measures and demonstrates the approach through implementation in the Gippsland coastal region. As outcomes of the project, we have identified key issues of concern for this region for flood impacts and constructed synthetic response functions for quantification of impacts of floods on some of the key issues in the region. The analysis also showed that stakeholders consider that some of the issues are not likely to be significantly affected by floods and thus may not require adaptation measures. The analysis did not provide high agreement on some issues. Different approaches are required to assess the importance of these issues and to establish impact response functions for them. © 2011 Springer Science+Business Media B.V.</t>
  </si>
  <si>
    <t>2-s2.0-80053545129"</t>
  </si>
  <si>
    <t>10.1007/s11069-010-9709-0</t>
  </si>
  <si>
    <t>https://www.scopus.com/inward/record.uri?eid=2-s2.0-79961020863&amp;doi=10.1007%2fs11069-010-9709-0&amp;partnerID=40&amp;md5=99fd77fed6619880355bae454b2a5c16</t>
  </si>
  <si>
    <t>Using a lava flow emplacement model and a satellite-based land cover classification, we produce a map to allow assessment of the type and quantity of natural, agricultural and urban land cover at risk from lava flow invasion. The first step is to produce lava effusion rate contours, i. e., lines linking distances down a volcano's flank that a lava flow will likely extend if fed at a given effusion rate from a predetermined vent zone. This involves first identifying a vent mask and then running a downhill flow path model from the edge of every pixel around the vent mask perimeter to the edge of the DEM. To do this, we run a stochastic model whereby the flow path is projected 1,000 times from every pixel around the vent mask perimeter with random noise being added to the DEM with each run so that a slightly different flow path is generated with each run. The FLOWGO lava flow model is then run down each path, at a series of effusion rates, to determine likely run-out distance for channel-fed flow extending down each path. These results are used to plot effusion rate contours. Finally, effusion rate contours are projected onto a land classification map (produced from an ASTER image of Etna) to assess the type and amount of each land cover class falling within each contour. The resulting maps are designed to provide a quick look-up capability to assess the type of land at risk from lava extending from any location at a range of likely effusion rates. For our first (2,000 m) vent zone case used for Etna, we find a total of area of̃680 km2 is at risk from flows fed at 40 m3 s-1, of which̃6 km2 is urban,̃150 km2 is agriculture and̃270 km2 is grass/woodland. The model can also be run for specific cases, where we find that Etna's 1669 vent location, if active today, would likely inundate almost 11 km2 of urban land, as well as 15.6 km2 of agricultural land, including 9.5 km2 of olive groves and 5.2 km2 of vineyards and fruit/nut orchards. © 2011 Springer Science+Business Media B.V.</t>
  </si>
  <si>
    <t>2-s2.0-79961020863"</t>
  </si>
  <si>
    <t>10.3390/rs3071472</t>
  </si>
  <si>
    <t>https://www.scopus.com/inward/record.uri?eid=2-s2.0-80052551710&amp;doi=10.3390%2frs3071472&amp;partnerID=40&amp;md5=526bbcaa0ec48acbf735509fcbdc57dc</t>
  </si>
  <si>
    <t>The Dutch coast is characterized by sandy beaches flanked by dunes. Understanding the morphology of the coast is essential for defense against flooding of the hinterland. Because most dramatic changes of the beach and the first dune row happen during storms, it is important to assess the state of the coast immediately after a storm. This is expensive and difficult to organize with Airborne Laser Scanning (ALS). Therefore, the performance of a Land-based Mobile Mapping System (LMMS) in mapping a stretch of sandy Dutch coast of 6 km near the municipality of Egmond is evaluated in this research. A test data set was obtained by provider Geomaat using the StreetMapper LMMS system. Both the relative quality of laser point heights and of a derived Digital Terrain model (DTM) are assessed. First, the height precision of laser points is assessed a priori by random error propagation, and a posteriori by calculating the height differences between close-by points. In the a priori case, the result is a theoretical laser point precision of around 5 cm. In the a posteriori approach it is shown that on a flat beach a relative precision of 3 mm is achieved, and that almost no internal biases exist. In the second analysis, a DTM with a grid size of 1 m is obtained using moving least squares. Each grid point height includes a quality description, which incorporates both measurement precision and terrain roughness. Although some problems remain with the scanning height of 2 m, which causes shadow-effect behind low dunes, it is concluded that a laser LMMS enables the acquisition of a high quality DTM product, which is available within two days. © 2011 by the authors.</t>
  </si>
  <si>
    <t>2-s2.0-80052551710"</t>
  </si>
  <si>
    <t>10.1007/s12303-011-0038-4</t>
  </si>
  <si>
    <t>https://www.scopus.com/inward/record.uri?eid=2-s2.0-84855252682&amp;doi=10.1007%2fs12303-011-0038-4&amp;partnerID=40&amp;md5=742c886291d909387f464205815922ec</t>
  </si>
  <si>
    <t>Sedimentary processes on the west coast of Korea are strongly influenced by monsoonal climate with strong northwesterly winds during winter. Sediment transport processes under winter storm waves are, however, poorly known, because of the difficulties of field observations. For the assessment of the influence of winter waves on sediment transport processes over a sand bank at the mouth of Garolim Bay, bedload transport by combined currents and waves is quantitatively estimated using the current data measured at the bay mouth and representative parameters of winter waves, and is compared with that by tidal currents alone. Our results show that high winter waves have a significant influence on the spatial pattern, the amount, and the directions of bedload transport through the bay mouth. Under the condition of combined currents and waves, bedload transport increases considerably due to the increase in bed shear stresses, particularly in shallow water depths of the sand bank. Increases in bedload transport are more pronounced during the flood current than the ebb current, resulting in a net increase of bedload transport into the bay. It is, thus, concluded that wintertime high waves reinforce sand import into the bay and probably onto the sand flats near the mouth. Our results can be applied to other bays and estuaries that have openings allowing the influence of winter waves, given that sufficient bedload sediments are available. © 2011 The Association of Korean Geoscience Societies and Springer-Verlag Berlin Heidelberg.</t>
  </si>
  <si>
    <t>2-s2.0-84855252682"</t>
  </si>
  <si>
    <t>10.5194/nhess-11-3319-2011</t>
  </si>
  <si>
    <t>https://www.scopus.com/inward/record.uri?eid=2-s2.0-84855810566&amp;doi=10.5194%2fnhess-11-3319-2011&amp;partnerID=40&amp;md5=1cac745c9bce655aaa216b9879edb365</t>
  </si>
  <si>
    <t>In this study, we present 10 m resolution tsunami flooding maps for Lisbon downtown and the Tagus estuary. To compute these maps we use the present bathymetry and topographic maps and a reasonable estimate for the maximum credible tsunami scenario. Tsunami modeling was made with a non-linear shallow water model using four levels of nested grids. The tsunami flood is discussed in terms of flow depth, run-up height and maximum inundation area. The results show that, even today, in spite of the significant morphologic changes in the city river front after the 1755 earthquake, a similar event would cause tsunami flow depths larger than one meter in a large area along the Tagus estuary and Lisbon downtown. Other areas along the estuary with a high population density would also be strongly affected. The impact of the tide on the extent of tsunami inundation is discussed, due to the large amplitude range of the tide in Lisbon, and compared with the historical descriptions of the 1755 event. The results presented here can be used to identify the potential tsunami inundation areas in Lisbon</t>
  </si>
  <si>
    <t>10.1007/s11027-011-9285-y</t>
  </si>
  <si>
    <t>https://www.scopus.com/inward/record.uri?eid=2-s2.0-79960044466&amp;doi=10.1007%2fs11027-011-9285-y&amp;partnerID=40&amp;md5=ded4eff08b34b991fddc8b9575afbb45</t>
  </si>
  <si>
    <t>This paper aimed at to explore the consequences of cyclone victims due to unavailability of infrastructural supports and to prop up the recognition that the infrastructure has a vital role to play in societies' resilience during catastrophic situation. The paper begins with a review of the science regarding climate change impact and cyclone disaster in Bangladesh. It emphasizes the consequences of cyclone Aila in a selected coastal community in the remote coastal area. A field survey was conducted by authors during March-August 2009. Eight available infrastructures were selected for this analysis. Uniformity of distribution (R), demand index (Di) and degree of demand (DD) of the selected infrastructures were calculated by using nearest neighbourhood methods of analysis. Results show that based on its specific planning standards none of the selected infrastructure can support 50% of the total population. Accordingly, it was observed that 76% respondent could not reach in safer place due to rush of water intrusion and also because of the inundation of road-network. The nearness to the available cyclone shelter, and place of taking shelter during cyclone is positively correlated (r = 0.38</t>
  </si>
  <si>
    <t>Regional Development Dialogue</t>
  </si>
  <si>
    <t>https://www.scopus.com/inward/record.uri?eid=2-s2.0-84860189544&amp;partnerID=40&amp;md5=fce0775c36fe5056e0cb6d4e271edcd8</t>
  </si>
  <si>
    <t>Vietnam is a South-Eastern country in the Asian region facing severe climate change. The land area is about 320,000 km 2, and it has a 3,260-km coastline. The population is about 90.5 million, which makes it one of the most densely populated country in the world. The narrow, flat coastal lowlands extend from south of the Red River Delta to the Mekong River basin. On the landward side, the Giai Truong Son rises precipitously above the coast, its spurs jutting into the sea at several places. Generally, the coastal strip is fertile and rice is cultivated intensively. Approximately 70,000 homes were overcome with flood water, and possibly more than seven people were missing and nine others wounded. Over 900 troops were conveyed to help with the rescue operations. With them they took hundreds of life-saving flotation devices and much other needed supplies.</t>
  </si>
  <si>
    <t>2-s2.0-84860189544"</t>
  </si>
  <si>
    <t>10.1007/978-3-642-19097-1_8</t>
  </si>
  <si>
    <t>https://www.scopus.com/inward/record.uri?eid=2-s2.0-84894607969&amp;doi=10.1007%2f978-3-642-19097-1_8&amp;partnerID=40&amp;md5=0b1e2b4f4006e9f157803352ac2cb542</t>
  </si>
  <si>
    <t>Underground mining of coal deposits in Ostrava-Karvina region causes movements and deformations on the surface where a subsidence depression starts to develop. Real displays of undermining can be only found out by repeated in situ measurements</t>
  </si>
  <si>
    <t>10.1016/j.geomorph.2011.08.017</t>
  </si>
  <si>
    <t>https://www.scopus.com/inward/record.uri?eid=2-s2.0-80053582145&amp;doi=10.1016%2fj.geomorph.2011.08.017&amp;partnerID=40&amp;md5=7bedd59d44adb7fdbc1e5ff23f0aff60</t>
  </si>
  <si>
    <t>In the nineteenth century, the meandering rivers of the Carpathian Basin were extensively regulated, and their large (up to 100km wide) floodplains were confined by artificial levees. On the narrow (0.5-4km) artificial floodplains confined by these levees, overbank sedimentation has become the dominant geomorphological process, resulting in rising floodplain levels during the last century. The Maros River is an extreme example of this process, as it carries a significant amount of suspended sediment (4.6 × 106m3/y) and because its lowland reach was drastically shortened by cutoffs, resulting in bed scour and an increased sediment load. Simultaneously, a flood embankment system was constructed, reducing the floodplain width by 70-80%. The resulting accelerated overbank sediment accumulation increases the flood hazard along the river.The aim of this study is to determine the spatial and temporal pattern of overbank sediment accumulation on the artificial floodplain of the lower Maros River over the last 150years and to identify its influencing factors. The lateral slope of the protected (natural) floodplain was projected towards the present-day channel, allowing the volume (m3) and rate (cm/y) of overbank sedimentation to be calculated using digital terrain modelling (DTM). Changes in the rate of sedimentation were determined by pollen analysis.The studied reach was divided into five sections based on the rate of aggradation: (i) the distal surface of the alluvial fan, where no sedimentation was measured, only incision</t>
  </si>
  <si>
    <t>10.1029/2011GL049458</t>
  </si>
  <si>
    <t>https://www.scopus.com/inward/record.uri?eid=2-s2.0-81155127443&amp;doi=10.1029%2f2011GL049458&amp;partnerID=40&amp;md5=a96fec869e7f593620b9f4ffc90ad9b1</t>
  </si>
  <si>
    <t>While subsidence is widely recognized as a driver of geomorphic change in the northern Gulf of Mexico (GOM), there is considerable disagreement over the rates of subsidence and the interpreted variability in these rates, which leads to controversies over the impacts of subsidence on surface land area change. Here we present a new method to calculate subsidence rates from the tide gauge record that is based on an understanding of the meteorological drivers of inter-annual sea-level change. In Grand Isle, LA and Galveston, TX, we explicitly show that temporal patterns of subsidence are closely linked to subsurface fluid withdrawal and coastal land loss, and suggest changes in withdrawal rates can both increase and decrease rates of subsidence and wetland loss. Our results also imply that the volume of sediment needed to rebuild GOM wetlands may currently fall within the low end of some restoration scenarios. © 2011 by the American Geophysical Union.</t>
  </si>
  <si>
    <t>2-s2.0-81155127443"</t>
  </si>
  <si>
    <t>10.3390/rs3071516</t>
  </si>
  <si>
    <t>https://www.scopus.com/inward/record.uri?eid=2-s2.0-80052544978&amp;doi=10.3390%2frs3071516&amp;partnerID=40&amp;md5=534fa2f22b8db2d6ec266556337b5791</t>
  </si>
  <si>
    <t>Coastlines are constantly changing due to both natural and anthropogenic forces, and climate change and associated sea level rise will continue to reshape coasts in the future. Erosion is not only apparent along oceanfront areas</t>
  </si>
  <si>
    <t>10.1016/j.ecoleng.2011.06.010</t>
  </si>
  <si>
    <t>https://www.scopus.com/inward/record.uri?eid=2-s2.0-80052097230&amp;doi=10.1016%2fj.ecoleng.2011.06.010&amp;partnerID=40&amp;md5=f7bb7f5baf97fcea58bd405f4ce22395</t>
  </si>
  <si>
    <t>The inability to create an adequate tidal regime in embanked areas is a major problem for restoring estuarine habitats. The controlled reduced tide system (CRT) was previously hypothesized to overcome this constraint. As part of an estuarine management plan which combines flood protection and tidal habitat restoration, the first CRT system was implemented in the freshwater zone of the Schelde estuary (Belgium). Based on four years of high-frequency monitoring on the first CRT and the adjacent estuary, this study demonstrates the hydrological functionality of CRT.The tidal characteristics generated by this technique were suitable in the short and the long term, with a reproduction of the spring-neap tidal cycle. In both the CRT and the estuary, the spatial and temporal variability of several hydrological descriptors were comparatively analysed. In spite of some hydrological deviations from the estuarine pattern, nothing precluded a suitable ecosystem feature in CRT.The potential influences of CRT-specific hydrology on ecology and estuarine restoration are discussed. The restoration potential of the CRT system is shown to be particularly relevant for tidal marshes in early succession stage, habitats which are often lacking in embanked estuaries. Additionally, it offers a more robust and adaptable alternative to other systems. Conclusively, the CRT system should be more advocated in estuarine restoration. © 2011 Elsevier B.V.</t>
  </si>
  <si>
    <t>2-s2.0-80052097230"</t>
  </si>
  <si>
    <t>10.1111/j.1467-9787.2010.00706.x</t>
  </si>
  <si>
    <t>https://www.scopus.com/inward/record.uri?eid=2-s2.0-80053257968&amp;doi=10.1111%2fj.1467-9787.2010.00706.x&amp;partnerID=40&amp;md5=fad6fd664b38d53a89e5586e73c20c83</t>
  </si>
  <si>
    <t>This study estimates the impact of sea-level rise on coastal real estate in North Carolina using a unique integration of geospatial and hedonic property data. With rates of sea-level rise approximately double the global average, North Carolina has one of the most vulnerable coastlines in the United States. A range of modest sea-level rise scenarios based on the IPCC Fourth Assessment Report projections (2007) are considered for four counties of North Carolina-New Hanover, Dare, Carteret, and Bertie-which represent a cross-section of the state's coastline in geographical distribution and economic development. High-resolution topographic LIDAR (light detection and ranging) data are used to provide accurate inundation maps for the properties that will be at risk under six different sea-level rise scenarios. A simulation approach based on spatial hedonic models is used to provide consistent estimates of the property value losses. Considering just four coastal counties in North Carolina, the value of residential property loss without discounting in 2030 (2080) is estimated to be about $179 ($526) million for the mid-range sea-level rise scenarios. Low-lying and heavily developed areas in the northern coastline are comparatively more vulnerable to the effect of sea-level rise than the other areas. © 2010, Wiley Periodicals, Inc.</t>
  </si>
  <si>
    <t>2-s2.0-80053257968"</t>
  </si>
  <si>
    <t>10.5194/nhess-11-2003-2011</t>
  </si>
  <si>
    <t>https://www.scopus.com/inward/record.uri?eid=2-s2.0-79960588124&amp;doi=10.5194%2fnhess-11-2003-2011&amp;partnerID=40&amp;md5=b85076b77c2c1acd2760c926a3a020c6</t>
  </si>
  <si>
    <t>Being bordered by the South China Sea and with long coastline, the coastal zone of Guangdong Province is often under severe risk of storm surges, as one of a few regions in China which is seriously threatened by storm surges. This article systematically analyzes the vulnerability factors of storm surges in the coastal area of Guangdong (from Yangjing to Shanwei). Five vulnerability assessment indicators of hazard-bearing bodies are proposed, which are social economic index, land use index, eco-environmental index, coastal construction index, and disaster-bearing capability index. Then storm surge vulnerability assessment index system in the coastal area of Guangdong is established. Additionally, the international general mode about coastal vulnerability assessment is improved, and the vulnerability evolution model of storm surges in the coastal area of Guangdong is constructed. Using ArcGIS, the vulnerability zoning map of storm surges in the study region is drawn. Results show that there is the highest degree of storm surge vulnerability in Zhuhai, Panyu, and Taishan</t>
  </si>
  <si>
    <t>10.2112/JCOASTRES-D-10-00185.1</t>
  </si>
  <si>
    <t>https://www.scopus.com/inward/record.uri?eid=2-s2.0-80755159238&amp;doi=10.2112%2fJCOASTRES-D-10-00185.1&amp;partnerID=40&amp;md5=2f5fae7e20cfa623d390ced1eb82be16</t>
  </si>
  <si>
    <t>Temporally and spatially repeated patterns of wetland erosion, deformation, and deposition are observed on remotely sensed images and in the field after hurricanes cross the coast of Louisiana. The diagnostic morphological wetland features are products of the coupling of high-velocity wind and storm-surge water and their interaction with the underlying, variably resistant, wetland vegetation and soils. Erosional signatures include construction of orthogonal-elongate ponds and amorphous ponds, pond expansion, plucked marsh, marsh denudation, and shoreline erosion. Post-storm gravity reflux of floodwater draining from the wetlands forms dendritic incisions around the pond margins and locally integrates drainage pathways forming braided channels. Depositional signatures include emplacement of broad zones of organic wrack on topographic highs and inorganic deposits of variable thicknesses and lateral extents in the form of shore-parallel sandy washover terraces and interior-marsh mud blankets. Deformational signatures primarily involve laterally compressed marsh and displaced marsh mats and balls. Prolonged water impoundment and marsh salinization also are common impacts associated with wetland flooding by extreme storms. Many of the wetland features become legacies that record prior storm impacts and locally influence subsequent storm-induced morphological changes. Wetland losses caused by hurricane impacts depend directly on impact duration, which is controlled by the diameter of hurricane-force winds, forward speed of the storm, and wetland distance over which the storm passes. Distinguishing between wetland losses caused by storm impacts and losses associated with long-term delta-plain processes is critical for accurate modeling and prediction of future conversion of land to open water. © Coastal Education &amp; Research Foundation 2011.</t>
  </si>
  <si>
    <t>2-s2.0-80755159238"</t>
  </si>
  <si>
    <t>10.1007/s11852-010-0090-7</t>
  </si>
  <si>
    <t>https://www.scopus.com/inward/record.uri?eid=2-s2.0-80052508496&amp;doi=10.1007%2fs11852-010-0090-7&amp;partnerID=40&amp;md5=070d0fb00ad982bc0b34087ca21969dd</t>
  </si>
  <si>
    <t>Low-elevation coastal areas and their populations are at risk during and after the appearance of a storm surge event. Coastal flooding as a result of storm surge events is investigated in this paper for a number of areas around the north-eastern (NE) Mediterranean coastal zone (Adriatic, Aegean and north Levantine seas). The sea level rise (SLR) due to storm surge events is examined for the period 2000-2004. Wind data, atmospheric pressure and wave data for this period as well as in situ sea elevation measurements (from stations around the Mediterranean coasts) were used. Potential inundation zones were then identified using a 90-m horizontal resolution digital elevation model (DEM). At these zones, the sea surface elevations were calculated for the study period, using the collected data and a 2D storm surge simulation model (1/10o×1/10o) output, examining the sea level alteration in specific coastal areas, where in situ measurements are absent and are characterised as ""risky"" in inundation areas, due to their topography. In order to determine the level of storm track implication on major SLR incidents, the trajectories of the respective storm events were computed. The aim of this paper is to investigate the major storm surge events that appeared during the study period, identify the major ""risky"" costal regions along the north-eastern Mediterranean coast and determine their hazard level due to inundation caused by storm surge phenomena. The combination of the risk level determination of an area and the calculation of sea level alteration is an important tool in terms of predicting and protecting the coastal area from extreme meteorological incidents. © 2010 Springer Science+Business Media B.V.</t>
  </si>
  <si>
    <t>2-s2.0-80052508496"</t>
  </si>
  <si>
    <t>10.1016/j.advwatres.2011.05.008</t>
  </si>
  <si>
    <t>https://www.scopus.com/inward/record.uri?eid=2-s2.0-79960262059&amp;doi=10.1016%2fj.advwatres.2011.05.008&amp;partnerID=40&amp;md5=8256b806c4ead01e824814b8d9bd7487</t>
  </si>
  <si>
    <t>The shallow water equations are used to model flows in rivers and coastal areas, and have wide applications in ocean, hydraulic engineering, and atmospheric modeling. These equations have still water steady state solutions in which the flux gradients are balanced by the source term. It is desirable to develop numerical methods which preserve exactly these steady state solutions. Another main difficulty usually arising from the simulation of dam breaks and flood waves flows is the appearance of dry areas where no water is present. If no special attention is paid, standard numerical methods may fail near dry/wet front and produce non-physical negative water height. A high-order accurate finite volume weighted essentially non-oscillatory (WENO) scheme is proposed in this paper to address these difficulties and to provide an efficient and robust method for solving the shallow water equations. A simple, easy-to-implement positivity-preserving limiter is introduced. One- and two-dimensional numerical examples are provided to verify the positivity-preserving property, well-balanced property, high-order accuracy, and good resolution for smooth and discontinuous solutions. © 2011 Elsevier Ltd.</t>
  </si>
  <si>
    <t>2-s2.0-79960262059"</t>
  </si>
  <si>
    <t>10.1016/j.cageo.2011.03.016</t>
  </si>
  <si>
    <t>https://www.scopus.com/inward/record.uri?eid=2-s2.0-80051554566&amp;doi=10.1016%2fj.cageo.2011.03.016&amp;partnerID=40&amp;md5=fc150e5f1fbfac56292739d5f925f8eb</t>
  </si>
  <si>
    <t>Many regions are still threatened with frequent floods and water resource shortage problems in China. Consequently, the task of reproducing and predicting the hydrological process in watersheds is hard and unavoidable for reducing the risks of damage and loss. Thus, it is necessary to develop an efficient and cost-effective hydrological tool in China as many areas should be modeled. Currently, developed hydrological tools such as Mike SHE and ArcSWAT (soil and water assessment tool based on ArcGIS) show significant power in improving the precision of hydrological modeling in China by considering spatial variability both in land cover and in soil type. However, adopting developed commercial tools in such a large developing country comes at a high cost. Commercial modeling tools usually contain large numbers of formulas, complicated data formats, and many preprocessing or postprocessing steps that may make it difficult for the user to carry out simulation, thus lowering the efficiency of the modeling process. Besides, commercial hydrological models usually cannot be modified or improved to be suitable for some special hydrological conditions in China. Some other hydrological models are open source, but integrated into commercial GIS systems. Therefore, by integrating hydrological simulation code EasyDHM, a hydrological simulation tool named MWEasyDHM was developed based on open-source MapWindow GIS, the purpose of which is to establish the first open-source GIS-based distributed hydrological model tool in China by integrating modules of preprocessing, model computation, parameter estimation, result display, and analysis. MWEasyDHM provides users with a friendly manipulating MapWindow GIS interface, selectable multifunctional hydrological processing modules, and, more importantly, an efficient and cost-effective hydrological simulation tool. The general construction of MWEasyDHM consists of four major parts: (1) a general GIS module for hydrological analysis, (2) a preprocessing module for modeling inputs, (3) a model calibration module, and (4) a postprocessing module. The general GIS module for hydrological analysis is developed on the basis of totally open-source GIS software, MapWindow, which contains basic GIS functions. The preprocessing module is made up of three submodules including a DEM-based submodule for hydrological analysis, a submodule for default parameter calculation, and a submodule for the spatial interpolation of meteorological data. The calibration module contains parallel computation, real-time computation, and visualization. The postprocessing module includes model calibration and model results spatial visualization using tabular form and spatial grids. MWEasyDHM makes it possible for efficient modeling and calibration of EasyDHM, and promises further development of cost-effective applications in various watersheds. © 2011 Elsevier Ltd.</t>
  </si>
  <si>
    <t>2-s2.0-80051554566"</t>
  </si>
  <si>
    <t>10.5194/nhess-11-2321-2011</t>
  </si>
  <si>
    <t>https://www.scopus.com/inward/record.uri?eid=2-s2.0-84861540560&amp;doi=10.5194%2fnhess-11-2321-2011&amp;partnerID=40&amp;md5=4a63510d44a6f5aba6a2ee18de92784b</t>
  </si>
  <si>
    <t>This paper provides a comparison of the causes, effects and aftermaths of the coastal flooding that occurred on the east coast of England in 1953 and the west coast of France in 2010 that resulted in 307 and 47 deaths respectively. The causes of both events are strikingly similar. Both were caused by a combination of high tides, low atmospheric pressure, high winds and the failure of poorly maintained flood defences. In both cases the number of deaths was related to the vulnerability of the buildings and people. Buildings in the flood zones were often single storey bungalows and the people who died were mostly over 60 yr of age. Both tragedies were national disasters. The 1953 flood in England acted as a catalyst for an acceleration in flood risk management policy and practice. It resulted in: the development of a Storm Tide Warning System for the east coast of England</t>
  </si>
  <si>
    <t>Journal of Urban Technology</t>
  </si>
  <si>
    <t>10.1080/10630732.2011.648437</t>
  </si>
  <si>
    <t>https://www.scopus.com/inward/record.uri?eid=2-s2.0-84857075163&amp;doi=10.1080%2f10630732.2011.648437&amp;partnerID=40&amp;md5=82f4359cd4c3c47e4684251ea63eda1a</t>
  </si>
  <si>
    <t>The detailed representation of the topography is an important aspect when dealing with any flood simulation model. A Digital Surface Model (DSM) with fine spatial resolution can capture topographic object boundaries with a high level of detail. Light detection and ranging (LiDAR) is a technology that can rapidly collect elevation data of a relatively large topographic area with fine spatial resolution (&lt; 0.5m ~1m). Information about physical objects on the DSM is critical for storm water management as the propagation of flood water is influenced by both the terrain and the objects on the terrain. The processing of LiDAR data is an important task for generating an accurate DSM suitable to running a flood simulation model. Filtering is the first step in processing LiDAR data. In the LiDAR community, the term ""filtering"" means the task of separating LiDAR data into ground (bare earth) and non-ground points (buildings and trees). However, the choice of appropriate filtering algorithm is crucial in order to detect micro objects such as boundary walls, fences, and thin embankments that have significant impact on the surface flow pattern. This study offers an innovative approach for developing a LiDAR filtering algorithm that is flexible in nature and able to detect not only buildings and trees but also the micro objects. The filtering algorithm is applied to two study areas, and the output suggests close correspondence to reality. © 2012 The Society of Urban Technology.</t>
  </si>
  <si>
    <t>2-s2.0-84857075163"</t>
  </si>
  <si>
    <t>10.5194/acp-11-6297-2011</t>
  </si>
  <si>
    <t>https://www.scopus.com/inward/record.uri?eid=2-s2.0-79960157258&amp;doi=10.5194%2facp-11-6297-2011&amp;partnerID=40&amp;md5=fcce3517002ab6065336d22cc875e419</t>
  </si>
  <si>
    <t>As part of the PRIDE-PRD2006 intensive campaign, atmospheric boundary layer (ABL) measurements were performed in Qingyuan, Panyu, and Xinken over the Pearl River Delta (PRD) on 1-30 July 2006. During the summer, the surface winds over the PRD are generally controlled by the south, usually with vertical wind shear at a height of approximately 800 m. Subsidence and precipitation from a tropical cyclone affects the air quality of the PRD. Under subsidence, wind speed in the ABL and the height of the ABL decrease and result in high-level concentrations. When the background wind speed is small or calm, the wind profile in Panyu and Xinken changes dramatically with height, which is perhaps caused by local circulation, such as sea-land breezes. To better understand the ABL of the PRD, simulations that used the Weather Research and Forecasting (WRF) mesoscale model were utilized to analyze the ABL characteristics over the PRD. Based on three types of weather condition simulations (i.e., subsidence days, rainy days, and sunny days), the WRF model revealed that the simulated temperature and wind fields in these three cases were moderately consistent with the measurements. The results showed that diurnal variations of the ABL height on subsidence days and sunny days were obvious, but diurnal variations of the ABL height on rainy days were not apparent. The ABL is obviously affected by local circulation, and the ABL features are different at various stations. A simulation focused on a high pollution episode during the subsidence days on 12-15 July 2006, occurred under high-pressure conditions, accompanied by the tropical cyclone ""Bilis"". A comparison of the simulated vertical wind fields and temperature structure with the ABL measurements at Xinken, Panyu, and Qingyuan stations found that the modeled and measured atmospheric fields revealed two different types of ABL characteristics over the PRD. When the surface winds over the PRD were light or nearly calm, the local circulation dominated, such as the sea-land breeze at Xinken station and the mountain-valley circulation at Qingyuan station. When the surface winds were strong, the stations were under the same background weather system, and the wind directions were almost the same. Furthermore, the modeled results also suggest that the subsidence by the typhoon ""Bilis"" had a great impact on the high Air Pollution Index (API). © 2011 Author(s).</t>
  </si>
  <si>
    <t>2-s2.0-79960157258"</t>
  </si>
  <si>
    <t>10.1007/s11069-011-9868-7</t>
  </si>
  <si>
    <t>https://www.scopus.com/inward/record.uri?eid=2-s2.0-80255123700&amp;doi=10.1007%2fs11069-011-9868-7&amp;partnerID=40&amp;md5=e62cf53b043c50bde617d47755781189</t>
  </si>
  <si>
    <t>Using newly digitised sea-level data for the ports of Southampton (1935-2005) and Portsmouth (1961-2005) on the south coast of the UK, this study investigates the relationship between the 100 highest sea-level events recorded at the two cities and the incidence of coastal floods in the adjoining Solent region. The main sources of flood data are the daily newspapers The Southern Daily Echo, based in Southampton and The News, based in Portsmouth, supported by a range of local publications and records. The study indicates a strong relationship between the highest measured sea levels and the incidence of coastal floods and highlights the most vulnerable areas to coastal flooding which include parts of Portsmouth, Southampton, Hayling Island, Fareham and Cowes. The most severe flood in the dataset resulted from the storm surge events of 13-17 December 1989 when eight consecutive extreme high waters occurred. The data suggest that while extreme sea-level events are becoming more common, the occurrence of flood events is not increasing. This is attributed to improved flood remediation measures combined with a reduction of storm intensity since the 1980s. However, several recent events of significance were still recorded, particularly 3 November 2005 when Eaststoke on Hayling Island (near Portsmouth) was flooded due to high sea levels combined with energetic swell waves. © 2011 Springer Science+Business Media B.V.</t>
  </si>
  <si>
    <t>2-s2.0-80255123700"</t>
  </si>
  <si>
    <t>Ground Water</t>
  </si>
  <si>
    <t>10.1111/j.1745-6584.2010.00758.x</t>
  </si>
  <si>
    <t>https://www.scopus.com/inward/record.uri?eid=2-s2.0-79959529653&amp;doi=10.1111%2fj.1745-6584.2010.00758.x&amp;partnerID=40&amp;md5=fc7083b375b037e75921e7dc2196e11c</t>
  </si>
  <si>
    <t>Sea levels are expected to rise as a result of global temperature increases, one implication of which is the potential exacerbation of sea water intrusion into coastal aquifers. Given that approximately 70% of the world's population resides in coastal regions, it is imperative to understand the interaction between fresh groundwater and sea water intrusion in order to best manage available resources. For this study, controlled investigation has been carried out concerning the temporal variation in sea water intrusion as a result of rising sea levels. A series of fixed inland head two-dimensional sea water intrusion models were developed with SEAWAT in order to assess the impact of rising sea levels on the transient migration of saline intrusion in coastal aquifers under a range of hydrogeological property conditions. A wide range of responses were observed for typical hydrogeological parameter values. Systems with a high ratio of hydraulic conductivity to recharge and high effective porosity lagged behind the equilibrium sea water toe positions during sea-level rise, often by many hundreds of meters, and frequently taking several centuries to equilibrate following a cease in sea-level rise. Systems with a low ratio of hydraulic conductivity to recharge and low effective porosity did not develop such a large degree of disequilibrium and generally stabilized within decades following a cease in sea-level rise. This study provides qualitative initial estimates for the expected rate of intrusion and predicted degree of disequilibrium generated by sea-level rise for a range of hydrogeological parameter values. © 2010 The Author(s). Journal compilation © 2010 National Ground Water Association.</t>
  </si>
  <si>
    <t>2-s2.0-79959529653"</t>
  </si>
  <si>
    <t>10.2166/wcc.2011.044</t>
  </si>
  <si>
    <t>https://www.scopus.com/inward/record.uri?eid=2-s2.0-84872373165&amp;doi=10.2166%2fwcc.2011.044&amp;partnerID=40&amp;md5=5729856ba3c5de59a868dc9c34cf9d35</t>
  </si>
  <si>
    <t>For the water sector, adapting to the effects of climate change is a highly complex issue. Due to its geographical position, The Netherlands is vulnerable to sea level rise, increasing river discharges and increasing salt intrusion. This paper deals with the question of to what extent the historically developed Dutch water safety institutions have the capacity to cope with the 'new' challenges of climate change. The Adaptive Capacity Wheel provides the methodological framework. The analysis focuses on three recent and major planning practices in the Dutch water safety domain: the development and implementation of the Room for the River project, the introduction of the flood risk approach and the introduction of the Second Delta Plan. The results show that Dutch water safety institutions enable climate change adaptation, but to a limited extent. They face five institutional weaknesses that may cause risks in particular in the long term. The paper concludes that for The Netherlands to be prepared for climate change, it is necessary to build capacity to improvise, to invest in and create room for collaborative leaders, and to find ways to generate financial resources for long-term innovative measures. © IWA Publishing 2011.</t>
  </si>
  <si>
    <t>2-s2.0-84872373165"</t>
  </si>
  <si>
    <t>10.1002/rra.1405</t>
  </si>
  <si>
    <t>https://www.scopus.com/inward/record.uri?eid=2-s2.0-79955150425&amp;doi=10.1002%2frra.1405&amp;partnerID=40&amp;md5=f737d1558e89c7b8ac72ef275404be8f</t>
  </si>
  <si>
    <t>This paper analyses the effects of different floodplain management policies on flood hazard using a 350km reach of the river Po (Italy) as a case study. The river Po is the longest Italian river, and the largest in terms of streamflow. The middle-lower Po flows East some 350km in the Pianura Padana (Po Valley), a very important agricultural region and industrial heart of Northern Italy. This portion of the river consists of a main channel (200-500m wide) and a floodplain (overall width from 200m to 5km) confined by two continuous artificial embankments. Floodplains are densely cultivated, and a significant portion of these areas is protected against frequent flooding by a system of minor dykes, which impacts significantly the hydraulic behaviour of the middle-lower Po during major flood events. This study aims at investigating the effects of the adoption of different floodplain management strategies (e.g. raising, lowering or removing the minor dyke system) on the hydrodynamics of the middle-lower Po and, in particular, on flood-risk mitigation. This is a crucial task for institutions and public bodies in charge of formulating robust flood risk management strategies for the river Po. Furthermore, the results of this study are of interest for other European water-related public bodies managing large river basins, in the light of the recent European Directive 2007/60/EC on the assessment and management of flood risks. The analysis is performed by means of a quasi-2D hydraulic model, which has been developed on the basis of a laser-scanning DTM and a large amount of calibration data recorded during the significant flood event of October 2000. © 2010 John Wiley &amp; Sons, Ltd..</t>
  </si>
  <si>
    <t>2-s2.0-79955150425"</t>
  </si>
  <si>
    <t>10.1016/j.pce.2011.08.004</t>
  </si>
  <si>
    <t>https://www.scopus.com/inward/record.uri?eid=2-s2.0-80054071707&amp;doi=10.1016%2fj.pce.2011.08.004&amp;partnerID=40&amp;md5=d81dcf0b46298b0100aa2c62f7876103</t>
  </si>
  <si>
    <t>Adaptation to flooding is now widely adopted as an appropriate policy option since flood mitigation measures largely exceed the capability of most developing countries. In wetlands, such as the Okavango Delta, adaptation is more appropriate as these systems serve as natural flood control mechanisms. The Okavango Delta system is subject to annual variability in flooding with extreme floods resulting in adverse impacts on rural livelihoods. This study therefore seeks to improve the general understanding of rural household livelihood adaptation to extreme flooding in the Okavango Delta. Specific objectives are: (1) to assess household access to forms of capital necessary for enhanced capacity to adapt, (2) to assess the impacts of extreme flooding on household livelihoods, and (3) to identify and assess household livelihood responses to extreme flooding. The study uses the sustainable livelihood and the socio-ecological frameworks to analyse the livelihood patterns and resilience to extreme flooding. Results from a survey of 623 households in five villages, key informant interviews, focus group discussions and review of literature, indicate that access to natural capital was generally high, but low for financial, physical, human and social capital. Households mainly relied on farm-based livelihood activities, some non-farm activities, limited rural trade and public transfers. In 2004 and 2009, extreme flooding resulted in livelihood disruptions in the study areas. The main impacts included crop damage, household displacement, destruction of household property, livestock drowning and mud-trapping, the destruction of public infrastructure and disruption of services. The main household coping strategies were labour switching to other livelihood activities, temporary relocation to less affected areas, use of canoes for early harvesting or evacuation and government assistance, particularly for the most vulnerable households. Household adaptive strategies included livelihood diversification, long-term mobility and training in non-agricultural skills. The study concludes that household capacity to adapt to extreme flooding in the study villages largely depends on access to natural capital. This is threatened by population growth, land use changes, policy shifts, upstream developments, global economic changes and flood variations due to climate variability and change. © 2011 Elsevier Ltd.</t>
  </si>
  <si>
    <t>2-s2.0-80054071707"</t>
  </si>
  <si>
    <t>10.1016/j.ecolmodel.2011.08.009</t>
  </si>
  <si>
    <t>https://www.scopus.com/inward/record.uri?eid=2-s2.0-80053175778&amp;doi=10.1016%2fj.ecolmodel.2011.08.009&amp;partnerID=40&amp;md5=5383c5ad5ff247f0e2d1eb6a0661a62b</t>
  </si>
  <si>
    <t>Most models developed for the movement and fate of eggs and larvae of aquatic species are based on a particle tracking approach. Although this method has many advantages due to its high flexibility, particle tracking may become computationally intensive for complex geometries and when large numbers of particles are needed to simulate the population properly. In continuous models based on advection and dispersion mechanisms, the computational burden is independent of the size of the population. We developed a continuous fate and transport model for striped bass eggs and larvae in the San Francisco Bay-Delta. The model predicts the concentration of eggs and larvae at any location over time. The method of moments was used to account for the effect of temperature and age on the transition of eggs to larvae and larvae to juveniles. Egg and larval mortality were represented as functions of temperature, and eggs also experienced settling mortality. The fate and transport model used the same one-dimensional spatial grid as the existing Delta Simulation Model II (DSM2) hydrodynamics model. DSM2 output of flow rates, water depths, and cross-sectional areas were inputted into the fate and transport model to determine transport. The model was applied to striped bass eggs and larvae data collected during years 1990-1994</t>
  </si>
  <si>
    <t>10.1068/a4468</t>
  </si>
  <si>
    <t>https://www.scopus.com/inward/record.uri?eid=2-s2.0-80055035394&amp;doi=10.1068%2fa4468&amp;partnerID=40&amp;md5=11d0d8dc9352075ea1fc95c18b2ebb0c</t>
  </si>
  <si>
    <t>The movements of the oceans, and the liminal margins of sea, land, and fresh water haveprofound implications for human/nonhuman life. Those movements and margins are rhythmicallyaffected by tides which are thus a key means by which the forceful materiality of water is animated.Where salt water meets land and river mouths, ceaseless, varying, daily, monthly, and seasonalrhythms of sea level rise and fall occur. Complex patterns and rhythms of intertidal areas, currents,mixing of salt and fresh water, erosion, transportation, and deposition, and many impacts on humansystems are created. Due to location, orientation, and sea/land topography, coastal areas around theworld are subject to microtides, mesotides, or macrotides (4 m and higher). Particularly in the caseof the last, the rhythms of the tides extend out into a range of intersecting ecosocial assemblages.This paper discusses tides and their rhythms, sets them in debates about temporality/nature, andintroduces the idea of rhythmpattern which is timespace animated. It also considers dissonanceand consonance within and between tidal rhythmpatterns and their overwriting by development. © 2011 Pion Ltd and its Licensors.</t>
  </si>
  <si>
    <t>2-s2.0-80055035394"</t>
  </si>
  <si>
    <t>10.1007/s11069-011-9788-6</t>
  </si>
  <si>
    <t>https://www.scopus.com/inward/record.uri?eid=2-s2.0-80053561272&amp;doi=10.1007%2fs11069-011-9788-6&amp;partnerID=40&amp;md5=7386e1b471e58b6f9ad7079db476b67d</t>
  </si>
  <si>
    <t>The mobility of gravity-driven granular flows such as debris flows or pyroclastic density currents are extremely sensitive to topographic changes, such as break in slopes, obstacles, or ravine deviations. In hazard assessment, computer codes can reproduce past events and evaluate hazard zonation based on inundation limits of simulated flows over a natural terrain. Digital Elevation Model (DEM) is a common input for the simulation algorithm and its accuracy to reproduce past flows is crucial. In this work, we use TITAN2D code to reproduce past block-and-ash flows at Colima volcano (Mexico) over DEMs with different cell size (5, 10, 30, 50, and 90 m) in order to illustrate the influences of the resolution on the numeric simulations. Our results show that topographic resolution significantly affects the flow path and runout. Also, we found that simulations of past flows with the same input parameters (such as the basal friction angle) over topography with different resolutions resulted in different flow paths, areas, and thickness of the simulated flows. In particular, the simulations performed with the 5- and 10-m DEMs produced similar results. Also, we obtained consistent simulation results for the 30- and 50-m DEMs. However, for the coarser 90-m DEM results are largely different and inaccurate. We recommend generating a benchmark table in order to acquire characteristic values for the basal friction angle of studied events. In case of rugged topographies, a DEM with high resolution should be used for more confident results. © 2011 Springer Science+Business Media B.V.</t>
  </si>
  <si>
    <t>2-s2.0-80053561272"</t>
  </si>
  <si>
    <t>10.5194/nhess-11-2925-2011</t>
  </si>
  <si>
    <t>https://www.scopus.com/inward/record.uri?eid=2-s2.0-84859098057&amp;doi=10.5194%2fnhess-11-2925-2011&amp;partnerID=40&amp;md5=b4d7bc63e56b5cba8c9f41bf2c3cb671</t>
  </si>
  <si>
    <t>This paper describes a methodology to stochastically simulate a large number of storm surge scenarios (here: 10 million). The applied model is very cheap in computation time and will contribute to improve the overall results from integrated risk analyses in coastal areas. Initially, the observed storm surge events from the tide gauges of Cuxhaven (located in the Elbe estuary) and Hörnum (located in the southeast of Sylt Island) are parameterised by taking into account 25 parameters (19 sea level parameters and 6 time parameters). Throughout the paper, the total water levels are considered. The astronomical tides are semidiurnal in the investigation area with a tidal range &gt;2 m. The second step of the stochastic simulation consists in fitting parametric distribution functions to the data sets resulting from the parameterisation. The distribution functions are then used to run Monte-Carlo-Simulations. Based on the simulation results, a large number of storm surge scenarios are reconstructed. Parameter interdependencies are considered and different filter functions are applied to avoid inconsistencies. Storm surge scenarios, which are of interest for risk analyses, can easily be extracted from the results. © Author(s) 2011. CC Attribution 3.0 License.</t>
  </si>
  <si>
    <t>2-s2.0-84859098057"</t>
  </si>
  <si>
    <t>10.1007/s11442-011-0903-0</t>
  </si>
  <si>
    <t>https://www.scopus.com/inward/record.uri?eid=2-s2.0-80053547406&amp;doi=10.1007%2fs11442-011-0903-0&amp;partnerID=40&amp;md5=b2d78bad1d4718bf71a653665ea90562</t>
  </si>
  <si>
    <t>Spatial scale is a fundamental problem in Geography. Scale effect caused by fractal characteristic of coastline becomes a common focus of coastal zone managers and researchers. In this study, based on DEM and remote sensing images, multi-scale continental coastlines of China were extracted and the fractal characteristic was analyzed. The results are shown as follows. (1) The continental coastline of China fits the fractal model, and the fractal dimension is 1. 195. (2) The scale effects with fractal dimensions of coastline have significant differences according to uplift and subsidence segments along the continental coastlines of China. (3) The fractal dimension of coastline has significant spatial heterogeneity according to the coastline types. The fractal dimension of sandy coastline located in Luanhe River plain is 1.109. The dimension of muddy coastline located in northern Jiangsu Plain is 1.059, while that of rocky coastline along southeastern Fujian is 1.293. (4) The length of rocky coastline is affected by scale more than that of muddy and sandy coastline. Since coastline is the conjunction of sea, land and air surface, the study of coastline scale effect is one of the scientific bases for the researches on air-sea-land interaction in multi-scales. © 2011 Science China Press and Springer-Verlag Berlin Heidelberg.</t>
  </si>
  <si>
    <t>2-s2.0-80053547406"</t>
  </si>
  <si>
    <t>10.5194/hess-15-2679-2011</t>
  </si>
  <si>
    <t>https://www.scopus.com/inward/record.uri?eid=2-s2.0-80052170667&amp;doi=10.5194%2fhess-15-2679-2011&amp;partnerID=40&amp;md5=fe3e781eae2461293c40b68aa9d7c3f2</t>
  </si>
  <si>
    <t>This paper describes a procedure to estimate both the fraction of flooded area and the mean water level in vegetated river floodplains by using a synergy of active and passive microwave signatures. In particular, C band Envisat ASAR in Wide Swath mode and AMSR-E at X, Ku and Ka band, are used. The method, which is an extension of previously developed algorithms based on passive data, exploits also model simulations of vegetation emissivity. The procedure is applied to a long flood event which occurred in the ParanÃ¡ River Delta from December 2009 to April 2010. Obtained results are consistent with in situ measurements of river water level. © 2011 Author(s).</t>
  </si>
  <si>
    <t>2-s2.0-80052170667"</t>
  </si>
  <si>
    <t>10.1016/j.futures.2011.05.008</t>
  </si>
  <si>
    <t>https://www.scopus.com/inward/record.uri?eid=2-s2.0-79960391813&amp;doi=10.1016%2fj.futures.2011.05.008&amp;partnerID=40&amp;md5=5bbb4e82451090850c010e668077d882</t>
  </si>
  <si>
    <t>Rapidly urbanising coastal locations represent prototypes of future cities. While these ""sea change"" locations will face a range of issues associated with rapid growth such as infrastructure provision and enhancement of social capital, anticipated environmental impacts are likely to add significant challenges. Climate change is likely to have dramatic impacts on sea change communities through diminished potable water supplies, rising sea levels, storm surges, and increased intensity of flood events - with indirect impacts on health, financial sectors, and biodiversity. Given the inherent diversity within sea change communities with regard to age, culture, and socio-economic status there are likely to be differences in ways of adapting, the ability to adapt, and the desired direction of any changes. Cognizant of the potential enormity of climate change impacts, the need for rapid responses, and the diversity within communities, this paper proposes a participatory and transformative method to work with communities in responding to climate change and variability within rapidly urbanising coastal locations. The method focuses on determining probable futures for various communities of place and interest within sea change areas and aims to build the capacity for dynamic on-going learning to achieve those futures, both within and between the communities. Through this process community members may be empowered with dynamic and future-orientated learning skills that build upon community knowledge, innovation, and resilience. © 2011 Elsevier Ltd.</t>
  </si>
  <si>
    <t>2-s2.0-79960391813"</t>
  </si>
  <si>
    <t>10.1007/s11852-010-0143-y</t>
  </si>
  <si>
    <t>https://www.scopus.com/inward/record.uri?eid=2-s2.0-80054029356&amp;doi=10.1007%2fs11852-010-0143-y&amp;partnerID=40&amp;md5=0e01f3f0f8018685dc60e776235ee3c7</t>
  </si>
  <si>
    <t>Lake Peipsi is of great economic significance, first of all, in terms of water transport, fishery and energy production. Its bottom deposits hold great reserves of curative mud and building materials, and its waters cool the huge kettles of the Baltic and Estonian Thermal Power Plants and drive the turbines of the Narva Hydropower Station. The beaches of the lake, especially in the northern and eastern parts, have a high recreational value. The lake is shared between Estonia and Russia. The sparsely distributed population is mainly engaged in fishery and agriculture. Long-term observations have shown that the water level in L. Peipsi fluctuates greatly. This complicates water transport, shore protection and recreational possibilities around the lake. Both, water erosion and hummocky ice have changed the coasts, but differently in every year. Due to the uneven glacioisostatic uplift of the lake basin the water masses are steadily retreating southward, which means that in the coming future erosion of the northern coast will diminish and large areas on the southern coast will be flooded. Sustainable development of L. Peipsi integrates social, economic, cultural and environmental concerns. Recommendations for the protection and management of the coastal zone are presented. © 2011 Springer Science+Business Media B.V.</t>
  </si>
  <si>
    <t>2-s2.0-80054029356"</t>
  </si>
  <si>
    <t>https://www.scopus.com/inward/record.uri?eid=2-s2.0-80055121205&amp;partnerID=40&amp;md5=25d67e0ced2ddd95b90786788e059512</t>
  </si>
  <si>
    <t>This paper presents a relatively easy and objective identification manner of the buildings and portions of roads existing in the flood zones which were delineated according to the action stage flooding level height. The flooding zone delineation is achieved on the basis of the digital elevation model of the administrative territory of any commune, a model created once the contour lines from the topographic maps, scale 1:25.000, were digitized. Flood areas were delineated on the entire ""digital territory"" of the commune, which, in what regards the size and water volumes implied, include far more than what has been previously identified and recorded in the Urban Plan and the Plan of Defense of the Commune.</t>
  </si>
  <si>
    <t>2-s2.0-80055121205"</t>
  </si>
  <si>
    <t>10.1007/s11625-011-0127-3</t>
  </si>
  <si>
    <t>https://www.scopus.com/inward/record.uri?eid=2-s2.0-79959625942&amp;doi=10.1007%2fs11625-011-0127-3&amp;partnerID=40&amp;md5=8030c0cdd25309f7081751ce2817074e</t>
  </si>
  <si>
    <t>Humanity faces an increasing possibility that unusual and extreme natural disasters will increase, compounded with climate change, including global warming. These compound events are designated as compounded natural hazards in this study. A methodology must be developed for predicting what events and risks will confront future societies, to propose countermeasures and adaptation strategies against these events, and to evaluate the influences of compound disasters on infrastructure which is particularly situated near coasts and rivers. Based on the above-stated background and demands, this study was undertaken with the intention of upgrading the methodology for estimating effects on infrastructure of compound events such as increased typhoon and rainfall severity caused by global warming occurring concurrently with a great earthquake in Japan. Such a methodology is expected to contribute to progress in the fields of natural disaster mitigation and land preservation, particularly benefiting coastal and river areas in Japan. Additionally in this study, risk and economic loss analyses for the possible occurrence of compound disasters for coastal infrastructure and foundations are produced for establishing environmental strategies at the governmental level. The authors further propose adaptation strategies and techniques as countermeasures against these events. © 2011 Integrated Research System for Sustainability Science, United Nations University, and Springer.</t>
  </si>
  <si>
    <t>2-s2.0-79959625942"</t>
  </si>
  <si>
    <t>10.1007/s11629-011-2133-4</t>
  </si>
  <si>
    <t>https://www.scopus.com/inward/record.uri?eid=2-s2.0-80052888554&amp;doi=10.1007%2fs11629-011-2133-4&amp;partnerID=40&amp;md5=a64b94af0cb740e562a51c429b05ea32</t>
  </si>
  <si>
    <t>The Wenchuan Ms 8. 0 earthquake on May 12, 2008 induced a huge number of landslides. The distribution and volume of the landslides are very important for assessing risks and understanding the landslide - debris flow - barrier lake - bursts flood disaster chain. The number and the area of landslides in a wide region can be easily obtained by remote sensing technique, while the volume is relatively difficult to obtain because it requires some detailed geometric information of slope failure surface and sub-surface. Different empirical models for estimating landslide volume were discussed based on the data of 107 landslides in the earthquake-stricken area. The volume data of these landslides were collected by field survey. Their areas were obtained by interpreting remote sensing images while their apparent friction coefficients and height were extracted from the images unifying DEM (digital elevation model). By analyzing the relationships between the volume and the area, apparent friction coefficients, and the height, two models were established, one for the adaptation of a magnitude scale landslide events in a wide range of region, another for the adaptation in a small scope. The correlation coefficients (R2) are 0. 7977 and 0. 8913, respectively. The results estimated by the two models agree well with the measurement data. © 2011 Science Press, Institute of Mountain Hazards and Environment, CAS and Springer-Verlag Berlin Heidelberg.</t>
  </si>
  <si>
    <t>2-s2.0-80052888554"</t>
  </si>
  <si>
    <t>10.1016/j.ecolmodel.2011.04.028</t>
  </si>
  <si>
    <t>https://www.scopus.com/inward/record.uri?eid=2-s2.0-79959649397&amp;doi=10.1016%2fj.ecolmodel.2011.04.028&amp;partnerID=40&amp;md5=10054d82b023267795a28a10a791b86e</t>
  </si>
  <si>
    <t>This paper presents the outline of an estuary modeling study encompassing a study of the biogeochemical model on its own. It includes a preliminary validation of the new mechanistic features using mesocosm data, and a study of a coupled physical and biogeochemical model of the Senegal River Estuary (SRE) from flood to low-water conditions. The originality of this work is that it distinguishes the marine and freshwater origins of some of the organisms modeled and includes additional mortality terms owing to the osmotic stress experienced by the freshwater organisms. The mechanistic model implemented in the Eco3M modelling tool, and partially designed for this study, succeeded in representing the dynamics of the planktonic food web in two mesocosm experiments and in the SRE under very different conditions using a single set of model parameters. Among the important results, it reveals that distinguishing between marine and freshwater origins provides substantial additional information on the distribution of organisms along the estuary. Finally, failure to take account of the osmotic stress and the origin of the organisms can give rise to substantial errors in the calculation of the biomass in the SRE. © 2011 Elsevier B.V.</t>
  </si>
  <si>
    <t>2-s2.0-79959649397"</t>
  </si>
  <si>
    <t>https://www.scopus.com/inward/record.uri?eid=2-s2.0-84864931597&amp;partnerID=40&amp;md5=4182d891940d88b553bd253ac59ea773</t>
  </si>
  <si>
    <t>Flood open rages and areas around Rivers are very important zone for Economical social activities. These pleas are always under dangerous places because of flood events for preventing high dangerous risk at there zones</t>
  </si>
  <si>
    <t>10.1007/s10236-011-0436-1</t>
  </si>
  <si>
    <t>https://www.scopus.com/inward/record.uri?eid=2-s2.0-81255185565&amp;doi=10.1007%2fs10236-011-0436-1&amp;partnerID=40&amp;md5=06746e967910d0129bb59df5ed106943</t>
  </si>
  <si>
    <t>Barotropic responses of the East China Sea to typhoon KOMPASU are investigated using a highresolution, three-dimensional, primitive equation, and finite volume coastal ocean model. Even the fact that the typhoon KOMPASU only brushed across the brink of China mainland without landing, it still imposed great influence across China's east coastal area, where storm surges ranging from 35 to 70 cm were intrigued during this event and a large wake of water setdown due to the outward radial transport driven by the cyclonic wind stress was generated after the KOMPASU traveled across the Yellow Sea. Analysis of the numerical results reveals that the barotropic waves propagating along the coast after the typhoon's landing can be identified as Kelvin wave and the currents associated with the storm are geostrophic currents. A series of model runs are initiated to diagnose the effects of wind stress, atmospheric pressure, and storm track variation on the surge's spatial distribution in the East China Sea. The barotropic waves affected by the atmospheric disturbance due to the typhoon in deep Pacific Ocean travel far more rapidly, arriving at the coastal regions at least 60 h ahead of the typhoon. The wave amplitudes are merely 0.2-0.4 cm and damp gradually due to friction. The model experiments also confirm that the surge levels in nearshore regions are highly dominated by winds, whereas the water level variations in deeper areas are controlled by the atmospheric pressure forcing during typhoon events in the East China Sea. © 2011 Springer-Verlag.</t>
  </si>
  <si>
    <t>2-s2.0-81255185565"</t>
  </si>
  <si>
    <t>https://www.scopus.com/inward/record.uri?eid=2-s2.0-84875831098&amp;partnerID=40&amp;md5=aa960c61f7ed2f6d723093ff1c7e597d</t>
  </si>
  <si>
    <t>Regional planning has ridden up and down a rollercoaster of popularity in the US. From those who led the way Jane Jacobs, Lewis Muinford, Ian McHarg to the present, planners have created a formula for livable communities in a regional con- text, with affordable housing, accessible public transportation, green spaces, and good jobs as part of the mix. The DCP manages a climate resilience effort through a Sustainable Communities Regional Planning grant coordinated by HUT). Planning for regional issues becomes more pronounced and more critical when economies are struggling, says Susan Christopherson, professor of urban and regional planning at Cornell University. The HUD Climate Resilience project will develop a range of best practice adaptation strategies that have potential for implementation throughout the region to reduce risks to people and property within New York City as well as in coastal areas of Connecticut and Long Island that are vulnerable to sea-level rise and storm surge.</t>
  </si>
  <si>
    <t>2-s2.0-84875831098"</t>
  </si>
  <si>
    <t>10.1163/157180811X593407</t>
  </si>
  <si>
    <t>https://www.scopus.com/inward/record.uri?eid=2-s2.0-80155183802&amp;doi=10.1163%2f157180811X593407&amp;partnerID=40&amp;md5=c3a33d6203877ab6399569ddd2c9d10b</t>
  </si>
  <si>
    <t>With an overwhelming majority of India's population living on the coast and depending on coastal resources for their sustenance and livelihood, sustainable coastal development is of critical importance to this country. India is also susceptible to the impacts of climate change and sea level rise. This article reviews India's attempts to manage its long coastline and coastal resources through the instrumentality of law. The salient features of its first coastal law of 1991 and the subsequent draft law of 2008, culminating with a new law adopted in 2011, are analyzed in detail. Specifically, this article examines how these laws provide for integrated coastal zone management, the primary methodology to attain sustainable coastal development, and how they further adaptation to sea level rise. The article argues that, as it stands, India's coastal law is ineffective to further these two objectives. © 2011 Martinus Nijhoff Publishers.</t>
  </si>
  <si>
    <t>2-s2.0-80155183802"</t>
  </si>
  <si>
    <t>10.1016/j.geomorph.2011.04.032</t>
  </si>
  <si>
    <t>https://www.scopus.com/inward/record.uri?eid=2-s2.0-79958747091&amp;doi=10.1016%2fj.geomorph.2011.04.032&amp;partnerID=40&amp;md5=78887bad067e65fc64e8ec7e11480fb3</t>
  </si>
  <si>
    <t>Landscape evolution models require detailed strength measurements, which are difficult to obtain for large areas. We offer an alternative phenomenalogical approach to modelling landscape evolution, one that requires few input parameters. The phenomena are hills, channels, floodplains, knickpoints, and coastal floodplain. The model is demonstrated on the highly-erodible Waipaoa catchment, in New Zealand. A digital elevation model is simulated every thousand years from 63000 BP through to present day. There is good agreement between predicted and observed terrace heights, and also good agreement between predicted and observed knickpoint locations, suggesting the phenomenalogical approach is indeed representing the main drivers of landscape evolution in the Waipaoa catchment. © 2011 Elsevier B.V.</t>
  </si>
  <si>
    <t>2-s2.0-79958747091"</t>
  </si>
  <si>
    <t>10.1029/2011JB008242</t>
  </si>
  <si>
    <t>https://www.scopus.com/inward/record.uri?eid=2-s2.0-80052046534&amp;doi=10.1029%2f2011JB008242&amp;partnerID=40&amp;md5=c09e9305c4068fd973b346b5acc074a5</t>
  </si>
  <si>
    <t>To characterize the present-day vertical displacement field in the active Taiwan orogenic belt, 1843 precise leveling and 199 continuous GPS measurements from 2000 to 2008 are collected and analyzed in this study. Vertical velocities derived from the leveling data are placed in a reference frame of the Chinese continental margin using continuous GPS observations at nearby sites. The leveling and GPS vertical velocities generally reveal a dome-shaped pattern with uplift of ∼0.2-18.5 mm/yr in the interior of the mountain range and subsidence on the flanks of the mountains and coastal plains. Modern uplift rates in the active fold and thrust belt are generally consistent with geologic uplift rates. However, present-day uplift rates in the Central Range are faster than the million-years-averaged exhumation rates. The modern subsidence rates are generally consistent with geologic rates, except for the rates in western coastal areas due to groundwater pumping. Present-day subsidence in the southern Central Range and northern Coastal Range is, however, inconsistent with long-term uplift, which may reflect interseismic elastic strain accumulation across faults. Present-day subsidence in northern Taiwan occurs in a region of postcollisional orogenic collapse. We model the present-day and geologic vertical velocities and published GPS horizontal velocity data across southern Taiwan using a 2-D lithospheric model. The model suggests a combined slip rate of 40 mm/yr on the frontal thrusts and 45 mm/yr on the Longitudinal Valley fault. The model requires an additional source of crustal thickening under the Central Range to match the observed present-day uplift rates. Copyright 2011 by the American Geophysical Union.</t>
  </si>
  <si>
    <t>2-s2.0-80052046534"</t>
  </si>
  <si>
    <t>10.1016/j.crte.2011.07.006</t>
  </si>
  <si>
    <t>https://www.scopus.com/inward/record.uri?eid=2-s2.0-80055044343&amp;doi=10.1016%2fj.crte.2011.07.006&amp;partnerID=40&amp;md5=27ac319d9f60fe4cbdfddaeb95f7aba6</t>
  </si>
  <si>
    <t>Coastal flooding is a significant risk on the shores of Languedoc-Roussillon. The storms that periodically hit the coast can generate strong swells and storm surges. Most beach resorts, built on a low elevation dune ridge, are periodically flooded during major storms. Although risks zoning regulations take into consideration coastal flood hazards, the delineation of vulnerable areas is still insufficient and the commonly accepted threshold is regularly exceeded during most severe storms. This paper presents a method to improve the assessment of extreme storm-related water levels. It relies on fieldwork carried out in the Leucate commune (Aude), which is particularly exposed to the risk of sea level rise. It considers both storm surges and wave phenomena that occur within the surf zone (set-up and swash), calculated from the Simulating WAves Nearshore (SWAN®) numerical wave model and the Stockdon formula. Water levels reached during several recent storm events have been reconstructed and simulations of submerged areas were carried out by numerical modelling. © 2011 Académie des sciences.</t>
  </si>
  <si>
    <t>2-s2.0-80055044343"</t>
  </si>
  <si>
    <t>10.2112/JCOASTRES-D-11-00004.1</t>
  </si>
  <si>
    <t>https://www.scopus.com/inward/record.uri?eid=2-s2.0-80755189526&amp;doi=10.2112%2fJCOASTRES-D-11-00004.1&amp;partnerID=40&amp;md5=6a7311122b36030b732ee23a5e704637</t>
  </si>
  <si>
    <t>The vulnerability of a rocky cliff to direct wave attack is a function of its lithological, structural, and morphological characteristics. The intensity of wave attack at the cliff foot depends on incident wave characteristics, nearshore bathymetry, beach and shore platform topography, coastline orientation, storm surges, and tidal range. The main goal of this paper is to relate the role of wave action as a geomorphic process influencing coastal cliff erosion with the control imposed by lithological and structural characteristics. For that purpose, a numerical wave propagation model (STWAVE) was used to evaluate differences in breaking wave height and energy along the study area (GalOlhos de gua, South Portugal) for a set of representative wave conditions and compared with existing mass movement data. As the study area presents wide longshore variation in wave exposition and breaking wave energies, five sectors were defined with contrasting wave action. When the distribution of mass movements along the coast is analyzed without considering the lithological variation, there is no relationship between the number and displaced volumes of mass movements and wave energy for each sector, with the majority of the movements and the greater volumes occurring in the least energetic sector. Therefore, lithology represents the dominant control on mass movement occurrence. However, if lithological variation is controlled by analyzing only the most common lithology in the study area (Miocene carbonate rocks), spatial variations in nearshore wave energy driven by the interaction of wave conditions with coastline orientation are found to influence mass movement occurrence. © Coastal Education &amp; Research Foundation 2011.</t>
  </si>
  <si>
    <t>2-s2.0-80755189526"</t>
  </si>
  <si>
    <t>10.1007/s11852-010-0136-x</t>
  </si>
  <si>
    <t>https://www.scopus.com/inward/record.uri?eid=2-s2.0-80053998566&amp;doi=10.1007%2fs11852-010-0136-x&amp;partnerID=40&amp;md5=d026a6b3682e9485bacbf736379d929c</t>
  </si>
  <si>
    <t>Satellite remote sensing data, in addition to Geographic Information Systems (GIS), offers an excellent alternative to conventional mapping techniques in monitoring and mapping of geo-hazards areas. One of the most sustainable development projects in Egypt has been accomplished in Sinai, especially along and around the Gulf of Aqaba and the Gulf of Suez. Variations along the coastal zone of the Gulf of Aqaba have been identified through the analysis of multi-temporal satellite images with the aid of GIS analysis. The study area is subject to rapid and increasing changes in land-use/land-cover that resulting from natural and human activities such as flash flooding, seismic activity, landslides, and tourist and urban activities. This is in addition to the construction projects of roads, ports, PowerStation stations, mineral exploration, beaches, and tourist villages resulting from major environmental impacts. The current study aims to use Remote Sensing and GIS tools to investigate, monitor, and assess geo-hazards through the building of a geographical database. Several techniques have been developed over the last decade mostly to study the geological and geomorphologic characteristics of the terrain</t>
  </si>
  <si>
    <t>10.1007/s11852-009-0083-6</t>
  </si>
  <si>
    <t>https://www.scopus.com/inward/record.uri?eid=2-s2.0-80052464027&amp;doi=10.1007%2fs11852-009-0083-6&amp;partnerID=40&amp;md5=f6f912782e76ff9f87a003e598a08e50</t>
  </si>
  <si>
    <t>The threat of sea-level rise and climate change means that coastal managers are being increasingly asked to make long-term assessments of potential coastal impacts and responses. In the UK, shoreline management planning (for flood and erosion hazards) and spatial planning now takes a 100 year perspective. An integrated framework across a wide range of physical and social issues is required for the assessment of coastal impacts and consequently for making sound management decisions. This paper provides an overview of the development of the 'Tyndall Coastal Simulator' including the underlying philosophy that is being followed. The Simulator is based on a series of linked climate models (CM) within a nested framework which recognises three spatial scales: (i) the global (GCM) scale</t>
  </si>
  <si>
    <t>10.1007/s10236-011-0476-6</t>
  </si>
  <si>
    <t>https://www.scopus.com/inward/record.uri?eid=2-s2.0-84855956251&amp;doi=10.1007%2fs10236-011-0476-6&amp;partnerID=40&amp;md5=23c0ad547620fbafd13e013f82246c2f</t>
  </si>
  <si>
    <t>The effect exerted by the seabed morphology on the flow is commonly expressed by the hydraulic roughness, a fundamental parameter in the understanding and simulation of hydro- and sediment dynamics in coastal areas. This study quantifies the hydraulic roughness of large compound bedforms throughout a tidal cycle and investigates its relationship to averaged bedform dimensions. Consecutive measurements with an acoustic Doppler current profiler and a multibeam echosounder were carried out in the Jade tidal channel (North Sea, Germany) along large compound bedforms comprising ebb-oriented primary bedforms with superimposed smaller secondary bedforms. Spatially averaged velocity profiles produced log-linear relationships which were used to calculate roughness lengths. During the flood phase, the velocity profiles were best described by a single log-linear fit related to the roughness created by the secondary bedforms. During the ebb phase, the velocity profiles were segmented, showing the existence of at least two boundary layers: a lower one scaling with the superimposed secondary bedforms and an upper one scaling with the ebb-oriented primary bedforms. The drag induced by the primary bedform during the ebb phase is suggested to be related to flow expansion, separation, and recirculation on the downstream side of the bedform. Three existing formulas were tested to predict roughness lengths from the local bedform dimensions. All three predicted the right order of magnitude for the average roughness length but failed to predict its variation over the tidal cycle. © Springer-Verlag 2011.</t>
  </si>
  <si>
    <t>2-s2.0-84855956251"</t>
  </si>
  <si>
    <t>10.2166/wcc.2011.053</t>
  </si>
  <si>
    <t>https://www.scopus.com/inward/record.uri?eid=2-s2.0-84875910259&amp;doi=10.2166%2fwcc.2011.053&amp;partnerID=40&amp;md5=2eea7c066d6233d71c4441fb4a6c52ff</t>
  </si>
  <si>
    <t>Climate change, sea level rise, over-pumping and saltwater intrusion present some of the future challenges of water resources management in coastal areas. Over-abstraction is considered one of the main causes of seawater intrusion and the rise in sea levels accelerates the intrusion. With the combined impact of sea level rise and over-pumping the problem becomes exacerbated and requires urgent solutions. Previous studies have mainly focused on the study of impact of sea level rise or over-abstraction on seawater intrusion separately and their combined effects have not been studied in the literature. This paper presents application of a coupled transient density-dependent finite element model to simulate seawater intrusion in coastal aquifers and investigates the individual and combined effects of likely sea level rise and over-pumping on seawater intrusion. Three scenarios are considered: rise in sea levels due to climate change, decline in groundwater table due to overpumping and combination of sea level rise and over-pumping. The results show that, in the case study considered in this paper, the rise in the sea level moved the transition zone inland by about 5%. However, the combination of sea level rise and over-pumping resulted in further inland movement of the transition zone (about 8%). The amount of intrusion greatly depends on the depth, size and properties of the aquifer. While the intrusion is a few metres in a small aquifer, it could be several kilometres in a large aquifer. © IWA Publishing 2011.</t>
  </si>
  <si>
    <t>2-s2.0-84875910259"</t>
  </si>
  <si>
    <t>10.1016/j.jhydrol.2011.06.007</t>
  </si>
  <si>
    <t>https://www.scopus.com/inward/record.uri?eid=2-s2.0-80051576965&amp;doi=10.1016%2fj.jhydrol.2011.06.007&amp;partnerID=40&amp;md5=ae065092355292b52396e8b8c23c3dd3</t>
  </si>
  <si>
    <t>In this paper, we present a large-scale hydrologic model with a full one-dimensional hydrodynamic module to calculate flow propagation on a complex river network. The model uses the full Saint-Venant equations and a simple floodplain storage model, and therefore is capable of simulating a wide range of fluvial processes such as flood wave delay and attenuation, backwater effects, flood inundation and its effects on flood waves. We present the model basic equations and GIS algorithms to extract model parameters from relatively limited data, which is globally available, such as the SRTM DEM. GIS based algorithms include the estimation of river width and depth using geomorphological relations, river cross section bottom level and floodplain geometry extracted from DEM, etc. We also show a case study on one of the major tributaries of the Amazon, the Purus River basin. A model validation using discharge and water level data shows that the model is capable of reproducing the main hydrological features of the Purus River basin. Also, realistic floodplain inundation maps were derived from the results of the model. Our main conclusion is that it is possible to employ full hydrodynamic models within large-scale hydrological models even using limited data for river geometry and floodplain characterization. © 2011 Elsevier B.V.</t>
  </si>
  <si>
    <t>2-s2.0-80051576965"</t>
  </si>
  <si>
    <t>10.1007/s10236-011-0390-y</t>
  </si>
  <si>
    <t>https://www.scopus.com/inward/record.uri?eid=2-s2.0-81255134240&amp;doi=10.1007%2fs10236-011-0390-y&amp;partnerID=40&amp;md5=8fdde95af49904b2d5dbc4b931637332</t>
  </si>
  <si>
    <t>The storm surge period of 13-16 November 1977 when there was a major positive surge followed by a negative surge in the Irish Sea is investigated using a two-dimensional unstructured mesh model of the west coast of Britain. The model accounts for tidal and external surge forcing across its open boundaries which are situated in the Celtic Sea and off the west coast of Scotland. Although this period has been examined previously using a uniform finite-difference model, and a finite element model, neither of these could resolve the Mersey estuary which is the focus of the present study. By using a finite element model with very high mesh resolution within the Mersey, the spatial variability of surge elevations and currents within the Mersey to rapidly changing surge dynamics can be examined. The mesh in the model varies from about 7 km in deep water, to the order of 100 m in the Mersey, with the largest mesh length reaching 17 km in deep offshore regions, and smallest of order 26 m occurring in shallow coastal regions of the Mersey estuary. The model accounts for wetting/drying which occurs in shallow water coastal areas. Calculations showed that during the positive surge period, the amplitude and speed of propagation of the surge was largest in the deep water channels. This gave rise to significant spatial variability of surge elevations and currents within the estuary. As wind stresses decreased over the Irish Sea, a negative surge occurred over Liverpool Bay and at the entrance to the Mersey. However, within the Mersey there was a local positive surge which continued to propagate down the estuary. This clearly showed that although the large scale response of the Irish Sea to changing wind fields occurred rapidly, the response in the Mersey was much slower. These calculations with a west coast variable mesh model that included a high-resolution representation of the Mersey revealed for the first time how elevations and currents within the Mersey responded to Irish Sea surges that rapidly changed from positive to negative. © 2011 Springer-Verlag.</t>
  </si>
  <si>
    <t>2-s2.0-81255134240"</t>
  </si>
  <si>
    <t>10.1007/s00024-011-0293-3</t>
  </si>
  <si>
    <t>https://www.scopus.com/inward/record.uri?eid=2-s2.0-80955125585&amp;doi=10.1007%2fs00024-011-0293-3&amp;partnerID=40&amp;md5=dba24325e217446b4b3e9c11d93562cb</t>
  </si>
  <si>
    <t>A new generation of tsunami inundation maps is now available for 20 coastal counties in California. These maps represent an improvement over previous efforts, as they are based on the most recent descriptions of potential tsunami sources, apply recently updated numerical modeling techniques, and cover previously unmapped regions of the State. Since the maps are based on deterministic rather than probabilistic modeling, they are only intended for emergency preparedness and evacuation planning and are not to be used in engineering siting studies. The California maps cover a greater coastal area than any other US State. To be helpful, the maps need to be integrated into a consistent statewide hazard-planning framework. Indeed, tsunami preparedness in California was tested on several occasions over the past 5 years, i. e., during the 14 June 2005 event, about 90 miles SW of Crescent City, the 15 November 2006 Kuril Islands, and the 27 February 2010 Chile earthquake. We discuss briefly the State's response as these events unfolded. © 2011 Springer Basel AG.</t>
  </si>
  <si>
    <t>2-s2.0-80955125585"</t>
  </si>
  <si>
    <t>10.1007/s10584-011-0077-x</t>
  </si>
  <si>
    <t>https://www.scopus.com/inward/record.uri?eid=2-s2.0-79958859501&amp;doi=10.1007%2fs10584-011-0077-x&amp;partnerID=40&amp;md5=3f0716e9a3d893cc608bb18ec9d6d829</t>
  </si>
  <si>
    <t>The sea level history of the northern Gulf of Mexico during recent geologic time has closely followed global eustatic sea level change. Regional effects due to tectonics and glacio-isostasy have been minimal. Over the past several million years the northern Gulf coast, like most stable coastal regions of the globe, has experienced major swings of sea level below and above present level, accompanied by major shifts in shoreline position. During advances of the northern hemisphere ice sheets, sea level dropped by more than 100 m, extending the shoreline in places more than 100 km onto the shelf. For much of the period since the last glacial maximum (LGM), 20,000 years ago, the region has seen rates of sea level rise far in excess of those experienced during the period represented by long-term tide gauges. The regional tide gauge record reveals that sea level has been rising at about 2 mm/year for the past century, while the average rate of rise since the LGM has been 6 mm/year, with some periods of abrupt rise exceeding 40 mm/year. During times of abrupt rise, Gulf of Mexico shorelines were drowned in place and overstepped. The relative stability of modern coastal systems is due primarily to stabilization of sea level approximately 6,000 years ago, resulting in the slow rates of rise experienced during historic time. Recent model projections of sea level rise over the next century and beyond may move northern Gulf coastal environments into a new equilibrium regime, more similar to that experienced during the deglaciation than that which has existed during historic time. © 2011 Springer Science+Business Media B.V.</t>
  </si>
  <si>
    <t>2-s2.0-79958859501"</t>
  </si>
  <si>
    <t>10.1080/10807039.2011.605672</t>
  </si>
  <si>
    <t>https://www.scopus.com/inward/record.uri?eid=2-s2.0-80052893458&amp;doi=10.1080%2f10807039.2011.605672&amp;partnerID=40&amp;md5=faca1c671e6f61ddfebaf0adc2e8fd15</t>
  </si>
  <si>
    <t>The claim that the herbicide Diuron in agricultural runoff caused dieback of the grey mangrove (Avicennia marina) in Central Queensland, Australia, has influenced government policies including programs to save the Great Barrier Reef. Several investigations on mangrove dieback in Central Queensland river estuaries have been published during the past decade. However, proof of a causal link between mangrove dieback and Diuron remains inconclusive. This study presents a systematic review of the evidence using Hill'ss Criteria of Causation. Our review shows that using concentrations of the chemical bound to sediment as a measure for biological availability in either glasshouse or field studies is inappropriate. The appropriate measure is Diuron concentration in solution and this parameter bears no simple relationship to concentration bound to sediment, and is not strongly correlated with mangrove health. Only when the herbicide is applied in experimental investigations at many orders of magnitude higher than measured in rivers has an impact on A. marina been demonstrated. Evidence from field studies suggests burial of pneumatophores, the plant's breathing roots, following flood events is a more likely causal factor in mangrove dieback, whereas any contribution from Diuron remains unproven. 2011. © Taylor &amp; Francis Group, LLC.</t>
  </si>
  <si>
    <t>2-s2.0-80052893458"</t>
  </si>
  <si>
    <t>10.1371/journal.pone.0027374</t>
  </si>
  <si>
    <t>https://www.scopus.com/inward/record.uri?eid=2-s2.0-81755166540&amp;doi=10.1371%2fjournal.pone.0027374&amp;partnerID=40&amp;md5=9830637b557cd4c67508bedf21f9f4f8</t>
  </si>
  <si>
    <t>Background: Salt marshes lie between many human communities and the coast and have been presumed to protect these communities from coastal hazards by providing important ecosystem services. However, previous characterizations of these ecosystem services have typically been based on a small number of historical studies, and the consistency and extent to which marshes provide these services has not been investigated. Here, we review the current evidence for the specific processes of wave attenuation, shoreline stabilization and floodwater attenuation to determine if and under what conditions salt marshes offer these coastal protection services. Methodology/Principal Findings: We conducted a thorough search and synthesis of the literature with reference to these processes. Seventy-five publications met our selection criteria, and we conducted meta-analyses for publications with sufficient data available for quantitative analysis. We found that combined across all studies (n = 7), salt marsh vegetation had a significant positive effect on wave attenuation as measured by reductions in wave height per unit distance across marsh vegetation. Salt marsh vegetation also had a significant positive effect on shoreline stabilization as measured by accretion, lateral erosion reduction, and marsh surface elevation change (n = 30). Salt marsh characteristics that were positively correlated to both wave attenuation and shoreline stabilization were vegetation density, biomass production, and marsh size. Although we could not find studies quantitatively evaluating floodwater attenuation within salt marshes, there are several studies noting the negative effects of wetland alteration on water quantity regulation within coastal areas. Conclusions/Significance: Our results show that salt marshes have value for coastal hazard mitigation and climate change adaptation. Because we do not yet fully understand the magnitude of this value, we propose that decision makers employ natural systems to maximize the benefits and ecosystem services provided by salt marshes and exercise caution when making decisions that erode these services. © 2011 Shepard et al.</t>
  </si>
  <si>
    <t>2-s2.0-81755166540"</t>
  </si>
  <si>
    <t>10.1007/s11069-011-9852-2</t>
  </si>
  <si>
    <t>https://www.scopus.com/inward/record.uri?eid=2-s2.0-80255131357&amp;doi=10.1007%2fs11069-011-9852-2&amp;partnerID=40&amp;md5=9dd692717c4ea150a7a7ffbf8e6651f1</t>
  </si>
  <si>
    <t>A practical, DEM-based practical method is proposed to enhance flood risk management in fluvial areas by quantifying relative risk as a function of vulnerability to inland and evacuation difficulty. Both measures are based mainly on the topography of the region, so the method does not require detailed data on the physical characteristics of the land. First, we use the deterministic 8-node method on a digital elevation map (DEM) to trace storm waterways. Second, we repeat the process on a reversed DEM to trace evacuation routes that avoid the waterways and zones dangerously close to the rivers. Finally, on the basis of such two flow lines of evacuee and storm water, we proposed the protocol to evaluate the flood risk at every point on the map taking into account both the minimum time required for floodwater to arrive and duration of an evacuation from that location. The time that must be allocated for safe evacuation is defined as the potential flood risk of evacuation (PFRE). The method is demonstrated on a fluvial area of the Kaki River in Nagaoka city, Japan. In addition, we illustrated the application of the PFRE map to divide the region into areas of greater or lesser evacuation urgency. © 2011 Springer Science+Business Media B.V.</t>
  </si>
  <si>
    <t>2-s2.0-80255131357"</t>
  </si>
  <si>
    <t>10.1080/07293682.2011.595059</t>
  </si>
  <si>
    <t>https://www.scopus.com/inward/record.uri?eid=2-s2.0-80052672453&amp;doi=10.1080%2f07293682.2011.595059&amp;partnerID=40&amp;md5=9887534f66646d46e83e4dab6a1646ba</t>
  </si>
  <si>
    <t>Coastal hazards are expected to increase with rising sea levels and increased storminess. Will property losses from inundation and erosion inevitably lead to declining property values and eventually discourage coastal dwelling, even with limited planning intervention? This paper looks at the evidence for the impacts of increased risks on property prices in flood affected areas facing sea level rise. This shows that even regular flooding is unlikely to lead to retreat without other forms of intervention. It then compares this to the impacts of two approaches to planning regulation. The paper presents a case for an active risk management approach to managing property in hazardous coastal areas, taking into account both the consideration of a smooth transition in property values and interests of the wider community. © 2011 Planning Institute Australia.</t>
  </si>
  <si>
    <t>2-s2.0-80052672453"</t>
  </si>
  <si>
    <t>10.1007/s11111-011-0136-2</t>
  </si>
  <si>
    <t>https://www.scopus.com/inward/record.uri?eid=2-s2.0-80053456683&amp;doi=10.1007%2fs11111-011-0136-2&amp;partnerID=40&amp;md5=49f330abae2d803c4b63cb1032918b34</t>
  </si>
  <si>
    <t>Significant advances have been made to understand the interrelationship between humans and the environment in recent years, yet research has not produced useful localized estimates that link population forecasts to environmental change. Coarse, static population estimates that have little information on projected growth or spatial variability mask substantial impacts of environmental change on especially vulnerable populations. We estimate that 20 million people in the United States will be affected by sea-level rise by 2030 in selected regions that represent a range of sociodemographic characteristics and corresponding risks of vulnerability. Our results show that the impact of sea-level rise extends beyond the directly impacted counties due to migration networks that link inland and coastal areas and their populations. Substantial rates of population growth and migration are serious considerations for developing mitigation, adaptation, and planning strategies, and for future research on the social, demographic, and political dimensions of climate change. © 2011 Springer Science+Business Media, LLC.</t>
  </si>
  <si>
    <t>2-s2.0-80053456683"</t>
  </si>
  <si>
    <t>10.1016/j.envsci.2011.03.010</t>
  </si>
  <si>
    <t>https://www.scopus.com/inward/record.uri?eid=2-s2.0-80052999693&amp;doi=10.1016%2fj.envsci.2011.03.010&amp;partnerID=40&amp;md5=91ba3a353814c8ad878a5f03c6586eb0</t>
  </si>
  <si>
    <t>The FloodProBE project started as a FP7 research project in November 2009.Floods, together with wind related storms, are considered the major natural hazard in the EU in terms of risk to people and assets. In order to adapt urban areas (in river and coastal zones) to prevent flooding or to be better prepared for floods, decision makers need to determine how to upgrade flood defences and increasing flood resilience of protected buildings and critical infrastructure (power supplies, communications, water, transport, etc.) and assess the expected risk reduction from these measures.The aim of the FloodProBE-project is to improve knowledge on flood resilience and flood protection performance for balancing investments in flood risk management in urban areas. To this end, technologies, methods and tools for assessment purposes and for the adaptation of new and existing buildings and critical infrastructure are developed, tested and disseminated.Three priority areas are addressed by FloodProBE. These are: (i) vulnerability of critical infrastructure and high-density value assets including direct and indirect damage, (ii) the assessment and reliability of urban flood defences including the use of geophysical methods and remote sensing techniques and (iii) concepts and technologies for upgrading weak links in flood defences as well as construction technologies for flood proofing buildings and infrastructure networks to increase the flood resilience of the urban system.The primary impact of FloodProBE in advancing knowledge in these areas is an increase in the cost-effectiveness (i.e. performance) of new and existing flood protection structures and flood resilience measures. © 2011 Elsevier Ltd.</t>
  </si>
  <si>
    <t>2-s2.0-80052999693"</t>
  </si>
  <si>
    <t>10.1016/j.gloenvcha.2011.08.005</t>
  </si>
  <si>
    <t>https://www.scopus.com/inward/record.uri?eid=2-s2.0-82255162578&amp;doi=10.1016%2fj.gloenvcha.2011.08.005&amp;partnerID=40&amp;md5=47a01abc00bfcd7a66168713033d168e</t>
  </si>
  <si>
    <t>This paper uses a content analysis of the published literature to take stock of current understanding of key social and policy drivers of migration to cities in 11 Asian and African mega-deltas and identifies commonalities and differences among them. The analysis shows that migration to urban centers in mega-deltas is an outcome of many forces: economic policies and incentives, local and destination institutions, government policies to develop small towns, and the geographic concentration of investments. Massive influx of capital to many deltas has transformed the local economic base from a primarily agricultural one to a manufacturing and processing economy. This has created uneven spatial economic development which is the underlying driver of migration to cities in the mega-deltas regardless of geographic context or size. Going forward to 2060, one critical challenge for all the deltas is to increase the labor skill of their workforce and foster technology innovation. Continued economic growth in these regions will require substantial investments in education and capacity building and the ability of urban centers to absorb the migrant labor pool. © 2011 Elsevier Ltd.</t>
  </si>
  <si>
    <t>2-s2.0-82255162578"</t>
  </si>
  <si>
    <t>10.1016/j.geomorph.2011.06.004</t>
  </si>
  <si>
    <t>https://www.scopus.com/inward/record.uri?eid=2-s2.0-80052914506&amp;doi=10.1016%2fj.geomorph.2011.06.004&amp;partnerID=40&amp;md5=20bf30e4821c13169e75e58c75201a40</t>
  </si>
  <si>
    <t>Within Great Britain five main types of karstic rocks - dolomite, limestone, chalk, gypsum and salt - are present. Each presents a different type and severity of karstic geohazard which are related to the rock solubility and geological setting. Typical karstic features associated with these rocks have been databased by the British Geological Survey (BGS) with records of sinkholes, cave entrances, stream sinks, resurgences and building damage</t>
  </si>
  <si>
    <t>10.3390/rs3092029</t>
  </si>
  <si>
    <t>https://www.scopus.com/inward/record.uri?eid=2-s2.0-80755125252&amp;doi=10.3390%2frs3092029&amp;partnerID=40&amp;md5=4658bac2199e5a02908bab69515296f4</t>
  </si>
  <si>
    <t>The increasing rates of sea level rise caused by global warming within the 21st century are expected to exacerbate inundation and episodic flooding tide in low-lying coastal environments. This development threatens both human development and natural habitats within such coastal communities. The impact of sea level rise will be more pronounced in developing countries where there is limited adaptation capacity. This paper presents a comprehensive assessment of the expected impacts of sea level rise in three communities in the Dansoman coastal area of Accra, Ghana. Future sea level rises were projected based on global scenarios and the Commonwealth Scientific and Industrial Research Organization General Circulation Models-CSIRO_MK2_GS GCM. These were used in the SimCLIM model based on the modified Bruun rule and the simulated results overlaid on near vertical aerial photographs taken in 2005. It emerged that the Dansoman coastline could recede by about 202 m by the year 2100 with baseline from 1970 to 1990. The potential impacts on the socioeconomic and natural systems of the Dansoman coastal area were characterized at the Panbros, Grefi and Gbegbeyise communities. The study revealed that about 84% of the local dwellers is aware of the rising sea level in the coastal area but have poor measures of adapting to the effects of flood disasters. Analysis of the likely impacts of coastal inundation revealed that about 650,000 people, 926 buildings and a total area of about 0.80 km2 of land are vulnerable to permanent inundation by the year 2100. The study has shown that there will be significant losses to both life and property by the year 2100 in the Dansoman coastal community in the event of sea level rise. © 2011 by the authors.</t>
  </si>
  <si>
    <t>2-s2.0-80755125252"</t>
  </si>
  <si>
    <t>10.1080/13658816.2010.545064</t>
  </si>
  <si>
    <t>https://www.scopus.com/inward/record.uri?eid=2-s2.0-79961234719&amp;doi=10.1080%2f13658816.2010.545064&amp;partnerID=40&amp;md5=ba528a089792c6343fe1953bca42fa48</t>
  </si>
  <si>
    <t>Digital elevation model (DEM) elevation accuracy and spatial resolution are typically considered before a given DEM is used for the assessment of coastal flooding, sea-level rise or erosion risk. However, limitations of DEMs arising from their original data source can often be overlooked during DEM selection. Global elevation error statistics provided by DEM data suppliers can provide a useful indicator of actual DEM error, but these statistics can understate elevation errors occurring outside of idealised ground reference areas. The characteristic limitations of a range of DEM sources that may be used for the assessment of coastal inundation and erosion risk are tested using high-resolution photogrammetric, low- and medium-resolution global positioning system (GPS)-derived and very high-resolution terrestrial laser scanning point data sets. Errors detected in a high-resolution photogrammetric DEM are found to be substantially beyond quoted error, demonstrating the degree to which quoted DEM accuracy can understate local DEM error and highlighting the extent to which spatial resolution can fail to provide a reliable indicator of DEM accuracy. Superior accuracies and inundation prediction results are achieved based on much lower-resolution GPS points confirming conclusions drawn in the case of the photogrammetric DEM data. This suggests a scope for the use of GPS-derived DEMs in preference to the photogrammetric DEM data in large-scale risk-mapping studies. DEM accuracies and superior representation of micro-topography achieved using high-resolution terrestrial laser scan data confirm its advantages for the prediction of subtle inundation and erosion risk. However, the requirement for data fusion of GPS to remove ground-vegetation error highlighted limitations for the use of side-scan laser scan data in densely vegetated areas. © 2011 Taylor &amp; Francis.</t>
  </si>
  <si>
    <t>2-s2.0-79961234719"</t>
  </si>
  <si>
    <t>10.2112/JCOASTRES-D-10-00147.1</t>
  </si>
  <si>
    <t>https://www.scopus.com/inward/record.uri?eid=2-s2.0-80052189779&amp;doi=10.2112%2fJCOASTRES-D-10-00147.1&amp;partnerID=40&amp;md5=c482fc391b9c4258e2b75b9d76b183a2</t>
  </si>
  <si>
    <t>Future sea-level rise will increase coastal flood risk in the U.K., yet the hazard uncertainties associated with such future risk estimates have not been fully explored. The sensitivity of coastal flood-risk mapping to future uncertainties was investigated by propagating ranges of plausible parameters through a LISFLOOD inundation model of a significant historic flood event to the North Somerset (U.K.) coast. Mean sea-level rise (including land movement) was found to have the greatest effect on the extent of flood inundation. Analysis of the latest research into the future storm-surge climate of the U.K. indicates no change above natural variability, thus, future, extreme water-level estimates (for the U.K.) should be based on observations and not Regional Circulation Models until research indicates otherwise. Evidence suggests that the current approach of forcing the inundation model with an extreme water level of a constant return period is incorrect. This uncertainty of the peak storm tide height along the coastline had a significant effect on our results. We present a new boundary-forcing technique to force the inundation model with (method C), based on the spatial characteristics of real events, which can account for the natural storm-surge variability. Indeed, if sea-level rise is included with method C, a great deal of the uncertainty surrounding such a future flood-hazard estimate can be quantified and communicated clearly and effectively. © 2011, the Coastal Education &amp; Research Foundation (CERF).</t>
  </si>
  <si>
    <t>2-s2.0-80052189779"</t>
  </si>
  <si>
    <t>10.3189/172756411797252347</t>
  </si>
  <si>
    <t>https://www.scopus.com/inward/record.uri?eid=2-s2.0-79958815486&amp;doi=10.3189%2f172756411797252347&amp;partnerID=40&amp;md5=d902145ac2fc622f3e1ffe7ed5c820dd</t>
  </si>
  <si>
    <t>Catastrophic floods originating from glacial lake outbursts have recently become one of the primary natural hazards in the southeastern Tibetan Plateau. Here we report observations of glacial lake expansions and glacier recessions in the Boshula mountain range, southeast Tibet, derived from multitemporal remote-sensing images and digital elevation models during the period from the 1970s to 2009. The area of glacial lakes has expanded from 9.24 ±0.1 km2 in the 1970s to 10.96 ±0.1 km2 in 2009. Specifically, the area of moraine-dammed lakes has increased by 26.8%. From the 1970s to 2009, the glacierized area in the Boshula mountain range shrank by 12.7% (21.2 km2). Increasing mean summer air temperature was the main cause for the glacier recession and lake expansion from the 1970s to 2001, while the combination of increased summer temperature and decreased summer precipitation led to accelerated glacier recession after 2001. Climate warming and ongoing deglaciation play important roles in the expansion of moraine-dammed lakes, calling for intensified monitoring to properly address the hazard potential in the study area.</t>
  </si>
  <si>
    <t>2-s2.0-79958815486"</t>
  </si>
  <si>
    <t>10.1007/s11852-010-0134-z</t>
  </si>
  <si>
    <t>https://www.scopus.com/inward/record.uri?eid=2-s2.0-80053985078&amp;doi=10.1007%2fs11852-010-0134-z&amp;partnerID=40&amp;md5=c20aa7c15518719a9daec4e5ef7d96c3</t>
  </si>
  <si>
    <t>Coastal features in Ghana's Accra coast reflect both past and present processes that have been undergoing changes. These changes are influenced by a range of morphogenic factors such as geology and climatic conditions. These regimes have shaped the coastal geomorphic features through weathering processes that decompose and disintegrate the coastal rock. Sea level rise due to climate change is expected to increase coastal erosion and thus result in rapid changes in shoreline positions. Historic rate of sea level rise in Accra coast is about 2 mm/yr (Ibe &amp; Quelennec, 1989) which is predicted to reach approximately 6 mm/yr in the next century since it conforms to the global change (Armah et al., 2005). This will result in flooding of vulnerable areas and enable waves to break closer inland. The effectiveness of the erosion process is aided considerably by the type of geology. Accra coastal zone has three types of rock in three identified geomorphic regions. They include unconsolidated and poorly consolidated rock along the western region, the Accraian series occupying the central region and the Dahomeyan series in the eastern region. The geology has thus influenced the extent to which the coastal features have changed and the type of cliff that is formed as a result of erosion within the regions. Generally, soft rock coastal features decay more rapidly than those of hard rock and tend to act as sediment sources. Human activities such as dam construction over the Densu River, engineering interventions to check the spread of erosion and sand mining has created sediment deficit which has exacerbated coastal erosion in Accra. Anthropogenic factors are estimated to account for 70-90% of coastal erosion problems in Accra. © 2010 Springer Science+Business Media B.V.</t>
  </si>
  <si>
    <t>2-s2.0-80053985078"</t>
  </si>
  <si>
    <t>10.1007/s00367-011-0231-5</t>
  </si>
  <si>
    <t>https://www.scopus.com/inward/record.uri?eid=2-s2.0-79960327381&amp;doi=10.1007%2fs00367-011-0231-5&amp;partnerID=40&amp;md5=d6a782a897ac8489e9c4dcb16a07906f</t>
  </si>
  <si>
    <t>Activities of the naturally occurring radium nuclides 228Ra, 226Ra, 224Ra and 223Ra were determined in waters of the open German Bight and adjacent nearshore areas in the North Sea, in order to explore the potential use of radium isotopes as natural tracers of land-ocean interaction in an environment characterised by extensive tidal flats, as well as riverine and groundwater influx. Data collected at various tidal phases from the Weser Estuary (228Ra: 46.3 ± 4.6</t>
  </si>
  <si>
    <t xml:space="preserve"> 226Ra: 8.2 ± 0.8 to 11.8 ± 1.2</t>
  </si>
  <si>
    <t>10.2166/wp.2011.020</t>
  </si>
  <si>
    <t>https://www.scopus.com/inward/record.uri?eid=2-s2.0-80054897267&amp;doi=10.2166%2fwp.2011.020&amp;partnerID=40&amp;md5=b561533004be16b0ef8ff0fc747ee6ce</t>
  </si>
  <si>
    <t>Water governance in urban areas is inherently complex and challenging. During recent decades, water management has increasingly been focusing on integration of the different economic demands regarding water resources. Modern water governance takes the whole water system into account in its aim to optimise the different values of the water system, in close interaction with stakeholders. This paper applies the modern, interactive approach to the management of floods in a country considered to be one of the world's most flood-prone and vulnerable: Bangladesh. Are the pillars of modern water governance practiced in its metropolitan capital Dhaka? The current institutional setting of flood management is analysed following the main pillars of the interactive water management framework: integration, river basin approach, sustainability and interaction. Based on the analysis, general recommendations are formulated to bring further innovation to water and flood management in Dhaka, Bangladesh, and other great deltas in the world. © IWA Publishing 2011.</t>
  </si>
  <si>
    <t>2-s2.0-80054897267"</t>
  </si>
  <si>
    <t>10.2112/JCOASTRES-D-10-00072.1</t>
  </si>
  <si>
    <t>https://www.scopus.com/inward/record.uri?eid=2-s2.0-79960204700&amp;doi=10.2112%2fJCOASTRES-D-10-00072.1&amp;partnerID=40&amp;md5=7d99f8b7e10d56ad0582cf0988150322</t>
  </si>
  <si>
    <t>Analyses of land area and population distribution in the Low Elevation Coastal Zone (LECZ) and their potential susceptibility to future sea level rise have been used to derive first-order assessments of areas and populations at risk. Variations in results are shown to be highly dependent on the input datasets. In this paper we explore differences in land and population distribution estimates in the LECZ resulting from the use of three digital elevation models and two population datasets at global, continent, and country levels. Results at the global scale show differences of up to 150% in area estimates, depending on the elevation model used. The differences are most extreme below 1 m elevation and diminish at higher elevation increments. On the continent level, the use of different elevation models produced area estimate differences ranging from more than 1200% at an elevation of 1 m to 160% in the LECZ. Country-level differences are even higher. Similarly, substantial differences in population distribution can arise with the use of different population datasets. Population counts below 1 m elevation range from 1% to 2.3% of the total global population. In the LECZ, estimates vary from 9.2% to 10.9% of the total global population. Differences at continental and country levels are also significant depending on the elevation model and the population dataset used. These large differences indicate that results of such analyses should be regarded with caution and within the context of the methods and materials used. © 2011, the Coastal Education &amp; Research Foundation (CERF).</t>
  </si>
  <si>
    <t>2-s2.0-79960204700"</t>
  </si>
  <si>
    <t>10.2112/JCOASTRES-D-10-00008.1</t>
  </si>
  <si>
    <t>https://www.scopus.com/inward/record.uri?eid=2-s2.0-81855212430&amp;doi=10.2112%2fJCOASTRES-D-10-00008.1&amp;partnerID=40&amp;md5=4689292250322de652722f38063c7d17</t>
  </si>
  <si>
    <t>Natural and anthropogenic impacting factors simultaneously cause wetland loss in the Louisiana coastal area. Ongoing natural processes are integrated with anthropogenic impacting factors to rationalize the contribution of each impact type within a total system. From baseline conditions of today, two natural processes account for approximately 85% of the estimated cumulative land loss by 2050: (1) subsidence by sediment compaction and tectonism that is driven by the weight of the Mississippi Delta's sedimentary pile and (2) absolute sea-level rise. Hurricanes are sudden natural processes that act as impact accelerators. After the Mississippi River became hydrologically isolated from the delta it built, anthropogenic impacts coinciding with the ramp up to peak oil production in the Louisiana coastal area caused many direct impacts, such as the construction of access canals and pipelines, but indirect impacts are largely symptomatic of natural delta platform submergence. Formation extraction is the only significant anthropogenic activity influencing projected land losses: about 6%. Other anthropogenic activities, such as onshore development, maintenance dredging, and oil spills, are not significant impacting factors. Additive processes, such as delta outbuilding and coastal restoration, are also not significant. A growing body of Louisiana coastal area subsidence studies is proceeding in absence of insight as to how conclusions might be ordered by the subsurface structural fabric that has influenced coastal geomorphology and that continues to influence surface processes. Subsidence assessments have been heavily weighted with inputs based on surface and near-surface data sets that are easy to see and touch. Approaches using basin analysis techniques are a critical omission. Such outputs integrate subsurface geologic logs and seismic data sets into products able to inform decisions about locating coastal restoration or flood protection projects and avoid areas of geologically persistent subsidence. © 2011 Coastal Education &amp; Research Foundation.</t>
  </si>
  <si>
    <t>2-s2.0-81855212430"</t>
  </si>
  <si>
    <t>10.1007/s10584-011-0035-7</t>
  </si>
  <si>
    <t>https://www.scopus.com/inward/record.uri?eid=2-s2.0-81555216817&amp;doi=10.1007%2fs10584-011-0035-7&amp;partnerID=40&amp;md5=8c5e25493baca539eb4272b8000e2326</t>
  </si>
  <si>
    <t>A mathematical model was used to predict the effect of climate change on soft and hard rock coasts in a 2 m tidal environment. Erosional equations represented the effect of wave impact and bottom generated shear stresses in the intertidal and subtidal zones. Model runs were made for: 2900 years with constant sea level</t>
  </si>
  <si>
    <t>https://www.scopus.com/inward/record.uri?eid=2-s2.0-84555188299&amp;partnerID=40&amp;md5=847d7b75be2fc5655d9f875bdfcc74a8</t>
  </si>
  <si>
    <t>The article focuses upon one of the communities: Grande Riviere in Trinidad and Tobago. During the breeding season, leatherback turtles dig nests along the entire stretch of the narrow beach Grande Riviere. The beach is less than a mile long, but during peak nesting seasons more than 5000 turtles will visit the site. The community derives much needed income from turtle watching, which occurs mostly at night when turtle nesting is most active. The data collection and GIS methods used in constructing the models were chosen to maximize use of best available secondary spatial data, and to supplement that with primary field data where appropriate. Primary data were obtained from tide measurements and topographic survey exercises. A Trimble R6 GPS Receiver was used to establish control points within the study site. An estimate of MSL at Grande Riviere would have been ideal but long-term tidal observations were not available for the site.</t>
  </si>
  <si>
    <t>2-s2.0-84555188299"</t>
  </si>
  <si>
    <t>10.1007/s12517-009-0090-9</t>
  </si>
  <si>
    <t>https://www.scopus.com/inward/record.uri?eid=2-s2.0-79960894629&amp;doi=10.1007%2fs12517-009-0090-9&amp;partnerID=40&amp;md5=cfdb9b47abdc194827809ff5430e9b26</t>
  </si>
  <si>
    <t>Evaluating the likelihood of a flash flood as well as flood water resource is vital for establishing properly sustainable developments in arid environments. However, the high degree of spatial and temporal variability in hydrometeorological processes and the general lack of suitable data limit these efforts. In the present work, a runoff model, adopting the simple Soil Conservation Service method, was built for 13 ungauged catchments in Southern Sinai, Egypt. Runoff modeling was conducted as a function of the descriptive parameters of the catchments, and the maximum average rainfall occurred in 1 day in the period 1960-1990, designed according to a storm event recorded at the outlet of one of the studied catchments on the 2nd of November 1994. The catchments' descriptive parameters were extracted from available remote sensing data and field investigations. Land covers including road networks and 83 rock-soil types were also extracted from the maximum likelihood classification of the Landsat-7 ETM+ imagery. The catchments were then subdivided into 103 smaller subcatchments, which were then placed into different terrain types according to hydrologically relevant surface characteristics. Hydrologic characteristics and soil type(s) in the subcatchments were estimated during on-site visits. Morphometric parameters of the wadi catchments and the channel networks were derived from the analysis of the SRTM3 digital elevation model (DEM). Hydrographs were drawn and routed to the main catchment outlets based on appropriate wadi dimensions and roughness using the Muskingum's method. The runoff and infiltration volumes were quantified. The resulting models have been used to investigate the relative potential for flooding and the groundwater recharge in the catchments. Further, in order to determine specific sites with a high potential for flood risk and groundwater recharge, decision-ruled integrated analysis of the generated GIS layers describing relative stream power and wetness indices were applied. Due to the lack of flow data, the results of the hydrological models were validated against the DEM-derived relative stream power and the wetness indices as well as against field checks and available reports as an alternative. The results of this study could help to prioritize areas where flood control measures should be directed, as well as effectively augment management plans for the appropriate development of water resources. © 2009 Saudi Society for Geosciences.</t>
  </si>
  <si>
    <t>2-s2.0-79960894629"</t>
  </si>
  <si>
    <t>10.1002/hyp.8007</t>
  </si>
  <si>
    <t>https://www.scopus.com/inward/record.uri?eid=2-s2.0-79961127982&amp;doi=10.1002%2fhyp.8007&amp;partnerID=40&amp;md5=12f658f25715c7df27c52dd1c55c4b11</t>
  </si>
  <si>
    <t>Excessive groundwater pumping from deep wells in the Bangkok metropolitan area (BMA) since the 1950s has induced piezometric drawdown, land subsidence, and probably remarkable disturbance in confined groundwater flow. To trace the large-scale groundwater flow system in the Lower Central Plain (LCP) of Thailand and to detect its disturbance, we carried out isotopic and hydro-chemical investigations of surface/subsurface waters as well as hydrometric measurements at 98 observation wells. Isotopic compositions of the water (δD and δ18O) reflected significant seawater mixing and evaporative enrichment. The Cl/Br mass ratio suggested that halite dissolution is negligible, and spatial distributions of δ and Cl- concentration implied that saline water is mainly remnant seawater. In addition, the δ-Cl relationship indicated that the remnant seawater may have been concentrated in part by transpiration from mangrove forests during delta formation after a period of maximum transgression. The original δD of the source water was estimated by correcting for the effects of seawater mixing and evaporative enrichment using the Cl- concentration and δ18O, respectively, and its three-dimensional distribution revealed that the water originating from precipitation over the LCP during the post-glacial age was drawn down to a maximum depth of 240 m by groundwater pumping. At two large depressions in the east and west of the BMA, water recharged during the last glacial age and/or originating at higher elevations outside the LCP is drawn from suburban areas laterally or through underlying aquifers. In contrast, in the central BMA, groundwater within major productive aquifers is mainly replenished by downward leakage across confining layers. © 2011 John Wiley &amp; Sons, Ltd.</t>
  </si>
  <si>
    <t>2-s2.0-79961127982"</t>
  </si>
  <si>
    <t>10.1029/2011JF002010</t>
  </si>
  <si>
    <t>https://www.scopus.com/inward/record.uri?eid=2-s2.0-80054819724&amp;doi=10.1029%2f2011JF002010&amp;partnerID=40&amp;md5=1ef4dfdd1691ebaa6a9bd3c759957784</t>
  </si>
  <si>
    <t>Land subsidence in drained cultivated peatlands is responsible for a number of serious environmental concerns and economical problems at both the local and the global scale. In low-lying coastal areas it enhances the risk of flooding, the saltwater contamination of shallow aquifers, and the maintenance costs of the systems that help keep the farmland drained. Since the subsidence is a major consequence of the bio-oxidation of the soil organic fraction in the upper aerated zone, cropped peatlands in temperate and tropic regions are important sources of CO2 into the atmosphere. A 4-year long experimental study has been performed in a drained peatland located south of the Venice Lagoon, Italy, to help calibrate a land subsidence model developed to predict the expected behavior of the ground surface elevation. Continuous monitoring of the hydrological regime and land displacements shows that the vertical movement of the peat surface consists of the superimposition of daily/seasonal time-scale reversible deformations related to soil moisture, depth to the water table, and temperature fluctuations, and long term irreversible subsidence due to peat oxidation. A novel two-step modeling approach to separate the two contributions from the available observations is presented. First, the elastic component is computed by integrating the peat vertical deformations evaluated by a constitutive relationship describing the porosity variation with the moisture content and pore pressure changes implemented into a variably saturated flow equation-based numerical code. The observed trend is then filtered from the computed reversible displacement and is used to calibrate an empirical relationship relating land subsidence rate to drainage depth and soil temperature. The results show that in recent years the subsidence rate ranged from 3 to 15 mm a-1. The large variability is due to the different climate conditions underlying the monitoring period, in particular a wet 2002 and a very dry 2003. The model is then used to investigate the effect of human activities and climate change on the expected reduction of the peat thickness. The results suggest that the long term subsidence is mainly controlled by the manner in which the water table is managed in the peatland. For example, the subsidence rate is almost halved if the current 0.5 m mean water table depth is kept at 0.2 m. Conversely, even the extreme warning scenario provided by the IPCC in 2007 do not suggest significant changes on the expected subsidence trend, at least in low lying reclamation areas where the average temperature rise should not be accompanied by a significant reduction of water availability. Copyright 2011 by the American Geophysical Union.</t>
  </si>
  <si>
    <t>2-s2.0-80054819724"</t>
  </si>
  <si>
    <t>10.3189/172756411797252293</t>
  </si>
  <si>
    <t>https://www.scopus.com/inward/record.uri?eid=2-s2.0-80053546630&amp;doi=10.3189%2f172756411797252293&amp;partnerID=40&amp;md5=cf83f98988f973187150d808f1e461f9</t>
  </si>
  <si>
    <t>The Advanced Land Observing Satellite (ALOS) is relatively new. Its optical sensors are capable of making high-resolution digital surface models (DSMs). For the first time, the task of constructing a regional-scale inventory of glacial lakes based on ALOS data has been undertaken. This study presents the data-processing methods and the results of validation and analysis on the ALOS-based glacial lake inventory of Bhutan in the Himalaya. The analysis based on GPS measurements taken at Metatshota lake in the Mangde Chu sub-basin, one of the glacial lakes assessed as presenting a potential flood danger, shows a validation estimate of 9.5 m for the location of the ALOS-based polygon, with a root mean square of 11.7 m. A comparison with digitized data from the International Centre for Integrated Mountain Development (ICIMOD) shows that positioning and evaluation of terrain changes can be significantly improved using ALOS data. Preliminary analysis of the glacial lakes in four subbasins, Mo Chu, Pho Chu, Mangde Chu and Dangme Chu, reveals that the frequency distribution of lake sizes biases towards smaller lakes. Glacial lakes 0.01-0.05 km2 in area account for ∼55% of the total number and occupy 13% of the total area. Together our results demonstrate the usefulness of highresolution ALOS data with accurate DSMs for studying glacial lakes. High priority must be given to continuously improving and updating the glacial lake inventory with high-resolution satellite data.</t>
  </si>
  <si>
    <t>2-s2.0-80053546630"</t>
  </si>
  <si>
    <t>Journal of Systems and Information Technology</t>
  </si>
  <si>
    <t>10.1108/13287261111184004</t>
  </si>
  <si>
    <t>https://www.scopus.com/inward/record.uri?eid=2-s2.0-84993089934&amp;doi=10.1108%2f13287261111184004&amp;partnerID=40&amp;md5=d84130678560764ef1cd4fc829de1ab0</t>
  </si>
  <si>
    <t>Purpose – The purpose of this paper is to examine the practicality of an application called the mobile geographic information system (GIS). The authors' purpose was to focus specifically on the mobile GIS application in a prototype, mobile-based model that is utilized for detecting flood warnings and issuing forecasts. At the end of this research project, a usability study was carried out in a test-lab environment. Design/methodology/approach – In this paper, research is presented regarding the architecture of a structure that has been built on practicality. Readers will learn about a system that is applicable within a vast array of turning-point situations where rainfall data are communicated to the system in real time. Findings – It has been revealed that traditional GIS and remote sensing software packages are not as cost-effective as GIS services that are mobile. Mobile GIS systems have the capability to combine GIS, global positioning system, and remote sensing abilities for retrieving geospatial data sets at costs that are not as pricey as the traditional systems. As time moves on, the need for reliable real-time data sets is increasing. Additionally, flood management examination provides a valid debate for the combining of mobile GISs within the realm of hydrology. Empirical evidence insinuates and illustrates reliability of GIS and the enhancement in the utilization and creation of devices that are offer mobile capabilities. The usability study revealed that the slope, aspect, watershed, and flow direction functions were not easy to comprehend. It was also discovered during the usability study that the word arrangement, radio button arrangement, and dropdown list caused confusion amongst users. The issue that was deemed as most severe, that was discovered during the usability study, was the blurred comprehension that users experienced regarding the digital elevation model. Research limitations/implications – Before the wisest solution can be pinpointed, all of the associated constraints of mobile GIS mapping application need to be identified</t>
  </si>
  <si>
    <t>10.1007/s12517-010-0155-9</t>
  </si>
  <si>
    <t>https://www.scopus.com/inward/record.uri?eid=2-s2.0-84922684669&amp;doi=10.1007%2fs12517-010-0155-9&amp;partnerID=40&amp;md5=8e3f6f833fc5b639d5981f4e9c45c590</t>
  </si>
  <si>
    <t>Following the Intergovernmental Panel on Climate Change report of 2001, a hype regarding the future of Himalayan glaciers, flooding of Indo-Gangetic plains and coastal areas and drying of glacially fed rivers has been created. However, the recent studies of some of the Himalayan glaciers indicate that the rate of recession of most of the glaciers in general is on decline. These observations are in contradiction to the widely popularized concept of anthropogenically induced global warming. It is believed that the rise of temperature of around 0.6°C since mid-nineteenth century is a part of decadal to centennial-scale climatic fluctuations that have been taking place on this Earth for the past few thousands of years. © Saudi Society for Geosciences 2010.</t>
  </si>
  <si>
    <t>2-s2.0-84922684669"</t>
  </si>
  <si>
    <t>10.5194/nhess-11-3397-2011</t>
  </si>
  <si>
    <t>https://www.scopus.com/inward/record.uri?eid=2-s2.0-84867973876&amp;doi=10.5194%2fnhess-11-3397-2011&amp;partnerID=40&amp;md5=a49cd88834f8ba78cfbc064eacf61ab1</t>
  </si>
  <si>
    <t>This study, a companion paper to Renou et al. (2011), focuses on the application of a GIS-based method to assess building vulnerability and damage in the event of a tsunami affecting the coastal area of Rabat and Salé, Morocco. This approach, designed within the framework of the European SCHEMA project (&lt;a hrefCombining double low line""www.schemaproject. org""targetCombining double low line""-blank""&gt;www.schemaproject. org&lt;/a&gt;) is based on the combination of hazard results from numerical modelling of the worst case tsunami scenario (inundation depth) based on the historical Lisbon earthquake of 1755 and the Portugal earthquake of 1969, together with vulnerability building types derived from Earth Observation data, field surveys and GIS data. The risk is then evaluated for this highly concentrated population area characterized by the implementation of a vast project of residential and touristic buildings within the flat area of the Bouregreg Valley separating the cities of Rabat and Salé. A GIS tool is used to derive building damage maps by crossing layers of inundation levels and building vulnerability. The inferred damage maps serve as a base for elaborating evacuation plans with appropriate rescue and relief processes and to prepare and consider appropriate measures to prevent the induced tsunami risk. © 2012 Author(s).</t>
  </si>
  <si>
    <t>2-s2.0-84867973876"</t>
  </si>
  <si>
    <t>10.5194/nhess-11-3327-2011</t>
  </si>
  <si>
    <t>https://www.scopus.com/inward/record.uri?eid=2-s2.0-84876699758&amp;doi=10.5194%2fnhess-11-3327-2011&amp;partnerID=40&amp;md5=db2fd7c4dea2b46893db182a349ab409</t>
  </si>
  <si>
    <t>The assessment of coastal flood risks in a particular region requires the estimation of typical damages caused by storm surges of certain characteristics and annualities. Although the damage depends on a multitude of factors, including flow velocity, duration of flood, precaution, etc., the relationship between flood events and the corresponding average damages is usually described by a stage-damage function, which considers the maximum water level as the only damage influencing factor. Starting with different (microscale) building damage functions we elaborate a macroscopic damage function for the entire case study area Kalundborg (Denmark) on the basis of multiple coarse-graining methods and assumptions of the hydrological connectivity. We find that for small events, the macroscopic damage function mostly depends on the properties of the elevation model, while for large events it strongly depends on the assumed building damage function. In general, the damage in the case study increases exponentially up to a certain level and then less steep. © 2012 Author(s).</t>
  </si>
  <si>
    <t>2-s2.0-84876699758"</t>
  </si>
  <si>
    <t>10.1007/978-94-007-1143-3_2</t>
  </si>
  <si>
    <t>https://www.scopus.com/inward/record.uri?eid=2-s2.0-84871650666&amp;doi=10.1007%2f978-94-007-1143-3_2&amp;partnerID=40&amp;md5=984dd2f0f452a8d2dbd3d504b42858d3</t>
  </si>
  <si>
    <t>Throughout the Mediterranean Region, a combination of population growth and climate change will compromise our ability to manage available water resources. Pro-active resource management decisions are required</t>
  </si>
  <si>
    <t>10.1080/00045608.2011.585929</t>
  </si>
  <si>
    <t>https://www.scopus.com/inward/record.uri?eid=2-s2.0-79960972618&amp;doi=10.1080%2f00045608.2011.585929&amp;partnerID=40&amp;md5=35715c4f23670c04834cb0c9b63abb5c</t>
  </si>
  <si>
    <t>This article presents a statistical investigation of the spatial and temporal changes of extreme sea surges in response to climate variability in coastal British Columbia. The study was based on an investigation of in situ hourly tide gauge data spanning the interval from 1950 to 2007 at eleven tide gauges in the region. The characteristics of the recorded extreme sea surges were parametrically modeled by the generalized extreme value distribution while accounting for trends and dependence via climate covariate coefficients. The study confirms that decadal to interdecadal climatic variability is a fundamental element in explaining the changing frequency and intensity of sea surges in coastal British Columbia. For instance, the seasurge response to climate variability impacts on sites along the British Columbia coast were found to be fairly synchronous with an increase (decrease) in the magnitude of extreme sea surges in response to warm (cold) El Niño/La Niña-Southern Oscillation (ENSO) conditions. These trends make the flooding risks even higher during warm ENSO conditions, especially if the global sea levels continue to rise as predicted by climate models. © 2011 by Association of American Geographers Initial submission.</t>
  </si>
  <si>
    <t>2-s2.0-79960972618"</t>
  </si>
  <si>
    <t>Earth System Dynamics</t>
  </si>
  <si>
    <t>10.5194/esd-2-191-2011</t>
  </si>
  <si>
    <t>https://www.scopus.com/inward/record.uri?eid=2-s2.0-84865147066&amp;doi=10.5194%2fesd-2-191-2011&amp;partnerID=40&amp;md5=e6935c97a4f19e33ce8a0e30e0a5a594</t>
  </si>
  <si>
    <t>In order to provide probabilistic projections of the future evolution of the Atlantic Meridional Overturning Circulation (AMOC), we calibrated a simple Stommeltype box model to emulate the output of fully coupled threedimensional atmosphere-ocean general circulation models (AOGCMs) of the Coupled Model Intercomparison Project (CMIP). Based on this calibration to idealised global warming scenarios with and without interactive atmosphere-ocean fluxes and freshwater perturbation simulations, we project the future evolution of the AMOC mean strength within the covered calibration range for the lower two Representative Concentration Pathways (RCPs) until 2100 obtained from the reduced complexity carbon cycle-climate model MAGICC 6. For RCP3-PD with a global mean temperature median below 1.0 °C warming relative to the year 2000, we project an ensemble median weakening of up to 11% compared to 22% under RCP4.5 with a warming median up to 1.9 °C over the 21st century. Additional Greenland meltwater of 10 and 20 cm of global sea-level rise equivalent further weakens the AMOC by about 4.5 and 10 %, respectively. By combining our outcome with a multi-model sea-level rise study we project a dynamic sea-level rise along the New York City coastline of 4 cm for the RCP3-PD and of 8 cm for the RCP4.5 scenario over the 21st century. We estimate the total steric and dynamic sea-level rise for New York City to be about 24 cm until 2100 for the RCP3-PD scenario, which can hold as a lower bound for sea-level rise projections in this region, as it does not include ice sheet and mountain glacier contributions. © 2012 Author(s).</t>
  </si>
  <si>
    <t>2-s2.0-84865147066"</t>
  </si>
  <si>
    <t>10.4113/jom.2011.1136</t>
  </si>
  <si>
    <t>https://www.scopus.com/inward/record.uri?eid=2-s2.0-80052012332&amp;doi=10.4113%2fjom.2011.1136&amp;partnerID=40&amp;md5=b6ea04f37553d339b97ac9ec5df00d34</t>
  </si>
  <si>
    <t>An integrated geological and geomorphological study was performed in order to describe the main landform-features of the Bari Metropolitan Area (""Città Metropolitana di Bari"", Apulia, Southern Italy). The study is focused on the coastal sector of the ""Murge Basse"" area. This latter is characterized by a low-relief carbonate landscape gently dipping toward the Adriatic Sea, and represents the eastern and lowermost part of ""Murge"", a karstic region belonging to the South Apennines foreland. Results coming from field survey, aerial-photo interpretation, and digital terrain model analysis were summarized in a 1:50,000 scale map which can contribute to land management and to assessment of flood hazards in a metropolitan area. In fact, although the ""Murge"" area shows some features typical of karst landscapes, it exhibits a well developed drainage-network, formed by a dense dendritic pattern in the headwater zone (""Murge Alte"") which evolves into regularly spaced, incised valleys cutting through a staircase of marine terraces moving towards the coastal area (""Murge Basse""). Some of these valleys are joined to sub-horizontal areas (corresponding to some marine terraces), and represent relict landforms related to ancient sea-level changes that occurred during middle and late Pleistocene times. These flat surfaces located downstream of incised valleys may represent sectors of high flooding hazard in the Bari Metropolitan Area.</t>
  </si>
  <si>
    <t>2-s2.0-80052012332"</t>
  </si>
  <si>
    <t>Geodinamica Acta</t>
  </si>
  <si>
    <t>10.3166/ga.24.133-139</t>
  </si>
  <si>
    <t>https://www.scopus.com/inward/record.uri?eid=2-s2.0-84877670543&amp;doi=10.3166%2fga.24.133-139&amp;partnerID=40&amp;md5=c56d8c02dfeed1b787e27664ffc270a3</t>
  </si>
  <si>
    <t>The Pearl River Delta in SE China is commonly believed as originating from continuous subsidence of the basement fault-(bounded) blocks initiated at the about 60 ka B.P. A section recently exposed at Xilingang in the hinterland of the Pearl River Delta, however, reveals that the fault-block movement is likely periodic or paroxysmal. Quaternary system of the section can be divided into three parts named as layer A, B and C from the bottom upwards. Both layer A and B are alluvial while layer C is aeolian. OSL dating of sediments proves that layer A is older than 43 ka, layer B in between 43-23ka and layer C younger than 23ka. The unconformable contact with a dip angle larger than 30° between layer A and B suggests a paroxysmal tilting and subsidence of basement fault-blocks after the formation of layer A. The upper interface of layer B is about 20 meters high above the sea level while that in the delta plain used to be buried at 20 meters under the S.L., implying a relatively rapid uplifting of the Xilingang hill after formation of layer B. Three layers, i.e. layer A, B and C are all cut off by a NNE trending normal fault with a fault-throw of 53cm, suggesting that the third paroxysmal movement of fault-blocks in the Pearl River Delta were occurred in recent epoch. © 2011 Lavoisier SAS.</t>
  </si>
  <si>
    <t>2-s2.0-84877670543"</t>
  </si>
  <si>
    <t>10.1007/s10584-011-0316-1</t>
  </si>
  <si>
    <t>https://www.scopus.com/inward/record.uri?eid=2-s2.0-84855355097&amp;doi=10.1007%2fs10584-011-0316-1&amp;partnerID=40&amp;md5=333bae988b3ab9cfd3b1c38a0475bef3</t>
  </si>
  <si>
    <t>This paper explores what the San Diego region may look like in the year 2050 as projected changes in regional climate conditions take place. Focusing on interrelated issues of climate change, sea level rise, population growth, land use, and changes in water, energy, public health, wildfires, biodiversity, and habitat, the paper reviews the potential impacts of a changing climate by 2050 and makes recommendations for changes in planning processes at the local and regional levels to prepare for these impacts. The original research for this study was completed in 2008 by a team of 40 experts from the region including universities, nonprofit organizations, local governments, public sector agencies and private sector entities. This paper has now been updated with more recent research regarding climate change adaptation while preserving the integrity of the original research team's work. The simulated impacts discussed in this study are based on regional projections of climate change generated by scientists at Scripps Institution of Oceanography, employing three climate models and two emissions scenarios used by the Intergovernmental Panel on Climate Change. The impacts are discussed in the context of significant regional growth expected during the period as well as an aging population base. Key issues explored in the report include potential inundation of six selected low-lying coastal areas in San Diego due to sea level rise, potential shortfalls in water deliveries, peak energy demand increases due to higher temperatures, growing risk of devastating wildfires, migrations of species in response to higher temperatures in an increasingly fragmented natural habitat, and public health issues associated with extreme temperature events. © 2011 Springer Science+Business Media B.V.</t>
  </si>
  <si>
    <t>2-s2.0-84855355097"</t>
  </si>
  <si>
    <t>International Journal of Life Cycle Assessment</t>
  </si>
  <si>
    <t>10.1007/s11367-011-0324-4</t>
  </si>
  <si>
    <t>https://www.scopus.com/inward/record.uri?eid=2-s2.0-84858337940&amp;doi=10.1007%2fs11367-011-0324-4&amp;partnerID=40&amp;md5=d96f792c76b6d4b7e142fcf3cb715e89</t>
  </si>
  <si>
    <t>Purpose: Intensive striped catfish production in the Mekong Delta has, in recent years, raised environmental concerns. We conducted a stakeholder-based screening life cycle assessment (LCA) of the intensive farming system to determine the critical environmental impact and their causative processes in producing striped catfish. Additional to the LCA, we assessed water use and flooding hazards in the Mekong Delta. Materials and methods: The goal and scope of the LCA were defined in a stakeholder workshop. It was decided there to include all processes up to the exit-gate of the fish farm in the inventory and to focus life cycle impact assessment on global warming, acidification, eutrophication, human toxicity, and marine (MAET) and freshwater aquatic ecotoxicity (FWET). A survey was used to collect primary inventory data from 28 farms on fish grow-out, and from seven feed mills. Hatching and nursing of striped catfish fingerlings were not included in the assessment due to limited data availability and low estimated impact. Average feed composition for all farms had to be applied due to limitation of budget and data availability. Results and discussion: Feed ingredient production, transport and milling dominated most of the impact categories in the LCA except for eutrophication and FWET. Most feed ingredients were produced outside Vietnam, and the impact of transport was important. Because of the screening character of this LCA, generic instead of specific inventory data were used for modelling feed ingredient production. However, the use of generic data is unlikely to have affected the main findings, given the dominance of feed production in all impact categories. Of the feed ingredients, rice bran contributed the most to global warming and acidification, while wheat bran contributed the most to eutrophication. The dominance of both was mainly due to the amounts used. Fishmeal production, transport and energy contributed the most to MAET. The biggest impacts of grow-out farming in Vietnam are on eutrophication and FWET. Water nutrient discharge from grow-out farming was high but negligible compared with the natural nutrient content of the Mekong River. The discharge from all grow-out farms together hardly modified river water quality compared with that before sector expansion. Conclusions: Feed production, i.e. ingredient production and transport and milling, remains the main contributor to most impact categories. It contributes indirectly to eutrophication and FWET through the pond effluents. The environmental impact of Pangasius grow-out farming can be reduced by effectively managing sludge and by using feeds with lower feed conversion ratio and lower content of fishery products in the feed. To consider farm variability, a next LCA of aquaculture should enlist closer collaboration from several feed-milling companies and sample farms using their feeds. Future LCAs should also preferably collect specific instead of generic inventory data for feed ingredient production, and include biodiversity and primary production as impact categories. © The Author(s) 2011.</t>
  </si>
  <si>
    <t>2-s2.0-84858337940"</t>
  </si>
  <si>
    <t>10.2478/v10117-011-0024-y</t>
  </si>
  <si>
    <t>https://www.scopus.com/inward/record.uri?eid=2-s2.0-80054858328&amp;doi=10.2478%2fv10117-011-0024-y&amp;partnerID=40&amp;md5=3548a022088077877fb5eea07d7cb1f0</t>
  </si>
  <si>
    <t>Focusing on the regional scale, this study provides information concerning the existing ecological problems associated with coastal inundation in the northern part of coastal area in Central Java Province, Indonesia. The objectives of this paper are to map the coastal inundation, to investigate the impact of coastal inundation on coastal environment and ecology, and to assess the impact of inundation on agricultural land use. An integration of techniques, namely neighborhood analysis, iteration operation, and superimposed analysis method has been applied to generate the digital map and to analyze the impact of inundation. Fieldwork measurement has been done using cross-profiling in order to observe the impact of inundation on the coastal ecosystem. Based on the scenario of 100 cm and 150 cm of inundation, the affected area is about 15 207.6 Ha and 16 687.31 Ha, respectively. Fishpond, dry farming and paddy field are the most affected agricultural areas due to coastal inundation.</t>
  </si>
  <si>
    <t>2-s2.0-80054858328"</t>
  </si>
  <si>
    <t>10.2112/JCOASTRES-D-09-00045.1</t>
  </si>
  <si>
    <t>https://www.scopus.com/inward/record.uri?eid=2-s2.0-79551565255&amp;doi=10.2112%2fJCOASTRES-D-09-00045.1&amp;partnerID=40&amp;md5=a5300f69adf5fb7d6a1c161654a380fe</t>
  </si>
  <si>
    <t>Over the next century, ongoing coastal change will require a change in the way flood and erosion risks are managed in some areas. Such changes may have significant effects on local stakeholders and may require varying degrees of adaptation. It is therefore important for these stakeholders to be able to enter fully into the consultation process associated with these issues. This paper describes an innovative approach to stimulate public debate and improve stakeholder understanding of the issues that need to be balanced in order to achieve sustainable long-term coastal management solutions. The approach involves the creation of an educational tool (CoastRanger MS) that allows users to manage a virtual coast within a PC-gaming-type environment. CoastRanger MS incorporates a legacy of past developments and defences, and uses a coastal process simulator to predict the impacts of climate change under different management scenarios chosen by the user. In the UK, it is anticipated that the tool will be of particular value in educating stakeholders before and during the development of strategic coastal management plans. © Coastal Education &amp; Research Foundation 2011.</t>
  </si>
  <si>
    <t>2-s2.0-79551565255"</t>
  </si>
  <si>
    <t>10.2112/JCOASTRES-D-10-00084.1</t>
  </si>
  <si>
    <t>https://www.scopus.com/inward/record.uri?eid=2-s2.0-80052223015&amp;doi=10.2112%2fJCOASTRES-D-10-00084.1&amp;partnerID=40&amp;md5=2577e5597beef55f95f788e5a6fba17e</t>
  </si>
  <si>
    <t>We monitored salinity and temperature in pools at different elevations in two marshes on the Bay of Fundy to assess variability in pool environments and how climate change might affect these ecosystems. Water temperatures reached a maximum of 36.1°C, and ice covered pools in the winter. Ice lifting out of ponds in the spring scoured bottoms. Salinity ranged from 4 to 41. Environmental variability was mainly driven by weather. Variability in pool temperature declined with decreasing elevation. Regular tidal flooding at lower elevations moderated both temperatures and salinity. Variability in pool salinity was greatest in the middle marsh region, since proximity to groundwater also moderated salinity at high elevations. Projections of milder winters should reduce formation of ice in pools, resulting in decreased scour, and possibly shallowing of pools. This, accompanied by projected increases in extreme weather, will increase salinity variability, thus increasing stress to organisms in an already stressful environment. © 2011, the Coastal Education &amp; Research Foundation (CERF).</t>
  </si>
  <si>
    <t>2-s2.0-80052223015"</t>
  </si>
  <si>
    <t>10.1089/env.2011.0005</t>
  </si>
  <si>
    <t>https://www.scopus.com/inward/record.uri?eid=2-s2.0-80053079295&amp;doi=10.1089%2fenv.2011.0005&amp;partnerID=40&amp;md5=b3986070e63df36897a55eb870b8a1c5</t>
  </si>
  <si>
    <t>Amid rising global temperatures and a changing physical environment, climate change has led to the development of a new social group called ""Climate Migrants or Climate Refugees."" In 1995 approximately 25 million people worldwide were considered to be environment or climate refugees</t>
  </si>
  <si>
    <t>10.1007/s11069-011-9731-x</t>
  </si>
  <si>
    <t>https://www.scopus.com/inward/record.uri?eid=2-s2.0-79961026337&amp;doi=10.1007%2fs11069-011-9731-x&amp;partnerID=40&amp;md5=e1343477f158fd81518f8599154698c9</t>
  </si>
  <si>
    <t>The main objective of this writing is to present a practical way to envisage the flood vulnerability in deltaic region, particularly on the concern of sea level rise. Kuching city of Malaysia is established on banks of Sarawak River, 30 km from the sea. Therefore, it is subjected to fluvial and tidal floods. Kuching Bay experiences the highest King Tides in Southeast Asia region. These tide magnitudes could be a glimpse of future sea level rise. By means of modelling these tides, it provides an understanding and preparation for the impacts of sea level rise on the flood mitigation infrastructures and the city itself. The modelling efforts had created an illustration that a 10% rise in tide levels would result in increase of flooding areas up to 6% relative to existing tide levels. © 2011 Springer Science+Business Media B.V.</t>
  </si>
  <si>
    <t>2-s2.0-79961026337"</t>
  </si>
  <si>
    <t>10.2112/JCOASTRES-D-10-00187.1</t>
  </si>
  <si>
    <t>https://www.scopus.com/inward/record.uri?eid=2-s2.0-80755161469&amp;doi=10.2112%2fJCOASTRES-D-10-00187.1&amp;partnerID=40&amp;md5=39da9dc6acc502e11fa323dd7dde2b78</t>
  </si>
  <si>
    <t>Exposure to solar radiation and tidal inundation are important factors for a wide variety of chemical and ecological processes in coastal ecosystems. Accurate quantification of these factors is often difficult on a local scale. To address this research gap, a remote-sensing approach was developed to model inundation and radiation characteristics within an intertidal zone located in the Minas Basin (Bay of Fundy, Nova Scotia, Canada). A light detection and ranging (LIDAR)derived elevation model was subjected to tidal modelling based on hourly sea level predictions and solar modelling based on sunrise and sunset times for 2009. Model results indicated an intertidal zone of 145.8 km 2 with an elevation between -6.9 m and 6.8 m. The intertidal zone was determined to contain three unique wetland classes: (1) 4.4 km 2 of high salt marsh, dominated by Spartina patens</t>
  </si>
  <si>
    <t>10.5194/nhess-11-2181-2011</t>
  </si>
  <si>
    <t>https://www.scopus.com/inward/record.uri?eid=2-s2.0-80051693098&amp;doi=10.5194%2fnhess-11-2181-2011&amp;partnerID=40&amp;md5=fdbccbeb118e4abac4f6a7013fa3325b</t>
  </si>
  <si>
    <t>In the framework of the three-year SCHEMA European project (www.schemaproject.org), we present a generic methodology developed to produce tsunami building vulnerability and impact maps. We apply this methodology to the Moroccan coast. This study focuses on the Bouregreg Valley which is at the junction between Rabat (administrative capital), and Salé. Both present large populations and new infrastructure development. Using a combination of numerical modelling, field surveys, Earth Observation and GIS data, the risk has been evaluated for this vulnerable area. Two tsunami scenarios were studied to estimate a realistic range of hazards on this coast: a worst-case scenario based on the historical Lisbon earthquake of 1755 and a moderate scenario based on the Horseshoe earthquake of 28 February 1969. For each scenario, numerical models allowed the production of tsunami hazard maps (maximum inundation extent and maximum inundation depths). Moreover, the modelling results of these two scenarios were compared with the historical data available. A companion paper to this article (Atillah et al., 2011) presents the following steps of the methodology, namely the elaboration of building damage maps by crossing layers of building vulnerability and the so-inferred inundation depths. © Author(s) 2011.</t>
  </si>
  <si>
    <t>2-s2.0-80051693098"</t>
  </si>
  <si>
    <t>10.1127/1860-1804/2011/0162-0443</t>
  </si>
  <si>
    <t>https://www.scopus.com/inward/record.uri?eid=2-s2.0-84455171792&amp;doi=10.1127%2f1860-1804%2f2011%2f0162-0443&amp;partnerID=40&amp;md5=3f5a18a0f99239c268bb35f02320782e</t>
  </si>
  <si>
    <t>Flooding and sedimentation due to heavy rain storms can cause significant damages especially if the transported soil is deposited in residential areas and covers streets, parking areas, gardens etc. Up to now these off-site damages were not evaluated with erosion models due to the small-scaled heterogeneous structures of settlements. In this study a technique is applied for the first time to implement the elements of a settled area in the input data of a 3-dimensional, physically based erosion prediction model. For that purpose a digital elevation model has been modified with the relative height of the settlement structures. Applying this method the damages of an observed inundation event could be modelled in its spatial extends. Additionally the method yields adequate results in order to evaluate protection measures. © 2011 E. Schweizerbart'sche Verlagsbuchhandlung, Stuttgart, Germany.</t>
  </si>
  <si>
    <t>2-s2.0-84455171792"</t>
  </si>
  <si>
    <t>https://www.scopus.com/inward/record.uri?eid=2-s2.0-83655183917&amp;partnerID=40&amp;md5=ff9acd6cb661b6f75c901812cfc5a76a</t>
  </si>
  <si>
    <t>Recent evidence indicates that the New South Wales coast faces increasing risks from erosion and inundation as a consequence of the enhanced greenhouse effect and rising sea levels. At the same time, a rapidly expanding population in coastal New South Wales is fuelling demands for more subdivision and development. Both of these trends are increasing the likelihood and quantum of damage to private property in oceanfront or low-lying locations along the coast. An escalating threat of damage generates an increase in the likelihood of claims against public authorities with responsibility for land-use planning in coastal areas. This article examines the measures New South Wales has adopted to deal with coastal erosion and climate change flood risks. An analysis of recent initiatives, including the legislative changes to the Coastal Protection Act 1979 (NSW) and the Local Government Act 1993 (NSW), as well as a case study of coastal erosion at Belongil Beach, will be undertaken to assess the efficacy of the current system. The article then considers the capacity of current measures to protect public authorities from future litigation arising from land-use planning decisions on the New South Wales coast. Finally, the article offers some suggestions for replacing the current system with an integrated sustainable coastal planning framework.</t>
  </si>
  <si>
    <t>2-s2.0-83655183917"</t>
  </si>
  <si>
    <t>10.1016/j.ocemod.2011.09.005</t>
  </si>
  <si>
    <t>https://www.scopus.com/inward/record.uri?eid=2-s2.0-80054713471&amp;doi=10.1016%2fj.ocemod.2011.09.005&amp;partnerID=40&amp;md5=8ac5d09686b97cd0892d5f96c4985a51</t>
  </si>
  <si>
    <t>We conduct a comprehensive modeling study of the impact of the 1964 Prince William Sound tsunami on the US Pacific Northwest coast. A 3D unstructured grid model, SELFE, is applied in its 2D spherical coordinate configuration. Simulations are conducted with and without dynamic tides to elucidate their influence. We compare numerical results with tide gauge records, maximum wave heights, runups, and inundation extents at several locations in the region. Detailed inundation patterns at Coos Bay and Cannon Beach, Oregon are compared to field estimates. The model results are shown to be in very good agreement with field observations. The results demonstrate that while negligible at the open coast, the tide-tsunami interaction is solely responsible for inundation around some estuaries and rivers. © 2011 Elsevier Ltd.</t>
  </si>
  <si>
    <t>2-s2.0-80054713471"</t>
  </si>
  <si>
    <t>10.2478/v10117-011-0030-0</t>
  </si>
  <si>
    <t>https://www.scopus.com/inward/record.uri?eid=2-s2.0-80054854199&amp;doi=10.2478%2fv10117-011-0030-0&amp;partnerID=40&amp;md5=bdc611ee520ff56ee8870eb1f2957af4</t>
  </si>
  <si>
    <t>Many of the existing intellectual paradigms regarding the functioning of the polar coastal zone are now out-dated, based on descriptive geomorphology and a limited process-based understanding. Currently, among many components of Arctic landscape adjusting to global warming, the coastal zone is probably the most critical one both in terms of rapidity of environmental change as well as importance for human communities living in circumpolar regions. This issue was often raised during the 4th International Polar Year 2007-2008 and encouraged the scientific community to focus on the state of cold region coasts in more detail. In this paper I summarize the most recent developments in Arctic coastal geomorphology with a particular focus on the Svalbard Archipelago and draw attention to the research challenges awaiting further investigation. This paper highlights the need for a greater understanding of the controls on High Arctic coastal geoecosystems, especially given the potential for accelerated warming and sea-level rise in the coming decades and centuries. Many of presented views benefited from discussions with Professor Andrzej Kostrzewski - to whom this volume is dedicated.</t>
  </si>
  <si>
    <t>2-s2.0-80054854199"</t>
  </si>
  <si>
    <t>10.1007/s11434-011-4649-y</t>
  </si>
  <si>
    <t>https://www.scopus.com/inward/record.uri?eid=2-s2.0-80051997976&amp;doi=10.1007%2fs11434-011-4649-y&amp;partnerID=40&amp;md5=46c6d0520810e83eb54bdb71226f807d</t>
  </si>
  <si>
    <t>Large seasonal water-level fluctuations may influence isotopic signatures of primary producers and the types and amounts of these potential food sources accessible to aquatic fauna of Poyang Lake, the largest freshwater lake in China. In this study, the isotopic signatures of primary producers and consumers were determined, stable carbon and nitrogen isotope analysis and mixing models were combined to investigate the influence of water levels on the diet and isotopic composition of Poyang Lake fish and invertebrates. Five potential food sources (seston, benthic organic matter, aquatic macrophytes, attached algae, and terrestrial plants), 4 species of invertebrates, and 10 species of fish were collected from the lake area during dry and wet seasons between January 2009 and April 2010. The δ 13C values of invertebrates and most fish were within the range of δ 13C values of the potential food sources for both seasons. The δ 13C values of invertebrates and most fish were lower in the dry season than in the wet season, whereas the δ 15N values exhibited different patterns for different species. Mixing models indicated that the most important food sources for common lake fauna were seston in the dry season and aquatic macrophytes and terrestrial plants in the wet season. The fauna were more omnivorous in the wet season than in the dry season. The food web dynamics of Poyang Lake are strongly influenced by changes in the abundance and accessibility of different basal food sources that occur because of seasonal flood pulses. The trophic links within the aquatic communities of Poyang Lake are modified by water-level fluctuations. © 2011 Science China Press and Springer-Verlag Berlin Heidelberg.</t>
  </si>
  <si>
    <t>2-s2.0-80051997976"</t>
  </si>
  <si>
    <t>10.1016/j.geomorph.2010.04.027</t>
  </si>
  <si>
    <t>https://www.scopus.com/inward/record.uri?eid=2-s2.0-79551714668&amp;doi=10.1016%2fj.geomorph.2010.04.027&amp;partnerID=40&amp;md5=5f7f1ffa97761bc7f19e504b01f565ce</t>
  </si>
  <si>
    <t>Salt marshes are coastal ecosystems characterized by high biodiversity and rates of primary productivity, providing fundamental ecosystem services. Salt-marsh ecosystems are important indicators of environmental change as the dynamics are governed by interacting physical and biological processes, whose intertwined feedbacks critically affect the evolution. Settling deposition of inorganic sediment allows the platform to reach a threshold elevation for vegetation encroachment</t>
  </si>
  <si>
    <t>10.1177/097542531000200103</t>
  </si>
  <si>
    <t>https://www.scopus.com/inward/record.uri?eid=2-s2.0-84996191111&amp;doi=10.1177%2f097542531000200103&amp;partnerID=40&amp;md5=c5212fadf887aa6ef02b3364238fda29</t>
  </si>
  <si>
    <t>The scientific literature has documented the growing risks of flooding posed for Asia's coastal cities by the combination of climate change, as reflected in sea level rise and intensified storms and storm surges, and ongoing urban growth in low-lying coastal zones. These issues were already elaborated in the 2007 IPCC (IPCC, 2007) reports but recent studies indicate that climate change, sea level rise and the sinking of the deltas on which most Asian mega urban regions have arisen, are all occurring at much faster rates than earlier projected and therefore pose even greater risks than previously indicated. Global warming appears to be accelerating and may increase to 4° C or more by the end of this century, twice the earlier IPCC projections. The sea level is now expected to rise by one meter or more by 2100</t>
  </si>
  <si>
    <t>10.1029/2010WR009914</t>
  </si>
  <si>
    <t>https://www.scopus.com/inward/record.uri?eid=2-s2.0-79957526748&amp;doi=10.1029%2f2010WR009914&amp;partnerID=40&amp;md5=a3c81fb63b5633709ecb03365eab3320</t>
  </si>
  <si>
    <t>Cholera remains a major public health threat in many developing countries around the world. The striking seasonality and annual recurrence of this infectious disease in endemic areas remain of considerable interest to scientists and public health workers. Despite major advances in the ecological and microbiological understanding of Vibrio cholerae, the causative agent of the disease, the role of underlying large-scale hydroclimatic processes in propagating the disease for different seasons and spatial locations is not well understood. Here we show that the cholera outbreaks in the Bengal Delta region are propagated from the coastal to the inland areas and from spring to fall by two distinctly different transmission cycles, premonsoon and postmonsoon, influenced by coastal and terrestrial hydroclimatic processes, respectively. A coupled analysis of the regional hydroclimate and cholera incidence reveals a strong association of the space-time variability of incidence peaks with seasonal processes and extreme climatic events. We explain how the asymmetric seasonal hydroclimatology affects regional cholera dynamics by providing a coastal growth environment for bacteria in spring, while propagating the disease to fall by monsoon flooding. Our findings may serve as the basis for ""climate-informed"" early warnings and for prompting effective means for intervention and preempting epidemic cholera outbreaks in vulnerable regions. Copyright 2011 by the American Geophysical Union.</t>
  </si>
  <si>
    <t>2-s2.0-79957526748"</t>
  </si>
  <si>
    <t>Applied Mathematics and Computation</t>
  </si>
  <si>
    <t>10.1016/j.amc.2011.03.105</t>
  </si>
  <si>
    <t>https://www.scopus.com/inward/record.uri?eid=2-s2.0-79956115452&amp;doi=10.1016%2fj.amc.2011.03.105&amp;partnerID=40&amp;md5=415ad11a761f99c16b07463b56144062</t>
  </si>
  <si>
    <t>Numerical integrations using the three dimensional ocean model based on the princeton ocean model (POM) were applied for the study of both sea level elevation and ocean circulation patterns forced by the wind fields during typhoons that moved over the Gulf of Thailand (GoT). The simulation concerned a case of Typhoon Linda which occurred during November 1-4, 1997. Typhoon Linda was one of the worst storms that passed the Gulf of Thailand and hit the southern coastal provinces of Thailand on November 3, 1997. It caused flooding and a strong wind covering large areas of agriculture and fisheries, which destroyed households, utilities and even human lives. The model is the time-dependent, primitive equation, Cartesian coordinates in a horizontal and sigma coordinate in the vertical. The model grid has 37 × 97 orthogonal curvilinear grid points in the horizontal, with variable spacing from 2 km near the head of the GoT to 55 km at the eastern boundary, with 10 sigma levels in the vertical conforming to a realistic bottom topography. Open boundary conditions are determined by using radiation conditions, and the sea surface elevation is prescribed from the archiving, validation and interpretation of satellite oceanographic data (AVISO). The initial condition is determined from the spin up phase of the first model run, which was executed by using wind stress calculated from climatological monthly mean wind, restoring-type surface heat and salt and climatological monthly mean freshwater flux. The model was run in spin up phase until an ocean model reached an equilibrium state under the applied force. A spatially variable wind field taken from the European Centre for Medium-Range Weather Forecasts (ECMWF) is used to compute the wind stress directly from the velocity fluctuations. Comparison of tendency between the sea surface elevations from model and the observed significant wave heights of moored buoys in the Gulf of Thailand under Seawatch project is investigated. The model predicts the sea level elevation up to 68.5 cm at the Cha-Am area located in the north of where the typhoon strands to the shore. Results of sea level elevation show that there is an area of peak set-up in the upper gulf, particularly in the western coast, and the effects of the storm surge are small at the lower gulf. During the entire period of this study, the surge in the gulf was induced by the northeasterly wind blowing over it. © 2011 Elsevier Inc. All rights reserved.</t>
  </si>
  <si>
    <t>2-s2.0-79956115452"</t>
  </si>
  <si>
    <t>10.1016/j.envsoft.2010.05.007</t>
  </si>
  <si>
    <t>https://www.scopus.com/inward/record.uri?eid=2-s2.0-78049294593&amp;doi=10.1016%2fj.envsoft.2010.05.007&amp;partnerID=40&amp;md5=641d35e6074b1e678b118313d6b9c91a</t>
  </si>
  <si>
    <t>The open source RFortran library is introduced as a convenient tool for accessing the functionality and packages of the R programming language from Fortran programs. It significantly enhances Fortran programming by providing a set of easy-to-use functions that enable access to R′s very rapidly growing statistical, numerical and visualization capabilities, and support a richer and more interactive model development, debugging and analysis setup. RFortran differs from current approaches that require calling Fortran Dynamic link libraries (DLL) from R, and instead enables the Fortran program to transfer data to/from R and invoke R-based procedures via the R command interpreter. More generally, RFortran obviates the need to re-organize Fortran code into DLLs callable from R, or to re-write existing R packages in Fortran, or to jointly compile their Fortran code with the R language itself. Code snippets illustrate the basic transfer of data and commmands to and from R using RFortran, while two case studies discuss its advantages and limitations in realistic environmental modelling applications. These case studies include the generation of automated and interactive inference diagnostics in hydrological model calibration, and the integration of R statistical packages into a Fortran-based numerical quadrature code for joint probability analysis of coastal flooding using numerical hydraulic models. Currently, RFortran uses the Component Object Model (COM) interface for data/command transfer and is supported on the Microsoft Windows operating system and the Intel and Compaq Visual Fortran compilers. Extending its support to other operating systems and compilers is planned for the future. We hope that RFortran expedites method and software development for scientists and engineers with primary programming expertise in Fortran, but who wish to take advantage of R′s extensive statistical, mathematical and visualization packages by calling them from their Fortran code. Further information can be found at www.rfortran.org. © 2010.</t>
  </si>
  <si>
    <t>2-s2.0-78049294593"</t>
  </si>
  <si>
    <t>10.5194/nhess-11-53-2011</t>
  </si>
  <si>
    <t>https://www.scopus.com/inward/record.uri?eid=2-s2.0-78651305926&amp;doi=10.5194%2fnhess-11-53-2011&amp;partnerID=40&amp;md5=37f33843307a70196f332799a029ab1e</t>
  </si>
  <si>
    <t>With growing world population and concentration in urban and coastal areas, the exposure to natural hazards is increasing and results in higher risk of human and economic losses. Improving the identification of areas, population and assets potentially exposed to natural hazards is essential to reduce the consequences of such events. Disaster risk is a function of hazard, exposure and vulnerability. Modelling risk at the global level requires accessing and processing a large number of data, from numerous collaborating centres. These data need to be easily updated, and there is a need for centralizing access to this information as well as simplifying its use for non GIS specialists. The Hyogo Framework for Action provides the mandate for data sharing, so that governments and international development agencies can take appropriate decision for disaster risk reduction. Timely access and easy integration of geospatial data are essential to support efforts in Disaster Risk Reduction. However various issues in data availability, accessibility and integration limit the use of such data. In consequence, a framework that facilitate sharing and exchange of geospatial data on natural hazards should improve decision-making process. The PREVIEW Global Risk Data Platform is a highly interactive web-based GIS portal supported by a Spatial Data Infrastructure that offers free and interoperable access to more than 60 global data sets on nine types of natural hazards (tropical cyclones and related storm surges, drought, earthquakes, biomass fires, floods, landslides, tsunamis and volcanic eruptions) and related exposure and risk. This application portrays an easy-to-use online interactive mapping interface so that users can easily work with it and seamlessly integrate data in their own data flow using fully compliant OGC Web Services (OWS). © 2011 Author(s).</t>
  </si>
  <si>
    <t>2-s2.0-78651305926"</t>
  </si>
  <si>
    <t>10.1016/j.atmosenv.2010.11.039</t>
  </si>
  <si>
    <t>https://www.scopus.com/inward/record.uri?eid=2-s2.0-79551473733&amp;doi=10.1016%2fj.atmosenv.2010.11.039&amp;partnerID=40&amp;md5=593fee548e73554d14c8616c46356287</t>
  </si>
  <si>
    <t>The effects of ammonium-based, non-sulfate fertilizers, such as urea and/or ammonium phosphate (NH4H2PO4), on methane (CH4) emissions from paddy rice fields deserve attention, as they are being used increasingly for rice cultivation. A four-year field campaign was conducted in the Yangtze River Delta from 2004 to 2007 to assess the effects of different application rates of urea plus NH4H2PO4 on the CH4 emissions from a paddy rice field. The experimental field was under a typical Chinese water regime that follows a flooding-midseason drainage-reflooding-moist irrigation mode. Over the course of four years, the mean cumulative CH4 emissions during the rice seasons were 221, 136 and 112kgCha-1 for nitrogen addition rates of 0, 150 and 250kgNha-1, respectively. Compared to the treatment without nitrogen amendments, the 150kgNha-1 decreased the CH4 emissions by 6-59% (P&lt;0.01 in one year, but not statistically significant in the others). When the addition rate was further increased to 250kgNha-1, the CH4 emissions were significantly reduced by 35-53% (P&lt;0.01) compared to the no-nitrogen treatment. Thus, an addition rate of 250kgNha-1, which has been commonly adopted in the delta region in the past two decades, can be regarded as an effective management measure as regards increasing rice yields while reducing CH4 emissions. Considering that doses of ammonium-based, non-sulfate fertilizers higher than 250kgNha-1 currently are, and most likely will continue to be, commonly applied for paddy rice cultivation in the Yangtze River Delta and other parts of China, the inhibitory effects on CH4 emissions from rice production are expected to be pronounced at the regional scale. However, further studies are required to provide more concrete evidence about this issue. Moreover, further research is needed to determine whether N management measures are also effective in view of net greenhouse gas fluxes (including CH4, nitrous oxide, ammonia emissions, nitrate leaching and N loss from denitrification). © 2010 Elsevier Ltd.</t>
  </si>
  <si>
    <t>2-s2.0-79551473733"</t>
  </si>
  <si>
    <t>Studies in Computational Intelligence</t>
  </si>
  <si>
    <t>10.1007/978-3-642-19733-8_2</t>
  </si>
  <si>
    <t>https://www.scopus.com/inward/record.uri?eid=2-s2.0-79954456956&amp;doi=10.1007%2f978-3-642-19733-8_2&amp;partnerID=40&amp;md5=c51732830e774f1ba46b2cc85fa99dbf</t>
  </si>
  <si>
    <t>Climate change has received much attention during the last decennium and especially various mitigation and adaptation strategies. Particularly the coastal zone will feel the consequences of climate change and the associated effects like sea level rise, increased storminess and flooding. Thus there is an urgent need for local and regional spatial planners to include climate change in their planning efforts. Using modelling and simulation, we can increase our understanding of the future land-use system under influence of a changing climate and accordingly reduce uncertainty concerning decisions. The current paper describes how land-use simulations combined with climate change scenarios represented by the SRES narratives can facilitate the definition of adaptation strategies to counteract the consequences of potential climate changes. © 2011 Springer-Verlag Berlin Heidelberg.</t>
  </si>
  <si>
    <t>2-s2.0-79954456956"</t>
  </si>
  <si>
    <t>10.1007/s13157-011-0158-7</t>
  </si>
  <si>
    <t>https://www.scopus.com/inward/record.uri?eid=2-s2.0-79960017513&amp;doi=10.1007%2fs13157-011-0158-7&amp;partnerID=40&amp;md5=54a37f178e5024ae70141f7a6af76f58</t>
  </si>
  <si>
    <t>We propose a regional classification for wetlands of the Mid-Atlantic region, USA. It combines functional characteristics recognized by the hydrogeomorphic (HGM) approach with the established classification of the National Wetland Inventory (NWI). The HGM approach supplements the NWI classification by recognizing the importance of geomorphic setting, water sources, and flow dynamics that are key to functioning wetlands. Both NWI and HGM share at their highest levels the Marine, Estuarine, and Lacustrine classes. This classification departs from the NWI system by subdividing the Palustrine system into HGM classes of Slope, Depression, and Flat. Further, the Riverine class expands to include associated Palustrine wetlands, thus recognizing the interdependency between channel and floodplain. Deepwater habitats of NWI are not included because they differ functionally. Mid-Atlantic regional subclasses recognize two subclasses each for Flat, Slope, and Marine Tidal Fringe</t>
  </si>
  <si>
    <t>Surveying and Land Information Science</t>
  </si>
  <si>
    <t>https://www.scopus.com/inward/record.uri?eid=2-s2.0-84856813528&amp;partnerID=40&amp;md5=6ac87e159e6bca2c8a9002c89431c1d5</t>
  </si>
  <si>
    <t>Coastal boundaries are in continual contention due to increasing population and increasing land values while the zone is exposed to increased risks from storm surge, sea level rise, and pollution. Property stakeholders since the beginning of the twentieth century have sought judicial clarifications of boundary ownership between exposed and submerged coastal ground. Judicial clarification involves definitions that use mean high or mean low tide determined by some form of technical methodology. The early twentieth century court ruling of Borax v. Los Angeles (296 U.S. 10, 1935) was not the first case to do so, though it is widely considered as the inflection point where the court shifted from defining coastal boundaries in generic terms to setting concrete, scientifically based locations of the tidal boundary. While many lawyers and land surveyors agree that the Borax ruling is flawed, it has become a foundation in such consideration of costal boundaries by the courts in many states. One compelling unanswered question stemming from the Borax case is whether Borax fills the knowledge gap between legally defining the seaward property boundary and a reasonable surveyor being able to locate it on-the-ground. © 2012 Publishing Technology.</t>
  </si>
  <si>
    <t>2-s2.0-84856813528"</t>
  </si>
  <si>
    <t>10.1007/s10113-010-0162-0</t>
  </si>
  <si>
    <t>https://www.scopus.com/inward/record.uri?eid=2-s2.0-79958023255&amp;doi=10.1007%2fs10113-010-0162-0&amp;partnerID=40&amp;md5=8caae299fc9d4045ab8cc72151c365e5</t>
  </si>
  <si>
    <t>Progress towards climate change aware regional sustainable development is affected by actions at multiple spatial scales and governance levels and equally impacts actions at these scales. Many authors and policy practitioners consider therefore that decisions over policy, mitigation strategies and capacity for adaptation to climate change require construction and coordination over multiple levels of governance to arrive at acceptable local, regional and global management strategies. However, how such processes of coordination and decision-aiding can occur and be maintained and improved over time is a major challenge in need of investigation. We take on this challenge by proposing research-supported methods of aiding multi-level decision-making processes in this context. Four example regionally focussed multi-level case studies from diverse socio-political contexts are outlined-estuarine management in Australia's Lower Hawkesbury, flood and drought management in Bulgaria's Upper Iskar Basin, climate policy integration in Spain's Comunidad Valenciana and food security in Bangladesh's Faridpur District-from which insights are drawn. Our discussion focuses on exploring these insights including: (1) the possible advantages of informal research-supported processes and specifically those that provide individual arenas of participation for different levels of stakeholders</t>
  </si>
  <si>
    <t>10.1175/2010MWR3372.1</t>
  </si>
  <si>
    <t>https://www.scopus.com/inward/record.uri?eid=2-s2.0-79955049260&amp;doi=10.1175%2f2010MWR3372.1&amp;partnerID=40&amp;md5=9822907ff26afb368bb9afdf8c6961cf</t>
  </si>
  <si>
    <t>The study analyzes atmospheric circulation around an idealized coastal cape during summertime upwellingfavorable wind conditions simulated by a mesoscale coupled ocean-atmosphere model. The domain resembles an eastern ocean boundary with a single cape protruding into the ocean in the center of a coastline. The model predicts the formation of an orographic wind intensification area on the lee side of the cape, extending a few hundred kilometers downstream and seaward. Imposed initial conditions do not contain a low-level temperature inversion, which nevertheless forms on the lee side of the cape during the simulation, and which is accompanied by high Froude numbers diagnosed in that area, suggesting the presence of the supercritical flow. Formation of such an inversion is likely caused by average easterly winds resulting on the lee side that bring warm air masses originating over land, as well as by air warming during adiabatic descent on the lee side of the topographic obstacle. Mountain leeside dynamics modulated by differential diurnal heating is thus suggested to dominate the wind regime in the studied case. The location of this wind feature and its strong diurnal variations correlate well with the development and evolution of the localized lee side trough over the coastal ocean. The vertical extent of the leeside trough is limited by the subsidence inversion aloft. Diurnal modulations of the ocean sea surface temperatures (SSTs) and surface depth-averaged ocean current on the lee side of the cape are found to strongly correlate with wind stress variations over the same area. Wind-driven coastal upwelling develops during the simulation and extends offshore about 50 km upwind of the cape. It widens twice as much on the lee side of the cape, where the coldest nearshore SSTs are found. The average wind stress-SST coupling in the 100-km coastal zone is strong for the region upwind of the cape, but is notably weaker for the downwind region, estimated from the 10-day-average fields. The study findings demonstrate that orographic and diurnal modulations of the near-surface atmospheric flow on the lee side of the cape notably affect the air-sea coupling on various temporal scales: weaker wind stress-SST coupling results for the long-term averages, while strong correlations are found on the diurnal scale. © 2011 American Meteorological Society.</t>
  </si>
  <si>
    <t>2-s2.0-79955049260"</t>
  </si>
  <si>
    <t>10.1029/2011EO500003</t>
  </si>
  <si>
    <t>https://www.scopus.com/inward/record.uri?eid=2-s2.0-84950316467&amp;doi=10.1029%2f2011EO500003&amp;partnerID=40&amp;md5=9c41b9b031516ae2ee242842bd861153</t>
  </si>
  <si>
    <t>New data, field studies, modeling efforts, and surveys are revealing a wealth of information about the devastating tsunami that followed the 11 March 2011 Tohoku earthquake. The earthquake and resulting tsunami caused massive destruction and the loss of about 20,000 lives. At the AGU Fall Meeting last week in San Francisco, Calif., scientists reported a variety of new insights about the tsunami and its effects and about tsunami defense mechanisms, ways to forecast tsunami inundation, and public perception of risk. For example, part of the reason the tsunami generated by the Tohoku quake was so large and destructive was that it was a ""merging tsunami."" Merging tsunamis, which have been hypothesized but not previously observed with certainty, grow in size dramatically when seafloor topography alters the direction in which the waves are traveling and causes two waves to merge into a larger wave. The alteration of wave paths by complex ocean-floor topography makes it difficult to predict where the largest waves will strike land. ""Tsunamis often destroy some coastal areas while leaving others with little damage</t>
  </si>
  <si>
    <t xml:space="preserve"> explained Tony Song of the NASA Jet Propulsion Laboratory, California Institute of Technology, at a 5 December press conference. © Copyright 2011 by the American Geophysical Union.§Article§Scopus§2-s2.0-84950316467</t>
  </si>
  <si>
    <t>10.1080/08920753.2011.566470</t>
  </si>
  <si>
    <t>https://www.scopus.com/inward/record.uri?eid=2-s2.0-79956068711&amp;doi=10.1080%2f08920753.2011.566470&amp;partnerID=40&amp;md5=c238db47ffb6a354e1f7d70ceeb0fcf7</t>
  </si>
  <si>
    <t>Sea-level rise driven by the effects of greenhouse gas emissions is already driving significant and costly impacts to public and private coastal property owners, with future impacts likely to be immense. We examine legal frameworks in which remedies for these impacts and costs may be addressed. Our analysis focuses on remedies available through application of the common law concepts of nuisance and trespass. We argue that the common law provides mechanisms for restraining future impacts while assigning responsibility for real costs for receptors of these impacts to the generators of the causative pollutants. © Taylor &amp; Francis Group, LLC.</t>
  </si>
  <si>
    <t>2-s2.0-79956068711"</t>
  </si>
  <si>
    <t>Journal of Risk and Insurance</t>
  </si>
  <si>
    <t>10.1111/j.1539-6975.2010.01380.x</t>
  </si>
  <si>
    <t>https://www.scopus.com/inward/record.uri?eid=2-s2.0-79955978924&amp;doi=10.1111%2fj.1539-6975.2010.01380.x&amp;partnerID=40&amp;md5=3574965335aafab982206ee11335a60f</t>
  </si>
  <si>
    <t>We explore determinants of flood insurance demand in the coastal zone using micro-data for nine Southeastern counties. Overall estimates indicate price inelastic demand, though subsidized policyholders have greater coverage and are more price sensitive. Mortgage borrowers exhibit no greater coverage</t>
  </si>
  <si>
    <t>https://www.scopus.com/inward/record.uri?eid=2-s2.0-80055100842&amp;partnerID=40&amp;md5=3f87c2bd4c67130499514fb810308ea7</t>
  </si>
  <si>
    <t>California Borough in Pennsylvania lies along the flood-prone Monongahela River. Flooding may cause financial losses to the borough, as well as to California University of Pennsylvania, a state-owned university located directly on the shores of the river. HAZUS is a disaster management tool developed by the Federal Emergency Management Agency (FEMA) that assesses risk and financial and property losses through its flood model. The HAZUS analytical solver requires elevation data. The standard (Digital Elevation Model) DEM input for HAZUS is the USGS National Elevation Dataset (NED), which has a lower resolution than elevation data sources derived from newer technologies. HAZUS was used to evaluate the Monongahela River's 100-year floodplain through California using the NED DEM and compared against the results from a high resolution LIDAR DEM. Analysis of output data shows that NED estimates of the California floodplain poorly depicts small scale features and tends to be lower in floodplain extent and losses compared to the LIDAR DEM.</t>
  </si>
  <si>
    <t>2-s2.0-80055100842"</t>
  </si>
  <si>
    <t>10.1175/2010JAMC2606.1</t>
  </si>
  <si>
    <t>https://www.scopus.com/inward/record.uri?eid=2-s2.0-79960233969&amp;doi=10.1175%2f2010JAMC2606.1&amp;partnerID=40&amp;md5=4ad49b680ced7403eccde7a82835db4b</t>
  </si>
  <si>
    <t>The community of Tuktoyaktuk (Northwest Territories, Canada) along the Beaufort Sea experiences dramatic shoreline erosion during storm surge events that tend to occur during persistent northwesterly wind events in the late summer months (July-September) when the sea ice coverage of the Beaufort Sea reaches its annual minimum. This study compiles the climatology of hourly surface wind, low-level geostrophic wind, and static stability to investigate the physical mechanisms responsible for the high frequency of northwesterly winds observed at Tuktoyaktuk during the late summer. The results link the prevalence of westerly to northwesterly winds at the surface to the high frequency of northwesterly geostrophic winds and a tendency for low static stability. With an environment that favors strong northwesterly geostrophic wind and suggests lower static stability, the high frequency of strong northwesterlies observed at the surface appears to be associated with momentum mixing by turbulent eddies. A composite analysis indicates that persistently strong northwesterly winds are associated with anomalously low pressure northeast of Tuktoyaktuk and high pressure over the Bering Sea and eastern Siberia. The high pressure anomalies over the Bering Sea also extend well to the east along the northern edge of the Brooks Range. An apparent topographic modification of the sea level pressure (SLP) field by cold air trapped to the north of mountains produces the pressure gradient favorable for strong westerly to northwesterly geostrophic winds at Tuktoyaktuk. The results suggest that cold-air damming contributes to the wind regime at Tuktoyaktuk by altering the pressure gradient along the Beaufort coast. © 2011 American Meteorological Society.</t>
  </si>
  <si>
    <t>2-s2.0-79960233969"</t>
  </si>
  <si>
    <t>10.5194/nhess-11-1641-2011</t>
  </si>
  <si>
    <t>https://www.scopus.com/inward/record.uri?eid=2-s2.0-79959299908&amp;doi=10.5194%2fnhess-11-1641-2011&amp;partnerID=40&amp;md5=c309e12073a57f962d79cadee38138f0</t>
  </si>
  <si>
    <t>Although storminess is often cited as a driver of long-term coastal erosion, a lack of suitable datasets has only allowed objective assessment of this claim in a handful of case studies. This reduces our ability to understand and predict how the coastline may respond to an increase in "" storminess"" as suggested by global and regional climate models. With focus on 16 km of the Sefton coastline bordering the eastern Irish Sea (UK), this paper analyses available measured datasets of water level, surge level, wave height, wind speed and barometric pressure with the objective of finding trends in metocean climate that are consistent with predictions. The paper then examines rates of change in shoreline position over the period 1894 to 2005 with the aim of establishing relationships with climatic variability using a range of measured and modelled metocean parameters (with time spans varying from two to eight decades). With the exception of the mean monthly wind speed, available metocean data do not indicate any statistically significant changes outside seasonal and decadal cycles. No clear relationship was found between changes in metocean conditions and rates of shoreline change along the Sefton coast. High interannual variability and the lack of long-term measurements make unambiguous correlations between climate change and shoreline evolution problematic. However, comparison between the North Atlantic Oscillation winter index (NAOw) and coastline changes suggest increased erosion at times of decreasing NAOw values and reduced erosion at times of increasing NAOw values. Erosion tends to be more pronounced when decreasing NAOw values lead to a strong negative NAO phase. At present, anthropogenic changes in the local sediment budget and the short-term impact of extreme events are still the largest threat likely to affect coastal flooding and erosion risk in the short- and medium-term. Nevertheless, the potential impacts of climate change in the long-term should not be ignored. © Author(s) 2011.</t>
  </si>
  <si>
    <t>2-s2.0-79959299908"</t>
  </si>
  <si>
    <t>10.1175/2010JPO4453.1</t>
  </si>
  <si>
    <t>https://www.scopus.com/inward/record.uri?eid=2-s2.0-79954996515&amp;doi=10.1175%2f2010JPO4453.1&amp;partnerID=40&amp;md5=bbc634ccc1608efdb57e93fb206062de</t>
  </si>
  <si>
    <t>The generation of residual circulation in a tidally energetic estuary with constant longitudinal salinity gradient and parabolic cross section is examined by means of a two-dimensional cross-sectional numerical model, neglecting river runoff and Stokes drift. It is shown how the longitudinal and lateral residual circulation can be decomposed into contributions from various processes such as tidal straining circulation, gravitational circulation, advectively driven circulation, and horizontal mixing circulation. The sensitivity of the residual circulation and its components from various processes to changes in forcing is investigated by varying the Simpson number (nondimensional longitudinal buoyancy gradient) and the unsteadiness parameter (nondimensional tidal frequency), as well as the bed roughness and the width of the estuary. For relatively weak salinity gradient forcing, the tidal straining circulation dominates the residual exchange circulation in support of classical estuarine circulation (up-estuary flow near the bed and down-estuary flow near the surface). The strength of the longitudinal estuarine circulation clearly increases with increased salinity gradient forcing. However, when the Simpson number exceeds 0.15, the relative contributions of both gravitational circulation and advectively driven circulation to estuarine circulation increase substantially. Lateral residual circulation is relatively weak for small Simpson numbers and becomes flood oriented (divergent flow near the bed and convergent flow near the surface) for larger Simpson numbers because of increasing contributions from gravitational and advectively driven circulation. Increasing the unsteadiness number leads to decreased longitudinal and lateral residual circulation. Although changes in bed roughness result in relatively small changes in residual circulation, results are sensitive to the width of the estuary, mainly because of changes in residual exchange circulation driven by tidal straining. © 2011 American Meteorological Society.</t>
  </si>
  <si>
    <t>2-s2.0-79954996515"</t>
  </si>
  <si>
    <t>10.1002/esp.2035</t>
  </si>
  <si>
    <t>https://www.scopus.com/inward/record.uri?eid=2-s2.0-79951826928&amp;doi=10.1002%2fesp.2035&amp;partnerID=40&amp;md5=60566f98ccac93626c01c36163c0a7c0</t>
  </si>
  <si>
    <t>Transgressive dune fields often comprise a multiplicity of landforms where vegetation processes largely affect landform dynamics, which in turn, also affect vegetation processes. These associations have seldom been studied in detail. This paper examines four separate landform types in a complex coastal transgressive dunefield located in the central Gulf of Mexico, in order to assess the relationships between dunefield habitat, local environmental factors, vegetation associations and landform evolution. Topographic surveys using tape and clinometer were conducted in conjunction with vegetation survey transects at four locations across the Doña Juana dunefield. Vegetation surveys allowed the estimation of relative plant cover of each plant species found along the transects. A large variety of landforms were found at the Doña Juana Dunefield: deflation plains, gegenwalle (counter) ridges, transverse dune trailing ridges, blowouts and parabolic dunes, aklé (fish-scale shaped) dunefields and precipitation ridges, with plant species associations developing on these different landforms equally variable. Flood tolerant species were located in the lower parts (deflation plain and gegenwalle ridges) whereas the older and dryer parts were covered by coastal matorral shrubs. Burial-tolerant species were dominant in the most mobile areas (blowouts and aklé dunefield and margin). The dune trailing ridge, with relatively milder conditions, showed the highest richness, with no dominant species. A dual interaction was found such that colonizing species both create and affect topography, and in turn, topography determines vegetation association and succession patterns. In coastal dunes, the vegetation and abiotic environment (namely the different landforms and the inherent micronevironmental variability) interact tightly and generate a complex and highly dynamic biogeomorphic system where substrate mobility and colonization processes reinforce one another in positive feedback. Copyright © 2010 John Wiley &amp; Sons, Ltd.</t>
  </si>
  <si>
    <t>2-s2.0-79951826928"</t>
  </si>
  <si>
    <t>10.1175/2010JAMC2459.1</t>
  </si>
  <si>
    <t>https://www.scopus.com/inward/record.uri?eid=2-s2.0-79953237702&amp;doi=10.1175%2f2010JAMC2459.1&amp;partnerID=40&amp;md5=05a3e43ff5aa691c8bba0e95038626f9</t>
  </si>
  <si>
    <t>The winter and early spring weather in the New York City metropolitan region is highly influenced by extratropical storm systems, and the storm surge associated with these systems is one of the main factors contributing to inundation of coastal areas. This study demonstrates the predictive capability of an established statistical relationship between the ""storm maximum"" storm surge associated with an extratropical storm system and the ""average maximum"" significant wave height during that storm. Data from publicly available retrospective forecasts of sea level pressure and wave heights, along with a regression equation for storm surge, were used to predict the storm-maximum storm surge for 41 storms in the New York metropolitan region during the period from February 2005 to December 2008. The statistical storm-surge estimates were compared with the surge values predicted by NOAA's extratropical storm-surge model and NOAA's operational surge forecast, which includes an error correction, and with water gauge observations taken at the Battery, located at the southern tip of Manhattan Island, New York. The mean difference between the statistical surge prediction and the observed values is shown to be smaller than the difference between NOAA's deterministic surge prediction and the observed surge at the 95% significance level and to be statistically indistinguishable from the difference between NOAA's operational surge forecast and the observed values of surge. These statistical estimates can be used as part of a system for predicting coastal flooding. © 2011 American Meteorological Society.</t>
  </si>
  <si>
    <t>2-s2.0-79953237702"</t>
  </si>
  <si>
    <t>10.1007/s10584-011-0082-0</t>
  </si>
  <si>
    <t>https://www.scopus.com/inward/record.uri?eid=2-s2.0-79958808870&amp;doi=10.1007%2fs10584-011-0082-0&amp;partnerID=40&amp;md5=6f283931698d18e448829888ee94f488</t>
  </si>
  <si>
    <t>Coastal ecosystems lie at the forefront of sea level rise. We posit that before the onset of actual inundation, sea level rise will influence the species composition of coastal hardwood hammocks and buttonwood (Conocarpus erectus L.) forests of the Everglades National Park based on tolerance to drought and salinity. Precipitation is the major water source in coastal hammocks and is stored in the soil vadose zone, but vadose water will diminish with the rising water table as a consequence of sea level rise, thereby subjecting plants to salt water stress. A model is used to demonstrate that the constraining effect of salinity on transpiration limits the distribution of freshwater-dependent communities. Field data collected in hardwood hammocks and coastal buttonwood forests over 11 years show that halophytes have replaced glycophytes. We establish that sea level rise threatens 21 rare coastal species in Everglades National Park and estimate the relative risk to each species using basic life history and population traits. We review salinity conditions in the estuarine region over 1999-2009 and associate wide variability in the extent of the annual seawater intrusion to variation in freshwater inflows and precipitation. We also examine species composition in coastal and inland hammocks in connection with distance from the coast, depth to water table, and groundwater salinity. Though this study focuses on coastal forests and rare species of South Florida, it has implications for coastal forests threatened by saltwater intrusion across the globe. © 2011 Springer Science+Business Media B.V.</t>
  </si>
  <si>
    <t>2-s2.0-79958808870"</t>
  </si>
  <si>
    <t>10.1007/s11069-010-9684-5</t>
  </si>
  <si>
    <t>https://www.scopus.com/inward/record.uri?eid=2-s2.0-79958823970&amp;doi=10.1007%2fs11069-010-9684-5&amp;partnerID=40&amp;md5=3c50a611e46d5f0b3919d7ee1d299359</t>
  </si>
  <si>
    <t>A high-resolution storm surge model of Apalachee Bay in the northeastern Gulf of Mexico is developed using an unstructured grid finite-volume coastal ocean model (FVCOM). The model is applied to the case of Hurricane Dennis (July 2005). This storm caused underpredicted severe flooding of the Apalachee Bay coastal area and upriver inland communities. Accurate resolution of complicated geometry of the coastal region and waterways in the model reveals processes responsible for the unanticipated high storm tide in the area. Model results are validated with available observations of the storm tide. Model experiments suggest that during Dennis, excessive flooding in the coastal zone and the town of St. Marks, located up the St. Marks River, was caused by additive effects of coincident high tides (~10-15% of the total sea-level rise) and a propagating shelf wave (~30%) that added to the locally wind-generated surge. Wave setup, the biggest uncertainty, is estimated on the basis of empirical and analytical relations. The Dennis case is then used to test the sensitivity of the model solution to vertical discretization. A suite of model experiments is performed with varying numbers of vertical sigma (σ) levels, with different distribution of σ-levels within the water column and a varying bottom drag coefficient. The major finding is that the storm surge solution is more sensitive to resolution within the velocity shear zone at mid-depths compared to resolution of the upper and bottom layer or values of the bottom drag coefficient. © 2010 Springer Science+Business Media B.V.</t>
  </si>
  <si>
    <t>2-s2.0-79958823970"</t>
  </si>
  <si>
    <t>10.1007/s13157-011-0179-2</t>
  </si>
  <si>
    <t>https://www.scopus.com/inward/record.uri?eid=2-s2.0-79959991084&amp;doi=10.1007%2fs13157-011-0179-2&amp;partnerID=40&amp;md5=0c2bb403485758e6e683b3d79024a299</t>
  </si>
  <si>
    <t>Salt meadows are thought to be vulnerable to habitat loss under future sea-level rise (SLR) due to inundation and compression of coastal environments (coastal squeezing). The extent of this threat is poorly understood due to the lack of geographically comprehensive impact assessments. Here, we linked vegetation data for Danish salt meadows to novel very fine-resolution digital elevation models. We developed statistical models relating plant species richness and average salt tolerance to elevation at different spatial scales. The best models were used to quantify potential impacts of SLR on Danish salt-meadow vegetation under five potential 21st-century scenarios. Overall, species richness increased with elevation (average r2=0.21), while average salt tolerance decreased (average r2=0.45). Fine resolution (≤10-m) topography was required to fully represent vegetation-elevation relationships. At &gt;50-m resolutions only feeble links were found. Under the worst scenarios 67-74% of the Danish saltmeadow area was projected to be lost. Notably, the relatively species-rich upper meadows were predicted to shrink drastically. If realized, these impacts may have severe consequences for salt-meadow biodiversity. We note that sedimentation, not accounted for here, may allow some salt meadows to partly keep up with SLR but the extent to which this will occur and where is uncertain. © Society of Wetland Scientists 2011.</t>
  </si>
  <si>
    <t>2-s2.0-79959991084"</t>
  </si>
  <si>
    <t>10.1016/j.gloplacha.2010.12.010</t>
  </si>
  <si>
    <t>https://www.scopus.com/inward/record.uri?eid=2-s2.0-79954972043&amp;doi=10.1016%2fj.gloplacha.2010.12.010&amp;partnerID=40&amp;md5=4f3b3c852b10c89b8a643c1f07db2a08</t>
  </si>
  <si>
    <t>Investigation of long-term tidal data and short-term altimetry measurements reveals that sea level in the Gulf of Thailand is rising significantly faster than global average rates. Upward land motion detected from repeated precise GPS campaign measurements is used to correct the apparent sea level change from tide gauge, yielding absolute long-term trends as follows: Sattahip (1942-2004) 5.0 ± 1.3 mm/yr, Ko Sichang (1940-1999) 4.5 ± 1.3. mm/yr and Ko Mattaphon (1964-2004) 4.4 ± 1.1. mm/yr. Dual-crossover minimization of multi-mission altimetry data covering the 1993-2009 period reveals the following absolute sea level rates: Sattahip 4.8 ± 0.7. mm/yr, Ko Sichang 5.8 ± 0.8. mm/yr, Ko Lak 3.6 ± 0.7. mm/yr and Ko Mattaphon 3.2 ± 0.7. mm/yr. In other parts of the Gulf, the 1993-2009 rising rates are also in the range of 3 to 5.5. mm/yr. In the entire Gulf we don't find any evidence of sea level falling. At Ko Lak where the collocation of Topex-class altimetry ground track and the tidal station is extremely good, vertical land motion derived from the difference of sea level change rates detected by altimetry and tidal data is used to correct the apparent rate, yielding an absolute long-term (1940-2004) rate of 3.0 ± 1.5. mm/yr. The differences between the altimetry-based rates and the absolute tide gauge sea level trends can be explained by interannual variations like ENSO and decadal variations due to solar activity and lunar nutation. Post-2004 tidal data have been treated separately in our study because reliable values of region-wide vertical co-seismic displacements and post-seismic velocities caused by the 2004 Mw9.2 Sumatra-Andaman earthquake are still not accurately known. Exclusion of these data will not significantly change the determined long-term absolute sea level change rates because of the relatively short time span of post-earthquake sea level data compared to the complete tidal record. The impact of fast rising sea level combined with high rates of post-seismic downward crustal motions as indicated by GPS data makes coastal areas and river estuaries along the Gulf of Thailand highly vulnerable to flooding, particularly the low-lying city of Bangkok. © 2011 Elsevier B.V.</t>
  </si>
  <si>
    <t>2-s2.0-79954972043"</t>
  </si>
  <si>
    <t>10.1007/s11852-010-0120-5</t>
  </si>
  <si>
    <t>https://www.scopus.com/inward/record.uri?eid=2-s2.0-79551607629&amp;doi=10.1007%2fs11852-010-0120-5&amp;partnerID=40&amp;md5=ac7eb9df6208d92058047c85661f3455</t>
  </si>
  <si>
    <t>In Florida, more than half of the state's sandy beach coastlines are designated as critical erosion areas by the Florida Department of Environmental Protection (FDEP 2008). At the same time, the economic contribution of coastal construction is being confounded by the fiscal peril facing Florida (Bird in Ann Geomorph 57:1-9, 1985, Pew Center on the States 2009, U. S BEA 2009). It is therefore an opportune time for an evaluation of coastal erosion policy response which specifically addresses coastal construction. Furthermore in Florida, an increasing coastal population requiring the provision of structural development necessitates an improved understanding of how legislative intent which avoids the cumulative impacts of development is translated through quantified policy response. This study characterizes how coastal development trends in Florida have responded to critical erosion designation. Using spatial and temporal analysis of coastal construction permitting data from 1987 to 2007, three coastal counties in northwest Florida were selected for this study. This selection was based on proximity to the designated ecologically sensitive Apalachicola National Estuarine Research Reserve (ANERR). This study has indicated that clusters of development have not been reduced or redirected by critical erosion designation in certain areas of the study counties. Therefore this study has implications for the regulatory framework governing coastal development permitting in Florida, which is of timely relevance for sea-level rise adaptation. © 2010 Springer Science+Business Media B.V.</t>
  </si>
  <si>
    <t>2-s2.0-79551607629"</t>
  </si>
  <si>
    <t>10.5194/nhess-11-1371-2011</t>
  </si>
  <si>
    <t>https://www.scopus.com/inward/record.uri?eid=2-s2.0-79956102440&amp;doi=10.5194%2fnhess-11-1371-2011&amp;partnerID=40&amp;md5=6cec75af11b5ae80b2a6ada74c466a26</t>
  </si>
  <si>
    <t>Tsunami hazard assessments for Pacific Islands Countries (PICs) tend to focus on subduction zone sources. It is generally recognised that while volcanic-related tsunamigenic sources exist, they are probably only of minor relevance to the overall hazardscape of the Pacific. This paper outlines the evidence for a previously unrecorded local tsunami that struck the uninhabited south coast of Mangaia, Cook Islands, on 13 April 2010. The tsunami had a maximum inundation of 100 m inland and a runup of 12 m a.s.l. This event was most probably caused by a small submarine slope failure, the most recent of an unknown number of previous inundations. Since most PICs have a volcanic origin, it is suggested that current perceptions about the local and regional significance of such events is inaccurate. A review of volcanic-related tsunamigenic sources throughout the Pacific reveals a wealth of data concerning submarine slope failures in particular and a more general background of active volcanism. These sources are as relevant to PICs close to or far away from subduction zones. As populations grow and the coastlines of many PICs and those on the edge of the Pacific Ocean become increasing occupied, the likelihood for loss of life from these events increases. © 2011 Author(s).</t>
  </si>
  <si>
    <t>2-s2.0-79956102440"</t>
  </si>
  <si>
    <t>10.1007/s11069-010-9594-6</t>
  </si>
  <si>
    <t>https://www.scopus.com/inward/record.uri?eid=2-s2.0-79951726193&amp;doi=10.1007%2fs11069-010-9594-6&amp;partnerID=40&amp;md5=5d0f38364511aba23bcc0b8ca071c7f0</t>
  </si>
  <si>
    <t>On 16 October 1979, a tsunami of a local origin hits the French Riviera around Nice, France, killing 8 people and generating important economic losses. Its impact was felt from Hyères to Menton, France. The main effect of this tsunami was flooding in the neighborhoods of La Salis and La Garoupe, Antibes, France. A synthesis of unpublished reports written in the context of an administrative investigation was conducted. Various archives were also consulted (newspapers, fire and rescue unit reports, insurance reports, etc.), and a field survey was organized in 2009 to record testimonies from the inhabitants who witnessed the flood in La Salis, Antibes, the area where the effects of the tsunami were the greatest. A geo-database of the neighborhood of La Salis was built using available aerial imagery, land cover data and digital terrain models, to reconstruct the surface of the flooded area as it was in 1979 and as it is now. Comparing precise testimonies and the 1979 topographic information available allowed the authors to precisely map the flood and to deduce the runup values which reached 3.5 m locally, with a maximal distance of flooding of 150 m inland. This paper provides modelers with precious information about the extent of flooding and the time sequence in order to reconstitute the propagation and flooding of the 16 October 1979 tsunami. This information highlights the fact that the French Riviera is a low hazard, but high vulnerability area. © 2010 Springer Science+Business Media B.V.</t>
  </si>
  <si>
    <t>2-s2.0-79951726193"</t>
  </si>
  <si>
    <t>10.1029/2011GL047090</t>
  </si>
  <si>
    <t>https://www.scopus.com/inward/record.uri?eid=2-s2.0-79955416216&amp;doi=10.1029%2f2011GL047090&amp;partnerID=40&amp;md5=e20fb52e2a3548c8545b309f5687d900</t>
  </si>
  <si>
    <t>A large, unpredicted, water level increase appeared along a substantial section of the western Louisiana and northern Texas (LATEX) coasts 12-24 hrs in advance of the landfall of Hurricane Ike (2008), with water levels in some areas reaching 3 m above mean sea level. During this time the cyclonic wind field was largely shore parallel throughout the region. A similar early water level rise was reported for both the 1900 and the 1915 Galveston Hurricanes. The Ike forerunner anomaly occurred over a much larger area and prior to the primary coastal surge which was driven by onshore directed winds to the right of the storm track. We diagnose the forerunner surge as being generated by Ekman setup on the wide and shallow LATEX shelf. The longer forerunner time scale additionally served to increase water levels significantly in narrow-entranced coastal bays. The forerunner surge generated a freely propagating continental shelf wave with greater than 1.4 m peak elevation that travelled coherently along the coast to Southern Texas, and was 300 km in advance of the storm track at the time of landfall. This was, at some locations, the largest water level increase seen throughout the storm, and appears to be the largest freely-propagating shelf wave ever reported. Ekman setup-driven forerunners will be most significant on wide, shallow shelves subject to large wind fields, and need to be considered for planning and forecasting in these cases. Copyright 2011 by the American Geophysical Union.</t>
  </si>
  <si>
    <t>2-s2.0-79955416216"</t>
  </si>
  <si>
    <t>10.1007/s10584-011-0109-6</t>
  </si>
  <si>
    <t>https://www.scopus.com/inward/record.uri?eid=2-s2.0-79957640364&amp;doi=10.1007%2fs10584-011-0109-6&amp;partnerID=40&amp;md5=e2b23858a4310ed96a18a3c7a308f9d0</t>
  </si>
  <si>
    <t>This paper introduces and summarizes a series of articles on the potential impacts of sea level rise on Florida's natural and human communities and what might be done to reduce the severity of those impacts. Most of the papers in this special issue of Climatic Change were developed from presentations at a symposium held at Archbold Biological Station in January 2010, sponsored by the Florida Institute for Conservation Science. Symposium participants agreed that adaptation to sea level rise for the benefit of human communities should be planned in concert with adaptation to reduce vulnerability and impacts to natural communities and native species. The papers in this special issue discuss both of these categories of impacts and adaptation options. In this introductory paper, I place the subject in context by noting that that the literature in conservation biology related to climate change has been concerned largely about increasing temperatures and reduced moisture availability, rather than about sea level rise. The latter, however, is the most immediate and among the most severe impacts of global warming in low-lying regions such as Florida. I then review the content of this special issue by summarizing and interpreting the following 10 papers. I conclude with a review of the recommendations for research and policy that were developed from group discussions at the Archbold symposium. The main lesson that emerges from this volume is that sea level rise, combined with human population growth, urban development in coastal areas, and landscape fragmentation, poses an enormous threat to human and natural well-being in Florida. How Floridians respond to sea level rise will offer lessons, for better or worse, for other low-lying regions worldwide. © 2011 Springer Science+Business Media B.V.</t>
  </si>
  <si>
    <t>2-s2.0-79957640364"</t>
  </si>
  <si>
    <t>10.5194/tc-5-349-2011</t>
  </si>
  <si>
    <t>https://www.scopus.com/inward/record.uri?eid=2-s2.0-79955071150&amp;doi=10.5194%2ftc-5-349-2011&amp;partnerID=40&amp;md5=d3571223ce9cc44f7c56c2e208bc762d</t>
  </si>
  <si>
    <t>Mass loss of Himalayan glaciers has wide-ranging consequences such as changing runoff distribution, sea level rise and an increasing risk of glacial lake outburst floods (GLOFs). The assessment of the regional and global impact of glacier changes in the Himalaya is, however, hampered by a lack of mass balance data for most of the range. Multi-temporal digital terrain models (DTMs) allow glacier mass balance to be calculated. Here, we present a time series of mass changes for ten glaciers covering an area of about 50 km2 south and west of Mt. Everest, Nepal, using stereo Corona spy imagery (years 1962 and 1970), aerial images and recent high resolution satellite data (Cartosat-1). This is the longest time series of mass changes in the Himalaya. We reveal that the glaciers have been significantly losing mass since at least 1970, despite thick debris cover. The specific mass loss for 1970-2007 is 0.32 ± 0.08 m w.e. a-1, however, not higher than the global average. Comparisons of the recent DTMs with earlier time periods indicate an accelerated mass loss. This is, however, hardly statistically significant due to high uncertainty, especially of the lower resolution ASTER DTM. The characteristics of surface lowering can be explained by spatial variations of glacier velocity, the thickness of the debris-cover, and ice melt due to exposed ice cliffs and ponds. © Author(s) 2011.</t>
  </si>
  <si>
    <t>2-s2.0-79955071150"</t>
  </si>
  <si>
    <t>10.1016/j.jafrearsci.2011.01.009</t>
  </si>
  <si>
    <t>https://www.scopus.com/inward/record.uri?eid=2-s2.0-79951578078&amp;doi=10.1016%2fj.jafrearsci.2011.01.009&amp;partnerID=40&amp;md5=ea4b6d7c3c2bab93dfd0ef8fd3534627</t>
  </si>
  <si>
    <t>The investigation area is located in the most southern part of Sinai Peninsula boarded from the west by the Gulf of Suez and from the east by the Gulf of Aqaba. The present study concerns the application of stacking and persistent scattering of SAR interferometry in order to monitor ground deformation in the southern part of Sharm El-Shiekh area. The specific techniques were applied in order to reduce the influence of atmospheric effects on the ground deformation estimates. For this purpose a total number of 26 ENVISAT ASAR scenes covering the period between 2003 and 2009 were processed and analyzed. Interferometric processing results show both patterns of uplift and downlift in the study area. Specifically an area along the coastline with a N-S direction, corresponding to the build up zone of Sharm El-Sheikh, shows annual average subsidence rates between 5 and 7. mm/yr along the line of sight (LOS). On the contrary, Sharm El-Maya, an inner zone, parallel to the above subsided area</t>
  </si>
  <si>
    <t>10.2166/wst.2011.244</t>
  </si>
  <si>
    <t>https://www.scopus.com/inward/record.uri?eid=2-s2.0-79952226540&amp;doi=10.2166%2fwst.2011.244&amp;partnerID=40&amp;md5=12b83d04181bdeeb42c8d62455402057</t>
  </si>
  <si>
    <t>One-dimensional (1D) hydrodynamic models have been used as a standard industry practice for urban flood modelling work for many years. More recently, however, model formulations have included a 1D representation of the main channels and a 2D representation of the floodplains. Since the physical process of describing exchanges of flows with the floodplains can be represented in different ways, the predictive capability of different modelling approaches can also vary. The present paper explores effects of some of the issues that concern urban flood modelling work. Impacts from applying different model schematisation, geometry and parameter values were investigated. The study has mainly focussed on exploring how different Digital Terrain Model (DTM) resolution, presence of different features on DTM such as roads and building structures and different friction coefficients affect the simulation results. Practical implications of these issues are analysed and illustrated in a case study from St Maarten, N.A. The results from this study aim to provide users of numerical models with information that can be used in the analyses of flooding processes in urban areas. © IWA Publishing 2011.</t>
  </si>
  <si>
    <t>2-s2.0-79952226540"</t>
  </si>
  <si>
    <t>10.1007/s11069-010-9686-3</t>
  </si>
  <si>
    <t>https://www.scopus.com/inward/record.uri?eid=2-s2.0-79951724204&amp;doi=10.1007%2fs11069-010-9686-3&amp;partnerID=40&amp;md5=279ac187a7462f502d1e2945e78b1d9d</t>
  </si>
  <si>
    <t>Coastal areas play an important role in the socioeconomic development of the coastal zones based on the different land uses. These regions are vulnerable to hydrogeological hazards and are seriously affected by coastal erosion, saltwater intrusion in the phreatic aquifer, and sea level rise, which are worsened by human action, thereby increasing the risk of land degradation in the coastal regions. Saltwater intrusion in the Laizhou Gulf located in northern part of Shandong Province of China was the main natural hazard. Manmade interventions and actions (i. e., exploitation of aquifers without adequate knowledge of the hydrology setting and an adequate management program) worsen this natural hazard. Irrational human activity induces environmental hazard to the overall coastal areas. © 2010 Springer Science+Business Media B.V.</t>
  </si>
  <si>
    <t>2-s2.0-79951724204"</t>
  </si>
  <si>
    <t>10.1111/j.1468-5973.2010.00633.x</t>
  </si>
  <si>
    <t>https://www.scopus.com/inward/record.uri?eid=2-s2.0-79551672474&amp;doi=10.1111%2fj.1468-5973.2010.00633.x&amp;partnerID=40&amp;md5=27e2abb674308b9a86892067f4b3dcf1</t>
  </si>
  <si>
    <t>Consensus is that California's strategically important Sacramento-San Joaquin Delta is headed for all manner of disasters, not least of which are earthquakes and the storms, floods and dry periods associated with global and regional climate change. Added to this list are other environmental problems associated with urbanization, chemical agriculture and declining fish species in the Delta. In this view, there are so many crises that if one does not happen, others will. Therefore, the probability and consequences of something failing are high, whatever way you look at it. But there is no 'therefore' there. The chief feature of complexity is surprise, not inevitability. Ecosystems are very complex as are the infrastructure systems mandated to reliably manage ecosystem services, including water, hydropower and renewable energy. Surprises are happening all the time, raising the questions this article answers: Who manages these surprises system-wide in real time? What are the answers this management provides and how do they differ from current approaches environmental crisis scenarios for the Delta? © 2011 Blackwell Publishing Ltd.</t>
  </si>
  <si>
    <t>2-s2.0-79551672474"</t>
  </si>
  <si>
    <t>10.5670/oceanog.2011.34</t>
  </si>
  <si>
    <t>https://www.scopus.com/inward/record.uri?eid=2-s2.0-79959308003&amp;doi=10.5670%2foceanog.2011.34&amp;partnerID=40&amp;md5=2e2da0edd38146d66b1cc514561da338</t>
  </si>
  <si>
    <t>Coastal areas constitute important habitats, and they contain a large and growing population, much of it located in economic centers such as London, New York, Tokyo, Shanghai, Mumbai, and Lagos. The range of coastal hazards includes climate-induced sea level rise, a long-term threat that demands broad response. Global sea levels rose 17 cm through the twentieth century, and are likely to rise more rapidly through the twenty-first century when a rise of more than 1 m is possible. In some locations, these changes may be exacerbated by (1) increases in storminess due to climate change, although this scenario is less certain, and (2) widespread human induced subsidence due to ground fluid withdrawal from, and drainage of, susceptible soils, especially in deltas. Relative sea level rise has a range of potential impacts, including higher extreme sea levels (and flooding), coastal erosion, salinization of surface and ground waters, and degradation of coastal habitats such as wetlands. Without adaptation, large land areas and millions of people could be displaced by sea level rise. Appropriate responses include climate mitigation (a global response) and/or adaptation (a local response). A combination of these strategies appears to be the most appropriate approach to sea level rise regardless of the uncertainty. Adaptation responses can be characterized as (1) protect, (2) accommodate, or (3) retreat. While these adaptation responses could reduce impacts significantly, they will need to be consistent with responses to all coastal hazards, as well as with wider societal and development objectives</t>
  </si>
  <si>
    <t>10.1080/00288306.2010.543690</t>
  </si>
  <si>
    <t>https://www.scopus.com/inward/record.uri?eid=2-s2.0-79959641603&amp;doi=10.1080%2f00288306.2010.543690&amp;partnerID=40&amp;md5=dc12c1ebbe8b7e6dc0daaa7c3fb652eb</t>
  </si>
  <si>
    <t>Post-earthquake field surveys in Dusky Sound, the region overlying the downdip end of the rupture patch of a Mw 7-8 Puysegur subduction zone earthquake, have shown only localised physical evidence of a tsunami and minimal coastal deformation. Following the 15 July 2009 earthquake, eye-witnesses and tide gauges recorded a near-field tsunami and GPS stations showed evidence of land subsidence of up to 220 mm. We investigated these effects over a series of three field visits. One month after the event a tsunami deposit consisting of gravel, sand and shell was identified at only one site, despite searching at various coastal environments around Dusky Sound. We attribute this localisation of tsunami effects to site features that amplified the tsunami waves and the unusual (for this rocky coastline) availability of unconsolidated shoreface sediment at that site. Repeated visits to the Dusky Sound area at one, five and eight months after the earthquake have found no evidence of a landward shift in the intertidal floral and faunal zones or any vegetation die-off at the forest margins. This implies no coseismic coastal deformation in contrast to the GPS measurements, but we cannot be certain the vegetation would respond to a relative sea-level rise of ≤220 mm. © 2011 The Royal Society of New Zealand.</t>
  </si>
  <si>
    <t>2-s2.0-79959641603"</t>
  </si>
  <si>
    <t>https://www.scopus.com/inward/record.uri?eid=2-s2.0-79953167210&amp;partnerID=40&amp;md5=3378d43037cbce10ab38961b6513a747</t>
  </si>
  <si>
    <t>The destructive earthquake that struck near the Gulf of Izmit along the North Anatolian fault in Northwest Turkey on August 17, 1999, not only generated a local tsunami that was destructive at Golcuk and other coastal cities in the eastern portion of the enclosed Sea of Marmara, but was also responsible for extensive damage from collateral hazards such as subsidence, landslides, ground liquefaction, soil amplifications, compaction and underwater slumping of unconsolidated sediments. This disaster brought attention in the need to identify in this highly populated region, local conditions that enhance earthquake intensities, tsunami run-up and other collateral disaster impacts. The focus of the present study is to illustrate briefly how standardized remote sensing techniques and GIS-methods can help detect areas that are potentially vulnerable, so that disaster mitigation strategies can be implemented more effectively. Apparently, local site conditions exacerbate earthquake intensities and collateral disaster destruction in the Marmara Sea region. However, using remote sensing data, the causal factors can be determined systematically. With proper evaluation of satellite imageries and digital topographic data, specific geomorphologic/topographic settings that enhance disaster impacts can be identified. With a systematic GIS approach - based on Digital Elevation Model (DEM) data - geomorphometric parameters that influence the local site conditions can be determined. Digital. elevation data, such as SRTM (Shuttle Radar Topography Mission, with 90m spatial resolution) and ASTER-data with 30m resolution, interpolated up to 15 m) is readily available. Areas with the steepest slopes can be identified from slope gradient maps. Areas with highest curvatures susceptible to landslides can be identified from curvature maps. Coastal areas below the 10 m elevation susceptible to tsunami inundation can be clearly delineated. Height level maps can also help locate topographic depressions, filled with recently formed sediments, which are often linked with higher groundwater tables. Such areas are particularly susceptible to higher earthquake intensities and damage. The sum of risk GIS factors increases the susceptibility of local soils in amplifying seismic ground motions. Areas most susceptible to higher earthquake impacts can be identified using a systematic GIS approach, the weighted-overlay-method implemented in ArcGIS. Finally, the data obtained by remote sensing can be converted into Google Earth-kml-format and become available at no cost, to raise public disaster awareness and preparedness in the Sea of Marmara region.</t>
  </si>
  <si>
    <t>2-s2.0-79953167210"</t>
  </si>
  <si>
    <t>10.1007/s11069-010-9610-x</t>
  </si>
  <si>
    <t>https://www.scopus.com/inward/record.uri?eid=2-s2.0-79955521202&amp;doi=10.1007%2fs11069-010-9610-x&amp;partnerID=40&amp;md5=d4154c8aaecdb0a9a343afe227a3c73d</t>
  </si>
  <si>
    <t>The Scheldt is a tidal river that originates in France and flows through Belgium and the Netherlands. The tides create significant flood risks in both the Flemish region in Belgium and the Netherlands. Due to sea level rise and economic development, flood risks will increase during this century. This is the main reason for the Flemish government to update its flood risk management plan. For this purpose, the Flemish government requested a cost-benefit analysis of flood protection measures, considering long-term developments. Measures evaluated include a storm surge barrier, dyke heightening and additional floodplains with or without the development of wetlands. Some of these measures affect the flood risk in both countries. As policies concerning the limitation of flood risk differ significantly between the Netherlands and Flanders, distinctive methodologies were used to estimate the impacts of measures on flood risk. A risk-based approach was applied for Flanders by calculating the impacts of flood damage at different levels of recurrence, for the base year (2000) and in case of a sea level rise of 60 cm by 2100. Policy within the Netherlands stipulates a required minimal protection level along the Scheldt against storms with a recurrence period of 1 in 4,000 years. It was estimated how flood protection measures would delay further dyke heightening, which is foreseen as protection levels are presently decreasing due to rising sea levels. Impacts of measures (safety benefits) consist of delays in further dyke heightening. The results illustrate the importance of sea level rise. Flood risks increased fivefolds when a sea level rise of 60 cm was applied. Although more drastic measures such as a storm surge barrier near Antwerp offer more protection for very extreme storms, a combination of dykes and floodplains can offer higher benefits at lower costs. © 2010 Springer Science+Business Media B.V.</t>
  </si>
  <si>
    <t>2-s2.0-79955521202"</t>
  </si>
  <si>
    <t>10.1007/s10584-011-0085-x</t>
  </si>
  <si>
    <t>https://www.scopus.com/inward/record.uri?eid=2-s2.0-79958814572&amp;doi=10.1007%2fs10584-011-0085-x&amp;partnerID=40&amp;md5=5404909bba107e931da0e0e55171b274</t>
  </si>
  <si>
    <t>Sea level rise (SLR) projections along the coast of Florida present an enormous challenge for management and conservation over the long term. Decision makers need to recognize and adopt strategies to adapt to the potentially detrimental effects of SLR. Structured decision making (SDM) provides a rigorous framework for the management of natural resources. The aim of SDM is to identify decisions that are optimal with respect to management objectives and knowledge of the system. Most applications of SDM have assumed that the managed systems are governed by stationary processes. However, in the context of SLR it may be necessary to acknowledge that the processes underlying managed systems may be non-stationary, such that systems will be continuously changing. Therefore, SLR brings some unique considerations to the application of decision theory for natural resource management. In particular, SLR is expected to affect each of the components of SDM. For instance, management objectives may have to be reconsidered more frequently than under more stable conditions. The set of potential actions may also have to be adapted over time as conditions change. Models have to account for the non-stationarity of the modeled system processes. Each of the important sources of uncertainty in decision processes is expected to be exacerbated by SLR. We illustrate our ideas about adaptation of natural resource management to SLR by modeling a non-stationary system using a numerical example. We provide additional examples of an SDM approach for managing species that may be affected by SLR, with a focus on the endangered Florida manatee. © 2011 U.S. Government.</t>
  </si>
  <si>
    <t>2-s2.0-79958814572"</t>
  </si>
  <si>
    <t>10.1007/s10113-010-0184-7</t>
  </si>
  <si>
    <t>https://www.scopus.com/inward/record.uri?eid=2-s2.0-79952076005&amp;doi=10.1007%2fs10113-010-0184-7&amp;partnerID=40&amp;md5=6d762cb3a69af4e7de8b376b2681ee6d</t>
  </si>
  <si>
    <t>South Asia is one of the most flood vulnerable regions in the world. Floods occur often in the region triggered by heavy monsoon precipitation and can cause enormous damages to lives, property, crops and infrastructure. The frequency of extreme floods is on the rise in Bangladesh, India and Pakistan. Past extreme floods fall within the range of climate variability but frequency, magnitude and extent flooding may increase in South Asia in future due to climate change. Flood risk is sensitive to different levels of warming. For example, in Bangladesh, analysis shows that most of the expected changes in flood depth and extent would occur between 0 and 2°C warming. The three major rivers Ganges, Brahmaputra and Meghna/Barak will play similar roles in future flooding regimes as they are doing presently. Increases in future flooding can cause extensive damage to rice crops in the monsoon. This may have implications for food security especially of poor women and children. Floods can also impact public health in the flood plains and in the coastal areas. © 2010 Her Majesty the Queen in Rights of Canada.</t>
  </si>
  <si>
    <t>2-s2.0-79952076005"</t>
  </si>
  <si>
    <t>10.1016/j.jseaes.2010.12.001</t>
  </si>
  <si>
    <t>https://www.scopus.com/inward/record.uri?eid=2-s2.0-79951516593&amp;doi=10.1016%2fj.jseaes.2010.12.001&amp;partnerID=40&amp;md5=c8d54a6495ccc6c71890101087d5c440</t>
  </si>
  <si>
    <t>The focus of this study is investigation of land subsidence in Semarang city Indonesia with the use of Interferometry Synthetic Aperture Radar (InSAR) of ALOS-PALSAR satellite. We processed 22 ascending SAR images during January 2007 to January 2009 plus two descending SAR images acquired on 6 June 2006 and 17 June 2007. The time series analysis of interferometry was performed by using 12 pairs of interferogram relative to 21 January 2007 and 8 pairs of interferogram relative 24 January 2008. The topographic phase contribution was removed using the 3-arcsec (90. m) Shuttle Radar Topography Mission (SRTM), Digital Elevation Model (DEM). We performed precision baseline estimation to vanish the fringes from baseline effect between master and slave data. In order to investigate the contribution of horizontal movement in our analysis, we constructed two interferograms of ascending orbit and descending orbit. The time series results exhibited that the area is subsiding continuously without a significant seasonal effect during January 2007 to January 2009. The land subsidence observed from InSAR data is approximately up to 8. cm/year. Three cross sections on image displacement show the extreme land subsidence occurred especially along the coastal area and lowland area where this area is considered as industrial with high-density settlements, consuming a lot of groundwater, and land is changed from agriculture and cultivation purposes to industrial estates and house. Our result also shows a consistency with historical pattern of subsidence measured by leveling data. The results highlight the potential use of InSAR measurements to provide better constraints for land subsidence in Semarang city Indonesia. © 2010 Elsevier Ltd.</t>
  </si>
  <si>
    <t>2-s2.0-79951516593"</t>
  </si>
  <si>
    <t>International Migration</t>
  </si>
  <si>
    <t>10.1111/j.1468-2435.2010.00646.x</t>
  </si>
  <si>
    <t>https://www.scopus.com/inward/record.uri?eid=2-s2.0-79956205486&amp;doi=10.1111%2fj.1468-2435.2010.00646.x&amp;partnerID=40&amp;md5=2fae34522f40d7b0453817eb9427f2f0</t>
  </si>
  <si>
    <t>The links between environmental change and migration is a theme which has caused much public debate. This debate is driven partially by the lack of empirical research on the linkages and relationship between environment and migration. This article offers a contribution to the limited literature which examines the ways in which migration is linked to environmental push factors. Initial research into the current dynamics of population displacement and migration linked to flooding in the upper reaches of the Vietnamese Mekong Delta was carried out in late 2007. Annual cyclical flooding in the Mekong Delta of Vietnam is a regular event and essential to the livelihoods of people living in the region. Over the last decade, however, there have been unusually large flooding events in the Mekong Delta region which have adversely impacted the lives and livelihoods of local communities. The research aimed to determine whether flooding could be considered a cause for migration or displacement. Results show that the impacts of regular flooding of the Mekong Delta can trigger independent household or individual migration decisions and are a cause for government-initiated resettlement of households. This research contributes to an increased understanding of the role of environmental change/degradation in causing displacement and migration, since forced migration and migration studies have more commonly focused on economic, political and social reasons for population displacement. © 2011 The Author. International Migration © 2011 IOM.</t>
  </si>
  <si>
    <t>2-s2.0-79956205486"</t>
  </si>
  <si>
    <t>10.5194/nhess-11-529-2011</t>
  </si>
  <si>
    <t>https://www.scopus.com/inward/record.uri?eid=2-s2.0-79951874665&amp;doi=10.5194%2fnhess-11-529-2011&amp;partnerID=40&amp;md5=d0a92eac16cb4639604fe7e0332a38e2</t>
  </si>
  <si>
    <t>An algorithm developed to map flooded areas from synthetic aperture radar imagery is presented in this paper. It is conceived to be inserted in the operational flood management system of the Italian Civil Protection and can be used in an almost automatic mode or in an interactive mode, depending on the user's needs. The approach is based on the fuzzy logic that is used to integrate theoretical knowledge about the radar return from inundated areas taken into account by means of three electromagnetic scattering models, with simple hydraulic considerations and contextual information. This integration aims at allowing a user to cope with situations, such as the presence of vegetation in the flooded area, in which inundation mapping from satellite radars represents a difficult task. The algorithm is designed to work with radar data at L, C, and X frequency bands and employs also ancillary data, such as a land cover map and a digital elevation model. The flood mapping procedure is tested on an inundation that occurred in Albania on January 2010 using COSMO-SkyMed very high resolution X-band SAR data. © Author(s) 2011.</t>
  </si>
  <si>
    <t>2-s2.0-79951874665"</t>
  </si>
  <si>
    <t>10.1007/s11852-010-0114-3</t>
  </si>
  <si>
    <t>https://www.scopus.com/inward/record.uri?eid=2-s2.0-79551597497&amp;doi=10.1007%2fs11852-010-0114-3&amp;partnerID=40&amp;md5=31e715b103c8ff47e9ad10a0c856e2f2</t>
  </si>
  <si>
    <t>The coastal wetlands of north-eastern New South Wales (NSW) Australia are increasingly being affected by anthropogenic factors such as urbanisation, residential development and agricultural development. However, little is known about their vulnerability to sea level rise as a result of climate change. The aim of this research is to predict the potential impact of sea level rise (SLR) on the coastal wetland communities. Sea Level Affecting Marshes Model (SLAMM) was used to predict the potential impacts of sea level rise. Geographic Information System (GIS) was used for mapping and analysis. It was found that a meter rise in sea level could decrease coastal wetlands such as Inland fresh marshes from about 225. 67 km2 in February 2009 to about 168. 04 km2 by the end of the century in north-eastern NSW, Australia. The outcomes from this research can contribute to enhancing wetland conservation and management in NSW. © 2010 Springer Science+Business Media B.V.</t>
  </si>
  <si>
    <t>2-s2.0-79551597497"</t>
  </si>
  <si>
    <t>10.1080/01431161003698328</t>
  </si>
  <si>
    <t>https://www.scopus.com/inward/record.uri?eid=2-s2.0-85009561345&amp;doi=10.1080%2f01431161003698328&amp;partnerID=40&amp;md5=33623a3ffa0c705e2342e61ff4847696</t>
  </si>
  <si>
    <t>In this article, an advanced approach for land deformation monitoring using synthetic aperture radar (SAR) interferometry combined with polarimetric information is presented. The linear and nonlinear components of the deformation, the error of the digital elevation model (DEM) and the atmospheric artefacts can be achieved by a coherent target (CT)-neighbourhood networking approach. In order to detect recent land deformation in Shanghai, China, 12 ENVISAT advanced synthetic aperture radar (ASAR) alternating polarization images acquired from January 2006 to August 2008 are employed for deformation analysis. Over a 2.5-year period, two deformation velocity fields from HH and VV modes over Shanghai are derived using the CT-neighbourhood networking SAR interferometry (InSAR), then integrated into a final deformation map by a fusion scheme. It is found that the annual subsidence rates in the study area range from −20 to 10 mm year−1 and the average subsidence rate in the downtown area reaches −7.5 mm year−1, which is consistent with the local government statistics published in 2007. © 2011 Taylor &amp; Francis Group, LLC.</t>
  </si>
  <si>
    <t>2-s2.0-85009561345"</t>
  </si>
  <si>
    <t>10.5194/nhess-11-475-2011</t>
  </si>
  <si>
    <t>https://www.scopus.com/inward/record.uri?eid=2-s2.0-79951797654&amp;doi=10.5194%2fnhess-11-475-2011&amp;partnerID=40&amp;md5=693a35710512fd2405ca11f872346875</t>
  </si>
  <si>
    <t>A methodology to assess storm-induced coastal vulnerability taking into account the different induced processes separately (inundation and erosion) is presented. It is based on a probabilistic approach where hazards time series are built from existing storm data and later used to fit an extreme probability function. This is done for different sectors along the coast defined in terms of the wave climate and for representative beach types of the area to be analyzed. Once probability distributions are available, coastal managers must decide the probability of occurrence to be accepted as well as the period of concern of the analysis in function of the importance of the hinterland. These two variables will determine the return period to be considered in the assessment. The comparison of hazards and vulnerabilities associated with the selected probability of occurrence permit to identify the most hazardous areas along the coast in a robust manner by including the spatial variability in forcing (storm climate) and receptor (beaches). The methodology has been applied to a 50 km long coastal stretch of the Catalonia (NW Mediterranean) where offshore wave conditions can be assumed to be homogeneous. In spite of this spatially constant wave field, obtained results indicate a large variability in hazards intensity and vulnerability along the coast. © 2011 Author(s).</t>
  </si>
  <si>
    <t>2-s2.0-79951797654"</t>
  </si>
  <si>
    <t>10.5194/adgeo-29-61-2011</t>
  </si>
  <si>
    <t>https://www.scopus.com/inward/record.uri?eid=2-s2.0-79952176448&amp;doi=10.5194%2fadgeo-29-61-2011&amp;partnerID=40&amp;md5=5a0d0b8e41c7bfb4734697e4b24c1e11</t>
  </si>
  <si>
    <t>The incorporation of numerical weather predictions (NWP) into a flood forecasting system can increase forecast lead times from a few hours to a few days. A single NWP forecast from a single forecast centre, however, is insufficient as it involves considerable non-predictable uncertainties and lead to a high number of false alarms. The availability of global ensemble numerical weather prediction systems through the THORPEX Interactive Grand Global Ensemble' (TIGGE) offers a new opportunity for flood forecast. The Grid-Xinanjiang distributed hydrological model, which is based on the Xinanjiang model theory and the topographical information of each grid cell extracted from the Digital Elevation Model (DEM), is coupled with ensemble weather predictions based on the TIGGE database (CMC, CMA, ECWMF, UKMO, NCEP) for flood forecast. This paper presents a case study using the coupled flood forecasting model on the Xixian catchment (a drainage area of 8826 km2) located in Henan province, China. A probabilistic discharge is provided as the end product of flood forecast. Results show that the association of the Grid-Xinanjiang model and the TIGGE database gives a promising tool for an early warning of flood events several days ahead. © 2011 Author(s).</t>
  </si>
  <si>
    <t>2-s2.0-79952176448"</t>
  </si>
  <si>
    <t>10.1016/j.gloenvcha.2011.01.013</t>
  </si>
  <si>
    <t>https://www.scopus.com/inward/record.uri?eid=2-s2.0-79953871179&amp;doi=10.1016%2fj.gloenvcha.2011.01.013&amp;partnerID=40&amp;md5=fbe316428b6bf452a3a0e9aae555ebc9</t>
  </si>
  <si>
    <t>Risk analysis and appraisal of the benefits of structural flood risk management measures such as embankments is well established. Here, a method to quantify, over extended timescales, the effectiveness of non-structural measures such as land use spatial planning, insurance and flood resilient construction is presented. The integrated approach couples socio-economic and climate change scenarios with long term land use modelling and flood risk analysis to generate maps and time series of expected annual damages. The analysis has been applied on a case study in the Thames Estuary in the UK. Stakeholders helped develop a number of scenarios that might lead to substantial changes in existing planning and insurance policies in the UK. The effectiveness of these changes was analysed and showed the substantial benefits in terms of reduction of future flood risks that are achievable with changes in planning policy, financial incentives and resilient property construction in the floodplain. Moreover, the reward can be increased through earlier action. Subsequently, the benefits of a range of policies are explored under the UK Foresight socio-economic scenarios. Different structural and non structural flood management interventions are tested and the results demonstrate that despite the potential for large increases in flood risk in the Thames Estuary, in all scenarios substantial flood risk reductions are possible. The effectiveness of non-structural measures is however sensitive to socio-economic changes and governance arrangements. The analysis described here will help to identify portfolios of non-structural and structural options that are robust to uncertainties. © 2011 Elsevier Ltd.</t>
  </si>
  <si>
    <t>2-s2.0-79953871179"</t>
  </si>
  <si>
    <t>World of Mining - Surface and Underground</t>
  </si>
  <si>
    <t>https://www.scopus.com/inward/record.uri?eid=2-s2.0-79960616150&amp;partnerID=40&amp;md5=58b5ee4ce5f6964b59759275db7dbaff</t>
  </si>
  <si>
    <t>The oxidation of pyrite at the Ibbenbüren mine, operated by the RAG Anthrazit Ibbenbüren GmbH corporation, which is a part of the RAG Group, was investigated to better understand and trace the decomposition of iron sulfide. A particular focus was directed at the bacterial influence on the weathering process and iron bacteria were cultivated with the help of the iron deposits from the western field. The results show that the oxidation of iron provides little energy for the iron microbes which are in a poor energetic position as a result of their autotrophic lifestyle. It is not possible to predict that the amount of iron(III) bacteria can actually produce. In order to ultimately be able to separate the iron load in mine water into a partial content of abiotic origin and a partial content of biological origin, it is necessary to first quantify precisely the presence of bacteria in the mine water and to ascertain the kinetic growth of the microorganisms.</t>
  </si>
  <si>
    <t>2-s2.0-79960616150"</t>
  </si>
  <si>
    <t>10.2112/JCOASTRES-D-10-00126.1</t>
  </si>
  <si>
    <t>https://www.scopus.com/inward/record.uri?eid=2-s2.0-84455185714&amp;doi=10.2112%2fJCOASTRES-D-10-00126.1&amp;partnerID=40&amp;md5=9e7d5e895968cd813d681d177112d134</t>
  </si>
  <si>
    <t>Barrier islands, the dominant geomorphic features along the U.S. Atlantic and Gulf Coasts, are a favorite place for living and visiting. Unfortunately, barrier islands are vulnerable to storm-surge flooding and erosion because of low elevations and the movement of sand by waves and tides. In order to estimate the impacts of surge flooding, sea-level rise, and erosion on barrier islands, the lengths and areas of barrier islands and population living there were quantified using high-resolution satellite imagery from Google Earth and 1990-2000 census block data. The total length and area of barrier islands spanning 18 states along the U.S. Atlantic and Gulf Coasts are about 3700 km and 6800 km2, respectively. There are approximately 1.4 million people living on barrier islands, half of which are in Florida according to 2000 census data. The population densities of barrier islands are three times those of coastal states on average, and the population increased 14% from 1990 to 2000. The collision course of population increases and development in the face of accelerated sea-level rise due to global climate change makes barrier islands more vulnerable. © Coastal Education &amp; Research Foundation 2011.</t>
  </si>
  <si>
    <t>2-s2.0-84455185714"</t>
  </si>
  <si>
    <t>10.1007/s10584-011-0080-2</t>
  </si>
  <si>
    <t>https://www.scopus.com/inward/record.uri?eid=2-s2.0-79958803652&amp;doi=10.1007%2fs10584-011-0080-2&amp;partnerID=40&amp;md5=b5a8385eccd06c42198f636c49b55683</t>
  </si>
  <si>
    <t>The potential impacts of sea level rise (SLR) on 95% of the land areas of the Florida Keys were estimated through analysis of a digital elevation model (DEM) derived from airborne light detection and ranging (LiDAR) measurements in a geographic information system. The topographic detail of the LiDAR DEM allowed projections of land, population, and property inundation in 0.15 m increments across a broad range of SLR scenarios for the next century. The results showed that a 0.6 m SLR by 2100 would inundate about 70% of the total land surface, but smaller percentages of the population (17%) and real property (12%). A 1.5 m rise in sea level during the same period would inundate 91% of the land surface, 71% of the population and 68% of property in the study area. Comparison of inundation dynamics indicates that the Lower Florida Keys are more susceptible to SLR than the Upper Florida Keys. The inundation dynamics exhibit non-linear behavior and demonstrate tipping points in inundation processes beyond which the inundation of land, population, and property speeds up. Acceleration of SLR will amplify the non-linear inundation, causing tipping points to be reached sooner. © 2011 Springer Science+Business Media B.V.</t>
  </si>
  <si>
    <t>2-s2.0-79958803652"</t>
  </si>
  <si>
    <t>https://www.scopus.com/inward/record.uri?eid=2-s2.0-79953735880&amp;partnerID=40&amp;md5=f9dfc3695bc2552afc53e4d56fa37944</t>
  </si>
  <si>
    <t>Anthropogenic landforms are the result of significant changes in the Earth's crust due to technological development of human society, guided by its economic, social and cultural needs. nthropogenic landforms of the studied area was analyzed using GIS techniques at the general scale, conducting the entire study area maps, and detailed modeling of representative samples in detail. Representing the anthropogenic landforms on the digital elevation model can be very important in studying natural hazards, such as hydrological modeling on flood plains, which could influence the direction of the flood wave. The digital elevation model (DEM) made by traditional methods can not represent the anthropogenic landforms, leading sometimes to a misinterpretation of reality on the ground.</t>
  </si>
  <si>
    <t>2-s2.0-79953735880"</t>
  </si>
  <si>
    <t>10.1007/s11069-010-9689-0</t>
  </si>
  <si>
    <t>https://www.scopus.com/inward/record.uri?eid=2-s2.0-79958797444&amp;doi=10.1007%2fs11069-010-9689-0&amp;partnerID=40&amp;md5=1576bd48ebd0e736bfbf3d29a6e3758a</t>
  </si>
  <si>
    <t>This paper presents numerical computations of tsunamis generated by landslides falling along the flank of a conical island. The model used is the fully three-dimensional commercial code FLOW-3D, based on the VOF technique for the treatment of the free surface. The model results are compared against available experimental data that allow validation of the model, evaluation of its accuracy, and estimation of the computational costs. The main conclusion of this research is that the model is applicable at reasonable costs for a few accurate simulations that may be used for preparing precomputed inundation maps of coasts prone to the risk of tsunamis inundation. © 2011 Springer Science+Business Media B.V.</t>
  </si>
  <si>
    <t>2-s2.0-79958797444"</t>
  </si>
  <si>
    <t>Bollettino di Geofisica Teorica ed Applicata</t>
  </si>
  <si>
    <t>https://www.scopus.com/inward/record.uri?eid=2-s2.0-79952822123&amp;partnerID=40&amp;md5=6f7c3748f6be29ee68a8327d5e8ae174</t>
  </si>
  <si>
    <t>Two ERT (Electrical Resistivity Tomography) profiles were conducted at the eastern head of Lago Fagnano within the main deformation zone of the Magallanes-Fagnano Transform fault system (MFS) which represents the onland boundary between the South America and Scotia plates. Results from the inversion models have provided new evidence of the presence and location, at shallow depths, of some strands of the MFS. Tomographic models showed significant resistivity contrasts across the inferred fault zones in the subsurface. The combination of ERT, geomorphic and outcrop structural data allowed us to interpret the stepped, southward subsidence of Tertiary and Quaternary units within the studied area. The Holocene development and evolution of a shallow deltaic basin at the mouth of Río Turbio, the eastern tributary of Lago Fagnano, was also interpreted from electrical imaging.</t>
  </si>
  <si>
    <t>2-s2.0-79952822123"</t>
  </si>
  <si>
    <t>10.1016/j.pgeola.2010.11.005</t>
  </si>
  <si>
    <t>https://www.scopus.com/inward/record.uri?eid=2-s2.0-79958769438&amp;doi=10.1016%2fj.pgeola.2010.11.005&amp;partnerID=40&amp;md5=c7cf8abc9fe9a19e975913ba7ba92386</t>
  </si>
  <si>
    <t>Multidisciplinary, litho-, bio- and amino-stratigraphical investigations of the infills of buried channels on the coast of eastern Essex have a direct bearing on the differentiation of MIS 11 and MIS 9 in continental records. New data are presented from Shoeburyness, where a deeply incised channel filled with interglacial sediment can be directly related to the terrace stratigraphy of the River Thames. Fossil assemblages confirm that the interglacial beds began accumulating in a freshwater environment, which became transformed into a dynamic estuary as relative sea-levels rose. Pollen data confirm that this occurred early in the interglacial when mixed oak forest was becoming established. The geological context of the sediments indicates that they post-date the Anglian glaciation, yet pre-date the Barling Gravel terrace aggradation, which has been ascribed to MIS 8. Amino acid racemisation data based on Bithynia opercula further constrain the age to the Hoxnian (=MIS 11) or to MIS 9. An MIS 9 attribution is favoured because (i) AAR data suggest that the sequence post-dates the interglacial channel-fill at Clacton, which is widely ascribed to the Hoxnian</t>
  </si>
  <si>
    <t>Journal of Geochemical Exploration</t>
  </si>
  <si>
    <t>10.1016/j.gexplo.2011.03.003</t>
  </si>
  <si>
    <t>https://www.scopus.com/inward/record.uri?eid=2-s2.0-79955478659&amp;doi=10.1016%2fj.gexplo.2011.03.003&amp;partnerID=40&amp;md5=570f4dc85c9aa2cf6855291b72f8cb93</t>
  </si>
  <si>
    <t>At present, environmental geochemical cartography using GIS-GeoDAS combined software has become an important tool in the study of polluted soils. Huelva Township, where several sources of pollution (related to acid mine drainage, industrial complexes, urban wastes...) take place is a singular environment to determine the geogenic natural content (background) and the anthropogenic contribution (baseline) applying the GIS-GeoDAS analysis. For this purpose, 150 surficial soil samples and 6 soil profiles were collected and analyzed using ICP-MS and ICP-ES for major and trace elements. The statistic analysis and the background values established have allowed to discriminate two ground of elements: a) anthropic sources (F1: Ag, As, Cd, Cu, Pb, Zn and Hg, among others) and b) natural sources (F2: mainly Al, Co, Cr, Ni, V and Be). Additionally, baseline maps show several elements sources related to AMD processes in the floodplain of the Tinto-Odiel estuary (As, Cd, Cu, Pb, and Zn, among others) and also associated with those areas where intense industrial activity has been developed. Arsenic, Cd, Cu, Pb, Ag and Zn baselines values are above the threshold values recommended by the Directive Commission of the European Community for soils and sludge and therefore represent a risk to human health. The established background and baseline values by GIS-GeoDAS could be used as generic values for the proper application of environmental soil regulations in the future. © 2011 Elsevier B.V.</t>
  </si>
  <si>
    <t>2-s2.0-79955478659"</t>
  </si>
  <si>
    <t>https://www.scopus.com/inward/record.uri?eid=2-s2.0-79952664803&amp;partnerID=40&amp;md5=5af218f7517603d5865d35e17edc006d</t>
  </si>
  <si>
    <t>New observations in the central Belgian Brussels Sands (transition Lower to Middle Eocene) allow to build a consistent model of the sedimentary processes and facies relationships of the deposit. The Brussels Sands fill a 120 km long and 40 km wide lowstand complex valley incision, correlated with the Yp10 50.0 Ma global lowstand. A marine transgression penetrated into the incised valleys transforming them first into estuaries and then into a tidal marine embayment. The sediment fill has a highstand signature. Filling started at the western bank, probably fed by a continuous coastal drift inferred to have existed along the southern North Sea coast. The West to East lateral progradation of the embayment shore created the ""westerly lateral accretion"" arrangement which dominates the Brussels Sands sedimentary record. This arrangement contains many gravity flow deposits, thought to be caused by breach failure. That mechanism conveyed coarser-grained sand from the embayment shore environment to the embayment floor. As the hydraulic section of the embayment narrowed, ""flow-section restriction"" events became more frequent, on either local or regional scale, depending on the presence and magnitude of intraformational relief and inherited paleorelief highs. Due to the section restriction, flow currents were increased locally causing lateral and vertical erosion to generate a short-lived accommodation space increase. Sedimentation outpaced the space creation rate and the narrowing channels and scour pits were filled with thick cross beds. Each time after filling the local space, the westerly lateral accretion resumed. The embayment closed with the deposition of the coarse glauconite sands in the East of the basin. A successive sea-level rise, following Lu1 at 48.1 Ma, caused a marine ravinement to truncate at least 10 to 20 metres of the top of the Brussels Sands.</t>
  </si>
  <si>
    <t>2-s2.0-79952664803"</t>
  </si>
  <si>
    <t>10.1007/s11852-010-0099-y</t>
  </si>
  <si>
    <t>https://www.scopus.com/inward/record.uri?eid=2-s2.0-79551604267&amp;doi=10.1007%2fs11852-010-0099-y&amp;partnerID=40&amp;md5=c7f1637279215c65ba09d8c5f108e872</t>
  </si>
  <si>
    <t>Historical records of sand drift and dune-building along the coastline of Western Europe provide insights into the natural processes of sand dune accretion and both the impacts of, and human responses to, sand incursions. The analysis of documentary records, instrumental data and proxy records over the last 1,000 years indicates that this period, which included the Little Ice Age (AD 1570-1900), featured numerous episodes of sand drift and dune development driven by strong winds associated with Atlantic storms. It is estimated that sand drift affected over a quarter of a million hectares of coastal land in Western Europe. The widespread use of vegetation to stabilise coastal dune systems and prevent sand drift is documented across Europe from AD 1100 and by the start of the 20th century all of the larger coastal dune systems in Portugal, France, Britain and Denmark were comparatively inactive. Given that Atlantic storminess has remained more or less unchanged over the last 200 years, modern dune management strategies which consider dune devegetation, driven by an increasing focus on 'naturalness', may give rise to a recurrence of sand drift problems. Predictions of increased storm frequencies by the end of the 21st century, coupled with sea level rise and potential changes in sand supply will present further challenges for the more 'dynamic' dune management strategies. © 2010 Springer Science+Business Media B.V.</t>
  </si>
  <si>
    <t>2-s2.0-79551604267"</t>
  </si>
  <si>
    <t>10.1130/G32052.1</t>
  </si>
  <si>
    <t>https://www.scopus.com/inward/record.uri?eid=2-s2.0-79959249601&amp;doi=10.1130%2fG32052.1&amp;partnerID=40&amp;md5=f19b0d349a0a3ae34404a9af1f07a516</t>
  </si>
  <si>
    <t>Stable isotope paleoaltimetry has been widely used to estimate Cenozoic surface elevation of major orogens. The infl uence of global climate change on stable isotope paleoaltimetry is uncertain, with proposals that warming could cause either overestimates or underestimates of past surface elevations. In this study we increase atmospheric pCO2 by two and four times in an isotope-tracking atmospheric general circulation model to investigate the effect of global warming on oxygen isotopic compositions of precipitation (δ 18Op) over the continents. As in other climate models, the response in the GENESIS version 3 model to global warming is an amplifi cation of upper troposphere temperatures through enhanced infrared absorption and a reduction in the surface to upper-level temperature gradient. Due to the temperature dependence of isotopic fractionation, vaporδ 18O (δ 18Ov) follows suit, leading to a reduction in the surface to upper troposphereδ 18Ov gradient. In regions of subsidence, including the major orogens and deserts, downward mixing of 18O-enriched vapor from the troposphere to the near surface further reduces the lapse rate ofδ 18Ov. As a consequence of these effects, the isotopic composition of precipitation in high-elevation regions, including the Tibetan Plateau, Rocky Mountains, European Alps, and Andean Plateau, increases by 3‰-6‰ relative to that at low elevations. Neglect of this climate effect on high-elevation δ 18Op has likely led to underestimates of the surface elevation of Cenozoic orogens. © 2011 Geological Society of America.</t>
  </si>
  <si>
    <t>2-s2.0-79959249601"</t>
  </si>
  <si>
    <t>10.1016/j.earscirev.2011.01.006</t>
  </si>
  <si>
    <t>https://www.scopus.com/inward/record.uri?eid=2-s2.0-79952185708&amp;doi=10.1016%2fj.earscirev.2011.01.006&amp;partnerID=40&amp;md5=ca81d4461db54dfdf73a74321d7bdb22</t>
  </si>
  <si>
    <t>Mediterranean areas of both southern Europe and North Africa are subject to dramatic changes that will affect the sustainability, quantity, quality, and management of water resources. Most climate models forecast an increase in temperature and a decrease in precipitation at the end of the 21st century. This will enhance stress on natural forests and shrubs, and will result in more water consumption, evapotranspiration, and probably interception, which will affect the surface water balance and the partitioning of precipitation between evapotranspiration, runoff, and groundwater flow. As a consequence, soil water content will decline, saturation conditions will be increasingly rare and restricted to periods in winter and spring, and snow accumulation and melting will change, especially in the mid-mountain areas. Future land management will be characterized by forest and shrub expansion in most Mediterranean mountain areas, as a consequence of farmland and grazing abandonment, with increasing human pressure localized only in some places (ski resort and urbanized of valley floors). In the lowlands, particularly in the coastal fringe, increasing water demand will occur as a consequence of expansion of irrigated lands, as well as the growth of urban and industrial areas, and tourist resorts.Future scenarios for water resources in the Mediterranean region suggest (1) a progressive decline in the average streamflow (already observed in many rivers since the 1980s), including a decline in the frequency and magnitude of the most frequent floods due to the expansion of forests</t>
  </si>
  <si>
    <t>10.1016/j.gloenvcha.2010.12.005</t>
  </si>
  <si>
    <t>https://www.scopus.com/inward/record.uri?eid=2-s2.0-79951784987&amp;doi=10.1016%2fj.gloenvcha.2010.12.005&amp;partnerID=40&amp;md5=210bc3892654febe59c065b0c74c38ff</t>
  </si>
  <si>
    <t>Flood risks of deltaic areas increase because of population growth, economic development, land subsidence and climatic changes such as sea-level rise. In this study, we analyze trends in flood exposure by combining spatially explicit historical, present, and future land-use data with detailed information on the maximum flood inundation in the Netherlands. We show that the total amount of urban area that can potentially become inundated due to floods from the sea or main rivers has increased six-fold during the 20th century, and may double again during the 21st century. Moreover, these developments took, and probably will take, place in areas with progressively higher potential inundation depths. Potential flood damage has increased exponentially over the 20th century (16 times) and is expected to continue to increase exponentially (∼ten-fold by 2100 with respect to 2000) assuming a high economic growth scenario. Flood damages increase more moderately (two- to three-fold by 2100 with respect to 2000) assuming a low growth scenario. The capacity to deal with catastrophic flood losses - expressed as the ratio damage/GDP - will, however, decrease slightly in the low growth scenario (by about 20%). This trend deviates from the historical trend of the 20th century, which shows an increasing capacity to cope with flood damage (almost doubling). Under the high growth scenario the capacity to deal with such losses eventually increases slightly (by about 25%). These findings illustrate that, despite higher projections of potential flood damage, high economic growth scenarios may not necessarily be worse than low growth scenarios in terms of the impact of floods. © 2010 Elsevier Ltd.</t>
  </si>
  <si>
    <t>2-s2.0-79951784987"</t>
  </si>
  <si>
    <t>10.1111/j.1365-2451.2011.00786.x</t>
  </si>
  <si>
    <t>https://www.scopus.com/inward/record.uri?eid=2-s2.0-79960496955&amp;doi=10.1111%2fj.1365-2451.2011.00786.x&amp;partnerID=40&amp;md5=ef583f85b425c024df921f9097160544</t>
  </si>
  <si>
    <t>Merapi is Indonesia's most dangerous volcano with a history of deadly eruptions. Over the past two centuries, the volcanic activity has been dominated by prolonged periods of lava dome growth and intermittent gravitational or explosive dome failures to produce pyroclastic flows every few years. Explosive eruptions, such as in 2010, have occurred occasionally during this period, but were more common in pre-historical time, during which a collapse of the western sector of the volcano occurred at least once. Variations in magma supply from depth, magma ascent rates and the degassing behaviour during ascent are thought to be important factors that control whether Merapi erupts effusively or explosively. A combination of sub-surface processes operating at relatively shallow depth inside the volcano, including complex conduit processes and the release of carbon dioxide into the magmatic system through assimilation of carbonate crustal rocks, may result in unpredictable explosive behaviour during periods of dome growth. Pyroclastic flows generated by gravitational or explosive lava dome collapses and subsequent lahars remain the most likely immediate hazards near the volcano, although the possibility of more violent eruptions that affect areas farther away from the volcano cannot be fully discounted. In order to improve hazard assessment during future volcanic crises at Merapi, we consider it crucial to improve our understanding of the processes operating in the volcano's plumbing system and their surface manifestations, to generate accurate hazard zonation maps that make use of numerical mass flow models on a realistic digital terrain model, and to utilize probabilistic information on eruption recurrence and inundation areas. © 2011 Blackwell Publishing Ltd, The Geologists' Association &amp; The Geological Society of London.</t>
  </si>
  <si>
    <t>2-s2.0-79960496955"</t>
  </si>
  <si>
    <t>10.1007/s10652-009-9160-5</t>
  </si>
  <si>
    <t>https://www.scopus.com/inward/record.uri?eid=2-s2.0-78651411689&amp;doi=10.1007%2fs10652-009-9160-5&amp;partnerID=40&amp;md5=98202784e4db2aa86b45f61f1204bfe0</t>
  </si>
  <si>
    <t>A tidal bore is a series of waves propagating upstream as the tidal flow turns to rising. It forms during the spring tide conditions when the tidal range exceeds 5-6 m and the flood tide is confined to a narrow funnelled estuary with low freshwater levels. A tidal bore is associated with a massive mixing of the estuarine waters that stirs the organic matter and creates some rich fishing grounds. Its occurrence is essential to many ecological processes and the survival of unique eco-systems. The tidal bore is also an integral part of the cultural heritage in many regions: the Qiantang River bore in China, the Severn River bore in UK, the Dordogne River in France. In this contribution, the environmental, ecological and cultural impacts of tidal bores are reviewed, explained and discussed. © 2009 Springer Science+Business Media B.V.</t>
  </si>
  <si>
    <t>2-s2.0-78651411689"</t>
  </si>
  <si>
    <t>10.1111/j.1468-2435.2010.00667.x</t>
  </si>
  <si>
    <t>https://www.scopus.com/inward/record.uri?eid=2-s2.0-79956222867&amp;doi=10.1111%2fj.1468-2435.2010.00667.x&amp;partnerID=40&amp;md5=33657d56a72954b488ec937b4ce45e8f</t>
  </si>
  <si>
    <t>Since the 1980's there has been an increasing debate throughout the world, that argues whether environmental degradation is a major cause of migration. Scientists claimed there were millions of ""environmental refugees"" in the late 1980s. The discussion of the links between environmental change and migration have since then been widely debated, especially because of the lack of empirical data on the linkages of the environment and migration. Within the last years the Nobel price winning International Panel on Climate Change (IPCC, 2007) raised awareness about future impacts of climate change and stated that extreme weather events will occur more frequently and the number of people affected will be highest in the low-lying deltas of Asia and Africa. Heavy rain in south eastern Africa in early 2008 flooded the low-lying river areas along the Zambezi River in Central Mozambique and displaced up to 80,000 people -- the second such occurrence within two years. This number adds to tens of thousands of people already displaced from floods and cyclones during 2000, 2001 and 2007. Flooding in Mozambique provides a picture of the vulnerability many developing countries experience vis-à-vis extreme climate events. Resettlement has become a policy of last resort for a government trying to ensure safety in a populated area. Mozambique has in recent years become a prominent example of environmentally induced displacement/migration caused by flooding, and the efforts of a government to balance the safety of threatened people with the need to earn livelihoods on floodplains. Hence, this paper aims to understand the impacts of current extreme weather events, especially for a region of the world where the population is surviving via subsistence economy. This paper intends to decrease the lack of data on the linkages between the environment, displacement and migration and identify the major issues in dealing with these impacts. © 2011 The Author. International Migration © 2011 IOM.</t>
  </si>
  <si>
    <t>2-s2.0-79956222867"</t>
  </si>
  <si>
    <t>Journal of Petrology</t>
  </si>
  <si>
    <t>10.1093/petrology/egq082</t>
  </si>
  <si>
    <t>https://www.scopus.com/inward/record.uri?eid=2-s2.0-79251495102&amp;doi=10.1093%2fpetrology%2fegq082&amp;partnerID=40&amp;md5=56a2a60cd1f926518936f25a0f95994c</t>
  </si>
  <si>
    <t>Three large dike systems are exposed in the Deccan Traps flood basalt province of India: the dominantly north-south-trending west coast swarm, the east-west-trending Narmada-Tapi swarm in the northcentral Deccan, and the Nasik-Pune swarm in the central western Deccan. Combined major and trace element and Sr-Nd-Pb isotope data reveal that probable feeder dikes for the three main lava formations in the upper part of the lava pile (Poladpur, Ambenali and Mahabaleshwar Formations) are abundantly represented in the Nasik-Pune and coastal swarms. As a group, these dikes have no clear preferred trend. Among the highly oriented dikes of the Narmada-Tapi and west coastal areas, some have affinities with the lower part of the lava pile (Jawhar, Igatpuri, Thakurvadi and Bushe Formations) and these appear to have been intruded under the influence of regional north-south and east-west extension, respectively. Other dikes in the Narmada-Tapi swarm have the high-206Pb/204Pb characteristic of flows in the far northeastern Deccan. These data suggest that Deccan lava flows could have reached as much as 700 km in length. Directed lithospheric extension appears to have been an important control on the emplacement of feeder dikes for the lower and middle formations. In contrast, emplacement of the voluminous upper formations, which span the Cretaceous-Tertiary boundary and 29R-N magnetic reversal and are estimated to make up ≥50% of Deccan lava volume, was not controlled by directed regional extension. This conclusion contradicts predictions of rifting-based models for Deccan volcanism. Finally, isotopically distinct, north-south-trending dikes cut upper-formation flows and dikes along the coast</t>
  </si>
  <si>
    <t>10.1038/ngeo1115</t>
  </si>
  <si>
    <t>https://www.scopus.com/inward/record.uri?eid=2-s2.0-79953656464&amp;doi=10.1038%2fngeo1115&amp;partnerID=40&amp;md5=e44e93fe99a75658b33323a01c052dc8</t>
  </si>
  <si>
    <t>The relative motion between the Caribbean and North American plates is accommodated by several active faults around Hispaniola Island. The Enriquillo-Plantain Garden fault in southern Haiti is one of these structures. Strain equivalent to a magnitude 7.2 earthquake is estimated to have accumulated along this fault since its last significant activity. The Haiti earthquake of 12 January 2010 was initially reported to have occurred along this fault, but more recent studies proposed slips on previously unrecognized, neighbouring faults. Here we use interferometric synthetic aperture radar data to show that surface deformation caused by the earthquake does not correspond to the present topography. Alluvial fan deltas were uplifted on the north side of the Enriquillo-Plantain Garden fault, whereas mountains located on the south side of the fault subsided, implying that faults other than the Enriquillo-Plantain Garden fault were responsible for the deformation. To determine fault structure, we fit the satellite surface deformation data to a fault model. We show that slip occurred on a fault dipping northward at 42 °, with large thrust components. The maximum displacement on the fault was about 4 m at 10-20 km depth, offshore from the Tiburon peninsula. We confirm that the earthquake ruptured a blind thrust fault and show that the fault could not be identified from large-scale present-day topography. © 2011 Macmillan Publishers Limited. All rights reserved.</t>
  </si>
  <si>
    <t>2-s2.0-79953656464"</t>
  </si>
  <si>
    <t>10.1080/15715124.2011.607824</t>
  </si>
  <si>
    <t>https://www.scopus.com/inward/record.uri?eid=2-s2.0-82455174495&amp;doi=10.1080%2f15715124.2011.607824&amp;partnerID=40&amp;md5=50a92fd3665176134a99496d6760f057</t>
  </si>
  <si>
    <t>This paper describes a planning process combining river flood management with spatial planning. Within the IJssel Delta project, a river bypass in the river IJssel, one of the major Dutch rivers, is planned to reduce the risk of flooding in view of expected climate change effects. The challenge for this project was to combine various developments (bypass, urban development, nature, leisure, infrastructure and agriculture) in the area into a single integrated spatial development plan, acceptable to all stakeholders. This included resolving spatial conflicts between separate developments regarding (i) flood protection, (ii) infrastructure and (iii) housing. During the planning process various bypass alternatives were considered to determine the span width of possible solutions. Various technical issues related to the bypass design have been studied using state-of-the-art methods. A participatory approach involving public and private stakeholders has been used to secure a widely accepted development plan. The plan has been adopted by the responsible authorities. It is now in the final planning stage and is scheduled for execution from 2013 onwards. © 2011 International Association for Hydro-Environment Engineering and Research.</t>
  </si>
  <si>
    <t>2-s2.0-82455174495"</t>
  </si>
  <si>
    <t>10.1007/s11069-010-9631-5</t>
  </si>
  <si>
    <t>https://www.scopus.com/inward/record.uri?eid=2-s2.0-79955521099&amp;doi=10.1007%2fs11069-010-9631-5&amp;partnerID=40&amp;md5=9ba686043f78eef619163169e9638fe3</t>
  </si>
  <si>
    <t>The purpose of this research is to explore indigenous coping strategies and identify underlying demographic, socio-economic and other relevant variables that influence the adoption of coping strategies in three distinct cyclone-prone coastal villages of Bangladesh. The study finds that cyclones and induced surges are a recurrent phenomenon in coastal Bangladesh</t>
  </si>
  <si>
    <t>10.1007/s10236-011-0383-x</t>
  </si>
  <si>
    <t>https://www.scopus.com/inward/record.uri?eid=2-s2.0-79957925869&amp;doi=10.1007%2fs10236-011-0383-x&amp;partnerID=40&amp;md5=56a0e9284a06e37cb049cc140ad761ff</t>
  </si>
  <si>
    <t>In this paper, mean sea level changes in the German Bight, the south-eastern part of the North Sea, are analysed. Records from 13 tide gauges covering the entire German North Sea coastline and the period from 1843 to 2008 have been used to derive high quality relative mean sea level time series. Changes in mean sea level are assessed using non-linear smoothing techniques and linear trend estimations for different time spans. Time series from individual tide gauges are analysed and then 'virtual station' time series are constructed (by combining the individual records) which are representative of the German Bight and the southern and eastern regions of the Bight. An accelerated sea level rise is detected for a period at the end of the nineteenth century and for another one covering the last decades. The results show that there are regional differences in sea level changes along the coastline. Higher rates of relative sea level rise are detected for the eastern part of the German Bight in comparison to the southern part. This is most likely due to different rates of vertical land movement. In addition, different temporal behaviour of sea level change is found in the German Bight compared to wider regional and global changes, highlighting the urgent need to derive reliable regional sea level projections for coastal planning strategies. © 2011 Springer-Verlag.</t>
  </si>
  <si>
    <t>2-s2.0-79957925869"</t>
  </si>
  <si>
    <t>10.1175/2010JHM1341.1</t>
  </si>
  <si>
    <t>https://www.scopus.com/inward/record.uri?eid=2-s2.0-79955024455&amp;doi=10.1175%2f2010JHM1341.1&amp;partnerID=40&amp;md5=43fc4d9f0f871cdcb3e51489b2e7082a</t>
  </si>
  <si>
    <t>Heavy precipitation and the resulting flooding are the most serious weather-related hazards over the west coast of North America. This paper analyzes the trends in heavy precipitation for the period 1950-2009 by examining the decadal distributions of the top 60, 40, and 20 two-day precipitation events for a collection of stations along the coastal zone of the United States and British Columbia, as well as the decadal distribution of maximum daily discharge for unregulated rivers from northern California to Washington State. During the past 60 years there has been a modest increase in heavy precipitation events over southern and central coastal California, a decline in heavy events from northern California through the central Oregon coast, a substantial increase in major events over Washington, and a modest increase over coastal British Columbia. Most of these trends are not significantly different from zero at the 95% level. The trends in maximum daily discharge of unregulated rivers are consistent with the above pattern, with increasing discharges over the past three decades over Washington and northern Oregon and declines over the remainder of Oregon and northern California. Finally, the above trends in heavy rainfall and daily discharge are compared to the future patterns indicated by general circulation models under various global warming scenarios. © 2011 American Meteorological Society.</t>
  </si>
  <si>
    <t>2-s2.0-79955024455"</t>
  </si>
  <si>
    <t>10.1007/s12524-011-0066-6</t>
  </si>
  <si>
    <t>https://www.scopus.com/inward/record.uri?eid=2-s2.0-79959374027&amp;doi=10.1007%2fs12524-011-0066-6&amp;partnerID=40&amp;md5=8ef184f95a39ccddae151519f898c1ab</t>
  </si>
  <si>
    <t>Present topography of Bhuban Hills, lying in the Indo-Burman frontal fold belt of Northeastern part of India, is an aberration from a normal anticlinal morphology and exhibits several transverse and longitudinal fault affected segments resulting into distinct morphotectonic units. Six different morphotectonic units could be delineated along N-S stretch of the hill ridge. The western side of the northern most part of the hill ridge forms steep escarpment as this portion has been affected by the longitudinal faulting representing a case of fault propagation folding. The northernmost segment comprising three morphotectonic units (MU1 to MU3) is unique in the sense that this part exhibits effect of both the longitudinal and transverse faulting, uplifted narrow ridge with downthrown eastern side (MU2). Northern part of the Bhuban Hills has become curved westward due to the right lateral movement along the transverse fault TF1. The fifth morphotectonic unit (MU5) has undergone subsidence whereas, the sixth unit (MU6) exhibit bulging effect as this part experienced differential fault movements. Stream profiles, longitudinal and transverse topographic profiles extracted from contour map and Digital Elevation Model corroborated with the topographical anomalies developed over the Bhuban Hills. © 2011 Indian Society of Remote Sensing.</t>
  </si>
  <si>
    <t>2-s2.0-79959374027"</t>
  </si>
  <si>
    <t>10.1111/j.1365-2117.2010.00465.x</t>
  </si>
  <si>
    <t>https://www.scopus.com/inward/record.uri?eid=2-s2.0-78751538437&amp;doi=10.1111%2fj.1365-2117.2010.00465.x&amp;partnerID=40&amp;md5=23318f2423b13b61774b1d094d9cc9d0</t>
  </si>
  <si>
    <t>In this paper, we will present the stratigraphic evolution, internal facies architecture and geomorphology of the Middle Pleistocene Emme delta, controlled by rapid high-amplitude lake-level change. The Emme delta was deposited on the northern margin of glacial Lake Weser, located in north-west Germany. Rates of lake-level rise were probably &gt;50mmyear-1 and rates of lake-level fall 30-50m within a few days or weeks, due to the opening of lake outlets. We use digital elevation models, sedimentology and shear wave seismics to improve earlier reconstructions and investigate the influence of rapid base-level change on delta development. Shear wave seismic data resolve architectural elements in the range of metres and bridge the common gap between outcrop and conventional compression wave seismic data. The radial delta complex is about 2km long, 1.8km wide and up to 70m thick, overlying a concave, up to 13° steep dipping ramp surface. It consists of vertically and laterally stacked delta lobes, caused by lobe switching during base-level change. During the lake-level rise, vertically stacked (Gilbert-type) delta systems formed. The decrease in thickness and lateral extent indicates a rapid upslope shift of depocentres. A high rate and magnitude of lake-level fall (50m) promoted the development of a single incised valley and the deposition of forced regressive coarse-grained delta lobes in front of the valley. The incised valley was filled during decreasing rates of lake-level fall and low base-level, because the alluvial gradient was larger than the emergent lake profile. Attached sand-rich forced regressive aprons formed during lower magnitudes of lake-level falls in the range of 30-35m. Valley incision occurred, but was limited to the uppermost portion of the delta, controlled by the steep slope. The incised valley related to the final lake drainage is associated with long-wavelength (60-90m) bedforms at the downslope end, attributed to the formation of standing waves as a result of a hydraulic jump. Estimated palaeoflow depth during standing wave formation was ∼9-14m and flow velocity was 10-12ms-1. Because subsidence, waves or tides did not play a major role, the Emme delta can be used as an analogue-based predictive stratigraphical and sedimentological model for steep glacigenic deltas controlled by rapid base-level change and can help to understand better the facies distribution and three-dimensional geometry of these depositional systems. © 2010 The Authors. Basin Research © 2010 Blackwell Publishing Ltd, European Association of Geoscientists &amp; Engineers and International Association of Sedimentologists.</t>
  </si>
  <si>
    <t>2-s2.0-78751538437"</t>
  </si>
  <si>
    <t>10.1007/s10584-010-9996-1</t>
  </si>
  <si>
    <t>https://www.scopus.com/inward/record.uri?eid=2-s2.0-79953743518&amp;doi=10.1007%2fs10584-010-9996-1&amp;partnerID=40&amp;md5=817959526baf78a29598bcfd057f6090</t>
  </si>
  <si>
    <t>The paper focuses on relocation, retreat, zoning, insurance, and subsidy as major dimensions of coastal hazard mitigation measures that have resurfaced as potent forces for combating coastal inundation and climate change. It reviews the issues surrounding the practice of these measures and discusses compatibilities of policies, engineering measures, and natural defense. Property rights, development interest, and distorted financial incentives pose as main barriers to coastal relocation and retreat policies in hazard-prone areas. To understand and propose coastal adaptation solutions, the paper recommends place-based studies of local coastal adaptation strategies. Place-based studies offer an in-depth knowledge of local conditions specifically regarding the level of implementation of hazard mitigation policies, and shed light on important trade-offs and synergies of various hazard policies. In addition, coupling existing hazard mitigation policies with coastal management and community management can better inform long-term and comprehensive planning of coastal adaptation. © 2010 Springer Science+Business Media B.V.</t>
  </si>
  <si>
    <t>2-s2.0-79953743518"</t>
  </si>
  <si>
    <t>Journal of Global Environment Engineering</t>
  </si>
  <si>
    <t>https://www.scopus.com/inward/record.uri?eid=2-s2.0-79955080637&amp;partnerID=40&amp;md5=46d3269605afce89207c4c211332692c</t>
  </si>
  <si>
    <t>In Japan, large populations and property are concentrated in vast, low-lying coastal lands. These areas are at increased risk of inundation by storm surges, which would be exacerbated by rising sea levels and stronger typhoons in the event of global warming. This study created a numerical model to estimate inundation damage by calculating the probability of storm surge occurrence and the area of land inundated. The model examined the Pacific coast of southern Japan to estimate the inundated area, inundated population, and damage corresponding to varying sea level increases and storm surge heights. The results indicate that the inundated area, population affected, and damage increase linearly with increasing sea levels and storm surge heights. Furthermore, low-lying land surrounding Japan's three major bays, the Seto Inland Sea, and northwestern Kyushu are at the highest risk of inundation by storm surges.</t>
  </si>
  <si>
    <t>2-s2.0-79955080637"</t>
  </si>
  <si>
    <t>10.1016/j.ecolmodel.2010.01.012</t>
  </si>
  <si>
    <t>https://www.scopus.com/inward/record.uri?eid=2-s2.0-78649970223&amp;doi=10.1016%2fj.ecolmodel.2010.01.012&amp;partnerID=40&amp;md5=5aef644168a2110fc30dd9654062e607</t>
  </si>
  <si>
    <t>Vegetation management in shallow groundwater table environments requires an understanding of the interactions between the physical and biological factors that determine root-zone soil salinization and moisture. In this study, the effects of groundwater depth and flood irrigation strategies on water and salt dynamics and reed water use were analyzed in the shallow groundwater region of the Yellow River Delta in China using the HYDRUS-1D model. The results indicated that there is a conflict between water, salt stress, and reed water use with variations in groundwater depth. A water table depth of 3.5. m is the minimum limit to maintain a safe level of soil salinity, but at this depth, the environmental stress on reeds is worsened by the decrease in soil water storage. Maintaining the flood pulses on the wetland, especially during May, may be critical for restoring the reed wetland in the Yellow River Delta. © 2010 Elsevier B.V.</t>
  </si>
  <si>
    <t>2-s2.0-78649970223"</t>
  </si>
  <si>
    <t>10.1016/j.ecoleng.2010.11.027</t>
  </si>
  <si>
    <t>https://www.scopus.com/inward/record.uri?eid=2-s2.0-78751702176&amp;doi=10.1016%2fj.ecoleng.2010.11.027&amp;partnerID=40&amp;md5=97560863331c1a5a0a19073530b08c01</t>
  </si>
  <si>
    <t>Traditionally, protection of the coastal area from flooding is approached from an engineering perspective. This approach has often resulted in negative or unforeseen impacts on local ecology and is even known to impact surrounding ecosystems on larger scales. In this paper, the utilization of ecosystem engineering species for achieving civil-engineering objectives or the facilitation of multiple use of limited space in coastal protection is focused upon, either by using ecosystem engineering species that trap sediment and damp waves (oyster beds, mussel beds, willow floodplains and marram grass), or by adjusting hard substrates to enhance ecological functioning. Translating desired coastal protection functionality into designs that make use of the capability of appropriate ecosystem engineering species is, however, hampered by lack of a generic framework to decide which ecosystem engineering species or what type of hard-substrate adaptations may be used where and when. In this paper we review successful implementation of ecosystem engineering species in coastal protection for a sandy shore and propose a framework to select the appropriate measures based on the spatial and temporal scale of coastal protection, resulting in a dynamic interaction between engineering and ecology. Modeling and monitoring the bio-physical interactions is needed, as it allows to upscale successful implementations and predict otherwise unforeseen impacts. © 2010 Elsevier B.V.</t>
  </si>
  <si>
    <t>2-s2.0-78751702176"</t>
  </si>
  <si>
    <t>10.5194/nhess-11-883-2011</t>
  </si>
  <si>
    <t>https://www.scopus.com/inward/record.uri?eid=2-s2.0-79952917675&amp;doi=10.5194%2fnhess-11-883-2011&amp;partnerID=40&amp;md5=41dcbf214fe21fc309bff489ce19aa5f</t>
  </si>
  <si>
    <t>Within the framework of the SCHEMA FP6 EC co-funded project (http://www.schemaproject.org), we have identified the sources of errors/uncertainties that can be introduced at several steps of the damage assessment process, from post-disaster field measures up to hazard and damages maps production. Errors, for instance, are introduced when collecting post-disaster observations owing to different types of instruments/methods, water marks considered, tide correction, etc.: in extreme cases, differences of meters can be found between water heights data published by different teams for the same locations. Much uncertainty comes from difficulties in identifying and characterizing the potential tsunami sources and from numerical modelling. Moreover, the resolution of the employed Digital Terrain Models can noticeably affect the predicted inundation extent. We have also verified that the consistency of the computations on the long term varies sensitively depending on the code, raising the problem of results reliability for emergency management in dangerous coasts exposed to repeated waves. In addition, damage assessment is performed using damage functions linking the mean damage level on buildings with the maximum water elevation measured in the field without considering other tsunami parameters such as stream velocity. Finally, we examined uncertainties introduced in hazard and vulnerability mapping due to cartographic processing. © Author(s) 2011.</t>
  </si>
  <si>
    <t>2-s2.0-79952917675"</t>
  </si>
  <si>
    <t>10.1016/j.chemgeo.2010.10.016</t>
  </si>
  <si>
    <t>https://www.scopus.com/inward/record.uri?eid=2-s2.0-78650729549&amp;doi=10.1016%2fj.chemgeo.2010.10.016&amp;partnerID=40&amp;md5=abbc2c3f093fdc563ffd8d5552c54a77</t>
  </si>
  <si>
    <t>Organic matter is an important factor that cannot be neglected when considering global carbon cycle. New data including organic matter geochemistry at the small watershed scale are needed to elaborate more constrained carbon cycle and climatic models. The objectives are to estimate the DOC and DIC yields exported from small tropical watersheds and to give strong constraints on the carbon hydrodynamic of these systems. To answer these questions, we have studied the geochemistry of eleven small watersheds around Basse-Terre volcanic Island in the French West Indies during different hydrological regimes from 2006 to 2008 (i.e. low water level versus floods). We propose a complete set of carbon measurements, including DOC and DIC concentrations, δ13C data, and less commonly, some spectroscopic indicators of the nature of organic matter. The DOC/DIC ratio varies between 0.07 and 0.30 in low water level and between 0.25 and 1.97 during floods, indicating that organic matter is mainly exported during flood events. On the light of the isotopic composition of DOC, ranging from -32.8 to -26.2‰ during low water level and from -30.1 to -27.2‰ during floods, we demonstrate that export of organic carbon is mainly controlled by perennial saprolite groundwaters, except for flood events during which rivers are also strongly influenced by soil erosion. The mean annual yields ranged from 2.5 to 5.7tkm-2year-1 for the DOC and from 4.8 to 19.6tkm-2year-1 for the DIC and exhibit a non-linear relationship with slopes of watersheds. The flash floods explain around 60% of the annual DOC flux and between 25 and 45% of the DIC flux, highlighting the important role of these extreme meteorological events on global carbon export in small tropical volcanic islands. From a carbon mass balance point of view the exports of dissolved carbon from small volcanic islands are important and should be included in global organic carbon budgets. © 2010 Elsevier B.V.</t>
  </si>
  <si>
    <t>2-s2.0-78650729549"</t>
  </si>
  <si>
    <t>10.1016/j.earscirev.2011.01.009</t>
  </si>
  <si>
    <t>https://www.scopus.com/inward/record.uri?eid=2-s2.0-79958822039&amp;doi=10.1016%2fj.earscirev.2011.01.009&amp;partnerID=40&amp;md5=1c843b1154f2bc04312b840b11ad3945</t>
  </si>
  <si>
    <t>This manuscript presents empirical building fragility functions that were developed based on data obtained from the 29th September 2009 South Pacific tsunami. A multi-disciplinary reconnaissance team involving topographic surveyors, tsunami/hydrology modellers, structural engineers, and risk analysts collected observational and quantitative data on building damage and the tsunami demand. A diverse range of collected data, which included a topographic survey, observed water depths, predominant flow directions, inundation limits, building damage, and eyewitness reports, were used to recreate the peak tsunami-induced demands on structures at each of the survey locations. Using the interpreted data, fragility functions were developed for a variety of building classes using logistic regression. It was observed that residential timber structures were more fragile (i.e. have a higher likelihood of damage for a given water depth) than masonry residential structures for severe and collapse damage states. Conversely, residential reinforced concrete structures were observed to be less fragile than residential masonry structures for severe and collapse damage states. The influence of 'shielding' and 'entrained debris' effects on fragility functions were also quantified using the empirical data. Other parameters such as velocity or impact duration were not considered due to the paucity of data. The results of this study contribute to the ongoing development of robust methods for explicitly estimating tsunami-induced risk to coastal communities. © 2011 Elsevier B.V.</t>
  </si>
  <si>
    <t>2-s2.0-79958822039"</t>
  </si>
  <si>
    <t>10.1007/s10584-010-9927-1</t>
  </si>
  <si>
    <t>https://www.scopus.com/inward/record.uri?eid=2-s2.0-79955027295&amp;doi=10.1007%2fs10584-010-9927-1&amp;partnerID=40&amp;md5=e831f0404e312ca6535c4a38c426e6e1</t>
  </si>
  <si>
    <t>The temporal distributions of the nation's four major storm types during 1950-2005 were assessed, including those for thunderstorms, hurricanes, tornadoes, and winter storms. Storms are labeled as catastrophes, defined as events causing $1 million or more in property losses, based on time-adjusted data provided by the insurance industry. Most catastrophic storms occurred in the eastern half of the nation. Analysis of the regional and national storm frequencies revealed there was little time-related relationship between storm types, reflecting how storm types were reported. That is, when tornadoes occurred with thunderstorms, the type producing the greatest losses was the one identified by the insurance industry, not both. Temporal agreement was found in the timing of relatively high incidences of thunderstorms, hurricanes, and winter storms during 2002-2005. This resulted in upward time trends in the national losses of hurricane and thunderstorm catastrophes, The temporal increase in hurricanes is in agreement with upward trends in population density, wealth, and insurance coverage in Gulf and East coastal areas. The upward trends in thunderstorm catastrophes and losses result from increases in heavy rain days, floods, high winds, and hail days, revealing that atmospheric conditions conducive to strong convective activity have been increasing since the 1960s. Tornado catastrophes and their losses peaked in 1966-1973 and had no upward time trend. Temporal variability in tornado catastrophes was large, whereas the variability in hurricane and thunderstorm catastrophes was only moderate, and that for winter storms was low. © 2010 Springer Science+Business Media B.V.</t>
  </si>
  <si>
    <t>2-s2.0-79955027295"</t>
  </si>
  <si>
    <t>10.1007/s11852-010-0119-y</t>
  </si>
  <si>
    <t>https://www.scopus.com/inward/record.uri?eid=2-s2.0-79551594990&amp;doi=10.1007%2fs11852-010-0119-y&amp;partnerID=40&amp;md5=65e0f646fcbb03545fd565c85a8186af</t>
  </si>
  <si>
    <t>Like many resources in the Chesapeake Bay region of the U. S., many waterbird nesting populations have suffered over the past three to four decades. In this study, historic information for the entire Bay and recent results from the Tangier Sound region were evaluated to illustrate patterns of island erosion and habitat loss for 19 breeding species of waterbirds. Aerial imagery and field data collected in the nesting season were the primary sources of data. From 1993/1994 to 2007/2008, a group of 15 islands in Tangier Sound, Virginia were reduced by 21% in area, as most of their small dunes and associated vegetation and forest cover were lost to increased washovers. Concurrently, nesting American black ducks (Anas rubripes) declined by 66%, wading birds (herons-egrets) by 51%, gulls by 72%, common terns (Sterna hirundo) by 96% and black skimmers (Rynchops niger) by about 70% in this complex. The declines noted at the larger Bay-wide scale suggest that this study area maybe symptomatic of a systemic limitation of nesting habitat for these species. The island losses noted in the Chesapeake have also been noted in other Atlantic U. S. coastal states. Stabilization and/or restoration of at least some of the rapidly eroding islands at key coastal areas are critical to help sustain waterbird communities. © 2010 US Government.</t>
  </si>
  <si>
    <t>2-s2.0-79551594990"</t>
  </si>
  <si>
    <t>10.1108/17568691111107943</t>
  </si>
  <si>
    <t>https://www.scopus.com/inward/record.uri?eid=2-s2.0-84861771003&amp;doi=10.1108%2f17568691111107943&amp;partnerID=40&amp;md5=d3f3ab474e2ab24ad347501af0a83320</t>
  </si>
  <si>
    <t>Purpose: This paper aims to present part of the research results in developing an adaptation process to cope with flood risk in coastal cities under the impact of climate change variability and rapid urbanization in Ho Chi Minh City, Vietnam. Design/methodology/approach: Two main assessment tools applied in this research are rapid vulnerability assessment and tool for environmental assessment and management. Findings: Under the same natural conditions, people living in more urbanized districts suffer with more inundation and risks from polluted floodwater than those who live in less urbanized districts. Notwithstanding, people in lower urbanized districts are more vulnerable since they have a low capacity to cope with flood and pollution due to flood-prone living conditions, poverty and lack of awareness on the changing variability and water pollution. Gender analysis in this research has found that men and women play different roles in coping with hazards, and women suffer with more risks than men especially in term of health, sexual harassment, and increasing responsibility. Practical implications: The adaptation process should focus on integrating vulnerability assessment findings appropriately with the assessment tools and gender analysis in order to develop as well as implement adaptation measures effectively and efficiently. This adaptation process should also be applied for other countries having different contexts of development under different levels of projected climate change-related risks. Originality/value: This research contributes in developing the process on adaptation to possible hazards related to climate change, especially for coastal communities of Vietnam and developing countries where the urbanization process is increasing rapidly. © Emerald Group Publishing Limited.</t>
  </si>
  <si>
    <t>2-s2.0-84861771003"</t>
  </si>
  <si>
    <t>10.1134/S000143701103012X</t>
  </si>
  <si>
    <t>https://www.scopus.com/inward/record.uri?eid=2-s2.0-79959661003&amp;doi=10.1134%2fS000143701103012X&amp;partnerID=40&amp;md5=679d42bf72723fefc357a89c3bd3c5a6</t>
  </si>
  <si>
    <t>A high-frequency (1.2 MHz) four-beam Acoustic Doppler Current Profiler (ADCP) moored on the sea bottom was used for the direct measurements of the turbulence parameters in the shallow (20 m) coastal zone of the eastern English Channel. The measurements were as long as four tidal cycles during the period of the spring tide development. The measurements in the ocean and estimates showed that the Reynolds stress variability coincided with the semidiurnal tide. Their maximum values during the flood phase were approximately 1.5 Pa, while, during the ebb phase, they reached -1. 2 Pa. The variations of the turbulence's kinetic energy (TKE) and the rate of its production (P) coincided with the period of the tidal harmonic M4. Their maximum values were found during the flood phase near the bottom, and they were approximately equal to 0.03 m2/s2 and 0.8 W/m3, respectively. These values decreased rapidly with the distance from the bottom. During the periods of low stagnant water, the values of TKE and P in the water column decreased to the minimum values (2 × 10-3 m2/s2 and 3 × 10-5 W/m3, respectively), which coincided with the moment of the current's reversal flow. The results demonstrated the dominating role of the tidal motion, which controls the structure and intensity of the turbulence in the bottom layer, and revealed the characteristic asymmetry of its distribution related to the nonlinear character of the tidal cycle. © 2011 Pleiades Publishing, Ltd.</t>
  </si>
  <si>
    <t>2-s2.0-79959661003"</t>
  </si>
  <si>
    <t>10.1029/2010JF001891</t>
  </si>
  <si>
    <t>https://www.scopus.com/inward/record.uri?eid=2-s2.0-79955530003&amp;doi=10.1029%2f2010JF001891&amp;partnerID=40&amp;md5=41889de32a6bf99a73460d429ae9aa94</t>
  </si>
  <si>
    <t>Sea level rise during the 21st century will have a wide range of effects on coastal environments, human development, and infrastructure in coastal areas. The broad range of complex factors influencing coastal systems contributes to large uncertainties in predicting long-term sea level rise impacts. Here we explore and demonstrate the capabilities of a Bayesian network (BN) to predict long-term shoreline change associated with sea level rise and make quantitative assessments of prediction uncertainty. A BN is used to define relationships between driving forces, geologic constraints, and coastal response for the U.S. Atlantic coast that include observations of local rates of relative sea level rise, wave height, tide range, geomorphic classification, coastal slope, and shoreline change rate. The BN is used to make probabilistic predictions of shoreline retreat in response to different future sea level rise rates. Results demonstrate that the probability of shoreline retreat increases with higher rates of sea level rise. Where more specific information is included, the probability of shoreline change increases in a number of cases, indicating more confident predictions. A hindcast evaluation of the BN indicates that the network correctly predicts 71% of the cases. Evaluation of the results using Brier skill and log likelihood ratio scores indicates that the network provides shoreline change predictions that are better than the prior probability. Shoreline change outcomes indicating stability (-1 &lt; rate &lt; 1 m/yr) or erosion (rate &lt; -1 m/yr) tend to occur for two sets of input scenarios. Stable shoreline change rates occur mainly for low rates of relative sea level rise and occur in low-vulnerability geomorphic settings. Rates indicating erosion result for cases where the rate of relative sea level rise is high and moderate-to-high vulnerability geomorphic settings occur. In contrast, accretion (rate &gt; 1 m/yr) was not well predicted. We find that BNs can assimilate important factors contributing to coastal change in response to sea level rise and can make quantitative, probabilistic predictions that can be applied to coastal management decisions. Copyright © 2011 by the American Geophysical Union.</t>
  </si>
  <si>
    <t>2-s2.0-79955530003"</t>
  </si>
  <si>
    <t>10.1007/s11069-010-9599-1</t>
  </si>
  <si>
    <t>https://www.scopus.com/inward/record.uri?eid=2-s2.0-79951720964&amp;doi=10.1007%2fs11069-010-9599-1&amp;partnerID=40&amp;md5=10cec97143cffaf3021d77b0ce41421b</t>
  </si>
  <si>
    <t>Coastal flooding poses serious threats to coastal areas, and the vulnerability of coastal communities and economic sectors to flooding will increase in the coming decades due to environmental and socioeconomic changes. It is increasingly recognised that estimates of the vulnerability of cities are essential for planning adaptation measures. Jakarta is a case in point, since parts of the city are subjected to regular flooding on a near-monthly basis. In order to assess the current and future coastal flood hazard, we set up a GIS-based flood model of northern Jakarta to simulate inundated area and value of exposed assets. Under current conditions, estimated damage exposure to extreme coastal flood events with return periods of 100 and 1,000 years is high (€4.0 and €5.2 billion, respectively). Under the scenario for 2100, damage exposure associated with these events increases by a factor 4-5, with little difference between low/high sea-level rise scenarios. This increase is mainly due to rapid land subsidence and excludes socioeconomic developments. We also develop a detemporalised inundation scenario for assessing impacts associated with any coastal flood scenario. This allows for the identification of critical points above which large increases in damage exposure can be expected and also for the assessment of adaptation options against hypothetical user-defined levels of change, rather than being bound to a discrete set of a priori scenarios. The study highlights the need for urgent attention to the land subsidence problem</t>
  </si>
  <si>
    <t>10.1007/s12209-011-1515-6</t>
  </si>
  <si>
    <t>https://www.scopus.com/inward/record.uri?eid=2-s2.0-79955901226&amp;doi=10.1007%2fs12209-011-1515-6&amp;partnerID=40&amp;md5=4c19b3aae4318d4eb8eba3612b129993</t>
  </si>
  <si>
    <t>A two-dimensional numerical model of extratropical storm surge and inundation in Bohai Bay was built based on the unsteady flow Navier-Stokes equations. The model included two sections, one was for the simulation of storm surge tidal level and the other for the simulation of storm surge inundation in the coastal area. While simulating the storm surge tidal level, the alternating direction implicit (ADI) method was applied to dispersing and solving 2D storm surge equations. In the simulation of storm surge inundation, the 2D unsteady flow equations were dispersed and solved using the structureless grids of finite volume method (FVM). A coupling calculation mode of the process of inundation and storm surge tidal level variation was proposed, therefore the storm surge inundation process and area could be calculated while simulating and forecasting the process of storm surge tidal setup. Furthermore, an extratropical storm surge and inundation in Bohai Bay were simulated using this numerical model. Simulation results are in good agreement with the measured data, which shows that this numerical model provides a new method of simulating and forecasting storm surge and inundation in Bohai Bay. © 2011 Tianjin University and Springer-Verlag Berlin Heidelberg.</t>
  </si>
  <si>
    <t>2-s2.0-79955901226"</t>
  </si>
  <si>
    <t>10.5670/oceanog.2011.100</t>
  </si>
  <si>
    <t>https://www.scopus.com/inward/record.uri?eid=2-s2.0-84930473846&amp;doi=10.5670%2foceanog.2011.100&amp;partnerID=40&amp;md5=bf729483ce2c9b3d626802dd57e3b60f</t>
  </si>
  <si>
    <t>Taiwan's rugged, mountainous terrain, a result of active tectonics, and its monsoonal climate create conditions that produce the greatest sediment yield compared to all land surfaces on Earth. It is estimated that, on average, Taiwanese rivers discharge ~ 150 million tons of sediment annually into Taiwan Strait. The rivers discharge most of the sediment during the relatively short time periods of torrential rains often associated with typhoons, and thus the waters have a high mud fraction (fine-grained sediment, mainly composed of clay). The voluminous amount of sediment that rapidly accumulates near river mouths is dispersed effectively. On a longer time scale, there is persistent northward sediment transport. In this study, we examine the Jhoushuei River system, which has the largest average annual sediment load in Taiwan. The first survey was conducted in 2008, 40 hours after peak fluvial discharge caused by Typhoon Kalmaegi. We measured sediment discharge in the lower reach of the river channel and surveyed suspended sediment distribution in the coastal zone near the river mouth. During Kalmaegi's landfall on Taiwan, suspendedsediment concentration in the Jhoushuei River reached as high as 120 g L-1 and the estimated total sediment discharge was about 30 million tons. Since then, we have conducted surveys on four more occasions in the coastal zone near the river mouth, where we measured suspended-sediment concentrations and currents, and sampled surface sediments over several tidal cycles. The initial results shed light on the mechanism of efficient sediment dispersal during massive sediment-discharge events. Fine-grained sediments originally deposited near the river mouth following typhoon floods, generally in summer and fall, are dispersed during winter. The transport mechanism responsible for the sediment removal warrants further investigation.</t>
  </si>
  <si>
    <t>2-s2.0-84930473846"</t>
  </si>
  <si>
    <t>10.5194/nhess-11-1217-2011</t>
  </si>
  <si>
    <t>https://www.scopus.com/inward/record.uri?eid=2-s2.0-79955625894&amp;doi=10.5194%2fnhess-11-1217-2011&amp;partnerID=40&amp;md5=6ec87070de24e8398f21ae5f01becbc9</t>
  </si>
  <si>
    <t>Eastern Sicily is one of the coastal areas most exposed to earthquakes and tsunamis in Italy. The city of Catania that developed between the eastern base of Etna volcano and the Ionian Sea is, together with the neighbour coastal belt, under the strong menace of tsunamis. This paper addresses the estimation of the tsunami hazard for the city of Catania by using the technique of the Worst-case Credible Tsunami Scenario Analysis (WCTSA) and is focused on a target area including the Catania harbour and the beach called La Plaia where many human activities develop and many important structures are present. The aim of the work is to provide a detailed tsunami hazard analysis, firstly by building scenarios that are proposed on the basis of tectonic considerations and of the largest historical events that hit the city in the past, and then by combining all the information deriving from single scenarios into a unique aggregated scenario that can be viewed as the worst virtual scenario. Scenarios have been calculated by means of numerical simulations on computational grids of different resolutions, passing from 3 km on a regional scale to 40 m in the target area. La Plaia beach results to be the area most exposed to tsunami inundation, with inland penetration up to hundreds of meters. The harbour turns out to be more exposed to tsunami waves with low frequencies: in particular, it is found that the major contribution to the hazard in the harbour is due to a tsunami from a remote source, which propagates with much longer periods than tsunamis from local sources. This work has been performed in the framework of the EU-funded project SCHEMA. © Author(s) 2011.</t>
  </si>
  <si>
    <t>2-s2.0-79955625894"</t>
  </si>
  <si>
    <t>10.1073/pnas.1011612108</t>
  </si>
  <si>
    <t>https://www.scopus.com/inward/record.uri?eid=2-s2.0-79952599340&amp;doi=10.1073%2fpnas.1011612108&amp;partnerID=40&amp;md5=dbda0a414b61c204d7272bd7b162a643</t>
  </si>
  <si>
    <t>Quantitative estimates of the economic damages of climate change usually are based on aggregate relationships linking average temperature change to loss in gross domestic product (GDP). However, there is a clear need for further detail in the regional and sectoral dimensions of impact assessments to design and prioritize adaptation strategies. New developments in regional climate modeling and physical-impact modeling in Europe allow a better exploration of those dimensions. This article quantifies the potential consequences of climate change in Europe in four market impact categories (agriculture, river floods, coastal areas, and tourism) and one nonmarket impact (human health). The methodology integrates a set of coherent, high-resolution climate change projections and physical models into an economic modeling framework. We find that if the climate of the 2080s were to occur today, the annual loss in household welfare in the European Union (EU) resulting from the four market impacts would range between 0.2-1%. If the welfare loss is assumed to be constant over time, climate change may halve the EU's annual welfare growth. Scenarios with warmer temperatures and a higher rise in sea level result in more severe economic damage. However, the results show that there are large variations across European regions. Southern Europe, the British Isles, and Central Europe North appear most sensitive to climate change. Northern Europe, on the other hand, is the only region with net economic benefits, driven mainly by the positive effects on agriculture. Coastal systems, agriculture, and river flooding are the most important of the four market impacts assessed.</t>
  </si>
  <si>
    <t>2-s2.0-79952599340"</t>
  </si>
  <si>
    <t>10.1007/s11069-010-9579-5</t>
  </si>
  <si>
    <t>https://www.scopus.com/inward/record.uri?eid=2-s2.0-79951723276&amp;doi=10.1007%2fs11069-010-9579-5&amp;partnerID=40&amp;md5=acabc71e44220246c19f99533eccfb25</t>
  </si>
  <si>
    <t>The Yangtze River Delta region is an area highly vulnerable to flooding. As the population density is rising concomitantly with high economic growth, this region is becoming more vulnerable to natural hazards. We conducted a survey to investigate the individual risk perception of both the local authorities and the general community, analyze the current situation regarding risk management and identify problems in the current risk management scheme. Data were collected through questionnaires distributed to some members of the community and interviews with representatives of the local authorities. The primary findings are as follows: (1) risk and disaster multipliers perceived by lay people show the stigma effect of the Wenchuan earthquake; (2) the responses of college students illustrate that the stigma effect has less influence on people who have more knowledge about hazards; (3) differences exist in comparative groups (China and USA), which shows that the society and culture influence people’s perception of risk; and (4) economic activities have complicated flood risk management such as land shortage, ground subsidence and flood diversion. Accordingly, the following measures should be taken: (1) the government should improve the risk communication and education of lay people; (2) the government must also control unsuitable land use and balance economic development and risk management; (3) flood diversion areas should be compensated through special funds collected from other cities; and (4) local governments should provide more support for hazard mitigation.</t>
  </si>
  <si>
    <t>10.1016/j.geomorph.2010.10.001</t>
  </si>
  <si>
    <t>https://www.scopus.com/inward/record.uri?eid=2-s2.0-79955762501&amp;doi=10.1016%2fj.geomorph.2010.10.001&amp;partnerID=40&amp;md5=7234205ab8d820bc7578c4ab037759b4</t>
  </si>
  <si>
    <t>This study addresses the relative importance of universal and local factors in river avulsions, from the perspective of the configurational complexity of the fluvial system as it relates to the potential for avulsions. Because local factors cannot be addressed without a specific context, several rivers of the southeast Texas coastal plain (Brazos, Navasota, Trinity, Neches, and Sabine Rivers) are studied based on field observations and surveys, digital elevation models, and geographical information system (GIS) analysis. Avulsions are influenced by a combination of universal factors relevant to any alluvial river, and local factors at least partly contingent on the environmental setting and history of the study rivers. The universal controls are factors that create conditions under which avulsions can occur: channel aggradation, banktop discharge, and cross-valley slope advantages. A rate of channel aggradation greater than that of floodplain accretion is an important setup factor, but superelevation (channel bed elevation greater than or equal to floodplain elevation behind the natural levee) is not required. Slope advantages are necessary, but not sufficient, for avulsions to occur. Local factors include abandoned channels on the floodplain, and basins or depressions associated with higher-discharge Pleistocene conditions. The local controls also include deflection factors that divert flow from the main channel during high discharges, and levee weaknesses. Relationships among the universal and local factors were represented as directed graphs, and the configurational complexity determined using connectance entropy. Results show that the relative importance of universal and local factors varies with the scale or scope of analysis. In the broadest context, universal factors contribute more than 75% of the connectance entropy, signifying the importance of identifying the key setup factors. Within a given aggradation or valley-filling context, however, local factors account for more than 80% of the connectance entropy, indicating that knowledge of the trigger factors and local floodplain morphology is the key to understanding and predicting avulsions. This study suggests a three-stage process for predicting avulsions. First, the universal factors can be used to identify reaches with the potential to avulse. Second, superelevation (a sufficient but not necessary condition) can be used to identify specific locations where avulsions are imminent, and (as a necessary but not sufficient condition) the absence of cross-valley slope advantages can be used to identify locations where avulsions cannot occur. The final stage-predicting avulsions at other locations within systems or reaches where the setup factors are present-requires specific consideration of local factors. © 2010 Elsevier B.V.</t>
  </si>
  <si>
    <t>2-s2.0-79955762501"</t>
  </si>
  <si>
    <t>10.1007/s11069-010-9647-x</t>
  </si>
  <si>
    <t>https://www.scopus.com/inward/record.uri?eid=2-s2.0-79955521881&amp;doi=10.1007%2fs11069-010-9647-x&amp;partnerID=40&amp;md5=3a24aa9b03c83ed135793b4cf077173f</t>
  </si>
  <si>
    <t>Geomorphic features associated with earthquakes and tsunamis have received wide attention in estimating uplift and subsidence after the tectonic event. Although various techniques are in vogue in estimating the uplift and subsidence after the 2004 Andaman-Sumatra earthquake and subsequent tsunami, remote sensing techniques have been proved to be quite handy to study the geomorphic changes. In the present study, geomorphic changes associated with the destructive event of December 2004 have been analyzed. The emergent and subsident coasts around the smaller islands in the Andaman region have been identified. The coral reef area that has been subjected to uplift or subsidence in some of the islands of the Andaman and Nicobar region is delineated, and the net areal extents of these coral beds have been computed. Of the six islands studied in Andaman region, coral reef of four islands was subjected to uplift, and around two islands the area was subsided. The uplifted area varied from 0.10 to 11 km2, and subsidence was about 0.50 km2. In Nicobar region, the subsidence of coral reefs was recorded. This study helps to monitor the coastal environments and the destruction due to natural hazards. © 2010 Springer Science+Business Media B.V.</t>
  </si>
  <si>
    <t>2-s2.0-79955521881"</t>
  </si>
  <si>
    <t>10.5751/ES-04293-160416</t>
  </si>
  <si>
    <t>https://www.scopus.com/inward/record.uri?eid=2-s2.0-84930481988&amp;doi=10.5751%2fES-04293-160416&amp;partnerID=40&amp;md5=994e2ca8cbf5a8e46fbaa6b698141655</t>
  </si>
  <si>
    <t>Employing the adaptive cycle and panarchy in perturbed urban systems can contribute to a better understanding of how these systems respond to broad-scale changes such as war and sea level rise. In this paper we apply a resilience perspective to examine regime shifts in Charleston, South Carolina from a historical perspective. We then look more closely at changes that occurred in Charleston in recent decades, including Hurricane Hugo, and the potential effects of these changes on resilience of the social-ecological system to future shocks. We close with a discussion combining social and ecological perspectives to examine future regime-shift scenarios in the Charleston case and suggest ways to better understand resilience in other coastal urban systems. © 2011 by the author(s).</t>
  </si>
  <si>
    <t>2-s2.0-84930481988"</t>
  </si>
  <si>
    <t>10.1016/j.quaint.2010.04.023</t>
  </si>
  <si>
    <t>https://www.scopus.com/inward/record.uri?eid=2-s2.0-79851509016&amp;doi=10.1016%2fj.quaint.2010.04.023&amp;partnerID=40&amp;md5=f1be5adbb001fcdb169e9afe8476dfea</t>
  </si>
  <si>
    <t>Olbia Gulf, located in northeastern Sardinia, is bordered by granite, metamorphic rock, and limestones (Capo Figari and Tavolara Island). It has been an important merchant harbour for three thousand years. Tidal notches in limestone, considered one of the best sea level markers, are present between 5.1 and 8.6 m a.s.l. A fossil beach deposit on Tavolara Island is of Tyrrhenian age (MIS 5.5, 125 ka).
Between 1999 and 2001, during the building of a new Olbia harbour tunnel, many shipwrecks hidden under recent fine sediments have been discovered. The archaeological excavation (380 x 20 m, to the surface of the carbonate bedrock at 4 m depth) was done by the Soprintendenza per i Beni Archeologici per le provincie di Sassari e Nuoro (Olbia branch). During the archaeological excavation campaign, thousands of ceramics, other materials which were not in situ, and 24 shipwrecks of different age and size were recovered. Eleven of these wrecks were sunk while they were still in the harbour during an attack by the Vandals in the middle of the fifth century. This attack determined the beginning of a sharp decline of Olbia, and gives a clear picture of one of the turning points of the Mediterranean cultural evolution: the end of the Roman Empire.
Considering −1.4 m as the average altitude of the shipwrecks on the silty bottom of the Olbia Harbour and comparing this value with the predicted sea level curve from the Lambeck model calculated for northern Sardinia (−1 m ca. 1500 cal BP), it appears clear that the ships were at the margin of the harbour in water depth of less than 0.5 m. This confirms: a) the previous archaeological interpretation; and b) that the northern Sardinian coast was stable during the last millennia. Due to the tectonic stability of the coastal area, the evolution of the shoreline from the Bronze age (4 ka cal BP) up to 21.5 ka cal BP (LGM, last glacial maximum) is reconstructed.</t>
  </si>
  <si>
    <t>10.1007/s10584-010-9987-2</t>
  </si>
  <si>
    <t>https://www.scopus.com/inward/record.uri?eid=2-s2.0-79955788554&amp;doi=10.1007%2fs10584-010-9987-2&amp;partnerID=40&amp;md5=b970aa933df8a926709a9398eb52e998</t>
  </si>
  <si>
    <t>By analyzing a digital elevation model (DEM) derived from airborne light detection and ranging (LIDAR) data and airborne height finder measurements, this study demonstrates that a 1.5 m sea-level rise by 2100 would cause inundation of large areas of Miami-Dade County, southern Broward County, and Everglades National Park. Inundation processes are non-linear: inundation is gradual before reaching a threshold, and speeds up rapidly afterwards due to the regional topography. Accelerated sea-level rise will cause the threshold to be reached sooner by amplifying the non-linear inundation, and must be considered in policy-making. Comparison of inundated areas extracted from 30 m LIDAR and USGS DEMs indicates that the vertical accuracy of a DEM has a great effect on delineation of inundation areas. For a 1.5 m sea-level rise, the inundated area delineated by USGS DEM for Broward County is 1.65 times greater than that indicated by the LIDAR DEM. © 2010 Springer Science+Business Media B.V.</t>
  </si>
  <si>
    <t>2-s2.0-79955788554"</t>
  </si>
  <si>
    <t>10.1134/S0097807811030079</t>
  </si>
  <si>
    <t>https://www.scopus.com/inward/record.uri?eid=2-s2.0-79957573027&amp;doi=10.1134%2fS0097807811030079&amp;partnerID=40&amp;md5=2a4b39bd18d2a6b88b18b19d68b2e895</t>
  </si>
  <si>
    <t>The main regularities in the interaction of tides and storm surges at river mouths are discussed. A study of the Elbe River mouth area is used to describe the processes of interaction of the eustatic sea level rise, tides, surges, and river flow and special features of formation of maximum water levels. As shown, the intensification of cyclonic activity over the Northern Atlantic in the second half of the XX century resulted in more frequent extremely high storm surges at the Elbe River mouth. An assessment is given for possible changes in the regime of tides and surges at the Elbe River mouth in the XXI century, which may be caused by the acceleration of the eustatic sea level rise. The impact of local hydraulic engineering works (diking, dredging, and channel straightening) on maximum water levels within the town of Hamburg is analyzed. © 2011 Pleiades Publishing, Ltd.</t>
  </si>
  <si>
    <t>2-s2.0-79957573027"</t>
  </si>
  <si>
    <t>10.5194/hess-15-1339-2011</t>
  </si>
  <si>
    <t>https://www.scopus.com/inward/record.uri?eid=2-s2.0-79955580893&amp;doi=10.5194%2fhess-15-1339-2011&amp;partnerID=40&amp;md5=2ddc9de5da16a50a7477b51e3e8c90b5</t>
  </si>
  <si>
    <t>Automatic and multi-objective calibration of hydrodynamic models is - compared to other disciplines like e.g. hydrology - still underdeveloped. This has mainly two reasons: the lack of appropriate data and the large computational demand in terms of CPU-time. Both aspects are aggravated in large-scale applications. However, there are recent developments that improve the situation on both the data and computing side. Remote sensing, especially radar-based techniques proved to provide highly valuable information on flood extents, and in case high precision DEMs are present, also on spatially distributed inundation depths. On the computing side the use of parallelization techniques brought significant performance gains. In the presented study we build on these developments by calibrating a large-scale 1-dimensional hydrodynamic model of the whole Mekong Delta downstream of Kratie in Cambodia: we combined in-situ data from a network of river gauging stations, i.e. data with high temporal but low spatial resolution, with a series of inundation maps derived from ENVISAT Advanced Synthetic Aperture Radar (ASAR) satellite images, i.e. data with low temporal but high spatial resolution, in an multi-objective automatic calibration process. It is shown that an automatic, multi-objective calibration of hydrodynamic models, even of such complexity and on a large scale and complex as a model for the Mekong Delta, is possible. Furthermore, the calibration process revealed model deficiencies in the model structure, i.e. the representation of the dike system in Vietnam, which would have been difficult to detect by a standard manual calibration procedure. © 2011 Author(s) CC Attribution 3.0 License.</t>
  </si>
  <si>
    <t>2-s2.0-79955580893"</t>
  </si>
  <si>
    <t>10.1007/s00343-011-0160-1</t>
  </si>
  <si>
    <t>https://www.scopus.com/inward/record.uri?eid=2-s2.0-82055176273&amp;doi=10.1007%2fs00343-011-0160-1&amp;partnerID=40&amp;md5=86cc238ca34a0edea51806fa85d00970</t>
  </si>
  <si>
    <t>From the simulation of storm surges resulting from Typhoons 7203 and 8509 in the Bohai Sea, Yellow Sea and East China Sea, water level data at tide stations are assimilated into a two-dimensional storm surge model, to study the spatially varying drag coefficient (DC) by employing the adjoint method. In this study, the DC at some grid points is uniformly selected as the independent DC, while the DC at other grid points is obtained through linear interpolation of the independent DC. The DC at independent points is optimized by employing the adjoint assimilation method, and global optimization is achieved by optimizing the independent DC. To demonstrate the method's performance, three comparative experiments are carried out. In the first experiment, the DC is treated as a constant. In the second and third experiments, the DC is derived using an empirical formula. Comparing the experimental results, it is found that the simulation accuracy for both Typhoons 7203 and 8509 increases greatly when optimizing the independent DC. However, the number of independent points makes no great difference to the precision of simulation. Moreover, the DC inverted from Typhoons 7203 and 8509 differs in some sea areas because of the different typhoon tracks. However, the spatial distribution of the inverted DC, for both Typhoons 7203 and 8509, demonstrates a clear effect of the DC on the storm surge modeling near the coastal areas where the DC is highest or lowest. © 2011 Chinese Society for Oceanology and Limnology, Science Press and Springer-Verlag Berlin Heidelberg.</t>
  </si>
  <si>
    <t>2-s2.0-82055176273"</t>
  </si>
  <si>
    <t>10.1016/j.quaint.2010.09.004</t>
  </si>
  <si>
    <t>https://www.scopus.com/inward/record.uri?eid=2-s2.0-79951513686&amp;doi=10.1016%2fj.quaint.2010.09.004&amp;partnerID=40&amp;md5=4c779737dba9f88cf1ae47fda3ba036d</t>
  </si>
  <si>
    <t>Roman age fishponds along the Istrian and Dalmatian coast were studied with the aim of using the data as sea-level markers. Although the Adriatic fishponds do not display the architectural features (crepidines, channels, etc.) that can be observed in the Tyrrhenian ones and serve as precise sea-level markers, their structural elements can be used to define the sea-level rise. Fishponds at S. Bartolomeo and Fisine in Slovenja, Kupanja, near Parenzo, and at Katoro, near Umago, in Croatia, were studied and measured. The pool investigated in the island of Svršata Vela, on the Kornati Islands, represents a different feature. Located on the northwest coast of the island, adjacent to the southern part of the gulf, it is a single square pool, with dimensions clearly less than the Istrian fishtanks, similar to those associated with the Tyrrhenian villae maritimae. These data (the altitude of archaeological markers below sea level) were corrected for tide and pressure and compared with predictions derived from the SELEN glacio-hydro-isostatic model. Comparison with the predicted sea level allows calculation of tectonic rates that range between -0.63 and -0.89 mm/year since Roman times. © 2010 Elsevier Ltd and INQUA.</t>
  </si>
  <si>
    <t>2-s2.0-79951513686"</t>
  </si>
  <si>
    <t>10.1007/s11069-010-9573-y</t>
  </si>
  <si>
    <t>https://www.scopus.com/inward/record.uri?eid=2-s2.0-79251597210&amp;doi=10.1007%2fs11069-010-9573-y&amp;partnerID=40&amp;md5=7cc37c5fea146cc469dc84af55336d0d</t>
  </si>
  <si>
    <t>Phenomenal storm surge levels associated with cyclones are common in East Coast of India. The coastal regions of Andhra Pradesh are in rapid stride of myriad marine infrastructural developments. The safe elevations of coastal structures need a long-term assessment of storm surge conditions. Hence, past 50 years (1949-1998), tropical cyclones hit the Bay are obtained from Fleet Naval Meteorological &amp; Oceanographic Center, USA, and analyzed to assess the storm surge experienced around Kakinada and along south Andhra Pradesh coast. In this paper, authors implemented Rankin Hydromet Vortex model and Bretschneider's wind stress formulation to hindcast the surge levels. It is seen from the hindcast data that the November, 1977 cyclone has generated highest surge of the order of 1.98 m. Extreme value analysis is carried out using Weibull distribution for long-term prediction. The results reveal that the surge for 1 in 100-year return period is 2.0 m. Further the highest surge in 50 years generated by the severe cyclone (1977) is numerically simulated using hydrodynamic model of Mike-21. The simulation results show that the Krishnapatnam, Nizampatnam and south of Kakinada have experienced a surge of 1.0, 1.5 and 0.75 m, respectively. © 2010 Springer Science+Business Media B.V.</t>
  </si>
  <si>
    <t>2-s2.0-79251597210"</t>
  </si>
  <si>
    <t>10.1139/a11-011</t>
  </si>
  <si>
    <t>https://www.scopus.com/inward/record.uri?eid=2-s2.0-84891034999&amp;doi=10.1139%2fa11-011&amp;partnerID=40&amp;md5=b6bb62b1d3cec3f57f633a4084c8da37</t>
  </si>
  <si>
    <t>Sea level rise and changes in precipitation patterns due to climate change present a challenge to water resources engineers and planners in southeast Florida with regard to sustainable water supplies and Everglades restoration. Because over half of the urban areas of Miami-Dade and Broward counties, as well as portions of Palm Beach County (home to 5 million people), are at an elevation below 5 ft national geodetic vertical datum (ngvd), protection against sea level rise and coastal migration presents a challenge. Current approaches to water supply will not protect the resilience and prolong the sustainability of the region's water resources. In this paper, the authors outline the potential effects of sea level rise scenarios for coastal southeast Florida and develop a toolbox of options for adaptation for water, wastewater, and stormwater utilities to apply. Any given option may not be appropriate for all utilities, and any given utility may deem there to be benefits to pursuing multiple strategies on a timeline in keeping with the latest estimates of sea level rise. The authors also developed milestones to trigger infrastructure investments, as climate changes may occur more rapidly or more slowly than currently projected. While applied to southeast Florida, many of these same toolbox items may be useful for other utilities located in coastal areas with low elevation, high water tables, and significant wet and dry seasons. © 2011 Published by NRC Research Press.</t>
  </si>
  <si>
    <t>2-s2.0-84891034999"</t>
  </si>
  <si>
    <t>10.1002/joc.2047</t>
  </si>
  <si>
    <t>https://www.scopus.com/inward/record.uri?eid=2-s2.0-78650359468&amp;doi=10.1002%2fjoc.2047&amp;partnerID=40&amp;md5=c391d9cf0203107a7ec449025ec90538</t>
  </si>
  <si>
    <t>The distribution of outliers is used as a tool for finding the extreme value distribution of meteorological parameters and to provide return values for large return periods from short records. Its potential is demonstrated for five cases. For extreme winds in the Northern Hemisphere (NH) the method shows that appropriately transformed annual maximum wind speeds can be described by a Gumbel distribution; for extreme waves it rejects the proposed adoption of an exponential distribution and points to a Gumbel distribution; for extreme daily European precipitation R it confirms the theoretically predicted value k = 2/3 in its Weibull distribution and it also justifies the application of the Gumbel distribution to R2/3 up to return periods of about 50 000 years; for seasonal precipitation in the Netherlands it highlights enhanced extreme precipitation in the coastal area in December-January-February (DJF) and failure of the k = 2/3 hypothesis outside June-July-August (JJA); for sea levels in the Southern North Sea it points to the Gumbel distribution and provides improved estimates for the 104-return value of the sea level at coastal stations, which is elaborated for the Dutch tidal station Scheveningen. Copyright © 2009 Royal Meteorological Society</t>
  </si>
  <si>
    <t>Institute of Geological and Nuclear Sciences 1:250,000 Geological Map</t>
  </si>
  <si>
    <t>https://www.scopus.com/inward/record.uri?eid=2-s2.0-84888645778&amp;partnerID=40&amp;md5=ac18c429f4e8ba2d20b58480940bc148</t>
  </si>
  <si>
    <t>The Hawke's Bay geological map covers 18 800 km2 of the central and eastern North Island. In the west it includes the southern part of Lake Taupo, active volcanoes of the Tongariro National Park and hill country of the Manawatu region. The area is bisected by the Ruahine, Kaweka, Kaimanawa and Ahimanawa ranges, which form part of the North Island axial ranges. East of the ranges, the map area includes the extensive Heretaunga, Ruatani wha and Takapau plains, hill country, and a coastline that stretches from the Mohaka River mouth in the north to the rugged shore east of Dannevirke in the south. Offshore, the continental shelf falls gently eastward for 50-150 km towards the Hikurangi Trough, where the sea floor is deformed into submarine highs and depressions as a result of the Pacific Plate subducting beneath the Australian Plate. The oldest rocks in the map area belong to the Late Jurassic to Early Cretaceous Torlesse (composite) terrane, and are exposed in the axial ranges. From west to east they consist of the Kaweka terrane, the Esk Head belt, the Pahau terrane and the Pahaoa Group. These units were accreted onto the eastern edge of Gondwana along a west-dipping subduction zone. The boundary between the Torlesse (composite) terrane and the older Waipapa (composite) terrane within the map area is concealed beneath volcanic rocks of the Tongariro National Park. Late Early Cretaceous to Oligocene rocks crop out only east of the axial ranges. Olistostromes, sandstone and mudstone of the Mangapurupuru Group were deposited during the transition from subduction to an extensional tectonic regime in the late Early Cretaceous to early Late Cretaceous. Farther east, the Glenburn Formation was deposited in a submarine fan setting. Deposition of coarse-grained sediments gradually decreased from the Late Cretaceous through the Paleogene, with the mudstone-dominated Tinui and Mangatu groups deposited in a passive margin tectonic setting. The development of a new subduction system between the Pacific and Australian plates is marked in the Early Miocene Tolaga Group rocks by increased sedimentation rates, deposition of olistostromes and higher sandstone content, as well as localised uplift, facies changes and formation of sub-basins. In eastern areas, Late Cretaceous to Paleogene rocks were thrust over Early Miocene rocks. In the Late Miocene, the localised sub-basins further subsided and thick successions of deep water mudstone and turbidites were deposited. Shallow marine sandstone, limestone and conglomerate were deposited around the emerging Kaimanawa Mountains and Kaweka Range in the central North Island during the latest Miocene-earliest Pliocene. In western areas, sandstone, mudstone and limestone of the Middle to Late Miocene Whangamomona Group were deposited in a continental shelf-slope system. In the east, uplift in the areas of the Hawke's Bay coastal hills and axial ranges had, by Early Pliocene time, created a narrow (&lt;50 km wide) northeast/southwest-trending seaway that extended from the Wairarapa to modern Hawke Bay. The eastern parts of the map area were connected to the Wanganui Basin via a strait in the Kuripapango area during the Late Miocene to mid-Pliocene. Bioclastic limestones and sandstones were deposited along the margins of the seaways due to the unique set of paleoenvironmental conditions they created. Significant uplift and erosion of the axial ranges in the Late Pliocene, closing the seaways, is marked in the east by deposition of greywacke-derived conglomerates. Sub-basins that were depocentres in the Early to Late Miocene became everted. In contrast, western areas experienced regional subsidence in the Early Pliocene with the development of the Wanganui Basin. Subsidence in the map area had largely ceased by the mid-Pleistocene, however, with deposition of rhythmic successions of shelf limestone, sandstone and mudstone reflecting oscillating sea levels. Volcanic ash (tephra) deposits are interbedded within these marine-dominated rocks. Tephra older than 2 Ma were probably sourced from volcanoes in the Tauranga-Kaimai area. Widespread deposition of rhyolitic volcanic ash into sedimentary basins east and west of the modern axial ranges marks the establishment of the Taupo Volcanic Zone at about 2.0 Ma. Rapid crustal extension continued in the Taupo Volcanic Zone during the Quaternary, resulting in the formation of rhyolite domes and andesitic volcanoes. Uplift continued during Pleistocene time in both eastern and western parts of the Hawke's Bay map area, with deposition of the marginal marine to non-marine Kidnappers and Maxwell groups. By the Late Pleistocene, strike-slip faulting dominated deformation in the axial ranges, although compressional deformation continued to dominate in easternmost parts of the map area. The most economically significant mineral resources in the Hawke's Bay area are aggregate from the major river catchments and groundwater. Oil and gas exploration continues in eastern areas. The geothermal system at Tokaanu potentially has &gt;150 MW of power output, although exploitation of this resource is unlikely in the near future as it is currently a popular tourist attraction. The Tongariro Power Scheme generates 4% of New Zealand's electricity production. The Hawke's Bay map area is vulnerable to seismic, tsunami, landslide and volcanic hazards. The M7.8 1931 Hawke's Bay Earthquake has, to date, claimed the most lives in the country's history of earthquakes. Active faults are widespread throughout the map area. The active Mount Ruapehu volcano erupted in 1995/96, causing major disruption to air travel. The most recent eruption from Mount Ruapehu was in September 2007. Lahars from Crater Lake, the most recent of which occurred in March 2007 down the Whangaehu River valley, pose a risk to downstream infrastructure. Coastal erosion and tsunami are significant hazards in coastal areas, and landslides occur commonly throughout the map area, particularly in elevated land underlain by Miocene and Pliocene mudstone.</t>
  </si>
  <si>
    <t>2-s2.0-84888645778"</t>
  </si>
  <si>
    <t>10.2495/ECO110071</t>
  </si>
  <si>
    <t>https://www.scopus.com/inward/record.uri?eid=2-s2.0-84555218948&amp;doi=10.2495%2fECO110071&amp;partnerID=40&amp;md5=df035b4082176750d3e54cc021772f27</t>
  </si>
  <si>
    <t>Multi-temporal analysis of space-borne radar images through Persistent Scatterer Interferometry (PSI) is exploited for mapping subsidence at basin scale in the Gioia Tauro plain (Italy), a densely urbanized coastal area whose land deformation are controlled by aquifer overexploitation. Both historical (1992– 2001; ERS1/2 images) and present (2002-2006; ENVISAT images) scenarios are analyzed to solve the spatial variability and temporal evolution of ground displacements affecting the plain. Average deformation rates as high as 10– 15 mm/yr are observed from 1992 to 2006, with highest velocities (i.e. 22.8 mm/yr) occurred between 1992 and 2000 within the central part of the basin, in the area of Rizziconi (5 km ESE of Gioia Tauro). The outcomes of this PSI study will support the future improvement of groundwater management and the implementation of best strategies for risk mitigation, land use planning, sustainable use of groundwater resources, and consequent reduction of economic and social impacts.</t>
  </si>
  <si>
    <t>10.1144/1470-9236/10-063</t>
  </si>
  <si>
    <t>https://www.scopus.com/inward/record.uri?eid=2-s2.0-84873835694&amp;doi=10.1144%2f1470-9236%2f10-063&amp;partnerID=40&amp;md5=febe4a94afacbd7814a85660905746fc</t>
  </si>
  <si>
    <t>The IPCC global sea-level rise projections made in 1990 set the framework for the coastal policy response to sea-level rise in England and Wales. It was predicted that sea-level rise would result in an increase in wave energy at the cliff foot and accelerated cliff recession. The 50 year recession records for the Holderness cliffs, UK, have been examined to establish whether there has been acceleration in recession rates since the early 1990s. As relative sea level has risen over the second half of the 20th century, so have Holderness cliff recession rates, from around 1.2 m a-1 in the early 1950s to around 1.5 m a-1 by 2000. However, there has been no significant acceleration in the rate of global sea-level rise since 1990 and no rapid increase in the recession rate. However, the Holderness data series may show responses to decadal-scale sea-level changes associated with the 18.6 year nodal tidal cycle. © 2011 The Geological Society of London.</t>
  </si>
  <si>
    <t>2-s2.0-84873835694"</t>
  </si>
  <si>
    <t>10.1080/01490419.2011.547797</t>
  </si>
  <si>
    <t>https://www.scopus.com/inward/record.uri?eid=2-s2.0-79952416350&amp;doi=10.1080%2f01490419.2011.547797&amp;partnerID=40&amp;md5=064317a4d95191b54bfd3c7cfc4499a1</t>
  </si>
  <si>
    <t>The 2004 Sumatra tsunami left a deep and dark footprint on coastal Cuddalore in southeast India, whichwas one of theworst affected districts in the mainland. Assessment of natural hazards typically relies on analysis of past occurrences of similar disaster events. Assessment of tsunami hazard to the Indian coast poses a scientific challenge because of the paucity of both historical events and data. However, construction of tsunami hazard maps is the key step in tsunami risk assessment and forms the basis for evacuation and future land use planning along coastal areas. To this end, a set of inundation scenarios was built based on realistic tectonic sources that can generate tsunamis in the Indian Ocean. From historical records, three earthquake sources have been identified and a hypothetical worst case scenario was generated. Numerical models were constructed to predict the extent of inundation and run-up in each case, using a finite difference code on nested grids derived from the high resolution elevation and bathymetry datasets collected for the study area. The model was validated using field data collected immediately after the 2004 tsunami and was then used to generate the other inundation scenarios. Tsunami hazard maps for coastal Cuddalore were prepared by overlaying the numerical model outputs along with details on land use, elevation, cadastral land parcels, infrastructure, high tide line, and coastal regulation zones. © Taylor &amp; Francis Group, LLC.</t>
  </si>
  <si>
    <t>2-s2.0-79952416350"</t>
  </si>
  <si>
    <t>Bulletin de la Societe Geologique de France</t>
  </si>
  <si>
    <t>10.2113/gssgfbull.182.2.133</t>
  </si>
  <si>
    <t>https://www.scopus.com/inward/record.uri?eid=2-s2.0-79955870115&amp;doi=10.2113%2fgssgfbull.182.2.133&amp;partnerID=40&amp;md5=94b3b3e62e5fbd1896336799b841fe7d</t>
  </si>
  <si>
    <t>The Mio-Pliocene basins around the Antalya gulf in SW Turkey developed above the Tauric Mesozoic platforms on which the Antalya nappes had been thrusted (in Late Cretaceous-Paleocene times). The closure of the initial Isparta Angle during these events (E-W compression) initiated the N-S orientation of the main structural lines, which persisted later and explains the orientation of the Aksu basin in contrast with the E-W orientation of the eastern Neogene Mediterranean basins. The area, and all southwestern Turkey, became emergent at the end of the Oligocene and were the site of shallow-marine carbonate deposits in the Chattian-Aquitanian, giving way to the wide Lycian basin in Burdigalian-Langhian times. The progressive emplacement of the Lycian nappes from the north over this basin provoked first its subsidence and then its emersion when the nappes attained their final position over the Bey Daglari platform in Langhian times. Coinciding, or in response to the Lycian nappes emplacement, the Aksu basin was initiated as an elongated N-S graben which was filled by thick accumulations of terrestrial and marine deposits (including coral reefs), which derived from the erosion of the Lycian allochton and its basement (Langhian?, Serravallian and Tortonian times). The syn-sedimentary tectonics reactivation of the normal faults along the west margin of the basin, the continuous uplift of the neighbouring continental areas (beginning of the Aksu thrust), governed the geometry of the basin. As a result and due to the uplift of its northern margin, the Aksu basin migrated towards the south and in Messinian times it was reduced to a narrow gulf along the eastern margin of which the Gebiz limestones were deposited as fringing coral reefs. The age of these limestones has been debated. Our new data allow us to attribute them to the Messinian. The drastic retreat of the sea at the end of this period, provoked the erosion of large parts of the Messinian deposits and the formation of deep canyons on land and under the sea down to the Antalya abyssal plain, in which evaporites were deposited. During the Zanclean transgression, the Eskikoy-Kargi canyon was filled by coarse clastics of a Gilbert delta derived from the northern continental area following a model well known elsewhere in the Mediterranean basins. Southward, shallow-marine sands and marls unconformably cover the remnants of the Messinian deposits and the emergent areas of the southern Antalya gulf. After Zanclean times (end of Pliocene?), the Aksu basin was deformed, due to the west-directed Aksu compressional event (end of the Aksu thrust). Quaternary terraces of the Aksu river at various altitudes, as well as the terraces of the Antalya tufa can be related to sea level fluctuations. © 2011.</t>
  </si>
  <si>
    <t>2-s2.0-79955870115"</t>
  </si>
  <si>
    <t>10.22456/1807-9806.26379</t>
  </si>
  <si>
    <t>https://www.scopus.com/inward/record.uri?eid=2-s2.0-84873534844&amp;doi=10.22456%2f1807-9806.26379&amp;partnerID=40&amp;md5=38f03ea9cbc16951f9a080f12d73a36c</t>
  </si>
  <si>
    <t>MODELS FOR SPATIALIZATION AND FORECASTING OF FLOODED AREAS IN THE SÃO SEBASTIÃO DO CAÍ URBAN ZONE, RIO GRANDE DO SUL STATE, BRAZIL. The study aims at developing models for the spatialization and forecasting of floods in the urban area of São Sebastĩo do Caí, RS, Brazil. For the calculation of return period (RP), and in order to analyze the seasonality of floods, streamflow data from the station located in the city were used. However, for the development of a mathematical model for flood forecasting, the time series of a station upstream was also used in order to perform a regression with the quotas recorded in both seasons. For the identification of flood plains, a digital terrain model was produced based on elevation data in scales between 1:2,000 and 1:10,000. The QuickBird satellite image (spatial resolution of 0.61 m) was used only for the spatialization of the land use and land cover reached by each flood scenario. Mapping and 3D simulation of the areas affected by flooding were obtained for RP of 2, 5, 10 and 30 years. The following results are most significant: i) the river water level rises between 9.28 m and 11.98 m for RP of 2 to 30 years</t>
  </si>
  <si>
    <t>10.1177/0309133311414605</t>
  </si>
  <si>
    <t>https://www.scopus.com/inward/record.uri?eid=2-s2.0-80655126937&amp;doi=10.1177%2f0309133311414605&amp;partnerID=40&amp;md5=9e2656da24ebd1c1b47c701f73b29ab8</t>
  </si>
  <si>
    <t>During recent decades, the use of high-resolution light detection and ranging altimetry (LiDAR) data in fluvial studies has rapidly increased. Airborne laser scanning (ALS) can be used to extensively map riverine topography. Although airborne blue/green LiDAR can also be utilized for the mapping of river bathymetry, the accuracy levels achieved are not as good as those of terrain elevation measurements. Moreover, airborne bathymetric LiDAR is not yet suitable for mapping shallow water areas. More detailed topographical data may be obtained by fixed-position terrestrial laser scanning (TLS) or mobile terrestrial laser scanning (MLS). One of the newest applications of MLS approaches involves a boat/cart-based mobile mapping system (BoMMS/CartMMS). This set-up includes laser scanning and imaging from a boat moving along a river course and may be used to expand the spatial extent of terrestrial scanning. Detailed digital terrain models (DTMs) derived from LiDAR data can be used to improve the recognition of fluvial landforms, the geometric data of hydraulic modelling, and the estimation of flood inundation extents and fluvial processes. © The Author(s) 2011.</t>
  </si>
  <si>
    <t>2-s2.0-80655126937"</t>
  </si>
  <si>
    <t>10.1071/PC110201</t>
  </si>
  <si>
    <t>https://www.scopus.com/inward/record.uri?eid=2-s2.0-83155190449&amp;doi=10.1071%2fPC110201&amp;partnerID=40&amp;md5=5062483d5831842550ba2e13f80307b8</t>
  </si>
  <si>
    <t>Human-forced climate change significantly threatens the world's freshwater ecosystems, through projected changes to rainfall, temperature and sea level. We examined the threats and adaptation opportunities to climate change in a diverse selection of rivers and wetlands from Oceania (Australia, New Zealand and Pacific Islands). We found common themes, but also important regional differences. In regulated floodplain rivers in dry regions (i.e. Australia), reduced flooding projected with climate change is a veneer on current losses, but impacts ramp up by 2070. Increasing drought threatens biota as the time between floods extends. Current measures addressing water allocations and dam management can be extended to adapt to climate change, with water buy-back and environmental flows critical. Freshwater wetlands along coastal Oceania are threatened by elevated salinity as sea level rises, potentially mitigated by levee banks. In mountainous regions of New Zealand, the biodiversity of largely pristine glacial and snow melt rivers is threatened by temperature increases, particularly endemic species. Australian snow melt rivers face similar problems, compounding impacts of hydro-electric schemes. Translocation of species and control of invasive species are the main adaptations. Changes to flow regime and rising water temperatures and sea levels are the main threats of climate change on freshwater ecosystems. Besides lowering emissions, reducing impacts of water consumption and protecting or restoring connectivity and refugia are key adaptations for conservation of freshwater ecosystems. Despite these clear imperatives, policy and management has been slow to respond, even in developed regions with significant resources to tackle such complex issues.</t>
  </si>
  <si>
    <t>2-s2.0-83155190449"</t>
  </si>
  <si>
    <t>10.1016/j.pce.2010.04.013</t>
  </si>
  <si>
    <t>https://www.scopus.com/inward/record.uri?eid=2-s2.0-79952003421&amp;doi=10.1016%2fj.pce.2010.04.013&amp;partnerID=40&amp;md5=bc54fb080bb0e3a2177aafab61e18edd</t>
  </si>
  <si>
    <t>Aquatic ecosystems, water resources and their management are some of the main problems facing humanity. These problems vary from water scarcity and deteriorating quality for human consumption and use, to floods in areas with torrential rainfall, rising sea levels in coastal zones, the overexploitation of living resources and the loss of ecological quality and biodiversity. Proper water management needs to follow a hierarchical perspective, ranging from the whole planet to individual water bodies. Spatio-temporal scales change at each level, as do driving forces, impacts, and the processes and responses involved. Recently, the European Union adopted the Water Framework Directive (WFD) to establish the basic principles of sustainable water policy in member states, one of the main concerns being the need to consider the vulnerability of coastal aquatic ecosystems and to establish their ecological status. However, from a Mediterranean point of view, the actions of European countries (under the WFD regulations) and non-EU countries need to be coordinated. There are more than 100 coastal lagoons in the Mediterranean. They are habitats with an important ecological role, but also provide essentials goods and services for humans. In the present work, we look at the problems involved in understanding their definition and management. At water body management level, we emphasise that scientific cooperation is necessary to deal with the conceptual and ecological difficulties derived from inter and intra-lagoon variability in hydrology and biological assemblages, inherent factors in the functioning of these complex ecosystems. © 2010 Elsevier Ltd.</t>
  </si>
  <si>
    <t>2-s2.0-79952003421"</t>
  </si>
  <si>
    <t>Indian Journal of Science and Technology</t>
  </si>
  <si>
    <t>10.17485/ijst/2011/v4i3/29963</t>
  </si>
  <si>
    <t>https://www.scopus.com/inward/record.uri?eid=2-s2.0-84923133983&amp;doi=10.17485%2fijst%2f2011%2fv4i3%2f29963&amp;partnerID=40&amp;md5=622042a4f84dfe5e8392680c83c14cf6</t>
  </si>
  <si>
    <t>India is the seventh largest country in the world with fast developing economy. The climate change has an adverse additional stress upon ecology, socio-economic developmental activities. A very long 7500 KM coastline with three metros, several cities, towns and villages with thick population density is the high light of our country. It possesses almost all type of Climatic zones. The economy of our country is based mostly upon monsoon rain fall patterns. The climate change has vulnerable impact over monsoon rain fall patterns. The anticipated sea level raise will adversely affect coastline ecosystems and submergence of coastal islands and deltas. The sea water intrusion in to aquifers which acts as water resources for delta and coastline settlements will badly affect. The vector diseases are spread across the country due to water shortage due to climate change. The climate change and its impact will adversely affect the livelihood of the weaker section of society. The sustainable development of the country is based upon the development of women and children. In recent years the death tolls due to adverse heat wave, cold wave and sudden heavy rains and fresh floods have the vulnerable impact upon economic and social warfronts of our country. It is the time to think and act upon and the challenges which are going to face by Indians and the strategies to be adopted in near future. © Indian Society for Education and Environment (iSee).</t>
  </si>
  <si>
    <t>2-s2.0-84923133983"</t>
  </si>
  <si>
    <t>10.15292/geodetski-vestnik.2011.03.483-494</t>
  </si>
  <si>
    <t>https://www.scopus.com/inward/record.uri?eid=2-s2.0-80054734477&amp;doi=10.15292%2fgeodetski-vestnik.2011.03.483-494&amp;partnerID=40&amp;md5=d22c12d48c0bf643ba5771f53da611d3</t>
  </si>
  <si>
    <t>An application of data mining for the determination of flooded areas was published in the Journal Geodetski vestnik (no. 54/2010-4). This paper analyses the usefulness of these results for further analyses of hydraulic parameters. The velocity and discharges were computed for six locations. The study showed that the flooded areas determined by satellite images can be used for further analyses. Nevertheless, other layers have to be sufficiently precise, especially the digital terrain model (DTM). DTM 12.5 was used. The study showed that DTM 12.5 is not precise enough. The observed area is very rough and the hydraulic parameters (cross sectional area of flow, wetted perimeter, hydraulic radius, river-bottom slope, flow velocity, discharge) cannot be detected with sufficient precision. Consequently, the calculated hydraulic radiuses, velocities and discharges are out of expectations. In the first part of the article, some basic information about remote sensing and its techniques is presented. Some practical examples of their usage (especially satellite images) for the observation of natural disasters are also given.</t>
  </si>
  <si>
    <t>2-s2.0-80054734477"</t>
  </si>
  <si>
    <t>10.1016/j.geomorph.2010.09.015</t>
  </si>
  <si>
    <t>https://www.scopus.com/inward/record.uri?eid=2-s2.0-78349307680&amp;doi=10.1016%2fj.geomorph.2010.09.015&amp;partnerID=40&amp;md5=4024329193bd39ebf1754f5bbc261371</t>
  </si>
  <si>
    <t>A widely held belief persists that rising land levels since the latter part of the last glaciation will help safeguard much of the Scottish coast from the impact of global sea level rise. Although the landforms of much of Scotland's coast reflect long-term land uplift, recent investigations show that uplift rates are now modest and are less than rising sea levels. When comparisons are made between long-term land-level changes using Glacio-Isostatic Adjustment models, representative of the last few thousand years (Shennan and Horton, 2002</t>
  </si>
  <si>
    <t>10.22456/1807-9806.35168</t>
  </si>
  <si>
    <t>https://www.scopus.com/inward/record.uri?eid=2-s2.0-84869381883&amp;doi=10.22456%2f1807-9806.35168&amp;partnerID=40&amp;md5=7bca66c5a20f7320d542e0334ac4d2ff</t>
  </si>
  <si>
    <t>Analysis of the morphological characteristics of the ""Saco do Laranjal"", an embayment located at the northwest portion of the Patos Lagoon estuary allowed to evaluate recent and actual changes. The embayment is subdivided in four beaches: Laranjal, Barro Duro, Totó and Colônia de Pescadores Z3. Coastline changes analysis was based on aerial photographs obtained in 1980 and 1995. Beach profiles surveys and grain size analysis both at the subaerial and subaqueous portions of the beach were performed at monthly intervals. Hydrodynamic characteristics related to wave height and period were obtained through modeling and visual observations. Shoreline changes demonstrate that between 1980 and 1995, erosion rates for Barro Duro beach reached 1.04 m/year. Colônia Z3 beach displays some erosion spots and Totó beach presents both erosive and accretion stretches. In contrast, Laranjal beach displays accretion and stability. The studies allowed inferring that the main erosion causes can be attributed to short period waves generated by local winds, the associated littoral drift and the frequent increase of the water level on the margin during periods of floods associated with winds from the southern quadrant. The evaluation of the morphometric parameters obtained from beach profiles showed high, medium and low mobility index respectively for Barro Duro, Totó and Colonia Z3 beaches and Laranjal beach. Based on the morphological evolution, the sedimentology and hydrodynamics characteristics, actions of erosion mitigations which combines beach nourishment and light coastal structures is proposed.</t>
  </si>
  <si>
    <t>2-s2.0-84869381883"</t>
  </si>
  <si>
    <t>10.1080/01431160903474939</t>
  </si>
  <si>
    <t>https://www.scopus.com/inward/record.uri?eid=2-s2.0-79551677529&amp;doi=10.1080%2f01431160903474939&amp;partnerID=40&amp;md5=6423eb322afaf260e14e688f7fb4ba85</t>
  </si>
  <si>
    <t>Spatial data quality is a paramount concern in all geographical information systems (GIS) applications. Existing standards and guidelines for spatial data commonly assume the positional error is normally distributed. While non-normal behaviour of the error in digital elevation data has been observed in previous research, current guidelines for digital elevation data still assume that the errors for observations in open terrain are normally distributed. This research employed an accuracy assessment dataset from a substantial lidar data collection effort, the North Carolina Floodplain Mapping Program. Strong evidence was found that the vertical error of lidar elevation data is not normally distributed and that both major and minor outliers are very common. Of the five land cover types considered, only the distribution for urban areas approximated a normal distribution, even though these observations were generally much less accurate than those for open terrain. No influence of slope on the occurrence of non-normal behaviour in the distributions was found. The RMSEz (root mean square error) statistic used to characterize the fundamental accuracy of digital elevation data was found to be very sensitive to the occurrence of outliers, questioning its use in current guidelines. © 2011 Taylor &amp; Francis.</t>
  </si>
  <si>
    <t>2-s2.0-79551677529"</t>
  </si>
  <si>
    <t>10.1111/j.1755-6724.2011.00600.x</t>
  </si>
  <si>
    <t>https://www.scopus.com/inward/record.uri?eid=2-s2.0-84858059599&amp;doi=10.1111%2fj.1755-6724.2011.00600.x&amp;partnerID=40&amp;md5=e0ae970dd20dcfaa91775dedf80d348e</t>
  </si>
  <si>
    <t>Based on the abundant information from drilling, cores, and logging, the influence of topography, size of rivers and lakes, climate changes and the lake levels fluctuation on the sandbodies at shallow-water delta front are systematically summarized and the sedimentary dynamic processes are analyzed. The interwell communication among the sandbodies and their planar distribution revealed from the hydrodynamic features of the development wells are integrated during the analysis. The fundamental requirements for the development of the shallow-water delta included flat topography and uniform subsiding rate. The delta plain was connected smoothy with the wide delta front and predelta, without the three-fold structure of topset, foreset, and bottomset as defined in the Gilbert Delta Model. Because of the weak fluvial effect and the lake energy is strong, the smal1 and scattered shallow-water delta is destroyed by the scouring-backwashing, coastal current, and lake wave, resulting in the coastal sheet deposition. As the fluvial effect became stronger and the lake energy became weaker, the shape of the shallow-water deltas transferred from sheets to lumps and then branches.</t>
  </si>
  <si>
    <t>2-s2.0-84858059599"</t>
  </si>
  <si>
    <t>10.2495/SC120622</t>
  </si>
  <si>
    <t>https://www.scopus.com/inward/record.uri?eid=2-s2.0-84865732918&amp;doi=10.2495%2fSC120622&amp;partnerID=40&amp;md5=feab1088d668988a00955ab5eb9b2002</t>
  </si>
  <si>
    <t>Climate change is underway and the rising of oceans and frequency of destroying floods have gone on already in a considerable way. The level and the waves of the oceans threaten the coastlines. Especially in river districts of many countries we have to note the worst cases of floods. On the other hand, mankind is growing more and more and the right of adequate housing and sufficient space too. In this situation floating houses and floating settlements in coastal regions and flood plains could be the basis for a sustainable city in the future worldwide. Let us look for a local climate adaption. In this context, a lot of topics must be researched: environmental problems, energy supply, disposal, measurements of boundary conditions (climate and water quality), damage to floating homes, development of new materials, the use of pontoon's volume as a housing or technique room and for storage of energy, goods and materials. Besides climate change, other global changes, such as the migration of people, animals and plants or the influences of industrial and financial activities should be considered too. © 2012 WIT Press.</t>
  </si>
  <si>
    <t>2-s2.0-84865732918"</t>
  </si>
  <si>
    <t>10.1007/s10040-010-0663-4</t>
  </si>
  <si>
    <t>https://www.scopus.com/inward/record.uri?eid=2-s2.0-78651488199&amp;doi=10.1007%2fs10040-010-0663-4&amp;partnerID=40&amp;md5=8ec3c5bcf64d764884e5bad01c7a95a7</t>
  </si>
  <si>
    <t>A tide-influenced two-layer aquifer system in northern Germany was investigated using environmental dating tracers (3H, 39Ar, 14C), the noble gas isotopes 3He, 4He and Ne. The study area is a marshland at the River Ems estuary, exposed to regular flooding until AD 1000. The construction of dykes, artificial land drainage and groundwater abstraction define the hydraulic gradient. The aquifer depicts a pronounced age stratification with depth. Tritium concentrations above 0.03 TU are found only in the top 30 m. Two tritium-free samples between 20 and 30 m depth show 39Ar ages of 130 and 250 years. Below a clay layer-about 50 m below surface level (mbsl)-all analysed samples are 39Ar free and, thus, older than 900 years. The initial 14C activities were about 70 pmC. Resulting 14C ages increase with depth and increase up to 9,000 years, in agreement with minimal 39Ar ages. Concentrations of radiogenic 4He correlate with 14C ages. Samples in a mid-depth range (20-70 mbsl) show significant gas loss. The gas loss is assigned to recharge in a methane producing environment. Deduced 4He ages were used to assign this water to a infiltration period of about AD 1000. © 2010 Springer-Verlag.</t>
  </si>
  <si>
    <t>2-s2.0-78651488199"</t>
  </si>
  <si>
    <t>10.1080/01431160903464112</t>
  </si>
  <si>
    <t>https://www.scopus.com/inward/record.uri?eid=2-s2.0-79551676272&amp;doi=10.1080%2f01431160903464112&amp;partnerID=40&amp;md5=d64e01bad81ea5cb44de49828af9b65e</t>
  </si>
  <si>
    <t>Many countries still lack national digital elevation models (DEMs) and have to rely on global datasets, which can negatively influence the reliability of flood model results. Mozambique is considered the most risk prone country for floods in Southern Africa. In this study a quality and accuracy assessment of two global DEMs (Shuttle Radar Topography Mission (SRTM) and HYDRO1K) is presented for a simple static flood inundation model of lower Limpopo Basin. This is accomplished with a local fit and vertical accuracy assessment of global datasets on a local scale as well as simulations of flood extent in the floodplain carried out by filling the DEMs with water according to the 2000 flood event. The results from the vertical accuracy assessment show that global DEMs can be used on a local scale. However, flood simulations performed on original DEMs contain inadequacies and are misleading with both under- and overestimation of the flooded area, while simulation performed on locally fitted DEMs shows a better agreement with the actual event. This study clearly shows that DEMs with questionable accuracy and resolution should be used with great caution in flood inundation modelling because they could result in deceptive model predictions, and lead to devastating after-effects in risk prone areas © 2011 Taylor &amp; Francis.</t>
  </si>
  <si>
    <t>2-s2.0-79551676272"</t>
  </si>
  <si>
    <t>10.5047/eps.20U.06.025</t>
  </si>
  <si>
    <t>https://www.scopus.com/inward/record.uri?eid=2-s2.0-83155165413&amp;doi=10.5047%2feps.20U.06.025&amp;partnerID=40&amp;md5=44b7d668718c53bae8a802092ae92aed</t>
  </si>
  <si>
    <t>The large displacement induced by the 2011 M 9.0 off the Pacific coast of Tohoku Earthquake was observed by GPS stations of the permanent GPS Earth Observation Network system (GEONET) in northeastern Japan. The displacement was characterized by the eastward displacement and subsidence in the Pacific coastal area. The horizontal displacement exceeded 5.3 m, which is the largest ever detected by GEONET. The mainshock was followed by a sequence of aftershocks. We processed the GPS data through a kinematic positioning strategy to clarify the deformation, including the deformation caused by the mainshock, with high temporal resolutions. The offsets calculated from the kinematic coordinates separately depict the coseismic displacements of the mainshock, the largest aftershock, and the third largest. The fault model for these earthquakes suggests that the largest (M 7.7) and third largest (M 7.3) aftershocks ruptured the southern and northern extensions of the mainshock fault, respectively. © The Society of Geomagnetism and Earth, Planetary and Space Sciences (SGEPSS).</t>
  </si>
  <si>
    <t>2-s2.0-83155165413"</t>
  </si>
  <si>
    <t>10.1029/2010JC006626</t>
  </si>
  <si>
    <t>https://www.scopus.com/inward/record.uri?eid=2-s2.0-80054011677&amp;doi=10.1029%2f2010JC006626&amp;partnerID=40&amp;md5=5d3c4963e37c402486278f5abc252a9e</t>
  </si>
  <si>
    <t>The validity and accuracy of approaches used to determine hurricane surge hazard risk received much attention following the hurricane seasons in mid- to late-2000, which caused record surge-related damage along the Gulf of Mexico coastline. Following Hurricane Katrina in 2005, research showed that most extreme-value statistics approaches underestimated the risk associated with this surge event. In this paper, two of the most popular methods for determining hurricane surge extreme-value statistics are reviewed: the historical surge population approach and the joint probability method. Here, it is demonstrated that both limited historical record length and random along-coast variability in hurricane landfall location can introduce significant errors into surge estimates. For example, the historical surge population approach gives errors of 9% to 17% for return periods between 50 and 1000 years when a surge record of 100 years is considered. In contrast, it is shown that the joint probability method yields significantly more reliable surge estimates, with errors of 2% to 3% for return periods between 50 and 1000 years when a storm record of 100 years is considered. Finally, we show that both methods remain robust when decadal-scale climate variability in the storm rate of occurrence is considered, so long as the hurricane history is long enough to capture the full decadal cycle. When used in conjunction with continuous surge response information, it can be concluded that the joint probability method is a practical and reliable approach for determining extreme-value hurricane surge statistics. Copyright © 2011 by the American Geophysical Union.</t>
  </si>
  <si>
    <t>2-s2.0-80054011677"</t>
  </si>
  <si>
    <t>10.22456/1807-9806.35159</t>
  </si>
  <si>
    <t>https://www.scopus.com/inward/record.uri?eid=2-s2.0-84869380208&amp;doi=10.22456%2f1807-9806.35159&amp;partnerID=40&amp;md5=fa7a29d5ec77680fe03ec63a242195b8</t>
  </si>
  <si>
    <t>The present paper assesses the hydrodynamics and suspended sediment transport in the Araranguá river estuary in response to a flood peak. A field survey was carried out in May, 2006, when water level, current velocity and direction, salinity and suspended sediment concentration (SSC) were recorded. Current data were obtained through a moored acoustic Doppler current profiler, from which the SSC were estimated based on the acoustic backscattering. The field survey was carried out just after a flood peak, during the waning phase of the hydrogram, when the discharge decreased from 120 to 30 m3s-1 in a 50-hour period. The longitudinal salinity distribution was strongly affected as well as the currents and SSC. The currents responded to the flood peak by changing from a barotropic regime downstream to a two layer baroclinic, with downstream currents at surface layer and upstream currents at the bottom layer. The suspended sediment transport was directly related to the currents, changing from an exportation phase during the flood peak to an importation phase through the bottom layer.</t>
  </si>
  <si>
    <t>2-s2.0-84869380208"</t>
  </si>
  <si>
    <t>10.1007/s13753-011-0014-7</t>
  </si>
  <si>
    <t>https://www.scopus.com/inward/record.uri?eid=2-s2.0-84894504156&amp;doi=10.1007%2fs13753-011-0014-7&amp;partnerID=40&amp;md5=6fcf44ea24396eaa5c5e4df0ac858457</t>
  </si>
  <si>
    <t>Hydrological modelling of large river catchments has become a challenging task for water resources engineers due to its complexity in collecting and handling of both spatial and non-spatial data such as rainfall, gauge-discharge data, and topographic and hydraulic parameters. In this article, a flood forecast model is developed for the Godavari Basin, India through a distributed modelling approach using space inputs. The approach includes rainfall runoff modelling, hydrodynamic flow routing, calibration, and validation of the model with field discharge data. The study basin is divided into 128 subbasins to improve the model accuracy. Topographic and hydraulic parameters of each subbasin and channel are computed using the land use / land cover grid that is derived from the Indian Remote Sensing Satellite (IRS-P6) AWiFS sensor data (56 m resolution), Shuttled Radar Topographic Mission (SRTM) Digital Elevation Model (DEM), and the soil textural grid. The model is calibrated using the field hydrometeorological data of 2000 and validated with the data of 2001. The model was tested during the 2010 floods with real-time 3-hour interval hydrometeorological and daily evapotranspiration data. Accuracy in estimating the peak flood discharge and lag time was found to be very good. Flood forecast lead time is increased by 12 hours compared to conventional methods of forecasting. © 2011, The Author(s).</t>
  </si>
  <si>
    <t>2-s2.0-84894504156"</t>
  </si>
  <si>
    <t>10.2495/SDP110011</t>
  </si>
  <si>
    <t>https://www.scopus.com/inward/record.uri?eid=2-s2.0-84865532812&amp;doi=10.2495%2fSDP110011&amp;partnerID=40&amp;md5=0af1fe55f442e0b547ce614f5adc8bbb</t>
  </si>
  <si>
    <t>Maritime and coastal areas play an important role in the development of human activities and are a substantial influence on the economies of their respective hinterlands. Seas and coasts are among the most complex, vulnerable and sensitive to all natural ecosystems, and their management presents various problems and difficulties especially in our era of climate change in which coastal cities and populations face a range of serious threats (including rising sea levels). The singularity of these areas necessitates an equally singular handling of the issues of their land development and management. At the start of the 21st century the critical issue of the spatial regulation and organization of the seas and coasts is a key priority for Greece and the Mediterranean in the era of climate change. There can be no doubt that the Mediterranean's coastal and marine areas are facing ever greater risks from natural disasters and human pressures alike. Given the experience of EU and UN programs and projects initiated and run by other international organizations which have shown that implementing sustainable spatial development in the coasts and seas is anything but easy, there is clearly a great need for coordinated action and co-operation at the transnational and international level. During the past decade the EU has adopted a strategy for the maritime environment which was incorporated in an Integrated Maritime Policy (IMP) (a European vision for the seas and the oceans). In the framework of the above policy the Commission launched in 2008 a road map for the Maritime Spatial Planning (MSP) as the basic means for the implementation of the (IMP) and a fundamental tool for the sustainable development of the European seas and coasts. The paper aims to investigate the effectiveness of the planning instruments and policies launched by the EU in relation to maritime and coastal areas and adopted by the competent public agencies and bodies in Greece and Mediterranean. Furthermore, the paper argues for the substantial implementation of the policy documents relating to Integrated Coastal Zone Management (ICZM) and the Spatial Maritime Planning in the framework of EU strategy for the Integrated Maritime Policy. © 2011 WIT Press.</t>
  </si>
  <si>
    <t>2-s2.0-84865532812"</t>
  </si>
  <si>
    <t>10.1080/01490419.2011.547796</t>
  </si>
  <si>
    <t>https://www.scopus.com/inward/record.uri?eid=2-s2.0-79952434033&amp;doi=10.1080%2f01490419.2011.547796&amp;partnerID=40&amp;md5=9097b3c092584a890abdac1302c4b91c</t>
  </si>
  <si>
    <t>The behavior of natural hazards such as storm surge, tsunami on the coast depends on geomorphological settings of the coast as well as the shelf. The intensity of these events can be modified by features such as estuaries, bays and other coastal configurations. It has been observed that the maximum surge height is found in areas where the shelf is wide and shallow. While the modification of a tsunami in bays, gulfs and river mouths has been investigated, the interaction of tsunami with submarine canyons has not been studied. In this paper, numerical modeling of tsunami propagation was made for the coast wherein submarine canyons are present using nonlinear finite difference model TUNAMI-N2. The data required for the analysis were collected from various sources and a numerical model was run for the event of the December 26, 2004, tsunami. The study clearly indicates that the presence of submarine canyon reduces wave height leeward of the canyon. © Taylor &amp; Francis Group, LLC.</t>
  </si>
  <si>
    <t>2-s2.0-79952434033"</t>
  </si>
  <si>
    <t>10.1007/s12040-011-0077-2</t>
  </si>
  <si>
    <t>https://www.scopus.com/inward/record.uri?eid=2-s2.0-79959930347&amp;doi=10.1007%2fs12040-011-0077-2&amp;partnerID=40&amp;md5=4b63d0654d232b0114e27d454b201076</t>
  </si>
  <si>
    <t>This paper attempts to estimate the possible rate of land subsidence of Kolkata City including Salt Lake City and the adjoining East Kolkata Wetlands located at the lower part of the deltaic alluvial plain of South Bengal basin. Demand of groundwater for drinking, agricultural and industrial purposes has increased due to rapid urbanization. The subsurface geology consists of Quaternary sediments comprising a succession of clay, silty clay and sand of various grades. Groundwater occurs mostly under confined condition except in those places where the top aquitard has been obliterated due to the scouring action of past channels. Currently, the piezometric head shows a falling trend and it may be accelerated due to further over-withdrawal of groundwater resulting in land subsidence. The estimated mean land subsidence rate is 13.53 mm/year and for 1 m drop in the piezometric head, the mean subsidence is 3.28 cm. The surface expression of the estimated land subsidence is however, cryptic because of a time lag between the settlement of the thick low-permeable aquitard at the top and its surface expression. Therefore, groundwater of the cities and wetland areas should be developed cautiously based on the groundwater potential to minimize the threat of land subsidence. © Indian Academy of Sciences.</t>
  </si>
  <si>
    <t>2-s2.0-79959930347"</t>
  </si>
  <si>
    <t>10.1007/s11707-011-0154-5</t>
  </si>
  <si>
    <t>https://www.scopus.com/inward/record.uri?eid=2-s2.0-84857643216&amp;doi=10.1007%2fs11707-011-0154-5&amp;partnerID=40&amp;md5=dee9d4438b778d5b056a39d88e2533da</t>
  </si>
  <si>
    <t>Biologic control of the introduced and invasive, woody plant tamarisk (Tamarix spp, saltcedar) in south-western states is controversial because it affects habitat of the federally endangered South-western Willow Flycatcher (Empidonax traillii extimus). These songbirds sometimes nest in tamarisk where floodplain-level invasion replaces native habitats. Biologic control, with the saltcedar leaf beetle (Diorhabda elongate), began along the Virgin River, Utah, in 2006, enhancing the need for comprehensive understanding of the tamarisk-flycatcher relationship. We used maximum entropy (Maxent) modeling to separately quantify the current extent of dense tamarisk habitat (&gt;50% cover) and the potential extent of habitat available for E. traillii extimus within the studied watersheds. We used transformations of 2008 Landsat Thematic Mapper images and a digital elevation model as environmental input variables. Maxent models performed well for the flycatcher and tamarisk with Area Under the ROC Curve (AUC) values of 0.960 and 0.982, respectively. Classification of thresholds and comparison of the two Maxent outputs indicated moderate spatial overlap between predicted suitable habitat for E. traillii extimus and predicted locations with dense tamarisk stands, where flycatcher habitat will potentially change flycatcher habitats. Dense tamarisk habitat comprised 500 km2 within the study area, of which 11.4% was also modeled as potential habitat for E. traillii extimus. Potential habitat modeled for the flycatcher constituted 190 km2, of which 30.7% also contained dense tamarisk habitat. Results showed that both native vegetation and dense tamarisk habitats exist in the study area and that most tamarisk infestations do not contain characteristics that satisfy the habitat requirements of E. traillii extimus. Based on this study, effective biologic control of Tamarix spp. may, in the short term, reduce suitable habitat available to E. traillii extimus, but also has the potential in the long term to increase suitable habitat if appropriate mixes of native woody vegetation replace tamarisk in biocontrol areas. © 2011 Higher Education Press and Springer-Verlag Berlin Heidelberg.</t>
  </si>
  <si>
    <t>2-s2.0-84857643216"</t>
  </si>
  <si>
    <t>Geophysics</t>
  </si>
  <si>
    <t>10.1190/geo2010-0353.1</t>
  </si>
  <si>
    <t>https://www.scopus.com/inward/record.uri?eid=2-s2.0-84857240045&amp;doi=10.1190%2fgeo2010-0353.1&amp;partnerID=40&amp;md5=38faf51d9fbce456b2c238653d17b377</t>
  </si>
  <si>
    <t>A 3D seismic survey (Mallik 3D), covering 126 km2 in the Mackenzie Delta area of Canada's north, was conducted by industry in 2002. Numerous lakes and marine inundation create a complex near-surface structure in the permafrost terrain. Much of the near subsurface remains frozen but significant melt zones exist particularly from perennially unfrozen water bodies. This results in an irregular distribution of permafrost ice creating a complex pattern of low and high frequency near-surface velocity variations which induce significant traveltime distortions in surface seismic data. A high resolution 3D traveltime tomography study was employed to map the permafrost velocity structure utilizing first-arrival traveltimes picked from 3D seismic shot records. Approximately 900,000 traveltime picks from 3167 shots were used in the inversion. Tomographic inversion of the first-arrival traveltimes resulted in a smooth velocity model for the upper 200 m of the subsurface. Ray coverage in the model is excellent down to 200 m providing effective control for estimating velocities through tomographic inversion. Resolution tests conducted through horizontal and vertical checkerboard tests confirm the robustness of the velocity model in detailing small scale velocity variations. Well velocities were used to validate tomographic velocities. The tomographic velocities do not show systematic correlation with well velocities. The velocity model clearly images the permafrost velocity structure in lateral and vertical directions. It is inferred from the velocity model that the permafrost structure in the near subsurface is discontinuous. Extensions of surface water bodies in depth, characterized by low P-wave velocities, are well imaged by the velocity model. Deep lakes with unfrozen water, inferred from the tomographic velocity model, correlate with areas of strong amplitude blanking and frequency attenuation observed in processed reflection seismic stack sections. © 2011 Society of Exploration Geophysicists.</t>
  </si>
  <si>
    <t>2-s2.0-84857240045"</t>
  </si>
  <si>
    <t>10.1002/wcc.84</t>
  </si>
  <si>
    <t>https://www.scopus.com/inward/record.uri?eid=2-s2.0-79961243718&amp;doi=10.1002%2fwcc.84&amp;partnerID=40&amp;md5=0e8b521cbb2534629deccb70c8304aa6</t>
  </si>
  <si>
    <t>In the international climate change negotiations, the Small Island Developing States (SIDS) have emerged as a credible group through the AOSIS (Alliance of Small Island States) and have called for a global temperature rise of 1.5°C above preindustrial levels. Whatever the outcomes of the negotiations, they are exacerbated by climate change and a rising sea level. Many share common characteristics of small size, high population density, limited land resources, vulnerability to natural hazards, threatened biodiversity, high dependence on tourism, and limited funds and human resources. The suggestions put forward for a research agenda for the SIDS include a comprehensive assessment of the SIDS as a group, a focused attention on oceans, increased development on renewable energy, inclusion of climate adaptation under natural disaster reduction, a strategy of 'save some islands rather than not to have any' for some SIDS, and large-scale modular mangrove planting for coastal protection and adaptation to sea-level rise. These suggestions could provide an expanded scope of adaptation for the SIDS. © 2010 John Wiley &amp; Sons, Ltd.</t>
  </si>
  <si>
    <t>2-s2.0-79961243718"</t>
  </si>
  <si>
    <t>10.1080/01431161.2011.581709</t>
  </si>
  <si>
    <t>https://www.scopus.com/inward/record.uri?eid=2-s2.0-82155192908&amp;doi=10.1080%2f01431161.2011.581709&amp;partnerID=40&amp;md5=38411dd95042ad7ca3ab25bb5b61270e</t>
  </si>
  <si>
    <t>Sea level rise and ocean surge are the major potential impacts of climate change in the rapidly growing urban Lagos in Nigeria. Coastal inundation is, however, expected to increase problems of flooding and intrusion of sea water into freshwater sources and ecosystems, thereby heightening the social conflict already prevalent in this area. This article examines the historical trend in the coastal extent of one of the most populous coastal cities in the tropics and projects the potential impact on coastline change using geographic information system (GIS) techniques coupled with scenario-based climate change predictions from three different general circulation models (GCMs). This study aims, therefore, to provide empirical reasoning for the development of sea defence policies which would help in the reduction of possible loss of life or capital asset damage by suggesting adequate and cost-effective flood warning systems as well as by discouraging inappropriate infrastructural development in areas at risk from flooding and coastal erosion. © 2011 Taylor &amp; Francis.</t>
  </si>
  <si>
    <t>2-s2.0-82155192908"</t>
  </si>
  <si>
    <t>10.1002/hyp.8167</t>
  </si>
  <si>
    <t>https://www.scopus.com/inward/record.uri?eid=2-s2.0-80051881366&amp;doi=10.1002%2fhyp.8167&amp;partnerID=40&amp;md5=156c0142d958401927ee032d11c0941d</t>
  </si>
  <si>
    <t>Airborne light detection and ranging (LiDAR) data were used to map water level (WL) and hydraulic gradients (δH/δx) in the Mackenzie Delta. The LiDAR WL data were validated against eight independent hydrometric gauge measurements and demonstrated mean offsets from - 0·22 to + 0·04 m (σ&lt; 0·11). LiDAR-based WL gradients could be estimated with confidence over channel lengths exceeding 5-10 km where the WL change exceeded local noise levels in the LiDAR data. For the entire Delta, the LiDAR sample coverage indicated a rate of change in longitudinal gradient (δ2H/δx) of 5·5 × 10-10 m m-2</t>
  </si>
  <si>
    <t>10.1080/19475683.2011.576268</t>
  </si>
  <si>
    <t>https://www.scopus.com/inward/record.uri?eid=2-s2.0-79960189620&amp;doi=10.1080%2f19475683.2011.576268&amp;partnerID=40&amp;md5=5878fd48d1092763910565381cb9697a</t>
  </si>
  <si>
    <t>In recent years, sea-level rise has been paid more and more attention. What causes the sea-level rise or fall is a key issue of attention. The factors affecting sea-level change are so complex that we still not completely understand its processing so well. Sea-level change would lead to not only shoreline retreats and submerged lands, but also the enhancement of marine motivation and the unstability of currently coastal sustainability. In this article, we present the analysis of the causes and possible trends of sea-level rise or fall, and the discussion of potential impacts of sea-level change on Hong Kong's coastal environment as a case study. © 2011 Taylor &amp; Francis.</t>
  </si>
  <si>
    <t>2-s2.0-79960189620"</t>
  </si>
  <si>
    <t>10.1029/2010JC006135</t>
  </si>
  <si>
    <t>https://www.scopus.com/inward/record.uri?eid=2-s2.0-79952296847&amp;doi=10.1029%2f2010JC006135&amp;partnerID=40&amp;md5=c7c8708adc3660ef84b363dacd4530f6</t>
  </si>
  <si>
    <t>A high-resolution three-dimensional numerical simulation is performed with the parallel, unstructured grid SUNTANS model to study the spatiotemporal dynamics of turbulent mixing in a shallow, macrotidal salt wedge estuary that experiences periodic mixing and strong stratification. Unresolved vertical mixing is parameterized with the k - kl closure scheme with the Canuto-A stability functions based on a careful comparison of multiple two-equation closure schemes and stability functions via the generic length scale approach. The predictions of velocity, salinity, Richardson number, and Reynolds stress are in good agreement with field observations, and the top and bottom salinity predictions achieve skill scores of 0.86 and 0.91, respectively. The model shows that the salt wedge starts to strengthen upstream at the beginning of weak ebb and gradually expands downstream during the weak tide. Mixing is most active along a density interface during the weak ebb, while it is most active in a bottom mixed layer during weak flood, consistent with the findings inferred from the observations. Stratification decays during the strong ebb in a mixing event along the horizontal extent of the salt wedge while it is also being advected offshore. Local mixing is shown to account for roughly half of the decay rate of the stratification in this process. Numerical experiments are performed to investigate the response of stratification and mixing to changes in the magnitude of the buoyancy. High sensitivity is shown under intermediate levels of stratification that occur in the real system, which becomes considerably weaker under more extreme conditions. Copyright 2011 by the American Geophysical Union.</t>
  </si>
  <si>
    <t>2-s2.0-79952296847"</t>
  </si>
  <si>
    <t>10.1080/01431161003752448</t>
  </si>
  <si>
    <t>https://www.scopus.com/inward/record.uri?eid=2-s2.0-79960065988&amp;doi=10.1080%2f01431161003752448&amp;partnerID=40&amp;md5=947ffa23b64d5ff8901f5a0afe2b2b72</t>
  </si>
  <si>
    <t>In the present study, we have investigated spatial-temporal behaviours of the land subsidence induced by reclamation activities in Macao Special Administrative Region, a coastal city of southern China. An advanced Synthetic Aperture Radar Interferometry (InSAR) technique, referred to as Interferometric Point Target Analysis (IPTA), was applied to retrieve the deformation rate and displacement time series during the period from July 2006 to March 2009. Validated by levelling survey measurements, the InSAR-derived results showed a fairly stable and homogeneous pattern within the land of Macao before 1912, which consists mainly of the threegranitic islands of Macao Peninsula, Taipa Island and Coloane Island. In contrast, relatively large deformation rates (between -15 and -41 mm year-1) and local spatial settlement variability were discovered within the latest reclamation areas. A quantitative comparison analysis of the relationship between the observed settlements and the evolution of land reclamation indicated a time-dependent settlement behaviour with respect to the age of the reclamation. Another key result was that differential settlements were detected over short distances in reclamation areas, particularly between the ground surfaces and the adjacent buildings, thus providing valuable information not only for early detection and remedial activities of potential settlement of such buildings but also for the design of future facilities adjacent to the buildings, particularly for that of large infrastructure developments. © 2011 Taylor &amp; Francis.</t>
  </si>
  <si>
    <t>2-s2.0-79960065988"</t>
  </si>
  <si>
    <t>Astronomical Journal</t>
  </si>
  <si>
    <t>10.1088/0004-6256/141/1/7</t>
  </si>
  <si>
    <t>https://www.scopus.com/inward/record.uri?eid=2-s2.0-78650863672&amp;doi=10.1088%2f0004-6256%2f141%2f1%2f7&amp;partnerID=40&amp;md5=05f4e1bb63fc399db55af30596d459ca</t>
  </si>
  <si>
    <t>We report the discovery of a faint L6 ± 1 companion to the previously known M9 dwarf, 2MASS J01303563-4445411, based on our near-infrared imaging and spectroscopic observations with the 3 m Infrared Telescope Facility SpeX imager/spectrometer. The visual binary is separated by 3″.28 ± 0″.05 on the sky at a spectrophotometric distance of 40 ± 14 pc. The projected physical separation is 130 ± 50 AU, making it one of the widest very low mass (VLM) field multiples containing a brown dwarf companion. 2MASS J0130-4445 is only one of ten wide VLM pairs and only one of six in the field. The secondary is considerably fainter (ΔK ≈ 2.35 mag) and redder (Δ (J -Ks ) ≈ 0.81 dex), consistent with component near-infrared types of M9.0 ± 0.5 and L6 ± 1 based on our resolved spectroscopy. The component types suggest a secondary mass well below the hydrogen-burning limit and an age-dependent mass ratio of 0.6-0.9. The system's space motion and spectroscopic indicators suggest an age of 2-4 Gyr while the model-dependent masses and binding energies suggest that this system is unlikely to have formed via dynamical ejection. The age, composition, and separation of the 2MASS J01303563-4445411 system make it useful for tests of VLM formation theories and of condensate cloud formation in L dwarfs. © 2011. The American Astronomical Society. All rights reserved.</t>
  </si>
  <si>
    <t>2-s2.0-78650863672"</t>
  </si>
  <si>
    <t>10.1007/s11069-010-9558-x</t>
  </si>
  <si>
    <t>https://www.scopus.com/inward/record.uri?eid=2-s2.0-79251600361&amp;doi=10.1007%2fs11069-010-9558-x&amp;partnerID=40&amp;md5=c48e47d7eee70381b8c78e1e74042431</t>
  </si>
  <si>
    <t>An interdisciplinary approach is necessary for flood risk assessment. Questions are often raised about which factors should be considered important in assessing the flood risk in an area and how to quantify these factors. This article defines and quantitatively evaluates the flood risk factors that would affect the Day River Flood Diversion Area in the context of integrated flood management in the Red River Delta, Vietnam. Expert analysis, in conjunction with field survey and Analytical Hierarchy Process (AHP), is applied to define and quantify parameters (indicators, subcomponents, and components) that contribute to flood risk. Flood duration is found to be the most prominent indicator in determining flood hazard. Residential buildings, population, and pollution are other fairly significant indicators contributing to flood vulnerability from the economic, social, and environmental perspectives, respectively. The study results will be useful in developing comprehensive flood risk maps for policy-makers and responsible authorities. Besides, local residents will also be able to implement suitable measures for reducing flood risk in the study area. © 2010 Springer Science+Business Media B.V.</t>
  </si>
  <si>
    <t>2-s2.0-79251600361"</t>
  </si>
  <si>
    <t>Journal of Environmental Science and Technology</t>
  </si>
  <si>
    <t>10.3923/jest.2011.250.263</t>
  </si>
  <si>
    <t>https://www.scopus.com/inward/record.uri?eid=2-s2.0-78649389680&amp;doi=10.3923%2fjest.2011.250.263&amp;partnerID=40&amp;md5=1d5579c28b596957cd6b05ce736ba16f</t>
  </si>
  <si>
    <t>In pursuit of economic development, Nigeria and most other post-colonial countries veered in industrialization at Independence. The focus was on maximum exploitation of natural resources for rapid economic development with scant regard for resource conservation and sustainability. Industrial activities, usually carried out in developing countries with weak legal framework and regulation infrastructure, led to pollution of water resources, destruction of fauna and flora, health hazards and deterioration of health quality, air and noise pollution, as well as destruction of traditional economic infrastructures within communities hosting some of these high powered investments. Following the 1972 Stockholm UN Conference on Human Environment, the 1992 UN Rio de Jeneiro Earth Summit and the dumping of toxic waste in Koko in Delta State of Nigeria by a foreign firm in 1988, Nigeria established the some national policies on environment, including the Federal Environmental Protection Act in 1988 and attendant Environmental Impact Assessment Act of 1992, as well as the Federal Ministry of Environment in 1999. This review study examines Nigeria's environmental legal framework and the unresolved issues amidst environmental pollution and degradation in the country. Two decades of the EIA Act in Nigeria, the country's environment is still characterized by ecological problems, unplanned growth and increasing problems of domestic and industrial waste disposal and pollution. Economic development activities, especially in the oil and gas sector, accelerate the loss of topsoil and deforestation, loss of habitat, loss of species and loss of biodiversity, as well as degeneration of wetlands. Water shortages and floods lead to deterioration of urban environmental quality and play a major role in transmission of communicable diseases. Corruption in the water sector is another major player in environmental degradation worldwide, especially in developing countries, including Nigeria. Weak implementation has rendered EIA Act a paper Tiger. © 2011 Asian Network for Scientific Information.</t>
  </si>
  <si>
    <t>2-s2.0-78649389680"</t>
  </si>
  <si>
    <t>10.1071/PC110270</t>
  </si>
  <si>
    <t>https://www.scopus.com/inward/record.uri?eid=2-s2.0-83155177927&amp;doi=10.1071%2fPC110270&amp;partnerID=40&amp;md5=a7cf9734b0d20db155c1a588bfc73ed3</t>
  </si>
  <si>
    <t>Climate change is already affecting many of the world's ecosystems with far-reaching impacts. In this special issue, contributors focus on the current and projected impacts of climate change across different geographical regions of Oceania (Australia, Pacific Islands and New Zealand). In this synthesis, we examine how climate change is affecting the three main realms: terrestrial, freshwater (broadly including estuarine and inland saline systems) and marine. Within this context, we also examine general strategies for climate adaptation including reducing other threats (e.g., habitat loss and degradation), expanding protected areas, increasing connectivity, restoring habitat and translocations. We show that many of these general strategies will not overcome all the threats caused by climate change and specific solutions are likely to be necessary. Beyond the implementation of these strategies, there are significant future challenges which will hamper effective adaptation that need to be overcome by the scientific community. Our current understanding of the impacts of climate change on biodiversity remains poor</t>
  </si>
  <si>
    <t>10.1080/01431161.2011.613415</t>
  </si>
  <si>
    <t>https://www.scopus.com/inward/record.uri?eid=2-s2.0-82055186591&amp;doi=10.1080%2f01431161.2011.613415&amp;partnerID=40&amp;md5=b2c24236ceeac4150f9e511f327b2dc3</t>
  </si>
  <si>
    <t>The 2011 Mw 9.0 earthquake off the Pacific coast of Tohoku (Japan) generated a great tsunami that inundated a wide area of the east coast of northeast Japan. In this study, we identify the distribution of tsunami inundation along a 340 km-long section of coast in northeast Honshu Island, based mainly on Advanced Land Observing Satellite (ALOS) imagery data and with cross-checking by aerial photographs and Google Earth images acquired before and after the 2011 earthquake. The analyses of remote-sensing imagery data, combined with fieldwork observations, show that (i) inundation by the tsunami extended over a wide area with a large inland limit of inundation, up to ~5.5 km from the coast in low-lying areas and up to ~15 km in a narrow bay area at the mouth of a large river</t>
  </si>
  <si>
    <t>10.2495/CP110121</t>
  </si>
  <si>
    <t>https://www.scopus.com/inward/record.uri?eid=2-s2.0-79960193851&amp;doi=10.2495%2fCP110121&amp;partnerID=40&amp;md5=7fbd8b89cb8b8a3248574741801119e0</t>
  </si>
  <si>
    <t>The North Sea coast is, as well as many coastal regions, a preferred residential and industrial area. At the same time the North Sea coast is seriously threatened by storm surges. Climate change and resulting consequences will have severe effects on the safety in coastal areas. The Project XtremRisK - Extreme Storm Surges at Open Coasts and Estuarine Areas, Risk Assessment and Mitigation under Climate Change Aspects, will assist in facing this challenge. The ""Source- Pathway-Receptor""-Concept will be used as a basis for risk analysis and development of new management strategies. Within the XtremRisK project, a method to assess extreme events will be developed which takes the hydrodynamics of storm surges into account. With this method, the components of a storm surge, tide, wind surge and external surge, and their interaction will beanalysed. The study focuses on analysing (i) the highest event of each component and (ii) the interaction between tide and surge as well as the interaction between surge and external surge. This detailed analysis is needed because the components do not interact linearly. With this knowledge, an extreme event based on the observed extremes of the components can be calculated. Non-linear addition leads to a lower water level than in case of linear superposition. With this approach, an extreme event can be calculated in accordance with natural law.Subsequently, extreme events will be assessed using conditions which reflect the climate change scenarios. © 2011 WIT Press.</t>
  </si>
  <si>
    <t>2-s2.0-79960193851"</t>
  </si>
  <si>
    <t>10.2495/RM110071</t>
  </si>
  <si>
    <t>https://www.scopus.com/inward/record.uri?eid=2-s2.0-84865564343&amp;doi=10.2495%2fRM110071&amp;partnerID=40&amp;md5=0ef64e1114e5bbf1ec2a5e49a487a0bc</t>
  </si>
  <si>
    <t>A Geophysical Monitoring System (GMS) has been designed as a new instrument for monitoring of fluvial flood control dikes in the Czech Republic. Having used the GMS to define the hot spots of an existing embankment system, detailed investigation, maintenance and renewal efforts can be concentrated in a cost-effective way on the critical parts of the embankments. But there then raised the question: ""Is giving the GMS satisfactory results as well for tidal and salty terrestrial embankments and levees?"" Thus, the Humber estuary region, UK, has been chosen as a pilot site to realize quick geophysical survey methods by GMS in June 2010 at 3 localities: • Tidal embankment Humber Estuary • Fluvial embankment of Ancholme River • Coastal Embankment Immingham. At each of the pilot sites, first measurements using the DEMP (Dipole Electromagnetic Profiling) method was performed. After having analyzed the data measured by the DEMP method, with the use of the software DIKINS, segments for the measurement by the method of resistivity tomography were selected (the segments with anomalous resistivity structure). The demonstration of the GMS at the dikes/embankments in Hull resulted in valuable findings. First, it is evident that the level of homogeneity of measured dikes in UK is much higher compared to the Czech Republic. Furthermore, all embankments show very low resistivity values. In dikes in coastal areas, saltwater seepage locations and their extent can be quickly mapped by means of the geoelectric methods. © 2011 WIT Press.</t>
  </si>
  <si>
    <t>2-s2.0-84865564343"</t>
  </si>
  <si>
    <t>10.1016/j.jenvman.2011.07.027</t>
  </si>
  <si>
    <t>https://www.scopus.com/inward/record.uri?eid=2-s2.0-80052896379&amp;doi=10.1016%2fj.jenvman.2011.07.027&amp;partnerID=40&amp;md5=0af21e8cf8c9ce300a169d625552cea7</t>
  </si>
  <si>
    <t>Restoration of unobstructed, free-flowing sections of river can provide considerable environmental and ecological benefits. It removes impediments to aquatic species dispersal and improves flow, sediment and nutrient transport. This, in turn, can serve to improve environmental quality and abundance of native species, not only within the river channel itself, but also within adjacent riparian, floodplain and coastal areas. In support of this effort, a generic optimization model is presented in this paper for prioritizing the removal of problematic structures, which adversely affect aquatic species dispersal and river hydrology. Its purpose is to maximize, subject to a budget, the size of the single largest section of connected river unimpeded by artificial flow and dispersal barriers. The model is designed to improve, in a holistic way, the connectivity and environmental status of a river network. Furthermore, unlike most previous prioritization methods, it is particularly well suited to meet the needs of potamodromous fish species and other resident aquatic organisms, which regularly disperse among different parts of a river network. After presenting an initial mixed integer linear programming formulation of the model, more scalable reformulation and solution techniques are investigated for solving large, realistic-sized instances. Results from a case-study of the Pike River Watershed, located in northeast Wisconsin, USA, demonstrate the computational efficiency of the proposed model as well as highlight some general insights about systematic barrier removal planning. © 2011 Elsevier Ltd.</t>
  </si>
  <si>
    <t>2-s2.0-80052896379"</t>
  </si>
  <si>
    <t>10.1016/j.habitatint.2011.03.002</t>
  </si>
  <si>
    <t>https://www.scopus.com/inward/record.uri?eid=2-s2.0-79959200991&amp;doi=10.1016%2fj.habitatint.2011.03.002&amp;partnerID=40&amp;md5=14711955b4f07a5de08983758a9389b4</t>
  </si>
  <si>
    <t>The Yangtze River Delta (YRD), one of China's most developed, dynamic, densely populated and concentrated industrial area, is growing into an influential world-class metropolitan area and playing an important role in China's economic and social development. The formation and the urbanization process of YRD are inseparable from climate change. This paper explores such interrelationship from two perspectives. On one hand, using historic data, we summarized the urbanization process in the YRD, and concluded that climate change has been shaping the Delta and its socioeconomic development. On the other hand, the urbanization process of the Delta has shaped its geography and built environment, which, however, are not adaptable to future climate change. Potential disruptive effects include large flooded land area, flood disasters, production and energy inefficiency, and other environmental threats. It is imperative to adopt policies and programs to mitigate and adapt to climate change in the fast urbanization process. © 2011 Elsevier Ltd.</t>
  </si>
  <si>
    <t>2-s2.0-79959200991"</t>
  </si>
  <si>
    <t>10.1007/s10584-010-9977-4</t>
  </si>
  <si>
    <t>https://www.scopus.com/inward/record.uri?eid=2-s2.0-78651086028&amp;doi=10.1007%2fs10584-010-9977-4&amp;partnerID=40&amp;md5=b2d16b835e4c4c0c896272e1e671da4b</t>
  </si>
  <si>
    <t>This paper presents a first estimate of the exposure of the world’s large port cities (population exceeding one million inhabitants in 2005) to coastal flooding due to sea-level rise and storm surge now and in the 2070s, taking into account scenarios of socio-economic and climate changes. The analysis suggests that about 40 million people (0.6% of the global population or roughly 1 in 10 of the total port city population in the cities considered) are currently exposed to a 1 in 100 year coastal flood event. For assets, the total value exposed in 2005 across all cities considered is estimated to be US$3,000 billion; corresponding to around 5% of global GDP in 2005 (both measured in international USD) with USA, Japan and the Netherlands being the countries with the highest values. By the 2070s, total population exposed could grow more than threefold due to the combined effects of sea-level rise, subsidence, population growth and urbanisation with asset exposure increasing to more than ten times current levels or approximately 9% of projected global GDP in this period. On the global-scale, population growth, socio-economic growth and urbanization are the most important drivers of the overall increase in exposure particularly in developing countries, as low-lying areas are urbanized. Climate change and subsidence can significantly exacerbate this increase in exposure. Exposure is concentrated in a few cities: collectively Asia dominates population exposure now and in the future and also dominates asset exposure by the 2070s. Importantly, even if the environmental or socio-economic changes were smaller than assumed here the underlying trends would remain. This research shows the high potential benefits from risk-reduction planning and policies at the city scale to address the issues raised by the possible growth in exposure.</t>
  </si>
  <si>
    <t>10.1016/j.apgeochem.2011.04.011</t>
  </si>
  <si>
    <t>https://www.scopus.com/inward/record.uri?eid=2-s2.0-79956273711&amp;doi=10.1016%2fj.apgeochem.2011.04.011&amp;partnerID=40&amp;md5=e42ad92b039c3db03776858fe912120e</t>
  </si>
  <si>
    <t>The present work reports on the temporal variations of Sb, As, V and Mo concentrations in the surface freshwater reaches of the Gironde Estuary (SW France). Dissolved (&lt;0.2 and &lt;0.02μm) and particulate Sb, As, V and Mo concentrations were measured in samples collected with high temporal resolution (every 30min) during two consecutive tides at a fixed station located upstream of the city of Bordeaux and the maximum turbidity zone (MTZ). In addition, measurements of suspended particulate matter concentration, physico-chemical parameters, Cl- concentration, water depth, current velocity and particulate Th concentration were performed either at the same time resolution or continuously. The data obtained suggested that variations in particulate As, V and Mo concentrations were most probably related to tidal cycling near the sampling site of fine grained particles from the MTZ located downstream. Significant differences in the behavior of the dissolved target oxyanions, mostly present in the &lt;0.02μm fraction, occurred. The behavior of Sb was conservative. Variations of the dissolved As and V concentrations showed similar cycling trends, strongly related to tidal cycles. These As and V cycles were interpreted as a mixing between upstream freshwater and downstream water enriched in dissolved As and V by desorption from the MTZ particles. The observed trend in the variation of the dissolved Mo was more complex than that of As and Sb and attributed to the mixing of the water bodies mentioned above coupled to a point source input of dissolved Mo from an intra-estuarine source. The contribution of this suspected Mo source to the dissolved Mo concentrations measured at the sampling site was estimated from the ratio of dissolved Mo to dissolved As concentrations. The additional dissolved Mo signal, coupled to the monitored ebb and flood length and associated current velocities, suggested an anthropogenic input which may derive from industrial activity near the city of Bordeaux. Extrapolating these results to the annual scale suggested that this dissolved Mo may be equivalent to 45-90% of the annual dissolved Mo flux into the Garonne Branch, highlighting the importance to further investigate the origin and behavior of Mo in the fluvial estuary near Bordeaux. © 2011 Elsevier Ltd.</t>
  </si>
  <si>
    <t>2-s2.0-79956273711"</t>
  </si>
  <si>
    <t>10.2495/CP110041</t>
  </si>
  <si>
    <t>https://www.scopus.com/inward/record.uri?eid=2-s2.0-79960189375&amp;doi=10.2495%2fCP110041&amp;partnerID=40&amp;md5=20843b174b3862a7cd7201a8a58f7f7d</t>
  </si>
  <si>
    <t>Global warming and climate change processes are expected to raise sea levels. This paper represents a contribution to the efforts of investigating the impact of sea level rise (SLR) on the Nile delta coastal zone and identifies anticipatory and adaptation measures that may be appropriate today in spite of current SLR uncertainties. SLR was calculated by applying the quadratic equation for 10-year intervals using 1980 as the base year. Despite large variation between SLR predictions, the results indicated that SLR is accelerating, with estimated value for the present (21st) century in the order of 0.6 m, although with a margin of as much as ±0.4 m. Local land subsidence in the Nile delta would exacerbate the impacts of rising seas. It was estimated that with a 1.0m SLR, about 4500 square kilometers representing 19% of the delta area will be submerged and that 6.1 million people will be affected. These potential impacts of SLR would be serious but manageable if appropriate actions are taken. The following adaptation measures to the impact of SLR in the Nile delta coastal zone were identified: maintaining and building coastal protection structures, restoration of sand dunes along the shore, preserving existing wetlands, setting regulations to control development in vulnerable areas, change of land use, relocation of infrastructures in the landward side, and development of comprehensive monitoring and early warning systems. © 2011 WIT Press.</t>
  </si>
  <si>
    <t>2-s2.0-79960189375"</t>
  </si>
  <si>
    <t>Naturschutz und Landschaftsplanung</t>
  </si>
  <si>
    <t>https://www.scopus.com/inward/record.uri?eid=2-s2.0-80052799167&amp;partnerID=40&amp;md5=ff7a498a30eb9ab5cdab203043a3d98f</t>
  </si>
  <si>
    <t>Late Mowed Stripes of Grassland Promote Invertebrates in Floodplain Meadows-Results from the nature reserve ""Kühkopf- Knoblochsaue"" In the Hessian nature reserve ""Kühkopf-Knoblochsaue"" the influence of late or omitted mowing of stripes of older grassland was investigated on ten grassland sites between 2006 and 2008. The methods applied were standardized catches with dip nets, semi-quantitative inventories of butterflies and grasshoppers as well as hand catches. Beside these species groups the mapping included bugs, leaf beetles, weevils and dragonflies. The investigation aimed to develop an integrative land use concept for the promotion of a site-typical invertebrate fauna. Nearly all groups of animals showed higher numbers of species and individuals after the late mowing compared to the stripes which were regularly mowed in June. This effect was already observed in the first year and became particularly apparent in the year 2008 when all grassland sites were mowed nearly at the same time in the second half of June. Only a few species of grasshoppers did not prefer the unused sites or even were more frequent on the regularly mowed sites. The leaf beetles also showed only little differences between the different intensities of land use. The late mowed stripes of grassland are particularly effective in herb-rich stands when the surrounding sites are mowed in early June. For each grassland site at least one stripe of older grass should be left over and be mowed together with the grassland in the following year.</t>
  </si>
  <si>
    <t>2-s2.0-80052799167"</t>
  </si>
  <si>
    <t>International Journal of Computational and Mathematical Sciences</t>
  </si>
  <si>
    <t>https://www.scopus.com/inward/record.uri?eid=2-s2.0-78449242711&amp;partnerID=40&amp;md5=f786e40a0102904fec1ace2f619a962f</t>
  </si>
  <si>
    <t>The mathematical modeling of storm surge in sea and coastal regions such as the South China Sea (SCS) and the Gulf of Thailand (GoT) are important to study the typhoon characteristics. The storm surge causes an inundation at a lateral boundary exhibiting in the coastal zones particularly in the GoT and some part of the SCS. The model simulations in the three dimensional primitive equations with a high resolution model are important to protect local properties and human life from the typhoon surges. In the present study, the mathematical modeling is used to simulate the typhoon-induced surges in three case studies of Typhoon Linda 1997. The results of model simulations at the tide gauge stations can describe the characteristics of storm surges at the coastal zones.</t>
  </si>
  <si>
    <t>2-s2.0-78449242711"</t>
  </si>
  <si>
    <t>10.1007/s00445-011-0458-z</t>
  </si>
  <si>
    <t>https://www.scopus.com/inward/record.uri?eid=2-s2.0-80052089785&amp;doi=10.1007%2fs00445-011-0458-z&amp;partnerID=40&amp;md5=68b07f0cfde6b7a43ced032ead46bf77</t>
  </si>
  <si>
    <t>The Mt Cameroon volcano is the highest and most active volcano of the Cameroon Volcanic Line. Little geological information is available for improving the understanding of the structure of this large volcanic system and its relationship to regional tectonics. After reviewing the tectonic evolution of the region, the analysis of a Digital Elevation Model and results from a field campaign dedicated to mapping geological structures in the summit area and at the SE base of Mt Cameroon are presented. Mt Cameroon is a lava-dominated volcano with long steep (over 30°) flanks. It is elongate parallel to its well defined rift zone. The summit plateau is bordered by 10 m high cliffs formed by summit subsidence along normal faults. Geological profiles were measured along rivers cutting through a topographic step at the SE base of Mt Cameroon. This step is associated with deformed Miocene sediments from the Douala basin that are overlain by volcanic products. Weak sediments of this area are deformed by 050°-060° and 020°-030° trending asymmetrical folds verging toward the SE, and thrusts faults related to the spreading of the volcano over its mechanically weak substratum. Combined remote sensing and field observations suggest that spreading is accommodated by summit subsidence and flanks sliding. Both slow spreading movements and catastrophic collapses of the steep flanks are interpreted to result from complex interactions between the growing edifice, repeated dyke intrusions, the weak sedimentary substratum and tectonic structures. © 2011 Springer-Verlag.</t>
  </si>
  <si>
    <t>2-s2.0-80052089785"</t>
  </si>
  <si>
    <t>10.1504/IJHST.2011.043285</t>
  </si>
  <si>
    <t>https://www.scopus.com/inward/record.uri?eid=2-s2.0-84875883016&amp;doi=10.1504%2fIJHST.2011.043285&amp;partnerID=40&amp;md5=987e62304aa7a4e036c573eb58cd3e3d</t>
  </si>
  <si>
    <t>The geographical location, characteristics of the coastal region and the monsoon climate render Bangladesh highly vulnerable to natural disasters. The reduction of upstream fresh water in the Ganges basin caused for high saline water penetration in the estuaries of the Sundarbans region. The five estuaries namely Baleswar, Bangra, Kunga, Malancha and Raimangal are highly affected by saline water intrusion and tidal inundation which is a new threat for estuaries ecosystems. The time series water salinity data were used for water salinity approximation. The estuaries water salinity modelling was done through Fourier polynomial approach using MATLAB software and GIS used for environmental data analysis and visualisation. Almost four estuaries water salinity has crossed the water salinity threshold line and the Baleswar estuary is in the marginal situation. The objective of this study is to understand the water salinity fluctuations and threatened ecosystems in the river estuaries of the Sundarbans mangrove region. Copyright © 2012 Inderscience Enterprises Ltd.</t>
  </si>
  <si>
    <t>2-s2.0-84875883016"</t>
  </si>
  <si>
    <t>10.14358/PERS.77.12.1249</t>
  </si>
  <si>
    <t>https://www.scopus.com/inward/record.uri?eid=2-s2.0-82955189780&amp;doi=10.14358%2fPERS.77.12.1249&amp;partnerID=40&amp;md5=30bb211833ec018cb3666085290b5b83</t>
  </si>
  <si>
    <t>This applications paper presents the methods used to create a seamless topobathy digital terrain model (DTM) at 50-foot resolution intended to support hurricane storm surge modeling in Tampa Bay, Florida. Lidar, bathymetry, and various breakline data were integrated using the Terrain Data Set structure in ArcGIS®. The use of the Terrain Data Set structure allowed for embedding large data sets (such as lidar points) and archiving them after DTM creation while maintaining topographic analysis capabilities. The bathy-metric data, natively referenced to Mean Sea Level (MSL), were converted to North American Vertical Datum of 1988 (NAVD88) using an inverse distance weighted average offset from the three nearest NOAA tidal benchmark stations; results of this conversion were within 6.1 centimeters of those produced by NOAA VDatum software in a quality control test area. This methodology can therefore be used in coastal regions of other countries.</t>
  </si>
  <si>
    <t>https://www.scopus.com/inward/record.uri?eid=2-s2.0-79959336840&amp;partnerID=40&amp;md5=c54c4b4a0371575a4fb4eff4a69ae416</t>
  </si>
  <si>
    <t>Canada, the second largest country in the world, is subject to every hazardous natural process on Earth − large earthquakes, tsunami, volcanic eruptions, landslides, snow avalanches, floods, hurricanes, tornados, severe storms, drought, and sea-level rise. Fortunately, much of the country is sparsely populated; hence risk from these hazardous processes is localized to small areas adjacent to the Canada−US border, where most Canadians live. The greatest risk comes from earthquakes and landslides on the populated south coast of British Columbia and parts of southern Ontario and Québec; from floods in Vancouver, Calgary, Winnipeg, or Toronto; and from hurricanes in Halifax and St. John’s. In the long term, Canada’s coastlines are threatened by sea-level rise and Canada’s northern indigenous peoples are threatened by permafrost thaw caused by global warming.</t>
  </si>
  <si>
    <t>10.1029/2009JF001355</t>
  </si>
  <si>
    <t>https://www.scopus.com/inward/record.uri?eid=2-s2.0-78650584718&amp;doi=10.1029%2f2009JF001355&amp;partnerID=40&amp;md5=e15d06f645c0b8822d953fd5443681d1</t>
  </si>
  <si>
    <t>A two-dimensional numerical model is used to study tidal hydrodynamics and distribution of bed shear stresses in the Fly River delta, Papua New Guinea. The model describes the propagation of the tidal wave within the delta and along the river. Model results indicate that tidal discharge at the mouths of the distributary channels is between 10 and 30 times larger than the river discharge, and that the upstream part of the delta is flood-dominated, whereas near the mouth, the delta is ebb-dominated. Numerical simulations allow us to investigate the sensitivity of fluxes and bottom stresses with respect to the variations of sea level and the area of delta islands. The results suggest that a decrease in the total area of the delta occupied by islands increases the tidal prism and, therefore, the bed shear stresses. Similarly, an increase in sea level reduces the dissipation of the tidal signal and speeds up the propagation of the tidal wave within the delta, thus yielding higher discharges and increased bed shear stresses. Copyright 2010 by the American Geophysical Union.</t>
  </si>
  <si>
    <t>2-s2.0-78650584718"</t>
  </si>
  <si>
    <t>https://www.scopus.com/inward/record.uri?eid=2-s2.0-79751516111&amp;partnerID=40&amp;md5=00b42956394c31880d7d301dcc5fa790</t>
  </si>
  <si>
    <t>The aim of this study is to apply the powerful capabilities of advanced remote sensing (RS) and geographic information system (GIS) techniques to identify the geomorphological units and degradation risk assessment of some soils east of the Nile Delta. Landsat ETM images and digital elevation model (DEM) were used to produce the physiographic map of the studied area at the landform level. The obtained map showed that the area comprised three distinct landscapes: coastal, flood and Aeolian plains, plus the urban area and water bodies. The major landforms of the studied area were described as clay flats, gypsiferrous flats, recent river terraces, decantation basins, overflow basins, old river terraces, turrtle back, sand flats, and sand sheets. The study also demonstrated that the salinization, sodication, and physical degradation of the studied area were about 14.82, 35.86, and 83.04%, respectively. The hazard types were defined as low, moderate, high, and very high. The obtained data showed also that salinity, alkalinity, and water logging are the main encountered degradation hazard. These results were a great help and served as basic sources for the planners and decision makers in sustainable planning.</t>
  </si>
  <si>
    <t>2-s2.0-79751516111"</t>
  </si>
  <si>
    <t>10.1016/j.quaint.2009.11.021</t>
  </si>
  <si>
    <t>https://www.scopus.com/inward/record.uri?eid=2-s2.0-77957150882&amp;doi=10.1016%2fj.quaint.2009.11.021&amp;partnerID=40&amp;md5=7ebc455a75c9a3cc5f6f152eb44ba66b</t>
  </si>
  <si>
    <t>Most flood models are based on advanced algorithmic and multiple data requirements that are sometimes difficult to apply in developing countries. These feed-forward models cannot be applied to large areas and can lead to extreme over/under estimations in some developing countries due to extrapolation from inadequate datasets where each additional parameter adds further uncertainty. This study proposes to employ a parsimonious model that only relies on adequate available data reducing forward-uncertainty-propagation. A "" reverse engineering"" approach that relies on past inundation depths does provide a solution for flood hazard mapping where extracting the flood extent of extreme floods is the primary goal and where only inadequate hydrological input data are available. The feedback method was successfully deployed to create the nationwide Afghanistan Flood Hazard Map (AFG-FHM) at a scale of 1:100,000 using a high-resolution digital elevation model, sample measurements and Dartmouth Flood Observatory past flood data. This paper describes the parsimonious flood map model and general methodology employed to create the AFG-FHM, as it is a robust method to generate extreme inundation outlines, which can be utilised in other developing nations as well. © 2009 Elsevier Ltd and INQUA.</t>
  </si>
  <si>
    <t>2-s2.0-77957150882"</t>
  </si>
  <si>
    <t>https://www.scopus.com/inward/record.uri?eid=2-s2.0-78751557970&amp;partnerID=40&amp;md5=7f77bd7ecbf891b036d53bfe6bcdd243</t>
  </si>
  <si>
    <t>A brief review of various physical processes acting in the Gulf of Kachchh (GoK), which have prominent roles in Gulf dynamics, is presented in this article. The eddies present in the GoK confirm that they are permanent features of the GoK circulation. Accurate estimation of residual currents and eddies in an active industrial coastal zone like the Gulf of Kachchh is important because of its potential applications with respect to discharge of pollutants. Though GoK is considered as a well-mixed system, recent studies revealed that only the central Gulf is well mixed. Stratification in temperature and salinity is noticed in the eastern Gulf, where a cold and high saline tongue is observed in the subsurface layers. Model results indicated the effect of seasonally changing winds the circulation. During southwest monsoon, the predominant westerly winds enhance the flood currents by about 20% and reduce the ebb currents significantly. In spite of semi-arid climate and lack of major rivers flowing into it, the Gulf is highly turbid with suspended sediment concentrations (SSC) during October-November 2002 ranging between 0.5 mg l-1 and 674 mg l-1.</t>
  </si>
  <si>
    <t>2-s2.0-78751557970"</t>
  </si>
  <si>
    <t>10.1007/s11069-010-9520-y</t>
  </si>
  <si>
    <t>https://www.scopus.com/inward/record.uri?eid=2-s2.0-78049329155&amp;doi=10.1007%2fs11069-010-9520-y&amp;partnerID=40&amp;md5=1877ce6d2cb6bfeb7a1c4353cca4cde5</t>
  </si>
  <si>
    <t>The paper presents a consistent micro-scale flood risk analysis procedure, relying on detailed 2D inundation modelling as well as on high resolution topographic and land use database. The flow model is based on the shallow-water equations, solved by means of a finite volume scheme on multi-block structured grids. Using highly accurate laser altimetry, the simulations are performed with a typical grid spacing of 2 m, which is fine enough to represent the flow at the scale of individual buildings. Consequently, the outcomes of hydraulic modelling constitute suitable inputs for the subsequent exposure analysis, performed at a micro-scale using detailed land use maps and geographic database. Eventually, the procedure incorporates social flood impact analysis and evaluation of direct economic damage to residential buildings. Besides detailing the characteristics and performance of the hydraulic model, the paper describes the flow of data within the overall flood risk analysis procedure and demonstrates its applicability by means of a case study, for which two different flood protection measures were evaluated. © 2010 Springer Science+Business Media B.V.</t>
  </si>
  <si>
    <t>2-s2.0-78049329155"</t>
  </si>
  <si>
    <t>10.1080/19475705.2010.516912</t>
  </si>
  <si>
    <t>https://www.scopus.com/inward/record.uri?eid=2-s2.0-79958716809&amp;doi=10.1080%2f19475705.2010.516912&amp;partnerID=40&amp;md5=97a947859afd74ba62fe402510cd1e83</t>
  </si>
  <si>
    <t>The Nile Delta covers only 2% of Egypt's area but hosts 41% of the country's population and comprises 63% of its agricultural land. Analysis of digital elevation models revealed that 18.1% of the delta lies below the mean sea level, 12.7% has an elevation between 0 and 1 m, and 13.1% lies between 1 and 2 m. If the sea level rises by 1 or 2 m, these areas are prone to be flooded. The western section of the delta is most vulnerable to a 1 m sea level rise, whereas the entire coastal areas are impacted by flooding when the sea level rises by 2 m. Locations susceptible to inundation encompass urban neighbourhoods, agricultural areas and coastal wetlands. © 2010 Taylor &amp; Francis.</t>
  </si>
  <si>
    <t>2-s2.0-79958716809"</t>
  </si>
  <si>
    <t>10.5194/nhess-10-2031-2010</t>
  </si>
  <si>
    <t>https://www.scopus.com/inward/record.uri?eid=2-s2.0-77957740759&amp;doi=10.5194%2fnhess-10-2031-2010&amp;partnerID=40&amp;md5=34a234df76c44dfcb98d4843cea55ed1</t>
  </si>
  <si>
    <t>The town of Machu Picchu, Peru, serves the &gt;700 000 tourists visiting Machu Picchu annually. It has grown threefold in population in the past two decades. Due to the limited low-lying ground, construction is occurring on the unstable valley slopes. Slopes range from &lt;10° on the valley floor to &gt;70° in the surrounding mountains. The town has grown on a delta formed at the confluence of the Alcamayo, Aguas Calientes and Vilcanota Rivers. Geohazards in and around the town of particular concern are 1) large rocks falling onto the town and/or the rail line, 2) flash flooding by any one of its three rivers, and 3) mudflows and landslides. A prototype early warning system that could monitor weather, river flow and slope stability was installed along the Aguas Calientes River in 2009. This has a distributed modular construction allowing components to be installed, maintained, salvaged, and repaired by local technicians. A diverse set of candidate power, communication and sensor technologies was evaluated. Most of the technologies had never been deployed in similar terrain, altitude or weather. The successful deployment of the prototype proved that it is technically feasible to develop early warning capacity in the town. © 2010 Author(s).</t>
  </si>
  <si>
    <t>2-s2.0-77957740759"</t>
  </si>
  <si>
    <t>10.1007/s00343-010-9055-9</t>
  </si>
  <si>
    <t>https://www.scopus.com/inward/record.uri?eid=2-s2.0-79957862518&amp;doi=10.1007%2fs00343-010-9055-9&amp;partnerID=40&amp;md5=4f843ce08d8887f20ab0f1f476d8c514</t>
  </si>
  <si>
    <t>The water and sediment discharge regulation (WSDR) project, which has been performed since 2002 before flood season every year, is of great significance to the river management in China. Until 2007, six experiments have been fulfilled to evaluate the effect of the project on the natural environment. To fill the gap of investigations, a study on flood and suspended sediment transportation and channel changing along the distributary channel of the Huanghe (Yellow) River was conducted during the WSDR project period in 2007. The lower channel was scoured rapidly and the channel became unobstructed gradually several days after the flood peak water was discharged from the Xiaolangdi Reservoir. Within four days after the flood peak at 3 000 m3/s entered the distributary, the channel in the river mouth area was eroded quickly. Both the mean values of area and depth of the main channel were tripled, and the maximum flood carrying capacity increased to 5 500 m3/s or more. Then, the river channel was silted anew in a very short time after completion of the WSDR. Favored by the WSDR project, the river status in April 2008 became better than that of the year before. The adjustment ranges of main channel parameters were about 30%, 10%, and 10% at sections C2, Q4, and Q7, respectively. The process of rapid erosion-deposition was more active 15 km away in the channel from the river mouth due to the marine influence. It is reasonable for discharging sediment at concentration peak from Xiaolangdi Reservoir at the end of the flood peak. As a result, the sediment peak reached the river mouth about two days later than that of the water current. In addition, the WSDR project has improved the development of the estuarine wetland. Wetland vegetation planted along the river banks restrained the water flow as a strainer and improved the main channel stability. It is suggested to draw water at mean rate of 150 m3/s from the Huanghe River during flood periods, because at the rate the water in the wetland would be stored and replenished in balance. Moreover, we believe that cropland on the river shoal of the lower Huanghe River should be replaced by wetland. These activities should achieve the Huanghe River management strategy of ""To concentrate flow to scour sediment, stabilize the main channel, and regulate water and sediment"". © 2010 Chinese Society for Oceanology and Limnology, Science Press and Springer Berlin Heidelberg.</t>
  </si>
  <si>
    <t>2-s2.0-79957862518"</t>
  </si>
  <si>
    <t>10.2112/09-1185.1</t>
  </si>
  <si>
    <t>https://www.scopus.com/inward/record.uri?eid=2-s2.0-78349250144&amp;doi=10.2112%2f09-1185.1&amp;partnerID=40&amp;md5=9e02117a484ae408bc84bd1ac1bf0152</t>
  </si>
  <si>
    <t>Barrier islands provide a host of critical ecosystem services to heavily populated coastal regions of the world, yet they are quite vulnerable to ongoing sea level rise and a potential increase in the frequency and intensity of oceanic storms. These islands are being degraded at an alarming rate, in part because of anthropogenic attempts at stabilization. In this article, we outline a possible sustainability strategy that incorporates the natural degree of substrate instability on these sedimentary landscapes. We recommend placing the focus for managing barrier islands on maintaining ecosystem function and process development rather than emphasizing barrier islands as structural impediments to wave and storm energy. © 2010 the Coastal Education &amp; Research Foundation (CERF).</t>
  </si>
  <si>
    <t>2-s2.0-78349250144"</t>
  </si>
  <si>
    <t>10.3189/002214310793146304</t>
  </si>
  <si>
    <t>https://www.scopus.com/inward/record.uri?eid=2-s2.0-78149275646&amp;doi=10.3189%2f002214310793146304&amp;partnerID=40&amp;md5=779a4df93351ee7acc758fb41a66011f</t>
  </si>
  <si>
    <t>Following three decades of relative stability, Jakobshavn Isbrae, West Greenland, underwent dramatic thinning, retreat and speed-up starting in 1998. To assess the amount of ice loss, we analyzed 1985 aerial photos and derived a 40 m grid digital elevation model (DEM). We also obtained a 2007 40 m grid SPOT DEM covering the same region. Comparison of the two DEMs over an area of ∼4000km2 revealed a total ice loss of 160 ± 4 km3, with 107 ± 0.2 km3 in grounded regions (0.27 mm eustatic sea-level rise) and 53 ± 4 km3 from the disintegration of the floating tongue. Comparison of the DEMs with 1997 NASA Airborne Topographic Mapper data indicates that this ice loss essentially occurred after 1997, with +0.7 ± 5.6 km3 between 1985 and 1997 and-160 ± 7 km3 between 1997 and 2007. The latter is equivalent to an average specific mass balance of-3.7 ± 0.2 m a-1 over the study area. Previously reported thickening of the main glacier during the early 1990s was accompanied by similar- magnitude thinning outside the areas of fast flow, indicating that the land-based ice continued reacting to longer-term climate forcing.</t>
  </si>
  <si>
    <t>2-s2.0-78149275646"</t>
  </si>
  <si>
    <t>10.1016/j.landurbplan.2010.08.018</t>
  </si>
  <si>
    <t>https://www.scopus.com/inward/record.uri?eid=2-s2.0-78049246973&amp;doi=10.1016%2fj.landurbplan.2010.08.018&amp;partnerID=40&amp;md5=963f714de038c2824987918fae7de5bc</t>
  </si>
  <si>
    <t>During the last decennium climate change has received much attention and especially various mitigation and adaptation strategies have gained political awareness. Particularly the coastal zone will be affected by derived consequences like sea level rise, increased storminess and flooding. In order to mitigate the most severe consequences for the society it is decisive that urban and regional planners address the climate change issue in their planning efforts. Using modelling and simulation, we can increase our understanding of the future land-use system under influence of a changing climate and accordingly reduce uncertainty concerning decisions. The current paper describes how to carry out land-use simulations as envisaged by the SRES narratives using a multi-criteria land-use modelling framework. Combined with expected future flooding due to sea level rise we perform an impact assessment on future urban development. Finally, we describe how the definition of adaptation strategies can facilitate spatial planning measures to counteract the consequences of potential climate changes. © 2010 Elsevier B.V.</t>
  </si>
  <si>
    <t>2-s2.0-78049246973"</t>
  </si>
  <si>
    <t>10.1002/rra.1314</t>
  </si>
  <si>
    <t>https://www.scopus.com/inward/record.uri?eid=2-s2.0-78149272537&amp;doi=10.1002%2frra.1314&amp;partnerID=40&amp;md5=9c7b33704b6b01c3e101fe0c0e469743</t>
  </si>
  <si>
    <t>A distinctive hydrological feature of the Lake Athabasca-Peace-Athabasca Delta (LA-PAD) complex is that flow in channels that drain the system reverses direction when stage on the Peace River exceeds that for the central lakes. This river's hydrology has experienced natural and human induced changes since 1968. This study investigates the importance of spring break-up and open-water induced outflow obstruction and reverse flow contributions to annual lake level maxima under natural (1960-1967), regulated (1976-2004) and naturalized (1976-1996) flow regimes.Obstructed and reverse flow events during spring break-up were common prior to and following flow regulation, suggesting that natural climatic variability in source areas below the W.A.C. Bennett Dam exerted a strong influence on their occurrence. Antecedent hydrological conditions, such as fall freeze-up lake level, break-up magnitude, peak spring flow and initial open-water lake level were significantly associated with annual lake level maxima. During the summer period, lake level was linked to sustained high flows on the Peace River. The river obstructed outflow and contributed reverse flow to the LA-PAD in each year prior to 1968. Following regulation, however, more than half the years did not experience any open-water obstruction and/or reversal, and those that did were characterized by smaller events. The average estimated duration of obstruction was more than two weeks shorter and reverse flow volume was reduced by -90% under a regulated regime compared to a simulated naturalized flow regime. This implied a lowered potential for lateral lake expansion into the delta floodplain in some years. The regulated hydrology could produce large stormflow and high lake levels, but only under extreme climatic events in areas below the dam and/or human-induced alterations to normal reservoir operation. Copyright © 2009 Crown in the right of Canada and John Wiley &amp; Sons, Ltd. Copyright © 2009 Crown in the right of Canada and John Wiley &amp; Sons, Ltd.</t>
  </si>
  <si>
    <t>2-s2.0-78149272537"</t>
  </si>
  <si>
    <t>10.1007/s10236-010-0319-x</t>
  </si>
  <si>
    <t>https://www.scopus.com/inward/record.uri?eid=2-s2.0-77958081821&amp;doi=10.1007%2fs10236-010-0319-x&amp;partnerID=40&amp;md5=1e9be2b1f004da8fb886c398c7c8af47</t>
  </si>
  <si>
    <t>A new method of integrating satellite remote sensing data and inundation models allows the mapping of extensive tidal mudflats in a sub-Arctic estuary, Cook Inlet (CI), Alaska. The rapid movement of the shorelines in CI due to the large tides (~10 m range) is detected from a series of Landsat imagery taken at different tidal stages, whereas GIS tools are used to identify the water coverage in each satellite image and to extract the coordinates of the shoreline. Then, water level along the shoreline for each satellite image is calculated from the observed water level at Anchorage and the statistics of an inundation model. Several applications of the analysis are demonstrated: 1. studying the dynamics of a tidal bore and the flood/ebb processes, 2. identifying climatic changes in mudflats morphology, and 3. mapping previously unobserved mudflat topographies in order to improve inundation models. The method can be used in other regions to evaluate models and improve predictions of catastrophic floods such as those associated with hurricane storm surges and tsunamis. © 2010 Springer-Verlag.</t>
  </si>
  <si>
    <t>2-s2.0-77958081821"</t>
  </si>
  <si>
    <t>10.1007/s11069-010-9505-x</t>
  </si>
  <si>
    <t>https://www.scopus.com/inward/record.uri?eid=2-s2.0-78649828432&amp;doi=10.1007%2fs11069-010-9505-x&amp;partnerID=40&amp;md5=06cf73230388522fc4eb81d4478c6f0f</t>
  </si>
  <si>
    <t>Societies and ecosystems worldwide are increasingly subjected to hazards of natural and anthropogenic origins. Increasing the resilience and reducing the vulnerability of social-ecological systems (SES) so that they can withstand these shocks is crucial. External shocks (e.g. cyclones, earthquakes, tsunamis, floods) can induce an SES to move from one regime to another (or one stability domain to another), the latter typically being unfavourable. This can be through the disruption of ecosystems and the services they provide to society and/or through disruption of the social and economic structure and networks of the SES. Important characteristics of SES are the thresholds (boundaries) separating stability domains, but these are very difficult to evaluate because of the complex nature of SES. We use the example of the 2004 Indian Ocean tsunami impact on groundwater resources and the coastal communities relying on them in Sri Lanka, to illustrate that a practical approach for SES threshold characterisation could be through description of the dependency of social groups with respect to essential ecosystem services and through an understanding of the state of the ecosystems providing these services. However, this is not sufficient and changes of adaptive capacities of different social groups, access to the environmental services and the interventions undertaken by different actors also need to be considered. Furthermore, the question of when (time and phase) and why (stimuli) SES might shift into another state should be reviewed more critically. The implication is that multiple thresholds within the sub-components of the SES have to be assessed. © 2010 Springer Science+Business Media B.V.</t>
  </si>
  <si>
    <t>2-s2.0-78649828432"</t>
  </si>
  <si>
    <t>10.1016/j.jog.2010.05.002</t>
  </si>
  <si>
    <t>https://www.scopus.com/inward/record.uri?eid=2-s2.0-77957895858&amp;doi=10.1016%2fj.jog.2010.05.002&amp;partnerID=40&amp;md5=e3f867518d27c964861eb9f15aa3339b</t>
  </si>
  <si>
    <t>The 9 July 1956 Amorgos earthquake (Mw 7.6) was the largest event that hit Greece during the last century followed by a tsunami that inundated the coastal areas of the southern Aegean. This study investigates the rheological properties of the 1956 rupture zone between Amorgos and Santorini islands, in an effort to place some constraints on the nucleation depth and rupture extent of this large event. The seismic velocities inferred from tomographic and surface wave dispersion studies of the area are first correlated with laboratory determined velocities of known rock types. It is found that the lithosphere in the southern Aegean can be approximated by three layers representing the upper/lower crust and upper mantle consisting of quartzite, diabase and peridotite, respectively. Geotherms are calculated by using an analytical solution to the one-dimensional heat conduction equation, while Yield Strength Envelopes (YSEs) are produced after assuming laboratory estimated parameters of brittle and ductile deformation for each rock type. The depth frequency of earthquakes in the area, as well as other independent observations favour the YSE calculated for a wet upper crust/upper mantle, a dry lower crust and a geotherm corresponding to a surface heat flow of 62mWm-2. In this YSE, the upper mantle exhibits maximum strength at 33km becoming more ductile at greater depths. The lower crust retains significant strength and therefore cannot flow as it did during the early stages of extension, but it is relatively weaker than the upper mantle confirming the 'jelly sandwich' model previously proposed for the continental lithosphere. The downdip rupture width of the Amorgos event can be estimated from empirical relationships to be 26km which means that its rupture may have extended from the depth of peak strength in the upper mantle (33km) to 7km upwards. Such a scenario agrees well with recent modelling results indicating that the Amorgos tsunami was probably caused by submarine landslides rather than coseismic rupture of the seafloor. © 2010 Elsevier Ltd.</t>
  </si>
  <si>
    <t>2-s2.0-77957895858"</t>
  </si>
  <si>
    <t>10.2112/JCOASTRES-D-09-00043.1</t>
  </si>
  <si>
    <t>https://www.scopus.com/inward/record.uri?eid=2-s2.0-78349285511&amp;doi=10.2112%2fJCOASTRES-D-09-00043.1&amp;partnerID=40&amp;md5=25a0e4e8b2b15b9b023c22681ca8dfc1</t>
  </si>
  <si>
    <t>Dredging trials using trailing suction hopper dredging (TSHD) equipment were carried out across both flood- and ebb-tide deltas at the artificial entrance to the Gippsland Lakes (Victoria, Australia) during March to July 2008. These trials were designed to evaluate options for future sediment management at this location. Regular hydrodata capture before, during, and after the TSHD trials period allowed geographic information systems (GIS)based monitoring of TSHD performance and overall flood- and ebb-tide delta bathymetric evolution. Results show that the TSHD dredging approach is far more effective in terms of net flood- and ebb-tide delta volumetric reduction, and navigation channel maintenance, than previously used maintenance dredging approaches (which relied upon the use of side-cast and cutter-suction dredging equipment). However, after the culmination of the trials, channel infill quickly took place. The information derived from analysis of the time-series bathymetry used for this study offers baseline information in support of future stakeholder consensus building regarding options for maintaining navigability and, thus, port viability. © 2010 the Coastal Education &amp; Research Foundation (CERF).</t>
  </si>
  <si>
    <t>2-s2.0-78349285511"</t>
  </si>
  <si>
    <t>Visual Computer</t>
  </si>
  <si>
    <t>10.1007/s00371-009-0414-5</t>
  </si>
  <si>
    <t>https://www.scopus.com/inward/record.uri?eid=2-s2.0-78149409461&amp;doi=10.1007%2fs00371-009-0414-5&amp;partnerID=40&amp;md5=792688625ff05656391bcf845767a370</t>
  </si>
  <si>
    <t>The objective of the paper is to present a new risk-analysis approach for the assessment of optimal flood protection levels in urban flood risk management, which is based on an active contour method. Although the active contour method is a very popular research topic, there has been no attempt made on deriving a model for simulating flooding and inundating to date, as far as we are aware. We have developed a flooding prototype system, which consists of two main parts: a digital terrain model and a flood simulation model. The digital terrain model is constructed using real world measurement data of GIS, in terms of digital elevation data and satellite image data. A pyramidal data arrangement structure is used for dealing with the requirements of terrain details with different resolutions. A new flooding model has been developed, which is useful for urban flood simulation. It consists of a flooding image spatial segmentation based on an active contour model, a water level calculation process, a standard gradient descent method for energy minimisation. When testing the 3D flood simulation system, the simulation results are very close to the real flood situation, and this method has faster speed and greater accuracy of simulating the inundation area in comparison to the conventional 2D flood simulation models. © Springer-Verlag 2009.</t>
  </si>
  <si>
    <t>2-s2.0-78149409461"</t>
  </si>
  <si>
    <t>10.1080/02626660903529023</t>
  </si>
  <si>
    <t>https://www.scopus.com/inward/record.uri?eid=2-s2.0-78049283545&amp;doi=10.1080%2f02626660903529023&amp;partnerID=40&amp;md5=fe9f1c97f3f0767fdf8676811f9e86ac</t>
  </si>
  <si>
    <t>Satellite radar altimetry is complementary to in situ limnimetric surveys as a means of estimating the water height of large rivers, lakes and flood plains. Production of water height time series by satellite radar altimetry technology requires first the selection of radar ground target locations corresponding to water body surfaces under study, i.e. the definition of ""virtual limnimetric stations"". We propose to investigate qualitative and quantitative differences between three representative virtual station creation methodologies: (a) a fully manual method, (b) a semi-automatic method based on a land cover characterization that allows the water body surface under study to be located</t>
  </si>
  <si>
    <t>Journal of Hydrology New Zealand</t>
  </si>
  <si>
    <t>https://www.scopus.com/inward/record.uri?eid=2-s2.0-79951906182&amp;partnerID=40&amp;md5=c4dd6670eb1c7e41ba5a649bf3192a1f</t>
  </si>
  <si>
    <t>Most New Zealanders reside in coastal regions and many communities are situated on active floodplains. In the last decade there have been many storm events with rainfall annual exceedance probabilities of 1/150 or rarer and there have been many flood-related disasters. Insurance claim statistics suggest that the frequency of floods is increasing. Such statistics are a concern for local government authorities, insurance companies and populations in low-lying areas. Some underlying physical and hydrologic causes of the flood disasters are investigated. It is found that the present numbers of rare rainfall events are not unexpected and there does not appear to be any significant trend evident in the occurrence of river floods. For the areas studied, the river floods appear to cluster in certain decades. The clusters do not occur at the same time in different parts of the country and high rainfalls (required to cause floods) in the southwest of New Zealand are associated with El Niño conditions. Recently there has been more flooding in the north, which is where more of the population lives. The general increase in population has also seen more houses built in locations prone to flooding. Thus the increase in flood-related insurance claims is attributed to more floods in populated areas and to more people getting in the way of floods, rather than to any increase in the number of floods that have occurred. Wise regulation of future infrastructure development will be required to prevent more flood disasters in the years to come. © New Zealand Hydrological Society (2010).</t>
  </si>
  <si>
    <t>2-s2.0-79951906182"</t>
  </si>
  <si>
    <t>https://www.scopus.com/inward/record.uri?eid=2-s2.0-79251494811&amp;partnerID=40&amp;md5=59e8cced257bba346a42f159d0a52814</t>
  </si>
  <si>
    <t>The problem of flooding is crucial for Georgia, because of the abundance of rivers and diversity of their nature. Most of the rivers are running from the mountains, gaining high velocities and flow energy that caused the catastrophic inundations and floods in the lowland areas. The Rioni river case study is used to assess the flooding phenomena in the Black Sea coastal area of Western Georgia, on the basis of contemporary programming and processing products. In meeting this goal the following novelties were used: for the first time in Georgia an assessment of the risks of the development of maximum discharges (levels, depths) with the corresponding inundation areas was evaluated on the basis of monthly data, aiming to provide the modelling with more precise data for the flood scenarios. The hydrological part of the inundation managing system completely was based on the newest modelling tools (MIKE 11, HEC-FDA and MIKE 11 GIS - FAT), as well as informational technologies for the mapping of the researched river basin.</t>
  </si>
  <si>
    <t>2-s2.0-79251494811"</t>
  </si>
  <si>
    <t>10.1175/2010JCLI3520.1</t>
  </si>
  <si>
    <t>https://www.scopus.com/inward/record.uri?eid=2-s2.0-78650569002&amp;doi=10.1175%2f2010JCLI3520.1&amp;partnerID=40&amp;md5=9878ad2d5eaeb2a070aeff8b0d508644</t>
  </si>
  <si>
    <t>This paper describes numerical experiments using a climate-storm surge simulation system for the coast of the United Kingdom, with a particular focus on the southern North Sea and the Thames estuary in southeastern England. Time series of surges simulated in the southern North Sea by a surge model driven by atmospheric data from a regional climate model and surges simulated by the same surge model driven by atmospheric data from a global climate model are compared. A strong correspondence is demonstrated, and a linear scaling factor relating them is derived. This factor varies slowly with location. Around the Thames estuary, extreme surges are compared in the same way, and the linear scaling factor for the extremes is found to be similar to that for the full time series. The authors therefore assert that in seeking significant trends in surge at this location using this model arrangement, the regional model downscaling stage could be avoided, if observations were used to establish a suitable scaling factor for each location. The influence of the tide-surge phase relationship is investigated, and extreme sea levels at the mouth of the River Thames from regional-model-driven simulations are compared to the extreme event of 1953. Although the simulated levels are slightly lower, they are found to be comparable given the observational uncertainty. The assumption that time-mean sea level changes can be added linearly to surge changes is investigated at this location for large changes in time-mean sea level. The authors find that the primary effect of such an increase is on the speed of propagation of tide and surge, supporting the case for a simple linear addition of mean and extreme sea level changes. © 2010 American Meteorological Society.</t>
  </si>
  <si>
    <t>2-s2.0-78650569002"</t>
  </si>
  <si>
    <t>10.5194/hess-14-2243-2010</t>
  </si>
  <si>
    <t>https://www.scopus.com/inward/record.uri?eid=2-s2.0-78649337694&amp;doi=10.5194%2fhess-14-2243-2010&amp;partnerID=40&amp;md5=4975ae9d0a8edd5db017e946018121e5</t>
  </si>
  <si>
    <t>This article analyzes the relationship between the processes of policy making, management and research and the way in which the Westerschelde estuary developed between 1985 and 2006. The Westerschelde has three core functions: economically: it makes the port of Antwerp accessible</t>
  </si>
  <si>
    <t>10.1007/s10040-010-0615-z</t>
  </si>
  <si>
    <t>https://www.scopus.com/inward/record.uri?eid=2-s2.0-77958493041&amp;doi=10.1007%2fs10040-010-0615-z&amp;partnerID=40&amp;md5=c276d301d40fca93927f70d717a7d2e3</t>
  </si>
  <si>
    <t>Rising sea levels due to climate change are expected to negatively impact the fresh-water resources of small islands. The effects of climate change on Shelter Island, New York State (USA), a small sandy island, were investigated using a variable-density transient groundwater flow model. Predictions for changes in precipitation and sea-level rise over the next century from the Intergovernmental Panel on Climate Change 2007 report were used to create two future climate scenarios. In the scenario most favorable to fresh groundwater retention, consisting of a 15% precipitation increase and 0. 18-m sea-level rise, the result was a 23-m seaward movement of the fresh-water/salt-water interface, a 0. 27-m water-table rise, and a 3% increase in the fresh-water lens volume. In the scenario supposedly least favorable to groundwater retention, consisting of a 2% precipitation decrease and 0. 61-m sea-level rise, the result was a 16-m landward movement of the fresh-water/salt-water interface, a 0. 59-m water-table rise, and a 1% increase in lens volume. The unexpected groundwater-volume increase under unfavorable climate change conditions was best explained by a clay layer under the island that restricts the maximum depth of the aquifer and allows for an increase in fresh-water lens volume when the water table rises. © 2010 Springer-Verlag.</t>
  </si>
  <si>
    <t>2-s2.0-77958493041"</t>
  </si>
  <si>
    <t>10.1029/2010GL044592</t>
  </si>
  <si>
    <t>https://www.scopus.com/inward/record.uri?eid=2-s2.0-78149437954&amp;doi=10.1029%2f2010GL044592&amp;partnerID=40&amp;md5=4f991eb75f563664f1f3859b63e8247b</t>
  </si>
  <si>
    <t>Under projected scenarios of sea-level rise, subsidence, and sediment starvation many deltas around the world are expected to drown. Delta growth dynamics, which determine the ability of a delta to adapt to these changes, are poorly understood due to the difficulty of measuring change in slowly evolving landscapes. We use time-series imagery of experimental, numerical, and field-scale deltas to derive four laws that govern the growth of river-dominated deltas. Land area grows at a constant rate in the absence of relative sea level change, while wetted area keeps pace, maintaining a constant wetted fraction over the delta surface. Scaling of edge-lengths versus areas suggests delta shorelines are nonfractal, even though the channel network is fractal. Consequently channel-edge length, which provides critical habitat, grows more rapidly than delta area. These laws provide a blueprint for delta growth that will aid in delta restoration and help predict how existing deltas will evolve. © 2010 by the American Geophysical Union.</t>
  </si>
  <si>
    <t>2-s2.0-78149437954"</t>
  </si>
  <si>
    <t>10.1007/s11069-009-9419-7</t>
  </si>
  <si>
    <t>https://www.scopus.com/inward/record.uri?eid=2-s2.0-78649830453&amp;doi=10.1007%2fs11069-009-9419-7&amp;partnerID=40&amp;md5=cba8cbe98b817f24032685dc79809ce5</t>
  </si>
  <si>
    <t>Climate change will have a progressively increasing impact on environmental degradation and environmentally dependent socio-economic systems with potential to cause substantial population displacement. The key concerns in Less Developed Countries (LDCs) will include serious threats to food security and health, considerable economic decline, inundation of coastal areas, and degradation of land and fresh water resources (Reuveny in Polit Geogr, 2007). The relationship between environmental change and potential humanitarian crises has been captured by: McGregor (Geography and refugees: patterns and processes of change, Belhaven Press, London, pp 159–70, 1993), Kibreab (Environment and Population Change, International Union for the Scientific Study of Population, Liège, 1994), Kibreab (Disasters 21(1):20–38, 1997), Myers (Bioscience 43:752–761, 1993), Myers and Kent (Environmental exodus: an emergent crisis in the global arena, Climate Institute, Washington, DC, 1995), Black (New Issues in Refugee Research, Working Paper no. 34, 2001), Lee (Environmental matters: conflict, refugees and international relations, World Human Development Institute Press, Seoul and Tokyo, 2001), Castles (Environmental Change and Induced Migration: Making Sense of the Debate Working Paper No. 70, 2002), Christian Aid (Human tide: the real migration crisis, Christian Aid, London, 2007), and Massey et al. (http://www.psc.isr.umich.edu/pubs/pdf/rr07-615.pdf, 2007). However, we know little about the interplay between environmental change and stresses on ecological systems, resulting socio-economic vulnerability and potential outcomes in terms of population displacement or induced migration. So far these relationships are poorly conceptualized, lack systematic investigation, and are reduced to simplistic causal explanations. This leads to misleading conclusions that deny the complex multivariate processes—environmental, political, social, and economic— which are the root causes of environmentally induced migration and/or conflict. When people are faced with severe environmental degradation they have one of three options: (1) stay and adapt to mitigate the effects; (2) stay, do nothing and accept a lower quality of life; or (3) leave the affected area. The process of movement and migration is usually subject to a complex set of push and pull forces, where push forces relate to the source area while pull factors relate to the destination. These forces are in constant flux, as much as environmental change, and interact with socio-economic and political conditions including state or government decision making powers, which can tip the balance at any point by either denying movement or the right to settle elsewhere. The paper focuses on how environmental change and environmental hazards contribute to the migration by exploring the mechanisms through which vulnerability and migration are linked—via livelihoods, relocation policies, and other factors. The paper begins by outlining important definitions of what is environmentally induced migration. The paper also considers the question of whether migration is a process that reduces or increases vulnerability. The paper draws on multidisciplinary literature including ecology, environment, and climate change; sociology of migration; anthropology of displacement; and economics; but also on preliminary from various case studies in Egypt, Vietnam, and Mozambique.</t>
  </si>
  <si>
    <t>Journal of Water Law</t>
  </si>
  <si>
    <t>https://www.scopus.com/inward/record.uri?eid=2-s2.0-80052198415&amp;partnerID=40&amp;md5=71952c0d36ebb72a6c1400ce57afad11</t>
  </si>
  <si>
    <t>Judith Davies discusses the strategic issues concerning England and Wales. The UK Environmental Law Association (UKELA) has welcomed the paper and says it could make a valuable contribution towards addressing biodiversity loss in England. The proposed Nature Improvement Areas, Biodiversity offsetting, Local Nature Partnerships and Green Area Designations have the potential to make positive contributions to support and safeguard the existing network of protected areas. A report published by the Institution of Civil Engineers (ICE) calls for government proposals to fund local flood schemes by allocating grants according to the number of households protected, to be extended to ensure that critical infrastructure assets are not left vulnerable. Under the government proposals funding would be allocated according to the number of households in the area. DeltaStream's predecessors were first trialed in 2002. Development of the technology has been slow and the company cites the success of wind-driven technology as being a relevant factor.</t>
  </si>
  <si>
    <t>2-s2.0-80052198415"</t>
  </si>
  <si>
    <t>10.5194/nhess-10-2327-2010</t>
  </si>
  <si>
    <t>https://www.scopus.com/inward/record.uri?eid=2-s2.0-78649407360&amp;doi=10.5194%2fnhess-10-2327-2010&amp;partnerID=40&amp;md5=f691bc0a99b3268c0472fca27785e58a</t>
  </si>
  <si>
    <t>In the context of wave climate variability, long-term alterations in the wave storminess pattern of the Catalan coast (northwestern Mediterranean Sea) are analysed in terms of wave energy content and wave direction, on the basis of wave hindcast data (from 44-year time series). In general, no significant temporal trends are found for annual mean and maximum energy. However, the same analysis carried out separately for different wave directions reveals a remarkable increase in the storm energy of events from the south, which is partly due to a rise in the annual percentage of such storms. A case study of Tarragona Port (on the southern Catalan coast) highlights the importance of including changes in wave direction in the study of potential impacts of climate change. In particular, an increase in the frequency of storms from the south leads to greater agitation inside the Port. © 2010 Author(s).</t>
  </si>
  <si>
    <t>2-s2.0-78649407360"</t>
  </si>
  <si>
    <t>10.5194/nhess-10-2229-2010</t>
  </si>
  <si>
    <t>https://www.scopus.com/inward/record.uri?eid=2-s2.0-78149250771&amp;doi=10.5194%2fnhess-10-2229-2010&amp;partnerID=40&amp;md5=18ae6c38e8b6945961f0c57b8e67fe4a</t>
  </si>
  <si>
    <t>In the past two decades, episodes of flooding on the coast of Alicante (Spain) have led to substantial losses in human life in economic terms. With increased exposure to these phenomena comes also increased vulnerability. Given the various effects of flooding in areas of similar exposure, differences in vulnerability across regions at risk need to be analysed also in terms of the socioeconomic factors of the groups of society that may be affected, and of their perception of risk. This paper studies the increased risk of flooding in three locations on the Alicante coast as a result of urban occupation of areas subject to this hazard. The consequences of the most recent episodes in this area are analysed and a risk assessment, using survey-based research in the affected areas, is performed. © Author(s) 2010.</t>
  </si>
  <si>
    <t>2-s2.0-78149250771"</t>
  </si>
  <si>
    <t>10.3189/002214310794457362</t>
  </si>
  <si>
    <t>https://www.scopus.com/inward/record.uri?eid=2-s2.0-78349310844&amp;doi=10.3189%2f002214310794457362&amp;partnerID=40&amp;md5=86d114b1052a9a865b0f8c15d1505295</t>
  </si>
  <si>
    <t>Uncertainties in estimates of glacier and ice-cap contribution to sea-level rise exist in part due to poor quantification of mass-balance errors, particularly those resulting from extrapolation ofsparse measurements. Centre-line data are often assumed to be representative of the glacier as awhole, with little attention paid to extrapolation errors or their effect on mass-balance estimates. Here we present detailed digital elevation model (DEM) measurements of glacier-wide elevation changes over the last ̃40 years at two glaciers on Svalbard, Norwegian Arctic. Austre Brøggerbreen and Midtre Lovénbreen are shown to have lost 27.54±0.98 and 9.65±0.76×107m3 of ice, respectively, between 1966 and 2005, findings that we relate to trends in average summer air temperatures and winter accumulation. These volume losses correspond to geodetic balances of -0.58±0.03 and -0.41±0.03mw.e. a-1, respectively. Our analysis revealed high spatial complexity in patterns of elevation change, varying between glaciers, between measurement intervals and within and between elevation bins. Balances from extrapolated centre-line geodetic data were the same (within errors) as those from full-coverage DEM differencing in the majority of comparisons, yet significantly underestimated balance in three instances. Additionally, field mass balance from centre-line ablation stake data underestimated balances from full-coverage geodetic measurements during three of six measurement periods. These findings may support the hypothesis that field measurements underestimate Svalbard glacier mass loss, at least partly as a result of the failure of centre-line measurements to account for glacier-wide variations in ablation. Our results demonstrate the importance of deriving accurate interpolation functions and constraining extrapolation errors from sparse measurements.</t>
  </si>
  <si>
    <t>2-s2.0-78349310844"</t>
  </si>
  <si>
    <t>10.1139/E10-011</t>
  </si>
  <si>
    <t>https://www.scopus.com/inward/record.uri?eid=2-s2.0-77952177996&amp;doi=10.1139%2fE10-011&amp;partnerID=40&amp;md5=18920bcfc0d65a4ebbbce3af42055e71</t>
  </si>
  <si>
    <t>The first Lithoprobe transect in 1984 across Vancouver Island had primary objectives to define the structure associated with subduction and constraints on the potential for great thrust earthquakes. The Lithoprobe results and the comprehensive multidisciplinary data collection and analyses that followed provide compelling evidence for past great earthquakes along the Cascadia subduction zone from Vancouver Island to northernmost California, and for present elastic strain build up toward future great events. There is evidence of sudden coastal subsidence up to 2 m and of deep-sea turbdite deposits indicating strong shaking from huge earthquakes at irregular intervals averaging about 500 years, the last in 1700. Precision geodetic measurements define the present buckling of the coastal region, diagnostic of elastic strain accumulation on a locked thrust fault. The landward extent of rupture and, therefore, shaking at coastal cities is constrained by (i) the pattern of elastic strain buildup, (ii) the estimated temperatures on the fault, (iii) the updip limit of episodic tremor and slip (ETS), (iv) the downdip change in reflection character of the thrust, and (v) the magnitude of coastal subsidence in the most recent, 1700, and previous great events. The major earthquakes are very large, M9, rupturing most of the Cascadia margin, but mainly offshore, limiting somewhat the shaking at inland cities but producing large tsunamis. The ETS that occurs at intervals of just over a year appears to involve slow slip on the subduction thrust downdip of the rupture zone that increases stress on the locked zone and may indicate time varying potential for great events.</t>
  </si>
  <si>
    <t>2-s2.0-77952177996"</t>
  </si>
  <si>
    <t>10.1080/02626660903525252</t>
  </si>
  <si>
    <t>https://www.scopus.com/inward/record.uri?eid=2-s2.0-78649751708&amp;doi=10.1080%2f02626660903525252&amp;partnerID=40&amp;md5=4712f4f798f3b968c266f168b1e7c2bf</t>
  </si>
  <si>
    <t>A two-dimensional (2D) hydrodynamic assessment of the Nile swamps in southern Sudan has been carried out using DHI MIKE 21 software based on a ground referenced and corrected Shuttle Radar Topography Mission (SRTM) digital elevation model. The model was set up and calibrated using available historical information as well as newly measured data. The results show the model capable of representing the hydraulic conditions in the swamps, allowing the assessment of different flow conditions and their effects on the swamp. The study has established water-level gradients, flow directions and velocities in the swamp, as well as on the seasonal flood plains, and describes the importance of evapotranspiration for losses in the system. © 2010 IAHS Press.</t>
  </si>
  <si>
    <t>2-s2.0-78649751708"</t>
  </si>
  <si>
    <t>10.1007/s12524-011-0067-5</t>
  </si>
  <si>
    <t>https://www.scopus.com/inward/record.uri?eid=2-s2.0-79952902618&amp;doi=10.1007%2fs12524-011-0067-5&amp;partnerID=40&amp;md5=95e14facf6967c039a4fd0a14ba439dd</t>
  </si>
  <si>
    <t>The coastal zones around the world are very densely populated and hence heavily packed with related infrastructures. So, the territorial nations have obvious apprehensions against the IPCC SRES (Intergovernmental Panel on Climate Change, Special Report on Emission Scenario) predicted sea level rise, as it would cause flooding of the low lying coasts and also other related chains of environmental endangers. This has driven these nations to initiate research studies in multiple directions for scientifically evaluating the phenomenon and impacts of sea level rise using all possible technologies including the Geomatics which possesses unique credentials in geosystem mapping. But certain advanced virtues available with Geomatics technology are yet to be capitalized deservingly in this. In addition, almost all the earlier studies have focused only on the impacts of sea level rise (SLR) and not on the predicted shift of high tide line (HTL) and the related inter tidal activities, which would cause a series of environmental disaster. Hence, the present research study was undertaken in a test site of 750 km2 in central Tamil Nadu coast to visualize the areas prone to submergence due to predicted SLR and areas prone to environmental disasters/degradation viz. erosion, deposition, salination of agricultural lands, pollution of aquifers, etc. due to predicted shift of HTL, using digital elevation models derived from SRTM data (Shuttle Radar Topographic Mission), geomorphology and land use/cover maps interpreted using IRS P6 LISS IV satellite data. The paper narrates the certain newer concepts and methodologies adopted in the study and the results. © 2011 Indian Society of Remote Sensing.</t>
  </si>
  <si>
    <t>2-s2.0-79952902618"</t>
  </si>
  <si>
    <t>10.5194/adgeo-27-111-2010</t>
  </si>
  <si>
    <t>https://www.scopus.com/inward/record.uri?eid=2-s2.0-77957565850&amp;doi=10.5194%2fadgeo-27-111-2010&amp;partnerID=40&amp;md5=ccb095acc437d29fefedb86bb33610a4</t>
  </si>
  <si>
    <t>Within the framework of this study we identify mesoscale catchments in Switzerland that exhibit sensitivity towards a change in climate with a focus on alterations of the water balance and peak flow conditions. For this study, the hydrological modelling system PREVAH is used, which is a semi-distributed and conceptual yet process-oriented model forced with hourly meteorological input on basis of a spatial resolution of 500×500m2. We calibrate the model where measured discharge records are available and transfer the calibrated model parameters to ungauged catchments through regionalisation, to arrive at a comprehensive set of model parameters for the entire area of Switzerland. To assess future changes, we apply an extensive set of 16 Regional Climate Models (RCMs) to the catchments. The RCM data are downscaled to a dense network of meteorological stations for the period from 2021 to 2050 using the Delta Change Approach. This downscaling method incorporates a bias correction of the RCM output and provides change rates and values for precipitation and temperature. In the present paper we describe the application of a calibration and regionalisation procedure developed previously for Northern Alpine catchments to Southern catchments. The necessity to differentiate between a Northern and a Southern Alpine region, with their distinct climatologic and physiogeographic features, has proved true as the calibrated parameter sets show systematic differences between those regions, e.g. for the runoff forming parameters percolation rate (PERC) or storage time for quick runoff (KOH). For the Southern Alpine area, we calibrated two thirds of the available catchments, i.e. 23 out of 36, successfully for standard and flood conditions according to a combined model score of a linear and logarithmic Nash-Sutcliffe-Efficiency (NSE, NSE ln) and a mean annual volumetric deviation (VDa). The rate of successfully calibrated catchments is rather small in comparison with the results for the Northern Alpine catchments, where 140 out of 159 calibrations have been successful, and the distribution of the Southern catchments is more irregular. However, as the median NSE and NSEln as well as the range of VDa show an overall good model fit, a successful regionalisation may be expected. Next steps are the regionalisation of the Southern Alpine model parameters and the application of climate scenarios to the complete set of catchments, i.e. about 200 Swiss mesoscale catchments with an average area of 150 km2. Thus we can identify process-based relationships between climate sensitivity and catchment characteristics and provide quantitative information on future water balance and peak flow conditions of Swiss mesoscale catchments. © Author(s) 2010.</t>
  </si>
  <si>
    <t>2-s2.0-77957565850"</t>
  </si>
  <si>
    <t>10.1177/0956247810380141</t>
  </si>
  <si>
    <t>https://www.scopus.com/inward/record.uri?eid=2-s2.0-78049452091&amp;doi=10.1177%2f0956247810380141&amp;partnerID=40&amp;md5=deb72f1eb66695db5d6892e502753bce</t>
  </si>
  <si>
    <t>This paper considers the risks from and vulnerabilities to flooding in four urban poor communities close to the coast in Lagos, Nigeria. Drawing on interviews with inhabitants and key informants and also on group discussions, it documents the scale and frequency of flooding in these settlements and the impacts, as well as the individual, household and community responses. It also considers the factors that have contributed to increasing flood risks in Lagos, including the uncontrolled expansion of the built-up area, the lack of infrastructure and the failure not only to expand stormwater drainage but also to maintain existing drainage systems. The paper also considers changes in the frequency and intensity of rainstorms on Lagos Island between 1971 and 2005, which suggest that on average these have become less frequent but more intense. © 2010 International Institute for Environment and Development (IIED).</t>
  </si>
  <si>
    <t>2-s2.0-78049452091"</t>
  </si>
  <si>
    <t>10.1080/15715121003714837</t>
  </si>
  <si>
    <t>https://www.scopus.com/inward/record.uri?eid=2-s2.0-79960730523&amp;doi=10.1080%2f15715121003714837&amp;partnerID=40&amp;md5=a74e3a1f4df52d6796d25e5521640b39</t>
  </si>
  <si>
    <t>The Zambezi Delta is vital to Mozambique's national economy and is a Wetland of International Importance. Large dams in the Zambezi catchment have substantially altered the magnitude, timing, duration, and frequency of flooding events in the delta, resulting in adverse ecological and socio-economic changes.We evaluated conflicts/trade-offs among various water uses and the potential for improving delta conditions through environmental flow releases from Cahora Bassa Dam, using the downstream response to imposed flow transformations (Brown, C.A. and Joubert, A., 2003. Using multicriteria analysis to develop environmental flow scenarios for rivers targeted for water resource development. Water SA, 29 (4), 365-374</t>
  </si>
  <si>
    <t>Bulletin fuer Angewandte Geologie</t>
  </si>
  <si>
    <t>https://www.scopus.com/inward/record.uri?eid=2-s2.0-80052728209&amp;partnerID=40&amp;md5=a01f067de94f54afac140e55fd7b41e9</t>
  </si>
  <si>
    <t>AAPG Annual Convention, held in New Orleans, US, from April 12 - 15, 2010, focused on unconventional hydrocarbons as a significant topic. The annual convention also considered shale gas, tight sandstone gas, and coalbed methane to be a part of the core business of US companies, belonging to the regular activities. The participants were informed that unconventional gas, including shale gas, were having a significant impact on the country's energy balance and on world energy supplies. It has been observed that around 15% of the domestic gas production is provided by shale gas alone and this share is rapidly rising. Unconventional gas technology, mainly the progress in horizontal and multilateral drilling and multi-fraccing is emerging as the biggest innovation step in energy. Advanced technology has allowed the industry to start to access the large amounts of hydrocarbons that have been stuck in the wastezones.</t>
  </si>
  <si>
    <t>2-s2.0-80052728209"</t>
  </si>
  <si>
    <t>Proceedings of the Pakistan Academy of Sciences</t>
  </si>
  <si>
    <t>https://www.scopus.com/inward/record.uri?eid=2-s2.0-79953151253&amp;partnerID=40&amp;md5=6dc87713d106c93dc2ad1dad3dbfb3e3</t>
  </si>
  <si>
    <t>Floods are among the most devastating natural hazards in the world causing huge losses of lives and infrastructure. Flooding can be partially avoided but flood hazards can never be ruled out. However, future flood prevention measures require a stronger stress on integrated approaches incorporating flood forecasting and risk uncertainties. Therefore, an appropriate flood modeling and mapping approach is needed to assess the potential damages. This study is carried out by integrating hydrological models with GIS to estimate the flood zone of Nullah Lai in Rawalpindi. HEC-RAS and HEC-GeoRAS hydrological models have been used to delineate the areas vulnerable to flood at different discharge values. A topographic survey of fine resolution of the target area (Kattarian to Gawalmandi Bridges) was used to generate the DEM of the area. Krigging was used to interpolate the elevation data. GIS technology has been used to delineate the variation of topography and to find the inundation depths at various locations in the study area. Inundation area estimated at the discharge value of 3000 m3/sec is 3.4 km2 out of which 2.96 km2 is occupied under the inundation depth from 1 to 5 meters. Maximum inundation depth can go up to 20 meters for this discharge value. Output of the study using HEC-RAS shows that inundated areas and inundation depths are in close approximation with survey based inundation results obtained by JICA. This shows that the integrated modeling approach used in the present study works well in order to delineate areas vulnerable to flood with a good estimation of inundation depths at a specific discharge value.</t>
  </si>
  <si>
    <t>2-s2.0-79953151253"</t>
  </si>
  <si>
    <t>10.1016/j.ocemod.2010.09.004</t>
  </si>
  <si>
    <t>https://www.scopus.com/inward/record.uri?eid=2-s2.0-77958493020&amp;doi=10.1016%2fj.ocemod.2010.09.004&amp;partnerID=40&amp;md5=023949b3768ac24efd86d5342cd5bcd1</t>
  </si>
  <si>
    <t>Hurricane-induced storm surge, waves, and coastal inundation in the northeastern Gulf of Mexico region during Hurricane Ivan in 2004 are simulated using a fine grid coastal surge model CH3D (Curvilinear-grid Hydrodynamics in 3D) coupled to a coastal wave model SWAN, with open boundary conditions provided by a basin-scale surge model ADCIRC (Advanced CIRCulation) and a basin-scale wave model WW3 (WaveWatch-III). The H*wind, a reanalysis 10-m wind produced by the NOAA/AOML Hurricane Research Division (HRD), and a relatively simple analytical wind model are used, incorporating the effect of land dissipation on hurricane wind. Detailed comparison shows good agreement between the simulated and measured wind, waves, surge, and high water marks. Coastal storm surge along the coast is around 2-3. m, while peak surge on the order of 3.5. m is found near Pensacola, which is slightly to the east of the landfall location on Dauphin Island. Wind waves reach 20. m at the Mobile South station (National Data Buoy Center buoy 42040) on the shelf and 2. m inside the Pensacola/Escambia Bay. Model results show that wave-induced surge (total surge subtracted by the meteorologically-induced surge due to wind and pressure) accounts for 20-30% of the peak surge, while errors of the simulated surge and waves are generally within 10% of measured data. The extent of the simulated inundation region is increased when the effects of waves are included. Surge elevations simulated by the 3D model are generally up to 15% higher than that by the 2D model, and the effects of waves are more pronounced in the 3D results. The 3D model results inside the Pensacola/Escambia Bay show significant vertical variation in the horizontal currents. While the estuary has little impact on the surge elevation along the open coastal water, surge at the head of Escambia Bay is more than 50% higher than that at the open coast with 1.5 h delay. © 2010 Elsevier Ltd.</t>
  </si>
  <si>
    <t>2-s2.0-77958493020"</t>
  </si>
  <si>
    <t>10.1016/j.margeo.2010.10.001</t>
  </si>
  <si>
    <t>https://www.scopus.com/inward/record.uri?eid=2-s2.0-78649633214&amp;doi=10.1016%2fj.margeo.2010.10.001&amp;partnerID=40&amp;md5=e044ad016d3c316603dad79b4c76f2ab</t>
  </si>
  <si>
    <t>Regional coastal cliff retreat is difficult to model due to the episodic nature of failures and the along-shore variability of retreat events. There is a growing demand, however, for predictive models that can be used to forecast areas vulnerable to coastal erosion hazards. Increasingly, probabilistic models are being employed that require data sets of high temporal density to define the joint probability density function that relates forcing variables (e.g. wave conditions) and initial conditions (e.g. cliff geometry) to erosion events. In this study we use a multi-parameter Bayesian network to investigate correlations between key variables that control and influence variations in cliff retreat processes. The network uses Bayesian statistical methods to estimate event probabilities using existing observations. Within this framework, we forecast the spatial distribution of cliff retreat along two stretches of cliffed coast in Southern California. The input parameters are the height and slope of the cliff, a descriptor of material strength based on the dominant cliff-forming lithology, and the long-term cliff erosion rate that represents prior behavior. The model is forced using predicted wave impact hours. Results demonstrate that the Bayesian approach is well-suited to the forward modeling of coastal cliff retreat, with the correct outcomes forecast in 70-90% of the modeled transects. The model also performs well in identifying specific locations of high cliff erosion, thus providing a foundation for hazard mapping. This approach can be employed to predict cliff erosion at time-scales ranging from storm events to the impacts of sea-level rise at the century-scale. © 2010.</t>
  </si>
  <si>
    <t>2-s2.0-78649633214"</t>
  </si>
  <si>
    <t>The study aims to assess the possible tsunami impact on Yogyakarta, the central coast of Java Island, Indonesia. Seven tsunami scenarios with different parameters estimated by referring the seismic gap and tectonics have been applied to calculate the tsunami propagation, inundation, maximum height and travel time, which are important indices for the assessment. Tsunami numerical modeling was performed by using TUNAMI-N2 with GEBCO bathymetry data. 38 tide gauge stations are selected as output points along Yogyakarta coastal area. Tsunami simulations with two sources of different depths of 0 km and 10 km using similar sources parameters demonstrated that the depth of source affects the tsunami propagation, maximum tsunami height and inundation area. Through carrying out other simulations with the different parameters such as length and location, we also confirmed that the location and the length of tsunami source caused big difference for the tsunami propagation and tsunami height and inundation area. On the other hand, the catastrophic case (Mw 8.8) adopted from Okal and Synolakis (2007) showed the maximum tsunami height and the widest inundation area compared to the other tsunami sources. Tsunamis could reach the most of coastal area in Yogyakarta in less than 20 min to 50 min after the earthquakes according to the seismic gap.</t>
  </si>
  <si>
    <t>2-s2.0-84875715580"</t>
  </si>
  <si>
    <t>Geomorphology and coastal configuration plays a vital role during tsunami events as different coastal geomorphic units respond differently to a tsunami hazard. The study of ability of different coastal landforms to respond tsunami surge is very much important for vulnerability mapping of coast. The Kachchh coast that runs for about more than 450 km has conspicuous presence of both, wave as well as tide influenced landforms. Following the classification suggested by Ramasamy et al.1, the geomorphic features for possible response of tsunami event can be classified as facilitators, conveyors, accommodators, absorbers and barriers. Depending upon its action as facilitator, conveyor or accommodator, the geomorphic units like estuary, creek, mudflats and backwater increase the possibility of tsunami run ups and inundation. The beach ridges and wide sandy beaches on the other hand absorb tsunami energy and act as barriers. In view of these six distinct segments have been identified along the Kachchh coast and are described for their possible response to tsunami event. Accordingly, the segment between Jakhau and Suthari has barrier kind of geomorphic set up with presence of backswamps that has higher preservation potential of tsunami deposits. The segment from Suthari to Kanthada has steep beaches and dune ridges that can reduce the intensity of tsunami hazard. The Kanthada - Rawal Pir segment has Rukmavati River mouth that can convey the effect of tsunami to a considerable landward area whereas, the Rawal Pir - Mundra and Mundra - Tuna segments have dominant accommodator type of geomorphic assemblage that also has a higher preservation potential for tsunami sediments. The segment between Tuna and Kandla has relatively much wider mudflats and mangrove swamps which accommodates as well as reduces tsunami energy. However, the configuration suggests much intensified tsunami surge that can devastate the large scale developments in this part. Response mechanism of the coastal geomorphic assemblages will not only help in the disaster risk reduction activities but will also be useful in better understanding of palaeo and historical tsunamis.</t>
  </si>
  <si>
    <t>2-s2.0-78751477881"</t>
  </si>
  <si>
    <t>10.1007/s10236-010-0321-3</t>
  </si>
  <si>
    <t>https://www.scopus.com/inward/record.uri?eid=2-s2.0-83655211422&amp;doi=10.1007%2fs10236-010-0321-3&amp;partnerID=40&amp;md5=440c437fbe8fbdcc5df1ba648c279118</t>
  </si>
  <si>
    <t>The effectiveness of simulating surge inundation using the Eulerian-Lagrangian circulation (ELCIRC) model over multi-scale unstructured grids was examined in this study. The large domain model grid encompasses the western North Atlantic Ocean, the Gulf of Mexico, and the Caribbean Sea to appropriately account for remote and resonance effects during hurricane events and simplify the specification of the open boundary condition. The U.S. East and Gulf Coasts were divided into 12 overlapping basins with fine-resolution (up to 30×30 m) grids to model overland surge flooding. These overlapping basins have different fine-resolution grids near the coastal region, but have an identical coarse-resolution grid in the offshore region within the large model domain. Thus, the storm surge prediction can be conducted without reducing computation efficiency by executing multiple model runs with local fine-resolution grids where potential hurricane landfalls may occur. The capability of the multi-scale approach was examined by simulating storm surge caused by Hurricanes Andrew (1992) and Isabel (2003) along the South Florida coast and in the Chesapeake Bay. Comparisons between simulated and observed results suggest that multiscale models proficiently simulated storm surges in the Biscayne Bay and the Chesapeake Bay during two hurricanes. A series of sensitivity tests demonstrated that the simulation of surge flooding was improved when LiDAR topographic data and special bottom drag coefficient values for mangrove forests were employed. The tests also showed that appropriate representation of linear hydrologic features is important for computing surge inundation in an urban area. © Springer-Verlag 2010.</t>
  </si>
  <si>
    <t>2-s2.0-83655211422"</t>
  </si>
  <si>
    <t>https://www.scopus.com/inward/record.uri?eid=2-s2.0-79251474081&amp;partnerID=40&amp;md5=e3cd3edc1c7b03ee078c1b62db23a310</t>
  </si>
  <si>
    <t>The study is focused on the main part of Varna beach area (the Bulgarian Black Sea coast) which is under intense nature and human impact. In the last decade and especially during the last few years a significant decrease of the area of Varna central beach is observed. This disturbing decrease of the beach area is due to the interruption of the sediment transport along the coast. The general goal of the study is to examine the influence of an extreme storm event on the morphodynamics of the beach and the adjacent underwater beach slope. To achieve this goal a numerical modelling study was performed. The morphodynamical model, developed in the Institute of Oceanology 'Fritjof Nansen', Bulgarian Academy of Science (IO-BAS) was used for calculation the deformations of bottom relief as a result of storm impact. A methodology for determination of morphological vulnerability of the beach and bottom slope to storm waves through a morphological vulnerability index is suggested by the authors.</t>
  </si>
  <si>
    <t>2-s2.0-79251474081"</t>
  </si>
  <si>
    <t>10.1029/2009WR008747</t>
  </si>
  <si>
    <t>https://www.scopus.com/inward/record.uri?eid=2-s2.0-77957589265&amp;doi=10.1029%2f2009WR008747&amp;partnerID=40&amp;md5=4cc72644e0ae56a093170cb652081991</t>
  </si>
  <si>
    <t>In 2004, ultraviolet-B (UVB) and ultraviolet-A (UVA) attenuation were measured in Mackenzie Delta lakes spanning gradients in water renewal rate, dissolved organic carbon (DOC) concentration, and dissolved organic matter (DOM) composition. DOM compositions (ratio of chromophoric DOM (CDOM) to non-chromophoric DOM) in Delta lakes are complex, evolving seasonally via flooding, dilution, macrophyte production, photobleaching, and bacterial metabolism. Attenuation was more strongly related to CDOM absorption coefficients (a330</t>
  </si>
  <si>
    <t>10.1029/2010WR009607</t>
  </si>
  <si>
    <t>https://www.scopus.com/inward/record.uri?eid=2-s2.0-78649980777&amp;doi=10.1029%2f2010WR009607&amp;partnerID=40&amp;md5=1b82711b1fa8eafdb83a5141397740e1</t>
  </si>
  <si>
    <t>Past and ongoing investigations have established that lakes in the Mackenzie River Delta collectively represent gradients in water transparency, nutrient regime, and biotic communities, each strongly linked to the sill elevations of the lakes. Analysis of 40 years of water levels in East Channel of the central delta, in combination with a floodplain geometry model to estimate river water volumes added to lake waters at the annual flood peak, permitted direct estimation of annual river-to-lake connection times, lake water renewal, and interannual variabilities in nine lakes spanning the full range of sill elevations in the delta. Results have revealed a broad range of river-to-lake connectivities and river water renewals that are temporally dynamic and vary considerably among the lakes of this river delta system. Lakes with short and variable connection times plus low and variable river water renewal yield groups of lakes with high degrees of individuality because they are strongly influenced by particular sequences of antecedent years (legacy effects) that may result in lakes simultaneously containing residual waters from multiple river inundation events separated by more than a decade. Lakes with long and less varying connection times plus high river water renewal with multiple possible river water resets per year yield lakes with high degrees of similarity. The full combination of lakes arranged in an intermittently connected continuum, creating variable connectivity for aquatic organisms and water intermixing, may be an important mechanism driving the collectively distinctive habitat productivity and biodiversity of aquatic communities in this system, relative to lakes on the surrounding landscape. Copyright 2010 by the American Geophysical Union.</t>
  </si>
  <si>
    <t>2-s2.0-78649980777"</t>
  </si>
  <si>
    <t>10.2166/wcc.2010.008</t>
  </si>
  <si>
    <t>https://www.scopus.com/inward/record.uri?eid=2-s2.0-77956023331&amp;doi=10.2166%2fwcc.2010.008&amp;partnerID=40&amp;md5=06b92b9b697b6db5c879ad9645236f39</t>
  </si>
  <si>
    <t>The flood pulse is a key element characterizing the hydrology of the Mekong River and driving the high ecosystem productivity in the Lower Mekong floodplains, both in the Cambodian lowlands and the Mekong Delta in Vietnam. This paper assesses the impacts of climate change, both in terms of changed basin water balance and sea level rise, on the Lower Mekong flood pulse. The impacts were simulated by a three-dimensional hydrodynamic model using the projected changes in sea level and the Mekong mainstream discharge under the influence of climate change as boundary conditions. The model simulations projected that average and maximum water levels and flood duration increase in 2010-2049. The most consistent and notable changes occurred in the average and dry hydrological years. Sea level rise had the greatest effects in the Mekong Delta, whereas the impacts of changed basin water balance were more notable in the upper areas of the Mekong floodplains. The projected impacts were mostly opposite to those resulting from regional water infrastructure development. Higher and longer flooding could cause damage to crops, infrastructure and floodplain vegetation, and decrease the fertile land area. On the other hand, it might boost ecosystem productivity and enhance dry season water availability. © IWA Publishing 2010.</t>
  </si>
  <si>
    <t>2-s2.0-77956023331"</t>
  </si>
  <si>
    <t>10.2112/09-1186.1</t>
  </si>
  <si>
    <t>https://www.scopus.com/inward/record.uri?eid=2-s2.0-77952653773&amp;doi=10.2112%2f09-1186.1&amp;partnerID=40&amp;md5=e94a1a70da1efabd87b1e78272e48173</t>
  </si>
  <si>
    <t>Coastal areas of Orissa State in the northeastern part of the Indian peninsula are potentially vulnerable to accelerated erosion hazard. Along the 480-km coastline, most of the coastal areas, including tourist resorts, hotels, fishing villages, and towns, are already threatened by recurring storm flood events and severe coastal erosion. The coastal habitats, namely the largest rookeries in the world for olive Ridley sea turtles (the extensive sandy beaches of Gahirmatha and Rushikulya), Asia's largest brackish water lagoon (the ""Chilika""), extensive mangrove cover of Bhitarkanika (the wildlife sanctuary), the estuarine systems, and deltaic plains are no exception. .The present study therefore is an attempt to develop a coastal vulnerability index (CVI) for the maritime state of Orissa using eight relative risk variables. Most of these parameters are dynamic in nature and require a large amount of data from different sources. In some cases, the base data is from remote sensing satellites</t>
  </si>
  <si>
    <t>10.1029/2009WR008365</t>
  </si>
  <si>
    <t>https://www.scopus.com/inward/record.uri?eid=2-s2.0-80053901694&amp;doi=10.1029%2f2009WR008365&amp;partnerID=40&amp;md5=2dadea0e5815de472b040101b2a7492b</t>
  </si>
  <si>
    <t>An investigation into groundwater-surface water interaction (GSWI) beneath a large tidally influenced river was conducted to determine the effect of tides on the development of a hyporheic zone (HZ) and to quantify mixing of river water and groundwater. Temperature measurements, coupled with independent hydraulic head measurements, were used to detect groundwater flow within the riverbed. GWSI under tidal forcing produced a 1 m deep HZ. Time-averaged riverbed temperature profiles displayed a distinct compressed convex pattern: clear evidence of net groundwater discharge. However, the instantaneous time series data indicate that riverbed temperatures were affected by tidal forcing to a depth of 1 m. Heat transport modeling revealed that instantaneous velocities within the shallow sediments of the riverbed are rather high, creating a zone of vigorous exchange during either a flooding or ebbing tide. Furthermore, the magnitude of the tidal pressure gradient was found to be significantly greater than the pressure gradient expected across 0.8 m high dunes, evidence that bed-form-driven exchange under these conditions, and this scale of observation, did not contribute to the development of the HZ. Conditions for exchange induced by shear and current bed form are favorable during ebbing tidal conditions only</t>
  </si>
  <si>
    <t>Geomechanics and Geoengineering</t>
  </si>
  <si>
    <t>10.1080/17486020903452741</t>
  </si>
  <si>
    <t>https://www.scopus.com/inward/record.uri?eid=2-s2.0-77951083456&amp;doi=10.1080%2f17486020903452741&amp;partnerID=40&amp;md5=7dd36af700102409510728a7e43933e8</t>
  </si>
  <si>
    <t>Both seismic and tsunami hazards design criteria are essential input to the rehabilitation and long-term development of city of Banda Aceh Post Sumatra 2004 (Mw=9.3) disaster. A case study to develop design criteria for future disaster mitigation of the area is presented. The pilot study consists of probabilistic seismic and tsunami hazard analysis. Results of the probabilistic seismic hazard analysis indicates that peak ground acceleration at baserock for 10 and 2% probability of exceedance in 50 years is 0.3 and 0.55 g, respectively. The analysis also provides spectral values at short (T=0.2 s) and long period (T=1.0 s) motions. Some non-linear time-domain earthquake response analyses for soft, medium, and hard site-class were conducted to recommend design response spectra for each site-class. In addition, tsunami inundation maps generated from probabilistic tsunami hazard analysis were developed through tsunami wave propagation analysis and run-up numerical modeling associated with its probability of tsunamigenic earthquake source potential. Both the seismic and tsunami hazard curve and design criteria are recommended as contribution of this study for design criteria, as part of the disaster mitigation effort in the development process of the city. The methodology developed herein could be applied to other seismic and tsunami disaster potential areas. © 2010 Taylor &amp; Francis.</t>
  </si>
  <si>
    <t>2-s2.0-77951083456"</t>
  </si>
  <si>
    <t>10.1111/j.1752-1688.2010.00475.x</t>
  </si>
  <si>
    <t>https://www.scopus.com/inward/record.uri?eid=2-s2.0-77957029366&amp;doi=10.1111%2fj.1752-1688.2010.00475.x&amp;partnerID=40&amp;md5=a327c97243c3be8314968ed68f55c9d3</t>
  </si>
  <si>
    <t>The effect of climate change on storm-surge flooding and the implications for population and structural damages on the city of Corpus Christi, Texas, was investigated. The study considered the influence of sea level rise and hurricane intensification, both influenced by climate change. Combinations of future carbon dioxide equivalent emission rates and carbon dioxide doubling sensitivities, based on findings of the Intergovernmental Panel on Climate Change, were considered to define future climate scenarios. A suite of physically based numerical models for hurricane winds and the resulting waves, surge, and morphological change at the coast were used to determine flooded areas, population affected, and property damages for Hurricanes Bret, Beulah, and a version of Carla shifted south from its original track, under present and predicted future climate conditions. A comparison of the economic damages for current climate conditions and for the 2080s climate scenario shows that, for Carla (shifted), there will be an increase in the range of $270-1,100 million; for Beulah, of $100-390 million; and, for Bret, of $30-280 million. A similar analysis was also conducted for 2030s predicted climate scenarios. Overall, the comparison of the results for the different climate conditions indicates what the destructive consequences of climate change could be, even within the somewhat short time frame of 80 years considered here.</t>
  </si>
  <si>
    <t>10.1007/s10040-010-0597-x</t>
  </si>
  <si>
    <t>https://www.scopus.com/inward/record.uri?eid=2-s2.0-77956251254&amp;doi=10.1007%2fs10040-010-0597-x&amp;partnerID=40&amp;md5=c84c7e3008fb29ffc558992b947188f0</t>
  </si>
  <si>
    <t>A numerical groundwater model of the Nubian Aquifer System was established to prove the influence of rising seawater levels on the groundwater salinity in northern Egypt over the last 140,000 years. In addition, the impact of a groundwater recharge scenario for these 140,000 years, involving climatic change, on the saltwater/freshwater interface was investigated. Saltwater intrusion induced by rising water levels of the Mediterranean Sea led to salinisation from the Mediterranean Sea to the Qattara depression. This modeling approach was supported by a density-driven model setup and calculation. The modelled saltwater/freshwater interfaces partially fitted the observed ones, especially in the southern half of the Qattara depression. In other parts of the northern Nubian Aquifer System, the ingression of salt water was modelled adequately, but in the west, small regions of the measured interface were not. The development in the Qattara depression (Egypt) and Sirte basin (Libya) were investigated in more detail. The different behaviour in the Sirte basin may be due to high evapotranspiration rates in some former periods, salt solutions from the pre-Quaternary layers or saltwater infiltration from sabkha-like recent salt-bearing sediments. © 2010 Springer-Verlag.</t>
  </si>
  <si>
    <t>2-s2.0-77956251254"</t>
  </si>
  <si>
    <t>10.1029/2009JB006541</t>
  </si>
  <si>
    <t>https://www.scopus.com/inward/record.uri?eid=2-s2.0-77956292082&amp;doi=10.1029%2f2009JB006541&amp;partnerID=40&amp;md5=924632445bac4022ccf1b2ebc768863b</t>
  </si>
  <si>
    <t>Changes in eustatic sea level since the Last Glacial Maximum create a differential load across coastlines globally. The resulting plate bending in response to this load alters the state of stress within the lithosphere within a half flexural wavelength of the coast. We calculate the perturbation to the total stress tensor due to ocean loading in coastal regions. Our stress calculation is fully 3-D and makes use of a semianalytic model to efficiently calculate stresses within a thick elastic plate overlying a viscoelastic or fluid half-space. The 3-D stress perturbation is resolved into normal and shear stresses on plate boundary fault planes of known orientation so that Coulomb stress perturbations can be calculated. In the absence of complete paleoseismic indicators that span the time since the Last Glacial Maximum, we investigate the possibility that the seismic cycle of coastal plate boundary faults was affected by stress perturbations due to the change in sea level. Coulomb stress on onshore transform faults, such as the San Andreas and Alpine faults, is increased by up to 1-1.5 MPa, respectively, promoting failure primarily through a reduction in normal stress. These stress perturbations may perceptibly alter the seismic cycle of major plate boundary faults, but such effects are more likely to be observed on nearby secondary faults with a lower tectonic stress accumulation rate. In the specific instance of rapid sea level rise at the Black Sea, the seismic cycle of the nearby North Anatolian fault was likely significantly advanced. Copyright 2010 by the American Geophysical Union.</t>
  </si>
  <si>
    <t>2-s2.0-77956292082"</t>
  </si>
  <si>
    <t>10.1016/j.compenvurbsys.2009.11.002</t>
  </si>
  <si>
    <t>https://www.scopus.com/inward/record.uri?eid=2-s2.0-77952010163&amp;doi=10.1016%2fj.compenvurbsys.2009.11.002&amp;partnerID=40&amp;md5=88676607ec91a5f6a97e47af0e88937e</t>
  </si>
  <si>
    <t>Digital elevation model (DEM) data have been used to derive hydrological features which serve as inputs to various models. Currently, elevation data are available from several major sources and at different spatial resolutions: the National Elevation Dataset (NED), Shuttle Radar Topography Mission (SRTM) data, and the Light Detection and Ranging (LIDAR) data. This article shows the variability of analysis results from these data sources and of different scales. A standard algorithm in GIS was used to extract river networks from these DEM data for part of Kansas. Extracted networks were compared with the one derived from the National Hydrography Dataset (NHD). Flood simulation results obtained from various sets of DEM data were also compared. Using higher resolution DEMs can derive more accurate river networks, but highest resolution data may not necessarily offer the best results, depending on the resolutions selected to compare the extracted networks. DEM spatial resolution may have minor impacts on flood simulation results, but inundation areas from flood simulations vary significantly across different DEM data sources. Results highlight the caveats on using DEM-derived river network data for hydrologic applications and the difficulties in reconciling differences among elevation data from various sources and of different resolutions. © 2009 Elsevier Ltd.</t>
  </si>
  <si>
    <t>2-s2.0-77952010163"</t>
  </si>
  <si>
    <t>10.1007/s11027-010-9220-7</t>
  </si>
  <si>
    <t>https://www.scopus.com/inward/record.uri?eid=2-s2.0-77952321879&amp;doi=10.1007%2fs11027-010-9220-7&amp;partnerID=40&amp;md5=03415befeb55dbb04536f12851452d85</t>
  </si>
  <si>
    <t>Using the FUND model, an impact assessment is conducted over the 21st century for rises in sea level of up to 2-m/century and a range of socio-economic scenarios downscaled to the national level, including the four SRES (IPCC Special Report on Emissions Scenarios) storylines. Unlike a traditional impact assessment, this analysis considers impacts after balancing the costs of retreat with the costs of protection, including the effects of coastal squeeze. While the costs of sea-level rise increase with greater rise due to growing damage and protection costs, the model suggests that an optimum response in a benefit-cost sense remains widespread protection of developed coastal areas, as identified in earlier analyses. The socio-economic scenarios are also important in terms of influencing these costs. In terms of the four components of costs considered in FUND, protection dominates, with substantial costs from wetland loss under some scenarios. The regional distribution of costs shows that a few regions experience most of the costs, especially East Asia, North America, Europe and South Asia. Importantly, this analysis suggests that protection is much more likely and rational than is widely assumed, even with a large rise in sea level. This is underpinned by the strong economic growth in all the SRES scenarios: without this growth, the benefits of protection are significantly reduced. It should also be noted that some important limitations to the analysis are discussed, which collectively suggest that protection may not be as widespread as suggested in the FUND results. © The Author(s) 2010.</t>
  </si>
  <si>
    <t>2-s2.0-77952321879"</t>
  </si>
  <si>
    <t>10.1127/1860-1804/2010/0161-0129</t>
  </si>
  <si>
    <t>https://www.scopus.com/inward/record.uri?eid=2-s2.0-79959325704&amp;doi=10.1127%2f1860-1804%2f2010%2f0161-0129&amp;partnerID=40&amp;md5=0e66526bafd63163de48ebb842da6e0c</t>
  </si>
  <si>
    <t>Computer models that are as precise as possible are required to predict natural hazards in the Alps, such as floods, mudflows, slides, rockfalls and avalanches. An important foundation for this is the Digital Terrain Model (DTM). The quality of the DTM depends significantly on point density, the position and height accuracy and the actuality. Airborne Laser Scanning (ALS) has proven to be a method with high precision and a large point density. The Bavarian Office for Surveying and Geographic Information uses the technique of airborne laser scanning since 1996. By the year 2011 a DTM derived from airborne laser scanning will be available in Bavaria (70 551 km2). The risk of alpine natural hazards often extends across national borders. For the generation of transnational computer models a homogeneous DTM with high precision and actuality is required. Bavaria and Tyrol cooperated in a common project and created a DTM with high accuracy in the Alps. In alpine areas airborne laser scanning is significant complex in comparison to laser scanning in lowland. The technical specifications of the laser scanning campaign are a point density of 1 point per m2 in the Bava rian Alps and a height accuracyof 0.08 m (rms). Therefore the DTM is also appropriate for different geoscientific tasks. Some examples are shown. In the last decades the mass loss of glaciers has increased. ALS data provide a current 3-dimensional mapping of the terrain</t>
  </si>
  <si>
    <t>10.1142/S1793431110000704</t>
  </si>
  <si>
    <t>https://www.scopus.com/inward/record.uri?eid=2-s2.0-77951992146&amp;doi=10.1142%2fS1793431110000704&amp;partnerID=40&amp;md5=f8adc39eab74f1ba6d1715f6d7613c20</t>
  </si>
  <si>
    <t>This study deals with the ""safer island concept"" implemented for the reconstruction and rehabilitation works after the 26 December 2004 Indian Ocean Tsunami in the Maldives. The safer island concept has been developed as an important adaptation strategy for tsunamis as well as the sea-level rise due to climate change. Reconstruction work in Dhuvaafaru Island to rehabilitate the entire population of Kandholhudhoo Island of Raa atoll is chosen as a case study. The appropriateness of the functionality of the redesigned island to provide security and safety for the island communities is evaluated using the digital elevation model. The study results show that the design enhanced mitigation measures of the island might show some resilience for less frequent natural disasters such as smaller tsunamis, while the implementation of the concept may create greater vulnerability for more frequent disasters, such as flash floods and storms. An integrated approach with appropriate risk assessment of floods, storms, and other physical aspects of the island is recommended for the future development of the safer island concept. © 2010 World Scientific Publishing Company.</t>
  </si>
  <si>
    <t>2-s2.0-77951992146"</t>
  </si>
  <si>
    <t>Asia Pacific Issues</t>
  </si>
  <si>
    <t>https://www.scopus.com/inward/record.uri?eid=2-s2.0-77958015200&amp;partnerID=40&amp;md5=805c153b50b8a38b227272be1450881b</t>
  </si>
  <si>
    <t>Asia's coastal megacities are increasingly vulnerable to flooding disasters resulting from the combined effects of climate change (manifested as sea level rise, intensified storms, and storm surges), land subsidence, and rapid urban growth. Development of risk-management strategies, such as improved infrastructure, early warning systems and evacuation plans, and disaster response and relief aid, is urgently needed in all these cities. But substantial barriers to implementing these measures must first be overcome: lack of awareness, the distracting immediacy of other problems, budgetary constraints, and governance issues. Despite the absence of precise climate change predictions, recent studies suggest that climate change, sea level rise, and sinking deltas are occurring at much faster rates than were projected only a few years ago. Implementation of climate risk management in planning and policy must be given high priority if there is hope of meeting the twin challenges posed by climate change and urban growth.</t>
  </si>
  <si>
    <t>2-s2.0-77958015200"</t>
  </si>
  <si>
    <t>10.1007/s11852-009-0075-6</t>
  </si>
  <si>
    <t>https://www.scopus.com/inward/record.uri?eid=2-s2.0-77649238689&amp;doi=10.1007%2fs11852-009-0075-6&amp;partnerID=40&amp;md5=1a1ded077ce325be672281c0698ff94c</t>
  </si>
  <si>
    <t>Coastal development along the Mediterranean coast needs to be tackled with an integrated approach, in order to safeguard people and properties from extreme events, maintain environmental flows and ecosystems functions, protect coastal landscapes and ensure public accessibility to the shore. The complexity of the Mediterranean countries legal and administrative framework and its morphological heterogeneity make the implementation of new the Protocol on ICZM provisions on coastal setbacks,-claiming for a 100 m wide buffer zone where construction is not allowed- a challenge for the success of the initiative. European countries and the European Commission are party to the protocol but the European legal framework lacks of specific provisions addressing the definition of coastal setbacks. Moreover, climate change, in terms of sea level rise and maritime climate, could play a major role in the future position of setback lines. While arbitrary setbacks should be put in place to halt short-term unwise coastal development, science can improve the identification of coastal setbacks by providing integrated methodologies to be implemented at the local level. The objective of this paper is to review concepts and practices in the use of coastal setbacks, in the context of the provisions of the ICZM protocol and taking into account new challenges posed by climate change. A stepwise route map is proposed as a base to identify coastal setbacks, applicable to the Mediterranean region and elsewhere, to be used as a base to improve arbitrary setback approaches. © Springer Science+Business Media B.V. 2009.</t>
  </si>
  <si>
    <t>2-s2.0-77649238689"</t>
  </si>
  <si>
    <t>10.1127/0372-8854/2010/0054S3-0030</t>
  </si>
  <si>
    <t>https://www.scopus.com/inward/record.uri?eid=2-s2.0-79958830853&amp;doi=10.1127%2f0372-8854%2f2010%2f0054S3-0030&amp;partnerID=40&amp;md5=e98d6625fe7bfe10186d43b49130dd5b</t>
  </si>
  <si>
    <t>The estimation of the inundation limit of a tsunami wave is, among other factors, influenced by coastal roughness as expressed by Manning’s coefficient. The Manning number is an empirically derived coefficient, which is dependent on many features including surface roughness and sinuosity. It is calculated by using the empirical formula for open channel flow, or for free-surface flow driven by gravity. In this study, the Manning coefficient was estimated by directly measuring the roughness of a surface by means of a Terrestrial Laser Scanner. This kind of survey generates point clouds useful to obtain a digital elevation model (DEM) and the standard deviation of the surface micro-topography. Applying different hypothesized tsunami wave heights, it is possible to obtain a specific Manning number for each surface and material typology. This new methodology was tested in two coastal sectors of the Apulia region (Southern Italy) where, within previous studies, evidence of past tsunamis was found. © 2010 Gebrüder Borntraeger Verlagsbuchhandlung, Stuttgart, Germany.</t>
  </si>
  <si>
    <t>2-s2.0-79958830853"</t>
  </si>
  <si>
    <t>10.1016/j.gca.2010.07.007</t>
  </si>
  <si>
    <t>https://www.scopus.com/inward/record.uri?eid=2-s2.0-77955921948&amp;doi=10.1016%2fj.gca.2010.07.007&amp;partnerID=40&amp;md5=64e1813a37c2605089e396b1fa74948b</t>
  </si>
  <si>
    <t>Subterranean estuary occupies the transition zone between hypoxic fresh groundwater and oxic seawater, and between terrestrial and marine sediment deposits. Consequently, we hypothesize, in a subterranean estuary, biogeochemical reactions of Fe respond to submarine groundwater discharge (SGD) and sea level rise. Porewater and sediment samples were collected across a 30-m wide freshwater discharge zone of the Indian River Lagoon (Florida, USA) subterranean estuary, and at a site 250. m offshore. Porewater Fe concentrations range from 0.5 μM at the shoreline and 250. m offshore to about 286 μM at the freshwater-saltwater boundary. Sediment sulfur and porewater sulfide maxima occur in near-surface OC-rich black sediments of marine origin, and dissolved Fe maxima occur in underlying OC-poor orange sediments of terrestrial origin. Freshwater SGD flow rates decrease offshore from around 1 to 0.1. cm/day, while bioirrigation exchange deepens with distance from about 10. cm at the shoreline to about 40. cm at the freshwater-saltwater boundary. DOC concentrations increase from around 75 μM at the shoreline to as much as 700 μM at the freshwater-saltwater boundary as a result of labile marine carbon inputs from marine SGD. This labile DOC reduces Fe-oxides, which in conjunction with slow discharge of SGD at the boundary, allows dissolved Fe to accumulate. Upward advection of fresh SGD carries dissolved Fe from the Fe-oxide reduction zone to the sulfate reduction zone, where dissolved Fe precipitates as Fe-sulfides. Saturation models of Fe-sulfides indicate some fractions of these Fe-sulfides get dissolved near the sediment-water interface, where bioirrigation exchanges oxic surface water. The estimated dissolved Fe flux is approximately 0.84 μM Fe/day per meter of shoreline to lagoon surface waters. Accelerated sea level rise predictions are thus likely to increase the Fe flux to surface waters and local primary productivity, particularly along coastlines where groundwater discharges through sediments. © 2010 Elsevier Ltd.</t>
  </si>
  <si>
    <t>2-s2.0-77955921948"</t>
  </si>
  <si>
    <t>https://www.scopus.com/inward/record.uri?eid=2-s2.0-77955043996&amp;partnerID=40&amp;md5=d6f9abb484dab63e5ffc95d42878d852</t>
  </si>
  <si>
    <t>This report details the results of some recent geomorphological studies, surveys and mappings of the higher parts of the northern (Tibetan) area of Mount Everest, along the Rongbuk glacier. Its retreat is causing extensive gravitational phenomena involving both ice/snow and rock/debris. At the same time, the spatial reduction and the retreat of the glacier tongues are promoting new conditions for superficial and supraglacial run-off, concentrated in the terminus area, generating a direct transition from glacial to paraglacial processes over short distance and time scales. The monitoring and mapping of processes and landforms, carried out in the field with GIS technology, provided early-control of survey data. The availability of digital data collected or specifically implemented (Digital Elevation Model or satellite imageries) and survey data, also in real time and at low-cost, made possible the reconstruction of the morphological evolution, as a «field pre-view», as well as providing a safe approach to field activity. The results of the surveys are presented as cartography and descriptions of processes and landforms, with particular attention to active geomorphological hazards, such as ice falls, rock/slope instability, small GLOFs (Glacial Outburst Floods) at ice termini and to consequent risk.</t>
  </si>
  <si>
    <t>2-s2.0-77955043996"</t>
  </si>
  <si>
    <t>10.2478/v10009-010-0012-x</t>
  </si>
  <si>
    <t>https://www.scopus.com/inward/record.uri?eid=2-s2.0-77950791064&amp;doi=10.2478%2fv10009-010-0012-x&amp;partnerID=40&amp;md5=7deb016e8a6cb474bcd1ea9e5c9ff355</t>
  </si>
  <si>
    <t>The sequence of biofilm formation on a hard surface during the first 24 hours in a coastal environment was studied by suspending acrylic coupons. Adsorption of carbohydrates, proteins, calcium, magnesium, nitrite, nitrate and phosphate were monitored along with microbes. The results showed that carbohydrate, protein, nitrite and nitrate were adsorbed on the coupons within an hour of exposure. Carbohydrates showed a maximum value of 0.28 mg cm-2 after 24 hours and protein concentration reached up to a maximum of 0.41 mg cm-2. Adsorption of calcium and magnesium was observed after three hours. Settlement of bacteria was also observed on coupons within an hour and diatoms were observed after 15 hours. Diatoms such as Navicula and Nitzschia were the dominant colonizers during the early stages of biofilm development. Copyright © by Institute of Oceanography, University of Gdańsk, Poland.</t>
  </si>
  <si>
    <t>2-s2.0-77950791064"</t>
  </si>
  <si>
    <t>https://www.scopus.com/inward/record.uri?eid=2-s2.0-77955034818&amp;partnerID=40&amp;md5=b435d0092006639cdef4a73babab38fd</t>
  </si>
  <si>
    <t>The technique of terrestrial or airborne LiDAR (Light Detection And Ranging) has recently provided many topographic data at high accuracy and speed in various kinds of applications as urban planning, forest inventory, coastline protection, flood hazard forecast, glacier, avalanche and landslide monitoring. In the topic of fluvial investigations the LiDAR technique has provided useful information on river morphology. In particular, starting from a first Digital Terrain Model (DTM) generation, the following LiDAR surveys have allowed every smallest morphological adjustment to be assessed. They also allowed an accurate quantification of erosion and deposition processes which occurred in the river bed, deduced by an assessment of altimetric and volumetric changes, on a time scale of some days, some months or some years (short-term investigations). The great potential of the data acquired by LiDAR suggested a different and particular use: to test a method which can provide an assessment of the incision occurred in a cobble-bed river on a time scale of the last 100 years (long-term investigation). The study case refers to the Orco River (906 km2 of drainage basin), an Alpine tributary of the Po River in North-Western Italy. Its channel morphology underwent a severe transformation above all in the second half of the 20th century, mainly due to human interventions. In a 25 km reach the channel width decreased down to 44% on average from 1954 to 1989 and the multi-thread original pattern turned towards the singlethread pattern. Moreover, the stereoscopic analysis of aerial photographs also showed vertical changes, induced by the river bed incision, but the lack of previous topographic data did not allow to quantify its extent. In 2003 a detailed DTM of the Orco River was generated by an airborne LiDAR acquisition. In addition to the present river course this DTM covered the surrounding floodplain with relic forms of the older channel positions. These forms are identified and dated thanks to historical maps and aerial photographs. This particular circumstance suggested the use of this DTM to test the method for the assessment of the occurred channel incision. In a selected river reach (3.5 km long) six topographic cross-sections were drawn so as to cross the present and the older river positions. The river incision was obtained as a difference between the recent and the previous mean levels of its bed. A bed level incision of 2.7 m on average came out</t>
  </si>
  <si>
    <t>10.1111/j.1365-2664.2009.01751.x</t>
  </si>
  <si>
    <t>https://www.scopus.com/inward/record.uri?eid=2-s2.0-77949295519&amp;doi=10.1111%2fj.1365-2664.2009.01751.x&amp;partnerID=40&amp;md5=fbc2bff2ea3eb0b7da5054825412121d</t>
  </si>
  <si>
    <t>Coastal landscapes are being transformed as a consequence of the increasing demand for urban infrastructure to sustain commercial, residential and tourist activities. A variety of man-made structures, such as breakwaters, jetties and seawalls have thus become ubiquitous features of intertidal and shallow subtidal habitats. This transformation will accelerate in response to the exponential growth of human populations and to global changes, such as sea-level rise and increased frequency of extreme meteorological events (e.g. storms). Here, we provide a critical overview of the major ecological effects of increasing infrastructure to marine habitats, we identify future research directions for advancing our understanding of marine urban ecosystems and we highlight how alternative management options might mitigate their impacts. Urban infrastructure supports different epibiota and associated assemblages and does not function as surrogate of natural rocky habitats. Its introduction in the intertidal zone or in near-shore waters can cause fragmentation and loss of natural habitats. Furthermore, the provision of novel habitat (hard substrata) along sedimentary shores can alter local and regional biodiversity by modifying natural patterns of dispersal of species, or by facilitating the establishment and spread of exotic species. Attempts to use ecological criteria to solve problems of urban infrastructure are promising. Incorporating natural elements of habitat (e.g. wetland vegetation</t>
  </si>
  <si>
    <t>10.1016/j.jhydrol.2010.04.021</t>
  </si>
  <si>
    <t>https://www.scopus.com/inward/record.uri?eid=2-s2.0-78650172034&amp;doi=10.1016%2fj.jhydrol.2010.04.021&amp;partnerID=40&amp;md5=1ca8297dd9d34c5be4f3aed70b171498</t>
  </si>
  <si>
    <t>This work presents a methodology for soil wetness monitoring over the Peace Athabasca Delta, PAD, a northern watershed located in the Mackenzie River Basin in North-Western Canada. The approach is based on the use of a combination of passive microwave data from AMSR-E instrument, data in the visible wavelengths from MODIS sensor and topographic attributes derived from the SRTM Digital Elevation Model. Classic topography-based wetness indices are static and unable to capture the temporal variability of soil moisture. Also, they do not account for vegetation effect on the spatial organisation of soil wetness. We therefore suggest overcoming these limitations by assessing the temporal variability of soil wetness using passive microwave data and introducing vegetation parameters into a new topographybased wetness index (TWI). The proposed approach is an improvement in a dynamic sense over classic topographic indices. It also distinguishes between wetness and open waterbodies contributions to the passive microwave signal. AMSR-E 37 GHz data have been used to regularly assess total soil wetness in the PAD. MODIS images have been used to develop a rating curve relationship between discharge observations and the extent of flooded areas. A basin wetness index (BWI) has been calculated as the difference between total wetness fraction from AMSR-E and inundated surface fraction retrieved from MODIS images. The new topographic wetness index disaggregates BWI values and distinguishes between inundated areas and wet soils responses in the passive microwave signal. Results were compared to those derived from the classic and static index. The proposed index has provided a better estimation of the wetness over the basin with respect to the classic wetness index. The correlation coefficients between the disaggregated wetness index and observed precipitations at Fort Chipewayn A station were 0.7 and 0.69 for 2003 and 2002 respectively. The obtained map of waterbodies in the delta which is the result of the downscaling process agrees well with a Landsat image as the determined probability of detection was equal to 0.7. This implies that a combination of passive microwave data and topographic attributes has an interesting potential to improve the water balance closure over northern basins. © 2010 Elsevier B.V. All rights reserved.</t>
  </si>
  <si>
    <t>2-s2.0-78650172034"</t>
  </si>
  <si>
    <t>10.1016/j.jhydrol.2010.05.044</t>
  </si>
  <si>
    <t>https://www.scopus.com/inward/record.uri?eid=2-s2.0-77954383633&amp;doi=10.1016%2fj.jhydrol.2010.05.044&amp;partnerID=40&amp;md5=a3053c2bf434578145c46f9cc20d3add</t>
  </si>
  <si>
    <t>Two-dimensional (2D) flow models based on the well-known governing 2D flow equations are applied to floodplain analysis purposes. These 2D models numerically solve the governing flow equations simultaneously or explicitly on a discretization of the floodplain using grid tiles or similar tile cell geometry, called "" elements"" By use of automated information systems such as digital terrain modeling, digital elevation models, and GIS, large-scale topographic floodplain maps can be readily discretized into thousands of elements that densely cover the floodplain in an edge-to-edge form. However, the assumed principal flow directions of the flow model analog, as applied across an array of elements, typically do not align with the floodplain flow streamlines. This paper examines the mathematical underpinnings of a four-direction flow analog using an array of square elements with respect to floodplain flow streamlines that are not in alignment with the analog's principal flow directions. It is determined that application of Manning's equation to estimate the friction slope terms of the governing flow equations, in directions that are not coincident with the flow streamlines, may introduce a bias in modeling results, in the form of slight underestimation of flow depths. It is also determined that the maximum theoretical bias, occurs when a single square element is rotated by about 13°, and not 45° as would be intuitively thought. The bias as a function of rotation angle for an array of square elements follows approximately the bias for a single square element. For both the theoretical single square element and an array of square elements, the bias as a function of alignment angle follows a relatively constant value from about 5° to about 85°, centered at about 45°. This bias was first noted about a decade prior to the present paper, and the magnitude of this bias was estimated then to be about 20% at about 10° misalignment. An adjustment of Manning's n is investigated based on a considered steady state uniform flow problem, but the magnitude of the adjustment (about 20%) is on the order of the magnitude of the accepted ranges of friction factors. For usual cases where random streamline trajectory variability within the floodplain flow is greater than a few degrees from perfect alignment, the apparent bias appears to be implicitly included in the Manning's n values. It can be concluded that the array of square elements may be applied over the digital terrain model without respect to topographic flow directions. © 2010 Elsevier B.V.</t>
  </si>
  <si>
    <t>2-s2.0-77954383633"</t>
  </si>
  <si>
    <t>10.5194/essd-2-157-2010</t>
  </si>
  <si>
    <t>https://www.scopus.com/inward/record.uri?eid=2-s2.0-79959641780&amp;doi=10.5194%2fessd-2-157-2010&amp;partnerID=40&amp;md5=e5ea0b35222e88722d900fdbf80d2297</t>
  </si>
  <si>
    <t>The capability of monitoring and prediction in the marine environment provides information that may allow sustainable development of coastal and offshore regions. Therefore, the continuous measurement of environmental processes becomes an important source of information. The present paper shows data collected during 6 years, and in particular during 2008, in the Dee Estuary. The aim of the data collection is to improve the observations of the mobile sediments in coastal areas and its forcing hydrodynamics and turbulence. Data includes information from the deployment of instrumented rigs measuring sediment in suspension, currents, waves, sea level, sediment size and bedforms as well as cruise work including grab sampling, CTD profiles and side-scan sonar. The data cover flood and ebb tides during spring and neap periods with moderate and mild wave events, thus, having a good coverage of the processes needed to improve knowledge of sediment transport and the parameterizations used in numerical modelling. The data, in raw and treated, are being banked at BODC (British Oceanographic Data Centre, &lt;a hrefCombining double low line""http://www.bodc.ac.uk/"" targetCombining double low line""-blank""&gt;http://www.bodc.ac.uk/&lt;/a&gt;) which is the formal British organization for looking after and distributing data concerning the marine environment. © Author(s) 2010.</t>
  </si>
  <si>
    <t>2-s2.0-79959641780"</t>
  </si>
  <si>
    <t>10.1016/j.geomorph.2009.07.004</t>
  </si>
  <si>
    <t>https://www.scopus.com/inward/record.uri?eid=2-s2.0-70549090029&amp;doi=10.1016%2fj.geomorph.2009.07.004&amp;partnerID=40&amp;md5=4927d3141cbb36a667e28fb98665c2e2</t>
  </si>
  <si>
    <t>In nature, opportunities are limited for recording the response to a rapid ongoing base-level fall and for examining its effects on channel evolution during the process. Following a dramatic base-level fall, the natural laboratory area of the Dead Sea offers such an opportunity. Classical shape evolution models of incised channels describe the response to an ""impulse"" type base-level drop after it became stabilized. The Dead Sea delineates during its continuous level drop a different mode of adjustment from those previously conceptualized. We have recorded the entrenchment rates of channels and their transient shape evolution ""at a station"" in real time, i.e., during the ongoing base-level fall. This study represents the first attempt to apply integrated time series of high resolution DEMs, change detection maps, Differential Global Position System measurements, and field methods to monitor vertical and horizontal entrenchment rates, as well as the evolution of the cross-sectional shape of channels in response to a continuous and rapidly lowering base level. Mean vertical entrenchment rates are very high, 0.4-0.8 m/y, and widening rates are even higher (2.1-24 m/y). Elevation-change detection maps demonstrate along banks a patchy pattern of channel entrenchment, indicating the initial widening stage. The incised channels have a trapezoidal, gorge-like, cross-sectional form, i.e., they have developed beyond the initial stage of net vertical incision. However, neither advanced channel widening nor development of an inner floodplain has been observed. We conclude that widening is yet ineffective in damping the vertical adjustment. The continuous and rapid lowering of the Dead Sea level entraps the drainage systems in the vertical incision mode, preventing the evolutionary progression toward a wide, graded, and stable geometry which has been conceptualized in existing models. © 2009 Elsevier B.V. All rights reserved.</t>
  </si>
  <si>
    <t>2-s2.0-70549090029"</t>
  </si>
  <si>
    <t>10.2112/08-1170.1</t>
  </si>
  <si>
    <t>https://www.scopus.com/inward/record.uri?eid=2-s2.0-77954615446&amp;doi=10.2112%2f08-1170.1&amp;partnerID=40&amp;md5=31a37b44d68d464c15d7fc05a8025191</t>
  </si>
  <si>
    <t>Extreme sea levels generated by strong tangential wind stress and normal atmospheric pressure gradients at the sea surface due to tropical cyclones were studied for the western sector of the Bay of Bengal (the east coast of India). The maritime states along the coast, hit by different intensities of cyclones, are West Bengal, Orissa, Andhra Pradesh, and Tamil Nadu. Based on precise historical data for the period 18912007, statistical projections have been made on the probable intensities of tropical cyclones for various return periods. With the help of numerical models developed at Indian Institute of Technology Delhi, maximum probable surges along the coast were simulated. The local tide effect was considered in the computations as rise of sea level would be greater if the cyclone crosses the coast during high tide. The total water elevation is computed by linearly adding the local tide and wave setup to the surge simulated along the coast. In the present study, an assessment of cyclone risk and vulnerability was evolved, which is an important component of the information used to create sustainable local-level development action plans for preparedness and mitigation. © Coastal Education &amp; Research Foundation 2010.</t>
  </si>
  <si>
    <t>2-s2.0-77954615446"</t>
  </si>
  <si>
    <t>GeoArabia</t>
  </si>
  <si>
    <t>10.2113/geoarabia1502175</t>
  </si>
  <si>
    <t>https://www.scopus.com/inward/record.uri?eid=2-s2.0-85124209649&amp;doi=10.2113%2fgeoarabia1502175&amp;partnerID=40&amp;md5=30cea8e9c00a34a333ad8fe012ae16c8</t>
  </si>
  <si>
    <t>The Miocene Kareem Formation in the Egyptian Gulf of Suez, and its equivalent formations throughout the Red Sea (250-550 m thick), contain one of the most important petroleum reservoirs in these highly faulted rift basins. They present a difficult exploration target, particularly over the shelves of the sparsely explored Red Sea for several reasons: (1) water depth exceeds one kilometer, (2) they underlie thick evaporites (including salt exceeding one kilometer in thickness), (3) they are difficult to image by conventional seismic techniques, and (4) their lithology is laterally variable and difficult to predict (anhydrite, carbonate, sandstone, shale and marl). The target Red Sea formations are best controlled by boreholes in the Gulf of Suez, where the Kareem Formation and its members are characterized by various synonymous units. A review of representative data and interpretations shows that the formation and its members are better understood when considered as a third-order, transgressive-regressive (T-R) depositional sequence, named the Kareem Sequence in the Middle East Geologic Time Scale (ME GTS). The Sequence is bounded above by the Belayim Sequence Boundary (Sub-Belayim Unconformity) and below by the Kareem Sequence Boundary (Sub-Kareem Unconformity), both corresponding to major sea-level lowstands. It contains the Arabian Plate Langhian Maximum Flooding Surface Neogene 30 (MFS Ng30) at the top of the Kareem Maximum Flooding Interval (MFI). Its lower Rahmi Member forms the majority of the transgressive systems tract (TST). The Kareem MFI and regressive systems tract (RST or HST) occur within the upper Shagar Member. The paleontology of the Formation is characterized by Planktonic Foraminiferal Zone N9 and in recent papers also N8, and Calcareous Nannofossil Biozone NN5, but the Formation's assignment to Miocene stages (Burdigalian, Langhian and Serravallian) is unresolved in the literature. In this paper, the Kareem Sequence is interpreted in terms of Kareem subsequences 1 to 6. At semi-regional scales (10s of km), the older three are each represented by an anhydrite bed (Rahmi Anhydrite 1 to 3, each c. 10 m thick) overlain by deep-marine deposits (shale, marl and carbonate, 10s of meters thick). Subsequences 4 to 6 are represented in El Morgan field (Kareem A to C units), and in representative boreholes, by three deep-marine shale/marl units, each of which is overlain by a regressive shallow-marine sandstone unit. The Kareem Sequence is correlated to third-order orbital sequence DS3 1.1 with a depositional period of ca. 2.43 million years between ca. 16.1 and 13.7 million years before present (Ma), or numerically the latest Burdigalian, Langhian and earliest Serravallian (Langhian: 15.97-13.65 Ma in GTS 2004</t>
  </si>
  <si>
    <t>10.3763/ehaz.2010.SI02</t>
  </si>
  <si>
    <t>https://www.scopus.com/inward/record.uri?eid=2-s2.0-84871521533&amp;doi=10.3763%2fehaz.2010.SI02&amp;partnerID=40&amp;md5=b3880266b5941c7d9b6ff73411c5ffaf</t>
  </si>
  <si>
    <t>Considerable literature exists on floods and weather-related disasters, but limited attention has been given to the varied social implications of hazards in the lives of people, especially from a gender perspective. This is particularly poignant in floodplains and coastal areas, where water is a key element in giving, sustaining and taking away life and livelihood. Critical social and geographical analyses enable better understanding of the ways hazardous waterscapes are perceived, experienced and negotiated by people across social categories in their everyday life. This article attempts to highlight the gendered and classed coping strategies and adaptation measures that men and women engage with (that both challenge and reproduce social relations and vulnerabilities) in their attempts to survive in hazardous environments. Drawing from an analysis of the gendered dynamics of floods and disasters as well as the interventions that were undertaken via the Flood Action Plan in Bangladesh, I demonstrate the differential and gendered implications of both water-related hazards and the structural interventions that were envisioned to address the hazards. With climate change likely to exacerbate floods and disasters, it is important to heed such differentiations and marginalizations, so as to draw insights to better inform current and future adaptation approaches, flood management and disaster management strategies. © 2010 Taylor &amp; Francis Group, LLC.</t>
  </si>
  <si>
    <t>2-s2.0-84871521533"</t>
  </si>
  <si>
    <t>10.1016/j.geomorph.2010.04.019</t>
  </si>
  <si>
    <t>https://www.scopus.com/inward/record.uri?eid=2-s2.0-77954757906&amp;doi=10.1016%2fj.geomorph.2010.04.019&amp;partnerID=40&amp;md5=c8b18a543fcd5234c17d7c616695f7b0</t>
  </si>
  <si>
    <t>This paper analyzes landscape in a rainforest region integrating geomorphologic and ecosystem analysis methods. Major landscape elements (geology, geomorphology, soils, vegetation and land use) were mapped as biogeomorphic land units using remote sensing and geographic information systems (GIS). Associations between these variables were analyzed by map fusion and the results were expressed on a land unit map (scale ca. 1:100,000). Volcanic structures are dominant in the study area. Lava flows cover most of the region, mainly as basalt; several pyroclastic cones are widely distributed over the area but are dominant in the southeast region. A hypsometric map derived from a digital elevation model (DEM), and intersected with a land cover/use map showed an altitudinal gradient of vegetation. Rainforest grows at lower altitudes (0 to 700 m) and Virola, Juglans and Chionantus are distributed from 700 to 900 m. These species are located on slopes of basalt and andesites intercalated with tephra, recent isolated stratovolcano structures and an erosive flood plain. At higher altitudes (900 to 1100 m) the forest identified as Chionantus‒Ulmus‒Randia is associated with cinder cones. A Quercus‒Ulmus forest (900 to 1400 m) covers the slopes of the highest volcano (San Martin) and surrounding areas, while evergreen (elfin) forest is at the top of this mountain (1660 m).</t>
  </si>
  <si>
    <t>Organic Geochemistry</t>
  </si>
  <si>
    <t>10.1016/j.orggeochem.2010.05.016</t>
  </si>
  <si>
    <t>https://www.scopus.com/inward/record.uri?eid=2-s2.0-77954316092&amp;doi=10.1016%2fj.orggeochem.2010.05.016&amp;partnerID=40&amp;md5=e7619c7e5b0bec4b7c47d3e7f69f33b4</t>
  </si>
  <si>
    <t>The influence of the colonization of salt marsh sediments with Sarcocornia perennis on the DOM quantity and its nature in the water column was evaluated by way of UV-visible and molecular fluorescence spectroscopy. Different light conditions occur along the night and the day periods, while, in parallel, flooding conditions vary along consecutive tidal cycles. Thus, a 24hour field assessment was carried out in order to encompass the daily (day/night) and intertidal (high/low tide) variations. The E2:E3 ratio and spectral slope (S) from UV-visible spectra pointed to an export of compounds of high molecular weight (MW) to surface waters during the tidal ebbing at the colonized site. Furthermore, three main types of fluorescent compounds were found in the water synchronous fluorescence spectra: one corresponding to protein-like compounds and two to humic-like compounds. Fluorescence intensity increased during tidal ebbing, both during the day and during the night and especially for water from the colonized site. However, major increases occurred for the protein-like fluorescence band at the S. perennis colonized site during the nocturnal tide ebbing, which may be related to the activity of plants at the rhizosphere. © 2010 Elsevier Ltd.</t>
  </si>
  <si>
    <t>2-s2.0-77954316092"</t>
  </si>
  <si>
    <t>10.1080/01431160903303013</t>
  </si>
  <si>
    <t>https://www.scopus.com/inward/record.uri?eid=2-s2.0-84866173643&amp;doi=10.1080%2f01431160903303013&amp;partnerID=40&amp;md5=46c0f1c70b7f5f921b9062b2ab80b243</t>
  </si>
  <si>
    <t>The geomorphic evolution of the Piedmont Zone of the Ganga Plain is not well understood, since the identification of various morpho-tectonic features in the field is very difficult because of the thick forest cover, extensive anthropogenic modifications in the landscape and easily reworkable gravels. Interpretation of satellite imagery, Digital Terrain Models (DTMs) and field data has helped in identification and mapping of various morpho-tectonic features in a hitherto unstudied part of the Piedmont Zone and the adjoining areas in north-western Ganga Plain, India. The Piedmont Zone has formed as a result of laterally coalescing alluvial fans of variable dimensions and talus deposits, and is traversed by active faults and thrusts. The variable subsidence rates along the basin margin (i.e. the Himalayan Frontal Thrust) and climatic events have controlled the accommodation space and basinward progradation of alluvial fans. The landscape of the Piedmont Zone is presently being continuously modified by the ongoing tectonic movements and seasonal climatic variations. © 2010 Taylor &amp; Francis.</t>
  </si>
  <si>
    <t>2-s2.0-84866173643"</t>
  </si>
  <si>
    <t>10.1007/s11852-010-0103-6</t>
  </si>
  <si>
    <t>https://www.scopus.com/inward/record.uri?eid=2-s2.0-77955273170&amp;doi=10.1007%2fs11852-010-0103-6&amp;partnerID=40&amp;md5=e8b7cc501665ce6a893b4ed45f9533c9</t>
  </si>
  <si>
    <t>Climate change associated with sea level rise (SLR) is one of the major environmental concerns of today. This paper presents an assessment of the impacts of sea level rise on the coastal zone of Kanyakumari District in Tamilnadu, India. Digital Elevation Model (DEM) combined with overlay techniques in GIS are used in determining the inundation zones along the coastal region. The analysis evaluated the impact on coastal fishing villages, landuse, tourist spots and sensitive areas under threat. The vulnerability of the coastal areas in Kanyakumari to inundation was quantified, based on the projected sea level rise scenarios of 0.5 and 1 m. Our findings reveal that approximately 13 km2 of the land area of Kanyakumari would be permanently inundated due to SLR. This would result in loss of land, alteration of the coastal zone and affects coastal ecosystem. From the study, the mitigation measures (engineering measures) and Coastal Zone Management practices that can be taken to protect human life and property from sea level rise are suggested. © 2010 Springer Science+Business Media B.V.</t>
  </si>
  <si>
    <t>2-s2.0-77955273170"</t>
  </si>
  <si>
    <t>10.1016/j.geomorph.2010.04.028</t>
  </si>
  <si>
    <t>https://www.scopus.com/inward/record.uri?eid=2-s2.0-77954758316&amp;doi=10.1016%2fj.geomorph.2010.04.028&amp;partnerID=40&amp;md5=311c4517d3b1c47801f03e197c5ba985</t>
  </si>
  <si>
    <t>Coastal lagoons are valuable water bodies since they are of great ecological and economic interest throughout the world. Their existence is controlled by variations in sea level and the geological substrate of their location. Their morphology is linked to local topography, alternation of high and low pressure, the presence of a river, as well as tidal regime. All these factors influence lagoons along the coastline in the south of Spain. The main morphological characteristics of such lagoons are the following: intermittence, one-dimensional morphology, small size, shallow waters, high area/depth ratio, no flood- or ebb tide deltas, overwash of their low barriers during storms, high evaporation rates and feeding by rivers.Effective management of these systems requires the evaluation not only of their hydrodynamics and opening and closure rate, but also the prediction of possible future scenarios as a response to meteorological events. This paper describes the behavior of a coastal lagoon in Zahara de los Atunes (Cádiz) by means of a numerical model implemented with the objective of serving as a tool for optimizing the coastal zone management.Although the coastal lagoon at Zahara de los Atunes is closed most of the year, it is artificially opened at the beginning of the summer. The results of our study showed that during this period, the lagoon is flood-dominated with a pumping-mode response. It naturally tends to close since it is a trap for littoral drift sediments. The precise date of closure depends on the events that take place during the autumn, which determine whether the sediments deposited in the inlet by the littoral drift are flushed out by the river flow or flushed in by the waves. © 2010 Elsevier B.V.</t>
  </si>
  <si>
    <t>2-s2.0-77954758316"</t>
  </si>
  <si>
    <t>10.3763/ehaz.2010.0049</t>
  </si>
  <si>
    <t>https://www.scopus.com/inward/record.uri?eid=2-s2.0-85009106166&amp;doi=10.3763%2fehaz.2010.0049&amp;partnerID=40&amp;md5=9dda55109424532f4d5379cf4359f537</t>
  </si>
  <si>
    <t>The farming of natural coastal deltas and floodplains was in many parts of the world the cradle of civilization. Through history the transformation of risky floodplain systems into socially controlled environments was the result of an intricate interplay between ecology, demography, religion, social organization and technology of the time. After the harnessing of most large tropical rivers, there are in our time few natural deltas and floodplains left to study in the warm regions of the world. One such floodplain is the Rufiji coastal delta and floodplain in Tanzania. Here an artificial irrigation culture has not been developed, but a robust risk-minimizing system based on rice, maize, cotton and peas has evolved for delta and floodplain agriculture. Through the Arab, German and British colonization, attempts were made to ‘modernize’ this agricultural system, resulting in new crops and varieties being incorporated into the system in a way that made it even more robust. This study explains the genesis of this as a socio-ecological system, that is, an interaction of resource systems, resource units, governance and users. It analyses some fundamental challenges to this agricultural system during the last 100 years: the removal of the floodplain population to ‘safe ujamaa villages’, the recurring large infrastructure development initiatives and the modern institutional challenges such as individualized tenure, urban food market expansion, coastal and marine conservation, and the recent development of ‘land-grabbing’ practices. © 2010 Taylor &amp; Francis Group, LLC.</t>
  </si>
  <si>
    <t>2-s2.0-85009106166"</t>
  </si>
  <si>
    <t>10.1175/2009JHM1145.1</t>
  </si>
  <si>
    <t>https://www.scopus.com/inward/record.uri?eid=2-s2.0-77955485926&amp;doi=10.1175%2f2009JHM1145.1&amp;partnerID=40&amp;md5=49bdb780ac9dab0deb430877a3364193</t>
  </si>
  <si>
    <t>A hydrologic model coupled with a land surface model is applied to simulate the hydrologic processes in the Huaihe River basin, China. Parameters of the land surface model are interpolated from global soil and vegetation datasets. The characteristics of the basin are derived from digital elevation models (DEMs) and a national geological survey atlas using newly developed algorithms. The NCEP-NCAR reanalysis dataset and observed precipitation data are used as meteorological inputs for simulating the hydrologic processes in the basin. The coupled model is first calibrated and validated by using observed streamflow over the period of 1980-87. A long-term continuous simulation is then carried out for 1980-2003, forced with observed rainfall data. Results show that the model behavior is reasonable for flood years, whereas streamflows are sometimes overestimated for dry years since the 1990s when water withdrawal increased substantially because of the growing industrial activities and the development of water projects. Observed streamflow and water withdrawal data showed that human activities have obviously affected the surface rainfall-runoff process, especially in dry years. Two methods are proposed to study the human dimension in the hydrologic cycle. One method is to reconstruct the natural streamflow series using local volumes of withdrawals. The simulated results are more consistent with the reconstructed hydrograph than the initially observed hydrograph. The other method is to integrate a designated module into the coupled model system to represent the effect of human activities. This method can significantly improve the model performance in terms of streamflow simulation. © 2010 American Meteorological Society.</t>
  </si>
  <si>
    <t>2-s2.0-77955485926"</t>
  </si>
  <si>
    <t>10.1016/j.ecoleng.2010.02.008</t>
  </si>
  <si>
    <t>https://www.scopus.com/inward/record.uri?eid=2-s2.0-77953131387&amp;doi=10.1016%2fj.ecoleng.2010.02.008&amp;partnerID=40&amp;md5=d47dbb6c9586ac5514d1539b97af7050</t>
  </si>
  <si>
    <t>Mangrove wetlands are important in the removal of nutrients, heavy metals, and organic pollutants from wastewater within estuarine systems due to the presence of oxidized and reduced conditions, periodic flooding by incoming and outgoing tides, and high clay and organic matter content. This study investigated the removal efficiency of nutrients and heavy metals from wastewater by the mangrove Sonneratia apetala Buch-Ham in a simulated wetland. Eight different treatments, namely, three concentration levels of wastewaters, with and without planting of the mangrove species, and one control (with salted water) each for both with and without planting of the mangrove species, were employed in this study. Results showed that the amounts of total mangrove biomass from different treatments were in the following order: PL-TW (planted with ten times higher-than-normal wastewater concentration) &gt; PL-FW (planted with five times higher-than-normal wastewater concentration) &gt; PL-SW (planted with normal wastewater concentration) &gt; PL-NW (planted with no wastewater), whereas the magnitude of the heavy metal contents in the biomass was in the following order: Cu &gt; Pb &gt; Cd &gt; Zn. Very good linear correlations existed between the biomass and the nutrients or heavy metals. The Sonneratia apetala Buch-Ham species had its own selectivity for uptake of heavy metals regardless of the initial heavy metal contents and was more effective in the removal of nutrients than heavy metals. Our study suggested that mangrove wetlands with Sonneratia apetala Buch-Ham species had great potential for the removal of nutrients and heavy metals in coastal areas. © 2010 Elsevier B.V. All rights reserved.</t>
  </si>
  <si>
    <t>2-s2.0-77953131387"</t>
  </si>
  <si>
    <t>10.1016/j.coldregions.2010.04.009</t>
  </si>
  <si>
    <t>https://www.scopus.com/inward/record.uri?eid=2-s2.0-77956461139&amp;doi=10.1016%2fj.coldregions.2010.04.009&amp;partnerID=40&amp;md5=0edaa747b62b296e320bfb52dd27dcd4</t>
  </si>
  <si>
    <t>Permafrost can provide a containment medium for drilling wastes deposited to in-ground sumps, but tall shrubs may proliferate on covers causing snow to accumulate, active layers to deepen and the ground to thaw. We evaluate these effects using a 2-dimensional heat transfer model to simulate the thermal evolution of sumps in warm (-3.0 °C mean annual ground temperatures (MAGT)) and cold (-6.0 °C MAGT) permafrost under varying snow and climate conditions characteristic of the Mackenzie Delta region. Application of climate and snow normals for Inuvik, Northwest Territories, south of treeline, and Tuktoyaktuk, on coastal tundra, maintained wastes within frozen ground at temperatures below -1.5 °C in warm permafrost and -3.0 °C in cold permafrost, respectively. A gradual increase in snow depth from 0.17. m to 1.5. m simulating the effect of shrub growth on snow accumulation, caused thawing by the third decade. In the absence of shrub growth and increasing snow, moderate climate warming (0.09 °C/year) also caused sump thawing after 35. years for the warm scenario, but for the cold scenario wastes remained below -2 °C through to year 40. Climate warming and increasing snow depths hasten thermal degradation. Modeling results indicating sump degradation due to deepening snow were corroborated by snow and ground temperature measurements, observations of collapsed shrub covered sumps in the Mackenzie Delta region and the local absence of permafrost where deep snow accumulates over mineral soils. Although thawing increases the mobility of sump contents, the associated subsidence of the sump and adjacent areas may inhibit lateral movement of the wastes. Several factors combine to influence the integrity of sumps in permafrost indicating the need for a long-term management strategy. © 2010.</t>
  </si>
  <si>
    <t>2-s2.0-77956461139"</t>
  </si>
  <si>
    <t>Russian Geology and Geophysics</t>
  </si>
  <si>
    <t>10.1016/j.rgg.2010.03.002</t>
  </si>
  <si>
    <t>https://www.scopus.com/inward/record.uri?eid=2-s2.0-77949279237&amp;doi=10.1016%2fj.rgg.2010.03.002&amp;partnerID=40&amp;md5=ddcd2e85b9371f20a6e35b9791838756</t>
  </si>
  <si>
    <t>New data have been obtained on the paleogeographic and stratigraphic assignment of Neopleistocene morpholithogenesis in the Chuya basin. They were derived from analysis of topographical maps, digital elevation models, and medium- and high-resolution satellite images as well as a textural and facies description of Quaternary sections. Near the basin side, a paragenetic association of sediments is widespread. These sediments, laid down by fluid debris flows and mudflows, formed a ridged terrain during the emptying of a Late Quaternary paleolake. A diluvial-erosional origin of a series of small parallel scarps has been suggested. They are usually interpreted as wave-cut benches, which mark temporary levels of a glacier-dammed lake. We have examined geological evidence for a high glacial dam with an age of maximum glaciation inside the Chuya basin. Because of the dam, glacier floods during the Middle Neopleistocene were larger than those during the Late Neopleistocene. © 2010.</t>
  </si>
  <si>
    <t>2-s2.0-77949279237"</t>
  </si>
  <si>
    <t>10.3390/rs2092060</t>
  </si>
  <si>
    <t>https://www.scopus.com/inward/record.uri?eid=2-s2.0-80051892961&amp;doi=10.3390%2frs2092060&amp;partnerID=40&amp;md5=09aafeb3042f5faf366b5968f702be1c</t>
  </si>
  <si>
    <t>A significant portion of the Canadian Maritime coastline has been surveyed with airborne Light Detection and Ranging (LiDAR). The purpose of these surveys has been to map the risk of flooding from storm surges and projected long-term sea-level rise from climate change and to include projects in all three Maritime Provinces: Prince Edward Island, New Brunswick, and Nova Scotia. LiDAR provides the required details in order to map the flood inundation from 1 to 2 m storm surge events, which cause coastal flooding in many locations in this region when they occur at high tide levels. The community of Annapolis Royal, Nova Scotia, adjacent to the Bay of Fundy, has been surveyed with LiDAR and a 1 m DEM (Digital Elevation Model) was constructed for the flood inundation mapping. Validation of the LiDAR using survey grade GPS indicates a vertical accuracy better than 30 cm. A benchmark storm, known as the Groundhog Day storm (February 1-3, 1976), was used to assess the flood maps and to illustrate the effects of different sea-level rise projections based on climate change scenarios if it were to re-occur in 100 years time. Near shore bathymetry has been merged with the LiDAR and local wind observations used to model the impact of significant waves during this benchmark storm. Long-term (ca. greater than 30 years) time series of water level observations from across the Bay of Fundy in Saint John, New Brunswick, have been used to estimate return periods of water levels under present and future sea-level rise conditions. Results indicate that under current sea-level rise conditions this storm has a 66 year return period. With a modest relative sea-level (RSL) rise of 80 cm/century this decreases to 44 years and, with a possible upper limit rise of 220 cm/century, this decreases further to 22 years. Due to the uncertainty of climate change scenarios and sea-level rise, flood inundation maps have been constructed at 10 cm increments up to the 9 m contour which represents an upper flood limit estimate in 100 years, based on the highest predicted tide, plus a 2 m storm surge and a RSL of 220 cm/century. © 2010 by the authors.</t>
  </si>
  <si>
    <t>2-s2.0-80051892961"</t>
  </si>
  <si>
    <t>10.1029/2008WR007406</t>
  </si>
  <si>
    <t>https://www.scopus.com/inward/record.uri?eid=2-s2.0-80755175949&amp;doi=10.1029%2f2008WR007406&amp;partnerID=40&amp;md5=77d8b40f90d5c30e56c1c94ad2d107e3</t>
  </si>
  <si>
    <t>Bed form geometry and dynamics in a straight section of the Elbe River in Germany is analyzed considering the measured bed surfaces as two-dimensional random fields of bed elevations. Statistically derived roughness parameters are evaluated from high-resolution digital elevation models, which were available for a range of flow rates from low flows to floods. The key results relate to the identification of characteristic scaling regions in the bed surface spectra, and to observed relationships between water discharge and both the standard deviation and a factor of the ""-3"" spectral law of bed elevations. Two-dimensional second-order structure functions of bed elevations are also analyzed to gain further insight into the spatial structure of sand wave beds. In addition, the interrelations between flow rate hysteresis and the statistical structure of bed forms, as well as effects of channel modification by groynes, are highlighted and discussed. The reported results demonstrate that statistical parameters of bed forms may be used for characterization and prediction of flow-dependent sand bed roughness. Copyright 2010 by the American Geophysical Union.</t>
  </si>
  <si>
    <t>2-s2.0-80755175949"</t>
  </si>
  <si>
    <t>10.1029/2009GL041985</t>
  </si>
  <si>
    <t>https://www.scopus.com/inward/record.uri?eid=2-s2.0-77949856354&amp;doi=10.1029%2f2009GL041985&amp;partnerID=40&amp;md5=6476928c7eee0a55705535d9655d465c</t>
  </si>
  <si>
    <t>[1] The surfaces of alluvial fans and river deltas (collectively fans) are often dissected by a small number of channels radiating from the fan apex. On long timescales, channels migrate via avulsion, the process of channel bed deposition and abandonment that often results in catastrophic flooding and loss of life on densely populated fans. We present results of an experimental fan that creates realistic channel patterns by avulsion. The avulsion cycle occurs with a period that is predictable from conservation of mass. Selection of a new flow path is inherently stochastic; however, once a network of 4–5 channels is established, flow oscillates among these channels indefinitely. We demonstrate that a directed random walk model with memory quantitatively reproduces these dynamics and limiting behavior, and is consistent with natural fans.</t>
  </si>
  <si>
    <t>10.1016/j.cageo.2009.10.003</t>
  </si>
  <si>
    <t>https://www.scopus.com/inward/record.uri?eid=2-s2.0-77649234347&amp;doi=10.1016%2fj.cageo.2009.10.003&amp;partnerID=40&amp;md5=21754da8a4e01841ad243a4586d20c39</t>
  </si>
  <si>
    <t>The use of medium-resolution photogrammetric-derived Digital Elevation Models (DEMs) to model coastal inundation risk is commonplace in the geosciences. However, these datasets are often characterised by relatively large and loosely defined elevation errors, which can seriously limit their reliability. Post-processed and static RTK dual-frequency GPS data and very high-resolution Terrestrial Laser Scanning DSM data are used here to quantify the magnitude and spatial distribution of elevation error on a 10 km coastal section of a medium-resolution photogrammetric DEM. The validation data are captured at two scales and spatial-resolutions to minimise the risk of spatial bias in the validation results. The strengths and shortcomings of each validation dataset are assessed, and the complimentary value of GPS and Terrestrial Laser Scanning for external validation is demonstrated. Elevation errors highlighted in the photogrammetric DEM are found to be significantly larger than suggested by the data suppliers, with a tendency for the larger errors to occur with increasing proximity to the coastline. The results confirm the unsuitability of the DEM tested for the local spatial modelling of coastal inundation risk, highlighting difficulties that may be prone to occur when similar DEM datasets are used in coastal studies elsewhere. © 2010.</t>
  </si>
  <si>
    <t>2-s2.0-77649234347"</t>
  </si>
  <si>
    <t>10.1134/S0001437010030112</t>
  </si>
  <si>
    <t>https://www.scopus.com/inward/record.uri?eid=2-s2.0-77954241206&amp;doi=10.1134%2fS0001437010030112&amp;partnerID=40&amp;md5=e220e5e6fc405be9174b27b1d68a3290</t>
  </si>
  <si>
    <t>This paper describes the results of investigations of the consequences of the storms on the Pacific coast of Shikotan Island that occurred on October 7-10, 2006 and January 6-8, 2007. These storms and their impact on the coastal zone can be considered as extreme events for the last 40-50 years. The heights and flooding area of the storm surges within bay coasts of different types were measured. The coastal relief's changes are described. During the storms, a cover of deposits was formed having a size of up to 30 m outside the beach zone and up to 52 m in the near-mouth zones. The grain-size composition of the storm deposits is analyzed and their difference from other coastal facies, including tsunami sands, are established. © 2010 Pleiades Publishing, Ltd.</t>
  </si>
  <si>
    <t>2-s2.0-77954241206"</t>
  </si>
  <si>
    <t>Sociological Inquiry</t>
  </si>
  <si>
    <t>10.1111/j.1475-682X.2010.00345.x</t>
  </si>
  <si>
    <t>https://www.scopus.com/inward/record.uri?eid=2-s2.0-77955152335&amp;doi=10.1111%2fj.1475-682X.2010.00345.x&amp;partnerID=40&amp;md5=07660052dfc1af7d50c141190a607b28</t>
  </si>
  <si>
    <t>Katrina was the most devastating and deadliest hurricane in recent U.S. history. The storm was particularly destructive for residents of the Mississippi Gulf Coast where sustained winds of 135 mph and a storm surge of 32 feet literally obliterated the built and modified environments. Limited research exists on the chronic (32 months) mental health impacts of survivors in this geographical area. Random-digit dialing telephone surveys were administered in Harrison and Hancock counties (Mississippi) in April and May 2008 and data were collected on a number of mental health outcomes. The results of the calculation of Oridinary Least Squares (OLS) regression models revealed that females, African Americans, and less-educated residents manifested the most severe mental health impacts. Most important, consistent findings for depression and Katrina-related psychological stress indicate that residents who were separated from family members, had maximum residential damage, and suffered severe financial problems remained significantly impacted 32 months after Katrina's landfall. A secondary stressor, in the form of having applications to the Mississippi State Grant Program denied or not processed also predicted personal depression. The implications of these findings are discussed. © 2010 Alpha Kappa Delta.</t>
  </si>
  <si>
    <t>2-s2.0-77955152335"</t>
  </si>
  <si>
    <t>10.1016/j.geomorph.2009.06.021</t>
  </si>
  <si>
    <t>https://www.scopus.com/inward/record.uri?eid=2-s2.0-70749132818&amp;doi=10.1016%2fj.geomorph.2009.06.021&amp;partnerID=40&amp;md5=cc89eda546e43ad5f67931e50a8f45fe</t>
  </si>
  <si>
    <t>Geomorphologists have studied and debated over the processes responsible for natural riffle-pool maintenance for decades. Most studies have focused on small wadable rivers, but they lack much description of overbank flood conditions or a spatially explicit characterization of morphodynamics. In this study, 1-m horizontal resolution digital elevation models were collected from a riffle-pool-run sequence before and after an overbank flood with a 7.7-year recurrence interval on the relatively large gravel-bed lower Yuba River, California. Digital elevation model differencing was used to quantify the magnitude and pattern of flood-induced morphodynamic change. Cross section based analysis and two-dimensional hydrodynamic modeling of flows ranging from 0.147 to 7.63 times bankful discharge were completed to evaluate the hydraulic mechanisms responsible for the observed topographic changes. One key finding was that riffle-pool relief increased by 0.42 m, confirming the occurrence of natural hydrogeomorphic maintenance. Spatially complex patterns of scour and deposition exceeding 0.15 m at the scale of subwidth morphological units were reasonably predicted by the two-dimensional mechanistic model that accounts for convective acceleration. The one-dimensional cross section based method underperformed the two-dimensional model significantly. Consequently, multiple scales of channel non-uniformity and a dynamic flow regime caused the observed maintenance of the pool-riffle morphology through the mechanism of ""flow convergence routing"" proposed by MacWilliams et al. [MacWilliams, M.L., Wheaton, J.M., Pasternack, G.B., Kitanidis, P.K., Street, R.L., 2006. The flow convergence-routing hypothesis for riffle-pool maintenance in alluvial rivers. Water Resources Research 42, W10427, doi:10.1029/2005WR004391]. © 2009 Elsevier B.V. All rights reserved.</t>
  </si>
  <si>
    <t>2-s2.0-70749132818"</t>
  </si>
  <si>
    <t>10.1016/j.scitotenv.2009.10.058</t>
  </si>
  <si>
    <t>https://www.scopus.com/inward/record.uri?eid=2-s2.0-74449093417&amp;doi=10.1016%2fj.scitotenv.2009.10.058&amp;partnerID=40&amp;md5=1adf69d78641025bf142198b2ec0aaaa</t>
  </si>
  <si>
    <t>The Petit-Saut ecosystem is a hydroelectric reservoir covering 365 km2 of flooded tropical forest. This reservoir and the Sinnamary Estuary downstream of the dam are subject to significant mercury methylation. The mercury methylation potential of plankton and biofilm microorganisms/components from different depths in the anoxic reservoir water column and from two different sites along the estuary was assessed. For this, reservoir water and samples of epiphytic biofilms from the trunk of a submerged tree in the anoxic water column and from submerged branches in the estuary were batch-incubated from 1 h to 3 months with a nominal 1000 ng/L spike of Hg(II) chloride enriched in 199Hg. Methylation rates were determined for different reservoir and estuarine communities under natural nutrient (reservoir water, estuary freshwater) and artificial nutrient (culture medium) conditions. Methylation rates in reservoir water incubations were the highest with plankton microorganisms sampled at - 9.5 m depth (0.5%/d) without addition of biofilm components. Mercury methylation rates of incubated biofilm components were strongly enhanced by nutrient addition. The results suggested that plankton microorganisms strongly contribute to the total Hg methylation in the Petit-Saut reservoir and in the Sinnamary Estuary. Moreover, specific methylation efficiencies (%Me199Hgnet/cell) suggested that plankton microorganisms could be more efficient methylating actors than biofilm consortia and that their methylation efficiency may be reduced in the presence of biofilm components. Extrapolation to the reservoir scale of the experimentally determined preliminary methylation efficiencies suggested that plankton microorganisms in the anoxic water column could produce up to 27 mol MeHg/year. Taking into account that (i) demethylation probably occurs in the reservoir and (ii) that the presence of biofilm components may limit the methylation efficiency of plankton microorganisms, this result is highly consistent with the annual net MeHg production estimated from mass balances (8.1 mol MeHg/year, Muresan et al., 2008a). © 2009 Elsevier B.V. All rights reserved.</t>
  </si>
  <si>
    <t>2-s2.0-74449093417"</t>
  </si>
  <si>
    <t>10.5194/acp-10-4439-2010</t>
  </si>
  <si>
    <t>https://www.scopus.com/inward/record.uri?eid=2-s2.0-77952367522&amp;doi=10.5194%2facp-10-4439-2010&amp;partnerID=40&amp;md5=867945d3826b2f30287df13d66e8cd37</t>
  </si>
  <si>
    <t>The air layer between the nocturnal boundary layer and the top of the daily mixing layer in an ozone-polluted area is known to serve as an ozone reservoir since the ozone that is produced in the mixing layer on the preceding day is effectively preserved throughout the night in the air layer. Ozone reservoir layers existing at night can enhance the accumulation of surface ozone on the following day. However, our knowledge of the characteristics of ozone reservoir layers and their effects on the daily ozone accumulations is limited. In this work, ozone reservoir layers were experimentally investigated at a coastal, near-mountain site in southern Taiwan, 30 km away from the coastline. Tethered ozone soundings were performed to obtain vertical profiles of ozone and meteorological variables during a four-day ozone episode in November 2006. Observation-based methods are adopted to evaluate the effects of the ozone reservoir layers on the surface ozone accumulation during the four-day ozone episode. Ozone reservoir layers were found to develop every evening with a depth of 1200-1400 m. Ozone concentrations within the reservoir layers reached over 140 parts per billion (ppb). From each evening to midnight, the size of the ozone reservoir layer and the ozone concentration inside dramatically changed. As a result, a concentrated, elevated ozone reservoir layer formed with a depth of 400 m at 800-1200 m every midnight. For the rest of each night, the elevated ozone reservoir layer gradually descended until it reached 500-900 m in the next morning. The observed ozone reservoir layer is formed by the invasion of a cool, marine air mass into a relatively warm, ozone-rich mixing layer in the evening. The descending is related to nocturnal coastal subsidence as well. The ozone concentration at the study site was maximal at 15:00-17:00 LT daily because of the addition of the daily produced ozone on the preceding day. The rate of increase of surface ozone concentration due to the downward mixing of the ozone in the ozone reservoir layers can be as high as 12-24 ppb/h in the late morning. The contribution of the ozone carried over from the preceding day can be 60-85 ppb, which contributes over 50% to the daily ozone pollution as compared with ozone produced on the study day. © Author(s) 2010.</t>
  </si>
  <si>
    <t>2-s2.0-77952367522"</t>
  </si>
  <si>
    <t>10.1016/j.geomorph.2009.08.014</t>
  </si>
  <si>
    <t>https://www.scopus.com/inward/record.uri?eid=2-s2.0-70749106560&amp;doi=10.1016%2fj.geomorph.2009.08.014&amp;partnerID=40&amp;md5=9b7a1840a8984e9fa8a3309e33fc75b8</t>
  </si>
  <si>
    <t>Tidal wetland soils exhibit particular physical-chemical properties governed mainly by tidal dynamics. On the Atlantic seaboard of the Iberian Peninsula a great swath of tidal wetlands, which correspond to semi-confined estuaries, represents land reclaimed from the 18th century to the first half of the 20th century and used for urban development or agricultural production. These interventions led to the end of tidal flooding in extensive areas of salt marshes, causing a drop in the water table that triggered pyrite oxidization processes, leaching of cations and salts and soil acidification. In many cases, these transformations have given rise to environmental problems such as the development of acid sulphate soils, a resulting decrease in pH, and the leaching of carbonates. The organic carbon storage capacity has also been altered, and the release of metal cations from sediments has caused toxic waters to appear. In order to investigate the alterations caused by the historic reclamation of estuarine soils on the north coast of Spain, natural and reclaimed lands were mapped in two estuaries (Villaviciosa and San Vicente de la Barquera) and zoned in accordance with flood frequency. The different evolutionary paths of the two studied estuarine sites after reclamation can be assessed through the description and analysis of their soils despite reclamation, some parts (i.e. lower areas) of the reclaimed lands do not remain fully isolated from tidal dynamics, whose influence varies throughout the soil profiles that have developed since. The strength of the morphological (e.g. genetic horizons), chemical (pH, metal cation concentration) and functional (balance of the carbon budget) changes suffered by the original soils seem to depend strongly on the remaining tidal influence as well as the land use of the area. © 2009 Elsevier B.V. All rights reserved.</t>
  </si>
  <si>
    <t>2-s2.0-70749106560"</t>
  </si>
  <si>
    <t>https://www.scopus.com/inward/record.uri?eid=2-s2.0-75249106466&amp;partnerID=40&amp;md5=8b1e42b9d735fb6dace6dfec0ddafc27</t>
  </si>
  <si>
    <t>The Quaternary deposits of the Hanoi area have been investigated in order to provide information required for the design of a groundwater-flow model. Limited sedimentological data exist from 32 destructive drillings carried out previously in the study area. The data base contains hydrographical and hydrogeological observations, but few sedimentological details. This is in contrast with the more seaward regions of the area where the Holocene deposits of the Red River plain has previously been studied. However, a comparison of the results obtained in this study with the previous studies indicates that the Hanoi sediment succession developed in an incised valley under conditions of rapid relative sea-level rise until ca. 7-6 a cal BR The succession consists initially of alluvial floodplain deposits conformably overlain by mud deposited at the head of an estuary which filled with continuing rapid sea-level rise. Once the relative sea-level rise stabilized, fluvial deposition prograded over the adjacent estuarine mud. The development of a groundwater-flow model requires knowledge of the three-dimensional distribution of the various deposits. Despite the paucity of information with respect to sediment description, a model of the entire Quaternary sequence is presented in several lithostratigraphic cross-sections and a panel diagram. The latter forms the basis for the construction of a contour map of the base of the Pleistocene and Holocene deposits, and for a sequence map of the Quaternary deposits in the study area.</t>
  </si>
  <si>
    <t>2-s2.0-75249106466"</t>
  </si>
  <si>
    <t>10.1007/s11852-010-0086-3</t>
  </si>
  <si>
    <t>https://www.scopus.com/inward/record.uri?eid=2-s2.0-77649232431&amp;doi=10.1007%2fs11852-010-0086-3&amp;partnerID=40&amp;md5=d3c79b45a8a742f3ac7c127b01878292</t>
  </si>
  <si>
    <t>The objective of this study is to provide a perspective on the extremes of sea-level variability and predictability for the U.S.-Affiliated Pacific Islands (USAPI) on seasonal time-scales. Based on the Generalized Extreme Value (GEV) model, the L-moments method has been used to estimate the model parameters. The bootstrap method has been used to define the exceedance probability level of upper and lower bounds of the return periods at the 90% confidence interval. On the basis of these return calculations and expected extremes of high sea level, the seasonal maxima of sea level and the varying likelihood of extreme events have been estimated. For analyzing the predictability of the extremes of sea-level, a canonical correlation analysis (CCA) statistical model has been developed. Findings reveal that there is seasonal climatology of extreme events in the vicinity of USAPI that are variable on temporal and spatial scales. Some of the islands (Yap and Saipan) display considerably higher seasonal extremes than the others for 20 to 100 year return periods because of typhoon-related storm surges. These surges are likely to cause huge tidal large sea-level inundations and increased erosion to low-lying atolls/islands and result in considerable damage to roads, harbors, unstable sandy beaches, and other major infrastructures. Finally, the need for evaluating the extreme events and associated typhoons from a regional perspective has been stressed for coastal hazard management decision analyses in the USAPI. © Springer Science+Business Media B.V. 2010.</t>
  </si>
  <si>
    <t>2-s2.0-77649232431"</t>
  </si>
  <si>
    <t>10.1080/08920753.2010.529038</t>
  </si>
  <si>
    <t>https://www.scopus.com/inward/record.uri?eid=2-s2.0-85006671282&amp;doi=10.1080%2f08920753.2010.529038&amp;partnerID=40&amp;md5=de83999b88e114c001cd5425115e53d2</t>
  </si>
  <si>
    <t>The landsea interface is a complex socialecological system characterized by natural ecological processes and human-induced changes. Holistic management of the shoreline is a critical element of an ecosystem-based approach to the landsea interface in coastal zone management (CZM) programs. Anthropogenic alteration of shoreline environments has resulted in significant loss of sandy beach ecosystems and eroded the resilience of these systems to disturbance. We tested the efficacy of CZM programs in managing the landsea interface under current and future challenges by comparing alternative approaches to shoreline management in two U.S. states (Hawaii and North Carolina). Our results show that explicit prohibition of shoreline armoring has been more effective in conserving dynamic coastal environments and communities by passing the risk associated with coastal development fromthe public trust to private landowners. Over the long-term, robust anti-armoring legislation will de-incentivize risky coastal development projects while preserving coastal environments and the ecological services they provide to society. Policy prescriptions for effective shoreline management and increased coastal resilience under persistent coastal erosion and future sea-level rise are proposed. © Taylor &amp; Francis Group, LLC.</t>
  </si>
  <si>
    <t>2-s2.0-85006671282"</t>
  </si>
  <si>
    <t>https://www.scopus.com/inward/record.uri?eid=2-s2.0-79251474045&amp;partnerID=40&amp;md5=f8cbe875204f153556d4dc877b33fc7a</t>
  </si>
  <si>
    <t>As stated in Part I of this work, current geospatial models of coastal areas at risk of inundation by sea level rise (SLR) typically depict a 50-year timescale. We established that the 36 mm required accuracy for depicting risk at a 20-year timescale is obtainable. This paper focuses on the development and testing of a low-cost, easily deployable, Close-range Aerial Remote Sensing (CARS) system capable of obtaining geodetic-grade elevation data from an unmanned aerial vehicle (UAV). System design consideration, preliminary results from simulation and field testing, discussions, and conclusions are presented. The preliminary results with a low-cost CARS system that weighs less than 200 g and consumes less than 4 W are within the specifications required to map the SLR effect on a 20 year timescale.</t>
  </si>
  <si>
    <t>2-s2.0-79251474045"</t>
  </si>
  <si>
    <t>10.1029/2010EO230001</t>
  </si>
  <si>
    <t>https://www.scopus.com/inward/record.uri?eid=2-s2.0-77954401586&amp;doi=10.1029%2f2010EO230001&amp;partnerID=40&amp;md5=92d835022d14d5a4cbe1b072bf91ead9</t>
  </si>
  <si>
    <t>2-s2.0-77954401586"</t>
  </si>
  <si>
    <t>10.1016/j.jhydrol.2010.07.003</t>
  </si>
  <si>
    <t>https://www.scopus.com/inward/record.uri?eid=2-s2.0-77955583493&amp;doi=10.1016%2fj.jhydrol.2010.07.003&amp;partnerID=40&amp;md5=41fe258eed2a07e9ea8966e20b89e666</t>
  </si>
  <si>
    <t>With rapid flood extent mapping capabilities, Synthetic Aperture Radar (SAR) images of river inundation prove to be very relevant to operational flood management. In this context, a recently developed method provides distributed water levels from SAR images. Furthermore, in view of improving numerical flood prediction, a variational data assimilation method (4D-var) using such distributed water level has been developed in Part I of this study. This method combines an optimal sense remote sensing data (distributed water levels extracted from spatial images) and a 2D shallow water model. In the present article (Part II of the study), we also derive water levels with a ±40. cm average vertical uncertainty from a RADARSAT-1 image of a Mosel River flood event (1997, France). Assimilated in a 2D shallow water hydraulic model using the 4D-var developed method, these SAR derived spatially distributed water levels prove to be capable of enhancing model calibration. Indeed, the assimilation process can identify optimal Manning friction coefficients, at least in the river channel. Moreover, used as a guide for sensitivity analysis, remote sensing water levels allow also identifying some areas in the floodplain and the channel where Manning friction coefficients are homogeneous. This allows basing the spatial segmentation of roughness coefficient on floodplain hydraulic functioning. © 2010 Elsevier B.V.</t>
  </si>
  <si>
    <t>2-s2.0-77955583493"</t>
  </si>
  <si>
    <t>10.1002/qj.648</t>
  </si>
  <si>
    <t>https://www.scopus.com/inward/record.uri?eid=2-s2.0-77957112738&amp;doi=10.1002%2fqj.648&amp;partnerID=40&amp;md5=6a0f361581958fb67917195f18c0f583</t>
  </si>
  <si>
    <t>The overtopping of flood defences by coastal storm surges is a significant threat to life and property. Like all forecasts, storm surge predictions have an associated uncertainty, but this has not been directly predicted by previous operational systems. The Met Office Global and Regional Ensemble Prediction System (MOGREPS), which has recently become operational, provides an explicit sample of the range of atmospheric evolutions consistent with the latest observations. The storm surge ensemble derives a storm surge forecast for each MOGREPS ensemble member, giving an explicit estimate of the risk of reaching significant water levels. The system has now been running for over two years in trial mode, with positive feedback from both Met Office and Environment Agency forecasters. For the surge on 9 November 2007, which received significant media coverage, it produced a clear signal of an abnormal event at the full 54-hour lead time, with a useful indication of the range of possible water levels. Statistical verification covering two winters demonstrates that the ensemble spread is indeed a reliable indicator of the significantly increased uncertainty associated with large surge events, although the error in more normal situations is dominated by inaccuracies in the separate harmonic tide prediction which is used to convert surge to water level. Probabilistic verification shows some advantage over climatological error distributions, particularly for larger thresholds and longer lead times. Following this successful trial, the system was made operational in December 2009. © 2010 Royal Meteorological Society and Crown Copyright.</t>
  </si>
  <si>
    <t>2-s2.0-77957112738"</t>
  </si>
  <si>
    <t>https://www.scopus.com/inward/record.uri?eid=2-s2.0-77950137425&amp;partnerID=40&amp;md5=aa1ab1f8201867faf6125bfcd8073438</t>
  </si>
  <si>
    <t>Results of recent investigations suggest that climate change tends to exacerbate geo-disasters. Therefore, it is understood clearly that adaptation to climate change has rapidly become the most important and urgent issue for the future existence of human beings on Earth. These inferences form the background of this research. In comparison to those examining water disasters, few studies have examined climate-change-induced geo-disasters. This study aims at upgrading the methodology for estimating effects on geo-disasters of combined events, e.g., global warming with increased typhoon and rainfall severity or occurrence of great earthquakes. Such a methodology is expected to contribute to progress in the fields of natural disaster mitigation and land preservation, particularly near seacoasts and rivers.</t>
  </si>
  <si>
    <t>2-s2.0-77950137425"</t>
  </si>
  <si>
    <t>10.1007/s10064-010-0303-1</t>
  </si>
  <si>
    <t>https://www.scopus.com/inward/record.uri?eid=2-s2.0-77954954225&amp;doi=10.1007%2fs10064-010-0303-1&amp;partnerID=40&amp;md5=9be7b864652876829f137572a9b8510f</t>
  </si>
  <si>
    <t>The paper reports a study of the effects of the 26th December 2004 tsunami on a 3 km length of coastline in southern India. GIS maps were prepared based on field surveys and accounts given by eye-witnesses and survivors. It is concluded that the main height and run-out of the wave were much affected by the on-shore topography and off-shore bathymetry. Where the water immediately off-shore is deepest, the wave was highest, reaching some 10 m. The extent of the inundation is exacerbated by the presence of creeks/estuaries, where it extended to a kilometer inland, and minimized by the presence of a rocky coastline. Recommendations are made to mitigate the hazard. © 2010 Springer-Verlag.</t>
  </si>
  <si>
    <t>2-s2.0-77954954225"</t>
  </si>
  <si>
    <t>10.2112/08-1055.1</t>
  </si>
  <si>
    <t>https://www.scopus.com/inward/record.uri?eid=2-s2.0-77949792460&amp;doi=10.2112%2f08-1055.1&amp;partnerID=40&amp;md5=b8d25302bf3ddf76c08acb8fa59a55fb</t>
  </si>
  <si>
    <t>Integration of impacts of sea-level rise to coastal zone management practices are performed through coastal vulnerability assessments. Out of the types of vulnerability assessments, a proposed model demonstrated that relative vulnerability of different coastal environments to sealevel rise may be quantified using basic information that includes coastal geomorphology, rate of sea-level rise, and past shoreline evolution for the National Assessment of Coastal Vulnerability to Sea-Level Rise for U.S. Coasts. The proposed methodology focuses on identifying those regions where the various effects of sea-level rise may be the greatest. However, the vulnerability cannot be directly equated with particular physical effects. Thus, using this concept as a starting point, a coastal vulnerability matrix and a coastal vulnerability index that use indicators of impacts of sea-level rise are developed. The developed model compares and ranks different regions according to their vulnerabilities while prioritizing particular impacts of sea-level rise of the region. In addition, the developed model determines most vulnerable parameters for adaptation measures within the integrated coastal zone management concept. Using available regional data, each parameter is assigned a vulnerability rank of very low to very high (15) within the developed coastal vulnerability matrix to calculate impact sub-indices and the overall vulnerability index. The developed methodology and Thieler and Hammar-Klose the proposed methodology were applied to the Gksu Delta, Turkey. It is seen that the Gksu Delta shows moderate to high vulnerability to sea-level rise. The outputs of the two models indicate that although both models assign similar levels of vulnerability for the overall region, which is in agreement with common the literature, the results differ significantly when in various parts of the region is concerned. Overall, the proposed Thieler and Hammar-Klose method assigns higher vulnerability ranges than does the developed coastal vulnerability index sea-level rise (CVI-SLR) model. A histogram of physical parameters and human influence parameters enables enable decision makers to determine the controllable values using the developed model. © 2010 Coastal Education and Research Foundation.</t>
  </si>
  <si>
    <t>2-s2.0-77949792460"</t>
  </si>
  <si>
    <t>10.1007/s11069-010-9563-0</t>
  </si>
  <si>
    <t>https://www.scopus.com/inward/record.uri?eid=2-s2.0-77958014798&amp;doi=10.1007%2fs11069-010-9563-0&amp;partnerID=40&amp;md5=3e7d2621a94454bd4e2465afaef69d87</t>
  </si>
  <si>
    <t>In this study, we address the effective method to apply a novel reliability method integrated with finite element models to the safety assessment of pilot site Scheldt in the Netherlands. This site was considered as one of the three main pilot sites in Europe to assess the application of newly suggested techniques in order to reduce and manage the flood risk in the Floodsite project. http://www.floodsite.net, 2004-2009). The novel method of dynamic bounds (DB) is applied to this site after a successful experience in (Rajabalinejad in Reliability methods for finite element models, 1 edn. IOS Press, Amsterdam, 2009). In this study, the bi-functional response of the finite element model is considered, and the dimensional uncertainty is defined presenting the expected uncertainty for a certain dimension in the DB method. The uncertainty is used as a judgment tool to choose the dimension for the DB method for the desired accuracy. The results obtained by applying this technique are presented in this paper. © 2010 Springer Science+Business Media B.V.</t>
  </si>
  <si>
    <t>2-s2.0-77958014798"</t>
  </si>
  <si>
    <t>10.5194/nhess-10-1679-2010</t>
  </si>
  <si>
    <t>https://www.scopus.com/inward/record.uri?eid=2-s2.0-77955326964&amp;doi=10.5194%2fnhess-10-1679-2010&amp;partnerID=40&amp;md5=e21786a6a0376f8f1d76021f723292fe</t>
  </si>
  <si>
    <t>An important part within the German-Indonesian Tsunami Early Warning System (GITEWS) project was the detailed numerical investigation of the impact of tsunamis in densely populated coastal areas of Indonesia. This work, carried out by the German Research Centre Geesthacht (GKSS), in co-operation with DHI-WASY, also provides the basis for the preparation of high resolution hazard and risk maps by the German Aerospace Center (DLR). In this paper a method is described of how to prepare very detailed roughness maps for scenario computations performed with the MIKE 21 Flow Model FM in three highly resolved (∼10 m) priority regions, namely Kuta (Bali), Padang (West-Sumatra), and Cilacap (southern coast of Java). Roughness values are assigned to 43 land use classes, e.g. different types of buildings, rural and urban sub-areas, by using equivalent coefficients found in literature or by performing numerical experiments. Comparisons of simulations using differentiated roughness maps with simulations using constant values (a widely used approach) are presented and it is demonstrated that roughness takes considerable influence on run-up and inundation. Out of all simulations, the results of the worst case scenarios for each of the three priority areas are discussed. Earthquakes with magnitudes of MWCombining double low line8.5 or higher lead to considerable inundation in all study sites. A spatially distinguished consideration of roughness has been found to be necessary for detailed modelling onshore. © Author(s) 2010.</t>
  </si>
  <si>
    <t>2-s2.0-77955326964"</t>
  </si>
  <si>
    <t>https://www.scopus.com/inward/record.uri?eid=2-s2.0-77952213761&amp;partnerID=40&amp;md5=ca3cf389eb09281356540d8cbefab4a9</t>
  </si>
  <si>
    <t>The management and analysis of flood hazards is of great socio- economic and ecological importance as it was estimated that 50 percent of word's population resides and works within the costal zone till 2030. The management of coastal flood hazard reflects the cumulative effects and criteria more than the human mind can handle effectively. The flood management requires decision making for relatively far and largely unknown parameters and face to the largest uncertainties.This paper aims to provide a quantified method for developed decision making in coastal flood management. It discusses the applying of strategic management in a spatial decision support system (DSS) for analysis and modeling of flood management as important part of integrated coastal zone management (ICZM). This study focuses on flood management in South- west of Iran as case study and use SWOT analysis for gaining to the best result. The main finding of paper is provision of systematic method to choose best strategic alternative in flood management. To reach this target numerical model in multi criteria decision making are developed. The new methodology in this study shows that applying quantitative methods with a combination of DSS and SWOT analysis in flood management can be adopted carefully and helps coastal managers to decrease uncertainties and human errors.</t>
  </si>
  <si>
    <t>2-s2.0-77952213761"</t>
  </si>
  <si>
    <t>10.1080/13504509.2010.488413</t>
  </si>
  <si>
    <t>https://www.scopus.com/inward/record.uri?eid=2-s2.0-77954950708&amp;doi=10.1080%2f13504509.2010.488413&amp;partnerID=40&amp;md5=fa95e9c97883724ff4294ffdb1ccc7d8</t>
  </si>
  <si>
    <t>The coastal zone is an area where the interaction between land and sea is intense. It constitutes a highly dynamic and complex system that plays an important role in human survival and development. The vulnerability of coastal cities has increased due to global changes such as hazards, sea level rise, spatial use changes, etc. This study took Xiamen, a coastal city in Fujian Province, as an example to estimate exposure in relation to spatial use changes. The exposure value was defined as the land use intensity (LUI), comprised of five land-use/land-cover (LULC) types, and the shoreline use intensity (SUI), comprising 10 shoreline use types. The dynamic changes of these variables are discussed in detail from 1987 to 2007. The result show that the exposure value rose swiftly from 2.530 in 1987 to 2.707 in 1992, increased slightly to 2.747 in 1997 and 2.761 in 2002, and finally decreased slowly to 2.743 in 2007. The main reasons for such changes and future research directions are discussed. © 2010 Taylor and Francis.</t>
  </si>
  <si>
    <t>2-s2.0-77954950708"</t>
  </si>
  <si>
    <t>10.5721/itjrs201042210</t>
  </si>
  <si>
    <t>https://www.scopus.com/inward/record.uri?eid=2-s2.0-84857754070&amp;doi=10.5721%2fitjrs201042210&amp;partnerID=40&amp;md5=66287bc579ff6c18d76fa67cbb081386</t>
  </si>
  <si>
    <t>Terrestrial Laser Scanner surveys performed in coastal area have generated 3D cloud points used to obtain digital elevation model and standard deviation of the micro-topography of coastal surfaces. Starting from data collected, roughness coefficients have been estimated for each surface typology characterizing the coastal area (sand, calcarenite, vegetation, etc). Applying Machine Learning techniques on digital images, the extension and the surface typology of these areas have been obtained. All data collected have been elaborated by means of software implemented starting from known hydrodynamic formula to evaluate the inland penetration of a hypothesized tsunami.</t>
  </si>
  <si>
    <t>2-s2.0-84857754070"</t>
  </si>
  <si>
    <t>10.1016/j.ecolecon.2010.05.008</t>
  </si>
  <si>
    <t>https://www.scopus.com/inward/record.uri?eid=2-s2.0-77954621114&amp;doi=10.1016%2fj.ecolecon.2010.05.008&amp;partnerID=40&amp;md5=2ccb550aa90610cf752912b3ff381875</t>
  </si>
  <si>
    <t>Several environmental problems are complicated by ambiguity. Sea-level rise following climate change is one relevant example. In this paper, we apply a decision-making approach specifically designed to deal with ambiguity in order to evaluate the net benefits of the mobile barriers system (MOSE), which aims to protect the Venice Lagoon from periodic flooding. We show that the estimated impacts crucially depend on the level of optimism and pessimism of the decision maker and substantially differ from those calculated on the basis of the expected value. We also calculate the implicit ambiguity attitude of the decision maker. © 2010 Elsevier B.V.</t>
  </si>
  <si>
    <t>2-s2.0-77954621114"</t>
  </si>
  <si>
    <t>10.1007/s11852-009-0084-5</t>
  </si>
  <si>
    <t>https://www.scopus.com/inward/record.uri?eid=2-s2.0-77649232811&amp;doi=10.1007%2fs11852-009-0084-5&amp;partnerID=40&amp;md5=61e2a6d02d31b03536f745881e50c256</t>
  </si>
  <si>
    <t>Following the 2004 tsunami disaster in Sri Lanka, it was apparent that mapping the coast's vulnerability was essential for future protection of the local populations. We therefore developed a prototype 'Coastal-hazard GIS' for Sri Lanka so as to provide an effective tool for decision makers to limit the impact of natural coastal hazards such as sea level rise, tsunamis, storm surges and coastal erosion, and thus protect the exposed assets (population, property, settlements, communications networks, etc.). The prototype was developed on a pilot site in Galle through building up homogeneous data on the land/sea interface from studies conducted on the exposure of the coastal populations, the aim being to enable an evaluation of the hazards combined with the vulnerability and thus an analysis of the risks. Coastal risk scenarios are developed so as to estimate the impacts and consequences of an event (tsunami, storm, etc.) on the assets, the principle behind this being that if, in general, the coastal hazard cannot be decreased, then a better knowledge of it through simulation should make it possible to limit the vulnerability and thus the risk. The Coastal-hazard GIS will also provide a planning tool in terms of locating new settlements, expanding urban areas, siting coastal protection works, etc. © Springer Science+Business Media B.V. 2009.</t>
  </si>
  <si>
    <t>2-s2.0-77649232811"</t>
  </si>
  <si>
    <t>10.1007/s11852-010-0097-0</t>
  </si>
  <si>
    <t>https://www.scopus.com/inward/record.uri?eid=2-s2.0-77955266208&amp;doi=10.1007%2fs11852-010-0097-0&amp;partnerID=40&amp;md5=2d3d3074aeb3b2b266aebbacea904910</t>
  </si>
  <si>
    <t>Many of the world's coasts appear vulnerable to the impacts of climate change and sea-level rise. This paper assesses the application of a coastal sensitivity index (CSI) to the Illawarra coast, a relatively well-studied shoreline in southeast Australia. Nine variables, namely (a) rock type, (b) coastal slope (c) geomorphology (d) barrier type (e) shoreline exposure (f) shoreline change (g) relative sealevel rise (h) mean wave height and (j) mean tide range, were adopted in calculation of the CSI (the square root of the product of the ranked variables divided by the number of variables). Two new variables, shoreline exposure and barrier type, were trialled in this analysis and the extent to which these increased the discriminatory power of the index was assessed. Four iterations of the CSI were undertaken using different combinations of ranked variables for each of 105 cells in a grid template, and the index values derived were displayed based on quartiles, indicating sections of coast with very high, high, moderate and low sensitivity. Increasing the number of variables increased the discriminatory power of the index, but the broad pattern and the rank order were very similar for each of the iterations. Rocky and cliffed sections of coast are least sensitive whereas sandy beaches backed by low plains or dunes record the highest sensitivity. It is difficult to determine shoreline change on this coast, because individual storms result in substantial erosion of beaches, but there are prolonged subsequent periods of accretion and foredune rebuilding. Consequently this variable is not a good indicator of shoreline sensitivity and the index is unlikely to provide a clear basis for forecasting future recession of beaches. The results of this study provide a framework for coastal managers and planners to prioritize efforts to enhance the resilience or consider adaptation measures in the coastal zone within a study region. Sensitivity of the coast if considered in conjunction with other social factors may be an input into broader assessments of the overall vulnerability of coasts and their communities. © 2010 Springer Science+Business Media B.V.</t>
  </si>
  <si>
    <t>2-s2.0-77955266208"</t>
  </si>
  <si>
    <t>10.1016/j.gloplacha.2010.01.005</t>
  </si>
  <si>
    <t>https://www.scopus.com/inward/record.uri?eid=2-s2.0-77957261337&amp;doi=10.1016%2fj.gloplacha.2010.01.005&amp;partnerID=40&amp;md5=ab24fef6b7efb92b750d131da84a9ace</t>
  </si>
  <si>
    <t>Following a first study made to assess the impacts of sea level rise on the Senegalese coastline (Dennis et al., 1995), this vulnerability and adaptation (V&amp;A) study tried to determine the impacts of climate change on two representative coastal zones, the Cap Vert peninsula and the Saloum estuary as well as potential adaptation options. The Intergovernmental Panel on Climate Change (IPCC) Methodology (Carter et al., 1994), completed by the United Nations Environment Programme (UNEP) Handbook (Feenstra et al., 1998), were used together with different models (like the Bruun rule, the FEFLOW model), geographical information system and economic data to determine the physical and socio-economic impacts of different climate change scenarios on these coastal zones. Land losses are expected due to sea level rise that will enhance coastal erosion and increase inundation levels, the second phenomenon being responsible for most of these losses, especially in low lying areas like the Saloum estuary (27% of the total area lost with a 1. m inundation level). The combination of sea level rise and decreased precipitation will increase the salt water intrusion in a number of coastal aquifers, especially around Dakar and in the Saloum estuary. Population at risk of inundation in the Cap Vert peninsula could represent between 1 and 12% of the total population of this area. Economic values at risk were estimated by considering socio-economic scenarios and discount rates. For a 1. m inundation level by 2050, this could represent (for the two areas) 14.1% of the actual Gross Domestic Product. While housings represent more than 90% of this value in the Cap Vert peninsula, in the Saloum estuary, it is the agricultural production which represents the dominant form of value at risk (55%). Only two adaptation options, protection works (sea walls and groins) and afforestation of littoral dunes, were evaluated and costed. For a 1. m inundation level by 2050, this will represent 7.3% of the actual Gross Domestic Product. The main result of this study is the demonstration that protection costs will be lower than economic value at risk contrary to the results of the previous study. This is mainly attributed to the consideration of socio-economic scenarios and a better economic evaluation of the goods and services at risk of inundation. © 2010 Elsevier B.V.</t>
  </si>
  <si>
    <t>2-s2.0-77957261337"</t>
  </si>
  <si>
    <t>10.5194/os-6-513-2010</t>
  </si>
  <si>
    <t>https://www.scopus.com/inward/record.uri?eid=2-s2.0-77952973539&amp;doi=10.5194%2fos-6-513-2010&amp;partnerID=40&amp;md5=9e46772351e720ff81bbb2046462e925</t>
  </si>
  <si>
    <t>Exchange of water across the Antarctic shelf break has considerable scientific and societal importance due to its effects on circulation and biology of the region, conversion of water masses as part of the global overturning circulation and basal melt of glacial ice and the consequent effect on sea level rise. The focus in this paper is the onshore transport of warm, oceanic Circumpolar Deep Water (CDW); export of dense water from these shelves is equally important, but has been the focus of other recent papers and will not be considered here. A variety of physical mechanisms are described which could play a role in this onshore flux. The relative importance of some processes are evaluated by simple calculations. A numerical model for the Ross Sea continental shelf is used as an example of a more comprehensive evaluation of the details of cross-shelf break exchange. In order for an ocean circulation model to simulate these processes at high southern latitudes, it needs to have high spatial resolution, realistic geometry and bathymetry. Grid spacing smaller than the first baroclinic radius of deformation (a few km) is required to adequately represent the circulation. Because of flow-topography interactions, bathymetry needs to be represented at these same small scales. Atmospheric conditions used to force these circulation models also need to be known at a similar small spatial resolution (a few km) in order to represent orographically controlled winds (coastal jets) and katabatic winds. Significantly, time variability of surface winds strongly influences the structure of the mixed layer. Daily, if not more frequent, surface fluxes must be imposed for a realistic surface mixed layer. Sea ice and ice shelves are important components of the coastal circulation. Ice isolates the ocean from exchange with the atmosphere, especially in the winter. Melting and freezing of both sea ice and glacial ice influence salinity and thereby the character of shelf water. These water mass conversions are known to have an important effect on export of dense water from many Antarctic coastal areas. An artificial dye, as well as temperature, is used to diagnose the flux of CDW onto the shelf. Model results for the Ross Sea show a vigorous onshore flux of oceanic water across the shelf break both at depth and at the surface as well as creation of dense water (High Salinity Shelf Water) created by coastal polynyas in the western Ross Sea.</t>
  </si>
  <si>
    <t>10.1007/s00343-010-9041-2</t>
  </si>
  <si>
    <t>https://www.scopus.com/inward/record.uri?eid=2-s2.0-79957948999&amp;doi=10.1007%2fs00343-010-9041-2&amp;partnerID=40&amp;md5=b8d3fdd082195338c5d91edfe361e217</t>
  </si>
  <si>
    <t>Generally, tsunami waves become hazardous only when approaching the coast. Studying the runup and inundation of tsunami waves is important for understanding the tsunami evolution and for tsunami hazard assessment. Here, we simulated the 1993 Hokkaido-Nansei-Oki (HNO) tsunami using a finite-difference model based on nonlinear shallow-water equations. We focused on the runup and inundation of tsunami wave propagation onto coastal area of Okushiri Island near Hokkaido, Japan, and investigate the relationship of different runup heights with the morphology and bathymetry of the seashore. In the simulation, a nested 4-layer grid system and moving boundary technique are adopted to study runup and inundation. The calculated tsunami heights and inundations in the region agreed well with field measurements. The local bathymetric and topographic characteristics had a first-order effect on the runup. Numerical experiments show that the focusing of certain local bathymetric features would amplify both wave height and current velocity remarkably. The results show that computation on dense grids is necessary to reproduce the observed runup heights, and inundation velocity is an important factor preventing tsunami devastation. In addition, we discussed the potential capability of sediment transport to illustrate the impact of tsunami waves on coastal geomorphology. © 2010 Chinese Society for Oceanology and Limnology, Science Press and Springer Berlin Heidelberg.</t>
  </si>
  <si>
    <t>2-s2.0-79957948999"</t>
  </si>
  <si>
    <t>10.1007/s11625-010-0105-1</t>
  </si>
  <si>
    <t>https://www.scopus.com/inward/record.uri?eid=2-s2.0-77954175100&amp;doi=10.1007%2fs11625-010-0105-1&amp;partnerID=40&amp;md5=2ba6c90764fa56db7f2bdaa903977362</t>
  </si>
  <si>
    <t>Sea-level rise is a major threat facing the Coral Triangle countries in the twenty-first century. Assessments of vulnerability and adaptation that consider the interactions among natural and social systems are critical to identifying habitats and communities vulnerable to sea-level rise and for supporting the development of adaptation strategies. This paper presents such an assessment using the DIVA model and identifies vulnerable coastal regions and habitats in Coral Triangle countries at national and sub-national levels (administrative provinces). The following four main sea-level rise impacts are assessed in ecological, social and economic terms over the twenty-first century: (1) coastal wetland change, (2) increased coastal flooding, (3) increased coastal erosion, and (4) saltwater intrusion into estuaries and deltas. The results suggest that sea-level rise will significantly affect coastal regions and habitats in the Coral Triangle countries, but the impacts will differ across the region in terms of people flooded annually, coastal wetland change and loss, and damage and adaptation costs. Indonesia is projected to be most affected by coastal flooding, with nearly 5. 9 million people expected to experience flooding annually in 2100 assuming no adaptation. However, if adaptation is considered, this number is significantly reduced. By the end of the century, coastal wetland loss is most significant for Indonesia in terms of total area lost, but the Solomon Islands are projected to experience the greatest relative loss of coastal wetlands. Damage costs associated with sea-level rise are highest in the Philippines (US $6. 5 billion/year) and lowest in the Solomon Islands (US $70,000/year). Adaptation is estimated to reduce damage costs significantly, in particular for the Philippines, Indonesia, and Malaysia (between 68 and 99%). These results suggest that the impacts of sea-level rise are likely to be widespread in the region and adaptation measures must be broadly applied. © 2010 Integrated Research System for Sustainability Science, United Nations University, and Springer.</t>
  </si>
  <si>
    <t>2-s2.0-77954175100"</t>
  </si>
  <si>
    <t>10.1080/01490419.2010.492308</t>
  </si>
  <si>
    <t>https://www.scopus.com/inward/record.uri?eid=2-s2.0-77954306695&amp;doi=10.1080%2f01490419.2010.492308&amp;partnerID=40&amp;md5=9bc41637db99ebf0f8440ba80f903a70</t>
  </si>
  <si>
    <t>The development of a theoretical model for estimating bottom boundary layer characteristics in the Hooghly estuary, located in the east coast of India, under combined effects of waves and currents is reported. Three numerical models, viz a depth averaged hydrodynamic model, SWAN wave model, and bottom boundary layer model, were integrated. In the bottom boundary layer parameters, maximum bottom stress, effective friction factor, and near-bed velocity both during ebb and flood phases of the tidal forcing are investigated and validated for the Haldia channel. The close match seen from results signifies applicability of this model for entire Hooghly basin. © Taylor &amp; Francis Group, LLC.</t>
  </si>
  <si>
    <t>2-s2.0-77954306695"</t>
  </si>
  <si>
    <t>10.1016/j.jhydrol.2010.07.027</t>
  </si>
  <si>
    <t>https://www.scopus.com/inward/record.uri?eid=2-s2.0-77956264651&amp;doi=10.1016%2fj.jhydrol.2010.07.027&amp;partnerID=40&amp;md5=a2b5a8e758b570c7bef38a0bd462525d</t>
  </si>
  <si>
    <t>This paper explores the use of finite mixture models in the study of flood frequency distributions with multiple components. It focuses on further methodological developments for finite mixture models, including an accelerated version of the EM algorithm to derive both parameter estimates and the observed information matrix, estimation of the .99 quantile of the mixture distribution, and standard error estimation of the quantile. In case studies, the lognormal finite mixture model will be compared to other models - specifically the widely-used log-Pearson Type III distribution, the Gumbel distribution, and the GEV distribution. A multidimensional gradient plot and information criteria will be discussed as diagnostics for the number of mixing components. © 2010 Elsevier B.V.</t>
  </si>
  <si>
    <t>2-s2.0-77956264651"</t>
  </si>
  <si>
    <t>10.1016/j.jhydrol.2010.04.007</t>
  </si>
  <si>
    <t>https://www.scopus.com/inward/record.uri?eid=2-s2.0-77958507762&amp;doi=10.1016%2fj.jhydrol.2010.04.007&amp;partnerID=40&amp;md5=700cbd338e990f5132a5b21c6e6c09fe</t>
  </si>
  <si>
    <t>The Lower Tarim River in NW China is under severe ecosystem degradation due to stopped stream flow and diminished groundwater recharge. Since year 2000, eight water diversions from the upper stream and from the neighboring Kaidu-Kongque River have been implemented to alleviate the ecosystem disaster. In order to assess the effectiveness of the water diversion project and to identify proper tracers of groundwater dynamics, we sampled the riparian groundwater system in 2007 and 2008 along the 350km-long river channel through the 40 monitoring wells situated along nine transects perpendicular to the river and three soil profiles. Measurements on the samples have included environmental isotopes (18O, 2H, 3H) and water chemistry. The results show that remarkable changes have been induced by the water diversions. The observed response of riparian groundwater system includes general decrease in total dissolved solid (TDS) and rise of water table. Scope with greater than 1m rise in water table is within ∼700m from the riverbank in the upper segments and ∼300m in the lower ones. Greater rise of water table occurs near the river bank. Tritium data show that the extent of modern recharge (since 1960s), including that from the diverted water, is limited to 600m from the riverbank at the upper segments and 200m at the lower ones. Stable isotopes show that groundwaters, regardless of modern or pre-modern, are enriched in heavy isotopes and are plotted in parallel to the meteoric water line in the δ-δ plot, attributed to evaporation during recharge. Groundwater is generally of Na-Mg-Cl-SO4 type and is formed by dissolution of minerals, such as halite, sulfate, and carbonates, based on component correlation matrices analysis. The salinity of groundwater is mainly affected by that of the diverted water and of the local antecedent groundwater, salts in the unsaturated zone, evapotranspiration during recharge. As the zone of smaller groundwater depth (less than 5m) suitable for the most existing Populus euphratica and Tamarix ramosissima, the main species targeted by the rescue effort, restricts to 200m from the riverbank, and narrows down towards downstream, long-term stability of the ecosystem cannot be achieved by the current water diversion scheme and regulating/saving water in source-streams and the Upper/Middle Tarim River is crucial for continuing water diversion. © 2010 Elsevier B.V.</t>
  </si>
  <si>
    <t>2-s2.0-77958507762"</t>
  </si>
  <si>
    <t>10.1142/S1793431110000728</t>
  </si>
  <si>
    <t>https://www.scopus.com/inward/record.uri?eid=2-s2.0-77951996379&amp;doi=10.1142%2fS1793431110000728&amp;partnerID=40&amp;md5=6a13b346fe7f15297028d36d17fbff6a</t>
  </si>
  <si>
    <t>The reconstruction of Banda Aceh has progressed in these three years and survivors are returning to the areas where they were formerly living. Several refuge buildings are being constructed in the coastal area to ensure safety of the nearby residents. However, people's minds would not be at ease without the confidence that they would obtain safety by taking refuge in the building. The authors studied applicability of two Japan's original disaster education methods for capacity building of community, holding a trainers' training workshop with the cooperation of the Tsunami and Disaster Mitigation Research Center (TDMRC) of Syiah Kuala University. They introduced a visual education using the tsunami inundation and evacuation animation to the teachers, the volunteers, and the students in the area, and executed an exercise of the residents' participation type education using the town watching method. The participants were asked to evaluate these two methods by a questionnaire after the workshop. Most of them evaluated these methods as very effective and easy to use. The results from the questionnaire also showed clearly that the bottle neck in popularizing disaster education was lack of good education materials. © 2010 World Scientific Publishing Company.</t>
  </si>
  <si>
    <t>2-s2.0-77951996379"</t>
  </si>
  <si>
    <t>10.1175/2009MWR3231.1</t>
  </si>
  <si>
    <t>https://www.scopus.com/inward/record.uri?eid=2-s2.0-77955565276&amp;doi=10.1175%2f2009MWR3231.1&amp;partnerID=40&amp;md5=6372b42c022ecdf95f4ecf7019b583ed</t>
  </si>
  <si>
    <t>This paper describes the southerly New York Bight (NYB) jet (11-17 m s-1) that develops primarily during the warm season just above the surface offshore (east) of the northern New Jersey coast and south of Long Island (the NYB). Observations from two offshore buoys are used to develop a 9-yr climatology of 134 jet events from 1997 to 2006. There is a seasonal maximum (2.5 events per month) during June and July, with a skew toward the spring months. The wind directions for the jet trace out a nearly elliptical orbit for the 24-h period around the time of jet maximum at~2300 UTC [1900 eastern daylight time (EDT)] on average. Composites reveal that the NYB jet occurs on days with southwesterly synoptic flow, and the jet is part of a larger-scale (200-300km) wind enhancement offshore of the mid-Atlantic and northeast U.S. coasts during the early evening hours. High-resolution observations (surface mesonet, aircraft soundings, and a terminal Doppler weather radar) and Weather Research and Forecasting (WRF) model simulations down to 1.33-km grid spacing are used to diagnose the evolution of the NYB jet on 2 June 2007. The NYB jet at~150 mMSL occurs within the sloping marine inversion near the coast. Low-level trajectories illustrate low-level diffluence and weak subsidence within the jet. AWRF momentum budget highlights the evolving pressure gradient and accelerations during jet formation. The maximum jet winds occur 1-2h after the peak meridional pressure gradient is established through a geostrophic adjustment process. Sensitivity experiments show that jet occurrence is dependent on diurnal heating and that the concave bend in the southernNewJersey coast limits the southern extent of the jet. © 2010 American Meteorological Society.</t>
  </si>
  <si>
    <t>2-s2.0-77955565276"</t>
  </si>
  <si>
    <t>10.1080/08120090903416278</t>
  </si>
  <si>
    <t>https://www.scopus.com/inward/record.uri?eid=2-s2.0-74549217794&amp;doi=10.1080%2f08120090903416278&amp;partnerID=40&amp;md5=f1d33624bb79f0ce1c7a54e1844762a1</t>
  </si>
  <si>
    <t>Buried river channels and valleys have proven to be valuable economic and agricultural resources. Often they are ecologically important refugia and in some instances, such as in the Sahara Desert, serve as dramatic reminders of the climatic changes that have taken place. Here we report the determination of a fluvial landscape that is substantially buried under the Simpson Desert using a digital elevation model (DEM) specifically derived for this purpose. The DEM is a grid of ground-level elevation points with a spacing of 9 s in longitude and latitude (~250 m). It was calculated by applying the ANUDEM gridding algorithm to national spot height elevation data taken from 1:100 000 scale topographic maps. The ANUDEM algorithm includes a drainage enforcement algorithm that has been found to reliably discern drainage structure from minimally sampled point elevation data in central Queensland and broad-scale paleodrainage structure in Western Australia. To avoid erroneously highelevation information, source elevation data were only selected from between dunes in the Simpson Desert region, providing a more accurate basis for determination of the general surface topography and its underlying paleodrainage structure that existed prior to the development of the dunefields. The DEM reveals the broader, low-frequency topography in the Simpson Desert, reflecting the landscape buried up to 35 m below the sand surface. The paleodrainage analysis is in good agreement with data from the Shuttle Radar Topographic Mission (SRTM). It is now possible to trace a network of topographic lows that are likely to represent paleochannels through the driest desert in Australia and plot the former courses of the world's oldest rivers prior to their burial. © 2010 Geological Society of Australia.</t>
  </si>
  <si>
    <t>2-s2.0-74549217794"</t>
  </si>
  <si>
    <t>10.1016/j.geomorph.2009.12.014</t>
  </si>
  <si>
    <t>https://www.scopus.com/inward/record.uri?eid=2-s2.0-77951938406&amp;doi=10.1016%2fj.geomorph.2009.12.014&amp;partnerID=40&amp;md5=e9890464c4f67c242dc93a623f148e0f</t>
  </si>
  <si>
    <t>The semi arid Flinders Ranges of South Australia contain abundant remnants of fine-grained late Pleistocene valley fills. We have mapped these deposits using Real Time Kinematic (RTK) GNSS and topographic surveying techniques for data acquisition and integrate the surveyed data in a geographical information system (GIS) to interpolate a 3-dimensional palaeo-surface representing the uppermost remnant sediments of the late Pleistocene floodplain. Our analysis of sedimentary and landscape profiles indicates a continuous surface and consistent westward slope suggesting that the remnants present today are still largely consistent with the original alluvial surface. In addition, secondary levels are identified and interpreted. Integration of the geospatial landscape characterisation with chronologies from selected sites, microfossil and stable isotope data provides new evidence for the timing, rates of aggradation and mode of deposition of the late Pleistocene fine-grained valley fill formation. The use of GIS for 2-D and 3-D data management, analysis and visualisation provides a visual and quantitative model of landscape changes and helps to clarify how the valley fill deposits accumulated. © 2009 Elsevier B.V.</t>
  </si>
  <si>
    <t>2-s2.0-77951938406"</t>
  </si>
  <si>
    <t>10.1111/j.1365-2664.2010.01842.x</t>
  </si>
  <si>
    <t>https://www.scopus.com/inward/record.uri?eid=2-s2.0-77954362351&amp;doi=10.1111%2fj.1365-2664.2010.01842.x&amp;partnerID=40&amp;md5=f652e93e20dc31932bc090b2e38d0a8d</t>
  </si>
  <si>
    <t>Climate change encompasses changes in both the means and the extremes of climatic variables, but the population consequences of the latter are intrinsically difficult to study. We investigated whether the frequency, magnitude and timing of rare but catastrophic flooding events have changed over time in Europe's largest estuary. Subsequently, we quantified how this has affected the flooding risk of six saltmarsh nesting bird species. We show that maximum high tide has increased twice as fast as mean high tide over the past four decades (0·8 vs. 0·4 cm year-1), resulting in more frequent and more catastrophic flooding of nests, especially around the time when most eggs have just hatched. Using data on species' nest elevations, on their timing of egg-laying and on the duration that their eggs and chicks are at risk from flooding, we show that flooding risks increased for all six studied species (even after accounting for compensatory land accretion) and this is expected to worsen in the near future if they do not adapt. Moreover, our study provides the first evidence that increasing flooding risks have reduced the reproductive output below stable population levels in at least one species, the Eurasian oystercatcher Haematopus ostralegus. Sensitivity analyses show that currently birds would benefit most from adapting their nest-site selection to higher areas. However, historically the lower marsh has been favoured for its proximity to the feeding grounds and for its low vegetation aiding predator detection. Synthesis and applications. We argue that it is more difficult for birds to infer that habitat quality has decreased from changes in the frequency of rare and unpredictable extreme events than from trends in climatic means. Consequently, at present the lower parts of the saltmarsh may function as an ecological trap. The creation of new (i.e. low) saltmarshes - currently a restoration priority - may thus counteract the goal of increasing the avian biodiversity of an area. Management tools to mitigate the effects of climate change, either by making the higher saltmarsh more attractive (mowing, predator control) or by reducing the flooding risk of the lower marsh (building elevated plots), await to be tested. © 2010 The Authors. Journal compilation © 2010 British Ecological Society.</t>
  </si>
  <si>
    <t>2-s2.0-77954362351"</t>
  </si>
  <si>
    <t>10.1080/13549839.2010.498813</t>
  </si>
  <si>
    <t>https://www.scopus.com/inward/record.uri?eid=2-s2.0-77955892565&amp;doi=10.1080%2f13549839.2010.498813&amp;partnerID=40&amp;md5=79599fb040e169ccf373a62baa1fe886</t>
  </si>
  <si>
    <t>This paper is aimed to identify the factors that influence peoples' preference for adaptation against the impacts of sea level rise (SLR). A total of 285 respondents from three coastal villages in Bangladesh are randomly interviewed using a semistructured questionnaire. First, employing the principal component analysis various factors that influence adaptation preferences of people are identified. These factors are related to ""demographic and social aspects"", ""wealth and economic standing"", ""past coping and adaptive behaviour"", ""climate knowledge and information"" and ""spatial aspect"" of life. What is common in these factors is their ability to influence peoples' vulnerability. Finally, the binomial logistic regression model is employed to compute the explanatory power of these factors to predict the respondents' preference for adaptation in situ over retreat or vice versa. Model findings are robust for two scenarios of SLR, i.e. 2050-2075 (LR x2 = 133.65, pseudo-R2 = 0.53, p &lt; 0.001) and 2080-2100 (LR x2 = 282.61, pseudo-R2 = 0.85, p &lt; 0.001). Therefore, it is concluded that to avoid relocation of substantial number of people initiative for encouraging adaptation in situ must be taken along side establishment of safe shelter, community radio service and campaign for raising climate awareness. © 2010 Taylor &amp; Francis.</t>
  </si>
  <si>
    <t>2-s2.0-77955892565"</t>
  </si>
  <si>
    <t>10.1007/s10040-009-0519-y</t>
  </si>
  <si>
    <t>https://www.scopus.com/inward/record.uri?eid=2-s2.0-77952849395&amp;doi=10.1007%2fs10040-009-0519-y&amp;partnerID=40&amp;md5=639bbd8a6ba62cc0933bbcf7c4ab2589</t>
  </si>
  <si>
    <t>The groundwater tidal prism is defined as the volume of water that inundates a porous medium, forced by one tidal oscillation in surface water. The pressure gradient that generates the prism acts on the subterranean estuary. Analytical models for the groundwater tidal prism and associated benthic flux are presented. The prism and flux are shown to be directly proportional to porosity, tidal amplitude, and the length of the groundwater wave; flux is inversely proportional to tidal period. The duration of discharge flux exceeds the duration of recharge flux over one tidal period; and discharge flux continues for some time following low tide. Models compare favorably with laboratory observations and are applied to a South Atlantic Bight study area, where tide generates an 11-m3 groundwater tidal prism per m of shoreline, and drives 81 m3 s −1 to the study area, which describes 23% of an observational estimate. In a marine water body, the discharge component of any oscillatory benthic water flux is submarine groundwater discharge. Benthic flux transports constituents between groundwater and surface water, and is a process by which pollutant loading and saltwater intrusion may occur in coastal areas.</t>
  </si>
  <si>
    <t>10.1016/j.icarus.2009.11.012</t>
  </si>
  <si>
    <t>https://www.scopus.com/inward/record.uri?eid=2-s2.0-77950025975&amp;doi=10.1016%2fj.icarus.2009.11.012&amp;partnerID=40&amp;md5=208ca04f93644da1192b34e9a70d8949</t>
  </si>
  <si>
    <t>The structural geology of an outcropping of layered sedimentary deposits in southwest Candor Chasma is mapped using two adjacent high-resolution (1 m/pixel) HiRISE digital elevation models and orthoimagery. Analysis of these structural data yields new insight into the depositional and deformational history of these deposits. Bedding in non-deformed areas generally dips toward the center of west Candor Chasma, suggesting that these deposits are basin-filling sediments. Numerous kilometer-scale faults and folds characterize the deformation here. Normal faults of the requisite orientation and length for chasma-related faulting are not observed, indicating that the local sediments accumulated after chasma formation had largely ceased in this area. The cause of the observed deformation is attributed to landsliding within these sedimentary deposits. Observed crosscutting relationships indicate that a population of sub-vertical joints are the youngest deformational structures in the area. The distribution of strain amongst these joints, and an apparently youthful infill of sediment, suggests that these fractures have been active in the recent past. The source of the driving stress acting on these joints has yet to be fully constrained, but the joint orientations are consistent with minor subsidence within west Candor Chasma.</t>
  </si>
  <si>
    <t>2-s2.0-77950025975"</t>
  </si>
  <si>
    <t>Geotechnique</t>
  </si>
  <si>
    <t>10.1680/geot.2010.60.7.505</t>
  </si>
  <si>
    <t>https://www.scopus.com/inward/record.uri?eid=2-s2.0-77953602188&amp;doi=10.1680%2fgeot.2010.60.7.505&amp;partnerID=40&amp;md5=5c2b8752b27a91b0b6e30cb384c9494e</t>
  </si>
  <si>
    <t>A general classification for scale in geotechnical engineering is used to explore the modelling of large, geographically distributed systems and their response to geohazards. Both component and network performance are reviewed. With respect to components, prototypescale experiments of underground pipeline response to abrupt ground deformation are described, including control of soil properties, soil-pipeline interaction, and performance of high-density polyethylene pipelines. Direct shear (DS) apparatus size is shown to have a significant effect on DS strength, and the most reliable DS device is identified from comparative tests with different equipment. Mohr-Coulomb strength parameters for partially saturated sand are developed from DS test data and applied in finite element simulations of soil-pipeline interaction that show excellent agreement with prototypescale experimental results. Apparent cohesion measured during shear failure of partially saturated sand is caused by suction-induced dilatancy. With respect to networks, the modelling of liquefaction effects on the San Francisco water supply is described, and a case history of its successful application during the Loma Prieta earthquake is presented. The systematic analysis of pipeline repair records after the Northridge earthquake is used to identify zones of potential ground failure, and correlate pipeline damage rates with strong ground motion. Hydraulic network analyses are described for the seismic performance of the Los Angeles water supply, with practical applications for emergency response. The effects of Hurricane Katrina are reviewed with respect to the New Orleans hurricane protection system, Gulf of Mexico oil and gas production, and interaction between electric power and liquid fuel delivery systems. The sustainability of the Mississippi delta is discussed with regard to flood control, maintenance of wetlands and barrier islands, and catastrophic change in the course of the Mississippi River.</t>
  </si>
  <si>
    <t>2-s2.0-77953602188"</t>
  </si>
  <si>
    <t>10.1175/2010JPO4314.1</t>
  </si>
  <si>
    <t>https://www.scopus.com/inward/record.uri?eid=2-s2.0-78049299146&amp;doi=10.1175%2f2010JPO4314.1&amp;partnerID=40&amp;md5=f444d78c8f14c6902e606065b5d8c54c</t>
  </si>
  <si>
    <t>Residual currents induced by asymmetric tidal mixing were examined for weakly stratified, narrow estuaries using analytical and numerical models. The analytical model is an extension of the work of R. K. McCarthy, with the addition of tidal variations of the vertical eddy viscosity in the longitudinal momentum equation. The longitudinal distribution of residual flows driven by asymmetric tidal mixing is determined by the tidal current amplitude and by asymmetries in tidal mixing between flood and ebb. In a long channel, the magnitude of the residual flow induced by asymmetric tidal mixing is maximum at the estuary mouth and decreases upstream following the longitudinal distribution of tidal current amplitude. Larger asymmetry in tidal mixing between flood and ebb produces stronger residual currents. For typical tidal asymmetry, mixing is stronger during flood than during ebb and results in two-layer residual currents with seaward flow near the surface and landward flow near the bottom. For reverse tidal asymmetry, mixing is weaker during flood than during ebb and the resulting residual flow is landward near the surface and seaward near the bottom. Also, the residual flow induced by tidal asymmetry has the same order of magnitude as the density-driven flow and therefore is important to estuarine dynamics. Numerical experiments with a primitive-equation numerical model [the Regional Ocean Modeling System (ROMS)] generally support the pattern of residual currents driven by tidal asymmetry suggested by the analytical model. © 2010 American Meteorological Society.</t>
  </si>
  <si>
    <t>2-s2.0-78049299146"</t>
  </si>
  <si>
    <t>10.1029/2009WR007707</t>
  </si>
  <si>
    <t>https://www.scopus.com/inward/record.uri?eid=2-s2.0-77949617652&amp;doi=10.1029%2f2009WR007707&amp;partnerID=40&amp;md5=e401e435471ba0020fd8af8d7cb0bd31</t>
  </si>
  <si>
    <t>Climate change will increase winter precipitation, and in combination with earlier snowmelt it will cause a shift in peak discharge in the Rhine basin from spring to winter. This will probably lead to an increase in the frequency and magnitude of extreme floods. In this paper we aim to enhance the simulation of future low-probability flood peak events in the Rhine basin using different climate change scenarios, and downscaling methods. We use the output of a regional climate model (RCM) and a weather generator to create long, resampled time series (1000 years) of climate change scenarios as input for hydrological (daily) and hydrodynamic (hourly) modeling. We applied this approach to three parallel modeling chains, where the transformation method from different resampled RCM outputs to the hydrological model varied (delta change approach, direct output, and bias-corrected output). On the basis of numerous 1000 year model simulations, the results indicate a basin-wide increase in peak discharge in 2050 of 8%-17% for probabilities between 1/10 and 1/1250 years. Furthermore, the results show that increasing the length of the climate data series using a weather generator reduced the statistical uncertainty when estimating low-probability flood peak events from 13% to 3%. We further conclude that bias-corrected direct RCM output is to be preferred over the delta change approach because it provides insight into geographical differences in discharge projections under climate change. Also, bias-corrected RCM output can simulate changes in the variance of temperature and rainfall and in the number of precipitation days, as changes in temporal structure are expected under climate change. These added values are of major importance when identifying future problem areas due to climate change and when planning potential adaptation measures. Copyright 2010 by the American Geophysical Union.</t>
  </si>
  <si>
    <t>2-s2.0-77949617652"</t>
  </si>
  <si>
    <t>10.1016/j.atmosres.2009.09.009</t>
  </si>
  <si>
    <t>https://www.scopus.com/inward/record.uri?eid=2-s2.0-73949157913&amp;doi=10.1016%2fj.atmosres.2009.09.009&amp;partnerID=40&amp;md5=9c6a717315deb4f97d3bdfd64bd98d78</t>
  </si>
  <si>
    <t>This work explores in detail synoptic and mesoscale features of Hurricane Catarina during its life cycle from a decaying baroclinic wave to a tropical depression that underwent tropical transition (TT) and finally to a Category 2 hurricane at landfall over Santa Catarina State coast, southern Brazil. This unique system caused 11 deaths mostly off the Brazilian coast and an estimated half billion dollars in damage in a matter of a few hours on 28 March 2004. Although the closest meteorological station available was tens of kilometres away from the eye, in situ meteorological measurements provided by a work-team sent to the area where the eye made landfall unequivocally reproduces the tropical signature with category 2 strength, adding to previous analysis where this data was not available. Further analyses are based mostly on remote sensing data available at the time of the event. A classic dipole blocking set synoptic conditions for Hurricane Catarina to develop, dynamically contributing to the low wind shear observed. On the other hand, on its westward transit, large scale subsidence limited its strength and vertical development. Catarina had relatively cool SST conditions, but this was mitigated by favourable air-sea fluxes leading to latent heat release-driven processes during the mature phase. The ocean's dynamic topography also suggested the presence of nearby warm core rings which may have facilitated the transition and post-transition intensification. Since there were no records of such a system at least in the past 30 years and given that SSTs were generally below 26 °C and vertical shear was usually strong, despite all satellite data available, the system was initially classified as an extratropical cyclone. Here we hypothesise that this categorization was based on inadequate regional scale model outputs which did not account for the importance of the latent heat fluxes over the ocean. Hurricane Catarina represents a dramatic event on weather systems in South America. It has attracted attention worldwide and poses questions as whether or not it is a symptom of global warming. © 2009 Elsevier B.V.</t>
  </si>
  <si>
    <t>2-s2.0-73949157913"</t>
  </si>
  <si>
    <t>10.5721/itjrs20104235</t>
  </si>
  <si>
    <t>https://www.scopus.com/inward/record.uri?eid=2-s2.0-84857714375&amp;doi=10.5721%2fitjrs20104235&amp;partnerID=40&amp;md5=492bbd1c9fa90a2ba19e9c48da19b8d7</t>
  </si>
  <si>
    <t>The study area coastal zone of Nellore district is experiencing frequent inundation by natural disasters. The current study is focused on generating Multi-hazard vulnerability map using the parameters historical storm surge heights, future sea level, future shoreline and high resolution coastal topography. The area is experiencing the severe coastal erosion up to 7 m/y along some stretches poses a threat. An area totaling 1708.36 sq. km. is found to fall under the multi-hazard zone and the coastal population are under threat due to future storms, erosion, accelerated sea level rise, etc. The image enhancement, interpretation and GIS overlay techniques along with data used here are effective to produce Multi-hazard vulnerability maps. These Maps are become vital tools for the coastal disaster management during an event and to take suitable decision on the future developments.</t>
  </si>
  <si>
    <t>2-s2.0-84857714375"</t>
  </si>
  <si>
    <t>10.1126/science.1185782</t>
  </si>
  <si>
    <t>https://www.scopus.com/inward/record.uri?eid=2-s2.0-77953758378&amp;doi=10.1126%2fscience.1185782&amp;partnerID=40&amp;md5=b1a9fa7be00262eda6d6eb08dec45ade</t>
  </si>
  <si>
    <t>Global sea levels have risen through the 20th century. These rises will almost certainly accelerate through the 21st century and beyond because of global warming, but their magnitude remains uncertain. Key uncertainties include the possible role of the Greenland and West Antarctic ice sheets and the amplitude of regional changes in sea level. In many areas, nonclimatic components of relative sealevel change (mainly subsidence) can also be locally appreciable. Although the impacts of sea-level rise are potentially large, the application and success of adaptation are large uncertainties that require more assessment and consideration. Copyright Science 2010 by the American Association for the Advancement of Science</t>
  </si>
  <si>
    <t>https://www.scopus.com/inward/record.uri?eid=2-s2.0-79251469748&amp;partnerID=40&amp;md5=a419e0e69374b7250b7611f44eda9ff5</t>
  </si>
  <si>
    <t>One of the greatest challenges coastal regions of the world face is the threat of the rising sea. Current geospatial models of coastal areas at risk of inundation by sea level rise typically depict a 50-year timescale as data accurate enough to support shorter term predictions are lacking. We hypothesize that a geodetic-grade digital elevation model (DEM) of the intertidal zone overlaid onto a high precision model of the mean high water (MHW) tidal datum will allow for mapping the mean high-water line (MHWL) at an accuracy of less than 40 mm. This level of accuracy will allow the effects of sea level rise on property boundaries and infrastructure to be determined on a 20-year timescale. The focus of this paper is on the need for geodetic-grade elevation data and densely spaced tide level measurements for intertidal zone modeling. This level of detail is needed when mapping the MHWL</t>
  </si>
  <si>
    <t>10.1038/ngeo737</t>
  </si>
  <si>
    <t>https://www.scopus.com/inward/record.uri?eid=2-s2.0-76449107632&amp;doi=10.1038%2fngeo737&amp;partnerID=40&amp;md5=10398828355a79ea5a72cdcc534e54d5</t>
  </si>
  <si>
    <t>Over the past 50 years, retreating glaciers and ice caps contributed 0.5 mm yr-1to sea-level rise, and one third of this contribution is believed to come from ice masses bordering the Gulf of Alaska. However, these estimates of ice loss in Alaska are based on measurements of a limited number of glaciers that are extrapolated to constrain ice wastage in the many thousands of others. Uncertainties in these estimates arise, for example, from the complex pattern of decadal elevation changes at the scale of individual glaciers and mountain ranges. Here we combine a comprehensive glacier inventory with elevation changes derived from sequential digital elevation models. We find that between 1962 and 2006, Alaskan glaciers lost 41.9 ± 8.6 km 3yr-1 of water, and contributed 0.12 ± 0.02 mm yr-1 to a-level rise, 34% less than estimated earlier2,3. Reasons for our lower values include the higher spatial resolution of our glacier inventory as well as the reduction of ice thinning underneath debris and at the glacier margins, which were not resolved in earlier work. We suggest that estimates of mass loss from glaciers and ice caps in other mountain regions could be subject to similar revisions. © 2010 Macmillan Publishers Limited. All rights reserved.</t>
  </si>
  <si>
    <t>2-s2.0-76449107632"</t>
  </si>
  <si>
    <t>10.1007/s10236-010-0287-1</t>
  </si>
  <si>
    <t>https://www.scopus.com/inward/record.uri?eid=2-s2.0-77956228366&amp;doi=10.1007%2fs10236-010-0287-1&amp;partnerID=40&amp;md5=8e2648f7a529c4841cffb4f029c6f2f4</t>
  </si>
  <si>
    <t>The problem of resolving or parameterising small-scale processes in oceanographic models and the extent to which small-scale effects influence the large scale are briefly discussed and illustrated for a number of cases. For tides and surges in near-shore regions, the advantages of using a graded mesh to resolve coastal and estuarine small-scale features are demonstrated in terms of a west coast of Britain unstructured mesh model. The effect of mesh resolution upon the accuracy of the overall solution is illustrated in terms of a finite element model of the Irish Sea and Mersey estuary. For baroclinic motion at high Froude number, the effect of resolving small-scale topography within a non-hydrostatic model is illustrated in terms of tidally induced mixing at a single sill, or two closely spaced sills. The question of how to parameterise small-scale non-linear interaction processes that lead to significant mixing, in a form suitable for coarser grid hydrostatic models, is briefly considered. In addition, the importance of topographically induced mixing that occurs in the oceanic lateral boundary layer, namely, the shelf edge upon the large-scale ocean circulation is discussed together with the implications for coarse grid oceanic climate models. The use of unstructured grids in these models to enhance resolution in shelf-edge regions in a similar manner to that used in storm surge models to enhance near coastal resolution is suggested as a suitable ""way forward"" in large-scale ocean circulation modelling. © 2010 Springer-Verlag.</t>
  </si>
  <si>
    <t>2-s2.0-77956228366"</t>
  </si>
  <si>
    <t>10.3319/TAO.2009.11.20.01(TH)</t>
  </si>
  <si>
    <t>https://www.scopus.com/inward/record.uri?eid=2-s2.0-77955574870&amp;doi=10.3319%2fTAO.2009.11.20.01%28TH%29&amp;partnerID=40&amp;md5=54b7c1b1bdaaea076f91d4d97d22e35f</t>
  </si>
  <si>
    <t>We investigated the surface deformation of the northern Taiwan area, including the Taipei basin and its surrounding mountainous areas of the last fifteen years using the ERS-1, ERS-2 and ENVISAT SAR images. Although the Taipei basin now is well developed and amenable to research gathering using the Differential Interferometric Synthetic Aperture Radar (DInSAR) technique, the mountainous areas surrounding the basin are densely covered with various vegetation throughout different seasons inducing high noise ratio in interferograms. Therefore the DInSAR technique is ineffective for observation of surface deformations of these areas. As a result, we developed the Persistent Scatterer (PS) InSAR technique to extract the phase signal of the chosen PS points for this study. Our analysis result shows that the atmospheric disturbance and DEM residual can be successfully reduced and the precise information of surface deformation can be effectively obtained by the PSInSAR technique not only in the basin but also in the mountainous areas. Integrating the DInSAR and PSInSAR results, we observed conspicuous deformation events in northern Taiwan including: (1) the slight uplift in the Western Foothills, the Tatun volcanoes, the Linkou Tableland and the Taoyuan area</t>
  </si>
  <si>
    <t>https://www.scopus.com/inward/record.uri?eid=2-s2.0-84857380134&amp;partnerID=40&amp;md5=a5809eeb1e9add0c1385476cd5a58000</t>
  </si>
  <si>
    <t>Designers' inappropriate choice of shapes for bridge abutments and piers increase the risk of ice jams and local build-ups of water. Swollen rivers carry various materials, which often end up on bridge piers causing water to rise up and slowing down its flow. In view of adverse ice phenomena and floods caused by ice jams, this problem becomes particularly important in winters. In the Water Laboratory of the Wrocław University of Environmental and Life Sciences hydraulic research has been carried out on 1:20 models of flow around pier for various shapes typical for selected bridges in Opole. The principal idea behind this research was to consider a pier an obstacle that causes local water swelling and attempt to identify the most streamlined bridge pier shape. Streamliness of individual piers was investigated by means of measurements, observations of local velocity distribution for water fluxes and observations of water swelling in front of the pier. Results of hydraulic parameter measurements were used to calculate, for each pier, the local loss coefficients ζ, the flow-around drag coefficients cw and the shape factors in the computational formulae of Rehbock (δ) and Yarnell (K). Comparison of these coefficients was used as a criterion for streamliness of investigated piers. In each case being studied local water build-up was observed in front of the pier. Measurement data analysis revealed that the biggest turbulences were caused by the pier no I, and the smallest by the pier no VI. Measurements have confirmed that rectangular piers cause the greatest changes to the velocity field. These changes are smaller for piers which are rounded and pointed and are the smallest for those which are streamlined and cigar-shaped. For this reason the best choice would be, in theory, to design cigar-shaped piers. This shape is not used in practice, however, due to its disadvantageous load distribution over the foundations. For rectangular piers no I and II turbulences around the pier were bigger than those observed for other shapes. One might expect that this shape increases the risk of soil erosion in the vicinity of piers. Measured drag and shape coefficient values quantitatively confirm the qualitative analysis of the phenomenon. The biggest drag coefficient values were obtained for the two least streamlined piers (e.g. for pier no I ζ = 2.36), whereas the most streamlined piers produced the smallest values (e.g. pier no VI with ζ = 0.31). Laboratory measurements enabled us to verify the formulas of Rehbock and Yarnell used in hydraulic bridge calculations. For the Rehbock's formula acertain distinct regularity could be observed: the shape factor δ was almost twice too low as compared to the results of experiments. In what concerns the formula of Yarnell, results of author's experiments are in good agreement with the theory.</t>
  </si>
  <si>
    <t>2-s2.0-84857380134"</t>
  </si>
  <si>
    <t>Journal of Environmental Sciences</t>
  </si>
  <si>
    <t>10.1016/S1001-0742(09)60201-1</t>
  </si>
  <si>
    <t>https://www.scopus.com/inward/record.uri?eid=2-s2.0-77953690385&amp;doi=10.1016%2fS1001-0742%2809%2960201-1&amp;partnerID=40&amp;md5=33828b4339564f9c20b3715b3b9521a8</t>
  </si>
  <si>
    <t>As social interest in the environmental conservation and ecological restoration has recently increased, more research works have been done to resolve problems concerning environmental management of estuaries. In this study, a three-dimensional numerical model, Environmental Fluid Dynamics Code (EFDC) was used in the analysis of the salinity intrusion characteristics in the downstream of Geum River. The numerical simulation was performed to investigate the influence range for salinity intrusion when the gates were fully opened. The conditions used for simulation were the four flow regimes in Geum River Basin, Korea. Results indicated that the ranges of salinity intrusion from the barrage were 50.72 km (drought flow), 48.87 km (low flow), 46.56 km (normal flow) and 42.10 km (flood flow). These results indicated that the EFDC model used for numerical simulation has high accuracy. The result concluded in this study can be used as a basis in understanding the extent of salinity intrusion effects at different flow rates. © 2010 The Research Centre for Eco-Environmental Sciences, Chinese Academy of Sciences.</t>
  </si>
  <si>
    <t>2-s2.0-77953690385"</t>
  </si>
  <si>
    <t>10.5194/gh-65-103-2010</t>
  </si>
  <si>
    <t>https://www.scopus.com/inward/record.uri?eid=2-s2.0-84984400531&amp;doi=10.5194%2fgh-65-103-2010&amp;partnerID=40&amp;md5=923d66dd8490eb6413e7e0f1fd5fa504</t>
  </si>
  <si>
    <t>There is a major need for a complete and detailed global glacier inventory that is freely available in a digital format (vector outlines with attribute data) for all kinds of glaciological assessments, e.g. sea level rise, hydro power, run off and natural hazards. However, such an inventory is not yet available and the uncertainties due to the missing data for related calculations are large. While the existing World Glacier Inventory offers tabular data that were compiled from aerial photography and maps during the 1960s to 1970s for about 72’000 glaciers, current efforts are being exerted within the framework of the Global Land Ice Measurements from Space (GLIMS) initiative to compile vector outlines from satellite data and combine them with digital elevation models (DEMs). At this point, inventory data from about 100’000 of the estimated 160’000 glaciers are available in the GLIMS database. Due to the now free availability of satellite data from the United States Geological Survey’s archive and near global DEMs with appropriate spatial resolution, a globally complete and detailed glacier inventory appears viable. This contribution provides an overview of past and ongoing activities related to the creation of glacier inventory data from satellite sensors, along with the methods employed and the challenges encountered in different parts of the world. © Author(s) 2010. This work is distributed.</t>
  </si>
  <si>
    <t>2-s2.0-84984400531"</t>
  </si>
  <si>
    <t>10.1080/01490419.2010.492303</t>
  </si>
  <si>
    <t>https://www.scopus.com/inward/record.uri?eid=2-s2.0-77954249993&amp;doi=10.1080%2f01490419.2010.492303&amp;partnerID=40&amp;md5=709c2703abae01d499af032ea835b178</t>
  </si>
  <si>
    <t>An assessment of cyclone risk and vulnerability at the village level has evolved, which is an important component of the information system for local level development action plans for preparedness and mitigation. Here, a case study for the Nellore district along the east coast of India is considered. Using maximum probable surges along the coast, total water level (TWL) due to the combined effect of surge, tide, and wind wave is computed for the most vulnerable coastal villages of the Nellore district due to any tropical cyclones. The computations suggest that the TWL along the Nellore coast varies from 2 m in the south to 4 m in the north. © Taylor &amp; Francis Group, LLC.</t>
  </si>
  <si>
    <t>2-s2.0-77954249993"</t>
  </si>
  <si>
    <t>10.1007/s00343-010-9044-z</t>
  </si>
  <si>
    <t>https://www.scopus.com/inward/record.uri?eid=2-s2.0-79955499209&amp;doi=10.1007%2fs00343-010-9044-z&amp;partnerID=40&amp;md5=8c06c96d768b564ee067ef6d05f3159b</t>
  </si>
  <si>
    <t>Spatial distributions and seasonal variations of picoplankton (i. e. Synechococcus spp., Prochlorococcus spp., picoeukaryotes and heterotrophic bacteria) and viruses in the Changjiang estuary have been reported in the past. However, short-term variations (e. g. at a tidal timescale) of these organisms and their regulating factors remain unclear. We determined the time-series of fluctuations of picoplankton and viruses with tide simultaneously in flow cytometry in the Changjiang estuary during a cruise in June 2006, in which a tidal model based rectangle equation was applied. The results indicate that high cell abundances of picoplankton and viruses occurred during flood tide and low cell abundances during ebb tide. The period of the surface cell abundance variations was about 13 h, suggesting the surface cell abundances in the Changjiang estuary were largely regulated by tide. However, cell abundances in middle and bottom waters varied in different periods due to influences of tidal induced physical forces such as resuspension and stratification. Therefore, tidal action is an important factor for the diel variations of picoplankton and viruses in the Changjiang estuary. © 2010 Chinese Society for Oceanology and Limnology, Science Press and Springer-Verlag Berlin Heidelberg.</t>
  </si>
  <si>
    <t>2-s2.0-79955499209"</t>
  </si>
  <si>
    <t>10.1016/j.cageo.2009.12.004</t>
  </si>
  <si>
    <t>https://www.scopus.com/inward/record.uri?eid=2-s2.0-77953123986&amp;doi=10.1016%2fj.cageo.2009.12.004&amp;partnerID=40&amp;md5=de3bad3ac3eacead2095d8d60d5133d6</t>
  </si>
  <si>
    <t>An important element in hydraulic modelling is the topography data of the riverbed and the floodplain area. The latter can be obtained directly from digital terrain models (DTM), but the measurement of the riverbed topography is not straightforward. Since in the aerial survey only the elevation of the water surface is recorded, information about the riverbed topography cannot be obtained from the DTM. Therefore a method for the integration of river topography data in a DTM was developed. While the DTM contains in most cases regularly spaced data points, the resolution of the cross section profiles is generally much higher in the lateral than in the longitudinal direction of the river. An algorithm was developed which combines lateral river profiles with a DTM to produce a grid that can be used for flow modelling. The cross section data are interpolated to the grid points of the DTM that are part of the channel by using a bilinear technique with bounding breaklines, which can be obtained from the river cross section profiles. Additionally the algorithm can be adapted so that only the submerged part of the riverbed is subject to interpolation. It preserves the original DTM in the exposed part of the gravel bars. The algorithm was applied to a restored reach of the river Thur in Switzerland. The corrected grid represents well the complex morphological features of the river such as gravel bars and widenings. The accuracy of the algorithm was tested by comparing the interpolated elevation of the exposed part of the gravel bar to measurements obtained from an aerial survey. The mean height difference is in the order of about 9. cm. Further the interpolated grid was used for a two dimensional flow simulation and the resulting water level was compared to the one recorded in the original DTM. © 2010 Elsevier Ltd.</t>
  </si>
  <si>
    <t>2-s2.0-77953123986"</t>
  </si>
  <si>
    <t>10.1007/s11629-010-0256-7</t>
  </si>
  <si>
    <t>https://www.scopus.com/inward/record.uri?eid=2-s2.0-77952829279&amp;doi=10.1007%2fs11629-010-0256-7&amp;partnerID=40&amp;md5=82fea8a95007d9fe7826a3ce30bd27ce</t>
  </si>
  <si>
    <t>Floods are one of the most common natural hazards occurring all around the world. However, the knowledge of the origins of a food and its possible magnitude in a given region remains unclear yet. This lack of understanding is particularly acute in mountainous regions with large degrees in Sichuan Province, China, where runoff is seldom measured. The nature of streamflow in a region is related to the time and spatial distribution of rainfall quantity and watershed geomorphology. The geomorphologic characteristics are the channel network and surrounding landscape which transform the rainfall input into an output hydrograph at the outlet of the watershed. With the given geomorphologic properties of the watershed, theoretically the hydrological response function can be determined hydraulically without using any recorded data of past rainfall or runoff events. In this study, a kinematic-wave-based geomorphologic instantaneous unit hydrograph (KW-GIUH) model was adopted and verified to estimate runoff in ungauged areas. Two mountain watersheds, the Yingjing River watershed and Tianquan River watershed in Sichuan were selected as study sites. The geomorphologic factors of the two watersheds were obtained by using a digital elevation model (DEM) based on the topographic database obtained from the Shuttle Radar Topography Mission of US's NASA. The tests of the model on the two watersheds were performed both at gauged and ungauged sites. Comparison between the simulated and observed hydrographs for a number of rainstorms at the gauged sites indicated the potential of the KW-GIUH model as a useful tool for runoff analysis in these regions. Moreover, to simulate possible concentrated rainstorms that could result in serious flooding in these areas, synthetic rainfall hyetographs were adopted as input to the KW-GIUH model to obtain the flow hydrographs at two ungauged sites for different return period conditions. Hydroeconomic analysis can be performed in the future to select the optimum design return period for determining the flood control work. © 2010 Science Press, Institute of Mountain Hazards and Environment, CAS and Springer-Verlag Berlin Heidelberg.</t>
  </si>
  <si>
    <t>2-s2.0-77952829279"</t>
  </si>
  <si>
    <t>10.1016/j.geomorph.2009.06.029</t>
  </si>
  <si>
    <t>https://www.scopus.com/inward/record.uri?eid=2-s2.0-75849147409&amp;doi=10.1016%2fj.geomorph.2009.06.029&amp;partnerID=40&amp;md5=42873b53575aa1b6a311b3664feda738</t>
  </si>
  <si>
    <t>The channel network on a fluvial fan distributes sediment across the fan surface and determines fan development. We present a method to characterize fan channel networks (FCNs) so that the effect of controls (e.g., sediment supply) on the FCN can be evaluated. We then do a preliminary test of the method using three fans in coastal British Columbia. The method uses a set of three measures: 1) the spatial extent of hydrogeomorphic activity, measured as the percentage of the contemporary fan surface area occupied by active channels</t>
  </si>
  <si>
    <t>10.1175/2009MWR2907.1</t>
  </si>
  <si>
    <t>https://www.scopus.com/inward/record.uri?eid=2-s2.0-77953224490&amp;doi=10.1175%2f2009MWR2907.1&amp;partnerID=40&amp;md5=084e1330470687fdaa274d3f0d9f1ced</t>
  </si>
  <si>
    <t>Hurricanes Katrina and Rita were powerful storms that impacted southern Louisiana and Mississippi during the 2005 hurricane season. In Part I, the authors describe and validate a high-resolution coupled riverine flow, tide, wind, wave, and storm surge model for this region. Herein, the model is used to examine the evolution of these hurricanes in more detail. Synoptic histories show how storm tracks, winds, and waves interacted with the topography, the protruding Mississippi River delta, east-west shorelines, manmade structures, and low-lying marshes to develop and propagate storm surge. Perturbations of the model, in which the waves are not included, show the proportional importance of the wave radiation stress gradient induced setup. © 2010 American Meteorological Society.</t>
  </si>
  <si>
    <t>2-s2.0-77953224490"</t>
  </si>
  <si>
    <t>10.5194/adgeo-26-83-2010</t>
  </si>
  <si>
    <t>https://www.scopus.com/inward/record.uri?eid=2-s2.0-77955195624&amp;doi=10.5194%2fadgeo-26-83-2010&amp;partnerID=40&amp;md5=cded6c738d896a3f237c20111dcc0262</t>
  </si>
  <si>
    <t>A methodology for coastal hazard assessment at regional scale is presented and applied to the Catalan coast (NW Mediterranean). The method separately evaluates erosion and inundation hazards by using wave time series and beach characteristics (slope and sediment grain size). Obtained hazard time series are fitted to extreme probability distributions for different coastal sectors which are defined in function of local wave climate. This approach allows to compare the spatial variation of hazard intensities for a given probability of occurrence and, thus, to objectively identify the most hazardous areas along the coast in terms of erosion and inundation. Obtained results indicate that the coast north of Barcelona is more hazardous than the southern coast regarding inundation for any given probability. With respect to storm-induced erosion, the central coast of Catalonia is the less hazardous area, although spatial variations in erosion along the coast are smaller than the observed for inundation. © Author(s) 2010.</t>
  </si>
  <si>
    <t>2-s2.0-77955195624"</t>
  </si>
  <si>
    <t>10.1071/EG09029</t>
  </si>
  <si>
    <t>https://www.scopus.com/inward/record.uri?eid=2-s2.0-77954508209&amp;doi=10.1071%2fEG09029&amp;partnerID=40&amp;md5=efe3a56b5a45e8e72e93edd7c14de151</t>
  </si>
  <si>
    <t>The coastal area Marina di Capilungo located ∼50km south-west of Lecce (Italy) is one of the sites at greatest geological risk in the Salento peninsula. In the past few decades, Marina di Capilungo has been affected by a series of subsidence events, which have led in some cases to the partial collapse of buildings and road surfaces. These events had both social repercussions, causing alarm and emergency situations, and economic ones in terms of the funds for restoration. With the aim of mapping the subsurface karstic features, and so to assess the dimensions of the phenomena in order to prevent and/or limit the ground subsidence events, integrated geophysical surveys were undertaken in an area of ∼70000m2 at Marina di Capilungo. Large volume voids such as karstic cavities are excellent targets for microgravity surveys. The absent mass of the void creates a quantifiable disturbance in the earth's gravitational field, with the magnitude of the disturbance directly proportional to the volume of the void. Smaller shallow voids can be detected using ground-penetrating radar (GPR). Microgravimetric and GPR geophysical methods were therefore used. An accurate interpretation was obtained using small station spacing and accurate geophysical data processing. The interpretation was facilitated by combining the modelling of the data with the geological and topographic information for explored caves. The GPR method can complement the microgravimetric technique in determining cavity depths and in verifying the presence of off-line features and numerous areas of small cavities, which may be difficult to be resolved with only microgravimetric data. However, the microgravimetric can complement GPR in delineating with accuracy the shallow cavities in a wide area where GPR measurements are difficult. Furthermore, microgravity surveys in an urban environment require effective and accurate consideration of the effects given by infrastructures, such as buildings, as well as those given by topography, near a gravity station. The acquired negative anomaly in the residual Bouguer anomalies field suggested the presence of possible void features. GPR and modelling data were used to estimate the depth and shape of the anomalous source. © ASEG 2010.</t>
  </si>
  <si>
    <t>2-s2.0-77954508209"</t>
  </si>
  <si>
    <t>Australian Geographer</t>
  </si>
  <si>
    <t>10.1080/00049181003742294</t>
  </si>
  <si>
    <t>https://www.scopus.com/inward/record.uri?eid=2-s2.0-77953512035&amp;doi=10.1080%2f00049181003742294&amp;partnerID=40&amp;md5=8346f842ebe3d06f0ec10e3ca2dcd275</t>
  </si>
  <si>
    <t>Recent environmental discourses and headlines on small island developing states (SIDS) have heralded the grave and impending threats of global warming and associated sea-level rise. These are undoubtedly significant challenges for SIDS, including atoll nations such as Kiribati. Nevertheless, securing small island state futures also requires a renewed commitment to addressing the obvious and immediate threats of urbanisation, pollution and sanitation. Looking at pressures of development on freshwater, this article argues that the future survival of small island states and their societies also greatly depends on managing the impacts of development. Approaches which can concurrently strengthen the resilience of communities and their ecosystems will result in mutual benefits for both sustainable development and climate change adaptation. © 2010 Geographical Society of New South Wales Inc.</t>
  </si>
  <si>
    <t>2-s2.0-77953512035"</t>
  </si>
  <si>
    <t>10.1029/2009JC005702</t>
  </si>
  <si>
    <t>https://www.scopus.com/inward/record.uri?eid=2-s2.0-77955532946&amp;doi=10.1029%2f2009JC005702&amp;partnerID=40&amp;md5=8dd3993c96fe63e29ba6eed9502f6096</t>
  </si>
  <si>
    <t>The estuarine boundary layer affected by a horizontal density gradient exhibits temporal evolution over a tidal cycle, in a manner similar to the diurnal cycle of the ocean surface mixed layer. A large eddy simulation (LES) model is developed to investigate the physics controlling the growth of the boundary layer during the flood tide and restratification during the ebb tide. Turbulent kinetic energy, momentum and salt fluxes, bottom stress, and energy dissipation rates calculated from the LES model all show a strong flood-ebb asymmetry. Analysis of the turbulent kinetic energy (TKE) budget shows a primary balance between shear production and dissipation in the well-mixed boundary layer over the tidal cycle. However, TKE transport term is found to be important across the edge of the boundary layer during the flood tide so turbulent energy generated in the bottom boundary layer can be transferred to the stratified pycnocline region. Tidal straining leads to a small and weakly convective region inside the boundary layer during the flood tide but the strain-induced buoyancy flux does not make a significant contribution to the turbulence generation. Additional LES runs are conducted by switching off the baroclinic pressure gradient term in the momentum equation and the tidal straining term in the salinity equation to show that the baroclinic pressure gradient is the main mechanism responsible for generating the flood-ebb mixing asymmetry. Copyright 2010 by the American Geophysical Union.</t>
  </si>
  <si>
    <t>2-s2.0-77955532946"</t>
  </si>
  <si>
    <t>10.1029/2009JC005402</t>
  </si>
  <si>
    <t>https://www.scopus.com/inward/record.uri?eid=2-s2.0-77953597040&amp;doi=10.1029%2f2009JC005402&amp;partnerID=40&amp;md5=dda8f5cb8c00fbc08e7a282ab9ebe286</t>
  </si>
  <si>
    <t>This paper investigates the effects of waves on storm surge, currents, and inundation in the Outer Banks and Chesapeake Bay during Hurricane Isabel in 2003 through detailed comparison between observed wind, wave, surge, and inundation data and results from an integrated storm surge modeling system, CH3D-SSMS. CH3D-SSMS, which includes coupled coastal and basin-scale storm surge and wave models, successfully simulated measured winds, waves, storm surge, currents, and inundation during Isabel. Comprehensive modeling and data analysis revealed noticeable effects of waves on storm surge, currents, and inundation. Among the processes that represent wave effects, radiation stress (outside the estuaries) and wave-induced stress (outside and inside the estuaries) are more important than wave-induced bottom stress in affecting the water level. Maximum surge was 3 m, while maximum wave height was 20 m offshore and 2.5 m inside the Chesapeake Bay, where the maximum wave-induced water level reached 1 m. Significant waves reached 3.5 m and 16 s at Duck Pier, North Carolina, and 1.6 m and 5 s at Gloucester, Virginia. At Duck, wave effects accounted for ∼36 cm or 20% of the peak surge elevation of 1.71 m. Inside the Chesapeake Bay, wave effects account for 5-10% of observed peak surge level. A two-layer flow is found at Kitty Hawk, North Carolina, during the peak of storm surge owing to the combined effects of wind and wave breaking. Higher surge elevations result when the 3-D surge model, instead of the 2-D surge model, is coupled with the 2-D wave model owing to its relatively lower bottom friction. Wave heights obtained with 3-and 2-D surge models show little difference. © 2010 by the American Geophysical Union.</t>
  </si>
  <si>
    <t>2-s2.0-77953597040"</t>
  </si>
  <si>
    <t>10.5194/nhess-10-139-2010</t>
  </si>
  <si>
    <t>https://www.scopus.com/inward/record.uri?eid=2-s2.0-76649145123&amp;doi=10.5194%2fnhess-10-139-2010&amp;partnerID=40&amp;md5=a5bc9a61cdef2ac07da9e38d2fb10562</t>
  </si>
  <si>
    <t>Coastal areas are highly exposed to natural hazards associated with the sea. In all cases where there is historical evidence for devastating tsunamis, as is the case of the southern coasts of the Iberian Peninsula, there is a need for quantitative hazard tsunami assessment to support spatial planning. Also, local authorities must be able to act towards the population protection in a preemptive way, to inform ""what to do"" and ""where to go"" and in an alarm, to make people aware of the incoming danger. With this in mind, we investigated the inundation extent, run-up and water depths, of a 1755-like event on the region of Huelva, located on the Spanish southwestern coast, one of the regions that was affected in the past by several high energy events, as proved by historical documents and sedimentological data. Modelling was made with a slightly modified version of the COMCOT (Cornell Multi-grid Coupled Tsunami Model) code. Sensitivity tests were performed for a single source in order to understand the relevance and influence of the source parameters in the inundation extent and the fundamental impact parameters. We show that a 1755-like event will have a dramatic impact in a large area close to Huelva inundating an area between 82 and 92 km2 and reaching maximum run-up around 5 m. In this sense our results show that small variations on the characteristics of the tsunami source are not too significant for the impact assessment. We show that the maximum flow depth and the maximum run-up increase with the average slip on the source, while the strike of the fault is not a critical factor as Huelva is significantly far away from the potential sources identified up to now. We also show that the maximum flow depth within the inundated area is very dependent on the tidal level, while maximum run-up is less affected, as a consequence of the complex morphology of the area.</t>
  </si>
  <si>
    <t>2-s2.0-76649145123"</t>
  </si>
  <si>
    <t>10.1029/2009JC006061</t>
  </si>
  <si>
    <t>https://www.scopus.com/inward/record.uri?eid=2-s2.0-78650293646&amp;doi=10.1029%2f2009JC006061&amp;partnerID=40&amp;md5=b863ae5c8311c5c72d51ecfe49fabd87</t>
  </si>
  <si>
    <t>Turbulent mixing of salt is examined in a shallow salt wedge estuary with strong fluvial and tidal forcing. A numerical model of the Merrimack River estuary is used to quantify turbulent stress, shear production, and buoyancy flux. Little mixing occurs during flood tides despite strong velocities because bottom boundary layer turbulence is dislocated from stratification elevated in the water column. During ebbs, bottom salinity fronts form at a series of bathymetric transitions. At the fronts, near-bottom velocity and shear stress are low, but shear, stress, and buoyancy flux are elevated at the pycnocline. Internal shear layers provide the dominant source of mixing during the early ebb. Later in the ebb, the pycnocline broadens and moves down such that boundary layer turbulence dominates mixing. Mixing occurs primarily during ebbs, with internal shear mixing accounting for about 50% of the total buoyancy flux. Both the relative contribution of internal shear mixing and the mixing efficiency increase with discharge, with bulk mixing efficiencies between 0.02 and 0.07. Buoyancy fluxes in the estuary increase with discharge up to about 400 m 3 s-1 above which a majority of the mixing occurs offshore. Observed buoyancy fluxes were more consistent with the k-ε turbulence closure than the Mellor-Yamada closure, and more total mixing occurred in the estuary with k-ε. Calculated buoyancy fluxes were sensitive to horizontal grid resolution, as a lower resolution grid yielded less integrated buoyancy flux in the estuary and exported lower salinity water but likely had greater numerical mixing. Copyright 2010 by the American Geophysical Union.</t>
  </si>
  <si>
    <t>2-s2.0-78650293646"</t>
  </si>
  <si>
    <t>10.1016/j.ocemod.2009.11.002</t>
  </si>
  <si>
    <t>https://www.scopus.com/inward/record.uri?eid=2-s2.0-73649145447&amp;doi=10.1016%2fj.ocemod.2009.11.002&amp;partnerID=40&amp;md5=20dd30a30163d4958119e2fa23400e0f</t>
  </si>
  <si>
    <t>The Severn Estuary, located in the UK between south east Wales and south west England, is an ideal site for tidal renewable energy projects, since this estuary has the third highest tidal range in the world, with a spring tidal range approaching 14 m. The UK Government recently invited proposals for tidal renewable energy projects from the estuary and many proposals were submitted for consideration. Among the proposals submitted and subsequently shortlisted were: the Cardiff-Weston Barrage, the Fleming Lagoon and the Shoots Barrage, all three of which are nationally public interest. Therefore a two-dimensional finite volume numerical model, based on an unstructured triangular mesh, has been refined to study the hydrodynamic impact and flood inundation extent, post construction, of all three of these proposed tidal power projects. The model-predicted hydrodynamic processes have been analysed in detail, both without and with the structures, including the discharge processes at key sections, the contours of maximum and minimum water levels, the envelope curves of high and low water levels, the maximum tidal currents, the local velocity fields around the structures and the mean power output curves. Simulated results indicate that: (i) although the construction of the Cardiff-Weston Barrage would have an adverse impact on a range of environmental aspects, due to there being approximately a 50% decrease in the peak discharge entering the upstream region, it would reduce the maximum water levels upstream of the barrage by typically 0.3-1.2 m, which could be positive in respect of coastal flooding</t>
  </si>
  <si>
    <t>10.1016/j.pgeola.2009.11.004</t>
  </si>
  <si>
    <t>https://www.scopus.com/inward/record.uri?eid=2-s2.0-77953727458&amp;doi=10.1016%2fj.pgeola.2009.11.004&amp;partnerID=40&amp;md5=83233e0623412b5331f586b7f4af8579</t>
  </si>
  <si>
    <t>In recent years it has been demonstrated that the formation of long-timescale river terrace sequences, which are generally found in areas beyond the extent of most if not all of the Middle and Late Pleistocene ice sheets, has invariably been a response to uplift during the Late Cenozoic and especially the Quaternary. Climatic fluctuation at a Milankovitch timescale has driven the alternations of aggradation and incision recorded in such terraces. It has been widely observed, however, that fluvial terraces also occur in areas glaciated during the Last Glacial Maximum (LGM), which coincides with marine oxygen isotope stage (MIS) 2. This paper, in seeking to compare records from inside and outside of the LGM ice limit, concentrates on a single English river system, that of the Humber. The Humber estuary is shared by the largely Pennine-derived drainage of the Yorkshire Ouse, to the north and entirely within the MIS 2 glacial limit, and, to the south, the Trent, which is almost wholly outside the LGM limit. Thus the Trent has a terrace sequence extending back to the Middle Pleistocene, whereas in the component rivers of the Ouse system, records begin with the melting of the last glacial ice. Importantly, there is considerable difference in the disposition of the post-LGM fluvial deposits in these two subsystems. In the Ouse system there are modest terrace staircases, commencing with full glacial deposits that stand up to 30. m above the modern floodplain. In the Trent, in contrast, last glacial gravels form the foundation of the modern floodplain, with Holocene sediments emplaced directly above them. Thus there is little or no post-LGM incision in the Trent, whereas in the Ouse several incision events are recorded, continuing into the later stages of the Holocene. Wider comparison reveals that the Ouse system is an exemplar for other sequences within the MIS 2 limit, whereas systems beyond this glaciation typically have last glacial sediments beneath their modern floodplains and show little evidence of Holocene incision. The various possible explanations of these differences are discussed, with emphasis placed on glacio-isostatic uplift of areas glaciated during MIS 2 as the main reason for the significant post-glacial incision that typifies valleys in such regions. A new approach to modelling glacio-isostatic adjustment is outlined, from which it is concluded that lower-crustal flow plays a significant role in this process in regions of relatively hot and dynamic crust, like northern England, in addition to the mantle flow that is considered in conventional analyses of glacio-isostasy. Lower-crustal flow has a significant effect due to the combination of the small spatial scale of the glaciated region of northern England and the high mobility of the lower-crustal layer beneath it, due to the heating effect of the widespread Palaeozoic granite in the area. © 2009 The Geologists' Association.</t>
  </si>
  <si>
    <t>2-s2.0-77953727458"</t>
  </si>
  <si>
    <t>10.2495/SC100261</t>
  </si>
  <si>
    <t>https://www.scopus.com/inward/record.uri?eid=2-s2.0-77958185694&amp;doi=10.2495%2fSC100261&amp;partnerID=40&amp;md5=e1b0f65bafb39aa6cfb7b14007cf653a</t>
  </si>
  <si>
    <t>Cities have started to anticipate the effects of global warming dealing with flood management. Indeed, it seems that this last decade, flood risk has increased and cities are facing on the one hand more frequent hazards, and on the other hand different types of flooding: fluvial, coastal, estuarial and pluvial. Most cities have to manage at least two of these flooding types. At the same time, flood risk management practices have changed step-by-step. Indeed, despite efforts made to maintain the flood defense assets well, we often observe failures leading to finally increase flood risk in protected areas during major flood events. Moreover, flood forecasting models, although they benefit from continuous improvements, remain partly inaccurate due to uncertainties populated all along data calculation processes. This means cities cannot continue to manage flood risk only by the use of flood defenses: sustainable options have to be designed to better mitigate the effects of flooding in urban area and in a long term strategy. Several European cities have suffered recent flooding events. It was the case for example in 2007 in United Kingdom. During this period, major events came from extreme rainfall and it appears that pluvial flood risk has become one of the most frequent events. In this context, flood risk can appear on every territory: cities have to develop some methods to take into account this new deal, options to achieve urban flood resilience. Some solutions that cities are using or will be able to set up in the near future will be described. © 2010 WIT Press.</t>
  </si>
  <si>
    <t>2-s2.0-77958185694"</t>
  </si>
  <si>
    <t>10.1007/s00343-010-9254-4</t>
  </si>
  <si>
    <t>https://www.scopus.com/inward/record.uri?eid=2-s2.0-79955486879&amp;doi=10.1007%2fs00343-010-9254-4&amp;partnerID=40&amp;md5=3f8cf8f657fea7ecac7caac0d55f783e</t>
  </si>
  <si>
    <t>To study the relationship between sediment transportation and saltwater intrusion in the Changjiang (Yangtze) estuary, a three-dimensional numerical model for temperature, salinity, velocity field, and suspended sediment concentration was established based on the ECOMSED model. Using this model, sediment transportation in the flood season of 2005 was simulated for the Changjiang estuary. A comparison between simulated results and observation data for the tidal level, flow velocity and direction, salinity and suspended sediment concentration indicated that they were consistent in overall. Based on model verification, the simulation of saltwater intrusion and its effect on sediment in the Changjiang estuary was analyzed in detail. The saltwater intrusion in the estuary including the formation, evolution, and disappearance of saltwater wedge and the induced vertical circulation were reproduced, and the crucial impact of the wedge on cohesive and non-cohesive suspended sediment distribution and transportation were successfully simulated. The result shows that near the salinity front, the simulated concentrations of both cohesive and non-cohesive suspended sediment at the surface layer had a strong relationship with the simulated velocity, especially when considering a 1-hour lag. However, in the bottom layer, there was no obvious correlation between them, because the saltwater wedge and its inducing vertical circulation may have resuspended loose sediment on the bed, thus forming a high-concentration area near the bottom even if the velocity near the bottom was very low during the transition phase from flood to ebb. © 2010 Chinese Society for Oceanology and Limnology, Science Press and Springer Berlin Heidelberg.</t>
  </si>
  <si>
    <t>2-s2.0-79955486879"</t>
  </si>
  <si>
    <t>Developments in Sedimentology</t>
  </si>
  <si>
    <t>10.1016/S0070-4571(09)06103-2</t>
  </si>
  <si>
    <t>https://www.scopus.com/inward/record.uri?eid=2-s2.0-72049108054&amp;doi=10.1016%2fS0070-4571%2809%2906103-2&amp;partnerID=40&amp;md5=c0c43f83c18cb2d049c9db43393d19f4</t>
  </si>
  <si>
    <t>Fluvial and associated carbonate deposits are common nowadays and in the Quaternary record, but are less abundant further back in time. At present, they develop under climate conditions ranging from cool temperate to arid. A complex interaction among climate, tectonics, topography, hydrology and hydrochemistry controls their development. Their formation is primarily related to calcium- and bicarbonate-rich waters, the presence of aquatic vegetation and sufficient water recharge from carbonate aquifers. Physico-chemical and biological factors control calcite precipitation. Mechanical CO 2 outgassing is enhanced under various sedimentary conditions. Texture, sedimentary structures and geometry allow distinction of a wide variety of carbonate facies, as well as asssociated fine and coarse clastic and organic facies. Their associations in simple vertical sequences record the evolution of the several fluvial, lacustrine and palustrine subenvironments through time that results from aggradation, progradation, retrogradation and lateral migration processes. Two broad environmental contexts encompass the formation of these deposits. These are (1) low-gradient, non-stepped fluvial and fluvio-lacustrine conditions that include low-sinuosity and meandering river styles, wide floodplains and ponds or lakes</t>
  </si>
  <si>
    <t>10.2495/ISLANDS100111</t>
  </si>
  <si>
    <t>https://www.scopus.com/inward/record.uri?eid=2-s2.0-77958160774&amp;doi=10.2495%2fISLANDS100111&amp;partnerID=40&amp;md5=7d46609f47dcb3f7ff829e284bb1bc5b</t>
  </si>
  <si>
    <t>The Southern Islands compose an urban planning area in the Central Region of Singapore and is made up of the islands of Kusu, Lazarus, Seringat, Tekukor, St. John, Sentosa and the Sister Islands. The islands had largely been expanded by land reclamation in the 1970s to create beaches and swimming lagoons. The new coastlines are armoured by large quarry stones. Other than Sentosa, the rest of the islands are undeveloped and remain as mainly weekend destinations. As part of the Singapore Tourism Board's plan to develop the Southern Islands beyond Sentosa, a second phase of land reclamation with sands imported from Indonesia was started in 2000 to link Seringat, Lazarus and Sentosa. The land reclamation took six years to complete and water, electricity, gas and telecommunication infrastructure were brought to the island from Sentosa. The entire project costs nearly S$300 million. The strengths and opportunities identified are the unspoilt natural environment, island ambience free from vehicular traffic and proximity to the mainland's central area. The waters of the southern islands have attractive corals and marine life and are popular diving spots. Beaches are of reasonable quality and topographic highs on some islands offer trekking possibilities. The main constraints to developing the islands are absence of road and poor navigational access to the islands. Over the years, there have been various suggestions on how Lazarus Island should be developed. Recent suggestions include turning the island into a getaway for the super rich or housing a casino. However, whatever development is planned for Lazarus must take into consideration its sustainability in the face of a future rising sea. Reclamation that took place in the 1970s was before concern about global warming. Consequently, the crest of sea walls and platform levels of reclaimed land are low and vulnerable to wave overtopping and inundation during extreme high tides. Inundation analyses using Geographic Information System carried out under A2 sea level rise scenario for Lazarus suggest that extra care must be taken in developing these islands to avoid future problems. © 2010 WIT Press.</t>
  </si>
  <si>
    <t>2-s2.0-77958160774"</t>
  </si>
  <si>
    <t>10.1029/2010JC006312</t>
  </si>
  <si>
    <t>https://www.scopus.com/inward/record.uri?eid=2-s2.0-78650257698&amp;doi=10.1029%2f2010JC006312&amp;partnerID=40&amp;md5=6faa8b3370276616f73b04fbe0de10d9</t>
  </si>
  <si>
    <t>Estuarine near-surface turbulence is important for transport, mixing, and air-water exchanges of many important constituents but has rarely been studied in detail. Here, we analyze a unique set of estuarine observations of in situ atmospheric and full water column measurements, estimated air-sea exchanges, and acoustic measurements of several terms in the turbulent kinetic energy (TKE) budget. Observations from a 5.1 m deep site in the Hudson River estuary include dissipation at 50 cm depth (ε50), as well as profiles of TKE, shear production of TKE (P), and net turbulent vertical TKE transport (T D). Regressions suggest that the principal controlling factor for ε50 was wind (through the surface shear velocity, U *) and that the surface heat flux and tidal currents played a secondary role. For ebb spring tides, the TKE budget at 50 cm depth was closed within noise levels. Ebbs had high ε50 due to local shear production, which nearly balanced ε50. Floods had TD approaching P in the upper water column but generally weak near-surface shear and turbulence. Examining buoyancy fluxes that impact near-surface stratification and can indirectly control turbulence, solar heat input and tidal straining caused similar buoyancy fluxes on a sunny, calm weather day, promoting ebb tide restratification. Wind-driven mixing was found to dominate during a fall season storm event, and strong overnight heat loss after the storm helped delay restratification afterward. These results demonstrate the utility of combining detailed air-sea interaction and physical oceanographic measurements in future estuary studies. Copyright 2010 by the American Geophysical Union.</t>
  </si>
  <si>
    <t>2-s2.0-78650257698"</t>
  </si>
  <si>
    <t>10.1029/2010JC006455</t>
  </si>
  <si>
    <t>https://www.scopus.com/inward/record.uri?eid=2-s2.0-78650938268&amp;doi=10.1029%2f2010JC006455&amp;partnerID=40&amp;md5=a4fd48f4c1ae065531b695d9a60c2525</t>
  </si>
  <si>
    <t>Measurements obtained across a shore-attached, fringing reef on the southeast coast of the island of Guam are examined to determine the relationship between incident waves and wave-driven setup during storm and nonstorm conditions. Wave setup on the reef flat correlates well (r &gt; 0.95) and scales near the shore as approximately 35% of the incident root mean square wave height in 8 m water depth. Waves generated by tropical storm Man-Yi result in a 1.3 m setup during the peak of the storm. Predictions based on traditional setup theory (steady state, inviscid cross-shore momentum and depth-limited wave breaking) and an idealized model of localized wave breaking at the fore reef are in agreement with the observations. The reef flat setup is used to estimate a similarity parameter at breaking that is in agreement with observations from a steeply sloping sandy beach. A weak (∼10%) increase in setup is observed across the reef flat during wave events. The inclusion of bottom stress in the cross-shore momentum balance may account for a portion of this signal, but this assessment is inconclusive as the reef flat currents in some cases are in the wrong direction to account for the increase. An independent check of fringing reef setup dynamics is carried out for measurements at the neighboring island of Saipan with good agreement. Copyright 2010 by the American Geophysical Union.</t>
  </si>
  <si>
    <t>2-s2.0-78650938268"</t>
  </si>
  <si>
    <t>10.1016/j.jag.2010.05.007</t>
  </si>
  <si>
    <t>https://www.scopus.com/inward/record.uri?eid=2-s2.0-77957375667&amp;doi=10.1016%2fj.jag.2010.05.007&amp;partnerID=40&amp;md5=eaf241d047b399c14990ead66a11781a</t>
  </si>
  <si>
    <t>Flood modeling often provides inputs to flood hazard management. In the present work we studied the flooding characteristics in the data scarce region of the Lake Tana basin at the source of the Blue Nile River. The study required to integrate remote sensing, GIS with a two-dimensional (2D) module of the SOBEK flood model. The resolution of the topographic data in many areas, such as the Lake Tana region, is commonly too poor to support detailed 2D hydrodynamic modeling. To overcome such limitations, we used a Digital Elevation Model (DEM) which was generated from the Advanced Spaceborne Thermal Emission and Reflection Radiometer (ASTER) image. A GIS procedure is developed to reconstruct the river terrain and channel bathymetry. The results revealed that a representation of the river terrain largely affects the simulated flood characteristics. Simulations indicate that effects of Lake Tana water levels propagate up to 13 km along the Ribb River. We conclude that a 15 m resolution ASTER DEM can serve as an input to detailed 2D hydrodynamic modeling in data scarce regions. However, for this purpose it is necessary to accurately reconstruct the river terrain geometry and flood plain topography based on ground observations by means of a river terrain model. © 2010 Elsevier B.V.</t>
  </si>
  <si>
    <t>2-s2.0-77957375667"</t>
  </si>
  <si>
    <t>10.1029/2010JC006306</t>
  </si>
  <si>
    <t>https://www.scopus.com/inward/record.uri?eid=2-s2.0-78649512144&amp;doi=10.1029%2f2010JC006306&amp;partnerID=40&amp;md5=fb6e09780492e8c207f718edc8bc8807</t>
  </si>
  <si>
    <t>Diurnal and semidiurnal tides are modulated over a range of time scales, including systematic annual and interannual variations. Although identified for other parts of the world, the effects of interannual tidal modulations have had limited attention on the Western Australian coast. Research described here identified that tidal modulations are a significant and regular factor in the frequency with which high water level thresholds are exceeded. Hence, tidal modulations provide a predictable contribution to the coastal management effort required on a year-to-year basis and allow prediction of periods where there is enhanced risk of flooding to coastal infrastructure. As has been demonstrated elsewhere, these cycles are obscured within conventional harmonic and extreme analysis, and their identification requires dedicated techniques. In this study, annual standard deviations and exceedance frequency have been used to examine both hourly and high-pass-filtered water levels to establish the influence of tidal modulations. The relative contribution of the two principal cycles and their subharmonics varies along the Western Australian coast from north to south and hence is strongly linked to the tidal form. High-tide levels for Western Australian locations with diurnal tidal dominance are dominated by the lunar nodal cycle, with a clear 18.6 year signal in the Fremantle-Bunbury region. The cycle most recently peaked in 2007 with declining tidal peaks expected until 2017. High-tide levels for locations with semidiurnal tidal dominance are mainly affected by the lunar perigean subharmonic, causing a 4.4 year cycle along the Northwest Shelf. The last peak occurred in 2006 with the next peak due in 2011. © 2010 by the American Geophysical Union.</t>
  </si>
  <si>
    <t>2-s2.0-78649512144"</t>
  </si>
  <si>
    <t>10.18814/epiiugs/2010/v33i2/003</t>
  </si>
  <si>
    <t>https://www.scopus.com/inward/record.uri?eid=2-s2.0-78449289261&amp;doi=10.18814%2fepiiugs%2f2010%2fv33i2%2f003&amp;partnerID=40&amp;md5=59422517a7db6592620a686181e31023</t>
  </si>
  <si>
    <t>Coastal aquifers have played a major role in modern human occupation and economic development in Iberoamerica. Most of Iberoamerica population inhabits coastal areas, and water needs are frequently fulfilled with groundwater. Possible climate changes and consequent sea level rise will deeply affect coastal aquifers, putting considerable pressure in those water bodies. For the prediction of how these aquifers will behave in face of such challenges, and also to establish preventive measures against undesired effects, adequate knowledge is essential. This paper presents the state of knowledge of a number of Latin American coastal aquifers reasonably representative of the overall situation through a literature review, with compilation and synthesis of data. A synthetic comparative analysis conducted on 33 coastal aquifers in Latin America and the Iberian Peninsula is showed, as well as detailed information about three out of those aquifers with relatively more abundant data and of particular interest: Mar del Plata, in Argentina</t>
  </si>
  <si>
    <t>10.2113/geoarabia1501137</t>
  </si>
  <si>
    <t>https://www.scopus.com/inward/record.uri?eid=2-s2.0-77952345620&amp;doi=10.2113%2fgeoarabia1501137&amp;partnerID=40&amp;md5=cb03318d097749c1917a93c433064e95</t>
  </si>
  <si>
    <t>The Miocene Kareem Formation in the Egyptian Gulf of Suez, and its equivalent formations throughout the Red Sea (250-550 m thick), contain one of the most important petroleum reservoirs in these highly faulted rift basins. They present a difficult exploration target, particularly over the shelves of the sparsely explored Red Sea for several reasons: (1) water depth exceeds one kilometer, (2) they underlie thick evaporites (including salt exceeding one kilometer in thickness), (3) they are difficult to image by conventional seismic techniques, and (4) their lithology is laterally variable and difficult to predict (anhydrite, carbonate, sandstone, shale and marl). The target Red Sea formations are best controlled by boreholes in the Gulf of Suez, where the Kareem Formation and its members are characterized by various synonymous units. A review of representative data and interpretations shows that the formation and its members are better understood when considered as a third-order, transgressive-regressive (T-R) depositional sequence, named the Kareem Sequence in the Middle East Geologic Time Scale (ME GTS). The Sequence is bounded above by the Belayim Sequence Boundary (SubBelayim Unconformity) and below by the Kareem Sequence Boundary (Sub-Kareem Unconformity), both corresponding to major sea-level lowstands. It contains the Arabian Plate Langhian Maximum Flooding Surface Neogene 30 (MFS Ng30) at the top of the Kareem Maximum Hooding Interval (MFI). Its lower Rahmi Member forms the majority of the transgressive systems tract (TST). The Kareem MFI and regressive systems tract (RST or HST) occur within the upper Shagar Member. The paleontology of the Formation is characterized by Planktonic Foraminiferal Zone N9 and in recent papers also N8, and Calcareous Nannofossil Biozone NN5, but the Formation's assignment to Miocene stages (Burdigalian, Langhian and Serravallian) is unresolved in the literature. In this paper, the Kareem Sequence is interpreted in terms of Kareem subsequences 1 to 6. At semi-regional scales (10s of km), the older three are each represented by an anhydrite bed (Rahmi Anhydrite 1 to 3, each c. 10 m thick) overlain by deepmarine deposits (shale, marl and carbonate, 10s of meters thick). Subsequences 4 to 6 are represented in El Morgan field (Kareem A to C units), and in representative boreholes, by three deep-marine shale/marl units, each of which is overlain by a regressive shallow-marine sandstone unit. The Kareem Sequence is correlated to third-order orbital sequence DS31.1 with a depositional period of ca. 2.43 million years between ca. 16.1 and 13.7 million years before present (Ma), or numerically the latest Burdigalian, Langhian and earliest Serravallian (Langhian: 15.97-13.65 Ma in GTS 2004</t>
  </si>
  <si>
    <t>10.4000/geomorphologie.7965</t>
  </si>
  <si>
    <t>https://www.scopus.com/inward/record.uri?eid=2-s2.0-78649890152&amp;doi=10.4000%2fgeomorphologie.7965&amp;partnerID=40&amp;md5=15c5bbab8b3e9230a6a0c27468db05aa</t>
  </si>
  <si>
    <t>The article presents spatial differences in ground level changes in the Ruhr District due to large-scale coal extraction over the past 100 years. Elevation data on historical maps from 1892 was digitised with the help of a Geographic Information System and the interpolated historical surface was intersected with a current Digital Elevation Model, in order to calculate the differences in elevation. As a result, the highest values of subsidence, amounting to more than 25 m, were observed within the coalfields of the former coal mine 'Zollverein' which is distinguished for its long mining history and its World Heritage status. Two examples from the cities of Essen and Dortmund analysed in detail reveal that not only depressions but also elevation features are affected by mining subsidence. These kinds of surface transformations are not visible in the field without a comparison of digital topographical models. The average amount of a surface lowering was calculated for all maps digitised and analysed, resulting in values between 0.51 m for the map of Kamen, located at the eastern border of the Ruhr District, and 5.16 m for the map of Gelsenkirchen within the central Emscher floodplain with a total area of 128.5 km2. The average surface lowering of the total area under investigation (approximately 2700 km2) amounts to 1.6 m.</t>
  </si>
  <si>
    <t>2-s2.0-78649890152"</t>
  </si>
  <si>
    <t>10.2112/08-1102.1</t>
  </si>
  <si>
    <t>https://www.scopus.com/inward/record.uri?eid=2-s2.0-76449100527&amp;doi=10.2112%2f08-1102.1&amp;partnerID=40&amp;md5=63bca15577709e8e257375fd3b6f49f0</t>
  </si>
  <si>
    <t>In 2001, the U.S. Geological Survey began conducting scientific assessments of coastal vulnerability to potential future sea- and lake-level changes in 22 National Park Service sea- and lakeshore units. Coastal park units chosen for the assessment included a variety of geological and physical settings along the U.S. Atlantic, Pacific, Gulf of Mexico, Gulf of Alaska, Caribbean, and Great Lakes shorelines. This research is motivated by the need to understand and anticipate coastal changes caused by accelerating sea-level rise, as well as lake-level changes caused by climate change, over the next century. The goal of these assessments is to provide information that can be used to make long-term (decade to century) management decisions. Here we analyze the results of coastal vulnerability assessments for several coastal national park units. Index-based assessments quantify the likelihood that physical changes may occur based on analysis of the following variables: tidal range, ice cover, wave height, coastal slope, historical shoreline change rate, geomorphology, and historical rate of relative sea- or lake-level change. This approach seeks to combine a coastal system's susceptibility to change with its natural ability to adapt to changing environmental conditions, and it provides a measure of the system's potential vulnerability to the effects of sea- or lake-level change. Assessments for 22 park units are combined to evaluate relationships among the variables used to derive the index. Results indicate that Atlantic and Gulf of Mexico parks have the highest vulnerability rankings relative to other park regions. A principal component analysis reveals that 99% of the index variability can be explained by four variables: geomorphology, regional coastal slope, water-level change rate, and mean significant wave height. Tidal range, ice cover, and historical shoreline change are not as important when the index is evaluated at large spatial scales (thousands of kilometers). © 2010 Coastal Education and Research Foundation.</t>
  </si>
  <si>
    <t>2-s2.0-76449100527"</t>
  </si>
  <si>
    <t>10.2112/08-1089.1</t>
  </si>
  <si>
    <t>https://www.scopus.com/inward/record.uri?eid=2-s2.0-76449100925&amp;doi=10.2112%2f08-1089.1&amp;partnerID=40&amp;md5=01e24340900c447c6b36eb31a4d44e8f</t>
  </si>
  <si>
    <t>In predicting the impact of human disturbance on coastal wetland environments and understanding ecological response to changing intertidal conditions, there is a need to understand the relationship between species distribution and elevation dependent tidal inundation. The intent of this paper is to examine the relationship between vegetation distribution patterns and the extent of tidal inundation modelled using fine scale elevation data. Field surveys were undertaken at Towra Point, Botany Bay, Australia using high precision global positioning system (GPS) and theodolite survey to record species location and obtain horizontal mapping accuracy required for modelling localised wetland topography. Species survival and growth is governed by physiological factors that are determined by tidal inundation frequency and extent. The coupling of local tidal parameters with a detailed wetland elevation survey enabled the modelling of inundation extent. Species distributional ranges at Towra Point corresponded with modelled tidal extent, and results indicated the presence of species zonation. Fine scale representation of localised terrain features within the surface model also demonstrated the impact of altered topography on vegetation distribution patterns. The spatial analysis methods applied in this study depicted variations in inundation patterns under the differing tidal phases that influence physiological conditions throughout the wetland. © 2010 Coastal Education and Research Foundation.</t>
  </si>
  <si>
    <t>2-s2.0-76449100925"</t>
  </si>
  <si>
    <t>https://www.scopus.com/inward/record.uri?eid=2-s2.0-78651317432&amp;partnerID=40&amp;md5=7fea0904b8d2089ea36a2f3484017cb0</t>
  </si>
  <si>
    <t>Coastal management is also a wide-ranging issue with large social and economic impacts. Care of our coasts includes dealing with threats such as storm surges and flooding, coastal erosion, and conflicting land-use issues. Coastal areas support the greatest concentration of living resources and people on the planet. The concept of bistatic radar can be extended to satellite signals. Since some of the signal transmitted by a satellite gets reflected off the Earth's surface, detecting this reflected signal by a separate passive receiver would provide some information about the reflecting surface. While any satellite signal could be used in principle, GPS (and other GNSS) turn out to be particularly useful. The performance of the code-based algorithm was tested during an experimental campaign carried out on Scheveningen Pier in Den Haag (The Hague), The Netherlands. An Oceanpal instrument was installed close to a Radac X-band radar tide gauge.</t>
  </si>
  <si>
    <t>2-s2.0-78651317432"</t>
  </si>
  <si>
    <t>10.1016/j.icarus.2009.04.023</t>
  </si>
  <si>
    <t>https://www.scopus.com/inward/record.uri?eid=2-s2.0-72549116731&amp;doi=10.1016%2fj.icarus.2009.04.023&amp;partnerID=40&amp;md5=faaacbf0cc9ac357e92b4512dc5af66a</t>
  </si>
  <si>
    <t>The High Resolution Imaging Science Experiment (HiRISE) on the Mars Reconnaissance Orbiter (MRO) acquired 8 terapixels of data in 9137 images of Mars between October 2006 and December 2008, covering ∼0.55% of the surface. Images are typically 5-6 km wide with 3-color coverage over the central 20% of the swath, and their scales usually range from 25 to 60 cm/pixel. Nine hundred and sixty stereo pairs were acquired and more than 50 digital terrain models (DTMs) completed</t>
  </si>
  <si>
    <t>10.1590/S1679-87592010000100001</t>
  </si>
  <si>
    <t>https://www.scopus.com/inward/record.uri?eid=2-s2.0-77954053716&amp;doi=10.1590%2fS1679-87592010000100001&amp;partnerID=40&amp;md5=65fcd811283b7cdd6493ecec9676053f</t>
  </si>
  <si>
    <t>The circulation and transport of suspended particulate matter in the Caravelas Estuary are assessed. Nearly-synoptic hourly hydrographic, current (ADCP velocity and volume transport) and suspended particulate matter data were collected during a full semidiurnal spring tide, on the two transects Boca do Tomba and Barra Velha and on longitudinal sections at low and high tide. On the first transect the peak ebb currents (-1.5 ms-1) were almost twice as strong as those of the wider and shallow Barra Velha inlet (-0.80 ms-1) and the peak flood currents were 0.75 and 0.60 ms-1, respectively. Due to the strong tidal currents both inlets had weak vertical salinity stratification and were classified with the Stratification-circulation Diagram as Type 2a (partially mixed-weakly stratified) and Type 1a (well mixed). Volume transports were very close, ranging from -3,500 to 3,100 m3s-1 at the ebb and flood, respectively, with a residual -630 m3s-1. The concentration of the suspended particulate matter was closely related to the tidal variation and decreased landwards from 50 mg.L-1 at the estuary mouth, to 10 mg.L-1 at distances of 9 and 16 km for the low and high tide experiments, respectively. The total residual SPM transport was out of the estuary at rates of -18 tons per tidal cycle.</t>
  </si>
  <si>
    <t>2-s2.0-77954053716"</t>
  </si>
  <si>
    <t>10.1590/s1679-87592010000200007</t>
  </si>
  <si>
    <t>https://www.scopus.com/inward/record.uri?eid=2-s2.0-77956659524&amp;doi=10.1590%2fs1679-87592010000200007&amp;partnerID=40&amp;md5=1b80b911db6ad92e6f484da1e384c2f7</t>
  </si>
  <si>
    <t>An oceanographic campaign was conducted in the Araranguá river estuary during the period from May 11th to 13th of 2006 in order to produce a first hydrographic characterization of this system. The campaign was carried out during the spring tide period, and coincidentally after an intense rain event in the region which produced a peak in river discharge. Water level, currents and salinity time series were recorded hourly during a 50-hour period, at a site nearly 7 km upstream from the estuarine mouth. Two longitudinal distributions of salinity along the estuary were also recorded. The hydrographic data time-series were used to compute the advective salt flux in order to investigate the changes in the transport terms as a function of the change in discharge. The results showed that the estuarine structure was strongly modulated by the river discharge. The drop in water level of about 0.5 m during the first 24 hours was directly related to the ebb phase of the river flood. The water column was highly stratified throughout the period, therefore the stratification increased during the last 24 hours. The currents were stronger, ebbing and uni-directional at the beginning and became weaker and bidirectional as the water level went down, assuming a tidal pattern. The total salt transport in the first 25 hours was of -13.6 kg.m-1.s-1 (seawards), decreasing to 3 Kg.m-1.s-1 during the last 25 hours (landwards). It was also noticeable that the pH in the estuary, recorded together with the salinity, was around 5, showing that the water quality in the estuary is affected by the coal mining activity in the hydrographic basin.</t>
  </si>
  <si>
    <t>2-s2.0-77956659524"</t>
  </si>
  <si>
    <t>10.1007/s11069-009-9484-y</t>
  </si>
  <si>
    <t>https://www.scopus.com/inward/record.uri?eid=2-s2.0-77955773220&amp;doi=10.1007%2fs11069-009-9484-y&amp;partnerID=40&amp;md5=fbed339472d791e92a6d8d9c0328dac4</t>
  </si>
  <si>
    <t>Changes of the susceptibility to lava flow invasion at Mount Etna are quantified by using lava flow simulations on four Digital Elevation Models documenting the morphostructural modifications of the volcano in the time interval 1986-2007. The probabilistic code DOWNFLOW is used to derive the areas invaded by several thousands of lava flows obtaining, for each DEM, maps of the susceptibility to lava flow invasion and of the lava flow hazard. These maps show, for the first time, the evolution of these surficial properties with time, and render a quantitative image of the effects of topographic changes on the preferential lava flow drainage paths. The results illustrate how the emplacement of new lava flows and the growth of scoria cones affect the probability of inundation by lava flows. We conclude that the persistent activity of this volcano requires a frequent updating of the topography for a reliable lava flow hazard assessment. © 2009 Springer Science+Business Media B.V.</t>
  </si>
  <si>
    <t>2-s2.0-77955773220"</t>
  </si>
  <si>
    <t>10.1080/14486563.2010.9725262</t>
  </si>
  <si>
    <t>https://www.scopus.com/inward/record.uri?eid=2-s2.0-78951489681&amp;doi=10.1080%2f14486563.2010.9725262&amp;partnerID=40&amp;md5=17149eec9ceab8161a4be9a4b0778b0e</t>
  </si>
  <si>
    <t>Developing and implementing effective adaptation policies for freshwater and estuarine systems in Australia will be a significant challenge in a rapidly changing climate. The broad aims of climate change adaptation policies are to reduce vulnerability and increase the adaptive capacity and resilience of ecosystems to climate change impacts. There are a range of adaptation policy options relevant to aquatic systems, and many of these measures can be ‘mainstreamed’ or incorporated into existing conservation and resource management frameworks. This article evaluates adaptation policy options and the constraints on policy implementation for freshwater and estuarine ecosystems in the coastal floodplains of tropical Queensland. Many of these aquatic systems are in a degraded condition and are vulnerable to the compounded impacts of climate change and other stressors. The analysis suggests that statutory planning schemes, water resource planning and protected area frameworks provide limited scope to address the more severe threats to these systems from rising sea levels, extreme cyclones, floods and droughts. In many locations, the effectiveness of adaptation policies is constrained by existing land uses and competing demands from communities and industry sectors. To prevent further widespread loss of habitat may require the development and implementation of new policies that prioritise adaptation management for freshwater and estuarine ecosystems. © 2010, Taylor &amp; Francis Group, LLC.</t>
  </si>
  <si>
    <t>2-s2.0-78951489681"</t>
  </si>
  <si>
    <t>Scientific Programming</t>
  </si>
  <si>
    <t>10.1155/2010/782402</t>
  </si>
  <si>
    <t>https://www.scopus.com/inward/record.uri?eid=2-s2.0-77954722978&amp;doi=10.1155%2f2010%2f782402&amp;partnerID=40&amp;md5=c1023e3c1142a68ad2609e8b91ab0f69</t>
  </si>
  <si>
    <t>The safety of dikes in The Netherlands, located in the delta of the rivers Rhine, Meuse and Scheldt, has been the subject of debate for more than ten years. The safety (or flood risk) of a particular area may depend on the safety of other areas. This is referred to as effects of river system behaviour on flood risk (quantified as the estimated number of casualties and economic damage). A computational framework was developed to assess these effects. It consists of several components that are loosely coupled via data files and Tcl scripts to manage the individual programs and keep track of the state of the computations. The computations involved are lengthy (days or even weeks on a Linux cluster), which makes the framework currently more suitable for planning and design than for real-time operation. While the framework was constructed ad hoc, it can also be viewed more formally as a tuplespace. Realising this makes it possible to adopt the philosophy for other similar frameworks. © 2010-IOS Press and the authors.</t>
  </si>
  <si>
    <t>2-s2.0-77954722978"</t>
  </si>
  <si>
    <t>10.1029/2008JC005204</t>
  </si>
  <si>
    <t>https://www.scopus.com/inward/record.uri?eid=2-s2.0-76149083246&amp;doi=10.1029%2f2008JC005204&amp;partnerID=40&amp;md5=b002279b18350f636b1bab8acd3c3801</t>
  </si>
  <si>
    <t>An experimental study of vertical mixing and along-channel dispersion parameterized in terms of horizontal mixing near the mouth of the Duplin River (a tidal creek bordered by extensive intertidal salt marshes on Sapelo Island, Georgia) was carried out over several spring/neap cycles in the fall of 2005. Vertical mixing is modulated on both M4 and fortnightly frequencies with maximum turbulent stresses being generated near the bed on periods of maximum flood and ebb and propagating into the water column showing a linear dependence with depth. Values are significantly greater on spring tide than on neap. Horizontal mixing evaluated by salt fluxes is driven and dominated by tidal dispersion, which is also modulated by the fortnightly spring/neap cycle. Net export of salt from the lower Duplin is shown to be due to residual advection modified by upstream tidal pumping. The tidal dispersion coefficient exhibits a pulsating character with greater values on spring tide followed by smaller values on neap tide. Copyright 2010 by the American Geophysical Union.</t>
  </si>
  <si>
    <t>2-s2.0-76149083246"</t>
  </si>
  <si>
    <t>10.1080/01431160902929230</t>
  </si>
  <si>
    <t>https://www.scopus.com/inward/record.uri?eid=2-s2.0-77952593476&amp;doi=10.1080%2f01431160902929230&amp;partnerID=40&amp;md5=f01e5a478430a305907ad8e5cab63278</t>
  </si>
  <si>
    <t>Flooding is a natural hazard that takes millions of lives each year. Remote sensing and geographic information systems (GIS), two fields of surveying engineering, can play an important role in flood management by generating floodplain maps. This paper proposes a model to generate a floodplain map for a flood event. A digital elevation model (DEM) is used to compute a flood-depth map for a given flood event. The flood-depth map is overlaid over the classified high-resolution image (IKONOS) to determine the inundated classes after flooding. This model is applied on a part of the river that is located in the northwest of Iran in Khoram- Abad city. Applying this model on this study area shows that the accuracy classification is improved by about 15% using a multi-layer perceptron neural network. This improvement could play an important role in flood risk assessment. A nonlinear regression model is also used for modelling the flood-water line. © 2010 Taylor &amp; Francis.</t>
  </si>
  <si>
    <t>2-s2.0-77952593476"</t>
  </si>
  <si>
    <t>10.3375/043.030.0104</t>
  </si>
  <si>
    <t>https://www.scopus.com/inward/record.uri?eid=2-s2.0-77049083860&amp;doi=10.3375%2f043.030.0104&amp;partnerID=40&amp;md5=d6d82ce66bcd42ef32b34eb2a5c902ea</t>
  </si>
  <si>
    <t>A Geographic Information System was used to assess the representation of ecological land units (ELUs) both within and external to the current preserve network of the Lower Twin Creek Watershed (LTCW), southwestern Ohio. ELUs were classified using multivariate and cluster analyses on forest canopy tree species and seven physiographic and soil variables derived from digital elevation models and a soil series map. Cluster analysis of the five most significant variables (landform, soil drainage, hillshade, curvature, and percent slope) influencing vegetation distribution resulted in nine discrete ELUs. They included uplands dominated by Fagus grandifolia-Acer saccharum, dry slopes dominated by Quercus spp.-Carya ovata, mesic slopes dominated by a mixed mesophytic community, and wet floodplains dominated by Platanus occidentalis-Populus deltoides. The area of forest in each ELU in the preserve network was compared to the area of forest in each ELU in the watershed as a whole and the potential natural area of forest cover determined by topographic position. Well-drained upland and poorly-drained upland ELUs were most underrepresented in the preserve network followed by wet broad floodplains. Results of the gap analysis based on current vegetation distribution were influenced by the pattern of deforestation in the LTCW, which was, in turn, related to topographic position: slopes were more likely to be forested and incorporated into a preserve system than more level lands suitable for agriculture. Protecting and restoring forest in upland ELUs will be necessary to capture a full range of ecosystem diversity in the LTCW.</t>
  </si>
  <si>
    <t>2-s2.0-77049083860"</t>
  </si>
  <si>
    <t>10.2495/FRIAR100151</t>
  </si>
  <si>
    <t>https://www.scopus.com/inward/record.uri?eid=2-s2.0-78149244972&amp;doi=10.2495%2fFRIAR100151&amp;partnerID=40&amp;md5=2fa153d84692905bc695fb16b677339b</t>
  </si>
  <si>
    <t>Flood hazards in urban areas have decreased markedly in recent years due to the implementation of measures such as dikes, weirs, water gates and other mitigation methods. Consequently, the population of developed or redeveloped urban areas near river basins and coastal areas has increased considerably, and a concomitant increase has been observed in the number of high-rise office buildings and apartments on the alluvium of old urban rivers. While the residents of these structures are sensitive to earthquake damage, they are relatively unaware of the risks associated with flooding. While several flood refuges exist in the vicinity of urban rivers, the intended purpose of these refuges has come to be regarded as that of earthquake emergency measures rather than a measure intended for flooding. Consequently, the placement of many of these emergency refuges does not consider the risk of inundation. In this report, the present condition of such refuge sites in the low lying areas of Tokyo is examined. We also investigated the attitude of residents living in high-rise apartment buildings and detached houses toward flood hazards. Finally, we proposed flood refuge measures that could be implemented to minimize the risk of disaster. © 2010 WIT Press.</t>
  </si>
  <si>
    <t>2-s2.0-78149244972"</t>
  </si>
  <si>
    <t>10.1029/2009JC005587</t>
  </si>
  <si>
    <t>https://www.scopus.com/inward/record.uri?eid=2-s2.0-77954484980&amp;doi=10.1029%2f2009JC005587&amp;partnerID=40&amp;md5=0321771c3c5ac7f25399ca418a225fad</t>
  </si>
  <si>
    <t>Since the 26 December 2004 Indian Ocean tsunami, the role of mangrove forests as natural defenses protecting coastal communities from tsunami disaster has been highlighted. However, some mangrove forests were destroyed by that tsunami. They are expected to have lost their protective functions. In this study, we develop a fragility function to assess the mangrove trees' vulnerability, expressed as the damage probability of mangrove trees, based on field surveys and numerical modeling of the 2004 Indian Ocean tsunami in Banda Aceh, Indonesia. Based on the fragility function, we reconstruct a numerical model of tsunami inundation including the performance of mangrove forests in terms of reducing tsunami damage. The model reveals that a 10 year old mangrove forest in a 500 m wide area can reduce a tsunami's hydrodynamic force by approximately 70% for an incident wave of 3.0 m inundation depth and a wave period of 40 min at the shoreline. The model also shows, for a tsunami inundation depth of greater than 4 m, that a 10 year old mangrove forest would be mostly destroyed and that it would lose its force reduction capacity. Moreover, approximately 80% of a 30 year old mangrove forest would survive a 5 m tsunami and absorb 50% of the tsunami's hydrodynamic force. Copyright 2010 by the American Geophysical Union.</t>
  </si>
  <si>
    <t>2-s2.0-77954484980"</t>
  </si>
  <si>
    <t>10.1029/2008JF001223</t>
  </si>
  <si>
    <t>https://www.scopus.com/inward/record.uri?eid=2-s2.0-77950504506&amp;doi=10.1029%2f2008JF001223&amp;partnerID=40&amp;md5=10a18f3809168429ede952b8464b4833</t>
  </si>
  <si>
    <t>We compare satellite altimetry from the Ice, Cloud, and Land Elevation Satellite (ICESat, 2003-2007) to older topographic maps and digital elevation models (1965-1990) to calculate long-term elevation changes of glaciers on the Svalbard Archipelago. Results indicate significant thinning at most glacier fronts with either slight thinning or thickening in the accumulation areas, except for glaciers that surged which show thickening in the ablation area and thinning in the accumulation areas. The most negative geodetic balances occur in the south and on glaciers that have surged, while the least negative balances occur in the northeast and on glaciers in the quiescent phase of a surge cycle. Geodetic balances are related to latitude and to the dynamical behavior of the glacier. The average volume change rate over the past 40 years for Svalbard, excluding Austfonna and Kvitøya is estimated to be -9.71 ± 0.55 km3 yr-1 or -0.36 ± 0.02 m yr-1 w. equivalent, for an annual contribution to global sea level rise of 0.026 mm yr-1 sea level equivalent. Copyright 2010 by the American Geophysical Union.</t>
  </si>
  <si>
    <t>2-s2.0-77950504506"</t>
  </si>
  <si>
    <t>10.1590/s1679-87592010000500002</t>
  </si>
  <si>
    <t>https://www.scopus.com/inward/record.uri?eid=2-s2.0-77956621958&amp;doi=10.1590%2fs1679-87592010000500002&amp;partnerID=40&amp;md5=8f306368fdb5c639a73decf87c27c894</t>
  </si>
  <si>
    <t>The Gulf of Gdańsk is located in the southern part of the Baltic Sea. The shores of the Gulf are dominated by the sandy barriers which have developed in front of the Vistula Lagoon and the Vistula Delta Plain to the south-east and south and in front of the Puck Lagoon in the north-west such as the Hel Peninsula. Cliffs occur on the western coast of the Gulf. Neolithic settlements around the coast of the Gulf of Gdańsk are mainly located at the foot of the upland slope and on the Vistula Spit and the Vistula Delta and are closely related to the rise and displacement of the shoreline during the Late Holocene. Pollen analyses of the sediment cores from the Vistula Delta, the Vistula Lagoon and the coast of the Puck Lagoon allow four anthropogenic phases to be distinguished in the area of the Gulf of Gdańsk. It has been shown that the first indicators of an early husbandry economy in the vicinity of the Gulf of Gdańsk appeared in the Atlantic Period. Pollen grains of plants related to this kind of human activity - those of the goosefoot family (Chenopodiaceae), motherwort (Artemisia), sorrel (Rumex) -are present and the first pollen grains of the plantain (Plantago lanceolata) also appear. The second anthropogenic phase of Neolithic settlement is one of the best investigated cultures. This is the Rzucewo Culture. Pollen analyses indicate increasing human activity at the beginning of the Subboreal Period. The preserved traces of fauna show that the seal hunting and fishing economy was preferred. Radiocarbon dating of archaeological artifacts indicates the beginning of the settlement at ca. 2 400 B.C. (ca. 4 400 years B.P.) (Król 1997). The altitude of peat and marine mollusks' shells and their radiocarbon age shows that during the Early Subboreal Period the water level rose from ca. 2.8 m to 1.1 m below the present-day sea level. The date of the beginning of the seal hunters' settlement correlates well with the period when the shores of the Puck Lagoon approached their recent position. The development of the Neolithic settlement on the Puck Bay coast as well as those on the Vistula Delta, where the main activity was related to amber processing, seal hunting and fishing, clearly shows a close relationship to the sea-level rise. The occurrence of the third and fourth settlement phases was related to the high sea-level stands in the Subboreal and Subatlantic Periods (post-Littorina, Late Holocene regressions) but their character was still strongly related to the coastal environments. The settlement was connected with the dry habitats whose areas increased after the development of the barriers. In the area of the Vistula Delta, settlement conditions depended mainly on the stages of the delta's development. On the shores of Puck Bay, however, the intensity of settlement was closely related to the water level changes.</t>
  </si>
  <si>
    <t>2-s2.0-77956621958"</t>
  </si>
  <si>
    <t>10.1029/2009JC005593</t>
  </si>
  <si>
    <t>https://www.scopus.com/inward/record.uri?eid=2-s2.0-77249097396&amp;doi=10.1029%2f2009JC005593&amp;partnerID=40&amp;md5=9c0fd5fb9e8e1b196c71db06a7c360c6</t>
  </si>
  <si>
    <t>The seawater temperature observed near macrotidal flats demonstrates distinguished semidiurnal variations. The range of seawater temperature variations was approximately 2-4°C during a clear day in spring. The seawater temperature increased during flood tides but decreased during ebb tides in spring and summer, while the opposite occurred in autumn and winter. A model was developed to evaluate the effect of the tidal flat on changes in the seawater temperature. The seawater temperature, calculated using this model, was verified with observed seawater temperatures. The heat of seawater in shallow zones changed more than 581 J m-3 s-1 (0.5°C h -1) because of heat content exchange with the tidal flat, regardless of season. The maximum heat gain (835 W m-2) of seawater from the tidal flat and heat loss (588W m-2) of seawater from the tidal flat occurred in June 2004, whereas the minimum heat gain (554 W m-2) from the tidal flat occurred in March 2004 and heat loss (316W m-2) to the tidal flat occurred in February 2004. Copyright 2010 by the American Geophysical Union.</t>
  </si>
  <si>
    <t>2-s2.0-77249097396"</t>
  </si>
  <si>
    <t>10.1080/02626667.2010.481372</t>
  </si>
  <si>
    <t>https://www.scopus.com/inward/record.uri?eid=2-s2.0-78649734804&amp;doi=10.1080%2f02626667.2010.481372&amp;partnerID=40&amp;md5=0597cfd7774aa9281537c1b4c7306b36</t>
  </si>
  <si>
    <t>The Pearl River Delta (PRD) is a complicated criss-cross river network. The booming economy and intensifying human activity have greatly altered the natural water levels, which threatens regional sustainable development. The Mann-Kendall trend test and the kriging interpolation method were used to detect the spatial and temporal patterns in the trends of extreme high/low water levels related to different magnitudes of streamflow, in order to explore the impacts of hydrological processes on the water-level changes throughout the PRD. The results indicate that: (a) streamflow changes at the Sanshui and Makou stations exhibit different characteristics. No significant trend can be identified in the streamflow changes at Makou station</t>
  </si>
  <si>
    <t>Revista Brasileira de Geofisica</t>
  </si>
  <si>
    <t>10.1590/S0102-261X2010000200004</t>
  </si>
  <si>
    <t>https://www.scopus.com/inward/record.uri?eid=2-s2.0-78149376591&amp;doi=10.1590%2fS0102-261X2010000200004&amp;partnerID=40&amp;md5=c4a2e8607b8f20c954c8c55f8da2c939</t>
  </si>
  <si>
    <t>ProcED is a MATLAB based computational package designed to facilitate the handling of a large amount of data derived from mount vessel ADCPs that monitor tidal flows and discharge in estuarine cross-sections. The package routines were written to process water current information obtained with an RD Instruments Rio Grande ADCP and its WinRiver software - version 1.03. They are capable to eliminate bad ensembles, to extrapolate current velocities for the surface and bottom blanked areas and to smooth noisy cross-profiles, enhancing the visualization of the velocity field. By performing space and time correlation between cell velocities, ProcED allows for the computation of the residual velocity field, both in the entire cross-section and in the discrete vertical profiles. Results are provided in graphical and table formats, the latter also including a table with the main flow characteristics such flooding and ebbing time, tidal elevation and current asymmetry, tidal prism and computations errors. A comparison with computations performed by WinRiver shows that ProcED discharge calculations are in average 5.5% smaller. The apparent underestimation of ProcED computations is ascribed to interpolation of the cross-profiles and to its different bottom extrapolation method. In the bottom area there is a discharge overestimation by WinRiver. © 2010 Sociedade Brasileira de Geofísica.</t>
  </si>
  <si>
    <t>2-s2.0-78149376591"</t>
  </si>
  <si>
    <t>Frontiers of Earth Science in China</t>
  </si>
  <si>
    <t>10.1007/s11707-010-0123-4</t>
  </si>
  <si>
    <t>https://www.scopus.com/inward/record.uri?eid=2-s2.0-79451475368&amp;doi=10.1007%2fs11707-010-0123-4&amp;partnerID=40&amp;md5=070990b8456851880caf8ae607c7c638</t>
  </si>
  <si>
    <t>Situated at the junction of land and sea, coastal salt marshes are very sensitive to global environmental changes. Existing numerical models simulating the vertical growth of coastal salt marshes are under the conditions of low suspended sediment concentration (SSC), but under high SSC, such as in the Jiangsu coast of China, the models need to be refined. In this paper, based on the mass balance principle, a refined zero-dimensional time-stepped model is applied after considering the average suspended sediment concentration (ASSC). The statistical results of in situ observation data show that there is an obvious positive linear relationship between ASSC and maximum inundation height, and an obvious positive exponential one between inundation time and inundation height. Using the short-term measurement values for the input parameters and incorporating the above-mentioned relationship between SSC and inundation height, the sedimentation rates are calculated, and the results are similar to previous data. In addition, some factors and hydrodynamic processes that were ignored or simplified could influence the calculated value. © 2010 Higher Education Press and Springer-Verlag Berlin Heidelberg.</t>
  </si>
  <si>
    <t>2-s2.0-79451475368"</t>
  </si>
  <si>
    <t>https://www.scopus.com/inward/record.uri?eid=2-s2.0-68949180361&amp;partnerID=40&amp;md5=6d7f7228d229db5cb83be070d5e18a20</t>
  </si>
  <si>
    <t>The Sudetes is a block-faulted mountain range in Central Europe, at the NE margin of the Bohemian Massif. In the late Cenozoic it has been subject to differential uplift and subsidence and currently represents a horst-and-graben structure, superimposed on older relief due to rock-controlled denudation and erosion. In this paper, the distribution of steep slopes (&gt;15° and&gt;25°) is analyzed using a Digital Elevation Model (DEM) of 50 m spatial resolution, and their morphotectonic significance is discussed. Steep slopes occur in four major settings: heavily dissected and most elevated highlands, straight mountain fronts, narrow sinuous escarpments, and deeply incised river valleys. The former in particular may indicate areas subject to recent uplift, which is followed by efficient fluvial incision, so that little pre-up lift topography has survived. The image of many mountain fronts on the slope map is rather poor, which may be explained by the mechanical weakness of the rock building the footwall. At the same time, the association of the majority of tectonically-induced steep slopes with the most resistant rocks suggests that the intensity of recent uplift is generally low compared with the long-term rates of denudation and erosion.</t>
  </si>
  <si>
    <t>2-s2.0-68949180361"</t>
  </si>
  <si>
    <t>Dixue Qianyuan/ Earth Science Frontiers</t>
  </si>
  <si>
    <t>10.1016/S1872-5791(08)60111-6</t>
  </si>
  <si>
    <t>https://www.scopus.com/inward/record.uri?eid=2-s2.0-75149132804&amp;doi=10.1016%2fS1872-5791%2808%2960111-6&amp;partnerID=40&amp;md5=4a6e527f783eac7e987df9c93d64c165</t>
  </si>
  <si>
    <t>Coastal zones are dynamic areas that are constantly undergoing change in response to a multitude of factors including sea level rise, wave and current patterns, hurricanes and human influences. On 26th December 2004, huge waves smashed across the shore between Kanyakumari and Ovari. As they crossed the beach, the waves up to 30 feet tall. Many people are dead due to crush and pull to sea and drowned as the mighty waves withdraw. Many villages have been obliterated, the death tale could exceed 300 but the damage to the property is very high. The size of the tsunami is related to the area that moves on the ocean bottom and how far it moves. This region is manifested with marine terrace, sand dunes, beach ridges, estuaries, floodplains, beaches, mangroves, peneplains, uplands, sea cliff, etc. We have attempted the shoreline dynamics using beach profile survey, and coastal environment changes through online survey, governmental, records and coastal geomorphological studies using remote sensing technique. The major destructions are identified in this paper. © 2009 China University of Geosciences (Beijing) and Peking University.</t>
  </si>
  <si>
    <t>2-s2.0-75149132804"</t>
  </si>
  <si>
    <t>Journal of Applied Sciences</t>
  </si>
  <si>
    <t>10.3923/jas.2009.2897.2906</t>
  </si>
  <si>
    <t>https://www.scopus.com/inward/record.uri?eid=2-s2.0-68949219472&amp;doi=10.3923%2fjas.2009.2897.2906&amp;partnerID=40&amp;md5=a397ee61f7d606b5d48ffe28dff0907a</t>
  </si>
  <si>
    <t>A geophysical method was used in studying the effect of environmental impact and shoreline physical changes on coastal-area salinity of both soil and groundwatcr at the Sungai Besar area in Malaysia. The environmental impact was a previous flooding of the shore by seawater and the consequent severe coastal erosion. 2-D geo-clcctrical resistivity technique was used in evaluating the extent of salinity to soil and to groundwater. Resistivity was measured through an ABEM SAS 1000 C Terrameter. 2-D electrical-imaging resistivity data of subsurface profile for each survey line were calculated through inverse modelling, aided by borehole data, which showed the lithology</t>
  </si>
  <si>
    <t>Science in China, Series D: Earth Sciences</t>
  </si>
  <si>
    <t>10.1007/s11430-009-0098-8</t>
  </si>
  <si>
    <t>https://www.scopus.com/inward/record.uri?eid=2-s2.0-68949186580&amp;doi=10.1007%2fs11430-009-0098-8&amp;partnerID=40&amp;md5=4bdf91cb8210c93007d0e10e74454b2e</t>
  </si>
  <si>
    <t>The range of relative sea level rise in the northwestern South China Sea since the Last Glacial Maximum was over 100 m. As a result, lowland regions including the Northeast Vietnam coast, Beibu Gulf, and South China coast experienced an evolution from land to sea. Based on the principle of reconstructing paleogeography and using recent digital elevation model, relative sea level curves, and sediment accumulation data, this paper presents a series of paleogeographic scenarios back to 20 cal. ka BP for the northwestern South China Sea. The scenarios demonstrate the entire process of coastline changes for the area of interest. During the late glacial period from 20 to 15 cal. ka BP, coastline slowly retreated, causing a land loss of only 1×104 km2, and thus the land-sea distribution remained nearly unchanged. Later in 15-10 cal. ka BP coastline rapidly retreated and area of land loss was up to 24×104km2, causing lowlands around Northeast Vietnam and South China soon to be underwater. Coastline retreat continued quite rapidly during the early Holocene. From 10 to 6 cal. ka BP land area had decreased by 9×104km2, and during that process the Qiongzhou Strait completely opened up. Since the mid Holocene, main controls on coastline change are from vertical crustal movements and sedimentation. Transgression was surpassed by regression, resulting in a land accretion of about 10×104 km2. © Science in China Press and Springer-Verlag GmbH 2009.</t>
  </si>
  <si>
    <t>2-s2.0-68949186580"</t>
  </si>
  <si>
    <t>10.1672/08-197.1</t>
  </si>
  <si>
    <t>https://www.scopus.com/inward/record.uri?eid=2-s2.0-72449132799&amp;doi=10.1672%2f08-197.1&amp;partnerID=40&amp;md5=34ca7792f0cf8621e7e1744babaae622</t>
  </si>
  <si>
    <t>Wetland hydrology is an important factor controlling wetland function and extent, and should therefore be a vital part of any wetland mapping program. Broad-scale forested wetland hydrology has been difficult to study with conventional remote sensing methods. Airborne Light Detection and Ranging (LiDAR) is a new and rapidly developing technology. LiDAR data have mainly been used to derive information on elevation. However, the intensity (amplitude) of the signal has the potential to significantly improve the ability to remotely monitor inundation an important component of wetland hydrology. A comparison between LiDAR intensity data collected during peak hydrologic expression and detailed in situ data from a series of forested wetlands on the eastern shore of Maryland demonstrate the strong potential of LiDAR intensity data for this application (&gt; 96 overall accuracy). The relative ability of LiDAR intensity data for forest inundation mapping was compared with that of a false color near-infrared aerial photograph collected coincident with the LiDAR intensity (70 overall accuracy</t>
  </si>
  <si>
    <t>10.2747/0272-3646.30.5.430</t>
  </si>
  <si>
    <t>https://www.scopus.com/inward/record.uri?eid=2-s2.0-70450235417&amp;doi=10.2747%2f0272-3646.30.5.430&amp;partnerID=40&amp;md5=772d2860533ac4b00a221471ab3777df</t>
  </si>
  <si>
    <t>The Mississippi River floodplain in northwestern Mississippi and eastern Arkansas, often referred to as the Mississippi Delta, is extremely important for regional economic stability and growth due to the widespread agriculture in the area. Precipitation is often the limiting factor in crop production, and thus knowledge of precipitation variability is essential. The region is unique in currently having three sources of precipitation observations: (1) multi-sensor precipitation estimates from the National Weather Service (NWS) NEXRAD network</t>
  </si>
  <si>
    <t>10.2112/SI53-008.1</t>
  </si>
  <si>
    <t>https://www.scopus.com/inward/record.uri?eid=2-s2.0-74549122678&amp;doi=10.2112%2fSI53-008.1&amp;partnerID=40&amp;md5=1784e95b2cef3a0cd989e99ee4ba8e6a</t>
  </si>
  <si>
    <t>Hurricane Katrina was one of the largest natural disasters in U.S. history. Due to the sheer size of the affected areas, an unprecedented regional analysis at very high resolution and accuracy was needed to properly quantify and understand the effects of the hurricane and the storm tide. Many disparate sources of lidar data were acquired and processed for varying environmental reasons by pre- and post-Katrina projects. The datasets were in several formats and projections and were processed to varying phases of completion, and as a result the task of producing a seamless digital elevation dataset required a high level of coordination, research, and revision. To create a seamless digital elevation dataset, many technical issues had to be resolved before producing the desired 1/9-arc-second (3meter) grid needed as the map base for projecting the Katrina peak storm tide throughout the affected coastal region. This report presents the methodology that was developed to construct seamless digital elevation datasets from multipurpose, multi-use, and disparate lidar datasets, and describes an easily accessible Web application for viewing the maximum storm tide caused by Hurricane Katrina in southeastern Louisiana, Mississippi, and Alabama. © 2009 Coastal Education and Research Foundation.</t>
  </si>
  <si>
    <t>2-s2.0-74549122678"</t>
  </si>
  <si>
    <t>https://www.scopus.com/inward/record.uri?eid=2-s2.0-77954852597&amp;partnerID=40&amp;md5=6a75ab91578fa5a94e7f0445ad597329</t>
  </si>
  <si>
    <t>The Flood and Water Management Bill gained Royal assent on April 9, 2010, the last day of the parliamentary session before the general election on May 6. The sum of £5.3m has been awarded to 49 local authorities to help them tackle surface water flooding. In 2009 local authorities were invited to bid for awards from £20,000-£100,000 to carry out immediate engineering works and to produce plans aimed at dealing with flood problems. Water remains one of the most undervalued natural commodities in the world. It affects national security via its impact on economic growth, energy security, food supply and health care. The Marine Management Organization (MMO) became operational on 1 April 2010. It aims to deliver a range of marine functions on behalf of the government and bring together a number of marine management activities including marine planning, marine licensing, nature conservation and fisheries management and enforcement issues.</t>
  </si>
  <si>
    <t>2-s2.0-77954852597"</t>
  </si>
  <si>
    <t>10.1029/2008JC005132</t>
  </si>
  <si>
    <t>https://www.scopus.com/inward/record.uri?eid=2-s2.0-76849089307&amp;doi=10.1029%2f2008JC005132&amp;partnerID=40&amp;md5=521e5d0646408a6867e1566ab8805ab1</t>
  </si>
  <si>
    <t>The first probabilistic tsunami flooding maps have been developed. The methodology, called probabilistic tsunami hazard assessment (PTHA), integrates tsunami inundation modeling with methods of probabilistic seismic hazard assessment (PSHA). Application of the methodology to Seaside, Oregon, has yielded estimates of the spatial distribution of 100- and 500-year maximum tsunami amplitudes, i.e., amplitudes with 1% and 0.2% annual probability of exceedance. The 100-year tsunami is generated most frequently by far-field sources in the Alaska-Aleutian Subduction Zone and is characterized by maximum amplitudes that do not exceed 4 m, with an inland extent of less than 500 m. In contrast, the 500-year tsunami is dominated by local sources in the Cascadia Subduction Zone and is characterized by maximum amplitudes in excess of 10 m and an inland extent of more than 1 km. The primary sources of uncertainty in these results include those associated with interevent time estimates, modeling of background sea level, and accounting for temporal changes in bathymetry and topography. Nonetheless, PTHA represents an important contribution to tsunami hazard assessment techniques</t>
  </si>
  <si>
    <t>10.2112/08-1056.1</t>
  </si>
  <si>
    <t>https://www.scopus.com/inward/record.uri?eid=2-s2.0-70450204405&amp;doi=10.2112%2f08-1056.1&amp;partnerID=40&amp;md5=717b9843b2920f1cd647a1156c671ae0</t>
  </si>
  <si>
    <t>Harmonic analysis of the observed and simulated tides in the Mandovi and Zuari estuaries along the west coast of India was carried out. Tidal constituents derived from this process were analyzed to study the tidal asymmetry in these estuaries. Sea level observations during March-April 2003 at 13 stations in the Mandovi and Zuari estuaries were used for the harmonic analysis. Simulations of tides were carried out using a hybrid network numerical model. The model could well simulate the amplitude and phase of five major tidal constituents (K1, O1, M2, N2, S2) in almost all stations in the Mandovi and Zuari estuaries. Both observations and simulations show that the amplitude and phase of major diurnal and semidiurnal constituents increase toward the upstream regions. The increase of this predominant species toward the upstream regions shows that the Mandovi and Zuari estuaries are not frictionally dominated estuaries because amplification due to geometrical effects cancels the decay in amplitude due to friction. The rapid increase of the first and second harmonics of M2 and compound tides inside the estuaries shows the nonlinear response of the Mandovi and Zuari estuarine systems to tidal forcing. The M4/M 2 amplitude ratio indicates that the tide is subjected to more asymmetry in the Zuari than that in the Mandovi estuary. The increase of the first harmonic of M2 and decrease of relative surface phase (2M 2M4) inside the Mandovi and Zuari estuaries show that these estuaries are flood dominant estuaries. © 2009 Coastal Education and Research Foundation.</t>
  </si>
  <si>
    <t>2-s2.0-70450204405"</t>
  </si>
  <si>
    <t>10.2112/SI53-007.1</t>
  </si>
  <si>
    <t>https://www.scopus.com/inward/record.uri?eid=2-s2.0-74549201217&amp;doi=10.2112%2fSI53-007.1&amp;partnerID=40&amp;md5=46c32c01e8b55a73e1688f3696680971</t>
  </si>
  <si>
    <t>The morphology of coastal sand dunes plays an important role in determining how a beach will respond to a hurricane. Accurate measurements of dune height and position are essential for assessing the vulnerability of beaches to extreme coastal change during future landfalls. Lidar topographic surveys provide rapid, accurate, high-resolution datasets for identifying the location, position, and morphology of coastal sand dunes over large stretches of coast. An algorithm has been developed for identification of the crest of the most seaward sand dune that defines the landward limit of the beach system. Based on changes in beach slope along cross-shore transects of lidar data, dune elevation and location can automatically be extracted every few meters along the coastline. Dune elevations in conjunction with storm-induced water levels can be used to predict the type of coastal response (e.g., beach erosion, dune erosion, overwash, or inundation) that may be expected during hurricane landfall. The vulnerability of the beach system at Fire Island National Seashore in New York to the most extreme of these changes, inundation, is assessed by comparing lidar-derived dune elevations to modeled wave setup and storm surge height. The vulnerability of the beach system to inundation during landfall of a Category 3 hurricane is shown to be spatially variable because of longshore variations in dune height (mean elevation 5.44 m, standard deviation 1.32 m). Hurricane-induced mean water levels exceed dune elevations along 70 of the coastal park, making these locations more vulnerable to inundation during a Category 3 storm. © 2009 Coastal Education and Research Foundation.</t>
  </si>
  <si>
    <t>2-s2.0-74549201217"</t>
  </si>
  <si>
    <t>https://www.scopus.com/inward/record.uri?eid=2-s2.0-77649195760&amp;partnerID=40&amp;md5=86b72ce1567ca2a74ea84fe67c450457</t>
  </si>
  <si>
    <t>Recent ocean and coastal policy initiatives in the US have re-established the link between economic development and science, designed to lead to innovation and job creation. Marine geospatial planning on a national scale will likely generate multiple benefits. Many will directly impact those companies and individuals who map, study, analyze, protect and develop ocean, lake and coastal zone resources. Resource management will be the first beneficiary of co-coordinated research and mapping. Fisheries habitat assessment and sustainable management improvements will be gained through comprehensive regional seabed mapping. Estuary and flood plain research and understanding will need the same focused approach for wildlife protection and coastal resource development. Both topographic and hydrographic studies, as well as metocean-based information, will be required to understand and define sea-level rise impacts and our effective responses to climate change. Renewable resource development applications such as wind, wave and tidal energy will be direct beneficiaries.</t>
  </si>
  <si>
    <t>2-s2.0-77649195760"</t>
  </si>
  <si>
    <t>10.1016/j.jhydrol.2009.10.006</t>
  </si>
  <si>
    <t>https://www.scopus.com/inward/record.uri?eid=2-s2.0-70449478710&amp;doi=10.1016%2fj.jhydrol.2009.10.006&amp;partnerID=40&amp;md5=c60e2544e9d32d65ce02885e7c8276e1</t>
  </si>
  <si>
    <t>Concern has been expressed regarding the impacts of climate change on freshwater aquatic ecosystems in arctic regions. Populated with lakes controlled by flooding from spring break-up ice jams, arctic deltas such as the Mackenzie Delta in northern Canada are particularly sensitive to changing ice break-up conditions and the hydroclimatic controls on break-up and ice-jam flooding. An understanding of these controls is necessary for assessing future climate change effects. This paper presents an assessment of hydroclimatic conditions controlling break-up over the period 1974-2006, with a focus on extreme flood events. Both the upstream driving force, capturing elements of the spring discharge hydrograph, and the downstream resistance force, describing the competence of the downstream ice cover, were quantified with reference to the Mackenzie River at Arctic Red River hydrometric station such that the contribution of each to the severity and timing of break-up could be explored. Results show that the severity of peak break-up stage is most influenced by upstream discharge and the balance between upstream and downstream melt, while timing is related to delta ice conditions and the rise of the spring hydrograph. The highest peak stage events require a rapid rise in discharge and high peak discharge. Minimal downstream melting degree-days and greater ice thickness are also important, although no relationship of these appears to control the level of backwater produced from broken ice and ice jamming effects. The pattern of rapid (protracted) upstream melt and lower (higher) intensity melt in the delta characterizes the highest (lowest) break-up events. For the most severe events, upstream forces are important in controlling discharge-driven events, while an altered hydrologic response occurring for ice-driven events was noted, meriting future examination. Finally, trends toward a longer prebreak-up melt interval, lower peak discharge, rate of rise in discharge, and ice thickness, and higher freeze-up stage were observed, with greater variability of these controls and break-up severity in the most recent decade. © 2009 Elsevier B.V.</t>
  </si>
  <si>
    <t>2-s2.0-70449478710"</t>
  </si>
  <si>
    <t>10.5194/nhess-9-1911-2009</t>
  </si>
  <si>
    <t>https://www.scopus.com/inward/record.uri?eid=2-s2.0-71749092010&amp;doi=10.5194%2fnhess-9-1911-2009&amp;partnerID=40&amp;md5=8fea148255cafd9b571f0c2d8470e086</t>
  </si>
  <si>
    <t>This paper investigates the feasibility of Tsunami Early Warning Systems for small volcanic islands focusing on warning of waves generated by landslides at the coast of the island itself. The critical concern is if there is enough time to spread the alarm once the system has recognized that a tsunami has been generated. We use the results of a large scale physical model experiment in order to estimate the time that tsunamis take to travel around the island inundating the coast. We discuss how and where it is convenient to place instruments for the measurement of the waves.</t>
  </si>
  <si>
    <t>2-s2.0-71749092010"</t>
  </si>
  <si>
    <t>Planning Advisory Service Memo</t>
  </si>
  <si>
    <t>https://www.scopus.com/inward/record.uri?eid=2-s2.0-84869667117&amp;partnerID=40&amp;md5=684010872befab59fe140aea8c2703e7</t>
  </si>
  <si>
    <t>Darwin's Theory of Evolution tells us species can change over time as certain genetic variations which increase an organism's chance of survival in an ever-changing environment are passed on to future generations. He called this adaptation. Adaptation is the transformation in living organisms that allows them to live successfully in a changing environment. Adaptations enable living organisms to cope with environmental stresses and pressures. Organisms that are not suitably adapted to their environment will either have to move out of the habitat or die out. We usually think about natural selection and adaption in the context of life forms evolving throughout our planet's history, or plant and animal populations changing in response to recent environmental pressures. However, we now face environmental pressures of our own making. Climate change presents human societies with a changing environment to which they must adapt or face potential property loss, displacement, or collapse. Increasing concentrations of greenhouse gases, including carbon dioxide and methane resulting from human activities, have already begun altering the earth's atmosphere. While rising temperatures are a global phenomenon, the impacts will be felt on a very local level. Increasing temperatures may cause shifts in weather patterns, exacerbating drought in some areas while causing storms of higher intensity in others. Retreating glaciers and disappearing snowpack will cut into supplies of irrigation and drinking water in some communities. A rise in sea level will cause more frequent flooding and permanent inundation of low-lying coastal areas. Vegetation range shifts could result in greater human-wildlife conflict as animals move into new areas, and could lead to losses of iconic regional characteristics and economic drivers such as fall foliage and the maple sugar industry in New England. Rather than simply respond to these changes after they occur, planners are in a unique position to help their communities assess potential climate change impacts and develop adaptation strategies to counter the threat of devastating changes that may come in years ahead. This PAS Memo describes strategies developed in King County, Washington, to direct local government efforts to address climate change. These tools can be useful to all local communities that are faced with the challenges of inevitable alterations in the environment resulting from climate change. The steps planners take now to anticipate and prepare for climate change will have profound impacts on the future of our cities.</t>
  </si>
  <si>
    <t>2-s2.0-84869667117"</t>
  </si>
  <si>
    <t>10.1016/j.jafrearsci.2008.12.005</t>
  </si>
  <si>
    <t>https://www.scopus.com/inward/record.uri?eid=2-s2.0-75149142399&amp;doi=10.1016%2fj.jafrearsci.2008.12.005&amp;partnerID=40&amp;md5=24b085d0ea6b70eae2fd3f2bde92ed0d</t>
  </si>
  <si>
    <t>A one-dimensional vertical model has been developed to simulate the water mass circulation along the vertical structure in all deep coastal areas. The model has hydrodynamic and transport components solved using finite difference scheme. The one-dimensional vertical model results are coupled to the vertically averaged two-dimensional model results at each point of a horizontal grid. A theoretical salinity profile is introduced for each vertically integrated value obtained from the 2DH model results. A viscosity profile, simulating a viscosity value close to zero at the surface and with large viscosity gradients, is applied along the water column. The model is applied to the Vridi channel, connecting the Ebrié lagoon to the sea (Ivory Coast). The response of the Ebrié lagoon is studied in terms of inflow and outflow of water in the system through the Vridi channel. Due to the abrupt variation of the surface slope, vertical velocities along the water column show an anticlockwise spiral from bottom to surface during a tidal cycle. Due to the bottom friction and to the vertical viscosity profile, velocities decrease from surface to bottom. However, the freshwater inflow slows down the tidal propagation during the flood and causes the surface velocity to be smaller than the bottom velocity at mid-tide. Close to the bottom, velocities follow an anticlockwise movement due to the tidal propagation. At the water surface, velocities follow only an alternative movement of either ebb or flood, along the channel direction. No cross shore velocities can develop at the surface in the channel. © 2009 Elsevier Ltd. All rights reserved.</t>
  </si>
  <si>
    <t>2-s2.0-75149142399"</t>
  </si>
  <si>
    <t>10.1016/j.geomorph.2009.06.034</t>
  </si>
  <si>
    <t>https://www.scopus.com/inward/record.uri?eid=2-s2.0-70349863075&amp;doi=10.1016%2fj.geomorph.2009.06.034&amp;partnerID=40&amp;md5=917296c3b3a44e011b3a48abc0660777</t>
  </si>
  <si>
    <t>In this paper we explore the development and assimilation of a high resolution topographic surface with a one-dimensional hydraulic model for investigation of avulsion hazard potential on a gravel-bed river. A detailed channel and floodplain digital terrain model (DTM) is created to define the geometry parameter required by the 1D hydraulic model HEC-RAS. The ability to extract dense and optimally located cross-sections is presented as a means to optimize HEC-RAS performance. A number of flood scenarios are then run in HEC-RAS to determine the inundation potential of modeled events, the post-processed output of which facilitates calculation of spatially explicit shear stress (τ) and level of geomorphic work (specific stream power per unit bed area, ω) for each of these. Further enhancing this scenario-based approach, the DTM is modified to simulate a large woody debris (LWD) jam and active-channel sediment aggradation to assess impact on innundation, τ, and ω, under previously modeled flow conditions. The high resolution DTM facilitates overlay and evaluation of modeled scenario results in a spatially explicit context containing considerable detail of hydrogeomorphic and other features influencing hydraulics (bars, secondary and scour channels, levees). This offers advantages for: (i) assessing the avulsion hazard potential and spatial distribution of other hydrologic and fluvial geomorphic processes</t>
  </si>
  <si>
    <t>10.2112/JCOASTRES-D-09-00051.1</t>
  </si>
  <si>
    <t>https://www.scopus.com/inward/record.uri?eid=2-s2.0-70450182741&amp;doi=10.2112%2fJCOASTRES-D-09-00051.1&amp;partnerID=40&amp;md5=c189c9fbaa9ff6fdb6b97b8d3dfc4d64</t>
  </si>
  <si>
    <t>This study quantifies the erosion of the Chennai coast in India and predicts how the shoreline will recede in the future. Previous studies in this region have reported erosion rates varying anywhere from 2 to 8 m/y. Such a high level of inconsistency in reported rates has hindered effective and sustainable coastal management. The research reported in this paper addresses this issue, using mapping data from 1904, 1974, 1996, and 2002 to estimate, by linear regression, the shoreline recession. The 10 km stretch of coast N of the fishing port at Chennai is repeatedly threatened during the NE monsoon, and as the process continues, the existence of a vital road link (the east-coast highway) is challenged by the fury of the waves. It is estimated that 260 ha of land has been lost between 1893 and 1955 and that 30 ha was destroyed by the sea between 1980 and 1989. Overall loss between 1893 and 1989 has been estimated in the order of 350 ha. The cost of land alone lost to the sea is in the order of US$40 million. The N Chennai coast has thus become volatile and is in need of immediate relief measures for the upkeep of the coastal region. Predictions for the next 250 years were then undertaken using a variety of techniques ranging from a process-based numerical model (Soft Cliff And Platform Erosion) to geometric approaches (including historical-trend analysis, the modified Bruun model, and Sunamura's shore platform model. The mean historic rate of erosion in the Chennai region is 1.11 m/y (±0.15 m/y), significantly less than previously reported, though still very high. Subsequent predictions were used to identify a series of significant economic, ecological, and social features at risk, and to estimate when they will be lost to erosion if left unprotected. © 2009, the Coastal Education &amp; Research Foundation (CERF).</t>
  </si>
  <si>
    <t>2-s2.0-70450182741"</t>
  </si>
  <si>
    <t>US Geological Survey Professional Paper</t>
  </si>
  <si>
    <t>https://www.scopus.com/inward/record.uri?eid=2-s2.0-84864232165&amp;partnerID=40&amp;md5=79af47c8770a63afaca9ce1c07e009d2</t>
  </si>
  <si>
    <t>This chapter focuses on the availability of groundwater in the Central Valley. The spatial and temporal differences between the natural distribution of water in the Central Valley, and the agricultural and urban demands for that water, have led to a massive surface-water diversion and delivery system. Because the surface-water diversion and delivery system cannot always meet all of the water demand, groundwater is relied upon to help rectify the imbalance. Because of the large effect that irrigated agriculture has on the system, the overall water budget for the hydrologic system is separated into two linked parts for the purposes of analysis: a landscape budget, encompassing the surface processes (including most of the components of the agricultural part of the system), and a groundwater budget, encompassing fluxes in, through, and out of the aquifer system. The hydrology of the Central Valley is driven by surface-water deliveries and associated groundwater pumpage, which in turn reflect spatial and temporal variability in climate, regional differences in water availability and agricultural practices, and temporal changes in the water-delivery system. In general, the Sacramento Valley receives more precipitation than the drier San Joaquin Valley. Historically, water managers have been able to respond to hydrologic challenges in the valley. Consequently, the San Joaquin Valley relies more heavily on groundwater pumpage than the Sacramento Valley. The surface-water delivery system developed for the valley redistributes this water from north to south through the Delta. The Delta is the heart of a massive north-to-south water-delivery system whose giant engineered arterials transport up to 7.5 million acre-feet per year southward (California Department of Water Resources, 1993). About 83 percent of this water is used for agriculture and the remainder for various urban uses in central and southern California. Two-thirds of California's population (more than 20 million people) get at least part of their drinking water from the Delta (Delta Protection Commission, 1995). Monthly water budgets, computed as a part of this study, were used to examine the fate of water in the Central Valley. The aquifer receives recharge from precipitation, streamflow losses, and excess irrigation water. The excess irrigation water originates from a combination of surface-water deliveries and groundwater pumpage. Other than groundwater withdrawals from wells, groundwater leaves the system predominantly through ET, flux to streams, and, to a small degree, through discharge to the Delta. When total recharge exceeds total discharge, water is added to storage</t>
  </si>
  <si>
    <t>10.1623/hysj.54.4.665</t>
  </si>
  <si>
    <t>https://www.scopus.com/inward/record.uri?eid=2-s2.0-70349555986&amp;doi=10.1623%2fhysj.54.4.665&amp;partnerID=40&amp;md5=835ff6f40bafdd3e830428b0491b4c65</t>
  </si>
  <si>
    <t>Today, groundwater is the source of about one third of global water withdrawals and provides drinking water for a large portion of the global population. In many regions it is subject to stress with respect to both quantity and quality. Hence, it is of utmost importance to improve our knowledge about the impacts of climate change on groundwater. Climate change will affect groundwater recharge, i.e. long-term average renewable groundwater resources, via increases in mean temperature, precipitation variability and sea level, as well as via changes in mean precipitation (increasing in some areas and decreasing in others). Over many areas groundwater recharge is projected to increase in the warming world (though less than river runoff), but many semi-arid areas that suffer from water stress already may face decreased groundwater recharge. The sea level rise that is likely to occur during the 21st century might leave many flat coral islands without a reliable groundwater source. However, in coastal areas with a land surface elevation of a few metres or more, groundwater availability is more strongly impacted by changes in groundwater recharge than sea-level rise. Under climate change, reliable surface water supply is likely to decrease due to increased temporal variations of river flow that are caused by increased precipitation variability and decreased snow/ice storage. Under these circumstances, it might be beneficial to take advantage of the storage capacity of groundwater and increase groundwater withdrawals. However, this option is only sustainable where groundwater withdrawals remain well below groundwater recharge. Groundwater is not likely to ease freshwater stress in those areas where climate change is projected to decrease groundwater recharge (e.g. Northeast Brazil and the Mediterranean basin). Copyright © 2009 IAHS Press.</t>
  </si>
  <si>
    <t>2-s2.0-70349555986"</t>
  </si>
  <si>
    <t>https://www.scopus.com/inward/record.uri?eid=2-s2.0-77649226566&amp;partnerID=40&amp;md5=ab17b5c7dc2f0cd727c83ecc062a2a0b</t>
  </si>
  <si>
    <t>Joannés Berque, Dmitri Travin, describes the COAST-MAP-10 project of the Intergovernmental Oceanographic Commission (IOC), which is contributing to the development of Tsunami preparedness in the Indian Ocean region. The focus of COAST-MAP-10 is to increase the capacity of countries to collect and use bathymetric and topographical data to support management of tsunami risk in coastal areas. The key objectives include enhancing available expertise to locally produce accurate bathymetric and topographic maps on either side of the high-tide line, offering the capacity to model tsunami arrival, and transferring the necessary skills to use bathymetric and terrestrial data sets in developing targeted maps and services. An avenue explored in COAST-MAP-10 to improve the chances of sustainability is to develop interests in, and benefit from, better coastal bathymetry and inundation modeling capacity. COAST-MAP-10 is part of an important IOC program, Integrated Coastal Area Management.</t>
  </si>
  <si>
    <t>2-s2.0-77649226566"</t>
  </si>
  <si>
    <t>10.1080/08120090902871119</t>
  </si>
  <si>
    <t>https://www.scopus.com/inward/record.uri?eid=2-s2.0-70350478834&amp;doi=10.1080%2f08120090902871119&amp;partnerID=40&amp;md5=98f18baad0ab487b1e331b05ab91568c</t>
  </si>
  <si>
    <t>The combined analysis of airborne electromagnetics, airborne gamma-ray spectrometry, magnetics and a digital elevation model with ground-based calibration has enabled construction of a 3D architectural and landscape evolution model of valley-fill deposits around the township of Jamestown in South Australia. The valley-fill sediments consist of traction, suspension and debris-flow deposits that range in age (optically stimulated luminescence dating) from 102±12 ka to the present day. A sediment isopach map generated from the airborne electromagnetics dataset reveals the 3D structure of the valley-fill deposits. The sediments are up to 40 m thick in asymmetrical valleys and are the result of colluvial fan, floodplain and sheet-wash processes. The sediments fine upwards with a higher proportion of coarser bedload deposits toward the base and fine sand, silt and clay towards the top of the sequence. A strong linear correlation between airborne K response and soil texture allowed the percentage of surface silt to be modelled over the depositional landforms. The sediments are thought to have been derived by a combination of eolian dust accessions, and weathering and erosion of bedrock materials within the catchment. Older drainage lines reflected in the distribution of relatively closely spaced and well-connected 'magnetic channels' differ markedly from present-day streams that are largely ephemeral and interrupted. This is thought to reflect a change in local hydrology and associated geomorphic processes from relatively high to lower energy conditions as the valley alluviated. These hydrological changes are likely to be associated with a drying climate, lower recharge and runoff. © 2009 Australian Government.</t>
  </si>
  <si>
    <t>2-s2.0-70350478834"</t>
  </si>
  <si>
    <t>Bollettino della Societa Geologica Italiana</t>
  </si>
  <si>
    <t>10.3301/IJG.2009.128.3.731</t>
  </si>
  <si>
    <t>https://www.scopus.com/inward/record.uri?eid=2-s2.0-76149103915&amp;doi=10.3301%2fIJG.2009.128.3.731&amp;partnerID=40&amp;md5=7b5e89c898bdeb84b46c85e16f5c24a9</t>
  </si>
  <si>
    <t>Detailed geological-geomorphological investigations, carried out in the Ionian coastal belt between the Trionto River and the Colognati River, allowed us to set up a tectonic-sedimentary model of the northern flank of the Sila Massif during Pliocene-Pleistocene times. The study area is characterised by a distinct step-like topography displaying a well-preserved flight of coastal plain (alluvial/marine) terraces, arranged in five altimetric orders (T1 to T5). The deposition of sandy-clayey marine sediments of Middle Pliocene age (CTSL Unit) and beach sandstones grading upward to gray silty clays, referred to the Emilian-Sicilian (Bisciglia Unit) on the basis of micropaleontological analysis, has been related to a phase of subsidence, likely induced by the activity of E-W trending extensional faults. The Bisciglia Unit grades westward into conglomerates, sandstones and silty-clay sediments forming part of juxtaposed and superimposed deltaic (and subordinate alluvial/beach) deposits. A phase of subaerial landscape modelling, starting from the Middle Pleistocene, marks the end of subsidence and the onset of a rapid uplift which, interacting with eustatic sea-level changes, gave rise to the five orders of terraces. The uplift rate of the whole area, inferred by correlating the terrace surfaces with the paleoclimatic curve proposed by BINTANJA et alii (2005), is 0.65 ± 0.1 mm yr-1. However, the contemporaneous occurrence of extensional fault activity in the area induced variations in the uplift rates, which actually range between 0.52 and 0.88 mm yr-1 in relation to the distance from the fault trace. These data highlight the competing role of fault activity and regional uplift in controlling vertical movements and surface topography at the local scale.</t>
  </si>
  <si>
    <t>2-s2.0-76149103915"</t>
  </si>
  <si>
    <t>10.1007/s11270-009-9982-2</t>
  </si>
  <si>
    <t>https://www.scopus.com/inward/record.uri?eid=2-s2.0-69049116190&amp;doi=10.1007%2fs11270-009-9982-2&amp;partnerID=40&amp;md5=85d42778a0b9f1351ece003a6c43276d</t>
  </si>
  <si>
    <t>An experiment was set up to assess the factors affecting metal mobility in five wetland soils of the Scheldt estuary at different sampling depths when subjecting the soils to various water table levels. Pore water metal concentrations were monitored for 10 months at four sampling depths (10, 30, 60 and 90 cm) upon adjusting the water table level to 0, 40 and 80 cm below the surface of the soils. Nickel (Ni) release is facilitated by reductive conditions. These reductive conditions mainly occur below the water table. The fate of chromium (Cr) under reductive conditions seems to be promoted by the presence of dissolved organic matter. However, Cr fate seems to be inconsistent between the soils, as it is affected by a series of counteracting mechanisms. Copper (Cu), zinc (Zn) and especially cadmium (Cd) are all primarily released above the water table under high salinity conditions. These elements are also released below or just above the water table when organic matter is being decomposed, resulting in calcium (Ca), manganese (Mn), Ni and/or iron (Fe) release upon CO2 accumulation and Fe/Mn oxide reduction, without being accompanied by sulphide production. Their mobility is low under reducing conditions, i.e. in the presence of sulphides, whereas the complexation by soluble organic matter especially seems to promote Cu mobility. © 2009 Springer Science+Business Media B.V.</t>
  </si>
  <si>
    <t>2-s2.0-69049116190"</t>
  </si>
  <si>
    <t>10.1175/2009JPO4142.1</t>
  </si>
  <si>
    <t>https://www.scopus.com/inward/record.uri?eid=2-s2.0-70449112147&amp;doi=10.1175%2f2009JPO4142.1&amp;partnerID=40&amp;md5=26f988ec930887b5a8c0534070542bda</t>
  </si>
  <si>
    <t>The aim of this one-dimensional water column study is to combine modified versions of three characteristic parameters for periodic tidal flow under the influence of a longitudinal buoyancy gradient-the horizontal Richardson number, the inverse Strouhal number, and the inverse Ekman number-into a parameter space study, including constant wind forcing from various directions. It is shown how the underlying dynamical equations can be cast into nondimensional form, depending mainly on these three nondimensional parameters plus the relative wind speed and the wind direction. Idealized model simulations are carried out for the whole realistic range of horizontal Richardson and inverse Strouhal numbers for various latitudes, showing the amplitude of the tidally induced stratification for a wide range of scenarios. It is found that classical threshold values for the horizontal Richardson number, indicating the switch from periodic stratification to permanent stratification, are valid only for special cases, and that this switch also strongly depends on the inverse Strouhal number, the inverse Ekman number, and the wind vector. The transverse residual flow is close to the thermal wind balance for a variety of parameters, and nondimensionalized longitudinal residual flow shows the classical estuarine exchange flow pattern with little variation in the near-bed onshore component. Wind straining is confirmed as an important estuarine and coastal process, enhancing estuarine circulation for offshore (down estuary) winds and vice versa. Agreement with field data from Liverpool Bay is good, including the explanation of a flood tide local maximum of the dissipation rate in the upper half of the water column. An equation for the second time derivative of the potential energy anomaly is derived for quantifying the dynamical processes leading to stratification due to the straining of the horizontal density gradient. © 2009 American Meteorological Society.</t>
  </si>
  <si>
    <t>2-s2.0-70449112147"</t>
  </si>
  <si>
    <t>https://www.scopus.com/inward/record.uri?eid=2-s2.0-84864194636&amp;partnerID=40&amp;md5=d0e5a84352125e6676cc116f44d872f6</t>
  </si>
  <si>
    <t>A methodology to compare in relative terms the coastal vulnerability to storm impacts is presented and applied to three sites in the Mediterranean Sea. The analysis separately evaluates the vulnerability to storm-induced processes (inundation and erosion) and, it quantifies the contribution of the forcing (storm properties) and receptor (beach geomorphology) to the overall vulnerability. Beach geomorphology affects calculated vulnerability by influencing process intensity and the ability of the beach to cope with the impacts (resilience). Results showed that regarding wave-induced inundation, the highest vulnerable area is the Ebro delta (Catalan coast) due to a combination of storm properties and the existence of a very low-lying profile. On the other hand, when considering the storm-induced erosion, Lido di Dante (Italy) is the highest vulnerable area because despite the fact that the estimated erosion is not the largest one, the beach width is narrower than in the other sites. In any case, actual beach width at the three sites exceeds the estimated shoreline retreat. According to the obtained results the main induced process affecting coastal vulnerability is inundation.</t>
  </si>
  <si>
    <t>2-s2.0-84864194636"</t>
  </si>
  <si>
    <t>10.1029/2009JC005475</t>
  </si>
  <si>
    <t>https://www.scopus.com/inward/record.uri?eid=2-s2.0-76749130802&amp;doi=10.1029%2f2009JC005475&amp;partnerID=40&amp;md5=5c9c13f8165f6ff4ed23e7920250a24b</t>
  </si>
  <si>
    <t>Wind is shown to have an important influence on water column structure and residual circulation through a straining mechanism in the Liverpool Bay region of freshwater influence. By combining a long-term data set of water column observations collected from a mooring we estimate the horizontal gradients in temperature and salinity that are used to drive a one-dimensional turbulence model. Various combinations of the processes that impact the stratification are investigated, including the wind speed and direction, horizontal buoyancy gradient, and the tidal amplitude. From this we assess the significance of these processes and find that the effect of wind direction is important in determining water column structure. Both observations and a modeling study show that an offshore wind accelerates the development of stratification on the ebb tide and decelerates the destruction of stratification on the flood tide due to a ""wind straining"" process. The reverse situation occurs for an onshore wind. Copyright 2009 by the American Geophysical Union.</t>
  </si>
  <si>
    <t>2-s2.0-76749130802"</t>
  </si>
  <si>
    <t>GIS-Zeitschrift fur Geoinformatik</t>
  </si>
  <si>
    <t>https://www.scopus.com/inward/record.uri?eid=2-s2.0-77952998144&amp;partnerID=40&amp;md5=0a58ade2f5a71741acc93668abf73346</t>
  </si>
  <si>
    <t>In 2007, the European Commission has passed the ""Flood Directive"" (2007/60/EG) dealing with the identification of inundated areas and the creation of flood risk maps. The basis for flood modeling is provided by computationally and storage-intensive flow simulations. Digital terrain data is the storting point for generating twodimensional flow models. When discretizing the computational mesh for hydraulic simulation, digital terrain models with a resolution of one meter or less have to be subjected to several elaborate preprocessing steps. A number of simulation and modeling tools for this purpose have already been developed as ""classical"" SDI applications. However, building flood and risk models for a study area covering many square kilometers is not possible using common desktop GIS. The German GDI-Grid project (SDI-Grid, www.gdi-grid.de) extends regular OGC-based SDI services with grid computing capabilities. It focuses on WPS tools and an architecture for geoprocessing in the grid. At the example of flood modeling, this article shows which benefits can be generated in spatial data infrastructures by using grid technology.</t>
  </si>
  <si>
    <t>2-s2.0-77952998144"</t>
  </si>
  <si>
    <t>Nederlandse Geografische Studies</t>
  </si>
  <si>
    <t>https://www.scopus.com/inward/record.uri?eid=2-s2.0-77957197778&amp;partnerID=40&amp;md5=8b379ea2fe0e5042409f079a3714dcac</t>
  </si>
  <si>
    <t>Ancient estuarine and incised-valley deposits host significant hydrocarbon reservoirs and petroleum explorationists have focused on these deposits. As subsurface data is often scarce, three-dimensional models are generally used to reconstruct the facies distribution of the ancient estuarine and incised-valley systems. Before sea-level rise started to affect the study area, the Rhine and the Meuse formed a river system situated in a few meters deep palaeovalley that was bordered by higher, vegetated coversand areas. There are several factors or a combination of factors imaginable that could have influenced the avulsion of the Rhine to the north. The new route of the Rhine to sea was much shorter than the previous one that directed the Rhine to the promontory. Gradient advantage therefore seems to have been important. Possibly in addition, northward tilting of the flood plain due to forebulge collapse played a role.</t>
  </si>
  <si>
    <t>2-s2.0-77957197778"</t>
  </si>
  <si>
    <t>10.1016/j.scitotenv.2009.07.031</t>
  </si>
  <si>
    <t>https://www.scopus.com/inward/record.uri?eid=2-s2.0-70249115067&amp;doi=10.1016%2fj.scitotenv.2009.07.031&amp;partnerID=40&amp;md5=10d6a7ff9da8bf8febb8bc63211154d3</t>
  </si>
  <si>
    <t>The Sotiel-Coronada abandoned mining district (Iberian Pyrite Belt) produced complex massive sulphide ores which were processed by flotation to obtain Cu, Zn and Pb concentrates. The crude pyrite refuses were roasted for sulphuric acid production in a plant located close to the flotation site, and waste stored in a tailing dam. The present study was focused on the measurements of flow properties, chemical characterization and mineralogical determination of the roasted pyrite refuses with the aim of assessing the potential environmental impact in case of dam collapse. Chemical studies include the determination of the total contaminant content and information about their bio-availability or mobility using sequential extraction techniques. In the hypothetical case of the tailing dam breaking up and waste spilling (ca. 4.54 Mt), a high density mud flow would flood the Odiel river valley and reach both Estuary of Huelva (Biosphere Reserve by UNESCO, 1983) and Atlantic Ocean in matter of a couple of days, as it was predicted by numerical simulations of dam-break waves propagation through the river valley based on quasi-2D Saint-Venant equations. The total amount of mobile pollutants that would be released into the surrounding environment is approximately of 7.1·104 t of S, 1.6·104 t of Fe, 1.4·104 t of As, 1.2·104 t of Zn, 1.0·104 t of Pb, 7.4·103 t of Mn, 2.2·103 t of Cu, 1.5·102 t of Co, 36 t of Cd and 17 t of Ni. Around 90-100% of S, Zn, Co and Ni, 60-70% of Mn and Cd, 30-40% of Fe and Cu, and 5% of As and Pb of the mobile fraction would be easily in the most labile fraction (water-soluble pollutants), and therefore, the most dangerous and bio-available for the environment. This gives an idea of the extreme potential risk of roasted pyrite ashes to the environment, until now little-described in the scientific literature. © 2009 Elsevier B.V. All rights reserved.</t>
  </si>
  <si>
    <t>2-s2.0-70249115067"</t>
  </si>
  <si>
    <t>10.1002/esp.1822</t>
  </si>
  <si>
    <t>https://www.scopus.com/inward/record.uri?eid=2-s2.0-69749117335&amp;doi=10.1002%2fesp.1822&amp;partnerID=40&amp;md5=89652bdbf625b38b4a21a6a86d5235aa</t>
  </si>
  <si>
    <t>Three-dimensional remote sensing promises a giant leap forward for surface-water hydrology in much the same way that radar altimetry transformed physical oceanography. However, the complex geometries of small terrestrial water bodies introduce difficulties, particularly with respect to trade-offs between changing water depth and inundation area. We use in situ measurements of water-surface stage (ΔH/dt) and remotely-sensed area (A) to compute time varying storage changes (ΔS) in nine lakes of the Peace-Athabasca Delta, Canada. Despite their identical geomorphic setting, regression slopes between ΔH and A vary significantly between lakes, primarily from a predictable 'area-effect' but also small bathymetric variations between basins. On average, lateral contraction/expansion (versus stage adjustment) contributes as little as 7% (versus 93%) to as much as 76% (versus 24%) of overall storage change ΔS. We conclude that both surface-area and ΔH/dt, rather than just either alone, must be measured to confidently estimate ΔS from space. © 2009 John Wiley &amp; Sons, Ltd.</t>
  </si>
  <si>
    <t>2-s2.0-69749117335"</t>
  </si>
  <si>
    <t>10.1016/j.jnc.2009.04.001</t>
  </si>
  <si>
    <t>https://www.scopus.com/inward/record.uri?eid=2-s2.0-70450223916&amp;doi=10.1016%2fj.jnc.2009.04.001&amp;partnerID=40&amp;md5=acbd59ffde368182ffd87834e2407be2</t>
  </si>
  <si>
    <t>A tidal barrage across the Severn Estuary (UK) was first proposed in the 1970s and similar ideas have re-emerged in recent years as the pressure for sources of renewable energy increase. Claims that the barrage would deliver ecological and flood defence benefits based on the tidal power project at La Rance in France are examined. This analysis suggests that the range and scale of ecological and geomorphological impacts will be considerably more deleterious than has hitherto been documented. Monitoring of the Eastern Schelde tidal barrage, constructed to reduce flood events in Holland, provides important pointers about the possible effects of a barrage across the Severn Estuary. The published outcomes of detailed monitoring on the Eastern Schelde provide a robust analogue that suggests significant detrimental effects on nature conservation are likely and that some of the functional changes also have important implications for flood defence structures around the estuary and its tributaries. © 2009 Elsevier GmbH. All rights reserved.</t>
  </si>
  <si>
    <t>2-s2.0-70450223916"</t>
  </si>
  <si>
    <t>10.1108/17568690911002870</t>
  </si>
  <si>
    <t>https://www.scopus.com/inward/record.uri?eid=2-s2.0-84993078218&amp;doi=10.1108%2f17568690911002870&amp;partnerID=40&amp;md5=915d62938fb3da69d34d3448daa90a90</t>
  </si>
  <si>
    <t>Purpose – The purpose of this paper is to emphasise mangrove reforestation as a countermeasure for climate change mitigation and adaptation in the Godavari Delta in India. Design/methodology/approach – Restoration of the mangrove forest in the Godavari Delta near Kakinada town in the south-eastern Indian state of Andhra Pradesh is carried out with participatory involvement of local communities depending for their livelihood on the mangrove forest. The extent of habitat restoration through reforestation in this area is explored. The possible contribution of restored mangroves in minimising the impacts of sea-level rise due to climate change is highlighted. Reforestation information from 1999 to 2006 is collected from available published work and the Forest Department of the Government of Andhra Pradesh. Findings – The positive result of reforestation since the past few years is seen as an increase in mangrove vegetation. The changing landscape due to restoration could stop erosion and salt water incursion up to some extent and help in maintaining the biodiversity of this place. Practical implications – A long-term monitoring with ethnobiological study is required for managing such projects in future. Originality/value – The Godavari Delta mangroves are rich in biodiversity and offer a wide range of ecological services. Adding to habitat degradation, predicted sea-level rise is likely to affect the local human communities. The role of mangroves as an economically viable barrier against sea-level rise has been recognised in other Asian countries. The results from this case study too could be disseminated to various stakeholders involved in sustainable development. The focus of the paper on India is particularly relevant, as the country is going to be integral in climate change debates. © 2009, Emerald Group Publishing Limited</t>
  </si>
  <si>
    <t>2-s2.0-84993078218"</t>
  </si>
  <si>
    <t>10.2112/08-1146.1</t>
  </si>
  <si>
    <t>https://www.scopus.com/inward/record.uri?eid=2-s2.0-70450180669&amp;doi=10.2112%2f08-1146.1&amp;partnerID=40&amp;md5=f1cfb4f8641e8e7f12938dc6a746736e</t>
  </si>
  <si>
    <t>Storm-induced flooding and other damage present a major problem as the coastal population continues to increase rapidly and sea level keeps rising. To predict the path and landfall of a hurricane or other coastal storm and assess the damage, emergency managers and scientists need continuous information on the storm's path, strength, predicted landfall, and expected damage over large areas. Satellite and airborne remote sensors can provide the required information in a timely and reliable way, as demonstrated by a case study of hurricane Katrina's impact on New Orleans and surrounding areas. Satellite images and hurricane hunter planes were used to track hurricane Katrina, with modelers predicting accurately its path, strength, surge level, and landfall location. Shore-based radars were used to confirm the data as the hurricane approached land. Medium- and high-resolution satellite sensors, helicopters, and aircraft were employed to assess damage to the city, including transportation, power, and communication infrastructures, and to adjacent wetlands and other coastal ecosystems. The lessons learned from hurricane Katrina are helping to optimize future approaches for tracking hurricanes and predicting their impact on coastal ecosystems and developed areas. © 2009 Coastal Education and Research Foundation.</t>
  </si>
  <si>
    <t>2-s2.0-70450180669"</t>
  </si>
  <si>
    <t>10.1016/j.advwatres.2009.05.008</t>
  </si>
  <si>
    <t>https://www.scopus.com/inward/record.uri?eid=2-s2.0-67650385641&amp;doi=10.1016%2fj.advwatres.2009.05.008&amp;partnerID=40&amp;md5=a64874ff6af0330a4f720019c4bb9cff</t>
  </si>
  <si>
    <t>Modeling of dam-break flooding in an urban residential area in southern California is presented. Modeling is performed using BreZo, an unstructured grid, Godunov-type, finite volume model that solves the shallow-water equations. The model uses terrain data from a 1.5 m Light Detection and Ranging (LiDAR) Digital Terrain Model (DTM) and contour data depicting the reservoir and breach geometry. A spatially distributed Manning coefficient based on a landcover classification derived from digital orthophotos and vector data (e.g., parcel outlines) is also used, and the interception of flow by storm drains is modeled with sink terms in the 2D continuity equation. The model is validated with flood extent and stream flow measurements, and a sensitivity analysis is completed to identify the necessary level of data and model complexity for accuracy purposes. Results show street depressions in the land surface should be resolved by the computational mesh for flood extent and stream flow accuracy. A ca. 5 m resolution mesh that spans streets by approximately 3 cells achieves a good balance between accuracy and computational effort. Results also show that heterogeneous resistance is important for stream flow accuracy, and the interception of overland flow by storm sewers is important for flood extent accuracy. The sensitivity of predictions to several additional factors such as the reservoir level, breach geometry and DTM source (LiDAR, National Elevation Data, Shuttle Radar Topography Mission Data) is also reported. © 2009 Elsevier Ltd. All rights reserved.</t>
  </si>
  <si>
    <t>2-s2.0-67650385641"</t>
  </si>
  <si>
    <t>10.1016/j.tecto.2009.01.003</t>
  </si>
  <si>
    <t>https://www.scopus.com/inward/record.uri?eid=2-s2.0-68849121165&amp;doi=10.1016%2fj.tecto.2009.01.003&amp;partnerID=40&amp;md5=de90e3ab0d4965aa920b76e0e2bf9ec3</t>
  </si>
  <si>
    <t>Present-day sea level variations in the Mediterranean depend on various factors, including recent climatic forcing, tectonic activity, anthropogenic effects, and glacio-isostatic adjustment. The latter is governed by mantle rheology and the spatio-temporal distribution of the late-Pleistocene ice sheets and it is expected to produce a long-wavelength pattern of sea level variations across the Mediterranean, mostly determined by the response of the solid earth and of the geoid to loading effects of melt water since the end of deglaciation. Modeling glacio-isostatic effects in this region is necessary for a correct interpretation of tide gauge and GPS time-series, and thereby to constrain both the present-day climate-related sea level rise and regional or local geological, tectonic and human-driven displacements. By an exhaustive exploration of the parameter space of mantle rheology and ice sheet chronologies, in this work we outline upper and lower bounds on the current rate of sea level variation associated with glacial isostatic adjustment in the Mediterranean. This may contribute to a full assessment of coastal vulnerability by sea level rise on a regional and local scale. © 2009 Elsevier B.V. All rights reserved.</t>
  </si>
  <si>
    <t>2-s2.0-68849121165"</t>
  </si>
  <si>
    <t>10.2148/benv.35.4.432</t>
  </si>
  <si>
    <t>https://www.scopus.com/inward/record.uri?eid=2-s2.0-77950157833&amp;doi=10.2148%2fbenv.35.4.432&amp;partnerID=40&amp;md5=9b5c393a7c70ce0a97bb3b1cbbae07c1</t>
  </si>
  <si>
    <t>Urbanized deltas can be considered as areas with a double complexity: they have to deal with the complexity of the delta, as the meeting of rivers and sea, and with the complexity of urban patterns, as a condition and result of economic, cultural and social life. In search of sustainable strategies, authorities and planners in different delta-areas are looking to the Netherlands, which has seemed to deal with this double complexity in a successful and sustainable way. However, instead of considering the Netherlands as an example which can be copied in other urbanized deltas, it is important to understand the Dutch delta as a result of two specific conditions: first, the natural dynamics of the delta itself, and second, the coincidence of the Dutch delta with the territory of the Dutch nation state. Moreover, fundamental discussions and reconsiderations are taking place concerning future policies and strategies for flood defence, water-management and urban development in the Netherlands. Instead of the adage 'fighting against the water', a new one 'working with nature' is appearing. This change is not only important for future safety and urban development in the Netherlands itself, but might be relevant for other urbanized deltas as well.</t>
  </si>
  <si>
    <t>2-s2.0-77950157833"</t>
  </si>
  <si>
    <t>Geoscience in South-West England</t>
  </si>
  <si>
    <t>https://www.scopus.com/inward/record.uri?eid=2-s2.0-84869066845&amp;partnerID=40&amp;md5=7d4277a9c3636e4d1e68b0b560aab305</t>
  </si>
  <si>
    <t>The Camel Estuary, Cornwall, UK, supports a diverse range of habitats which are of primary marine biological importance. This paper describes how the extent and distribution of these habitats are influenced by the morphological evolution of the estuary and considers their likely future evolution within the context of morphological change. Historical trend analysis shows that in the late 1920s, the main subtidal channel switched from the western to the eastern side of the outer estuary, leading to changes in the distribution of sandflat and sand dune areas. Since then, the outer estuary has remained relatively stable with a positive sediment budget. The main changes to the morphology of the inner estuary have been caused by human impact. Areas of saltmarsh are stable or very slowly accreting, but there appears little scope for future expansion within the current estuary boundaries. Large areas of previous saltmarsh have been isolated from tidal flow and are now freshwater marshes and grazed farmland. Long-term potential acceleration of sea-level rise will increase pressure on habitats, particularly in the inner estuary, where they are dependent on a limited fluvial sediment supply and are restricted by artificial stabilisation.</t>
  </si>
  <si>
    <t>2-s2.0-84869066845"</t>
  </si>
  <si>
    <t>Gospodarka Surowcami Mineralnymi / Mineral Resources Management</t>
  </si>
  <si>
    <t>https://www.scopus.com/inward/record.uri?eid=2-s2.0-77953256222&amp;partnerID=40&amp;md5=3a26804aa2373681060d0be56215f188</t>
  </si>
  <si>
    <t>In recent years, the usage of Synthetic Aperture Radar Interferometry technique became more and more popular and it is used in many scientific field: for creating digital elevation models (DEMs), monitoring of deformation, glacier and ice motion etc. The paper presents preliminary analysis of satellite interferometry data from south-west part of Upper Silesian Coal Basin (USCB). USCB is characterised by a complicated geological structure, which is affected by the over 200-year hard coal mining. USCB is one of the world's biggest mining centres. The negative aspect of such a magnitude of exploitation is visible on the surface in the form of surface deformation, subsidence and induced seismicity and it necessitate monitoring the USCB area. With the use of an established geodetic network in the first case, and by means of a seismic network in the second case. The availability of satellite data resulted in the development of novel methods, which can significantly affect the monitoring quality of an endangered area. Authors used pair of satellite images for interferometric processing, made in March and April 2008. In the first stage of processing, the whole SAR scene was processed (100km x 100km). External DEMs were used both to increase precision in co registration of selected pair of SAR images and to reduce the errors in data processing and remove topographic phase during interferogram formation. Analysis of coherence demonstrated high value, which is connected with short time period and short perpendicular baseline of selected images, as well as highly urbanized area. The interpretation of interferometrie data shows distinctive concentric fringe features. The centre of the fringe is an area of maximum of surface downwarp caused by coal mining. In the area of Knurów two subsidence troughs were located. Both of them consist of two interferometrie fringes, correspond with 5 cm subsidence per 35 days.</t>
  </si>
  <si>
    <t>2-s2.0-77953256222"</t>
  </si>
  <si>
    <t>10.1038/ngeo629</t>
  </si>
  <si>
    <t>https://www.scopus.com/inward/record.uri?eid=2-s2.0-70349767045&amp;doi=10.1038%2fngeo629&amp;partnerID=40&amp;md5=ffa10fe4d74b7e12dbbdd6cd0b3264e5</t>
  </si>
  <si>
    <t>Many of the world's largest deltas are densely populated and heavily farmed. Yet many of their inhabitants are becoming increasingly vulnerable to flooding and conversions of their land to open ocean. The vulnerability is a result of sediment compaction from the removal of oil, gas and water from the delta's underlying sediments, the trapping of sediment in reservoirs upstream and floodplain engineering in combination with rising global sea level. Here we present an assessment of 33 deltas chosen to represent the world's deltas. We find that in the past decade, 85% of the deltas experienced severe flooding, resulting in the temporary submergence of 260,000 km 2. We conservatively estimate that the delta surface area vulnerable to flooding could increase by 50% under the current projected values for sea-level rise in the twenty-first century. This figure could increase if the capture of sediment upstream persists and continues to prevent the growth and buffering of the deltas. © 2009 Macmillan Publishers Limited. All rights reserved.</t>
  </si>
  <si>
    <t>2-s2.0-70349767045"</t>
  </si>
  <si>
    <t>10.1080/08120090902871184</t>
  </si>
  <si>
    <t>https://www.scopus.com/inward/record.uri?eid=2-s2.0-70350500862&amp;doi=10.1080%2f08120090902871184&amp;partnerID=40&amp;md5=e3c8f6c925cd3e81d6c40c6508eb7462</t>
  </si>
  <si>
    <t>The floodplain of the Lower Balonne River is in the upper reaches of the Murray-Darling Basin. The region has been extensively developed for agriculture, in particular irrigated cotton, and is highly productive. Multidisciplinary investigations to inform land management generated extensive sets of remotely sensed data including Landsat TM, airborne gamma-ray radiometrics, aerial photography, ASTER imagery and digital elevation models. These datasets provided the basis for regolith and geomorphic mapping. The wealth of data has allowed characterisation of the Lower Balonne River system, which is typical of many of the dryland rivers of southern Queensland. The geomorphic map of the Lower Balonne floodplain has eight major units based on landform and geomorphic processes. Bedrock consists of the slightly deformed and extensively weathered marine Cretaceous Griman Creek Formation. Coincident with erosion and weathering, Paleogene quartz gravels were deposited and are now extensively cemented and preserved as remnants forming zones of inverted relief. Much of the present landscape consists of a series of juxtaposed depositional units that have infilled an incised valley system. The different depositional units show the paleo-Balonne River migrating to the west. This is interpreted to be a result of tectonic depression and tilting to the west, causing avulsion and anastomosing of the paleochannels. The modern Balonne River system consists of a number of easily recognised segments. In the north, the modern channel is incised as a single channel. To the south the channel opens out onto an anastomosing plain with branching and reconnecting smallscale channels. Source-bordering dunes, currently inactive, have also formed along the western and eastern sides of the modern river and are prominent in large dunes in the south along the present Moonie River. Their absence in older landscape elements points to increasing aridity over time in the river system. © 2009 Australian Government.</t>
  </si>
  <si>
    <t>2-s2.0-70350500862"</t>
  </si>
  <si>
    <t>10.1029/2009GL039802</t>
  </si>
  <si>
    <t>https://www.scopus.com/inward/record.uri?eid=2-s2.0-72049106622&amp;doi=10.1029%2f2009GL039802&amp;partnerID=40&amp;md5=8ee0795777b09a0eb0447b13cf9c063e</t>
  </si>
  <si>
    <t>Storm surge induced saltwater flux through multiple inlets has never been documented. This article reports in situ measurements of saltwater flux through major tidal passes by two consecutive storm surges impacting Lake Pontchartrain estuary in Louisiana during the first two weeks in September 2008. The main peak of inward saltwater flux lasted for 1.9 days during the flood, followed by more than 8 days of outward salt flux. The salt flux rate reached close to 200 tons/sec through the northern channel and 16 tons/sec through the southern channel. Outward flux of salt during Gustav amounted to more than 16 million tons during the receding stage, more than twice of that measured for the flux into the lake. Apparently, overland inundation, which was not measured, caused this biased estimate of influx of salt. Hurricane Ike, however, did not cause such a dramatic difference in influx and outflux of salt. Copyright 2009 by the American Geophysical Union.</t>
  </si>
  <si>
    <t>2-s2.0-72049106622"</t>
  </si>
  <si>
    <t>10.2148/benv.35.4.545</t>
  </si>
  <si>
    <t>https://www.scopus.com/inward/record.uri?eid=2-s2.0-77950101904&amp;doi=10.2148%2fbenv.35.4.545&amp;partnerID=40&amp;md5=1e728859a25ae5c8f12906ee0b8d7c44</t>
  </si>
  <si>
    <t>Climate change and its possible impact on flood risk are high on the agenda of politicians, policy-makers, the public and the private sector in deltaic areas all over the world. In the Netherlands the increasing awareness of these challenges has given rise to a remarkable policy change. The 'Room for the River' policy introduced here in the course of the 1990s meant a shift from a purely infrastructural approach to flood control (dikes) to combinations of spatial and infrastructural measures. At the same time an attempt was made to persuade the population that water could be fun, and the new challenge was to 'live with water'. Yet the desire to hedge against 'residual risk' led to a controversial proposal for emergency flood storage of excess peak discharges in so-called 'calamity polders'. These polders were located in areas with a low-population density to take the pressure off the highly urbanized, economically more important and more densely populated western part of the Netherlands. One of the selected polders was the Ooijpolder, peri-urban 'backyard' of the town of Nijmegen. Spearheaded by well-educated people with an urban background or plugged into urban social and political networks, the Ooijpolder became the centre of protests against the plans for calamity polders. While, in the end, the plans for calamity polders did not materialize, risk differentiation between and even within regions that formerly enjoyed the same protection standard is now becoming the basis of Dutch flood policy. What can we learn from the calamity polder case?.</t>
  </si>
  <si>
    <t>2-s2.0-77950101904"</t>
  </si>
  <si>
    <t>10.1007/s10236-009-0187-4</t>
  </si>
  <si>
    <t>https://www.scopus.com/inward/record.uri?eid=2-s2.0-70350566075&amp;doi=10.1007%2fs10236-009-0187-4&amp;partnerID=40&amp;md5=f61576c67b151b160b0d951b045ed86c</t>
  </si>
  <si>
    <t>The turbulent kinetic energy dissipation rate, ε, in tidal seas is maximum at the bottom during full flood and during full ebb, i.e. when tidal currents are strongest. In coastal regions with tides similar to a Kelvin wave, this coincides with high water and low water. If there is a freshwater source at the coast, stratification in such a region will be most stable at high water and least at low water. Measurements of ε in the Rhine region of freshwater influence performed by previous studies have revealed bottom maxima at both high and low water. In addition, a maximum in the upper half of the water column was found around high water, which cannot be explained by tidal shear at the bottom, convective instabilities or wind mixing. This study investigates the dissipation rate and relevant physical properties in the Rhine region of freshwater influence by means of three-dimensional numerical simulations using the General Estuarine Transport Model and idealised conditions. The measurements are well reproduced</t>
  </si>
  <si>
    <t>Communications in Theoretical Physics</t>
  </si>
  <si>
    <t>10.1088/0253-6102/52/2/24</t>
  </si>
  <si>
    <t>https://www.scopus.com/inward/record.uri?eid=2-s2.0-70350214983&amp;doi=10.1088%2f0253-6102%2f52%2f2%2f24&amp;partnerID=40&amp;md5=9906c7753406c865ea032cc22b21d02f</t>
  </si>
  <si>
    <t>As well known, if the Higgs boson were not observed at LHC, the technicolor model would be the most favorable candidate responsible for the symmetry breaking. To overcome some defects in the previous model, some extended versions have been proposed. In the TC2 model typical signature is existence of heavy HTC and technipion Π. A direct proof of validity of the model is to produce them at accelerator. Thus we study the production rates of e +e- HTCΠ0 and e+e - Π+Π- at ILC in the topcolor-assisted technicolor (TC2) model. In fact, there is a flood of models belonging to new physics, which can result in products with characteristics similar to H TC + Π of the TC2 model. Therefore to distinguish this model from others one may need to investigate some details by calculating the cross section to NLO. We indeed find that the NLO corrections are significant, namely the ratio δ (σNLO - σLO) /σLO in e+e- HTCΠ 0 exceeds 100% within a plausible parameter space. © 2009 Chinese Physical Society and IOP Publishing Ltd.</t>
  </si>
  <si>
    <t>2-s2.0-70350214983"</t>
  </si>
  <si>
    <t>10.1175/2009JPO4157.1</t>
  </si>
  <si>
    <t>https://www.scopus.com/inward/record.uri?eid=2-s2.0-73949093670&amp;doi=10.1175%2f2009JPO4157.1&amp;partnerID=40&amp;md5=e6cb2881cd4be29afe32d25611f47fca</t>
  </si>
  <si>
    <t>The dynamics of lateral circulation in the Passaic River estuary is examined in this modeling study. The pattern of lateral circulation varies significantly over a tidal cycle as a result of the temporal variation of stratification induced by tidal straining. During highly stratified ebb tides, the lateral circulation exhibits a vertical two-cell structure. Strong stratification suppresses vertical mixing in the deep channel, whereas the shoal above the halocline remains relatively well mixed. As a result, in the upper layer, the lateral asymmetry of vertical mixing produces denser water on the shoal and fresher water over the thalweg. This density gradient drives a circulation with surface currents directed toward the shoal, and the currents at the base of the pycnocline are directed toward the thalweg. In the lower layer, the lateral circulation tends to reduce the tilting of isopycnals and gradually diminishes at the end of the ebb tide. A lateral baroclinic pressure gradient is a dominant driving force for lateral circulation during stratified ebb tides and is generated by differential diffusion that indicates a lateral asymmetry in vertical mixing. Over the thalweg, vertical mixing is strong during the flood and weak during the ebb. Over the shoal, the tidally periodical stratification shows an opposite cycle of that at the thalweg. Lateral straining tends to enhance stratification during flood tides and vertical diffusion maintains the relatively well-mixed water column over the shoal during the stratified ebb tides. © 2009 American Meteorological Society.</t>
  </si>
  <si>
    <t>2-s2.0-73949093670"</t>
  </si>
  <si>
    <t>10.1029/2008JC005036</t>
  </si>
  <si>
    <t>https://www.scopus.com/inward/record.uri?eid=2-s2.0-73649141551&amp;doi=10.1029%2f2008JC005036&amp;partnerID=40&amp;md5=c188cf434fa06f7aba93924b0e2b244f</t>
  </si>
  <si>
    <t>The initial composition of a river plume depends on the cumulative turbulent entrainment within the estuary and how this dilutes the supplied freshwater. Here we examine the relative roles of turbulence and freshwater input using observations from the Columbia River estuary and plume during two periods with contrasting river flow. Within the estuary, intense turbulence observed on flood and ebb stages is controlled by the bottom, stress and scales with tidally dominated near-bottom velocity as u3tidal Shear associated with the estuarine circulation, is found to have a much weaker influence on turbulence dissipation rates. On the basis of these observations, we suggest that properties of the Columbia River tidal, plume should be controlled by the ratio of horizontal advection to turbulent mixing within the estuary. This ratio depends on the magnitude of freshwater river input (characterized by its volumetric flow rate Qf) as compared to turbulent fluxes due to tidal mixing. This is summarized in terms of the estuary Richardson number RiE, a nondimensional ratio between Qf and u 3tidal From 17 tidally resolving offshore surveys during spring/neap tides and low/high river flows, we find that the plume's median, salinity, thickness, and turbulent mixing are each predicted through Ri E. It is hoped that these simple formulations will provide guidance in assessing critical properties of river plumes and their influence on coastal circulation. Copyright 2009 by the American Geophysical Union.</t>
  </si>
  <si>
    <t>2-s2.0-73649141551"</t>
  </si>
  <si>
    <t>10.1111/j.1749-8198.2009.00254.x</t>
  </si>
  <si>
    <t>https://www.scopus.com/inward/record.uri?eid=2-s2.0-67949102123&amp;doi=10.1111%2fj.1749-8198.2009.00254.x&amp;partnerID=40&amp;md5=34c82417282f488d54502c37b47ccafa</t>
  </si>
  <si>
    <t>There is rapid population growth in coastal environments. Development and competing demands for resources and natural hazards offer an additional threat to coastal communities. Remote sensing provides a means of monitoring the intra- and inter-annual variability both natural and human impacts cause. In this article, we review the application of satellite-borne Synthetic Aperture Radar (SAR) to the coastal zone and provide two examples, seasonal inundation mapping on coastal floodplains at the regional scale in eastern North Carolina, USA, and shoreline delineation and change in estuary of Pamlico Peninsula, Dare County, North Carolina. The results SAR data provide are reliable and repeatable, and can potentially be used to identify critical areas in coastal environments where there is a need to respond to the pressures caused by population growth, land use and land cover change, natural hazards and sea level rise that may be brought about by global climate change. © 2009 Blackwell Publishing Ltd.</t>
  </si>
  <si>
    <t>2-s2.0-67949102123"</t>
  </si>
  <si>
    <t>10.5194/nhess-9-1995-2009</t>
  </si>
  <si>
    <t>https://www.scopus.com/inward/record.uri?eid=2-s2.0-77950350023&amp;doi=10.5194%2fnhess-9-1995-2009&amp;partnerID=40&amp;md5=497e351a7b4fe45f95f8436cd758a6dd</t>
  </si>
  <si>
    <t>We present an approach for flood damage simulations through the creation of a comparatively large number of inundation scenarios for a polder area, using a high- resolution digital elevation model. In particular, the method could be used for detailed scenario studies of the impact of future socioeconomic and climatic developments on flood risks. The approach is applied to a case-study area in the south of the Netherlands along the river Meuse. The advantage of our approach is that a large number of potential flood events can be created relatively fast without hydrodynamical calculations, and that it can be applied to high-resolution elevation models and for large areas. The large number of flood scenarios and the high horizontal resolution reduces at least part of the uncertainties encountered in flood loss modelling. The approach with a low horizontal-resolution (100-m) for loss modelling results in an overestimation of losses by up to 22% for high density urban areas, and underestimation of 100% for infrastructure, compared to the high-resolution (25-m). Loss modelling at 5-m horizontal resolution shows that aggregate losses may be overestimated by some 4.3%, compared to the 25-m resolution. The generation of a large variety of inundation scenarios provides a basis for constructing loss probability curves. The calculated range and expected values of damages compare reasonably well with earlier independent estimates.</t>
  </si>
  <si>
    <t>2-s2.0-77950350023"</t>
  </si>
  <si>
    <t>10.1016/j.dynatmoce.2008.12.004</t>
  </si>
  <si>
    <t>https://www.scopus.com/inward/record.uri?eid=2-s2.0-68749095193&amp;doi=10.1016%2fj.dynatmoce.2008.12.004&amp;partnerID=40&amp;md5=b978fe1f253d4654e92d38fb48346b31</t>
  </si>
  <si>
    <t>Oceanography is moving toward the construction of operational observing systems in coastal regions. The essential system design scheme is widely distributed measurements assimilated in computational simulation models, from which a variety of analysis products and forecasts are extracted and publicly disseminated. The detailed specifications for this system must be tested against the relevant oceanic phenomena. This essay surveys coastal physical phenomena in two categories. The more familiar ones are external tides, storm surges, river plumes, coastal topographic waves, upwelling and alongshore boundary currents, mesoscale instability eddies, and topographic contour currents and standing meanders. The phenomena with more recent attention are internal tides, surface fronts, submesoscale vortices, wakes, and littoral currents. Some illustrations are drawn from model simulations made without the aid of data assimilation. © 2008 Elsevier B.V. All rights reserved.</t>
  </si>
  <si>
    <t>2-s2.0-68749095193"</t>
  </si>
  <si>
    <t>10.1111/j.1365-3091.2008.01030.x</t>
  </si>
  <si>
    <t>https://www.scopus.com/inward/record.uri?eid=2-s2.0-67651095704&amp;doi=10.1111%2fj.1365-3091.2008.01030.x&amp;partnerID=40&amp;md5=a3c5fca10f19803687198b43a045054a</t>
  </si>
  <si>
    <t>Five successive fossil submarine slides have been mapped and described in the Sobrarbe deltaic complex (Ainsa Basin, Spanish Pyrenees). These slides affect and remove up to 15% of the delta front. The head of the scar surfaces is recognized clearly in the field due to the angular unconformity between the infilling sediments and the underlying layers. Most of the slide scarps trend 55°N with 20° to 40° dips indicating north-westward sliding. Downslope, traces of the sliding surfaces parallel stratification. However, these surfaces can be identified by displaced masses, resedimented sandstones and soft-sediment deformation features such as metre-scale half-grabens, normal faults and tension cracks</t>
  </si>
  <si>
    <t>10.1175/2009JAMC2183.1</t>
  </si>
  <si>
    <t>https://www.scopus.com/inward/record.uri?eid=2-s2.0-77649154306&amp;doi=10.1175%2f2009JAMC2183.1&amp;partnerID=40&amp;md5=2210338cb28d967092163cb35925fdfa</t>
  </si>
  <si>
    <t>New York coastal regions are frequently exposed to winter extratropical storm systems that exhibit a wide range of local impacts. Studies of these systems either have used localized water-level or beach erosion data to identify and characterize the storms or have used meteorological conditions from reanalysis data to provide a general regional ""climatology"" of storms. The use of meteorological conditions to identify these storms allows an independent assessment of impacts on the coastal environment and therefore can be used to predict the impacts. However, the intensity of these storms can exhibit substantial spatial variability that may not be captured by the relatively large scales of the studies using reanalysis data, and this fact may affect the localized assessment of storm impact on the coastal communities. A method that uses data from National Data Buoy Center stations in the New York metropolitan area to identify East Coast cool-weather storms (ECCSs) and to describe their climatological characteristics is presented. An assessment of the presence of storm conditions and a three-level intensity scale was developed using surface pressure data as measured at the buoys. This study identified ECCSs during the period from 1977 through 2007 and developed storm climatologies for each level of storm intensity. General agreement with established climatologies demonstrated the robustness of the method. The impact of the storms on the coastal environment was assessed by computing ""storm average"" values of storm-surge data and by examining beach erosion along the south shore of Long Island, New York. A regression analysis demonstrated that the best storm-surge predictor is based on measurements of significant wave height at a nearby buoy. © 2009 American Meteorological Society.</t>
  </si>
  <si>
    <t>2-s2.0-77649154306"</t>
  </si>
  <si>
    <t>10.1111/j.1745-5871.2008.00549.x</t>
  </si>
  <si>
    <t>https://www.scopus.com/inward/record.uri?eid=2-s2.0-73649116697&amp;doi=10.1111%2fj.1745-5871.2008.00549.x&amp;partnerID=40&amp;md5=b7f8a888c7a5d57973f341523d81f3cc</t>
  </si>
  <si>
    <t>A strategic framework for monitoring natural and human-induced change in the coastal plains of the Alligator Rivers Region in the wet-dry tropics of northern Australia is presented. The framework also supports refinement of methods used to monitor the vulnerability of coastal areas to change, including human-induced climate change and sea-level rise. The information derived through the framework can be used to assess scenarios, highlight the potential significance and implications of changes, and assist land managers formulate management responses. The framework incorporates several large-scale studies for monitoring atmospheric and hydrodynamic processes as well as mapping and monitoring projects specific to environmental change in the freshwater wetlands and the floodplains of the Region. Monitoring is proposed to address processes influencing the stability and rate of change of the floodplain environments. These include largescale processes, such as inter-annual variability in weather conditions affecting the morphology of the coastal plains, shoreline and riverbank stabilisation, headward expansion of tidal creeks, and salinisation of freshwater basins. Information management is also addressed, and a Geographic Information System structure proposed for effective data collation, analysis and management. The information management system will facilitate data sharing and participation of multiple agencies and organisations interested in coastal change, especially where a landscape perspective or whole ecosystem approach is advocated. © 2008 Institute of Australian Geographers.</t>
  </si>
  <si>
    <t>2-s2.0-73649116697"</t>
  </si>
  <si>
    <t>10.1016/j.pce.2009.08.005</t>
  </si>
  <si>
    <t>https://www.scopus.com/inward/record.uri?eid=2-s2.0-70449525875&amp;doi=10.1016%2fj.pce.2009.08.005&amp;partnerID=40&amp;md5=b74815c08a7928f96df8acb301e1667f</t>
  </si>
  <si>
    <t>This paper describes an extraordinary tsunami-like event that occurred on 21 June 1978 that encompassed the middle and south Adriatic Sea. The flood had its culmination in Vela Luka, where a maximum wave height of 6 m was reported. This paper contains a detailed description of the event as seen by eyewitnesses, its outreach along both the eastern and western coasts, and the aftermath and recovery activities in Vela Luka. All available records have been collected and analysed to detect the source and the generating mechanism of the long ocean waves. Seismic generation is fully excluded from the consideration, while a submarine landslide seems rather unrealistic as it does not explain the characteristics of the measured ocean waves. Therefore, the source of the event was presumably in the atmosphere, where a travelling disturbance was detected that had the capability to resonantly transfer energy to the ocean via the Proudman resonance mechanism. Although these data prove the proposed mechanism, the final confirmation for such a scenario should come from a process-oriented numerical modelling study. © 2009 Elsevier Ltd. All rights reserved.</t>
  </si>
  <si>
    <t>2-s2.0-70449525875"</t>
  </si>
  <si>
    <t>Earthquake Science</t>
  </si>
  <si>
    <t>10.1007/s11589-009-0595-z</t>
  </si>
  <si>
    <t>https://www.scopus.com/inward/record.uri?eid=2-s2.0-73349131994&amp;doi=10.1007%2fs11589-009-0595-z&amp;partnerID=40&amp;md5=c60673e4b99aacfeee75c02b8964075b</t>
  </si>
  <si>
    <t>The devastating MS8.0 Wenchuan earthquake ruptured two large parallel thrust faults along the middle segment of the Longmenshan thrust belt. Preseismic and postseismic leveling data indicated the hanging wall of the Yingxiu-Beichuan-Nanba thrust fault mainly presented coseismic uplift with respect to the reference point at Pingwu county town, and the observed maximum uplift of 4.7 m is located at Beichuan county (Qushan town) which is about 100 m west of the fault scarp. The foot wall of the Yingxiu-Beichuan-Nanba thrust fault mainly showed subsidence with maximum subsidence of 0.6 m near the rupture. By employing a listric dislocation model, we found that the fault geometry model of exponential dip angle δ=88°×[1-exp(-9/h)] with depth of 18 km and uniform thrust-slip of 5.6 m could fit the observed coseismic vertical deformation very well, which verifies the listric thrust model of the Longmenshan orogenic zone. © 2009 Seismological Society of China and Springer Berlin Heidelberg.</t>
  </si>
  <si>
    <t>2-s2.0-73349131994"</t>
  </si>
  <si>
    <t>10.3189/002214309788609001</t>
  </si>
  <si>
    <t>https://www.scopus.com/inward/record.uri?eid=2-s2.0-67651177770&amp;doi=10.3189%2f002214309788609001&amp;partnerID=40&amp;md5=4e5526631262a08a3fba11c9b0d1d249</t>
  </si>
  <si>
    <t>Photogrammetric processing of archival stereo imagery offers the opportunity to reconstruct glacier volume changes for regions where no such data exist, and to better constrain the contribution to sea-level rise from small glaciers and ice caps. The ability to derive digital elevation model (DEM) measurements of glacier volume from photogrammetry relies on good-quality, well-distributed ground reference data, which may be difficult to acquire. This study shows that ground-control points (GCPs) can be identified and extracted from point-cloud airborne lidar data and used to control photogrammetric glacier models. The technique is applied to midtre Lovénbreen, a small valley glacier in northwest Svalbard. We show that the amount of ground control measured and the elevation accuracy of GCP coordinates (based on known and theoretical error considerations) has a significant effect on photogrammetric model statistics, DEM accuracy and the subsequent geodetic measurement of glacier volume change. Models controlled with fewer than 20 lidar control points or GCPs from sub-optimal areas within the swath footprint overestimated volume change by 14-53% over a 2 year period. DEMs derived from models utilizing 20-25 or more GCPs, however, gave volume change estimates within ∼4% of those from repeat lidar data (-0.51 ma-1 between 2003 and 2005). Our results have important implications for the measurement of glacier volume change from archival stereo-imagery sources.</t>
  </si>
  <si>
    <t>2-s2.0-67651177770"</t>
  </si>
  <si>
    <t>10.2112/SI53-006.1</t>
  </si>
  <si>
    <t>https://www.scopus.com/inward/record.uri?eid=2-s2.0-74549147542&amp;doi=10.2112%2fSI53-006.1&amp;partnerID=40&amp;md5=535c90006fd24b5852409849f7f8d1f9</t>
  </si>
  <si>
    <t>The importance of sea-level rise in shaping coastal landscapes is well recognized within the earth science community, but as with many natural hazards, communicating the risks associated with sea-level rise remains a challenge. Topography is a key parameter that influences many of the processes involved in coastal change, and thus, up-to-date, high-resolution, high-accuracy elevation data are required to model the coastal environment. Maps of areas subject to potential inundation have great utility to planners and managers concerned with the effects of sea-level rise. However, most of the maps produced to date are simplistic representations derived from older, coarse elevation data. In the last several years, vast amounts of high quality elevation data derived from lidar have become available. Because of their high vertical accuracy and spatial resolution, these lidar data are an excellent source of up-to-date information from which to improve identification and delineation of vulnerable lands. Four elevation datasets of varying resolution and accuracy were processed to demonstrate that the improved quality of lidar data leads to more precise delineation of coastal lands vulnerable to inundation. A key component of the comparison was to calculate and account for the vertical uncertainty of the elevation datasets. This comparison shows that lidar allows for a much more detailed delineation of the potential inundation zone when compared to other types of elevation models. It also shows how the certainty of the delineation of lands vulnerable to a given sea-level rise scenario is much improved when derived from higher resolution lidar data. © 2009 Coastal Education and Research Foundation.</t>
  </si>
  <si>
    <t>2-s2.0-74549147542"</t>
  </si>
  <si>
    <t>Journal of Spatial Hydrology</t>
  </si>
  <si>
    <t>https://www.scopus.com/inward/record.uri?eid=2-s2.0-77949579826&amp;partnerID=40&amp;md5=16795387a031dfcfb6e7bd66fcd75047</t>
  </si>
  <si>
    <t>Recently, in the year 2006, 2007 and 2008 heavy monsoons rainfall have triggered floods along Malaysia's east coast as well as in different parts of the country. The hardest hit areas are along the east coast of peninsular Malaysia in the states of Kelantan, Terengganu and Pahang. The flood cost nearly millions of dollars of property and many lives. Foods are considered to be one of the weather-related natural disasters. Many methods exist to provide qualitative estimations of the risk level of flood susceptibility mapping within a watershed. This paper presents construction of a flood susceptible map for presumptive flood areas around at Kelantan river basin in Malaysia using a statistical model and GIS. To evaluate the factors related to flood susceptible analysis, a spatial database was constructed from a topographical map, geological map, hydrological map, Global Positioning System (GPS) data, land cover map, digital elevation model (DEM) data, and precipitation data. An attribute database was also constructed from field investigations and historical flood areas reports for the study area. Logistic regression model was applied to determine each factor's rating, and the ratings were overlaid for flood susceptibility mapping. Results indicate that flood prone areas can be performed at 1:25,000 which is comparable to some conventional flood hazard map scales. The flood prone areas delineated on these maps correspond to areas that would be inundated by significant flooding. Further, risk analysis has been performed using DEM, distance from hazard zone, land cover map and damageable objects at risk. DEM was used to delineate the catchments and served as a mask to extract the highest hazard zones of the landslide area. Qualitatively, the model seems to give reasonable results with accuracy observed was 85%.</t>
  </si>
  <si>
    <t>2-s2.0-77949579826"</t>
  </si>
  <si>
    <t>10.2112/SI53-001.1</t>
  </si>
  <si>
    <t>https://www.scopus.com/inward/record.uri?eid=2-s2.0-74549114406&amp;doi=10.2112%2fSI53-001.1&amp;partnerID=40&amp;md5=743f5ae521a1b157bfd47714c2af1231</t>
  </si>
  <si>
    <t>Knowledge of coastal elevation is an essential requirement for resource management and scientific research. Recognizing the vast potential of lidar remote sensing in coastal studies, this Special Issue includes a collection of articles intended to represent the state-of-the-art for lidar investigations of nearshore submerged and emergent ecosystems, coastal morphodynamics, and hazards due to sea-level rise and severe storms. Some current applications for lidar remote sensing described in this Special Issue include bluegreen wavelength lidar used for submarine coastal benthic environments such as coral reef ecosystems, airborne lidar used for shoreline mapping and coastal change detection, and temporal waveform-resolving lidar used for vegetation mapping. © 2009 Coastal Education and Research Foundation.</t>
  </si>
  <si>
    <t>2-s2.0-74549114406"</t>
  </si>
  <si>
    <t>10.3137/OC314.2009</t>
  </si>
  <si>
    <t>https://www.scopus.com/inward/record.uri?eid=2-s2.0-73549124117&amp;doi=10.3137%2fOC314.2009&amp;partnerID=40&amp;md5=7a79cf94c3fbe5d4b07fca7924967af5</t>
  </si>
  <si>
    <t>Dissolved noble gas samples were taken during a pilot study in the Saguenay Fjord, Quebec, Canada, in order to determine the contribution of different air-sea gas exchange mechanisms in an estuary and to assess the contribution of tidal fronts to the aeration of subsurface waters. The noble gases He, Ne, Ar, Kr, and Xe span a large range of molecular diffusivities and solubilities and hence constitute a useful probe of various gas exchange and bubble injection processes. Samples were taken at flood tide upstream and downstream of an energetic tidal front that is generated by a hydraulically controlled flow over a shallow sill at the entrance to the Fjord. The results are interpreted with the help of hydrographic measurements of density and currents along cross-sill transects describing the physical forcing at the sill. High gas saturations downstream of the sill indicate the aeration of water within the frontal region. An inverse model is used to compare the contribution of bubble injection in the front to diffusion across the air-sea interface. The large ratio of completely 'trapped' bubbles to diffusion suggests that bubbles injected by waves breaking in the front contribute significantly to air-sea gas exchange with 76% for He, 79% for Ne, 56% for Ar, 47% for Kr, and 35% for Xe.Water samples were analyzed for helium isotopes and tritium in order to explore the possibility of constraining ventilation time scales. The relationship between tritium and salinity revealed two end-member waters: a freshwater component from the Saguenay River of 23.6 ± 0.5 TU, likely a residual of bomb-produced tritium, and a seawater end-member of approximately 1.5 TU originating in the subpolar Atlantic. An unexpected contribution of radiogenic 4He was detected in the deep waters of the St. Lawrence Estuary, likely a consequence of outgassing from old, uranium and thorium rich granitic terrain.</t>
  </si>
  <si>
    <t>2-s2.0-73549124117"</t>
  </si>
  <si>
    <t>10.1016/j.margeo.2009.02.010</t>
  </si>
  <si>
    <t>https://www.scopus.com/inward/record.uri?eid=2-s2.0-67650207761&amp;doi=10.1016%2fj.margeo.2009.02.010&amp;partnerID=40&amp;md5=09b6e69451d1f990a5003e0cef5d43b2</t>
  </si>
  <si>
    <t>Tsunami hazard assessment is critical for coastal communities, emergency services, and industry, to develop regional risk and response management plans, for catastrophic tsunami events (such as the recent 1998 Papua New Guinea (PNG) and 2004 Indian Ocean tsunamis). Along the northeastern United States coastline, tsunami hazard assessment is in its infancy, mostly due to the lack of historical tsunami record and the uncertainty regarding the return periods of potential large-scale events. The latter includes large transoceanic tsunamis, such as could be caused by a collapse of the Cumbre Vieja volcano in the Canary Islands or a large co-seismic tsunami initiated in the Puerto Rican trench, as well as large local tsunamis, such as could be caused by a Submarine Mass Failure (SMF) occurring on the nearby continental slope. In this region, considerable geologic and some historical (e.g., the 1929 Grand Bank landslide tsunami) evidence suggests that the largest tsunami hazard may arise from tsunamigenic SMFs, triggered by moderate seismic activity. The coastal impact of SMF (or landslide) tsunamis, indeed, can potentially be narrowly focused and affect specific communities. This research presents the development, validation, and results of a probabilistic geomechanical and coastal tsunami impact analysis, of tsunami hazard on the upper northeast coast of the United States. Results are presented in terms of nearshore breaking wave height and runup, caused by seismically induced tsunamigenic SMF, with a given return period. A Monte Carlo approach is employed, in which distributions of relevant parameters (seismicity, sediment properties, type and location, volume, and dimensions of slide, water depth, etc.) are used to perform large numbers of stochastic stability analyses of submerged slopes (along actual shelf transects), based on standard pseudo-static limit equilibrium methods. The distribution of predicted slope failures along the upper U.S. East Coast is found to match published data quite well. For slopes that are deemed unstable for a specified ground acceleration (with given return period), the tsunami source characteristic height is found using empirical equations (based on earlier numerical simulation work), and corresponding breaking height and runup are estimated on the nearest coastline. For a 0.2% annual-probability ground acceleration, for instance, simulations yield a return period of tsunamigenic SMFs of 3350-yr (i.e., a 0.03% annual probability of occurrence). The resulting estimate of the overall coastal hazard, from 100 and 500-yr SMF tsunami events, is found to be quite low at most locations, as compared to the typical 100 yr hurricane storm surge in the region (~ 4-5 m). Specifically, for the 100 yr event, SMF tsunami hazard is quite low with no coastal region exceeding a 1 m runup. For the 500 yr event, however, two regions of relatively elevated hazard are found: (1) near Long Island, NY, with a peak runup of 3 m</t>
  </si>
  <si>
    <t>Bulletin of the Geological Society of Denmark</t>
  </si>
  <si>
    <t>https://www.scopus.com/inward/record.uri?eid=2-s2.0-78449272902&amp;partnerID=40&amp;md5=2bb330d5d3a46ec31d7caaacf4017142</t>
  </si>
  <si>
    <t>During the past 5 years the coastal zone offshore the northern part of the island of Sylt, has been investigated by sparker seismics and high-resolution subbottom profiling. The North Sea sector of the area is characterized by northward-directed sediment bypass as a result of strong long-shore (tidal) currents heading towards the Lister Tief. The southern part of Lister Tief is characterized by the presence of a major dune field with up to 8 m high compound dunes with wavelengths up to 350 m indicative of easterly-directed sediment transport (flood dominated). Further to the northwest, in the outer delta, a dune field suggesting westerly-directed sediment transport is identified. The two dune fields appear to be separated by minor indefinite bed forms. The northern part of the Lister Tief is characterised by the presence of a channel with a depth of 20-30 mbsf (meter below sea level) (30-40 msec TWT (Two Way Traveltime)) and displaying erosion towards the north. At the western termination of the channel the sediment transport pathway appears to be divided into two directions</t>
  </si>
  <si>
    <t>10.1016/j.jhydrol.2009.07.004</t>
  </si>
  <si>
    <t>https://www.scopus.com/inward/record.uri?eid=2-s2.0-69349100544&amp;doi=10.1016%2fj.jhydrol.2009.07.004&amp;partnerID=40&amp;md5=b71d670d9210eb25c2f06e61aeaf1997</t>
  </si>
  <si>
    <t>While recent studies have revealed that tidal fluctuations in an estuary significantly affect groundwater flows and salt transport in the riparian zone, only seawater salinity in the estuary has been considered. A numerical study is conducted to investigate the influence of estuarine salinity variations on the groundwater flow and salt dynamics in the adjacent aquifer to extend our understanding of these complex and dynamic systems. Tidal salinity fluctuations (synchronous with estuary stage) were found to alter the magnitude and distribution of groundwater discharge to the estuary, which subsequently impacted on groundwater salinity patterns and residence times, especially in the riparian zone. The effects of salinity fluctuations were not fully captured by adopting a constant, time-averaged estuarine salinity. The modelling analysis also included an assessment of the impact of a seasonal freshwater flush in the estuary, similar to that expected in tropical climates (e.g. mean estuary level during flood significantly greater than average), on adjacent groundwater flow and salinity conditions. The three-month freshwater flushing event temporarily disrupted the salt distribution and re-circulation patterns predicted to occur under conditions of constant salinity and tidal water level fluctuations in the estuary. The results indicate that the salinity variations in tidal estuaries impact significantly on estuary-aquifer interaction and need to be accounted for to properly assess salinity and flow dynamics and groundwater residence times of riparian zones. © 2009 Elsevier B.V. All rights reserved.</t>
  </si>
  <si>
    <t>2-s2.0-69349100544"</t>
  </si>
  <si>
    <t>Waterlines</t>
  </si>
  <si>
    <t>10.3362/1756-3488.2009.024</t>
  </si>
  <si>
    <t>https://www.scopus.com/inward/record.uri?eid=2-s2.0-77958074381&amp;doi=10.3362%2f1756-3488.2009.024&amp;partnerID=40&amp;md5=30582a54cea66be3d749d526f5855012</t>
  </si>
  <si>
    <t>This paper applies a framework for understanding adaptation to an intervention in coastal Sri Lanka. Adaptation is described in terms of different components that, in combination, can address current vulnerability and the uncertainty inherent in climate predictions. In Sri Lanka, temperature increase, sea-level rise and the failure of irrigation systems are all contributing to the increasing salinity of small-scale farmers' rice paddies. The community-based adaptation activities reviewed here aimed to reintroduce traditional rice varieties to restore yields following the failure of fertilizer-dependent hybrid varieties and neglect by formal research institutions. Crucially, farmers themselves led variety-selection research, rebuilding their ability to experiment, thereby addressing the immediate problem of crop failure and providing the capacity to adapt to future environmental change. © 2009 Practical Action Publishing.</t>
  </si>
  <si>
    <t>2-s2.0-77958074381"</t>
  </si>
  <si>
    <t>https://www.scopus.com/inward/record.uri?eid=2-s2.0-65449150565&amp;partnerID=40&amp;md5=6e01e2473b267e5913728038dddc1d52</t>
  </si>
  <si>
    <t>The Northwestern and Northeastern areas from the Nile delta to the Egyptain borders are exposed to various intensities of wind erosion. Hence, field experiments were carried out on cultivated areas at Northwestern areas of Egypt (Fuka, El-Qasr and Siwa oasis). These soils differed in texture, being sandy in Siwa, sandy loam in El-Qasr and sandy clay loam in Fuka. The objective of this study was to evaluate the effect of 2m high windbreaks on reducing the quantities of eroded materials form different field lengths. The windbreaks were rubble-stone fence, acacia and olive trees and bamboo. The eroded materials were determined at the 10 meters windward before the barrier and 20, 40, 100 and 200 meters leeward after the barrier using Big Spring Number Eight traps. The experiment extended for 733 days from October, 2003 to October, 2005 divided into 13 periods. Barriers with different materials have a significant effect on reducing soil loss for different soil texture classes. The soil loss ratio (SLR) for all fields and barriers increased as the distance after the barrier increased and did not follow a consistent pattern for all fields. A distance equal to 10 times the height of the barrier is considered suitable for the protection against wind erosion hazards. The expected field length among barriers in cultivated soils differed among the studied areas due to their textuere. The optimal field length should be 44m, 100m and 200m (i.e., 22, 50 and 100H) for sandy, sandy loam and sandy clay loam soils, respectively, where the reduction of soil loss was 64% for all soils. © 2009, INSInet Publication.</t>
  </si>
  <si>
    <t>2-s2.0-65449150565"</t>
  </si>
  <si>
    <t>https://www.scopus.com/inward/record.uri?eid=2-s2.0-60449103750&amp;partnerID=40&amp;md5=4c38818a85353221ce4c26b8e426c404</t>
  </si>
  <si>
    <t>The earth's precious water sources are under pressure due to climate change and population pressure, increasing the demands for drinking water and irrigation. Water availability is essential for the world's food production, currently under threat. Too much water, however, can destroy fertile soils by erosion or flooding. Knowledge about the spatial and temporal variation of soil moisture is indispensable to predict and prevent such hazards. There is an urgent need in the fields of earth sciences, meteorology, hydrology, agriculture and global change modelling for operational models that can accurately predict soil moisture patterns in space and time. High spatial and temporal variability of soil moisture and its low degree of autocorrelation complicate the modelling using process-based models. The aim of this research was to evaluate the performance of different methods that estimate top soil moisture patterns in space and time. Field measurements, process-based modelling and remote sensing based modelling were evaluated. Additionally, a data assimilation approach that combines the advantages of each method for operational soil moisture modelling was developed and evaluated. The predictions of top soil moisture (0-15 cm below the soil surface) were done at a specific spatial resolution of 125 m and timesteps of 1 hour. The main research question was defined as: Top soil moisture patterns in space and time can be estimated using field methods, process-based models and remote sensing data. What is the performance, in terms of accuracy, support and coverage of operational spatio-temporal estimation of top soil moisture, of each method separately and a combined approach that uses a particle filter data assimilation algorithm? The term support is defined here as the area (or volume) and time interval for which the measured properties are considered homogeneous, and for which only the average value is measured and not the variation within. Coverage is defined as the sampling intensity in space and/or time. In this research three study sites, Barrax (Spain), Sehoul (Morocco) and La Peyne (France) were used for different purposes. The Barrax field site is located in the La-Mancha region in Spain. This flat agricultural area shows a large contrast between pivot irrigated crops and dry areas, which made it very suitable for the evaluation of a remote sensing derived surface energy balance model. During the ESA funded SPARC 2004 field campaign input data for the surface energy balance model was collected, which makes this a ""data rich"" area. Because the water balance in this region is human controlled, the site has not been used for soil moisture modelling. Agriculture in the Sehoul study area is more dependent on precipitation, which made it interesting for the measurement and modelling of soil moisture patterns. The study area is located in the north of the agricultural community of Sehoul in Morocco, approximately 20 km south-east of Rabat. Although the climate is comparable with the Barrax study area, the land use is very different. In the Sehoul study area land use comprises rainfed wheat, maize and horticulture. Some traditional irrigation is present. Because soils are relatively homogeneous with low spatial variation and little relief, this site was chosen for soil moisture modelling. Meteorological measurements, soil moisture measurements and land cover mapping were done during several field campaigns from 2003 to 2006. Nevertheless, this study area is 'data poor' in the sense that only inexpensive practical measurements have been done and the use of remote sensing is necessary for the spatio-temporal predictions of soil moisture. The La Peyne study area is only used in a case study on DEM generation using remote sensing. The site is located in southern France, approximately 60 km west of the city of Montpellier. This area was selected because a large set of high quality aerial photographs was available as well as images from the Advanced Spaceborne Thermal Emission and Reflection Radiometer (ASTER). Furthermore, a large ground truth database exists for this area. In this study, field measurements of top soil moisture were done using Time Domain Reflectometry (TDR). The instrument has an error of 0.03 m m -1. The measurements for a field of 1 ha show standard deviations of less than 0.03 m m -1. During and shortly after rainfall events the standard deviations are higher. Although the uncertainty of field measurements is relatively low, the lateral support of the TDR measurements is also low, 0.002 m 2, requiring many measurements for a good coverage in space and time. Also the vertical coverage of the field measurements is low, typically between 0 and 15 cm. The choice to make more measurements within the soil profile is often a trade-off with the choice to increase the lateral coverage, depending on the number of instruments. The temporal coverage can be increased by using data loggers. The process-based Soil Moisture System (SOMS) model was developed in this research. The model was specifically developed for the integration of a remote sensing based surface energy balance model at the scale of an agricultural community. The SOMS model estimates the evolution of top soil moisture patterns for agricultural and semi-natural areas after rainfall events. Process-based models have a lateral support that depends on their resolution. In the case of the SOMS model, the lateral support is 15625 m 2 (125 m gridcells). The model calculates the volumetric moisture content (VMC) in a soil profile of 90 cm with timesteps of 1 hour for each gridcell in an area of 50 km 2. This gives this method a good lateral, vertical and temporal coverage. The uncertainty depends on the location in the modelled area, because the model has been calibrated for a limited number of locations, using PEST. The only source of spatial variation introduced in the process-based model is the stratification of input data and parameters, using a map with unique soil type and land use class combinations. Modelled VMC, however, showed a good goodness of fit compared to independent TDR measurements at locations other than the measurements used for calibration. SOMS is capable of predicting top soil moisture with a RMSE between 0.007 m m -1 and 0.037 m m -1 for agricultural areas in the Sehoul study area in winter 2004. For dry periods, the accuracy of the modelled top soil moisture is within the reported measurement accuracy of the TDR, which is 0.03 m m -1. Optical and thermal remote sensing can be used to estimate soil moisture patterns in space by using empirical, non-linear, relationships between surface temperature, vegetation indices and soil moisture content. In order to obtain accurate quantities of soil moisture, the empirical functions should be calibrated to compensate for differences in atmospheric conditions, vegetation cover, land cover type, topography and meteorological variables. On the other hand, remote sensing can provide spatial input data for process-based models, e.g. land cover data, albedo and evapotranspiration. In this research remote sensing was used to derive surface temperature, emissivity, albedo, fractional vegetation cover, Leaf Area Index, NDVI, surface aerodynamic parameters and elevation. The lateral support of remote sensing methods depends on the resolution of the sensor. The lateral coverage is large, but the vertical coverage is low. The temporal coverage is low for high and medium resolution imagery (&gt; 16 days) and high for coarse resolution imagery (&lt; daily). An upscaling algorithm, DisTrad, was used to increase the resolution of surface temperature derived from the Moderate Resolution Imaging Spectroradiometer (MODIS) and ASTER by correlating low resolution temperature images with high resolution NDVI images calculated with data from the same platform. This algorithm is able to increase the resolution of the temperature image, but also its uncertainty. For the integrated approach, which uses field measurements (TDR), a process-based model (SOMS) and remote sensing data from MODIS, a residual resampling particle filter data assimilation algorithm has been implemented. The algorithm integrates actual evapotranspiration (AET) derived from remote sensing using error propagation scenarios of the Surface Energy Balance System (SEBS) surface energy balance model with error propagation scenarios of SOMS. The SEBS algorithm was implemented with the PCRaster Python library. SEBS calculates the energy balance terms, relative evaporation, evaporative fraction and evapotranspiration flux for all pixels of a remote sensing image, using its optical and thermal bands, in combination with meteorological measurements, radiation measurements and additional field data, when available. The uncertainty of AET predicted by SEBS has been estimated for two error propagation scenarios. The SEBS - Large Error Scenario assumes that the measurement and upscaling of radiometric surface temperature, using the DisTrad procedure, induces a large error compared to other error sources. The standard deviation of AET estimates in this scenario is 0.02 cm hour -1. The SEBS - Small Error Scenario assumes that only a small measurement error in surface radiometric temperature causes errors in SEBS estimates. This results in AET estimates with an average standard deviation of 0.004 cm hour -1. Also the uncertainty in VMC and AET of SOMS predictions was estimated with two error propagation scenarios. The SOMS - Data Rich Scenario, in which all errors in field measurements, maps and satellite data are modelled, shows an average RMSE of 0.02 m m -1 compared to field measurements of VMC.</t>
  </si>
  <si>
    <t>2-s2.0-60449103750"</t>
  </si>
  <si>
    <t>10.1108/17568690910955649</t>
  </si>
  <si>
    <t>https://www.scopus.com/inward/record.uri?eid=2-s2.0-84992933762&amp;doi=10.1108%2f17568690910955649&amp;partnerID=40&amp;md5=7653d277554153092f39893aa1b42df8</t>
  </si>
  <si>
    <t>Purpose – The multidisciplinary Fluvalps-3000 research project focuses on the variability of the Late Holocene and historical fluvial dynamics in alpine catchments. The purpose of this paper is to examine the potential of a 3,600 year-long record composed from fluvial deposits for flood hazard assessment. Design/methodology/approach – The research is based on a multi-proxy approach integrating methods of various disciplines as sedimentology, geochronology, pedology, geomorphology, palynology, history, and archaeology. This paper considers particularly the sedimentological and geocronological methods applied to the fluvial records of several key sections of the Lütschine and Lombach fan deltas. Findings – The sedimentary data of the high-resolution fan delta record show up to seven major aggradation pulses from 3,600 cal yr BP to present. Furthermore, 19 minor burial episodes occur between 3,600 and 1,050 cal yr BP at average intervals between 113 years (Lütschine) and 105 years (Lombach) suggesting that aggradation during the focused period was triggered by centennial flood events. Nine coarse-grained flood layers of the Lütschine record, deposited during the last 3,350 years by catastrophic flood events at a recurrence interval of 370 years, coincide with positive radiocarbon anomalies and cold phases in the Alps. The solar influence on regional hydrological regime is proposed as the main factor triggering the flooding events. However, the impact of land-use changes in the region since 2,300 cal yr BP was detected by pollen and geochemical proxy data from fluvial deposits. Originality/value – According to the results, the 2005 flood may not be considered as one of these mayor catastrophic events, thus providing useful data for future risk assessment by regional and local authorities. The 3,600 year flood history derived from fan delta proxies, presented in this paper, is unique in the European Alps. © 2009, Emerald Group Publishing Limited</t>
  </si>
  <si>
    <t>2-s2.0-84992933762"</t>
  </si>
  <si>
    <t>10.1002/qj.451</t>
  </si>
  <si>
    <t>https://www.scopus.com/inward/record.uri?eid=2-s2.0-70349588050&amp;doi=10.1002%2fqj.451&amp;partnerID=40&amp;md5=f95543890044447a4e6d28b0b7d3f70c</t>
  </si>
  <si>
    <t>The diurnal cycle of surface divergence over the oceans is examined using 4 × daily data from the tandem SeaWinds satellite missions during April-September 2003. A statistically significant diurnal cycle of surface divergence is observed over a large fraction of the tropical and subtropical oceans. The highest amplitudes are found adjacent to tropical landmasses and decrease exponentially with distance away from the coast, with a representative e-folding distance of approximately 200 km. In most of these near-coastal regions the surface divergence peaks at ~ 15-20 h locally and there is evidence of offshore propagation of the signal. There are regions, however, where strong cycles persist for much greater distances offshore. Over the southeast Pacific Ocean, there is evidence of a diurnal subsidence wave that propagates for over 2000 km away from the South American coast at approximately 25 m s-1. A cloud response to the subsidence wave moving westward from the Andes mountains is detected using passive microwave observations of liquid-water path. Over the remote tropical Pacific, significant diurnal amplitude is found in and around regions of strong mean surface convergence, with a phase suggesting a surface response to the early morning diurnal maximum in precipitation and propagation away from these sources consistent with gravity waves forced by deep tropospheric heating. European Centre for Medium-Range Weather Forecasts (ECMWF) model simulations of 850 hPa subsidence show a diurnal cycle that is largely consistent with the SeaWinds divergence observations. © 2009 Royal Meteorological Society.</t>
  </si>
  <si>
    <t>2-s2.0-70349588050"</t>
  </si>
  <si>
    <t>10.1080/01490410902869151</t>
  </si>
  <si>
    <t>https://www.scopus.com/inward/record.uri?eid=2-s2.0-74849122890&amp;doi=10.1080%2f01490410902869151&amp;partnerID=40&amp;md5=b042ba207a5681f787f2b3628344da8d</t>
  </si>
  <si>
    <t>The overtopping of flood defenses by coastal storm surges constitutes a significant threat to life and property. Like all forecasts, storm surge predictions have an associated uncertainty, but this is not directly predicted by current operational systems. The dominant source of this uncertainty is thought to be uncertainty in the driving atmospheric forecast of conditions at the sea surface, which can vary substantially depending on the meteorological situation. Ensemble prediction is a technique used to assess uncertainty in forecasts of complex nonlinear systems such as weather, where small errors can quickly grow to produce significantly different outcomes. It works by running not one but several forecasts, using slightly different initial conditions, boundary conditions, and/or model physics. These are chosen to sample the range of uncertainty in model inputs and formulation so that the corresponding forecasts will sample the range of possible results that are consistent with those uncertainties. The United Kingdom Met Office has recently developed the Met Office Global and Regional Ensemble Prediction System (MOGREPS), which provides 24 different predictions of meteorological evolution over a North Atlantic and European domain with a 24 km grid length. The aim of the present project is to run a barotropic storm surge prediction for each MOGREPS ensemble member, and thereby estimate the risk of damaging events given the forecast uncertainties which are sampled by the ensemble. The system forecasts 54 hours ahead and runs twice per day. In most situations, the ensemble develops rather little spread, suggesting a fairly predictable situation and a high degree of confidence in the forecast. On some occasions, however, the spread is much larger, suggesting a greater degree of uncertainty. Initial verification results are encouraging, although statistical evaluation suggests the ensemble spread is generally too small. © British Crown 2009.</t>
  </si>
  <si>
    <t>2-s2.0-74849122890"</t>
  </si>
  <si>
    <t>OR Spectrum</t>
  </si>
  <si>
    <t>10.1007/s00291-008-0126-7</t>
  </si>
  <si>
    <t>https://www.scopus.com/inward/record.uri?eid=2-s2.0-67349139140&amp;doi=10.1007%2fs00291-008-0126-7&amp;partnerID=40&amp;md5=a163f67833a80b06c29db6d9ca0cab94</t>
  </si>
  <si>
    <t>We present a model for multi-objective decision analysis with respect to the location of public facilities as schools in areas near to coasts, taking risks of inundation by tsunamis into account. A mathematical programming formulation with three objective functions is given. The first objective function is a weighted mean of a minisum and a maximum coverage criterion. The second objective function expresses risk by possible tsunami events; for quantifying this risk, a statistical model for tsunami occurrences by Kaistrenko and Pinegina is applied. The third criterion represents costs. For the solution of the multi-objective optimization problem, we propose a heuristic approach based on the NSGA-II algorithm and compare it with a decomposition technique where the region under consideration is partitioned into smaller sub-regions, and the problem is solved for each separate subregion either exactly or heuristically. Both approaches are tested on two real-life instances from southern Sri Lanka.</t>
  </si>
  <si>
    <t>Special Paper of the Geological Society of America</t>
  </si>
  <si>
    <t>10.1130/2009.2460(04)</t>
  </si>
  <si>
    <t>https://www.scopus.com/inward/record.uri?eid=2-s2.0-74949133859&amp;doi=10.1130%2f2009.2460%2804%29&amp;partnerID=40&amp;md5=ecb0cc44d1eac7e5a45ef42064c79b32</t>
  </si>
  <si>
    <t>Pea Island, Oregon Inlet, and Bodie Island, North Carolina, are severely humanmodified barrier-island segments that are central to an age-old controversy pitting natural barrier-island dynamics against the economic development of coastal North Carolina. Bodie Island extends for 15 km from the Nags Head-Kitty Hawk urban area to the north shore of Oregon Inlet and is part of Cape Hatteras National Seashore. Pea Island extends 19.3 km from the southern shore of Oregon Inlet to Rodanthe Village and is the Pea Island National Wildlife Refuge. Bodie and Pea Islands evolved as classic inlet- and overwash-dominated (transgressive) simple barrier islands that are now separated by Oregon Inlet. The inlet was opened in 1846 by a hurricane and subsequently migrated 3.95 km past its present location by 1989. With construction of coastal Highway 12 on Bodie and Pea Islands (1952) and the Oregon Inlet bridge (1962-1963), this coastal segment has become a critical link for the Outer Banks economy and eight beach communities that occur from Rodanthe to Ocracoke. The ongoing natural processes have escalated efforts to stabilize these dynamic islands and associated inlet in time and space by utilizing massive rock jetties and revetments, kilometers of sand bags and constructed dune ridges, and extensive beach nourishment projects. As the coastal system responds to ongoing processes of rising sea level and storm dynamics, efforts to engineer fi xes are increasing and now constitute a ""human hurricane"" that pits conventional utilization of the barriers against the natural coastal system dynamics that maintain barrier-island integrity over the long term. © 2009 The Geological Society of America.</t>
  </si>
  <si>
    <t>2-s2.0-74949133859"</t>
  </si>
  <si>
    <t>10.1016/j.apgeochem.2009.04.002</t>
  </si>
  <si>
    <t>https://www.scopus.com/inward/record.uri?eid=2-s2.0-67349256798&amp;doi=10.1016%2fj.apgeochem.2009.04.002&amp;partnerID=40&amp;md5=a90967498c336e97c5f4cf254eb54bb8</t>
  </si>
  <si>
    <t>Arsenic-enriched groundwater has been a pressing human health issue for more than a decade, with tens of millions of people worldwide being at risk of chronic As poisoning through the consumption of As-burdened groundwater. To elucidate the importance of dissolved S on the scale of As concentrations, the composition of groundwater samples from 926 locations spanning over the floodplains of three severely arsenic affected regions in Asia (Bengal-, Mekong-, Red River deltas), were assessed. A binary mixing model based on Cl- or B as conservative tracers implies that two types of water may be regarded as end-members with respect to groundwater composition in these deltas, namely surface derived water (approximated by river water) and saline water identical to residual sea water. Six redox zones were distinguished by comparing the model-calculated SO42 - concentrations with the measured values. Only one zone (denoted methanogenic) had very high average As concentrations and they were significantly higher than in the other zones - for all three regions, regardless of applying Cl- or B as a tracer in the model. Average As concentrations ± standard error in the methanogenic zone were 182 ± 23 μg L-1 (n = 50%), 41 ± 6 μg L-1 (n = 43%), and 61 ± 20 μg L-1 (n = 24%) in the Mekong, Red River and Bengal delta, respectively. Arsenic levels were significantly lower in the SO4-reducing and the Fe-reducing zones, where averages were 23 ± 7 μg L-1 (n = 27%, zone I), 14 ± 3 μg L-1 (n = 48%, zone S) and 26 ± 9 μg L-1 (n = 64%, zone S). These results suggest that a sufficient supply of SO42 - inhibits the release of As to groundwater and that SO42 - reduction may be as important as Fe reduction in controlling the enrichment of As in groundwater. © 2009 Elsevier Ltd. All rights reserved.</t>
  </si>
  <si>
    <t>2-s2.0-67349256798"</t>
  </si>
  <si>
    <t>10.1029/2007JF000918</t>
  </si>
  <si>
    <t>https://www.scopus.com/inward/record.uri?eid=2-s2.0-68949091257&amp;doi=10.1029%2f2007JF000918&amp;partnerID=40&amp;md5=cb7f24e4d59d3bc4fd43ca09f2fff31d</t>
  </si>
  <si>
    <t>Assessment of the hazard from lava flow inundation at the active volcano of Mount Etna, Italy, was performed by calculating the probability of lava flow inundation at each position on the volcano. A probability distribution for the formation of new vents was calculated using geological and volcanological data from past eruptions. The simulated lava flows from these vents were emplaced using a maximum expected flow length derived from geological data on previous lava flows. Simulations were run using DOWNFLOW, a digital-elevation-model-based model designed to predict lava flow paths. Different eruptive scenarios were simulated by varying the elevation and probability distribution of eruptive points. Inundation maps show that the city of Catania and the coastal zone may only be impacted by flows erupted from low-altitude vents (&lt;1500 m . elevation) and that flank eruptions at elevations &gt;2000 m preferentially inundate the northeast and southern sectors of the volcano as well as the Valle del Bove. Eruptions occurring in the summit area (&gt;3000 m elevation) pose no threat to the local population. Discrepancies between the results of simple, hydrological models and those of the DOWNFLOW model show that hydrological approaches are inappropriate when dealing with Etnean lava flows. Because hydrological approaches are not designed to reproduce the full complexity of lava flow spreading, they underestimate the catchment basins when the fluid has a complex rheology. Copyright 2009 by the American Geophysical Union.</t>
  </si>
  <si>
    <t>2-s2.0-68949091257"</t>
  </si>
  <si>
    <t>10.2112/08-1004.1</t>
  </si>
  <si>
    <t>https://www.scopus.com/inward/record.uri?eid=2-s2.0-67649534816&amp;doi=10.2112%2f08-1004.1&amp;partnerID=40&amp;md5=305ab52466d1b8dbd8a0a1b27e539476</t>
  </si>
  <si>
    <t>Wave run-up along the north shore of oahu has an annual cycle with a maximum centered on boreal winter. An understanding of the variability of high wave wash is important for coastal planning, transportation, safety, and property protection. Wave run-up increases with increasing surf size and tidal height. This study analyzed hourly historic wave data and predicted tides from 1981 to 2007 to better understand wave run-up potential based on the frequency and duration (in hours) that high surf and tides coincided as categorized by thresholds of surf and tidal height. The waimea buoy, located just 5 km offshore, was the primary source for deep-water wave height and period. However, this series only began in 2001. The national data buoy center platform 51001 extends back to 1981. Its location is sufficiently remote from oahu to warrant a correction in significant wave height. The correction was made based on a regression analysis between daily mean wave heights from these two buoys. From the final, deep-water, nearshore oahu, hourly series of swell height and period, surf heights were calculated using an empirical transformation scheme. Thresholds were defined for four surf heights and three tidal elevations. Recurrence was calculated for each of the 12 categories. Duration was computed by summing consecutive hours for each event above each threshold. Historical evidence of sand wash onto select portions of the coastal highway was used to qualitatively rank the 12 categories as marginal, significant, or extreme. One important application of these results would be improvement to surf-related coastal flood forecasts by the national weather service in pursuit of protection of life and property. For future design considerations, a joint probability model was constructed to better understand the annual average number of hours exceeding any given paired surf and tidal height.</t>
  </si>
  <si>
    <t>2-s2.0-67649534816"</t>
  </si>
  <si>
    <t>Handbook of Environmental Chemistry, Volume 5: Water Pollution</t>
  </si>
  <si>
    <t>10.1007/698_5_114</t>
  </si>
  <si>
    <t>https://www.scopus.com/inward/record.uri?eid=2-s2.0-58249105110&amp;doi=10.1007%2f698_5_114&amp;partnerID=40&amp;md5=48a7305f83b144cb86930257be210b6b</t>
  </si>
  <si>
    <t>This study addressed the feasibility and practical considerations related to the possible use of contaminated sediments in coastal wetland restoration and creation efforts. Dredge and other sediments are frequently contaminated with chemical pollutants, and large volumes of this potentially recoverable resource are disposed of in dumpsites rather than utilized. This work addresses the possible deployment of sediments contaminated with aromatic hydrocarbons (AHs) in salt marsh creation efforts. The experimental system was a hydrodynamic mesocosm developed to study well-drained, permanently saturated-flooded and alternately flooded-drained (tidal) hydraulic effects on biogeochemical and plant processes. The target AHs for this work were naphthalene, phenanthrene, 1-methylnaphthalene, 1,3-dimethylnaphthalene, 3-methylphenanthrene, and 3,6-dimethylphenanthrene. The results of this work confirmed that different hydraulic conditions and the resultant biogeochemical properties of salt marshes influence the rate, transformation-time profile, and completeness of transformation of AHs in sediments. In general, the relative transformation rates for the AHs in the different systems examined here were drained/oxidized Eh ≥ tidal/oscillating Eh ≫ flood/reduced Eh, as observed previously with other classes of organic chemicals. The generation of hydroxylated AHs coincided with observed compound transformation profiles: decreases in target compounds on sediments were correlated with increases in hydroxylated AHs in the water. While well-drained aerobic conditions seem to be optimal for the transformation/depuration of AHs in salt marsh sediments, in natural settings this kind of system would not be a""wetland"" either geohydrologically or with respect to vegetation. So, when evaluating the use of contaminated sediments in ""wetland"" construction or expansion, the relevant zones are streamside and marsh interior. This work indicates that AH contaminated sediments can be used, alone or mixed with clean sediments or other industrial materials (e.g., phosphogypsum and bauxite ""red mud""), for wetland creation or enhancement. It would seem that either or both marsh locations (interior vs. streamside) are appropriate, at least with respect to rapid degradation and elimination of these AHs from the sediments. The tradeoff involves time and potential offsite risks: at streamside, the removal rates were twice as fast as and somewhat more complete than in the interior, but the action of the tides could mobilize contaminants to the estuary and beyond. The interior sediments will allow for less exchange of the pollutants with the estuarine water, but will take longer to depurate, particularly if the sediments become compacted. © 2008 Springer-Verlag Berlin Heidelberg.</t>
  </si>
  <si>
    <t>2-s2.0-58249105110"</t>
  </si>
  <si>
    <t>10.1016/j.jhydrol.2009.01.026</t>
  </si>
  <si>
    <t>https://www.scopus.com/inward/record.uri?eid=2-s2.0-62849089954&amp;doi=10.1016%2fj.jhydrol.2009.01.026&amp;partnerID=40&amp;md5=12261df4da2fd246868740b22a011988</t>
  </si>
  <si>
    <t>Flood inundation modelling on urbanised floodplains has become more feasible due to the increased availability of high resolution digital terrain data and computer power. However, studies that validate simulations with spatially distributed measurements are rare, especially for large events. This paper reports one of the most comprehensive validation data sets available to date on an urban flood, collected in January 2005 after a major event in the city of Carlisle, UK. For the first time this case study collated distributed urban maximum water level and extent measurements with gauged hydrographs, LiDAR elevation data and digital Mastermap® data. These data were used to build and calibrate two 2D diffusion wave models at the whole city scale, based on digital elevation data with and without buildings. RMSE between measured and simulated maximum water level was 0.32 m and 0.28 m for the models with and without buildings, respectively, the latter being more accurate due to blockages on the floodplain when building heights were included in the topography. The magnitude of simulation errors compared well with other studies in the literature, and considering potential errors in the measurement data indicates that the diffusion wave approach was adequate to capture the first-order physics relevant here, although a global channel roughness parameter was unable to capture the full spatially-varying dynamics of the flood event. © 2009 Elsevier B.V. All rights reserved.</t>
  </si>
  <si>
    <t>2-s2.0-62849089954"</t>
  </si>
  <si>
    <t>10.1016/j.geomorph.2008.11.004</t>
  </si>
  <si>
    <t>https://www.scopus.com/inward/record.uri?eid=2-s2.0-64449088494&amp;doi=10.1016%2fj.geomorph.2008.11.004&amp;partnerID=40&amp;md5=914c056b6ec16da20f6107bbf5a265a4</t>
  </si>
  <si>
    <t>Climate changes and sea-level rise are important issues, especially for deltas such as the Po Delta, Italy. The evolution of the Po Delta shows a succession in space and a superposition in time of complex environmental natural processes. During the last few centuries, anthropogenic action has played a major role. The formation of the Po Delta began about 2000 years ago and has undergone many phases of development. Between 1500 AD and 1600 AD, the Venetian technicians diverted the Po river course. With these interventions, the ""Renaissance delta"" was cut off from the hydraulic network and the ""modern delta"" began to form. Until the middle of the 20th century, progradation of the delta was noticeable due to the abundant sediment supply. In the following decades coastal erosion occurred, this was caused by the reduction of the solid supply of the Po, due to dam and barrier construction and to river bed excavation. These and other interventions (e.g. reclamation, methane extractions from superficial ground water table) have deeply modified the physical and ecological characteristics of the Po Delta. The morphological characteristics of the Po Delta make the largest Italian wetland particularly unstable and very fragile when subjected to human pressure. Furthermore, the delta evidences multiple threats that will probably be exacerbated in the following decades by the effects of expected climatic changes. Only the application of careful policies concerning coastal defence, flood mitigation, anthropogenic subsidence reduction and salt wedge intrusion control will allow reduction of the present or predicted negative effects. This paper reviews how natural and human factors have controlled the Po Delta through time and discusses management strategies taking into account the importance of the human factor and the potential effects of climatic changes. © 2008 Elsevier B.V. All rights reserved.</t>
  </si>
  <si>
    <t>2-s2.0-64449088494"</t>
  </si>
  <si>
    <t>10.1175/2008JCLI2572.1</t>
  </si>
  <si>
    <t>https://www.scopus.com/inward/record.uri?eid=2-s2.0-66849095911&amp;doi=10.1175%2f2008JCLI2572.1&amp;partnerID=40&amp;md5=4d5762b8fc940a47a5cab00f0c1c1cda</t>
  </si>
  <si>
    <t>To predict the rate and consequences of shrinkage of the earth's mountain glaciers and ice caps, it is necessary to have improved regional-scale models of mountain glaciation and better knowledge of the subglacial topography upon which these models must operate. The problem of estimating glacier ice thickness is addressed by developing an artificial neural network (ANN) approach that uses calculations performed on a digital elevation model (DEM) and on a mask of the present-day ice cover. Because suitable data from real glaciers are lacking, the ANN is trained by substituting the known topography of ice-denuded regions adjacent to the ice-covered regions of interest, and this known topography is hidden by imagining it to be ice-covered. For this training it is assumed that the topography is flooded to various levels by horizontal lake-like glaciers. The validity of this assumption and the estimation skill of the trained ANN is tested by predicting ice thickness for four 50 km × 50 km regions that are currently ice free but that have been partially glaciated using a numerical ice dynamics model. In this manner, predictions of ice thickness based on the neural network can be compared to the modeled ice thickness and the performance of the neural network can be evaluated and improved. From the results, thus far, it is found that ANN depth estimates can yield plausible subglacial topography with a representative rms elevation error of ±70 m and remarkably good estimates of ice volume. © 2009 American Meteorological Society.</t>
  </si>
  <si>
    <t>2-s2.0-66849095911"</t>
  </si>
  <si>
    <t>10.1672/08-77.1</t>
  </si>
  <si>
    <t>https://www.scopus.com/inward/record.uri?eid=2-s2.0-69349096481&amp;doi=10.1672%2f08-77.1&amp;partnerID=40&amp;md5=f8339eaf2f98d3ede9772c36b2eafa21</t>
  </si>
  <si>
    <t>This report documents changes in forest structure and growth potential of dominant trees in salt-impacted tidal and non-tidal baldcypress wetlands of the southeastern United States. We inventoried basal area and tree height, and monitored incremental growth (in basal area) of codominant baldcypress (Taxodium distichum) trees monthly, for over four years, to examine the inter-relationships among growth, site fertility, and soil physico-chemical characteristics. We found that salinity, soil total nitrogen (TN), flood duration, and flood frequency affected forest structure and growth the greatest. While mean annual site salinity ranged from 0.1 to 3.4 ppt, sites with salinity concentrations of 1.3 ppt or greater supported a basal area of less than 40 m2/ha. Where salinity was &lt; 0.7 ppt, basal area was as high as 87 m2/ha. Stand height was also negatively affected by higher salinity. However, salinity related only to soil TN concentrations or to the relative balance between soil TN and total phosphorus (TP), which reached a maximum concentration between 1.2 and 2.0 ppt salinity. As estuarine influence shifts inland with sea-level rise, forest growth may become more strongly linked to salinity, not only due to salt effects but also as a consequence of site nitrogen imbalance. © 2009, The Society of Wetland Scientists.</t>
  </si>
  <si>
    <t>2-s2.0-69349096481"</t>
  </si>
  <si>
    <t>10.1007/s00376-009-0553-7</t>
  </si>
  <si>
    <t>https://www.scopus.com/inward/record.uri?eid=2-s2.0-70849087888&amp;doi=10.1007%2fs00376-009-0553-7&amp;partnerID=40&amp;md5=cb45086e398eccb8e6e74030bca6834b</t>
  </si>
  <si>
    <t>In the summers of 2003 and 2007, eastern China suffered similar climate disasters with severe flooding in the Huaihe River valley and heat waves in the southern Yangtze River delta and South China. Using SST data and outgoing longwave radiation (OLR) data from NOAA along with reanalysis data from NCEP/NCAR, the 2002/03 and 2006/07 El Niño episodes in the central Pacific and their delayed impacts on the following early summertime climate anomalies of eastern China were analyzed. The possible physical progresses behaved as follows: Both of the moderate El Niño episodes matured in the central equatorial Pacific during the early winter. The zonal wind anomalies near the sea surface of the west-central equatorial Pacific excited equatorial Kelvin waves propagating eastward and affected the evolution of the El Niño episodes. From spring to early summer, the concurring anomalous easterly winds in the central equatorial Pacific and the end of upwelling Kelvin waves propagating eastward in the western equatorial Pacific, favored the equatorial warm water both of the SST and the subsurface temperature in the western Pacific. These conditions favored the warm state of the western equatorial Pacific in the early summer for both cases of 2003 and 2007. Due to the active convection in the western equatorial Pacific in the early summer and the weak warm SST anomalies in the tropical western Pacific from spring to early summer, the convective activities in the western Pacific warm pool showed the pattern in which the anomalous strong convection only appeared over the southern regions of the tropical western Pacific warm pool, which effects the meridional shift of the western Pacific subtropical high in the summer. The physical progress of the delayed impacts of the El Niño episodes in the central equatorial Pacific and their decaying evolution on the climate anomalies in eastern China were interpreted through the key role of special pattern for the heat convection in the tropical western Pacific warm pool and the response of the western North Pacific anomalous anticyclone. © 2009 Chinese National Committee for International Association of Meteorology and Atmospheric Sciences, Institute of Atmospheric Physics, Science Press and Springer-Verlag GmbH.</t>
  </si>
  <si>
    <t>2-s2.0-70849087888"</t>
  </si>
  <si>
    <t>10.1080/01490410902869185</t>
  </si>
  <si>
    <t>https://www.scopus.com/inward/record.uri?eid=2-s2.0-74849140353&amp;doi=10.1080%2f01490410902869185&amp;partnerID=40&amp;md5=5e0d63ce4df41a8538a07d462a4fe444</t>
  </si>
  <si>
    <t>Sea level probability forecasts are generated by means of the WAQUA/DCSM98 storm surge model with input from ECMWF's Ensemble Prediction System. For optimum performance with ECMWF input, the model needs to be recalibrated to overcome a systematic underprediction of higher wind speeds. Moreover, an additional calibration of the ensemble with the aid of Rank Histograms is performed. With the calibration, Brier skill scores show that useful probability forecasts can be made for at least 2-5 days ahead. The system runs in experimental real-time mode and results are available on the Internet for forecasters, who used it for the first time during a storm in March 2007. © Taylor &amp; Francis Group, LLC.</t>
  </si>
  <si>
    <t>2-s2.0-74849140353"</t>
  </si>
  <si>
    <t>10.1130/2009.2460(12)</t>
  </si>
  <si>
    <t>https://www.scopus.com/inward/record.uri?eid=2-s2.0-74949109633&amp;doi=10.1130%2f2009.2460%2812%29&amp;partnerID=40&amp;md5=9e9a260f459138d8d63afddb01de5333</t>
  </si>
  <si>
    <t>The 100,000-km-long coastline of Europe has a long history of human occupation and intervention in coastal processes. Rapid coastal development that began in the 1960s, however, has accelerated during the past decade with increased human mobility and affl uence. This has had disastrous consequences for the European beach resource. Through a series of examples in the UK, Spain, and Italy, we show that poorly sited infrastructure is the primary reason for beach erosion problems, and that decision-making in the area of beach management suffers inherent weaknesses</t>
  </si>
  <si>
    <t>10.5194/hess-13-79-2009</t>
  </si>
  <si>
    <t>https://www.scopus.com/inward/record.uri?eid=2-s2.0-60349089904&amp;doi=10.5194%2fhess-13-79-2009&amp;partnerID=40&amp;md5=256cc3ae4e9e882b6f3cf0f27ed651b1</t>
  </si>
  <si>
    <t>This paper presents a modeling study aiming at quantifying the possible impact of soil characteristics on the hydrological response of small ungauged catchments in a context of extreme events. The study focuses on the September 2002 event in the Gard region (South-Eastern France), which led to catastrophic flash-floods. The proposed modeling approach is able to take into account rainfall variability and soil profiles variability. Its spatial discretization is determined using Digital Elevation Model (DEM) and a soil map. The model computes infiltration, ponding and vertical soil water distribution, as well as river discharge. In order to be applicable to ungauged catchments, the model is set up without any calibration and the soil parameter specification is based on an existing soil database. The model verification is based on a regional evaluation using 17 estimated discharges obtained from an extensive post-flood investigation. Thus, this approach provides a spatial view of the hydrological response across a large range of scales. To perform the simulations, radar rainfall estimations are used at a 1 km2 and 5 min resolution. To specify the soil hydraulic properties, two types of pedotransfer function (PTF) are compared. It is shown that the PTF including information about soil structure reflects better the spatial variability that can be encountered in the field. The study is focused on four small ungauged catchments of less than 10 km2, which experienced casualties. Simulated specific peak discharges are found to be in agreement with estimations from a post-event in situ investigation. Examining the dynamics of simulated infiltration and saturation degrees, two different behaviors are shown which correspond to different runoff production mechanisms that could be encountered within catchments of less than 10 km2. They produce simulated runoff coefficients that evolve in time and highlight the variability of the infiltration capacity of the various soil types. Therefore, we propose a cartography distinguishing between areas prone to saturation excess and areas prone only to infiltration excess mechanisms. The questions raised by this modeling study will be useful to improve field observations, aiming at better understanding runoff generation for these extreme events and examine the possibility for early warning, even in very small ungauged catchments.</t>
  </si>
  <si>
    <t>2-s2.0-60349089904"</t>
  </si>
  <si>
    <t>Space Science Reviews</t>
  </si>
  <si>
    <t>10.1007/s11214-008-9478-1</t>
  </si>
  <si>
    <t>https://www.scopus.com/inward/record.uri?eid=2-s2.0-75749140982&amp;doi=10.1007%2fs11214-008-9478-1&amp;partnerID=40&amp;md5=a6ddd30835dd1e80e45470ef7230dee9</t>
  </si>
  <si>
    <t>We deal with the attempts to measure the Lense-Thirring effect with the Satellite Laser Ranging (SLR) technique applied to the existing LAGEOS and LAGEOS II terrestrial satellites and to the recently approved LARES spacecraft. According to general relativity, a central spinning body of mass M and angular momentum S like the Earth generates a gravitomagnetic field which induces small secular precessions of the orbit of a test particle geodesically moving around it. Extracting this signature from the data is a demanding task because of many classical orbital perturbations having the same pattern as the gravitomagnetic one, like those due to the centrifugal oblateness of the Earth which represents a major source of systematic bias. The first issue addressed here is: are the so far published evaluations of the systematic uncertainty induced by the bad knowledge of the even zonal harmonic coefficients J ℓ of the multipolar expansion of the Earth's geopotential reliable and realistic? Our answer is negative. Indeed, if the differences ΔJ ℓ among the even zonals estimated in different Earth's gravity field global solutions from the dedicated GRACE mission are assumed for the uncertainties δ J ℓ instead of using their covariance σJell</t>
  </si>
  <si>
    <t>10.1002/ppp.642</t>
  </si>
  <si>
    <t>https://www.scopus.com/inward/record.uri?eid=2-s2.0-69949182453&amp;doi=10.1002%2fppp.642&amp;partnerID=40&amp;md5=ea3eb0f61735b70b9387211b69e7262c</t>
  </si>
  <si>
    <t>In tundra uplands east of the Mackenzie Delta, retrogressive thaw slumps up to several hectares in area typically develop around lakes. Ground temperatures increase in terrain affected by slumping due to the high thermal conductivity of exposed mineral soils and deep snow accumulation in winter. Mean annual temperatures at the top of permafrost were several degrees warmer in thaw slumps (-0.1°C to -2.2°C) than beneath adjacent undisturbed tundra (-6.1°C to -6.7°C). Simulations using a two-dimensional thermal model showed that the thermal disturbance caused by thaw slumping adjacent to tundra lakes can lead to rapid near-surface lateral talik expansion. Talik growth into ice-rich materials is likely to cause lake-bottom subsidence and rejuvenation of shoreline slumping. The observed association of thaw slumps with tundra lakes, the absence of active slumps on the shores of drained lakes where permafrost is aggradational and depressions in the lake bottom adjacent to thaw slumps provide empirical evidence that thermal disturbance, talik enlargement and thawing of subadjacent icerich permafrost can drive the polycyclic behaviour (initiation and growth of slump within an area previously affected by slumping) of lakeside thaw slumps. © 2009 John Wiley &amp; Sons, Ltd. and Her Majesty the Queen in right of Canada.</t>
  </si>
  <si>
    <t>2-s2.0-69949182453"</t>
  </si>
  <si>
    <t>10.3997/1873-0604.2009048</t>
  </si>
  <si>
    <t>https://www.scopus.com/inward/record.uri?eid=2-s2.0-77951028785&amp;doi=10.3997%2f1873-0604.2009048&amp;partnerID=40&amp;md5=1d91e7e0bedc768d11c6f3cd0fc98d33</t>
  </si>
  <si>
    <t>The province of Zeeland is situated in the coastal zone of the Netherlands. The ground surface level is around or below mean sea level. Therefore seepage of brackish to saline groundwater is very common. Sea level rise as a result of climate change will very likely increase the pressure on the coastal groundwater system, leading to an increased salinization of the groundwater and surface water system. Still, freshwater agriculture is being practiced in large parts of the province. The vegetation extracts its fresh water from the unsaturated zone and thin rainwater lenses that 'float' on top of brackish and saline groundwater. Geophysical and hydrogeological data have been combined on two spatial scales to obtain a better insight into this fresh-brackish-saline groundwater distribution. This information is being used to: assess groundwater abstractions, plan landuse and improve the input of variable-density groundwater flow and coupled solute transport models. For over 6000 locations various types of data have been used to estimate the depth of the brackish-saline groundwater interface of 1000 mg [Cl]/L. These types of data are both of geophysical (vertical electrical soundings, EM34, geoelectrical well logs and electrical cone penetration tests) and of hydrological origin (water samples and abstraction wells). These data have been interpreted and combined with knowledge on the distribution of geological units to make an estimation of the depth of the brackish-saline water transition for the whole province (-66 km x 63 km). In addition to the regional brackish-saline interface map, continuous vertical electrical soundings (CVES) have been executed to map the fresh-brackish-saline distribution on a local scale. The CVES profiles were made at eight different plots where brackish-saline water is occurring at shallow depths (&lt;5 m below the surface) according to the regional map and where freshwater agriculture is still being practised. Six of the eight sites have thin (0-3 m) brackish to slightly saline water lenses. At two sites up to 15 m thick brackish water lenses have been observed with CVES. The thickness of the brackish water lenses varies laterally over short distances. Sandy sediment and a higher topography are favourable factors for the development of such lenses. © 2009 European Association of Geoscientists &amp; Engineers.</t>
  </si>
  <si>
    <t>2-s2.0-77951028785"</t>
  </si>
  <si>
    <t>10.1080/00049180802657083</t>
  </si>
  <si>
    <t>https://www.scopus.com/inward/record.uri?eid=2-s2.0-67650338074&amp;doi=10.1080%2f00049180802657083&amp;partnerID=40&amp;md5=437e76cb7447c08a755b9c1e3ede68c3</t>
  </si>
  <si>
    <t>South East Queensland's (SEQ) potential exposure to tropical cyclone and storm surge events provides a significant dilemma for coastal settlements and their communities. It is essential for the long-term viability of SEQ's coastal settlements that effective land-use strategies are developed and implemented. This study develops a comprehensive land-use response that is capable of identifying suitable levels of planning response to potential hazard risks.</t>
  </si>
  <si>
    <t>2-s2.0-67650338074"</t>
  </si>
  <si>
    <t>AHURI Final Report</t>
  </si>
  <si>
    <t>https://www.scopus.com/inward/record.uri?eid=2-s2.0-84907577172&amp;partnerID=40&amp;md5=6956422226e1a6845d452dfa442034fd</t>
  </si>
  <si>
    <t>Natural disasters and emergencies are those rapid onset events that result in death, injuries and damage to property and require a government response to facilitate recovery. The most significant natural disasters in Australia are bushfires, floods, storms and cyclones. The most comprehensive data available indicates that the total annual economic cost of natural disaster events exceeds $1.14 billion (BTE 2001). In Australia, the reporting of disasters refers to those extreme events which result in over $10 million in damages. Reference to emergencies usually denotes those more common but far less damaging events where the costs are under $10 million. Disasters and emergencies can have huge consequences for individuals and communities, impacting on the environment and even across regions, and causing injury and sometimes deaths as well as extensive damage to property and infrastructure. While natural disasters have always occurred in Australia, it is generally accepted that climate change, population growth and other demographic shifts have accentuated the risks faced by populations. In particular, the risk of increased bushfires in southern parts of Australia has been attributed to warmer and drier weather in recent decades while urban growth in coastal areas has exacerbated the dangers of exposure to cyclones, storms and floods. In Australia, the Commonwealth, state, territory and local governments have established detailed planning and response procedures that are enacted once a disaster takes place. Usually the State Emergency Services (SES) and the police take the lead in orchestrating any response. In many disasters and emergencies, there is a need to provide emergency shelter, temporary forms of housing, repairs to damaged property and welfare support for households affected. It is for these reasons that the government lead agencies entrust State Housing Authorities (SHAs) to perform a range of duties to assist. While there is considerable understanding of the procedures that are used in disaster management, there is a gap in knowledge with respect to how key actors engage in planning and response activities and negotiate the complex array of tasks required. The empirical data collected entailed interviews and focus groups with SHA tenants and staff involved in the response to the Canberra bushfires 2003, Cyclone Larry in far north Queensland 2006 and the NSW coastal storms and floods 2007. The key findings from the project incorporate three themes concerning: the experiences and lessons from the past</t>
  </si>
  <si>
    <t>10.1016/j.geomorph.2008.08.014</t>
  </si>
  <si>
    <t>https://www.scopus.com/inward/record.uri?eid=2-s2.0-58549083104&amp;doi=10.1016%2fj.geomorph.2008.08.014&amp;partnerID=40&amp;md5=0ba34bfc74c084ef1ddd03561f08e9ac</t>
  </si>
  <si>
    <t>The Gödöllo{double acute} Hills, a low-relief terrain within the Central Pannonian Basin in Hungary, is characterised by moderate tectonic deformation rates. Although typical tectonic landforms are not clearly recognisable in the study area, this paper succeeded in discriminating between tectonically controlled landforms and features shaped by fluvial erosion or deflation with no tectonic control. DEM-based morphometric parameters including elevation, slope and surface roughness, enabled the delineation of two NW-SE trending spearhead-shaped ridges separated by a wide rectilinear valley of the same strike. Although directional statistics suggested possible tectonic control of NW-SE striking landforms, precise morphometry completed with an analysis of subsurface structures rejected their tectonic preformation. Deflation plays a significant role in shaping the area, and the presence of two large-scale yardangs separated by a wind channel is proposed. In temperate-continental areas of Europe, no deflational landforms of such scale have been described so far, suggesting that Pleistocene wind power in periglacial areas was more significant than it was previously thought. Characteristic drainage patterns and longitudinal valley profiles enabled the recognition of areas probably affected by neotectonic deformation. A good agreement was observed between locations of Quaternary warping predicted by the morphometric study and subsurface structures revealed by the tectonic analysis. Zones of surface uplift and subsidence corresponded to anticlinal and synclinal hinges of fault-related folds. In low-relief and slowly-deforming areas, where exogenous forces may override tectonic deformation, only the integrated application of morphometric and subsurface-structural indications could assure correct interpretation of the origin of various landforms, while a morphometric study alone could have led to misinterpretation of some morphometric indices apparently suggesting tectonic preformation. On the other hand, the described morphological expression of subsurface structures could verify Quaternary age of the deformation. © 2008 Elsevier B.V. All rights reserved.</t>
  </si>
  <si>
    <t>2-s2.0-58549083104"</t>
  </si>
  <si>
    <t>10.3189/002214309788608750</t>
  </si>
  <si>
    <t>https://www.scopus.com/inward/record.uri?eid=2-s2.0-67650904802&amp;doi=10.3189%2f002214309788608750&amp;partnerID=40&amp;md5=7334581f5ef71699cc4b54fec5f27b71</t>
  </si>
  <si>
    <t>Using airborne and spaceborne high-resolution digital elevation models and laser altimetry, we present estimates of interannual and multi-decadal surface elevation changes on the Bering Glacier system, Alaska, USA, and Yukon, Canada, from 1972 to 2006. We find: (1) the rate of lowering during 1972–95 was 0.9 ± 0.1 m a−1; (2) this rate accelerated to 3.0 ± 0.7 m a−1 during 1995–2000; and (3) during 2000–03 the lowering rate was 1.5 ± 0.4 m a−1. From 1972 to 2003, 70% of the area of the system experienced a volume loss of 191 ± 17 km3, which was an area-average surface elevation lowering of 1.7 ± 0.2 m a−1. From November 2004 to November 2006, surface elevations across Bering Glacier, from McIntosh Peak on the south to Waxell Ridge on the north, rose as much as 53 m. Up-glacier on Bagley Ice Valley about 10 km east of Juniper Island nunatak, surface elevations lowered as much as 28 m from October 2003 to October 2006. NASA Terra/MODIS observations from May to September 2006 indicated muddy outburst floods from the Bering terminus into Vitus Lake. This suggests basal–englacial hydrologic storage changes were a contributing factor in the surface elevation changes in the fall of 2006.</t>
  </si>
  <si>
    <t>10.1016/j.geomorph.2008.08.007</t>
  </si>
  <si>
    <t>https://www.scopus.com/inward/record.uri?eid=2-s2.0-58249108076&amp;doi=10.1016%2fj.geomorph.2008.08.007&amp;partnerID=40&amp;md5=6f87e72cbdb2f723dc1528fa4ca04439</t>
  </si>
  <si>
    <t>The 2004 Indian Ocean tsunami devastated the coastal areas along the Andaman western coast of Thailand and left unique physical evidence of its impact, including the erosional landforms of the pre-tsunami topography. Here we show the results from monitoring the natural recovery of beach areas at Khuk Khak and Bang Niang tidal channels of Khao Lak area, Phang-nga, Thailand. A series of satellite images before and after the tsunami event was employed for calculating the beach area and locating the position of the changed shoreline. Field surveys to follow-up the development of the post-tsunami beach area were conducted from 2005 to 2007 and the yearly beach profile was measured in 2006. As a result, the scoured beach areas where the tidal channel inlets were located underwent continuous recovery. The return of post-tsunami sediments within the beach zone was either achieved by normal wind and wave processes or during the storm surges in the rainy season. Post-2004 beach sediments were derived mainly from near offshore sources. The present situation of the beach zone has almost completed reversion back to the equilibrium stage and this has occurred within 2 years after the tsunami event. We suggest these results provide a better understanding of the geomorphological process involved in beach recovery after severe erosion such as by tsunami events. © 2008 Elsevier B.V. All rights reserved.</t>
  </si>
  <si>
    <t>2-s2.0-58249108076"</t>
  </si>
  <si>
    <t>10.1080/01490410902869524</t>
  </si>
  <si>
    <t>https://www.scopus.com/inward/record.uri?eid=2-s2.0-74849115269&amp;doi=10.1080%2f01490410902869524&amp;partnerID=40&amp;md5=593ac15f49a11ce838c7e8a91e816426</t>
  </si>
  <si>
    <t>The results of the location specific IIT storm surge model reported in this study are in good agreement with the available actual peak surge observations. It was found that cyclones landfalling from the southwest direction generated larger surges than cyclones landfalling perpendicular or from the southeast. Moreover, a perpendicularly landfalling cyclone creates maximum surges at the eastern parts of the coastal region as compared to the other parts. It was verified that the storm surge is very sensitive to basin depths. The shallowness of the water in coastal areas may considerably magnify the surge heights in the region. The model has the ability to investigate multiple forecast scenarios in real time and can update cyclone tracks as the cyclonic storm approaches the coast and meteorological forecasts become more accurate. In comparison to the Bay of Bengal, the Arabian Sea in general and Pakistani coasts in particular are less vulnerable to tropical storms, geographically and bathymetrically. Ocean basins in the north Arabian Sea near Pakistan have depths more than 20 m, which helps to avoid huge storm surges. © Taylor &amp; Francis Group, LLC.</t>
  </si>
  <si>
    <t>2-s2.0-74849115269"</t>
  </si>
  <si>
    <t>https://www.scopus.com/inward/record.uri?eid=2-s2.0-67649119572&amp;partnerID=40&amp;md5=ba22e405d620449be2ee48e726ebd529</t>
  </si>
  <si>
    <t>The importance of establishing accurate heights to support engineering, mapping, and scientific applications is very well recognized. A network of stable, easily accessible survey control points, referred to as bench marks (BMs), is crucial to a wide range of activities, including coastal zone management, floodplain mapping, stormwater and sewer utility management, large-scale engineering projects, hurricane evacuation and recovery planning, and topographic mapping. The official heights reported on a network of BMs are usually defined with respect to a regional, national, or international geodetic datum, such as the North American Vertical Datum of 1988 (NAVD 88). In the United States, the official vertical datums of each region are fundamental components of the National Spatial Reference System (NSRS), which is maintained by the National Geodetic Survey (NGS), an office of the National Ocean Service (NGS), National Oceanic and Atmospheric Administration (NOAA).</t>
  </si>
  <si>
    <t>2-s2.0-67649119572"</t>
  </si>
  <si>
    <t>https://www.scopus.com/inward/record.uri?eid=2-s2.0-67649531965&amp;partnerID=40&amp;md5=7f27693a7b334b143594c61194893fab</t>
  </si>
  <si>
    <t>The coastal management in the UK for floods and erosion look forward for long term decisions for two new projects that involves studying the happenings at Sea Palling with the need for better designs and to create world's first coastal simulator. The research community has made a significant contribution is trying to understand the future holds with the implementation of artificial reefs or breakwater by creating a wide beach in front to the seawall. The breakwater design was based on guidelines developed for micro-tidal area with an aim to improve the guidelines for coastal engineers at the time of similar system. The project aims to deploy a set of instruments to measure currents, waves, fine sand and silt particles suspended in the water and seabed ripples in the surf zone. Such developed systems are essential for society to manage uncertainty in vulnerable communities.</t>
  </si>
  <si>
    <t>2-s2.0-67649531965"</t>
  </si>
  <si>
    <t>10.1016/j.geomorph.2008.11.007</t>
  </si>
  <si>
    <t>https://www.scopus.com/inward/record.uri?eid=2-s2.0-62649107127&amp;doi=10.1016%2fj.geomorph.2008.11.007&amp;partnerID=40&amp;md5=b0747787fecc2c5ab7e2368c0eb496c2</t>
  </si>
  <si>
    <t>It can be challenging to accurately determine the topography of physically complex landscapes in remote areas. Ground-based surveys can be difficult, time consuming and may miss significant elements of the landscape. This study compares digital elevation models (DEMs) generated from three different data sources, of the physically complex Narran Lakes Ecosystem, a major floodplain wetland ecosystem in Australia. Topographic surfaces were generated from an airborne laser altimetry (LiDAR) survey, a ground-based differential GPS (DGPS) survey containing more than 20,000 points, and the 9″ DEM of Australia. The LiDAR- and DGPS-derived data generated a more thorough DEM than the 9″ DEM; however, LiDAR generated a surface topography that yielded significantly more detail than the DGPS survey, with no noticeable loss of elevational accuracy. Both the LiDAR- and the DGPS-derived DEMs compute the overall surface area and volume of the largest floodplain lake within the system to within 1% of each other. LiDAR is shown to be a highly accurate and robust technique for acquiring large quantities of topographic data, even in locations that are unsuitable for ground surveying and where the overall landscape is of exceptionally low relief. The results of this study highlight the potential for LiDAR surveys in the accurate determination of the topography of floodplain wetlands. These data can form an important component of water resource management decisions, particularly where environmental water allocations for these important ecosystems need to be determined.</t>
  </si>
  <si>
    <t>10.1016/j.margeo.2009.01.002</t>
  </si>
  <si>
    <t>https://www.scopus.com/inward/record.uri?eid=2-s2.0-64449084060&amp;doi=10.1016%2fj.margeo.2009.01.002&amp;partnerID=40&amp;md5=f9336e5448c8e341bf55a5668bf27063</t>
  </si>
  <si>
    <t>Whatever the generating mechanism of a tsunami may be, this event can discharge destructive energy along coastal areas and produce widespread inundation. The presence of large boulders along rocky coasts could be a useful indicator to understand the extent of the impact of past tsunami floods. A detailed study of the deposited boulder features – size, shape and rock density and their initial position prior to the transport – is extremely important when reconstructing the possible morphodynamic scenario(s); applying the appropriate equations is important when aiming to assess the maximum extent of flooding. The integration of morphological and hydrodynamic data allows for an estimation of the water level during the tsunami event responsible for boulder transport. Moreover, it is possible to calculate how far the impacting wave flooded inland; this is a function of the wave parameters and of the degree of roughness of the flooded terrain that is expressed by the Manning number. To evaluate its probable/average value, experimental data, computer simulations and post-tsunami surveys have been performed in two sectors of the Southern Apulia coastline, characterised by the presence of tsunami boulder fields and/or ridges. The surveys in each site have allowed for the calculation of the boulder sizes, the estimation of their pre-transport location and the extent of inland flooding. Data have been processed using a Geographic Information System (GIS). As a result a flooding map, useful in planning future possible actions for coastal area use, has been produced.</t>
  </si>
  <si>
    <t>10.1080/08111140902950487</t>
  </si>
  <si>
    <t>https://www.scopus.com/inward/record.uri?eid=2-s2.0-80054006994&amp;doi=10.1080%2f08111140902950487&amp;partnerID=40&amp;md5=e51fb4bbb543e8a94fb4b16b5f405e79</t>
  </si>
  <si>
    <t>Sea-level rise, storm surges and changing weather patterns along oceans and coasts are issues of increasing urgency for Australia as rising numbers of people seek the sea-change lifestyle. A survey of the Australian state of Victoria's 22 coastal municipalities was employed to assess the degree to which they recognise climate change as a threat to their coastal zones. Questions were also used to gain an understanding of the adaptive capacity of the municipalities to coastal vulnerabilities and to highlight current and future strategies for adapting to climate change along coasts. The findings show that climate change is not being addressed adequately via statutory planning in Victoria. © 2009 Editorial Board.</t>
  </si>
  <si>
    <t>2-s2.0-80054006994"</t>
  </si>
  <si>
    <t>10.1029/2008JF001082</t>
  </si>
  <si>
    <t>https://www.scopus.com/inward/record.uri?eid=2-s2.0-73649115681&amp;doi=10.1029%2f2008JF001082&amp;partnerID=40&amp;md5=d24565e7328aa47872330f4502a51206</t>
  </si>
  <si>
    <t>This paper estimates the mass balance of the Prince of Wales Icefield, Ellesmere Island, Canada, averaged over four decades, from measurements of surface mass balance (SMB) and iceberg calving. Shallow ice core net accumulation measurements and annual mass balance stake measurements are used in conjunction with a digital elevation model and knowledge of the location of the dominant moisture source for precipitation over the ice cap to interpolate and extrapolate spatial patterns of SMB across the Prince of Wales Icefield. The contribution of iceberg calving to the mass balance is calculated from estimates of (1) the annual volume of ice discharged at the major tidewater glacier termini and (2) the annual volume loss or gain due to terminus fluctuations. Two different approaches to determining the SMB conclude that the SMB of the ice field is approximately in balance (average equals-0.1 ± 0.4 km 3 w.e. a-1, where w.e. means water equivalent) largely because of its proximity to the main year-round moisture source that is the Smith Sound portion of the North Open Water polynya. Iceberg calving is a highly significant component of mass loss (-1.9 ± 0.2 km3 w.e. a-1) and is sufficient to make the overall mass balance of the ice field averaged over the period 1963-2003 clearly negative (-2 ± 0.45 km3 w.e. a-1, equivalent to a mean-specific mass balance across the ice field of-0.1 m w.e. a-1). The Prince of Wales Icefield contributes ∼0.005 mm a-1 to global eustatic sea level rise. Copyright 2009 by the American Geophysical Union.</t>
  </si>
  <si>
    <t>2-s2.0-73649115681"</t>
  </si>
  <si>
    <t>International Journal on Minority and Group Rights</t>
  </si>
  <si>
    <t>10.1163/157181109X427743</t>
  </si>
  <si>
    <t>https://www.scopus.com/inward/record.uri?eid=2-s2.0-72449154722&amp;doi=10.1163%2f157181109X427743&amp;partnerID=40&amp;md5=e65885295b344f7c25355d2f3ba43936</t>
  </si>
  <si>
    <t>The physical disappearance of a state's entire territory is an event forecasted to happen as a result of sea-level rise, affecting some of the smallest nation states in the world, primarily islands in the South Pacific. The focus of this article is on the human rights of the inhabitants of the disappearing states when they are forced to relocate. © 2009 Koninklijke Brill NV, Leiden.</t>
  </si>
  <si>
    <t>2-s2.0-72449154722"</t>
  </si>
  <si>
    <t>10.1016/j.geomorph.2006.07.043</t>
  </si>
  <si>
    <t>https://www.scopus.com/inward/record.uri?eid=2-s2.0-64449088547&amp;doi=10.1016%2fj.geomorph.2006.07.043&amp;partnerID=40&amp;md5=4f45d921f6daab8ac4520a645ce0d373</t>
  </si>
  <si>
    <t>As part of a broad assessment of climate change impacts in Morocco, an assessment of vulnerability and adaptation of coastal zones to sea-level rise was conducted. Tangier Bay which is the most important socio-economic pole in Northern Morocco represents one of the cases studies. Using a GIS-based inundation analysis and an erosion modelling approach, the potential physical vulnerability to accelerated sea-level rise was investigated, and the most vulnerable socio-economic sectors were assessed. Results indicate that 10% and 24% of the area will be at risk of flooding respectively for minimum (4 m) and maximum (11 m) inundation levels. The most severely impacted sectors are expected to be the coastal defences and the port, the urban area, tourist coastal infrastructures, the railway, and the industrial area. Shoreline erosion would affect nearly 20% and 45% of the total beach areas respectively in 2050 and 2100. Potential response strategies and adaptation options identified include: sand dune fixation, beach nourishment and building of seawalls to protect the urban and industrial areas of high value. It was also recommended that an Integrated Coastal Zone Management Plan for the region, including upgrading awareness, building regulation and urban growth planning should be the most appropriate tool to ensure a long-term sustainable development, while addressing the vulnerability of the coast to future sea-level rise. © 2008 Elsevier B.V. All rights reserved.</t>
  </si>
  <si>
    <t>2-s2.0-64449088547"</t>
  </si>
  <si>
    <t>10.1016/j.geomorph.2006.07.044</t>
  </si>
  <si>
    <t>https://www.scopus.com/inward/record.uri?eid=2-s2.0-64249108484&amp;doi=10.1016%2fj.geomorph.2006.07.044&amp;partnerID=40&amp;md5=dad16a26ceae3b8749f1caa3836d8c0a</t>
  </si>
  <si>
    <t>The spatial consequences of future sea-level rise upon the coastal plains of Greece are examined</t>
  </si>
  <si>
    <t>10.1007/s11069-008-9340-5</t>
  </si>
  <si>
    <t>https://www.scopus.com/inward/record.uri?eid=2-s2.0-67650156780&amp;doi=10.1007%2fs11069-008-9340-5&amp;partnerID=40&amp;md5=221ec1d8ab3ec64c1a3ca08118b4dd09</t>
  </si>
  <si>
    <t>Cyclone Sidr, a Category IV storm, struck the southwestern coast of Bangladesh on November 15, 2007 killing 3,406 people. Despite a similar magnitude, Sidr claimed far fewer lives than Cyclone Gorky, also a Category IV storm, which struck Bangladesh in 1991 causing an estimated 140,000 fatalities. The relatively low number of deaths experienced with Sidr is widely considered the result of Bangladesh government's efforts to provide timely cyclone forecasting and early warnings, and successful evacuation of coastal residents from the projected path of Cyclone Sidr. Using information collected from both primary and secondary sources, this study identified several other reasons for the unexpectedly lower mortality associated with Cyclone Sidr relative to Cyclone Gorky. Fewer casualties may be attributed to a number of physical characteristics of Cyclone Sidr, such as duration of the storm and storm surge, landfall time and site, varied coastal ecology, and coastal embankment. This article recommends improvements to the cyclone warning systems, establishment of more public cyclone shelters, and implementation of an education campaign in coastal areas to increase the utilization of public shelters for future cyclone events. © Springer Science+Business Media B.V. 2009.</t>
  </si>
  <si>
    <t>2-s2.0-67650156780"</t>
  </si>
  <si>
    <t>10.1007/s10584-008-9522-x</t>
  </si>
  <si>
    <t>https://www.scopus.com/inward/record.uri?eid=2-s2.0-67651151243&amp;doi=10.1007%2fs10584-008-9522-x&amp;partnerID=40&amp;md5=90521f158136b4ee275d649280b6e2f4</t>
  </si>
  <si>
    <t>We made projections of relative sea-level rise, horizontal inundation, and the associated impacts on people and infrastructure in the coastal portion of the Mid- and Upper-Atlantic Region (MUAR) of the United States. The output of five global climate models (GCMs) run under two greenhouse gas scenarios was used in combination with tide gauge observations to project sea-level increases ranging from 200 to 900 mm by 2100, depending on location, GCM and scenario. The range mainly reflects equal contributions of spatial variability (due to subsidence) and GCM uncertainty, with a smaller fraction of the range due to scenario uncertainty. We evaluated 30-m Digital Elevation Models (DEMs) using 10-m DEMs and LIDAR data at five locations in the MUAR. We found average RMS differences of 0.3 m with the 10-m DEMs and 1.2 m with the LIDAR data, much lower than the reported mean RMS errors of 7 m for the 30-m DEMs. Using the 30-m DEMs, the GCM- and scenario-means of projected sea-level rise, and local subsidence estimates, we estimated a total inundation of 2,600 km2 for the MUAR by 2100. Inundation area increases to 3,800 km2 at high tide if we incorporate local tidal ranges in the analysis. About 510,000 people and 1,000 km of road lie within this area. Inundation area per length of coastline generally increases to south, where relative sea-level rise is greater and relief is smaller. More economically developed states, such as New York and New Jersey, have the largest number of people and infrastructure exposed to risk of inundation due to sea-level rise. © 2008 Springer Science+Business Media B.V.</t>
  </si>
  <si>
    <t>2-s2.0-67651151243"</t>
  </si>
  <si>
    <t>https://www.scopus.com/inward/record.uri?eid=2-s2.0-62349113876&amp;partnerID=40&amp;md5=9e265d42e543378df4406979bd658d04</t>
  </si>
  <si>
    <t>Our study presents the results of determining labile aluminium form in samples from the 2004 tsunami-affected coastal zone of Thailand. The samples were collected from tsunami deposits, beach sediments, sediments underlying the tsunami deposits (pre 2004 tsunami soil), as well as from soils from areas, that were not flooded. The extraction of the labile form of aluminium was performed using 3 mol L-1 HCl in twelve grain size fractions. In the surface layer samples the highest concentrations were determined in the tsunami deposits in fractions &lt;0.063 mm (5850 mg kg-1). The highest determined concentration in the whole set of investigated samples occurred in soil sample in fractions 0.09-0.125 mm (19770 mg kg-1). An increase in concentration of labile aluminium form, along with decreasing grain diameter, was observed in samples from all the studied settings. In general, concentrations were higher in soil samples not affected by the tsunami. This is probably due to steady weathering of minerals during soil forming processes and removal of sediment grain surface coatings potentially enriched in labile Al during high energy transport by tsunami.</t>
  </si>
  <si>
    <t>2-s2.0-62349113876"</t>
  </si>
  <si>
    <t>10.1007/s00343-009-0103-2</t>
  </si>
  <si>
    <t>https://www.scopus.com/inward/record.uri?eid=2-s2.0-79955549955&amp;doi=10.1007%2fs00343-009-0103-2&amp;partnerID=40&amp;md5=b7e9a179d01c65c9030432332523cf81</t>
  </si>
  <si>
    <t>In order to better understand the general tidal features in the venturi-shaped area between Zhenhai and Shenjiamen in the northern coastal region of Zhejiang Province in the East China Sea, the tidal data were obtained from both the three permanent tide stations of Zhenhai, Dinghai and Shenjiamen, and four temporary tide stations of Mamu, Chuanshan, Guoju and Liuheng, along with the current speed being observed at Luotou Waterway. Results from harmonic analysis show that: (1) The area was dominated by shallow water tides with irregular semi-diurnal features, and the smallest tidal range occurred in the area near a crossing line between Zhenhai and Dinghai stations, indicating that a tidal node existed in the southern Hangzhou Bay; (2) Formulae, 
 and 
=270° (where H and g are harmonic constants), could be used as judging criteria for high and low tidal level diurnal inequalities; (3) The duration difference between ebb and flood tides could be roughly assessed by the ratio of 
; and the larger the ratio is, the bigger the duration difference is. At the same time, the duration period could be assessed by 
, the epoch difference between M 2 and M 4 tidal constituents. If 
 &lt;180°, then the ebb duration is longer than the flood duration; if 180°&lt; 
 &lt;360°, the result is reversed; (4) Taking Dinghai station as a center point, the highest tidal levels and the average high tidal levels, as well as the average tidal ranges at all stations became higher and larger both southeastwards and northwestwards, while the lowest tidal levels and the average low tidal levels appeared to be lower both southeastwards and northwestwards; and (5) The tidal patterns were not all in line with the tidal current patterns. As a conclusion, the smallest tidal range occurred in the narrow part of the venturi-shaped area. Along the both sides of the area, the highest tidal level and tidal range became higher and larger, while the lowest tidal level became lower with the increase of the distance from the narrow throat area. This is somehow different from the theory that the tidal level increases gradually when it moves towards the top narrow area of a V-shaped bay or estuary.</t>
  </si>
  <si>
    <t>Developments in Earth Surface Processes</t>
  </si>
  <si>
    <t>10.1016/S0928-2025(08)10003-7</t>
  </si>
  <si>
    <t>https://www.scopus.com/inward/record.uri?eid=2-s2.0-77953118631&amp;doi=10.1016%2fS0928-2025%2808%2910003-7&amp;partnerID=40&amp;md5=bf369482aa532364cf14690cc0b137fa</t>
  </si>
  <si>
    <t>South American coasts are subject to many different natural hazards. In general terms, the Pacific coast is tectonic, and therefore, earthquakes and tsunamis are likely to occur in this area. The Caribbean coast is constantly subject to trade winds and episodically to hurricanes and tsunami-triggered waves. The Atlantic coasts of Brazil, Uruguay, and Argentina suffer the action of storm surges coming from the south (southeasterlies).
At the same time, the South American coast is particularly exposed to El Niño-Southern Oscillation (ENSO)-triggered effects. These effects are different in different regions. In Colombia the seasonal increase of the mean sea level alters the dynamics of barrier islands. In Peru, ENSOs are responsible for sudden inputs of sediments to the coast; similar processes impact the estuarine complexes of Lagoa dos Patos (southern Brazil) or Paraná-Rio de la Plata floods (Argentina–Uruguay). In northern Brazil, on the other hand, dry conditions induce the migration of dunes landward.
In several countries of South America, population is concentrated at or near the coast, and therefore some natural coastal processes increase their impacts. In recent years, erosion effects have been more severe due to the action of humanity.</t>
  </si>
  <si>
    <t>Entropy</t>
  </si>
  <si>
    <t>10.3390/e11040798</t>
  </si>
  <si>
    <t>https://www.scopus.com/inward/record.uri?eid=2-s2.0-77953508933&amp;doi=10.3390%2fe11040798&amp;partnerID=40&amp;md5=5f5af517672d8630d70d234d7f0e08c8</t>
  </si>
  <si>
    <t>It is known that mechanical work, and in turn electricity, can be produced from a difference in the chemical potential that may result from a salinity gradient. Such a gradient may be found, for instance, in an estuary where a stream of soft water is flooding into a sink of salty water which we may find in an ocean, gulf or salt lake. Various technological approaches are proposed for the production of energy from a salinity gradient between a stream of soft water and a source of salty water. Before considering the implementation of a typical technology, it is of utmost importance to be able to compare various technological approaches, on the same basis, using the appropriate variables and mathematical formulations. In this context, exergy balance can become a very useful tool for an easy and quick evaluation of the maximum thermodynamic work that can be produced from energy systems. In this short paper, we briefly introduce the use of exergy for enabling us to easily and quickly assess the theoretical maximum power or ideal reversible work we may expect from typical salinity gradient energy systems. © 2009 by the authors</t>
  </si>
  <si>
    <t>10.1007/s10236-008-0174-1</t>
  </si>
  <si>
    <t>https://www.scopus.com/inward/record.uri?eid=2-s2.0-67349194647&amp;doi=10.1007%2fs10236-008-0174-1&amp;partnerID=40&amp;md5=fc0e64c5e5cbc28bf2dbe5abc6cc61f0</t>
  </si>
  <si>
    <t>Erosion due to waves is an important and actual problem for most coastal areas of the North Sea. The objective of this study was to estimate the impact of wave action on the coastline of Sylt Island. From a 2-year time series (November 1999 to October 2001) of hydrological and wave parameters generated with a coupled wave-current modelling system, a period comprising storm 'Anatol' (3-4 December 1999) is used to investigate the effects of waves on currents and water levels and the input of wave energy into the coastline. The wave-induced stress causes an increase of the current velocity of 1 m/s over sand and an additional drift along the coast of about 20 cm/s. This produces a water level increase of more than 20 cm in parts of the tidal basin. The model system also calculates the wave energy input into the coastline. Scenario runs for December 1999 with a water level increase of 50 cm and wind velocity increased by 10% show that the input of the wave energy into the west coast of Sylt Island increases by 30% compared to present conditions. With regard to the forecasted near-future (Woth et al., Ocean Dyn 56:3-15, 2006) increase of strong storm surges, the scenario results indicate an increased risk of coastal erosion in the surf zone of Sylt Island. © 2009 Springer-Verlag.</t>
  </si>
  <si>
    <t>2-s2.0-67349194647"</t>
  </si>
  <si>
    <t>10.1016/j.jhydrol.2009.02.027</t>
  </si>
  <si>
    <t>https://www.scopus.com/inward/record.uri?eid=2-s2.0-63649152115&amp;doi=10.1016%2fj.jhydrol.2009.02.027&amp;partnerID=40&amp;md5=ae8cb96fa91e92eb191dc034a51bcf93</t>
  </si>
  <si>
    <t>Water surface elevations in the St. Johns River (Northeastern Florida) are simulated over a 122-day time period spanning June 1-September 30, 2005, which relates to a particularly active hurricane season for the Atlantic basin, and includes Hurricane Ophelia that significantly impacted the St. Johns River. The hydrodynamic model employed for calculating two-dimensional flows is the ADCIRC (Advanced Circulation Model for Oceanic, Coastal, and Estuarine Waters) numerical code. The region of interest is modeled using three variations of an unstructured, finite element mesh: (1) a large-scale computational domain that hones in on the St. Johns River from the Western North Atlantic Ocean, Gulf of Mexico, and Caribbean Sea</t>
  </si>
  <si>
    <t>10.1016/j.geomorph.2008.08.010</t>
  </si>
  <si>
    <t>https://www.scopus.com/inward/record.uri?eid=2-s2.0-58249106993&amp;doi=10.1016%2fj.geomorph.2008.08.010&amp;partnerID=40&amp;md5=42981b25417878fb1ac511ad910efd01</t>
  </si>
  <si>
    <t>Since 1834 the Seine estuary (France) has been the site of numerous construction projects with the aim to accommodate and secure boat traffic. Since 1978, the increasing of the activities of Le Havre port, located at the mouth of the estuary, has accelerated the construction work rate. Several dykes, a bridge, and new port facilities have been constructed in rapid succession, modifying considerably the hydrodynamic conditions which sustain a partially vegetated sandy-muddy tidal flat located in the North bank of the estuary between the new port of Le Havre and the Normandy bridge achieved in 1995. The present study deals with the morphological evolution of this zone from 1978 to 2005. The use of a low altitude remote sensing technique combined with traditional methods of ground survey and probes allow to demonstrate the impact of human activities on sedimentary and vegetation dynamics. The Northern mudflat of the estuary is the most affected by these human activities, which surface have reduced of 62% during the last 27 years with an intensified local erosion during the last 27 months corresponding to a loss 1 250 000 m3 of fine-grained sediment. At the same time, the general sanding up in the channel of the zone has caused a loss of more than 31% of the tidal prism, more than three quarters of which occurred during the last three years. Results also establish that the response times of the sedimentary or topographic readjustment to an installation depend on the extent and the nature of the construction. In fact, the sedimentary readjustments to an installation can be delayed by up to 10 years in the case of the Seine estuary. This delay is explained by a rapid succession of construction works which may occult the effect of a single installation. Except in the case of a dyke built perpendicular to ebb and flood currents, the impacts of these installations reach a hydro-sedimentary equilibrium on the level between 1 and 7 years after their completion. © 2008 Elsevier B.V. All rights reserved.</t>
  </si>
  <si>
    <t>2-s2.0-58249106993"</t>
  </si>
  <si>
    <t>Atoll Research Bulletin</t>
  </si>
  <si>
    <t>10.5479/si.00775630.571.</t>
  </si>
  <si>
    <t>https://www.scopus.com/inward/record.uri?eid=2-s2.0-70349524873&amp;doi=10.5479%2fsi.00775630.571.&amp;partnerID=40&amp;md5=a52615b8638f707df7c840dbc1eb3237</t>
  </si>
  <si>
    <t>Using microatolls (MAs) located in a patch on the reef flat of an atoll in the central Pacific, we assessed the vertical changes in height of surface annuli in order to learn something about sea-level changes in this location. Our approach was three pronged. First, using the full radii of 13 MA heads, we calculated a sea-level rise of 0.1 mm/yr over an average growth period of 19 years ending on August 7, 2005. Second, using the space between the 1997 ENSO (El Nino Southern Oscillation) annulus and the outer edge as of August, 2005, we calculated a sea-level rise of 0.2 mm/yr in 14 MA heads. Third, we returned to the site for a brief visit in 2008 and using the 97ENSO annulus to living edge area of 57 MAs concluded that over the 10 years sea level in the area had risen at a mean rate of 1.6 mm/yr. All together, our data suggest that during our times of observation (1998 - 2008) sea-levels on the ocean flat of Abaiang Atoll in the Republic of Kiribati have risen at an average rate ranging from 0.1 to 0.2 mm/yr.</t>
  </si>
  <si>
    <t>2-s2.0-70349524873"</t>
  </si>
  <si>
    <t>10.1672/08-97.1</t>
  </si>
  <si>
    <t>https://www.scopus.com/inward/record.uri?eid=2-s2.0-70350086697&amp;doi=10.1672%2f08-97.1&amp;partnerID=40&amp;md5=3866a39500043d8a4d671c1519b5b44d</t>
  </si>
  <si>
    <t>Throughout the world, many extensive wetlands, such as the Sacramento-San Joaquin Delta of California (hereafter, the Delta), have been drained for agriculture, resulting in land-surface subsidence of peat soils. The purpose of this project was to study the in situ effects of wetland drainage on the remaining peat in the Delta. Peat cores were retrieved from four drained, farmed islands and four relatively undisturbed, marsh islands. Core samples were analyzed for bulk density and percent organic carbon. Macrofossils in the peat were dated using radiocarbon age determination. The peat from the farmed islands is highly distinct from marsh island peat. Bulk density of peat from the farmed islands is generally greater than that of the marsh islands at a given organic carbon content. On the farmed islands, increased bulk density, which is an indication of compaction, decreases with depth within the unoxidized peat zone, whereas, on the marsh islands, bulk density is generally constant with depth except near the surface. Approximately 5580 of the original peat layer on the farmed islands has been lost due to land-surface subsidence. For the center regions of the farmed islands, this translates into an estimated loss of between 29005700 metric tons of organic carbon/hectare. Most of the intact peat just below the currently farmed soil layer is over 4000 years old. Peat loss will continue as long as the artificial water table on the farmed islands is held below the land surface. © 2009 The Society of Wetland Scientists.</t>
  </si>
  <si>
    <t>2-s2.0-70350086697"</t>
  </si>
  <si>
    <t>10.2747/1548-1603.46.1.101</t>
  </si>
  <si>
    <t>https://www.scopus.com/inward/record.uri?eid=2-s2.0-66449098794&amp;doi=10.2747%2f1548-1603.46.1.101&amp;partnerID=40&amp;md5=10418dc2a7a9cb70c7832b980ba36615</t>
  </si>
  <si>
    <t>We modeled the extent of inundation around Poyang Lake, China using 13 Landsat images and two digital elevation models (DEMs). Boundaries of the observed inundation extents were (a) labeled with lake-level measurements taken at a representative hydrological station and (b) interpolated to create a Water Line DEM (WL-DEM) that was used to map inundation frequency. A 30 m contour-based DEM produced slightly better results than the Shuttle Radar Topography Mission DEM, but neither DEM was accurate for medium and low lake levels. The WL-DEM exhibited improved accuracy at medium lake levels, but had relatively high errors at low lake levels. Copyright © 2009 by Bellwether Publishing, Ltd. All rights reserved.</t>
  </si>
  <si>
    <t>2-s2.0-66449098794"</t>
  </si>
  <si>
    <t>Sedimentary Geology</t>
  </si>
  <si>
    <t>10.1016/j.sedgeo.2009.04.010</t>
  </si>
  <si>
    <t>https://www.scopus.com/inward/record.uri?eid=2-s2.0-67651172771&amp;doi=10.1016%2fj.sedgeo.2009.04.010&amp;partnerID=40&amp;md5=ada226ba6901285f6257fec4f380ffed</t>
  </si>
  <si>
    <t>Overfilled incised valleys develop when the rate of sediment supply outpaces the rate of accommodation. An overfilled incised valley presents simple or compound valley-fill architecture, depending on the depth of the valley incision, compared with the height reached by the following sea-level rise. The Ventimiglia incised valley, exposed on the Ligurian coast, north-western Mediterranean margin, presents a spectacular example of compound incised-valley fill, developed in perennial ""overfill"" conditions. The valley was subaerially incised during the Messinian Salinity Crisis and rapidly flooded by the sea at the beginning of Pliocene, then filled by eleven coarse-grained Gilbert-type deltas during Early-Middle Pliocene time. The basal Messinian unconformity is locally paved with subaerial scree breccias and bioclastic shallow-marine sandstones, and blanketed by bathyal marls. These deposits record the lowstand, transgressive and early-highstand systems tracts of the first valley-fill sequence. The subsequent progradation of Gilbert-type deltas occurred in four stages, or depositional sequences, separated by transgressive marine-marl intervals. Within each depositional sequence, the deltaic bodies display offlapping architecture, recording falling shoreline trajectory, downward shifts in facies, and overall forced regression. The water depth and accommodation in the inundated coastal valley was gradually decreasing with time. The reduced accommodation allowed the youngest deltas to prograde out to the shelf edge, triggering mass collapses and subsequent filling into the newly created slump scars. Some of the deltas probably acted as ""canyon-perched deltas"" and supplied sediment to the deep-water slope and floor of the Ligurian Basin. The vertical stacking of Gilbert-type deltas is usually attributed, in tectonically active basins, to fault-related subsidence pulses. In Ventimiglia, the accommodation was created by high-frequency eustatic sea-level rises that, probably accompanied by climate controlled reductions in sediment supply, temporarily outpaced uplift, leading to the development of multiple cycles of infill. © 2009 Elsevier B.V. All rights reserved.</t>
  </si>
  <si>
    <t>2-s2.0-67651172771"</t>
  </si>
  <si>
    <t>10.1016/j.geomorph.2007.05.021</t>
  </si>
  <si>
    <t>https://www.scopus.com/inward/record.uri?eid=2-s2.0-64249154995&amp;doi=10.1016%2fj.geomorph.2007.05.021&amp;partnerID=40&amp;md5=a1a8c73c37429f9da4c2f782374b94cd</t>
  </si>
  <si>
    <t>Accelerated rise in sea-level, and associated geological adjustment, may result in a high impact on shorelines. On the basis of hourly sea-level observations over a 20 year period, sea-level change along the Turkish coast has been investigated. In addition to relative sea-level rise, the high level of human activities in coastal areas puts a significant amount of stress on Turkish coastal zones, especially on coastal lowland plains. Coastal erosion and ground water salinization are the most important impacts and two case studies are discussed in this paper: the Kizilirmak river delta on the Black Sea; and the tourism center of Erdek on the Marmara Sea. Coastal retreat on the Kizilirmak river delta is mostly attributed to decreasing sediment supply to the coast. The shore barriers and the enclosed lagoons are likely to respond readily to future sea-level rise. At Erdek, the most important threat is intrusion of salt water into freshwater systems caused by a combination of accelerated sea-level rise, land reclamation and overexploitation of underground aquifers.</t>
  </si>
  <si>
    <t>10.1175/2008JAMC1906.1</t>
  </si>
  <si>
    <t>https://www.scopus.com/inward/record.uri?eid=2-s2.0-67549109965&amp;doi=10.1175%2f2008JAMC1906.1&amp;partnerID=40&amp;md5=385d32aa8b99fddcdc1caec2012d582b</t>
  </si>
  <si>
    <t>Gust factors are used to convert peak wind speeds averaged over a relatively short period (e.g., 3 s) to mean wind speeds averaged over a relatively long reference period (e.g., 1 h) or vice versa. Such conversions are needed for engineering, climatological, or forecasting purposes. In this paper, gust factors in tropical cyclone (TC) winds are estimated from Florida Coastal Monitoring Program (FCMP) observations of near-surface TC wind speeds representative of flow over the sea surface and over open flat terrain in coastal areas. Comparisons are made with gust factors in extratropical winds over open flat terrain that are available in the literature. According to the results of the study, for gust durations of less than 20 s, the Durst model underestimates, and the Krayer-Marshall model overestimates, gust factors of TC winds over surfaces with roughness specified in the American Society of Civil Engineers (ASCE) 7 Standard Commentary as typical of open terrain. Consideration should be given to these findings when updating the gust factors provided in the ASCE 7 Standard Commentary. The study also compares gust factors in TC winds obtained from FCMP data with gust factors in extratropical winds obtained from near-surface wind data collected at eight Automated Surface Observing System (ASOS) stations and concludes that, depending upon terrain roughness, gust factors in TC winds can be higher by about 10%-15% than gust factors in extratropical winds. The study also presents FCMP-based estimates of turbulence intensities and their variability and shows that turbulence intensities in TC winds increase as the terrain roughness increases. The longitudinal turbulence intensity can vary from storm to storm and can exceed its typical value by as much as 20%. It is recommended that future TC wind measurement campaigns obtain temperature data usable for stratification estimation purposes, as well as information on waves and storm surge upwind of the anemometer towers. © 2009 American Meteorological Society.</t>
  </si>
  <si>
    <t>2-s2.0-67549109965"</t>
  </si>
  <si>
    <t>10.5194/nhess-9-303-2009</t>
  </si>
  <si>
    <t>https://www.scopus.com/inward/record.uri?eid=2-s2.0-76249130100&amp;doi=10.5194%2fnhess-9-303-2009&amp;partnerID=40&amp;md5=09c1c05d0f7838274dd80fce72d78113</t>
  </si>
  <si>
    <t>In this paper, an automatic near-real time (NRT) flood detection approach is presented, which combines histogram thresholding and segmentation based classification, specifically oriented to the analysis of single-polarized very high resolution Synthetic Aperture Radar (SAR) satellite data. The challenge of SAR-based flood detection is addressed in a completely unsupervised way, which assumes no training data and therefore no prior information about the class statistics to be available concerning the area of investigation. This is usually the case in NRT-disaster management, where the collection of ground truth information is not feasible due to time-constraints. A simple thresholding algorithm can be used in the most of the cases to distinguish between ""flood"" and ""non-flood"" pixels in a high resolution SAR image to detect the largest part of an inundation area. Due to the fact that local gray-level changes may not be distinguished by global thresholding techniques in large satellite scenes the thresholding algorithm is integrated into a splitbased approach for the derivation of a global threshold by the analysis and combination of the split inherent information. The derived global threshold is then integrated into a multiscale segmentation step combining the advantages of small-, medium- and large-scale per parcel segmentation. Experimental investigations performed on a TerraSAR-X Stripmap scene from southwest England during large scale flooding in the summer 2007 show high classification accuracies of the proposed split-based approach in combination with image segmentation and optional integration of digital elevation models. © Author(s) 2009.</t>
  </si>
  <si>
    <t>2-s2.0-76249130100"</t>
  </si>
  <si>
    <t>10.5479/si.00775630.568.</t>
  </si>
  <si>
    <t>https://www.scopus.com/inward/record.uri?eid=2-s2.0-70349518662&amp;doi=10.5479%2fsi.00775630.568.&amp;partnerID=40&amp;md5=0f2353b36283de3c3873be6da88f69dc</t>
  </si>
  <si>
    <t>In mangrove forests, as in all intertidal systems the hydroperiod is of great importance to the vitality of mangrove forests. Despite the importance of inundation and drying periods in tidal ecosystems, spatially-explicit measurements of frequency of ground exposure to air (the drying period) and its effect on mangrove forest cover have rarely been quantified. An eight-month long study was conducted of the tidal regime along a main channel in an overwashed island mangrove forest off the coast of Belize, Central America. Cumulative frequency distribution of tidal data were integrated within a geographic information system to model the spatial extent of ground exposure, and forest cover was estimated using the normalized difference vegetation index (NDVI). Empirical relationships between forest cover and exposure were quantified along seven cross sections, and along 23 transects. On average, exposure accounted for 43% of the variance in NDVI along cross sections. Composite data results for 23 transects showed a positive linear response of NDVI to exposure along both right (R2 = 0.31) and left (R2 = 0.14) banks, with no response in the upper channel area. On average, exposure accounted for 33% of the variance in NDVI on the right bank, and for 13% of the variance on the left bank. At a local scale, NDVI highest responses in the right bank ranged from R2 = 0.44 to R2 = 0.71. Landscape variability in NDVI vs. ground exposure relationships may be due to confounding effects from interactions with other biological and physical variables such as: microbial mats, wind, sun shadows, spatial heterogeneity in topography, rainfall, canopy structure, root density and distribution.</t>
  </si>
  <si>
    <t>2-s2.0-70349518662"</t>
  </si>
  <si>
    <t>10.5194/nhess-9-1509-2009</t>
  </si>
  <si>
    <t>https://www.scopus.com/inward/record.uri?eid=2-s2.0-76249103357&amp;doi=10.5194%2fnhess-9-1509-2009&amp;partnerID=40&amp;md5=1ac967934187f02e0577b0ec4a252d20</t>
  </si>
  <si>
    <t>Extreme natural events, like e.g. tsunamis or earthquakes, regularly lead to catastrophes with dramatic consequences. In recent years natural disasters caused hundreds of thousands of deaths, destruction of infrastructure, disruption of economic activity and loss of billions of dollars worth of property and thus revealed considerable deficits hindering their effective management: Needs for stakeholders, decision-makers as well as for persons concerned include systematic risk identification and evaluation, a way to assess countermeasures, awareness raising and decision support systems to be employed before, during and after crisis situations. The overall goal of this study focuses on interdisciplinary integration of various scientific disciplines to contribute to a tsunami early warning information system. In comparison to most studies our focus is on high-end geometric and thematic analysis to meet the requirements of smallscale, heterogeneous and complex coastal urban systems. Data, methods and results from engineering, remote sensing and social sciences are interlinked and provide comprehensive information for disaster risk assessment, management and reduction. In detail, we combine inundation modeling, urban morphology analysis, population assessment, socioeconomic analysis of the population and evacuation modeling. The interdisciplinary results eventually lead to recommendations for mitigation strategies in the fields of spatial planning or coping capacity. © Author(s) 2009.</t>
  </si>
  <si>
    <t>2-s2.0-76249103357"</t>
  </si>
  <si>
    <t>https://www.scopus.com/inward/record.uri?eid=2-s2.0-70350434479&amp;partnerID=40&amp;md5=b5d0b6642acb52bc3eada889f22f9845</t>
  </si>
  <si>
    <t>This article examines the coping mechanisms of women-headed households against the diminishing effects of multiple disasters on livelihood assets. The evidence comes from Tarasahi, a coastal village in Orissa which experienced a super-cyclone in 1999; floods in 2001 and 2003; and drought in 2002. Based on in-depth interviews with twelve women- headed households and several governmental and nongovernmental organizations, farmland, livestock, and housing were found to be the most important livelihood assets for women. The findings suggest that the social relations of caste, class, and gender are factors just as significant for accentuating the impact of multiple disasters as the physical impact per se. Social and natural assets formed the most important means of coping for women. Nevertheless, the pattern, potential, and sustainability of these coping strategies reveal an increasing level of women's vulnerability rather than a reduction of it. It is recommended that mitigation of multiple disasters requires an integrated, multi-hazard disaster risk reduction (DRR) approach built on recognition of the intersection of caste, class, and gender.</t>
  </si>
  <si>
    <t>https://www.scopus.com/inward/record.uri?eid=2-s2.0-77951268789&amp;partnerID=40&amp;md5=f73f4c5e498629c1d96ab74d517e980c</t>
  </si>
  <si>
    <t>The Mekong delta in Vietnam is among the largest river deltas in Asia and one of the most productive agricultural areas in the world, in particular paddy cultivation. People in this area have traditionally been exposed to an environment shaped by the ebb and flows of water and have lived and adapted for generations to their natural surrounding without much human interference into the complex natural hydraulic system of the delta. However, the last three decades have seen dramatic changes as increased hydraulic management has become the key to the development of the lower Mekong delta especially for its agriculture. Nowadays, a dense and complex network of hydraulic works comprising human-made canals, dykes and sluices provides flood protection, prevents salinity intrusion, and controls irrigation for agriculture and aquaculture in the delta. This transformation from a society adapted to its natural surrounding into what Wittfogel describes as a ""hydraulic society"" started to take place just after the end of the Second Indochinese War in 1975, after South Vietnam came under centralised socialist rule. The new regime's economic policy for the development of the Mekong delta has centred on rapid agricultural extension based on technological progress in agricultural production and intensive hydraulic management. This whole process has not only had significant impact on the delta's environment and ecology, but also has triggered social transformation in a way that new social groups have appeared, negotiating and struggling for increased access to resources and power. Among these strategic groups, the hydraulic bureaucracy and hydraulic construction business are the most crucial in terms of the specific role they play in the hydraulic landscape of the Mekong delta. Both groups exert considerable influence on water resources management and strive for the same resources, namely public funds (including Overseas Development Aid) that is directed to hydraulic infrastructure development. This paper illustrates how both groups have emerged due to the growing need for water resources management in the delta and how they have set up alliances for mutually sharing resources in the long run. Furthermore, it is shown how both groups have adapted their resource-oriented strategies and actions to respond to the changes in the economic and political environment in Vietnam's recent history.</t>
  </si>
  <si>
    <t>2-s2.0-77951268789"</t>
  </si>
  <si>
    <t>10.1007/s10668-007-9120-5</t>
  </si>
  <si>
    <t>https://www.scopus.com/inward/record.uri?eid=2-s2.0-61449193207&amp;doi=10.1007%2fs10668-007-9120-5&amp;partnerID=40&amp;md5=57af86d9bc8e7248a62e7a79069abee3</t>
  </si>
  <si>
    <t>Fertility status of soils of three wetland types in Akwa Ibom State, Nigeria, was investigated. The wetland types are Inland Valley (IV), Flood Plain (FP) and Mangrove (MG). The soils have silt-clay ratios above 0.15 and 0.25 indicating that they are of young parent materials with low degree of weathering and possible weatherable minerals for plant nutrition. The pH of the soils was near neutral (&gt;6.4) when wet but extremely acid (&gt;3.5) when dried indicating that the soils are potential acid sulphate soils. Organic matter content was high with mean values of 12.59, 6.03 and 3.20% for IV, FP and MG soils, respectively. Total N (nitrogen) was low except in IV soils where the value was above the 0.30% critical level. The C:N ratios were narrow with mean of 20.90, 12.17 and 12.12 for IV, FP and MG soils, respectively. The contents of basic cations [Calcium (Ca), Magnesium (Mg), Potasium (K) and Sodium (Na)] were low while acidic cations [Aluminium (Al) and Hydrogen (H)] were high. The Ca:Mg ratios were below the optimum range of 3:1 to 4:1 required for most crops. The Mg:K ratios were above 1.2, below which yields of crops like corn and soybean may be reduced. Effective cation exchange capacity (ECEC) was below the 20 cmol/kg. Percent base saturation was low (&lt;38) indicating that the soils are potentially less fertile. Exchangeable Al and percent Al saturation were high, above 60% in IV and FP soils. Electrical conductivity was above the critical value of 2 dsm-1 while exchangeable sodium percentage was less than 15. Available Phosphorus (P) and low, &lt;10 ppm and free Fe2O 3/clay ratios were &lt;0.15. Positive correlation existed between silt and ECEC, implying that silt contributed to nutrient status of the soils. Generally, fertility status of the soil is low and would require maintenance of adequate organic matter, application of lime and organic and inorganic fertilizers, drainage and irrigation if the land is to be used for intensive/sustainable crop production. © 2007 Springer Science+Business Media B.V.</t>
  </si>
  <si>
    <t>2-s2.0-61449193207"</t>
  </si>
  <si>
    <t>10.1111/j.1365-246X.2009.04106.x</t>
  </si>
  <si>
    <t>https://www.scopus.com/inward/record.uri?eid=2-s2.0-66549093843&amp;doi=10.1111%2fj.1365-246X.2009.04106.x&amp;partnerID=40&amp;md5=e809188c5115d312137d3c5173e1d3ce</t>
  </si>
  <si>
    <t>The 2004 December 26 Indian Ocean tsunami severely hit Sri Lanka. Although it was not in the direct path of the initial tsunami waves, the western coast was struck by diffracted waves that caused much damage. The numerical model GEOWAVE is used to compute tsunami generation, propagation and inundation from the earthquake source to the Sri Lankan coast. A nested grid system is constructed to increase the resolution until Galle Bay, on the southwestern coast, where a 20 m-grid is used. The six nested topobathymetric grids are interpolated from ETOPO2 and high resolution data, at sea as onshore. Simulation results are compared with tsunami height data from National Oceanic and Atmospheric Administration (NOAA; US) and Geological Survey &amp; Mines Bureau (GSMB; Sri Lanka). When the grid resolution increases, the discrepancy between the model and the data remains, on average, good, whereas its spread increases. We then conclude that the order of magnitude of the tsunami height is consistent from the 180 m-resolution grid, but the spatial imprecision is too high to locally predict reliable
water heights. Nevertheless, the comparison between computed time-series of sea surface elevation at the Colombo tide station and tide-gauge data shows a very good agreement as both amplitude, and arrival time of the first wave are well reproduced. When focusing onshore, the modelled inundation limit is compared with the limit measured in the field. With its a priori setup, computed inundation spreads much farther behind the field limit. We then integrate more accurate nearshore conditions into the model. Non-linear shallow water equations are chosen instead of fully non-linear Boussinesq equations; the bottom friction on land is increased to a
much higher value than at sea; the buildings cover and the low tide conditions are taken into account in the DEM. The resulting high resolution simulation agrees better with field data, even if discrepancies are still locally observed in places of DEM imprecision and in a river valley. This simulation, however, demonstrates that taking into account nearshore and onshore features may significantly improve tsunami impact assessment.</t>
  </si>
  <si>
    <t>Geography Review</t>
  </si>
  <si>
    <t>https://www.scopus.com/inward/record.uri?eid=2-s2.0-78650423246&amp;partnerID=40&amp;md5=ab88b4f45081a583011ba1b3746b7e92</t>
  </si>
  <si>
    <t>Dominica, a small-island developing state (SIDS) in the southeast of Caribbean, is susceptible to natural hazards and the impact of such hazards is disastrous for society as well as nature. SIDS is disaster prone areas due to their increased remoteness, relatively small economies and limited ability to forecast hazards. Hurricanes are the most common and serious natural hazards encountered by the inhabitants of Dominica. The steep slopes and high rainfall in Dominica's mountainous interior join together to make flooding, mudslides and landslides problems also. Dominica's susceptibility to hazards can be reduced by greater investment in monitoring, assessment and mapping of hazards. Dominica's sensitivity to hazard has increased due to long-term development of largely coastal road system built without adequate sea defenses due to financial constraints. However, island's position in the Atlantic belt, its rugged topography, volcanic origins, and humid tropical climate will remain unchanged.</t>
  </si>
  <si>
    <t>2-s2.0-78650423246"</t>
  </si>
  <si>
    <t>Journal of Geophysical Research: Planets</t>
  </si>
  <si>
    <t>10.1029/2008JE003122</t>
  </si>
  <si>
    <t>https://www.scopus.com/inward/record.uri?eid=2-s2.0-64949114795&amp;doi=10.1029%2f2008JE003122&amp;partnerID=40&amp;md5=c689f317f04efccd16fe9f63a85faaea</t>
  </si>
  <si>
    <t>We use a computer landform evolution model to show that Noachian-Hesperian-aged, late-stage valley network formation required numerous and repeated moderate flood events rather than one or a few continuous, multiyear, deluge-style flows. We introduce a technique that generates an estimated ""initial conditions"" digital elevation model (DEM) of the Parana Valles drainage catchment (PDC) prior to valley network incision. We then explored how variations in three classes of environmental parameters related to fluvial processes, and surface material properties evolve the initial conditions DEM. Specifically, we parameterized discharge scaling, evaporation from ponded water, and the effects of an indurated surface crust. Each simulation run produced a model output DEM that was qualitatively and statistically compared to the actual surface DEM. Simulations with an arid to semiarid climate, moderate evaporation rates, and an indurated surface crust provide the best match to the actual surface. Simulated valley network formation requires periods of fluvial activity that last a minimum of 10 3-104 years under constant deluge-style conditions. However, craters within the PDC in deluge-style simulations overflow and generate exit breaches that cut through all crater walls. Longer simulations (105-106 years) that modeled repeated, episodic flows with interim evaporation avoid universal crater breaching. The paucity of crater rim exit breaches in the PDC and the southern highlands in general implies both that the precipitation was not continuous and that formation conditions were inconsistent with a few short-lived extreme climate excursions such as might be induced by large-scale impacts or other cataclysmic events. Copyright 2009 by the American Geophysical Union.</t>
  </si>
  <si>
    <t>2-s2.0-64949114795"</t>
  </si>
  <si>
    <t>10.2478/v10009-009-0004-x</t>
  </si>
  <si>
    <t>https://www.scopus.com/inward/record.uri?eid=2-s2.0-64149124490&amp;doi=10.2478%2fv10009-009-0004-x&amp;partnerID=40&amp;md5=21744afac0d6a04df7101a927ce6e8d1</t>
  </si>
  <si>
    <t>The paper presents the application of the hydrodynamic 1D unsteady model for calculating hydro-ecological flood characteristics in the Lower Biebrza River Basin located in northeastern Poland. The 1D model is combined with the Digital Elevation Model for determining of flood extent. The model was calibrated using measurements of flood extent and verified comparing calculated flood extent to satellite images. Consequently, the flood characteristics important for plant communities of the riparian wetland were calculated for vegetation season (February-September) daily time series (1961-1996). Then, their relations to particular generalized groups of vegetation were analyzed. The results show a significant congruity between the type of vegetation and calculated flood characteristics. The hydrodynamic model was confirmed to be a useful tool for calculating flood characteristics. Copyright © by Institute of Oceanography, University of Gdansk, Poland.</t>
  </si>
  <si>
    <t>2-s2.0-64149124490"</t>
  </si>
  <si>
    <t>10.1127/0372-8854/2009/0053S3-0113</t>
  </si>
  <si>
    <t>https://www.scopus.com/inward/record.uri?eid=2-s2.0-77953276748&amp;doi=10.1127%2f0372-8854%2f2009%2f0053S3-0113&amp;partnerID=40&amp;md5=a92dbd97979b55b82c35f7acc4b8eb17</t>
  </si>
  <si>
    <t>'Classical' geomorphological mapping is a rather labour and time consuming activity and requires much experience to recognize landforms, including terrace levels. The method presented here is meant to provide a possible solution to the problem, using geological information and GIS for mapping. The test area is the terrace system of Tokaj Mountains, Northeasten Hungary, rising above the floodplain of the Bodrog River.</t>
  </si>
  <si>
    <t>2-s2.0-77953276748"</t>
  </si>
  <si>
    <t>10.5194/hess-13-1453-2009</t>
  </si>
  <si>
    <t>https://www.scopus.com/inward/record.uri?eid=2-s2.0-72649095432&amp;doi=10.5194%2fhess-13-1453-2009&amp;partnerID=40&amp;md5=17bea9bb457099fe24df339f77eadc08</t>
  </si>
  <si>
    <t>Airborne LiDAR (Light Detection And Ranging) combines cost efficiency, high degree of automation, high point density of typically 1-10 points per m 2 and height accuracy of better than ±15 cm. For all these reasons LiDAR is particularly suitable for deriving precise Digital Terrain Models (DTM) as geometric basis for hydrodynamic-numerical (HN) simulations. The application of LiDAR for river flow modelling requires a series of preprocessing steps. Terrain points have to be filtered and merged with river bed data, e.g. from echo sounding. Then, a smooth Digital Terrain Model of the Watercourse (DTM-W) needs to be derived, preferably considering the random measurement error during surface interpolation. In a subsequent step, a hydraulic computation mesh has to be constructed. Hydraulic simulation software is often restricted to a limited number of nodes and elements, thus, data reduction and data conditioning of the high resolution LiDAR DTM-W becomes necessary. We will present a DTM thinning approach based on adaptive TIN refinement which allows a very effective compression of the point data (more than 95% in flood plains and up to 90% in steep areas) while preserving the most relevant topographic features (height tolerance ±20 cm). Traditional hydraulic mesh generators focus primarily on physical aspects of the computation grid like aspect ratio, expansion ratio and angle criterion. They often neglect the detailed shape of the topography as provided by LiDAR data. In contrast, our approach considers both the high geometric resolution of the LiDAR data and additional mesh quality parameters. It will be shown that the modelling results (flood extents, flow velocities, etc.) can vary remarkably by the availability of surface details. Thus, the inclusion of such geometric details in the hydraulic computation meshes is gaining importance in river flow modelling.</t>
  </si>
  <si>
    <t>2-s2.0-72649095432"</t>
  </si>
  <si>
    <t>10.1007/s12040-009-0012-y</t>
  </si>
  <si>
    <t>https://www.scopus.com/inward/record.uri?eid=2-s2.0-68049086639&amp;doi=10.1007%2fs12040-009-0012-y&amp;partnerID=40&amp;md5=b91a728a04d4dff5a8da4d65cc50fd8f</t>
  </si>
  <si>
    <t>The Piedmont Zone is the least studied part of the Ganga Plain. The northern limit of the Piedmont Zone is defined by the Himalayan Frontal Thrust (HFT) along which the Himalaya is being thrust over the alluvium of the Ganga Plain. Interpretation of satellite imagery, Digital Terrain Models (DTMs) and field data has helped in the identification and mapping of various morphotectonic features in the densely forested and cultivated Piedmont Zone in the Kumaun region of the Uttarakhand state of India. The Piedmont Zone has formed as a result of coalescing alluvial fans, alluvial aprons and talus deposits. The fans have differential morphologies and aggradation processes within a common climatic zone and similar litho-tectonic setting of the catchment area. Morphotectonic analysis reveals that the fan morphologies and aggradation processes in the area are mainly controlled by the ongoing tectonic activities. Such activities along the HFT and transverse faults have controlled the accommodation space by causing differential subsidence of the basin, and aggradation processes by causing channel migration, channel incision and shifting of depocentres. The active tectonic movements have further modified the landscape of the area in the form of tilted alluvial fan, gravel ridges, terraces and uplifted gravels. © Printed in India.</t>
  </si>
  <si>
    <t>2-s2.0-68049086639"</t>
  </si>
  <si>
    <t>10.1007/s10236-008-0178-x</t>
  </si>
  <si>
    <t>https://www.scopus.com/inward/record.uri?eid=2-s2.0-66149185316&amp;doi=10.1007%2fs10236-008-0178-x&amp;partnerID=40&amp;md5=eddd0b1a34b3b6ed3ab30ed9c4e282ee</t>
  </si>
  <si>
    <t>Wind speed, friction velocity and significant wave height data from the FINO1 platform in the southern German Bight 45 km off the coast for the years 2004 to 2006 have been evaluated and related to each other. The data show a clear dependence of the hourly mean wave height to the hourly mean friction velocity and wind speed. Wave heights increase with decreasing stratification and increasing fetch. Synoptic weather patterns for the highest wave heights in the southern German Bight are determined. The analysis is made separately for four wind direction sectors. The two strongest storms in the evaluated period, ""Britta"" and ""Erwin"", are analysed in more detail. Finally, the 50-year extreme significant wave height has been estimated to be about 11 m most probably coming from northerly directions. © 2009 Springer-Verlag.</t>
  </si>
  <si>
    <t>2-s2.0-66149185316"</t>
  </si>
  <si>
    <t>10.5194/hess-13-1597-2009</t>
  </si>
  <si>
    <t>https://www.scopus.com/inward/record.uri?eid=2-s2.0-77749331919&amp;doi=10.5194%2fhess-13-1597-2009&amp;partnerID=40&amp;md5=f3d68a40ffc15e3ad5ab064f508a6ba6</t>
  </si>
  <si>
    <t>We tested the hypothesis whether individual land classes within a river catchment contribute equally to river loading with dissolved constituents or whether some land classes act as ""hot spots"" to river loading and if so, are these land classes especially affected by hydrological alterations. The amount of land covered by forests and wetlands and the average soil depth (throughout this paper soil refers to everything overlying bedrock i.e. regolith) of a river catchment explain 58-93% of the variability in total organic carbon (TOC) and dissolved silicate (DSi) concentrations for 22 river catchments in Northern Sweden. For the heavily regulated Lulealven, with 7 studied sub-catchments, only 3% of the headwater areas have been inundated by reservoirs, some 10% of the soils and aggregated forest and wetland areas have been lost due to damming and further hydrological alteration such as bypassing entire sub-catchments by headrace tunnels. However, looking at individual forest classes, our estimates indicate that some 37% of the deciduous forests have been inundated by the four major reservoirs built in the Luleälven headwaters. These deciduous forest and wetlands formerly growing on top of alluvial deposits along the river corridors forming the riparian zone play a vital role in loading river water with dissolved constituents, especially DSi. A digital elevation model draped with land classes and soil depths which highlights that topography of various land classes acting as hot spots is critical in determining water residence time in soils and biogeochemical fluxes. Thus, headwater areas of the Luleälven appear to be most sensitive to hydrological alterations due to the thin soil cover (on average 2.7-4.5 m) and only patchy appearance of forest and wetlands that were significantly perturbed. Hydrological alterations of these relatively small headwater areas significantly impacts downstream flux of dissolved constituents and their delivery to receiving water bodies. © Author(s) 2009.</t>
  </si>
  <si>
    <t>2-s2.0-77749331919"</t>
  </si>
  <si>
    <t>10.1130/2009.2460(07)</t>
  </si>
  <si>
    <t>https://www.scopus.com/inward/record.uri?eid=2-s2.0-74949087721&amp;doi=10.1130%2f2009.2460%2807%29&amp;partnerID=40&amp;md5=8f1070253054734b4251c927fdb00169</t>
  </si>
  <si>
    <t>Southeast Florida's beaches, which are heavily developed and imperiled by rising sea level, continue to be seriously mismanaged and uneconomically maintained and to generate increasing environmental stress for adjacent marine habitats. Broward County heads the list of counties that stretch from St. Lucie southward to Miami-Dade. Five serious problems plague the stability of these barrier-island shorelines: inlet disruption of littoral drift</t>
  </si>
  <si>
    <t>10.1007/s12517-008-0018-9</t>
  </si>
  <si>
    <t>https://www.scopus.com/inward/record.uri?eid=2-s2.0-77957968575&amp;doi=10.1007%2fs12517-008-0018-9&amp;partnerID=40&amp;md5=c162d8b11516eff49ebe2b405ef3c127</t>
  </si>
  <si>
    <t>This paper compares the pattern of historical Eastern Nile Delta branches, delineated by geoelectric resistivity investigation, with the path of the Nile canyon of Messinian time revealed in seismic reflection. A close correlation is evident between the Late Quaternary Nile River channels and the Messinian canyons (wadies) in the eastern Nile Delta. This indicates that the Messinian canyons were a persistent topographic (or geomorphic) feature until historical branches. The results may also have implications for long-term patterns of subsidence in the delta area. © Saudi Society for Geosciences 2008</t>
  </si>
  <si>
    <t>2-s2.0-77957968575"</t>
  </si>
  <si>
    <t>10.2112/07-0994.1</t>
  </si>
  <si>
    <t>https://www.scopus.com/inward/record.uri?eid=2-s2.0-68749112726&amp;doi=10.2112%2f07-0994.1&amp;partnerID=40&amp;md5=914c6cacefe1319cd62992355ca0861c</t>
  </si>
  <si>
    <t>ARCHETTI, R., 2009. Quantifying the evolution of a beach protected by low crested structures using video monitoring. Journal of Coastal Research, 25(4), 884-899. West Palm Beach (Florida), ISSN 0749-0208. The purpose of this study is to analyse the shoreline response of a beach protected by a system of low crested structures (LCS) and to apply the results to the management of coastal stability problems. This contribution aims to provide heretofore scarce detailed data and observations of the shoreline variability of coasts protected by LCS. These aims are acheived by selecting and monitoring the appropriate Coastal State Indicator (CSI) to describe the state of the beach. The CSI used is the Mean Intertidal Position (MIP), which has been detected by the ARGUS system installed in Lido di Dante, Italy. The error in the shoreline estimation from video was assessed by comparing shorelines detected with global positioning system (GPS) and image analysis over a large number of cases. The horizontal error in the shoreline detection is estimated to be on the order of 0.90 ± 0.74 m, which is acceptable because it is on the same order of magnitude as the swash width. The MIP, which has been monitored over a forty month period with elevated spatial and temporal resolution, was monitored in several transects of the beach protected by a system of LCS and boundary groins, creating two cells. The behaviour of the section in the middle of the cell was comparable to the behaviour of the total beach. Results were analysed with respect to the fixed beach state of the initial beach position (January 2004). The MIP regression rate is around 2.3 m/y, which is modest considering the local subsidence magnitude (1.8 cm/y). Therefore, the actual data do not show any evidence of immediaste risk, either for the present structures on the beach or for the infrastructure immediately behind</t>
  </si>
  <si>
    <t>10.1175/2008JPO4017.1</t>
  </si>
  <si>
    <t>https://www.scopus.com/inward/record.uri?eid=2-s2.0-67650075325&amp;doi=10.1175%2f2008JPO4017.1&amp;partnerID=40&amp;md5=89cec519708259fab2c0125b58351a2f</t>
  </si>
  <si>
    <t>A field experiment was conducted to examine stratified and unstratified curvature-generated lateral circulation and momentum balances in an estuarine tidal channel. Conductivity, temperature, depth, and current profiler data were collected vertically and laterally across the channel at a sharp bend over a fortnightly period to measure the terms of the lateral momentum budget. Well-mixed conditions allow the development of classic two-layer helical flow around a bend. Stratification strengthens curvature-induced lateral circulation, but the development of a lateral baroclinic pressure gradient opposes the resultant motions. The spatial and temporal response of this baroclinic pressure gradient is different than centrifugal acceleration, producing a three-layer profile. As the baroclinic term becomes stronger (or as centrifugal acceleration disappears as the flow exits the bend), two-layer flow with the opposite direction from curvature occurs. In both stratified and well-mixed conditions, downstream adjustment of lateral circulation (nonlinear advective acceleration) is of leading order in the lateral momentum budget</t>
  </si>
  <si>
    <t>https://www.scopus.com/inward/record.uri?eid=2-s2.0-62349122378&amp;partnerID=40&amp;md5=5b1b3dae921d253c2f059c89b16a9da0</t>
  </si>
  <si>
    <t>Floods have been the most common and widespread of all weather-related natural disasters during the 20th century. Moreover, due to the anticipated climate change it is likely that severe floods will hit Europe more frequently. They are natural phenomena but with the appropriate measures we can reduce their likelihood and limit their impact. This paper illustrates a methodology that may be used for assessing and mapping potentially inundated areas. This research was developed in the framework of the new European Union directive on the assessment and management of flood risks, and was applied in the downstream end of a catchment in northern Greece. This methodology integrates hydrologie and hydraulic models with the digital terrain model and produces flood hazard maps according to probability scenarios. Predictions of flooding from rainfall for different return periods are assessed and mapped with Geographic Information Systems (GIS). These maps will be further used to establish flood hazard management plans focused on prevention, protection and preparedness.</t>
  </si>
  <si>
    <t>2-s2.0-62349122378"</t>
  </si>
  <si>
    <t>Atmospheric and Oceanic Science Letters</t>
  </si>
  <si>
    <t>10.1080/16742834.2009.11446800</t>
  </si>
  <si>
    <t>https://www.scopus.com/inward/record.uri?eid=2-s2.0-84887626467&amp;doi=10.1080%2f16742834.2009.11446800&amp;partnerID=40&amp;md5=8cacb57387927eba657cb6d59ccd5004</t>
  </si>
  <si>
    <t>Some depression cells with heights lower than their surrounding cells may often be found in Grid-based digital elevation models (DEM) dataset due to sampling errors. The depression-filling algorithm presented by Planchon and Darboux works very quickly compared to other published methods. Despite its simplicity and delicacy, this algorithm remains difficult to understand due to its three complex subroutines and its recursive execution. Another fast algorithm is presented in this article. The main idea of this new algorithm is as follows: first, the DEM dataset is viewed as an island and the outer space as an ocean</t>
  </si>
  <si>
    <t>GEO: connexion</t>
  </si>
  <si>
    <t>https://www.scopus.com/inward/record.uri?eid=2-s2.0-67649660135&amp;partnerID=40&amp;md5=5583b986d7b4e0211738b9e6242ae31f</t>
  </si>
  <si>
    <t>Intermap Technologies™ has developed the NEXTMap® Europe dataset, a collection of three-dimensional (3D) elevation data and images for all of Western Europe that is successfully employed with commercial and governmental organization for a wide spectrum of projects. The NEXTMap® has further derived the digital surface models (DSM) and digital terrain models (DTM) to be employed in an ever-increasing array of markets as GIS, engineer, automotive, consumer electronics, risk management, renewable energy, oil and gas, hydrology, aviation, and 3D visualization. The program is the first high precision national elevation mapping program that aims to develop accurate flood risk models on datasets. The company has expanded the technology from Europe to USA by collecting data with its proprietary interferometric synthetic aperture radar (IFSAR) system with an aim to develop additional applications with a wide range of markets represented by traditional engineering and GIS.</t>
  </si>
  <si>
    <t>2-s2.0-67649660135"</t>
  </si>
  <si>
    <t>10.1016/j.geomorph.2007.04.041</t>
  </si>
  <si>
    <t>https://www.scopus.com/inward/record.uri?eid=2-s2.0-64249144407&amp;doi=10.1016%2fj.geomorph.2007.04.041&amp;partnerID=40&amp;md5=e007b3acd905273596fb1eaef1019f01</t>
  </si>
  <si>
    <t>Human activity has modified the natural evolution of coastal areas to a considerable extent and has arguably been the most important factor controlling the evolution of the coastal zone in recent decades. These interventions have drastically changed the natural evolution trends of the coastal strip between Sulina and Sf. Gheorghe Danube mouths, where the highest erosion and substantial accumulation rates can be observed compared to the entire Romanian Black Sea coast. In addition, various scenarios of the rate of sea-level rise suggest a general coastline retreat ranging from 30 to 150 m by 2030 for the coastal strip between Sulina and Sf. Gheorghe. The implications for the study area were examined using two possible scenarios: the first in which there is no intervention to protect against coastal erosion, and the second in which new human interventions are taken into account. The predicted coastal evolution under the first scenario is essentially a projection of present-day coastline evolution influenced by projected climate change, whilst for the second scenario the results are more complex and difficult to assess at present due to a lack of information concerning future coastal management plans. © 2008 Elsevier B.V. All rights reserved.</t>
  </si>
  <si>
    <t>2-s2.0-64249144407"</t>
  </si>
  <si>
    <t>10.1016/j.geomorph.2008.12.011</t>
  </si>
  <si>
    <t>https://www.scopus.com/inward/record.uri?eid=2-s2.0-67349101227&amp;doi=10.1016%2fj.geomorph.2008.12.011&amp;partnerID=40&amp;md5=06b7b57e258b0e3afd65b02d296f72d9</t>
  </si>
  <si>
    <t>The geomorphology and dynamics of the Mfolozi River floodplain and estuary, located in the subtropical region of northern KwaZulu-Natal, South Africa, were considered with respect to existing models of avulsion and alluvial stratigraphy. The Mfolozi River floodplain may be divided into regions based on longitudinal slope and dominant geomorphic processes. Confinement of the Mfolozi River above the floodplain has led to the development of an alluvial fan at the floodplain head, characterized by a relatively high sedimentation rate and avulsion frequency, at a gradient of 0.10%. The lower floodplain is controlled by sea level, with an average gradient of 0.05%. Between the two lies an extremely flat region with an average gradient of 0.02%, which may be controlled by faulting of the underlying bedrock. Avulsion occurrences on the Mfolozi floodplain are linked to the two main zones of aggradation, the alluvial fan at the floodplain head, and toward the river mouth in the lower floodplain. On the alluvial fan, normal flow conditions result in scour from local steepening. During infrequent, large flood events, the channel becomes overwhelmed with sediment and stream flow, and avulses. The resulting avulsion is regional, and affects the location of the channel from the floodplain head to the river mouth. Deposits resulting from such avulsions contribute significantly to the total volume of sediment stored in the floodplain, and tend to persist for long periods after the avulsion. Contrastingly, on the lower floodplain, reaching of the avulsion threshold is not necessarily linked to large flood events, but rather to long-term aggradation on the channel that decreases the existing channels gradient while increasing its elevation above the surrounding floodplain. Resultant avulsions tend to be local and do not contribute significantly to the overall volume of floodplain alluvium. © 2008 Elsevier B.V. All rights reserved.</t>
  </si>
  <si>
    <t>2-s2.0-67349101227"</t>
  </si>
  <si>
    <t>https://www.scopus.com/inward/record.uri?eid=2-s2.0-84868498399&amp;partnerID=40&amp;md5=283842144682cdd5c09ceda3b4aea2b1</t>
  </si>
  <si>
    <t>The Whangarei 1:250 000 geological map covers about 8700 km2 of Northland, in the north of the North Island, New Zealand</t>
  </si>
  <si>
    <t>10.4000/geomorphologie.7720</t>
  </si>
  <si>
    <t>https://www.scopus.com/inward/record.uri?eid=2-s2.0-78649286120&amp;doi=10.4000%2fgeomorphologie.7720&amp;partnerID=40&amp;md5=392a748566ff47b37605e809c25b1d24</t>
  </si>
  <si>
    <t>The ability to investigate meaningful geoarchaeological questions is driven by appropriate scale-process focus fundamentally informing sampling strategies. This in turn, is driven by site-specific characteristics such as topography, sedimentology, geochemistry and climate. The Laurentine Shore is the Roman-period palaeo-shoreline preserved up to 1 km inland of the modern coastline of the Tiber Delta at the southern distal end. Mid- to late-Holocene progradation of the Tiber Delta linked to sediment supply in the context of changing relative sea level drives the macro-scale (103+) development of the region. Archaeological remains preserved within the Presidential Estate of Castelporziano must be interpreted within this macro-scale context. Using a multiscale, transect-based approach, SAAD-IRSL luminescence dating of relict foredune ridges has provided an age model constraining the development of the Tiber delta during the late Holocene. Both radiocarbon (Giraudi et al., 2009) and luminescence chronologies of dune ridge phases are in good agreement. Due to the protected status of the Castelporziano Estate the Holocene coastal dune topography is better preserved than at the central delta area and two additional phases of dune ridge formation are observed. Four macro-scale phases of delta progradation are recorded by the dune ridge record with increased mean rates of progradation observed during the Roman period and within the last 500 years. On the meso-scale (102) the high-status villas on the Laurentine Shore, and the Vicus Augustanus that serviced the villas are specifically located on the Roman-period shoreline. The timing of settlement (from around 2050 BP, i.e., 1st century BC) occurs during a pronounced Tiber delta progradation phase. Within this macro-scale context issues of sediment supply, frequency of Tiber flooding and the expression of shoreline advance at the Laurentine Shore have important meso-scale consequences for the development of the archaeological sites. It is likely that during the 2-phase development of the Vicus Augustanus that shoreline progradation was an observable phenomenon on decadal to multi-decadal timescales. Indeed the second, major seaward construction phase of the Vicus Augustanus likely occurred upon land that did not exist during the first phase, directly linked to delta progradation and the macro-scale processes acting upon the development of the site including anthropogenic activity in the Tiber catchment during the Roman period.</t>
  </si>
  <si>
    <t>2-s2.0-78649286120"</t>
  </si>
  <si>
    <t>10.1007/s11069-008-9337-0</t>
  </si>
  <si>
    <t>https://www.scopus.com/inward/record.uri?eid=2-s2.0-67650149720&amp;doi=10.1007%2fs11069-008-9337-0&amp;partnerID=40&amp;md5=fe5e541c3e21cd638e96a08e942d55a0</t>
  </si>
  <si>
    <t>For exposed and vulnerable communities, the perception of natural risk is an essential link in the analysis of man–environment coping relationship and also an important parameter in the quantification of complex vulnerability as a central predictive variable in the risk equation. The topic of flood risk in related perception is of considerable interest, as some recently published papers have proven (Messner and Meyer 2005, 2006; Raaijmakers et al. 2008). The aim of the current study is to reveal the conscious and unconscious attitudes towards the flood risk for the inhabitants of the Danube Delta/Romania. These attitudes, defined by different degrees of psychological vulnerability, represent the background for a series of psycho-behavioural patterns that generate certain adjustment mechanisms and strategies. Application of a specially designed questionnaire and the statistical analysis of the results revealed two psychological factors as essential in establishing the psychosocial vulnerability degree of the interviewed subjects: (i) an internal control factor and (ii) an external control factor. The persons characterized by inner control have a significantly reduced general anxiety level in comparison to individuals with the control factor placed externally. As confidence diminishes, it increases the tendency of the individual to rely on the external factors for support and security. The lack of resources (indicating lower resilience) and mistrust in the support given emphasizes non-adaptive behaviours.</t>
  </si>
  <si>
    <t>10.1002/hyp.7297</t>
  </si>
  <si>
    <t>https://www.scopus.com/inward/record.uri?eid=2-s2.0-65949105282&amp;doi=10.1002%2fhyp.7297&amp;partnerID=40&amp;md5=500da534cd019198cac26568b3a2426f</t>
  </si>
  <si>
    <t>In urban areas with a high building density, features such as roads, buildings and river dykes significantly affect flow dynamics and flood propagation. This should therefore be accounted for in the model set-up. While 2D hydraulic models of densely urban areas are at the forefront of current research into flood inundation mechanisms, these models are constrained by inadequate parameters of topography and insufficient data. In order to solve these problems, topographic information obtained from digital elevation model (DEM) is directly programmed into the urban inundation model for a densely urban area, without exchanging the input data. In this paper, the extraction of building area is described using a tight coupling approach within a GIS environment, and its influence on the extent of flood inundation with a high building density is estimated. Copyright © 2009 John Wiley &amp; Sons, Ltd.</t>
  </si>
  <si>
    <t>2-s2.0-65949105282"</t>
  </si>
  <si>
    <t>10.1080/01490410902869458</t>
  </si>
  <si>
    <t>https://www.scopus.com/inward/record.uri?eid=2-s2.0-74849096546&amp;doi=10.1080%2f01490410902869458&amp;partnerID=40&amp;md5=fa5edb2d9a6b195867ed2da52e749241</t>
  </si>
  <si>
    <t>Bangladesh is situated at the northern tip of the funneling Bay of Bengal. The long continental shelf, shallow bathymetry, and complex coastal geometry with many kinks and islands with the overall funneling shape of the Bay of Bengal are well-known features of the highest storm surge of the longest duration. IIT Kharagpur Model (2002) for storm surge is used for numerical simulation of storm surges near Orissa, West Bengal, and Bangladesh coasts. High resolution (x = 3.7 km, y = 3.5 km, t = 60 sec) IIT Model (Domain: 18-23° N, 83.5-94.5° E) has been used for the simulation. Three or six hourly positional data of several severe storms that hit Orissa, West Bengal, and Bangladesh coasts have been used for making gradual changes in the storm surge scenario. A Generic Mapping Tool (GMT) has been employed with a view to imaging surges. Visualization is made with MS PowerPoint. 3D view of the peak surges during landfall has also been made by incorporating geo-referenced peak surge data into WinSurfer. The results obtained from the model are in good agreement with the reported data. © Taylor &amp; Francis Group, LLC.</t>
  </si>
  <si>
    <t>2-s2.0-74849096546"</t>
  </si>
  <si>
    <t>10.1016/j.pgeola.2009.05.003</t>
  </si>
  <si>
    <t>https://www.scopus.com/inward/record.uri?eid=2-s2.0-67649506171&amp;doi=10.1016%2fj.pgeola.2009.05.003&amp;partnerID=40&amp;md5=137d5cdba0d605c7ee2bec6963b97062</t>
  </si>
  <si>
    <t>This paper reviews the pattern of climate and environmental change in eastern England over the period of the Early and Middle Pleistocene, focussing especially upon northern East Anglia. Particular attention is given to the climate and tectonics that have brought about these changes and the distinctive geology, topography and biology that has developed. Throughout, an attempt is made to describe the new models that have been proposed for the Early and Middle Pleistocene of eastern England, and explain the reasons for these changes. The Early Pleistocene experienced relatively high insulation and relatively low magnitude climatic change and is represented primarily by non-climatically forced processes in the form of tidal current- and wave-activity which formed shallow marine deposits. It is possible to recognise a tectonic control in the distribution of deposits of this age because the surface processes do not have the power to remove this signature. The early Middle Pleistocene was dominated by higher magnitude climatic change involving, occasionally, climatic extremes that ranged from permafrost to mediterranean. The landscape at this time was dominated by the behaviour of major rivers (Thames, Bytham, Ancaster) and extensive coastal activity. In the latter part of the early Middle Pleistocene and the Late Middle Pleistocene the climate experienced major changes which resulted in periods of lowland glaciation and short intervals when the climate was warmer than the present. Details of tectonic activity are difficult to identify because they are removed by powerful surface processes, but it is possible to infer uplift focussed on the major interfluves of central England and subsidence in the North Seas basin. In the areas of glaciation the landscape changed radically from an organised terrain dominated by large rivers and extensive shallow coastal zones to complex, with small valleys, disrupted drainage and often discontinuous river, slope and coastal deposits. Likewise the switching off of the North Sea Delta and the opening of the Strait of Dover, separating Britain from continental Europe can be attributed to the onset of lowland glaciation. The case is made that eastern England was glaciated four times during the Middle Pleistocene: during MIS 16, 12, 10 and 6, and attention is given to recent evidence contradicting this model. Over the period of the Middle Pleistocene there is evidence for high biomass production occurring over short intervals coinciding with the climatic optima of MIS 19, 17, 15, 13, 11, and 7c, 7a and during most of these warmer periods, extending back to c. 750 ka (MIS 19/17), there is evidence in the region for the brief appearance of humans. © 2009 The Geologists' Association.</t>
  </si>
  <si>
    <t>2-s2.0-67649506171"</t>
  </si>
  <si>
    <t>10.1016/j.geomorph.2006.09.026</t>
  </si>
  <si>
    <t>https://www.scopus.com/inward/record.uri?eid=2-s2.0-64549119066&amp;doi=10.1016%2fj.geomorph.2006.09.026&amp;partnerID=40&amp;md5=fe9fa90add20d9215c85d51eb03f5d4b</t>
  </si>
  <si>
    <t>The aim of this paper is to connect the Large Scale Coastal Behaviour (LSCB) of the Rhône delta (shoreface sediment budget, river sediment input to the beaches, climatic change) with the impact and efficiency of hard engineering coastal structures. The analysis of the 1895 to 1974 bathymetric maps as well as 2D modelling of the effect of wave blocking on longshore transport allows us to draw up a conceptual model of the LSCB of the Rhône delta. The river sand input, settled in the mouth area (prodeltaic lobe), favours the advance of adjacent beaches. There is however a very weak alongshore sand feeding of the non-adjacent beaches farther off the mouth. After a mouth shift, the prodelta is eroded by aggressive waves and the sand is moved alongshore to build spits. This conceptual model suggests that there is a ""timeshift"" between the input of river sediments to the sea and the build up of a beach (nonadjacent to the mouth). Nowadays, as the river channels are controlled by dykes and human interventions, a river shift is not possible. It thus appears unlikely that the river sediments can supply the beaches of the Rhône delta coast. Under these conditions, we must expect that the problems of erosion will continue at Saintes-Maries-de-la-Mer and on the Faraman shore, in areas with chronic erosion where the shoreline retreat has been partially stopped by hard engineering practices in the 1980s. Therefore, these artificially stabilised sectors remain potentially under threat because of profile steepening and downdrift erosion evidenced in this paper by bathymetric profile measurements. In the long-term (1905 to 2003), the temporal analysis of the storm surges and the sea level show very weak but reliable increasing trends. Thus, these climatic agents will be more aggressive on the beaches and on the coastal structures calling their efficiency into question. We also evidence that the hard engineering structures were built in a favourable climatic context during the 1980s meanwhile the storm surges and the sea-level rise are stronger since the 1990s. Regarding to the LSCB of the Rhône delta, and the impact of hard engineering coastal structures, we suggest that classical hard coastal protections are not the best option to protect the coast. © 2008.</t>
  </si>
  <si>
    <t>2-s2.0-64549119066"</t>
  </si>
  <si>
    <t>American Journal of Environmental Sciences</t>
  </si>
  <si>
    <t>10.3844/ajes.2009.16.32</t>
  </si>
  <si>
    <t>https://www.scopus.com/inward/record.uri?eid=2-s2.0-63849126800&amp;doi=10.3844%2fajes.2009.16.32&amp;partnerID=40&amp;md5=bba36e49edf27283676f710bb8e07d1f</t>
  </si>
  <si>
    <t>Natural resources within the southern United States have repeatedly been subjected to the impact of tropical cyclones. While the frequency of tropical cyclones hitting either coast varies from year to year, it is crucial for natural resource managers and land owners to be prepared for the damage resulting from such storms. The goal of this review paper is to synthesize previous research and assess how hurricanes impact coastal forests. Approach: In order to understand the impact on forests in this region, an extensive literature review was preformed. The literature review focused primarily on the southern United States' forests but included information from other areas that was pertinent in understanding the impact of strong wind events on forests. Results: Although the literature is not entirely consistent in arriving at factors that can be used to describe or predict potential damage to forests, a number of trends were obvious. Forest damage was found to be a function of tree species, proximity to the eye of the hurricane, stand and site characteristics, species-specific responses to storm surges, and topographic exposure. Each of these factors was found to be critical in developing and understanding potential hurricane damage to forest and wildlife values. Conclusions/Recommendations: Such a review paper was found to be a valuable tool for informing natural resource managers and forest land owners of the potential impacts of hurricanes on the forest of the southern United States. This information will help land managers develop a response plan related to hurricane damage. © 2009 Science Publications.</t>
  </si>
  <si>
    <t>2-s2.0-63849126800"</t>
  </si>
  <si>
    <t>10.1016/j.geomorph.2008.07.015</t>
  </si>
  <si>
    <t>https://www.scopus.com/inward/record.uri?eid=2-s2.0-56249086800&amp;doi=10.1016%2fj.geomorph.2008.07.015&amp;partnerID=40&amp;md5=5c0f72fef4ce19c405b1b461c0207371</t>
  </si>
  <si>
    <t>Lakes are highly informative repositories of information of the terrestrial response to regional and global climate drivers. In Quaternary studies lake floor records are now frequently used to establish the magnitude, timing and geographical extent of humid/arid transitions over timescales of 102-104 years. While the resolution of this record is unparalleled much of the geochemical and sedimentary data is challenging to interpret and highly basin-specific. Geomorphological proxies, particularly shorelines, offer an additional or alternative record of lake history, with recent technological advances facilitating both access to, and the utility of, this proxy record. Recent advances in Optically Stimulated Luminescence (OSL) dating allow the determination of the age of beach ridge emplacement in the absence of organic material, while the availability of Shuttle Radar Topography Mission (SRTM) data, in conjunction with Digital Elevation Models (DEM), aids in the identification of shoreline features and the topographic reconstruction of the former extent of palaeolakes. Here we highlight and illustrate the use of lacustrine shoreline features for unravelling a Quaternary climate signal within Africa from otherwise inaccessible and undatable palaeolake records in the semi-arid and arid subtropics and identify their contribution towards high resolution multiproxy reconstructions of tropical low latitude Quaternary environments and climates. © 2008 Elsevier B.V. All rights reserved.</t>
  </si>
  <si>
    <t>2-s2.0-56249086800"</t>
  </si>
  <si>
    <t>10.1175/2008JAMC1907.1</t>
  </si>
  <si>
    <t>https://www.scopus.com/inward/record.uri?eid=2-s2.0-65349158816&amp;doi=10.1175%2f2008JAMC1907.1&amp;partnerID=40&amp;md5=95a729fb8164fdebae43f751c3b5a797</t>
  </si>
  <si>
    <t>The southeastern coast of Brazil is frequently affected by meteorological disturbances such as cold fronts, which are sometimes associated with intense extratropical cyclones. These disturbances cause oscillations on the sea surface, generating low-frequency motions. The relationship of these meteorologically driven forces in low frequency to the storm-surge event is investigated in this work. A method to predict coastal sea level variations related to meteorological events that use a neural network model (NNM) is presented here. Pressure and wind values from NCEP-NCAR reanalysis data and tide gauge time series from the Cananéia reference station in São Paulo State, Brazil, were used to analyze the relationship between these variables and to use them as input to the model. Meteorological influences in the sea level fluctuations can be verified by filtering the astronomical tide frequencies for periods lower than tidal cycles (periods higher than 24 h). Thus, a low-pass filter was applied in the tide gauge and meteorological time series for periods lower than tides to identify more readily the interactions between coastal sea level response and atmospheric-driven forces. Statistical analyses on time and frequency domain were used. Maxima correlations and coherence between the low-frequency sea level and meteorological series could be defined using the time lag of the NNM input variables. The model was tested for 6-, 12-, 18-, and 24-hourly forecasts, and the results were compared with filtered sea level values. The results show that this model is able to capture the effects of atmospheric and oceanic interactions. It can be considered to be an efficient model for predicting the nontidal residuals and can effectively complement the standard constant harmonic analysis model. A case study of a storm that impacted coastal areas of southeastern Brazil in March 1998 was analyzed and indicates that the neural network model can be effectively utilized in the Cananéia region. © 2009 American Meteorological Society.</t>
  </si>
  <si>
    <t>2-s2.0-65349158816"</t>
  </si>
  <si>
    <t>10.1134/S0001437009020039</t>
  </si>
  <si>
    <t>https://www.scopus.com/inward/record.uri?eid=2-s2.0-65549167393&amp;doi=10.1134%2fS0001437009020039&amp;partnerID=40&amp;md5=3e6163baaf8e1b0499655cd23b4a537b</t>
  </si>
  <si>
    <t>The spatio-temporal variability of individual storm waves in the coastal zone is studied. Wave chronograms were presented as sums of the first and second harmonics with amplitudes slowly varying in time, which are envelopes for the waves of the corresponding frequency bands. The amplitude-frequency structure of individual waves was estimated from the variations in the amplitude of the envelopes. Bi-spectral analysis was applied to estimate the phase composition of the waves. It is shown that, in the initial stage of transformation, the fluctuations of the waves of the first and second harmonics are synchronous. The amplitudes of the second harmonics are proportional to the squared amplitudes of the first harmonics. Thus, a simple model is possible for the description of individual waves based, for example, on the generalization of the Stokes theory. As the waves approach the coast, the ratio of the amplitudes of the first and second harmonics in individual waves varies in time chaotically, thus it is not possible to describe individual waves on the basis of a simple model. The main cause of the chaotic variation of the amplitudes is the backward transfer of energy from the highest harmonics to the first harmonics due to the sub-near resonant triad interaction close to the resonance. The phase composition of individual waves depends on the distance propagated by the waves and on the stage (main or backward) of the energy exchange between the nonlinear harmonics. © Pleiades Publishing, Ltd. 2009.</t>
  </si>
  <si>
    <t>2-s2.0-65549167393"</t>
  </si>
  <si>
    <t>10.1016/j.marmicro.2008.11.001</t>
  </si>
  <si>
    <t>https://www.scopus.com/inward/record.uri?eid=2-s2.0-58149314021&amp;doi=10.1016%2fj.marmicro.2008.11.001&amp;partnerID=40&amp;md5=469d4c9d6e099fb4436fbaf8d131390f</t>
  </si>
  <si>
    <t>Foraminiferal living assemblages from a brackish tidal marsh were studied across three sampling transects, under Spring and Autumn conditions. Foraminiferal analysis was also extended to the dead assemblages of Spring samples. Altimetric control of each sampling point was acquired through the connection to the national datum by GPS differential positioning combined with a regional geoid model. The influence of the geochemical characteristics on the assemblages including chemical composition of the estuarine and marsh surface sediments, in addition to salinity, pH and calcite saturation of estuarine and marsh interstitial waters was evaluated. A high affinity was found between Spring and Autumn living assemblages, probably related to the low number of representative species. The affinity also found between living and dead assemblage was seen as a consequence of low pH and calcite undersaturation that prevent the accumulation effect of several generations of foraminifera. Salinity appears as a clear constraint to the foraminiferal assemblages composition that is enhanced by calcite undersaturation in brackish marshes interstitial waters and sediments. Generally abundant marsh species like Trochammina inflata, Jadammina macrescens and the calcareous foraminifera are limited to an episodic presence. Foraminiferal assemblages distribution across brackish tidal marsh can be assumed as an elevation proxy. The high marsh IB sub-zone is dominated by Haplophragmoides sp. and Haplophragmoides manilaensis. Low marsh zone II is characterised by the dominance of Miliammina fusca but can be subdivided in an IIA upper part, where is followed by Pseudothurammina limnetis, and in a IIB lower part defined by a subsidiary presence of Psammosphaera sp. Haplophragmoides manilaensis dominance between 1.55 m and 1.67 m, at living as well as dead assemblages, suggests this species as a potential sea-level indicator for the brackish tidal marshes. © 2008 Elsevier B.V. All rights reserved.</t>
  </si>
  <si>
    <t>2-s2.0-58149314021"</t>
  </si>
  <si>
    <t>10.1016/j.cageo.2008.06.003</t>
  </si>
  <si>
    <t>https://www.scopus.com/inward/record.uri?eid=2-s2.0-67349245183&amp;doi=10.1016%2fj.cageo.2008.06.003&amp;partnerID=40&amp;md5=c457ee4aaed41d854d34b91596c32683</t>
  </si>
  <si>
    <t>The efficient display of flooding in intertidal zones is crucial to coastal applications (e.g., coastal zone management and anti-flood directing systems). This paper proposes a new algorithm to plot flooded intertidal areas. Initially, a digital tide-coordinated shoreline (DTS) is traced on the basis of creating a digital intertidal zone model (DIZM) and an instantaneous water surface model (IWSM). Then unconnected depressions are obtained depending on the type of DTS. At the same time, the algorithm detects unconnected depressions by considering the influences of the changing water level, and creates an index from different water levels to corresponding depressions. Finally, unconnected depressions are effectively handled and flooded areas are plotted correctly. Experimental results demonstrate that the proposed algorithm results in a more accurate and efficient display than with traditional algorithms. © 2008 Elsevier Ltd. All rights reserved.</t>
  </si>
  <si>
    <t>2-s2.0-67349245183"</t>
  </si>
  <si>
    <t>10.1002/hyp.7183</t>
  </si>
  <si>
    <t>https://www.scopus.com/inward/record.uri?eid=2-s2.0-61849132868&amp;doi=10.1002%2fhyp.7183&amp;partnerID=40&amp;md5=06a4bb400d45dbe70bfe92a88fd98f7f</t>
  </si>
  <si>
    <t>Grid-based distributed hydrological models are considered to be a very effective flood modelling tool for basin-wide flood risk analysis because of their capabilities of simulating river and surface inundations at high spatio-temporal resolutions by taking advantages of grid-based data from meteorological models, radar and satellite remote sensing. Selecting an appropriate grid size is critically important for any application of a grid-based model, which requires proper understanding of effects of grid sizes on simulated outcomes. The paper presents the outcomes of a study conducted to analyse the effects of grid resolution on simulated river peak flows and surface inundation in two selected river basins using a process-based distributed hydrological model. The outcomes show that grid resolution significantly affects the simulated river peak flows and surface inundation characteristics. In both cases, it has been found that the effects are mainly caused by changes of the topographic parameters as a result of changes of grid sizes. The reduction of average surface slope with the increase of grid size affects the simulated surface inundation extents and heights. There is a threshold resolution of digital elevation model (DEM) in the simulated flood inundation and beyond that the model outcomes become arbitrary. Averaged topographic values at coarse resolution beyond this threshold level do not represent any characteristics of locally elevated topographic features such as dykes, highways, etc. and their influence on flood inundation characteristics can be no more captured by the model. Copyright © 2008 John Wiley &amp; Sons, Ltd.</t>
  </si>
  <si>
    <t>2-s2.0-61849132868"</t>
  </si>
  <si>
    <t>10.1080/09669580802651681</t>
  </si>
  <si>
    <t>https://www.scopus.com/inward/record.uri?eid=2-s2.0-70349669519&amp;doi=10.1080%2f09669580802651681&amp;partnerID=40&amp;md5=a89079a315b81db9cdfd66e2483eb9d7</t>
  </si>
  <si>
    <t>Coastal and marine environments are among the most popular areas for outdoor recreation and tourism. Coastal areas have also been identified as the most vulnerable to climate change, for example as a result of extreme events and sea-level rise. It will be increasingly important for coastal tourism destination managers to understand their vulnerability to climatic changes and to devise appropriate adaptation. This paper presents a five-step vulnerability assessment methodology for tourism in coastal areas. The five steps include (1) system analysis, (2) identification of activity and hazard sub-systems, (3) vulnerability assessments for the different sub-systems at risk, (4) integration for the destination as a whole and scenario analysis and (5) communication. The framework is illustrated by an example of how it might be applied to Fiji. The paper concludes that a consistent methodology, like the one proposed, will facilitate vulnerability assessments in a range of coastal destinations, allow comparison to be made of vulnerabilities across different situations, provide a basis for more research into specific adaptation measures and assist destinations to develop a more sustainable tourism industry. © 2009 Taylor &amp; Francis.</t>
  </si>
  <si>
    <t>2-s2.0-70349669519"</t>
  </si>
  <si>
    <t>10.1016/j.cageo.2007.10.008</t>
  </si>
  <si>
    <t>https://www.scopus.com/inward/record.uri?eid=2-s2.0-67349223563&amp;doi=10.1016%2fj.cageo.2007.10.008&amp;partnerID=40&amp;md5=84edb768310bf02cc673f3539f04c0c5</t>
  </si>
  <si>
    <t>The MAGFLOW cellular automata (CA) model was able to fairly accurately reproduce the time of the lava flow advance during the 2006 Etna eruption, leading to very plausible flow predictions. MAGFLOW is intended for use in emergency response situations during an eruption to quickly forecast the lava flow path over some time interval from the immediate future to a long-time forecast. Major discrepancies between the observed and simulated paths occurred in the early phase of the 2006 eruption due to an underestimation of the initial flow rate, and at the time of the overlapping with the 2004-2005 lava flow. Very good representations of the areas likely to be inundated by lava flows were obtained when we adopt a time-varying effusion rate and include the 2004-2005 lava flow field in the Digital Elevation Model (DEM) of topography. © 2008 Elsevier Ltd. All rights reserved.</t>
  </si>
  <si>
    <t>2-s2.0-67349223563"</t>
  </si>
  <si>
    <t>10.1130/2009.2460(05)</t>
  </si>
  <si>
    <t>https://www.scopus.com/inward/record.uri?eid=2-s2.0-74949130436&amp;doi=10.1130%2f2009.2460%2805%29&amp;partnerID=40&amp;md5=b7168c395f97d06deaab05255137c232</t>
  </si>
  <si>
    <t>As a result of the natural setting plus poor development and management decisions, the town of North Topsail Beach on Topsail Island, North Carolina, is the state's most vulnerable barrier-island community. It is our view that this very narrow, low, and duneless island community is the most hazardous on the U.S. East Coast. Although most of North Topsail Beach was designated a CoBRA unit under the Coastal Barrier Resources Act of 1982, the area has been developed extensively (mostly post-1980), starting with ""mom and pop"" beach cottages, and evolving into large single-family rental houses, duplexes, and several medium- and high-rise hotels and condos. Over the years, North Topsail Beach has experienced property losses from storm surge, overwash, flooding, inlet migration, new inlet formation, and chronic shoreline erosion. The single evacuation road crosses seven swash channels and is flooded early in every signifi cant storm. A political cauldron has evolved, often featuring the frontrow property owners versus those behind the front row, in which this middle-class town seeks to solve its problems. Debate centers on beach erosion problems, including proposed beach nourishment</t>
  </si>
  <si>
    <t>10.1016/j.ecolmodel.2009.03.022</t>
  </si>
  <si>
    <t>https://www.scopus.com/inward/record.uri?eid=2-s2.0-65149099159&amp;doi=10.1016%2fj.ecolmodel.2009.03.022&amp;partnerID=40&amp;md5=cf0de3806098cc7f568b39e2c19d22a3</t>
  </si>
  <si>
    <t>This work aims at discussing some concepts pertaining to the theory and practice of environmental modelling in view of the results of several model validation exercises performed by the group ""Model validation for radionuclide transport in the system watershed-river and in estuaries"" of project EMRAS (Environmental Modelling for Radiation Safety) supported by the IAEA (International Atomic Energy Agency). The analyses here performed concern models applied to real scenarios of environmental contamination. In particular, the reasons for the uncertainty of the models and the EBUA (empirically based uncertainty analysis) methodology are discussed. The foundations of multi-model approach in environmental modelling are presented and motivated. An application of EBUA to the results of a multi-model exercise concerning three models aimed at predicting the wash-off of radionuclide deposits from the Pripyat floodplain (Ukraine) was described. Multi-model approach is, definitely, a tool for uncertainty analysis. EBUA offers the opportunity of an evaluation of the uncertainty levels of predictions in multi-model applications. © 2009 Elsevier B.V. All rights reserved.</t>
  </si>
  <si>
    <t>2-s2.0-65149099159"</t>
  </si>
  <si>
    <t>10.1016/j.ecolecon.2009.02.019</t>
  </si>
  <si>
    <t>https://www.scopus.com/inward/record.uri?eid=2-s2.0-65649109347&amp;doi=10.1016%2fj.ecolecon.2009.02.019&amp;partnerID=40&amp;md5=1a36ac289774660478de7d6e683fc6b4</t>
  </si>
  <si>
    <t>Climate change is projected to increase flood risks in certain regions due to an increase in both precipitation and sea level rise. In addition, socio-economic scenarios project an increase in urbanization in flood prone areas, which results in a higher damage potential. The combined effect of climate and land use change on flood risks requires innovative adaptation policies to cope with rising risks. Increasingly, attention is paid to the role insurance can play in mitigating damage by providing incentives to policyholders to undertake damage reducing measures. The willingness of homeowners in the Netherlands to undertake measures that mitigate flood damage in exchange for benefits on hypothetical flood insurance policies is examined using surveys. The results indicate that many homeowners are willing to make investments in mitigation. In particular, approximately two-thirds are willing to invest in water barriers in exchange for a premium reduction and about a fifth are willing to replace floor types that are vulnerable to flooding with water resistant floor types. Furthermore, about a quarter are willing to move central heating installations to floors safe against flooding in favor of a reduction in the insurance premium. Estimates of the effectiveness of these mitigation measures to limit potential flood damage in the river delta indicate that prevented damage could be substantial, namely in the order of 1 billion euro or larger. Reductions in (absolute) flood risk due to mitigation are especially large under climate change. A probit model indicates that existing arrangements for compensating flood damage, risk awareness and perceptions, and geographical characteristics are important determinants in the decision to undertake mitigation. © 2009 Elsevier B.V. All rights reserved.</t>
  </si>
  <si>
    <t>2-s2.0-65649109347"</t>
  </si>
  <si>
    <t>10.2112/07-0993.1</t>
  </si>
  <si>
    <t>https://www.scopus.com/inward/record.uri?eid=2-s2.0-68849123098&amp;doi=10.2112%2f07-0993.1&amp;partnerID=40&amp;md5=cff773aa46df3427d1be437fa6ae392e</t>
  </si>
  <si>
    <t>It is anticipated that climate change will have a significant impact on participation in outdoor recreation via changes to weather conditions and modifications to the environments that visitors use. Coastal tourism may be particularly affected by these impacts, as beach visitors are strongly influenced by weather conditions, and sea level rise could have a significant effect on the appearance of coastlines. Despite the importance of coastal tourism to the global economy, the magnitudes of the likely impacts of climate change on beach visits are currently poorly understood. Using a case study of the coastline at East Anglia, U.K., this work models these potential impacts under four future climate change scenarios. Using a Geographical Information System, the output of a model linking visits with beach characteristics and weather conditions is combined with data on likely changes in beach width, temperature, and precipitation to predict future visitor demand. The results suggest that climate change will result in a net increase in visitors on this section of coast, with the positive effects of warmer and drier weather outweighing the negative influences of reductions in beach width due to sea level rise. The findings are discussed in the context of beach management strategies.</t>
  </si>
  <si>
    <t>2-s2.0-68849123098"</t>
  </si>
  <si>
    <t>10.1029/2008JC004912</t>
  </si>
  <si>
    <t>https://www.scopus.com/inward/record.uri?eid=2-s2.0-63349105596&amp;doi=10.1029%2f2008JC004912&amp;partnerID=40&amp;md5=37b8d2b5ab4f0b986a77c1d3f3523375</t>
  </si>
  <si>
    <t>Knowledge of sea level extremes is important for coastal planning purposes. Temporal changes in the extremes may indicate changes in the forcing parameters, most probably the storm surges. Sea level extremes and their spatial and temporal variability in southern Europe are explored on the basis of 73 tide gauge records from 1940. This study uses all data available to infer risks at the coast caused by extreme sea levels. Extreme values of 250 cm are observed at the Atlantic coasts with smaller values in the Mediterranean where, with the exception of the Strait of Gibraltar and the Adriatic Sea, the extreme values are less than 60 cm. At the Adriatic Sea values of up to 200 cm are found. When the tidal contribution is removed the differences between the various areas reduce. The spatial distribution of the extremes of the tidal residuals is well represented by the hindcast of a two-dimensional hydrodynamic model forced by the atmospheric pressure and the wind, although the model underestimates the extremes. Higher return levels (200-300 cm for the 50-year return level) are observed in the Atlantic stations due to the larger tides. In the Mediterranean, higher values are found in the northern Adriatic (between 150 and 200 cm) while in the rest of the domain they vary between 20 and 60 cm. The nonlinear interaction between tides and surges is negligible in the Mediterranean, thus the joint tides-surges distribution can be applied. The interannual and decadal variability in time of extremes is caused by mean sea level changes. Copyright 2009 by the American Geophysical Union.</t>
  </si>
  <si>
    <t>2-s2.0-63349105596"</t>
  </si>
  <si>
    <t>10.5194/hess-13-367-2009</t>
  </si>
  <si>
    <t>https://www.scopus.com/inward/record.uri?eid=2-s2.0-75749151127&amp;doi=10.5194%2fhess-13-367-2009&amp;partnerID=40&amp;md5=a5042335b77c60789e2e44759089255d</t>
  </si>
  <si>
    <t>Two of the most relevant components of any flood forecasting system, namely the rainfall-runoff and flood inundation models, increasingly benefit from the availability of spatially distributed Earth Observation data. With the advent of microwave remote sensing instruments and their all weather capabilities, new opportunities have emerged over the past decade for improved hydrologic and hydraulic model calibration and validation. However, the usefulness of remote sensing observations in coupled hydrologic and hydraulic models still requires further investigations. Radar remote sensing observations are readily available to provide information on flood extent. Moreover, the fusion of radar imagery and high precision digital elevation models allows estimating distributed water levels. With a view to further explore the potential offered by SAR images, this paper investigates the usefulness of remote sensing-derived water stages in a modelling sequence where the outputs of hydrologic models (rainfall-runoff models) serve as boundary condition of flood inundation models. The methodology consists in coupling a simplistic 3-parameter conceptual rainfall-runoff model with a 1-D flood inundation model. Remote sensing observations of flooded areas help to identify and subsequently correct apparent volume errors in the modelling chain. The updating of the soil moisture module of the hydrologic model is based on the comparison of water levels computed by the coupled hydrologic-hydraulic model with those estimated using remotely sensed flood extent. The potential of the proposed methodology is illustrated with data collected during a storm event on the Alzette River (Grand-Duchy of Luxembourg). The study contributes to assess the value of remote sensing data for evaluating the saturation status of a river basin. © Author(s) 2009.</t>
  </si>
  <si>
    <t>2-s2.0-75749151127"</t>
  </si>
  <si>
    <t>10.1016/j.jvolgeores.2009.01.030</t>
  </si>
  <si>
    <t>https://www.scopus.com/inward/record.uri?eid=2-s2.0-64149128103&amp;doi=10.1016%2fj.jvolgeores.2009.01.030&amp;partnerID=40&amp;md5=a449678411f9870adc4bb78bffe3df07</t>
  </si>
  <si>
    <t>Lahars are a type of catastrophic event that is generated in volcanic environments. Due to the recent technological advances computer simulated models have become widely used by the scientific community to predict the distribution of catastrophic events, such as floods, debris avalanches, earth landslides or lahars, and to mitigate possible damage to populations located in a risk area. Our study risk area is located in the Popocatépetl volcano, a large and active stratovolcano in the Trans Mexican Volcanic Belt. Here, lahars have been occurring during the last century, and some of them have seriously affected nearby towns. Since one of the main input parameters into a lahar simulation is the Digital Elevation Model (DEM), this paper focuses on studying lahar simulations on Popocatépetl using DEMs obtained from various sources with the aid of a popular package known as LAHARZ. The first simulations were performed using a 1:50,000 topographic map with 20-m contours interval. The second set of tests used an enhanced DEM with profiles measured during fieldwork in the lahar channel. In the last set of tests, we added lateral artificial barriers to the channel profiles used in the previous enhanced DEM. Our results show that the use of high resolution and detailed DEMs does not necessarily guarantee a realistic lahar simulation as was previously thought, and a detailed explanation as to why the LAHARZ code computation creates ragged edges is offered. Our results also offer useful information on the level of detail necessary for an input DEM into LAHARZ in order to obtain lahar simulations closer to real lahars. The minimum resolution for the DEM used in simulations must be less than the width of the narrowest cross-section of the channel to realistically reproduce the lahars. For DEMs with lower resolution, sometimes the modeled lahars are shorter in length, and therefore underestimate real hazards to populations. Also, the results show that lateral barriers are sometimes needed to obtain more realistic inundation areas. © 2009 Elsevier B.V. All rights reserved.</t>
  </si>
  <si>
    <t>2-s2.0-64149128103"</t>
  </si>
  <si>
    <t>10.1007/s11069-008-9296-5</t>
  </si>
  <si>
    <t>https://www.scopus.com/inward/record.uri?eid=2-s2.0-67349253090&amp;doi=10.1007%2fs11069-008-9296-5&amp;partnerID=40&amp;md5=d1901c9b662ff3df8422acddd713b92a</t>
  </si>
  <si>
    <t>China has more than 18,000 km long coastline. Along the coastline, there are various configurations of topography, geomorphology, and geology condition. In the coastal regions, geological disasters, including seawater intrusion, coast scouring, land subsidence, karst collapse, soil erosion, collapse-landslide-debris flow (CLDF), and human activity-induced disasters, occur frequently. All of these disasters have their own forming causes, characteristics, and distribution regions. Seawater intrusion and coast scouring only occur in the coastal regions while the others occur in both coastal regions and in-land regions. Land subsidence occurring in the coastal region is of larger scale and entails greater economic loss than that occurring in the in-land region. For the other disasters, although the scale of disaster in the coastal regions is smaller than that happened in the in-land regions, the economic loss in the former case is greater than that in the latter. This is because populations are dense and economy is developed along the coastal regions of China. To mitigate the disasters and reduce the economic loss, countermeasures are discussed. © Springer Science+Business Media B.V. 2008.</t>
  </si>
  <si>
    <t>2-s2.0-67349253090"</t>
  </si>
  <si>
    <t>ScienceAsia</t>
  </si>
  <si>
    <t>10.2306/scienceasia1513-1874.2009.35.268</t>
  </si>
  <si>
    <t>https://www.scopus.com/inward/record.uri?eid=2-s2.0-70350118575&amp;doi=10.2306%2fscienceasia1513-1874.2009.35.268&amp;partnerID=40&amp;md5=04a74bf406f5ec62c23258454f726dc6</t>
  </si>
  <si>
    <t>Accuracy in runoff and flood estimation is important for mitigating water related problems. The accuracy depends on the methods used for areal rainfall approximation. The thin plate spline (TPS) technique was introduced in this study for daily areal rainfall approximation in the Upper Ping river basin and was compared with the areal rainfall estimated from two conventional techniques, the isohyetal and Thiessen polygon techniques. Two data sets of maximum rainfall registered in August 2001 and September 2003 at 68 non-automatic rainfall stations located in the basin and nearby areas were used in the analysis. The TPS technique was carried out in conjunction with two separate sources of digital elevation model (DEM), namely, GLOBE-DEM and SRTM-DEM, which were downloaded from the NOAA and NASA websites and have horizontal resolutions of 1 km and 90 m, respectively. The TPS technique proved to provide more accurate results of rainfall estimation than the other two techniques. The coarser DEM resolution (GLOBE-DEM) performed marginally better in rainfall estimation than the finer DEM resolution (SRTM-DEM).</t>
  </si>
  <si>
    <t>2-s2.0-70350118575"</t>
  </si>
  <si>
    <t>10.1007/s00445-008-0254-6</t>
  </si>
  <si>
    <t>https://www.scopus.com/inward/record.uri?eid=2-s2.0-68349090238&amp;doi=10.1007%2fs00445-008-0254-6&amp;partnerID=40&amp;md5=08e7a0557c72c57ca845c375a59e0c3a</t>
  </si>
  <si>
    <t>Assessments of pyroclastic flow (PF) hazards are commonly based on mapping of PF and surge deposits and estimations of inundation limits, and/or computer models of varying degrees of sophistication. In volcanic crises a PF hazard map may be sorely needed, but limited time, exposures, or safety aspects may preclude fieldwork, and insufficient time or baseline data may be available for reliable dynamic simulations. We have developed a statistically constrained simulation model for block-and-ash type PFs to estimate potential areas of inundation by adapting methodology from Iverson et al. (Geol Soc America Bull 110:972-984, (1998) for lahars. The predictive equations for block-and-ash PFs are calibrated with data from several volcanoes and given by A = (0.05 to 0.1) V2/3, B = (35 to 40) V2/3, where A is cross-sectional area of inundation, B is planimetric area and V is deposit volume. The proportionality coefficients were obtained from regression analyses and comparison of simulations to mapped deposits. The method embeds the predictive equations in a GIS program coupled with DEM topography, using the LAHARZ program of Schilling (1998). Although the method is objective and reproducible, any PF hazard zone so computed should be considered as an approximate guide only, due to uncertainties on the coefficients applicable to individual PFs, the authenticity of DEM details, and the volume of future collapses. The statistical uncertainty of the predictive equations, which imply a factor of two or more in predicting A or B for a specified V, is superposed on the uncertainty of forecasting V for the next PF to descend a particular valley. Multiple inundation zones, produced by simulations using a selected range of volumes, partly accommodate these uncertainties. The resulting maps show graphically that PF inundation potentials are highest nearest volcano sources and along valley thalwegs, and diminish with distance from source and lateral distance from thalweg. The model does not explicitly consider dynamic behavior, which can be important. Ash-cloud surge impact limits must be extended beyond PF hazard zones and we provide several approaches to do this. The method has been used to supply PF and surge hazard maps in two crises: Merapi 2006</t>
  </si>
  <si>
    <t>10.1051/lhb/2009017</t>
  </si>
  <si>
    <t>https://www.scopus.com/inward/record.uri?eid=2-s2.0-67649666713&amp;doi=10.1051%2flhb%2f2009017&amp;partnerID=40&amp;md5=0a7f7eab4fd1f09efc9bf70b7a2a4e64</t>
  </si>
  <si>
    <t>Of the 10 costliest hurricanes in the United States over the last 50 years, 8 have occurred in the last 5 years. This could be because property along the coast is becoming more densely populated and valua-ble or because we are in a cycle of more intense storms. Regardless of the reason, the message is clear : home and business owners need to be made aware of the risks and learn how to reduce vulnerability. In many cases residents and businesses alike are unprepared for flooding, not because they are not warned, but because they assume that the warnings do not apply to them. This disconnect between warnings and the general public causes much unnecessary damage and overwhelms disaster responders with calls for help and evacuation. It is in this situation that a map of potential flooding would greatly increase response to surge warnings. If residents and business owners use a map to gauge their vulnerability to potential flooding then they can take personal responsibility in preparing for the flood rather than relying on emergency workers. The COASTMAP Inundation Module is a web based system that connects storm surge model warnings to GIS mapping capabilities to generate maps of areas at risk to the predicted surge. These maps can then be provided to the public on a website, and also automatically emailed to interested parties, including local planners, emergency workers, and television networks. These maps will allow planners to better allocate resources and to publicize the risk to vulnerable areas while allowing the public to be proactive in preparing for flooding.</t>
  </si>
  <si>
    <t>2-s2.0-67649666713"</t>
  </si>
  <si>
    <t>Issues in Science and Technology</t>
  </si>
  <si>
    <t>https://www.scopus.com/inward/record.uri?eid=2-s2.0-58149302966&amp;partnerID=40&amp;md5=6fae89b62bd849758453f9bf65539518</t>
  </si>
  <si>
    <t>Much attention is being shifted to restoration and protection of Coastal Louisiana, a location of a large part of the US's oil and gas industry and its largest port complex, experiencing the catastrophic effects of Hurricane Katrina and storms. The region has also experienced lack of funding and prioritization system at the federal level for allocating funds for critical water resources infrastructure. The failures of levees and other infrastructure that have occurred since Katrina, including those that occurred during the Midwest floods in 2008, have more clearly defined the vulnerabilities in flood prediction. The need for ecosystem restoration has been recognized in the Missouri River, the Great Lakes, and various smaller areas across the country. A state plan approved by the Louisiana legislation includes restoration of the wetlands through diversions of the Mississippi River, relying on adaptive management to address the substantial design uncertainties in large deltaic system.</t>
  </si>
  <si>
    <t>2-s2.0-58149302966"</t>
  </si>
  <si>
    <t>10.1016/j.jenvman.2007.06.032</t>
  </si>
  <si>
    <t>https://www.scopus.com/inward/record.uri?eid=2-s2.0-67349263038&amp;doi=10.1016%2fj.jenvman.2007.06.032&amp;partnerID=40&amp;md5=2b00d733da47f6d1c11baf05e2ce36c4</t>
  </si>
  <si>
    <t>A coupled surface water-groundwater model of the Okavango Delta has been built based on the United States Geological Survey software MODFLOW 2000 including the SFR2 package for stream-flow routing. It will provide a new tool for evaluating water management and climate change scenarios. The delta's size and limited accessibility make direct, on the ground data acquisition difficult. Remote sensing methods are the most promising source of acquiring spatially distributed data for both model input parameters and calibration. Topography, aquifer thickness, channel positions, evapotranspiration and precipitation data are all based on remote sensing. Simulated flooding patterns are compared to patterns derived from visible to thermal NOAA-AVHRR data and microwave radar ENVISAT-ASAR data. © 2008 Elsevier Ltd. All rights reserved.</t>
  </si>
  <si>
    <t>2-s2.0-67349263038"</t>
  </si>
  <si>
    <t>10.1016/j.habitatint.2008.10.002</t>
  </si>
  <si>
    <t>https://www.scopus.com/inward/record.uri?eid=2-s2.0-64249113366&amp;doi=10.1016%2fj.habitatint.2008.10.002&amp;partnerID=40&amp;md5=cb0cb12fbb95ce866aefe79da5f9691b</t>
  </si>
  <si>
    <t>The future design of urban settlements and infrastructure in response to climate change will be critical in the future. Urban planning for human settlements will require both an intergovernmental and multidisciplinary approach integrating science and urban planning. The paper focuses on coastal urbanisation and the planning for climate change. The Australian coastal zone is home to over 85% of the Australian population with coastal townships expanding rapidly. The International Panel on Climate Change predicts that the Australian coast will experience increasing storm surge and rising sea levels. A set of principles is proposed that should underpin an intergovernmental agreement on coastal planning and climate change. The Agreement would include actions such as regional planning, policy integration, financial incentives and innovative regulatory mechanisms that use both mitigation and adaptation in complimentary and reinforcing ways. Selected case studies including peri-urban and sea change locations are used to examine the possibilities and obstacles for current urban planning and institutional arrangements to incorporate such mitigation and adaptation measures for climate change. © 2008 Elsevier Ltd. All rights reserved.</t>
  </si>
  <si>
    <t>2-s2.0-64249113366"</t>
  </si>
  <si>
    <t>10.1016/j.ocemod.2008.07.004</t>
  </si>
  <si>
    <t>https://www.scopus.com/inward/record.uri?eid=2-s2.0-62849106059&amp;doi=10.1016%2fj.ocemod.2008.07.004&amp;partnerID=40&amp;md5=992ac2276e50996330e927fe564b54d4</t>
  </si>
  <si>
    <t>Tidal circulation and river plume dynamics in shallow-water estuarine systems with large intertidal zones are complex. Strong asymmetries in tidal currents and stratification often occur in the intertidal zones and subtidal channels over a tidal cycle. The Skagit River is the largest estuary with respect to the discharge of a significant amount of freshwater and sediment into Puget Sound, Washington. It consists of a large intertidal zone with multiple tidal channels near the mouth of the estuary. To simulate the tidal circulation and salinity stratification accurately in the intertidal region, an unstructured grid numerical model with wetting-drying capability and the capability to accurately represent the bathymetry of tidal flats and the geometry of shallow distributary channels is necessary. In this paper, a modeling study for the Skagit River estuary using a three-dimensional unstructured grid, finite-volume coastal ocean model (FVCOM) supported by high-resolution LIDAR data is presented. The hydrodynamic model was validated with observed water surface elevation, velocity, and salinity data over spring and neap tidal cycles under low-river-flow and high-river-flow conditions. Wetting and drying processes in the intertidal zone and strong stratification in the estuary were simulated successfully by the model. Model results indicate that the Skagit River estuary is a highly stratified estuary, but destratification can occur during flood tide. Tides and baroclinic motion are the dominant forcing in the Skagit River estuary, but strong wind events can affect the currents in the intertidal zone significantly. Preliminary analysis also indicated that the salinity intrusion length scale is proportional to the river flow to the -1/4 power. © 2008 Elsevier Ltd. All rights reserved.</t>
  </si>
  <si>
    <t>2-s2.0-62849106059"</t>
  </si>
  <si>
    <t>10.2112/07-0909.1</t>
  </si>
  <si>
    <t>https://www.scopus.com/inward/record.uri?eid=2-s2.0-59049100986&amp;doi=10.2112%2f07-0909.1&amp;partnerID=40&amp;md5=375adf9885e935175ca0aa88feefa785</t>
  </si>
  <si>
    <t>Climate change exerts pressure on the coastal zone by altering sediment supply from the hinterland and rising sea levels. Human activity affects the dynamics of the coastal zone as well. Both natural and human-induced changes in variables that govern coastal dynamics have a profound effect on the long-term and large-scale evolution of the coastal zone. In this paper, we introduce a concept that addresses the components relevant in sustainable integrated coastal zone management. We illustrate that quantifying sediment budgets in the coastal zone might improve our understanding of long-term (&gt;100 y) coastal evolution. The increasing attention within sustainable coastal management on sensitivity analyses of climate change impacts and socioeconomic activities in the coastal zone implies an increasing demand of probabilistic scenarios of coastal evolution spanning a time interval of ∼100 years. Within probabilistic scenarios of coastal evolution, the quantification of the coastal sediment budget cannot be discarded.</t>
  </si>
  <si>
    <t>2-s2.0-59049100986"</t>
  </si>
  <si>
    <t>10.1080/01431160802662923</t>
  </si>
  <si>
    <t>https://www.scopus.com/inward/record.uri?eid=2-s2.0-70449448059&amp;doi=10.1080%2f01431160802662923&amp;partnerID=40&amp;md5=99801f3932465be2947d1c73fa6a774b</t>
  </si>
  <si>
    <t>Fushun is a famous coal-mining city in northeastern China with more than 100 years of history. Long-term underground coal mining has caused serious surface subsidence in the eastern part of the city. In this study, multitemporal and multi-source satellite remote sensing data were used to detect subsidence and geomorphological changes associated with underground coal mining over a 10-year period (1996-2006). A digital elevation model (DEM) was generated through Synthetic Aperture Radar (SAR) interferometry processing using data from a pair of European Remote Sensing Satellite (ERS) SAR images acquired in 1996. In addition, a Shuttle Radar Topography Mission (SRTM) DEM obtained from data in 2000 and an Advanced Spaceborne Thermal Emission and Reflection Radiometer (ASTER) DEM from 2006 were used for this study. The multitemporal DEMs indicated that the maximum vertical displacement due to subsidence was around 13 m from 1996 to 2006. Multitemporal ASTER images showed that the flooded water area associated with subsidence had increased by 1.73 km2 over the same time period. Field investigations and ground level measurements confirmed that the results obtained from the multitemporal remote sensing data agreed well with ground truth data. This study demonstrates that DEMs derived from multisource satellite remote sensing data can provide a powerful tool to map geomorphological changes associated with underground mining activities. © 2009 Taylor &amp; Francis.</t>
  </si>
  <si>
    <t>2-s2.0-70449448059"</t>
  </si>
  <si>
    <t>10.2495/CP090111</t>
  </si>
  <si>
    <t>https://www.scopus.com/inward/record.uri?eid=2-s2.0-71649088112&amp;doi=10.2495%2fCP090111&amp;partnerID=40&amp;md5=ad9474b400ccd97a051270205139a544</t>
  </si>
  <si>
    <t>In this paper the coastal protection system of the inhabited coastline near the city of Salerno, designed by the Salerno Province, is discussed. This low urbanized coastline, which has already suffered serious erosion over the last 40 years, had a lot of damage due to the storms of the winter of 2008: inundation of the roadways, vertical beach loss, generalized scour around bulkheads, overwash of infrastructures and recreational facilities. These huge amounts of damage induced the design of an extensive defence project on the whole inhabited coastline of Salerno, with advanced technologies of beach nourishment, in order to assure flood damage reduction and environmental sustainability. After analysis of the long-term erosion of the coastal site, the procedure for the choice of the coastal protection works is reported here in some detail. The description of the coastal protection system follows, which consists mainly of a long series of parallel submerged breakwaters in order to reduce the storm wave impact on the most exposed infrastructures (roads, buildings, seawater facilities). The proposed intervention takes into account the suggestions of the international EU projects ""Eurosion"", ""Beachmed"" and ""Messina"". © 2009 WIT Press.</t>
  </si>
  <si>
    <t>2-s2.0-71649088112"</t>
  </si>
  <si>
    <t>10.2495/CP090091</t>
  </si>
  <si>
    <t>https://www.scopus.com/inward/record.uri?eid=2-s2.0-71649100326&amp;doi=10.2495%2fCP090091&amp;partnerID=40&amp;md5=270827624987f89e1da7d47610ca7b72</t>
  </si>
  <si>
    <t>This study focuses on a few aspects of an on-going project at Jackson State University regarding homeland security in the state of Mississippi. The project proposes an integrated tool for multi-scale storm surge and overland flow (flood) forecast due to hurricane, as well as evaluation of the flood damage on coastal infrastructure including transportation systems in the Mississippi coast. Three models are executed in sequence to get all the necessary results. Two out of these three codes are extensively parallel to ensure real time forecast to deal with the emergency evacuation days before the hurricane strikes the coast. The results from the models are fed into Geographical Information Systems (GIS) for visualization, analysis and decision-making. © 2009 WIT Press.</t>
  </si>
  <si>
    <t>2-s2.0-71649100326"</t>
  </si>
  <si>
    <t>10.1007/s10661-008-0336-0</t>
  </si>
  <si>
    <t>https://www.scopus.com/inward/record.uri?eid=2-s2.0-67349139112&amp;doi=10.1007%2fs10661-008-0336-0&amp;partnerID=40&amp;md5=80ceaec53d59b195f0ffbbc58665988d</t>
  </si>
  <si>
    <t>Investigation indicates that the subsidence pattern in the lower Yangtze Delta area is related to groundwater extraction. Suzhou-Wuxi-Changzhou region (""Su-Xi-Chang"") belongs to the hinterland of the lower Yangtze Delta that has a total area of 12,000 km2. From 1979 to 2000, long-term pumping of groundwater at Su-Xi-Chang has caused a rapid decline in groundwater table, resulting in large-scale land subsidence. In this paper, establishment of a GPS-based monitoring system for land subsidence using 30 years of data, is presented. The data were obtained through monitoring of 184 wells. Also analyzed herein is the relationship between the observed lowering of the groundwater table and subsidence. Monitoring data indicate that the depression cone of groundwater table and the occurrence of subsidence are basically identical in time and space. The generation of both features is attributed to excessive extraction of ground water in the region. Finally, countermeasures against subsidence are proposed. © Springer Science+Business Media B.V. 2008.</t>
  </si>
  <si>
    <t>2-s2.0-67349139112"</t>
  </si>
  <si>
    <t>10.1111/j.1745-6584.2008.00482.x</t>
  </si>
  <si>
    <t>https://www.scopus.com/inward/record.uri?eid=2-s2.0-58149311061&amp;doi=10.1111%2fj.1745-6584.2008.00482.x&amp;partnerID=40&amp;md5=606110d91a5d858dd1b7a96167d163da</t>
  </si>
  <si>
    <t>To simulate the dynamic interaction between a saline lagoon and a ground water system, a numerical model for two-dimensional, variable-density, saturated-unsaturated, and coupled flow and solute transport (saltwater intrusion by finite elements and characteristics [SIFEC]) was modified to allow the volume of water and mass of salt in the lagoon to vary with each time step. The modified SIFEC allows the stage of a lagoon to vary in accordance with a functional relation between the stage and water volume of the lagoon, and also allows the salt concentration of the lagoon to vary in accordance with the salt budget of the lagoon including chemical precipitation and dissolution of salt. The updated stage and salt concentration of the lagoon are in turn used as transient boundary conditions for the coupled flow and solute transport model. The utility of the modified model was demonstrated by applying it to the eastern Mediterranean coastal region of Turkey for assessing impacts of climate change on the subsurface environment under scenarios of sea level rise, increased evaporation, and decreased precipitation. © 2008 The Author(s).</t>
  </si>
  <si>
    <t>2-s2.0-58149311061"</t>
  </si>
  <si>
    <t>10.2495/CP090071</t>
  </si>
  <si>
    <t>https://www.scopus.com/inward/record.uri?eid=2-s2.0-71649097775&amp;doi=10.2495%2fCP090071&amp;partnerID=40&amp;md5=123fbf5b32d46cba01d9ad1386331f03</t>
  </si>
  <si>
    <t>This paper presents a methodology to predict the coastal sea level variations and surge using a neural network model. Although drastic storm surge typically does not occur along the coastal waters of Brazil, these events can cause some damage to coastal regions. A strong storm surge occurred along the southeast coast of Brazil in March 1998 caused severe flooding in these coastal areas, destroying some coastline constructs. Operational forecasting of high sea levels (storm surges) might be important in the southeast coastal of Brazil, where there are registered sea level variations above the astronomical tide predictions that can consistently impact coastal zones in this area. The aim of this study is to develop an empirical prediction of storm surge by determining the relationship of the wind and pressure fields to storm surge. This proposed model can be used to as complement of the standard constant harmonic model to improve the prediction of the sea level variations. © 2009 WIT Press.</t>
  </si>
  <si>
    <t>2-s2.0-71649097775"</t>
  </si>
  <si>
    <t>10.1007/s11707-009-0025-5</t>
  </si>
  <si>
    <t>https://www.scopus.com/inward/record.uri?eid=2-s2.0-67349246493&amp;doi=10.1007%2fs11707-009-0025-5&amp;partnerID=40&amp;md5=6c53ff6546b0660cb4679cac45bfd9aa</t>
  </si>
  <si>
    <t>We analyzed the statistical properties of water level extremes in the Pearl River Delta using five probability distribution functions. Estimation of parameters was performed using the L-moment technique. Goodness-of-fit was done based on Kolmogorov-Smirnov's statistic D (K-S D). The research results indicate that Wakeby distribution is the best statistical model for description of statistical behaviors of water level extremes in the study region. Statistical analysis indicates that water levels corresponding to different return periods and associated variability tend to be larger in the landward side of the Pearl River Delta and vice versa. A ridge characterized by higher water level can be identified expanding along the West River and the Modaomen channel, showing the impacts of the hydrologic process of the West River basin. Trough and higher grades of water level changes can be detected in the region drained by Xi'nanyong channel, Dongping channel, and mainstream of Pearl River. The Pearl River Delta region is characterized by low-lying topography and a highly-advanced socio-economy, and is heavily populated, being prone to flood hazards and flood inundation due to rising sea level and typhoons. Therefore, sound and effective countermeasures should be made for human mitigation to natural hazards such as floods and typhoons. © Higher Education Press and Springer-Verlag GmbH 2009.</t>
  </si>
  <si>
    <t>2-s2.0-67349246493"</t>
  </si>
  <si>
    <t>10.1016/j.jenvman.2007.06.023</t>
  </si>
  <si>
    <t>https://www.scopus.com/inward/record.uri?eid=2-s2.0-67349228844&amp;doi=10.1016%2fj.jenvman.2007.06.023&amp;partnerID=40&amp;md5=70edbb6060e7198ba50af445b1054864</t>
  </si>
  <si>
    <t>This paper elaborates on recent advances in the use of ScanSAR technologies for wetland-related research. Applications of active satellite radar systems include the monitoring of inundation dynamics as well as time series analyses of surface soil wetness. For management purposes many wetlands, especially those in dry regions, need to be monitored for short and long-term changes. Another application of these technologies is monitoring the impact of climate change in permafrost transition zones where peatlands form one of the major land cover types. Therefore, examples from boreal and subtropical environments are presented using the analysed ENVISAT ASAR Global mode (GM, 1 km resolution) data acquired in 2005 and 2006. In the case of the ENVISAT ASAR instrument, data availability of the rather coarse Global Mode depends on request priorities of other competing modes, but acquisition frequency may still be on average fortnightly to monthly depending on latitude. Peatland types covering varying permafrost regimes of the West Siberian Lowlands can be distinguished from each other and other land cover by multi-temporal analyses. Up to 75% of oligotrophic bogs can be identified in the seasonal permafrost zone in both years. The high seasonal and inter-annual dynamics of the subtropic Okavango Delta can also be captured by GM time series. Response to increased precipitation in 2006 differs from flood propagation patterns. In addition, relative soil moisture maps may provide a valuable data source in order to account for external hydrological factors of such complex wetland ecosystems. © 2008 Elsevier Ltd. All rights reserved.</t>
  </si>
  <si>
    <t>2-s2.0-67349228844"</t>
  </si>
  <si>
    <t>10.4000/geomorphologie.7506</t>
  </si>
  <si>
    <t>https://www.scopus.com/inward/record.uri?eid=2-s2.0-64549161178&amp;doi=10.4000%2fgeomorphologie.7506&amp;partnerID=40&amp;md5=501c3db88896f8751429643ddc9ae205</t>
  </si>
  <si>
    <t>This study reviews multi-disciplinary approaches developed on active floodplains in order to formulate their evolution model and sediment budget, at different time scales, from historical evolution to hydrological event, and spatial scales (floodplain, active channels and fluvial units). The main objective of the different case studies is to emphasize the need for coupling tools and methods in analysing active floodplain patterns, deposition and erosion rates with regards to hydrological functioning and impact of human activities. The first part of the paper is dedicated to methods that help us to characterize the construction of floodplains at a historical time-scale. The second part examines the functioning of active floodplains at a detailed spatial and time scales. Different case studies selected in European and American floodplains aim at highlighting the contribution and the limits of methods developed at various temporal and spatial scales. Multi-temporal analysis of fluvial planform allows to determine the recycling time of a floodplain (Beni River in Amazonia) or to evaluate the impact of a large flood (Rhone River). Historical sedimentation of floodplain may be estimated on the basis of specific elements present in sediments such as ironwork waste products in Belgian rivers. Different methods are used to evaluate sediment remo-bilization in fluvial beds at different time scales. Bathymetric and topographic surveys, digital elevation models document vertical movements of the fluvial bed (Beni, Moselle and Loire Rivers) at pluri-annual and annual scales</t>
  </si>
  <si>
    <t>10.2495/RM090071</t>
  </si>
  <si>
    <t>https://www.scopus.com/inward/record.uri?eid=2-s2.0-71649093413&amp;doi=10.2495%2fRM090071&amp;partnerID=40&amp;md5=f23314c1484efa2cceeae5d7fad2cdcc</t>
  </si>
  <si>
    <t>This paper describes the history of old downtown Tokyo and considers the extant flood control measures in the area. Old downtown Tokyo is surrounded by several rivers, and the area itself is serviced by numerous canals. Downtown Tokyo was originally constructed on the Tone River estuary in the 1600s after the route of the Tone River was changed by local inhabitations. The canals were originally used to transport supplies from the countryside to Edo (now Tokyo), seat of national government in the 17th to 18th centuries. When the main form of transport for such goods changed from boats to vehicles in the 19th century, the unused canals were partially reclaimed. Old downtown Tokyo was a thriving commercial center before the 19th century, but the area evolved into a factory district with the development of industry in 1900s. The considerable extraction of water for industrial use caused extensive land subsidence, which combined with the deforestation of the upper Tone River, resulted in old downtown Tokyo being susceptible to flooding since the mid 20th century. Following extensive flood damage in the 1950s, old downtown Tokyo was restored and developed by the Tokyo Metropolitan Government (TMG) and the Ministry of Land, Infrastructure and Transport (MLIT) and large dikes were constructed along the Ara and Edo Rivers. Some of the canals in the old downtown areas of Tokyo were improved and restored by the TMG. Since the latter half of the 20th century, numerous high-rise office and residential buildings have been constructed on reclaimed land and in the areas that were previously flooded. Based on the historical evidence of flooding in the area, it is important for local government to do the following: (1) promote the use of high-rise office and residential buildings as shelters during flooding, (2) inform and educate inhabitants in high flood-risk areas of the dangers of flooding, (3) prepare supplies for flooding victims, and (4) construct structures that could be used by victims to secure themselves in the event they are swept away by floodwaters. © 2009 WIT Press.</t>
  </si>
  <si>
    <t>2-s2.0-71649093413"</t>
  </si>
  <si>
    <t>10.5194/hess-13-567-2009</t>
  </si>
  <si>
    <t>https://www.scopus.com/inward/record.uri?eid=2-s2.0-71549128235&amp;doi=10.5194%2fhess-13-567-2009&amp;partnerID=40&amp;md5=64acc6cd710242306312c6e85c70cc94</t>
  </si>
  <si>
    <t>Severe flood events turned out to be the most devastating catastrophes for Europe's population, economy and environment during the past decades. The total loss caused by the August 2002 flood is estimated to be 10 billion Euros for Germany alone. Due to their capability to present a synoptic view of the spatial extent of floods, remote sensing technology, and especially synthetic aperture radar (SAR) systems, have been successfully applied for flood mapping and monitoring applications. However, the quality and accuracy of the flood masks and derived flood parameters always depends on the scale and the geometric precision of the original data as well as on the classification accuracy of the derived data products. The incorporation of auxiliary information such as elevation data can help to improve the plausibility and reliability of the derived flood masks as well as higher level products. This paper presents methods to improve the matching of flood masks with very high resolution digital elevation models as derived from LiDAR measurements for example. In the following, a cross section approach is presented that allows the dynamic fitting of the position of flood mask profiles according to the underlying terrain information from the DEM. This approach is tested in two study areas, using different input data sets. The first test area is part of the Elbe River (Germany) where flood masks derived from Radarsat-1 and IKONOS during the 2002 flood are used in combination with a LiDAR DEM of 1 m spatial resolution. The other test data set is located on the River Severn (UK) and flood masks derived from the TerraSAR-X satellite and aerial photos acquired during the 2007 flood are used in combination with a LiDAR DEM of 2 m pixel spacing. By means of these two examples the performance of the matching technique and the scaling effects are analysed and discussed. Furthermore, the systematic flood mapping capability of the different imaging systems are examined. It could be shown that the combination of high resolution SAR data and LiDAR DEM allows the derivation of higher level flood parameters such as flood depth estimates, as presented for the Severn area. Finally, the potential and the constraints of the approach are evaluated and discussed.</t>
  </si>
  <si>
    <t>2-s2.0-71549128235"</t>
  </si>
  <si>
    <t>10.1016/j.ocemod.2008.09.005</t>
  </si>
  <si>
    <t>https://www.scopus.com/inward/record.uri?eid=2-s2.0-57749121923&amp;doi=10.1016%2fj.ocemod.2008.09.005&amp;partnerID=40&amp;md5=33262be02e6ca7fb4ae3a9210561ba5c</t>
  </si>
  <si>
    <t>Northeasters are storms that affect the Chesapeake Bay area more frequently, last for longer periods and impact larger areas than hurricanes. Their impacts on storm surge development and the water exchange between estuary and subestuaries (tributaries) in the Bay vary from one event to another. In this study, three different northeaster events were selected based on their tracks when passing through the Chesapeake Bay area. An unstructured grid finite volume model ELCIRC was utilized to examine the response of the water level of the Chesapeake Bay to three selected northeasters, and the barotropic subtidal water exchanges between the tributaries and the estuary in the Bay. Model sensitivity tests were conducted to examine various effects induced by, for example, tide-surge interaction, open boundary condition, river inflow, wetting-and-drying of the low-lying land area and the usage of 2-D or 3-D mode. The results show that excluding tide-surge interaction did not deteriorate the model performance in the lower Bay but it increased the model inaccuracy in the upper Bay and in the tributaries</t>
  </si>
  <si>
    <t>10.1127/0372-8854/2009/0053-0023</t>
  </si>
  <si>
    <t>https://www.scopus.com/inward/record.uri?eid=2-s2.0-70349579473&amp;doi=10.1127%2f0372-8854%2f2009%2f0053-0023&amp;partnerID=40&amp;md5=b016dd2a8a8fbdc84a43fd20b2e51c7a</t>
  </si>
  <si>
    <t>More than 150 large deep-seated landslides have been mapped in the Flemish Ardennes. Slope instabilities that have occurred in this hilly area of western Belgium during the last decades correspond to ground movements within these pre-existing landslides. In order to identify the mechanisms and controlling factors of these ground movements, a good knowledge of their spatial and temporal distribution is critical. 13 landslides affecting two hills were investigated based on several DTMs extracted by aerial stereophotogrammetry and spanning the 1952-1996 period. Vertical ground displacements were measured at each pixel by DTM subtraction with a confidence value of ± 0.70 m. Horizontal displacements were also estimated within the landslides and along the head scarps through topographical profiles. Most observed movements displayed patterns typical of rotational landslides. Vertical and horizontal displacements vary in magnitude both spatially and temporally, with respective ranges -7.4m-+3.8m and 0-14m. Many displacements are materialized in the field. We distinguished two kinds of slope processes, corresponding to either reactivation at a deeper level or shallower motion. The former re-uses pre-exiting surfaces of rupture located at depths of ∼ 15-20 m and is associated with the largest subsidence and uplift. They are also smaller reactivations confined at the landslide head. The other displacements consist in (1) earth flows occurring in the zone of accumulation sometimes as a consequence of large upslope reactivations, and (2) small failures occurring randomly. While most movements were triggered by intense rainfall, their spatial and temporal distribution is strongly related with the nature of the vegetation cover and the human activity. © 2009 Gebrüder Borntraegcr.</t>
  </si>
  <si>
    <t>2-s2.0-70349579473"</t>
  </si>
  <si>
    <t>Revue de Micropaleontologie</t>
  </si>
  <si>
    <t>10.1016/j.revmic.2008.06.004</t>
  </si>
  <si>
    <t>https://www.scopus.com/inward/record.uri?eid=2-s2.0-61549138162&amp;doi=10.1016%2fj.revmic.2008.06.004&amp;partnerID=40&amp;md5=690dee6853f3df5df393db2a08270a09</t>
  </si>
  <si>
    <t>Two foraminiferal associations comprising only arenaceous species define two distinct environments in a 340 m-long mangrove transect at Cardoso Island, Trapandé Bay (Cananéia-Iguape estuarine system, SP, Brazil). The ""lower muddy flat"" (LMF), from the outer mangrove fringe inwards towards land (100 m), is positioned in the lower plain between 0.04 and 0.23 m above the mean sea level (msl), and remains subaerially exposed between 48.5 and 65.6% of the time. This environment is characterized by higher foraminiferal diversity and evenness (McIntosh's D = 0.54 ± 0.21 and Pielou's E = 0.68 ± 0.25, respectively) and is dominated by Arenoparrella mexicana and Trochammina inflata, and to a lesser extent by Ammotium directum and Textularia earlandi. The mangrove plant of this segment is a Rhizophoretum with average height of 8.4 ± 1.2 m. The sediment is characterized by higher concentration of organic matter (93.5 ± 32.3 g dm-3) and metals (e.g. V = 53.4 ± 21.8 ppm and Zn = 46.4 ± 21.3 ppm). The ""upper sandy flat"" (USF), 240 m wide along the transect, is positioned in the upper plain between 0.28 and 0.89 m above the msl, and remains subaerially exposed between 69.7 and 98.5% of the time. This environment is characterized by a lower diversity and evenness (D = 0.33 ± 0.17 and E = 0.49 ± 0.20, respectively). The association is dominated by species T. inflata and Miliammina fusca. The Rhizophoretum exhibits a lower average height of 3.6 ± 0.6 m. The sediment is poorer in organic matter (39.3 ± 15.0 g dm-3) and metals (e.g. V = 13.0 ± 6.8 ppm and Zn = 6.9 ± 3.7 ppm). Whereas ""elongate"" tests (uniserial, biserial and planospiral followed by a uniserial portion) are restricted to the LMF, ""spiraled"" species dominate the USF. Subaerial exposure time seems to exert a primary influence on species distribution, in addition to salinity and sediment type. Species may be adapted to different exposure times, a factor dependent on their position on the intertidal zone and the tidal regime, which should be taken into account in relative sea level reconstructions based on intertidal foraminifera. These patterns have important implications for studies investigating the ecology and paleoecology of foraminifera and subtle fluctuations in relative sea level during the Quaternary. © 2008 Elsevier Masson SAS. All rights reserved.</t>
  </si>
  <si>
    <t>2-s2.0-61549138162"</t>
  </si>
  <si>
    <t>10.7163/GPol.2009.1.7</t>
  </si>
  <si>
    <t>https://www.scopus.com/inward/record.uri?eid=2-s2.0-72249091966&amp;doi=10.7163%2fGPol.2009.1.7&amp;partnerID=40&amp;md5=442ea4f2bac73c4dfbc53dcfb18e8cb3</t>
  </si>
  <si>
    <t>When estimating the reach of the flood zones, a mathematical model that describes the flood wave propagation, as well as the digital elevation models can be used. In this study, a two step approach has been applied. In the first step, in order to find the most relevant flooding areas, a one dimensional hydraulic model HEC-RAS has been used, which assumes steady state flow conditions and a discharge of Qp1% = 7210 m3/s and Q p0.1%= 9960 m3/s. The segment of the Vistula Valley analysed is 47.05 km long. In the second step, a smaller area has been analysed using the 2D hydraulic model of shallow water flow which is based on the Roe scheme of finite volume method.</t>
  </si>
  <si>
    <t>2-s2.0-72249091966"</t>
  </si>
  <si>
    <t>10.1016/j.pce.2008.06.039</t>
  </si>
  <si>
    <t>https://www.scopus.com/inward/record.uri?eid=2-s2.0-59149084089&amp;doi=10.1016%2fj.pce.2008.06.039&amp;partnerID=40&amp;md5=1108cc6510ae6cc6b9fc9cb04dd2954d</t>
  </si>
  <si>
    <t>In this paper, the author wants to explore the knowledge development in two crucial fields, river management and coast management in the 19th century and first decades of the 20th century. Were there similar characteristics in this development? Which types of knowledge can be distinguished? Who were the principal actors in these processes? Did the knowledge evolution have a Dutch stamp or a rather international flavour? To structure the analysis, the author uses the concept of technology regime, a set of technical rules which shapes the know-how of engineers, their design rules and research processes. The analysis shows that the knowledge development of river management and coastal management followed different evolution paths between 1800 and 1940. In the field of river management, a substantial amount of mathematical and physical theories had been gradually developed since the end of the 17th century. After 1850, the regularization approach met gradually a widespread support. Empirical data, design rules, theoretical knowledge and engineering pivoted around the regularization approach, and a technology regime around this approach emerged. The regularization regime further developed in the 20th century, and handbooks were increasingly shaped by mathematical and physical reasoning and formulas. On the other hand, coastal management was until the 1880s a rather marginal activity. Coastal engineering was an extremely complex and multidimensional field of knowledge which no engineer was able to grasp. The foundation of a Dutch weather institute was a first important step towards a more theoretical approach. The Zuiderzee works (starting in 1925) gave probably the most important stimuli to scientific coastal research. It was also a main factor in setting up scientific institutes by Rijkswaterstaat. So from the 1920s, Rijkswaterstaat became a major producer of scientific knowledge, not only in tidal modelling but also in coastal research. Due to a multidisciplinary knowledge network, coastal research transformed from a marginal to a first-rank scientific field, and this transformation enabled Rijkswaterstaat to set a much higher level of ambition in coastal management. The 1953 flood and the Deltaworks marked a new era. New design rules for sea dykes and river levees, based on a revolutionary statistical risk approach were determined, and design rules for the Deltaworks estuary closures were developed, being enabled by the development of hydraulic research. © 2008 Elsevier Ltd. All rights reserved.</t>
  </si>
  <si>
    <t>2-s2.0-59149084089"</t>
  </si>
  <si>
    <t>10.1007/s11069-008-9316-5</t>
  </si>
  <si>
    <t>https://www.scopus.com/inward/record.uri?eid=2-s2.0-64249089162&amp;doi=10.1007%2fs11069-008-9316-5&amp;partnerID=40&amp;md5=633349052e85f58cb20ed3eb6b4942d6</t>
  </si>
  <si>
    <t>Wind waves and elevated water levels together can cause flooding in low-lying coastal areas, where the water level may be a combination of mean sea level, tides and surges generated by storm events. In areas with a wide continental shelf a travelling external surge may combine with the locally generated surge and waves and there can be significant interaction between the propagation of the tide and surge. Wave height at the coast is controlled largely by water depth. So the effect of tides and surges on waves must also be considered, while waves contribute to the total water level by means of wave setup through radiation stress. These processes are well understood and accurately predicted by models, assuming good bathymetry and wind forcing is available. Other interactions between surges and waves include the processes of surface wind-stress and bottom friction as well as depth and current refraction of waves by surge water levels and currents, and some of the details of these processes are still not well understood. The recent coastal flooding in Myanmar (May 2008) in the Irrawaddy River Delta is an example of the severity of such events, with a surge of over 3 m exacerbated by heavy precipitation. Here, we review the existing capability for combined modelling of tides, surges and waves, their interactions and the development of coupled models. © Springer Science+Business Media B.V. 2008.</t>
  </si>
  <si>
    <t>2-s2.0-64249089162"</t>
  </si>
  <si>
    <t>10.2495/CP090051</t>
  </si>
  <si>
    <t>https://www.scopus.com/inward/record.uri?eid=2-s2.0-71649086549&amp;doi=10.2495%2fCP090051&amp;partnerID=40&amp;md5=13fde481f314efc8af7225bd5e455172</t>
  </si>
  <si>
    <t>Global environmental change poses a growing challenge for the management of low-lying coastal environments. The challenge is to (a) recognise and quantify the ecological functions of such environments, and (b) develop management approaches that allow those functions to be maintained in the context of global change. Meeting this challenge is particularly important on micro-tidal shorelines, where the ecological sensitivity to sea level rise and changing climatic conditions (e.g. storm frequency and intensity) is likely to be high. This study addresses the need to quantify the wave-dissipating function of these types of coastal wetland. Previous studies have focused on tidal coasts and salt marsh or mangrove vegetation and have highlighted relationships between coastal wetland vegetation type, water depths, and observed wave energy reduction. Prior to this study, however, no data was available on the sea-defence function of coastal grasslands and reed beds, where irregular inundation by meteorologically driven storm surges dominates over tidal inundation. Results are presented of wave and vegetation monitoring along three cross-shore transects at the fringes of reed beds and coastal brackish grasslands on the German Baltic shoreline. The data highlight significant differences in the seadefence function of these two types of micro-tidal coastal habitat, highlighting important differences in the likely response to future climatic (and sea level) changes and raising questions around how these functions might be maintained, enhanced, or restored in the context of environmental change. © 2009 WIT Press.</t>
  </si>
  <si>
    <t>2-s2.0-71649086549"</t>
  </si>
  <si>
    <t>10.1007/s11707-009-0001-0</t>
  </si>
  <si>
    <t>https://www.scopus.com/inward/record.uri?eid=2-s2.0-60349086559&amp;doi=10.1007%2fs11707-009-0001-0&amp;partnerID=40&amp;md5=32939b52cfa4dda514866726f368229f</t>
  </si>
  <si>
    <t>Coastal erosion at Sagar Island of Sunderban delta, India, has been critically studied. The area is in the subtropical humid region. There are mainly three seasons viz: winter, summer and the monsoon. Different wave dynamic parameters were measured from theodolite observations with leveling staff and measuring gauges during lunar days at two sections of the western and eastern parts of the coastal zone during post-and pre-monsoons. A comparative study was made on the erosion/depositional pattern between the two sections in relation to different hydrodynamic parameters prevailing in these two sections. Plane table mapping was carried out to demarcate the different geomorphic units. The marine coastal landforms show dune ridges with intervening flats bordered by gently sloping beach on one side and a flat beach on the other side. The western part of the beach is mainly sandy; whereas the eastern part is silty and clayey with mud bank remnants. Actual field measurements indicate that the coastal dune belt has retreated to the order by about 20 m since 1985. The eastern part of the beach has lowered by about 2 m since 1985 and the western part was raised almost to the same tune. It is observed that accretion in the western and central parts of the beach took place; whereas severe erosion in the eastern part made the beach very narrow with remnants of mud banks and tree roots. Frequent embankment failures, submergence and flooding, beach erosion and siltation at jetties and navigational channels, cyclones and storm surges made this area increasingly vulnerable.</t>
  </si>
  <si>
    <t>10.14358/pers.75.7.807</t>
  </si>
  <si>
    <t>https://www.scopus.com/inward/record.uri?eid=2-s2.0-68749111730&amp;doi=10.14358%2fpers.75.7.807&amp;partnerID=40&amp;md5=fef7456e4feb4743924d4d4bdd15eca3</t>
  </si>
  <si>
    <t>Future sea level rise caused by climate change would disrupt the physical processes, economic activities, and social systems in coastal regions. Based on a hypothetical global sea level increase of one to six meters, we developed GIS methods to assess and visualize the global impacts of potential inundation using the best available global datasets. After susceptible areas were delineated, we estimated that the size of the areas is between 1.055 (one meter) to 2.193 million km2 (six meters). Population in the susceptible areas was estimated to range from 108 (one meter) to 431 million (six meters) people. Among the seven land-cover types in the susceptible areas, forest and grassland account for more than 60 percent for all the increments of sea level rise. A suite of interactive visualization products was also developed to understand and communicate the ramifications of potential sea level rise. © 2009 American Society for Photogrammetry and Remote Sensing.</t>
  </si>
  <si>
    <t>2-s2.0-68749111730"</t>
  </si>
  <si>
    <t>10.5751/ES-02719-140108</t>
  </si>
  <si>
    <t>https://www.scopus.com/inward/record.uri?eid=2-s2.0-69149104965&amp;doi=10.5751%2fES-02719-140108&amp;partnerID=40&amp;md5=f7e4cecb8cc93f026a57a15a77e41850</t>
  </si>
  <si>
    <t>Lagoons are highly productive coastal features that provide a range of natural services that society values. Their setting within the coastal landscape leaves them especially vulnerable to profound physical, ecological, and associated societal disturbance from global climate change. Expected shifts in physical and ecological characteristics range from changes in flushing regime, freshwater inputs, and water chemistry to complete inundation and loss and the concomitant loss of natural and human communities. Therefore, managing coastal lagoons in the context of global climate change is critical. Although management approaches will vary depending on local conditions and cultural norms, all management scenarios will need to be nimble and to make full use of the spectrum of values through which society views these unique ecosystems. We propose that this spectrum includes pragmatic, scholarly, aesthetic, and tacit categories of value. Pragmatic values such as fishery or tourism revenue are most easily quantified and are therefore more likely to be considered in management strategies. In contrast, tacit values such as a sense of place are more difficult to quantify and therefore more likely to be left out of explicit management justifications. However, tacit values are the most influential to stakeholder involvement because they both derive from and shape individual experiences and beliefs. Tacit values underpin all categories of social values that we describe and can be expected to have a strong influence over human behavior. The articulation and inclusion of the full spectrum of values, especially tacit values, will facilitate and support nimble adaptive management of coastal lagoon ecosystems in the context of global climate change. © 2009 by the author(s).</t>
  </si>
  <si>
    <t>2-s2.0-69149104965"</t>
  </si>
  <si>
    <t>Journal of Environmental Hydrology</t>
  </si>
  <si>
    <t>https://www.scopus.com/inward/record.uri?eid=2-s2.0-60149097094&amp;partnerID=40&amp;md5=3e7cad6c0a22074c1445f74d72a800e1</t>
  </si>
  <si>
    <t>Climate change is likely to impact groundwater resources, either directly, e.g. via changing precipitation patterns, or indirectly, e.g. through the interaction of changing precipitation patterns with changing land-use practices and water demand. These changes may affect both groundwater quantity and quality. Climate change will affect groundwater recharge rates and groundwater levels. Any decrease in groundwater recharge will exacerbate the effect of sea-level rise in coastal areas. In inland aquifers, a decrease in groundwater recharge can lead to saltwater intrusion from underlying saline aquifers, and increased evapotranspiration in semiarid and arid regions may lead to the salinization of shallow aquifers. In Africa, climate change and variability have the potential to impose additional pressures on water availability, water accessibility and water demand. A 1°C increase in temperature could change runoff by 10%, assuming that precipitation levels remain constant. If such an annual decrease in runoff were to occur, the impacts could be equivalent to the loss of one large dam per year in a given watershed. Temperature and precipitation in the African Sahel are negatively correlated - seasonal warming was accompanied by late 20th century drying.</t>
  </si>
  <si>
    <t>2-s2.0-60149097094"</t>
  </si>
  <si>
    <t>10.1590/S0001-37652009000400014</t>
  </si>
  <si>
    <t>https://www.scopus.com/inward/record.uri?eid=2-s2.0-70449377937&amp;doi=10.1590%2fS0001-37652009000400014&amp;partnerID=40&amp;md5=2f5bd6005431943429a1d1eb640748d8</t>
  </si>
  <si>
    <t>The depositional model of the Cabeças Formation is re-evaluated in the context of the Devonian paleogeography of the Parnaíba Basin, and with particular reference to similarities between the formation's facies associations on the eastern border of the basin and the flood-dominated fluvio-deltaic system facies that have been discussed in recent literature. The widespread occurrence and nature of sigmoidal clinoforms (with asymptotic cross-stratification and climbing ripples) of the Cabeças Formation are here considered as strong evidence of flood-influenced depositional settings. Sandy strata of the Passagem Member, in the vicinity of Pimenteiras and Picos (Piauí State), are interpreted as the distal part of fine-grained mouth-bar deposits interbedded with delta-front sandstone lobes showing hummocky cross-stratification. Richly fossiliferous levels, with diverse megainvertebrates and plant cuticles, occur within the delta-front lobes and the distal mouth-bar deposits, reflecting continuation of shallow marine conditions.</t>
  </si>
  <si>
    <t>2-s2.0-70449377937"</t>
  </si>
  <si>
    <t>10.2112/07-0888.1</t>
  </si>
  <si>
    <t>https://www.scopus.com/inward/record.uri?eid=2-s2.0-59049099396&amp;doi=10.2112%2f07-0888.1&amp;partnerID=40&amp;md5=fd49ade5d347c104a40721e991b2e2b6</t>
  </si>
  <si>
    <t>The coastal zone in the Red River Delta of Vietnam is under large threat due to fluvial flooding, coastal flooding, and coastal erosion. As an important input for ongoing studies that focus on finding an optimal coastal protection strategy for reducing the vulnerability of the coastal region, this paper aims to describe the current situation of the coastal region and assess its present protective measures. In the region, sea dikes have been used as the predominant countermeasure with two intended functions: (i) protecting low-lying areas from coastal flooding and (ii) reducing the risk to the hinterland caused by erosion. However, the sea dikes seem not to function well and are insufficient to withstand dike breaches at the low frequency they are designed for. To have better insight into the actual situation of the whole system, this paper first investigates the historical development of the coastlines in the delta based on available information. Second, hydrodynamic and morphological processes of the coastal and estuarine systems are reviewed and further analysed. An effectiveness assessment of the present protection strategies is subsequently presented. Finally, further research needed to improve the rehabilitation of coastlines and the safety of the region is discussed based on analysis results.</t>
  </si>
  <si>
    <t>2-s2.0-59049099396"</t>
  </si>
  <si>
    <t>10.1007/s11069-008-9277-8</t>
  </si>
  <si>
    <t>https://www.scopus.com/inward/record.uri?eid=2-s2.0-61749104063&amp;doi=10.1007%2fs11069-008-9277-8&amp;partnerID=40&amp;md5=a014b82645ccb7b80ec01e25a719e5d3</t>
  </si>
  <si>
    <t>Applied flood risk analyses, especially in urban areas, very often pose the question how detailed the analysis needs to be in order to give a realistic figure of the expected risk. The methods used in research and practical applications range from very basic approaches with numerous simplifying assumptions up to very sophisticated, data and calculation time demanding applications both on the hazard and on the vulnerability part of the risk. In order to shed some light on the question of required model complexity in flood risk analyses and outputs sufficiently fulfilling the task at hand, a number of combinations of models of different complexity both on the hazard and on the vulnerability side were tested in a case study. The different models can be organized in a model matrix of different complexity levels: On the hazard side, the approaches/models selected were (A) linear interpolation of gauge water levels and intersection with a digital elevation model (DEM), (B) a mixed 1D/2D hydraulic model with simplifying assumptions (LISFLOOD-FP) and (C) a Saint-Venant 2D zero-inertia hyperbolic hydraulic model considering the built environment and infrastructure. On the vulnerability side, the models used for the estimation of direct damage to residential buildings are in order of increasing complexity: (I) meso-scale stage-damage functions applied to CORINE land cover data, (II) the rule-based meso-scale model FLEMOps+ using census data on the municipal building stock and CORINE land cover data and (III) a rule-based micro-scale model applied to a detailed building inventory. Besides the inundation depths, the latter two models consider different building types and qualities as well as the level of private precaution and contamination of the floodwater. The models were applied in a municipality in east Germany, Eilenburg. It suffered extraordinary damage during the flood of August 2002, which was well documented as were the inundation extent and depths. These data provide an almost unique data set for the validation of flood risk analyses. The analysis shows that the combination of the 1D/2D model and the meso-scale damage model FLEMOps+ performed best and provide the best compromise between data requirements, simulation effort, and an acceptable accuracy of the results. The more detailed approaches suffered from complex model set-up, high data requirements, and long computation times. © Springer Science+Business Media B.V. 2008.</t>
  </si>
  <si>
    <t>2-s2.0-61749104063"</t>
  </si>
  <si>
    <t>Geographical Review</t>
  </si>
  <si>
    <t>10.1111/j.1931-0846.2009.tb00424.x</t>
  </si>
  <si>
    <t>https://www.scopus.com/inward/record.uri?eid=2-s2.0-64949197169&amp;doi=10.1111%2fj.1931-0846.2009.tb00424.x&amp;partnerID=40&amp;md5=fa43b9b5b40c6a95a0a03f852789a9a5</t>
  </si>
  <si>
    <t>Meteorological tsunamis, or meteo-tsunamis, are long-period waves that possess tsunami characteristics but are meteorological in origin, although they are not storm surges. In this article we investigate the coast of southern Britain - the English Channel, the Bristol Channel, and the Severn Estuary - for the occurrence of tsunami-like waves that, in the absence of associated seismic activity, we recognize as meteo-tsunamis. The passage of squall lines over the sea apparently generated three of these events, and two seem to have been far-traveled, long-period waves from mid-North Atlantic atmospheric low-pressure systems. The remaining three wave events appear to have been associated with storms that, among possible explanations, may have induced large-amplitude standing waves - such as seiches - or created long-period waves through the opposition of onshore gale-force winds and swells with high ebb tidal current velocities. This coastal hazard has resulted in damage and loss of life and should be considered in future coastal defense strategies and in beach-user risk assessments. Copyright © 2009 by the American Geographical Society of New York.</t>
  </si>
  <si>
    <t>2-s2.0-64949197169"</t>
  </si>
  <si>
    <t>10.1007/s10661-008-0495-z</t>
  </si>
  <si>
    <t>https://www.scopus.com/inward/record.uri?eid=2-s2.0-68649111911&amp;doi=10.1007%2fs10661-008-0495-z&amp;partnerID=40&amp;md5=5a6afcd1a4bf5a8e5ddcc691269c8cb1</t>
  </si>
  <si>
    <t>Turkish coastal zone elevation to sea level rise was illustrated by using digital elevation model and Geographical information systems methods. It was intended to determine several parameters such as population, settlements, land use, wetlands, contribution to national agricultural production and taxes at risk by using high resolution SRTM topographic, orthorectified Landsat Thematic Mapper Mosaics and census data with GIS methods within 0 - 10 m elevation of national level. All parameters were examined for coastal cities, coastal districts, settlements and villages' status. As a result of the analysis of data set, it was found that approximately 7,319 km2 of land area lies below 10 m contour line in Turkey, and is hence highly vulnerable to sea-level rise. 28 coastal cities, 191 districts and 181 villages or towns are located below 10 m contour line in study area. In the short term, for the struggle of negative impact of sea level rise, the findings suggest that the Ministry of Environment should declare new areas as protection areas and develop special environmental programs for national level. © Springer Science+Business Media B.V. 2008.</t>
  </si>
  <si>
    <t>2-s2.0-68649111911"</t>
  </si>
  <si>
    <t>10.1016/j.jag.2009.04.002</t>
  </si>
  <si>
    <t>https://www.scopus.com/inward/record.uri?eid=2-s2.0-67650744265&amp;doi=10.1016%2fj.jag.2009.04.002&amp;partnerID=40&amp;md5=c05c9399a8ec2dba035766d49a43606e</t>
  </si>
  <si>
    <t>River low flow (LF) is an important hydrological characteristic used in management of the quantity and quality of water resources. A common way to transpose at-station low flow quantiles to ungaged locations involves development of regional multivariate regression models. In site selection studies of water control facilities, need arises to automate the mapping of LF characteristics onto the stream network in a continuous manner. This would allow estimation of LF at any desired ungaged location. A mapping algorithm is introduced that determines the value of regression model's independent variables (input components) over the drainage area of each stream pixel and calculates the flow (output). The mapping algorithm relies mainly on the digital elevation model (DEM) and its derivatives, such as flow direction and flow accumulation. Furthermore, the contribution of each independent variable of the regional model to the total flow may be plotted to represent the flow profiles along the streams. A case study involving LF mapping in rivers of Gilan province, Iran, where LF quantiles are required for issuing water withdrawal permits as well as maintaining water quality standards, is also described in the paper. Overall, the maps and profiles of flow statistics in the region of interest provide convenient visualization and assessment tools for water resource and environmental engineers. The transposition algorithm may also be applied in regional mapping of other flow characteristics such as flood or average flows. © 2009 Elsevier B.V. All rights reserved.</t>
  </si>
  <si>
    <t>2-s2.0-67650744265"</t>
  </si>
  <si>
    <t>10.1016/j.jenvman.2007.06.024</t>
  </si>
  <si>
    <t>https://www.scopus.com/inward/record.uri?eid=2-s2.0-67349166208&amp;doi=10.1016%2fj.jenvman.2007.06.024&amp;partnerID=40&amp;md5=14f7199965e461138dd96661ee0c8dd7</t>
  </si>
  <si>
    <t>The European Habitats Directive 92/43/EEC has defined the need for the conservation of habitats and species with the adoption of appropriate measures. Within the Natura 2000 ecological network of special areas of conservation, natural habitats will be monitored to ensure the maintenance or restoration of their composition, structure and extent. The European Space Agency's GlobWetland project has provided remotely sensed products for several Ramsar wetlands worldwide, such as detailed land cover-land use, water cycle and inundated vegetation maps. This paper presents the development and testing of an operational methodology for updating a wetland's habitat map using the GlobWetland products, and the evaluation of the extent to which GlobWetland products have contributed to the habitat map updating. The developed methodology incorporated both automated and analyst-supervised techniques to photo-interpret, delineate, refine, and evaluate the updated habitat polygons. The developed methodology was proven successful in its application to the wetland complex of the Axios-Loudias-Aliakmon delta (Greece). The resulting habitat map met the European and Greek national requirements. Results revealed that GlobWetland products were a valuable contribution, but source data (enhanced satellite images) were necessary to discriminate spectrally similar habitats. Finally, the developed methodology can be modified for original habitat mapping. © 2008 Elsevier Ltd. All rights reserved.</t>
  </si>
  <si>
    <t>2-s2.0-67349166208"</t>
  </si>
  <si>
    <t>10.1016/j.envint.2008.07.024</t>
  </si>
  <si>
    <t>https://www.scopus.com/inward/record.uri?eid=2-s2.0-61449255469&amp;doi=10.1016%2fj.envint.2008.07.024&amp;partnerID=40&amp;md5=5e2afbcd02e70dee236376c1b4db9a78</t>
  </si>
  <si>
    <t>Arsenic (As) is mobilized from delta and floodplain aquifer sediments throughout S.E. Asia via reductive dissolution of As bound to iron (Fe) oxyhydroxides. The reductive driving force is organic carbon, but its source and constitution is uncertain. Here batch incubation experiments were conducted to investigate the role of organic matter (OM) carbon:nitrogen (C:N) ratio on the mobilization of arsenic, Fe and N from As dosed, Fe oxyhydroxide coated sands. As mobilization into pore waters from the sand was strongly regulated by the C:N ratio of the OM, and also the concentration of OM present. The lower the C:N, the more As released. Fe and ammonium release were similarly dependent on the quality and quantity of OM, but Fe mobilization was more rapid and ammonium release slower than As suggesting that the mobilization of these 3 moieties although interdependent, were not directly linked. It was concluded that low C:N ratios for OM responsible for reducing aquifers were As in groundwater is observed were likely. © 2008 Elsevier Ltd. All rights reserved.</t>
  </si>
  <si>
    <t>2-s2.0-61449255469"</t>
  </si>
  <si>
    <t>10.1017/S0016774600000974</t>
  </si>
  <si>
    <t>https://www.scopus.com/inward/record.uri?eid=2-s2.0-67649511920&amp;doi=10.1017%2fS0016774600000974&amp;partnerID=40&amp;md5=b9ecc8f8a4cf1e522543ca8e7f627bfe</t>
  </si>
  <si>
    <t>Global sea level is rising at an increased rate since the late 19th century as a result of rising global mean temperatures. This rise is geographically non-uniform, with substantial spatial differences, and in the latest decade faster than expected. New evidence suggests that more rapid changes than indicated in the Fourth IPCC report take place in the two large continental ice sheets, Greenland and Antarctica. Consequently, the projected sea level rise threatens low-lying countries like the Netherlands. The process of 'climate-proofing' the flood protection system of the country offers, however, new opportunities for innovative solutions, providing not only higher flood protection, but also possibilities for multifunctional land-use.</t>
  </si>
  <si>
    <t>2-s2.0-67649511920"</t>
  </si>
  <si>
    <t>10.1016/j.jag.2008.09.001</t>
  </si>
  <si>
    <t>https://www.scopus.com/inward/record.uri?eid=2-s2.0-57049175886&amp;doi=10.1016%2fj.jag.2008.09.001&amp;partnerID=40&amp;md5=ec91172ae08a64cd112bce73cfb4cbc6</t>
  </si>
  <si>
    <t>Combined optical and laser altimeter data offer the potential to map and monitor plant communities based on their spectral and structural characteristics. A problem unresolved is, however, that narrowly defined plant communities, i.e. plant communities at a low hierarchical level of classification in the Braun-Blanquet system, often cannot be linked directly to remote sensing data for vegetation mapping. We studied whether and how a floristic dataset can be aggregated into a few major discrete, mappable classes without substantial loss of ecological meaning. Multi-source airborne data (CASI and LiDAR) and floristic field data were collected for a floodplain along the river Waal in the Netherlands. Mapping results based on floristic similarity alone did not achieve highest levels of accuracy. Ordination of floristic data showed that terrain elevation and soil moisture were the main underlying environmental drivers shaping the floodplain vegetation, but grouping of plant communities based on their position in the ordination space is not always obvious. Combined ordination-based grouping with floristic similarity clustering led to syntaxonomically relevant aggregated plant assemblages and yielded highest mapping accuracies. © 2008 Elsevier B.V. All rights reserved.</t>
  </si>
  <si>
    <t>2-s2.0-57049175886"</t>
  </si>
  <si>
    <t>yes</t>
  </si>
  <si>
    <t>maybe</t>
  </si>
  <si>
    <t>no</t>
  </si>
  <si>
    <t>yes to yes</t>
  </si>
  <si>
    <t>yes to maybe</t>
  </si>
  <si>
    <t>yes to no</t>
  </si>
  <si>
    <t>maybe to yes</t>
  </si>
  <si>
    <t>maybe to maybe</t>
  </si>
  <si>
    <t>maybe to no</t>
  </si>
  <si>
    <t>no to yes</t>
  </si>
  <si>
    <t>no to maybe</t>
  </si>
  <si>
    <t>no to no</t>
  </si>
  <si>
    <t>This assessment is on the impact assessment included in the publication, not the GTSR data itself</t>
  </si>
  <si>
    <t>Sea level reference</t>
  </si>
  <si>
    <t>Vertical datum conversion</t>
  </si>
  <si>
    <t>Implementation correct, reference up-to-date</t>
  </si>
  <si>
    <t>Implementation correct, reference outdated</t>
  </si>
  <si>
    <t>Implementation not assessable</t>
  </si>
  <si>
    <t>Implementation absent</t>
  </si>
  <si>
    <t>Geoid offset was likely not considered here, thus the datums of extreme sea-level data and DEM do not match. Calculation follows the approach of Muis et al. (2017)</t>
  </si>
  <si>
    <t>Implementation incorrect/incomplete (vertical datums mixed)</t>
  </si>
  <si>
    <t>Correction of WorldDEM (based on TanDEM-X 12 m) by filling voids with ASTER, SRTM90, SRTM30, GMTED2010, SRTM30plus, TerraSAR-X Radargrammetric DEM, AW3D30, and Norway DEM</t>
  </si>
  <si>
    <r>
      <t xml:space="preserve">MSL </t>
    </r>
    <r>
      <rPr>
        <b/>
        <sz val="11"/>
        <rFont val="Aptos Narrow"/>
        <family val="2"/>
        <scheme val="minor"/>
      </rPr>
      <t>(no details about datum conversion)</t>
    </r>
  </si>
  <si>
    <t>LiDAR data was only used for urban areas with populations &gt;100,000; Data source of DEM is not given completely</t>
  </si>
  <si>
    <t>Data source cited does not give full documentation</t>
  </si>
  <si>
    <t>DEM was reprojected using bilinear interpolation, however, the resolution was not documented; no documentation on how sea-level reference was implemented (i.e. whether vertical reference systems of elevation and sea-level data were aligned correctly)</t>
  </si>
  <si>
    <t>Haasnoot, M., Winter, G., Brown, S., Dawson, R.J., Ward, P.J., Eilander, D.</t>
  </si>
  <si>
    <t>https://doi.org/10.1016/j.crm.2021.100355</t>
  </si>
  <si>
    <t>Long-term sea-level rise necessitates a commitment to adaptation: A first order assessment</t>
  </si>
  <si>
    <t>Global and Regional</t>
  </si>
  <si>
    <t>Investigation of adaptation commitment to SLR</t>
  </si>
  <si>
    <t>Use of Sea Level Anomaly from AVISO (1993-2016) but no reference given</t>
  </si>
  <si>
    <r>
      <rPr>
        <b/>
        <sz val="11"/>
        <color theme="1"/>
        <rFont val="Aptos Narrow"/>
        <family val="2"/>
        <scheme val="minor"/>
      </rPr>
      <t xml:space="preserve">not documented </t>
    </r>
    <r>
      <rPr>
        <sz val="11"/>
        <color theme="1"/>
        <rFont val="Aptos Narrow"/>
        <family val="2"/>
        <scheme val="minor"/>
      </rPr>
      <t>(Geoid, not documented)</t>
    </r>
  </si>
  <si>
    <r>
      <rPr>
        <b/>
        <sz val="11"/>
        <color theme="1"/>
        <rFont val="Aptos Narrow"/>
        <family val="2"/>
        <scheme val="minor"/>
      </rPr>
      <t>not documented</t>
    </r>
    <r>
      <rPr>
        <sz val="11"/>
        <color theme="1"/>
        <rFont val="Aptos Narrow"/>
        <family val="2"/>
        <scheme val="minor"/>
      </rPr>
      <t xml:space="preserve"> (EGM96; local datum?)</t>
    </r>
  </si>
  <si>
    <t>No clear documentation nor specification of the elevation data used; Lopes et al. (2022) refer to the USGS (which could be SRTM, which is in line with visual appearance of elevation map in the main body of the text) and to seatemperature.info (however, no elevation data could be identified).</t>
  </si>
  <si>
    <r>
      <rPr>
        <b/>
        <sz val="11"/>
        <rFont val="Aptos Narrow"/>
        <family val="2"/>
        <scheme val="minor"/>
      </rPr>
      <t>final VD not documented</t>
    </r>
    <r>
      <rPr>
        <sz val="11"/>
        <rFont val="Aptos Narrow"/>
        <family val="2"/>
        <scheme val="minor"/>
      </rPr>
      <t xml:space="preserve"> (source: EGM96; EGM96; EGM96; WGS84; EGM96; EGM96; NAVD 88; ITRF2008)</t>
    </r>
  </si>
  <si>
    <t>MHHW based on MSS_CNES_CLS_15 (including offset?)</t>
  </si>
  <si>
    <t>incompletely documented (National datum: Cascais 1938?)</t>
  </si>
  <si>
    <t>incompletely documented (Tidal?)</t>
  </si>
  <si>
    <r>
      <t xml:space="preserve">incompletely documented </t>
    </r>
    <r>
      <rPr>
        <sz val="11"/>
        <rFont val="Aptos Narrow"/>
        <family val="2"/>
        <scheme val="minor"/>
      </rPr>
      <t>(Tidal?)</t>
    </r>
  </si>
  <si>
    <r>
      <rPr>
        <b/>
        <sz val="11"/>
        <rFont val="Aptos Narrow"/>
        <family val="2"/>
        <scheme val="minor"/>
      </rPr>
      <t>incompletely documented</t>
    </r>
    <r>
      <rPr>
        <sz val="11"/>
        <rFont val="Aptos Narrow"/>
        <family val="2"/>
        <scheme val="minor"/>
      </rPr>
      <t xml:space="preserve"> (MSL?)</t>
    </r>
  </si>
  <si>
    <t>incompletely documented</t>
  </si>
  <si>
    <t>Use of DIVA model and extreme water levels from Muis et al. (2016); linear consideration of VLM; authors acknowledge the presence of vertical datum offset</t>
  </si>
  <si>
    <t>Authors use geoid datum to compare their results with Muis et al. (2016); authors acknowledge the presence of vertical datum offset</t>
  </si>
  <si>
    <r>
      <t xml:space="preserve">MSL </t>
    </r>
    <r>
      <rPr>
        <b/>
        <sz val="11"/>
        <rFont val="Aptos Narrow"/>
        <family val="2"/>
        <scheme val="minor"/>
      </rPr>
      <t>(no info about datum conversion/alignment of MERIT DEM with present-day MSL)</t>
    </r>
  </si>
  <si>
    <t>Datum of different LiDAR datasets not provided; no info about datum conversion/alignment of MERIT DEM with present-day MSL; MSL based on measurements of offset to local tidal datums; missing documentation on present-day sea level</t>
  </si>
  <si>
    <r>
      <t xml:space="preserve">EGM96; MDT (CNES-CLS13 was used to align sea-level data to DEM, BUT: </t>
    </r>
    <r>
      <rPr>
        <b/>
        <sz val="11"/>
        <rFont val="Aptos Narrow"/>
        <family val="2"/>
        <scheme val="minor"/>
      </rPr>
      <t>Geoid offset between EGM96 and EGM-DIR4 potentially not considered</t>
    </r>
    <r>
      <rPr>
        <sz val="11"/>
        <rFont val="Aptos Narrow"/>
        <family val="2"/>
        <scheme val="minor"/>
      </rPr>
      <t>)</t>
    </r>
  </si>
  <si>
    <t>Haasnoot et al. followed the approach of Muis et al. (2017): Use of MDT to transpose sea-level data to EGM96; geoid offset was potentially not considered as geoid reference of MDT data may be misinterpreted (it is EGM-DIR R4 and not EGM96)</t>
  </si>
  <si>
    <r>
      <t xml:space="preserve">MDT (CNES-CLS13): </t>
    </r>
    <r>
      <rPr>
        <b/>
        <sz val="11"/>
        <rFont val="Aptos Narrow"/>
        <family val="2"/>
        <scheme val="minor"/>
      </rPr>
      <t xml:space="preserve"> Geoid offset between EGM96 and EGM-DIR4 potentially not considered</t>
    </r>
  </si>
  <si>
    <r>
      <t xml:space="preserve">EGM96; MDT (CNES-CLS13 was used to align sea-level data to DEM, BUT: </t>
    </r>
    <r>
      <rPr>
        <b/>
        <sz val="11"/>
        <rFont val="Aptos Narrow"/>
        <family val="2"/>
        <scheme val="minor"/>
      </rPr>
      <t xml:space="preserve"> Geoid offset between EGM96 and EGM-DIR4 potentially not considered</t>
    </r>
    <r>
      <rPr>
        <sz val="11"/>
        <rFont val="Aptos Narrow"/>
        <family val="2"/>
        <scheme val="minor"/>
      </rPr>
      <t>)</t>
    </r>
  </si>
  <si>
    <r>
      <t xml:space="preserve">MDT (CNES-CLS13): </t>
    </r>
    <r>
      <rPr>
        <b/>
        <sz val="11"/>
        <rFont val="Aptos Narrow"/>
        <family val="2"/>
        <scheme val="minor"/>
      </rPr>
      <t>outdated; Geoid offset correction potentially not considered; MDT (CNES-CLS18): Geoid offset correction potentially not considered</t>
    </r>
  </si>
  <si>
    <r>
      <t xml:space="preserve">EGM96; MDT (CNES-CLS13 was used to align sea-level data (as of Muis et al. (2016) to DEM, BUT: </t>
    </r>
    <r>
      <rPr>
        <b/>
        <sz val="11"/>
        <rFont val="Aptos Narrow"/>
        <family val="2"/>
        <scheme val="minor"/>
      </rPr>
      <t xml:space="preserve"> Geoid offset between EGM96 and EGM-DIR4 potentially not considered</t>
    </r>
    <r>
      <rPr>
        <sz val="11"/>
        <rFont val="Aptos Narrow"/>
        <family val="2"/>
        <scheme val="minor"/>
      </rPr>
      <t>)</t>
    </r>
  </si>
  <si>
    <r>
      <t xml:space="preserve">EGM96; </t>
    </r>
    <r>
      <rPr>
        <b/>
        <sz val="11"/>
        <rFont val="Aptos Narrow"/>
        <family val="2"/>
        <scheme val="minor"/>
      </rPr>
      <t>Datum offset correction to sea-level data potentially not considered</t>
    </r>
  </si>
  <si>
    <r>
      <t xml:space="preserve">EGM96; </t>
    </r>
    <r>
      <rPr>
        <b/>
        <sz val="11"/>
        <rFont val="Aptos Narrow"/>
        <family val="2"/>
        <scheme val="minor"/>
      </rPr>
      <t xml:space="preserve"> Geoid offset potentially not considered</t>
    </r>
  </si>
  <si>
    <t>EGM96; vertical datum offset between elevation and tide gauge data potentially not considered</t>
  </si>
  <si>
    <r>
      <t xml:space="preserve">MDT (CNES-CLS13): </t>
    </r>
    <r>
      <rPr>
        <b/>
        <sz val="11"/>
        <rFont val="Aptos Narrow"/>
        <family val="2"/>
        <scheme val="minor"/>
      </rPr>
      <t>Geoid offset between EGM96 and EGM-DIR4 potentially not considered</t>
    </r>
  </si>
  <si>
    <r>
      <t xml:space="preserve">multiple (WGS84; MDT (CNES-CLS13); </t>
    </r>
    <r>
      <rPr>
        <b/>
        <sz val="11"/>
        <rFont val="Aptos Narrow"/>
        <family val="2"/>
        <scheme val="minor"/>
      </rPr>
      <t>datum offset correction potentially not considered</t>
    </r>
  </si>
  <si>
    <r>
      <t xml:space="preserve">EGM96; MDT (CNES-CLS18 was used to align sea-level data to DEM, BUT: </t>
    </r>
    <r>
      <rPr>
        <b/>
        <sz val="11"/>
        <rFont val="Aptos Narrow"/>
        <family val="2"/>
        <scheme val="minor"/>
      </rPr>
      <t>Geoid offset between EGM96 and EGM-DIR4 potentially not considered and conversion between different MDT datasets missing</t>
    </r>
    <r>
      <rPr>
        <sz val="11"/>
        <rFont val="Aptos Narrow"/>
        <family val="2"/>
        <scheme val="minor"/>
      </rPr>
      <t>)</t>
    </r>
  </si>
  <si>
    <t>Eilander et al. followed the approach of Muis et al. (2017): Use of MDT to transpose sea-level data to EGM96; geoid offset was not considered as geoid reference of MDT data was misinterpreted (it is EGM-DIR R4 and not EGM96); Muis et al. infer that aligning extreme sea-level and elevation datasets to the same vertical datum results in 39-59 % higher estimate of population exposure</t>
  </si>
  <si>
    <t>no elevation data used?; authors refer to Sweet et al. (2017) and these mention elevation but do not include information about the datasets</t>
  </si>
  <si>
    <t>Sea-level reference</t>
  </si>
  <si>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</si>
  <si>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</si>
  <si>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</si>
  <si>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</si>
  <si>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</si>
  <si>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</si>
  <si>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</si>
  <si>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</si>
  <si>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</si>
  <si>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</si>
  <si>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</si>
  <si>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</si>
  <si>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</si>
  <si>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</si>
  <si>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</si>
  <si>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</si>
  <si>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</si>
  <si>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</si>
  <si>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</si>
  <si>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</si>
  <si>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</si>
  <si>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</si>
  <si>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</si>
  <si>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</si>
  <si>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</si>
  <si>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</si>
  <si>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</si>
  <si>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</si>
  <si>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</si>
  <si>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</si>
  <si>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</si>
  <si>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</si>
  <si>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</si>
  <si>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</si>
  <si>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</si>
  <si>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</si>
  <si>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</si>
  <si>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</si>
  <si>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</si>
  <si>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</si>
  <si>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</si>
  <si>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</si>
  <si>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</si>
  <si>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</si>
  <si>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</si>
  <si>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</si>
  <si>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</si>
  <si>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</si>
  <si>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</si>
  <si>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</si>
  <si>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</si>
  <si>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</si>
  <si>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</si>
  <si>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</si>
  <si>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</si>
  <si>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</si>
  <si>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</si>
  <si>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</si>
  <si>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</si>
  <si>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</si>
  <si>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</si>
  <si>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</si>
  <si>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</si>
  <si>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</si>
  <si>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</si>
  <si>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</si>
  <si>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</si>
  <si>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</si>
  <si>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</si>
  <si>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</si>
  <si>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</si>
  <si>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</si>
  <si>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</si>
  <si>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</si>
  <si>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</si>
  <si>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</si>
  <si>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</si>
  <si>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</si>
  <si>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</si>
  <si>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</si>
  <si>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</si>
  <si>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</si>
  <si>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up-to-date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</si>
  <si>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</si>
  <si>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</si>
  <si>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</si>
  <si>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</si>
  <si>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</si>
  <si>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</si>
  <si>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</si>
  <si>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</si>
  <si>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</si>
  <si>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</si>
  <si>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</si>
  <si>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</si>
  <si>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</si>
  <si>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</si>
  <si>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</si>
  <si>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</si>
  <si>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</si>
  <si>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</si>
  <si>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</si>
  <si>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</si>
  <si>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</si>
  <si>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</si>
  <si>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</si>
  <si>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</si>
  <si>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</si>
  <si>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</si>
  <si>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</si>
  <si>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</si>
  <si>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</si>
  <si>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</si>
  <si>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</si>
  <si>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</si>
  <si>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</si>
  <si>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</si>
  <si>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</si>
  <si>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</si>
  <si>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</si>
  <si>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</si>
  <si>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</si>
  <si>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</si>
  <si>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</si>
  <si>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</si>
  <si>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</si>
  <si>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</si>
  <si>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</si>
  <si>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</si>
  <si>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</si>
  <si>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</si>
  <si>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</si>
  <si>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</si>
  <si>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</si>
  <si>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</si>
  <si>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</si>
  <si>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</si>
  <si>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</si>
  <si>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</si>
  <si>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</si>
  <si>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</si>
  <si>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</si>
  <si>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</si>
  <si>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</si>
  <si>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</si>
  <si>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</si>
  <si>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</si>
  <si>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</si>
  <si>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</si>
  <si>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</si>
  <si>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</si>
  <si>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</si>
  <si>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</si>
  <si>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</si>
  <si>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</si>
  <si>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</si>
  <si>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</si>
  <si>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</si>
  <si>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</si>
  <si>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</si>
  <si>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</si>
  <si>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</si>
  <si>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</si>
  <si>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</si>
  <si>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</si>
  <si>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</si>
  <si>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outdated</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</si>
  <si>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</si>
  <si>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</si>
  <si>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</si>
  <si>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</si>
  <si>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</si>
  <si>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</si>
  <si>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</si>
  <si>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</si>
  <si>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</si>
  <si>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</si>
  <si>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</si>
  <si>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</si>
  <si>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</si>
  <si>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</si>
  <si>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</si>
  <si>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</si>
  <si>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</si>
  <si>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</si>
  <si>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</si>
  <si>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</si>
  <si>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</si>
  <si>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</si>
  <si>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</si>
  <si>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</si>
  <si>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</si>
  <si>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</si>
  <si>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</si>
  <si>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</si>
  <si>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</si>
  <si>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</si>
  <si>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</si>
  <si>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</si>
  <si>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</si>
  <si>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</si>
  <si>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</si>
  <si>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</si>
  <si>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</si>
  <si>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</si>
  <si>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</si>
  <si>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</si>
  <si>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</si>
  <si>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</si>
  <si>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</si>
  <si>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</si>
  <si>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</si>
  <si>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</si>
  <si>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</si>
  <si>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</si>
  <si>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</si>
  <si>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</si>
  <si>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</si>
  <si>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</si>
  <si>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</si>
  <si>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</si>
  <si>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</si>
  <si>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</si>
  <si>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</si>
  <si>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</si>
  <si>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</si>
  <si>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</si>
  <si>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</si>
  <si>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</si>
  <si>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</si>
  <si>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</si>
  <si>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</si>
  <si>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</si>
  <si>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</si>
  <si>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</si>
  <si>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</si>
  <si>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</si>
  <si>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</si>
  <si>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</si>
  <si>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</si>
  <si>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</si>
  <si>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</si>
  <si>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</si>
  <si>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</si>
  <si>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</si>
  <si>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</si>
  <si>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</si>
  <si>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</si>
  <si>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</si>
  <si>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</si>
  <si>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incorrect/incomplete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</si>
  <si>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</si>
  <si>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</si>
  <si>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</si>
  <si>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</si>
  <si>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</si>
  <si>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</si>
  <si>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</si>
  <si>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</si>
  <si>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</si>
  <si>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</si>
  <si>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</si>
  <si>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</si>
  <si>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</si>
  <si>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</si>
  <si>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</si>
  <si>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</si>
  <si>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</si>
  <si>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</si>
  <si>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</si>
  <si>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</si>
  <si>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</si>
  <si>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</si>
  <si>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</si>
  <si>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</si>
  <si>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</si>
  <si>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</si>
  <si>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</si>
  <si>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</si>
  <si>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</si>
  <si>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</si>
  <si>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</si>
  <si>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</si>
  <si>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</si>
  <si>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</si>
  <si>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</si>
  <si>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</si>
  <si>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</si>
  <si>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</si>
  <si>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</si>
  <si>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</si>
  <si>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</si>
  <si>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</si>
  <si>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</si>
  <si>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</si>
  <si>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</si>
  <si>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</si>
  <si>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</si>
  <si>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</si>
  <si>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</si>
  <si>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</si>
  <si>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</si>
  <si>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</si>
  <si>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</si>
  <si>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</si>
  <si>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</si>
  <si>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</si>
  <si>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</si>
  <si>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</si>
  <si>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</si>
  <si>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not assessable</t>
    </r>
  </si>
  <si>
    <r>
      <rPr>
        <b/>
        <sz val="11"/>
        <rFont val="Aptos Narrow"/>
        <family val="2"/>
        <scheme val="minor"/>
      </rPr>
      <t>Vertical datum documentation complete</t>
    </r>
    <r>
      <rPr>
        <sz val="11"/>
        <rFont val="Aptos Narrow"/>
        <family val="2"/>
        <scheme val="minor"/>
      </rPr>
      <t xml:space="preserve">; Vertical datum conversion </t>
    </r>
    <r>
      <rPr>
        <b/>
        <sz val="11"/>
        <rFont val="Aptos Narrow"/>
        <family val="2"/>
        <scheme val="minor"/>
      </rPr>
      <t>correct</t>
    </r>
    <r>
      <rPr>
        <sz val="11"/>
        <rFont val="Aptos Narrow"/>
        <family val="2"/>
        <scheme val="minor"/>
      </rPr>
      <t xml:space="preserve">; </t>
    </r>
    <r>
      <rPr>
        <b/>
        <sz val="11"/>
        <rFont val="Aptos Narrow"/>
        <family val="2"/>
        <scheme val="minor"/>
      </rPr>
      <t>Multiple</t>
    </r>
    <r>
      <rPr>
        <sz val="11"/>
        <rFont val="Aptos Narrow"/>
        <family val="2"/>
        <scheme val="minor"/>
      </rPr>
      <t xml:space="preserve"> vertical datums;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</si>
  <si>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</si>
  <si>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</si>
  <si>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</si>
  <si>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</si>
  <si>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</si>
  <si>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</si>
  <si>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</si>
  <si>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</si>
  <si>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</si>
  <si>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</si>
  <si>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</si>
  <si>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</si>
  <si>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</si>
  <si>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</si>
  <si>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</si>
  <si>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</si>
  <si>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</si>
  <si>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</si>
  <si>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</si>
  <si>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</si>
  <si>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</si>
  <si>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</si>
  <si>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not assessable</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</si>
  <si>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</si>
  <si>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</si>
  <si>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documented);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</si>
  <si>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</si>
  <si>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</si>
  <si>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documented);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</si>
  <si>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</si>
  <si>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</si>
  <si>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documented);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</si>
  <si>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</si>
  <si>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</si>
  <si>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documented);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</si>
  <si>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</si>
  <si>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</si>
  <si>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Tidal datum (reference not documented);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</si>
  <si>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</si>
  <si>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</si>
  <si>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Tidal datum (reference not documented);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</si>
  <si>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</si>
  <si>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</si>
  <si>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Tidal datum (reference not documented);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</si>
  <si>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</si>
  <si>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</si>
  <si>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Tidal datum (reference not documented);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</si>
  <si>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</si>
  <si>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</si>
  <si>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</si>
  <si>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</si>
  <si>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</si>
  <si>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</si>
  <si>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</si>
  <si>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</si>
  <si>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</si>
  <si>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</si>
  <si>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</si>
  <si>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EGM96</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</si>
  <si>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</si>
  <si>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</si>
  <si>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</si>
  <si>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</si>
  <si>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</si>
  <si>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</si>
  <si>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</si>
  <si>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</si>
  <si>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</si>
  <si>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</si>
  <si>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</si>
  <si>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Geoid (</t>
    </r>
    <r>
      <rPr>
        <b/>
        <sz val="11"/>
        <color theme="1"/>
        <rFont val="Aptos Narrow"/>
        <family val="2"/>
        <scheme val="minor"/>
      </rPr>
      <t>EGM2008</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</si>
  <si>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</si>
  <si>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</si>
  <si>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</si>
  <si>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</si>
  <si>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</si>
  <si>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</si>
  <si>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</si>
  <si>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</si>
  <si>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</si>
  <si>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</si>
  <si>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</si>
  <si>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Ellipsoid (</t>
    </r>
    <r>
      <rPr>
        <b/>
        <sz val="11"/>
        <color theme="1"/>
        <rFont val="Aptos Narrow"/>
        <family val="2"/>
        <scheme val="minor"/>
      </rPr>
      <t>WGS84</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</si>
  <si>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</si>
  <si>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</si>
  <si>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</si>
  <si>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</si>
  <si>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</si>
  <si>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</si>
  <si>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</si>
  <si>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</si>
  <si>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</si>
  <si>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</si>
  <si>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</si>
  <si>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t>
    </r>
    <r>
      <rPr>
        <b/>
        <sz val="11"/>
        <color theme="1"/>
        <rFont val="Aptos Narrow"/>
        <family val="2"/>
        <scheme val="minor"/>
      </rPr>
      <t>Multiple</t>
    </r>
    <r>
      <rPr>
        <sz val="11"/>
        <color theme="1"/>
        <rFont val="Aptos Narrow"/>
        <family val="2"/>
        <scheme val="minor"/>
      </rPr>
      <t xml:space="preserve"> vertical datums;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</si>
  <si>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</si>
  <si>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</si>
  <si>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</si>
  <si>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</si>
  <si>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</si>
  <si>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incorrect</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</si>
  <si>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</si>
  <si>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</si>
  <si>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assessable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</si>
  <si>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</si>
  <si>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incomplete</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</si>
  <si>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color theme="1"/>
        <rFont val="Aptos Narrow"/>
        <family val="2"/>
        <scheme val="minor"/>
      </rPr>
      <t>Vertical datum documentation absent</t>
    </r>
    <r>
      <rPr>
        <sz val="11"/>
        <color theme="1"/>
        <rFont val="Aptos Narrow"/>
        <family val="2"/>
        <scheme val="minor"/>
      </rPr>
      <t xml:space="preserve">; Vertical datum conversion </t>
    </r>
    <r>
      <rPr>
        <b/>
        <sz val="11"/>
        <color theme="1"/>
        <rFont val="Aptos Narrow"/>
        <family val="2"/>
        <scheme val="minor"/>
      </rPr>
      <t>not applicable</t>
    </r>
    <r>
      <rPr>
        <sz val="11"/>
        <color theme="1"/>
        <rFont val="Aptos Narrow"/>
        <family val="2"/>
        <scheme val="minor"/>
      </rPr>
      <t xml:space="preserve">; Vertical datum </t>
    </r>
    <r>
      <rPr>
        <b/>
        <sz val="11"/>
        <color theme="1"/>
        <rFont val="Aptos Narrow"/>
        <family val="2"/>
        <scheme val="minor"/>
      </rPr>
      <t>not assessable</t>
    </r>
    <r>
      <rPr>
        <sz val="11"/>
        <color theme="1"/>
        <rFont val="Aptos Narrow"/>
        <family val="2"/>
        <scheme val="minor"/>
      </rPr>
      <t>; Sea-level reference absent</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</si>
  <si>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Tidal datum (reference documented); Sea-level reference outdated</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</si>
  <si>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incorrect</t>
    </r>
    <r>
      <rPr>
        <sz val="11"/>
        <rFont val="Aptos Narrow"/>
        <family val="2"/>
        <scheme val="minor"/>
      </rPr>
      <t>; Tidal datum (reference documented); Sea-level reference incorrect/incomplete</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</si>
  <si>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Tidal datum (reference documented); Sea-level reference incorrect/incomplete</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</si>
  <si>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Tidal datum (reference not documented); Sea-level reference incorrect/incomplete</t>
    </r>
  </si>
  <si>
    <r>
      <rPr>
        <b/>
        <sz val="11"/>
        <rFont val="Aptos Narrow"/>
        <family val="2"/>
        <scheme val="minor"/>
      </rPr>
      <t>Vertical datum documentation complete</t>
    </r>
    <r>
      <rPr>
        <sz val="11"/>
        <rFont val="Aptos Narrow"/>
        <family val="2"/>
        <scheme val="minor"/>
      </rPr>
      <t xml:space="preserve">; Vertical datum conversion </t>
    </r>
    <r>
      <rPr>
        <b/>
        <sz val="11"/>
        <rFont val="Aptos Narrow"/>
        <family val="2"/>
        <scheme val="minor"/>
      </rPr>
      <t>incorrect</t>
    </r>
    <r>
      <rPr>
        <sz val="11"/>
        <rFont val="Aptos Narrow"/>
        <family val="2"/>
        <scheme val="minor"/>
      </rPr>
      <t>; Geoid (</t>
    </r>
    <r>
      <rPr>
        <b/>
        <sz val="11"/>
        <rFont val="Aptos Narrow"/>
        <family val="2"/>
        <scheme val="minor"/>
      </rPr>
      <t>EGM96</t>
    </r>
    <r>
      <rPr>
        <sz val="11"/>
        <rFont val="Aptos Narrow"/>
        <family val="2"/>
        <scheme val="minor"/>
      </rPr>
      <t>); Sea-level reference incorrect/incomplete</t>
    </r>
  </si>
  <si>
    <r>
      <rPr>
        <b/>
        <sz val="11"/>
        <rFont val="Aptos Narrow"/>
        <family val="2"/>
        <scheme val="minor"/>
      </rPr>
      <t>Vertical datum documentation complete</t>
    </r>
    <r>
      <rPr>
        <sz val="11"/>
        <rFont val="Aptos Narrow"/>
        <family val="2"/>
        <scheme val="minor"/>
      </rPr>
      <t xml:space="preserve">; Vertical datum conversion </t>
    </r>
    <r>
      <rPr>
        <b/>
        <sz val="11"/>
        <rFont val="Aptos Narrow"/>
        <family val="2"/>
        <scheme val="minor"/>
      </rPr>
      <t>incorrect</t>
    </r>
    <r>
      <rPr>
        <sz val="11"/>
        <rFont val="Aptos Narrow"/>
        <family val="2"/>
        <scheme val="minor"/>
      </rPr>
      <t xml:space="preserve">; </t>
    </r>
    <r>
      <rPr>
        <b/>
        <sz val="11"/>
        <rFont val="Aptos Narrow"/>
        <family val="2"/>
        <scheme val="minor"/>
      </rPr>
      <t>Multiple</t>
    </r>
    <r>
      <rPr>
        <sz val="11"/>
        <rFont val="Aptos Narrow"/>
        <family val="2"/>
        <scheme val="minor"/>
      </rPr>
      <t xml:space="preserve"> vertical datums; Sea-level reference incorrect/incomplete</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</si>
  <si>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incorrect</t>
    </r>
    <r>
      <rPr>
        <sz val="11"/>
        <rFont val="Aptos Narrow"/>
        <family val="2"/>
        <scheme val="minor"/>
      </rPr>
      <t xml:space="preserve">; </t>
    </r>
    <r>
      <rPr>
        <b/>
        <sz val="11"/>
        <rFont val="Aptos Narrow"/>
        <family val="2"/>
        <scheme val="minor"/>
      </rPr>
      <t>Multiple</t>
    </r>
    <r>
      <rPr>
        <sz val="11"/>
        <rFont val="Aptos Narrow"/>
        <family val="2"/>
        <scheme val="minor"/>
      </rPr>
      <t xml:space="preserve"> vertical datums; Sea-level reference incorrect/incomplete</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</si>
  <si>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xml:space="preserve">; </t>
    </r>
    <r>
      <rPr>
        <b/>
        <sz val="11"/>
        <rFont val="Aptos Narrow"/>
        <family val="2"/>
        <scheme val="minor"/>
      </rPr>
      <t>Multiple</t>
    </r>
    <r>
      <rPr>
        <sz val="11"/>
        <rFont val="Aptos Narrow"/>
        <family val="2"/>
        <scheme val="minor"/>
      </rPr>
      <t xml:space="preserve"> vertical datums; Sea-level reference incorrect/incomplete</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</si>
  <si>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xml:space="preserve">; Vertical datum </t>
    </r>
    <r>
      <rPr>
        <b/>
        <sz val="11"/>
        <rFont val="Aptos Narrow"/>
        <family val="2"/>
        <scheme val="minor"/>
      </rPr>
      <t>not assessable</t>
    </r>
    <r>
      <rPr>
        <sz val="11"/>
        <rFont val="Aptos Narrow"/>
        <family val="2"/>
        <scheme val="minor"/>
      </rPr>
      <t>; Sea-level reference incorrect/incomplete</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</si>
  <si>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xml:space="preserve">; </t>
    </r>
    <r>
      <rPr>
        <b/>
        <sz val="11"/>
        <rFont val="Aptos Narrow"/>
        <family val="2"/>
        <scheme val="minor"/>
      </rPr>
      <t>Multiple</t>
    </r>
    <r>
      <rPr>
        <sz val="11"/>
        <rFont val="Aptos Narrow"/>
        <family val="2"/>
        <scheme val="minor"/>
      </rPr>
      <t xml:space="preserve"> vertical datums; Sea-level reference not assessable</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</si>
  <si>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incorrect</t>
    </r>
    <r>
      <rPr>
        <sz val="11"/>
        <rFont val="Aptos Narrow"/>
        <family val="2"/>
        <scheme val="minor"/>
      </rPr>
      <t xml:space="preserve">; Vertical datum </t>
    </r>
    <r>
      <rPr>
        <b/>
        <sz val="11"/>
        <rFont val="Aptos Narrow"/>
        <family val="2"/>
        <scheme val="minor"/>
      </rPr>
      <t>not assessable</t>
    </r>
    <r>
      <rPr>
        <sz val="11"/>
        <rFont val="Aptos Narrow"/>
        <family val="2"/>
        <scheme val="minor"/>
      </rPr>
      <t>; Sea-level reference not assessable</t>
    </r>
  </si>
  <si>
    <r>
      <rPr>
        <b/>
        <sz val="11"/>
        <rFont val="Aptos Narrow"/>
        <family val="2"/>
        <scheme val="minor"/>
      </rPr>
      <t>Vertical datum documentation incomplete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xml:space="preserve">; Vertical datum </t>
    </r>
    <r>
      <rPr>
        <b/>
        <sz val="11"/>
        <rFont val="Aptos Narrow"/>
        <family val="2"/>
        <scheme val="minor"/>
      </rPr>
      <t>not assessable</t>
    </r>
    <r>
      <rPr>
        <sz val="11"/>
        <rFont val="Aptos Narrow"/>
        <family val="2"/>
        <scheme val="minor"/>
      </rPr>
      <t>; Sea-level reference not assessable</t>
    </r>
  </si>
  <si>
    <r>
      <rPr>
        <b/>
        <sz val="11"/>
        <rFont val="Aptos Narrow"/>
        <family val="2"/>
        <scheme val="minor"/>
      </rPr>
      <t>Vertical datum documentation absent</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xml:space="preserve">; Vertical datum </t>
    </r>
    <r>
      <rPr>
        <b/>
        <sz val="11"/>
        <rFont val="Aptos Narrow"/>
        <family val="2"/>
        <scheme val="minor"/>
      </rPr>
      <t>not assessable</t>
    </r>
    <r>
      <rPr>
        <sz val="11"/>
        <rFont val="Aptos Narrow"/>
        <family val="2"/>
        <scheme val="minor"/>
      </rPr>
      <t>; Sea-level reference not assessable</t>
    </r>
  </si>
  <si>
    <r>
      <rPr>
        <b/>
        <sz val="11"/>
        <rFont val="Aptos Narrow"/>
        <family val="2"/>
        <scheme val="minor"/>
      </rPr>
      <t>Vertical datum documentation 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Geoid (</t>
    </r>
    <r>
      <rPr>
        <b/>
        <sz val="11"/>
        <rFont val="Aptos Narrow"/>
        <family val="2"/>
        <scheme val="minor"/>
      </rPr>
      <t>EGM96</t>
    </r>
    <r>
      <rPr>
        <sz val="11"/>
        <rFont val="Aptos Narrow"/>
        <family val="2"/>
        <scheme val="minor"/>
      </rPr>
      <t>); Sea-level reference absent</t>
    </r>
  </si>
  <si>
    <r>
      <rPr>
        <b/>
        <sz val="11"/>
        <rFont val="Aptos Narrow"/>
        <family val="2"/>
        <scheme val="minor"/>
      </rPr>
      <t>Vertical datum documentation 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Geoid (</t>
    </r>
    <r>
      <rPr>
        <b/>
        <sz val="11"/>
        <rFont val="Aptos Narrow"/>
        <family val="2"/>
        <scheme val="minor"/>
      </rPr>
      <t>EGM2008</t>
    </r>
    <r>
      <rPr>
        <sz val="11"/>
        <rFont val="Aptos Narrow"/>
        <family val="2"/>
        <scheme val="minor"/>
      </rPr>
      <t>); Sea-level reference absent</t>
    </r>
  </si>
  <si>
    <r>
      <rPr>
        <b/>
        <sz val="11"/>
        <rFont val="Aptos Narrow"/>
        <family val="2"/>
        <scheme val="minor"/>
      </rPr>
      <t>Vertical datum documentation complete</t>
    </r>
    <r>
      <rPr>
        <sz val="11"/>
        <rFont val="Aptos Narrow"/>
        <family val="2"/>
        <scheme val="minor"/>
      </rPr>
      <t xml:space="preserve">; Vertical datum conversion </t>
    </r>
    <r>
      <rPr>
        <b/>
        <sz val="11"/>
        <rFont val="Aptos Narrow"/>
        <family val="2"/>
        <scheme val="minor"/>
      </rPr>
      <t>not assessable</t>
    </r>
    <r>
      <rPr>
        <sz val="11"/>
        <rFont val="Aptos Narrow"/>
        <family val="2"/>
        <scheme val="minor"/>
      </rPr>
      <t>; Ellipsoid (</t>
    </r>
    <r>
      <rPr>
        <b/>
        <sz val="11"/>
        <rFont val="Aptos Narrow"/>
        <family val="2"/>
        <scheme val="minor"/>
      </rPr>
      <t>WGS84</t>
    </r>
    <r>
      <rPr>
        <sz val="11"/>
        <rFont val="Aptos Narrow"/>
        <family val="2"/>
        <scheme val="minor"/>
      </rPr>
      <t>); Sea-level reference absent</t>
    </r>
  </si>
  <si>
    <t>Use of MDT to transpose sea-level data to EGM96; Use of MDT to transpose sea-level data to EGM96; geoid offset was potentially not considered as geoid reference of MDT data may be misinterpreted (it is EGM-DIR R4 and not EGM96); Muis et al. infer that aligning extreme sea-level and elevation datasets to the same vertical datum results in 39-59 % higher estimate of population exposure</t>
  </si>
  <si>
    <t>Vertical datum conversion not described/absent: Study not reproducible/Conversion likely omitted</t>
  </si>
  <si>
    <t>Not documented</t>
  </si>
  <si>
    <t>Description incomplete/absent:
Study not reproducible/Implementation likely absent</t>
  </si>
  <si>
    <t>Vertical datum conversion described: Conversion correct</t>
  </si>
  <si>
    <t>Vertical datum conversion (partly/incompletely) described: Conversion (seemingly) incomplete/incorrect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</si>
</sst>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Aptos Narrow"/>
      <family val="2"/>
      <scheme val="minor"/>
    </font>
    <font>
      <b/>
      <sz val="11"/>
      <color theme="1"/>
      <name val="Aptos Narrow"/>
      <family val="2"/>
      <scheme val="minor"/>
    </font>
    <font>
      <sz val="11"/>
      <name val="Aptos Narrow"/>
      <family val="2"/>
      <scheme val="minor"/>
    </font>
    <font>
      <u/>
      <sz val="11"/>
      <color theme="10"/>
      <name val="Aptos Narrow"/>
      <family val="2"/>
      <scheme val="minor"/>
    </font>
    <font>
      <b/>
      <sz val="11"/>
      <name val="Aptos Narrow"/>
      <family val="2"/>
      <scheme val="minor"/>
    </font>
    <font>
      <sz val="8"/>
      <name val="Aptos Narrow"/>
      <family val="2"/>
      <scheme val="minor"/>
    </font>
    <font>
      <vertAlign val="superscript"/>
      <sz val="11"/>
      <name val="Aptos Narrow"/>
      <family val="2"/>
      <scheme val="minor"/>
    </font>
    <font>
      <sz val="11"/>
      <name val="Aptos Narrow"/>
      <family val="2"/>
    </font>
    <font>
      <sz val="11"/>
      <color theme="1"/>
      <name val="Aptos Narrow"/>
      <family val="2"/>
    </font>
    <font>
      <u/>
      <sz val="11"/>
      <name val="Aptos Narrow"/>
      <family val="2"/>
      <scheme val="minor"/>
    </font>
    <font>
      <sz val="11"/>
      <name val="Calibri"/>
      <family val="2"/>
    </font>
    <font>
      <b/>
      <sz val="14"/>
      <color theme="1"/>
      <name val="Aptos Narrow"/>
      <family val="2"/>
      <scheme val="minor"/>
    </font>
  </fonts>
  <fills count="6">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1">
    <xf numFmtId="0" fontId="0" fillId="0" borderId="0" xfId="0"/>
    <xf numFmtId="0" fontId="1" fillId="2" borderId="0" xfId="0" applyFont="1" applyFill="1"/>
    <xf numFmtId="0" fontId="1" fillId="0" borderId="0" xfId="0" applyFont="1"/>
    <xf numFmtId="0" fontId="0" fillId="2" borderId="0" xfId="0" applyFill="1"/>
    <xf numFmtId="0" fontId="0" fillId="0" borderId="0" xfId="0" applyAlignment="1">
      <alignment wrapText="1"/>
    </xf>
    <xf numFmtId="0" fontId="0" fillId="2" borderId="0" xfId="0" applyFill="1" applyAlignment="1">
      <alignment wrapText="1"/>
    </xf>
    <xf numFmtId="0" fontId="2" fillId="0" borderId="0" xfId="0" applyFont="1"/>
    <xf numFmtId="0" fontId="2" fillId="2" borderId="0" xfId="0" applyFont="1" applyFill="1"/>
    <xf numFmtId="0" fontId="1" fillId="0" borderId="0" xfId="0" applyFont="1" applyAlignment="1">
      <alignment wrapText="1"/>
    </xf>
    <xf numFmtId="0" fontId="1" fillId="2" borderId="0" xfId="0" applyFont="1" applyFill="1" applyAlignment="1">
      <alignment wrapText="1"/>
    </xf>
    <xf numFmtId="0" fontId="2" fillId="0" borderId="0" xfId="0" applyFont="1" applyAlignment="1">
      <alignment wrapText="1"/>
    </xf>
    <xf numFmtId="0" fontId="2" fillId="2" borderId="0" xfId="0" applyFont="1" applyFill="1" applyAlignment="1">
      <alignment wrapText="1"/>
    </xf>
    <xf numFmtId="0" fontId="4" fillId="0" borderId="0" xfId="0" applyFont="1" applyAlignment="1">
      <alignment wrapText="1"/>
    </xf>
    <xf numFmtId="0" fontId="4" fillId="0" borderId="0" xfId="0" applyFont="1"/>
    <xf numFmtId="0" fontId="3" fillId="0" borderId="0" xfId="1"/>
    <xf numFmtId="0" fontId="3" fillId="0" borderId="0" xfId="1" applyAlignment="1"/>
    <xf numFmtId="0" fontId="3" fillId="0" borderId="0" xfId="1" applyFill="1"/>
    <xf numFmtId="14" fontId="2" fillId="0" borderId="0" xfId="0" applyNumberFormat="1" applyFont="1" applyAlignment="1">
      <alignment wrapText="1"/>
    </xf>
    <xf numFmtId="0" fontId="3" fillId="0" borderId="0" xfId="1" applyFill="1" applyAlignment="1"/>
    <xf numFmtId="17" fontId="0" fillId="0" borderId="0" xfId="0" applyNumberFormat="1" applyAlignment="1">
      <alignment wrapText="1"/>
    </xf>
    <xf numFmtId="14" fontId="0" fillId="0" borderId="0" xfId="0" applyNumberFormat="1"/>
    <xf numFmtId="3" fontId="0" fillId="2" borderId="0" xfId="0" applyNumberFormat="1" applyFill="1"/>
    <xf numFmtId="0" fontId="1" fillId="3" borderId="0" xfId="0" applyFont="1" applyFill="1"/>
    <xf numFmtId="0" fontId="1" fillId="4" borderId="0" xfId="0" applyFont="1" applyFill="1"/>
    <xf numFmtId="0" fontId="1" fillId="4" borderId="0" xfId="0" applyFont="1" applyFill="1" applyAlignment="1">
      <alignment wrapText="1"/>
    </xf>
    <xf numFmtId="0" fontId="1" fillId="3" borderId="0" xfId="0" applyFont="1" applyFill="1" applyAlignment="1">
      <alignment wrapText="1"/>
    </xf>
    <xf numFmtId="0" fontId="0" fillId="0" borderId="0" xfId="0" quotePrefix="1" applyAlignment="1">
      <alignment horizontal="right" wrapText="1"/>
    </xf>
    <xf numFmtId="0" fontId="8" fillId="0" borderId="0" xfId="0" applyFont="1" applyAlignment="1">
      <alignment horizontal="right" wrapText="1"/>
    </xf>
    <xf numFmtId="0" fontId="0" fillId="0" borderId="0" xfId="0" applyAlignment="1">
      <alignment horizontal="right"/>
    </xf>
    <xf numFmtId="0" fontId="8" fillId="0" borderId="0" xfId="0" applyFont="1" applyAlignment="1">
      <alignment horizontal="right"/>
    </xf>
    <xf numFmtId="0" fontId="0" fillId="5" borderId="0" xfId="0" applyFill="1" applyAlignment="1">
      <alignment wrapText="1"/>
    </xf>
    <xf numFmtId="0" fontId="2" fillId="5" borderId="0" xfId="0" applyFont="1" applyFill="1"/>
    <xf numFmtId="164" fontId="2" fillId="0" borderId="0" xfId="0" applyNumberFormat="1" applyFont="1"/>
    <xf numFmtId="0" fontId="4" fillId="4" borderId="0" xfId="0" applyFont="1" applyFill="1"/>
    <xf numFmtId="164" fontId="0" fillId="0" borderId="0" xfId="0" applyNumberFormat="1"/>
    <xf numFmtId="164" fontId="1" fillId="3" borderId="0" xfId="0" applyNumberFormat="1" applyFont="1" applyFill="1"/>
    <xf numFmtId="164" fontId="4" fillId="4" borderId="0" xfId="0" applyNumberFormat="1" applyFont="1" applyFill="1"/>
    <xf numFmtId="164" fontId="1" fillId="4" borderId="0" xfId="0" applyNumberFormat="1" applyFont="1" applyFill="1"/>
    <xf numFmtId="0" fontId="0" fillId="0" borderId="0" xfId="0" quotePrefix="1" applyAlignment="1">
      <alignment wrapText="1"/>
    </xf>
    <xf numFmtId="0" fontId="0" fillId="0" borderId="0" xfId="0" quotePrefix="1"/>
    <xf numFmtId="0" fontId="4" fillId="3" borderId="0" xfId="0" applyFont="1" applyFill="1"/>
    <xf numFmtId="0" fontId="9" fillId="0" borderId="0" xfId="1" applyFont="1"/>
    <xf numFmtId="0" fontId="9" fillId="0" borderId="0" xfId="1" applyFont="1" applyAlignment="1"/>
    <xf numFmtId="0" fontId="9" fillId="0" borderId="0" xfId="1" applyFont="1" applyFill="1"/>
    <xf numFmtId="0" fontId="9" fillId="0" borderId="0" xfId="1" applyFont="1" applyAlignment="1">
      <alignment horizontal="left" indent="1"/>
    </xf>
    <xf numFmtId="20" fontId="0" fillId="0" borderId="0" xfId="0" applyNumberFormat="1"/>
    <xf numFmtId="14" fontId="2" fillId="0" borderId="0" xfId="0" applyNumberFormat="1" applyFont="1"/>
    <xf numFmtId="164" fontId="4" fillId="3" borderId="0" xfId="0" applyNumberFormat="1" applyFont="1" applyFill="1"/>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6" Type="http://schemas.openxmlformats.org/officeDocument/2006/relationships/hyperlink" Target="https://doi.org/10.1029/2021GL093368" TargetMode="External"/><Relationship Id="rId21" Type="http://schemas.openxmlformats.org/officeDocument/2006/relationships/hyperlink" Target="https://doi.org/10.1371/journal.pone.0227436" TargetMode="External"/><Relationship Id="rId42" Type="http://schemas.openxmlformats.org/officeDocument/2006/relationships/hyperlink" Target="https://doi.org/10.3390/su12093697" TargetMode="External"/><Relationship Id="rId47" Type="http://schemas.openxmlformats.org/officeDocument/2006/relationships/hyperlink" Target="https://doi.org/10.1093/rfs/hhad041" TargetMode="External"/><Relationship Id="rId63" Type="http://schemas.openxmlformats.org/officeDocument/2006/relationships/hyperlink" Target="https://doi.org/10.1080/10807039.2019.1602752" TargetMode="External"/><Relationship Id="rId68" Type="http://schemas.openxmlformats.org/officeDocument/2006/relationships/hyperlink" Target="https://doi.org/10.1038/s41893-023-01230-5" TargetMode="External"/><Relationship Id="rId84" Type="http://schemas.openxmlformats.org/officeDocument/2006/relationships/hyperlink" Target="https://doi.org/10.1016/j.ijdrr.2021.102612" TargetMode="External"/><Relationship Id="rId89" Type="http://schemas.openxmlformats.org/officeDocument/2006/relationships/hyperlink" Target="https://sealevel.climatecentral.org/uploads/ssrf/Report-Bangladesh.pdf" TargetMode="External"/><Relationship Id="rId16" Type="http://schemas.openxmlformats.org/officeDocument/2006/relationships/hyperlink" Target="https://doi.org/10.1038/ncomms11969" TargetMode="External"/><Relationship Id="rId11" Type="http://schemas.openxmlformats.org/officeDocument/2006/relationships/hyperlink" Target="https://doi.org/10.1007/s12665-021-10136-4" TargetMode="External"/><Relationship Id="rId32" Type="http://schemas.openxmlformats.org/officeDocument/2006/relationships/hyperlink" Target="https://doi:10.1088/1748-9326/11/8/084003" TargetMode="External"/><Relationship Id="rId37" Type="http://schemas.openxmlformats.org/officeDocument/2006/relationships/hyperlink" Target="https://doi.org/10.3390/su12041513" TargetMode="External"/><Relationship Id="rId53" Type="http://schemas.openxmlformats.org/officeDocument/2006/relationships/hyperlink" Target="https://doi.org/10.1016/j.ejar.2021.04.002" TargetMode="External"/><Relationship Id="rId58" Type="http://schemas.openxmlformats.org/officeDocument/2006/relationships/hyperlink" Target="https://doi.org/10.1016/j.apgeog.2018.12.011" TargetMode="External"/><Relationship Id="rId74" Type="http://schemas.openxmlformats.org/officeDocument/2006/relationships/hyperlink" Target="https://doi.org/10.3390/rs16050865" TargetMode="External"/><Relationship Id="rId79" Type="http://schemas.openxmlformats.org/officeDocument/2006/relationships/hyperlink" Target="https://doi.org/10.1007/s10584-021-03130-z" TargetMode="External"/><Relationship Id="rId5" Type="http://schemas.openxmlformats.org/officeDocument/2006/relationships/hyperlink" Target="https://doi.org/10.1038/s41467-021-23810-9" TargetMode="External"/><Relationship Id="rId90" Type="http://schemas.openxmlformats.org/officeDocument/2006/relationships/hyperlink" Target="https://doi.org/10.5194/nhess-2024-107" TargetMode="External"/><Relationship Id="rId95" Type="http://schemas.openxmlformats.org/officeDocument/2006/relationships/hyperlink" Target="https://doi.org/10.1016/j.crm.2021.100355" TargetMode="External"/><Relationship Id="rId22" Type="http://schemas.openxmlformats.org/officeDocument/2006/relationships/hyperlink" Target="https://doi.org/10.1038/nclimate2961" TargetMode="External"/><Relationship Id="rId27" Type="http://schemas.openxmlformats.org/officeDocument/2006/relationships/hyperlink" Target="https://doi.org/10.1038/s41598-023-40329-9" TargetMode="External"/><Relationship Id="rId43" Type="http://schemas.openxmlformats.org/officeDocument/2006/relationships/hyperlink" Target="https://doi.org/10.1016/j.ocecoaman.2020.105512" TargetMode="External"/><Relationship Id="rId48" Type="http://schemas.openxmlformats.org/officeDocument/2006/relationships/hyperlink" Target="https://doi.org/10.1126/science.adl4366" TargetMode="External"/><Relationship Id="rId64" Type="http://schemas.openxmlformats.org/officeDocument/2006/relationships/hyperlink" Target="https://doi.org/10.1007/s10113-011-0249-2" TargetMode="External"/><Relationship Id="rId69" Type="http://schemas.openxmlformats.org/officeDocument/2006/relationships/hyperlink" Target="https://doi.org/10.3389/fbuil.2021.752599" TargetMode="External"/><Relationship Id="rId8" Type="http://schemas.openxmlformats.org/officeDocument/2006/relationships/hyperlink" Target="https://doi.org/10.3178/hrl.14.136" TargetMode="External"/><Relationship Id="rId51" Type="http://schemas.openxmlformats.org/officeDocument/2006/relationships/hyperlink" Target="https://doi.org/10.1016/j.scitotenv.2020.139899" TargetMode="External"/><Relationship Id="rId72" Type="http://schemas.openxmlformats.org/officeDocument/2006/relationships/hyperlink" Target="https://doi.org/10.3390/su14042097" TargetMode="External"/><Relationship Id="rId80" Type="http://schemas.openxmlformats.org/officeDocument/2006/relationships/hyperlink" Target="https://doi.org/10.3389/feart.2018.00230" TargetMode="External"/><Relationship Id="rId85" Type="http://schemas.openxmlformats.org/officeDocument/2006/relationships/hyperlink" Target="https://doi.org/10.1007/s10584-021-03288-6" TargetMode="External"/><Relationship Id="rId93" Type="http://schemas.openxmlformats.org/officeDocument/2006/relationships/hyperlink" Target="https://doi.org/10.1007/s10113-022-01925-z" TargetMode="External"/><Relationship Id="rId3" Type="http://schemas.openxmlformats.org/officeDocument/2006/relationships/hyperlink" Target="https://issuu.com/objectif-developpement/docs/pr_283_va_web" TargetMode="External"/><Relationship Id="rId12" Type="http://schemas.openxmlformats.org/officeDocument/2006/relationships/hyperlink" Target="https://doi.org/10.1007/s12665-015-4835-3" TargetMode="External"/><Relationship Id="rId17" Type="http://schemas.openxmlformats.org/officeDocument/2006/relationships/hyperlink" Target="https://doi.org/10.1073/pnas.1222469111" TargetMode="External"/><Relationship Id="rId25" Type="http://schemas.openxmlformats.org/officeDocument/2006/relationships/hyperlink" Target="https://doi.org/10.3390/su13073624" TargetMode="External"/><Relationship Id="rId33" Type="http://schemas.openxmlformats.org/officeDocument/2006/relationships/hyperlink" Target="https://doi.org/10.1038/s41467-021-27260-1" TargetMode="External"/><Relationship Id="rId38" Type="http://schemas.openxmlformats.org/officeDocument/2006/relationships/hyperlink" Target="https://doi.org/10.1088/1748-9326/ac2e6b" TargetMode="External"/><Relationship Id="rId46" Type="http://schemas.openxmlformats.org/officeDocument/2006/relationships/hyperlink" Target="https://doi.org/10.3390/geosciences9050239" TargetMode="External"/><Relationship Id="rId59" Type="http://schemas.openxmlformats.org/officeDocument/2006/relationships/hyperlink" Target="https://doi.org/10.1016/j.ecss.2015.05.035" TargetMode="External"/><Relationship Id="rId67" Type="http://schemas.openxmlformats.org/officeDocument/2006/relationships/hyperlink" Target="https://doi.org/10.1038/s41598-021-98428-4" TargetMode="External"/><Relationship Id="rId20" Type="http://schemas.openxmlformats.org/officeDocument/2006/relationships/hyperlink" Target="https://doi.org/10.1038/s41586-024-07038-3" TargetMode="External"/><Relationship Id="rId41" Type="http://schemas.openxmlformats.org/officeDocument/2006/relationships/hyperlink" Target="https://doi.org/10.1038/s41558-022-01280-1" TargetMode="External"/><Relationship Id="rId54" Type="http://schemas.openxmlformats.org/officeDocument/2006/relationships/hyperlink" Target="https://doi.org/10.1016/j.jenvman.2022.117187" TargetMode="External"/><Relationship Id="rId62" Type="http://schemas.openxmlformats.org/officeDocument/2006/relationships/hyperlink" Target="https://doi.org/10.1007/s41208-023-00618-6" TargetMode="External"/><Relationship Id="rId70" Type="http://schemas.openxmlformats.org/officeDocument/2006/relationships/hyperlink" Target="https://doi.org/10.1038/s41467-022-30727-4" TargetMode="External"/><Relationship Id="rId75" Type="http://schemas.openxmlformats.org/officeDocument/2006/relationships/hyperlink" Target="https://www.adb.org/sites/default/files/project-documents/46496/46496-001-tacr-en_0.pdf" TargetMode="External"/><Relationship Id="rId83" Type="http://schemas.openxmlformats.org/officeDocument/2006/relationships/hyperlink" Target="https://doi.org/10.5194/nhess-19-353-2019" TargetMode="External"/><Relationship Id="rId88" Type="http://schemas.openxmlformats.org/officeDocument/2006/relationships/hyperlink" Target="https://doi.org/10.1007/s12040-019-1184-8" TargetMode="External"/><Relationship Id="rId91" Type="http://schemas.openxmlformats.org/officeDocument/2006/relationships/hyperlink" Target="https://doi.org/10.1038/s41893-022-00947-z" TargetMode="External"/><Relationship Id="rId1" Type="http://schemas.openxmlformats.org/officeDocument/2006/relationships/hyperlink" Target="https://doi.org/10.3390/environments8050046" TargetMode="External"/><Relationship Id="rId6" Type="http://schemas.openxmlformats.org/officeDocument/2006/relationships/hyperlink" Target="https://doi.org/10.1038/s41467-019-12808-z" TargetMode="External"/><Relationship Id="rId15" Type="http://schemas.openxmlformats.org/officeDocument/2006/relationships/hyperlink" Target="https://doi.org/10.3389/fmars.2022.1024111" TargetMode="External"/><Relationship Id="rId23" Type="http://schemas.openxmlformats.org/officeDocument/2006/relationships/hyperlink" Target="https://doi.org/10.1038/s41467-020-18531-4" TargetMode="External"/><Relationship Id="rId28" Type="http://schemas.openxmlformats.org/officeDocument/2006/relationships/hyperlink" Target="https://doi.org/10.3390/su7066553" TargetMode="External"/><Relationship Id="rId36" Type="http://schemas.openxmlformats.org/officeDocument/2006/relationships/hyperlink" Target="https://doi.org/10.1371/journal.pone.0048191" TargetMode="External"/><Relationship Id="rId49" Type="http://schemas.openxmlformats.org/officeDocument/2006/relationships/hyperlink" Target="https://doi.org/10.1016/j.scitotenv.2024.171204" TargetMode="External"/><Relationship Id="rId57" Type="http://schemas.openxmlformats.org/officeDocument/2006/relationships/hyperlink" Target="https://doi.org/10.1016/j.csr.2020.104289" TargetMode="External"/><Relationship Id="rId10" Type="http://schemas.openxmlformats.org/officeDocument/2006/relationships/hyperlink" Target="https://doi.org/10.1007/s41064-024-00284-0" TargetMode="External"/><Relationship Id="rId31" Type="http://schemas.openxmlformats.org/officeDocument/2006/relationships/hyperlink" Target="https://doi.org/10.1002/2017EF000738" TargetMode="External"/><Relationship Id="rId44" Type="http://schemas.openxmlformats.org/officeDocument/2006/relationships/hyperlink" Target="https://doi.org/10.1029/2020EF001614" TargetMode="External"/><Relationship Id="rId52" Type="http://schemas.openxmlformats.org/officeDocument/2006/relationships/hyperlink" Target="https://doi.org/10.1007/978-3-030-76624-5_22" TargetMode="External"/><Relationship Id="rId60" Type="http://schemas.openxmlformats.org/officeDocument/2006/relationships/hyperlink" Target="https://doi.org/10.1016/j.ijdrr.2021.102084" TargetMode="External"/><Relationship Id="rId65" Type="http://schemas.openxmlformats.org/officeDocument/2006/relationships/hyperlink" Target="https://doi.org/10.20944/preprints202403.1468.v1" TargetMode="External"/><Relationship Id="rId73" Type="http://schemas.openxmlformats.org/officeDocument/2006/relationships/hyperlink" Target="https://doi.org/10.1016/j.scitotenv.2023.168799" TargetMode="External"/><Relationship Id="rId78" Type="http://schemas.openxmlformats.org/officeDocument/2006/relationships/hyperlink" Target="https://plandiv.gov.bd/sites/default/files/files/plandiv.portal.gov.bd/files/2b2db593_2ebd_482e_a0e3_56a7bfe300c8/BDP%202100%20Volume%201%20Strategy.pdf" TargetMode="External"/><Relationship Id="rId81" Type="http://schemas.openxmlformats.org/officeDocument/2006/relationships/hyperlink" Target="https://doi.org/10.1038/s41467-019-11602-1" TargetMode="External"/><Relationship Id="rId86" Type="http://schemas.openxmlformats.org/officeDocument/2006/relationships/hyperlink" Target="https://doi.org/10.1007/s44218-024-00041-1" TargetMode="External"/><Relationship Id="rId94" Type="http://schemas.openxmlformats.org/officeDocument/2006/relationships/hyperlink" Target="https://doi.org/10.9734/ijecc/2020/v10i130174" TargetMode="External"/><Relationship Id="rId4" Type="http://schemas.openxmlformats.org/officeDocument/2006/relationships/hyperlink" Target="https://doi.org/10.5281/zenodo.8011577" TargetMode="External"/><Relationship Id="rId9" Type="http://schemas.openxmlformats.org/officeDocument/2006/relationships/hyperlink" Target="https://doi.org/10.3390/w4030568" TargetMode="External"/><Relationship Id="rId13" Type="http://schemas.openxmlformats.org/officeDocument/2006/relationships/hyperlink" Target="https://doi.org/10.3390/w15223936" TargetMode="External"/><Relationship Id="rId18" Type="http://schemas.openxmlformats.org/officeDocument/2006/relationships/hyperlink" Target="https://doi.org/10.1038/s41558-018-0176-z" TargetMode="External"/><Relationship Id="rId39" Type="http://schemas.openxmlformats.org/officeDocument/2006/relationships/hyperlink" Target="https://doi.org/10.1007/s11852-018-0619-8" TargetMode="External"/><Relationship Id="rId34" Type="http://schemas.openxmlformats.org/officeDocument/2006/relationships/hyperlink" Target="https://doi.org/10.5194/nhess-20-1025-2020" TargetMode="External"/><Relationship Id="rId50" Type="http://schemas.openxmlformats.org/officeDocument/2006/relationships/hyperlink" Target="https://doi.org/10.1088/1748-9326/ab8ca6" TargetMode="External"/><Relationship Id="rId55" Type="http://schemas.openxmlformats.org/officeDocument/2006/relationships/hyperlink" Target="https://doi.org/10.1016/j.ijdrr.2019.101374" TargetMode="External"/><Relationship Id="rId76" Type="http://schemas.openxmlformats.org/officeDocument/2006/relationships/hyperlink" Target="https://doi.org/10.3390/w13111518" TargetMode="External"/><Relationship Id="rId7" Type="http://schemas.openxmlformats.org/officeDocument/2006/relationships/hyperlink" Target="https://doi.org/10.5194/hess-27-2257-2023" TargetMode="External"/><Relationship Id="rId71" Type="http://schemas.openxmlformats.org/officeDocument/2006/relationships/hyperlink" Target="https://doi.org/10.1007/s43621-024-00323-1" TargetMode="External"/><Relationship Id="rId92" Type="http://schemas.openxmlformats.org/officeDocument/2006/relationships/hyperlink" Target="https://doi.org/10.1088/2515-7620/acfdfa" TargetMode="External"/><Relationship Id="rId2" Type="http://schemas.openxmlformats.org/officeDocument/2006/relationships/hyperlink" Target="http://dx.doi.org/10.2112/SI63-016.1" TargetMode="External"/><Relationship Id="rId29" Type="http://schemas.openxmlformats.org/officeDocument/2006/relationships/hyperlink" Target="https://doi.org/10.1007/s10584-013-0925-y" TargetMode="External"/><Relationship Id="rId24" Type="http://schemas.openxmlformats.org/officeDocument/2006/relationships/hyperlink" Target="https://doi.org/10.1088/1748-9326/abdc5b" TargetMode="External"/><Relationship Id="rId40" Type="http://schemas.openxmlformats.org/officeDocument/2006/relationships/hyperlink" Target="https://doi.org/10.1088/1748-9326/abb266" TargetMode="External"/><Relationship Id="rId45" Type="http://schemas.openxmlformats.org/officeDocument/2006/relationships/hyperlink" Target="https://doi.org/10.3390/w12020360" TargetMode="External"/><Relationship Id="rId66" Type="http://schemas.openxmlformats.org/officeDocument/2006/relationships/hyperlink" Target="https://doi.org/10.1007/s11852-023-00952-0" TargetMode="External"/><Relationship Id="rId87" Type="http://schemas.openxmlformats.org/officeDocument/2006/relationships/hyperlink" Target="https://doi.org/10.3390/w12082173" TargetMode="External"/><Relationship Id="rId61" Type="http://schemas.openxmlformats.org/officeDocument/2006/relationships/hyperlink" Target="https://www.questjournals.org/jrees/papers/vol2-issue8/A280108.pdf" TargetMode="External"/><Relationship Id="rId82" Type="http://schemas.openxmlformats.org/officeDocument/2006/relationships/hyperlink" Target="https://doi.org/10.1038/s41467-021-24008-9" TargetMode="External"/><Relationship Id="rId19" Type="http://schemas.openxmlformats.org/officeDocument/2006/relationships/hyperlink" Target="https://doi.org/10.1016/j.qsa.2024.100175" TargetMode="External"/><Relationship Id="rId14" Type="http://schemas.openxmlformats.org/officeDocument/2006/relationships/hyperlink" Target="http://www.imh.ac.vn/files/doc/2017/CCS%20final.compressed.pdf" TargetMode="External"/><Relationship Id="rId30" Type="http://schemas.openxmlformats.org/officeDocument/2006/relationships/hyperlink" Target="https://doi:10.1088/1748-9326/11/3/034010" TargetMode="External"/><Relationship Id="rId35" Type="http://schemas.openxmlformats.org/officeDocument/2006/relationships/hyperlink" Target="https://doi.org/10.3390/w13060774" TargetMode="External"/><Relationship Id="rId56" Type="http://schemas.openxmlformats.org/officeDocument/2006/relationships/hyperlink" Target="https://doi.org/10.1016/j.rsma.2024.103401" TargetMode="External"/><Relationship Id="rId77" Type="http://schemas.openxmlformats.org/officeDocument/2006/relationships/hyperlink" Target="https://doi.org/10.1016/j.ocecoaman.2019.105077"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scopus.com/inward/record.uri?eid=2-s2.0-85137774716&amp;partnerID=40&amp;md5=263a75783a6234733ba4c7e02f3ae2c3"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doi.org/10.3390/rs14040896" TargetMode="External"/><Relationship Id="rId299" Type="http://schemas.openxmlformats.org/officeDocument/2006/relationships/hyperlink" Target="https://doi.org/10.1038/s43247-024-01868-9" TargetMode="External"/><Relationship Id="rId21" Type="http://schemas.openxmlformats.org/officeDocument/2006/relationships/hyperlink" Target="https://doi.org/10.1038/s41598-024-80748-w" TargetMode="External"/><Relationship Id="rId63" Type="http://schemas.openxmlformats.org/officeDocument/2006/relationships/hyperlink" Target="https://doi.org/10.1007/s11852-023-01015-0" TargetMode="External"/><Relationship Id="rId159" Type="http://schemas.openxmlformats.org/officeDocument/2006/relationships/hyperlink" Target="https://doi.org/10.1007/s11069-020-04102-9" TargetMode="External"/><Relationship Id="rId324" Type="http://schemas.openxmlformats.org/officeDocument/2006/relationships/hyperlink" Target="https://doi.org/10.1016/j.jhydrol.2022.128554" TargetMode="External"/><Relationship Id="rId366" Type="http://schemas.openxmlformats.org/officeDocument/2006/relationships/hyperlink" Target="https://doi.org/10.1016/j.ijdrr.2014.06.001" TargetMode="External"/><Relationship Id="rId170" Type="http://schemas.openxmlformats.org/officeDocument/2006/relationships/hyperlink" Target="https://doi.org/10.3390/rs12172827" TargetMode="External"/><Relationship Id="rId226" Type="http://schemas.openxmlformats.org/officeDocument/2006/relationships/hyperlink" Target="https://doi.org/10.1016/j.gloplacha.2016.08.009" TargetMode="External"/><Relationship Id="rId268" Type="http://schemas.openxmlformats.org/officeDocument/2006/relationships/hyperlink" Target="https://www.scopus.com/inward/record.uri?eid=2-s2.0-84858986556&amp;partnerID=40&amp;md5=7db4fa940bf3864f9edbae8470b488b6" TargetMode="External"/><Relationship Id="rId32" Type="http://schemas.openxmlformats.org/officeDocument/2006/relationships/hyperlink" Target="https://doi.org/10.1016/j.ijdrr.2024.104801" TargetMode="External"/><Relationship Id="rId74" Type="http://schemas.openxmlformats.org/officeDocument/2006/relationships/hyperlink" Target="https://doi.org/10.1016/j.ijdrr.2023.104079" TargetMode="External"/><Relationship Id="rId128" Type="http://schemas.openxmlformats.org/officeDocument/2006/relationships/hyperlink" Target="https://doi.org/10.1007/s13753-021-00377-z" TargetMode="External"/><Relationship Id="rId335" Type="http://schemas.openxmlformats.org/officeDocument/2006/relationships/hyperlink" Target="https://doi.org/10.1007/s11069-021-04841-3" TargetMode="External"/><Relationship Id="rId377" Type="http://schemas.openxmlformats.org/officeDocument/2006/relationships/hyperlink" Target="https://doi.org/10.1142/S1793431112500108" TargetMode="External"/><Relationship Id="rId5" Type="http://schemas.openxmlformats.org/officeDocument/2006/relationships/hyperlink" Target="https://doi.org/10.1007/s12145-025-01812-1" TargetMode="External"/><Relationship Id="rId181" Type="http://schemas.openxmlformats.org/officeDocument/2006/relationships/hyperlink" Target="https://doi.org/10.1016/j.scitotenv.2019.135311" TargetMode="External"/><Relationship Id="rId237" Type="http://schemas.openxmlformats.org/officeDocument/2006/relationships/hyperlink" Target="https://doi.org/10.1007/s10661-015-4868-9" TargetMode="External"/><Relationship Id="rId279" Type="http://schemas.openxmlformats.org/officeDocument/2006/relationships/hyperlink" Target="https://doi.org/10.1007/s11852-010-0114-3" TargetMode="External"/><Relationship Id="rId43" Type="http://schemas.openxmlformats.org/officeDocument/2006/relationships/hyperlink" Target="https://doi.org/10.3390/geohazards5030038" TargetMode="External"/><Relationship Id="rId139" Type="http://schemas.openxmlformats.org/officeDocument/2006/relationships/hyperlink" Target="https://doi.org/10.1016/j.cosust.2021.05.001" TargetMode="External"/><Relationship Id="rId290" Type="http://schemas.openxmlformats.org/officeDocument/2006/relationships/hyperlink" Target="http://dx.doi.org/10.14358/PERS.75.7.807" TargetMode="External"/><Relationship Id="rId304" Type="http://schemas.openxmlformats.org/officeDocument/2006/relationships/hyperlink" Target="https://doi.org/10.1146/annurev-marine-020923-120737" TargetMode="External"/><Relationship Id="rId346" Type="http://schemas.openxmlformats.org/officeDocument/2006/relationships/hyperlink" Target="https://doi.org/10.4018/IJAGR.20200701.oa1" TargetMode="External"/><Relationship Id="rId85" Type="http://schemas.openxmlformats.org/officeDocument/2006/relationships/hyperlink" Target="https://doi.org/10.1007/s12524-023-01694-0" TargetMode="External"/><Relationship Id="rId150" Type="http://schemas.openxmlformats.org/officeDocument/2006/relationships/hyperlink" Target="https://doi.org/10.1016/j.envint.2020.106359" TargetMode="External"/><Relationship Id="rId192" Type="http://schemas.openxmlformats.org/officeDocument/2006/relationships/hyperlink" Target="https://doi.org/10.1016/j.envsci.2018.06.019" TargetMode="External"/><Relationship Id="rId206" Type="http://schemas.openxmlformats.org/officeDocument/2006/relationships/hyperlink" Target="https://doi.org/10.1007/s11069-017-2985-1" TargetMode="External"/><Relationship Id="rId248" Type="http://schemas.openxmlformats.org/officeDocument/2006/relationships/hyperlink" Target="https://doi.org/10.5194/nhess-14-3317-2014" TargetMode="External"/><Relationship Id="rId12" Type="http://schemas.openxmlformats.org/officeDocument/2006/relationships/hyperlink" Target="https://doi.org/10.1016/j.pdisas.2024.100402" TargetMode="External"/><Relationship Id="rId108" Type="http://schemas.openxmlformats.org/officeDocument/2006/relationships/hyperlink" Target="http://dx.doi.org/10.21163/GT_2022.172.08" TargetMode="External"/><Relationship Id="rId315" Type="http://schemas.openxmlformats.org/officeDocument/2006/relationships/hyperlink" Target="https://doi.org/10.1016/j.ijdrr.2023.103963" TargetMode="External"/><Relationship Id="rId357" Type="http://schemas.openxmlformats.org/officeDocument/2006/relationships/hyperlink" Target="https://doi.org/10.1016/j.wace.2019.100196" TargetMode="External"/><Relationship Id="rId54" Type="http://schemas.openxmlformats.org/officeDocument/2006/relationships/hyperlink" Target="https://doi.org/10.1016/j.jsames.2024.104836" TargetMode="External"/><Relationship Id="rId96" Type="http://schemas.openxmlformats.org/officeDocument/2006/relationships/hyperlink" Target="https://doi.org/10.1080/19463138.2022.2159415" TargetMode="External"/><Relationship Id="rId161" Type="http://schemas.openxmlformats.org/officeDocument/2006/relationships/hyperlink" Target="https://doi.org/10.1029/2020EF001965" TargetMode="External"/><Relationship Id="rId217" Type="http://schemas.openxmlformats.org/officeDocument/2006/relationships/hyperlink" Target="https://doi.org/10.5194/nhess-16-1841-2016" TargetMode="External"/><Relationship Id="rId259" Type="http://schemas.openxmlformats.org/officeDocument/2006/relationships/hyperlink" Target="https://doi.org/10.1007/s11069-011-0060-x" TargetMode="External"/><Relationship Id="rId23" Type="http://schemas.openxmlformats.org/officeDocument/2006/relationships/hyperlink" Target="https://doi.org/10.1016/j.scitotenv.2024.174393" TargetMode="External"/><Relationship Id="rId119" Type="http://schemas.openxmlformats.org/officeDocument/2006/relationships/hyperlink" Target="https://doi.org/10.1080/10106049.2022.2096702" TargetMode="External"/><Relationship Id="rId270" Type="http://schemas.openxmlformats.org/officeDocument/2006/relationships/hyperlink" Target="https://doi.org/10.1007/s10584-011-0394-0" TargetMode="External"/><Relationship Id="rId326" Type="http://schemas.openxmlformats.org/officeDocument/2006/relationships/hyperlink" Target="https://doi.org/10.1016/j.jafrearsci.2022.104580" TargetMode="External"/><Relationship Id="rId65" Type="http://schemas.openxmlformats.org/officeDocument/2006/relationships/hyperlink" Target="https://doi.org/10.1080/19942060.2024.2394641" TargetMode="External"/><Relationship Id="rId130" Type="http://schemas.openxmlformats.org/officeDocument/2006/relationships/hyperlink" Target="https://doi.org/10.1016/j.scitotenv.2020.144650" TargetMode="External"/><Relationship Id="rId368" Type="http://schemas.openxmlformats.org/officeDocument/2006/relationships/hyperlink" Target="https://doi.org/10.1007/s11852-015-0379-7" TargetMode="External"/><Relationship Id="rId172" Type="http://schemas.openxmlformats.org/officeDocument/2006/relationships/hyperlink" Target="https://doi.org/10.3390/rs12111851" TargetMode="External"/><Relationship Id="rId228" Type="http://schemas.openxmlformats.org/officeDocument/2006/relationships/hyperlink" Target="https://doi.org/10.3389/feart.2016.00036" TargetMode="External"/><Relationship Id="rId281" Type="http://schemas.openxmlformats.org/officeDocument/2006/relationships/hyperlink" Target="https://doi.org/10.5194/nhess-11-1217-2011" TargetMode="External"/><Relationship Id="rId337" Type="http://schemas.openxmlformats.org/officeDocument/2006/relationships/hyperlink" Target="https://doi.org/10.1007/s12517-021-07780-2" TargetMode="External"/><Relationship Id="rId34" Type="http://schemas.openxmlformats.org/officeDocument/2006/relationships/hyperlink" Target="https://doi.org/10.1029/2023EF004236" TargetMode="External"/><Relationship Id="rId76" Type="http://schemas.openxmlformats.org/officeDocument/2006/relationships/hyperlink" Target="https://doi.org/10.3390/rs15205002" TargetMode="External"/><Relationship Id="rId141" Type="http://schemas.openxmlformats.org/officeDocument/2006/relationships/hyperlink" Target="https://doi.org/10.1016/j.scitotenv.2020.143144" TargetMode="External"/><Relationship Id="rId379" Type="http://schemas.openxmlformats.org/officeDocument/2006/relationships/hyperlink" Target="https://doi.org/10.1007/s11069-013-0670-6" TargetMode="External"/><Relationship Id="rId7" Type="http://schemas.openxmlformats.org/officeDocument/2006/relationships/hyperlink" Target="https://doi.org/10.5194/os-21-381-2025" TargetMode="External"/><Relationship Id="rId183" Type="http://schemas.openxmlformats.org/officeDocument/2006/relationships/hyperlink" Target="https://doi.org/10.1007/s11069-019-03720-2" TargetMode="External"/><Relationship Id="rId239" Type="http://schemas.openxmlformats.org/officeDocument/2006/relationships/hyperlink" Target="https://doi.org/10.1038/nclimate1979" TargetMode="External"/><Relationship Id="rId250" Type="http://schemas.openxmlformats.org/officeDocument/2006/relationships/hyperlink" Target="http://dx.doi.org/10.3233/AJW-2014-11_2_05" TargetMode="External"/><Relationship Id="rId292" Type="http://schemas.openxmlformats.org/officeDocument/2006/relationships/hyperlink" Target="https://doi.org/10.1007/s12524-011-0067-5" TargetMode="External"/><Relationship Id="rId306" Type="http://schemas.openxmlformats.org/officeDocument/2006/relationships/hyperlink" Target="https://doi.org/10.1029/2024EF004479" TargetMode="External"/><Relationship Id="rId45" Type="http://schemas.openxmlformats.org/officeDocument/2006/relationships/hyperlink" Target="https://doi.org/10.1016/j.heliyon.2024.e33120" TargetMode="External"/><Relationship Id="rId87" Type="http://schemas.openxmlformats.org/officeDocument/2006/relationships/hyperlink" Target="https://doi.org/10.5194/nhess-23-2251-2023" TargetMode="External"/><Relationship Id="rId110" Type="http://schemas.openxmlformats.org/officeDocument/2006/relationships/hyperlink" Target="https://doi.org/10.1007/s12524-022-01558-z" TargetMode="External"/><Relationship Id="rId348" Type="http://schemas.openxmlformats.org/officeDocument/2006/relationships/hyperlink" Target="https://doi.org/10.3390/geosciences10050175" TargetMode="External"/><Relationship Id="rId152" Type="http://schemas.openxmlformats.org/officeDocument/2006/relationships/hyperlink" Target="https://doi.org/10.1080/24749508.2019.1700670" TargetMode="External"/><Relationship Id="rId194" Type="http://schemas.openxmlformats.org/officeDocument/2006/relationships/hyperlink" Target="https://doi.org/10.1007/s10584-018-2356-2" TargetMode="External"/><Relationship Id="rId208" Type="http://schemas.openxmlformats.org/officeDocument/2006/relationships/hyperlink" Target="https://doi.org/10.1007/s11069-017-2843-1" TargetMode="External"/><Relationship Id="rId261" Type="http://schemas.openxmlformats.org/officeDocument/2006/relationships/hyperlink" Target="https://doi.org/10.1007/s10113-011-0239-4" TargetMode="External"/><Relationship Id="rId14" Type="http://schemas.openxmlformats.org/officeDocument/2006/relationships/hyperlink" Target="https://doi.org/10.1007/s11069-025-07144-z" TargetMode="External"/><Relationship Id="rId56" Type="http://schemas.openxmlformats.org/officeDocument/2006/relationships/hyperlink" Target="https://doi.org/10.2166/wpt.2024.116" TargetMode="External"/><Relationship Id="rId317" Type="http://schemas.openxmlformats.org/officeDocument/2006/relationships/hyperlink" Target="https://doi.org/10.1007/s12524-023-01697-x" TargetMode="External"/><Relationship Id="rId359" Type="http://schemas.openxmlformats.org/officeDocument/2006/relationships/hyperlink" Target="https://doi.org/10.3390/geosciences8120452" TargetMode="External"/><Relationship Id="rId98" Type="http://schemas.openxmlformats.org/officeDocument/2006/relationships/hyperlink" Target="https://doi.org/10.1029/2022EF002880" TargetMode="External"/><Relationship Id="rId121" Type="http://schemas.openxmlformats.org/officeDocument/2006/relationships/hyperlink" Target="https://doi.org/10.1016/j.rsase.2021.100680" TargetMode="External"/><Relationship Id="rId163" Type="http://schemas.openxmlformats.org/officeDocument/2006/relationships/hyperlink" Target="https://doi.org/10.1016/j.crm.2021.100348" TargetMode="External"/><Relationship Id="rId219" Type="http://schemas.openxmlformats.org/officeDocument/2006/relationships/hyperlink" Target="https://doi.org/10.1016/j.gloplacha.2017.02.004" TargetMode="External"/><Relationship Id="rId370" Type="http://schemas.openxmlformats.org/officeDocument/2006/relationships/hyperlink" Target="https://doi.org/10.1016/j.gloplacha.2013.09.002" TargetMode="External"/><Relationship Id="rId230" Type="http://schemas.openxmlformats.org/officeDocument/2006/relationships/hyperlink" Target="https://doi.org/10.1007/s12517-015-2263-z" TargetMode="External"/><Relationship Id="rId25" Type="http://schemas.openxmlformats.org/officeDocument/2006/relationships/hyperlink" Target="https://doi.org/10.5194/nhess-24-3627-2024" TargetMode="External"/><Relationship Id="rId67" Type="http://schemas.openxmlformats.org/officeDocument/2006/relationships/hyperlink" Target="https://doi.org/10.12912/27197050/192770" TargetMode="External"/><Relationship Id="rId272" Type="http://schemas.openxmlformats.org/officeDocument/2006/relationships/hyperlink" Target="https://doi.org/10.1007/s11852-012-0180-9" TargetMode="External"/><Relationship Id="rId328" Type="http://schemas.openxmlformats.org/officeDocument/2006/relationships/hyperlink" Target="https://doi.org/10.1007/s11069-021-05103-y" TargetMode="External"/><Relationship Id="rId132" Type="http://schemas.openxmlformats.org/officeDocument/2006/relationships/hyperlink" Target="https://doi.org/10.5194/nhess-21-2523-2021" TargetMode="External"/><Relationship Id="rId174" Type="http://schemas.openxmlformats.org/officeDocument/2006/relationships/hyperlink" Target="https://doi.org/10.1016/j.jafrearsci.2020.103771" TargetMode="External"/><Relationship Id="rId381" Type="http://schemas.openxmlformats.org/officeDocument/2006/relationships/hyperlink" Target="https://doi.org/10.1007/s10584-011-0340-1" TargetMode="External"/><Relationship Id="rId241" Type="http://schemas.openxmlformats.org/officeDocument/2006/relationships/hyperlink" Target="https://doi.org/10.5194/nhess-13-3291-2013" TargetMode="External"/><Relationship Id="rId36" Type="http://schemas.openxmlformats.org/officeDocument/2006/relationships/hyperlink" Target="https://doi.org/10.5194/nhess-24-3279-2024" TargetMode="External"/><Relationship Id="rId283" Type="http://schemas.openxmlformats.org/officeDocument/2006/relationships/hyperlink" Target="https://doi.org/10.1080/01431160903464112" TargetMode="External"/><Relationship Id="rId339" Type="http://schemas.openxmlformats.org/officeDocument/2006/relationships/hyperlink" Target="https://doi.org/10.1016/j.pce.2021.103001" TargetMode="External"/><Relationship Id="rId78" Type="http://schemas.openxmlformats.org/officeDocument/2006/relationships/hyperlink" Target="https://doi.org/10.1016/j.nhres.2023.06.002" TargetMode="External"/><Relationship Id="rId101" Type="http://schemas.openxmlformats.org/officeDocument/2006/relationships/hyperlink" Target="https://doi.org/10.1080/19475705.2023.2232080" TargetMode="External"/><Relationship Id="rId143" Type="http://schemas.openxmlformats.org/officeDocument/2006/relationships/hyperlink" Target="https://doi.org/10.1029/2020EF001931" TargetMode="External"/><Relationship Id="rId185" Type="http://schemas.openxmlformats.org/officeDocument/2006/relationships/hyperlink" Target="https://doi.org/10.1007/s11069-018-03566-0" TargetMode="External"/><Relationship Id="rId350" Type="http://schemas.openxmlformats.org/officeDocument/2006/relationships/hyperlink" Target="https://doi.org/10.3390/rs12010154" TargetMode="External"/><Relationship Id="rId9" Type="http://schemas.openxmlformats.org/officeDocument/2006/relationships/hyperlink" Target="https://doi.org/10.1016/j.uclim.2024.102272" TargetMode="External"/><Relationship Id="rId210" Type="http://schemas.openxmlformats.org/officeDocument/2006/relationships/hyperlink" Target="https://doi.org/10.1080/08920753.2017.1327343" TargetMode="External"/><Relationship Id="rId252" Type="http://schemas.openxmlformats.org/officeDocument/2006/relationships/hyperlink" Target="https://doi.org/10.1007/s11852-011-0165-0" TargetMode="External"/><Relationship Id="rId294" Type="http://schemas.openxmlformats.org/officeDocument/2006/relationships/hyperlink" Target="https://www.scopus.com/inward/record.uri?eid=2-s2.0-84875715580&amp;partnerID=40&amp;md5=ca55ead8f1f8db588ae5abae6b254990" TargetMode="External"/><Relationship Id="rId308" Type="http://schemas.openxmlformats.org/officeDocument/2006/relationships/hyperlink" Target="https://doi.org/10.1016/j.scitotenv.2024.172066" TargetMode="External"/><Relationship Id="rId47" Type="http://schemas.openxmlformats.org/officeDocument/2006/relationships/hyperlink" Target="https://doi.org/10.1007/s11069-024-06543-y" TargetMode="External"/><Relationship Id="rId68" Type="http://schemas.openxmlformats.org/officeDocument/2006/relationships/hyperlink" Target="https://doi.org/10.1016/j.envsoft.2023.105863" TargetMode="External"/><Relationship Id="rId89" Type="http://schemas.openxmlformats.org/officeDocument/2006/relationships/hyperlink" Target="https://doi.org/10.1007/s42990-023-00098-z" TargetMode="External"/><Relationship Id="rId112" Type="http://schemas.openxmlformats.org/officeDocument/2006/relationships/hyperlink" Target="https://doi.org/10.5194/npg-29-301-2022" TargetMode="External"/><Relationship Id="rId133" Type="http://schemas.openxmlformats.org/officeDocument/2006/relationships/hyperlink" Target="https://doi.org/10.1007/s10712-021-09660-6" TargetMode="External"/><Relationship Id="rId154" Type="http://schemas.openxmlformats.org/officeDocument/2006/relationships/hyperlink" Target="https://doi.org/10.1080/22797254.2021.1983471" TargetMode="External"/><Relationship Id="rId175" Type="http://schemas.openxmlformats.org/officeDocument/2006/relationships/hyperlink" Target="https://doi.org/10.3390/rs12081301" TargetMode="External"/><Relationship Id="rId340" Type="http://schemas.openxmlformats.org/officeDocument/2006/relationships/hyperlink" Target="https://doi.org/10.1029/2020JB020344" TargetMode="External"/><Relationship Id="rId361" Type="http://schemas.openxmlformats.org/officeDocument/2006/relationships/hyperlink" Target="https://doi.org/10.1093/gji/ggy238" TargetMode="External"/><Relationship Id="rId196" Type="http://schemas.openxmlformats.org/officeDocument/2006/relationships/hyperlink" Target="https://doi.org/10.1007/s10584-018-2334-8" TargetMode="External"/><Relationship Id="rId200" Type="http://schemas.openxmlformats.org/officeDocument/2006/relationships/hyperlink" Target="https://doi.org/10.1016/j.ejrh.2017.12.002" TargetMode="External"/><Relationship Id="rId382" Type="http://schemas.openxmlformats.org/officeDocument/2006/relationships/hyperlink" Target="http://dx.doi.org/10.5721/ItJRS20104235" TargetMode="External"/><Relationship Id="rId16" Type="http://schemas.openxmlformats.org/officeDocument/2006/relationships/hyperlink" Target="https://doi.org/10.1007/s41748-024-00399-9" TargetMode="External"/><Relationship Id="rId221" Type="http://schemas.openxmlformats.org/officeDocument/2006/relationships/hyperlink" Target="https://doi.org/10.1371/journal.pone.0162637" TargetMode="External"/><Relationship Id="rId242" Type="http://schemas.openxmlformats.org/officeDocument/2006/relationships/hyperlink" Target="https://doi.org/10.1016/j.ejrs.2014.01.001" TargetMode="External"/><Relationship Id="rId263" Type="http://schemas.openxmlformats.org/officeDocument/2006/relationships/hyperlink" Target="https://doi.org/10.1007/s11069-011-9955-9" TargetMode="External"/><Relationship Id="rId284" Type="http://schemas.openxmlformats.org/officeDocument/2006/relationships/hyperlink" Target="https://doi.org/10.1007/s10584-010-9977-4" TargetMode="External"/><Relationship Id="rId319" Type="http://schemas.openxmlformats.org/officeDocument/2006/relationships/hyperlink" Target="https://doi.org/10.3389/feart.2022.1053829" TargetMode="External"/><Relationship Id="rId37" Type="http://schemas.openxmlformats.org/officeDocument/2006/relationships/hyperlink" Target="https://doi.org/10.2166/wcc.2024.731" TargetMode="External"/><Relationship Id="rId58" Type="http://schemas.openxmlformats.org/officeDocument/2006/relationships/hyperlink" Target="https://doi.org/10.1016/j.ijdrr.2024.104429" TargetMode="External"/><Relationship Id="rId79" Type="http://schemas.openxmlformats.org/officeDocument/2006/relationships/hyperlink" Target="https://doi.org/10.1111/jiec.13402" TargetMode="External"/><Relationship Id="rId102" Type="http://schemas.openxmlformats.org/officeDocument/2006/relationships/hyperlink" Target="https://doi.org/10.1038/s41598-022-14303-w" TargetMode="External"/><Relationship Id="rId123" Type="http://schemas.openxmlformats.org/officeDocument/2006/relationships/hyperlink" Target="https://doi.org/10.1007/s10668-021-01488-9" TargetMode="External"/><Relationship Id="rId144" Type="http://schemas.openxmlformats.org/officeDocument/2006/relationships/hyperlink" Target="https://doi.org/10.1016/j.envdev.2020.100556" TargetMode="External"/><Relationship Id="rId330" Type="http://schemas.openxmlformats.org/officeDocument/2006/relationships/hyperlink" Target="https://doi.org/10.12912/27197050/150310" TargetMode="External"/><Relationship Id="rId90" Type="http://schemas.openxmlformats.org/officeDocument/2006/relationships/hyperlink" Target="https://doi.org/10.1007/s11069-023-05840-2" TargetMode="External"/><Relationship Id="rId165" Type="http://schemas.openxmlformats.org/officeDocument/2006/relationships/hyperlink" Target="https://doi.org/10.1038/s41598-020-67736-6" TargetMode="External"/><Relationship Id="rId186" Type="http://schemas.openxmlformats.org/officeDocument/2006/relationships/hyperlink" Target="https://doi.org/10.1007/s10113-018-1360-4" TargetMode="External"/><Relationship Id="rId351" Type="http://schemas.openxmlformats.org/officeDocument/2006/relationships/hyperlink" Target="https://doi.org/10.1029/2019JC015249" TargetMode="External"/><Relationship Id="rId372" Type="http://schemas.openxmlformats.org/officeDocument/2006/relationships/hyperlink" Target="https://doi.org/10.1007/s10584-016-1675-4" TargetMode="External"/><Relationship Id="rId211" Type="http://schemas.openxmlformats.org/officeDocument/2006/relationships/hyperlink" Target="https://doi.org/10.1016/j.ijdrr.2017.06.018" TargetMode="External"/><Relationship Id="rId232" Type="http://schemas.openxmlformats.org/officeDocument/2006/relationships/hyperlink" Target="https://doi.org/10.1016/j.jag.2015.11.005" TargetMode="External"/><Relationship Id="rId253" Type="http://schemas.openxmlformats.org/officeDocument/2006/relationships/hyperlink" Target="https://doi.org/10.1007/s11852-010-0090-7" TargetMode="External"/><Relationship Id="rId274" Type="http://schemas.openxmlformats.org/officeDocument/2006/relationships/hyperlink" Target="https://doi.org/10.1007/s11069-012-0427-7" TargetMode="External"/><Relationship Id="rId295" Type="http://schemas.openxmlformats.org/officeDocument/2006/relationships/hyperlink" Target="https://doi.org/10.2166/wcc.2010.008" TargetMode="External"/><Relationship Id="rId309" Type="http://schemas.openxmlformats.org/officeDocument/2006/relationships/hyperlink" Target="https://doi.org/10.1016/j.scitotenv.2024.170187" TargetMode="External"/><Relationship Id="rId27" Type="http://schemas.openxmlformats.org/officeDocument/2006/relationships/hyperlink" Target="https://doi.org/10.1016/j.scitotenv.2024.174703" TargetMode="External"/><Relationship Id="rId48" Type="http://schemas.openxmlformats.org/officeDocument/2006/relationships/hyperlink" Target="https://doi.org/10.1016/j.envsci.2024.103762" TargetMode="External"/><Relationship Id="rId69" Type="http://schemas.openxmlformats.org/officeDocument/2006/relationships/hyperlink" Target="https://doi.org/10.1016/j.jenvman.2023.119502" TargetMode="External"/><Relationship Id="rId113" Type="http://schemas.openxmlformats.org/officeDocument/2006/relationships/hyperlink" Target="https://doi.org/10.1016/j.ijdrr.2022.103065" TargetMode="External"/><Relationship Id="rId134" Type="http://schemas.openxmlformats.org/officeDocument/2006/relationships/hyperlink" Target="https://doi.org/10.1016/j.jenvman.2021.112514" TargetMode="External"/><Relationship Id="rId320" Type="http://schemas.openxmlformats.org/officeDocument/2006/relationships/hyperlink" Target="https://doi.org/10.1016/j.jenvman.2022.116860" TargetMode="External"/><Relationship Id="rId80" Type="http://schemas.openxmlformats.org/officeDocument/2006/relationships/hyperlink" Target="https://doi.org/10.1007/s11069-023-06037-3" TargetMode="External"/><Relationship Id="rId155" Type="http://schemas.openxmlformats.org/officeDocument/2006/relationships/hyperlink" Target="https://doi.org/10.1080/00330124.2021.1898992" TargetMode="External"/><Relationship Id="rId176" Type="http://schemas.openxmlformats.org/officeDocument/2006/relationships/hyperlink" Target="https://doi.org/10.1080/19376812.2019.1650082" TargetMode="External"/><Relationship Id="rId197" Type="http://schemas.openxmlformats.org/officeDocument/2006/relationships/hyperlink" Target="https://doi.org/10.1016/j.gloenvcha.2018.05.003" TargetMode="External"/><Relationship Id="rId341" Type="http://schemas.openxmlformats.org/officeDocument/2006/relationships/hyperlink" Target="https://doi.org/10.1007/s11069-020-04444-4" TargetMode="External"/><Relationship Id="rId362" Type="http://schemas.openxmlformats.org/officeDocument/2006/relationships/hyperlink" Target="https://doi.org/10.5194/nhess-18-2127-2018" TargetMode="External"/><Relationship Id="rId383" Type="http://schemas.openxmlformats.org/officeDocument/2006/relationships/hyperlink" Target="https://doi.org/10.1007/s00343-010-9041-2" TargetMode="External"/><Relationship Id="rId201" Type="http://schemas.openxmlformats.org/officeDocument/2006/relationships/hyperlink" Target="https://doi.org/10.1002/2017JB015084" TargetMode="External"/><Relationship Id="rId222" Type="http://schemas.openxmlformats.org/officeDocument/2006/relationships/hyperlink" Target="https://doi.org/10.3319/TAO.2016.06.13.01(Oc)" TargetMode="External"/><Relationship Id="rId243" Type="http://schemas.openxmlformats.org/officeDocument/2006/relationships/hyperlink" Target="https://doi.org/10.1007/s00024-014-0936-2" TargetMode="External"/><Relationship Id="rId264" Type="http://schemas.openxmlformats.org/officeDocument/2006/relationships/hyperlink" Target="https://doi.org/10.1111/j.1365-2486.2012.02736.x" TargetMode="External"/><Relationship Id="rId285" Type="http://schemas.openxmlformats.org/officeDocument/2006/relationships/hyperlink" Target="http://dx.doi.org/10.2307/40605480" TargetMode="External"/><Relationship Id="rId17" Type="http://schemas.openxmlformats.org/officeDocument/2006/relationships/hyperlink" Target="https://doi.org/10.1038/s41598-024-66956-4" TargetMode="External"/><Relationship Id="rId38" Type="http://schemas.openxmlformats.org/officeDocument/2006/relationships/hyperlink" Target="https://doi.org/10.1007/s10708-024-11185-5" TargetMode="External"/><Relationship Id="rId59" Type="http://schemas.openxmlformats.org/officeDocument/2006/relationships/hyperlink" Target="https://doi.org/10.1007/s11069-023-06398-9" TargetMode="External"/><Relationship Id="rId103" Type="http://schemas.openxmlformats.org/officeDocument/2006/relationships/hyperlink" Target="https://doi.org/10.1007/s12145-022-00852-1" TargetMode="External"/><Relationship Id="rId124" Type="http://schemas.openxmlformats.org/officeDocument/2006/relationships/hyperlink" Target="https://doi.org/10.1080/19475705.2022.2066573" TargetMode="External"/><Relationship Id="rId310" Type="http://schemas.openxmlformats.org/officeDocument/2006/relationships/hyperlink" Target="https://doi.org/10.1016/j.scitotenv.2024.170239" TargetMode="External"/><Relationship Id="rId70" Type="http://schemas.openxmlformats.org/officeDocument/2006/relationships/hyperlink" Target="https://doi.org/10.1016/j.uclim.2023.101769" TargetMode="External"/><Relationship Id="rId91" Type="http://schemas.openxmlformats.org/officeDocument/2006/relationships/hyperlink" Target="https://doi.org/10.1007/s11069-022-05667-3" TargetMode="External"/><Relationship Id="rId145" Type="http://schemas.openxmlformats.org/officeDocument/2006/relationships/hyperlink" Target="https://doi.org/10.1007/s11852-020-00788-y" TargetMode="External"/><Relationship Id="rId166" Type="http://schemas.openxmlformats.org/officeDocument/2006/relationships/hyperlink" Target="https://doi.org/10.1016/j.heliyon.2023.e18508" TargetMode="External"/><Relationship Id="rId187" Type="http://schemas.openxmlformats.org/officeDocument/2006/relationships/hyperlink" Target="https://doi.org/10.1016/j.ijdrr.2019.101292" TargetMode="External"/><Relationship Id="rId331" Type="http://schemas.openxmlformats.org/officeDocument/2006/relationships/hyperlink" Target="https://doi.org/10.3390/rs13224695" TargetMode="External"/><Relationship Id="rId352" Type="http://schemas.openxmlformats.org/officeDocument/2006/relationships/hyperlink" Target="https://doi.org/10.1016/j.cities.2019.06.012" TargetMode="External"/><Relationship Id="rId373" Type="http://schemas.openxmlformats.org/officeDocument/2006/relationships/hyperlink" Target="https://doi.org/10.1007/s00024-014-0988-3" TargetMode="External"/><Relationship Id="rId1" Type="http://schemas.openxmlformats.org/officeDocument/2006/relationships/hyperlink" Target="https://doi.org/10.1007/s10236-025-01671-w" TargetMode="External"/><Relationship Id="rId212" Type="http://schemas.openxmlformats.org/officeDocument/2006/relationships/hyperlink" Target="https://doi.org/10.1007/s10661-017-6152-7" TargetMode="External"/><Relationship Id="rId233" Type="http://schemas.openxmlformats.org/officeDocument/2006/relationships/hyperlink" Target="https://doi.org/10.1007/s11069-015-2035-9" TargetMode="External"/><Relationship Id="rId254" Type="http://schemas.openxmlformats.org/officeDocument/2006/relationships/hyperlink" Target="https://doi.org/10.1007/s11852-013-0235-6" TargetMode="External"/><Relationship Id="rId28" Type="http://schemas.openxmlformats.org/officeDocument/2006/relationships/hyperlink" Target="https://doi.org/10.1007/s10668-023-03836-3" TargetMode="External"/><Relationship Id="rId49" Type="http://schemas.openxmlformats.org/officeDocument/2006/relationships/hyperlink" Target="https://doi.org/10.35762/AER.2024044" TargetMode="External"/><Relationship Id="rId114" Type="http://schemas.openxmlformats.org/officeDocument/2006/relationships/hyperlink" Target="https://doi.org/10.1016/j.pdisas.2022.100223" TargetMode="External"/><Relationship Id="rId275" Type="http://schemas.openxmlformats.org/officeDocument/2006/relationships/hyperlink" Target="https://doi.org/10.1002/qj.2040" TargetMode="External"/><Relationship Id="rId296" Type="http://schemas.openxmlformats.org/officeDocument/2006/relationships/hyperlink" Target="https://www.scopus.com/inward/record.uri?eid=2-s2.0-78751477881&amp;partnerID=40&amp;md5=9620641d292ab387082580e0ae6c26b9" TargetMode="External"/><Relationship Id="rId300" Type="http://schemas.openxmlformats.org/officeDocument/2006/relationships/hyperlink" Target="https://doi.org/10.1029/2024EF004766" TargetMode="External"/><Relationship Id="rId60" Type="http://schemas.openxmlformats.org/officeDocument/2006/relationships/hyperlink" Target="https://doi.org/10.1007/s12524-024-01852-y" TargetMode="External"/><Relationship Id="rId81" Type="http://schemas.openxmlformats.org/officeDocument/2006/relationships/hyperlink" Target="https://doi.org/10.5194/gmd-16-4331-2023" TargetMode="External"/><Relationship Id="rId135" Type="http://schemas.openxmlformats.org/officeDocument/2006/relationships/hyperlink" Target="https://doi.org/10.1007/s11069-021-04895-3" TargetMode="External"/><Relationship Id="rId156" Type="http://schemas.openxmlformats.org/officeDocument/2006/relationships/hyperlink" Target="https://doi.org/10.1007/s11707-021-0924-7" TargetMode="External"/><Relationship Id="rId177" Type="http://schemas.openxmlformats.org/officeDocument/2006/relationships/hyperlink" Target="http://dx.doi.org/10.4090/juee.2020.v14n2.192203" TargetMode="External"/><Relationship Id="rId198" Type="http://schemas.openxmlformats.org/officeDocument/2006/relationships/hyperlink" Target="https://doi.org/10.1007/s10113-018-1311-0" TargetMode="External"/><Relationship Id="rId321" Type="http://schemas.openxmlformats.org/officeDocument/2006/relationships/hyperlink" Target="https://doi.org/10.1029/2022EF003061" TargetMode="External"/><Relationship Id="rId342" Type="http://schemas.openxmlformats.org/officeDocument/2006/relationships/hyperlink" Target="https://doi.org/10.1108/IJCCSM-06-2021-0058" TargetMode="External"/><Relationship Id="rId363" Type="http://schemas.openxmlformats.org/officeDocument/2006/relationships/hyperlink" Target="https://doi.org/10.1007/s12517-018-3933-4" TargetMode="External"/><Relationship Id="rId384" Type="http://schemas.openxmlformats.org/officeDocument/2006/relationships/hyperlink" Target="https://doi.org/10.1002/wrcr.20213" TargetMode="External"/><Relationship Id="rId202" Type="http://schemas.openxmlformats.org/officeDocument/2006/relationships/hyperlink" Target="https://doi.org/10.1007/s11069-017-3036-7" TargetMode="External"/><Relationship Id="rId223" Type="http://schemas.openxmlformats.org/officeDocument/2006/relationships/hyperlink" Target="https://doi.org/10.1007/s10640-015-9927-8" TargetMode="External"/><Relationship Id="rId244" Type="http://schemas.openxmlformats.org/officeDocument/2006/relationships/hyperlink" Target="https://doi.org/10.1007/s11027-013-9506-7" TargetMode="External"/><Relationship Id="rId18" Type="http://schemas.openxmlformats.org/officeDocument/2006/relationships/hyperlink" Target="https://doi.org/10.1007/s11442-024-2301-4" TargetMode="External"/><Relationship Id="rId39" Type="http://schemas.openxmlformats.org/officeDocument/2006/relationships/hyperlink" Target="https://doi.org/10.1007/s10980-024-01951-8" TargetMode="External"/><Relationship Id="rId265" Type="http://schemas.openxmlformats.org/officeDocument/2006/relationships/hyperlink" Target="https://doi.org/10.1007/s11069-012-0166-9" TargetMode="External"/><Relationship Id="rId286" Type="http://schemas.openxmlformats.org/officeDocument/2006/relationships/hyperlink" Target="https://doi.org/10.1038/ngeo629" TargetMode="External"/><Relationship Id="rId50" Type="http://schemas.openxmlformats.org/officeDocument/2006/relationships/hyperlink" Target="https://doi.org/10.5194/gmd-17-5497-2024" TargetMode="External"/><Relationship Id="rId104" Type="http://schemas.openxmlformats.org/officeDocument/2006/relationships/hyperlink" Target="https://doi.org/10.1029/2021EF002584" TargetMode="External"/><Relationship Id="rId125" Type="http://schemas.openxmlformats.org/officeDocument/2006/relationships/hyperlink" Target="https://doi.org/10.5194/essd-13-5747-2021" TargetMode="External"/><Relationship Id="rId146" Type="http://schemas.openxmlformats.org/officeDocument/2006/relationships/hyperlink" Target="https://doi.org/10.1007/s10668-020-00639-8" TargetMode="External"/><Relationship Id="rId167" Type="http://schemas.openxmlformats.org/officeDocument/2006/relationships/hyperlink" Target="https://doi.org/10.1007/s11069-020-04082-w" TargetMode="External"/><Relationship Id="rId188" Type="http://schemas.openxmlformats.org/officeDocument/2006/relationships/hyperlink" Target="https://doi.org/10.1007/s11852-018-0665-2" TargetMode="External"/><Relationship Id="rId311" Type="http://schemas.openxmlformats.org/officeDocument/2006/relationships/hyperlink" Target="https://doi.org/10.1007/s41748-024-00447-4" TargetMode="External"/><Relationship Id="rId332" Type="http://schemas.openxmlformats.org/officeDocument/2006/relationships/hyperlink" Target="https://doi.org/10.1016/j.gloenvcha.2021.102370" TargetMode="External"/><Relationship Id="rId353" Type="http://schemas.openxmlformats.org/officeDocument/2006/relationships/hyperlink" Target="https://doi.org/10.3390/geosciences9090380" TargetMode="External"/><Relationship Id="rId374" Type="http://schemas.openxmlformats.org/officeDocument/2006/relationships/hyperlink" Target="https://doi.org/10.1007/s11069-016-2718-x" TargetMode="External"/><Relationship Id="rId71" Type="http://schemas.openxmlformats.org/officeDocument/2006/relationships/hyperlink" Target="https://doi.org/10.1016/j.scitotenv.2023.166317" TargetMode="External"/><Relationship Id="rId92" Type="http://schemas.openxmlformats.org/officeDocument/2006/relationships/hyperlink" Target="https://doi.org/10.3389/fenvs.2023.1176547" TargetMode="External"/><Relationship Id="rId213" Type="http://schemas.openxmlformats.org/officeDocument/2006/relationships/hyperlink" Target="https://doi.org/10.1007/s11069-017-2873-8" TargetMode="External"/><Relationship Id="rId234" Type="http://schemas.openxmlformats.org/officeDocument/2006/relationships/hyperlink" Target="https://doi.org/10.1080/00167223.2015.1121403" TargetMode="External"/><Relationship Id="rId2" Type="http://schemas.openxmlformats.org/officeDocument/2006/relationships/hyperlink" Target="https://doi.org/10.3390/data10020015" TargetMode="External"/><Relationship Id="rId29" Type="http://schemas.openxmlformats.org/officeDocument/2006/relationships/hyperlink" Target="https://doi.org/10.1016/j.jsames.2024.105107" TargetMode="External"/><Relationship Id="rId255" Type="http://schemas.openxmlformats.org/officeDocument/2006/relationships/hyperlink" Target="https://doi.org/10.1007/s11069-013-0742-7" TargetMode="External"/><Relationship Id="rId276" Type="http://schemas.openxmlformats.org/officeDocument/2006/relationships/hyperlink" Target="https://doi.org/10.5194/nhess-12-2103-2012" TargetMode="External"/><Relationship Id="rId297" Type="http://schemas.openxmlformats.org/officeDocument/2006/relationships/hyperlink" Target="https://doi.org/10.1080/19475705.2010.516912" TargetMode="External"/><Relationship Id="rId40" Type="http://schemas.openxmlformats.org/officeDocument/2006/relationships/hyperlink" Target="https://doi.org/10.1007/s11069-024-06664-4" TargetMode="External"/><Relationship Id="rId115" Type="http://schemas.openxmlformats.org/officeDocument/2006/relationships/hyperlink" Target="https://doi.org/10.3390/earth3010023" TargetMode="External"/><Relationship Id="rId136" Type="http://schemas.openxmlformats.org/officeDocument/2006/relationships/hyperlink" Target="https://doi.org/10.3390/rs13173431" TargetMode="External"/><Relationship Id="rId157" Type="http://schemas.openxmlformats.org/officeDocument/2006/relationships/hyperlink" Target="https://doi.org/10.1007/s11852-020-00784-2" TargetMode="External"/><Relationship Id="rId178" Type="http://schemas.openxmlformats.org/officeDocument/2006/relationships/hyperlink" Target="https://doi.org/10.1016/j.jafrearsci.2020.103751" TargetMode="External"/><Relationship Id="rId301" Type="http://schemas.openxmlformats.org/officeDocument/2006/relationships/hyperlink" Target="https://doi.org/10.1016/j.ijdrr.2024.104861" TargetMode="External"/><Relationship Id="rId322" Type="http://schemas.openxmlformats.org/officeDocument/2006/relationships/hyperlink" Target="http://dx.doi.org/10.21163/GT_2022.172.12" TargetMode="External"/><Relationship Id="rId343" Type="http://schemas.openxmlformats.org/officeDocument/2006/relationships/hyperlink" Target="https://doi.org/10.1016/j.pdisas.2020.100131" TargetMode="External"/><Relationship Id="rId364" Type="http://schemas.openxmlformats.org/officeDocument/2006/relationships/hyperlink" Target="https://doi.org/10.1002/2017EF000676" TargetMode="External"/><Relationship Id="rId61" Type="http://schemas.openxmlformats.org/officeDocument/2006/relationships/hyperlink" Target="https://doi.org/10.1016/j.accre.2024.01.010" TargetMode="External"/><Relationship Id="rId82" Type="http://schemas.openxmlformats.org/officeDocument/2006/relationships/hyperlink" Target="https://doi.org/10.1007/s10584-023-03602-4" TargetMode="External"/><Relationship Id="rId199" Type="http://schemas.openxmlformats.org/officeDocument/2006/relationships/hyperlink" Target="https://doi.org/10.1016/j.scitotenv.2017.11.224" TargetMode="External"/><Relationship Id="rId203" Type="http://schemas.openxmlformats.org/officeDocument/2006/relationships/hyperlink" Target="https://doi.org/10.1002/joc.5184" TargetMode="External"/><Relationship Id="rId385" Type="http://schemas.openxmlformats.org/officeDocument/2006/relationships/hyperlink" Target="https://doi.org/10.1016/j.gloenvcha.2012.07.004" TargetMode="External"/><Relationship Id="rId19" Type="http://schemas.openxmlformats.org/officeDocument/2006/relationships/hyperlink" Target="https://doi.org/10.1007/s11069-024-06752-5" TargetMode="External"/><Relationship Id="rId224" Type="http://schemas.openxmlformats.org/officeDocument/2006/relationships/hyperlink" Target="https://doi.org/10.1007/s10668-015-9708-0" TargetMode="External"/><Relationship Id="rId245" Type="http://schemas.openxmlformats.org/officeDocument/2006/relationships/hyperlink" Target="https://doi.org/10.5194/nhess-15-557-2015" TargetMode="External"/><Relationship Id="rId266" Type="http://schemas.openxmlformats.org/officeDocument/2006/relationships/hyperlink" Target="https://www.scopus.com/inward/record.uri?eid=2-s2.0-84861370828&amp;partnerID=40&amp;md5=a47a34b1611143f6056a787d0ecdc051" TargetMode="External"/><Relationship Id="rId287" Type="http://schemas.openxmlformats.org/officeDocument/2006/relationships/hyperlink" Target="http://dx.doi.org/10.2495/CP110041" TargetMode="External"/><Relationship Id="rId30" Type="http://schemas.openxmlformats.org/officeDocument/2006/relationships/hyperlink" Target="https://doi.org/10.1016/j.heliyon.2024.e39824" TargetMode="External"/><Relationship Id="rId105" Type="http://schemas.openxmlformats.org/officeDocument/2006/relationships/hyperlink" Target="https://doi.org/10.1007/s11852-022-00894-z" TargetMode="External"/><Relationship Id="rId126" Type="http://schemas.openxmlformats.org/officeDocument/2006/relationships/hyperlink" Target="https://doi.org/10.1038/s43247-021-00204-9" TargetMode="External"/><Relationship Id="rId147" Type="http://schemas.openxmlformats.org/officeDocument/2006/relationships/hyperlink" Target="https://doi.org/10.1007/s12517-021-06810-3" TargetMode="External"/><Relationship Id="rId168" Type="http://schemas.openxmlformats.org/officeDocument/2006/relationships/hyperlink" Target="https://doi.org/10.5194/nhess-20-2397-2020" TargetMode="External"/><Relationship Id="rId312" Type="http://schemas.openxmlformats.org/officeDocument/2006/relationships/hyperlink" Target="https://doi.org/10.1080/19475705.2024.2368071" TargetMode="External"/><Relationship Id="rId333" Type="http://schemas.openxmlformats.org/officeDocument/2006/relationships/hyperlink" Target="https://doi.org/10.1007/s42797-021-00044-y" TargetMode="External"/><Relationship Id="rId354" Type="http://schemas.openxmlformats.org/officeDocument/2006/relationships/hyperlink" Target="https://doi.org/10.5194/nhess-19-1585-2019" TargetMode="External"/><Relationship Id="rId51" Type="http://schemas.openxmlformats.org/officeDocument/2006/relationships/hyperlink" Target="https://doi.org/10.1007/s11852-024-01055-0" TargetMode="External"/><Relationship Id="rId72" Type="http://schemas.openxmlformats.org/officeDocument/2006/relationships/hyperlink" Target="https://doi.org/10.3390/ijgi12110463" TargetMode="External"/><Relationship Id="rId93" Type="http://schemas.openxmlformats.org/officeDocument/2006/relationships/hyperlink" Target="https://doi.org/10.5194/nhess-23-823-2023" TargetMode="External"/><Relationship Id="rId189" Type="http://schemas.openxmlformats.org/officeDocument/2006/relationships/hyperlink" Target="https://doi.org/10.5194/nhess-19-973-2019" TargetMode="External"/><Relationship Id="rId375" Type="http://schemas.openxmlformats.org/officeDocument/2006/relationships/hyperlink" Target="https://doi.org/10.1016/j.uclim.2015.09.005" TargetMode="External"/><Relationship Id="rId3" Type="http://schemas.openxmlformats.org/officeDocument/2006/relationships/hyperlink" Target="https://doi.org/10.1016/j.jhydrol.2025.132687" TargetMode="External"/><Relationship Id="rId214" Type="http://schemas.openxmlformats.org/officeDocument/2006/relationships/hyperlink" Target="https://doi.org/10.1007/s11069-016-2444-4" TargetMode="External"/><Relationship Id="rId235" Type="http://schemas.openxmlformats.org/officeDocument/2006/relationships/hyperlink" Target="https://doi.org/10.1007/s11069-014-1372-4" TargetMode="External"/><Relationship Id="rId256" Type="http://schemas.openxmlformats.org/officeDocument/2006/relationships/hyperlink" Target="https://doi.org/10.1007/s00024-012-0537-x" TargetMode="External"/><Relationship Id="rId277" Type="http://schemas.openxmlformats.org/officeDocument/2006/relationships/hyperlink" Target="https://doi.org/10.1007/s11111-011-0136-2" TargetMode="External"/><Relationship Id="rId298" Type="http://schemas.openxmlformats.org/officeDocument/2006/relationships/hyperlink" Target="https://doi.org/10.1038/s43247-024-01707-x" TargetMode="External"/><Relationship Id="rId116" Type="http://schemas.openxmlformats.org/officeDocument/2006/relationships/hyperlink" Target="https://doi.org/10.3390/ijgi11040225" TargetMode="External"/><Relationship Id="rId137" Type="http://schemas.openxmlformats.org/officeDocument/2006/relationships/hyperlink" Target="https://doi.org/10.3319/TAO.2021.04.02.01" TargetMode="External"/><Relationship Id="rId158" Type="http://schemas.openxmlformats.org/officeDocument/2006/relationships/hyperlink" Target="https://doi.org/10.1007/s42489-020-00059-8" TargetMode="External"/><Relationship Id="rId302" Type="http://schemas.openxmlformats.org/officeDocument/2006/relationships/hyperlink" Target="https://doi.org/10.1016/j.ijdrr.2024.104905" TargetMode="External"/><Relationship Id="rId323" Type="http://schemas.openxmlformats.org/officeDocument/2006/relationships/hyperlink" Target="https://doi.org/10.1007/s12594-022-2183-y" TargetMode="External"/><Relationship Id="rId344" Type="http://schemas.openxmlformats.org/officeDocument/2006/relationships/hyperlink" Target="https://doi.org/10.1007/s10113-020-01681-y" TargetMode="External"/><Relationship Id="rId20" Type="http://schemas.openxmlformats.org/officeDocument/2006/relationships/hyperlink" Target="https://doi.org/10.1007/s11069-024-06798-5" TargetMode="External"/><Relationship Id="rId41" Type="http://schemas.openxmlformats.org/officeDocument/2006/relationships/hyperlink" Target="https://doi.org/10.1016/j.gsf.2024.101820" TargetMode="External"/><Relationship Id="rId62" Type="http://schemas.openxmlformats.org/officeDocument/2006/relationships/hyperlink" Target="https://doi.org/10.3390/rs16050898" TargetMode="External"/><Relationship Id="rId83" Type="http://schemas.openxmlformats.org/officeDocument/2006/relationships/hyperlink" Target="https://doi.org/10.1007/s11356-022-22924-x" TargetMode="External"/><Relationship Id="rId179" Type="http://schemas.openxmlformats.org/officeDocument/2006/relationships/hyperlink" Target="https://doi.org/10.1007/s11069-020-03861-9" TargetMode="External"/><Relationship Id="rId365" Type="http://schemas.openxmlformats.org/officeDocument/2006/relationships/hyperlink" Target="https://doi.org/10.1007/s10584-014-1298-6" TargetMode="External"/><Relationship Id="rId386" Type="http://schemas.openxmlformats.org/officeDocument/2006/relationships/printerSettings" Target="../printerSettings/printerSettings1.bin"/><Relationship Id="rId190" Type="http://schemas.openxmlformats.org/officeDocument/2006/relationships/hyperlink" Target="https://doi.org/10.1007/s11069-018-3414-9" TargetMode="External"/><Relationship Id="rId204" Type="http://schemas.openxmlformats.org/officeDocument/2006/relationships/hyperlink" Target="https://doi.org/10.1007/s10113-017-1189-2" TargetMode="External"/><Relationship Id="rId225" Type="http://schemas.openxmlformats.org/officeDocument/2006/relationships/hyperlink" Target="https://doi.org/10.1080/01490419.2016.1189471" TargetMode="External"/><Relationship Id="rId246" Type="http://schemas.openxmlformats.org/officeDocument/2006/relationships/hyperlink" Target="https://doi.org/10.1007/s11069-014-1327-9" TargetMode="External"/><Relationship Id="rId267" Type="http://schemas.openxmlformats.org/officeDocument/2006/relationships/hyperlink" Target="https://www.scopus.com/inward/record.uri?eid=2-s2.0-84858965347&amp;partnerID=40&amp;md5=0e7c4dcd7e699d31c5ad552c32aa9aed" TargetMode="External"/><Relationship Id="rId288" Type="http://schemas.openxmlformats.org/officeDocument/2006/relationships/hyperlink" Target="https://doi.org/10.1016/j.gloplacha.2010.01.005" TargetMode="External"/><Relationship Id="rId106" Type="http://schemas.openxmlformats.org/officeDocument/2006/relationships/hyperlink" Target="https://doi.org/10.1016/j.ejrh.2022.101247" TargetMode="External"/><Relationship Id="rId127" Type="http://schemas.openxmlformats.org/officeDocument/2006/relationships/hyperlink" Target="https://doi.org/10.1007/s10584-021-03282-y" TargetMode="External"/><Relationship Id="rId313" Type="http://schemas.openxmlformats.org/officeDocument/2006/relationships/hyperlink" Target="http://dx.doi.org/10.21163/GT_2023.182.10" TargetMode="External"/><Relationship Id="rId10" Type="http://schemas.openxmlformats.org/officeDocument/2006/relationships/hyperlink" Target="https://doi.org/10.1016/j.rsase.2024.101438" TargetMode="External"/><Relationship Id="rId31" Type="http://schemas.openxmlformats.org/officeDocument/2006/relationships/hyperlink" Target="https://doi.org/10.1029/2024GL110359" TargetMode="External"/><Relationship Id="rId52" Type="http://schemas.openxmlformats.org/officeDocument/2006/relationships/hyperlink" Target="https://doi.org/10.1016/j.scitotenv.2024.170830" TargetMode="External"/><Relationship Id="rId73" Type="http://schemas.openxmlformats.org/officeDocument/2006/relationships/hyperlink" Target="https://doi.org/10.1016/j.rsase.2023.101028" TargetMode="External"/><Relationship Id="rId94" Type="http://schemas.openxmlformats.org/officeDocument/2006/relationships/hyperlink" Target="https://doi.org/10.3389/fenvs.2023.1111856" TargetMode="External"/><Relationship Id="rId148" Type="http://schemas.openxmlformats.org/officeDocument/2006/relationships/hyperlink" Target="https://doi.org/10.11947/j.JGGS.2021.0115" TargetMode="External"/><Relationship Id="rId169" Type="http://schemas.openxmlformats.org/officeDocument/2006/relationships/hyperlink" Target="https://doi.org/10.1002/psp.2334" TargetMode="External"/><Relationship Id="rId334" Type="http://schemas.openxmlformats.org/officeDocument/2006/relationships/hyperlink" Target="https://doi.org/10.1007/s11069-021-04843-1" TargetMode="External"/><Relationship Id="rId355" Type="http://schemas.openxmlformats.org/officeDocument/2006/relationships/hyperlink" Target="https://doi.org/10.1007/s00024-019-02235-y" TargetMode="External"/><Relationship Id="rId376" Type="http://schemas.openxmlformats.org/officeDocument/2006/relationships/hyperlink" Target="https://doi.org/10.5194/nhess-9-1509-2009" TargetMode="External"/><Relationship Id="rId4" Type="http://schemas.openxmlformats.org/officeDocument/2006/relationships/hyperlink" Target="https://doi.org/10.52939/ijg.v21i2.3937" TargetMode="External"/><Relationship Id="rId180" Type="http://schemas.openxmlformats.org/officeDocument/2006/relationships/hyperlink" Target="http://dx.doi.org/10.2112/SI95-210.1" TargetMode="External"/><Relationship Id="rId215" Type="http://schemas.openxmlformats.org/officeDocument/2006/relationships/hyperlink" Target="https://doi.org/10.1007/s11069-016-2216-1" TargetMode="External"/><Relationship Id="rId236" Type="http://schemas.openxmlformats.org/officeDocument/2006/relationships/hyperlink" Target="https://doi.org/10.5194/os-11-643-2015" TargetMode="External"/><Relationship Id="rId257" Type="http://schemas.openxmlformats.org/officeDocument/2006/relationships/hyperlink" Target="https://doi.org/10.5194/nhess-13-523-2013" TargetMode="External"/><Relationship Id="rId278" Type="http://schemas.openxmlformats.org/officeDocument/2006/relationships/hyperlink" Target="https://doi.org/10.2112/JCOASTRES-D-10-00072.1" TargetMode="External"/><Relationship Id="rId303" Type="http://schemas.openxmlformats.org/officeDocument/2006/relationships/hyperlink" Target="https://doi.org/10.1016/j.ijdrr.2024.104780" TargetMode="External"/><Relationship Id="rId42" Type="http://schemas.openxmlformats.org/officeDocument/2006/relationships/hyperlink" Target="https://doi.org/10.3390/cli12070093" TargetMode="External"/><Relationship Id="rId84" Type="http://schemas.openxmlformats.org/officeDocument/2006/relationships/hyperlink" Target="https://doi.org/10.3390/atmos14091445" TargetMode="External"/><Relationship Id="rId138" Type="http://schemas.openxmlformats.org/officeDocument/2006/relationships/hyperlink" Target="https://doi.org/10.1016/j.jenvman.2021.112810" TargetMode="External"/><Relationship Id="rId345" Type="http://schemas.openxmlformats.org/officeDocument/2006/relationships/hyperlink" Target="https://doi.org/10.1007/s11069-020-04226-y" TargetMode="External"/><Relationship Id="rId191" Type="http://schemas.openxmlformats.org/officeDocument/2006/relationships/hyperlink" Target="https://doi.org/10.1016/j.jhydrol.2019.02.015" TargetMode="External"/><Relationship Id="rId205" Type="http://schemas.openxmlformats.org/officeDocument/2006/relationships/hyperlink" Target="https://doi.org/10.1002/2017WR021344" TargetMode="External"/><Relationship Id="rId247" Type="http://schemas.openxmlformats.org/officeDocument/2006/relationships/hyperlink" Target="https://doi.org/10.1016/j.ijdrr.2014.04.006" TargetMode="External"/><Relationship Id="rId107" Type="http://schemas.openxmlformats.org/officeDocument/2006/relationships/hyperlink" Target="https://doi.org/10.1016/j.pdisas.2022.100261" TargetMode="External"/><Relationship Id="rId289" Type="http://schemas.openxmlformats.org/officeDocument/2006/relationships/hyperlink" Target="https://doi.org/10.1007/s10661-008-0495-z" TargetMode="External"/><Relationship Id="rId11" Type="http://schemas.openxmlformats.org/officeDocument/2006/relationships/hyperlink" Target="https://doi.org/10.1007/s11069-025-07121-6" TargetMode="External"/><Relationship Id="rId53" Type="http://schemas.openxmlformats.org/officeDocument/2006/relationships/hyperlink" Target="https://doi.org/10.1007/s11069-024-06506-3" TargetMode="External"/><Relationship Id="rId149" Type="http://schemas.openxmlformats.org/officeDocument/2006/relationships/hyperlink" Target="https://doi.org/10.1007/s11852-021-00797-5" TargetMode="External"/><Relationship Id="rId314" Type="http://schemas.openxmlformats.org/officeDocument/2006/relationships/hyperlink" Target="https://doi.org/10.1016/j.jenvman.2023.118838" TargetMode="External"/><Relationship Id="rId356" Type="http://schemas.openxmlformats.org/officeDocument/2006/relationships/hyperlink" Target="https://doi.org/10.1007/s13280-018-1061-8" TargetMode="External"/><Relationship Id="rId95" Type="http://schemas.openxmlformats.org/officeDocument/2006/relationships/hyperlink" Target="https://doi.org/10.1016/j.eiar.2022.106953" TargetMode="External"/><Relationship Id="rId160" Type="http://schemas.openxmlformats.org/officeDocument/2006/relationships/hyperlink" Target="https://doi.org/10.1038/s41558-021-00993-z" TargetMode="External"/><Relationship Id="rId216" Type="http://schemas.openxmlformats.org/officeDocument/2006/relationships/hyperlink" Target="https://doi.org/10.1016/j.ijdrr.2016.02.002" TargetMode="External"/><Relationship Id="rId258" Type="http://schemas.openxmlformats.org/officeDocument/2006/relationships/hyperlink" Target="https://doi.org/10.1007/s11069-012-0193-6" TargetMode="External"/><Relationship Id="rId22" Type="http://schemas.openxmlformats.org/officeDocument/2006/relationships/hyperlink" Target="https://doi.org/10.1016/j.pdisas.2024.100388" TargetMode="External"/><Relationship Id="rId64" Type="http://schemas.openxmlformats.org/officeDocument/2006/relationships/hyperlink" Target="https://doi.org/10.1016/j.scitotenv.2023.168140" TargetMode="External"/><Relationship Id="rId118" Type="http://schemas.openxmlformats.org/officeDocument/2006/relationships/hyperlink" Target="https://doi.org/10.4102/jamba.v14i1.1172" TargetMode="External"/><Relationship Id="rId325" Type="http://schemas.openxmlformats.org/officeDocument/2006/relationships/hyperlink" Target="https://doi.org/10.1016/j.jsames.2022.103982" TargetMode="External"/><Relationship Id="rId367" Type="http://schemas.openxmlformats.org/officeDocument/2006/relationships/hyperlink" Target="https://doi.org/10.1007/s10113-014-0651-7" TargetMode="External"/><Relationship Id="rId171" Type="http://schemas.openxmlformats.org/officeDocument/2006/relationships/hyperlink" Target="https://doi.org/10.1007/s12517-020-05407-6" TargetMode="External"/><Relationship Id="rId227" Type="http://schemas.openxmlformats.org/officeDocument/2006/relationships/hyperlink" Target="https://doi.org/10.1002/2016EF000430" TargetMode="External"/><Relationship Id="rId269" Type="http://schemas.openxmlformats.org/officeDocument/2006/relationships/hyperlink" Target="https://doi.org/10.1080/09669582.2012.699063" TargetMode="External"/><Relationship Id="rId33" Type="http://schemas.openxmlformats.org/officeDocument/2006/relationships/hyperlink" Target="https://doi.org/10.1007/s13753-024-00590-6" TargetMode="External"/><Relationship Id="rId129" Type="http://schemas.openxmlformats.org/officeDocument/2006/relationships/hyperlink" Target="https://doi.org/10.1007/s12517-021-08538-6" TargetMode="External"/><Relationship Id="rId280" Type="http://schemas.openxmlformats.org/officeDocument/2006/relationships/hyperlink" Target="https://doi.org/10.1007/s12209-011-1515-6" TargetMode="External"/><Relationship Id="rId336" Type="http://schemas.openxmlformats.org/officeDocument/2006/relationships/hyperlink" Target="https://doi.org/10.1016/j.ijdrr.2021.102355" TargetMode="External"/><Relationship Id="rId75" Type="http://schemas.openxmlformats.org/officeDocument/2006/relationships/hyperlink" Target="https://doi.org/10.5194/nhess-23-3585-2023" TargetMode="External"/><Relationship Id="rId140" Type="http://schemas.openxmlformats.org/officeDocument/2006/relationships/hyperlink" Target="https://doi.org/10.1016/j.sciaf.2021.e00787" TargetMode="External"/><Relationship Id="rId182" Type="http://schemas.openxmlformats.org/officeDocument/2006/relationships/hyperlink" Target="https://doi.org/10.1016/j.crm.2019.100207" TargetMode="External"/><Relationship Id="rId378" Type="http://schemas.openxmlformats.org/officeDocument/2006/relationships/hyperlink" Target="https://doi.org/10.1007/s11069-012-0261-y" TargetMode="External"/><Relationship Id="rId6" Type="http://schemas.openxmlformats.org/officeDocument/2006/relationships/hyperlink" Target="https://doi.org/10.1016/j.ijdrr.2025.105217Get%20rights%20and%20content" TargetMode="External"/><Relationship Id="rId238" Type="http://schemas.openxmlformats.org/officeDocument/2006/relationships/hyperlink" Target="https://doi.org/10.1371/journal.pone.0118571" TargetMode="External"/><Relationship Id="rId291" Type="http://schemas.openxmlformats.org/officeDocument/2006/relationships/hyperlink" Target="https://doi.org/10.1016/j.ocemod.2010.09.004" TargetMode="External"/><Relationship Id="rId305" Type="http://schemas.openxmlformats.org/officeDocument/2006/relationships/hyperlink" Target="https://doi.org/10.1016/j.jenvman.2024.121295" TargetMode="External"/><Relationship Id="rId347" Type="http://schemas.openxmlformats.org/officeDocument/2006/relationships/hyperlink" Target="https://doi.org/10.1016/j.ejrh.2020.100703" TargetMode="External"/><Relationship Id="rId44" Type="http://schemas.openxmlformats.org/officeDocument/2006/relationships/hyperlink" Target="https://doi.org/10.1007/s11769-024-1442-9" TargetMode="External"/><Relationship Id="rId86" Type="http://schemas.openxmlformats.org/officeDocument/2006/relationships/hyperlink" Target="https://doi.org/10.1016/j.margeo.2023.107032" TargetMode="External"/><Relationship Id="rId151" Type="http://schemas.openxmlformats.org/officeDocument/2006/relationships/hyperlink" Target="https://doi.org/10.1007/s12524-020-01216-2" TargetMode="External"/><Relationship Id="rId193" Type="http://schemas.openxmlformats.org/officeDocument/2006/relationships/hyperlink" Target="http://dx.doi.org/10.2112/SI92-008.1" TargetMode="External"/><Relationship Id="rId207" Type="http://schemas.openxmlformats.org/officeDocument/2006/relationships/hyperlink" Target="https://doi.org/10.1016/j.jafrearsci.2017.07.019" TargetMode="External"/><Relationship Id="rId249" Type="http://schemas.openxmlformats.org/officeDocument/2006/relationships/hyperlink" Target="https://doi.org/10.3724/SP.J.1248.2014.057" TargetMode="External"/><Relationship Id="rId13" Type="http://schemas.openxmlformats.org/officeDocument/2006/relationships/hyperlink" Target="https://doi.org/10.1016/j.jsames.2024.105331" TargetMode="External"/><Relationship Id="rId109" Type="http://schemas.openxmlformats.org/officeDocument/2006/relationships/hyperlink" Target="https://doi.org/10.5194/nhess-22-2359-2022" TargetMode="External"/><Relationship Id="rId260" Type="http://schemas.openxmlformats.org/officeDocument/2006/relationships/hyperlink" Target="https://doi.org/10.1007/s11069-011-0059-3" TargetMode="External"/><Relationship Id="rId316" Type="http://schemas.openxmlformats.org/officeDocument/2006/relationships/hyperlink" Target="https://doi.org/10.1002/rra.3913" TargetMode="External"/><Relationship Id="rId55" Type="http://schemas.openxmlformats.org/officeDocument/2006/relationships/hyperlink" Target="https://doi.org/10.1016/j.ijdrr.2024.104435" TargetMode="External"/><Relationship Id="rId97" Type="http://schemas.openxmlformats.org/officeDocument/2006/relationships/hyperlink" Target="https://doi.org/10.1109/JSTARS.2023.3272782" TargetMode="External"/><Relationship Id="rId120" Type="http://schemas.openxmlformats.org/officeDocument/2006/relationships/hyperlink" Target="https://doi.org/10.3390/rs14030637" TargetMode="External"/><Relationship Id="rId358" Type="http://schemas.openxmlformats.org/officeDocument/2006/relationships/hyperlink" Target="https://doi.org/10.1007/s10661-018-7048-x" TargetMode="External"/><Relationship Id="rId162" Type="http://schemas.openxmlformats.org/officeDocument/2006/relationships/hyperlink" Target="https://doi.org/10.1016/j.crm.2020.100266" TargetMode="External"/><Relationship Id="rId218" Type="http://schemas.openxmlformats.org/officeDocument/2006/relationships/hyperlink" Target="https://doi.org/10.1142/S201000781650007X" TargetMode="External"/><Relationship Id="rId271" Type="http://schemas.openxmlformats.org/officeDocument/2006/relationships/hyperlink" Target="https://doi.org/10.1007/s11069-012-0276-4" TargetMode="External"/><Relationship Id="rId24" Type="http://schemas.openxmlformats.org/officeDocument/2006/relationships/hyperlink" Target="https://doi.org/10.1038/s41598-023-48136-y" TargetMode="External"/><Relationship Id="rId66" Type="http://schemas.openxmlformats.org/officeDocument/2006/relationships/hyperlink" Target="https://doi.org/10.1029/2023EF003581" TargetMode="External"/><Relationship Id="rId131" Type="http://schemas.openxmlformats.org/officeDocument/2006/relationships/hyperlink" Target="https://doi.org/10.1007/s12524-021-01331-8" TargetMode="External"/><Relationship Id="rId327" Type="http://schemas.openxmlformats.org/officeDocument/2006/relationships/hyperlink" Target="https://doi.org/10.1007/s11069-022-05420-w" TargetMode="External"/><Relationship Id="rId369" Type="http://schemas.openxmlformats.org/officeDocument/2006/relationships/hyperlink" Target="https://doi.org/10.1126/science.aab3574" TargetMode="External"/><Relationship Id="rId173" Type="http://schemas.openxmlformats.org/officeDocument/2006/relationships/hyperlink" Target="https://doi.org/10.1007/s10113-020-01628-3" TargetMode="External"/><Relationship Id="rId229" Type="http://schemas.openxmlformats.org/officeDocument/2006/relationships/hyperlink" Target="https://doi.org/10.1007/s10652-015-9434-z" TargetMode="External"/><Relationship Id="rId380" Type="http://schemas.openxmlformats.org/officeDocument/2006/relationships/hyperlink" Target="https://doi.org/10.1080/01490419.2011.646606" TargetMode="External"/><Relationship Id="rId240" Type="http://schemas.openxmlformats.org/officeDocument/2006/relationships/hyperlink" Target="https://doi.org/10.1016/j.jenvman.2014.06.010" TargetMode="External"/><Relationship Id="rId35" Type="http://schemas.openxmlformats.org/officeDocument/2006/relationships/hyperlink" Target="https://doi.org/10.1007/s13753-024-00573-7" TargetMode="External"/><Relationship Id="rId77" Type="http://schemas.openxmlformats.org/officeDocument/2006/relationships/hyperlink" Target="https://doi.org/10.3390/rs15194828" TargetMode="External"/><Relationship Id="rId100" Type="http://schemas.openxmlformats.org/officeDocument/2006/relationships/hyperlink" Target="https://doi.org/10.55493/5003.v13i1.4719" TargetMode="External"/><Relationship Id="rId282" Type="http://schemas.openxmlformats.org/officeDocument/2006/relationships/hyperlink" Target="https://doi.org/10.1073/pnas.1011612108" TargetMode="External"/><Relationship Id="rId338" Type="http://schemas.openxmlformats.org/officeDocument/2006/relationships/hyperlink" Target="https://doi.org/10.5194/nhess-21-2021-2021" TargetMode="External"/><Relationship Id="rId8" Type="http://schemas.openxmlformats.org/officeDocument/2006/relationships/hyperlink" Target="https://doi.org/10.1007/s00024-025-03681-7" TargetMode="External"/><Relationship Id="rId142" Type="http://schemas.openxmlformats.org/officeDocument/2006/relationships/hyperlink" Target="https://doi.org/10.5194/nhess-21-1101-2021" TargetMode="External"/><Relationship Id="rId184" Type="http://schemas.openxmlformats.org/officeDocument/2006/relationships/hyperlink" Target="https://doi.org/10.1007/s41324-018-00236-y" TargetMode="External"/><Relationship Id="rId251" Type="http://schemas.openxmlformats.org/officeDocument/2006/relationships/hyperlink" Target="https://www.scopus.com/inward/record.uri?eid=2-s2.0-84920876096&amp;partnerID=40&amp;md5=ab2b1866b8687f765fa9f4eb4faff72b" TargetMode="External"/><Relationship Id="rId46" Type="http://schemas.openxmlformats.org/officeDocument/2006/relationships/hyperlink" Target="https://doi.org/10.31035/CG2024074" TargetMode="External"/><Relationship Id="rId293" Type="http://schemas.openxmlformats.org/officeDocument/2006/relationships/hyperlink" Target="https://doi.org/10.1007/s11625-010-0105-1" TargetMode="External"/><Relationship Id="rId307" Type="http://schemas.openxmlformats.org/officeDocument/2006/relationships/hyperlink" Target="https://doi.org/10.1007/s43545-024-00909-6" TargetMode="External"/><Relationship Id="rId349" Type="http://schemas.openxmlformats.org/officeDocument/2006/relationships/hyperlink" Target="https://doi.org/10.1007/s41748-020-00147-9" TargetMode="External"/><Relationship Id="rId88" Type="http://schemas.openxmlformats.org/officeDocument/2006/relationships/hyperlink" Target="https://doi.org/10.1007/s11356-023-27686-8" TargetMode="External"/><Relationship Id="rId111" Type="http://schemas.openxmlformats.org/officeDocument/2006/relationships/hyperlink" Target="https://doi.org/10.3390/rs14174409" TargetMode="External"/><Relationship Id="rId153" Type="http://schemas.openxmlformats.org/officeDocument/2006/relationships/hyperlink" Target="https://doi.org/10.1080/02697459.2020.1859199" TargetMode="External"/><Relationship Id="rId195" Type="http://schemas.openxmlformats.org/officeDocument/2006/relationships/hyperlink" Target="https://doi.org/10.1016/j.jhydrol.2018.11.072" TargetMode="External"/><Relationship Id="rId209" Type="http://schemas.openxmlformats.org/officeDocument/2006/relationships/hyperlink" Target="https://doi.org/10.1007/s10668-016-9804-9" TargetMode="External"/><Relationship Id="rId360" Type="http://schemas.openxmlformats.org/officeDocument/2006/relationships/hyperlink" Target="https://doi.org/10.1007/s12517-018-4095-0" TargetMode="External"/><Relationship Id="rId220" Type="http://schemas.openxmlformats.org/officeDocument/2006/relationships/hyperlink" Target="https://doi.org/10.1007/s11625-016-0355-7" TargetMode="External"/><Relationship Id="rId15" Type="http://schemas.openxmlformats.org/officeDocument/2006/relationships/hyperlink" Target="https://doi.org/10.1007/s11069-025-07149-8" TargetMode="External"/><Relationship Id="rId57" Type="http://schemas.openxmlformats.org/officeDocument/2006/relationships/hyperlink" Target="https://doi.org/10.1007/s11069-024-06460-0" TargetMode="External"/><Relationship Id="rId262" Type="http://schemas.openxmlformats.org/officeDocument/2006/relationships/hyperlink" Target="https://doi.org/10.2112/JCOASTRES-D-10-00069.1" TargetMode="External"/><Relationship Id="rId318" Type="http://schemas.openxmlformats.org/officeDocument/2006/relationships/hyperlink" Target="https://doi.org/10.13189/eer.2023.110208" TargetMode="External"/><Relationship Id="rId99" Type="http://schemas.openxmlformats.org/officeDocument/2006/relationships/hyperlink" Target="https://doi.org/10.1016/j.crm.2022.100470" TargetMode="External"/><Relationship Id="rId122" Type="http://schemas.openxmlformats.org/officeDocument/2006/relationships/hyperlink" Target="https://doi.org/10.1016/j.pdisas.2022.100216" TargetMode="External"/><Relationship Id="rId164" Type="http://schemas.openxmlformats.org/officeDocument/2006/relationships/hyperlink" Target="https://doi.org/10.3389/fclim.2020.579715" TargetMode="External"/><Relationship Id="rId371" Type="http://schemas.openxmlformats.org/officeDocument/2006/relationships/hyperlink" Target="https://doi.org/10.1007/s11069-016-2483-x" TargetMode="External"/><Relationship Id="rId26" Type="http://schemas.openxmlformats.org/officeDocument/2006/relationships/hyperlink" Target="https://doi.org/10.1038/s41598-023-48612-5" TargetMode="External"/><Relationship Id="rId231" Type="http://schemas.openxmlformats.org/officeDocument/2006/relationships/hyperlink" Target="https://doi.org/10.1007/s11069-015-2020-3" TargetMode="External"/><Relationship Id="rId273" Type="http://schemas.openxmlformats.org/officeDocument/2006/relationships/hyperlink" Target="https://doi.org/10.1007/s11707-012-0304-4" TargetMode="External"/><Relationship Id="rId329" Type="http://schemas.openxmlformats.org/officeDocument/2006/relationships/hyperlink" Target="https://www.scopus.com/inward/record.uri?eid=2-s2.0-85136600535&amp;partnerID=40&amp;md5=07adf1a25a22d6605590d72556bcb16d"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E0757-E26F-471B-A539-384436B9E6D1}">
  <dimension ref="A1:L7246"/>
  <sheetViews>
    <sheetView tabSelected="1" workbookViewId="0">
      <pane ySplit="1" topLeftCell="A2" activePane="bottomLeft" state="frozen"/>
      <selection pane="bottomLeft"/>
    </sheetView>
  </sheetViews>
  <sheetFormatPr baseColWidth="10" defaultRowHeight="14.4" x14ac:dyDescent="0.3"/>
  <cols>
    <col min="1" max="1" width="60.6640625" style="4" customWidth="1"/>
    <col min="2" max="2" width="28.109375" customWidth="1"/>
    <col min="8" max="8" width="114.6640625" style="4" customWidth="1"/>
  </cols>
  <sheetData>
    <row r="1" spans="1:12" x14ac:dyDescent="0.3">
      <c r="A1" s="8" t="s">
        <v>3107</v>
      </c>
      <c r="B1" s="2" t="s">
        <v>3108</v>
      </c>
      <c r="C1" s="2" t="s">
        <v>0</v>
      </c>
      <c r="D1" s="2" t="s">
        <v>10771</v>
      </c>
      <c r="E1" s="2" t="s">
        <v>10772</v>
      </c>
      <c r="F1" s="2" t="s">
        <v>10773</v>
      </c>
      <c r="G1" s="2" t="s">
        <v>10774</v>
      </c>
      <c r="H1" s="8" t="s">
        <v>10775</v>
      </c>
      <c r="I1" s="2" t="s">
        <v>10776</v>
      </c>
      <c r="J1" s="2" t="s">
        <v>10777</v>
      </c>
      <c r="K1" s="2" t="s">
        <v>10778</v>
      </c>
      <c r="L1" s="2"/>
    </row>
    <row r="2" spans="1:12" ht="201.6" x14ac:dyDescent="0.3">
      <c r="A2" s="4" t="s">
        <v>3681</v>
      </c>
      <c r="B2">
        <v>3</v>
      </c>
      <c r="C2">
        <v>2025</v>
      </c>
      <c r="D2" t="s">
        <v>907</v>
      </c>
      <c r="E2">
        <v>0</v>
      </c>
      <c r="F2" t="s">
        <v>10779</v>
      </c>
      <c r="G2" t="s">
        <v>10780</v>
      </c>
      <c r="H2" s="4" t="s">
        <v>10781</v>
      </c>
      <c r="I2" t="s">
        <v>71</v>
      </c>
      <c r="J2" t="s">
        <v>10782</v>
      </c>
      <c r="K2" t="s">
        <v>10783</v>
      </c>
    </row>
    <row r="3" spans="1:12" ht="259.2" x14ac:dyDescent="0.3">
      <c r="A3" s="4" t="s">
        <v>3682</v>
      </c>
      <c r="B3">
        <v>3</v>
      </c>
      <c r="C3">
        <v>2025</v>
      </c>
      <c r="D3" t="s">
        <v>550</v>
      </c>
      <c r="E3">
        <v>0</v>
      </c>
      <c r="F3" t="s">
        <v>10784</v>
      </c>
      <c r="G3" t="s">
        <v>10785</v>
      </c>
      <c r="H3" s="4" t="s">
        <v>10786</v>
      </c>
      <c r="I3" t="s">
        <v>71</v>
      </c>
      <c r="J3" t="s">
        <v>10782</v>
      </c>
      <c r="K3" t="s">
        <v>10787</v>
      </c>
    </row>
    <row r="4" spans="1:12" ht="187.2" x14ac:dyDescent="0.3">
      <c r="A4" s="4" t="s">
        <v>3683</v>
      </c>
      <c r="B4">
        <v>3</v>
      </c>
      <c r="C4">
        <v>2025</v>
      </c>
      <c r="D4" t="s">
        <v>10788</v>
      </c>
      <c r="E4">
        <v>0</v>
      </c>
      <c r="F4" t="s">
        <v>10789</v>
      </c>
      <c r="G4" t="s">
        <v>10790</v>
      </c>
      <c r="H4" s="4" t="s">
        <v>10791</v>
      </c>
      <c r="I4" t="s">
        <v>71</v>
      </c>
      <c r="J4" t="s">
        <v>10782</v>
      </c>
      <c r="K4" t="s">
        <v>10792</v>
      </c>
    </row>
    <row r="5" spans="1:12" ht="201.6" x14ac:dyDescent="0.3">
      <c r="A5" s="4" t="s">
        <v>3443</v>
      </c>
      <c r="B5">
        <v>2</v>
      </c>
      <c r="C5">
        <v>2025</v>
      </c>
      <c r="D5" t="s">
        <v>637</v>
      </c>
      <c r="E5">
        <v>0</v>
      </c>
      <c r="F5" t="s">
        <v>10793</v>
      </c>
      <c r="G5" t="s">
        <v>10794</v>
      </c>
      <c r="H5" s="4" t="s">
        <v>10795</v>
      </c>
    </row>
    <row r="6" spans="1:12" ht="172.8" x14ac:dyDescent="0.3">
      <c r="A6" s="4" t="s">
        <v>3684</v>
      </c>
      <c r="B6">
        <v>3</v>
      </c>
      <c r="C6">
        <v>2025</v>
      </c>
      <c r="D6" t="s">
        <v>10796</v>
      </c>
      <c r="E6">
        <v>0</v>
      </c>
      <c r="F6" t="s">
        <v>10797</v>
      </c>
      <c r="G6" t="s">
        <v>10798</v>
      </c>
      <c r="H6" s="4" t="s">
        <v>10799</v>
      </c>
      <c r="I6" t="s">
        <v>71</v>
      </c>
      <c r="J6" t="s">
        <v>10782</v>
      </c>
      <c r="K6" t="s">
        <v>10800</v>
      </c>
    </row>
    <row r="7" spans="1:12" ht="172.8" x14ac:dyDescent="0.3">
      <c r="A7" s="4" t="s">
        <v>81</v>
      </c>
      <c r="B7">
        <v>1</v>
      </c>
      <c r="C7">
        <v>2025</v>
      </c>
      <c r="D7" t="s">
        <v>83</v>
      </c>
      <c r="E7">
        <v>0</v>
      </c>
      <c r="F7" t="s">
        <v>10801</v>
      </c>
      <c r="G7" t="s">
        <v>10802</v>
      </c>
      <c r="H7" s="4" t="s">
        <v>10803</v>
      </c>
      <c r="I7" t="s">
        <v>71</v>
      </c>
      <c r="J7" t="s">
        <v>10782</v>
      </c>
      <c r="K7" t="s">
        <v>10804</v>
      </c>
    </row>
    <row r="8" spans="1:12" ht="201.6" x14ac:dyDescent="0.3">
      <c r="A8" s="4" t="s">
        <v>3685</v>
      </c>
      <c r="B8">
        <v>3</v>
      </c>
      <c r="C8">
        <v>2025</v>
      </c>
      <c r="D8" t="s">
        <v>10805</v>
      </c>
      <c r="E8">
        <v>0</v>
      </c>
      <c r="F8" t="s">
        <v>10806</v>
      </c>
      <c r="G8" t="s">
        <v>10807</v>
      </c>
      <c r="H8" s="4" t="s">
        <v>10808</v>
      </c>
      <c r="I8" t="s">
        <v>71</v>
      </c>
      <c r="J8" t="s">
        <v>10782</v>
      </c>
      <c r="K8" t="s">
        <v>10809</v>
      </c>
    </row>
    <row r="9" spans="1:12" ht="144" x14ac:dyDescent="0.3">
      <c r="A9" s="4" t="s">
        <v>3686</v>
      </c>
      <c r="B9">
        <v>3</v>
      </c>
      <c r="C9">
        <v>2025</v>
      </c>
      <c r="D9" t="s">
        <v>10810</v>
      </c>
      <c r="E9">
        <v>0</v>
      </c>
      <c r="F9" t="s">
        <v>10811</v>
      </c>
      <c r="G9" t="s">
        <v>10812</v>
      </c>
      <c r="H9" s="4" t="s">
        <v>10813</v>
      </c>
      <c r="I9" t="s">
        <v>71</v>
      </c>
      <c r="J9" t="s">
        <v>10782</v>
      </c>
      <c r="K9" t="s">
        <v>10814</v>
      </c>
    </row>
    <row r="10" spans="1:12" ht="129.6" x14ac:dyDescent="0.3">
      <c r="A10" s="4" t="s">
        <v>3687</v>
      </c>
      <c r="B10">
        <v>3</v>
      </c>
      <c r="C10">
        <v>2025</v>
      </c>
      <c r="D10" t="s">
        <v>10815</v>
      </c>
      <c r="E10">
        <v>0</v>
      </c>
      <c r="F10" t="s">
        <v>10816</v>
      </c>
      <c r="G10" t="s">
        <v>10817</v>
      </c>
      <c r="H10" s="4" t="s">
        <v>10818</v>
      </c>
      <c r="I10" t="s">
        <v>71</v>
      </c>
      <c r="J10" t="s">
        <v>10782</v>
      </c>
      <c r="K10" t="s">
        <v>10819</v>
      </c>
    </row>
    <row r="11" spans="1:12" ht="172.8" x14ac:dyDescent="0.3">
      <c r="A11" s="4" t="s">
        <v>3444</v>
      </c>
      <c r="B11">
        <v>2</v>
      </c>
      <c r="C11">
        <v>2025</v>
      </c>
      <c r="D11" t="s">
        <v>329</v>
      </c>
      <c r="E11">
        <v>0</v>
      </c>
      <c r="F11" t="s">
        <v>10820</v>
      </c>
      <c r="G11" t="s">
        <v>10821</v>
      </c>
      <c r="H11" s="4" t="s">
        <v>10822</v>
      </c>
      <c r="I11" t="s">
        <v>10823</v>
      </c>
      <c r="J11" t="s">
        <v>10782</v>
      </c>
      <c r="K11" t="s">
        <v>10824</v>
      </c>
    </row>
    <row r="12" spans="1:12" ht="172.8" x14ac:dyDescent="0.3">
      <c r="A12" s="4" t="s">
        <v>3688</v>
      </c>
      <c r="B12">
        <v>3</v>
      </c>
      <c r="C12">
        <v>2025</v>
      </c>
      <c r="D12" t="s">
        <v>10825</v>
      </c>
      <c r="E12">
        <v>0</v>
      </c>
      <c r="F12" t="s">
        <v>10826</v>
      </c>
      <c r="G12" t="s">
        <v>10827</v>
      </c>
      <c r="H12" s="4" t="s">
        <v>10828</v>
      </c>
      <c r="I12" t="s">
        <v>71</v>
      </c>
      <c r="J12" t="s">
        <v>10782</v>
      </c>
      <c r="K12" t="s">
        <v>10829</v>
      </c>
    </row>
    <row r="13" spans="1:12" ht="144" x14ac:dyDescent="0.3">
      <c r="A13" s="4" t="s">
        <v>3689</v>
      </c>
      <c r="B13">
        <v>3</v>
      </c>
      <c r="C13">
        <v>2025</v>
      </c>
      <c r="D13" t="s">
        <v>2201</v>
      </c>
      <c r="E13">
        <v>0</v>
      </c>
      <c r="F13" t="s">
        <v>10830</v>
      </c>
      <c r="G13" t="s">
        <v>10831</v>
      </c>
      <c r="H13" s="4" t="s">
        <v>10832</v>
      </c>
      <c r="I13" t="s">
        <v>71</v>
      </c>
      <c r="J13" t="s">
        <v>10782</v>
      </c>
      <c r="K13" t="s">
        <v>10833</v>
      </c>
    </row>
    <row r="14" spans="1:12" ht="115.2" x14ac:dyDescent="0.3">
      <c r="A14" s="4" t="s">
        <v>3690</v>
      </c>
      <c r="B14">
        <v>3</v>
      </c>
      <c r="C14">
        <v>2025</v>
      </c>
      <c r="D14" t="s">
        <v>2416</v>
      </c>
      <c r="E14">
        <v>0</v>
      </c>
      <c r="F14" t="s">
        <v>10834</v>
      </c>
      <c r="G14" t="s">
        <v>10835</v>
      </c>
      <c r="H14" s="4" t="s">
        <v>10836</v>
      </c>
      <c r="I14" t="s">
        <v>71</v>
      </c>
      <c r="J14" t="s">
        <v>10782</v>
      </c>
      <c r="K14" t="s">
        <v>10837</v>
      </c>
    </row>
    <row r="15" spans="1:12" ht="259.2" x14ac:dyDescent="0.3">
      <c r="A15" s="4" t="s">
        <v>3445</v>
      </c>
      <c r="B15">
        <v>2</v>
      </c>
      <c r="C15">
        <v>2025</v>
      </c>
      <c r="D15" t="s">
        <v>318</v>
      </c>
      <c r="E15">
        <v>0</v>
      </c>
      <c r="F15" t="s">
        <v>10838</v>
      </c>
      <c r="G15" t="s">
        <v>10839</v>
      </c>
      <c r="H15" s="4" t="s">
        <v>10840</v>
      </c>
      <c r="I15" t="s">
        <v>71</v>
      </c>
      <c r="J15" t="s">
        <v>10782</v>
      </c>
      <c r="K15" t="s">
        <v>10841</v>
      </c>
    </row>
    <row r="16" spans="1:12" ht="201.6" x14ac:dyDescent="0.3">
      <c r="A16" s="4" t="s">
        <v>3446</v>
      </c>
      <c r="B16">
        <v>2</v>
      </c>
      <c r="C16">
        <v>2025</v>
      </c>
      <c r="D16" t="s">
        <v>318</v>
      </c>
      <c r="E16">
        <v>0</v>
      </c>
      <c r="F16" t="s">
        <v>10842</v>
      </c>
      <c r="G16" t="s">
        <v>10843</v>
      </c>
      <c r="H16" s="4" t="s">
        <v>10844</v>
      </c>
      <c r="I16" t="s">
        <v>71</v>
      </c>
      <c r="J16" t="s">
        <v>10782</v>
      </c>
      <c r="K16" t="s">
        <v>10845</v>
      </c>
    </row>
    <row r="17" spans="1:11" ht="187.2" x14ac:dyDescent="0.3">
      <c r="A17" s="4" t="s">
        <v>3691</v>
      </c>
      <c r="B17">
        <v>3</v>
      </c>
      <c r="C17">
        <v>2025</v>
      </c>
      <c r="D17" t="s">
        <v>550</v>
      </c>
      <c r="E17">
        <v>0</v>
      </c>
      <c r="F17" t="s">
        <v>10846</v>
      </c>
      <c r="G17" t="s">
        <v>10847</v>
      </c>
      <c r="H17" s="4" t="s">
        <v>10848</v>
      </c>
      <c r="I17" t="s">
        <v>71</v>
      </c>
      <c r="J17" t="s">
        <v>10782</v>
      </c>
      <c r="K17" t="s">
        <v>10849</v>
      </c>
    </row>
    <row r="18" spans="1:11" ht="187.2" x14ac:dyDescent="0.3">
      <c r="A18" s="4" t="s">
        <v>3692</v>
      </c>
      <c r="B18">
        <v>3</v>
      </c>
      <c r="C18">
        <v>2025</v>
      </c>
      <c r="D18" t="s">
        <v>1125</v>
      </c>
      <c r="E18">
        <v>0</v>
      </c>
      <c r="F18" t="s">
        <v>10850</v>
      </c>
      <c r="G18" t="s">
        <v>10851</v>
      </c>
      <c r="H18" s="4" t="s">
        <v>10852</v>
      </c>
    </row>
    <row r="19" spans="1:11" ht="172.8" x14ac:dyDescent="0.3">
      <c r="A19" s="4" t="s">
        <v>3693</v>
      </c>
      <c r="B19">
        <v>3</v>
      </c>
      <c r="C19">
        <v>2025</v>
      </c>
      <c r="D19" t="s">
        <v>277</v>
      </c>
      <c r="E19">
        <v>0</v>
      </c>
      <c r="F19" t="s">
        <v>10853</v>
      </c>
      <c r="G19" t="s">
        <v>10854</v>
      </c>
      <c r="H19" s="4" t="s">
        <v>10855</v>
      </c>
      <c r="I19" t="s">
        <v>71</v>
      </c>
      <c r="J19" t="s">
        <v>10782</v>
      </c>
      <c r="K19" t="s">
        <v>10856</v>
      </c>
    </row>
    <row r="20" spans="1:11" ht="115.2" x14ac:dyDescent="0.3">
      <c r="A20" s="4" t="s">
        <v>3694</v>
      </c>
      <c r="B20">
        <v>3</v>
      </c>
      <c r="C20">
        <v>2025</v>
      </c>
      <c r="D20" t="s">
        <v>679</v>
      </c>
      <c r="E20">
        <v>0</v>
      </c>
      <c r="F20" t="s">
        <v>10857</v>
      </c>
      <c r="G20" t="s">
        <v>10858</v>
      </c>
      <c r="H20" s="4" t="s">
        <v>10859</v>
      </c>
      <c r="I20" t="s">
        <v>71</v>
      </c>
      <c r="J20" t="s">
        <v>10782</v>
      </c>
      <c r="K20" t="s">
        <v>10860</v>
      </c>
    </row>
    <row r="21" spans="1:11" ht="158.4" x14ac:dyDescent="0.3">
      <c r="A21" s="4" t="s">
        <v>3695</v>
      </c>
      <c r="B21">
        <v>3</v>
      </c>
      <c r="C21">
        <v>2025</v>
      </c>
      <c r="D21" t="s">
        <v>637</v>
      </c>
      <c r="E21">
        <v>0</v>
      </c>
      <c r="F21" t="s">
        <v>10861</v>
      </c>
      <c r="G21" t="s">
        <v>10862</v>
      </c>
      <c r="H21" s="4" t="s">
        <v>10863</v>
      </c>
      <c r="I21" t="s">
        <v>10823</v>
      </c>
      <c r="J21" t="s">
        <v>10782</v>
      </c>
      <c r="K21" t="s">
        <v>10864</v>
      </c>
    </row>
    <row r="22" spans="1:11" ht="129.6" x14ac:dyDescent="0.3">
      <c r="A22" s="4" t="s">
        <v>3696</v>
      </c>
      <c r="B22">
        <v>3</v>
      </c>
      <c r="C22">
        <v>2025</v>
      </c>
      <c r="D22" t="s">
        <v>80</v>
      </c>
      <c r="E22">
        <v>0</v>
      </c>
      <c r="F22" t="s">
        <v>10865</v>
      </c>
      <c r="G22" t="s">
        <v>10866</v>
      </c>
      <c r="H22" s="4" t="s">
        <v>10867</v>
      </c>
      <c r="I22" t="s">
        <v>71</v>
      </c>
      <c r="J22" t="s">
        <v>10782</v>
      </c>
      <c r="K22" t="s">
        <v>10868</v>
      </c>
    </row>
    <row r="23" spans="1:11" ht="86.4" x14ac:dyDescent="0.3">
      <c r="A23" s="4" t="s">
        <v>3697</v>
      </c>
      <c r="B23">
        <v>3</v>
      </c>
      <c r="C23">
        <v>2025</v>
      </c>
      <c r="D23" t="s">
        <v>10869</v>
      </c>
      <c r="E23">
        <v>0</v>
      </c>
      <c r="F23" t="s">
        <v>10870</v>
      </c>
      <c r="G23" t="s">
        <v>10871</v>
      </c>
      <c r="H23" s="4" t="s">
        <v>10872</v>
      </c>
    </row>
    <row r="24" spans="1:11" ht="230.4" x14ac:dyDescent="0.3">
      <c r="A24" s="4" t="s">
        <v>3110</v>
      </c>
      <c r="B24">
        <v>1</v>
      </c>
      <c r="C24">
        <v>2025</v>
      </c>
      <c r="D24" t="s">
        <v>318</v>
      </c>
      <c r="E24">
        <v>0</v>
      </c>
      <c r="F24" t="s">
        <v>10873</v>
      </c>
      <c r="G24" t="s">
        <v>10874</v>
      </c>
      <c r="H24" s="4" t="s">
        <v>10875</v>
      </c>
      <c r="I24" t="s">
        <v>71</v>
      </c>
      <c r="J24" t="s">
        <v>10782</v>
      </c>
      <c r="K24" t="s">
        <v>10876</v>
      </c>
    </row>
    <row r="25" spans="1:11" ht="172.8" x14ac:dyDescent="0.3">
      <c r="A25" s="4" t="s">
        <v>3698</v>
      </c>
      <c r="B25">
        <v>3</v>
      </c>
      <c r="C25">
        <v>2025</v>
      </c>
      <c r="D25" t="s">
        <v>147</v>
      </c>
      <c r="E25">
        <v>0</v>
      </c>
      <c r="F25" t="s">
        <v>10877</v>
      </c>
      <c r="G25" t="s">
        <v>10878</v>
      </c>
      <c r="H25" s="4" t="s">
        <v>10879</v>
      </c>
      <c r="I25" t="s">
        <v>71</v>
      </c>
      <c r="J25" t="s">
        <v>10782</v>
      </c>
      <c r="K25" t="s">
        <v>10880</v>
      </c>
    </row>
    <row r="26" spans="1:11" ht="201.6" x14ac:dyDescent="0.3">
      <c r="A26" s="4" t="s">
        <v>3699</v>
      </c>
      <c r="B26">
        <v>3</v>
      </c>
      <c r="C26">
        <v>2025</v>
      </c>
      <c r="D26" t="s">
        <v>10881</v>
      </c>
      <c r="E26">
        <v>0</v>
      </c>
      <c r="F26" t="s">
        <v>10882</v>
      </c>
      <c r="G26" t="s">
        <v>10883</v>
      </c>
      <c r="H26" s="4" t="s">
        <v>10884</v>
      </c>
      <c r="I26" t="s">
        <v>71</v>
      </c>
      <c r="J26" t="s">
        <v>10782</v>
      </c>
      <c r="K26" t="s">
        <v>10885</v>
      </c>
    </row>
    <row r="27" spans="1:11" ht="28.8" x14ac:dyDescent="0.3">
      <c r="A27" s="4" t="s">
        <v>3700</v>
      </c>
      <c r="B27">
        <v>3</v>
      </c>
      <c r="C27">
        <v>2025</v>
      </c>
      <c r="D27" t="s">
        <v>10886</v>
      </c>
      <c r="E27">
        <v>0</v>
      </c>
      <c r="F27" t="s">
        <v>10887</v>
      </c>
      <c r="G27" t="s">
        <v>10888</v>
      </c>
      <c r="H27" s="4" t="s">
        <v>10889</v>
      </c>
    </row>
    <row r="28" spans="1:11" ht="216" x14ac:dyDescent="0.3">
      <c r="A28" s="4" t="s">
        <v>3701</v>
      </c>
      <c r="B28">
        <v>3</v>
      </c>
      <c r="C28">
        <v>2025</v>
      </c>
      <c r="D28" t="s">
        <v>80</v>
      </c>
      <c r="E28">
        <v>0</v>
      </c>
      <c r="F28" t="s">
        <v>10890</v>
      </c>
      <c r="G28" t="s">
        <v>10891</v>
      </c>
      <c r="H28" s="4" t="s">
        <v>10892</v>
      </c>
      <c r="I28" t="s">
        <v>71</v>
      </c>
      <c r="J28" t="s">
        <v>10782</v>
      </c>
      <c r="K28" t="s">
        <v>10893</v>
      </c>
    </row>
    <row r="29" spans="1:11" ht="374.4" x14ac:dyDescent="0.3">
      <c r="A29" s="4" t="s">
        <v>3702</v>
      </c>
      <c r="B29">
        <v>3</v>
      </c>
      <c r="C29">
        <v>2025</v>
      </c>
      <c r="D29" t="s">
        <v>2859</v>
      </c>
      <c r="E29">
        <v>0</v>
      </c>
      <c r="F29" t="s">
        <v>10894</v>
      </c>
      <c r="G29" t="s">
        <v>10895</v>
      </c>
      <c r="H29" s="4" t="s">
        <v>10896</v>
      </c>
      <c r="I29" t="s">
        <v>71</v>
      </c>
      <c r="J29" t="s">
        <v>10782</v>
      </c>
      <c r="K29" t="s">
        <v>10897</v>
      </c>
    </row>
    <row r="30" spans="1:11" ht="43.2" x14ac:dyDescent="0.3">
      <c r="A30" s="4" t="s">
        <v>3111</v>
      </c>
      <c r="B30">
        <v>1</v>
      </c>
      <c r="C30">
        <v>2025</v>
      </c>
      <c r="D30" t="s">
        <v>637</v>
      </c>
      <c r="E30">
        <v>0</v>
      </c>
      <c r="F30" t="s">
        <v>10898</v>
      </c>
      <c r="G30" t="s">
        <v>10899</v>
      </c>
      <c r="H30" s="4" t="s">
        <v>10900</v>
      </c>
    </row>
    <row r="31" spans="1:11" ht="129.6" x14ac:dyDescent="0.3">
      <c r="A31" s="4" t="s">
        <v>3703</v>
      </c>
      <c r="B31">
        <v>3</v>
      </c>
      <c r="C31">
        <v>2025</v>
      </c>
      <c r="D31" t="s">
        <v>10796</v>
      </c>
      <c r="E31">
        <v>0</v>
      </c>
      <c r="F31" t="s">
        <v>10901</v>
      </c>
      <c r="G31" t="s">
        <v>10902</v>
      </c>
      <c r="H31" s="4" t="s">
        <v>10903</v>
      </c>
    </row>
    <row r="32" spans="1:11" ht="187.2" x14ac:dyDescent="0.3">
      <c r="A32" s="4" t="s">
        <v>3704</v>
      </c>
      <c r="B32">
        <v>3</v>
      </c>
      <c r="C32">
        <v>2025</v>
      </c>
      <c r="D32" t="s">
        <v>2416</v>
      </c>
      <c r="E32">
        <v>0</v>
      </c>
      <c r="F32" t="s">
        <v>10904</v>
      </c>
      <c r="G32" t="s">
        <v>10905</v>
      </c>
      <c r="H32" s="4" t="s">
        <v>10906</v>
      </c>
      <c r="I32" t="s">
        <v>71</v>
      </c>
      <c r="J32" t="s">
        <v>10782</v>
      </c>
      <c r="K32" t="s">
        <v>10907</v>
      </c>
    </row>
    <row r="33" spans="1:11" ht="158.4" x14ac:dyDescent="0.3">
      <c r="A33" s="4" t="s">
        <v>3705</v>
      </c>
      <c r="B33">
        <v>3</v>
      </c>
      <c r="C33">
        <v>2025</v>
      </c>
      <c r="D33" t="s">
        <v>277</v>
      </c>
      <c r="E33">
        <v>0</v>
      </c>
      <c r="F33" t="s">
        <v>10908</v>
      </c>
      <c r="G33" t="s">
        <v>10909</v>
      </c>
      <c r="H33" s="4" t="s">
        <v>10910</v>
      </c>
      <c r="I33" t="s">
        <v>71</v>
      </c>
      <c r="J33" t="s">
        <v>10782</v>
      </c>
      <c r="K33" t="s">
        <v>10911</v>
      </c>
    </row>
    <row r="34" spans="1:11" ht="244.8" x14ac:dyDescent="0.3">
      <c r="A34" s="4" t="s">
        <v>3447</v>
      </c>
      <c r="B34">
        <v>2</v>
      </c>
      <c r="C34">
        <v>2025</v>
      </c>
      <c r="D34" t="s">
        <v>80</v>
      </c>
      <c r="E34">
        <v>0</v>
      </c>
      <c r="F34" t="s">
        <v>10912</v>
      </c>
      <c r="G34" t="s">
        <v>10913</v>
      </c>
      <c r="H34" s="4" t="s">
        <v>10914</v>
      </c>
      <c r="I34" t="s">
        <v>71</v>
      </c>
      <c r="J34" t="s">
        <v>10782</v>
      </c>
      <c r="K34" t="s">
        <v>10915</v>
      </c>
    </row>
    <row r="35" spans="1:11" ht="216" x14ac:dyDescent="0.3">
      <c r="A35" s="4" t="s">
        <v>3112</v>
      </c>
      <c r="B35">
        <v>1</v>
      </c>
      <c r="C35">
        <v>2025</v>
      </c>
      <c r="D35" t="s">
        <v>2596</v>
      </c>
      <c r="E35">
        <v>0</v>
      </c>
      <c r="F35" t="s">
        <v>10916</v>
      </c>
      <c r="G35" t="s">
        <v>10917</v>
      </c>
      <c r="H35" s="4" t="s">
        <v>10918</v>
      </c>
      <c r="I35" t="s">
        <v>71</v>
      </c>
      <c r="J35" t="s">
        <v>10782</v>
      </c>
      <c r="K35" t="s">
        <v>10919</v>
      </c>
    </row>
    <row r="36" spans="1:11" ht="158.4" x14ac:dyDescent="0.3">
      <c r="A36" s="4" t="s">
        <v>3113</v>
      </c>
      <c r="B36">
        <v>1</v>
      </c>
      <c r="C36">
        <v>2025</v>
      </c>
      <c r="D36" t="s">
        <v>1129</v>
      </c>
      <c r="E36">
        <v>0</v>
      </c>
      <c r="F36" t="s">
        <v>10920</v>
      </c>
      <c r="G36" t="s">
        <v>10921</v>
      </c>
      <c r="H36" s="4" t="s">
        <v>10922</v>
      </c>
      <c r="I36" t="s">
        <v>71</v>
      </c>
      <c r="J36" t="s">
        <v>10782</v>
      </c>
      <c r="K36" t="s">
        <v>10923</v>
      </c>
    </row>
    <row r="37" spans="1:11" ht="158.4" x14ac:dyDescent="0.3">
      <c r="A37" s="4" t="s">
        <v>3706</v>
      </c>
      <c r="B37">
        <v>3</v>
      </c>
      <c r="C37">
        <v>2025</v>
      </c>
      <c r="D37" t="s">
        <v>10924</v>
      </c>
      <c r="E37">
        <v>0</v>
      </c>
      <c r="F37" t="s">
        <v>10925</v>
      </c>
      <c r="G37" t="s">
        <v>10926</v>
      </c>
      <c r="H37" s="4" t="s">
        <v>10927</v>
      </c>
      <c r="I37" t="s">
        <v>71</v>
      </c>
      <c r="J37" t="s">
        <v>10782</v>
      </c>
      <c r="K37" t="s">
        <v>10928</v>
      </c>
    </row>
    <row r="38" spans="1:11" ht="158.4" x14ac:dyDescent="0.3">
      <c r="A38" s="4" t="s">
        <v>3114</v>
      </c>
      <c r="B38">
        <v>1</v>
      </c>
      <c r="C38">
        <v>2025</v>
      </c>
      <c r="D38" t="s">
        <v>277</v>
      </c>
      <c r="E38">
        <v>0</v>
      </c>
      <c r="F38" t="s">
        <v>10929</v>
      </c>
      <c r="G38" t="s">
        <v>10930</v>
      </c>
      <c r="H38" s="4" t="s">
        <v>10931</v>
      </c>
      <c r="I38" t="s">
        <v>71</v>
      </c>
      <c r="J38" t="s">
        <v>10782</v>
      </c>
      <c r="K38" t="s">
        <v>10932</v>
      </c>
    </row>
    <row r="39" spans="1:11" ht="216" x14ac:dyDescent="0.3">
      <c r="A39" s="4" t="s">
        <v>3707</v>
      </c>
      <c r="B39">
        <v>3</v>
      </c>
      <c r="C39">
        <v>2025</v>
      </c>
      <c r="D39" t="s">
        <v>2416</v>
      </c>
      <c r="E39">
        <v>0</v>
      </c>
      <c r="F39" t="s">
        <v>10933</v>
      </c>
      <c r="G39" t="s">
        <v>10934</v>
      </c>
      <c r="H39" s="4" t="s">
        <v>10935</v>
      </c>
      <c r="I39" t="s">
        <v>71</v>
      </c>
      <c r="J39" t="s">
        <v>10782</v>
      </c>
      <c r="K39" t="s">
        <v>10936</v>
      </c>
    </row>
    <row r="40" spans="1:11" ht="230.4" x14ac:dyDescent="0.3">
      <c r="A40" s="4" t="s">
        <v>3708</v>
      </c>
      <c r="B40">
        <v>3</v>
      </c>
      <c r="C40">
        <v>2025</v>
      </c>
      <c r="D40" t="s">
        <v>10937</v>
      </c>
      <c r="E40">
        <v>0</v>
      </c>
      <c r="F40" t="s">
        <v>10938</v>
      </c>
      <c r="G40" t="s">
        <v>10939</v>
      </c>
      <c r="H40" s="4" t="s">
        <v>10940</v>
      </c>
      <c r="I40" t="s">
        <v>71</v>
      </c>
      <c r="J40" t="s">
        <v>10782</v>
      </c>
      <c r="K40" t="s">
        <v>10941</v>
      </c>
    </row>
    <row r="41" spans="1:11" ht="129.6" x14ac:dyDescent="0.3">
      <c r="A41" s="4" t="s">
        <v>87</v>
      </c>
      <c r="B41">
        <v>1</v>
      </c>
      <c r="C41">
        <v>2025</v>
      </c>
      <c r="D41" t="s">
        <v>88</v>
      </c>
      <c r="E41">
        <v>0</v>
      </c>
      <c r="F41" t="s">
        <v>10942</v>
      </c>
      <c r="G41" t="s">
        <v>10943</v>
      </c>
      <c r="H41" s="4" t="s">
        <v>10944</v>
      </c>
      <c r="I41" t="s">
        <v>10945</v>
      </c>
      <c r="J41" t="s">
        <v>10782</v>
      </c>
      <c r="K41" t="s">
        <v>10946</v>
      </c>
    </row>
    <row r="42" spans="1:11" ht="201.6" x14ac:dyDescent="0.3">
      <c r="A42" s="4" t="s">
        <v>3115</v>
      </c>
      <c r="B42">
        <v>1</v>
      </c>
      <c r="C42">
        <v>2025</v>
      </c>
      <c r="D42" t="s">
        <v>105</v>
      </c>
      <c r="E42">
        <v>0</v>
      </c>
      <c r="F42" t="s">
        <v>10947</v>
      </c>
      <c r="G42" t="s">
        <v>10948</v>
      </c>
      <c r="H42" s="4" t="s">
        <v>10949</v>
      </c>
      <c r="I42" t="s">
        <v>71</v>
      </c>
      <c r="J42" t="s">
        <v>10782</v>
      </c>
      <c r="K42" t="s">
        <v>10950</v>
      </c>
    </row>
    <row r="43" spans="1:11" ht="201.6" x14ac:dyDescent="0.3">
      <c r="A43" s="4" t="s">
        <v>3709</v>
      </c>
      <c r="B43">
        <v>3</v>
      </c>
      <c r="C43">
        <v>2025</v>
      </c>
      <c r="D43" t="s">
        <v>704</v>
      </c>
      <c r="E43">
        <v>0</v>
      </c>
      <c r="F43" t="s">
        <v>10951</v>
      </c>
      <c r="G43" t="s">
        <v>10952</v>
      </c>
      <c r="H43" s="4" t="s">
        <v>10953</v>
      </c>
      <c r="I43" t="s">
        <v>71</v>
      </c>
      <c r="J43" t="s">
        <v>10782</v>
      </c>
      <c r="K43" t="s">
        <v>10954</v>
      </c>
    </row>
    <row r="44" spans="1:11" ht="115.2" x14ac:dyDescent="0.3">
      <c r="A44" s="4" t="s">
        <v>3116</v>
      </c>
      <c r="B44">
        <v>1</v>
      </c>
      <c r="C44">
        <v>2025</v>
      </c>
      <c r="D44" t="s">
        <v>147</v>
      </c>
      <c r="E44">
        <v>0</v>
      </c>
      <c r="F44" t="s">
        <v>10955</v>
      </c>
      <c r="G44" t="s">
        <v>10956</v>
      </c>
      <c r="H44" s="4" t="s">
        <v>10957</v>
      </c>
      <c r="I44" t="s">
        <v>71</v>
      </c>
      <c r="J44" t="s">
        <v>10782</v>
      </c>
      <c r="K44" t="s">
        <v>10958</v>
      </c>
    </row>
    <row r="45" spans="1:11" ht="187.2" x14ac:dyDescent="0.3">
      <c r="A45" s="4" t="s">
        <v>3710</v>
      </c>
      <c r="B45">
        <v>3</v>
      </c>
      <c r="C45">
        <v>2025</v>
      </c>
      <c r="D45" t="s">
        <v>704</v>
      </c>
      <c r="E45">
        <v>0</v>
      </c>
      <c r="F45" t="s">
        <v>10959</v>
      </c>
      <c r="G45" t="s">
        <v>10960</v>
      </c>
      <c r="H45" s="4" t="s">
        <v>10961</v>
      </c>
      <c r="I45" t="s">
        <v>71</v>
      </c>
      <c r="J45" t="s">
        <v>10782</v>
      </c>
      <c r="K45" t="s">
        <v>10962</v>
      </c>
    </row>
    <row r="46" spans="1:11" ht="172.8" x14ac:dyDescent="0.3">
      <c r="A46" s="4" t="s">
        <v>96</v>
      </c>
      <c r="B46">
        <v>1</v>
      </c>
      <c r="C46">
        <v>2025</v>
      </c>
      <c r="D46" t="s">
        <v>80</v>
      </c>
      <c r="E46">
        <v>0</v>
      </c>
      <c r="F46" t="s">
        <v>10963</v>
      </c>
      <c r="G46" t="s">
        <v>10964</v>
      </c>
      <c r="H46" s="4" t="s">
        <v>10965</v>
      </c>
      <c r="I46" t="s">
        <v>71</v>
      </c>
      <c r="J46" t="s">
        <v>10782</v>
      </c>
      <c r="K46" t="s">
        <v>10966</v>
      </c>
    </row>
    <row r="47" spans="1:11" ht="172.8" x14ac:dyDescent="0.3">
      <c r="A47" s="4" t="s">
        <v>3711</v>
      </c>
      <c r="B47">
        <v>3</v>
      </c>
      <c r="C47">
        <v>2025</v>
      </c>
      <c r="D47" t="s">
        <v>1802</v>
      </c>
      <c r="E47">
        <v>0</v>
      </c>
      <c r="F47" t="s">
        <v>10967</v>
      </c>
      <c r="G47" t="s">
        <v>10968</v>
      </c>
      <c r="H47" s="4" t="s">
        <v>10969</v>
      </c>
      <c r="I47" t="s">
        <v>71</v>
      </c>
      <c r="J47" t="s">
        <v>10782</v>
      </c>
      <c r="K47" t="s">
        <v>10970</v>
      </c>
    </row>
    <row r="48" spans="1:11" ht="216" x14ac:dyDescent="0.3">
      <c r="A48" s="4" t="s">
        <v>3712</v>
      </c>
      <c r="B48">
        <v>3</v>
      </c>
      <c r="C48">
        <v>2025</v>
      </c>
      <c r="D48" t="s">
        <v>10971</v>
      </c>
      <c r="E48">
        <v>0</v>
      </c>
      <c r="F48" t="s">
        <v>10972</v>
      </c>
      <c r="G48" t="s">
        <v>10973</v>
      </c>
      <c r="H48" s="4" t="s">
        <v>10974</v>
      </c>
      <c r="I48" t="s">
        <v>71</v>
      </c>
      <c r="J48" t="s">
        <v>10782</v>
      </c>
      <c r="K48" t="s">
        <v>10975</v>
      </c>
    </row>
    <row r="49" spans="1:11" ht="216" x14ac:dyDescent="0.3">
      <c r="A49" s="4" t="s">
        <v>3713</v>
      </c>
      <c r="B49">
        <v>3</v>
      </c>
      <c r="C49">
        <v>2025</v>
      </c>
      <c r="D49" t="s">
        <v>2416</v>
      </c>
      <c r="E49">
        <v>0</v>
      </c>
      <c r="F49" t="s">
        <v>10976</v>
      </c>
      <c r="G49" t="s">
        <v>10977</v>
      </c>
      <c r="H49" s="4" t="s">
        <v>10978</v>
      </c>
      <c r="I49" t="s">
        <v>71</v>
      </c>
      <c r="J49" t="s">
        <v>10782</v>
      </c>
      <c r="K49" t="s">
        <v>10979</v>
      </c>
    </row>
    <row r="50" spans="1:11" ht="172.8" x14ac:dyDescent="0.3">
      <c r="A50" s="4" t="s">
        <v>3714</v>
      </c>
      <c r="B50">
        <v>3</v>
      </c>
      <c r="C50">
        <v>2025</v>
      </c>
      <c r="D50" t="s">
        <v>544</v>
      </c>
      <c r="E50">
        <v>1</v>
      </c>
      <c r="F50" t="s">
        <v>10980</v>
      </c>
      <c r="G50" t="s">
        <v>10981</v>
      </c>
      <c r="H50" s="4" t="s">
        <v>10982</v>
      </c>
    </row>
    <row r="51" spans="1:11" ht="115.2" x14ac:dyDescent="0.3">
      <c r="A51" s="4" t="s">
        <v>3715</v>
      </c>
      <c r="B51">
        <v>3</v>
      </c>
      <c r="C51">
        <v>2025</v>
      </c>
      <c r="D51" t="s">
        <v>679</v>
      </c>
      <c r="E51">
        <v>0</v>
      </c>
      <c r="F51" t="s">
        <v>10983</v>
      </c>
      <c r="G51" t="s">
        <v>10984</v>
      </c>
      <c r="H51" s="4" t="s">
        <v>10985</v>
      </c>
      <c r="I51" t="s">
        <v>71</v>
      </c>
      <c r="J51" t="s">
        <v>10782</v>
      </c>
      <c r="K51" t="s">
        <v>10986</v>
      </c>
    </row>
    <row r="52" spans="1:11" ht="158.4" x14ac:dyDescent="0.3">
      <c r="A52" s="4" t="s">
        <v>3716</v>
      </c>
      <c r="B52">
        <v>3</v>
      </c>
      <c r="C52">
        <v>2025</v>
      </c>
      <c r="D52" t="s">
        <v>10987</v>
      </c>
      <c r="E52">
        <v>0</v>
      </c>
      <c r="F52" t="s">
        <v>10988</v>
      </c>
      <c r="G52" t="s">
        <v>10989</v>
      </c>
      <c r="H52" s="4" t="s">
        <v>10990</v>
      </c>
      <c r="I52" t="s">
        <v>71</v>
      </c>
      <c r="J52" t="s">
        <v>10782</v>
      </c>
      <c r="K52" t="s">
        <v>10991</v>
      </c>
    </row>
    <row r="53" spans="1:11" ht="288" x14ac:dyDescent="0.3">
      <c r="A53" s="4" t="s">
        <v>3717</v>
      </c>
      <c r="B53">
        <v>3</v>
      </c>
      <c r="C53">
        <v>2025</v>
      </c>
      <c r="D53" t="s">
        <v>817</v>
      </c>
      <c r="E53">
        <v>0</v>
      </c>
      <c r="F53" t="s">
        <v>10992</v>
      </c>
      <c r="G53" t="s">
        <v>10993</v>
      </c>
      <c r="H53" s="4" t="s">
        <v>10994</v>
      </c>
      <c r="I53" t="s">
        <v>71</v>
      </c>
      <c r="J53" t="s">
        <v>10782</v>
      </c>
      <c r="K53" t="s">
        <v>10995</v>
      </c>
    </row>
    <row r="54" spans="1:11" ht="115.2" x14ac:dyDescent="0.3">
      <c r="A54" s="4" t="s">
        <v>3718</v>
      </c>
      <c r="B54">
        <v>3</v>
      </c>
      <c r="C54">
        <v>2025</v>
      </c>
      <c r="D54" t="s">
        <v>10924</v>
      </c>
      <c r="E54">
        <v>0</v>
      </c>
      <c r="F54" t="s">
        <v>10996</v>
      </c>
      <c r="G54" t="s">
        <v>10997</v>
      </c>
      <c r="H54" s="4" t="s">
        <v>10998</v>
      </c>
    </row>
    <row r="55" spans="1:11" ht="187.2" x14ac:dyDescent="0.3">
      <c r="A55" s="4" t="s">
        <v>104</v>
      </c>
      <c r="B55">
        <v>1</v>
      </c>
      <c r="C55">
        <v>2025</v>
      </c>
      <c r="D55" t="s">
        <v>105</v>
      </c>
      <c r="E55">
        <v>0</v>
      </c>
      <c r="F55" t="s">
        <v>10999</v>
      </c>
      <c r="G55" t="s">
        <v>11000</v>
      </c>
      <c r="H55" s="4" t="s">
        <v>11001</v>
      </c>
      <c r="I55" t="s">
        <v>71</v>
      </c>
      <c r="J55" t="s">
        <v>10782</v>
      </c>
      <c r="K55" t="s">
        <v>11002</v>
      </c>
    </row>
    <row r="56" spans="1:11" ht="187.2" x14ac:dyDescent="0.3">
      <c r="A56" s="4" t="s">
        <v>106</v>
      </c>
      <c r="B56">
        <v>1</v>
      </c>
      <c r="C56">
        <v>2025</v>
      </c>
      <c r="D56" t="s">
        <v>128</v>
      </c>
      <c r="E56">
        <v>0</v>
      </c>
      <c r="F56" t="s">
        <v>11003</v>
      </c>
      <c r="G56" t="s">
        <v>11004</v>
      </c>
      <c r="H56" s="4" t="s">
        <v>11005</v>
      </c>
      <c r="I56" t="s">
        <v>71</v>
      </c>
      <c r="J56" t="s">
        <v>10782</v>
      </c>
      <c r="K56" t="s">
        <v>11006</v>
      </c>
    </row>
    <row r="57" spans="1:11" ht="216" x14ac:dyDescent="0.3">
      <c r="A57" s="4" t="s">
        <v>3719</v>
      </c>
      <c r="B57">
        <v>3</v>
      </c>
      <c r="C57">
        <v>2025</v>
      </c>
      <c r="D57" t="s">
        <v>11007</v>
      </c>
      <c r="E57">
        <v>0</v>
      </c>
      <c r="F57" t="s">
        <v>11008</v>
      </c>
      <c r="G57" t="s">
        <v>11009</v>
      </c>
      <c r="H57" s="4" t="s">
        <v>11010</v>
      </c>
      <c r="I57" t="s">
        <v>71</v>
      </c>
      <c r="J57" t="s">
        <v>10782</v>
      </c>
      <c r="K57" t="s">
        <v>11011</v>
      </c>
    </row>
    <row r="58" spans="1:11" ht="288" x14ac:dyDescent="0.3">
      <c r="A58" s="4" t="s">
        <v>3117</v>
      </c>
      <c r="B58">
        <v>1</v>
      </c>
      <c r="C58">
        <v>2025</v>
      </c>
      <c r="D58" t="s">
        <v>83</v>
      </c>
      <c r="E58">
        <v>0</v>
      </c>
      <c r="F58" t="s">
        <v>11012</v>
      </c>
      <c r="G58" t="s">
        <v>11013</v>
      </c>
      <c r="H58" s="4" t="s">
        <v>11014</v>
      </c>
      <c r="I58" t="s">
        <v>71</v>
      </c>
      <c r="J58" t="s">
        <v>10782</v>
      </c>
      <c r="K58" t="s">
        <v>11015</v>
      </c>
    </row>
    <row r="59" spans="1:11" ht="129.6" x14ac:dyDescent="0.3">
      <c r="A59" s="4" t="s">
        <v>3118</v>
      </c>
      <c r="B59">
        <v>1</v>
      </c>
      <c r="C59">
        <v>2025</v>
      </c>
      <c r="D59" t="s">
        <v>11016</v>
      </c>
      <c r="E59">
        <v>0</v>
      </c>
      <c r="F59" t="s">
        <v>11017</v>
      </c>
      <c r="G59" t="s">
        <v>11018</v>
      </c>
      <c r="H59" s="4" t="s">
        <v>11019</v>
      </c>
      <c r="I59" t="s">
        <v>71</v>
      </c>
      <c r="J59" t="s">
        <v>10782</v>
      </c>
      <c r="K59" t="s">
        <v>11020</v>
      </c>
    </row>
    <row r="60" spans="1:11" ht="201.6" x14ac:dyDescent="0.3">
      <c r="A60" s="4" t="s">
        <v>3720</v>
      </c>
      <c r="B60">
        <v>3</v>
      </c>
      <c r="C60">
        <v>2025</v>
      </c>
      <c r="D60" t="s">
        <v>10937</v>
      </c>
      <c r="E60">
        <v>0</v>
      </c>
      <c r="F60" t="s">
        <v>11021</v>
      </c>
      <c r="G60" t="s">
        <v>11022</v>
      </c>
      <c r="H60" s="4" t="s">
        <v>11023</v>
      </c>
      <c r="I60" t="s">
        <v>71</v>
      </c>
      <c r="J60" t="s">
        <v>10782</v>
      </c>
      <c r="K60" t="s">
        <v>11024</v>
      </c>
    </row>
    <row r="61" spans="1:11" ht="158.4" x14ac:dyDescent="0.3">
      <c r="A61" s="4" t="s">
        <v>3448</v>
      </c>
      <c r="B61">
        <v>2</v>
      </c>
      <c r="C61">
        <v>2025</v>
      </c>
      <c r="D61" t="s">
        <v>1002</v>
      </c>
      <c r="E61">
        <v>0</v>
      </c>
      <c r="F61" t="s">
        <v>11025</v>
      </c>
      <c r="G61" t="s">
        <v>11026</v>
      </c>
      <c r="H61" s="4" t="s">
        <v>11027</v>
      </c>
      <c r="I61" t="s">
        <v>71</v>
      </c>
      <c r="J61" t="s">
        <v>10782</v>
      </c>
      <c r="K61" t="s">
        <v>11028</v>
      </c>
    </row>
    <row r="62" spans="1:11" ht="115.2" x14ac:dyDescent="0.3">
      <c r="A62" s="4" t="s">
        <v>3721</v>
      </c>
      <c r="B62">
        <v>3</v>
      </c>
      <c r="C62">
        <v>2025</v>
      </c>
      <c r="D62" t="s">
        <v>1936</v>
      </c>
      <c r="E62">
        <v>0</v>
      </c>
      <c r="F62" t="s">
        <v>11029</v>
      </c>
      <c r="G62" t="s">
        <v>11030</v>
      </c>
      <c r="H62" s="4" t="s">
        <v>11031</v>
      </c>
      <c r="I62" t="s">
        <v>71</v>
      </c>
      <c r="J62" t="s">
        <v>10782</v>
      </c>
      <c r="K62" t="s">
        <v>11032</v>
      </c>
    </row>
    <row r="63" spans="1:11" ht="244.8" x14ac:dyDescent="0.3">
      <c r="A63" s="4" t="s">
        <v>3722</v>
      </c>
      <c r="B63">
        <v>3</v>
      </c>
      <c r="C63">
        <v>2025</v>
      </c>
      <c r="D63" t="s">
        <v>2914</v>
      </c>
      <c r="E63">
        <v>0</v>
      </c>
      <c r="F63" t="s">
        <v>11033</v>
      </c>
      <c r="G63" t="s">
        <v>11034</v>
      </c>
      <c r="H63" s="4" t="s">
        <v>11035</v>
      </c>
      <c r="I63" t="s">
        <v>71</v>
      </c>
      <c r="J63" t="s">
        <v>10782</v>
      </c>
      <c r="K63" t="s">
        <v>11036</v>
      </c>
    </row>
    <row r="64" spans="1:11" ht="216" x14ac:dyDescent="0.3">
      <c r="A64" s="4" t="s">
        <v>3119</v>
      </c>
      <c r="B64">
        <v>1</v>
      </c>
      <c r="C64">
        <v>2025</v>
      </c>
      <c r="D64" t="s">
        <v>80</v>
      </c>
      <c r="E64">
        <v>0</v>
      </c>
      <c r="F64" t="s">
        <v>11037</v>
      </c>
      <c r="G64" t="s">
        <v>11038</v>
      </c>
      <c r="H64" s="4" t="s">
        <v>11039</v>
      </c>
      <c r="I64" t="s">
        <v>71</v>
      </c>
      <c r="J64" t="s">
        <v>10782</v>
      </c>
      <c r="K64" t="s">
        <v>11040</v>
      </c>
    </row>
    <row r="65" spans="1:11" ht="216" x14ac:dyDescent="0.3">
      <c r="A65" s="4" t="s">
        <v>3723</v>
      </c>
      <c r="B65">
        <v>3</v>
      </c>
      <c r="C65">
        <v>2025</v>
      </c>
      <c r="D65" t="s">
        <v>11041</v>
      </c>
      <c r="E65">
        <v>0</v>
      </c>
      <c r="F65" t="s">
        <v>11042</v>
      </c>
      <c r="G65" t="s">
        <v>11043</v>
      </c>
      <c r="H65" s="4" t="s">
        <v>11044</v>
      </c>
      <c r="I65" t="s">
        <v>71</v>
      </c>
      <c r="J65" t="s">
        <v>10782</v>
      </c>
      <c r="K65" t="s">
        <v>11045</v>
      </c>
    </row>
    <row r="66" spans="1:11" ht="216" x14ac:dyDescent="0.3">
      <c r="A66" s="4" t="s">
        <v>3724</v>
      </c>
      <c r="B66">
        <v>3</v>
      </c>
      <c r="C66">
        <v>2025</v>
      </c>
      <c r="D66" t="s">
        <v>234</v>
      </c>
      <c r="E66">
        <v>0</v>
      </c>
      <c r="F66" t="s">
        <v>11046</v>
      </c>
      <c r="G66" t="s">
        <v>11047</v>
      </c>
      <c r="H66" s="4" t="s">
        <v>11048</v>
      </c>
      <c r="I66" t="s">
        <v>71</v>
      </c>
      <c r="J66" t="s">
        <v>10782</v>
      </c>
      <c r="K66" t="s">
        <v>11049</v>
      </c>
    </row>
    <row r="67" spans="1:11" ht="216" x14ac:dyDescent="0.3">
      <c r="A67" s="4" t="s">
        <v>3725</v>
      </c>
      <c r="B67">
        <v>3</v>
      </c>
      <c r="C67">
        <v>2025</v>
      </c>
      <c r="D67" t="s">
        <v>11050</v>
      </c>
      <c r="E67">
        <v>0</v>
      </c>
      <c r="F67" t="s">
        <v>11051</v>
      </c>
      <c r="G67" t="s">
        <v>11052</v>
      </c>
      <c r="H67" s="4" t="s">
        <v>11053</v>
      </c>
      <c r="I67" t="s">
        <v>71</v>
      </c>
      <c r="J67" t="s">
        <v>10782</v>
      </c>
      <c r="K67" t="s">
        <v>11054</v>
      </c>
    </row>
    <row r="68" spans="1:11" ht="144" x14ac:dyDescent="0.3">
      <c r="A68" s="4" t="s">
        <v>3726</v>
      </c>
      <c r="B68">
        <v>3</v>
      </c>
      <c r="C68">
        <v>2025</v>
      </c>
      <c r="D68" t="s">
        <v>11055</v>
      </c>
      <c r="E68">
        <v>0</v>
      </c>
      <c r="F68" t="s">
        <v>11056</v>
      </c>
      <c r="G68" t="s">
        <v>11057</v>
      </c>
      <c r="H68" s="4" t="s">
        <v>11058</v>
      </c>
      <c r="I68" t="s">
        <v>71</v>
      </c>
      <c r="J68" t="s">
        <v>10782</v>
      </c>
      <c r="K68" t="s">
        <v>11059</v>
      </c>
    </row>
    <row r="69" spans="1:11" ht="230.4" x14ac:dyDescent="0.3">
      <c r="A69" s="4" t="s">
        <v>3727</v>
      </c>
      <c r="B69">
        <v>3</v>
      </c>
      <c r="C69">
        <v>2025</v>
      </c>
      <c r="D69" t="s">
        <v>11007</v>
      </c>
      <c r="E69">
        <v>0</v>
      </c>
      <c r="F69" t="s">
        <v>11060</v>
      </c>
      <c r="G69" t="s">
        <v>11061</v>
      </c>
      <c r="H69" s="4" t="s">
        <v>11062</v>
      </c>
      <c r="I69" t="s">
        <v>71</v>
      </c>
      <c r="J69" t="s">
        <v>10782</v>
      </c>
      <c r="K69" t="s">
        <v>11063</v>
      </c>
    </row>
    <row r="70" spans="1:11" ht="115.2" x14ac:dyDescent="0.3">
      <c r="A70" s="4" t="s">
        <v>3728</v>
      </c>
      <c r="B70">
        <v>3</v>
      </c>
      <c r="C70">
        <v>2025</v>
      </c>
      <c r="D70" t="s">
        <v>11064</v>
      </c>
      <c r="E70">
        <v>0</v>
      </c>
      <c r="F70" t="s">
        <v>11065</v>
      </c>
      <c r="G70" t="s">
        <v>11066</v>
      </c>
      <c r="H70" s="4" t="s">
        <v>11067</v>
      </c>
      <c r="I70" t="s">
        <v>71</v>
      </c>
      <c r="J70" t="s">
        <v>10782</v>
      </c>
      <c r="K70" t="s">
        <v>11068</v>
      </c>
    </row>
    <row r="71" spans="1:11" ht="201.6" x14ac:dyDescent="0.3">
      <c r="A71" s="4" t="s">
        <v>3729</v>
      </c>
      <c r="B71">
        <v>3</v>
      </c>
      <c r="C71">
        <v>2025</v>
      </c>
      <c r="D71" t="s">
        <v>10924</v>
      </c>
      <c r="E71">
        <v>0</v>
      </c>
      <c r="F71" t="s">
        <v>11069</v>
      </c>
      <c r="G71" t="s">
        <v>11070</v>
      </c>
      <c r="H71" s="4" t="s">
        <v>11071</v>
      </c>
      <c r="I71" t="s">
        <v>71</v>
      </c>
      <c r="J71" t="s">
        <v>10782</v>
      </c>
      <c r="K71" t="s">
        <v>11072</v>
      </c>
    </row>
    <row r="72" spans="1:11" ht="201.6" x14ac:dyDescent="0.3">
      <c r="A72" s="4" t="s">
        <v>3120</v>
      </c>
      <c r="B72">
        <v>1</v>
      </c>
      <c r="C72">
        <v>2025</v>
      </c>
      <c r="D72" t="s">
        <v>830</v>
      </c>
      <c r="E72">
        <v>0</v>
      </c>
      <c r="F72" t="s">
        <v>11073</v>
      </c>
      <c r="G72" t="s">
        <v>11074</v>
      </c>
      <c r="H72" s="4" t="s">
        <v>11075</v>
      </c>
      <c r="I72" t="s">
        <v>71</v>
      </c>
      <c r="J72" t="s">
        <v>10782</v>
      </c>
      <c r="K72" t="s">
        <v>11076</v>
      </c>
    </row>
    <row r="73" spans="1:11" ht="230.4" x14ac:dyDescent="0.3">
      <c r="A73" s="4" t="s">
        <v>3121</v>
      </c>
      <c r="B73">
        <v>1</v>
      </c>
      <c r="C73">
        <v>2025</v>
      </c>
      <c r="D73" t="s">
        <v>704</v>
      </c>
      <c r="E73">
        <v>0</v>
      </c>
      <c r="F73" t="s">
        <v>11077</v>
      </c>
      <c r="G73" t="s">
        <v>11078</v>
      </c>
      <c r="H73" s="4" t="s">
        <v>11079</v>
      </c>
      <c r="I73" t="s">
        <v>10823</v>
      </c>
      <c r="J73" t="s">
        <v>10782</v>
      </c>
      <c r="K73" t="s">
        <v>11080</v>
      </c>
    </row>
    <row r="74" spans="1:11" ht="100.8" x14ac:dyDescent="0.3">
      <c r="A74" s="4" t="s">
        <v>3449</v>
      </c>
      <c r="B74">
        <v>2</v>
      </c>
      <c r="C74">
        <v>2025</v>
      </c>
      <c r="D74" t="s">
        <v>80</v>
      </c>
      <c r="E74">
        <v>0</v>
      </c>
      <c r="F74" t="s">
        <v>11081</v>
      </c>
      <c r="G74" t="s">
        <v>11082</v>
      </c>
      <c r="H74" s="4" t="s">
        <v>11083</v>
      </c>
    </row>
    <row r="75" spans="1:11" ht="129.6" x14ac:dyDescent="0.3">
      <c r="A75" s="4" t="s">
        <v>3730</v>
      </c>
      <c r="B75">
        <v>3</v>
      </c>
      <c r="C75">
        <v>2025</v>
      </c>
      <c r="D75" t="s">
        <v>2886</v>
      </c>
      <c r="E75">
        <v>1</v>
      </c>
      <c r="F75" t="s">
        <v>11084</v>
      </c>
      <c r="G75" t="s">
        <v>11085</v>
      </c>
      <c r="H75" s="4" t="s">
        <v>11086</v>
      </c>
      <c r="I75" t="s">
        <v>71</v>
      </c>
      <c r="J75" t="s">
        <v>10782</v>
      </c>
      <c r="K75" t="s">
        <v>11087</v>
      </c>
    </row>
    <row r="76" spans="1:11" ht="158.4" x14ac:dyDescent="0.3">
      <c r="A76" s="4" t="s">
        <v>3450</v>
      </c>
      <c r="B76">
        <v>2</v>
      </c>
      <c r="C76">
        <v>2025</v>
      </c>
      <c r="D76" t="s">
        <v>1621</v>
      </c>
      <c r="E76">
        <v>0</v>
      </c>
      <c r="F76" t="s">
        <v>11088</v>
      </c>
      <c r="G76" t="s">
        <v>11089</v>
      </c>
      <c r="H76" s="4" t="s">
        <v>11090</v>
      </c>
      <c r="I76" t="s">
        <v>71</v>
      </c>
      <c r="J76" t="s">
        <v>10782</v>
      </c>
      <c r="K76" t="s">
        <v>11091</v>
      </c>
    </row>
    <row r="77" spans="1:11" ht="115.2" x14ac:dyDescent="0.3">
      <c r="A77" s="4" t="s">
        <v>3122</v>
      </c>
      <c r="B77">
        <v>1</v>
      </c>
      <c r="C77">
        <v>2025</v>
      </c>
      <c r="D77" t="s">
        <v>11092</v>
      </c>
      <c r="E77">
        <v>0</v>
      </c>
      <c r="F77" t="s">
        <v>11093</v>
      </c>
      <c r="G77" t="s">
        <v>11094</v>
      </c>
      <c r="H77" s="4" t="s">
        <v>11095</v>
      </c>
      <c r="I77" t="s">
        <v>71</v>
      </c>
      <c r="J77" t="s">
        <v>10782</v>
      </c>
      <c r="K77" t="s">
        <v>11096</v>
      </c>
    </row>
    <row r="78" spans="1:11" ht="72" x14ac:dyDescent="0.3">
      <c r="A78" s="4" t="s">
        <v>3123</v>
      </c>
      <c r="B78">
        <v>1</v>
      </c>
      <c r="C78">
        <v>2025</v>
      </c>
      <c r="D78" t="s">
        <v>637</v>
      </c>
      <c r="E78">
        <v>0</v>
      </c>
      <c r="F78" t="s">
        <v>11097</v>
      </c>
      <c r="G78" t="s">
        <v>11098</v>
      </c>
      <c r="H78" s="4" t="s">
        <v>11099</v>
      </c>
    </row>
    <row r="79" spans="1:11" ht="172.8" x14ac:dyDescent="0.3">
      <c r="A79" s="4" t="s">
        <v>146</v>
      </c>
      <c r="B79">
        <v>1</v>
      </c>
      <c r="C79">
        <v>2025</v>
      </c>
      <c r="D79" t="s">
        <v>147</v>
      </c>
      <c r="E79">
        <v>0</v>
      </c>
      <c r="F79" t="s">
        <v>11100</v>
      </c>
      <c r="G79" t="s">
        <v>11101</v>
      </c>
      <c r="H79" s="4" t="s">
        <v>11102</v>
      </c>
      <c r="I79" t="s">
        <v>71</v>
      </c>
      <c r="J79" t="s">
        <v>10782</v>
      </c>
      <c r="K79" t="s">
        <v>11103</v>
      </c>
    </row>
    <row r="80" spans="1:11" ht="144" x14ac:dyDescent="0.3">
      <c r="A80" s="4" t="s">
        <v>3124</v>
      </c>
      <c r="B80">
        <v>1</v>
      </c>
      <c r="C80">
        <v>2025</v>
      </c>
      <c r="D80" t="s">
        <v>11104</v>
      </c>
      <c r="E80">
        <v>0</v>
      </c>
      <c r="F80" t="s">
        <v>11105</v>
      </c>
      <c r="G80" t="s">
        <v>11106</v>
      </c>
      <c r="H80" s="4" t="s">
        <v>11107</v>
      </c>
      <c r="I80" t="s">
        <v>71</v>
      </c>
      <c r="J80" t="s">
        <v>10782</v>
      </c>
      <c r="K80" t="s">
        <v>11108</v>
      </c>
    </row>
    <row r="81" spans="1:11" ht="158.4" x14ac:dyDescent="0.3">
      <c r="A81" s="4" t="s">
        <v>3731</v>
      </c>
      <c r="B81">
        <v>3</v>
      </c>
      <c r="C81">
        <v>2025</v>
      </c>
      <c r="D81" t="s">
        <v>799</v>
      </c>
      <c r="E81">
        <v>1</v>
      </c>
      <c r="F81" t="s">
        <v>11109</v>
      </c>
      <c r="G81" t="s">
        <v>11110</v>
      </c>
      <c r="H81" s="4" t="s">
        <v>11111</v>
      </c>
      <c r="I81" t="s">
        <v>71</v>
      </c>
      <c r="J81" t="s">
        <v>10782</v>
      </c>
      <c r="K81" t="s">
        <v>11112</v>
      </c>
    </row>
    <row r="82" spans="1:11" ht="115.2" x14ac:dyDescent="0.3">
      <c r="A82" s="4" t="s">
        <v>3125</v>
      </c>
      <c r="B82">
        <v>1</v>
      </c>
      <c r="C82">
        <v>2025</v>
      </c>
      <c r="D82" t="s">
        <v>318</v>
      </c>
      <c r="E82">
        <v>0</v>
      </c>
      <c r="F82" t="s">
        <v>11113</v>
      </c>
      <c r="G82" t="s">
        <v>11114</v>
      </c>
      <c r="H82" s="4" t="s">
        <v>11115</v>
      </c>
      <c r="I82" t="s">
        <v>10823</v>
      </c>
      <c r="J82" t="s">
        <v>10782</v>
      </c>
      <c r="K82" t="s">
        <v>11116</v>
      </c>
    </row>
    <row r="83" spans="1:11" ht="28.8" x14ac:dyDescent="0.3">
      <c r="A83" s="4" t="s">
        <v>3732</v>
      </c>
      <c r="B83">
        <v>3</v>
      </c>
      <c r="C83">
        <v>2025</v>
      </c>
      <c r="D83" t="s">
        <v>550</v>
      </c>
      <c r="E83">
        <v>0</v>
      </c>
      <c r="F83" t="s">
        <v>11117</v>
      </c>
      <c r="G83" t="s">
        <v>11118</v>
      </c>
      <c r="H83" s="4" t="s">
        <v>11119</v>
      </c>
    </row>
    <row r="84" spans="1:11" ht="273.60000000000002" x14ac:dyDescent="0.3">
      <c r="A84" s="4" t="s">
        <v>3733</v>
      </c>
      <c r="B84">
        <v>3</v>
      </c>
      <c r="C84">
        <v>2025</v>
      </c>
      <c r="D84" t="s">
        <v>234</v>
      </c>
      <c r="E84">
        <v>0</v>
      </c>
      <c r="F84" t="s">
        <v>11120</v>
      </c>
      <c r="G84" t="s">
        <v>11121</v>
      </c>
      <c r="H84" s="4" t="s">
        <v>11122</v>
      </c>
      <c r="I84" t="s">
        <v>71</v>
      </c>
      <c r="J84" t="s">
        <v>10782</v>
      </c>
      <c r="K84" t="s">
        <v>11123</v>
      </c>
    </row>
    <row r="85" spans="1:11" ht="201.6" x14ac:dyDescent="0.3">
      <c r="A85" s="4" t="s">
        <v>3126</v>
      </c>
      <c r="B85">
        <v>1</v>
      </c>
      <c r="C85">
        <v>2025</v>
      </c>
      <c r="D85" t="s">
        <v>405</v>
      </c>
      <c r="E85">
        <v>0</v>
      </c>
      <c r="F85" t="s">
        <v>11124</v>
      </c>
      <c r="G85" t="s">
        <v>11125</v>
      </c>
      <c r="H85" s="4" t="s">
        <v>11126</v>
      </c>
      <c r="I85" t="s">
        <v>71</v>
      </c>
      <c r="J85" t="s">
        <v>10782</v>
      </c>
      <c r="K85" t="s">
        <v>11127</v>
      </c>
    </row>
    <row r="86" spans="1:11" ht="230.4" x14ac:dyDescent="0.3">
      <c r="A86" s="4" t="s">
        <v>3734</v>
      </c>
      <c r="B86">
        <v>3</v>
      </c>
      <c r="C86">
        <v>2025</v>
      </c>
      <c r="D86" t="s">
        <v>10971</v>
      </c>
      <c r="E86">
        <v>0</v>
      </c>
      <c r="F86" t="s">
        <v>11128</v>
      </c>
      <c r="G86" t="s">
        <v>11129</v>
      </c>
      <c r="H86" s="4" t="s">
        <v>11130</v>
      </c>
      <c r="I86" t="s">
        <v>71</v>
      </c>
      <c r="J86" t="s">
        <v>10782</v>
      </c>
      <c r="K86" t="s">
        <v>11131</v>
      </c>
    </row>
    <row r="87" spans="1:11" ht="230.4" x14ac:dyDescent="0.3">
      <c r="A87" s="4" t="s">
        <v>163</v>
      </c>
      <c r="B87">
        <v>1</v>
      </c>
      <c r="C87">
        <v>2025</v>
      </c>
      <c r="D87" t="s">
        <v>164</v>
      </c>
      <c r="E87">
        <v>0</v>
      </c>
      <c r="F87" t="s">
        <v>11132</v>
      </c>
      <c r="G87" t="s">
        <v>11133</v>
      </c>
      <c r="H87" s="4" t="s">
        <v>11134</v>
      </c>
      <c r="I87" t="s">
        <v>71</v>
      </c>
      <c r="J87" t="s">
        <v>10782</v>
      </c>
      <c r="K87" t="s">
        <v>11135</v>
      </c>
    </row>
    <row r="88" spans="1:11" ht="187.2" x14ac:dyDescent="0.3">
      <c r="A88" s="4" t="s">
        <v>3127</v>
      </c>
      <c r="B88">
        <v>1</v>
      </c>
      <c r="C88">
        <v>2025</v>
      </c>
      <c r="D88" t="s">
        <v>405</v>
      </c>
      <c r="E88">
        <v>0</v>
      </c>
      <c r="F88" t="s">
        <v>11136</v>
      </c>
      <c r="G88" t="s">
        <v>11137</v>
      </c>
      <c r="H88" s="4" t="s">
        <v>11138</v>
      </c>
      <c r="I88" t="s">
        <v>71</v>
      </c>
      <c r="J88" t="s">
        <v>10782</v>
      </c>
      <c r="K88" t="s">
        <v>11139</v>
      </c>
    </row>
    <row r="89" spans="1:11" ht="172.8" x14ac:dyDescent="0.3">
      <c r="A89" s="4" t="s">
        <v>3451</v>
      </c>
      <c r="B89">
        <v>2</v>
      </c>
      <c r="C89">
        <v>2025</v>
      </c>
      <c r="D89" t="s">
        <v>637</v>
      </c>
      <c r="E89">
        <v>0</v>
      </c>
      <c r="F89" t="s">
        <v>11140</v>
      </c>
      <c r="G89" t="s">
        <v>11141</v>
      </c>
      <c r="H89" s="4" t="s">
        <v>11142</v>
      </c>
      <c r="I89" t="s">
        <v>71</v>
      </c>
      <c r="J89" t="s">
        <v>10782</v>
      </c>
      <c r="K89" t="s">
        <v>11143</v>
      </c>
    </row>
    <row r="90" spans="1:11" ht="187.2" x14ac:dyDescent="0.3">
      <c r="A90" s="4" t="s">
        <v>3128</v>
      </c>
      <c r="B90">
        <v>1</v>
      </c>
      <c r="C90">
        <v>2025</v>
      </c>
      <c r="D90" t="s">
        <v>405</v>
      </c>
      <c r="E90">
        <v>0</v>
      </c>
      <c r="F90" t="s">
        <v>11144</v>
      </c>
      <c r="G90" t="s">
        <v>11145</v>
      </c>
      <c r="H90" s="4" t="s">
        <v>11146</v>
      </c>
      <c r="I90" t="s">
        <v>71</v>
      </c>
      <c r="J90" t="s">
        <v>10782</v>
      </c>
      <c r="K90" t="s">
        <v>11147</v>
      </c>
    </row>
    <row r="91" spans="1:11" ht="28.8" x14ac:dyDescent="0.3">
      <c r="A91" s="4" t="s">
        <v>3735</v>
      </c>
      <c r="B91">
        <v>3</v>
      </c>
      <c r="C91">
        <v>2025</v>
      </c>
      <c r="D91" t="s">
        <v>2853</v>
      </c>
      <c r="E91">
        <v>0</v>
      </c>
      <c r="F91" t="s">
        <v>11148</v>
      </c>
      <c r="G91" t="s">
        <v>11149</v>
      </c>
      <c r="H91" s="4" t="s">
        <v>11150</v>
      </c>
    </row>
    <row r="92" spans="1:11" ht="129.6" x14ac:dyDescent="0.3">
      <c r="A92" s="4" t="s">
        <v>3736</v>
      </c>
      <c r="B92">
        <v>3</v>
      </c>
      <c r="C92">
        <v>2025</v>
      </c>
      <c r="D92" t="s">
        <v>277</v>
      </c>
      <c r="E92">
        <v>0</v>
      </c>
      <c r="F92" t="s">
        <v>11151</v>
      </c>
      <c r="G92" t="s">
        <v>11152</v>
      </c>
      <c r="H92" s="4" t="s">
        <v>11153</v>
      </c>
      <c r="I92" t="s">
        <v>71</v>
      </c>
      <c r="J92" t="s">
        <v>10782</v>
      </c>
      <c r="K92" t="s">
        <v>11154</v>
      </c>
    </row>
    <row r="93" spans="1:11" ht="172.8" x14ac:dyDescent="0.3">
      <c r="A93" s="4" t="s">
        <v>3129</v>
      </c>
      <c r="B93">
        <v>1</v>
      </c>
      <c r="C93">
        <v>2025</v>
      </c>
      <c r="D93" t="s">
        <v>1125</v>
      </c>
      <c r="E93">
        <v>0</v>
      </c>
      <c r="F93" t="s">
        <v>11155</v>
      </c>
      <c r="G93" t="s">
        <v>11156</v>
      </c>
      <c r="H93" s="4" t="s">
        <v>11157</v>
      </c>
      <c r="I93" t="s">
        <v>10945</v>
      </c>
      <c r="J93" t="s">
        <v>10782</v>
      </c>
      <c r="K93" t="s">
        <v>11158</v>
      </c>
    </row>
    <row r="94" spans="1:11" ht="201.6" x14ac:dyDescent="0.3">
      <c r="A94" s="4" t="s">
        <v>3737</v>
      </c>
      <c r="B94">
        <v>3</v>
      </c>
      <c r="C94">
        <v>2025</v>
      </c>
      <c r="D94" t="s">
        <v>11159</v>
      </c>
      <c r="E94">
        <v>0</v>
      </c>
      <c r="F94" t="s">
        <v>11160</v>
      </c>
      <c r="G94" t="s">
        <v>11161</v>
      </c>
      <c r="H94" s="4" t="s">
        <v>11162</v>
      </c>
      <c r="I94" t="s">
        <v>71</v>
      </c>
      <c r="J94" t="s">
        <v>10782</v>
      </c>
      <c r="K94" t="s">
        <v>11163</v>
      </c>
    </row>
    <row r="95" spans="1:11" ht="172.8" x14ac:dyDescent="0.3">
      <c r="A95" s="4" t="s">
        <v>3452</v>
      </c>
      <c r="B95">
        <v>2</v>
      </c>
      <c r="C95">
        <v>2025</v>
      </c>
      <c r="D95" t="s">
        <v>11164</v>
      </c>
      <c r="E95">
        <v>0</v>
      </c>
      <c r="F95" t="s">
        <v>11165</v>
      </c>
      <c r="G95" t="s">
        <v>11166</v>
      </c>
      <c r="H95" s="4" t="s">
        <v>11167</v>
      </c>
    </row>
    <row r="96" spans="1:11" ht="100.8" x14ac:dyDescent="0.3">
      <c r="A96" s="4" t="s">
        <v>3738</v>
      </c>
      <c r="B96">
        <v>3</v>
      </c>
      <c r="C96">
        <v>2025</v>
      </c>
      <c r="D96" t="s">
        <v>11168</v>
      </c>
      <c r="E96">
        <v>0</v>
      </c>
      <c r="F96" t="s">
        <v>11169</v>
      </c>
      <c r="G96" t="s">
        <v>11170</v>
      </c>
      <c r="H96" s="4" t="s">
        <v>11171</v>
      </c>
    </row>
    <row r="97" spans="1:11" ht="201.6" x14ac:dyDescent="0.3">
      <c r="A97" s="4" t="s">
        <v>3739</v>
      </c>
      <c r="B97">
        <v>3</v>
      </c>
      <c r="C97">
        <v>2025</v>
      </c>
      <c r="D97" t="s">
        <v>318</v>
      </c>
      <c r="E97">
        <v>0</v>
      </c>
      <c r="F97" t="s">
        <v>11172</v>
      </c>
      <c r="G97" t="s">
        <v>11173</v>
      </c>
      <c r="H97" s="4" t="s">
        <v>11174</v>
      </c>
      <c r="I97" t="s">
        <v>71</v>
      </c>
      <c r="J97" t="s">
        <v>10782</v>
      </c>
      <c r="K97" t="s">
        <v>11175</v>
      </c>
    </row>
    <row r="98" spans="1:11" ht="259.2" x14ac:dyDescent="0.3">
      <c r="A98" s="4" t="s">
        <v>3740</v>
      </c>
      <c r="B98">
        <v>3</v>
      </c>
      <c r="C98">
        <v>2025</v>
      </c>
      <c r="D98" t="s">
        <v>80</v>
      </c>
      <c r="E98">
        <v>0</v>
      </c>
      <c r="F98" t="s">
        <v>11176</v>
      </c>
      <c r="G98" t="s">
        <v>11177</v>
      </c>
      <c r="H98" s="4" t="s">
        <v>11178</v>
      </c>
      <c r="I98" t="s">
        <v>71</v>
      </c>
      <c r="J98" t="s">
        <v>10782</v>
      </c>
      <c r="K98" t="s">
        <v>11179</v>
      </c>
    </row>
    <row r="99" spans="1:11" ht="144" x14ac:dyDescent="0.3">
      <c r="A99" s="4" t="s">
        <v>3741</v>
      </c>
      <c r="B99">
        <v>3</v>
      </c>
      <c r="C99">
        <v>2025</v>
      </c>
      <c r="D99" t="s">
        <v>11180</v>
      </c>
      <c r="E99">
        <v>0</v>
      </c>
      <c r="F99" t="s">
        <v>11181</v>
      </c>
      <c r="G99" t="s">
        <v>11182</v>
      </c>
      <c r="H99" s="4" t="s">
        <v>11183</v>
      </c>
      <c r="I99" t="s">
        <v>71</v>
      </c>
      <c r="J99" t="s">
        <v>10782</v>
      </c>
      <c r="K99" t="s">
        <v>11184</v>
      </c>
    </row>
    <row r="100" spans="1:11" ht="144" x14ac:dyDescent="0.3">
      <c r="A100" s="4" t="s">
        <v>3742</v>
      </c>
      <c r="B100">
        <v>3</v>
      </c>
      <c r="C100">
        <v>2025</v>
      </c>
      <c r="D100" t="s">
        <v>277</v>
      </c>
      <c r="E100">
        <v>0</v>
      </c>
      <c r="F100" t="s">
        <v>11185</v>
      </c>
      <c r="G100" t="s">
        <v>11186</v>
      </c>
      <c r="H100" s="4" t="s">
        <v>11187</v>
      </c>
      <c r="I100" t="s">
        <v>71</v>
      </c>
      <c r="J100" t="s">
        <v>10782</v>
      </c>
      <c r="K100" t="s">
        <v>11188</v>
      </c>
    </row>
    <row r="101" spans="1:11" ht="201.6" x14ac:dyDescent="0.3">
      <c r="A101" s="4" t="s">
        <v>3743</v>
      </c>
      <c r="B101">
        <v>3</v>
      </c>
      <c r="C101">
        <v>2025</v>
      </c>
      <c r="D101" t="s">
        <v>80</v>
      </c>
      <c r="E101">
        <v>0</v>
      </c>
      <c r="F101" t="s">
        <v>11189</v>
      </c>
      <c r="G101" t="s">
        <v>11190</v>
      </c>
      <c r="H101" s="4" t="s">
        <v>11191</v>
      </c>
      <c r="I101" t="s">
        <v>71</v>
      </c>
      <c r="J101" t="s">
        <v>10782</v>
      </c>
      <c r="K101" t="s">
        <v>11192</v>
      </c>
    </row>
    <row r="102" spans="1:11" ht="216" x14ac:dyDescent="0.3">
      <c r="A102" s="4" t="s">
        <v>3744</v>
      </c>
      <c r="B102">
        <v>3</v>
      </c>
      <c r="C102">
        <v>2025</v>
      </c>
      <c r="D102" t="s">
        <v>11092</v>
      </c>
      <c r="E102">
        <v>0</v>
      </c>
      <c r="F102" t="s">
        <v>11193</v>
      </c>
      <c r="G102" t="s">
        <v>11194</v>
      </c>
      <c r="H102" s="4" t="s">
        <v>11195</v>
      </c>
      <c r="I102" t="s">
        <v>71</v>
      </c>
      <c r="J102" t="s">
        <v>10782</v>
      </c>
      <c r="K102" t="s">
        <v>11196</v>
      </c>
    </row>
    <row r="103" spans="1:11" ht="244.8" x14ac:dyDescent="0.3">
      <c r="A103" s="4" t="s">
        <v>3745</v>
      </c>
      <c r="B103">
        <v>3</v>
      </c>
      <c r="C103">
        <v>2025</v>
      </c>
      <c r="D103" t="s">
        <v>318</v>
      </c>
      <c r="E103">
        <v>1</v>
      </c>
      <c r="F103" t="s">
        <v>11197</v>
      </c>
      <c r="G103" t="s">
        <v>11198</v>
      </c>
      <c r="H103" s="4" t="s">
        <v>11199</v>
      </c>
      <c r="I103" t="s">
        <v>71</v>
      </c>
      <c r="J103" t="s">
        <v>10782</v>
      </c>
      <c r="K103" t="s">
        <v>11200</v>
      </c>
    </row>
    <row r="104" spans="1:11" ht="158.4" x14ac:dyDescent="0.3">
      <c r="A104" s="4" t="s">
        <v>3130</v>
      </c>
      <c r="B104">
        <v>1</v>
      </c>
      <c r="C104">
        <v>2025</v>
      </c>
      <c r="D104" t="s">
        <v>637</v>
      </c>
      <c r="E104">
        <v>0</v>
      </c>
      <c r="F104" t="s">
        <v>11201</v>
      </c>
      <c r="G104" t="s">
        <v>11202</v>
      </c>
      <c r="H104" s="4" t="s">
        <v>11203</v>
      </c>
      <c r="I104" t="s">
        <v>71</v>
      </c>
      <c r="J104" t="s">
        <v>10782</v>
      </c>
      <c r="K104" t="s">
        <v>11204</v>
      </c>
    </row>
    <row r="105" spans="1:11" ht="187.2" x14ac:dyDescent="0.3">
      <c r="A105" s="4" t="s">
        <v>3746</v>
      </c>
      <c r="B105">
        <v>3</v>
      </c>
      <c r="C105">
        <v>2025</v>
      </c>
      <c r="D105" t="s">
        <v>11205</v>
      </c>
      <c r="E105">
        <v>0</v>
      </c>
      <c r="F105" t="s">
        <v>11206</v>
      </c>
      <c r="G105" t="s">
        <v>11207</v>
      </c>
      <c r="H105" s="4" t="s">
        <v>11208</v>
      </c>
      <c r="I105" t="s">
        <v>71</v>
      </c>
      <c r="J105" t="s">
        <v>10782</v>
      </c>
      <c r="K105" t="s">
        <v>11209</v>
      </c>
    </row>
    <row r="106" spans="1:11" ht="187.2" x14ac:dyDescent="0.3">
      <c r="A106" s="4" t="s">
        <v>3747</v>
      </c>
      <c r="B106">
        <v>3</v>
      </c>
      <c r="C106">
        <v>2025</v>
      </c>
      <c r="D106" t="s">
        <v>622</v>
      </c>
      <c r="E106">
        <v>0</v>
      </c>
      <c r="F106" t="s">
        <v>11210</v>
      </c>
      <c r="G106" t="s">
        <v>11211</v>
      </c>
      <c r="H106" s="4" t="s">
        <v>11212</v>
      </c>
      <c r="I106" t="s">
        <v>71</v>
      </c>
      <c r="J106" t="s">
        <v>10782</v>
      </c>
      <c r="K106" t="s">
        <v>11213</v>
      </c>
    </row>
    <row r="107" spans="1:11" ht="216" x14ac:dyDescent="0.3">
      <c r="A107" s="4" t="s">
        <v>3131</v>
      </c>
      <c r="B107">
        <v>1</v>
      </c>
      <c r="C107">
        <v>2025</v>
      </c>
      <c r="D107" t="s">
        <v>318</v>
      </c>
      <c r="E107">
        <v>0</v>
      </c>
      <c r="F107" t="s">
        <v>11214</v>
      </c>
      <c r="G107" t="s">
        <v>11215</v>
      </c>
      <c r="H107" s="4" t="s">
        <v>11216</v>
      </c>
      <c r="I107" t="s">
        <v>71</v>
      </c>
      <c r="J107" t="s">
        <v>10782</v>
      </c>
      <c r="K107" t="s">
        <v>11217</v>
      </c>
    </row>
    <row r="108" spans="1:11" ht="201.6" x14ac:dyDescent="0.3">
      <c r="A108" s="4" t="s">
        <v>3748</v>
      </c>
      <c r="B108">
        <v>3</v>
      </c>
      <c r="C108">
        <v>2025</v>
      </c>
      <c r="D108" t="s">
        <v>147</v>
      </c>
      <c r="E108">
        <v>0</v>
      </c>
      <c r="F108" t="s">
        <v>11218</v>
      </c>
      <c r="G108" t="s">
        <v>11219</v>
      </c>
      <c r="H108" s="4" t="s">
        <v>11220</v>
      </c>
      <c r="I108" t="s">
        <v>71</v>
      </c>
      <c r="J108" t="s">
        <v>10782</v>
      </c>
      <c r="K108" t="s">
        <v>11221</v>
      </c>
    </row>
    <row r="109" spans="1:11" ht="187.2" x14ac:dyDescent="0.3">
      <c r="A109" s="4" t="s">
        <v>3749</v>
      </c>
      <c r="B109">
        <v>3</v>
      </c>
      <c r="C109">
        <v>2025</v>
      </c>
      <c r="D109" t="s">
        <v>11222</v>
      </c>
      <c r="E109">
        <v>0</v>
      </c>
      <c r="F109" t="s">
        <v>11223</v>
      </c>
      <c r="G109" t="s">
        <v>11224</v>
      </c>
      <c r="H109" s="4" t="s">
        <v>11225</v>
      </c>
      <c r="I109" t="s">
        <v>71</v>
      </c>
      <c r="J109" t="s">
        <v>10782</v>
      </c>
      <c r="K109" t="s">
        <v>11226</v>
      </c>
    </row>
    <row r="110" spans="1:11" ht="187.2" x14ac:dyDescent="0.3">
      <c r="A110" s="4" t="s">
        <v>3750</v>
      </c>
      <c r="B110">
        <v>3</v>
      </c>
      <c r="C110">
        <v>2025</v>
      </c>
      <c r="D110" t="s">
        <v>202</v>
      </c>
      <c r="E110">
        <v>0</v>
      </c>
      <c r="F110" t="s">
        <v>11227</v>
      </c>
      <c r="G110" t="s">
        <v>11228</v>
      </c>
      <c r="H110" s="4" t="s">
        <v>11229</v>
      </c>
      <c r="I110" t="s">
        <v>71</v>
      </c>
      <c r="J110" t="s">
        <v>10782</v>
      </c>
      <c r="K110" t="s">
        <v>11230</v>
      </c>
    </row>
    <row r="111" spans="1:11" ht="28.8" x14ac:dyDescent="0.3">
      <c r="A111" s="4" t="s">
        <v>3751</v>
      </c>
      <c r="B111">
        <v>3</v>
      </c>
      <c r="C111">
        <v>2025</v>
      </c>
      <c r="D111" t="s">
        <v>11231</v>
      </c>
      <c r="E111">
        <v>0</v>
      </c>
      <c r="F111" t="s">
        <v>11232</v>
      </c>
      <c r="G111" t="s">
        <v>11233</v>
      </c>
      <c r="H111" s="4" t="s">
        <v>11234</v>
      </c>
    </row>
    <row r="112" spans="1:11" ht="144" x14ac:dyDescent="0.3">
      <c r="A112" s="4" t="s">
        <v>3752</v>
      </c>
      <c r="B112">
        <v>3</v>
      </c>
      <c r="C112">
        <v>2025</v>
      </c>
      <c r="D112" t="s">
        <v>11235</v>
      </c>
      <c r="E112">
        <v>0</v>
      </c>
      <c r="F112" t="s">
        <v>11236</v>
      </c>
      <c r="G112" t="s">
        <v>11237</v>
      </c>
      <c r="H112" s="4" t="s">
        <v>11238</v>
      </c>
    </row>
    <row r="113" spans="1:11" ht="115.2" x14ac:dyDescent="0.3">
      <c r="A113" s="4" t="s">
        <v>3753</v>
      </c>
      <c r="B113">
        <v>3</v>
      </c>
      <c r="C113">
        <v>2025</v>
      </c>
      <c r="D113" t="s">
        <v>202</v>
      </c>
      <c r="E113">
        <v>0</v>
      </c>
      <c r="F113" t="s">
        <v>11239</v>
      </c>
      <c r="G113" t="s">
        <v>11240</v>
      </c>
      <c r="H113" s="4" t="s">
        <v>11241</v>
      </c>
      <c r="I113" t="s">
        <v>71</v>
      </c>
      <c r="J113" t="s">
        <v>10782</v>
      </c>
      <c r="K113" t="s">
        <v>11242</v>
      </c>
    </row>
    <row r="114" spans="1:11" ht="172.8" x14ac:dyDescent="0.3">
      <c r="A114" s="4" t="s">
        <v>3754</v>
      </c>
      <c r="B114">
        <v>3</v>
      </c>
      <c r="C114">
        <v>2025</v>
      </c>
      <c r="D114" t="s">
        <v>1770</v>
      </c>
      <c r="E114">
        <v>0</v>
      </c>
      <c r="F114" t="s">
        <v>11243</v>
      </c>
      <c r="G114" t="s">
        <v>11244</v>
      </c>
      <c r="H114" s="4" t="s">
        <v>11245</v>
      </c>
      <c r="I114" t="s">
        <v>71</v>
      </c>
      <c r="J114" t="s">
        <v>10782</v>
      </c>
      <c r="K114" t="s">
        <v>11246</v>
      </c>
    </row>
    <row r="115" spans="1:11" ht="259.2" x14ac:dyDescent="0.3">
      <c r="A115" s="4" t="s">
        <v>3755</v>
      </c>
      <c r="B115">
        <v>3</v>
      </c>
      <c r="C115">
        <v>2025</v>
      </c>
      <c r="D115" t="s">
        <v>637</v>
      </c>
      <c r="E115">
        <v>0</v>
      </c>
      <c r="F115" t="s">
        <v>11247</v>
      </c>
      <c r="G115" t="s">
        <v>11248</v>
      </c>
      <c r="H115" s="4" t="s">
        <v>11249</v>
      </c>
      <c r="I115" t="s">
        <v>71</v>
      </c>
      <c r="J115" t="s">
        <v>10782</v>
      </c>
      <c r="K115" t="s">
        <v>11250</v>
      </c>
    </row>
    <row r="116" spans="1:11" ht="187.2" x14ac:dyDescent="0.3">
      <c r="A116" s="4" t="s">
        <v>178</v>
      </c>
      <c r="B116">
        <v>1</v>
      </c>
      <c r="C116">
        <v>2025</v>
      </c>
      <c r="D116" t="s">
        <v>177</v>
      </c>
      <c r="E116">
        <v>0</v>
      </c>
      <c r="F116" t="s">
        <v>11251</v>
      </c>
      <c r="G116" t="s">
        <v>11252</v>
      </c>
      <c r="H116" s="4" t="s">
        <v>11253</v>
      </c>
      <c r="I116" t="s">
        <v>71</v>
      </c>
      <c r="J116" t="s">
        <v>10782</v>
      </c>
      <c r="K116" t="s">
        <v>11254</v>
      </c>
    </row>
    <row r="117" spans="1:11" ht="172.8" x14ac:dyDescent="0.3">
      <c r="A117" s="4" t="s">
        <v>3756</v>
      </c>
      <c r="B117">
        <v>3</v>
      </c>
      <c r="C117">
        <v>2025</v>
      </c>
      <c r="D117" t="s">
        <v>918</v>
      </c>
      <c r="E117">
        <v>0</v>
      </c>
      <c r="F117" t="s">
        <v>11255</v>
      </c>
      <c r="G117" t="s">
        <v>11256</v>
      </c>
      <c r="H117" s="4" t="s">
        <v>11257</v>
      </c>
      <c r="I117" t="s">
        <v>71</v>
      </c>
      <c r="J117" t="s">
        <v>10782</v>
      </c>
      <c r="K117" t="s">
        <v>11258</v>
      </c>
    </row>
    <row r="118" spans="1:11" ht="115.2" x14ac:dyDescent="0.3">
      <c r="A118" s="4" t="s">
        <v>3757</v>
      </c>
      <c r="B118">
        <v>3</v>
      </c>
      <c r="C118">
        <v>2025</v>
      </c>
      <c r="D118" t="s">
        <v>10924</v>
      </c>
      <c r="E118">
        <v>0</v>
      </c>
      <c r="F118" t="s">
        <v>11259</v>
      </c>
      <c r="G118" t="s">
        <v>11260</v>
      </c>
      <c r="H118" s="4" t="s">
        <v>11261</v>
      </c>
      <c r="I118" t="s">
        <v>71</v>
      </c>
      <c r="J118" t="s">
        <v>10782</v>
      </c>
      <c r="K118" t="s">
        <v>11262</v>
      </c>
    </row>
    <row r="119" spans="1:11" ht="230.4" x14ac:dyDescent="0.3">
      <c r="A119" s="4" t="s">
        <v>3758</v>
      </c>
      <c r="B119">
        <v>3</v>
      </c>
      <c r="C119">
        <v>2025</v>
      </c>
      <c r="D119" t="s">
        <v>11263</v>
      </c>
      <c r="E119">
        <v>0</v>
      </c>
      <c r="F119" t="s">
        <v>11264</v>
      </c>
      <c r="G119" t="s">
        <v>11265</v>
      </c>
      <c r="H119" s="4" t="s">
        <v>11266</v>
      </c>
      <c r="I119" t="s">
        <v>71</v>
      </c>
      <c r="J119" t="s">
        <v>10782</v>
      </c>
      <c r="K119" t="s">
        <v>11267</v>
      </c>
    </row>
    <row r="120" spans="1:11" ht="172.8" x14ac:dyDescent="0.3">
      <c r="A120" s="4" t="s">
        <v>3132</v>
      </c>
      <c r="B120">
        <v>1</v>
      </c>
      <c r="C120">
        <v>2025</v>
      </c>
      <c r="D120" t="s">
        <v>1002</v>
      </c>
      <c r="E120">
        <v>0</v>
      </c>
      <c r="F120" t="s">
        <v>11268</v>
      </c>
      <c r="G120" t="s">
        <v>11269</v>
      </c>
      <c r="H120" s="4" t="s">
        <v>11270</v>
      </c>
      <c r="I120" t="s">
        <v>71</v>
      </c>
      <c r="J120" t="s">
        <v>10782</v>
      </c>
      <c r="K120" t="s">
        <v>11271</v>
      </c>
    </row>
    <row r="121" spans="1:11" ht="187.2" x14ac:dyDescent="0.3">
      <c r="A121" s="4" t="s">
        <v>3133</v>
      </c>
      <c r="B121">
        <v>1</v>
      </c>
      <c r="C121">
        <v>2025</v>
      </c>
      <c r="D121" t="s">
        <v>217</v>
      </c>
      <c r="E121">
        <v>0</v>
      </c>
      <c r="F121" t="s">
        <v>11272</v>
      </c>
      <c r="G121" t="s">
        <v>11273</v>
      </c>
      <c r="H121" s="4" t="s">
        <v>11274</v>
      </c>
      <c r="I121" t="s">
        <v>71</v>
      </c>
      <c r="J121" t="s">
        <v>10782</v>
      </c>
      <c r="K121" t="s">
        <v>11275</v>
      </c>
    </row>
    <row r="122" spans="1:11" ht="172.8" x14ac:dyDescent="0.3">
      <c r="A122" s="4" t="s">
        <v>3759</v>
      </c>
      <c r="B122">
        <v>3</v>
      </c>
      <c r="C122">
        <v>2025</v>
      </c>
      <c r="D122" t="s">
        <v>11276</v>
      </c>
      <c r="E122">
        <v>0</v>
      </c>
      <c r="F122" t="s">
        <v>11277</v>
      </c>
      <c r="G122" t="s">
        <v>11278</v>
      </c>
      <c r="H122" s="4" t="s">
        <v>11279</v>
      </c>
      <c r="I122" t="s">
        <v>71</v>
      </c>
      <c r="J122" t="s">
        <v>10782</v>
      </c>
      <c r="K122" t="s">
        <v>11280</v>
      </c>
    </row>
    <row r="123" spans="1:11" ht="129.6" x14ac:dyDescent="0.3">
      <c r="A123" s="4" t="s">
        <v>3760</v>
      </c>
      <c r="B123">
        <v>3</v>
      </c>
      <c r="C123">
        <v>2025</v>
      </c>
      <c r="D123" t="s">
        <v>10815</v>
      </c>
      <c r="E123">
        <v>0</v>
      </c>
      <c r="F123" t="s">
        <v>11281</v>
      </c>
      <c r="G123" t="s">
        <v>11282</v>
      </c>
      <c r="H123" s="4" t="s">
        <v>11283</v>
      </c>
      <c r="I123" t="s">
        <v>71</v>
      </c>
      <c r="J123" t="s">
        <v>10782</v>
      </c>
      <c r="K123" t="s">
        <v>11284</v>
      </c>
    </row>
    <row r="124" spans="1:11" ht="172.8" x14ac:dyDescent="0.3">
      <c r="A124" s="4" t="s">
        <v>3761</v>
      </c>
      <c r="B124">
        <v>3</v>
      </c>
      <c r="C124">
        <v>2025</v>
      </c>
      <c r="D124" t="s">
        <v>11285</v>
      </c>
      <c r="E124">
        <v>0</v>
      </c>
      <c r="F124" t="s">
        <v>11286</v>
      </c>
      <c r="G124" t="s">
        <v>11287</v>
      </c>
      <c r="H124" s="4" t="s">
        <v>11288</v>
      </c>
      <c r="I124" t="s">
        <v>71</v>
      </c>
      <c r="J124" t="s">
        <v>10782</v>
      </c>
      <c r="K124" t="s">
        <v>11289</v>
      </c>
    </row>
    <row r="125" spans="1:11" ht="216" x14ac:dyDescent="0.3">
      <c r="A125" s="4" t="s">
        <v>189</v>
      </c>
      <c r="B125">
        <v>1</v>
      </c>
      <c r="C125">
        <v>2025</v>
      </c>
      <c r="D125" t="s">
        <v>190</v>
      </c>
      <c r="E125">
        <v>1</v>
      </c>
      <c r="F125" t="s">
        <v>11290</v>
      </c>
      <c r="G125" t="s">
        <v>11291</v>
      </c>
      <c r="H125" s="4" t="s">
        <v>11292</v>
      </c>
      <c r="I125" t="s">
        <v>71</v>
      </c>
      <c r="J125" t="s">
        <v>10782</v>
      </c>
      <c r="K125" t="s">
        <v>11293</v>
      </c>
    </row>
    <row r="126" spans="1:11" ht="129.6" x14ac:dyDescent="0.3">
      <c r="A126" s="4" t="s">
        <v>3134</v>
      </c>
      <c r="B126">
        <v>1</v>
      </c>
      <c r="C126">
        <v>2025</v>
      </c>
      <c r="D126" t="s">
        <v>11294</v>
      </c>
      <c r="E126">
        <v>0</v>
      </c>
      <c r="F126" t="s">
        <v>11295</v>
      </c>
      <c r="G126" t="s">
        <v>11296</v>
      </c>
      <c r="H126" s="4" t="s">
        <v>11297</v>
      </c>
      <c r="I126" t="s">
        <v>71</v>
      </c>
      <c r="J126" t="s">
        <v>10782</v>
      </c>
      <c r="K126" t="s">
        <v>11298</v>
      </c>
    </row>
    <row r="127" spans="1:11" ht="201.6" x14ac:dyDescent="0.3">
      <c r="A127" s="4" t="s">
        <v>3135</v>
      </c>
      <c r="B127">
        <v>1</v>
      </c>
      <c r="C127">
        <v>2025</v>
      </c>
      <c r="D127" t="s">
        <v>1770</v>
      </c>
      <c r="E127">
        <v>0</v>
      </c>
      <c r="F127" t="s">
        <v>11299</v>
      </c>
      <c r="G127" t="s">
        <v>11300</v>
      </c>
      <c r="H127" s="4" t="s">
        <v>11301</v>
      </c>
      <c r="I127" t="s">
        <v>71</v>
      </c>
      <c r="J127" t="s">
        <v>10782</v>
      </c>
      <c r="K127" t="s">
        <v>11302</v>
      </c>
    </row>
    <row r="128" spans="1:11" ht="187.2" x14ac:dyDescent="0.3">
      <c r="A128" s="4" t="s">
        <v>3762</v>
      </c>
      <c r="B128">
        <v>3</v>
      </c>
      <c r="C128">
        <v>2025</v>
      </c>
      <c r="D128" t="s">
        <v>10796</v>
      </c>
      <c r="E128">
        <v>1</v>
      </c>
      <c r="F128" t="s">
        <v>11303</v>
      </c>
      <c r="G128" t="s">
        <v>11304</v>
      </c>
      <c r="H128" s="4" t="s">
        <v>11305</v>
      </c>
      <c r="I128" t="s">
        <v>71</v>
      </c>
      <c r="J128" t="s">
        <v>10782</v>
      </c>
      <c r="K128" t="s">
        <v>11306</v>
      </c>
    </row>
    <row r="129" spans="1:11" ht="100.8" x14ac:dyDescent="0.3">
      <c r="A129" s="4" t="s">
        <v>201</v>
      </c>
      <c r="B129">
        <v>1</v>
      </c>
      <c r="C129">
        <v>2025</v>
      </c>
      <c r="D129" t="s">
        <v>202</v>
      </c>
      <c r="E129">
        <v>0</v>
      </c>
      <c r="F129" t="s">
        <v>11307</v>
      </c>
      <c r="G129" t="s">
        <v>11308</v>
      </c>
      <c r="H129" s="4" t="s">
        <v>11309</v>
      </c>
    </row>
    <row r="130" spans="1:11" ht="187.2" x14ac:dyDescent="0.3">
      <c r="A130" s="4" t="s">
        <v>3763</v>
      </c>
      <c r="B130">
        <v>3</v>
      </c>
      <c r="C130">
        <v>2025</v>
      </c>
      <c r="D130" t="s">
        <v>11310</v>
      </c>
      <c r="E130">
        <v>0</v>
      </c>
      <c r="F130" t="s">
        <v>11311</v>
      </c>
      <c r="G130" t="s">
        <v>11312</v>
      </c>
      <c r="H130" s="4" t="s">
        <v>11313</v>
      </c>
      <c r="I130" t="s">
        <v>71</v>
      </c>
      <c r="J130" t="s">
        <v>10782</v>
      </c>
      <c r="K130" t="s">
        <v>11314</v>
      </c>
    </row>
    <row r="131" spans="1:11" ht="201.6" x14ac:dyDescent="0.3">
      <c r="A131" s="4" t="s">
        <v>3136</v>
      </c>
      <c r="B131">
        <v>1</v>
      </c>
      <c r="C131">
        <v>2025</v>
      </c>
      <c r="D131" t="s">
        <v>80</v>
      </c>
      <c r="E131">
        <v>2</v>
      </c>
      <c r="F131" t="s">
        <v>11315</v>
      </c>
      <c r="G131" t="s">
        <v>11316</v>
      </c>
      <c r="H131" s="4" t="s">
        <v>11317</v>
      </c>
      <c r="I131" t="s">
        <v>71</v>
      </c>
      <c r="J131" t="s">
        <v>10782</v>
      </c>
      <c r="K131" t="s">
        <v>11318</v>
      </c>
    </row>
    <row r="132" spans="1:11" ht="144" x14ac:dyDescent="0.3">
      <c r="A132" s="4" t="s">
        <v>3764</v>
      </c>
      <c r="B132">
        <v>3</v>
      </c>
      <c r="C132">
        <v>2025</v>
      </c>
      <c r="D132" t="s">
        <v>11319</v>
      </c>
      <c r="E132">
        <v>0</v>
      </c>
      <c r="G132" t="s">
        <v>11320</v>
      </c>
      <c r="H132" s="4" t="s">
        <v>11321</v>
      </c>
      <c r="I132" t="s">
        <v>71</v>
      </c>
      <c r="J132" t="s">
        <v>10782</v>
      </c>
      <c r="K132" t="s">
        <v>11322</v>
      </c>
    </row>
    <row r="133" spans="1:11" ht="230.4" x14ac:dyDescent="0.3">
      <c r="A133" s="4" t="s">
        <v>3765</v>
      </c>
      <c r="B133">
        <v>3</v>
      </c>
      <c r="C133">
        <v>2025</v>
      </c>
      <c r="D133" t="s">
        <v>704</v>
      </c>
      <c r="E133">
        <v>0</v>
      </c>
      <c r="F133" t="s">
        <v>11323</v>
      </c>
      <c r="G133" t="s">
        <v>11324</v>
      </c>
      <c r="H133" s="4" t="s">
        <v>11325</v>
      </c>
      <c r="I133" t="s">
        <v>10823</v>
      </c>
      <c r="J133" t="s">
        <v>10782</v>
      </c>
      <c r="K133" t="s">
        <v>11326</v>
      </c>
    </row>
    <row r="134" spans="1:11" ht="230.4" x14ac:dyDescent="0.3">
      <c r="A134" s="4" t="s">
        <v>3766</v>
      </c>
      <c r="B134">
        <v>3</v>
      </c>
      <c r="C134">
        <v>2025</v>
      </c>
      <c r="D134" t="s">
        <v>11327</v>
      </c>
      <c r="E134">
        <v>1</v>
      </c>
      <c r="F134" t="s">
        <v>11328</v>
      </c>
      <c r="G134" t="s">
        <v>11329</v>
      </c>
      <c r="H134" s="4" t="s">
        <v>11330</v>
      </c>
      <c r="I134" t="s">
        <v>71</v>
      </c>
      <c r="J134" t="s">
        <v>10782</v>
      </c>
      <c r="K134" t="s">
        <v>11331</v>
      </c>
    </row>
    <row r="135" spans="1:11" ht="144" x14ac:dyDescent="0.3">
      <c r="A135" s="4" t="s">
        <v>3137</v>
      </c>
      <c r="B135">
        <v>1</v>
      </c>
      <c r="C135">
        <v>2025</v>
      </c>
      <c r="D135" t="s">
        <v>11332</v>
      </c>
      <c r="E135">
        <v>0</v>
      </c>
      <c r="F135" t="s">
        <v>11333</v>
      </c>
      <c r="G135" t="s">
        <v>11334</v>
      </c>
      <c r="H135" s="4" t="s">
        <v>11335</v>
      </c>
      <c r="I135" t="s">
        <v>71</v>
      </c>
      <c r="J135" t="s">
        <v>10782</v>
      </c>
      <c r="K135" t="s">
        <v>11336</v>
      </c>
    </row>
    <row r="136" spans="1:11" ht="172.8" x14ac:dyDescent="0.3">
      <c r="A136" s="4" t="s">
        <v>3767</v>
      </c>
      <c r="B136">
        <v>3</v>
      </c>
      <c r="C136">
        <v>2025</v>
      </c>
      <c r="D136" t="s">
        <v>11337</v>
      </c>
      <c r="E136">
        <v>0</v>
      </c>
      <c r="F136" t="s">
        <v>11338</v>
      </c>
      <c r="G136" t="s">
        <v>11339</v>
      </c>
      <c r="H136" s="4" t="s">
        <v>11340</v>
      </c>
      <c r="I136" t="s">
        <v>71</v>
      </c>
      <c r="J136" t="s">
        <v>10782</v>
      </c>
      <c r="K136" t="s">
        <v>11341</v>
      </c>
    </row>
    <row r="137" spans="1:11" ht="158.4" x14ac:dyDescent="0.3">
      <c r="A137" s="4" t="s">
        <v>3768</v>
      </c>
      <c r="B137">
        <v>3</v>
      </c>
      <c r="C137">
        <v>2025</v>
      </c>
      <c r="D137" t="s">
        <v>432</v>
      </c>
      <c r="E137">
        <v>0</v>
      </c>
      <c r="F137" t="s">
        <v>11342</v>
      </c>
      <c r="G137" t="s">
        <v>11343</v>
      </c>
      <c r="H137" s="4" t="s">
        <v>11344</v>
      </c>
      <c r="I137" t="s">
        <v>71</v>
      </c>
      <c r="J137" t="s">
        <v>10782</v>
      </c>
      <c r="K137" t="s">
        <v>11345</v>
      </c>
    </row>
    <row r="138" spans="1:11" ht="187.2" x14ac:dyDescent="0.3">
      <c r="A138" s="4" t="s">
        <v>3769</v>
      </c>
      <c r="B138">
        <v>3</v>
      </c>
      <c r="C138">
        <v>2025</v>
      </c>
      <c r="D138" t="s">
        <v>1849</v>
      </c>
      <c r="E138">
        <v>0</v>
      </c>
      <c r="F138" t="s">
        <v>11346</v>
      </c>
      <c r="G138" t="s">
        <v>11347</v>
      </c>
      <c r="H138" s="4" t="s">
        <v>11348</v>
      </c>
      <c r="I138" t="s">
        <v>71</v>
      </c>
      <c r="J138" t="s">
        <v>10782</v>
      </c>
      <c r="K138" t="s">
        <v>11349</v>
      </c>
    </row>
    <row r="139" spans="1:11" ht="244.8" x14ac:dyDescent="0.3">
      <c r="A139" s="4" t="s">
        <v>216</v>
      </c>
      <c r="B139">
        <v>1</v>
      </c>
      <c r="C139">
        <v>2025</v>
      </c>
      <c r="D139" t="s">
        <v>217</v>
      </c>
      <c r="E139">
        <v>0</v>
      </c>
      <c r="F139" t="s">
        <v>11350</v>
      </c>
      <c r="G139" t="s">
        <v>11351</v>
      </c>
      <c r="H139" s="4" t="s">
        <v>11352</v>
      </c>
      <c r="I139" t="s">
        <v>71</v>
      </c>
      <c r="J139" t="s">
        <v>10782</v>
      </c>
      <c r="K139" t="s">
        <v>11353</v>
      </c>
    </row>
    <row r="140" spans="1:11" ht="201.6" x14ac:dyDescent="0.3">
      <c r="A140" s="4" t="s">
        <v>3770</v>
      </c>
      <c r="B140">
        <v>3</v>
      </c>
      <c r="C140">
        <v>2025</v>
      </c>
      <c r="D140" t="s">
        <v>1002</v>
      </c>
      <c r="E140">
        <v>0</v>
      </c>
      <c r="F140" t="s">
        <v>11354</v>
      </c>
      <c r="G140" t="s">
        <v>11355</v>
      </c>
      <c r="H140" s="4" t="s">
        <v>11356</v>
      </c>
    </row>
    <row r="141" spans="1:11" ht="158.4" x14ac:dyDescent="0.3">
      <c r="A141" s="4" t="s">
        <v>226</v>
      </c>
      <c r="B141">
        <v>1</v>
      </c>
      <c r="C141">
        <v>2025</v>
      </c>
      <c r="D141" t="s">
        <v>227</v>
      </c>
      <c r="E141">
        <v>0</v>
      </c>
      <c r="F141" t="s">
        <v>11357</v>
      </c>
      <c r="G141" t="s">
        <v>11358</v>
      </c>
      <c r="H141" s="4" t="s">
        <v>11359</v>
      </c>
      <c r="I141" t="s">
        <v>71</v>
      </c>
      <c r="J141" t="s">
        <v>10782</v>
      </c>
      <c r="K141" t="s">
        <v>11360</v>
      </c>
    </row>
    <row r="142" spans="1:11" ht="187.2" x14ac:dyDescent="0.3">
      <c r="A142" s="4" t="s">
        <v>3453</v>
      </c>
      <c r="B142">
        <v>2</v>
      </c>
      <c r="C142">
        <v>2025</v>
      </c>
      <c r="D142" t="s">
        <v>1770</v>
      </c>
      <c r="E142">
        <v>0</v>
      </c>
      <c r="F142" t="s">
        <v>11361</v>
      </c>
      <c r="G142" t="s">
        <v>11362</v>
      </c>
      <c r="H142" s="4" t="s">
        <v>11363</v>
      </c>
      <c r="I142" t="s">
        <v>71</v>
      </c>
      <c r="J142" t="s">
        <v>10782</v>
      </c>
      <c r="K142" t="s">
        <v>11364</v>
      </c>
    </row>
    <row r="143" spans="1:11" ht="187.2" x14ac:dyDescent="0.3">
      <c r="A143" s="4" t="s">
        <v>3771</v>
      </c>
      <c r="B143">
        <v>3</v>
      </c>
      <c r="C143">
        <v>2025</v>
      </c>
      <c r="D143" t="s">
        <v>11041</v>
      </c>
      <c r="E143">
        <v>0</v>
      </c>
      <c r="F143" t="s">
        <v>11365</v>
      </c>
      <c r="G143" t="s">
        <v>11366</v>
      </c>
      <c r="H143" s="4" t="s">
        <v>11367</v>
      </c>
      <c r="I143" t="s">
        <v>71</v>
      </c>
      <c r="J143" t="s">
        <v>10782</v>
      </c>
      <c r="K143" t="s">
        <v>11368</v>
      </c>
    </row>
    <row r="144" spans="1:11" ht="230.4" x14ac:dyDescent="0.3">
      <c r="A144" s="4" t="s">
        <v>3772</v>
      </c>
      <c r="B144">
        <v>3</v>
      </c>
      <c r="C144">
        <v>2025</v>
      </c>
      <c r="D144" t="s">
        <v>665</v>
      </c>
      <c r="E144">
        <v>0</v>
      </c>
      <c r="F144" t="s">
        <v>11369</v>
      </c>
      <c r="G144" t="s">
        <v>11370</v>
      </c>
      <c r="H144" s="4" t="s">
        <v>11371</v>
      </c>
      <c r="I144" t="s">
        <v>71</v>
      </c>
      <c r="J144" t="s">
        <v>10782</v>
      </c>
      <c r="K144" t="s">
        <v>11372</v>
      </c>
    </row>
    <row r="145" spans="1:11" ht="187.2" x14ac:dyDescent="0.3">
      <c r="A145" s="4" t="s">
        <v>3138</v>
      </c>
      <c r="B145">
        <v>1</v>
      </c>
      <c r="C145">
        <v>2025</v>
      </c>
      <c r="D145" t="s">
        <v>217</v>
      </c>
      <c r="E145">
        <v>0</v>
      </c>
      <c r="F145" t="s">
        <v>11373</v>
      </c>
      <c r="G145" t="s">
        <v>11374</v>
      </c>
      <c r="H145" s="4" t="s">
        <v>11375</v>
      </c>
      <c r="I145" t="s">
        <v>71</v>
      </c>
      <c r="J145" t="s">
        <v>10782</v>
      </c>
      <c r="K145" t="s">
        <v>11376</v>
      </c>
    </row>
    <row r="146" spans="1:11" ht="216" x14ac:dyDescent="0.3">
      <c r="A146" s="4" t="s">
        <v>233</v>
      </c>
      <c r="B146">
        <v>1</v>
      </c>
      <c r="C146">
        <v>2025</v>
      </c>
      <c r="D146" t="s">
        <v>234</v>
      </c>
      <c r="E146">
        <v>0</v>
      </c>
      <c r="F146" t="s">
        <v>11377</v>
      </c>
      <c r="G146" t="s">
        <v>11378</v>
      </c>
      <c r="H146" s="4" t="s">
        <v>11379</v>
      </c>
      <c r="I146" t="s">
        <v>71</v>
      </c>
      <c r="J146" t="s">
        <v>10782</v>
      </c>
      <c r="K146" t="s">
        <v>11380</v>
      </c>
    </row>
    <row r="147" spans="1:11" ht="28.8" x14ac:dyDescent="0.3">
      <c r="A147" s="4" t="s">
        <v>3773</v>
      </c>
      <c r="B147">
        <v>3</v>
      </c>
      <c r="C147">
        <v>2025</v>
      </c>
      <c r="D147" t="s">
        <v>432</v>
      </c>
      <c r="E147">
        <v>0</v>
      </c>
      <c r="F147" t="s">
        <v>11381</v>
      </c>
      <c r="G147" t="s">
        <v>11382</v>
      </c>
      <c r="H147" s="4" t="s">
        <v>11383</v>
      </c>
    </row>
    <row r="148" spans="1:11" ht="244.8" x14ac:dyDescent="0.3">
      <c r="A148" s="4" t="s">
        <v>3139</v>
      </c>
      <c r="B148">
        <v>1</v>
      </c>
      <c r="C148">
        <v>2025</v>
      </c>
      <c r="D148" t="s">
        <v>665</v>
      </c>
      <c r="E148">
        <v>0</v>
      </c>
      <c r="F148" t="s">
        <v>11384</v>
      </c>
      <c r="G148" t="s">
        <v>11385</v>
      </c>
      <c r="H148" s="4" t="s">
        <v>11386</v>
      </c>
      <c r="I148" t="s">
        <v>71</v>
      </c>
      <c r="J148" t="s">
        <v>10782</v>
      </c>
      <c r="K148" t="s">
        <v>11387</v>
      </c>
    </row>
    <row r="149" spans="1:11" ht="158.4" x14ac:dyDescent="0.3">
      <c r="A149" s="4" t="s">
        <v>3774</v>
      </c>
      <c r="B149">
        <v>3</v>
      </c>
      <c r="C149">
        <v>2025</v>
      </c>
      <c r="D149" t="s">
        <v>11285</v>
      </c>
      <c r="E149">
        <v>0</v>
      </c>
      <c r="F149" t="s">
        <v>11388</v>
      </c>
      <c r="G149" t="s">
        <v>11389</v>
      </c>
      <c r="H149" s="4" t="s">
        <v>11390</v>
      </c>
      <c r="I149" t="s">
        <v>71</v>
      </c>
      <c r="J149" t="s">
        <v>10782</v>
      </c>
      <c r="K149" t="s">
        <v>11391</v>
      </c>
    </row>
    <row r="150" spans="1:11" ht="187.2" x14ac:dyDescent="0.3">
      <c r="A150" s="4" t="s">
        <v>3140</v>
      </c>
      <c r="B150">
        <v>1</v>
      </c>
      <c r="C150">
        <v>2025</v>
      </c>
      <c r="D150" t="s">
        <v>918</v>
      </c>
      <c r="E150">
        <v>0</v>
      </c>
      <c r="F150" t="s">
        <v>11392</v>
      </c>
      <c r="G150" t="s">
        <v>11393</v>
      </c>
      <c r="H150" s="4" t="s">
        <v>11394</v>
      </c>
      <c r="I150" t="s">
        <v>71</v>
      </c>
      <c r="J150" t="s">
        <v>10782</v>
      </c>
      <c r="K150" t="s">
        <v>11395</v>
      </c>
    </row>
    <row r="151" spans="1:11" ht="144" x14ac:dyDescent="0.3">
      <c r="A151" s="4" t="s">
        <v>3775</v>
      </c>
      <c r="B151">
        <v>3</v>
      </c>
      <c r="C151">
        <v>2025</v>
      </c>
      <c r="D151" t="s">
        <v>637</v>
      </c>
      <c r="E151">
        <v>0</v>
      </c>
      <c r="F151" t="s">
        <v>11396</v>
      </c>
      <c r="G151" t="s">
        <v>11397</v>
      </c>
      <c r="H151" s="4" t="s">
        <v>11398</v>
      </c>
      <c r="I151" t="s">
        <v>71</v>
      </c>
      <c r="J151" t="s">
        <v>10782</v>
      </c>
      <c r="K151" t="s">
        <v>11399</v>
      </c>
    </row>
    <row r="152" spans="1:11" ht="187.2" x14ac:dyDescent="0.3">
      <c r="A152" s="4" t="s">
        <v>3141</v>
      </c>
      <c r="B152">
        <v>1</v>
      </c>
      <c r="C152">
        <v>2025</v>
      </c>
      <c r="D152" t="s">
        <v>405</v>
      </c>
      <c r="E152">
        <v>0</v>
      </c>
      <c r="F152" t="s">
        <v>11400</v>
      </c>
      <c r="G152" t="s">
        <v>11401</v>
      </c>
      <c r="H152" s="4" t="s">
        <v>11402</v>
      </c>
      <c r="I152" t="s">
        <v>71</v>
      </c>
      <c r="J152" t="s">
        <v>10782</v>
      </c>
      <c r="K152" t="s">
        <v>11403</v>
      </c>
    </row>
    <row r="153" spans="1:11" ht="187.2" x14ac:dyDescent="0.3">
      <c r="A153" s="4" t="s">
        <v>3142</v>
      </c>
      <c r="B153">
        <v>1</v>
      </c>
      <c r="C153">
        <v>2025</v>
      </c>
      <c r="D153" t="s">
        <v>11404</v>
      </c>
      <c r="E153">
        <v>0</v>
      </c>
      <c r="F153" t="s">
        <v>11405</v>
      </c>
      <c r="G153" t="s">
        <v>11406</v>
      </c>
      <c r="H153" s="4" t="s">
        <v>11407</v>
      </c>
      <c r="I153" t="s">
        <v>71</v>
      </c>
      <c r="J153" t="s">
        <v>10782</v>
      </c>
      <c r="K153" t="s">
        <v>11408</v>
      </c>
    </row>
    <row r="154" spans="1:11" ht="230.4" x14ac:dyDescent="0.3">
      <c r="A154" s="4" t="s">
        <v>3776</v>
      </c>
      <c r="B154">
        <v>3</v>
      </c>
      <c r="C154">
        <v>2025</v>
      </c>
      <c r="D154" t="s">
        <v>11409</v>
      </c>
      <c r="E154">
        <v>0</v>
      </c>
      <c r="F154" t="s">
        <v>11410</v>
      </c>
      <c r="G154" t="s">
        <v>11411</v>
      </c>
      <c r="H154" s="4" t="s">
        <v>11412</v>
      </c>
      <c r="I154" t="s">
        <v>71</v>
      </c>
      <c r="J154" t="s">
        <v>10782</v>
      </c>
      <c r="K154" t="s">
        <v>11413</v>
      </c>
    </row>
    <row r="155" spans="1:11" ht="172.8" x14ac:dyDescent="0.3">
      <c r="A155" s="4" t="s">
        <v>3143</v>
      </c>
      <c r="B155">
        <v>1</v>
      </c>
      <c r="C155">
        <v>2025</v>
      </c>
      <c r="D155" t="s">
        <v>11414</v>
      </c>
      <c r="E155">
        <v>0</v>
      </c>
      <c r="F155" t="s">
        <v>11415</v>
      </c>
      <c r="G155" t="s">
        <v>11416</v>
      </c>
      <c r="H155" s="4" t="s">
        <v>11417</v>
      </c>
      <c r="I155" t="s">
        <v>71</v>
      </c>
      <c r="J155" t="s">
        <v>10782</v>
      </c>
      <c r="K155" t="s">
        <v>11418</v>
      </c>
    </row>
    <row r="156" spans="1:11" ht="172.8" x14ac:dyDescent="0.3">
      <c r="A156" s="4" t="s">
        <v>3777</v>
      </c>
      <c r="B156">
        <v>3</v>
      </c>
      <c r="C156">
        <v>2025</v>
      </c>
      <c r="D156" t="s">
        <v>11419</v>
      </c>
      <c r="E156">
        <v>0</v>
      </c>
      <c r="F156" t="s">
        <v>11420</v>
      </c>
      <c r="G156" t="s">
        <v>11421</v>
      </c>
      <c r="H156" s="4" t="s">
        <v>11422</v>
      </c>
      <c r="I156" t="s">
        <v>71</v>
      </c>
      <c r="J156" t="s">
        <v>10782</v>
      </c>
      <c r="K156" t="s">
        <v>11423</v>
      </c>
    </row>
    <row r="157" spans="1:11" ht="115.2" x14ac:dyDescent="0.3">
      <c r="A157" s="4" t="s">
        <v>3778</v>
      </c>
      <c r="B157">
        <v>3</v>
      </c>
      <c r="C157">
        <v>2025</v>
      </c>
      <c r="D157" t="s">
        <v>679</v>
      </c>
      <c r="E157">
        <v>0</v>
      </c>
      <c r="F157" t="s">
        <v>11424</v>
      </c>
      <c r="G157" t="s">
        <v>11425</v>
      </c>
      <c r="H157" s="4" t="s">
        <v>11426</v>
      </c>
      <c r="I157" t="s">
        <v>71</v>
      </c>
      <c r="J157" t="s">
        <v>10782</v>
      </c>
      <c r="K157" t="s">
        <v>11427</v>
      </c>
    </row>
    <row r="158" spans="1:11" ht="216" x14ac:dyDescent="0.3">
      <c r="A158" s="4" t="s">
        <v>3144</v>
      </c>
      <c r="B158">
        <v>1</v>
      </c>
      <c r="C158">
        <v>2025</v>
      </c>
      <c r="D158" t="s">
        <v>11294</v>
      </c>
      <c r="E158">
        <v>0</v>
      </c>
      <c r="F158" t="s">
        <v>11428</v>
      </c>
      <c r="G158" t="s">
        <v>11429</v>
      </c>
      <c r="H158" s="4" t="s">
        <v>11430</v>
      </c>
      <c r="I158" t="s">
        <v>71</v>
      </c>
      <c r="J158" t="s">
        <v>10782</v>
      </c>
      <c r="K158" t="s">
        <v>11431</v>
      </c>
    </row>
    <row r="159" spans="1:11" ht="216" x14ac:dyDescent="0.3">
      <c r="A159" s="4" t="s">
        <v>3779</v>
      </c>
      <c r="B159">
        <v>3</v>
      </c>
      <c r="C159">
        <v>2025</v>
      </c>
      <c r="D159" t="s">
        <v>11432</v>
      </c>
      <c r="E159">
        <v>0</v>
      </c>
      <c r="F159" t="s">
        <v>11433</v>
      </c>
      <c r="G159" t="s">
        <v>11434</v>
      </c>
      <c r="H159" s="4" t="s">
        <v>11435</v>
      </c>
    </row>
    <row r="160" spans="1:11" ht="302.39999999999998" x14ac:dyDescent="0.3">
      <c r="A160" s="4" t="s">
        <v>3780</v>
      </c>
      <c r="B160">
        <v>3</v>
      </c>
      <c r="C160">
        <v>2025</v>
      </c>
      <c r="D160" t="s">
        <v>11436</v>
      </c>
      <c r="E160">
        <v>0</v>
      </c>
      <c r="F160" t="s">
        <v>11437</v>
      </c>
      <c r="G160" t="s">
        <v>11438</v>
      </c>
      <c r="H160" s="4" t="s">
        <v>11439</v>
      </c>
      <c r="I160" t="s">
        <v>71</v>
      </c>
      <c r="J160" t="s">
        <v>10782</v>
      </c>
      <c r="K160" t="s">
        <v>11440</v>
      </c>
    </row>
    <row r="161" spans="1:11" ht="100.8" x14ac:dyDescent="0.3">
      <c r="A161" s="4" t="s">
        <v>3454</v>
      </c>
      <c r="B161">
        <v>2</v>
      </c>
      <c r="C161">
        <v>2025</v>
      </c>
      <c r="D161" t="s">
        <v>830</v>
      </c>
      <c r="E161">
        <v>0</v>
      </c>
      <c r="F161" t="s">
        <v>11441</v>
      </c>
      <c r="G161" t="s">
        <v>11442</v>
      </c>
      <c r="H161" s="4" t="s">
        <v>11443</v>
      </c>
    </row>
    <row r="162" spans="1:11" ht="230.4" x14ac:dyDescent="0.3">
      <c r="A162" s="4" t="s">
        <v>3781</v>
      </c>
      <c r="B162">
        <v>3</v>
      </c>
      <c r="C162">
        <v>2025</v>
      </c>
      <c r="D162" t="s">
        <v>11444</v>
      </c>
      <c r="E162">
        <v>0</v>
      </c>
      <c r="F162" t="s">
        <v>11445</v>
      </c>
      <c r="G162" t="s">
        <v>11446</v>
      </c>
      <c r="H162" s="4" t="s">
        <v>11447</v>
      </c>
      <c r="I162" t="s">
        <v>71</v>
      </c>
      <c r="J162" t="s">
        <v>10782</v>
      </c>
      <c r="K162" t="s">
        <v>11448</v>
      </c>
    </row>
    <row r="163" spans="1:11" ht="115.2" x14ac:dyDescent="0.3">
      <c r="A163" s="4" t="s">
        <v>3782</v>
      </c>
      <c r="B163">
        <v>3</v>
      </c>
      <c r="C163">
        <v>2025</v>
      </c>
      <c r="D163" t="s">
        <v>11449</v>
      </c>
      <c r="E163">
        <v>0</v>
      </c>
      <c r="F163" t="s">
        <v>11450</v>
      </c>
      <c r="G163" t="s">
        <v>11451</v>
      </c>
      <c r="H163" s="4" t="s">
        <v>11452</v>
      </c>
      <c r="I163" t="s">
        <v>71</v>
      </c>
      <c r="J163" t="s">
        <v>10782</v>
      </c>
      <c r="K163" t="s">
        <v>11453</v>
      </c>
    </row>
    <row r="164" spans="1:11" ht="86.4" x14ac:dyDescent="0.3">
      <c r="A164" s="4" t="s">
        <v>3783</v>
      </c>
      <c r="B164">
        <v>3</v>
      </c>
      <c r="C164">
        <v>2025</v>
      </c>
      <c r="D164" t="s">
        <v>11310</v>
      </c>
      <c r="E164">
        <v>0</v>
      </c>
      <c r="F164" t="s">
        <v>11454</v>
      </c>
      <c r="G164" t="s">
        <v>11455</v>
      </c>
      <c r="H164" s="4" t="s">
        <v>11456</v>
      </c>
    </row>
    <row r="165" spans="1:11" ht="115.2" x14ac:dyDescent="0.3">
      <c r="A165" s="4" t="s">
        <v>3145</v>
      </c>
      <c r="B165">
        <v>1</v>
      </c>
      <c r="C165">
        <v>2025</v>
      </c>
      <c r="D165" t="s">
        <v>11457</v>
      </c>
      <c r="E165">
        <v>0</v>
      </c>
      <c r="F165" t="s">
        <v>11458</v>
      </c>
      <c r="G165" t="s">
        <v>11459</v>
      </c>
      <c r="H165" s="4" t="s">
        <v>11460</v>
      </c>
      <c r="I165" t="s">
        <v>71</v>
      </c>
      <c r="J165" t="s">
        <v>10782</v>
      </c>
      <c r="K165" t="s">
        <v>11461</v>
      </c>
    </row>
    <row r="166" spans="1:11" ht="100.8" x14ac:dyDescent="0.3">
      <c r="A166" s="4" t="s">
        <v>3784</v>
      </c>
      <c r="B166">
        <v>3</v>
      </c>
      <c r="C166">
        <v>2025</v>
      </c>
      <c r="D166" t="s">
        <v>11462</v>
      </c>
      <c r="E166">
        <v>0</v>
      </c>
      <c r="F166" t="s">
        <v>11463</v>
      </c>
      <c r="G166" t="s">
        <v>11464</v>
      </c>
      <c r="H166" s="4" t="s">
        <v>11465</v>
      </c>
    </row>
    <row r="167" spans="1:11" ht="144" x14ac:dyDescent="0.3">
      <c r="A167" s="4" t="s">
        <v>3785</v>
      </c>
      <c r="B167">
        <v>3</v>
      </c>
      <c r="C167">
        <v>2025</v>
      </c>
      <c r="D167" t="s">
        <v>11466</v>
      </c>
      <c r="E167">
        <v>2</v>
      </c>
      <c r="F167" t="s">
        <v>11467</v>
      </c>
      <c r="G167" t="s">
        <v>11468</v>
      </c>
      <c r="H167" s="4" t="s">
        <v>11469</v>
      </c>
      <c r="I167" t="s">
        <v>71</v>
      </c>
      <c r="J167" t="s">
        <v>10782</v>
      </c>
      <c r="K167" t="s">
        <v>11470</v>
      </c>
    </row>
    <row r="168" spans="1:11" ht="230.4" x14ac:dyDescent="0.3">
      <c r="A168" s="4" t="s">
        <v>3786</v>
      </c>
      <c r="B168">
        <v>3</v>
      </c>
      <c r="C168">
        <v>2025</v>
      </c>
      <c r="D168" t="s">
        <v>11471</v>
      </c>
      <c r="E168">
        <v>0</v>
      </c>
      <c r="F168" t="s">
        <v>11472</v>
      </c>
      <c r="G168" t="s">
        <v>11473</v>
      </c>
      <c r="H168" s="4" t="s">
        <v>11474</v>
      </c>
      <c r="I168" t="s">
        <v>71</v>
      </c>
      <c r="J168" t="s">
        <v>10782</v>
      </c>
      <c r="K168" t="s">
        <v>11475</v>
      </c>
    </row>
    <row r="169" spans="1:11" ht="158.4" x14ac:dyDescent="0.3">
      <c r="A169" s="4" t="s">
        <v>3787</v>
      </c>
      <c r="B169">
        <v>3</v>
      </c>
      <c r="C169">
        <v>2025</v>
      </c>
      <c r="D169" t="s">
        <v>11476</v>
      </c>
      <c r="E169">
        <v>0</v>
      </c>
      <c r="F169" t="s">
        <v>11477</v>
      </c>
      <c r="G169" t="s">
        <v>11478</v>
      </c>
      <c r="H169" s="4" t="s">
        <v>11479</v>
      </c>
      <c r="I169" t="s">
        <v>71</v>
      </c>
      <c r="J169" t="s">
        <v>10782</v>
      </c>
      <c r="K169" t="s">
        <v>11480</v>
      </c>
    </row>
    <row r="170" spans="1:11" ht="158.4" x14ac:dyDescent="0.3">
      <c r="A170" s="4" t="s">
        <v>3146</v>
      </c>
      <c r="B170">
        <v>1</v>
      </c>
      <c r="C170">
        <v>2025</v>
      </c>
      <c r="D170" t="s">
        <v>11481</v>
      </c>
      <c r="E170">
        <v>0</v>
      </c>
      <c r="F170" t="s">
        <v>11482</v>
      </c>
      <c r="G170" t="s">
        <v>11483</v>
      </c>
      <c r="H170" s="4" t="s">
        <v>11484</v>
      </c>
      <c r="I170" t="s">
        <v>71</v>
      </c>
      <c r="J170" t="s">
        <v>10782</v>
      </c>
      <c r="K170" t="s">
        <v>11485</v>
      </c>
    </row>
    <row r="171" spans="1:11" ht="230.4" x14ac:dyDescent="0.3">
      <c r="A171" s="4" t="s">
        <v>3788</v>
      </c>
      <c r="B171">
        <v>3</v>
      </c>
      <c r="C171">
        <v>2025</v>
      </c>
      <c r="D171" t="s">
        <v>11486</v>
      </c>
      <c r="E171">
        <v>0</v>
      </c>
      <c r="F171" t="s">
        <v>11487</v>
      </c>
      <c r="G171" t="s">
        <v>11488</v>
      </c>
      <c r="H171" s="4" t="s">
        <v>11489</v>
      </c>
      <c r="I171" t="s">
        <v>71</v>
      </c>
      <c r="J171" t="s">
        <v>10782</v>
      </c>
      <c r="K171" t="s">
        <v>11490</v>
      </c>
    </row>
    <row r="172" spans="1:11" ht="158.4" x14ac:dyDescent="0.3">
      <c r="A172" s="4" t="s">
        <v>3789</v>
      </c>
      <c r="B172">
        <v>3</v>
      </c>
      <c r="C172">
        <v>2025</v>
      </c>
      <c r="D172" t="s">
        <v>80</v>
      </c>
      <c r="E172">
        <v>0</v>
      </c>
      <c r="F172" t="s">
        <v>11491</v>
      </c>
      <c r="G172" t="s">
        <v>11492</v>
      </c>
      <c r="H172" s="4" t="s">
        <v>11493</v>
      </c>
      <c r="I172" t="s">
        <v>71</v>
      </c>
      <c r="J172" t="s">
        <v>10782</v>
      </c>
      <c r="K172" t="s">
        <v>11494</v>
      </c>
    </row>
    <row r="173" spans="1:11" ht="100.8" x14ac:dyDescent="0.3">
      <c r="A173" s="4" t="s">
        <v>3790</v>
      </c>
      <c r="B173">
        <v>3</v>
      </c>
      <c r="C173">
        <v>2025</v>
      </c>
      <c r="D173" t="s">
        <v>11495</v>
      </c>
      <c r="E173">
        <v>0</v>
      </c>
      <c r="F173" t="s">
        <v>11496</v>
      </c>
      <c r="G173" t="s">
        <v>11497</v>
      </c>
      <c r="H173" s="4" t="s">
        <v>11498</v>
      </c>
      <c r="I173" t="s">
        <v>71</v>
      </c>
      <c r="J173" t="s">
        <v>10782</v>
      </c>
      <c r="K173" t="s">
        <v>11499</v>
      </c>
    </row>
    <row r="174" spans="1:11" ht="158.4" x14ac:dyDescent="0.3">
      <c r="A174" s="4" t="s">
        <v>3147</v>
      </c>
      <c r="B174">
        <v>1</v>
      </c>
      <c r="C174">
        <v>2025</v>
      </c>
      <c r="D174" t="s">
        <v>11500</v>
      </c>
      <c r="E174">
        <v>0</v>
      </c>
      <c r="F174" t="s">
        <v>11501</v>
      </c>
      <c r="G174" t="s">
        <v>11502</v>
      </c>
      <c r="H174" s="4" t="s">
        <v>11503</v>
      </c>
      <c r="I174" t="s">
        <v>71</v>
      </c>
      <c r="J174" t="s">
        <v>10782</v>
      </c>
      <c r="K174" t="s">
        <v>11504</v>
      </c>
    </row>
    <row r="175" spans="1:11" ht="187.2" x14ac:dyDescent="0.3">
      <c r="A175" s="4" t="s">
        <v>3791</v>
      </c>
      <c r="B175">
        <v>3</v>
      </c>
      <c r="C175">
        <v>2025</v>
      </c>
      <c r="D175" t="s">
        <v>2585</v>
      </c>
      <c r="E175">
        <v>0</v>
      </c>
      <c r="F175" t="s">
        <v>11505</v>
      </c>
      <c r="G175" t="s">
        <v>11506</v>
      </c>
      <c r="H175" s="4" t="s">
        <v>11507</v>
      </c>
      <c r="I175" t="s">
        <v>71</v>
      </c>
      <c r="J175" t="s">
        <v>10782</v>
      </c>
      <c r="K175" t="s">
        <v>11508</v>
      </c>
    </row>
    <row r="176" spans="1:11" ht="129.6" x14ac:dyDescent="0.3">
      <c r="A176" s="4" t="s">
        <v>244</v>
      </c>
      <c r="B176">
        <v>1</v>
      </c>
      <c r="C176">
        <v>2025</v>
      </c>
      <c r="D176" t="s">
        <v>217</v>
      </c>
      <c r="E176">
        <v>0</v>
      </c>
      <c r="F176" t="s">
        <v>11509</v>
      </c>
      <c r="G176" t="s">
        <v>11510</v>
      </c>
      <c r="H176" s="4" t="s">
        <v>11511</v>
      </c>
    </row>
    <row r="177" spans="1:11" ht="144" x14ac:dyDescent="0.3">
      <c r="A177" s="4" t="s">
        <v>3148</v>
      </c>
      <c r="B177">
        <v>1</v>
      </c>
      <c r="C177">
        <v>2025</v>
      </c>
      <c r="D177" t="s">
        <v>11512</v>
      </c>
      <c r="E177">
        <v>0</v>
      </c>
      <c r="F177" t="s">
        <v>11513</v>
      </c>
      <c r="G177" t="s">
        <v>11514</v>
      </c>
      <c r="H177" s="4" t="s">
        <v>11515</v>
      </c>
      <c r="I177" t="s">
        <v>71</v>
      </c>
      <c r="J177" t="s">
        <v>10782</v>
      </c>
      <c r="K177" t="s">
        <v>11516</v>
      </c>
    </row>
    <row r="178" spans="1:11" ht="158.4" x14ac:dyDescent="0.3">
      <c r="A178" s="4" t="s">
        <v>255</v>
      </c>
      <c r="B178">
        <v>1</v>
      </c>
      <c r="C178">
        <v>2025</v>
      </c>
      <c r="D178" t="s">
        <v>217</v>
      </c>
      <c r="E178">
        <v>2</v>
      </c>
      <c r="F178" t="s">
        <v>11517</v>
      </c>
      <c r="G178" t="s">
        <v>11518</v>
      </c>
      <c r="H178" s="4" t="s">
        <v>11519</v>
      </c>
      <c r="I178" t="s">
        <v>71</v>
      </c>
      <c r="J178" t="s">
        <v>10782</v>
      </c>
      <c r="K178" t="s">
        <v>11520</v>
      </c>
    </row>
    <row r="179" spans="1:11" ht="100.8" x14ac:dyDescent="0.3">
      <c r="A179" s="4" t="s">
        <v>3792</v>
      </c>
      <c r="B179">
        <v>3</v>
      </c>
      <c r="C179">
        <v>2025</v>
      </c>
      <c r="D179" t="s">
        <v>11521</v>
      </c>
      <c r="E179">
        <v>0</v>
      </c>
      <c r="F179" t="s">
        <v>11522</v>
      </c>
      <c r="G179" t="s">
        <v>11523</v>
      </c>
      <c r="H179" s="4" t="s">
        <v>11524</v>
      </c>
    </row>
    <row r="180" spans="1:11" ht="201.6" x14ac:dyDescent="0.3">
      <c r="A180" s="4" t="s">
        <v>3793</v>
      </c>
      <c r="B180">
        <v>3</v>
      </c>
      <c r="C180">
        <v>2025</v>
      </c>
      <c r="D180" t="s">
        <v>11525</v>
      </c>
      <c r="E180">
        <v>0</v>
      </c>
      <c r="F180" t="s">
        <v>11526</v>
      </c>
      <c r="G180" t="s">
        <v>11527</v>
      </c>
      <c r="H180" s="4" t="s">
        <v>11528</v>
      </c>
      <c r="I180" t="s">
        <v>71</v>
      </c>
      <c r="J180" t="s">
        <v>10782</v>
      </c>
      <c r="K180" t="s">
        <v>11529</v>
      </c>
    </row>
    <row r="181" spans="1:11" ht="201.6" x14ac:dyDescent="0.3">
      <c r="A181" s="4" t="s">
        <v>3794</v>
      </c>
      <c r="B181">
        <v>3</v>
      </c>
      <c r="C181">
        <v>2025</v>
      </c>
      <c r="D181" t="s">
        <v>80</v>
      </c>
      <c r="E181">
        <v>1</v>
      </c>
      <c r="F181" t="s">
        <v>11530</v>
      </c>
      <c r="G181" t="s">
        <v>11531</v>
      </c>
      <c r="H181" s="4" t="s">
        <v>11532</v>
      </c>
      <c r="I181" t="s">
        <v>71</v>
      </c>
      <c r="J181" t="s">
        <v>10782</v>
      </c>
      <c r="K181" t="s">
        <v>11533</v>
      </c>
    </row>
    <row r="182" spans="1:11" ht="158.4" x14ac:dyDescent="0.3">
      <c r="A182" s="4" t="s">
        <v>3795</v>
      </c>
      <c r="B182">
        <v>3</v>
      </c>
      <c r="C182">
        <v>2025</v>
      </c>
      <c r="D182" t="s">
        <v>1936</v>
      </c>
      <c r="E182">
        <v>1</v>
      </c>
      <c r="F182" t="s">
        <v>11534</v>
      </c>
      <c r="G182" t="s">
        <v>11535</v>
      </c>
      <c r="H182" s="4" t="s">
        <v>11536</v>
      </c>
      <c r="I182" t="s">
        <v>71</v>
      </c>
      <c r="J182" t="s">
        <v>10782</v>
      </c>
      <c r="K182" t="s">
        <v>11537</v>
      </c>
    </row>
    <row r="183" spans="1:11" ht="129.6" x14ac:dyDescent="0.3">
      <c r="A183" s="4" t="s">
        <v>3796</v>
      </c>
      <c r="B183">
        <v>3</v>
      </c>
      <c r="C183">
        <v>2025</v>
      </c>
      <c r="D183" t="s">
        <v>11538</v>
      </c>
      <c r="E183">
        <v>0</v>
      </c>
      <c r="F183" t="s">
        <v>11539</v>
      </c>
      <c r="G183" t="s">
        <v>11540</v>
      </c>
      <c r="H183" s="4" t="s">
        <v>11541</v>
      </c>
      <c r="I183" t="s">
        <v>71</v>
      </c>
      <c r="J183" t="s">
        <v>10782</v>
      </c>
      <c r="K183" t="s">
        <v>11542</v>
      </c>
    </row>
    <row r="184" spans="1:11" ht="230.4" x14ac:dyDescent="0.3">
      <c r="A184" s="4" t="s">
        <v>3797</v>
      </c>
      <c r="B184">
        <v>3</v>
      </c>
      <c r="C184">
        <v>2025</v>
      </c>
      <c r="D184" t="s">
        <v>202</v>
      </c>
      <c r="E184">
        <v>0</v>
      </c>
      <c r="F184" t="s">
        <v>11543</v>
      </c>
      <c r="G184" t="s">
        <v>11544</v>
      </c>
      <c r="H184" s="4" t="s">
        <v>11545</v>
      </c>
      <c r="I184" t="s">
        <v>71</v>
      </c>
      <c r="J184" t="s">
        <v>10782</v>
      </c>
      <c r="K184" t="s">
        <v>11546</v>
      </c>
    </row>
    <row r="185" spans="1:11" ht="201.6" x14ac:dyDescent="0.3">
      <c r="A185" s="4" t="s">
        <v>3149</v>
      </c>
      <c r="B185">
        <v>1</v>
      </c>
      <c r="C185">
        <v>2025</v>
      </c>
      <c r="D185" t="s">
        <v>11159</v>
      </c>
      <c r="E185">
        <v>0</v>
      </c>
      <c r="F185" t="s">
        <v>11547</v>
      </c>
      <c r="G185" t="s">
        <v>11548</v>
      </c>
      <c r="H185" s="4" t="s">
        <v>11549</v>
      </c>
      <c r="I185" t="s">
        <v>71</v>
      </c>
      <c r="J185" t="s">
        <v>10782</v>
      </c>
      <c r="K185" t="s">
        <v>11550</v>
      </c>
    </row>
    <row r="186" spans="1:11" ht="273.60000000000002" x14ac:dyDescent="0.3">
      <c r="A186" s="4" t="s">
        <v>3798</v>
      </c>
      <c r="B186">
        <v>3</v>
      </c>
      <c r="C186">
        <v>2025</v>
      </c>
      <c r="D186" t="s">
        <v>11551</v>
      </c>
      <c r="E186">
        <v>0</v>
      </c>
      <c r="F186" t="s">
        <v>11552</v>
      </c>
      <c r="G186" t="s">
        <v>11553</v>
      </c>
      <c r="H186" s="4" t="s">
        <v>11554</v>
      </c>
      <c r="I186" t="s">
        <v>71</v>
      </c>
      <c r="J186" t="s">
        <v>10782</v>
      </c>
      <c r="K186" t="s">
        <v>11555</v>
      </c>
    </row>
    <row r="187" spans="1:11" ht="288" x14ac:dyDescent="0.3">
      <c r="A187" s="4" t="s">
        <v>3799</v>
      </c>
      <c r="B187">
        <v>3</v>
      </c>
      <c r="C187">
        <v>2025</v>
      </c>
      <c r="D187" t="s">
        <v>11556</v>
      </c>
      <c r="E187">
        <v>0</v>
      </c>
      <c r="F187" t="s">
        <v>11557</v>
      </c>
      <c r="G187" t="s">
        <v>11558</v>
      </c>
      <c r="H187" s="4" t="s">
        <v>11559</v>
      </c>
      <c r="I187" t="s">
        <v>71</v>
      </c>
      <c r="J187" t="s">
        <v>10782</v>
      </c>
      <c r="K187" t="s">
        <v>11560</v>
      </c>
    </row>
    <row r="188" spans="1:11" ht="187.2" x14ac:dyDescent="0.3">
      <c r="A188" s="4" t="s">
        <v>3800</v>
      </c>
      <c r="B188">
        <v>3</v>
      </c>
      <c r="C188">
        <v>2025</v>
      </c>
      <c r="D188" t="s">
        <v>918</v>
      </c>
      <c r="E188">
        <v>0</v>
      </c>
      <c r="F188" t="s">
        <v>11561</v>
      </c>
      <c r="G188" t="s">
        <v>11562</v>
      </c>
      <c r="H188" s="4" t="s">
        <v>11563</v>
      </c>
      <c r="I188" t="s">
        <v>71</v>
      </c>
      <c r="J188" t="s">
        <v>10782</v>
      </c>
      <c r="K188" t="s">
        <v>11564</v>
      </c>
    </row>
    <row r="189" spans="1:11" ht="201.6" x14ac:dyDescent="0.3">
      <c r="A189" s="4" t="s">
        <v>3801</v>
      </c>
      <c r="B189">
        <v>3</v>
      </c>
      <c r="C189">
        <v>2025</v>
      </c>
      <c r="D189" t="s">
        <v>704</v>
      </c>
      <c r="E189">
        <v>0</v>
      </c>
      <c r="F189" t="s">
        <v>11565</v>
      </c>
      <c r="G189" t="s">
        <v>11566</v>
      </c>
      <c r="H189" s="4" t="s">
        <v>11567</v>
      </c>
      <c r="I189" t="s">
        <v>71</v>
      </c>
      <c r="J189" t="s">
        <v>10782</v>
      </c>
      <c r="K189" t="s">
        <v>11568</v>
      </c>
    </row>
    <row r="190" spans="1:11" ht="158.4" x14ac:dyDescent="0.3">
      <c r="A190" s="4" t="s">
        <v>3150</v>
      </c>
      <c r="B190">
        <v>1</v>
      </c>
      <c r="C190">
        <v>2025</v>
      </c>
      <c r="D190" t="s">
        <v>11569</v>
      </c>
      <c r="E190">
        <v>0</v>
      </c>
      <c r="F190" t="s">
        <v>11570</v>
      </c>
      <c r="G190" t="s">
        <v>11571</v>
      </c>
      <c r="H190" s="4" t="s">
        <v>11572</v>
      </c>
      <c r="I190" t="s">
        <v>71</v>
      </c>
      <c r="J190" t="s">
        <v>10782</v>
      </c>
      <c r="K190" t="s">
        <v>11573</v>
      </c>
    </row>
    <row r="191" spans="1:11" x14ac:dyDescent="0.3">
      <c r="A191" s="4" t="s">
        <v>3802</v>
      </c>
      <c r="B191">
        <v>3</v>
      </c>
      <c r="C191">
        <v>2025</v>
      </c>
      <c r="D191" t="s">
        <v>11574</v>
      </c>
      <c r="E191">
        <v>1</v>
      </c>
      <c r="F191" t="s">
        <v>11575</v>
      </c>
      <c r="G191" t="s">
        <v>11576</v>
      </c>
      <c r="H191" s="4" t="s">
        <v>11577</v>
      </c>
    </row>
    <row r="192" spans="1:11" ht="172.8" x14ac:dyDescent="0.3">
      <c r="A192" s="4" t="s">
        <v>3151</v>
      </c>
      <c r="B192">
        <v>1</v>
      </c>
      <c r="C192">
        <v>2025</v>
      </c>
      <c r="D192" t="s">
        <v>217</v>
      </c>
      <c r="E192">
        <v>5</v>
      </c>
      <c r="F192" t="s">
        <v>11578</v>
      </c>
      <c r="G192" t="s">
        <v>11579</v>
      </c>
      <c r="H192" s="4" t="s">
        <v>11580</v>
      </c>
    </row>
    <row r="193" spans="1:11" ht="230.4" x14ac:dyDescent="0.3">
      <c r="A193" s="4" t="s">
        <v>3803</v>
      </c>
      <c r="B193">
        <v>3</v>
      </c>
      <c r="C193">
        <v>2025</v>
      </c>
      <c r="D193" t="s">
        <v>2267</v>
      </c>
      <c r="E193">
        <v>0</v>
      </c>
      <c r="F193" t="s">
        <v>11581</v>
      </c>
      <c r="G193" t="s">
        <v>11582</v>
      </c>
      <c r="H193" s="4" t="s">
        <v>11583</v>
      </c>
      <c r="I193" t="s">
        <v>71</v>
      </c>
      <c r="J193" t="s">
        <v>10782</v>
      </c>
      <c r="K193" t="s">
        <v>11584</v>
      </c>
    </row>
    <row r="194" spans="1:11" ht="230.4" x14ac:dyDescent="0.3">
      <c r="A194" s="4" t="s">
        <v>3804</v>
      </c>
      <c r="B194">
        <v>3</v>
      </c>
      <c r="C194">
        <v>2025</v>
      </c>
      <c r="D194" t="s">
        <v>11585</v>
      </c>
      <c r="E194">
        <v>0</v>
      </c>
      <c r="F194" t="s">
        <v>11586</v>
      </c>
      <c r="G194" t="s">
        <v>11587</v>
      </c>
      <c r="H194" s="4" t="s">
        <v>11588</v>
      </c>
      <c r="I194" t="s">
        <v>71</v>
      </c>
      <c r="J194" t="s">
        <v>10782</v>
      </c>
      <c r="K194" t="s">
        <v>11589</v>
      </c>
    </row>
    <row r="195" spans="1:11" ht="187.2" x14ac:dyDescent="0.3">
      <c r="A195" s="4" t="s">
        <v>3152</v>
      </c>
      <c r="B195">
        <v>1</v>
      </c>
      <c r="C195">
        <v>2025</v>
      </c>
      <c r="D195" t="s">
        <v>147</v>
      </c>
      <c r="E195">
        <v>2</v>
      </c>
      <c r="F195" t="s">
        <v>11590</v>
      </c>
      <c r="G195" t="s">
        <v>11591</v>
      </c>
      <c r="H195" s="4" t="s">
        <v>11592</v>
      </c>
      <c r="I195" t="s">
        <v>71</v>
      </c>
      <c r="J195" t="s">
        <v>10782</v>
      </c>
      <c r="K195" t="s">
        <v>11593</v>
      </c>
    </row>
    <row r="196" spans="1:11" ht="201.6" x14ac:dyDescent="0.3">
      <c r="A196" s="4" t="s">
        <v>3805</v>
      </c>
      <c r="B196">
        <v>3</v>
      </c>
      <c r="C196">
        <v>2025</v>
      </c>
      <c r="D196" t="s">
        <v>665</v>
      </c>
      <c r="E196">
        <v>1</v>
      </c>
      <c r="F196" t="s">
        <v>11594</v>
      </c>
      <c r="G196" t="s">
        <v>11595</v>
      </c>
      <c r="H196" s="4" t="s">
        <v>11596</v>
      </c>
      <c r="I196" t="s">
        <v>71</v>
      </c>
      <c r="J196" t="s">
        <v>10782</v>
      </c>
      <c r="K196" t="s">
        <v>11597</v>
      </c>
    </row>
    <row r="197" spans="1:11" ht="259.2" x14ac:dyDescent="0.3">
      <c r="A197" s="4" t="s">
        <v>3806</v>
      </c>
      <c r="B197">
        <v>3</v>
      </c>
      <c r="C197">
        <v>2025</v>
      </c>
      <c r="D197" t="s">
        <v>11598</v>
      </c>
      <c r="E197">
        <v>0</v>
      </c>
      <c r="F197" t="s">
        <v>11599</v>
      </c>
      <c r="G197" t="s">
        <v>11600</v>
      </c>
      <c r="H197" s="4" t="s">
        <v>11601</v>
      </c>
      <c r="I197" t="s">
        <v>71</v>
      </c>
      <c r="J197" t="s">
        <v>10782</v>
      </c>
      <c r="K197" t="s">
        <v>11602</v>
      </c>
    </row>
    <row r="198" spans="1:11" ht="172.8" x14ac:dyDescent="0.3">
      <c r="A198" s="4" t="s">
        <v>3807</v>
      </c>
      <c r="B198">
        <v>3</v>
      </c>
      <c r="C198">
        <v>2025</v>
      </c>
      <c r="D198" t="s">
        <v>11603</v>
      </c>
      <c r="E198">
        <v>0</v>
      </c>
      <c r="F198" t="s">
        <v>11604</v>
      </c>
      <c r="G198" t="s">
        <v>11605</v>
      </c>
      <c r="H198" s="4" t="s">
        <v>11606</v>
      </c>
      <c r="I198" t="s">
        <v>71</v>
      </c>
      <c r="J198" t="s">
        <v>10782</v>
      </c>
      <c r="K198" t="s">
        <v>11607</v>
      </c>
    </row>
    <row r="199" spans="1:11" ht="259.2" x14ac:dyDescent="0.3">
      <c r="A199" s="4" t="s">
        <v>3808</v>
      </c>
      <c r="B199">
        <v>3</v>
      </c>
      <c r="C199">
        <v>2025</v>
      </c>
      <c r="D199" t="s">
        <v>724</v>
      </c>
      <c r="E199">
        <v>1</v>
      </c>
      <c r="F199" t="s">
        <v>11608</v>
      </c>
      <c r="G199" t="s">
        <v>11609</v>
      </c>
      <c r="H199" s="4" t="s">
        <v>11610</v>
      </c>
      <c r="I199" t="s">
        <v>71</v>
      </c>
      <c r="J199" t="s">
        <v>10782</v>
      </c>
      <c r="K199" t="s">
        <v>11611</v>
      </c>
    </row>
    <row r="200" spans="1:11" ht="144" x14ac:dyDescent="0.3">
      <c r="A200" s="4" t="s">
        <v>3809</v>
      </c>
      <c r="B200">
        <v>3</v>
      </c>
      <c r="C200">
        <v>2025</v>
      </c>
      <c r="D200" t="s">
        <v>11612</v>
      </c>
      <c r="E200">
        <v>0</v>
      </c>
      <c r="F200" t="s">
        <v>11613</v>
      </c>
      <c r="G200" t="s">
        <v>11614</v>
      </c>
      <c r="H200" s="4" t="s">
        <v>11615</v>
      </c>
      <c r="I200" t="s">
        <v>71</v>
      </c>
      <c r="J200" t="s">
        <v>10782</v>
      </c>
      <c r="K200" t="s">
        <v>11616</v>
      </c>
    </row>
    <row r="201" spans="1:11" ht="244.8" x14ac:dyDescent="0.3">
      <c r="A201" s="4" t="s">
        <v>3810</v>
      </c>
      <c r="B201">
        <v>3</v>
      </c>
      <c r="C201">
        <v>2025</v>
      </c>
      <c r="D201" t="s">
        <v>11617</v>
      </c>
      <c r="E201">
        <v>0</v>
      </c>
      <c r="F201" t="s">
        <v>11618</v>
      </c>
      <c r="G201" t="s">
        <v>11619</v>
      </c>
      <c r="H201" s="4" t="s">
        <v>11620</v>
      </c>
      <c r="I201" t="s">
        <v>10945</v>
      </c>
      <c r="J201" t="s">
        <v>10782</v>
      </c>
      <c r="K201" t="s">
        <v>11621</v>
      </c>
    </row>
    <row r="202" spans="1:11" ht="230.4" x14ac:dyDescent="0.3">
      <c r="A202" s="4" t="s">
        <v>3811</v>
      </c>
      <c r="B202">
        <v>3</v>
      </c>
      <c r="C202">
        <v>2025</v>
      </c>
      <c r="D202" t="s">
        <v>11294</v>
      </c>
      <c r="E202">
        <v>0</v>
      </c>
      <c r="F202" t="s">
        <v>11622</v>
      </c>
      <c r="G202" t="s">
        <v>11623</v>
      </c>
      <c r="H202" s="4" t="s">
        <v>11624</v>
      </c>
      <c r="I202" t="s">
        <v>71</v>
      </c>
      <c r="J202" t="s">
        <v>10782</v>
      </c>
      <c r="K202" t="s">
        <v>11625</v>
      </c>
    </row>
    <row r="203" spans="1:11" ht="144" x14ac:dyDescent="0.3">
      <c r="A203" s="4" t="s">
        <v>3812</v>
      </c>
      <c r="B203">
        <v>3</v>
      </c>
      <c r="C203">
        <v>2025</v>
      </c>
      <c r="D203" t="s">
        <v>11626</v>
      </c>
      <c r="E203">
        <v>0</v>
      </c>
      <c r="F203" t="s">
        <v>11627</v>
      </c>
      <c r="G203" t="s">
        <v>11628</v>
      </c>
      <c r="H203" s="4" t="s">
        <v>11629</v>
      </c>
      <c r="I203" t="s">
        <v>71</v>
      </c>
      <c r="J203" t="s">
        <v>10782</v>
      </c>
      <c r="K203" t="s">
        <v>11630</v>
      </c>
    </row>
    <row r="204" spans="1:11" ht="216" x14ac:dyDescent="0.3">
      <c r="A204" s="4" t="s">
        <v>3813</v>
      </c>
      <c r="B204">
        <v>3</v>
      </c>
      <c r="C204">
        <v>2025</v>
      </c>
      <c r="D204" t="s">
        <v>11574</v>
      </c>
      <c r="E204">
        <v>0</v>
      </c>
      <c r="F204" t="s">
        <v>11631</v>
      </c>
      <c r="G204" t="s">
        <v>11632</v>
      </c>
      <c r="H204" s="4" t="s">
        <v>11633</v>
      </c>
      <c r="I204" t="s">
        <v>10823</v>
      </c>
      <c r="J204" t="s">
        <v>10782</v>
      </c>
      <c r="K204" t="s">
        <v>11634</v>
      </c>
    </row>
    <row r="205" spans="1:11" ht="172.8" x14ac:dyDescent="0.3">
      <c r="A205" s="4" t="s">
        <v>3814</v>
      </c>
      <c r="B205">
        <v>3</v>
      </c>
      <c r="C205">
        <v>2025</v>
      </c>
      <c r="D205" t="s">
        <v>11635</v>
      </c>
      <c r="E205">
        <v>0</v>
      </c>
      <c r="F205" t="s">
        <v>11636</v>
      </c>
      <c r="G205" t="s">
        <v>11637</v>
      </c>
      <c r="H205" s="4" t="s">
        <v>11638</v>
      </c>
      <c r="I205" t="s">
        <v>71</v>
      </c>
      <c r="J205" t="s">
        <v>10782</v>
      </c>
      <c r="K205" t="s">
        <v>11639</v>
      </c>
    </row>
    <row r="206" spans="1:11" ht="187.2" x14ac:dyDescent="0.3">
      <c r="A206" s="4" t="s">
        <v>3815</v>
      </c>
      <c r="B206">
        <v>3</v>
      </c>
      <c r="C206">
        <v>2025</v>
      </c>
      <c r="D206" t="s">
        <v>528</v>
      </c>
      <c r="E206">
        <v>0</v>
      </c>
      <c r="F206" t="s">
        <v>11640</v>
      </c>
      <c r="G206" t="s">
        <v>11641</v>
      </c>
      <c r="H206" s="4" t="s">
        <v>11642</v>
      </c>
      <c r="I206" t="s">
        <v>71</v>
      </c>
      <c r="J206" t="s">
        <v>10782</v>
      </c>
      <c r="K206" t="s">
        <v>11643</v>
      </c>
    </row>
    <row r="207" spans="1:11" ht="172.8" x14ac:dyDescent="0.3">
      <c r="A207" s="4" t="s">
        <v>3816</v>
      </c>
      <c r="B207">
        <v>3</v>
      </c>
      <c r="C207">
        <v>2025</v>
      </c>
      <c r="D207" t="s">
        <v>11644</v>
      </c>
      <c r="E207">
        <v>0</v>
      </c>
      <c r="F207" t="s">
        <v>11645</v>
      </c>
      <c r="G207" t="s">
        <v>11646</v>
      </c>
      <c r="H207" s="4" t="s">
        <v>11647</v>
      </c>
      <c r="I207" t="s">
        <v>71</v>
      </c>
      <c r="J207" t="s">
        <v>10782</v>
      </c>
      <c r="K207" t="s">
        <v>11648</v>
      </c>
    </row>
    <row r="208" spans="1:11" ht="100.8" x14ac:dyDescent="0.3">
      <c r="A208" s="4" t="s">
        <v>3817</v>
      </c>
      <c r="B208">
        <v>3</v>
      </c>
      <c r="C208">
        <v>2025</v>
      </c>
      <c r="D208" t="s">
        <v>11649</v>
      </c>
      <c r="E208">
        <v>0</v>
      </c>
      <c r="F208" t="s">
        <v>11650</v>
      </c>
      <c r="G208" t="s">
        <v>11651</v>
      </c>
      <c r="H208" s="4" t="s">
        <v>11652</v>
      </c>
      <c r="I208" t="s">
        <v>71</v>
      </c>
      <c r="J208" t="s">
        <v>10782</v>
      </c>
      <c r="K208" t="s">
        <v>11653</v>
      </c>
    </row>
    <row r="209" spans="1:11" ht="172.8" x14ac:dyDescent="0.3">
      <c r="A209" s="4" t="s">
        <v>3818</v>
      </c>
      <c r="B209">
        <v>3</v>
      </c>
      <c r="C209">
        <v>2025</v>
      </c>
      <c r="D209" t="s">
        <v>217</v>
      </c>
      <c r="E209">
        <v>0</v>
      </c>
      <c r="F209" t="s">
        <v>11654</v>
      </c>
      <c r="G209" t="s">
        <v>11655</v>
      </c>
      <c r="H209" s="4" t="s">
        <v>11656</v>
      </c>
      <c r="I209" t="s">
        <v>71</v>
      </c>
      <c r="J209" t="s">
        <v>10782</v>
      </c>
      <c r="K209" t="s">
        <v>11657</v>
      </c>
    </row>
    <row r="210" spans="1:11" ht="230.4" x14ac:dyDescent="0.3">
      <c r="A210" s="4" t="s">
        <v>3819</v>
      </c>
      <c r="B210">
        <v>3</v>
      </c>
      <c r="C210">
        <v>2025</v>
      </c>
      <c r="D210" t="s">
        <v>11658</v>
      </c>
      <c r="E210">
        <v>0</v>
      </c>
      <c r="F210" t="s">
        <v>11659</v>
      </c>
      <c r="G210" t="s">
        <v>11660</v>
      </c>
      <c r="H210" s="4" t="s">
        <v>11661</v>
      </c>
      <c r="I210" t="s">
        <v>71</v>
      </c>
      <c r="J210" t="s">
        <v>10782</v>
      </c>
      <c r="K210" t="s">
        <v>11662</v>
      </c>
    </row>
    <row r="211" spans="1:11" ht="129.6" x14ac:dyDescent="0.3">
      <c r="A211" s="4" t="s">
        <v>3820</v>
      </c>
      <c r="B211">
        <v>3</v>
      </c>
      <c r="C211">
        <v>2025</v>
      </c>
      <c r="D211" t="s">
        <v>918</v>
      </c>
      <c r="E211">
        <v>0</v>
      </c>
      <c r="F211" t="s">
        <v>11663</v>
      </c>
      <c r="G211" t="s">
        <v>11664</v>
      </c>
      <c r="H211" s="4" t="s">
        <v>11665</v>
      </c>
    </row>
    <row r="212" spans="1:11" ht="115.2" x14ac:dyDescent="0.3">
      <c r="A212" s="4" t="s">
        <v>3821</v>
      </c>
      <c r="B212">
        <v>3</v>
      </c>
      <c r="C212">
        <v>2025</v>
      </c>
      <c r="D212" t="s">
        <v>679</v>
      </c>
      <c r="E212">
        <v>5</v>
      </c>
      <c r="F212" t="s">
        <v>11666</v>
      </c>
      <c r="G212" t="s">
        <v>11667</v>
      </c>
      <c r="H212" s="4" t="s">
        <v>11668</v>
      </c>
      <c r="I212" t="s">
        <v>10823</v>
      </c>
      <c r="J212" t="s">
        <v>10782</v>
      </c>
      <c r="K212" t="s">
        <v>11669</v>
      </c>
    </row>
    <row r="213" spans="1:11" ht="216" x14ac:dyDescent="0.3">
      <c r="A213" s="4" t="s">
        <v>3455</v>
      </c>
      <c r="B213">
        <v>2</v>
      </c>
      <c r="C213">
        <v>2025</v>
      </c>
      <c r="D213" t="s">
        <v>704</v>
      </c>
      <c r="E213">
        <v>1</v>
      </c>
      <c r="F213" t="s">
        <v>11670</v>
      </c>
      <c r="G213" t="s">
        <v>11671</v>
      </c>
      <c r="H213" s="4" t="s">
        <v>11672</v>
      </c>
      <c r="I213" t="s">
        <v>71</v>
      </c>
      <c r="J213" t="s">
        <v>10782</v>
      </c>
      <c r="K213" t="s">
        <v>11673</v>
      </c>
    </row>
    <row r="214" spans="1:11" ht="158.4" x14ac:dyDescent="0.3">
      <c r="A214" s="4" t="s">
        <v>3822</v>
      </c>
      <c r="B214">
        <v>3</v>
      </c>
      <c r="C214">
        <v>2025</v>
      </c>
      <c r="D214" t="s">
        <v>11674</v>
      </c>
      <c r="E214">
        <v>1</v>
      </c>
      <c r="F214" t="s">
        <v>11675</v>
      </c>
      <c r="G214" t="s">
        <v>11676</v>
      </c>
      <c r="H214" s="4" t="s">
        <v>11677</v>
      </c>
      <c r="I214" t="s">
        <v>71</v>
      </c>
      <c r="J214" t="s">
        <v>10782</v>
      </c>
      <c r="K214" t="s">
        <v>11678</v>
      </c>
    </row>
    <row r="215" spans="1:11" ht="172.8" x14ac:dyDescent="0.3">
      <c r="A215" s="4" t="s">
        <v>3823</v>
      </c>
      <c r="B215">
        <v>3</v>
      </c>
      <c r="C215">
        <v>2025</v>
      </c>
      <c r="D215" t="s">
        <v>679</v>
      </c>
      <c r="E215">
        <v>1</v>
      </c>
      <c r="F215" t="s">
        <v>11679</v>
      </c>
      <c r="G215" t="s">
        <v>11680</v>
      </c>
      <c r="H215" s="4" t="s">
        <v>11681</v>
      </c>
      <c r="I215" t="s">
        <v>71</v>
      </c>
      <c r="J215" t="s">
        <v>10782</v>
      </c>
      <c r="K215" t="s">
        <v>11682</v>
      </c>
    </row>
    <row r="216" spans="1:11" ht="72" x14ac:dyDescent="0.3">
      <c r="A216" s="4" t="s">
        <v>3824</v>
      </c>
      <c r="B216">
        <v>3</v>
      </c>
      <c r="C216">
        <v>2025</v>
      </c>
      <c r="D216" t="s">
        <v>2859</v>
      </c>
      <c r="E216">
        <v>1</v>
      </c>
      <c r="F216" t="s">
        <v>11683</v>
      </c>
      <c r="G216" t="s">
        <v>11684</v>
      </c>
      <c r="H216" s="4" t="s">
        <v>11685</v>
      </c>
    </row>
    <row r="217" spans="1:11" ht="129.6" x14ac:dyDescent="0.3">
      <c r="A217" s="4" t="s">
        <v>3456</v>
      </c>
      <c r="B217">
        <v>2</v>
      </c>
      <c r="C217">
        <v>2025</v>
      </c>
      <c r="D217" t="s">
        <v>679</v>
      </c>
      <c r="E217">
        <v>0</v>
      </c>
      <c r="F217" t="s">
        <v>11686</v>
      </c>
      <c r="G217" t="s">
        <v>11687</v>
      </c>
      <c r="H217" s="4" t="s">
        <v>11688</v>
      </c>
      <c r="I217" t="s">
        <v>71</v>
      </c>
      <c r="J217" t="s">
        <v>10782</v>
      </c>
      <c r="K217" t="s">
        <v>11689</v>
      </c>
    </row>
    <row r="218" spans="1:11" ht="216" x14ac:dyDescent="0.3">
      <c r="A218" s="4" t="s">
        <v>263</v>
      </c>
      <c r="B218">
        <v>1</v>
      </c>
      <c r="C218">
        <v>2025</v>
      </c>
      <c r="D218" t="s">
        <v>264</v>
      </c>
      <c r="E218">
        <v>7</v>
      </c>
      <c r="F218" t="s">
        <v>11690</v>
      </c>
      <c r="G218" t="s">
        <v>11691</v>
      </c>
      <c r="H218" s="4" t="s">
        <v>11692</v>
      </c>
      <c r="I218" t="s">
        <v>71</v>
      </c>
      <c r="J218" t="s">
        <v>10782</v>
      </c>
      <c r="K218" t="s">
        <v>11693</v>
      </c>
    </row>
    <row r="219" spans="1:11" ht="201.6" x14ac:dyDescent="0.3">
      <c r="A219" s="4" t="s">
        <v>3825</v>
      </c>
      <c r="B219">
        <v>3</v>
      </c>
      <c r="C219">
        <v>2024</v>
      </c>
      <c r="D219" t="s">
        <v>528</v>
      </c>
      <c r="E219">
        <v>0</v>
      </c>
      <c r="F219" t="s">
        <v>11694</v>
      </c>
      <c r="G219" t="s">
        <v>11695</v>
      </c>
      <c r="H219" s="4" t="s">
        <v>11696</v>
      </c>
      <c r="I219" t="s">
        <v>71</v>
      </c>
      <c r="J219" t="s">
        <v>10782</v>
      </c>
      <c r="K219" t="s">
        <v>11697</v>
      </c>
    </row>
    <row r="220" spans="1:11" ht="316.8" x14ac:dyDescent="0.3">
      <c r="A220" s="4" t="s">
        <v>3826</v>
      </c>
      <c r="B220">
        <v>3</v>
      </c>
      <c r="C220">
        <v>2024</v>
      </c>
      <c r="D220" t="s">
        <v>11263</v>
      </c>
      <c r="E220">
        <v>0</v>
      </c>
      <c r="F220" t="s">
        <v>11698</v>
      </c>
      <c r="G220" t="s">
        <v>11699</v>
      </c>
      <c r="H220" s="4" t="s">
        <v>11700</v>
      </c>
      <c r="I220" t="s">
        <v>71</v>
      </c>
      <c r="J220" t="s">
        <v>10782</v>
      </c>
      <c r="K220" t="s">
        <v>11701</v>
      </c>
    </row>
    <row r="221" spans="1:11" ht="158.4" x14ac:dyDescent="0.3">
      <c r="A221" s="4" t="s">
        <v>3827</v>
      </c>
      <c r="B221">
        <v>3</v>
      </c>
      <c r="C221">
        <v>2024</v>
      </c>
      <c r="D221" t="s">
        <v>11702</v>
      </c>
      <c r="E221">
        <v>0</v>
      </c>
      <c r="F221" t="s">
        <v>11703</v>
      </c>
      <c r="G221" t="s">
        <v>11704</v>
      </c>
      <c r="H221" s="4" t="s">
        <v>11705</v>
      </c>
      <c r="I221" t="s">
        <v>10823</v>
      </c>
      <c r="J221" t="s">
        <v>10782</v>
      </c>
      <c r="K221" t="s">
        <v>11706</v>
      </c>
    </row>
    <row r="222" spans="1:11" ht="172.8" x14ac:dyDescent="0.3">
      <c r="A222" s="4" t="s">
        <v>3828</v>
      </c>
      <c r="B222">
        <v>3</v>
      </c>
      <c r="C222">
        <v>2024</v>
      </c>
      <c r="D222" t="s">
        <v>1002</v>
      </c>
      <c r="E222">
        <v>1</v>
      </c>
      <c r="F222" t="s">
        <v>11707</v>
      </c>
      <c r="G222" t="s">
        <v>11708</v>
      </c>
      <c r="H222" s="4" t="s">
        <v>11709</v>
      </c>
      <c r="I222" t="s">
        <v>71</v>
      </c>
      <c r="J222" t="s">
        <v>10782</v>
      </c>
      <c r="K222" t="s">
        <v>11710</v>
      </c>
    </row>
    <row r="223" spans="1:11" ht="345.6" x14ac:dyDescent="0.3">
      <c r="A223" s="4" t="s">
        <v>3457</v>
      </c>
      <c r="B223">
        <v>2</v>
      </c>
      <c r="C223">
        <v>2024</v>
      </c>
      <c r="D223" t="s">
        <v>11711</v>
      </c>
      <c r="E223">
        <v>0</v>
      </c>
      <c r="F223" t="s">
        <v>11712</v>
      </c>
      <c r="G223" t="s">
        <v>11713</v>
      </c>
      <c r="H223" s="4" t="s">
        <v>11714</v>
      </c>
      <c r="I223" t="s">
        <v>71</v>
      </c>
      <c r="J223" t="s">
        <v>10782</v>
      </c>
      <c r="K223" t="s">
        <v>11715</v>
      </c>
    </row>
    <row r="224" spans="1:11" ht="129.6" x14ac:dyDescent="0.3">
      <c r="A224" s="4" t="s">
        <v>2446</v>
      </c>
      <c r="B224">
        <v>2</v>
      </c>
      <c r="C224">
        <v>2024</v>
      </c>
      <c r="D224" t="s">
        <v>1129</v>
      </c>
      <c r="E224">
        <v>1</v>
      </c>
      <c r="F224" t="s">
        <v>11716</v>
      </c>
      <c r="G224" t="s">
        <v>11717</v>
      </c>
      <c r="H224" s="4" t="s">
        <v>11718</v>
      </c>
      <c r="I224" t="s">
        <v>71</v>
      </c>
      <c r="J224" t="s">
        <v>10782</v>
      </c>
      <c r="K224" t="s">
        <v>11719</v>
      </c>
    </row>
    <row r="225" spans="1:11" ht="187.2" x14ac:dyDescent="0.3">
      <c r="A225" s="4" t="s">
        <v>3829</v>
      </c>
      <c r="B225">
        <v>3</v>
      </c>
      <c r="C225">
        <v>2024</v>
      </c>
      <c r="D225" t="s">
        <v>550</v>
      </c>
      <c r="E225">
        <v>0</v>
      </c>
      <c r="F225" t="s">
        <v>11720</v>
      </c>
      <c r="G225" t="s">
        <v>11721</v>
      </c>
      <c r="H225" s="4" t="s">
        <v>11722</v>
      </c>
      <c r="I225" t="s">
        <v>71</v>
      </c>
      <c r="J225" t="s">
        <v>10782</v>
      </c>
      <c r="K225" t="s">
        <v>11723</v>
      </c>
    </row>
    <row r="226" spans="1:11" ht="201.6" x14ac:dyDescent="0.3">
      <c r="A226" s="4" t="s">
        <v>3830</v>
      </c>
      <c r="B226">
        <v>3</v>
      </c>
      <c r="C226">
        <v>2024</v>
      </c>
      <c r="D226" t="s">
        <v>11310</v>
      </c>
      <c r="E226">
        <v>0</v>
      </c>
      <c r="F226" t="s">
        <v>11724</v>
      </c>
      <c r="G226" t="s">
        <v>11725</v>
      </c>
      <c r="H226" s="4" t="s">
        <v>11726</v>
      </c>
      <c r="I226" t="s">
        <v>71</v>
      </c>
      <c r="J226" t="s">
        <v>10782</v>
      </c>
      <c r="K226" t="s">
        <v>11727</v>
      </c>
    </row>
    <row r="227" spans="1:11" ht="201.6" x14ac:dyDescent="0.3">
      <c r="A227" s="4" t="s">
        <v>3831</v>
      </c>
      <c r="B227">
        <v>3</v>
      </c>
      <c r="C227">
        <v>2024</v>
      </c>
      <c r="D227" t="s">
        <v>11728</v>
      </c>
      <c r="E227">
        <v>0</v>
      </c>
      <c r="F227" t="s">
        <v>11729</v>
      </c>
      <c r="G227" t="s">
        <v>11730</v>
      </c>
      <c r="H227" s="4" t="s">
        <v>11731</v>
      </c>
      <c r="I227" t="s">
        <v>71</v>
      </c>
      <c r="J227" t="s">
        <v>10782</v>
      </c>
      <c r="K227" t="s">
        <v>11732</v>
      </c>
    </row>
    <row r="228" spans="1:11" ht="201.6" x14ac:dyDescent="0.3">
      <c r="A228" s="4" t="s">
        <v>3832</v>
      </c>
      <c r="B228">
        <v>3</v>
      </c>
      <c r="C228">
        <v>2024</v>
      </c>
      <c r="D228" t="s">
        <v>10937</v>
      </c>
      <c r="E228">
        <v>1</v>
      </c>
      <c r="F228" t="s">
        <v>11733</v>
      </c>
      <c r="G228" t="s">
        <v>11734</v>
      </c>
      <c r="H228" s="4" t="s">
        <v>11735</v>
      </c>
      <c r="I228" t="s">
        <v>71</v>
      </c>
      <c r="J228" t="s">
        <v>10782</v>
      </c>
      <c r="K228" t="s">
        <v>11736</v>
      </c>
    </row>
    <row r="229" spans="1:11" ht="129.6" x14ac:dyDescent="0.3">
      <c r="A229" s="4" t="s">
        <v>276</v>
      </c>
      <c r="B229">
        <v>1</v>
      </c>
      <c r="C229">
        <v>2024</v>
      </c>
      <c r="D229" t="s">
        <v>277</v>
      </c>
      <c r="E229">
        <v>5</v>
      </c>
      <c r="F229" t="s">
        <v>11737</v>
      </c>
      <c r="G229" t="s">
        <v>11738</v>
      </c>
      <c r="H229" s="4" t="s">
        <v>11739</v>
      </c>
      <c r="I229" t="s">
        <v>71</v>
      </c>
      <c r="J229" t="s">
        <v>10782</v>
      </c>
      <c r="K229" t="s">
        <v>11740</v>
      </c>
    </row>
    <row r="230" spans="1:11" ht="201.6" x14ac:dyDescent="0.3">
      <c r="A230" s="4" t="s">
        <v>3833</v>
      </c>
      <c r="B230">
        <v>3</v>
      </c>
      <c r="C230">
        <v>2024</v>
      </c>
      <c r="D230" t="s">
        <v>11741</v>
      </c>
      <c r="E230">
        <v>0</v>
      </c>
      <c r="F230" t="s">
        <v>11742</v>
      </c>
      <c r="G230" t="s">
        <v>11743</v>
      </c>
      <c r="H230" s="4" t="s">
        <v>11744</v>
      </c>
      <c r="I230" t="s">
        <v>71</v>
      </c>
      <c r="J230" t="s">
        <v>10782</v>
      </c>
      <c r="K230" t="s">
        <v>11745</v>
      </c>
    </row>
    <row r="231" spans="1:11" ht="158.4" x14ac:dyDescent="0.3">
      <c r="A231" s="4" t="s">
        <v>3834</v>
      </c>
      <c r="B231">
        <v>3</v>
      </c>
      <c r="C231">
        <v>2024</v>
      </c>
      <c r="D231" t="s">
        <v>1002</v>
      </c>
      <c r="E231">
        <v>0</v>
      </c>
      <c r="F231" t="s">
        <v>11746</v>
      </c>
      <c r="G231" t="s">
        <v>11747</v>
      </c>
      <c r="H231" s="4" t="s">
        <v>11748</v>
      </c>
      <c r="I231" t="s">
        <v>71</v>
      </c>
      <c r="J231" t="s">
        <v>10782</v>
      </c>
      <c r="K231" t="s">
        <v>11749</v>
      </c>
    </row>
    <row r="232" spans="1:11" ht="144" x14ac:dyDescent="0.3">
      <c r="A232" s="4" t="s">
        <v>3835</v>
      </c>
      <c r="B232">
        <v>3</v>
      </c>
      <c r="C232">
        <v>2024</v>
      </c>
      <c r="D232" t="s">
        <v>2416</v>
      </c>
      <c r="E232">
        <v>0</v>
      </c>
      <c r="F232" t="s">
        <v>11750</v>
      </c>
      <c r="G232" t="s">
        <v>11751</v>
      </c>
      <c r="H232" s="4" t="s">
        <v>11752</v>
      </c>
    </row>
    <row r="233" spans="1:11" ht="144" x14ac:dyDescent="0.3">
      <c r="A233" s="4" t="s">
        <v>3836</v>
      </c>
      <c r="B233">
        <v>3</v>
      </c>
      <c r="C233">
        <v>2024</v>
      </c>
      <c r="D233" t="s">
        <v>277</v>
      </c>
      <c r="E233">
        <v>0</v>
      </c>
      <c r="F233" t="s">
        <v>11753</v>
      </c>
      <c r="G233" t="s">
        <v>11754</v>
      </c>
      <c r="H233" s="4" t="s">
        <v>11755</v>
      </c>
      <c r="I233" t="s">
        <v>71</v>
      </c>
      <c r="J233" t="s">
        <v>10782</v>
      </c>
      <c r="K233" t="s">
        <v>11756</v>
      </c>
    </row>
    <row r="234" spans="1:11" ht="187.2" x14ac:dyDescent="0.3">
      <c r="A234" s="4" t="s">
        <v>3837</v>
      </c>
      <c r="B234">
        <v>3</v>
      </c>
      <c r="C234">
        <v>2024</v>
      </c>
      <c r="D234" t="s">
        <v>11757</v>
      </c>
      <c r="E234">
        <v>0</v>
      </c>
      <c r="F234" t="s">
        <v>11758</v>
      </c>
      <c r="G234" t="s">
        <v>11759</v>
      </c>
      <c r="H234" s="4" t="s">
        <v>11760</v>
      </c>
      <c r="I234" t="s">
        <v>71</v>
      </c>
      <c r="J234" t="s">
        <v>10782</v>
      </c>
      <c r="K234" t="s">
        <v>11761</v>
      </c>
    </row>
    <row r="235" spans="1:11" ht="158.4" x14ac:dyDescent="0.3">
      <c r="A235" s="4" t="s">
        <v>3838</v>
      </c>
      <c r="B235">
        <v>3</v>
      </c>
      <c r="C235">
        <v>2024</v>
      </c>
      <c r="D235" t="s">
        <v>80</v>
      </c>
      <c r="E235">
        <v>0</v>
      </c>
      <c r="F235" t="s">
        <v>11762</v>
      </c>
      <c r="G235" t="s">
        <v>11763</v>
      </c>
      <c r="H235" s="4" t="s">
        <v>11764</v>
      </c>
      <c r="I235" t="s">
        <v>71</v>
      </c>
      <c r="J235" t="s">
        <v>10782</v>
      </c>
      <c r="K235" t="s">
        <v>11765</v>
      </c>
    </row>
    <row r="236" spans="1:11" ht="216" x14ac:dyDescent="0.3">
      <c r="A236" s="4" t="s">
        <v>3153</v>
      </c>
      <c r="B236">
        <v>1</v>
      </c>
      <c r="C236">
        <v>2024</v>
      </c>
      <c r="D236" t="s">
        <v>2585</v>
      </c>
      <c r="E236">
        <v>0</v>
      </c>
      <c r="F236" t="s">
        <v>11766</v>
      </c>
      <c r="G236" t="s">
        <v>11767</v>
      </c>
      <c r="H236" s="4" t="s">
        <v>11768</v>
      </c>
      <c r="I236" t="s">
        <v>71</v>
      </c>
      <c r="J236" t="s">
        <v>10782</v>
      </c>
      <c r="K236" t="s">
        <v>11769</v>
      </c>
    </row>
    <row r="237" spans="1:11" ht="144" x14ac:dyDescent="0.3">
      <c r="A237" s="4" t="s">
        <v>281</v>
      </c>
      <c r="B237">
        <v>1</v>
      </c>
      <c r="C237">
        <v>2024</v>
      </c>
      <c r="D237" t="s">
        <v>282</v>
      </c>
      <c r="E237">
        <v>0</v>
      </c>
      <c r="F237" t="s">
        <v>11770</v>
      </c>
      <c r="G237" t="s">
        <v>11771</v>
      </c>
      <c r="H237" s="4" t="s">
        <v>11772</v>
      </c>
      <c r="I237" t="s">
        <v>71</v>
      </c>
      <c r="J237" t="s">
        <v>10782</v>
      </c>
      <c r="K237" t="s">
        <v>11773</v>
      </c>
    </row>
    <row r="238" spans="1:11" ht="115.2" x14ac:dyDescent="0.3">
      <c r="A238" s="4" t="s">
        <v>3839</v>
      </c>
      <c r="B238">
        <v>3</v>
      </c>
      <c r="C238">
        <v>2024</v>
      </c>
      <c r="D238" t="s">
        <v>11774</v>
      </c>
      <c r="E238">
        <v>0</v>
      </c>
      <c r="F238" t="s">
        <v>11775</v>
      </c>
      <c r="G238" t="s">
        <v>11776</v>
      </c>
      <c r="H238" s="4" t="s">
        <v>11777</v>
      </c>
      <c r="I238" t="s">
        <v>71</v>
      </c>
      <c r="J238" t="s">
        <v>10782</v>
      </c>
      <c r="K238" t="s">
        <v>11778</v>
      </c>
    </row>
    <row r="239" spans="1:11" ht="28.8" x14ac:dyDescent="0.3">
      <c r="A239" s="4" t="s">
        <v>3840</v>
      </c>
      <c r="B239">
        <v>3</v>
      </c>
      <c r="C239">
        <v>2024</v>
      </c>
      <c r="D239" t="s">
        <v>11779</v>
      </c>
      <c r="E239">
        <v>1</v>
      </c>
      <c r="F239" t="s">
        <v>11780</v>
      </c>
      <c r="G239" t="s">
        <v>11781</v>
      </c>
      <c r="H239" s="4" t="s">
        <v>11782</v>
      </c>
    </row>
    <row r="240" spans="1:11" ht="244.8" x14ac:dyDescent="0.3">
      <c r="A240" s="4" t="s">
        <v>3841</v>
      </c>
      <c r="B240">
        <v>3</v>
      </c>
      <c r="C240">
        <v>2024</v>
      </c>
      <c r="D240" t="s">
        <v>11783</v>
      </c>
      <c r="E240">
        <v>3</v>
      </c>
      <c r="F240" t="s">
        <v>11784</v>
      </c>
      <c r="G240" t="s">
        <v>11785</v>
      </c>
      <c r="H240" s="4" t="s">
        <v>11786</v>
      </c>
      <c r="I240" t="s">
        <v>71</v>
      </c>
      <c r="J240" t="s">
        <v>10782</v>
      </c>
      <c r="K240" t="s">
        <v>11787</v>
      </c>
    </row>
    <row r="241" spans="1:11" ht="201.6" x14ac:dyDescent="0.3">
      <c r="A241" s="4" t="s">
        <v>3842</v>
      </c>
      <c r="B241">
        <v>3</v>
      </c>
      <c r="C241">
        <v>2024</v>
      </c>
      <c r="D241" t="s">
        <v>11788</v>
      </c>
      <c r="E241">
        <v>0</v>
      </c>
      <c r="F241" t="s">
        <v>11789</v>
      </c>
      <c r="G241" t="s">
        <v>11790</v>
      </c>
      <c r="H241" s="4" t="s">
        <v>11791</v>
      </c>
      <c r="I241" t="s">
        <v>71</v>
      </c>
      <c r="J241" t="s">
        <v>10782</v>
      </c>
      <c r="K241" t="s">
        <v>11792</v>
      </c>
    </row>
    <row r="242" spans="1:11" ht="345.6" x14ac:dyDescent="0.3">
      <c r="A242" s="4" t="s">
        <v>3843</v>
      </c>
      <c r="B242">
        <v>3</v>
      </c>
      <c r="C242">
        <v>2024</v>
      </c>
      <c r="D242" t="s">
        <v>811</v>
      </c>
      <c r="E242">
        <v>0</v>
      </c>
      <c r="F242" t="s">
        <v>11793</v>
      </c>
      <c r="G242" t="s">
        <v>11794</v>
      </c>
      <c r="H242" s="4" t="s">
        <v>11795</v>
      </c>
      <c r="I242" t="s">
        <v>71</v>
      </c>
      <c r="J242" t="s">
        <v>10782</v>
      </c>
      <c r="K242" t="s">
        <v>11796</v>
      </c>
    </row>
    <row r="243" spans="1:11" ht="187.2" x14ac:dyDescent="0.3">
      <c r="A243" s="4" t="s">
        <v>3844</v>
      </c>
      <c r="B243">
        <v>3</v>
      </c>
      <c r="C243">
        <v>2024</v>
      </c>
      <c r="D243" t="s">
        <v>2742</v>
      </c>
      <c r="E243">
        <v>0</v>
      </c>
      <c r="F243" t="s">
        <v>11797</v>
      </c>
      <c r="G243" t="s">
        <v>11798</v>
      </c>
      <c r="H243" s="4" t="s">
        <v>11799</v>
      </c>
      <c r="I243" t="s">
        <v>71</v>
      </c>
      <c r="J243" t="s">
        <v>10782</v>
      </c>
      <c r="K243" t="s">
        <v>11800</v>
      </c>
    </row>
    <row r="244" spans="1:11" ht="187.2" x14ac:dyDescent="0.3">
      <c r="A244" s="4" t="s">
        <v>3154</v>
      </c>
      <c r="B244">
        <v>1</v>
      </c>
      <c r="C244">
        <v>2024</v>
      </c>
      <c r="D244" t="s">
        <v>217</v>
      </c>
      <c r="E244">
        <v>0</v>
      </c>
      <c r="F244" t="s">
        <v>11801</v>
      </c>
      <c r="G244" t="s">
        <v>11802</v>
      </c>
      <c r="H244" s="4" t="s">
        <v>11803</v>
      </c>
      <c r="I244" t="s">
        <v>71</v>
      </c>
      <c r="J244" t="s">
        <v>10782</v>
      </c>
      <c r="K244" t="s">
        <v>11804</v>
      </c>
    </row>
    <row r="245" spans="1:11" ht="172.8" x14ac:dyDescent="0.3">
      <c r="A245" s="4" t="s">
        <v>3845</v>
      </c>
      <c r="B245">
        <v>3</v>
      </c>
      <c r="C245">
        <v>2024</v>
      </c>
      <c r="D245" t="s">
        <v>11805</v>
      </c>
      <c r="E245">
        <v>0</v>
      </c>
      <c r="F245" t="s">
        <v>11806</v>
      </c>
      <c r="G245" t="s">
        <v>11807</v>
      </c>
      <c r="H245" s="4" t="s">
        <v>11808</v>
      </c>
      <c r="I245" t="s">
        <v>71</v>
      </c>
      <c r="J245" t="s">
        <v>10782</v>
      </c>
      <c r="K245" t="s">
        <v>11809</v>
      </c>
    </row>
    <row r="246" spans="1:11" ht="115.2" x14ac:dyDescent="0.3">
      <c r="A246" s="4" t="s">
        <v>3155</v>
      </c>
      <c r="B246">
        <v>1</v>
      </c>
      <c r="C246">
        <v>2024</v>
      </c>
      <c r="D246" t="s">
        <v>1129</v>
      </c>
      <c r="E246">
        <v>1</v>
      </c>
      <c r="F246" t="s">
        <v>11810</v>
      </c>
      <c r="G246" t="s">
        <v>11811</v>
      </c>
      <c r="H246" s="4" t="s">
        <v>11812</v>
      </c>
    </row>
    <row r="247" spans="1:11" ht="158.4" x14ac:dyDescent="0.3">
      <c r="A247" s="4" t="s">
        <v>3846</v>
      </c>
      <c r="B247">
        <v>3</v>
      </c>
      <c r="C247">
        <v>2024</v>
      </c>
      <c r="D247" t="s">
        <v>1002</v>
      </c>
      <c r="E247">
        <v>0</v>
      </c>
      <c r="F247" t="s">
        <v>11813</v>
      </c>
      <c r="G247" t="s">
        <v>11814</v>
      </c>
      <c r="H247" s="4" t="s">
        <v>11815</v>
      </c>
      <c r="I247" t="s">
        <v>71</v>
      </c>
      <c r="J247" t="s">
        <v>10782</v>
      </c>
      <c r="K247" t="s">
        <v>11816</v>
      </c>
    </row>
    <row r="248" spans="1:11" ht="144" x14ac:dyDescent="0.3">
      <c r="A248" s="4" t="s">
        <v>3156</v>
      </c>
      <c r="B248">
        <v>1</v>
      </c>
      <c r="C248">
        <v>2024</v>
      </c>
      <c r="D248" t="s">
        <v>1065</v>
      </c>
      <c r="E248">
        <v>0</v>
      </c>
      <c r="F248" t="s">
        <v>11817</v>
      </c>
      <c r="G248" t="s">
        <v>11818</v>
      </c>
      <c r="H248" s="4" t="s">
        <v>11819</v>
      </c>
      <c r="I248" t="s">
        <v>71</v>
      </c>
      <c r="J248" t="s">
        <v>10782</v>
      </c>
      <c r="K248" t="s">
        <v>11820</v>
      </c>
    </row>
    <row r="249" spans="1:11" ht="259.2" x14ac:dyDescent="0.3">
      <c r="A249" s="4" t="s">
        <v>3847</v>
      </c>
      <c r="B249">
        <v>3</v>
      </c>
      <c r="C249">
        <v>2024</v>
      </c>
      <c r="D249" t="s">
        <v>11821</v>
      </c>
      <c r="E249">
        <v>1</v>
      </c>
      <c r="F249" t="s">
        <v>11822</v>
      </c>
      <c r="G249" t="s">
        <v>11823</v>
      </c>
      <c r="H249" s="4" t="s">
        <v>11824</v>
      </c>
      <c r="I249" t="s">
        <v>71</v>
      </c>
      <c r="J249" t="s">
        <v>10782</v>
      </c>
      <c r="K249" t="s">
        <v>11825</v>
      </c>
    </row>
    <row r="250" spans="1:11" ht="158.4" x14ac:dyDescent="0.3">
      <c r="A250" s="4" t="s">
        <v>3848</v>
      </c>
      <c r="B250">
        <v>3</v>
      </c>
      <c r="C250">
        <v>2024</v>
      </c>
      <c r="D250" t="s">
        <v>11826</v>
      </c>
      <c r="E250">
        <v>1</v>
      </c>
      <c r="F250" t="s">
        <v>11827</v>
      </c>
      <c r="G250" t="s">
        <v>11828</v>
      </c>
      <c r="H250" s="4" t="s">
        <v>11829</v>
      </c>
      <c r="I250" t="s">
        <v>71</v>
      </c>
      <c r="J250" t="s">
        <v>10782</v>
      </c>
      <c r="K250" t="s">
        <v>11830</v>
      </c>
    </row>
    <row r="251" spans="1:11" ht="129.6" x14ac:dyDescent="0.3">
      <c r="A251" s="4" t="s">
        <v>3849</v>
      </c>
      <c r="B251">
        <v>3</v>
      </c>
      <c r="C251">
        <v>2024</v>
      </c>
      <c r="D251" t="s">
        <v>2819</v>
      </c>
      <c r="E251">
        <v>0</v>
      </c>
      <c r="F251" t="s">
        <v>11831</v>
      </c>
      <c r="G251" t="s">
        <v>11832</v>
      </c>
      <c r="H251" s="4" t="s">
        <v>11833</v>
      </c>
      <c r="I251" t="s">
        <v>71</v>
      </c>
      <c r="J251" t="s">
        <v>10782</v>
      </c>
      <c r="K251" t="s">
        <v>11834</v>
      </c>
    </row>
    <row r="252" spans="1:11" ht="115.2" x14ac:dyDescent="0.3">
      <c r="A252" s="4" t="s">
        <v>3850</v>
      </c>
      <c r="B252">
        <v>3</v>
      </c>
      <c r="C252">
        <v>2024</v>
      </c>
      <c r="D252" t="s">
        <v>277</v>
      </c>
      <c r="E252">
        <v>0</v>
      </c>
      <c r="F252" t="s">
        <v>11835</v>
      </c>
      <c r="G252" t="s">
        <v>11836</v>
      </c>
      <c r="H252" s="4" t="s">
        <v>11837</v>
      </c>
      <c r="I252" t="s">
        <v>71</v>
      </c>
      <c r="J252" t="s">
        <v>10782</v>
      </c>
      <c r="K252" t="s">
        <v>11838</v>
      </c>
    </row>
    <row r="253" spans="1:11" ht="115.2" x14ac:dyDescent="0.3">
      <c r="A253" s="4" t="s">
        <v>3157</v>
      </c>
      <c r="B253">
        <v>1</v>
      </c>
      <c r="C253">
        <v>2024</v>
      </c>
      <c r="D253" t="s">
        <v>11839</v>
      </c>
      <c r="E253">
        <v>0</v>
      </c>
      <c r="F253" t="s">
        <v>11840</v>
      </c>
      <c r="G253" t="s">
        <v>11841</v>
      </c>
      <c r="H253" s="4" t="s">
        <v>11842</v>
      </c>
      <c r="I253" t="s">
        <v>71</v>
      </c>
      <c r="J253" t="s">
        <v>10782</v>
      </c>
      <c r="K253" t="s">
        <v>11843</v>
      </c>
    </row>
    <row r="254" spans="1:11" ht="201.6" x14ac:dyDescent="0.3">
      <c r="A254" s="4" t="s">
        <v>3158</v>
      </c>
      <c r="B254">
        <v>1</v>
      </c>
      <c r="C254">
        <v>2024</v>
      </c>
      <c r="D254" t="s">
        <v>329</v>
      </c>
      <c r="E254">
        <v>1</v>
      </c>
      <c r="F254" t="s">
        <v>11844</v>
      </c>
      <c r="G254" t="s">
        <v>11845</v>
      </c>
      <c r="H254" s="4" t="s">
        <v>11846</v>
      </c>
      <c r="I254" t="s">
        <v>71</v>
      </c>
      <c r="J254" t="s">
        <v>10782</v>
      </c>
      <c r="K254" t="s">
        <v>11847</v>
      </c>
    </row>
    <row r="255" spans="1:11" ht="115.2" x14ac:dyDescent="0.3">
      <c r="A255" s="4" t="s">
        <v>3851</v>
      </c>
      <c r="B255">
        <v>3</v>
      </c>
      <c r="C255">
        <v>2024</v>
      </c>
      <c r="D255" t="s">
        <v>1129</v>
      </c>
      <c r="E255">
        <v>0</v>
      </c>
      <c r="F255" t="s">
        <v>11848</v>
      </c>
      <c r="G255" t="s">
        <v>11849</v>
      </c>
      <c r="H255" s="4" t="s">
        <v>11850</v>
      </c>
      <c r="I255" t="s">
        <v>71</v>
      </c>
      <c r="J255" t="s">
        <v>10782</v>
      </c>
      <c r="K255" t="s">
        <v>11851</v>
      </c>
    </row>
    <row r="256" spans="1:11" ht="43.2" x14ac:dyDescent="0.3">
      <c r="A256" s="4" t="s">
        <v>3852</v>
      </c>
      <c r="B256">
        <v>3</v>
      </c>
      <c r="C256">
        <v>2024</v>
      </c>
      <c r="D256" t="s">
        <v>318</v>
      </c>
      <c r="E256">
        <v>1</v>
      </c>
      <c r="F256" t="s">
        <v>11852</v>
      </c>
      <c r="G256" t="s">
        <v>11853</v>
      </c>
      <c r="H256" s="4" t="s">
        <v>11854</v>
      </c>
    </row>
    <row r="257" spans="1:11" ht="144" x14ac:dyDescent="0.3">
      <c r="A257" s="4" t="s">
        <v>3853</v>
      </c>
      <c r="B257">
        <v>3</v>
      </c>
      <c r="C257">
        <v>2024</v>
      </c>
      <c r="D257" t="s">
        <v>10815</v>
      </c>
      <c r="E257">
        <v>0</v>
      </c>
      <c r="F257" t="s">
        <v>11855</v>
      </c>
      <c r="G257" t="s">
        <v>11856</v>
      </c>
      <c r="H257" s="4" t="s">
        <v>11857</v>
      </c>
      <c r="I257" t="s">
        <v>71</v>
      </c>
      <c r="J257" t="s">
        <v>10782</v>
      </c>
      <c r="K257" t="s">
        <v>11858</v>
      </c>
    </row>
    <row r="258" spans="1:11" ht="187.2" x14ac:dyDescent="0.3">
      <c r="A258" s="4" t="s">
        <v>3854</v>
      </c>
      <c r="B258">
        <v>3</v>
      </c>
      <c r="C258">
        <v>2024</v>
      </c>
      <c r="D258" t="s">
        <v>80</v>
      </c>
      <c r="E258">
        <v>0</v>
      </c>
      <c r="F258" t="s">
        <v>11859</v>
      </c>
      <c r="G258" t="s">
        <v>11860</v>
      </c>
      <c r="H258" s="4" t="s">
        <v>11861</v>
      </c>
      <c r="I258" t="s">
        <v>71</v>
      </c>
      <c r="J258" t="s">
        <v>10782</v>
      </c>
      <c r="K258" t="s">
        <v>11862</v>
      </c>
    </row>
    <row r="259" spans="1:11" ht="244.8" x14ac:dyDescent="0.3">
      <c r="A259" s="4" t="s">
        <v>3159</v>
      </c>
      <c r="B259">
        <v>1</v>
      </c>
      <c r="C259">
        <v>2024</v>
      </c>
      <c r="D259" t="s">
        <v>80</v>
      </c>
      <c r="E259">
        <v>0</v>
      </c>
      <c r="F259" t="s">
        <v>11863</v>
      </c>
      <c r="G259" t="s">
        <v>11864</v>
      </c>
      <c r="H259" s="4" t="s">
        <v>11865</v>
      </c>
      <c r="I259" t="s">
        <v>71</v>
      </c>
      <c r="J259" t="s">
        <v>10782</v>
      </c>
      <c r="K259" t="s">
        <v>11866</v>
      </c>
    </row>
    <row r="260" spans="1:11" ht="115.2" x14ac:dyDescent="0.3">
      <c r="A260" s="4" t="s">
        <v>3855</v>
      </c>
      <c r="B260">
        <v>3</v>
      </c>
      <c r="C260">
        <v>2024</v>
      </c>
      <c r="D260" t="s">
        <v>2819</v>
      </c>
      <c r="E260">
        <v>0</v>
      </c>
      <c r="F260" t="s">
        <v>11867</v>
      </c>
      <c r="G260" t="s">
        <v>11868</v>
      </c>
      <c r="H260" s="4" t="s">
        <v>11869</v>
      </c>
      <c r="I260" t="s">
        <v>71</v>
      </c>
      <c r="J260" t="s">
        <v>10782</v>
      </c>
      <c r="K260" t="s">
        <v>11870</v>
      </c>
    </row>
    <row r="261" spans="1:11" ht="158.4" x14ac:dyDescent="0.3">
      <c r="A261" s="4" t="s">
        <v>3856</v>
      </c>
      <c r="B261">
        <v>3</v>
      </c>
      <c r="C261">
        <v>2024</v>
      </c>
      <c r="D261" t="s">
        <v>11871</v>
      </c>
      <c r="E261">
        <v>1</v>
      </c>
      <c r="F261" t="s">
        <v>11872</v>
      </c>
      <c r="G261" t="s">
        <v>11873</v>
      </c>
      <c r="H261" s="4" t="s">
        <v>11874</v>
      </c>
    </row>
    <row r="262" spans="1:11" ht="158.4" x14ac:dyDescent="0.3">
      <c r="A262" s="4" t="s">
        <v>3160</v>
      </c>
      <c r="B262">
        <v>1</v>
      </c>
      <c r="C262">
        <v>2024</v>
      </c>
      <c r="D262" t="s">
        <v>1002</v>
      </c>
      <c r="E262">
        <v>0</v>
      </c>
      <c r="F262" t="s">
        <v>11875</v>
      </c>
      <c r="G262" t="s">
        <v>11876</v>
      </c>
      <c r="H262" s="4" t="s">
        <v>11877</v>
      </c>
      <c r="I262" t="s">
        <v>71</v>
      </c>
      <c r="J262" t="s">
        <v>10782</v>
      </c>
      <c r="K262" t="s">
        <v>11878</v>
      </c>
    </row>
    <row r="263" spans="1:11" ht="144" x14ac:dyDescent="0.3">
      <c r="A263" s="4" t="s">
        <v>3857</v>
      </c>
      <c r="B263">
        <v>3</v>
      </c>
      <c r="C263">
        <v>2024</v>
      </c>
      <c r="D263" t="s">
        <v>11879</v>
      </c>
      <c r="E263">
        <v>0</v>
      </c>
      <c r="F263" t="s">
        <v>11880</v>
      </c>
      <c r="G263" t="s">
        <v>11881</v>
      </c>
      <c r="H263" s="4" t="s">
        <v>11882</v>
      </c>
    </row>
    <row r="264" spans="1:11" ht="144" x14ac:dyDescent="0.3">
      <c r="A264" s="4" t="s">
        <v>3858</v>
      </c>
      <c r="B264">
        <v>3</v>
      </c>
      <c r="C264">
        <v>2024</v>
      </c>
      <c r="D264" t="s">
        <v>11883</v>
      </c>
      <c r="E264">
        <v>2</v>
      </c>
      <c r="F264" t="s">
        <v>11884</v>
      </c>
      <c r="G264" t="s">
        <v>11885</v>
      </c>
      <c r="H264" s="4" t="s">
        <v>11886</v>
      </c>
      <c r="I264" t="s">
        <v>71</v>
      </c>
      <c r="J264" t="s">
        <v>10782</v>
      </c>
      <c r="K264" t="s">
        <v>11887</v>
      </c>
    </row>
    <row r="265" spans="1:11" ht="172.8" x14ac:dyDescent="0.3">
      <c r="A265" s="4" t="s">
        <v>3859</v>
      </c>
      <c r="B265">
        <v>3</v>
      </c>
      <c r="C265">
        <v>2024</v>
      </c>
      <c r="D265" t="s">
        <v>80</v>
      </c>
      <c r="E265">
        <v>1</v>
      </c>
      <c r="F265" t="s">
        <v>11888</v>
      </c>
      <c r="G265" t="s">
        <v>11889</v>
      </c>
      <c r="H265" s="4" t="s">
        <v>11890</v>
      </c>
    </row>
    <row r="266" spans="1:11" ht="28.8" x14ac:dyDescent="0.3">
      <c r="A266" s="4" t="s">
        <v>3860</v>
      </c>
      <c r="B266">
        <v>3</v>
      </c>
      <c r="C266">
        <v>2024</v>
      </c>
      <c r="D266" t="s">
        <v>11556</v>
      </c>
      <c r="E266">
        <v>0</v>
      </c>
      <c r="F266" t="s">
        <v>11891</v>
      </c>
      <c r="G266" t="s">
        <v>11892</v>
      </c>
      <c r="H266" s="4" t="s">
        <v>11893</v>
      </c>
    </row>
    <row r="267" spans="1:11" ht="187.2" x14ac:dyDescent="0.3">
      <c r="A267" s="4" t="s">
        <v>3861</v>
      </c>
      <c r="B267">
        <v>3</v>
      </c>
      <c r="C267">
        <v>2024</v>
      </c>
      <c r="D267" t="s">
        <v>318</v>
      </c>
      <c r="E267">
        <v>0</v>
      </c>
      <c r="F267" t="s">
        <v>11894</v>
      </c>
      <c r="G267" t="s">
        <v>11895</v>
      </c>
      <c r="H267" s="4" t="s">
        <v>11896</v>
      </c>
      <c r="I267" t="s">
        <v>71</v>
      </c>
      <c r="J267" t="s">
        <v>10782</v>
      </c>
      <c r="K267" t="s">
        <v>11897</v>
      </c>
    </row>
    <row r="268" spans="1:11" ht="201.6" x14ac:dyDescent="0.3">
      <c r="A268" s="4" t="s">
        <v>3862</v>
      </c>
      <c r="B268">
        <v>3</v>
      </c>
      <c r="C268">
        <v>2024</v>
      </c>
      <c r="D268" t="s">
        <v>2361</v>
      </c>
      <c r="E268">
        <v>0</v>
      </c>
      <c r="F268" t="s">
        <v>11898</v>
      </c>
      <c r="G268" t="s">
        <v>11899</v>
      </c>
      <c r="H268" s="4" t="s">
        <v>11900</v>
      </c>
      <c r="I268" t="s">
        <v>71</v>
      </c>
      <c r="J268" t="s">
        <v>10782</v>
      </c>
      <c r="K268" t="s">
        <v>11901</v>
      </c>
    </row>
    <row r="269" spans="1:11" ht="172.8" x14ac:dyDescent="0.3">
      <c r="A269" s="4" t="s">
        <v>3863</v>
      </c>
      <c r="B269">
        <v>3</v>
      </c>
      <c r="C269">
        <v>2024</v>
      </c>
      <c r="D269" t="s">
        <v>2819</v>
      </c>
      <c r="E269">
        <v>0</v>
      </c>
      <c r="F269" t="s">
        <v>11902</v>
      </c>
      <c r="G269" t="s">
        <v>11903</v>
      </c>
      <c r="H269" s="4" t="s">
        <v>11904</v>
      </c>
      <c r="I269" t="s">
        <v>71</v>
      </c>
      <c r="J269" t="s">
        <v>10782</v>
      </c>
      <c r="K269" t="s">
        <v>11905</v>
      </c>
    </row>
    <row r="270" spans="1:11" ht="158.4" x14ac:dyDescent="0.3">
      <c r="A270" s="4" t="s">
        <v>3864</v>
      </c>
      <c r="B270">
        <v>3</v>
      </c>
      <c r="C270">
        <v>2024</v>
      </c>
      <c r="D270" t="s">
        <v>11805</v>
      </c>
      <c r="E270">
        <v>0</v>
      </c>
      <c r="F270" t="s">
        <v>11906</v>
      </c>
      <c r="G270" t="s">
        <v>11907</v>
      </c>
      <c r="H270" s="4" t="s">
        <v>11908</v>
      </c>
      <c r="I270" t="s">
        <v>71</v>
      </c>
      <c r="J270" t="s">
        <v>10782</v>
      </c>
      <c r="K270" t="s">
        <v>11909</v>
      </c>
    </row>
    <row r="271" spans="1:11" ht="259.2" x14ac:dyDescent="0.3">
      <c r="A271" s="4" t="s">
        <v>3865</v>
      </c>
      <c r="B271">
        <v>3</v>
      </c>
      <c r="C271">
        <v>2024</v>
      </c>
      <c r="D271" t="s">
        <v>11617</v>
      </c>
      <c r="E271">
        <v>0</v>
      </c>
      <c r="F271" t="s">
        <v>11910</v>
      </c>
      <c r="G271" t="s">
        <v>11911</v>
      </c>
      <c r="H271" s="4" t="s">
        <v>11912</v>
      </c>
      <c r="I271" t="s">
        <v>10945</v>
      </c>
      <c r="J271" t="s">
        <v>10782</v>
      </c>
      <c r="K271" t="s">
        <v>11913</v>
      </c>
    </row>
    <row r="272" spans="1:11" ht="216" x14ac:dyDescent="0.3">
      <c r="A272" s="4" t="s">
        <v>3161</v>
      </c>
      <c r="B272">
        <v>1</v>
      </c>
      <c r="C272">
        <v>2024</v>
      </c>
      <c r="D272" t="s">
        <v>80</v>
      </c>
      <c r="E272">
        <v>4</v>
      </c>
      <c r="F272" t="s">
        <v>11914</v>
      </c>
      <c r="G272" t="s">
        <v>11915</v>
      </c>
      <c r="H272" s="4" t="s">
        <v>11916</v>
      </c>
      <c r="I272" t="s">
        <v>71</v>
      </c>
      <c r="J272" t="s">
        <v>10782</v>
      </c>
      <c r="K272" t="s">
        <v>11917</v>
      </c>
    </row>
    <row r="273" spans="1:11" ht="201.6" x14ac:dyDescent="0.3">
      <c r="A273" s="4" t="s">
        <v>294</v>
      </c>
      <c r="B273">
        <v>1</v>
      </c>
      <c r="C273">
        <v>2024</v>
      </c>
      <c r="D273" t="s">
        <v>217</v>
      </c>
      <c r="E273">
        <v>2</v>
      </c>
      <c r="F273" t="s">
        <v>11918</v>
      </c>
      <c r="G273" t="s">
        <v>11919</v>
      </c>
      <c r="H273" s="4" t="s">
        <v>11920</v>
      </c>
      <c r="I273" t="s">
        <v>71</v>
      </c>
      <c r="J273" t="s">
        <v>10782</v>
      </c>
      <c r="K273" t="s">
        <v>11921</v>
      </c>
    </row>
    <row r="274" spans="1:11" ht="244.8" x14ac:dyDescent="0.3">
      <c r="A274" s="4" t="s">
        <v>3866</v>
      </c>
      <c r="B274">
        <v>3</v>
      </c>
      <c r="C274">
        <v>2024</v>
      </c>
      <c r="D274" t="s">
        <v>2030</v>
      </c>
      <c r="E274">
        <v>1</v>
      </c>
      <c r="F274" t="s">
        <v>11922</v>
      </c>
      <c r="G274" t="s">
        <v>11923</v>
      </c>
      <c r="H274" s="4" t="s">
        <v>11924</v>
      </c>
      <c r="I274" t="s">
        <v>71</v>
      </c>
      <c r="J274" t="s">
        <v>10782</v>
      </c>
      <c r="K274" t="s">
        <v>11925</v>
      </c>
    </row>
    <row r="275" spans="1:11" ht="144" x14ac:dyDescent="0.3">
      <c r="A275" s="4" t="s">
        <v>3162</v>
      </c>
      <c r="B275">
        <v>1</v>
      </c>
      <c r="C275">
        <v>2024</v>
      </c>
      <c r="D275" t="s">
        <v>10805</v>
      </c>
      <c r="E275">
        <v>1</v>
      </c>
      <c r="F275" t="s">
        <v>11926</v>
      </c>
      <c r="G275" t="s">
        <v>11927</v>
      </c>
      <c r="H275" s="4" t="s">
        <v>11928</v>
      </c>
      <c r="I275" t="s">
        <v>71</v>
      </c>
      <c r="J275" t="s">
        <v>10782</v>
      </c>
      <c r="K275" t="s">
        <v>11929</v>
      </c>
    </row>
    <row r="276" spans="1:11" ht="216" x14ac:dyDescent="0.3">
      <c r="A276" s="4" t="s">
        <v>3867</v>
      </c>
      <c r="B276">
        <v>3</v>
      </c>
      <c r="C276">
        <v>2024</v>
      </c>
      <c r="D276" t="s">
        <v>10456</v>
      </c>
      <c r="E276">
        <v>0</v>
      </c>
      <c r="F276" t="s">
        <v>11930</v>
      </c>
      <c r="G276" t="s">
        <v>11931</v>
      </c>
      <c r="H276" s="4" t="s">
        <v>11932</v>
      </c>
      <c r="I276" t="s">
        <v>71</v>
      </c>
      <c r="J276" t="s">
        <v>10782</v>
      </c>
      <c r="K276" t="s">
        <v>11933</v>
      </c>
    </row>
    <row r="277" spans="1:11" ht="201.6" x14ac:dyDescent="0.3">
      <c r="A277" s="4" t="s">
        <v>3868</v>
      </c>
      <c r="B277">
        <v>3</v>
      </c>
      <c r="C277">
        <v>2024</v>
      </c>
      <c r="D277" t="s">
        <v>11934</v>
      </c>
      <c r="E277">
        <v>0</v>
      </c>
      <c r="F277" t="s">
        <v>11935</v>
      </c>
      <c r="G277" t="s">
        <v>11936</v>
      </c>
      <c r="H277" s="4" t="s">
        <v>11937</v>
      </c>
      <c r="I277" t="s">
        <v>71</v>
      </c>
      <c r="J277" t="s">
        <v>10782</v>
      </c>
      <c r="K277" t="s">
        <v>11938</v>
      </c>
    </row>
    <row r="278" spans="1:11" ht="273.60000000000002" x14ac:dyDescent="0.3">
      <c r="A278" s="4" t="s">
        <v>3163</v>
      </c>
      <c r="B278">
        <v>1</v>
      </c>
      <c r="C278">
        <v>2024</v>
      </c>
      <c r="D278" t="s">
        <v>80</v>
      </c>
      <c r="E278">
        <v>0</v>
      </c>
      <c r="F278" t="s">
        <v>11939</v>
      </c>
      <c r="G278" t="s">
        <v>11940</v>
      </c>
      <c r="H278" s="4" t="s">
        <v>11941</v>
      </c>
      <c r="I278" t="s">
        <v>71</v>
      </c>
      <c r="J278" t="s">
        <v>10782</v>
      </c>
      <c r="K278" t="s">
        <v>11942</v>
      </c>
    </row>
    <row r="279" spans="1:11" ht="158.4" x14ac:dyDescent="0.3">
      <c r="A279" s="4" t="s">
        <v>300</v>
      </c>
      <c r="B279">
        <v>1</v>
      </c>
      <c r="C279">
        <v>2024</v>
      </c>
      <c r="D279" t="s">
        <v>217</v>
      </c>
      <c r="E279">
        <v>2</v>
      </c>
      <c r="F279" t="s">
        <v>11943</v>
      </c>
      <c r="G279" t="s">
        <v>11944</v>
      </c>
      <c r="H279" s="4" t="s">
        <v>11945</v>
      </c>
      <c r="I279" t="s">
        <v>71</v>
      </c>
      <c r="J279" t="s">
        <v>10782</v>
      </c>
      <c r="K279" t="s">
        <v>11946</v>
      </c>
    </row>
    <row r="280" spans="1:11" ht="187.2" x14ac:dyDescent="0.3">
      <c r="A280" s="4" t="s">
        <v>3869</v>
      </c>
      <c r="B280">
        <v>3</v>
      </c>
      <c r="C280">
        <v>2024</v>
      </c>
      <c r="D280" t="s">
        <v>11826</v>
      </c>
      <c r="E280">
        <v>0</v>
      </c>
      <c r="F280" t="s">
        <v>11947</v>
      </c>
      <c r="G280" t="s">
        <v>11948</v>
      </c>
      <c r="H280" s="4" t="s">
        <v>11949</v>
      </c>
      <c r="I280" t="s">
        <v>71</v>
      </c>
      <c r="J280" t="s">
        <v>10782</v>
      </c>
      <c r="K280" t="s">
        <v>11950</v>
      </c>
    </row>
    <row r="281" spans="1:11" ht="172.8" x14ac:dyDescent="0.3">
      <c r="A281" s="4" t="s">
        <v>3870</v>
      </c>
      <c r="B281">
        <v>3</v>
      </c>
      <c r="C281">
        <v>2024</v>
      </c>
      <c r="D281" t="s">
        <v>2819</v>
      </c>
      <c r="E281">
        <v>0</v>
      </c>
      <c r="F281" t="s">
        <v>11951</v>
      </c>
      <c r="G281" t="s">
        <v>11952</v>
      </c>
      <c r="H281" s="4" t="s">
        <v>11953</v>
      </c>
      <c r="I281" t="s">
        <v>71</v>
      </c>
      <c r="J281" t="s">
        <v>10782</v>
      </c>
      <c r="K281" t="s">
        <v>11954</v>
      </c>
    </row>
    <row r="282" spans="1:11" ht="201.6" x14ac:dyDescent="0.3">
      <c r="A282" s="4" t="s">
        <v>3871</v>
      </c>
      <c r="B282">
        <v>3</v>
      </c>
      <c r="C282">
        <v>2024</v>
      </c>
      <c r="D282" t="s">
        <v>1802</v>
      </c>
      <c r="E282">
        <v>0</v>
      </c>
      <c r="F282" t="s">
        <v>11955</v>
      </c>
      <c r="G282" t="s">
        <v>11956</v>
      </c>
      <c r="H282" s="4" t="s">
        <v>11957</v>
      </c>
      <c r="I282" t="s">
        <v>71</v>
      </c>
      <c r="J282" t="s">
        <v>10782</v>
      </c>
      <c r="K282" t="s">
        <v>11958</v>
      </c>
    </row>
    <row r="283" spans="1:11" ht="172.8" x14ac:dyDescent="0.3">
      <c r="A283" s="4" t="s">
        <v>303</v>
      </c>
      <c r="B283">
        <v>1</v>
      </c>
      <c r="C283">
        <v>2024</v>
      </c>
      <c r="D283" t="s">
        <v>277</v>
      </c>
      <c r="E283">
        <v>1</v>
      </c>
      <c r="F283" t="s">
        <v>11959</v>
      </c>
      <c r="G283" t="s">
        <v>11960</v>
      </c>
      <c r="H283" s="4" t="s">
        <v>11961</v>
      </c>
      <c r="I283" t="s">
        <v>71</v>
      </c>
      <c r="J283" t="s">
        <v>10782</v>
      </c>
      <c r="K283" t="s">
        <v>11962</v>
      </c>
    </row>
    <row r="284" spans="1:11" ht="201.6" x14ac:dyDescent="0.3">
      <c r="A284" s="4" t="s">
        <v>3872</v>
      </c>
      <c r="B284">
        <v>3</v>
      </c>
      <c r="C284">
        <v>2024</v>
      </c>
      <c r="D284" t="s">
        <v>637</v>
      </c>
      <c r="E284">
        <v>0</v>
      </c>
      <c r="F284" t="s">
        <v>11963</v>
      </c>
      <c r="G284" t="s">
        <v>11964</v>
      </c>
      <c r="H284" s="4" t="s">
        <v>11965</v>
      </c>
      <c r="I284" t="s">
        <v>71</v>
      </c>
      <c r="J284" t="s">
        <v>10782</v>
      </c>
      <c r="K284" t="s">
        <v>11966</v>
      </c>
    </row>
    <row r="285" spans="1:11" ht="244.8" x14ac:dyDescent="0.3">
      <c r="A285" s="4" t="s">
        <v>3873</v>
      </c>
      <c r="B285">
        <v>3</v>
      </c>
      <c r="C285">
        <v>2024</v>
      </c>
      <c r="D285" t="s">
        <v>11967</v>
      </c>
      <c r="E285">
        <v>1</v>
      </c>
      <c r="F285" t="s">
        <v>11968</v>
      </c>
      <c r="G285" t="s">
        <v>11969</v>
      </c>
      <c r="H285" s="4" t="s">
        <v>11970</v>
      </c>
      <c r="I285" t="s">
        <v>71</v>
      </c>
      <c r="J285" t="s">
        <v>10782</v>
      </c>
      <c r="K285" t="s">
        <v>11971</v>
      </c>
    </row>
    <row r="286" spans="1:11" ht="72" x14ac:dyDescent="0.3">
      <c r="A286" s="4" t="s">
        <v>3874</v>
      </c>
      <c r="B286">
        <v>3</v>
      </c>
      <c r="C286">
        <v>2024</v>
      </c>
      <c r="D286" t="s">
        <v>318</v>
      </c>
      <c r="E286">
        <v>0</v>
      </c>
      <c r="F286" t="s">
        <v>11972</v>
      </c>
      <c r="G286" t="s">
        <v>11973</v>
      </c>
      <c r="H286" s="4" t="s">
        <v>11974</v>
      </c>
    </row>
    <row r="287" spans="1:11" ht="187.2" x14ac:dyDescent="0.3">
      <c r="A287" s="4" t="s">
        <v>3875</v>
      </c>
      <c r="B287">
        <v>3</v>
      </c>
      <c r="C287">
        <v>2024</v>
      </c>
      <c r="D287" t="s">
        <v>2853</v>
      </c>
      <c r="E287">
        <v>0</v>
      </c>
      <c r="F287" t="s">
        <v>11975</v>
      </c>
      <c r="G287" t="s">
        <v>11976</v>
      </c>
      <c r="H287" s="4" t="s">
        <v>11977</v>
      </c>
      <c r="I287" t="s">
        <v>71</v>
      </c>
      <c r="J287" t="s">
        <v>10782</v>
      </c>
      <c r="K287" t="s">
        <v>11978</v>
      </c>
    </row>
    <row r="288" spans="1:11" ht="187.2" x14ac:dyDescent="0.3">
      <c r="A288" s="4" t="s">
        <v>3876</v>
      </c>
      <c r="B288">
        <v>3</v>
      </c>
      <c r="C288">
        <v>2024</v>
      </c>
      <c r="D288" t="s">
        <v>11979</v>
      </c>
      <c r="E288">
        <v>0</v>
      </c>
      <c r="F288" t="s">
        <v>11980</v>
      </c>
      <c r="G288" t="s">
        <v>11981</v>
      </c>
      <c r="H288" s="4" t="s">
        <v>11982</v>
      </c>
      <c r="I288" t="s">
        <v>71</v>
      </c>
      <c r="J288" t="s">
        <v>10782</v>
      </c>
      <c r="K288" t="s">
        <v>11983</v>
      </c>
    </row>
    <row r="289" spans="1:11" ht="57.6" x14ac:dyDescent="0.3">
      <c r="A289" s="4" t="s">
        <v>3877</v>
      </c>
      <c r="B289">
        <v>3</v>
      </c>
      <c r="C289">
        <v>2024</v>
      </c>
      <c r="D289" t="s">
        <v>11984</v>
      </c>
      <c r="E289">
        <v>0</v>
      </c>
      <c r="F289" t="s">
        <v>11985</v>
      </c>
      <c r="G289" t="s">
        <v>11986</v>
      </c>
      <c r="H289" s="4" t="s">
        <v>11987</v>
      </c>
    </row>
    <row r="290" spans="1:11" ht="144" x14ac:dyDescent="0.3">
      <c r="A290" s="4" t="s">
        <v>311</v>
      </c>
      <c r="B290">
        <v>1</v>
      </c>
      <c r="C290">
        <v>2024</v>
      </c>
      <c r="D290" t="s">
        <v>227</v>
      </c>
      <c r="E290">
        <v>0</v>
      </c>
      <c r="F290" t="s">
        <v>11988</v>
      </c>
      <c r="G290" t="s">
        <v>11989</v>
      </c>
      <c r="H290" s="4" t="s">
        <v>11990</v>
      </c>
      <c r="I290" t="s">
        <v>71</v>
      </c>
      <c r="J290" t="s">
        <v>10782</v>
      </c>
      <c r="K290" t="s">
        <v>11991</v>
      </c>
    </row>
    <row r="291" spans="1:11" ht="172.8" x14ac:dyDescent="0.3">
      <c r="A291" s="4" t="s">
        <v>3458</v>
      </c>
      <c r="B291">
        <v>2</v>
      </c>
      <c r="C291">
        <v>2024</v>
      </c>
      <c r="D291" t="s">
        <v>704</v>
      </c>
      <c r="E291">
        <v>2</v>
      </c>
      <c r="F291" t="s">
        <v>11992</v>
      </c>
      <c r="G291" t="s">
        <v>11993</v>
      </c>
      <c r="H291" s="4" t="s">
        <v>11994</v>
      </c>
      <c r="I291" t="s">
        <v>71</v>
      </c>
      <c r="J291" t="s">
        <v>10782</v>
      </c>
      <c r="K291" t="s">
        <v>11995</v>
      </c>
    </row>
    <row r="292" spans="1:11" ht="158.4" x14ac:dyDescent="0.3">
      <c r="A292" s="4" t="s">
        <v>3878</v>
      </c>
      <c r="B292">
        <v>3</v>
      </c>
      <c r="C292">
        <v>2024</v>
      </c>
      <c r="D292" t="s">
        <v>10924</v>
      </c>
      <c r="E292">
        <v>0</v>
      </c>
      <c r="F292" t="s">
        <v>11996</v>
      </c>
      <c r="G292" t="s">
        <v>11997</v>
      </c>
      <c r="H292" s="4" t="s">
        <v>11998</v>
      </c>
      <c r="I292" t="s">
        <v>71</v>
      </c>
      <c r="J292" t="s">
        <v>10782</v>
      </c>
      <c r="K292" t="s">
        <v>11999</v>
      </c>
    </row>
    <row r="293" spans="1:11" ht="115.2" x14ac:dyDescent="0.3">
      <c r="A293" s="4" t="s">
        <v>3164</v>
      </c>
      <c r="B293">
        <v>1</v>
      </c>
      <c r="C293">
        <v>2024</v>
      </c>
      <c r="D293" t="s">
        <v>12000</v>
      </c>
      <c r="E293">
        <v>0</v>
      </c>
      <c r="F293" t="s">
        <v>12001</v>
      </c>
      <c r="G293" t="s">
        <v>12002</v>
      </c>
      <c r="H293" s="4" t="s">
        <v>12003</v>
      </c>
      <c r="I293" t="s">
        <v>71</v>
      </c>
      <c r="J293" t="s">
        <v>10782</v>
      </c>
      <c r="K293" t="s">
        <v>12004</v>
      </c>
    </row>
    <row r="294" spans="1:11" ht="244.8" x14ac:dyDescent="0.3">
      <c r="A294" s="4" t="s">
        <v>3165</v>
      </c>
      <c r="B294">
        <v>1</v>
      </c>
      <c r="C294">
        <v>2024</v>
      </c>
      <c r="D294" t="s">
        <v>277</v>
      </c>
      <c r="E294">
        <v>0</v>
      </c>
      <c r="F294" t="s">
        <v>12005</v>
      </c>
      <c r="G294" t="s">
        <v>12006</v>
      </c>
      <c r="H294" s="4" t="s">
        <v>12007</v>
      </c>
      <c r="I294" t="s">
        <v>71</v>
      </c>
      <c r="J294" t="s">
        <v>10782</v>
      </c>
      <c r="K294" t="s">
        <v>12008</v>
      </c>
    </row>
    <row r="295" spans="1:11" ht="129.6" x14ac:dyDescent="0.3">
      <c r="A295" s="4" t="s">
        <v>3879</v>
      </c>
      <c r="B295">
        <v>3</v>
      </c>
      <c r="C295">
        <v>2024</v>
      </c>
      <c r="D295" t="s">
        <v>80</v>
      </c>
      <c r="E295">
        <v>0</v>
      </c>
      <c r="F295" t="s">
        <v>12009</v>
      </c>
      <c r="G295" t="s">
        <v>12010</v>
      </c>
      <c r="H295" s="4" t="s">
        <v>12011</v>
      </c>
    </row>
    <row r="296" spans="1:11" ht="158.4" x14ac:dyDescent="0.3">
      <c r="A296" s="4" t="s">
        <v>3880</v>
      </c>
      <c r="B296">
        <v>3</v>
      </c>
      <c r="C296">
        <v>2024</v>
      </c>
      <c r="D296" t="s">
        <v>11041</v>
      </c>
      <c r="E296">
        <v>1</v>
      </c>
      <c r="F296" t="s">
        <v>12012</v>
      </c>
      <c r="G296" t="s">
        <v>12013</v>
      </c>
      <c r="H296" s="4" t="s">
        <v>12014</v>
      </c>
      <c r="I296" t="s">
        <v>71</v>
      </c>
      <c r="J296" t="s">
        <v>10782</v>
      </c>
      <c r="K296" t="s">
        <v>12015</v>
      </c>
    </row>
    <row r="297" spans="1:11" ht="158.4" x14ac:dyDescent="0.3">
      <c r="A297" s="4" t="s">
        <v>3459</v>
      </c>
      <c r="B297">
        <v>2</v>
      </c>
      <c r="C297">
        <v>2024</v>
      </c>
      <c r="D297" t="s">
        <v>1129</v>
      </c>
      <c r="E297">
        <v>0</v>
      </c>
      <c r="F297" t="s">
        <v>12016</v>
      </c>
      <c r="G297" t="s">
        <v>12017</v>
      </c>
      <c r="H297" s="4" t="s">
        <v>12018</v>
      </c>
      <c r="I297" t="s">
        <v>71</v>
      </c>
      <c r="J297" t="s">
        <v>10782</v>
      </c>
      <c r="K297" t="s">
        <v>12019</v>
      </c>
    </row>
    <row r="298" spans="1:11" ht="230.4" x14ac:dyDescent="0.3">
      <c r="A298" s="4" t="s">
        <v>3166</v>
      </c>
      <c r="B298">
        <v>1</v>
      </c>
      <c r="C298">
        <v>2024</v>
      </c>
      <c r="D298" t="s">
        <v>318</v>
      </c>
      <c r="E298">
        <v>0</v>
      </c>
      <c r="F298" t="s">
        <v>12020</v>
      </c>
      <c r="G298" t="s">
        <v>12021</v>
      </c>
      <c r="H298" s="4" t="s">
        <v>12022</v>
      </c>
      <c r="I298" t="s">
        <v>71</v>
      </c>
      <c r="J298" t="s">
        <v>10782</v>
      </c>
      <c r="K298" t="s">
        <v>12023</v>
      </c>
    </row>
    <row r="299" spans="1:11" ht="216" x14ac:dyDescent="0.3">
      <c r="A299" s="4" t="s">
        <v>3881</v>
      </c>
      <c r="B299">
        <v>3</v>
      </c>
      <c r="C299">
        <v>2024</v>
      </c>
      <c r="D299" t="s">
        <v>12024</v>
      </c>
      <c r="E299">
        <v>0</v>
      </c>
      <c r="F299" t="s">
        <v>12025</v>
      </c>
      <c r="G299" t="s">
        <v>12026</v>
      </c>
      <c r="H299" s="4" t="s">
        <v>12027</v>
      </c>
      <c r="I299" t="s">
        <v>71</v>
      </c>
      <c r="J299" t="s">
        <v>10782</v>
      </c>
      <c r="K299" t="s">
        <v>12028</v>
      </c>
    </row>
    <row r="300" spans="1:11" ht="115.2" x14ac:dyDescent="0.3">
      <c r="A300" s="4" t="s">
        <v>2447</v>
      </c>
      <c r="B300">
        <v>2</v>
      </c>
      <c r="C300">
        <v>2024</v>
      </c>
      <c r="D300" t="s">
        <v>1129</v>
      </c>
      <c r="E300">
        <v>0</v>
      </c>
      <c r="F300" t="s">
        <v>12029</v>
      </c>
      <c r="G300" t="s">
        <v>12030</v>
      </c>
      <c r="H300" s="4" t="s">
        <v>12031</v>
      </c>
      <c r="I300" t="s">
        <v>71</v>
      </c>
      <c r="J300" t="s">
        <v>10782</v>
      </c>
      <c r="K300" t="s">
        <v>12032</v>
      </c>
    </row>
    <row r="301" spans="1:11" ht="187.2" x14ac:dyDescent="0.3">
      <c r="A301" s="4" t="s">
        <v>3882</v>
      </c>
      <c r="B301">
        <v>3</v>
      </c>
      <c r="C301">
        <v>2024</v>
      </c>
      <c r="D301" t="s">
        <v>637</v>
      </c>
      <c r="E301">
        <v>0</v>
      </c>
      <c r="F301" t="s">
        <v>12033</v>
      </c>
      <c r="G301" t="s">
        <v>12034</v>
      </c>
      <c r="H301" s="4" t="s">
        <v>12035</v>
      </c>
      <c r="I301" t="s">
        <v>71</v>
      </c>
      <c r="J301" t="s">
        <v>10782</v>
      </c>
      <c r="K301" t="s">
        <v>12036</v>
      </c>
    </row>
    <row r="302" spans="1:11" ht="158.4" x14ac:dyDescent="0.3">
      <c r="A302" s="4" t="s">
        <v>3883</v>
      </c>
      <c r="B302">
        <v>3</v>
      </c>
      <c r="C302">
        <v>2024</v>
      </c>
      <c r="D302" t="s">
        <v>12037</v>
      </c>
      <c r="E302">
        <v>4</v>
      </c>
      <c r="F302" t="s">
        <v>12038</v>
      </c>
      <c r="G302" t="s">
        <v>12039</v>
      </c>
      <c r="H302" s="4" t="s">
        <v>12040</v>
      </c>
      <c r="I302" t="s">
        <v>71</v>
      </c>
      <c r="J302" t="s">
        <v>10782</v>
      </c>
      <c r="K302" t="s">
        <v>12041</v>
      </c>
    </row>
    <row r="303" spans="1:11" ht="201.6" x14ac:dyDescent="0.3">
      <c r="A303" s="4" t="s">
        <v>3884</v>
      </c>
      <c r="B303">
        <v>3</v>
      </c>
      <c r="C303">
        <v>2024</v>
      </c>
      <c r="D303" t="s">
        <v>704</v>
      </c>
      <c r="E303">
        <v>0</v>
      </c>
      <c r="F303" t="s">
        <v>12042</v>
      </c>
      <c r="G303" t="s">
        <v>12043</v>
      </c>
      <c r="H303" s="4" t="s">
        <v>12044</v>
      </c>
      <c r="I303" t="s">
        <v>71</v>
      </c>
      <c r="J303" t="s">
        <v>10782</v>
      </c>
      <c r="K303" t="s">
        <v>12045</v>
      </c>
    </row>
    <row r="304" spans="1:11" ht="100.8" x14ac:dyDescent="0.3">
      <c r="A304" s="4" t="s">
        <v>317</v>
      </c>
      <c r="B304">
        <v>1</v>
      </c>
      <c r="C304">
        <v>2024</v>
      </c>
      <c r="D304" t="s">
        <v>318</v>
      </c>
      <c r="E304">
        <v>4</v>
      </c>
      <c r="F304" t="s">
        <v>12046</v>
      </c>
      <c r="G304" t="s">
        <v>12047</v>
      </c>
      <c r="H304" s="4" t="s">
        <v>12048</v>
      </c>
    </row>
    <row r="305" spans="1:11" ht="144" x14ac:dyDescent="0.3">
      <c r="A305" s="4" t="s">
        <v>3885</v>
      </c>
      <c r="B305">
        <v>3</v>
      </c>
      <c r="C305">
        <v>2024</v>
      </c>
      <c r="D305" t="s">
        <v>637</v>
      </c>
      <c r="E305">
        <v>0</v>
      </c>
      <c r="F305" t="s">
        <v>12049</v>
      </c>
      <c r="G305" t="s">
        <v>12050</v>
      </c>
      <c r="H305" s="4" t="s">
        <v>12051</v>
      </c>
      <c r="I305" t="s">
        <v>71</v>
      </c>
      <c r="J305" t="s">
        <v>10782</v>
      </c>
      <c r="K305" t="s">
        <v>12052</v>
      </c>
    </row>
    <row r="306" spans="1:11" ht="43.2" x14ac:dyDescent="0.3">
      <c r="A306" s="4" t="s">
        <v>3886</v>
      </c>
      <c r="B306">
        <v>3</v>
      </c>
      <c r="C306">
        <v>2024</v>
      </c>
      <c r="D306" t="s">
        <v>11466</v>
      </c>
      <c r="E306">
        <v>1</v>
      </c>
      <c r="F306" t="s">
        <v>12053</v>
      </c>
      <c r="G306" t="s">
        <v>12054</v>
      </c>
      <c r="H306" s="4" t="s">
        <v>12055</v>
      </c>
    </row>
    <row r="307" spans="1:11" ht="144" x14ac:dyDescent="0.3">
      <c r="A307" s="4" t="s">
        <v>3887</v>
      </c>
      <c r="B307">
        <v>3</v>
      </c>
      <c r="C307">
        <v>2024</v>
      </c>
      <c r="D307" t="s">
        <v>385</v>
      </c>
      <c r="E307">
        <v>0</v>
      </c>
      <c r="F307" t="s">
        <v>12056</v>
      </c>
      <c r="G307" t="s">
        <v>12057</v>
      </c>
      <c r="H307" s="4" t="s">
        <v>12058</v>
      </c>
      <c r="I307" t="s">
        <v>71</v>
      </c>
      <c r="J307" t="s">
        <v>10782</v>
      </c>
      <c r="K307" t="s">
        <v>12059</v>
      </c>
    </row>
    <row r="308" spans="1:11" ht="230.4" x14ac:dyDescent="0.3">
      <c r="A308" s="4" t="s">
        <v>3888</v>
      </c>
      <c r="B308">
        <v>3</v>
      </c>
      <c r="C308">
        <v>2024</v>
      </c>
      <c r="D308" t="s">
        <v>318</v>
      </c>
      <c r="E308">
        <v>0</v>
      </c>
      <c r="F308" t="s">
        <v>12060</v>
      </c>
      <c r="G308" t="s">
        <v>12061</v>
      </c>
      <c r="H308" s="4" t="s">
        <v>12062</v>
      </c>
      <c r="I308" t="s">
        <v>71</v>
      </c>
      <c r="J308" t="s">
        <v>10782</v>
      </c>
      <c r="K308" t="s">
        <v>12063</v>
      </c>
    </row>
    <row r="309" spans="1:11" ht="158.4" x14ac:dyDescent="0.3">
      <c r="A309" s="4" t="s">
        <v>3167</v>
      </c>
      <c r="B309">
        <v>1</v>
      </c>
      <c r="C309">
        <v>2024</v>
      </c>
      <c r="D309" t="s">
        <v>147</v>
      </c>
      <c r="E309">
        <v>4</v>
      </c>
      <c r="F309" t="s">
        <v>12064</v>
      </c>
      <c r="G309" t="s">
        <v>12065</v>
      </c>
      <c r="H309" s="4" t="s">
        <v>12066</v>
      </c>
      <c r="I309" t="s">
        <v>71</v>
      </c>
      <c r="J309" t="s">
        <v>10782</v>
      </c>
      <c r="K309" t="s">
        <v>12067</v>
      </c>
    </row>
    <row r="310" spans="1:11" ht="129.6" x14ac:dyDescent="0.3">
      <c r="A310" s="4" t="s">
        <v>3168</v>
      </c>
      <c r="B310">
        <v>1</v>
      </c>
      <c r="C310">
        <v>2024</v>
      </c>
      <c r="D310" t="s">
        <v>1129</v>
      </c>
      <c r="E310">
        <v>5</v>
      </c>
      <c r="F310" t="s">
        <v>12068</v>
      </c>
      <c r="G310" t="s">
        <v>12069</v>
      </c>
      <c r="H310" s="4" t="s">
        <v>12070</v>
      </c>
      <c r="I310" t="s">
        <v>71</v>
      </c>
      <c r="J310" t="s">
        <v>10782</v>
      </c>
      <c r="K310" t="s">
        <v>12071</v>
      </c>
    </row>
    <row r="311" spans="1:11" ht="158.4" x14ac:dyDescent="0.3">
      <c r="A311" s="4" t="s">
        <v>3889</v>
      </c>
      <c r="B311">
        <v>3</v>
      </c>
      <c r="C311">
        <v>2024</v>
      </c>
      <c r="D311" t="s">
        <v>12072</v>
      </c>
      <c r="E311">
        <v>1</v>
      </c>
      <c r="F311" t="s">
        <v>12073</v>
      </c>
      <c r="G311" t="s">
        <v>12074</v>
      </c>
      <c r="H311" s="4" t="s">
        <v>12075</v>
      </c>
    </row>
    <row r="312" spans="1:11" ht="115.2" x14ac:dyDescent="0.3">
      <c r="A312" s="4" t="s">
        <v>3460</v>
      </c>
      <c r="B312">
        <v>2</v>
      </c>
      <c r="C312">
        <v>2024</v>
      </c>
      <c r="D312" t="s">
        <v>385</v>
      </c>
      <c r="E312">
        <v>3</v>
      </c>
      <c r="F312" t="s">
        <v>12076</v>
      </c>
      <c r="G312" t="s">
        <v>12077</v>
      </c>
      <c r="H312" s="4" t="s">
        <v>12078</v>
      </c>
      <c r="I312" t="s">
        <v>71</v>
      </c>
      <c r="J312" t="s">
        <v>10782</v>
      </c>
      <c r="K312" t="s">
        <v>12079</v>
      </c>
    </row>
    <row r="313" spans="1:11" ht="144" x14ac:dyDescent="0.3">
      <c r="A313" s="4" t="s">
        <v>3461</v>
      </c>
      <c r="B313">
        <v>2</v>
      </c>
      <c r="C313">
        <v>2024</v>
      </c>
      <c r="D313" t="s">
        <v>12080</v>
      </c>
      <c r="E313">
        <v>0</v>
      </c>
      <c r="F313" t="s">
        <v>12081</v>
      </c>
      <c r="G313" t="s">
        <v>12082</v>
      </c>
      <c r="H313" s="4" t="s">
        <v>12083</v>
      </c>
      <c r="I313" t="s">
        <v>71</v>
      </c>
      <c r="J313" t="s">
        <v>10782</v>
      </c>
      <c r="K313" t="s">
        <v>12084</v>
      </c>
    </row>
    <row r="314" spans="1:11" ht="230.4" x14ac:dyDescent="0.3">
      <c r="A314" s="4" t="s">
        <v>3462</v>
      </c>
      <c r="B314">
        <v>2</v>
      </c>
      <c r="C314">
        <v>2024</v>
      </c>
      <c r="D314" t="s">
        <v>277</v>
      </c>
      <c r="E314">
        <v>6</v>
      </c>
      <c r="F314" t="s">
        <v>12085</v>
      </c>
      <c r="G314" t="s">
        <v>12086</v>
      </c>
      <c r="H314" s="4" t="s">
        <v>12087</v>
      </c>
      <c r="I314" t="s">
        <v>71</v>
      </c>
      <c r="J314" t="s">
        <v>10782</v>
      </c>
      <c r="K314" t="s">
        <v>12088</v>
      </c>
    </row>
    <row r="315" spans="1:11" ht="187.2" x14ac:dyDescent="0.3">
      <c r="A315" s="4" t="s">
        <v>3169</v>
      </c>
      <c r="B315">
        <v>1</v>
      </c>
      <c r="C315">
        <v>2024</v>
      </c>
      <c r="D315" t="s">
        <v>277</v>
      </c>
      <c r="E315">
        <v>2</v>
      </c>
      <c r="F315" t="s">
        <v>12089</v>
      </c>
      <c r="G315" t="s">
        <v>12090</v>
      </c>
      <c r="H315" s="4" t="s">
        <v>12091</v>
      </c>
      <c r="I315" t="s">
        <v>71</v>
      </c>
      <c r="J315" t="s">
        <v>10782</v>
      </c>
      <c r="K315" t="s">
        <v>12092</v>
      </c>
    </row>
    <row r="316" spans="1:11" ht="158.4" x14ac:dyDescent="0.3">
      <c r="A316" s="4" t="s">
        <v>3890</v>
      </c>
      <c r="B316">
        <v>3</v>
      </c>
      <c r="C316">
        <v>2024</v>
      </c>
      <c r="D316" t="s">
        <v>105</v>
      </c>
      <c r="E316">
        <v>0</v>
      </c>
      <c r="F316" t="s">
        <v>12093</v>
      </c>
      <c r="G316" t="s">
        <v>12094</v>
      </c>
      <c r="H316" s="4" t="s">
        <v>12095</v>
      </c>
      <c r="I316" t="s">
        <v>71</v>
      </c>
      <c r="J316" t="s">
        <v>10782</v>
      </c>
      <c r="K316" t="s">
        <v>12096</v>
      </c>
    </row>
    <row r="317" spans="1:11" ht="201.6" x14ac:dyDescent="0.3">
      <c r="A317" s="4" t="s">
        <v>3891</v>
      </c>
      <c r="B317">
        <v>3</v>
      </c>
      <c r="C317">
        <v>2024</v>
      </c>
      <c r="D317" t="s">
        <v>177</v>
      </c>
      <c r="E317">
        <v>0</v>
      </c>
      <c r="F317" t="s">
        <v>12097</v>
      </c>
      <c r="G317" t="s">
        <v>12098</v>
      </c>
      <c r="H317" s="4" t="s">
        <v>12099</v>
      </c>
      <c r="I317" t="s">
        <v>71</v>
      </c>
      <c r="J317" t="s">
        <v>10782</v>
      </c>
      <c r="K317" t="s">
        <v>12100</v>
      </c>
    </row>
    <row r="318" spans="1:11" ht="100.8" x14ac:dyDescent="0.3">
      <c r="A318" s="4" t="s">
        <v>3892</v>
      </c>
      <c r="B318">
        <v>3</v>
      </c>
      <c r="C318">
        <v>2024</v>
      </c>
      <c r="D318" t="s">
        <v>385</v>
      </c>
      <c r="E318">
        <v>0</v>
      </c>
      <c r="F318" t="s">
        <v>12101</v>
      </c>
      <c r="G318" t="s">
        <v>12102</v>
      </c>
      <c r="H318" s="4" t="s">
        <v>12103</v>
      </c>
      <c r="I318" t="s">
        <v>71</v>
      </c>
      <c r="J318" t="s">
        <v>10782</v>
      </c>
      <c r="K318" t="s">
        <v>12104</v>
      </c>
    </row>
    <row r="319" spans="1:11" ht="144" x14ac:dyDescent="0.3">
      <c r="A319" s="4" t="s">
        <v>3463</v>
      </c>
      <c r="B319">
        <v>2</v>
      </c>
      <c r="C319">
        <v>2024</v>
      </c>
      <c r="D319" t="s">
        <v>190</v>
      </c>
      <c r="E319">
        <v>0</v>
      </c>
      <c r="F319" t="s">
        <v>12105</v>
      </c>
      <c r="G319" t="s">
        <v>12106</v>
      </c>
      <c r="H319" s="4" t="s">
        <v>12107</v>
      </c>
      <c r="I319" t="s">
        <v>71</v>
      </c>
      <c r="J319" t="s">
        <v>10782</v>
      </c>
      <c r="K319" t="s">
        <v>12108</v>
      </c>
    </row>
    <row r="320" spans="1:11" ht="115.2" x14ac:dyDescent="0.3">
      <c r="A320" s="4" t="s">
        <v>3893</v>
      </c>
      <c r="B320">
        <v>3</v>
      </c>
      <c r="C320">
        <v>2024</v>
      </c>
      <c r="D320" t="s">
        <v>385</v>
      </c>
      <c r="E320">
        <v>0</v>
      </c>
      <c r="F320" t="s">
        <v>12109</v>
      </c>
      <c r="G320" t="s">
        <v>12110</v>
      </c>
      <c r="H320" s="4" t="s">
        <v>12111</v>
      </c>
      <c r="I320" t="s">
        <v>71</v>
      </c>
      <c r="J320" t="s">
        <v>10782</v>
      </c>
      <c r="K320" t="s">
        <v>12112</v>
      </c>
    </row>
    <row r="321" spans="1:11" ht="187.2" x14ac:dyDescent="0.3">
      <c r="A321" s="4" t="s">
        <v>3894</v>
      </c>
      <c r="B321">
        <v>3</v>
      </c>
      <c r="C321">
        <v>2024</v>
      </c>
      <c r="D321" t="s">
        <v>277</v>
      </c>
      <c r="E321">
        <v>1</v>
      </c>
      <c r="F321" t="s">
        <v>12113</v>
      </c>
      <c r="G321" t="s">
        <v>12114</v>
      </c>
      <c r="H321" s="4" t="s">
        <v>12115</v>
      </c>
      <c r="I321" t="s">
        <v>71</v>
      </c>
      <c r="J321" t="s">
        <v>10782</v>
      </c>
      <c r="K321" t="s">
        <v>12116</v>
      </c>
    </row>
    <row r="322" spans="1:11" ht="244.8" x14ac:dyDescent="0.3">
      <c r="A322" s="4" t="s">
        <v>3895</v>
      </c>
      <c r="B322">
        <v>3</v>
      </c>
      <c r="C322">
        <v>2024</v>
      </c>
      <c r="D322" t="s">
        <v>11310</v>
      </c>
      <c r="E322">
        <v>1</v>
      </c>
      <c r="F322" t="s">
        <v>12117</v>
      </c>
      <c r="G322" t="s">
        <v>12118</v>
      </c>
      <c r="H322" s="4" t="s">
        <v>12119</v>
      </c>
      <c r="I322" t="s">
        <v>71</v>
      </c>
      <c r="J322" t="s">
        <v>10782</v>
      </c>
      <c r="K322" t="s">
        <v>12120</v>
      </c>
    </row>
    <row r="323" spans="1:11" ht="158.4" x14ac:dyDescent="0.3">
      <c r="A323" s="4" t="s">
        <v>3896</v>
      </c>
      <c r="B323">
        <v>3</v>
      </c>
      <c r="C323">
        <v>2024</v>
      </c>
      <c r="D323" t="s">
        <v>277</v>
      </c>
      <c r="E323">
        <v>3</v>
      </c>
      <c r="F323" t="s">
        <v>12121</v>
      </c>
      <c r="G323" t="s">
        <v>12122</v>
      </c>
      <c r="H323" s="4" t="s">
        <v>12123</v>
      </c>
    </row>
    <row r="324" spans="1:11" ht="201.6" x14ac:dyDescent="0.3">
      <c r="A324" s="4" t="s">
        <v>3897</v>
      </c>
      <c r="B324">
        <v>3</v>
      </c>
      <c r="C324">
        <v>2024</v>
      </c>
      <c r="D324" t="s">
        <v>80</v>
      </c>
      <c r="E324">
        <v>0</v>
      </c>
      <c r="F324" t="s">
        <v>12124</v>
      </c>
      <c r="G324" t="s">
        <v>12125</v>
      </c>
      <c r="H324" s="4" t="s">
        <v>12126</v>
      </c>
      <c r="I324" t="s">
        <v>71</v>
      </c>
      <c r="J324" t="s">
        <v>10782</v>
      </c>
      <c r="K324" t="s">
        <v>12127</v>
      </c>
    </row>
    <row r="325" spans="1:11" ht="115.2" x14ac:dyDescent="0.3">
      <c r="A325" s="4" t="s">
        <v>3464</v>
      </c>
      <c r="B325">
        <v>2</v>
      </c>
      <c r="C325">
        <v>2024</v>
      </c>
      <c r="D325" t="s">
        <v>12128</v>
      </c>
      <c r="E325">
        <v>1</v>
      </c>
      <c r="F325" t="s">
        <v>12129</v>
      </c>
      <c r="G325" t="s">
        <v>12130</v>
      </c>
      <c r="H325" s="4" t="s">
        <v>12131</v>
      </c>
      <c r="I325" t="s">
        <v>71</v>
      </c>
      <c r="J325" t="s">
        <v>10782</v>
      </c>
      <c r="K325" t="s">
        <v>12132</v>
      </c>
    </row>
    <row r="326" spans="1:11" ht="216" x14ac:dyDescent="0.3">
      <c r="A326" s="4" t="s">
        <v>3170</v>
      </c>
      <c r="B326">
        <v>1</v>
      </c>
      <c r="C326">
        <v>2024</v>
      </c>
      <c r="D326" t="s">
        <v>329</v>
      </c>
      <c r="E326">
        <v>0</v>
      </c>
      <c r="F326" t="s">
        <v>12133</v>
      </c>
      <c r="G326" t="s">
        <v>12134</v>
      </c>
      <c r="H326" s="4" t="s">
        <v>12135</v>
      </c>
      <c r="I326" t="s">
        <v>71</v>
      </c>
      <c r="J326" t="s">
        <v>10782</v>
      </c>
      <c r="K326" t="s">
        <v>12136</v>
      </c>
    </row>
    <row r="327" spans="1:11" ht="244.8" x14ac:dyDescent="0.3">
      <c r="A327" s="4" t="s">
        <v>3898</v>
      </c>
      <c r="B327">
        <v>3</v>
      </c>
      <c r="C327">
        <v>2024</v>
      </c>
      <c r="D327" t="s">
        <v>277</v>
      </c>
      <c r="E327">
        <v>7</v>
      </c>
      <c r="F327" t="s">
        <v>12137</v>
      </c>
      <c r="G327" t="s">
        <v>12138</v>
      </c>
      <c r="H327" s="4" t="s">
        <v>12139</v>
      </c>
      <c r="I327" t="s">
        <v>71</v>
      </c>
      <c r="J327" t="s">
        <v>10782</v>
      </c>
      <c r="K327" t="s">
        <v>12140</v>
      </c>
    </row>
    <row r="328" spans="1:11" ht="230.4" x14ac:dyDescent="0.3">
      <c r="A328" s="4" t="s">
        <v>3171</v>
      </c>
      <c r="B328">
        <v>1</v>
      </c>
      <c r="C328">
        <v>2024</v>
      </c>
      <c r="D328" t="s">
        <v>11041</v>
      </c>
      <c r="E328">
        <v>1</v>
      </c>
      <c r="F328" t="s">
        <v>12141</v>
      </c>
      <c r="G328" t="s">
        <v>12142</v>
      </c>
      <c r="H328" s="4" t="s">
        <v>12143</v>
      </c>
      <c r="I328" t="s">
        <v>71</v>
      </c>
      <c r="J328" t="s">
        <v>10782</v>
      </c>
      <c r="K328" t="s">
        <v>12144</v>
      </c>
    </row>
    <row r="329" spans="1:11" ht="216" x14ac:dyDescent="0.3">
      <c r="A329" s="4" t="s">
        <v>3465</v>
      </c>
      <c r="B329">
        <v>2</v>
      </c>
      <c r="C329">
        <v>2024</v>
      </c>
      <c r="D329" t="s">
        <v>482</v>
      </c>
      <c r="E329">
        <v>0</v>
      </c>
      <c r="F329" t="s">
        <v>12145</v>
      </c>
      <c r="G329" t="s">
        <v>12146</v>
      </c>
      <c r="H329" s="4" t="s">
        <v>12147</v>
      </c>
      <c r="I329" t="s">
        <v>71</v>
      </c>
      <c r="J329" t="s">
        <v>10782</v>
      </c>
      <c r="K329" t="s">
        <v>12148</v>
      </c>
    </row>
    <row r="330" spans="1:11" ht="158.4" x14ac:dyDescent="0.3">
      <c r="A330" s="4" t="s">
        <v>323</v>
      </c>
      <c r="B330">
        <v>1</v>
      </c>
      <c r="C330">
        <v>2024</v>
      </c>
      <c r="D330" t="s">
        <v>277</v>
      </c>
      <c r="E330">
        <v>4</v>
      </c>
      <c r="F330" t="s">
        <v>12149</v>
      </c>
      <c r="G330" t="s">
        <v>12150</v>
      </c>
      <c r="H330" s="4" t="s">
        <v>12151</v>
      </c>
      <c r="I330" t="s">
        <v>71</v>
      </c>
      <c r="J330" t="s">
        <v>10782</v>
      </c>
      <c r="K330" t="s">
        <v>12152</v>
      </c>
    </row>
    <row r="331" spans="1:11" ht="187.2" x14ac:dyDescent="0.3">
      <c r="A331" s="4" t="s">
        <v>328</v>
      </c>
      <c r="B331">
        <v>1</v>
      </c>
      <c r="C331">
        <v>2024</v>
      </c>
      <c r="D331" t="s">
        <v>329</v>
      </c>
      <c r="E331">
        <v>1</v>
      </c>
      <c r="F331" t="s">
        <v>12153</v>
      </c>
      <c r="G331" t="s">
        <v>12154</v>
      </c>
      <c r="H331" s="4" t="s">
        <v>12155</v>
      </c>
      <c r="I331" t="s">
        <v>71</v>
      </c>
      <c r="J331" t="s">
        <v>10782</v>
      </c>
      <c r="K331" t="s">
        <v>12156</v>
      </c>
    </row>
    <row r="332" spans="1:11" ht="187.2" x14ac:dyDescent="0.3">
      <c r="A332" s="4" t="s">
        <v>3466</v>
      </c>
      <c r="B332">
        <v>2</v>
      </c>
      <c r="C332">
        <v>2024</v>
      </c>
      <c r="D332" t="s">
        <v>318</v>
      </c>
      <c r="E332">
        <v>6</v>
      </c>
      <c r="F332" t="s">
        <v>12157</v>
      </c>
      <c r="G332" t="s">
        <v>12158</v>
      </c>
      <c r="H332" s="4" t="s">
        <v>12159</v>
      </c>
      <c r="I332" t="s">
        <v>71</v>
      </c>
      <c r="J332" t="s">
        <v>10782</v>
      </c>
      <c r="K332" t="s">
        <v>12160</v>
      </c>
    </row>
    <row r="333" spans="1:11" ht="201.6" x14ac:dyDescent="0.3">
      <c r="A333" s="4" t="s">
        <v>3467</v>
      </c>
      <c r="B333">
        <v>2</v>
      </c>
      <c r="C333">
        <v>2024</v>
      </c>
      <c r="D333" t="s">
        <v>10924</v>
      </c>
      <c r="E333">
        <v>0</v>
      </c>
      <c r="F333" t="s">
        <v>12161</v>
      </c>
      <c r="G333" t="s">
        <v>12162</v>
      </c>
      <c r="H333" s="4" t="s">
        <v>12163</v>
      </c>
      <c r="I333" t="s">
        <v>71</v>
      </c>
      <c r="J333" t="s">
        <v>10782</v>
      </c>
      <c r="K333" t="s">
        <v>12164</v>
      </c>
    </row>
    <row r="334" spans="1:11" ht="172.8" x14ac:dyDescent="0.3">
      <c r="A334" s="4" t="s">
        <v>3899</v>
      </c>
      <c r="B334">
        <v>3</v>
      </c>
      <c r="C334">
        <v>2024</v>
      </c>
      <c r="D334" t="s">
        <v>11164</v>
      </c>
      <c r="E334">
        <v>0</v>
      </c>
      <c r="F334" t="s">
        <v>12165</v>
      </c>
      <c r="G334" t="s">
        <v>12166</v>
      </c>
      <c r="H334" s="4" t="s">
        <v>12167</v>
      </c>
      <c r="I334" t="s">
        <v>71</v>
      </c>
      <c r="J334" t="s">
        <v>10782</v>
      </c>
      <c r="K334" t="s">
        <v>12168</v>
      </c>
    </row>
    <row r="335" spans="1:11" ht="216" x14ac:dyDescent="0.3">
      <c r="A335" s="4" t="s">
        <v>3900</v>
      </c>
      <c r="B335">
        <v>3</v>
      </c>
      <c r="C335">
        <v>2024</v>
      </c>
      <c r="D335" t="s">
        <v>147</v>
      </c>
      <c r="E335">
        <v>0</v>
      </c>
      <c r="F335" t="s">
        <v>12169</v>
      </c>
      <c r="G335" t="s">
        <v>12170</v>
      </c>
      <c r="H335" s="4" t="s">
        <v>12171</v>
      </c>
      <c r="I335" t="s">
        <v>71</v>
      </c>
      <c r="J335" t="s">
        <v>10782</v>
      </c>
      <c r="K335" t="s">
        <v>12172</v>
      </c>
    </row>
    <row r="336" spans="1:11" ht="158.4" x14ac:dyDescent="0.3">
      <c r="A336" s="4" t="s">
        <v>3901</v>
      </c>
      <c r="B336">
        <v>3</v>
      </c>
      <c r="C336">
        <v>2024</v>
      </c>
      <c r="D336" t="s">
        <v>147</v>
      </c>
      <c r="E336">
        <v>2</v>
      </c>
      <c r="F336" t="s">
        <v>12173</v>
      </c>
      <c r="G336" t="s">
        <v>12174</v>
      </c>
      <c r="H336" s="4" t="s">
        <v>12175</v>
      </c>
      <c r="I336" t="s">
        <v>71</v>
      </c>
      <c r="J336" t="s">
        <v>10782</v>
      </c>
      <c r="K336" t="s">
        <v>12176</v>
      </c>
    </row>
    <row r="337" spans="1:11" ht="201.6" x14ac:dyDescent="0.3">
      <c r="A337" s="4" t="s">
        <v>2448</v>
      </c>
      <c r="B337">
        <v>2</v>
      </c>
      <c r="C337">
        <v>2024</v>
      </c>
      <c r="D337" t="s">
        <v>405</v>
      </c>
      <c r="E337">
        <v>0</v>
      </c>
      <c r="F337" t="s">
        <v>12177</v>
      </c>
      <c r="G337" t="s">
        <v>12178</v>
      </c>
      <c r="H337" s="4" t="s">
        <v>12179</v>
      </c>
      <c r="I337" t="s">
        <v>71</v>
      </c>
      <c r="J337" t="s">
        <v>10782</v>
      </c>
      <c r="K337" t="s">
        <v>12180</v>
      </c>
    </row>
    <row r="338" spans="1:11" ht="158.4" x14ac:dyDescent="0.3">
      <c r="A338" s="4" t="s">
        <v>3902</v>
      </c>
      <c r="B338">
        <v>3</v>
      </c>
      <c r="C338">
        <v>2024</v>
      </c>
      <c r="D338" t="s">
        <v>277</v>
      </c>
      <c r="E338">
        <v>1</v>
      </c>
      <c r="F338" t="s">
        <v>12181</v>
      </c>
      <c r="G338" t="s">
        <v>12182</v>
      </c>
      <c r="H338" s="4" t="s">
        <v>12183</v>
      </c>
      <c r="I338" t="s">
        <v>71</v>
      </c>
      <c r="J338" t="s">
        <v>10782</v>
      </c>
      <c r="K338" t="s">
        <v>12184</v>
      </c>
    </row>
    <row r="339" spans="1:11" ht="129.6" x14ac:dyDescent="0.3">
      <c r="A339" s="4" t="s">
        <v>3903</v>
      </c>
      <c r="B339">
        <v>3</v>
      </c>
      <c r="C339">
        <v>2024</v>
      </c>
      <c r="D339" t="s">
        <v>12185</v>
      </c>
      <c r="E339">
        <v>5</v>
      </c>
      <c r="F339" t="s">
        <v>12186</v>
      </c>
      <c r="G339" t="s">
        <v>12187</v>
      </c>
      <c r="H339" s="4" t="s">
        <v>12188</v>
      </c>
      <c r="I339" t="s">
        <v>71</v>
      </c>
      <c r="J339" t="s">
        <v>10782</v>
      </c>
      <c r="K339" t="s">
        <v>12189</v>
      </c>
    </row>
    <row r="340" spans="1:11" ht="144" x14ac:dyDescent="0.3">
      <c r="A340" s="4" t="s">
        <v>338</v>
      </c>
      <c r="B340">
        <v>1</v>
      </c>
      <c r="C340">
        <v>2024</v>
      </c>
      <c r="D340" t="s">
        <v>318</v>
      </c>
      <c r="E340">
        <v>4</v>
      </c>
      <c r="F340" t="s">
        <v>12190</v>
      </c>
      <c r="G340" t="s">
        <v>12191</v>
      </c>
      <c r="H340" s="4" t="s">
        <v>12192</v>
      </c>
      <c r="I340" t="s">
        <v>71</v>
      </c>
      <c r="J340" t="s">
        <v>10782</v>
      </c>
      <c r="K340" t="s">
        <v>12193</v>
      </c>
    </row>
    <row r="341" spans="1:11" ht="115.2" x14ac:dyDescent="0.3">
      <c r="A341" s="4" t="s">
        <v>3468</v>
      </c>
      <c r="B341">
        <v>2</v>
      </c>
      <c r="C341">
        <v>2024</v>
      </c>
      <c r="D341" t="s">
        <v>277</v>
      </c>
      <c r="E341">
        <v>3</v>
      </c>
      <c r="F341" t="s">
        <v>12194</v>
      </c>
      <c r="G341" t="s">
        <v>12195</v>
      </c>
      <c r="H341" s="4" t="s">
        <v>12196</v>
      </c>
      <c r="I341" t="s">
        <v>71</v>
      </c>
      <c r="J341" t="s">
        <v>10782</v>
      </c>
      <c r="K341" t="s">
        <v>12197</v>
      </c>
    </row>
    <row r="342" spans="1:11" ht="187.2" x14ac:dyDescent="0.3">
      <c r="A342" s="4" t="s">
        <v>3904</v>
      </c>
      <c r="B342">
        <v>3</v>
      </c>
      <c r="C342">
        <v>2024</v>
      </c>
      <c r="D342" t="s">
        <v>1770</v>
      </c>
      <c r="E342">
        <v>0</v>
      </c>
      <c r="F342" t="s">
        <v>12198</v>
      </c>
      <c r="G342" t="s">
        <v>12199</v>
      </c>
      <c r="H342" s="4" t="s">
        <v>12200</v>
      </c>
      <c r="I342" t="s">
        <v>71</v>
      </c>
      <c r="J342" t="s">
        <v>10782</v>
      </c>
      <c r="K342" t="s">
        <v>12201</v>
      </c>
    </row>
    <row r="343" spans="1:11" ht="158.4" x14ac:dyDescent="0.3">
      <c r="A343" s="4" t="s">
        <v>3905</v>
      </c>
      <c r="B343">
        <v>3</v>
      </c>
      <c r="C343">
        <v>2024</v>
      </c>
      <c r="D343" t="s">
        <v>12202</v>
      </c>
      <c r="E343">
        <v>0</v>
      </c>
      <c r="F343" t="s">
        <v>12203</v>
      </c>
      <c r="G343" t="s">
        <v>12204</v>
      </c>
      <c r="H343" s="4" t="s">
        <v>12205</v>
      </c>
      <c r="I343" t="s">
        <v>71</v>
      </c>
      <c r="J343" t="s">
        <v>10782</v>
      </c>
      <c r="K343" t="s">
        <v>12206</v>
      </c>
    </row>
    <row r="344" spans="1:11" ht="187.2" x14ac:dyDescent="0.3">
      <c r="A344" s="4" t="s">
        <v>3906</v>
      </c>
      <c r="B344">
        <v>3</v>
      </c>
      <c r="C344">
        <v>2024</v>
      </c>
      <c r="D344" t="s">
        <v>405</v>
      </c>
      <c r="E344">
        <v>1</v>
      </c>
      <c r="F344" t="s">
        <v>12207</v>
      </c>
      <c r="G344" t="s">
        <v>12208</v>
      </c>
      <c r="H344" s="4" t="s">
        <v>12209</v>
      </c>
      <c r="I344" t="s">
        <v>71</v>
      </c>
      <c r="J344" t="s">
        <v>10782</v>
      </c>
      <c r="K344" t="s">
        <v>12210</v>
      </c>
    </row>
    <row r="345" spans="1:11" ht="158.4" x14ac:dyDescent="0.3">
      <c r="A345" s="4" t="s">
        <v>3907</v>
      </c>
      <c r="B345">
        <v>3</v>
      </c>
      <c r="C345">
        <v>2024</v>
      </c>
      <c r="D345" t="s">
        <v>318</v>
      </c>
      <c r="E345">
        <v>0</v>
      </c>
      <c r="F345" t="s">
        <v>12211</v>
      </c>
      <c r="G345" t="s">
        <v>12212</v>
      </c>
      <c r="H345" s="4" t="s">
        <v>12213</v>
      </c>
      <c r="I345" t="s">
        <v>71</v>
      </c>
      <c r="J345" t="s">
        <v>10782</v>
      </c>
      <c r="K345" t="s">
        <v>12214</v>
      </c>
    </row>
    <row r="346" spans="1:11" ht="201.6" x14ac:dyDescent="0.3">
      <c r="A346" s="4" t="s">
        <v>3908</v>
      </c>
      <c r="B346">
        <v>3</v>
      </c>
      <c r="C346">
        <v>2024</v>
      </c>
      <c r="D346" t="s">
        <v>80</v>
      </c>
      <c r="E346">
        <v>1</v>
      </c>
      <c r="F346" t="s">
        <v>12215</v>
      </c>
      <c r="G346" t="s">
        <v>12216</v>
      </c>
      <c r="H346" s="4" t="s">
        <v>12217</v>
      </c>
      <c r="I346" t="s">
        <v>71</v>
      </c>
      <c r="J346" t="s">
        <v>10782</v>
      </c>
      <c r="K346" t="s">
        <v>12218</v>
      </c>
    </row>
    <row r="347" spans="1:11" ht="144" x14ac:dyDescent="0.3">
      <c r="A347" s="4" t="s">
        <v>3909</v>
      </c>
      <c r="B347">
        <v>3</v>
      </c>
      <c r="C347">
        <v>2024</v>
      </c>
      <c r="D347" t="s">
        <v>830</v>
      </c>
      <c r="E347">
        <v>1</v>
      </c>
      <c r="F347" t="s">
        <v>12219</v>
      </c>
      <c r="G347" t="s">
        <v>12220</v>
      </c>
      <c r="H347" s="4" t="s">
        <v>12221</v>
      </c>
      <c r="I347" t="s">
        <v>71</v>
      </c>
      <c r="J347" t="s">
        <v>10782</v>
      </c>
      <c r="K347" t="s">
        <v>12222</v>
      </c>
    </row>
    <row r="348" spans="1:11" ht="187.2" x14ac:dyDescent="0.3">
      <c r="A348" s="4" t="s">
        <v>3172</v>
      </c>
      <c r="B348">
        <v>1</v>
      </c>
      <c r="C348">
        <v>2024</v>
      </c>
      <c r="D348" t="s">
        <v>318</v>
      </c>
      <c r="E348">
        <v>7</v>
      </c>
      <c r="F348" t="s">
        <v>12223</v>
      </c>
      <c r="G348" t="s">
        <v>12224</v>
      </c>
      <c r="H348" s="4" t="s">
        <v>12225</v>
      </c>
      <c r="I348" t="s">
        <v>71</v>
      </c>
      <c r="J348" t="s">
        <v>10782</v>
      </c>
      <c r="K348" t="s">
        <v>12226</v>
      </c>
    </row>
    <row r="349" spans="1:11" ht="129.6" x14ac:dyDescent="0.3">
      <c r="A349" s="4" t="s">
        <v>3910</v>
      </c>
      <c r="B349">
        <v>3</v>
      </c>
      <c r="C349">
        <v>2024</v>
      </c>
      <c r="D349" t="s">
        <v>704</v>
      </c>
      <c r="E349">
        <v>1</v>
      </c>
      <c r="F349" t="s">
        <v>12227</v>
      </c>
      <c r="G349" t="s">
        <v>12228</v>
      </c>
      <c r="H349" s="4" t="s">
        <v>12229</v>
      </c>
    </row>
    <row r="350" spans="1:11" ht="100.8" x14ac:dyDescent="0.3">
      <c r="A350" s="4" t="s">
        <v>3911</v>
      </c>
      <c r="B350">
        <v>3</v>
      </c>
      <c r="C350">
        <v>2024</v>
      </c>
      <c r="D350" t="s">
        <v>277</v>
      </c>
      <c r="E350">
        <v>0</v>
      </c>
      <c r="F350" t="s">
        <v>12230</v>
      </c>
      <c r="G350" t="s">
        <v>12231</v>
      </c>
      <c r="H350" s="4" t="s">
        <v>12232</v>
      </c>
      <c r="I350" t="s">
        <v>71</v>
      </c>
      <c r="J350" t="s">
        <v>10782</v>
      </c>
      <c r="K350" t="s">
        <v>12233</v>
      </c>
    </row>
    <row r="351" spans="1:11" ht="129.6" x14ac:dyDescent="0.3">
      <c r="A351" s="4" t="s">
        <v>3912</v>
      </c>
      <c r="B351">
        <v>3</v>
      </c>
      <c r="C351">
        <v>2024</v>
      </c>
      <c r="D351" t="s">
        <v>12234</v>
      </c>
      <c r="E351">
        <v>14</v>
      </c>
      <c r="F351" t="s">
        <v>12235</v>
      </c>
      <c r="G351" t="s">
        <v>12236</v>
      </c>
      <c r="H351" s="4" t="s">
        <v>12237</v>
      </c>
      <c r="I351" t="s">
        <v>10945</v>
      </c>
      <c r="J351" t="s">
        <v>10782</v>
      </c>
      <c r="K351" t="s">
        <v>12238</v>
      </c>
    </row>
    <row r="352" spans="1:11" ht="115.2" x14ac:dyDescent="0.3">
      <c r="A352" s="4" t="s">
        <v>3913</v>
      </c>
      <c r="B352">
        <v>3</v>
      </c>
      <c r="C352">
        <v>2024</v>
      </c>
      <c r="D352" t="s">
        <v>1129</v>
      </c>
      <c r="E352">
        <v>1</v>
      </c>
      <c r="F352" t="s">
        <v>12239</v>
      </c>
      <c r="G352" t="s">
        <v>12240</v>
      </c>
      <c r="H352" s="4" t="s">
        <v>12241</v>
      </c>
      <c r="I352" t="s">
        <v>71</v>
      </c>
      <c r="J352" t="s">
        <v>10782</v>
      </c>
      <c r="K352" t="s">
        <v>12242</v>
      </c>
    </row>
    <row r="353" spans="1:11" ht="158.4" x14ac:dyDescent="0.3">
      <c r="A353" s="4" t="s">
        <v>3914</v>
      </c>
      <c r="B353">
        <v>3</v>
      </c>
      <c r="C353">
        <v>2024</v>
      </c>
      <c r="D353" t="s">
        <v>637</v>
      </c>
      <c r="E353">
        <v>0</v>
      </c>
      <c r="F353" t="s">
        <v>12243</v>
      </c>
      <c r="G353" t="s">
        <v>12244</v>
      </c>
      <c r="H353" s="4" t="s">
        <v>12245</v>
      </c>
      <c r="I353" t="s">
        <v>71</v>
      </c>
      <c r="J353" t="s">
        <v>10782</v>
      </c>
      <c r="K353" t="s">
        <v>12246</v>
      </c>
    </row>
    <row r="354" spans="1:11" ht="86.4" x14ac:dyDescent="0.3">
      <c r="A354" s="4" t="s">
        <v>3915</v>
      </c>
      <c r="B354">
        <v>3</v>
      </c>
      <c r="C354">
        <v>2024</v>
      </c>
      <c r="D354" t="s">
        <v>12234</v>
      </c>
      <c r="E354">
        <v>0</v>
      </c>
      <c r="F354" t="s">
        <v>12247</v>
      </c>
      <c r="G354" t="s">
        <v>12248</v>
      </c>
      <c r="H354" s="4" t="s">
        <v>12249</v>
      </c>
    </row>
    <row r="355" spans="1:11" ht="115.2" x14ac:dyDescent="0.3">
      <c r="A355" s="4" t="s">
        <v>3916</v>
      </c>
      <c r="B355">
        <v>3</v>
      </c>
      <c r="C355">
        <v>2024</v>
      </c>
      <c r="D355" t="s">
        <v>12185</v>
      </c>
      <c r="E355">
        <v>3</v>
      </c>
      <c r="F355" t="s">
        <v>12250</v>
      </c>
      <c r="G355" t="s">
        <v>12251</v>
      </c>
      <c r="H355" s="4" t="s">
        <v>12252</v>
      </c>
    </row>
    <row r="356" spans="1:11" ht="201.6" x14ac:dyDescent="0.3">
      <c r="A356" s="4" t="s">
        <v>3917</v>
      </c>
      <c r="B356">
        <v>3</v>
      </c>
      <c r="C356">
        <v>2024</v>
      </c>
      <c r="D356" t="s">
        <v>12253</v>
      </c>
      <c r="E356">
        <v>0</v>
      </c>
      <c r="F356" t="s">
        <v>12254</v>
      </c>
      <c r="G356" t="s">
        <v>12255</v>
      </c>
      <c r="H356" s="4" t="s">
        <v>12256</v>
      </c>
      <c r="I356" t="s">
        <v>71</v>
      </c>
      <c r="J356" t="s">
        <v>10782</v>
      </c>
      <c r="K356" t="s">
        <v>12257</v>
      </c>
    </row>
    <row r="357" spans="1:11" ht="158.4" x14ac:dyDescent="0.3">
      <c r="A357" s="4" t="s">
        <v>3918</v>
      </c>
      <c r="B357">
        <v>3</v>
      </c>
      <c r="C357">
        <v>2024</v>
      </c>
      <c r="D357" t="s">
        <v>277</v>
      </c>
      <c r="E357">
        <v>0</v>
      </c>
      <c r="F357" t="s">
        <v>12258</v>
      </c>
      <c r="G357" t="s">
        <v>12259</v>
      </c>
      <c r="H357" s="4" t="s">
        <v>12260</v>
      </c>
      <c r="I357" t="s">
        <v>71</v>
      </c>
      <c r="J357" t="s">
        <v>10782</v>
      </c>
      <c r="K357" t="s">
        <v>12261</v>
      </c>
    </row>
    <row r="358" spans="1:11" ht="172.8" x14ac:dyDescent="0.3">
      <c r="A358" s="4" t="s">
        <v>3919</v>
      </c>
      <c r="B358">
        <v>3</v>
      </c>
      <c r="C358">
        <v>2024</v>
      </c>
      <c r="D358" t="s">
        <v>11556</v>
      </c>
      <c r="E358">
        <v>1</v>
      </c>
      <c r="F358" t="s">
        <v>12262</v>
      </c>
      <c r="G358" t="s">
        <v>12263</v>
      </c>
      <c r="H358" s="4" t="s">
        <v>12264</v>
      </c>
      <c r="I358" t="s">
        <v>71</v>
      </c>
      <c r="J358" t="s">
        <v>10782</v>
      </c>
      <c r="K358" t="s">
        <v>12265</v>
      </c>
    </row>
    <row r="359" spans="1:11" ht="144" x14ac:dyDescent="0.3">
      <c r="A359" s="4" t="s">
        <v>3920</v>
      </c>
      <c r="B359">
        <v>3</v>
      </c>
      <c r="C359">
        <v>2024</v>
      </c>
      <c r="D359" t="s">
        <v>11159</v>
      </c>
      <c r="E359">
        <v>0</v>
      </c>
      <c r="F359" t="s">
        <v>12266</v>
      </c>
      <c r="G359" t="s">
        <v>12267</v>
      </c>
      <c r="H359" s="4" t="s">
        <v>12268</v>
      </c>
      <c r="I359" t="s">
        <v>71</v>
      </c>
      <c r="J359" t="s">
        <v>10782</v>
      </c>
      <c r="K359" t="s">
        <v>12269</v>
      </c>
    </row>
    <row r="360" spans="1:11" ht="172.8" x14ac:dyDescent="0.3">
      <c r="A360" s="4" t="s">
        <v>3921</v>
      </c>
      <c r="B360">
        <v>3</v>
      </c>
      <c r="C360">
        <v>2024</v>
      </c>
      <c r="D360" t="s">
        <v>12185</v>
      </c>
      <c r="E360">
        <v>1</v>
      </c>
      <c r="F360" t="s">
        <v>12270</v>
      </c>
      <c r="G360" t="s">
        <v>12271</v>
      </c>
      <c r="H360" s="4" t="s">
        <v>12272</v>
      </c>
      <c r="I360" t="s">
        <v>71</v>
      </c>
      <c r="J360" t="s">
        <v>10782</v>
      </c>
      <c r="K360" t="s">
        <v>12273</v>
      </c>
    </row>
    <row r="361" spans="1:11" ht="158.4" x14ac:dyDescent="0.3">
      <c r="A361" s="4" t="s">
        <v>3469</v>
      </c>
      <c r="B361">
        <v>2</v>
      </c>
      <c r="C361">
        <v>2024</v>
      </c>
      <c r="D361" t="s">
        <v>1802</v>
      </c>
      <c r="E361">
        <v>2</v>
      </c>
      <c r="F361" t="s">
        <v>12274</v>
      </c>
      <c r="G361" t="s">
        <v>12275</v>
      </c>
      <c r="H361" s="4" t="s">
        <v>12276</v>
      </c>
      <c r="I361" t="s">
        <v>10823</v>
      </c>
      <c r="J361" t="s">
        <v>10782</v>
      </c>
      <c r="K361" t="s">
        <v>12277</v>
      </c>
    </row>
    <row r="362" spans="1:11" ht="100.8" x14ac:dyDescent="0.3">
      <c r="A362" s="4" t="s">
        <v>3470</v>
      </c>
      <c r="B362">
        <v>2</v>
      </c>
      <c r="C362">
        <v>2024</v>
      </c>
      <c r="D362" t="s">
        <v>329</v>
      </c>
      <c r="E362">
        <v>1</v>
      </c>
      <c r="F362" t="s">
        <v>12278</v>
      </c>
      <c r="G362" t="s">
        <v>12279</v>
      </c>
      <c r="H362" s="4" t="s">
        <v>12280</v>
      </c>
      <c r="I362" t="s">
        <v>71</v>
      </c>
      <c r="J362" t="s">
        <v>10782</v>
      </c>
      <c r="K362" t="s">
        <v>12281</v>
      </c>
    </row>
    <row r="363" spans="1:11" ht="187.2" x14ac:dyDescent="0.3">
      <c r="A363" s="4" t="s">
        <v>339</v>
      </c>
      <c r="B363">
        <v>1</v>
      </c>
      <c r="C363">
        <v>2024</v>
      </c>
      <c r="D363" t="s">
        <v>277</v>
      </c>
      <c r="E363">
        <v>18</v>
      </c>
      <c r="F363" t="s">
        <v>12282</v>
      </c>
      <c r="G363" t="s">
        <v>12283</v>
      </c>
      <c r="H363" s="4" t="s">
        <v>12284</v>
      </c>
      <c r="I363" t="s">
        <v>71</v>
      </c>
      <c r="J363" t="s">
        <v>10782</v>
      </c>
      <c r="K363" t="s">
        <v>12285</v>
      </c>
    </row>
    <row r="364" spans="1:11" ht="172.8" x14ac:dyDescent="0.3">
      <c r="A364" s="4" t="s">
        <v>3922</v>
      </c>
      <c r="B364">
        <v>3</v>
      </c>
      <c r="C364">
        <v>2024</v>
      </c>
      <c r="D364" t="s">
        <v>12286</v>
      </c>
      <c r="E364">
        <v>0</v>
      </c>
      <c r="F364" t="s">
        <v>12287</v>
      </c>
      <c r="G364" t="s">
        <v>12288</v>
      </c>
      <c r="H364" s="4" t="s">
        <v>12289</v>
      </c>
      <c r="I364" t="s">
        <v>71</v>
      </c>
      <c r="J364" t="s">
        <v>10782</v>
      </c>
      <c r="K364" t="s">
        <v>12290</v>
      </c>
    </row>
    <row r="365" spans="1:11" ht="172.8" x14ac:dyDescent="0.3">
      <c r="A365" s="4" t="s">
        <v>3923</v>
      </c>
      <c r="B365">
        <v>3</v>
      </c>
      <c r="C365">
        <v>2024</v>
      </c>
      <c r="D365" t="s">
        <v>80</v>
      </c>
      <c r="E365">
        <v>2</v>
      </c>
      <c r="F365" t="s">
        <v>12291</v>
      </c>
      <c r="G365" t="s">
        <v>12292</v>
      </c>
      <c r="H365" s="4" t="s">
        <v>12293</v>
      </c>
      <c r="I365" t="s">
        <v>71</v>
      </c>
      <c r="J365" t="s">
        <v>10782</v>
      </c>
      <c r="K365" t="s">
        <v>12294</v>
      </c>
    </row>
    <row r="366" spans="1:11" ht="115.2" x14ac:dyDescent="0.3">
      <c r="A366" s="4" t="s">
        <v>3471</v>
      </c>
      <c r="B366">
        <v>2</v>
      </c>
      <c r="C366">
        <v>2024</v>
      </c>
      <c r="D366" t="s">
        <v>80</v>
      </c>
      <c r="E366">
        <v>1</v>
      </c>
      <c r="F366" t="s">
        <v>12295</v>
      </c>
      <c r="G366" t="s">
        <v>12296</v>
      </c>
      <c r="H366" s="4" t="s">
        <v>12297</v>
      </c>
    </row>
    <row r="367" spans="1:11" ht="201.6" x14ac:dyDescent="0.3">
      <c r="A367" s="4" t="s">
        <v>3173</v>
      </c>
      <c r="B367">
        <v>1</v>
      </c>
      <c r="C367">
        <v>2024</v>
      </c>
      <c r="D367" t="s">
        <v>2853</v>
      </c>
      <c r="E367">
        <v>1</v>
      </c>
      <c r="F367" t="s">
        <v>12298</v>
      </c>
      <c r="G367" t="s">
        <v>12299</v>
      </c>
      <c r="H367" s="4" t="s">
        <v>12300</v>
      </c>
      <c r="I367" t="s">
        <v>71</v>
      </c>
      <c r="J367" t="s">
        <v>10782</v>
      </c>
      <c r="K367" t="s">
        <v>12301</v>
      </c>
    </row>
    <row r="368" spans="1:11" ht="172.8" x14ac:dyDescent="0.3">
      <c r="A368" s="4" t="s">
        <v>351</v>
      </c>
      <c r="B368">
        <v>1</v>
      </c>
      <c r="C368">
        <v>2024</v>
      </c>
      <c r="D368" t="s">
        <v>363</v>
      </c>
      <c r="E368">
        <v>4</v>
      </c>
      <c r="F368" t="s">
        <v>12302</v>
      </c>
      <c r="G368" t="s">
        <v>12303</v>
      </c>
      <c r="H368" s="4" t="s">
        <v>12304</v>
      </c>
      <c r="I368" t="s">
        <v>71</v>
      </c>
      <c r="J368" t="s">
        <v>10782</v>
      </c>
      <c r="K368" t="s">
        <v>12305</v>
      </c>
    </row>
    <row r="369" spans="1:11" ht="129.6" x14ac:dyDescent="0.3">
      <c r="A369" s="4" t="s">
        <v>2449</v>
      </c>
      <c r="B369">
        <v>2</v>
      </c>
      <c r="C369">
        <v>2024</v>
      </c>
      <c r="D369" t="s">
        <v>147</v>
      </c>
      <c r="E369">
        <v>0</v>
      </c>
      <c r="F369" t="s">
        <v>12306</v>
      </c>
      <c r="G369" t="s">
        <v>12307</v>
      </c>
      <c r="H369" s="4" t="s">
        <v>12308</v>
      </c>
      <c r="I369" t="s">
        <v>71</v>
      </c>
      <c r="J369" t="s">
        <v>10782</v>
      </c>
      <c r="K369" t="s">
        <v>12309</v>
      </c>
    </row>
    <row r="370" spans="1:11" ht="201.6" x14ac:dyDescent="0.3">
      <c r="A370" s="4" t="s">
        <v>3924</v>
      </c>
      <c r="B370">
        <v>3</v>
      </c>
      <c r="C370">
        <v>2024</v>
      </c>
      <c r="D370" t="s">
        <v>482</v>
      </c>
      <c r="E370">
        <v>1</v>
      </c>
      <c r="F370" t="s">
        <v>12310</v>
      </c>
      <c r="G370" t="s">
        <v>12311</v>
      </c>
      <c r="H370" s="4" t="s">
        <v>12312</v>
      </c>
      <c r="I370" t="s">
        <v>71</v>
      </c>
      <c r="J370" t="s">
        <v>10782</v>
      </c>
      <c r="K370" t="s">
        <v>12313</v>
      </c>
    </row>
    <row r="371" spans="1:11" ht="129.6" x14ac:dyDescent="0.3">
      <c r="A371" s="4" t="s">
        <v>3472</v>
      </c>
      <c r="B371">
        <v>2</v>
      </c>
      <c r="C371">
        <v>2024</v>
      </c>
      <c r="D371" t="s">
        <v>1129</v>
      </c>
      <c r="E371">
        <v>3</v>
      </c>
      <c r="F371" t="s">
        <v>12314</v>
      </c>
      <c r="G371" t="s">
        <v>12315</v>
      </c>
      <c r="H371" s="4" t="s">
        <v>12316</v>
      </c>
      <c r="I371" t="s">
        <v>71</v>
      </c>
      <c r="J371" t="s">
        <v>10782</v>
      </c>
      <c r="K371" t="s">
        <v>12317</v>
      </c>
    </row>
    <row r="372" spans="1:11" ht="158.4" x14ac:dyDescent="0.3">
      <c r="A372" s="4" t="s">
        <v>3925</v>
      </c>
      <c r="B372">
        <v>3</v>
      </c>
      <c r="C372">
        <v>2024</v>
      </c>
      <c r="D372" t="s">
        <v>12318</v>
      </c>
      <c r="E372">
        <v>2</v>
      </c>
      <c r="F372" t="s">
        <v>12319</v>
      </c>
      <c r="G372" t="s">
        <v>12320</v>
      </c>
      <c r="H372" s="4" t="s">
        <v>12321</v>
      </c>
      <c r="I372" t="s">
        <v>71</v>
      </c>
      <c r="J372" t="s">
        <v>10782</v>
      </c>
      <c r="K372" t="s">
        <v>12322</v>
      </c>
    </row>
    <row r="373" spans="1:11" ht="216" x14ac:dyDescent="0.3">
      <c r="A373" s="4" t="s">
        <v>352</v>
      </c>
      <c r="B373">
        <v>1</v>
      </c>
      <c r="C373">
        <v>2024</v>
      </c>
      <c r="D373" t="s">
        <v>234</v>
      </c>
      <c r="E373">
        <v>2</v>
      </c>
      <c r="F373" t="s">
        <v>12323</v>
      </c>
      <c r="G373" t="s">
        <v>12324</v>
      </c>
      <c r="H373" s="4" t="s">
        <v>12325</v>
      </c>
      <c r="I373" t="s">
        <v>71</v>
      </c>
      <c r="J373" t="s">
        <v>10782</v>
      </c>
      <c r="K373" t="s">
        <v>12326</v>
      </c>
    </row>
    <row r="374" spans="1:11" ht="216" x14ac:dyDescent="0.3">
      <c r="A374" s="4" t="s">
        <v>3174</v>
      </c>
      <c r="B374">
        <v>1</v>
      </c>
      <c r="C374">
        <v>2024</v>
      </c>
      <c r="D374" t="s">
        <v>147</v>
      </c>
      <c r="E374">
        <v>0</v>
      </c>
      <c r="F374" t="s">
        <v>12327</v>
      </c>
      <c r="G374" t="s">
        <v>12328</v>
      </c>
      <c r="H374" s="4" t="s">
        <v>12329</v>
      </c>
      <c r="I374" t="s">
        <v>71</v>
      </c>
      <c r="J374" t="s">
        <v>10782</v>
      </c>
      <c r="K374" t="s">
        <v>12330</v>
      </c>
    </row>
    <row r="375" spans="1:11" ht="230.4" x14ac:dyDescent="0.3">
      <c r="A375" s="4" t="s">
        <v>3175</v>
      </c>
      <c r="B375">
        <v>1</v>
      </c>
      <c r="C375">
        <v>2024</v>
      </c>
      <c r="D375" t="s">
        <v>329</v>
      </c>
      <c r="E375">
        <v>1</v>
      </c>
      <c r="F375" t="s">
        <v>12331</v>
      </c>
      <c r="G375" t="s">
        <v>12332</v>
      </c>
      <c r="H375" s="4" t="s">
        <v>12333</v>
      </c>
      <c r="I375" t="s">
        <v>71</v>
      </c>
      <c r="J375" t="s">
        <v>10782</v>
      </c>
      <c r="K375" t="s">
        <v>12334</v>
      </c>
    </row>
    <row r="376" spans="1:11" ht="172.8" x14ac:dyDescent="0.3">
      <c r="A376" s="4" t="s">
        <v>3926</v>
      </c>
      <c r="B376">
        <v>3</v>
      </c>
      <c r="C376">
        <v>2024</v>
      </c>
      <c r="D376" t="s">
        <v>11310</v>
      </c>
      <c r="E376">
        <v>0</v>
      </c>
      <c r="F376" t="s">
        <v>12335</v>
      </c>
      <c r="G376" t="s">
        <v>12336</v>
      </c>
      <c r="H376" s="4" t="s">
        <v>12337</v>
      </c>
      <c r="I376" t="s">
        <v>71</v>
      </c>
      <c r="J376" t="s">
        <v>10782</v>
      </c>
      <c r="K376" t="s">
        <v>12338</v>
      </c>
    </row>
    <row r="377" spans="1:11" ht="187.2" x14ac:dyDescent="0.3">
      <c r="A377" s="4" t="s">
        <v>3927</v>
      </c>
      <c r="B377">
        <v>3</v>
      </c>
      <c r="C377">
        <v>2024</v>
      </c>
      <c r="D377" t="s">
        <v>12339</v>
      </c>
      <c r="E377">
        <v>0</v>
      </c>
      <c r="F377" t="s">
        <v>12340</v>
      </c>
      <c r="G377" t="s">
        <v>12341</v>
      </c>
      <c r="H377" s="4" t="s">
        <v>12342</v>
      </c>
      <c r="I377" t="s">
        <v>71</v>
      </c>
      <c r="J377" t="s">
        <v>10782</v>
      </c>
      <c r="K377" t="s">
        <v>12343</v>
      </c>
    </row>
    <row r="378" spans="1:11" ht="216" x14ac:dyDescent="0.3">
      <c r="A378" s="4" t="s">
        <v>353</v>
      </c>
      <c r="B378">
        <v>1</v>
      </c>
      <c r="C378">
        <v>2024</v>
      </c>
      <c r="D378" t="s">
        <v>380</v>
      </c>
      <c r="E378">
        <v>0</v>
      </c>
      <c r="F378" t="s">
        <v>12344</v>
      </c>
      <c r="G378" t="s">
        <v>12345</v>
      </c>
      <c r="H378" s="4" t="s">
        <v>12346</v>
      </c>
      <c r="I378" t="s">
        <v>71</v>
      </c>
      <c r="J378" t="s">
        <v>10782</v>
      </c>
      <c r="K378" t="s">
        <v>12347</v>
      </c>
    </row>
    <row r="379" spans="1:11" ht="172.8" x14ac:dyDescent="0.3">
      <c r="A379" s="4" t="s">
        <v>3928</v>
      </c>
      <c r="B379">
        <v>3</v>
      </c>
      <c r="C379">
        <v>2024</v>
      </c>
      <c r="D379" t="s">
        <v>277</v>
      </c>
      <c r="E379">
        <v>4</v>
      </c>
      <c r="F379" t="s">
        <v>12348</v>
      </c>
      <c r="G379" t="s">
        <v>12349</v>
      </c>
      <c r="H379" s="4" t="s">
        <v>12350</v>
      </c>
      <c r="I379" t="s">
        <v>71</v>
      </c>
      <c r="J379" t="s">
        <v>10782</v>
      </c>
      <c r="K379" t="s">
        <v>12351</v>
      </c>
    </row>
    <row r="380" spans="1:11" ht="129.6" x14ac:dyDescent="0.3">
      <c r="A380" s="4" t="s">
        <v>354</v>
      </c>
      <c r="B380">
        <v>1</v>
      </c>
      <c r="C380">
        <v>2024</v>
      </c>
      <c r="D380" t="s">
        <v>385</v>
      </c>
      <c r="E380">
        <v>1</v>
      </c>
      <c r="F380" t="s">
        <v>12352</v>
      </c>
      <c r="G380" t="s">
        <v>12353</v>
      </c>
      <c r="H380" s="4" t="s">
        <v>12354</v>
      </c>
      <c r="I380" t="s">
        <v>71</v>
      </c>
      <c r="J380" t="s">
        <v>10782</v>
      </c>
      <c r="K380" t="s">
        <v>12355</v>
      </c>
    </row>
    <row r="381" spans="1:11" ht="201.6" x14ac:dyDescent="0.3">
      <c r="A381" s="4" t="s">
        <v>3929</v>
      </c>
      <c r="B381">
        <v>3</v>
      </c>
      <c r="C381">
        <v>2024</v>
      </c>
      <c r="D381" t="s">
        <v>704</v>
      </c>
      <c r="E381">
        <v>0</v>
      </c>
      <c r="F381" t="s">
        <v>12356</v>
      </c>
      <c r="G381" t="s">
        <v>12357</v>
      </c>
      <c r="H381" s="4" t="s">
        <v>12358</v>
      </c>
      <c r="I381" t="s">
        <v>71</v>
      </c>
      <c r="J381" t="s">
        <v>10782</v>
      </c>
      <c r="K381" t="s">
        <v>12359</v>
      </c>
    </row>
    <row r="382" spans="1:11" ht="244.8" x14ac:dyDescent="0.3">
      <c r="A382" s="4" t="s">
        <v>3930</v>
      </c>
      <c r="B382">
        <v>3</v>
      </c>
      <c r="C382">
        <v>2024</v>
      </c>
      <c r="D382" t="s">
        <v>147</v>
      </c>
      <c r="E382">
        <v>0</v>
      </c>
      <c r="F382" t="s">
        <v>12360</v>
      </c>
      <c r="G382" t="s">
        <v>12361</v>
      </c>
      <c r="H382" s="4" t="s">
        <v>12362</v>
      </c>
      <c r="I382" t="s">
        <v>71</v>
      </c>
      <c r="J382" t="s">
        <v>10782</v>
      </c>
      <c r="K382" t="s">
        <v>12363</v>
      </c>
    </row>
    <row r="383" spans="1:11" ht="201.6" x14ac:dyDescent="0.3">
      <c r="A383" s="4" t="s">
        <v>3931</v>
      </c>
      <c r="B383">
        <v>3</v>
      </c>
      <c r="C383">
        <v>2024</v>
      </c>
      <c r="D383" t="s">
        <v>12364</v>
      </c>
      <c r="E383">
        <v>1</v>
      </c>
      <c r="F383" t="s">
        <v>12365</v>
      </c>
      <c r="G383" t="s">
        <v>12366</v>
      </c>
      <c r="H383" s="4" t="s">
        <v>12367</v>
      </c>
      <c r="I383" t="s">
        <v>71</v>
      </c>
      <c r="J383" t="s">
        <v>10782</v>
      </c>
      <c r="K383" t="s">
        <v>12368</v>
      </c>
    </row>
    <row r="384" spans="1:11" ht="187.2" x14ac:dyDescent="0.3">
      <c r="A384" s="4" t="s">
        <v>3932</v>
      </c>
      <c r="B384">
        <v>3</v>
      </c>
      <c r="C384">
        <v>2024</v>
      </c>
      <c r="D384" t="s">
        <v>12369</v>
      </c>
      <c r="E384">
        <v>0</v>
      </c>
      <c r="F384" t="s">
        <v>12370</v>
      </c>
      <c r="G384" t="s">
        <v>12371</v>
      </c>
      <c r="H384" s="4" t="s">
        <v>12372</v>
      </c>
    </row>
    <row r="385" spans="1:11" ht="187.2" x14ac:dyDescent="0.3">
      <c r="A385" s="4" t="s">
        <v>3933</v>
      </c>
      <c r="B385">
        <v>3</v>
      </c>
      <c r="C385">
        <v>2024</v>
      </c>
      <c r="D385" t="s">
        <v>12373</v>
      </c>
      <c r="E385">
        <v>1</v>
      </c>
      <c r="F385" t="s">
        <v>12374</v>
      </c>
      <c r="G385" t="s">
        <v>12375</v>
      </c>
      <c r="H385" s="4" t="s">
        <v>12376</v>
      </c>
      <c r="I385" t="s">
        <v>71</v>
      </c>
      <c r="J385" t="s">
        <v>10782</v>
      </c>
      <c r="K385" t="s">
        <v>12377</v>
      </c>
    </row>
    <row r="386" spans="1:11" ht="187.2" x14ac:dyDescent="0.3">
      <c r="A386" s="4" t="s">
        <v>3176</v>
      </c>
      <c r="B386">
        <v>1</v>
      </c>
      <c r="C386">
        <v>2024</v>
      </c>
      <c r="D386" t="s">
        <v>12378</v>
      </c>
      <c r="E386">
        <v>0</v>
      </c>
      <c r="F386" t="s">
        <v>12379</v>
      </c>
      <c r="G386" t="s">
        <v>12380</v>
      </c>
      <c r="H386" s="4" t="s">
        <v>12381</v>
      </c>
      <c r="I386" t="s">
        <v>71</v>
      </c>
      <c r="J386" t="s">
        <v>10782</v>
      </c>
      <c r="K386" t="s">
        <v>12382</v>
      </c>
    </row>
    <row r="387" spans="1:11" ht="187.2" x14ac:dyDescent="0.3">
      <c r="A387" s="4" t="s">
        <v>2450</v>
      </c>
      <c r="B387">
        <v>2</v>
      </c>
      <c r="C387">
        <v>2024</v>
      </c>
      <c r="D387" t="s">
        <v>147</v>
      </c>
      <c r="E387">
        <v>2</v>
      </c>
      <c r="F387" t="s">
        <v>12383</v>
      </c>
      <c r="G387" t="s">
        <v>12384</v>
      </c>
      <c r="H387" s="4" t="s">
        <v>12385</v>
      </c>
      <c r="I387" t="s">
        <v>71</v>
      </c>
      <c r="J387" t="s">
        <v>10782</v>
      </c>
      <c r="K387" t="s">
        <v>12386</v>
      </c>
    </row>
    <row r="388" spans="1:11" ht="172.8" x14ac:dyDescent="0.3">
      <c r="A388" s="4" t="s">
        <v>3177</v>
      </c>
      <c r="B388">
        <v>1</v>
      </c>
      <c r="C388">
        <v>2024</v>
      </c>
      <c r="D388" t="s">
        <v>217</v>
      </c>
      <c r="E388">
        <v>3</v>
      </c>
      <c r="F388" t="s">
        <v>12387</v>
      </c>
      <c r="G388" t="s">
        <v>12388</v>
      </c>
      <c r="H388" s="4" t="s">
        <v>12389</v>
      </c>
      <c r="I388" t="s">
        <v>71</v>
      </c>
      <c r="J388" t="s">
        <v>10782</v>
      </c>
      <c r="K388" t="s">
        <v>12390</v>
      </c>
    </row>
    <row r="389" spans="1:11" ht="144" x14ac:dyDescent="0.3">
      <c r="A389" s="4" t="s">
        <v>3934</v>
      </c>
      <c r="B389">
        <v>3</v>
      </c>
      <c r="C389">
        <v>2024</v>
      </c>
      <c r="D389" t="s">
        <v>147</v>
      </c>
      <c r="E389">
        <v>1</v>
      </c>
      <c r="F389" t="s">
        <v>12391</v>
      </c>
      <c r="G389" t="s">
        <v>12392</v>
      </c>
      <c r="H389" s="4" t="s">
        <v>12393</v>
      </c>
    </row>
    <row r="390" spans="1:11" ht="158.4" x14ac:dyDescent="0.3">
      <c r="A390" s="4" t="s">
        <v>3178</v>
      </c>
      <c r="B390">
        <v>1</v>
      </c>
      <c r="C390">
        <v>2024</v>
      </c>
      <c r="D390" t="s">
        <v>704</v>
      </c>
      <c r="E390">
        <v>0</v>
      </c>
      <c r="F390" t="s">
        <v>12394</v>
      </c>
      <c r="G390" t="s">
        <v>12395</v>
      </c>
      <c r="H390" s="4" t="s">
        <v>12396</v>
      </c>
      <c r="I390" t="s">
        <v>71</v>
      </c>
      <c r="J390" t="s">
        <v>10782</v>
      </c>
      <c r="K390" t="s">
        <v>12397</v>
      </c>
    </row>
    <row r="391" spans="1:11" ht="144" x14ac:dyDescent="0.3">
      <c r="A391" s="4" t="s">
        <v>3935</v>
      </c>
      <c r="B391">
        <v>3</v>
      </c>
      <c r="C391">
        <v>2024</v>
      </c>
      <c r="D391" t="s">
        <v>12080</v>
      </c>
      <c r="E391">
        <v>0</v>
      </c>
      <c r="F391" t="s">
        <v>12398</v>
      </c>
      <c r="G391" t="s">
        <v>12399</v>
      </c>
      <c r="H391" s="4" t="s">
        <v>12400</v>
      </c>
      <c r="I391" t="s">
        <v>71</v>
      </c>
      <c r="J391" t="s">
        <v>10782</v>
      </c>
      <c r="K391" t="s">
        <v>12401</v>
      </c>
    </row>
    <row r="392" spans="1:11" ht="144" x14ac:dyDescent="0.3">
      <c r="A392" s="4" t="s">
        <v>3936</v>
      </c>
      <c r="B392">
        <v>3</v>
      </c>
      <c r="C392">
        <v>2024</v>
      </c>
      <c r="D392" t="s">
        <v>637</v>
      </c>
      <c r="E392">
        <v>0</v>
      </c>
      <c r="F392" t="s">
        <v>12402</v>
      </c>
      <c r="G392" t="s">
        <v>12403</v>
      </c>
      <c r="H392" s="4" t="s">
        <v>12404</v>
      </c>
    </row>
    <row r="393" spans="1:11" ht="57.6" x14ac:dyDescent="0.3">
      <c r="A393" s="4" t="s">
        <v>3937</v>
      </c>
      <c r="B393">
        <v>3</v>
      </c>
      <c r="C393">
        <v>2024</v>
      </c>
      <c r="D393" t="s">
        <v>11327</v>
      </c>
      <c r="E393">
        <v>0</v>
      </c>
      <c r="F393" t="s">
        <v>12405</v>
      </c>
      <c r="G393" t="s">
        <v>12406</v>
      </c>
      <c r="H393" s="4" t="s">
        <v>12407</v>
      </c>
    </row>
    <row r="394" spans="1:11" ht="230.4" x14ac:dyDescent="0.3">
      <c r="A394" s="4" t="s">
        <v>3938</v>
      </c>
      <c r="B394">
        <v>3</v>
      </c>
      <c r="C394">
        <v>2024</v>
      </c>
      <c r="D394" t="s">
        <v>11041</v>
      </c>
      <c r="E394">
        <v>1</v>
      </c>
      <c r="F394" t="s">
        <v>12408</v>
      </c>
      <c r="G394" t="s">
        <v>12409</v>
      </c>
      <c r="H394" s="4" t="s">
        <v>12410</v>
      </c>
      <c r="I394" t="s">
        <v>71</v>
      </c>
      <c r="J394" t="s">
        <v>10782</v>
      </c>
      <c r="K394" t="s">
        <v>12411</v>
      </c>
    </row>
    <row r="395" spans="1:11" ht="172.8" x14ac:dyDescent="0.3">
      <c r="A395" s="4" t="s">
        <v>3939</v>
      </c>
      <c r="B395">
        <v>3</v>
      </c>
      <c r="C395">
        <v>2024</v>
      </c>
      <c r="D395" t="s">
        <v>544</v>
      </c>
      <c r="E395">
        <v>0</v>
      </c>
      <c r="F395" t="s">
        <v>12412</v>
      </c>
      <c r="G395" t="s">
        <v>12413</v>
      </c>
      <c r="H395" s="4" t="s">
        <v>12414</v>
      </c>
      <c r="I395" t="s">
        <v>71</v>
      </c>
      <c r="J395" t="s">
        <v>10782</v>
      </c>
      <c r="K395" t="s">
        <v>12415</v>
      </c>
    </row>
    <row r="396" spans="1:11" ht="158.4" x14ac:dyDescent="0.3">
      <c r="A396" s="4" t="s">
        <v>3473</v>
      </c>
      <c r="B396">
        <v>2</v>
      </c>
      <c r="C396">
        <v>2024</v>
      </c>
      <c r="D396" t="s">
        <v>80</v>
      </c>
      <c r="E396">
        <v>0</v>
      </c>
      <c r="F396" t="s">
        <v>12416</v>
      </c>
      <c r="G396" t="s">
        <v>12417</v>
      </c>
      <c r="H396" s="4" t="s">
        <v>12418</v>
      </c>
      <c r="I396" t="s">
        <v>71</v>
      </c>
      <c r="J396" t="s">
        <v>10782</v>
      </c>
      <c r="K396" t="s">
        <v>12419</v>
      </c>
    </row>
    <row r="397" spans="1:11" ht="115.2" x14ac:dyDescent="0.3">
      <c r="A397" s="4" t="s">
        <v>3940</v>
      </c>
      <c r="B397">
        <v>3</v>
      </c>
      <c r="C397">
        <v>2024</v>
      </c>
      <c r="D397" t="s">
        <v>12318</v>
      </c>
      <c r="E397">
        <v>0</v>
      </c>
      <c r="F397" t="s">
        <v>12420</v>
      </c>
      <c r="G397" t="s">
        <v>12421</v>
      </c>
      <c r="H397" s="4" t="s">
        <v>12422</v>
      </c>
      <c r="I397" t="s">
        <v>71</v>
      </c>
      <c r="J397" t="s">
        <v>10782</v>
      </c>
      <c r="K397" t="s">
        <v>12423</v>
      </c>
    </row>
    <row r="398" spans="1:11" ht="201.6" x14ac:dyDescent="0.3">
      <c r="A398" s="4" t="s">
        <v>3941</v>
      </c>
      <c r="B398">
        <v>3</v>
      </c>
      <c r="C398">
        <v>2024</v>
      </c>
      <c r="D398" t="s">
        <v>799</v>
      </c>
      <c r="E398">
        <v>0</v>
      </c>
      <c r="F398" t="s">
        <v>12424</v>
      </c>
      <c r="G398" t="s">
        <v>12425</v>
      </c>
      <c r="H398" s="4" t="s">
        <v>12426</v>
      </c>
      <c r="I398" t="s">
        <v>71</v>
      </c>
      <c r="J398" t="s">
        <v>10782</v>
      </c>
      <c r="K398" t="s">
        <v>12427</v>
      </c>
    </row>
    <row r="399" spans="1:11" ht="259.2" x14ac:dyDescent="0.3">
      <c r="A399" s="4" t="s">
        <v>3942</v>
      </c>
      <c r="B399">
        <v>3</v>
      </c>
      <c r="C399">
        <v>2024</v>
      </c>
      <c r="D399" t="s">
        <v>817</v>
      </c>
      <c r="E399">
        <v>0</v>
      </c>
      <c r="F399" t="s">
        <v>12428</v>
      </c>
      <c r="G399" t="s">
        <v>12429</v>
      </c>
      <c r="H399" s="4" t="s">
        <v>12430</v>
      </c>
      <c r="I399" t="s">
        <v>71</v>
      </c>
      <c r="J399" t="s">
        <v>10782</v>
      </c>
      <c r="K399" t="s">
        <v>12431</v>
      </c>
    </row>
    <row r="400" spans="1:11" ht="158.4" x14ac:dyDescent="0.3">
      <c r="A400" s="4" t="s">
        <v>3943</v>
      </c>
      <c r="B400">
        <v>3</v>
      </c>
      <c r="C400">
        <v>2024</v>
      </c>
      <c r="D400" t="s">
        <v>12432</v>
      </c>
      <c r="E400">
        <v>0</v>
      </c>
      <c r="F400" t="s">
        <v>12433</v>
      </c>
      <c r="G400" t="s">
        <v>12434</v>
      </c>
      <c r="H400" s="4" t="s">
        <v>12435</v>
      </c>
      <c r="I400" t="s">
        <v>71</v>
      </c>
      <c r="J400" t="s">
        <v>10782</v>
      </c>
      <c r="K400" t="s">
        <v>12436</v>
      </c>
    </row>
    <row r="401" spans="1:11" ht="201.6" x14ac:dyDescent="0.3">
      <c r="A401" s="4" t="s">
        <v>3944</v>
      </c>
      <c r="B401">
        <v>3</v>
      </c>
      <c r="C401">
        <v>2024</v>
      </c>
      <c r="D401" t="s">
        <v>80</v>
      </c>
      <c r="E401">
        <v>1</v>
      </c>
      <c r="F401" t="s">
        <v>12437</v>
      </c>
      <c r="G401" t="s">
        <v>12438</v>
      </c>
      <c r="H401" s="4" t="s">
        <v>12439</v>
      </c>
      <c r="I401" t="s">
        <v>71</v>
      </c>
      <c r="J401" t="s">
        <v>10782</v>
      </c>
      <c r="K401" t="s">
        <v>12440</v>
      </c>
    </row>
    <row r="402" spans="1:11" ht="230.4" x14ac:dyDescent="0.3">
      <c r="A402" s="4" t="s">
        <v>3945</v>
      </c>
      <c r="B402">
        <v>3</v>
      </c>
      <c r="C402">
        <v>2024</v>
      </c>
      <c r="D402" t="s">
        <v>637</v>
      </c>
      <c r="E402">
        <v>1</v>
      </c>
      <c r="F402" t="s">
        <v>12441</v>
      </c>
      <c r="G402" t="s">
        <v>12442</v>
      </c>
      <c r="H402" s="4" t="s">
        <v>12443</v>
      </c>
      <c r="I402" t="s">
        <v>71</v>
      </c>
      <c r="J402" t="s">
        <v>10782</v>
      </c>
      <c r="K402" t="s">
        <v>12444</v>
      </c>
    </row>
    <row r="403" spans="1:11" ht="172.8" x14ac:dyDescent="0.3">
      <c r="A403" s="4" t="s">
        <v>3946</v>
      </c>
      <c r="B403">
        <v>3</v>
      </c>
      <c r="C403">
        <v>2024</v>
      </c>
      <c r="D403" t="s">
        <v>637</v>
      </c>
      <c r="E403">
        <v>1</v>
      </c>
      <c r="F403" t="s">
        <v>12445</v>
      </c>
      <c r="G403" t="s">
        <v>12446</v>
      </c>
      <c r="H403" s="4" t="s">
        <v>12447</v>
      </c>
      <c r="I403" t="s">
        <v>71</v>
      </c>
      <c r="J403" t="s">
        <v>10782</v>
      </c>
      <c r="K403" t="s">
        <v>12448</v>
      </c>
    </row>
    <row r="404" spans="1:11" ht="172.8" x14ac:dyDescent="0.3">
      <c r="A404" s="4" t="s">
        <v>3947</v>
      </c>
      <c r="B404">
        <v>3</v>
      </c>
      <c r="C404">
        <v>2024</v>
      </c>
      <c r="D404" t="s">
        <v>2585</v>
      </c>
      <c r="E404">
        <v>0</v>
      </c>
      <c r="F404" t="s">
        <v>12449</v>
      </c>
      <c r="G404" t="s">
        <v>12450</v>
      </c>
      <c r="H404" s="4" t="s">
        <v>12451</v>
      </c>
      <c r="I404" t="s">
        <v>71</v>
      </c>
      <c r="J404" t="s">
        <v>10782</v>
      </c>
      <c r="K404" t="s">
        <v>12452</v>
      </c>
    </row>
    <row r="405" spans="1:11" ht="144" x14ac:dyDescent="0.3">
      <c r="A405" s="4" t="s">
        <v>3948</v>
      </c>
      <c r="B405">
        <v>3</v>
      </c>
      <c r="C405">
        <v>2024</v>
      </c>
      <c r="D405" t="s">
        <v>12453</v>
      </c>
      <c r="E405">
        <v>1</v>
      </c>
      <c r="F405" t="s">
        <v>12454</v>
      </c>
      <c r="G405" t="s">
        <v>12455</v>
      </c>
      <c r="H405" s="4" t="s">
        <v>12456</v>
      </c>
      <c r="I405" t="s">
        <v>71</v>
      </c>
      <c r="J405" t="s">
        <v>10782</v>
      </c>
      <c r="K405" t="s">
        <v>12457</v>
      </c>
    </row>
    <row r="406" spans="1:11" ht="172.8" x14ac:dyDescent="0.3">
      <c r="A406" s="4" t="s">
        <v>2451</v>
      </c>
      <c r="B406">
        <v>2</v>
      </c>
      <c r="C406">
        <v>2024</v>
      </c>
      <c r="D406" t="s">
        <v>147</v>
      </c>
      <c r="E406">
        <v>1</v>
      </c>
      <c r="F406" t="s">
        <v>12458</v>
      </c>
      <c r="G406" t="s">
        <v>12459</v>
      </c>
      <c r="H406" s="4" t="s">
        <v>12460</v>
      </c>
      <c r="I406" t="s">
        <v>71</v>
      </c>
      <c r="J406" t="s">
        <v>10782</v>
      </c>
      <c r="K406" t="s">
        <v>12461</v>
      </c>
    </row>
    <row r="407" spans="1:11" ht="216" x14ac:dyDescent="0.3">
      <c r="A407" s="4" t="s">
        <v>3949</v>
      </c>
      <c r="B407">
        <v>3</v>
      </c>
      <c r="C407">
        <v>2024</v>
      </c>
      <c r="D407" t="s">
        <v>363</v>
      </c>
      <c r="E407">
        <v>1</v>
      </c>
      <c r="F407" t="s">
        <v>12462</v>
      </c>
      <c r="G407" t="s">
        <v>12463</v>
      </c>
      <c r="H407" s="4" t="s">
        <v>12464</v>
      </c>
      <c r="I407" t="s">
        <v>71</v>
      </c>
      <c r="J407" t="s">
        <v>10782</v>
      </c>
      <c r="K407" t="s">
        <v>12465</v>
      </c>
    </row>
    <row r="408" spans="1:11" ht="100.8" x14ac:dyDescent="0.3">
      <c r="A408" s="4" t="s">
        <v>3950</v>
      </c>
      <c r="B408">
        <v>3</v>
      </c>
      <c r="C408">
        <v>2024</v>
      </c>
      <c r="D408" t="s">
        <v>12466</v>
      </c>
      <c r="E408">
        <v>29</v>
      </c>
      <c r="F408" t="s">
        <v>12467</v>
      </c>
      <c r="G408" t="s">
        <v>12468</v>
      </c>
      <c r="H408" s="4" t="s">
        <v>12469</v>
      </c>
    </row>
    <row r="409" spans="1:11" ht="158.4" x14ac:dyDescent="0.3">
      <c r="A409" s="4" t="s">
        <v>389</v>
      </c>
      <c r="B409">
        <v>1</v>
      </c>
      <c r="C409">
        <v>2024</v>
      </c>
      <c r="D409" t="s">
        <v>147</v>
      </c>
      <c r="E409">
        <v>4</v>
      </c>
      <c r="F409" t="s">
        <v>12470</v>
      </c>
      <c r="G409" t="s">
        <v>12471</v>
      </c>
      <c r="H409" s="4" t="s">
        <v>12472</v>
      </c>
      <c r="I409" t="s">
        <v>71</v>
      </c>
      <c r="J409" t="s">
        <v>10782</v>
      </c>
      <c r="K409" t="s">
        <v>12473</v>
      </c>
    </row>
    <row r="410" spans="1:11" ht="201.6" x14ac:dyDescent="0.3">
      <c r="A410" s="4" t="s">
        <v>3951</v>
      </c>
      <c r="B410">
        <v>3</v>
      </c>
      <c r="C410">
        <v>2024</v>
      </c>
      <c r="D410" t="s">
        <v>234</v>
      </c>
      <c r="E410">
        <v>1</v>
      </c>
      <c r="F410" t="s">
        <v>12474</v>
      </c>
      <c r="G410" t="s">
        <v>12475</v>
      </c>
      <c r="H410" s="4" t="s">
        <v>12476</v>
      </c>
      <c r="I410" t="s">
        <v>71</v>
      </c>
      <c r="J410" t="s">
        <v>10782</v>
      </c>
      <c r="K410" t="s">
        <v>12477</v>
      </c>
    </row>
    <row r="411" spans="1:11" ht="172.8" x14ac:dyDescent="0.3">
      <c r="A411" s="4" t="s">
        <v>3179</v>
      </c>
      <c r="B411">
        <v>1</v>
      </c>
      <c r="C411">
        <v>2024</v>
      </c>
      <c r="D411" t="s">
        <v>811</v>
      </c>
      <c r="E411">
        <v>16</v>
      </c>
      <c r="F411" t="s">
        <v>12478</v>
      </c>
      <c r="G411" t="s">
        <v>12479</v>
      </c>
      <c r="H411" s="4" t="s">
        <v>12480</v>
      </c>
      <c r="I411" t="s">
        <v>71</v>
      </c>
      <c r="J411" t="s">
        <v>10782</v>
      </c>
      <c r="K411" t="s">
        <v>12481</v>
      </c>
    </row>
    <row r="412" spans="1:11" ht="86.4" x14ac:dyDescent="0.3">
      <c r="A412" s="4" t="s">
        <v>3952</v>
      </c>
      <c r="B412">
        <v>3</v>
      </c>
      <c r="C412">
        <v>2024</v>
      </c>
      <c r="D412" t="s">
        <v>88</v>
      </c>
      <c r="E412">
        <v>0</v>
      </c>
      <c r="F412" t="s">
        <v>12482</v>
      </c>
      <c r="G412" t="s">
        <v>12483</v>
      </c>
      <c r="H412" s="4" t="s">
        <v>12484</v>
      </c>
      <c r="I412" t="s">
        <v>10945</v>
      </c>
      <c r="J412" t="s">
        <v>10782</v>
      </c>
      <c r="K412" t="s">
        <v>12485</v>
      </c>
    </row>
    <row r="413" spans="1:11" ht="129.6" x14ac:dyDescent="0.3">
      <c r="A413" s="4" t="s">
        <v>3953</v>
      </c>
      <c r="B413">
        <v>3</v>
      </c>
      <c r="C413">
        <v>2024</v>
      </c>
      <c r="D413" t="s">
        <v>12486</v>
      </c>
      <c r="E413">
        <v>0</v>
      </c>
      <c r="F413" t="s">
        <v>12487</v>
      </c>
      <c r="G413" t="s">
        <v>12488</v>
      </c>
      <c r="H413" s="4" t="s">
        <v>12489</v>
      </c>
      <c r="I413" t="s">
        <v>71</v>
      </c>
      <c r="J413" t="s">
        <v>10782</v>
      </c>
      <c r="K413" t="s">
        <v>12490</v>
      </c>
    </row>
    <row r="414" spans="1:11" ht="187.2" x14ac:dyDescent="0.3">
      <c r="A414" s="4" t="s">
        <v>3954</v>
      </c>
      <c r="B414">
        <v>3</v>
      </c>
      <c r="C414">
        <v>2024</v>
      </c>
      <c r="D414" t="s">
        <v>12491</v>
      </c>
      <c r="E414">
        <v>1</v>
      </c>
      <c r="F414" t="s">
        <v>12492</v>
      </c>
      <c r="G414" t="s">
        <v>12493</v>
      </c>
      <c r="H414" s="4" t="s">
        <v>12494</v>
      </c>
      <c r="I414" t="s">
        <v>71</v>
      </c>
      <c r="J414" t="s">
        <v>10782</v>
      </c>
      <c r="K414" t="s">
        <v>12495</v>
      </c>
    </row>
    <row r="415" spans="1:11" ht="187.2" x14ac:dyDescent="0.3">
      <c r="A415" s="4" t="s">
        <v>3955</v>
      </c>
      <c r="B415">
        <v>3</v>
      </c>
      <c r="C415">
        <v>2024</v>
      </c>
      <c r="D415" t="s">
        <v>380</v>
      </c>
      <c r="E415">
        <v>0</v>
      </c>
      <c r="F415" t="s">
        <v>12496</v>
      </c>
      <c r="G415" t="s">
        <v>12497</v>
      </c>
      <c r="H415" s="4" t="s">
        <v>12498</v>
      </c>
      <c r="I415" t="s">
        <v>71</v>
      </c>
      <c r="J415" t="s">
        <v>10782</v>
      </c>
      <c r="K415" t="s">
        <v>12499</v>
      </c>
    </row>
    <row r="416" spans="1:11" ht="100.8" x14ac:dyDescent="0.3">
      <c r="A416" s="4" t="s">
        <v>3956</v>
      </c>
      <c r="B416">
        <v>3</v>
      </c>
      <c r="C416">
        <v>2024</v>
      </c>
      <c r="D416" t="s">
        <v>1770</v>
      </c>
      <c r="E416">
        <v>1</v>
      </c>
      <c r="F416" t="s">
        <v>12500</v>
      </c>
      <c r="G416" t="s">
        <v>12501</v>
      </c>
      <c r="H416" s="4" t="s">
        <v>12502</v>
      </c>
    </row>
    <row r="417" spans="1:11" ht="201.6" x14ac:dyDescent="0.3">
      <c r="A417" s="4" t="s">
        <v>397</v>
      </c>
      <c r="B417">
        <v>1</v>
      </c>
      <c r="C417">
        <v>2024</v>
      </c>
      <c r="D417" t="s">
        <v>398</v>
      </c>
      <c r="E417">
        <v>0</v>
      </c>
      <c r="F417" t="s">
        <v>12503</v>
      </c>
      <c r="G417" t="s">
        <v>12504</v>
      </c>
      <c r="H417" s="4" t="s">
        <v>12505</v>
      </c>
      <c r="I417" t="s">
        <v>71</v>
      </c>
      <c r="J417" t="s">
        <v>10782</v>
      </c>
      <c r="K417" t="s">
        <v>12506</v>
      </c>
    </row>
    <row r="418" spans="1:11" ht="158.4" x14ac:dyDescent="0.3">
      <c r="A418" s="4" t="s">
        <v>3957</v>
      </c>
      <c r="B418">
        <v>3</v>
      </c>
      <c r="C418">
        <v>2024</v>
      </c>
      <c r="D418" t="s">
        <v>217</v>
      </c>
      <c r="E418">
        <v>1</v>
      </c>
      <c r="F418" t="s">
        <v>12507</v>
      </c>
      <c r="G418" t="s">
        <v>12508</v>
      </c>
      <c r="H418" s="4" t="s">
        <v>12509</v>
      </c>
      <c r="I418" t="s">
        <v>71</v>
      </c>
      <c r="J418" t="s">
        <v>10782</v>
      </c>
      <c r="K418" t="s">
        <v>12510</v>
      </c>
    </row>
    <row r="419" spans="1:11" ht="158.4" x14ac:dyDescent="0.3">
      <c r="A419" s="4" t="s">
        <v>3180</v>
      </c>
      <c r="B419">
        <v>1</v>
      </c>
      <c r="C419">
        <v>2024</v>
      </c>
      <c r="D419" t="s">
        <v>550</v>
      </c>
      <c r="E419">
        <v>2</v>
      </c>
      <c r="F419" t="s">
        <v>12511</v>
      </c>
      <c r="G419" t="s">
        <v>12512</v>
      </c>
      <c r="H419" s="4" t="s">
        <v>12513</v>
      </c>
      <c r="I419" t="s">
        <v>71</v>
      </c>
      <c r="J419" t="s">
        <v>10782</v>
      </c>
      <c r="K419" t="s">
        <v>12514</v>
      </c>
    </row>
    <row r="420" spans="1:11" ht="144" x14ac:dyDescent="0.3">
      <c r="A420" s="4" t="s">
        <v>3958</v>
      </c>
      <c r="B420">
        <v>3</v>
      </c>
      <c r="C420">
        <v>2024</v>
      </c>
      <c r="D420" t="s">
        <v>227</v>
      </c>
      <c r="E420">
        <v>0</v>
      </c>
      <c r="F420" t="s">
        <v>12515</v>
      </c>
      <c r="G420" t="s">
        <v>12516</v>
      </c>
      <c r="H420" s="4" t="s">
        <v>12517</v>
      </c>
      <c r="I420" t="s">
        <v>71</v>
      </c>
      <c r="J420" t="s">
        <v>10782</v>
      </c>
      <c r="K420" t="s">
        <v>12518</v>
      </c>
    </row>
    <row r="421" spans="1:11" ht="201.6" x14ac:dyDescent="0.3">
      <c r="A421" s="4" t="s">
        <v>3959</v>
      </c>
      <c r="B421">
        <v>3</v>
      </c>
      <c r="C421">
        <v>2024</v>
      </c>
      <c r="D421" t="s">
        <v>1770</v>
      </c>
      <c r="E421">
        <v>0</v>
      </c>
      <c r="F421" t="s">
        <v>12519</v>
      </c>
      <c r="G421" t="s">
        <v>12520</v>
      </c>
      <c r="H421" s="4" t="s">
        <v>12521</v>
      </c>
      <c r="I421" t="s">
        <v>71</v>
      </c>
      <c r="J421" t="s">
        <v>10782</v>
      </c>
      <c r="K421" t="s">
        <v>12522</v>
      </c>
    </row>
    <row r="422" spans="1:11" ht="187.2" x14ac:dyDescent="0.3">
      <c r="A422" s="4" t="s">
        <v>3960</v>
      </c>
      <c r="B422">
        <v>3</v>
      </c>
      <c r="C422">
        <v>2024</v>
      </c>
      <c r="D422" t="s">
        <v>12523</v>
      </c>
      <c r="E422">
        <v>0</v>
      </c>
      <c r="F422" t="s">
        <v>12524</v>
      </c>
      <c r="G422" t="s">
        <v>12525</v>
      </c>
      <c r="H422" s="4" t="s">
        <v>12526</v>
      </c>
      <c r="I422" t="s">
        <v>71</v>
      </c>
      <c r="J422" t="s">
        <v>10782</v>
      </c>
      <c r="K422" t="s">
        <v>12527</v>
      </c>
    </row>
    <row r="423" spans="1:11" ht="158.4" x14ac:dyDescent="0.3">
      <c r="A423" s="4" t="s">
        <v>3181</v>
      </c>
      <c r="B423">
        <v>1</v>
      </c>
      <c r="C423">
        <v>2024</v>
      </c>
      <c r="D423" t="s">
        <v>405</v>
      </c>
      <c r="E423">
        <v>1</v>
      </c>
      <c r="F423" t="s">
        <v>12528</v>
      </c>
      <c r="G423" t="s">
        <v>12529</v>
      </c>
      <c r="H423" s="4" t="s">
        <v>12530</v>
      </c>
      <c r="I423" t="s">
        <v>71</v>
      </c>
      <c r="J423" t="s">
        <v>10782</v>
      </c>
      <c r="K423" t="s">
        <v>12531</v>
      </c>
    </row>
    <row r="424" spans="1:11" ht="273.60000000000002" x14ac:dyDescent="0.3">
      <c r="A424" s="4" t="s">
        <v>3474</v>
      </c>
      <c r="B424">
        <v>2</v>
      </c>
      <c r="C424">
        <v>2024</v>
      </c>
      <c r="D424" t="s">
        <v>2893</v>
      </c>
      <c r="E424">
        <v>0</v>
      </c>
      <c r="F424" t="s">
        <v>12532</v>
      </c>
      <c r="G424" t="s">
        <v>12533</v>
      </c>
      <c r="H424" s="4" t="s">
        <v>12534</v>
      </c>
      <c r="I424" t="s">
        <v>71</v>
      </c>
      <c r="J424" t="s">
        <v>10782</v>
      </c>
      <c r="K424" t="s">
        <v>12535</v>
      </c>
    </row>
    <row r="425" spans="1:11" ht="201.6" x14ac:dyDescent="0.3">
      <c r="A425" s="4" t="s">
        <v>3961</v>
      </c>
      <c r="B425">
        <v>3</v>
      </c>
      <c r="C425">
        <v>2024</v>
      </c>
      <c r="D425" t="s">
        <v>1802</v>
      </c>
      <c r="E425">
        <v>1</v>
      </c>
      <c r="F425" t="s">
        <v>12536</v>
      </c>
      <c r="G425" t="s">
        <v>12537</v>
      </c>
      <c r="H425" s="4" t="s">
        <v>12538</v>
      </c>
      <c r="I425" t="s">
        <v>71</v>
      </c>
      <c r="J425" t="s">
        <v>10782</v>
      </c>
      <c r="K425" t="s">
        <v>12539</v>
      </c>
    </row>
    <row r="426" spans="1:11" ht="144" x14ac:dyDescent="0.3">
      <c r="A426" s="4" t="s">
        <v>3962</v>
      </c>
      <c r="B426">
        <v>3</v>
      </c>
      <c r="C426">
        <v>2024</v>
      </c>
      <c r="D426" t="s">
        <v>11164</v>
      </c>
      <c r="E426">
        <v>0</v>
      </c>
      <c r="F426" t="s">
        <v>12540</v>
      </c>
      <c r="G426" t="s">
        <v>12541</v>
      </c>
      <c r="H426" s="4" t="s">
        <v>12542</v>
      </c>
      <c r="I426" t="s">
        <v>71</v>
      </c>
      <c r="J426" t="s">
        <v>10782</v>
      </c>
      <c r="K426" t="s">
        <v>12543</v>
      </c>
    </row>
    <row r="427" spans="1:11" ht="187.2" x14ac:dyDescent="0.3">
      <c r="A427" s="4" t="s">
        <v>3963</v>
      </c>
      <c r="B427">
        <v>3</v>
      </c>
      <c r="C427">
        <v>2024</v>
      </c>
      <c r="D427" t="s">
        <v>217</v>
      </c>
      <c r="E427">
        <v>2</v>
      </c>
      <c r="F427" t="s">
        <v>12544</v>
      </c>
      <c r="G427" t="s">
        <v>12545</v>
      </c>
      <c r="H427" s="4" t="s">
        <v>12546</v>
      </c>
      <c r="I427" t="s">
        <v>71</v>
      </c>
      <c r="J427" t="s">
        <v>10782</v>
      </c>
      <c r="K427" t="s">
        <v>12547</v>
      </c>
    </row>
    <row r="428" spans="1:11" ht="187.2" x14ac:dyDescent="0.3">
      <c r="A428" s="4" t="s">
        <v>3475</v>
      </c>
      <c r="B428">
        <v>2</v>
      </c>
      <c r="C428">
        <v>2024</v>
      </c>
      <c r="D428" t="s">
        <v>2361</v>
      </c>
      <c r="E428">
        <v>3</v>
      </c>
      <c r="F428" t="s">
        <v>12548</v>
      </c>
      <c r="G428" t="s">
        <v>12549</v>
      </c>
      <c r="H428" s="4" t="s">
        <v>12550</v>
      </c>
      <c r="I428" t="s">
        <v>71</v>
      </c>
      <c r="J428" t="s">
        <v>10782</v>
      </c>
      <c r="K428" t="s">
        <v>12551</v>
      </c>
    </row>
    <row r="429" spans="1:11" ht="201.6" x14ac:dyDescent="0.3">
      <c r="A429" s="4" t="s">
        <v>3964</v>
      </c>
      <c r="B429">
        <v>3</v>
      </c>
      <c r="C429">
        <v>2024</v>
      </c>
      <c r="D429" t="s">
        <v>528</v>
      </c>
      <c r="E429">
        <v>0</v>
      </c>
      <c r="F429" t="s">
        <v>12552</v>
      </c>
      <c r="G429" t="s">
        <v>12553</v>
      </c>
      <c r="H429" s="4" t="s">
        <v>12554</v>
      </c>
      <c r="I429" t="s">
        <v>71</v>
      </c>
      <c r="J429" t="s">
        <v>10782</v>
      </c>
      <c r="K429" t="s">
        <v>12555</v>
      </c>
    </row>
    <row r="430" spans="1:11" ht="187.2" x14ac:dyDescent="0.3">
      <c r="A430" s="4" t="s">
        <v>3965</v>
      </c>
      <c r="B430">
        <v>3</v>
      </c>
      <c r="C430">
        <v>2024</v>
      </c>
      <c r="D430" t="s">
        <v>1770</v>
      </c>
      <c r="E430">
        <v>2</v>
      </c>
      <c r="F430" t="s">
        <v>12556</v>
      </c>
      <c r="G430" t="s">
        <v>12557</v>
      </c>
      <c r="H430" s="4" t="s">
        <v>12558</v>
      </c>
      <c r="I430" t="s">
        <v>71</v>
      </c>
      <c r="J430" t="s">
        <v>10782</v>
      </c>
      <c r="K430" t="s">
        <v>12559</v>
      </c>
    </row>
    <row r="431" spans="1:11" ht="216" x14ac:dyDescent="0.3">
      <c r="A431" s="4" t="s">
        <v>3966</v>
      </c>
      <c r="B431">
        <v>3</v>
      </c>
      <c r="C431">
        <v>2024</v>
      </c>
      <c r="D431" t="s">
        <v>318</v>
      </c>
      <c r="E431">
        <v>4</v>
      </c>
      <c r="F431" t="s">
        <v>12560</v>
      </c>
      <c r="G431" t="s">
        <v>12561</v>
      </c>
      <c r="H431" s="4" t="s">
        <v>12562</v>
      </c>
      <c r="I431" t="s">
        <v>71</v>
      </c>
      <c r="J431" t="s">
        <v>10782</v>
      </c>
      <c r="K431" t="s">
        <v>12563</v>
      </c>
    </row>
    <row r="432" spans="1:11" ht="172.8" x14ac:dyDescent="0.3">
      <c r="A432" s="4" t="s">
        <v>3967</v>
      </c>
      <c r="B432">
        <v>3</v>
      </c>
      <c r="C432">
        <v>2024</v>
      </c>
      <c r="D432" t="s">
        <v>80</v>
      </c>
      <c r="E432">
        <v>0</v>
      </c>
      <c r="F432" t="s">
        <v>12564</v>
      </c>
      <c r="G432" t="s">
        <v>12565</v>
      </c>
      <c r="H432" s="4" t="s">
        <v>12566</v>
      </c>
      <c r="I432" t="s">
        <v>71</v>
      </c>
      <c r="J432" t="s">
        <v>10782</v>
      </c>
      <c r="K432" t="s">
        <v>12567</v>
      </c>
    </row>
    <row r="433" spans="1:11" ht="144" x14ac:dyDescent="0.3">
      <c r="A433" s="4" t="s">
        <v>3968</v>
      </c>
      <c r="B433">
        <v>3</v>
      </c>
      <c r="C433">
        <v>2024</v>
      </c>
      <c r="D433" t="s">
        <v>2384</v>
      </c>
      <c r="E433">
        <v>1</v>
      </c>
      <c r="F433" t="s">
        <v>12568</v>
      </c>
      <c r="G433" t="s">
        <v>12569</v>
      </c>
      <c r="H433" s="4" t="s">
        <v>12570</v>
      </c>
      <c r="I433" t="s">
        <v>71</v>
      </c>
      <c r="J433" t="s">
        <v>10782</v>
      </c>
      <c r="K433" t="s">
        <v>12571</v>
      </c>
    </row>
    <row r="434" spans="1:11" ht="187.2" x14ac:dyDescent="0.3">
      <c r="A434" s="4" t="s">
        <v>3969</v>
      </c>
      <c r="B434">
        <v>3</v>
      </c>
      <c r="C434">
        <v>2024</v>
      </c>
      <c r="D434" t="s">
        <v>11159</v>
      </c>
      <c r="E434">
        <v>0</v>
      </c>
      <c r="F434" t="s">
        <v>12572</v>
      </c>
      <c r="G434" t="s">
        <v>12573</v>
      </c>
      <c r="H434" s="4" t="s">
        <v>12574</v>
      </c>
      <c r="I434" t="s">
        <v>71</v>
      </c>
      <c r="J434" t="s">
        <v>10782</v>
      </c>
      <c r="K434" t="s">
        <v>12575</v>
      </c>
    </row>
    <row r="435" spans="1:11" ht="187.2" x14ac:dyDescent="0.3">
      <c r="A435" s="4" t="s">
        <v>3970</v>
      </c>
      <c r="B435">
        <v>3</v>
      </c>
      <c r="C435">
        <v>2024</v>
      </c>
      <c r="D435" t="s">
        <v>1770</v>
      </c>
      <c r="E435">
        <v>1</v>
      </c>
      <c r="F435" t="s">
        <v>12576</v>
      </c>
      <c r="G435" t="s">
        <v>12577</v>
      </c>
      <c r="H435" s="4" t="s">
        <v>12578</v>
      </c>
      <c r="I435" t="s">
        <v>71</v>
      </c>
      <c r="J435" t="s">
        <v>10782</v>
      </c>
      <c r="K435" t="s">
        <v>12579</v>
      </c>
    </row>
    <row r="436" spans="1:11" ht="144" x14ac:dyDescent="0.3">
      <c r="A436" s="4" t="s">
        <v>3971</v>
      </c>
      <c r="B436">
        <v>3</v>
      </c>
      <c r="C436">
        <v>2024</v>
      </c>
      <c r="D436" t="s">
        <v>12580</v>
      </c>
      <c r="E436">
        <v>0</v>
      </c>
      <c r="F436" t="s">
        <v>12581</v>
      </c>
      <c r="G436" t="s">
        <v>12582</v>
      </c>
      <c r="H436" s="4" t="s">
        <v>12583</v>
      </c>
      <c r="I436" t="s">
        <v>71</v>
      </c>
      <c r="J436" t="s">
        <v>10782</v>
      </c>
      <c r="K436" t="s">
        <v>12584</v>
      </c>
    </row>
    <row r="437" spans="1:11" ht="172.8" x14ac:dyDescent="0.3">
      <c r="A437" s="4" t="s">
        <v>3972</v>
      </c>
      <c r="B437">
        <v>3</v>
      </c>
      <c r="C437">
        <v>2024</v>
      </c>
      <c r="D437" t="s">
        <v>217</v>
      </c>
      <c r="E437">
        <v>0</v>
      </c>
      <c r="F437" t="s">
        <v>12585</v>
      </c>
      <c r="G437" t="s">
        <v>12586</v>
      </c>
      <c r="H437" s="4" t="s">
        <v>12587</v>
      </c>
      <c r="I437" t="s">
        <v>71</v>
      </c>
      <c r="J437" t="s">
        <v>10782</v>
      </c>
      <c r="K437" t="s">
        <v>12588</v>
      </c>
    </row>
    <row r="438" spans="1:11" ht="201.6" x14ac:dyDescent="0.3">
      <c r="A438" s="4" t="s">
        <v>403</v>
      </c>
      <c r="B438">
        <v>1</v>
      </c>
      <c r="C438">
        <v>2024</v>
      </c>
      <c r="D438" t="s">
        <v>405</v>
      </c>
      <c r="E438">
        <v>1</v>
      </c>
      <c r="F438" t="s">
        <v>12589</v>
      </c>
      <c r="G438" t="s">
        <v>12590</v>
      </c>
      <c r="H438" s="4" t="s">
        <v>12591</v>
      </c>
      <c r="I438" t="s">
        <v>71</v>
      </c>
      <c r="J438" t="s">
        <v>10782</v>
      </c>
      <c r="K438" t="s">
        <v>12592</v>
      </c>
    </row>
    <row r="439" spans="1:11" ht="129.6" x14ac:dyDescent="0.3">
      <c r="A439" s="4" t="s">
        <v>3973</v>
      </c>
      <c r="B439">
        <v>3</v>
      </c>
      <c r="C439">
        <v>2024</v>
      </c>
      <c r="D439" t="s">
        <v>12593</v>
      </c>
      <c r="E439">
        <v>0</v>
      </c>
      <c r="F439" t="s">
        <v>12594</v>
      </c>
      <c r="G439" t="s">
        <v>12595</v>
      </c>
      <c r="H439" s="4" t="s">
        <v>12596</v>
      </c>
    </row>
    <row r="440" spans="1:11" ht="158.4" x14ac:dyDescent="0.3">
      <c r="A440" s="4" t="s">
        <v>3974</v>
      </c>
      <c r="B440">
        <v>3</v>
      </c>
      <c r="C440">
        <v>2024</v>
      </c>
      <c r="D440" t="s">
        <v>637</v>
      </c>
      <c r="E440">
        <v>0</v>
      </c>
      <c r="F440" t="s">
        <v>12597</v>
      </c>
      <c r="G440" t="s">
        <v>12598</v>
      </c>
      <c r="H440" s="4" t="s">
        <v>12599</v>
      </c>
      <c r="I440" t="s">
        <v>71</v>
      </c>
      <c r="J440" t="s">
        <v>10782</v>
      </c>
      <c r="K440" t="s">
        <v>12600</v>
      </c>
    </row>
    <row r="441" spans="1:11" ht="288" x14ac:dyDescent="0.3">
      <c r="A441" s="4" t="s">
        <v>3476</v>
      </c>
      <c r="B441">
        <v>2</v>
      </c>
      <c r="C441">
        <v>2024</v>
      </c>
      <c r="D441" t="s">
        <v>11805</v>
      </c>
      <c r="E441">
        <v>0</v>
      </c>
      <c r="F441" t="s">
        <v>12601</v>
      </c>
      <c r="G441" t="s">
        <v>12602</v>
      </c>
      <c r="H441" s="4" t="s">
        <v>12603</v>
      </c>
      <c r="I441" t="s">
        <v>71</v>
      </c>
      <c r="J441" t="s">
        <v>10782</v>
      </c>
      <c r="K441" t="s">
        <v>12604</v>
      </c>
    </row>
    <row r="442" spans="1:11" ht="187.2" x14ac:dyDescent="0.3">
      <c r="A442" s="4" t="s">
        <v>3182</v>
      </c>
      <c r="B442">
        <v>1</v>
      </c>
      <c r="C442">
        <v>2024</v>
      </c>
      <c r="D442" t="s">
        <v>637</v>
      </c>
      <c r="E442">
        <v>1</v>
      </c>
      <c r="F442" t="s">
        <v>12605</v>
      </c>
      <c r="G442" t="s">
        <v>12606</v>
      </c>
      <c r="H442" s="4" t="s">
        <v>12607</v>
      </c>
      <c r="I442" t="s">
        <v>71</v>
      </c>
      <c r="J442" t="s">
        <v>10782</v>
      </c>
      <c r="K442" t="s">
        <v>12608</v>
      </c>
    </row>
    <row r="443" spans="1:11" ht="129.6" x14ac:dyDescent="0.3">
      <c r="A443" s="4" t="s">
        <v>3975</v>
      </c>
      <c r="B443">
        <v>3</v>
      </c>
      <c r="C443">
        <v>2024</v>
      </c>
      <c r="D443" t="s">
        <v>80</v>
      </c>
      <c r="E443">
        <v>1</v>
      </c>
      <c r="F443" t="s">
        <v>12609</v>
      </c>
      <c r="G443" t="s">
        <v>12610</v>
      </c>
      <c r="H443" s="4" t="s">
        <v>12611</v>
      </c>
    </row>
    <row r="444" spans="1:11" ht="158.4" x14ac:dyDescent="0.3">
      <c r="A444" s="4" t="s">
        <v>3976</v>
      </c>
      <c r="B444">
        <v>3</v>
      </c>
      <c r="C444">
        <v>2024</v>
      </c>
      <c r="D444" t="s">
        <v>12612</v>
      </c>
      <c r="E444">
        <v>1</v>
      </c>
      <c r="F444" t="s">
        <v>12613</v>
      </c>
      <c r="G444" t="s">
        <v>12614</v>
      </c>
      <c r="H444" s="4" t="s">
        <v>12615</v>
      </c>
      <c r="I444" t="s">
        <v>71</v>
      </c>
      <c r="J444" t="s">
        <v>10782</v>
      </c>
      <c r="K444" t="s">
        <v>12616</v>
      </c>
    </row>
    <row r="445" spans="1:11" ht="43.2" x14ac:dyDescent="0.3">
      <c r="A445" s="4" t="s">
        <v>3977</v>
      </c>
      <c r="B445">
        <v>3</v>
      </c>
      <c r="C445">
        <v>2024</v>
      </c>
      <c r="D445" t="s">
        <v>11556</v>
      </c>
      <c r="E445">
        <v>6</v>
      </c>
      <c r="F445" t="s">
        <v>12617</v>
      </c>
      <c r="G445" t="s">
        <v>12618</v>
      </c>
      <c r="H445" s="4" t="s">
        <v>12619</v>
      </c>
    </row>
    <row r="446" spans="1:11" ht="100.8" x14ac:dyDescent="0.3">
      <c r="A446" s="4" t="s">
        <v>3978</v>
      </c>
      <c r="B446">
        <v>3</v>
      </c>
      <c r="C446">
        <v>2024</v>
      </c>
      <c r="D446" t="s">
        <v>432</v>
      </c>
      <c r="E446">
        <v>0</v>
      </c>
      <c r="F446" t="s">
        <v>12620</v>
      </c>
      <c r="G446" t="s">
        <v>12621</v>
      </c>
      <c r="H446" s="4" t="s">
        <v>12622</v>
      </c>
    </row>
    <row r="447" spans="1:11" ht="144" x14ac:dyDescent="0.3">
      <c r="A447" s="4" t="s">
        <v>412</v>
      </c>
      <c r="B447">
        <v>1</v>
      </c>
      <c r="C447">
        <v>2024</v>
      </c>
      <c r="D447" t="s">
        <v>398</v>
      </c>
      <c r="E447">
        <v>0</v>
      </c>
      <c r="F447" t="s">
        <v>12623</v>
      </c>
      <c r="G447" t="s">
        <v>12624</v>
      </c>
      <c r="H447" s="4" t="s">
        <v>12625</v>
      </c>
      <c r="I447" t="s">
        <v>71</v>
      </c>
      <c r="J447" t="s">
        <v>10782</v>
      </c>
      <c r="K447" t="s">
        <v>12626</v>
      </c>
    </row>
    <row r="448" spans="1:11" ht="345.6" x14ac:dyDescent="0.3">
      <c r="A448" s="4" t="s">
        <v>3979</v>
      </c>
      <c r="B448">
        <v>3</v>
      </c>
      <c r="C448">
        <v>2024</v>
      </c>
      <c r="D448" t="s">
        <v>2819</v>
      </c>
      <c r="E448">
        <v>0</v>
      </c>
      <c r="F448" t="s">
        <v>12627</v>
      </c>
      <c r="G448" t="s">
        <v>12628</v>
      </c>
      <c r="H448" s="4" t="s">
        <v>12629</v>
      </c>
      <c r="I448" t="s">
        <v>71</v>
      </c>
      <c r="J448" t="s">
        <v>10782</v>
      </c>
      <c r="K448" t="s">
        <v>12630</v>
      </c>
    </row>
    <row r="449" spans="1:11" ht="144" x14ac:dyDescent="0.3">
      <c r="A449" s="4" t="s">
        <v>420</v>
      </c>
      <c r="B449">
        <v>1</v>
      </c>
      <c r="C449">
        <v>2024</v>
      </c>
      <c r="D449" t="s">
        <v>329</v>
      </c>
      <c r="E449">
        <v>0</v>
      </c>
      <c r="F449" t="s">
        <v>12631</v>
      </c>
      <c r="G449" t="s">
        <v>12632</v>
      </c>
      <c r="H449" s="4" t="s">
        <v>12633</v>
      </c>
      <c r="I449" t="s">
        <v>71</v>
      </c>
      <c r="J449" t="s">
        <v>10782</v>
      </c>
      <c r="K449" t="s">
        <v>12634</v>
      </c>
    </row>
    <row r="450" spans="1:11" ht="158.4" x14ac:dyDescent="0.3">
      <c r="A450" s="4" t="s">
        <v>3477</v>
      </c>
      <c r="B450">
        <v>2</v>
      </c>
      <c r="C450">
        <v>2024</v>
      </c>
      <c r="D450" t="s">
        <v>2853</v>
      </c>
      <c r="E450">
        <v>0</v>
      </c>
      <c r="F450" t="s">
        <v>12635</v>
      </c>
      <c r="G450" t="s">
        <v>12636</v>
      </c>
      <c r="H450" s="4" t="s">
        <v>12637</v>
      </c>
    </row>
    <row r="451" spans="1:11" ht="216" x14ac:dyDescent="0.3">
      <c r="A451" s="4" t="s">
        <v>3183</v>
      </c>
      <c r="B451">
        <v>1</v>
      </c>
      <c r="C451">
        <v>2024</v>
      </c>
      <c r="D451" t="s">
        <v>217</v>
      </c>
      <c r="E451">
        <v>0</v>
      </c>
      <c r="F451" t="s">
        <v>12638</v>
      </c>
      <c r="G451" t="s">
        <v>12639</v>
      </c>
      <c r="H451" s="4" t="s">
        <v>12640</v>
      </c>
      <c r="I451" t="s">
        <v>71</v>
      </c>
      <c r="J451" t="s">
        <v>10782</v>
      </c>
      <c r="K451" t="s">
        <v>12641</v>
      </c>
    </row>
    <row r="452" spans="1:11" ht="172.8" x14ac:dyDescent="0.3">
      <c r="A452" s="4" t="s">
        <v>3980</v>
      </c>
      <c r="B452">
        <v>3</v>
      </c>
      <c r="C452">
        <v>2024</v>
      </c>
      <c r="D452" t="s">
        <v>12642</v>
      </c>
      <c r="E452">
        <v>2</v>
      </c>
      <c r="F452" t="s">
        <v>12643</v>
      </c>
      <c r="G452" t="s">
        <v>12644</v>
      </c>
      <c r="H452" s="4" t="s">
        <v>12645</v>
      </c>
      <c r="I452" t="s">
        <v>71</v>
      </c>
      <c r="J452" t="s">
        <v>10782</v>
      </c>
      <c r="K452" t="s">
        <v>12646</v>
      </c>
    </row>
    <row r="453" spans="1:11" ht="273.60000000000002" x14ac:dyDescent="0.3">
      <c r="A453" s="4" t="s">
        <v>3184</v>
      </c>
      <c r="B453">
        <v>1</v>
      </c>
      <c r="C453">
        <v>2024</v>
      </c>
      <c r="D453" t="s">
        <v>637</v>
      </c>
      <c r="E453">
        <v>0</v>
      </c>
      <c r="F453" t="s">
        <v>12647</v>
      </c>
      <c r="G453" t="s">
        <v>12648</v>
      </c>
      <c r="H453" s="4" t="s">
        <v>12649</v>
      </c>
      <c r="I453" t="s">
        <v>71</v>
      </c>
      <c r="J453" t="s">
        <v>10782</v>
      </c>
      <c r="K453" t="s">
        <v>12650</v>
      </c>
    </row>
    <row r="454" spans="1:11" ht="216" x14ac:dyDescent="0.3">
      <c r="A454" s="4" t="s">
        <v>3981</v>
      </c>
      <c r="B454">
        <v>3</v>
      </c>
      <c r="C454">
        <v>2024</v>
      </c>
      <c r="D454" t="s">
        <v>482</v>
      </c>
      <c r="E454">
        <v>2</v>
      </c>
      <c r="F454" t="s">
        <v>12651</v>
      </c>
      <c r="G454" t="s">
        <v>12652</v>
      </c>
      <c r="H454" s="4" t="s">
        <v>12653</v>
      </c>
      <c r="I454" t="s">
        <v>71</v>
      </c>
      <c r="J454" t="s">
        <v>10782</v>
      </c>
      <c r="K454" t="s">
        <v>12654</v>
      </c>
    </row>
    <row r="455" spans="1:11" ht="158.4" x14ac:dyDescent="0.3">
      <c r="A455" s="4" t="s">
        <v>3982</v>
      </c>
      <c r="B455">
        <v>3</v>
      </c>
      <c r="C455">
        <v>2024</v>
      </c>
      <c r="D455" t="s">
        <v>12655</v>
      </c>
      <c r="E455">
        <v>1</v>
      </c>
      <c r="F455" t="s">
        <v>12656</v>
      </c>
      <c r="G455" t="s">
        <v>12657</v>
      </c>
      <c r="H455" s="4" t="s">
        <v>12658</v>
      </c>
      <c r="I455" t="s">
        <v>71</v>
      </c>
      <c r="J455" t="s">
        <v>10782</v>
      </c>
      <c r="K455" t="s">
        <v>12659</v>
      </c>
    </row>
    <row r="456" spans="1:11" ht="201.6" x14ac:dyDescent="0.3">
      <c r="A456" s="4" t="s">
        <v>3983</v>
      </c>
      <c r="B456">
        <v>3</v>
      </c>
      <c r="C456">
        <v>2024</v>
      </c>
      <c r="D456" t="s">
        <v>10825</v>
      </c>
      <c r="E456">
        <v>0</v>
      </c>
      <c r="F456" t="s">
        <v>12660</v>
      </c>
      <c r="G456" t="s">
        <v>12661</v>
      </c>
      <c r="H456" s="4" t="s">
        <v>12662</v>
      </c>
      <c r="I456" t="s">
        <v>71</v>
      </c>
      <c r="J456" t="s">
        <v>10782</v>
      </c>
      <c r="K456" t="s">
        <v>12663</v>
      </c>
    </row>
    <row r="457" spans="1:11" ht="158.4" x14ac:dyDescent="0.3">
      <c r="A457" s="4" t="s">
        <v>3984</v>
      </c>
      <c r="B457">
        <v>3</v>
      </c>
      <c r="C457">
        <v>2024</v>
      </c>
      <c r="D457" t="s">
        <v>363</v>
      </c>
      <c r="E457">
        <v>2</v>
      </c>
      <c r="F457" t="s">
        <v>12664</v>
      </c>
      <c r="G457" t="s">
        <v>12665</v>
      </c>
      <c r="H457" s="4" t="s">
        <v>12666</v>
      </c>
      <c r="I457" t="s">
        <v>71</v>
      </c>
      <c r="J457" t="s">
        <v>10782</v>
      </c>
      <c r="K457" t="s">
        <v>12667</v>
      </c>
    </row>
    <row r="458" spans="1:11" ht="57.6" x14ac:dyDescent="0.3">
      <c r="A458" s="4" t="s">
        <v>3478</v>
      </c>
      <c r="B458">
        <v>2</v>
      </c>
      <c r="C458">
        <v>2024</v>
      </c>
      <c r="D458" t="s">
        <v>12668</v>
      </c>
      <c r="E458">
        <v>1</v>
      </c>
      <c r="F458" t="s">
        <v>12669</v>
      </c>
      <c r="G458" t="s">
        <v>12670</v>
      </c>
      <c r="H458" s="4" t="s">
        <v>12671</v>
      </c>
    </row>
    <row r="459" spans="1:11" ht="360" x14ac:dyDescent="0.3">
      <c r="A459" s="4" t="s">
        <v>3985</v>
      </c>
      <c r="B459">
        <v>3</v>
      </c>
      <c r="C459">
        <v>2024</v>
      </c>
      <c r="D459" t="s">
        <v>12672</v>
      </c>
      <c r="E459">
        <v>0</v>
      </c>
      <c r="F459" t="s">
        <v>12673</v>
      </c>
      <c r="G459" t="s">
        <v>12674</v>
      </c>
      <c r="H459" s="4" t="s">
        <v>12675</v>
      </c>
      <c r="I459" t="s">
        <v>10823</v>
      </c>
      <c r="J459" t="s">
        <v>10782</v>
      </c>
      <c r="K459" t="s">
        <v>12676</v>
      </c>
    </row>
    <row r="460" spans="1:11" ht="187.2" x14ac:dyDescent="0.3">
      <c r="A460" s="4" t="s">
        <v>3986</v>
      </c>
      <c r="B460">
        <v>3</v>
      </c>
      <c r="C460">
        <v>2024</v>
      </c>
      <c r="D460" t="s">
        <v>12677</v>
      </c>
      <c r="E460">
        <v>0</v>
      </c>
      <c r="F460" t="s">
        <v>12678</v>
      </c>
      <c r="G460" t="s">
        <v>12679</v>
      </c>
      <c r="H460" s="4" t="s">
        <v>12680</v>
      </c>
      <c r="I460" t="s">
        <v>71</v>
      </c>
      <c r="J460" t="s">
        <v>10782</v>
      </c>
      <c r="K460" t="s">
        <v>12681</v>
      </c>
    </row>
    <row r="461" spans="1:11" ht="172.8" x14ac:dyDescent="0.3">
      <c r="A461" s="4" t="s">
        <v>3987</v>
      </c>
      <c r="B461">
        <v>3</v>
      </c>
      <c r="C461">
        <v>2024</v>
      </c>
      <c r="D461" t="s">
        <v>12593</v>
      </c>
      <c r="E461">
        <v>0</v>
      </c>
      <c r="F461" t="s">
        <v>12682</v>
      </c>
      <c r="G461" t="s">
        <v>12683</v>
      </c>
      <c r="H461" s="4" t="s">
        <v>12684</v>
      </c>
      <c r="I461" t="s">
        <v>71</v>
      </c>
      <c r="J461" t="s">
        <v>10782</v>
      </c>
      <c r="K461" t="s">
        <v>12685</v>
      </c>
    </row>
    <row r="462" spans="1:11" ht="158.4" x14ac:dyDescent="0.3">
      <c r="A462" s="4" t="s">
        <v>3185</v>
      </c>
      <c r="B462">
        <v>1</v>
      </c>
      <c r="C462">
        <v>2024</v>
      </c>
      <c r="D462" t="s">
        <v>217</v>
      </c>
      <c r="E462">
        <v>1</v>
      </c>
      <c r="F462" t="s">
        <v>12686</v>
      </c>
      <c r="G462" t="s">
        <v>12687</v>
      </c>
      <c r="H462" s="4" t="s">
        <v>12688</v>
      </c>
      <c r="I462" t="s">
        <v>71</v>
      </c>
      <c r="J462" t="s">
        <v>10782</v>
      </c>
      <c r="K462" t="s">
        <v>12689</v>
      </c>
    </row>
    <row r="463" spans="1:11" ht="244.8" x14ac:dyDescent="0.3">
      <c r="A463" s="4" t="s">
        <v>3988</v>
      </c>
      <c r="B463">
        <v>3</v>
      </c>
      <c r="C463">
        <v>2024</v>
      </c>
      <c r="D463" t="s">
        <v>11041</v>
      </c>
      <c r="E463">
        <v>0</v>
      </c>
      <c r="F463" t="s">
        <v>12690</v>
      </c>
      <c r="G463" t="s">
        <v>12691</v>
      </c>
      <c r="H463" s="4" t="s">
        <v>12692</v>
      </c>
      <c r="I463" t="s">
        <v>71</v>
      </c>
      <c r="J463" t="s">
        <v>10782</v>
      </c>
      <c r="K463" t="s">
        <v>12693</v>
      </c>
    </row>
    <row r="464" spans="1:11" ht="129.6" x14ac:dyDescent="0.3">
      <c r="A464" s="4" t="s">
        <v>3989</v>
      </c>
      <c r="B464">
        <v>3</v>
      </c>
      <c r="C464">
        <v>2024</v>
      </c>
      <c r="D464" t="s">
        <v>80</v>
      </c>
      <c r="E464">
        <v>5</v>
      </c>
      <c r="F464" t="s">
        <v>12694</v>
      </c>
      <c r="G464" t="s">
        <v>12695</v>
      </c>
      <c r="H464" s="4" t="s">
        <v>12696</v>
      </c>
      <c r="I464" t="s">
        <v>71</v>
      </c>
      <c r="J464" t="s">
        <v>10782</v>
      </c>
      <c r="K464" t="s">
        <v>12697</v>
      </c>
    </row>
    <row r="465" spans="1:11" ht="43.2" x14ac:dyDescent="0.3">
      <c r="A465" s="4" t="s">
        <v>3990</v>
      </c>
      <c r="B465">
        <v>3</v>
      </c>
      <c r="C465">
        <v>2024</v>
      </c>
      <c r="D465" t="s">
        <v>398</v>
      </c>
      <c r="E465">
        <v>0</v>
      </c>
      <c r="F465" t="s">
        <v>12698</v>
      </c>
      <c r="G465" t="s">
        <v>12699</v>
      </c>
      <c r="H465" s="4" t="s">
        <v>12700</v>
      </c>
    </row>
    <row r="466" spans="1:11" ht="144" x14ac:dyDescent="0.3">
      <c r="A466" s="4" t="s">
        <v>3186</v>
      </c>
      <c r="B466">
        <v>1</v>
      </c>
      <c r="C466">
        <v>2024</v>
      </c>
      <c r="D466" t="s">
        <v>637</v>
      </c>
      <c r="E466">
        <v>3</v>
      </c>
      <c r="F466" t="s">
        <v>12701</v>
      </c>
      <c r="G466" t="s">
        <v>12702</v>
      </c>
      <c r="H466" s="4" t="s">
        <v>12703</v>
      </c>
      <c r="I466" t="s">
        <v>71</v>
      </c>
      <c r="J466" t="s">
        <v>10782</v>
      </c>
      <c r="K466" t="s">
        <v>12704</v>
      </c>
    </row>
    <row r="467" spans="1:11" ht="144" x14ac:dyDescent="0.3">
      <c r="A467" s="4" t="s">
        <v>3187</v>
      </c>
      <c r="B467">
        <v>1</v>
      </c>
      <c r="C467">
        <v>2024</v>
      </c>
      <c r="D467" t="s">
        <v>432</v>
      </c>
      <c r="E467">
        <v>1</v>
      </c>
      <c r="F467" t="s">
        <v>12705</v>
      </c>
      <c r="G467" t="s">
        <v>12706</v>
      </c>
      <c r="H467" s="4" t="s">
        <v>12707</v>
      </c>
      <c r="I467" t="s">
        <v>71</v>
      </c>
      <c r="J467" t="s">
        <v>10782</v>
      </c>
      <c r="K467" t="s">
        <v>12708</v>
      </c>
    </row>
    <row r="468" spans="1:11" ht="187.2" x14ac:dyDescent="0.3">
      <c r="A468" s="4" t="s">
        <v>3991</v>
      </c>
      <c r="B468">
        <v>3</v>
      </c>
      <c r="C468">
        <v>2024</v>
      </c>
      <c r="D468" t="s">
        <v>12024</v>
      </c>
      <c r="E468">
        <v>0</v>
      </c>
      <c r="F468" t="s">
        <v>12709</v>
      </c>
      <c r="G468" t="s">
        <v>12710</v>
      </c>
      <c r="H468" s="4" t="s">
        <v>12711</v>
      </c>
      <c r="I468" t="s">
        <v>71</v>
      </c>
      <c r="J468" t="s">
        <v>10782</v>
      </c>
      <c r="K468" t="s">
        <v>12712</v>
      </c>
    </row>
    <row r="469" spans="1:11" ht="158.4" x14ac:dyDescent="0.3">
      <c r="A469" s="4" t="s">
        <v>431</v>
      </c>
      <c r="B469">
        <v>1</v>
      </c>
      <c r="C469">
        <v>2024</v>
      </c>
      <c r="D469" t="s">
        <v>432</v>
      </c>
      <c r="E469">
        <v>0</v>
      </c>
      <c r="F469" t="s">
        <v>12713</v>
      </c>
      <c r="G469" t="s">
        <v>12714</v>
      </c>
      <c r="H469" s="4" t="s">
        <v>12715</v>
      </c>
      <c r="I469" t="s">
        <v>71</v>
      </c>
      <c r="J469" t="s">
        <v>10782</v>
      </c>
      <c r="K469" t="s">
        <v>12716</v>
      </c>
    </row>
    <row r="470" spans="1:11" ht="129.6" x14ac:dyDescent="0.3">
      <c r="A470" s="4" t="s">
        <v>3479</v>
      </c>
      <c r="B470">
        <v>2</v>
      </c>
      <c r="C470">
        <v>2024</v>
      </c>
      <c r="D470" t="s">
        <v>405</v>
      </c>
      <c r="E470">
        <v>1</v>
      </c>
      <c r="F470" t="s">
        <v>12717</v>
      </c>
      <c r="G470" t="s">
        <v>12718</v>
      </c>
      <c r="H470" s="4" t="s">
        <v>12719</v>
      </c>
      <c r="I470" t="s">
        <v>71</v>
      </c>
      <c r="J470" t="s">
        <v>10782</v>
      </c>
      <c r="K470" t="s">
        <v>12720</v>
      </c>
    </row>
    <row r="471" spans="1:11" ht="187.2" x14ac:dyDescent="0.3">
      <c r="A471" s="4" t="s">
        <v>3188</v>
      </c>
      <c r="B471">
        <v>1</v>
      </c>
      <c r="C471">
        <v>2024</v>
      </c>
      <c r="D471" t="s">
        <v>2416</v>
      </c>
      <c r="E471">
        <v>0</v>
      </c>
      <c r="F471" t="s">
        <v>12721</v>
      </c>
      <c r="G471" t="s">
        <v>12722</v>
      </c>
      <c r="H471" s="4" t="s">
        <v>12723</v>
      </c>
      <c r="I471" t="s">
        <v>71</v>
      </c>
      <c r="J471" t="s">
        <v>10782</v>
      </c>
      <c r="K471" t="s">
        <v>12724</v>
      </c>
    </row>
    <row r="472" spans="1:11" ht="201.6" x14ac:dyDescent="0.3">
      <c r="A472" s="4" t="s">
        <v>3480</v>
      </c>
      <c r="B472">
        <v>2</v>
      </c>
      <c r="C472">
        <v>2024</v>
      </c>
      <c r="D472" t="s">
        <v>10924</v>
      </c>
      <c r="E472">
        <v>0</v>
      </c>
      <c r="F472" t="s">
        <v>12725</v>
      </c>
      <c r="G472" t="s">
        <v>12726</v>
      </c>
      <c r="H472" s="4" t="s">
        <v>12727</v>
      </c>
      <c r="I472" t="s">
        <v>71</v>
      </c>
      <c r="J472" t="s">
        <v>10782</v>
      </c>
      <c r="K472" t="s">
        <v>12728</v>
      </c>
    </row>
    <row r="473" spans="1:11" ht="244.8" x14ac:dyDescent="0.3">
      <c r="A473" s="4" t="s">
        <v>3992</v>
      </c>
      <c r="B473">
        <v>3</v>
      </c>
      <c r="C473">
        <v>2024</v>
      </c>
      <c r="D473" t="s">
        <v>12729</v>
      </c>
      <c r="E473">
        <v>0</v>
      </c>
      <c r="F473" t="s">
        <v>12730</v>
      </c>
      <c r="G473" t="s">
        <v>12731</v>
      </c>
      <c r="H473" s="4" t="s">
        <v>12732</v>
      </c>
      <c r="I473" t="s">
        <v>71</v>
      </c>
      <c r="J473" t="s">
        <v>10782</v>
      </c>
      <c r="K473" t="s">
        <v>12733</v>
      </c>
    </row>
    <row r="474" spans="1:11" ht="244.8" x14ac:dyDescent="0.3">
      <c r="A474" s="4" t="s">
        <v>3993</v>
      </c>
      <c r="B474">
        <v>3</v>
      </c>
      <c r="C474">
        <v>2024</v>
      </c>
      <c r="D474" t="s">
        <v>234</v>
      </c>
      <c r="E474">
        <v>0</v>
      </c>
      <c r="F474" t="s">
        <v>12734</v>
      </c>
      <c r="G474" t="s">
        <v>12735</v>
      </c>
      <c r="H474" s="4" t="s">
        <v>12736</v>
      </c>
      <c r="I474" t="s">
        <v>71</v>
      </c>
      <c r="J474" t="s">
        <v>10782</v>
      </c>
      <c r="K474" t="s">
        <v>12737</v>
      </c>
    </row>
    <row r="475" spans="1:11" ht="86.4" x14ac:dyDescent="0.3">
      <c r="A475" s="4" t="s">
        <v>3994</v>
      </c>
      <c r="B475">
        <v>3</v>
      </c>
      <c r="C475">
        <v>2024</v>
      </c>
      <c r="D475" t="s">
        <v>217</v>
      </c>
      <c r="E475">
        <v>0</v>
      </c>
      <c r="F475" t="s">
        <v>12738</v>
      </c>
      <c r="G475" t="s">
        <v>12739</v>
      </c>
      <c r="H475" s="4" t="s">
        <v>12740</v>
      </c>
      <c r="I475" t="s">
        <v>71</v>
      </c>
      <c r="J475" t="s">
        <v>10782</v>
      </c>
      <c r="K475" t="s">
        <v>12741</v>
      </c>
    </row>
    <row r="476" spans="1:11" ht="230.4" x14ac:dyDescent="0.3">
      <c r="A476" s="4" t="s">
        <v>3995</v>
      </c>
      <c r="B476">
        <v>3</v>
      </c>
      <c r="C476">
        <v>2024</v>
      </c>
      <c r="D476" t="s">
        <v>1802</v>
      </c>
      <c r="E476">
        <v>1</v>
      </c>
      <c r="F476" t="s">
        <v>12742</v>
      </c>
      <c r="G476" t="s">
        <v>12743</v>
      </c>
      <c r="H476" s="4" t="s">
        <v>12744</v>
      </c>
      <c r="I476" t="s">
        <v>71</v>
      </c>
      <c r="J476" t="s">
        <v>10782</v>
      </c>
      <c r="K476" t="s">
        <v>12745</v>
      </c>
    </row>
    <row r="477" spans="1:11" ht="129.6" x14ac:dyDescent="0.3">
      <c r="A477" s="4" t="s">
        <v>3189</v>
      </c>
      <c r="B477">
        <v>1</v>
      </c>
      <c r="C477">
        <v>2024</v>
      </c>
      <c r="D477" t="s">
        <v>217</v>
      </c>
      <c r="E477">
        <v>2</v>
      </c>
      <c r="F477" t="s">
        <v>12746</v>
      </c>
      <c r="G477" t="s">
        <v>12747</v>
      </c>
      <c r="H477" s="4" t="s">
        <v>12748</v>
      </c>
    </row>
    <row r="478" spans="1:11" ht="158.4" x14ac:dyDescent="0.3">
      <c r="A478" s="4" t="s">
        <v>3481</v>
      </c>
      <c r="B478">
        <v>2</v>
      </c>
      <c r="C478">
        <v>2024</v>
      </c>
      <c r="D478" t="s">
        <v>1802</v>
      </c>
      <c r="E478">
        <v>2</v>
      </c>
      <c r="F478" t="s">
        <v>12749</v>
      </c>
      <c r="G478" t="s">
        <v>12750</v>
      </c>
      <c r="H478" s="4" t="s">
        <v>12751</v>
      </c>
      <c r="I478" t="s">
        <v>71</v>
      </c>
      <c r="J478" t="s">
        <v>10782</v>
      </c>
      <c r="K478" t="s">
        <v>12752</v>
      </c>
    </row>
    <row r="479" spans="1:11" ht="100.8" x14ac:dyDescent="0.3">
      <c r="A479" s="4" t="s">
        <v>3996</v>
      </c>
      <c r="B479">
        <v>3</v>
      </c>
      <c r="C479">
        <v>2024</v>
      </c>
      <c r="D479" t="s">
        <v>12753</v>
      </c>
      <c r="E479">
        <v>0</v>
      </c>
      <c r="F479" t="s">
        <v>12754</v>
      </c>
      <c r="G479" t="s">
        <v>12755</v>
      </c>
      <c r="H479" s="4" t="s">
        <v>12756</v>
      </c>
    </row>
    <row r="480" spans="1:11" ht="216" x14ac:dyDescent="0.3">
      <c r="A480" s="4" t="s">
        <v>3190</v>
      </c>
      <c r="B480">
        <v>1</v>
      </c>
      <c r="C480">
        <v>2024</v>
      </c>
      <c r="D480" t="s">
        <v>11486</v>
      </c>
      <c r="E480">
        <v>0</v>
      </c>
      <c r="F480" t="s">
        <v>12757</v>
      </c>
      <c r="G480" t="s">
        <v>12758</v>
      </c>
      <c r="H480" s="4" t="s">
        <v>12759</v>
      </c>
      <c r="I480" t="s">
        <v>71</v>
      </c>
      <c r="J480" t="s">
        <v>10782</v>
      </c>
      <c r="K480" t="s">
        <v>12760</v>
      </c>
    </row>
    <row r="481" spans="1:11" ht="86.4" x14ac:dyDescent="0.3">
      <c r="A481" s="4" t="s">
        <v>3997</v>
      </c>
      <c r="B481">
        <v>3</v>
      </c>
      <c r="C481">
        <v>2024</v>
      </c>
      <c r="D481" t="s">
        <v>2859</v>
      </c>
      <c r="E481">
        <v>1</v>
      </c>
      <c r="F481" t="s">
        <v>12761</v>
      </c>
      <c r="G481" t="s">
        <v>12762</v>
      </c>
      <c r="H481" s="4" t="s">
        <v>12763</v>
      </c>
    </row>
    <row r="482" spans="1:11" ht="158.4" x14ac:dyDescent="0.3">
      <c r="A482" s="4" t="s">
        <v>3998</v>
      </c>
      <c r="B482">
        <v>3</v>
      </c>
      <c r="C482">
        <v>2024</v>
      </c>
      <c r="D482" t="s">
        <v>432</v>
      </c>
      <c r="E482">
        <v>1</v>
      </c>
      <c r="F482" t="s">
        <v>12764</v>
      </c>
      <c r="G482" t="s">
        <v>12765</v>
      </c>
      <c r="H482" s="4" t="s">
        <v>12766</v>
      </c>
      <c r="I482" t="s">
        <v>71</v>
      </c>
      <c r="J482" t="s">
        <v>10782</v>
      </c>
      <c r="K482" t="s">
        <v>12767</v>
      </c>
    </row>
    <row r="483" spans="1:11" ht="201.6" x14ac:dyDescent="0.3">
      <c r="A483" s="4" t="s">
        <v>433</v>
      </c>
      <c r="B483">
        <v>1</v>
      </c>
      <c r="C483">
        <v>2024</v>
      </c>
      <c r="D483" t="s">
        <v>434</v>
      </c>
      <c r="E483">
        <v>0</v>
      </c>
      <c r="F483" t="s">
        <v>12768</v>
      </c>
      <c r="G483" t="s">
        <v>12769</v>
      </c>
      <c r="H483" s="4" t="s">
        <v>12770</v>
      </c>
      <c r="I483" t="s">
        <v>71</v>
      </c>
      <c r="J483" t="s">
        <v>10782</v>
      </c>
      <c r="K483" t="s">
        <v>12771</v>
      </c>
    </row>
    <row r="484" spans="1:11" ht="259.2" x14ac:dyDescent="0.3">
      <c r="A484" s="4" t="s">
        <v>3999</v>
      </c>
      <c r="B484">
        <v>3</v>
      </c>
      <c r="C484">
        <v>2024</v>
      </c>
      <c r="D484" t="s">
        <v>128</v>
      </c>
      <c r="E484">
        <v>1</v>
      </c>
      <c r="F484" t="s">
        <v>12772</v>
      </c>
      <c r="G484" t="s">
        <v>12773</v>
      </c>
      <c r="H484" s="4" t="s">
        <v>12774</v>
      </c>
      <c r="I484" t="s">
        <v>71</v>
      </c>
      <c r="J484" t="s">
        <v>10782</v>
      </c>
      <c r="K484" t="s">
        <v>12775</v>
      </c>
    </row>
    <row r="485" spans="1:11" ht="43.2" x14ac:dyDescent="0.3">
      <c r="A485" s="4" t="s">
        <v>4000</v>
      </c>
      <c r="B485">
        <v>3</v>
      </c>
      <c r="C485">
        <v>2024</v>
      </c>
      <c r="D485" t="s">
        <v>12776</v>
      </c>
      <c r="E485">
        <v>1</v>
      </c>
      <c r="F485" t="s">
        <v>12777</v>
      </c>
      <c r="G485" t="s">
        <v>12778</v>
      </c>
      <c r="H485" s="4" t="s">
        <v>12779</v>
      </c>
    </row>
    <row r="486" spans="1:11" ht="244.8" x14ac:dyDescent="0.3">
      <c r="A486" s="4" t="s">
        <v>4001</v>
      </c>
      <c r="B486">
        <v>3</v>
      </c>
      <c r="C486">
        <v>2024</v>
      </c>
      <c r="D486" t="s">
        <v>637</v>
      </c>
      <c r="E486">
        <v>1</v>
      </c>
      <c r="F486" t="s">
        <v>12780</v>
      </c>
      <c r="G486" t="s">
        <v>12781</v>
      </c>
      <c r="H486" s="4" t="s">
        <v>12782</v>
      </c>
      <c r="I486" t="s">
        <v>71</v>
      </c>
      <c r="J486" t="s">
        <v>10782</v>
      </c>
      <c r="K486" t="s">
        <v>12783</v>
      </c>
    </row>
    <row r="487" spans="1:11" ht="201.6" x14ac:dyDescent="0.3">
      <c r="A487" s="4" t="s">
        <v>4002</v>
      </c>
      <c r="B487">
        <v>3</v>
      </c>
      <c r="C487">
        <v>2024</v>
      </c>
      <c r="D487" t="s">
        <v>1770</v>
      </c>
      <c r="E487">
        <v>2</v>
      </c>
      <c r="F487" t="s">
        <v>12784</v>
      </c>
      <c r="G487" t="s">
        <v>12785</v>
      </c>
      <c r="H487" s="4" t="s">
        <v>12786</v>
      </c>
      <c r="I487" t="s">
        <v>71</v>
      </c>
      <c r="J487" t="s">
        <v>10782</v>
      </c>
      <c r="K487" t="s">
        <v>12787</v>
      </c>
    </row>
    <row r="488" spans="1:11" ht="216" x14ac:dyDescent="0.3">
      <c r="A488" s="4" t="s">
        <v>4003</v>
      </c>
      <c r="B488">
        <v>3</v>
      </c>
      <c r="C488">
        <v>2024</v>
      </c>
      <c r="D488" t="s">
        <v>1248</v>
      </c>
      <c r="E488">
        <v>0</v>
      </c>
      <c r="F488" t="s">
        <v>12788</v>
      </c>
      <c r="G488" t="s">
        <v>12789</v>
      </c>
      <c r="H488" s="4" t="s">
        <v>12790</v>
      </c>
      <c r="I488" t="s">
        <v>71</v>
      </c>
      <c r="J488" t="s">
        <v>10782</v>
      </c>
      <c r="K488" t="s">
        <v>12791</v>
      </c>
    </row>
    <row r="489" spans="1:11" ht="172.8" x14ac:dyDescent="0.3">
      <c r="A489" s="4" t="s">
        <v>435</v>
      </c>
      <c r="B489">
        <v>1</v>
      </c>
      <c r="C489">
        <v>2024</v>
      </c>
      <c r="D489" t="s">
        <v>436</v>
      </c>
      <c r="E489">
        <v>0</v>
      </c>
      <c r="F489" t="s">
        <v>12792</v>
      </c>
      <c r="G489" t="s">
        <v>12793</v>
      </c>
      <c r="H489" s="4" t="s">
        <v>12794</v>
      </c>
      <c r="I489" t="s">
        <v>71</v>
      </c>
      <c r="J489" t="s">
        <v>10782</v>
      </c>
      <c r="K489" t="s">
        <v>12795</v>
      </c>
    </row>
    <row r="490" spans="1:11" ht="43.2" x14ac:dyDescent="0.3">
      <c r="A490" s="4" t="s">
        <v>4004</v>
      </c>
      <c r="B490">
        <v>3</v>
      </c>
      <c r="C490">
        <v>2024</v>
      </c>
      <c r="D490" t="s">
        <v>637</v>
      </c>
      <c r="E490">
        <v>2</v>
      </c>
      <c r="F490" t="s">
        <v>12796</v>
      </c>
      <c r="G490" t="s">
        <v>12797</v>
      </c>
      <c r="H490" s="4" t="s">
        <v>12798</v>
      </c>
    </row>
    <row r="491" spans="1:11" ht="144" x14ac:dyDescent="0.3">
      <c r="A491" s="4" t="s">
        <v>453</v>
      </c>
      <c r="B491">
        <v>1</v>
      </c>
      <c r="C491">
        <v>2024</v>
      </c>
      <c r="D491" t="s">
        <v>217</v>
      </c>
      <c r="E491">
        <v>1</v>
      </c>
      <c r="F491" t="s">
        <v>12799</v>
      </c>
      <c r="G491" t="s">
        <v>12800</v>
      </c>
      <c r="H491" s="4" t="s">
        <v>12801</v>
      </c>
    </row>
    <row r="492" spans="1:11" ht="57.6" x14ac:dyDescent="0.3">
      <c r="A492" s="4" t="s">
        <v>4005</v>
      </c>
      <c r="B492">
        <v>3</v>
      </c>
      <c r="C492">
        <v>2024</v>
      </c>
      <c r="D492" t="s">
        <v>12802</v>
      </c>
      <c r="E492">
        <v>0</v>
      </c>
      <c r="F492" t="s">
        <v>12803</v>
      </c>
      <c r="G492" t="s">
        <v>12804</v>
      </c>
      <c r="H492" s="4" t="s">
        <v>12805</v>
      </c>
    </row>
    <row r="493" spans="1:11" ht="86.4" x14ac:dyDescent="0.3">
      <c r="A493" s="4" t="s">
        <v>4006</v>
      </c>
      <c r="B493">
        <v>3</v>
      </c>
      <c r="C493">
        <v>2024</v>
      </c>
      <c r="D493" t="s">
        <v>11041</v>
      </c>
      <c r="E493">
        <v>1</v>
      </c>
      <c r="F493" t="s">
        <v>12806</v>
      </c>
      <c r="G493" t="s">
        <v>12807</v>
      </c>
      <c r="H493" s="4" t="s">
        <v>12808</v>
      </c>
    </row>
    <row r="494" spans="1:11" ht="187.2" x14ac:dyDescent="0.3">
      <c r="A494" s="4" t="s">
        <v>4007</v>
      </c>
      <c r="B494">
        <v>3</v>
      </c>
      <c r="C494">
        <v>2024</v>
      </c>
      <c r="D494" t="s">
        <v>1802</v>
      </c>
      <c r="E494">
        <v>0</v>
      </c>
      <c r="F494" t="s">
        <v>12809</v>
      </c>
      <c r="G494" t="s">
        <v>12810</v>
      </c>
      <c r="H494" s="4" t="s">
        <v>12811</v>
      </c>
      <c r="I494" t="s">
        <v>71</v>
      </c>
      <c r="J494" t="s">
        <v>10782</v>
      </c>
      <c r="K494" t="s">
        <v>12812</v>
      </c>
    </row>
    <row r="495" spans="1:11" ht="216" x14ac:dyDescent="0.3">
      <c r="A495" s="4" t="s">
        <v>4008</v>
      </c>
      <c r="B495">
        <v>3</v>
      </c>
      <c r="C495">
        <v>2024</v>
      </c>
      <c r="D495" t="s">
        <v>637</v>
      </c>
      <c r="E495">
        <v>1</v>
      </c>
      <c r="F495" t="s">
        <v>12813</v>
      </c>
      <c r="G495" t="s">
        <v>12814</v>
      </c>
      <c r="H495" s="4" t="s">
        <v>12815</v>
      </c>
      <c r="I495" t="s">
        <v>71</v>
      </c>
      <c r="J495" t="s">
        <v>10782</v>
      </c>
      <c r="K495" t="s">
        <v>12816</v>
      </c>
    </row>
    <row r="496" spans="1:11" ht="216" x14ac:dyDescent="0.3">
      <c r="A496" s="4" t="s">
        <v>471</v>
      </c>
      <c r="B496">
        <v>1</v>
      </c>
      <c r="C496">
        <v>2024</v>
      </c>
      <c r="D496" t="s">
        <v>472</v>
      </c>
      <c r="E496">
        <v>4</v>
      </c>
      <c r="F496" t="s">
        <v>12817</v>
      </c>
      <c r="G496" t="s">
        <v>12818</v>
      </c>
      <c r="H496" s="4" t="s">
        <v>12819</v>
      </c>
      <c r="I496" t="s">
        <v>71</v>
      </c>
      <c r="J496" t="s">
        <v>10782</v>
      </c>
      <c r="K496" t="s">
        <v>12820</v>
      </c>
    </row>
    <row r="497" spans="1:11" ht="187.2" x14ac:dyDescent="0.3">
      <c r="A497" s="4" t="s">
        <v>2452</v>
      </c>
      <c r="B497">
        <v>2</v>
      </c>
      <c r="C497">
        <v>2024</v>
      </c>
      <c r="D497" t="s">
        <v>405</v>
      </c>
      <c r="E497">
        <v>0</v>
      </c>
      <c r="F497" t="s">
        <v>12821</v>
      </c>
      <c r="G497" t="s">
        <v>12822</v>
      </c>
      <c r="H497" s="4" t="s">
        <v>12823</v>
      </c>
      <c r="I497" t="s">
        <v>71</v>
      </c>
      <c r="J497" t="s">
        <v>10782</v>
      </c>
      <c r="K497" t="s">
        <v>12824</v>
      </c>
    </row>
    <row r="498" spans="1:11" ht="259.2" x14ac:dyDescent="0.3">
      <c r="A498" s="4" t="s">
        <v>3482</v>
      </c>
      <c r="B498">
        <v>2</v>
      </c>
      <c r="C498">
        <v>2024</v>
      </c>
      <c r="D498" t="s">
        <v>1125</v>
      </c>
      <c r="E498">
        <v>0</v>
      </c>
      <c r="F498" t="s">
        <v>12825</v>
      </c>
      <c r="G498" t="s">
        <v>12826</v>
      </c>
      <c r="H498" s="4" t="s">
        <v>12827</v>
      </c>
      <c r="I498" t="s">
        <v>10945</v>
      </c>
      <c r="J498" t="s">
        <v>10782</v>
      </c>
      <c r="K498" t="s">
        <v>12828</v>
      </c>
    </row>
    <row r="499" spans="1:11" ht="230.4" x14ac:dyDescent="0.3">
      <c r="A499" s="4" t="s">
        <v>4009</v>
      </c>
      <c r="B499">
        <v>3</v>
      </c>
      <c r="C499">
        <v>2024</v>
      </c>
      <c r="D499" t="s">
        <v>811</v>
      </c>
      <c r="E499">
        <v>1</v>
      </c>
      <c r="F499" t="s">
        <v>12829</v>
      </c>
      <c r="G499" t="s">
        <v>12830</v>
      </c>
      <c r="H499" s="4" t="s">
        <v>12831</v>
      </c>
      <c r="I499" t="s">
        <v>71</v>
      </c>
      <c r="J499" t="s">
        <v>10782</v>
      </c>
      <c r="K499" t="s">
        <v>12832</v>
      </c>
    </row>
    <row r="500" spans="1:11" ht="129.6" x14ac:dyDescent="0.3">
      <c r="A500" s="4" t="s">
        <v>3483</v>
      </c>
      <c r="B500">
        <v>2</v>
      </c>
      <c r="C500">
        <v>2024</v>
      </c>
      <c r="D500" t="s">
        <v>217</v>
      </c>
      <c r="E500">
        <v>0</v>
      </c>
      <c r="F500" t="s">
        <v>12833</v>
      </c>
      <c r="G500" t="s">
        <v>12834</v>
      </c>
      <c r="H500" s="4" t="s">
        <v>12835</v>
      </c>
      <c r="I500" t="s">
        <v>71</v>
      </c>
      <c r="J500" t="s">
        <v>10782</v>
      </c>
      <c r="K500" t="s">
        <v>12836</v>
      </c>
    </row>
    <row r="501" spans="1:11" ht="201.6" x14ac:dyDescent="0.3">
      <c r="A501" s="4" t="s">
        <v>477</v>
      </c>
      <c r="B501">
        <v>1</v>
      </c>
      <c r="C501">
        <v>2024</v>
      </c>
      <c r="D501" t="s">
        <v>478</v>
      </c>
      <c r="E501">
        <v>0</v>
      </c>
      <c r="F501" t="s">
        <v>12837</v>
      </c>
      <c r="G501" t="s">
        <v>12838</v>
      </c>
      <c r="H501" s="4" t="s">
        <v>12839</v>
      </c>
      <c r="I501" t="s">
        <v>71</v>
      </c>
      <c r="J501" t="s">
        <v>10782</v>
      </c>
      <c r="K501" t="s">
        <v>12840</v>
      </c>
    </row>
    <row r="502" spans="1:11" ht="28.8" x14ac:dyDescent="0.3">
      <c r="A502" s="4" t="s">
        <v>4010</v>
      </c>
      <c r="B502">
        <v>3</v>
      </c>
      <c r="C502">
        <v>2024</v>
      </c>
      <c r="D502" t="s">
        <v>12841</v>
      </c>
      <c r="E502">
        <v>0</v>
      </c>
      <c r="F502" t="s">
        <v>12842</v>
      </c>
      <c r="G502" t="s">
        <v>12843</v>
      </c>
      <c r="H502" s="4" t="s">
        <v>12844</v>
      </c>
    </row>
    <row r="503" spans="1:11" ht="158.4" x14ac:dyDescent="0.3">
      <c r="A503" s="4" t="s">
        <v>4011</v>
      </c>
      <c r="B503">
        <v>3</v>
      </c>
      <c r="C503">
        <v>2024</v>
      </c>
      <c r="D503" t="s">
        <v>190</v>
      </c>
      <c r="E503">
        <v>4</v>
      </c>
      <c r="F503" t="s">
        <v>12845</v>
      </c>
      <c r="G503" t="s">
        <v>12846</v>
      </c>
      <c r="H503" s="4" t="s">
        <v>12847</v>
      </c>
      <c r="I503" t="s">
        <v>71</v>
      </c>
      <c r="J503" t="s">
        <v>10782</v>
      </c>
      <c r="K503" t="s">
        <v>12848</v>
      </c>
    </row>
    <row r="504" spans="1:11" ht="57.6" x14ac:dyDescent="0.3">
      <c r="A504" s="4" t="s">
        <v>4012</v>
      </c>
      <c r="B504">
        <v>3</v>
      </c>
      <c r="C504">
        <v>2024</v>
      </c>
      <c r="D504" t="s">
        <v>12849</v>
      </c>
      <c r="E504">
        <v>1</v>
      </c>
      <c r="F504" t="s">
        <v>12850</v>
      </c>
      <c r="G504" t="s">
        <v>12851</v>
      </c>
      <c r="H504" s="4" t="s">
        <v>12852</v>
      </c>
    </row>
    <row r="505" spans="1:11" ht="187.2" x14ac:dyDescent="0.3">
      <c r="A505" s="4" t="s">
        <v>4013</v>
      </c>
      <c r="B505">
        <v>3</v>
      </c>
      <c r="C505">
        <v>2024</v>
      </c>
      <c r="D505" t="s">
        <v>1770</v>
      </c>
      <c r="E505">
        <v>2</v>
      </c>
      <c r="F505" t="s">
        <v>12853</v>
      </c>
      <c r="G505" t="s">
        <v>12854</v>
      </c>
      <c r="H505" s="4" t="s">
        <v>12855</v>
      </c>
      <c r="I505" t="s">
        <v>71</v>
      </c>
      <c r="J505" t="s">
        <v>10782</v>
      </c>
      <c r="K505" t="s">
        <v>12856</v>
      </c>
    </row>
    <row r="506" spans="1:11" ht="230.4" x14ac:dyDescent="0.3">
      <c r="A506" s="4" t="s">
        <v>4014</v>
      </c>
      <c r="B506">
        <v>3</v>
      </c>
      <c r="C506">
        <v>2024</v>
      </c>
      <c r="D506" t="s">
        <v>12857</v>
      </c>
      <c r="E506">
        <v>2</v>
      </c>
      <c r="F506" t="s">
        <v>12858</v>
      </c>
      <c r="G506" t="s">
        <v>12859</v>
      </c>
      <c r="H506" s="4" t="s">
        <v>12860</v>
      </c>
      <c r="I506" t="s">
        <v>71</v>
      </c>
      <c r="J506" t="s">
        <v>10782</v>
      </c>
      <c r="K506" t="s">
        <v>12861</v>
      </c>
    </row>
    <row r="507" spans="1:11" ht="144" x14ac:dyDescent="0.3">
      <c r="A507" s="4" t="s">
        <v>4015</v>
      </c>
      <c r="B507">
        <v>3</v>
      </c>
      <c r="C507">
        <v>2024</v>
      </c>
      <c r="D507" t="s">
        <v>12862</v>
      </c>
      <c r="E507">
        <v>2</v>
      </c>
      <c r="F507" t="s">
        <v>12863</v>
      </c>
      <c r="G507" t="s">
        <v>12864</v>
      </c>
      <c r="H507" s="4" t="s">
        <v>12865</v>
      </c>
      <c r="I507" t="s">
        <v>71</v>
      </c>
      <c r="J507" t="s">
        <v>10782</v>
      </c>
      <c r="K507" t="s">
        <v>12866</v>
      </c>
    </row>
    <row r="508" spans="1:11" ht="201.6" x14ac:dyDescent="0.3">
      <c r="A508" s="4" t="s">
        <v>3191</v>
      </c>
      <c r="B508">
        <v>1</v>
      </c>
      <c r="C508">
        <v>2024</v>
      </c>
      <c r="D508" t="s">
        <v>817</v>
      </c>
      <c r="E508">
        <v>3</v>
      </c>
      <c r="F508" t="s">
        <v>12867</v>
      </c>
      <c r="G508" t="s">
        <v>12868</v>
      </c>
      <c r="H508" s="4" t="s">
        <v>12869</v>
      </c>
      <c r="I508" t="s">
        <v>71</v>
      </c>
      <c r="J508" t="s">
        <v>10782</v>
      </c>
      <c r="K508" t="s">
        <v>12870</v>
      </c>
    </row>
    <row r="509" spans="1:11" ht="216" x14ac:dyDescent="0.3">
      <c r="A509" s="4" t="s">
        <v>3484</v>
      </c>
      <c r="B509">
        <v>2</v>
      </c>
      <c r="C509">
        <v>2024</v>
      </c>
      <c r="D509" t="s">
        <v>329</v>
      </c>
      <c r="E509">
        <v>2</v>
      </c>
      <c r="F509" t="s">
        <v>12871</v>
      </c>
      <c r="G509" t="s">
        <v>12872</v>
      </c>
      <c r="H509" s="4" t="s">
        <v>12873</v>
      </c>
      <c r="I509" t="s">
        <v>71</v>
      </c>
      <c r="J509" t="s">
        <v>10782</v>
      </c>
      <c r="K509" t="s">
        <v>12874</v>
      </c>
    </row>
    <row r="510" spans="1:11" ht="201.6" x14ac:dyDescent="0.3">
      <c r="A510" s="4" t="s">
        <v>4016</v>
      </c>
      <c r="B510">
        <v>3</v>
      </c>
      <c r="C510">
        <v>2024</v>
      </c>
      <c r="D510" t="s">
        <v>12875</v>
      </c>
      <c r="E510">
        <v>0</v>
      </c>
      <c r="F510" t="s">
        <v>12876</v>
      </c>
      <c r="G510" t="s">
        <v>12877</v>
      </c>
      <c r="H510" s="4" t="s">
        <v>12878</v>
      </c>
      <c r="I510" t="s">
        <v>71</v>
      </c>
      <c r="J510" t="s">
        <v>10782</v>
      </c>
      <c r="K510" t="s">
        <v>12879</v>
      </c>
    </row>
    <row r="511" spans="1:11" ht="201.6" x14ac:dyDescent="0.3">
      <c r="A511" s="4" t="s">
        <v>481</v>
      </c>
      <c r="B511">
        <v>1</v>
      </c>
      <c r="C511">
        <v>2024</v>
      </c>
      <c r="D511" t="s">
        <v>482</v>
      </c>
      <c r="E511">
        <v>0</v>
      </c>
      <c r="F511" t="s">
        <v>12880</v>
      </c>
      <c r="G511" t="s">
        <v>12881</v>
      </c>
      <c r="H511" s="4" t="s">
        <v>12882</v>
      </c>
      <c r="I511" t="s">
        <v>71</v>
      </c>
      <c r="J511" t="s">
        <v>10782</v>
      </c>
      <c r="K511" t="s">
        <v>12883</v>
      </c>
    </row>
    <row r="512" spans="1:11" ht="187.2" x14ac:dyDescent="0.3">
      <c r="A512" s="4" t="s">
        <v>4017</v>
      </c>
      <c r="B512">
        <v>3</v>
      </c>
      <c r="C512">
        <v>2024</v>
      </c>
      <c r="D512" t="s">
        <v>202</v>
      </c>
      <c r="E512">
        <v>6</v>
      </c>
      <c r="F512" t="s">
        <v>12884</v>
      </c>
      <c r="G512" t="s">
        <v>12885</v>
      </c>
      <c r="H512" s="4" t="s">
        <v>12886</v>
      </c>
      <c r="I512" t="s">
        <v>71</v>
      </c>
      <c r="J512" t="s">
        <v>10782</v>
      </c>
      <c r="K512" t="s">
        <v>12887</v>
      </c>
    </row>
    <row r="513" spans="1:11" ht="172.8" x14ac:dyDescent="0.3">
      <c r="A513" s="4" t="s">
        <v>3192</v>
      </c>
      <c r="B513">
        <v>1</v>
      </c>
      <c r="C513">
        <v>2024</v>
      </c>
      <c r="D513" t="s">
        <v>363</v>
      </c>
      <c r="E513">
        <v>3</v>
      </c>
      <c r="F513" t="s">
        <v>12888</v>
      </c>
      <c r="G513" t="s">
        <v>12889</v>
      </c>
      <c r="H513" s="4" t="s">
        <v>12890</v>
      </c>
      <c r="I513" t="s">
        <v>71</v>
      </c>
      <c r="J513" t="s">
        <v>10782</v>
      </c>
      <c r="K513" t="s">
        <v>12891</v>
      </c>
    </row>
    <row r="514" spans="1:11" ht="115.2" x14ac:dyDescent="0.3">
      <c r="A514" s="4" t="s">
        <v>496</v>
      </c>
      <c r="B514">
        <v>1</v>
      </c>
      <c r="C514">
        <v>2024</v>
      </c>
      <c r="D514" t="s">
        <v>497</v>
      </c>
      <c r="E514">
        <v>0</v>
      </c>
      <c r="F514" t="s">
        <v>12892</v>
      </c>
      <c r="G514" t="s">
        <v>12893</v>
      </c>
      <c r="H514" s="4" t="s">
        <v>12894</v>
      </c>
    </row>
    <row r="515" spans="1:11" ht="187.2" x14ac:dyDescent="0.3">
      <c r="A515" s="4" t="s">
        <v>4018</v>
      </c>
      <c r="B515">
        <v>3</v>
      </c>
      <c r="C515">
        <v>2024</v>
      </c>
      <c r="D515" t="s">
        <v>10971</v>
      </c>
      <c r="E515">
        <v>1</v>
      </c>
      <c r="F515" t="s">
        <v>12895</v>
      </c>
      <c r="G515" t="s">
        <v>12896</v>
      </c>
      <c r="H515" s="4" t="s">
        <v>12897</v>
      </c>
      <c r="I515" t="s">
        <v>71</v>
      </c>
      <c r="J515" t="s">
        <v>10782</v>
      </c>
      <c r="K515" t="s">
        <v>12898</v>
      </c>
    </row>
    <row r="516" spans="1:11" ht="129.6" x14ac:dyDescent="0.3">
      <c r="A516" s="4" t="s">
        <v>4019</v>
      </c>
      <c r="B516">
        <v>3</v>
      </c>
      <c r="C516">
        <v>2024</v>
      </c>
      <c r="D516" t="s">
        <v>80</v>
      </c>
      <c r="E516">
        <v>3</v>
      </c>
      <c r="F516" t="s">
        <v>12899</v>
      </c>
      <c r="G516" t="s">
        <v>12900</v>
      </c>
      <c r="H516" s="4" t="s">
        <v>12901</v>
      </c>
      <c r="I516" t="s">
        <v>71</v>
      </c>
      <c r="J516" t="s">
        <v>10782</v>
      </c>
      <c r="K516" t="s">
        <v>12902</v>
      </c>
    </row>
    <row r="517" spans="1:11" ht="216" x14ac:dyDescent="0.3">
      <c r="A517" s="4" t="s">
        <v>3485</v>
      </c>
      <c r="B517">
        <v>2</v>
      </c>
      <c r="C517">
        <v>2024</v>
      </c>
      <c r="D517" t="s">
        <v>11159</v>
      </c>
      <c r="E517">
        <v>1</v>
      </c>
      <c r="F517" t="s">
        <v>12903</v>
      </c>
      <c r="G517" t="s">
        <v>12904</v>
      </c>
      <c r="H517" s="4" t="s">
        <v>12905</v>
      </c>
      <c r="I517" t="s">
        <v>71</v>
      </c>
      <c r="J517" t="s">
        <v>10782</v>
      </c>
      <c r="K517" t="s">
        <v>12906</v>
      </c>
    </row>
    <row r="518" spans="1:11" ht="172.8" x14ac:dyDescent="0.3">
      <c r="A518" s="4" t="s">
        <v>4020</v>
      </c>
      <c r="B518">
        <v>3</v>
      </c>
      <c r="C518">
        <v>2024</v>
      </c>
      <c r="D518" t="s">
        <v>12907</v>
      </c>
      <c r="E518">
        <v>0</v>
      </c>
      <c r="F518" t="s">
        <v>12908</v>
      </c>
      <c r="G518" t="s">
        <v>12909</v>
      </c>
      <c r="H518" s="4" t="s">
        <v>12910</v>
      </c>
      <c r="I518" t="s">
        <v>71</v>
      </c>
      <c r="J518" t="s">
        <v>10782</v>
      </c>
      <c r="K518" t="s">
        <v>12911</v>
      </c>
    </row>
    <row r="519" spans="1:11" ht="201.6" x14ac:dyDescent="0.3">
      <c r="A519" s="4" t="s">
        <v>3193</v>
      </c>
      <c r="B519">
        <v>1</v>
      </c>
      <c r="C519">
        <v>2024</v>
      </c>
      <c r="D519" t="s">
        <v>329</v>
      </c>
      <c r="E519">
        <v>1</v>
      </c>
      <c r="F519" t="s">
        <v>12912</v>
      </c>
      <c r="G519" t="s">
        <v>12913</v>
      </c>
      <c r="H519" s="4" t="s">
        <v>12914</v>
      </c>
      <c r="I519" t="s">
        <v>71</v>
      </c>
      <c r="J519" t="s">
        <v>10782</v>
      </c>
      <c r="K519" t="s">
        <v>12915</v>
      </c>
    </row>
    <row r="520" spans="1:11" ht="115.2" x14ac:dyDescent="0.3">
      <c r="A520" s="4" t="s">
        <v>4021</v>
      </c>
      <c r="B520">
        <v>3</v>
      </c>
      <c r="C520">
        <v>2024</v>
      </c>
      <c r="D520" t="s">
        <v>329</v>
      </c>
      <c r="E520">
        <v>1</v>
      </c>
      <c r="F520" t="s">
        <v>12916</v>
      </c>
      <c r="G520" t="s">
        <v>12917</v>
      </c>
      <c r="H520" s="4" t="s">
        <v>12918</v>
      </c>
      <c r="I520" t="s">
        <v>71</v>
      </c>
      <c r="J520" t="s">
        <v>10782</v>
      </c>
      <c r="K520" t="s">
        <v>12919</v>
      </c>
    </row>
    <row r="521" spans="1:11" ht="115.2" x14ac:dyDescent="0.3">
      <c r="A521" s="4" t="s">
        <v>4022</v>
      </c>
      <c r="B521">
        <v>3</v>
      </c>
      <c r="C521">
        <v>2024</v>
      </c>
      <c r="D521" t="s">
        <v>12920</v>
      </c>
      <c r="E521">
        <v>1</v>
      </c>
      <c r="F521" t="s">
        <v>12921</v>
      </c>
      <c r="G521" t="s">
        <v>12922</v>
      </c>
      <c r="H521" s="4" t="s">
        <v>12923</v>
      </c>
      <c r="I521" t="s">
        <v>71</v>
      </c>
      <c r="J521" t="s">
        <v>10782</v>
      </c>
      <c r="K521" t="s">
        <v>12924</v>
      </c>
    </row>
    <row r="522" spans="1:11" ht="172.8" x14ac:dyDescent="0.3">
      <c r="A522" s="4" t="s">
        <v>4023</v>
      </c>
      <c r="B522">
        <v>3</v>
      </c>
      <c r="C522">
        <v>2024</v>
      </c>
      <c r="D522" t="s">
        <v>478</v>
      </c>
      <c r="E522">
        <v>2</v>
      </c>
      <c r="F522" t="s">
        <v>12925</v>
      </c>
      <c r="G522" t="s">
        <v>12926</v>
      </c>
      <c r="H522" s="4" t="s">
        <v>12927</v>
      </c>
      <c r="I522" t="s">
        <v>71</v>
      </c>
      <c r="J522" t="s">
        <v>10782</v>
      </c>
      <c r="K522" t="s">
        <v>12928</v>
      </c>
    </row>
    <row r="523" spans="1:11" ht="187.2" x14ac:dyDescent="0.3">
      <c r="A523" s="4" t="s">
        <v>4024</v>
      </c>
      <c r="B523">
        <v>3</v>
      </c>
      <c r="C523">
        <v>2024</v>
      </c>
      <c r="D523" t="s">
        <v>830</v>
      </c>
      <c r="E523">
        <v>3</v>
      </c>
      <c r="F523" t="s">
        <v>12929</v>
      </c>
      <c r="G523" t="s">
        <v>12930</v>
      </c>
      <c r="H523" s="4" t="s">
        <v>12931</v>
      </c>
      <c r="I523" t="s">
        <v>71</v>
      </c>
      <c r="J523" t="s">
        <v>10782</v>
      </c>
      <c r="K523" t="s">
        <v>12932</v>
      </c>
    </row>
    <row r="524" spans="1:11" ht="201.6" x14ac:dyDescent="0.3">
      <c r="A524" s="4" t="s">
        <v>3486</v>
      </c>
      <c r="B524">
        <v>2</v>
      </c>
      <c r="C524">
        <v>2024</v>
      </c>
      <c r="D524" t="s">
        <v>147</v>
      </c>
      <c r="E524">
        <v>1</v>
      </c>
      <c r="F524" t="s">
        <v>12933</v>
      </c>
      <c r="G524" t="s">
        <v>12934</v>
      </c>
      <c r="H524" s="4" t="s">
        <v>12935</v>
      </c>
      <c r="I524" t="s">
        <v>71</v>
      </c>
      <c r="J524" t="s">
        <v>10782</v>
      </c>
      <c r="K524" t="s">
        <v>12936</v>
      </c>
    </row>
    <row r="525" spans="1:11" ht="129.6" x14ac:dyDescent="0.3">
      <c r="A525" s="4" t="s">
        <v>4025</v>
      </c>
      <c r="B525">
        <v>3</v>
      </c>
      <c r="C525">
        <v>2024</v>
      </c>
      <c r="D525" t="s">
        <v>11159</v>
      </c>
      <c r="E525">
        <v>2</v>
      </c>
      <c r="F525" t="s">
        <v>12937</v>
      </c>
      <c r="G525" t="s">
        <v>12938</v>
      </c>
      <c r="H525" s="4" t="s">
        <v>12939</v>
      </c>
    </row>
    <row r="526" spans="1:11" ht="259.2" x14ac:dyDescent="0.3">
      <c r="A526" s="4" t="s">
        <v>2453</v>
      </c>
      <c r="B526">
        <v>2</v>
      </c>
      <c r="C526">
        <v>2024</v>
      </c>
      <c r="D526" t="s">
        <v>2519</v>
      </c>
      <c r="E526">
        <v>3</v>
      </c>
      <c r="F526" t="s">
        <v>12940</v>
      </c>
      <c r="G526" t="s">
        <v>12941</v>
      </c>
      <c r="H526" s="4" t="s">
        <v>12942</v>
      </c>
      <c r="I526" t="s">
        <v>71</v>
      </c>
      <c r="J526" t="s">
        <v>10782</v>
      </c>
      <c r="K526" t="s">
        <v>12943</v>
      </c>
    </row>
    <row r="527" spans="1:11" ht="158.4" x14ac:dyDescent="0.3">
      <c r="A527" s="4" t="s">
        <v>4026</v>
      </c>
      <c r="B527">
        <v>3</v>
      </c>
      <c r="C527">
        <v>2024</v>
      </c>
      <c r="D527" t="s">
        <v>1125</v>
      </c>
      <c r="E527">
        <v>1</v>
      </c>
      <c r="F527" t="s">
        <v>12944</v>
      </c>
      <c r="G527" t="s">
        <v>12945</v>
      </c>
      <c r="H527" s="4" t="s">
        <v>12946</v>
      </c>
    </row>
    <row r="528" spans="1:11" ht="43.2" x14ac:dyDescent="0.3">
      <c r="A528" s="4" t="s">
        <v>4027</v>
      </c>
      <c r="B528">
        <v>3</v>
      </c>
      <c r="C528">
        <v>2024</v>
      </c>
      <c r="D528" t="s">
        <v>12947</v>
      </c>
      <c r="E528">
        <v>0</v>
      </c>
      <c r="G528" t="s">
        <v>12948</v>
      </c>
      <c r="H528" t="s">
        <v>12949</v>
      </c>
      <c r="I528" s="4"/>
    </row>
    <row r="529" spans="1:11" ht="201.6" x14ac:dyDescent="0.3">
      <c r="A529" s="4" t="s">
        <v>4028</v>
      </c>
      <c r="B529">
        <v>3</v>
      </c>
      <c r="C529">
        <v>2024</v>
      </c>
      <c r="D529" t="s">
        <v>799</v>
      </c>
      <c r="E529">
        <v>3</v>
      </c>
      <c r="F529" t="s">
        <v>12950</v>
      </c>
      <c r="G529" t="s">
        <v>12951</v>
      </c>
      <c r="H529" s="4" t="s">
        <v>12952</v>
      </c>
      <c r="I529" t="s">
        <v>71</v>
      </c>
      <c r="J529" t="s">
        <v>10782</v>
      </c>
      <c r="K529" t="s">
        <v>12953</v>
      </c>
    </row>
    <row r="530" spans="1:11" ht="201.6" x14ac:dyDescent="0.3">
      <c r="A530" s="4" t="s">
        <v>4029</v>
      </c>
      <c r="B530">
        <v>3</v>
      </c>
      <c r="C530">
        <v>2024</v>
      </c>
      <c r="D530" t="s">
        <v>380</v>
      </c>
      <c r="E530">
        <v>1</v>
      </c>
      <c r="F530" t="s">
        <v>12954</v>
      </c>
      <c r="G530" t="s">
        <v>12955</v>
      </c>
      <c r="H530" s="4" t="s">
        <v>12956</v>
      </c>
      <c r="I530" t="s">
        <v>71</v>
      </c>
      <c r="J530" t="s">
        <v>10782</v>
      </c>
      <c r="K530" t="s">
        <v>12957</v>
      </c>
    </row>
    <row r="531" spans="1:11" ht="216" x14ac:dyDescent="0.3">
      <c r="A531" s="4" t="s">
        <v>4030</v>
      </c>
      <c r="B531">
        <v>3</v>
      </c>
      <c r="C531">
        <v>2024</v>
      </c>
      <c r="D531" t="s">
        <v>773</v>
      </c>
      <c r="E531">
        <v>4</v>
      </c>
      <c r="F531" t="s">
        <v>12958</v>
      </c>
      <c r="G531" t="s">
        <v>12959</v>
      </c>
      <c r="H531" s="4" t="s">
        <v>12960</v>
      </c>
      <c r="I531" t="s">
        <v>71</v>
      </c>
      <c r="J531" t="s">
        <v>10782</v>
      </c>
      <c r="K531" t="s">
        <v>12961</v>
      </c>
    </row>
    <row r="532" spans="1:11" ht="158.4" x14ac:dyDescent="0.3">
      <c r="A532" s="4" t="s">
        <v>4031</v>
      </c>
      <c r="B532">
        <v>3</v>
      </c>
      <c r="C532">
        <v>2024</v>
      </c>
      <c r="D532" t="s">
        <v>11007</v>
      </c>
      <c r="E532">
        <v>1</v>
      </c>
      <c r="F532" t="s">
        <v>12962</v>
      </c>
      <c r="G532" t="s">
        <v>12963</v>
      </c>
      <c r="H532" s="4" t="s">
        <v>12964</v>
      </c>
    </row>
    <row r="533" spans="1:11" ht="187.2" x14ac:dyDescent="0.3">
      <c r="A533" s="4" t="s">
        <v>4032</v>
      </c>
      <c r="B533">
        <v>3</v>
      </c>
      <c r="C533">
        <v>2024</v>
      </c>
      <c r="D533" t="s">
        <v>550</v>
      </c>
      <c r="E533">
        <v>5</v>
      </c>
      <c r="F533" t="s">
        <v>12965</v>
      </c>
      <c r="G533" t="s">
        <v>12966</v>
      </c>
      <c r="H533" s="4" t="s">
        <v>12967</v>
      </c>
      <c r="I533" t="s">
        <v>71</v>
      </c>
      <c r="J533" t="s">
        <v>10782</v>
      </c>
      <c r="K533" t="s">
        <v>12968</v>
      </c>
    </row>
    <row r="534" spans="1:11" ht="216" x14ac:dyDescent="0.3">
      <c r="A534" s="4" t="s">
        <v>4033</v>
      </c>
      <c r="B534">
        <v>3</v>
      </c>
      <c r="C534">
        <v>2024</v>
      </c>
      <c r="D534" t="s">
        <v>11041</v>
      </c>
      <c r="E534">
        <v>1</v>
      </c>
      <c r="F534" t="s">
        <v>12969</v>
      </c>
      <c r="G534" t="s">
        <v>12970</v>
      </c>
      <c r="H534" s="4" t="s">
        <v>12971</v>
      </c>
      <c r="I534" t="s">
        <v>71</v>
      </c>
      <c r="J534" t="s">
        <v>10782</v>
      </c>
      <c r="K534" t="s">
        <v>12972</v>
      </c>
    </row>
    <row r="535" spans="1:11" ht="129.6" x14ac:dyDescent="0.3">
      <c r="A535" s="4" t="s">
        <v>4034</v>
      </c>
      <c r="B535">
        <v>3</v>
      </c>
      <c r="C535">
        <v>2024</v>
      </c>
      <c r="D535" t="s">
        <v>12875</v>
      </c>
      <c r="E535">
        <v>2</v>
      </c>
      <c r="F535" t="s">
        <v>12973</v>
      </c>
      <c r="G535" t="s">
        <v>12974</v>
      </c>
      <c r="H535" s="4" t="s">
        <v>12975</v>
      </c>
    </row>
    <row r="536" spans="1:11" ht="172.8" x14ac:dyDescent="0.3">
      <c r="A536" s="4" t="s">
        <v>503</v>
      </c>
      <c r="B536">
        <v>1</v>
      </c>
      <c r="C536">
        <v>2024</v>
      </c>
      <c r="D536" t="s">
        <v>380</v>
      </c>
      <c r="E536">
        <v>0</v>
      </c>
      <c r="F536" t="s">
        <v>12976</v>
      </c>
      <c r="G536" t="s">
        <v>12977</v>
      </c>
      <c r="H536" s="4" t="s">
        <v>12978</v>
      </c>
      <c r="I536" t="s">
        <v>71</v>
      </c>
      <c r="J536" t="s">
        <v>10782</v>
      </c>
      <c r="K536" t="s">
        <v>12979</v>
      </c>
    </row>
    <row r="537" spans="1:11" ht="115.2" x14ac:dyDescent="0.3">
      <c r="A537" s="4" t="s">
        <v>3487</v>
      </c>
      <c r="B537">
        <v>2</v>
      </c>
      <c r="C537">
        <v>2024</v>
      </c>
      <c r="D537" t="s">
        <v>385</v>
      </c>
      <c r="E537">
        <v>0</v>
      </c>
      <c r="F537" t="s">
        <v>12980</v>
      </c>
      <c r="G537" t="s">
        <v>12981</v>
      </c>
      <c r="H537" s="4" t="s">
        <v>12982</v>
      </c>
      <c r="I537" t="s">
        <v>71</v>
      </c>
      <c r="J537" t="s">
        <v>10782</v>
      </c>
      <c r="K537" t="s">
        <v>12983</v>
      </c>
    </row>
    <row r="538" spans="1:11" ht="43.2" x14ac:dyDescent="0.3">
      <c r="A538" s="4" t="s">
        <v>4035</v>
      </c>
      <c r="B538">
        <v>3</v>
      </c>
      <c r="C538">
        <v>2024</v>
      </c>
      <c r="D538" t="s">
        <v>12984</v>
      </c>
      <c r="E538">
        <v>2</v>
      </c>
      <c r="F538" t="s">
        <v>12985</v>
      </c>
      <c r="G538" t="s">
        <v>12986</v>
      </c>
      <c r="H538" s="4" t="s">
        <v>12987</v>
      </c>
    </row>
    <row r="539" spans="1:11" ht="201.6" x14ac:dyDescent="0.3">
      <c r="A539" s="4" t="s">
        <v>4036</v>
      </c>
      <c r="B539">
        <v>3</v>
      </c>
      <c r="C539">
        <v>2024</v>
      </c>
      <c r="D539" t="s">
        <v>637</v>
      </c>
      <c r="E539">
        <v>1</v>
      </c>
      <c r="F539" t="s">
        <v>12988</v>
      </c>
      <c r="G539" t="s">
        <v>12989</v>
      </c>
      <c r="H539" s="4" t="s">
        <v>12990</v>
      </c>
      <c r="I539" t="s">
        <v>71</v>
      </c>
      <c r="J539" t="s">
        <v>10782</v>
      </c>
      <c r="K539" t="s">
        <v>12991</v>
      </c>
    </row>
    <row r="540" spans="1:11" ht="158.4" x14ac:dyDescent="0.3">
      <c r="A540" s="4" t="s">
        <v>4037</v>
      </c>
      <c r="B540">
        <v>3</v>
      </c>
      <c r="C540">
        <v>2024</v>
      </c>
      <c r="D540" t="s">
        <v>147</v>
      </c>
      <c r="E540">
        <v>8</v>
      </c>
      <c r="F540" t="s">
        <v>12992</v>
      </c>
      <c r="G540" t="s">
        <v>12993</v>
      </c>
      <c r="H540" s="4" t="s">
        <v>12994</v>
      </c>
      <c r="I540" t="s">
        <v>71</v>
      </c>
      <c r="J540" t="s">
        <v>10782</v>
      </c>
      <c r="K540" t="s">
        <v>12995</v>
      </c>
    </row>
    <row r="541" spans="1:11" ht="43.2" x14ac:dyDescent="0.3">
      <c r="A541" s="4" t="s">
        <v>4038</v>
      </c>
      <c r="B541">
        <v>3</v>
      </c>
      <c r="C541">
        <v>2024</v>
      </c>
      <c r="D541" t="s">
        <v>622</v>
      </c>
      <c r="E541">
        <v>0</v>
      </c>
      <c r="F541" t="s">
        <v>12996</v>
      </c>
      <c r="G541" t="s">
        <v>12997</v>
      </c>
      <c r="H541" s="4" t="s">
        <v>12998</v>
      </c>
    </row>
    <row r="542" spans="1:11" ht="244.8" x14ac:dyDescent="0.3">
      <c r="A542" s="4" t="s">
        <v>4039</v>
      </c>
      <c r="B542">
        <v>3</v>
      </c>
      <c r="C542">
        <v>2024</v>
      </c>
      <c r="D542" t="s">
        <v>11967</v>
      </c>
      <c r="E542">
        <v>6</v>
      </c>
      <c r="F542" t="s">
        <v>12999</v>
      </c>
      <c r="G542" t="s">
        <v>13000</v>
      </c>
      <c r="H542" s="4" t="s">
        <v>13001</v>
      </c>
      <c r="I542" t="s">
        <v>71</v>
      </c>
      <c r="J542" t="s">
        <v>10782</v>
      </c>
      <c r="K542" t="s">
        <v>13002</v>
      </c>
    </row>
    <row r="543" spans="1:11" ht="216" x14ac:dyDescent="0.3">
      <c r="A543" s="4" t="s">
        <v>3194</v>
      </c>
      <c r="B543">
        <v>1</v>
      </c>
      <c r="C543">
        <v>2024</v>
      </c>
      <c r="D543" t="s">
        <v>13003</v>
      </c>
      <c r="E543">
        <v>0</v>
      </c>
      <c r="F543" t="s">
        <v>13004</v>
      </c>
      <c r="G543" t="s">
        <v>13005</v>
      </c>
      <c r="H543" s="4" t="s">
        <v>13006</v>
      </c>
      <c r="I543" t="s">
        <v>71</v>
      </c>
      <c r="J543" t="s">
        <v>10782</v>
      </c>
      <c r="K543" t="s">
        <v>13007</v>
      </c>
    </row>
    <row r="544" spans="1:11" ht="172.8" x14ac:dyDescent="0.3">
      <c r="A544" s="4" t="s">
        <v>4040</v>
      </c>
      <c r="B544">
        <v>3</v>
      </c>
      <c r="C544">
        <v>2024</v>
      </c>
      <c r="D544" t="s">
        <v>13008</v>
      </c>
      <c r="E544">
        <v>0</v>
      </c>
      <c r="F544" t="s">
        <v>13009</v>
      </c>
      <c r="G544" t="s">
        <v>13010</v>
      </c>
      <c r="H544" s="4" t="s">
        <v>13011</v>
      </c>
      <c r="I544" t="s">
        <v>71</v>
      </c>
      <c r="J544" t="s">
        <v>10782</v>
      </c>
      <c r="K544" t="s">
        <v>13012</v>
      </c>
    </row>
    <row r="545" spans="1:11" ht="100.8" x14ac:dyDescent="0.3">
      <c r="A545" s="4" t="s">
        <v>4041</v>
      </c>
      <c r="B545">
        <v>3</v>
      </c>
      <c r="C545">
        <v>2024</v>
      </c>
      <c r="D545" t="s">
        <v>385</v>
      </c>
      <c r="E545">
        <v>2</v>
      </c>
      <c r="F545" t="s">
        <v>13013</v>
      </c>
      <c r="G545" t="s">
        <v>13014</v>
      </c>
      <c r="H545" s="4" t="s">
        <v>13015</v>
      </c>
      <c r="I545" t="s">
        <v>71</v>
      </c>
      <c r="J545" t="s">
        <v>10782</v>
      </c>
      <c r="K545" t="s">
        <v>13016</v>
      </c>
    </row>
    <row r="546" spans="1:11" ht="187.2" x14ac:dyDescent="0.3">
      <c r="A546" s="4" t="s">
        <v>3195</v>
      </c>
      <c r="B546">
        <v>1</v>
      </c>
      <c r="C546">
        <v>2024</v>
      </c>
      <c r="D546" t="s">
        <v>11164</v>
      </c>
      <c r="E546">
        <v>0</v>
      </c>
      <c r="F546" t="s">
        <v>13017</v>
      </c>
      <c r="G546" t="s">
        <v>13018</v>
      </c>
      <c r="H546" s="4" t="s">
        <v>13019</v>
      </c>
      <c r="I546" t="s">
        <v>71</v>
      </c>
      <c r="J546" t="s">
        <v>10782</v>
      </c>
      <c r="K546" t="s">
        <v>13020</v>
      </c>
    </row>
    <row r="547" spans="1:11" ht="201.6" x14ac:dyDescent="0.3">
      <c r="A547" s="4" t="s">
        <v>4042</v>
      </c>
      <c r="B547">
        <v>3</v>
      </c>
      <c r="C547">
        <v>2024</v>
      </c>
      <c r="D547" t="s">
        <v>13021</v>
      </c>
      <c r="E547">
        <v>1</v>
      </c>
      <c r="F547" t="s">
        <v>13022</v>
      </c>
      <c r="G547" t="s">
        <v>13023</v>
      </c>
      <c r="H547" s="4" t="s">
        <v>13024</v>
      </c>
      <c r="I547" t="s">
        <v>71</v>
      </c>
      <c r="J547" t="s">
        <v>10782</v>
      </c>
      <c r="K547" t="s">
        <v>13025</v>
      </c>
    </row>
    <row r="548" spans="1:11" ht="230.4" x14ac:dyDescent="0.3">
      <c r="A548" s="4" t="s">
        <v>4043</v>
      </c>
      <c r="B548">
        <v>3</v>
      </c>
      <c r="C548">
        <v>2024</v>
      </c>
      <c r="D548" t="s">
        <v>10057</v>
      </c>
      <c r="E548">
        <v>1</v>
      </c>
      <c r="F548" t="s">
        <v>13026</v>
      </c>
      <c r="G548" t="s">
        <v>13027</v>
      </c>
      <c r="H548" s="4" t="s">
        <v>13028</v>
      </c>
      <c r="I548" t="s">
        <v>71</v>
      </c>
      <c r="J548" t="s">
        <v>10782</v>
      </c>
      <c r="K548" t="s">
        <v>13029</v>
      </c>
    </row>
    <row r="549" spans="1:11" ht="259.2" x14ac:dyDescent="0.3">
      <c r="A549" s="4" t="s">
        <v>4044</v>
      </c>
      <c r="B549">
        <v>3</v>
      </c>
      <c r="C549">
        <v>2024</v>
      </c>
      <c r="D549" t="s">
        <v>11164</v>
      </c>
      <c r="E549">
        <v>1</v>
      </c>
      <c r="F549" t="s">
        <v>13030</v>
      </c>
      <c r="G549" t="s">
        <v>13031</v>
      </c>
      <c r="H549" s="4" t="s">
        <v>13032</v>
      </c>
      <c r="I549" t="s">
        <v>71</v>
      </c>
      <c r="J549" t="s">
        <v>10782</v>
      </c>
      <c r="K549" t="s">
        <v>13033</v>
      </c>
    </row>
    <row r="550" spans="1:11" ht="86.4" x14ac:dyDescent="0.3">
      <c r="A550" s="4" t="s">
        <v>513</v>
      </c>
      <c r="B550">
        <v>1</v>
      </c>
      <c r="C550">
        <v>2024</v>
      </c>
      <c r="D550" t="s">
        <v>514</v>
      </c>
      <c r="E550">
        <v>2</v>
      </c>
      <c r="F550" t="s">
        <v>13034</v>
      </c>
      <c r="G550" t="s">
        <v>13035</v>
      </c>
      <c r="H550" s="4" t="s">
        <v>13036</v>
      </c>
    </row>
    <row r="551" spans="1:11" ht="172.8" x14ac:dyDescent="0.3">
      <c r="A551" s="4" t="s">
        <v>4045</v>
      </c>
      <c r="B551">
        <v>3</v>
      </c>
      <c r="C551">
        <v>2024</v>
      </c>
      <c r="D551" t="s">
        <v>405</v>
      </c>
      <c r="E551">
        <v>0</v>
      </c>
      <c r="F551" t="s">
        <v>13037</v>
      </c>
      <c r="G551" t="s">
        <v>13038</v>
      </c>
      <c r="H551" s="4" t="s">
        <v>13039</v>
      </c>
      <c r="I551" t="s">
        <v>71</v>
      </c>
      <c r="J551" t="s">
        <v>10782</v>
      </c>
      <c r="K551" t="s">
        <v>13040</v>
      </c>
    </row>
    <row r="552" spans="1:11" ht="201.6" x14ac:dyDescent="0.3">
      <c r="A552" s="4" t="s">
        <v>527</v>
      </c>
      <c r="B552">
        <v>1</v>
      </c>
      <c r="C552">
        <v>2024</v>
      </c>
      <c r="D552" t="s">
        <v>528</v>
      </c>
      <c r="E552">
        <v>0</v>
      </c>
      <c r="F552" t="s">
        <v>13041</v>
      </c>
      <c r="G552" t="s">
        <v>13042</v>
      </c>
      <c r="H552" s="4" t="s">
        <v>13043</v>
      </c>
      <c r="I552" t="s">
        <v>71</v>
      </c>
      <c r="J552" t="s">
        <v>10782</v>
      </c>
      <c r="K552" t="s">
        <v>13044</v>
      </c>
    </row>
    <row r="553" spans="1:11" ht="158.4" x14ac:dyDescent="0.3">
      <c r="A553" s="4" t="s">
        <v>3196</v>
      </c>
      <c r="B553">
        <v>1</v>
      </c>
      <c r="C553">
        <v>2024</v>
      </c>
      <c r="D553" t="s">
        <v>773</v>
      </c>
      <c r="E553">
        <v>5</v>
      </c>
      <c r="F553" t="s">
        <v>13045</v>
      </c>
      <c r="G553" t="s">
        <v>13046</v>
      </c>
      <c r="H553" s="4" t="s">
        <v>13047</v>
      </c>
      <c r="I553" t="s">
        <v>71</v>
      </c>
      <c r="J553" t="s">
        <v>10782</v>
      </c>
      <c r="K553" t="s">
        <v>13048</v>
      </c>
    </row>
    <row r="554" spans="1:11" ht="172.8" x14ac:dyDescent="0.3">
      <c r="A554" s="4" t="s">
        <v>4046</v>
      </c>
      <c r="B554">
        <v>3</v>
      </c>
      <c r="C554">
        <v>2024</v>
      </c>
      <c r="D554" t="s">
        <v>13049</v>
      </c>
      <c r="E554">
        <v>4</v>
      </c>
      <c r="F554" t="s">
        <v>13050</v>
      </c>
      <c r="G554" t="s">
        <v>13051</v>
      </c>
      <c r="H554" s="4" t="s">
        <v>13052</v>
      </c>
      <c r="I554" t="s">
        <v>71</v>
      </c>
      <c r="J554" t="s">
        <v>10782</v>
      </c>
      <c r="K554" t="s">
        <v>13053</v>
      </c>
    </row>
    <row r="555" spans="1:11" ht="302.39999999999998" x14ac:dyDescent="0.3">
      <c r="A555" s="4" t="s">
        <v>4047</v>
      </c>
      <c r="B555">
        <v>3</v>
      </c>
      <c r="C555">
        <v>2024</v>
      </c>
      <c r="D555" t="s">
        <v>13054</v>
      </c>
      <c r="E555">
        <v>0</v>
      </c>
      <c r="G555" t="s">
        <v>13055</v>
      </c>
      <c r="H555" s="4" t="s">
        <v>13056</v>
      </c>
      <c r="I555" t="s">
        <v>71</v>
      </c>
      <c r="J555" t="s">
        <v>10782</v>
      </c>
      <c r="K555" t="s">
        <v>13057</v>
      </c>
    </row>
    <row r="556" spans="1:11" ht="144" x14ac:dyDescent="0.3">
      <c r="A556" s="4" t="s">
        <v>4048</v>
      </c>
      <c r="B556">
        <v>3</v>
      </c>
      <c r="C556">
        <v>2024</v>
      </c>
      <c r="D556" t="s">
        <v>590</v>
      </c>
      <c r="E556">
        <v>0</v>
      </c>
      <c r="F556" t="s">
        <v>13058</v>
      </c>
      <c r="G556" t="s">
        <v>13059</v>
      </c>
      <c r="H556" s="4" t="s">
        <v>13060</v>
      </c>
      <c r="I556" t="s">
        <v>71</v>
      </c>
      <c r="J556" t="s">
        <v>10782</v>
      </c>
      <c r="K556" t="s">
        <v>13061</v>
      </c>
    </row>
    <row r="557" spans="1:11" ht="187.2" x14ac:dyDescent="0.3">
      <c r="A557" s="4" t="s">
        <v>3488</v>
      </c>
      <c r="B557">
        <v>2</v>
      </c>
      <c r="C557">
        <v>2024</v>
      </c>
      <c r="D557" t="s">
        <v>329</v>
      </c>
      <c r="E557">
        <v>0</v>
      </c>
      <c r="F557" t="s">
        <v>13062</v>
      </c>
      <c r="G557" t="s">
        <v>13063</v>
      </c>
      <c r="H557" s="4" t="s">
        <v>13064</v>
      </c>
      <c r="I557" t="s">
        <v>71</v>
      </c>
      <c r="J557" t="s">
        <v>10782</v>
      </c>
      <c r="K557" t="s">
        <v>13065</v>
      </c>
    </row>
    <row r="558" spans="1:11" ht="201.6" x14ac:dyDescent="0.3">
      <c r="A558" s="4" t="s">
        <v>4049</v>
      </c>
      <c r="B558">
        <v>3</v>
      </c>
      <c r="C558">
        <v>2024</v>
      </c>
      <c r="D558" t="s">
        <v>13066</v>
      </c>
      <c r="E558">
        <v>0</v>
      </c>
      <c r="F558" t="s">
        <v>13067</v>
      </c>
      <c r="G558" t="s">
        <v>13068</v>
      </c>
      <c r="H558" s="4" t="s">
        <v>13069</v>
      </c>
      <c r="I558" t="s">
        <v>71</v>
      </c>
      <c r="J558" t="s">
        <v>10782</v>
      </c>
      <c r="K558" t="s">
        <v>13070</v>
      </c>
    </row>
    <row r="559" spans="1:11" ht="244.8" x14ac:dyDescent="0.3">
      <c r="A559" s="4" t="s">
        <v>4050</v>
      </c>
      <c r="B559">
        <v>3</v>
      </c>
      <c r="C559">
        <v>2024</v>
      </c>
      <c r="D559" t="s">
        <v>11774</v>
      </c>
      <c r="E559">
        <v>0</v>
      </c>
      <c r="F559" t="s">
        <v>13071</v>
      </c>
      <c r="G559" t="s">
        <v>13072</v>
      </c>
      <c r="H559" s="4" t="s">
        <v>13073</v>
      </c>
      <c r="I559" t="s">
        <v>71</v>
      </c>
      <c r="J559" t="s">
        <v>10782</v>
      </c>
      <c r="K559" t="s">
        <v>13074</v>
      </c>
    </row>
    <row r="560" spans="1:11" ht="172.8" x14ac:dyDescent="0.3">
      <c r="A560" s="4" t="s">
        <v>524</v>
      </c>
      <c r="B560">
        <v>1</v>
      </c>
      <c r="C560">
        <v>2024</v>
      </c>
      <c r="D560" t="s">
        <v>217</v>
      </c>
      <c r="E560">
        <v>2</v>
      </c>
      <c r="F560" t="s">
        <v>13075</v>
      </c>
      <c r="G560" t="s">
        <v>13076</v>
      </c>
      <c r="H560" s="4" t="s">
        <v>13077</v>
      </c>
      <c r="I560" t="s">
        <v>71</v>
      </c>
      <c r="J560" t="s">
        <v>10782</v>
      </c>
      <c r="K560" t="s">
        <v>13078</v>
      </c>
    </row>
    <row r="561" spans="1:11" ht="187.2" x14ac:dyDescent="0.3">
      <c r="A561" s="4" t="s">
        <v>4051</v>
      </c>
      <c r="B561">
        <v>3</v>
      </c>
      <c r="C561">
        <v>2024</v>
      </c>
      <c r="D561" t="s">
        <v>405</v>
      </c>
      <c r="E561">
        <v>0</v>
      </c>
      <c r="F561" t="s">
        <v>13079</v>
      </c>
      <c r="G561" t="s">
        <v>13080</v>
      </c>
      <c r="H561" s="4" t="s">
        <v>13081</v>
      </c>
      <c r="I561" t="s">
        <v>71</v>
      </c>
      <c r="J561" t="s">
        <v>10782</v>
      </c>
      <c r="K561" t="s">
        <v>13082</v>
      </c>
    </row>
    <row r="562" spans="1:11" ht="230.4" x14ac:dyDescent="0.3">
      <c r="A562" s="4" t="s">
        <v>4052</v>
      </c>
      <c r="B562">
        <v>3</v>
      </c>
      <c r="C562">
        <v>2024</v>
      </c>
      <c r="D562" t="s">
        <v>380</v>
      </c>
      <c r="E562">
        <v>5</v>
      </c>
      <c r="F562" t="s">
        <v>13083</v>
      </c>
      <c r="G562" t="s">
        <v>13084</v>
      </c>
      <c r="H562" s="4" t="s">
        <v>13085</v>
      </c>
      <c r="I562" t="s">
        <v>71</v>
      </c>
      <c r="J562" t="s">
        <v>10782</v>
      </c>
      <c r="K562" t="s">
        <v>13086</v>
      </c>
    </row>
    <row r="563" spans="1:11" ht="57.6" x14ac:dyDescent="0.3">
      <c r="A563" s="4" t="s">
        <v>4053</v>
      </c>
      <c r="B563">
        <v>3</v>
      </c>
      <c r="C563">
        <v>2024</v>
      </c>
      <c r="D563" t="s">
        <v>1002</v>
      </c>
      <c r="E563">
        <v>2</v>
      </c>
      <c r="F563" t="s">
        <v>13087</v>
      </c>
      <c r="G563" t="s">
        <v>13088</v>
      </c>
      <c r="H563" s="4" t="s">
        <v>13089</v>
      </c>
    </row>
    <row r="564" spans="1:11" ht="230.4" x14ac:dyDescent="0.3">
      <c r="A564" s="4" t="s">
        <v>537</v>
      </c>
      <c r="B564">
        <v>1</v>
      </c>
      <c r="C564">
        <v>2024</v>
      </c>
      <c r="D564" t="s">
        <v>538</v>
      </c>
      <c r="E564">
        <v>0</v>
      </c>
      <c r="F564" t="s">
        <v>13090</v>
      </c>
      <c r="G564" t="s">
        <v>13091</v>
      </c>
      <c r="H564" s="4" t="s">
        <v>13092</v>
      </c>
      <c r="I564" t="s">
        <v>71</v>
      </c>
      <c r="J564" t="s">
        <v>10782</v>
      </c>
      <c r="K564" t="s">
        <v>13093</v>
      </c>
    </row>
    <row r="565" spans="1:11" ht="172.8" x14ac:dyDescent="0.3">
      <c r="A565" s="4" t="s">
        <v>4054</v>
      </c>
      <c r="B565">
        <v>3</v>
      </c>
      <c r="C565">
        <v>2024</v>
      </c>
      <c r="D565" t="s">
        <v>482</v>
      </c>
      <c r="E565">
        <v>0</v>
      </c>
      <c r="F565" t="s">
        <v>13094</v>
      </c>
      <c r="G565" t="s">
        <v>13095</v>
      </c>
      <c r="H565" s="4" t="s">
        <v>13096</v>
      </c>
      <c r="I565" t="s">
        <v>10823</v>
      </c>
      <c r="J565" t="s">
        <v>10782</v>
      </c>
      <c r="K565" t="s">
        <v>13097</v>
      </c>
    </row>
    <row r="566" spans="1:11" ht="302.39999999999998" x14ac:dyDescent="0.3">
      <c r="A566" s="4" t="s">
        <v>4055</v>
      </c>
      <c r="B566">
        <v>3</v>
      </c>
      <c r="C566">
        <v>2024</v>
      </c>
      <c r="D566" t="s">
        <v>2763</v>
      </c>
      <c r="E566">
        <v>1</v>
      </c>
      <c r="F566" t="s">
        <v>13098</v>
      </c>
      <c r="G566" t="s">
        <v>13099</v>
      </c>
      <c r="H566" s="4" t="s">
        <v>13100</v>
      </c>
      <c r="I566" t="s">
        <v>71</v>
      </c>
      <c r="J566" t="s">
        <v>10782</v>
      </c>
      <c r="K566" t="s">
        <v>13101</v>
      </c>
    </row>
    <row r="567" spans="1:11" ht="172.8" x14ac:dyDescent="0.3">
      <c r="A567" s="4" t="s">
        <v>4056</v>
      </c>
      <c r="B567">
        <v>3</v>
      </c>
      <c r="C567">
        <v>2024</v>
      </c>
      <c r="D567" t="s">
        <v>13066</v>
      </c>
      <c r="E567">
        <v>6</v>
      </c>
      <c r="F567" t="s">
        <v>13102</v>
      </c>
      <c r="G567" t="s">
        <v>13103</v>
      </c>
      <c r="H567" s="4" t="s">
        <v>13104</v>
      </c>
      <c r="I567" t="s">
        <v>71</v>
      </c>
      <c r="J567" t="s">
        <v>10782</v>
      </c>
      <c r="K567" t="s">
        <v>13105</v>
      </c>
    </row>
    <row r="568" spans="1:11" ht="216" x14ac:dyDescent="0.3">
      <c r="A568" s="4" t="s">
        <v>4057</v>
      </c>
      <c r="B568">
        <v>3</v>
      </c>
      <c r="C568">
        <v>2024</v>
      </c>
      <c r="D568" t="s">
        <v>10104</v>
      </c>
      <c r="E568">
        <v>0</v>
      </c>
      <c r="F568" t="s">
        <v>13106</v>
      </c>
      <c r="G568" t="s">
        <v>13107</v>
      </c>
      <c r="H568" s="4" t="s">
        <v>13108</v>
      </c>
      <c r="I568" t="s">
        <v>71</v>
      </c>
      <c r="J568" t="s">
        <v>10782</v>
      </c>
      <c r="K568" t="s">
        <v>13109</v>
      </c>
    </row>
    <row r="569" spans="1:11" ht="216" x14ac:dyDescent="0.3">
      <c r="A569" s="4" t="s">
        <v>4058</v>
      </c>
      <c r="B569">
        <v>3</v>
      </c>
      <c r="C569">
        <v>2024</v>
      </c>
      <c r="D569" t="s">
        <v>13110</v>
      </c>
      <c r="E569">
        <v>2</v>
      </c>
      <c r="F569" t="s">
        <v>13111</v>
      </c>
      <c r="G569" t="s">
        <v>13112</v>
      </c>
      <c r="H569" s="4" t="s">
        <v>13113</v>
      </c>
      <c r="I569" t="s">
        <v>71</v>
      </c>
      <c r="J569" t="s">
        <v>10782</v>
      </c>
      <c r="K569" t="s">
        <v>13114</v>
      </c>
    </row>
    <row r="570" spans="1:11" ht="230.4" x14ac:dyDescent="0.3">
      <c r="A570" s="4" t="s">
        <v>4059</v>
      </c>
      <c r="B570">
        <v>3</v>
      </c>
      <c r="C570">
        <v>2024</v>
      </c>
      <c r="D570" t="s">
        <v>11041</v>
      </c>
      <c r="E570">
        <v>1</v>
      </c>
      <c r="F570" t="s">
        <v>13115</v>
      </c>
      <c r="G570" t="s">
        <v>13116</v>
      </c>
      <c r="H570" s="4" t="s">
        <v>13117</v>
      </c>
      <c r="I570" t="s">
        <v>71</v>
      </c>
      <c r="J570" t="s">
        <v>10782</v>
      </c>
      <c r="K570" t="s">
        <v>13118</v>
      </c>
    </row>
    <row r="571" spans="1:11" ht="187.2" x14ac:dyDescent="0.3">
      <c r="A571" s="4" t="s">
        <v>4060</v>
      </c>
      <c r="B571">
        <v>3</v>
      </c>
      <c r="C571">
        <v>2024</v>
      </c>
      <c r="D571" t="s">
        <v>637</v>
      </c>
      <c r="E571">
        <v>1</v>
      </c>
      <c r="F571" t="s">
        <v>13119</v>
      </c>
      <c r="G571" t="s">
        <v>13120</v>
      </c>
      <c r="H571" s="4" t="s">
        <v>13121</v>
      </c>
      <c r="I571" t="s">
        <v>10823</v>
      </c>
      <c r="J571" t="s">
        <v>10782</v>
      </c>
      <c r="K571" t="s">
        <v>13122</v>
      </c>
    </row>
    <row r="572" spans="1:11" ht="201.6" x14ac:dyDescent="0.3">
      <c r="A572" s="4" t="s">
        <v>3197</v>
      </c>
      <c r="B572">
        <v>1</v>
      </c>
      <c r="C572">
        <v>2024</v>
      </c>
      <c r="D572" t="s">
        <v>637</v>
      </c>
      <c r="E572">
        <v>2</v>
      </c>
      <c r="F572" t="s">
        <v>13123</v>
      </c>
      <c r="G572" t="s">
        <v>13124</v>
      </c>
      <c r="H572" s="4" t="s">
        <v>13125</v>
      </c>
      <c r="I572" t="s">
        <v>71</v>
      </c>
      <c r="J572" t="s">
        <v>10782</v>
      </c>
      <c r="K572" t="s">
        <v>13126</v>
      </c>
    </row>
    <row r="573" spans="1:11" ht="172.8" x14ac:dyDescent="0.3">
      <c r="A573" s="4" t="s">
        <v>4061</v>
      </c>
      <c r="B573">
        <v>3</v>
      </c>
      <c r="C573">
        <v>2024</v>
      </c>
      <c r="D573" t="s">
        <v>482</v>
      </c>
      <c r="E573">
        <v>3</v>
      </c>
      <c r="F573" t="s">
        <v>13127</v>
      </c>
      <c r="G573" t="s">
        <v>13128</v>
      </c>
      <c r="H573" s="4" t="s">
        <v>13129</v>
      </c>
      <c r="I573" t="s">
        <v>71</v>
      </c>
      <c r="J573" t="s">
        <v>10782</v>
      </c>
      <c r="K573" t="s">
        <v>13130</v>
      </c>
    </row>
    <row r="574" spans="1:11" ht="216" x14ac:dyDescent="0.3">
      <c r="A574" s="4" t="s">
        <v>4062</v>
      </c>
      <c r="B574">
        <v>3</v>
      </c>
      <c r="C574">
        <v>2024</v>
      </c>
      <c r="D574" t="s">
        <v>2628</v>
      </c>
      <c r="E574">
        <v>0</v>
      </c>
      <c r="F574" t="s">
        <v>13131</v>
      </c>
      <c r="G574" t="s">
        <v>13132</v>
      </c>
      <c r="H574" s="4" t="s">
        <v>13133</v>
      </c>
      <c r="I574" t="s">
        <v>71</v>
      </c>
      <c r="J574" t="s">
        <v>10782</v>
      </c>
      <c r="K574" t="s">
        <v>13134</v>
      </c>
    </row>
    <row r="575" spans="1:11" ht="172.8" x14ac:dyDescent="0.3">
      <c r="A575" s="4" t="s">
        <v>4063</v>
      </c>
      <c r="B575">
        <v>3</v>
      </c>
      <c r="C575">
        <v>2024</v>
      </c>
      <c r="D575" t="s">
        <v>11702</v>
      </c>
      <c r="E575">
        <v>11</v>
      </c>
      <c r="F575" t="s">
        <v>13135</v>
      </c>
      <c r="G575" t="s">
        <v>13136</v>
      </c>
      <c r="H575" s="4" t="s">
        <v>13137</v>
      </c>
      <c r="I575" t="s">
        <v>10823</v>
      </c>
      <c r="J575" t="s">
        <v>10782</v>
      </c>
      <c r="K575" t="s">
        <v>13138</v>
      </c>
    </row>
    <row r="576" spans="1:11" ht="230.4" x14ac:dyDescent="0.3">
      <c r="A576" s="4" t="s">
        <v>4064</v>
      </c>
      <c r="B576">
        <v>3</v>
      </c>
      <c r="C576">
        <v>2024</v>
      </c>
      <c r="D576" t="s">
        <v>329</v>
      </c>
      <c r="E576">
        <v>0</v>
      </c>
      <c r="F576" t="s">
        <v>13139</v>
      </c>
      <c r="G576" t="s">
        <v>13140</v>
      </c>
      <c r="H576" s="4" t="s">
        <v>13141</v>
      </c>
      <c r="I576" t="s">
        <v>71</v>
      </c>
      <c r="J576" t="s">
        <v>10782</v>
      </c>
      <c r="K576" t="s">
        <v>13142</v>
      </c>
    </row>
    <row r="577" spans="1:11" ht="129.6" x14ac:dyDescent="0.3">
      <c r="A577" s="4" t="s">
        <v>4065</v>
      </c>
      <c r="B577">
        <v>3</v>
      </c>
      <c r="C577">
        <v>2024</v>
      </c>
      <c r="D577" t="s">
        <v>724</v>
      </c>
      <c r="E577">
        <v>0</v>
      </c>
      <c r="F577" t="s">
        <v>13143</v>
      </c>
      <c r="G577" t="s">
        <v>13144</v>
      </c>
      <c r="H577" s="4" t="s">
        <v>13145</v>
      </c>
      <c r="I577" t="s">
        <v>71</v>
      </c>
      <c r="J577" t="s">
        <v>10782</v>
      </c>
      <c r="K577" t="s">
        <v>13146</v>
      </c>
    </row>
    <row r="578" spans="1:11" ht="201.6" x14ac:dyDescent="0.3">
      <c r="A578" s="4" t="s">
        <v>4066</v>
      </c>
      <c r="B578">
        <v>3</v>
      </c>
      <c r="C578">
        <v>2024</v>
      </c>
      <c r="D578" t="s">
        <v>773</v>
      </c>
      <c r="E578">
        <v>3</v>
      </c>
      <c r="F578" t="s">
        <v>13147</v>
      </c>
      <c r="G578" t="s">
        <v>13148</v>
      </c>
      <c r="H578" s="4" t="s">
        <v>13149</v>
      </c>
      <c r="I578" t="s">
        <v>71</v>
      </c>
      <c r="J578" t="s">
        <v>10782</v>
      </c>
      <c r="K578" t="s">
        <v>13150</v>
      </c>
    </row>
    <row r="579" spans="1:11" ht="216" x14ac:dyDescent="0.3">
      <c r="A579" s="4" t="s">
        <v>4067</v>
      </c>
      <c r="B579">
        <v>3</v>
      </c>
      <c r="C579">
        <v>2024</v>
      </c>
      <c r="D579" t="s">
        <v>217</v>
      </c>
      <c r="E579">
        <v>0</v>
      </c>
      <c r="F579" t="s">
        <v>13151</v>
      </c>
      <c r="G579" t="s">
        <v>13152</v>
      </c>
      <c r="H579" s="4" t="s">
        <v>13153</v>
      </c>
      <c r="I579" t="s">
        <v>71</v>
      </c>
      <c r="J579" t="s">
        <v>10782</v>
      </c>
      <c r="K579" t="s">
        <v>13154</v>
      </c>
    </row>
    <row r="580" spans="1:11" ht="187.2" x14ac:dyDescent="0.3">
      <c r="A580" s="4" t="s">
        <v>4068</v>
      </c>
      <c r="B580">
        <v>3</v>
      </c>
      <c r="C580">
        <v>2024</v>
      </c>
      <c r="D580" t="s">
        <v>1770</v>
      </c>
      <c r="E580">
        <v>0</v>
      </c>
      <c r="F580" t="s">
        <v>13155</v>
      </c>
      <c r="G580" t="s">
        <v>13156</v>
      </c>
      <c r="H580" s="4" t="s">
        <v>13157</v>
      </c>
      <c r="I580" t="s">
        <v>71</v>
      </c>
      <c r="J580" t="s">
        <v>10782</v>
      </c>
      <c r="K580" t="s">
        <v>13158</v>
      </c>
    </row>
    <row r="581" spans="1:11" ht="259.2" x14ac:dyDescent="0.3">
      <c r="A581" s="4" t="s">
        <v>2457</v>
      </c>
      <c r="B581">
        <v>2</v>
      </c>
      <c r="C581">
        <v>2024</v>
      </c>
      <c r="D581" t="s">
        <v>704</v>
      </c>
      <c r="E581">
        <v>10</v>
      </c>
      <c r="F581" t="s">
        <v>13159</v>
      </c>
      <c r="G581" t="s">
        <v>13160</v>
      </c>
      <c r="H581" s="4" t="s">
        <v>13161</v>
      </c>
    </row>
    <row r="582" spans="1:11" ht="216" x14ac:dyDescent="0.3">
      <c r="A582" s="4" t="s">
        <v>4069</v>
      </c>
      <c r="B582">
        <v>3</v>
      </c>
      <c r="C582">
        <v>2024</v>
      </c>
      <c r="D582" t="s">
        <v>10971</v>
      </c>
      <c r="E582">
        <v>3</v>
      </c>
      <c r="F582" t="s">
        <v>13162</v>
      </c>
      <c r="G582" t="s">
        <v>13163</v>
      </c>
      <c r="H582" s="4" t="s">
        <v>13164</v>
      </c>
      <c r="I582" t="s">
        <v>71</v>
      </c>
      <c r="J582" t="s">
        <v>10782</v>
      </c>
      <c r="K582" t="s">
        <v>13165</v>
      </c>
    </row>
    <row r="583" spans="1:11" ht="115.2" x14ac:dyDescent="0.3">
      <c r="A583" s="4" t="s">
        <v>3198</v>
      </c>
      <c r="B583">
        <v>1</v>
      </c>
      <c r="C583">
        <v>2024</v>
      </c>
      <c r="D583" t="s">
        <v>12318</v>
      </c>
      <c r="E583">
        <v>2</v>
      </c>
      <c r="F583" t="s">
        <v>13166</v>
      </c>
      <c r="G583" t="s">
        <v>13167</v>
      </c>
      <c r="H583" s="4" t="s">
        <v>13168</v>
      </c>
      <c r="I583" t="s">
        <v>71</v>
      </c>
      <c r="J583" t="s">
        <v>10782</v>
      </c>
      <c r="K583" t="s">
        <v>13169</v>
      </c>
    </row>
    <row r="584" spans="1:11" ht="201.6" x14ac:dyDescent="0.3">
      <c r="A584" s="4" t="s">
        <v>4070</v>
      </c>
      <c r="B584">
        <v>3</v>
      </c>
      <c r="C584">
        <v>2024</v>
      </c>
      <c r="D584" t="s">
        <v>13170</v>
      </c>
      <c r="E584">
        <v>1</v>
      </c>
      <c r="F584" t="s">
        <v>13171</v>
      </c>
      <c r="G584" t="s">
        <v>13172</v>
      </c>
      <c r="H584" s="4" t="s">
        <v>13173</v>
      </c>
      <c r="I584" t="s">
        <v>71</v>
      </c>
      <c r="J584" t="s">
        <v>10782</v>
      </c>
      <c r="K584" t="s">
        <v>13174</v>
      </c>
    </row>
    <row r="585" spans="1:11" ht="216" x14ac:dyDescent="0.3">
      <c r="A585" s="4" t="s">
        <v>4071</v>
      </c>
      <c r="B585">
        <v>3</v>
      </c>
      <c r="C585">
        <v>2024</v>
      </c>
      <c r="D585" t="s">
        <v>637</v>
      </c>
      <c r="E585">
        <v>0</v>
      </c>
      <c r="F585" t="s">
        <v>13175</v>
      </c>
      <c r="G585" t="s">
        <v>13176</v>
      </c>
      <c r="H585" s="4" t="s">
        <v>13177</v>
      </c>
      <c r="I585" t="s">
        <v>71</v>
      </c>
      <c r="J585" t="s">
        <v>10782</v>
      </c>
      <c r="K585" t="s">
        <v>13178</v>
      </c>
    </row>
    <row r="586" spans="1:11" ht="144" x14ac:dyDescent="0.3">
      <c r="A586" s="4" t="s">
        <v>3199</v>
      </c>
      <c r="B586">
        <v>1</v>
      </c>
      <c r="C586">
        <v>2024</v>
      </c>
      <c r="D586" t="s">
        <v>10104</v>
      </c>
      <c r="E586">
        <v>3</v>
      </c>
      <c r="F586" t="s">
        <v>13179</v>
      </c>
      <c r="G586" t="s">
        <v>13180</v>
      </c>
      <c r="H586" s="4" t="s">
        <v>13181</v>
      </c>
      <c r="I586" t="s">
        <v>71</v>
      </c>
      <c r="J586" t="s">
        <v>10782</v>
      </c>
      <c r="K586" t="s">
        <v>13182</v>
      </c>
    </row>
    <row r="587" spans="1:11" ht="201.6" x14ac:dyDescent="0.3">
      <c r="A587" s="4" t="s">
        <v>4072</v>
      </c>
      <c r="B587">
        <v>3</v>
      </c>
      <c r="C587">
        <v>2024</v>
      </c>
      <c r="D587" t="s">
        <v>1125</v>
      </c>
      <c r="E587">
        <v>1</v>
      </c>
      <c r="F587" t="s">
        <v>13183</v>
      </c>
      <c r="G587" t="s">
        <v>13184</v>
      </c>
      <c r="H587" s="4" t="s">
        <v>13185</v>
      </c>
      <c r="I587" t="s">
        <v>10945</v>
      </c>
      <c r="J587" t="s">
        <v>10782</v>
      </c>
      <c r="K587" t="s">
        <v>13186</v>
      </c>
    </row>
    <row r="588" spans="1:11" ht="158.4" x14ac:dyDescent="0.3">
      <c r="A588" s="4" t="s">
        <v>542</v>
      </c>
      <c r="B588">
        <v>1</v>
      </c>
      <c r="C588">
        <v>2024</v>
      </c>
      <c r="D588" t="s">
        <v>544</v>
      </c>
      <c r="E588">
        <v>0</v>
      </c>
      <c r="F588" t="s">
        <v>13187</v>
      </c>
      <c r="G588" t="s">
        <v>13188</v>
      </c>
      <c r="H588" s="4" t="s">
        <v>13189</v>
      </c>
      <c r="I588" t="s">
        <v>71</v>
      </c>
      <c r="J588" t="s">
        <v>10782</v>
      </c>
      <c r="K588" t="s">
        <v>13190</v>
      </c>
    </row>
    <row r="589" spans="1:11" ht="273.60000000000002" x14ac:dyDescent="0.3">
      <c r="A589" s="4" t="s">
        <v>4073</v>
      </c>
      <c r="B589">
        <v>3</v>
      </c>
      <c r="C589">
        <v>2024</v>
      </c>
      <c r="D589" t="s">
        <v>80</v>
      </c>
      <c r="E589">
        <v>2</v>
      </c>
      <c r="F589" t="s">
        <v>13191</v>
      </c>
      <c r="G589" t="s">
        <v>13192</v>
      </c>
      <c r="H589" s="4" t="s">
        <v>13193</v>
      </c>
      <c r="I589" t="s">
        <v>71</v>
      </c>
      <c r="J589" t="s">
        <v>10782</v>
      </c>
      <c r="K589" t="s">
        <v>13194</v>
      </c>
    </row>
    <row r="590" spans="1:11" ht="273.60000000000002" x14ac:dyDescent="0.3">
      <c r="A590" s="4" t="s">
        <v>4074</v>
      </c>
      <c r="B590">
        <v>3</v>
      </c>
      <c r="C590">
        <v>2024</v>
      </c>
      <c r="D590" t="s">
        <v>11007</v>
      </c>
      <c r="E590">
        <v>5</v>
      </c>
      <c r="F590" t="s">
        <v>13195</v>
      </c>
      <c r="G590" t="s">
        <v>13196</v>
      </c>
      <c r="H590" s="4" t="s">
        <v>13197</v>
      </c>
      <c r="I590" t="s">
        <v>71</v>
      </c>
      <c r="J590" t="s">
        <v>10782</v>
      </c>
      <c r="K590" t="s">
        <v>13198</v>
      </c>
    </row>
    <row r="591" spans="1:11" ht="158.4" x14ac:dyDescent="0.3">
      <c r="A591" s="4" t="s">
        <v>4075</v>
      </c>
      <c r="B591">
        <v>3</v>
      </c>
      <c r="C591">
        <v>2024</v>
      </c>
      <c r="D591" t="s">
        <v>11414</v>
      </c>
      <c r="E591">
        <v>1</v>
      </c>
      <c r="F591" t="s">
        <v>13199</v>
      </c>
      <c r="G591" t="s">
        <v>13200</v>
      </c>
      <c r="H591" s="4" t="s">
        <v>13201</v>
      </c>
      <c r="I591" t="s">
        <v>71</v>
      </c>
      <c r="J591" t="s">
        <v>10782</v>
      </c>
      <c r="K591" t="s">
        <v>13202</v>
      </c>
    </row>
    <row r="592" spans="1:11" ht="316.8" x14ac:dyDescent="0.3">
      <c r="A592" s="4" t="s">
        <v>4076</v>
      </c>
      <c r="B592">
        <v>3</v>
      </c>
      <c r="C592">
        <v>2024</v>
      </c>
      <c r="D592" t="s">
        <v>10924</v>
      </c>
      <c r="E592">
        <v>1</v>
      </c>
      <c r="F592" t="s">
        <v>13203</v>
      </c>
      <c r="G592" t="s">
        <v>13204</v>
      </c>
      <c r="H592" s="4" t="s">
        <v>13205</v>
      </c>
      <c r="I592" t="s">
        <v>71</v>
      </c>
      <c r="J592" t="s">
        <v>10782</v>
      </c>
      <c r="K592" t="s">
        <v>13206</v>
      </c>
    </row>
    <row r="593" spans="1:11" ht="259.2" x14ac:dyDescent="0.3">
      <c r="A593" s="4" t="s">
        <v>4077</v>
      </c>
      <c r="B593">
        <v>3</v>
      </c>
      <c r="C593">
        <v>2024</v>
      </c>
      <c r="D593" t="s">
        <v>1125</v>
      </c>
      <c r="E593">
        <v>0</v>
      </c>
      <c r="F593" t="s">
        <v>13207</v>
      </c>
      <c r="G593" t="s">
        <v>13208</v>
      </c>
      <c r="H593" s="4" t="s">
        <v>13209</v>
      </c>
    </row>
    <row r="594" spans="1:11" ht="172.8" x14ac:dyDescent="0.3">
      <c r="A594" s="4" t="s">
        <v>4078</v>
      </c>
      <c r="B594">
        <v>3</v>
      </c>
      <c r="C594">
        <v>2024</v>
      </c>
      <c r="D594" t="s">
        <v>13210</v>
      </c>
      <c r="E594">
        <v>0</v>
      </c>
      <c r="F594" t="s">
        <v>13211</v>
      </c>
      <c r="G594" t="s">
        <v>13212</v>
      </c>
      <c r="H594" s="4" t="s">
        <v>13213</v>
      </c>
      <c r="I594" t="s">
        <v>71</v>
      </c>
      <c r="J594" t="s">
        <v>10782</v>
      </c>
      <c r="K594" t="s">
        <v>13214</v>
      </c>
    </row>
    <row r="595" spans="1:11" ht="43.2" x14ac:dyDescent="0.3">
      <c r="A595" s="4" t="s">
        <v>4079</v>
      </c>
      <c r="B595">
        <v>3</v>
      </c>
      <c r="C595">
        <v>2024</v>
      </c>
      <c r="D595" t="s">
        <v>10937</v>
      </c>
      <c r="E595">
        <v>0</v>
      </c>
      <c r="F595" t="s">
        <v>13215</v>
      </c>
      <c r="G595" t="s">
        <v>13216</v>
      </c>
      <c r="H595" s="4" t="s">
        <v>13217</v>
      </c>
    </row>
    <row r="596" spans="1:11" ht="144" x14ac:dyDescent="0.3">
      <c r="A596" s="4" t="s">
        <v>549</v>
      </c>
      <c r="B596">
        <v>1</v>
      </c>
      <c r="C596">
        <v>2024</v>
      </c>
      <c r="D596" t="s">
        <v>550</v>
      </c>
      <c r="E596">
        <v>0</v>
      </c>
      <c r="F596" t="s">
        <v>13218</v>
      </c>
      <c r="G596" t="s">
        <v>13219</v>
      </c>
      <c r="H596" s="4" t="s">
        <v>13220</v>
      </c>
      <c r="I596" t="s">
        <v>71</v>
      </c>
      <c r="J596" t="s">
        <v>10782</v>
      </c>
      <c r="K596" t="s">
        <v>13221</v>
      </c>
    </row>
    <row r="597" spans="1:11" ht="172.8" x14ac:dyDescent="0.3">
      <c r="A597" s="4" t="s">
        <v>4080</v>
      </c>
      <c r="B597">
        <v>3</v>
      </c>
      <c r="C597">
        <v>2024</v>
      </c>
      <c r="D597" t="s">
        <v>147</v>
      </c>
      <c r="E597">
        <v>2</v>
      </c>
      <c r="F597" t="s">
        <v>13222</v>
      </c>
      <c r="G597" t="s">
        <v>13223</v>
      </c>
      <c r="H597" s="4" t="s">
        <v>13224</v>
      </c>
      <c r="I597" t="s">
        <v>71</v>
      </c>
      <c r="J597" t="s">
        <v>10782</v>
      </c>
      <c r="K597" t="s">
        <v>13225</v>
      </c>
    </row>
    <row r="598" spans="1:11" ht="216" x14ac:dyDescent="0.3">
      <c r="A598" s="4" t="s">
        <v>4081</v>
      </c>
      <c r="B598">
        <v>3</v>
      </c>
      <c r="C598">
        <v>2024</v>
      </c>
      <c r="D598" t="s">
        <v>11598</v>
      </c>
      <c r="E598">
        <v>1</v>
      </c>
      <c r="F598" t="s">
        <v>13226</v>
      </c>
      <c r="G598" t="s">
        <v>13227</v>
      </c>
      <c r="H598" s="4" t="s">
        <v>13228</v>
      </c>
      <c r="I598" t="s">
        <v>71</v>
      </c>
      <c r="J598" t="s">
        <v>10782</v>
      </c>
      <c r="K598" t="s">
        <v>13229</v>
      </c>
    </row>
    <row r="599" spans="1:11" ht="187.2" x14ac:dyDescent="0.3">
      <c r="A599" s="4" t="s">
        <v>4082</v>
      </c>
      <c r="B599">
        <v>3</v>
      </c>
      <c r="C599">
        <v>2024</v>
      </c>
      <c r="D599" t="s">
        <v>10825</v>
      </c>
      <c r="E599">
        <v>1</v>
      </c>
      <c r="F599" t="s">
        <v>13230</v>
      </c>
      <c r="G599" t="s">
        <v>13231</v>
      </c>
      <c r="H599" s="4" t="s">
        <v>13232</v>
      </c>
      <c r="I599" t="s">
        <v>71</v>
      </c>
      <c r="J599" t="s">
        <v>10782</v>
      </c>
      <c r="K599" t="s">
        <v>13233</v>
      </c>
    </row>
    <row r="600" spans="1:11" ht="158.4" x14ac:dyDescent="0.3">
      <c r="A600" s="4" t="s">
        <v>3200</v>
      </c>
      <c r="B600">
        <v>1</v>
      </c>
      <c r="C600">
        <v>2024</v>
      </c>
      <c r="D600" t="s">
        <v>147</v>
      </c>
      <c r="E600">
        <v>9</v>
      </c>
      <c r="F600" t="s">
        <v>13234</v>
      </c>
      <c r="G600" t="s">
        <v>13235</v>
      </c>
      <c r="H600" s="4" t="s">
        <v>13236</v>
      </c>
      <c r="I600" t="s">
        <v>71</v>
      </c>
      <c r="J600" t="s">
        <v>10782</v>
      </c>
      <c r="K600" t="s">
        <v>13237</v>
      </c>
    </row>
    <row r="601" spans="1:11" ht="172.8" x14ac:dyDescent="0.3">
      <c r="A601" s="4" t="s">
        <v>4083</v>
      </c>
      <c r="B601">
        <v>3</v>
      </c>
      <c r="C601">
        <v>2024</v>
      </c>
      <c r="D601" t="s">
        <v>2416</v>
      </c>
      <c r="E601">
        <v>3</v>
      </c>
      <c r="F601" t="s">
        <v>13238</v>
      </c>
      <c r="G601" t="s">
        <v>13239</v>
      </c>
      <c r="H601" s="4" t="s">
        <v>13240</v>
      </c>
      <c r="I601" t="s">
        <v>71</v>
      </c>
      <c r="J601" t="s">
        <v>10782</v>
      </c>
      <c r="K601" t="s">
        <v>13241</v>
      </c>
    </row>
    <row r="602" spans="1:11" ht="187.2" x14ac:dyDescent="0.3">
      <c r="A602" s="4" t="s">
        <v>4084</v>
      </c>
      <c r="B602">
        <v>3</v>
      </c>
      <c r="C602">
        <v>2024</v>
      </c>
      <c r="D602" t="s">
        <v>1002</v>
      </c>
      <c r="E602">
        <v>1</v>
      </c>
      <c r="F602" t="s">
        <v>13242</v>
      </c>
      <c r="G602" t="s">
        <v>13243</v>
      </c>
      <c r="H602" s="4" t="s">
        <v>13244</v>
      </c>
      <c r="I602" t="s">
        <v>71</v>
      </c>
      <c r="J602" t="s">
        <v>10782</v>
      </c>
      <c r="K602" t="s">
        <v>13245</v>
      </c>
    </row>
    <row r="603" spans="1:11" ht="187.2" x14ac:dyDescent="0.3">
      <c r="A603" s="4" t="s">
        <v>4085</v>
      </c>
      <c r="B603">
        <v>3</v>
      </c>
      <c r="C603">
        <v>2024</v>
      </c>
      <c r="D603" t="s">
        <v>318</v>
      </c>
      <c r="E603">
        <v>0</v>
      </c>
      <c r="F603" t="s">
        <v>13246</v>
      </c>
      <c r="G603" t="s">
        <v>13247</v>
      </c>
      <c r="H603" s="4" t="s">
        <v>13248</v>
      </c>
      <c r="I603" t="s">
        <v>71</v>
      </c>
      <c r="J603" t="s">
        <v>10782</v>
      </c>
      <c r="K603" t="s">
        <v>13249</v>
      </c>
    </row>
    <row r="604" spans="1:11" ht="172.8" x14ac:dyDescent="0.3">
      <c r="A604" s="4" t="s">
        <v>4086</v>
      </c>
      <c r="B604">
        <v>3</v>
      </c>
      <c r="C604">
        <v>2024</v>
      </c>
      <c r="D604" t="s">
        <v>2018</v>
      </c>
      <c r="E604">
        <v>2</v>
      </c>
      <c r="F604" t="s">
        <v>13250</v>
      </c>
      <c r="G604" t="s">
        <v>13251</v>
      </c>
      <c r="H604" s="4" t="s">
        <v>13252</v>
      </c>
      <c r="I604" t="s">
        <v>71</v>
      </c>
      <c r="J604" t="s">
        <v>10782</v>
      </c>
      <c r="K604" t="s">
        <v>13253</v>
      </c>
    </row>
    <row r="605" spans="1:11" ht="201.6" x14ac:dyDescent="0.3">
      <c r="A605" s="4" t="s">
        <v>4087</v>
      </c>
      <c r="B605">
        <v>3</v>
      </c>
      <c r="C605">
        <v>2024</v>
      </c>
      <c r="D605" t="s">
        <v>13254</v>
      </c>
      <c r="E605">
        <v>0</v>
      </c>
      <c r="F605" t="s">
        <v>13255</v>
      </c>
      <c r="G605" t="s">
        <v>13256</v>
      </c>
      <c r="H605" s="4" t="s">
        <v>13257</v>
      </c>
      <c r="I605" t="s">
        <v>71</v>
      </c>
      <c r="J605" t="s">
        <v>10782</v>
      </c>
      <c r="K605" t="s">
        <v>13258</v>
      </c>
    </row>
    <row r="606" spans="1:11" ht="230.4" x14ac:dyDescent="0.3">
      <c r="A606" s="4" t="s">
        <v>4088</v>
      </c>
      <c r="B606">
        <v>3</v>
      </c>
      <c r="C606">
        <v>2024</v>
      </c>
      <c r="D606" t="s">
        <v>11041</v>
      </c>
      <c r="E606">
        <v>0</v>
      </c>
      <c r="F606" t="s">
        <v>13259</v>
      </c>
      <c r="G606" t="s">
        <v>13260</v>
      </c>
      <c r="H606" s="4" t="s">
        <v>13261</v>
      </c>
      <c r="I606" t="s">
        <v>71</v>
      </c>
      <c r="J606" t="s">
        <v>10782</v>
      </c>
      <c r="K606" t="s">
        <v>13262</v>
      </c>
    </row>
    <row r="607" spans="1:11" ht="158.4" x14ac:dyDescent="0.3">
      <c r="A607" s="4" t="s">
        <v>4089</v>
      </c>
      <c r="B607">
        <v>3</v>
      </c>
      <c r="C607">
        <v>2024</v>
      </c>
      <c r="D607" t="s">
        <v>164</v>
      </c>
      <c r="E607">
        <v>0</v>
      </c>
      <c r="F607" t="s">
        <v>13263</v>
      </c>
      <c r="G607" t="s">
        <v>13264</v>
      </c>
      <c r="H607" s="4" t="s">
        <v>13265</v>
      </c>
      <c r="I607" t="s">
        <v>71</v>
      </c>
      <c r="J607" t="s">
        <v>10782</v>
      </c>
      <c r="K607" t="s">
        <v>13266</v>
      </c>
    </row>
    <row r="608" spans="1:11" ht="201.6" x14ac:dyDescent="0.3">
      <c r="A608" s="4" t="s">
        <v>557</v>
      </c>
      <c r="B608">
        <v>1</v>
      </c>
      <c r="C608">
        <v>2024</v>
      </c>
      <c r="D608" t="s">
        <v>318</v>
      </c>
      <c r="E608">
        <v>3</v>
      </c>
      <c r="F608" t="s">
        <v>13267</v>
      </c>
      <c r="G608" t="s">
        <v>13268</v>
      </c>
      <c r="H608" s="4" t="s">
        <v>13269</v>
      </c>
      <c r="I608" t="s">
        <v>71</v>
      </c>
      <c r="J608" t="s">
        <v>10782</v>
      </c>
      <c r="K608" t="s">
        <v>13270</v>
      </c>
    </row>
    <row r="609" spans="1:11" ht="201.6" x14ac:dyDescent="0.3">
      <c r="A609" s="4" t="s">
        <v>4090</v>
      </c>
      <c r="B609">
        <v>3</v>
      </c>
      <c r="C609">
        <v>2024</v>
      </c>
      <c r="D609" t="s">
        <v>2201</v>
      </c>
      <c r="E609">
        <v>0</v>
      </c>
      <c r="F609" t="s">
        <v>13271</v>
      </c>
      <c r="G609" t="s">
        <v>13272</v>
      </c>
      <c r="H609" s="4" t="s">
        <v>13273</v>
      </c>
      <c r="I609" t="s">
        <v>71</v>
      </c>
      <c r="J609" t="s">
        <v>10782</v>
      </c>
      <c r="K609" t="s">
        <v>13274</v>
      </c>
    </row>
    <row r="610" spans="1:11" ht="216" x14ac:dyDescent="0.3">
      <c r="A610" s="4" t="s">
        <v>4091</v>
      </c>
      <c r="B610">
        <v>3</v>
      </c>
      <c r="C610">
        <v>2024</v>
      </c>
      <c r="D610" t="s">
        <v>318</v>
      </c>
      <c r="E610">
        <v>3</v>
      </c>
      <c r="F610" t="s">
        <v>13275</v>
      </c>
      <c r="G610" t="s">
        <v>13276</v>
      </c>
      <c r="H610" s="4" t="s">
        <v>13277</v>
      </c>
      <c r="I610" t="s">
        <v>71</v>
      </c>
      <c r="J610" t="s">
        <v>10782</v>
      </c>
      <c r="K610" t="s">
        <v>13278</v>
      </c>
    </row>
    <row r="611" spans="1:11" ht="230.4" x14ac:dyDescent="0.3">
      <c r="A611" s="4" t="s">
        <v>4092</v>
      </c>
      <c r="B611">
        <v>3</v>
      </c>
      <c r="C611">
        <v>2024</v>
      </c>
      <c r="D611" t="s">
        <v>13279</v>
      </c>
      <c r="E611">
        <v>2</v>
      </c>
      <c r="F611" t="s">
        <v>13280</v>
      </c>
      <c r="G611" t="s">
        <v>13281</v>
      </c>
      <c r="H611" s="4" t="s">
        <v>13282</v>
      </c>
    </row>
    <row r="612" spans="1:11" ht="331.2" x14ac:dyDescent="0.3">
      <c r="A612" s="4" t="s">
        <v>4093</v>
      </c>
      <c r="B612">
        <v>3</v>
      </c>
      <c r="C612">
        <v>2024</v>
      </c>
      <c r="D612" t="s">
        <v>202</v>
      </c>
      <c r="E612">
        <v>3</v>
      </c>
      <c r="F612" t="s">
        <v>13283</v>
      </c>
      <c r="G612" t="s">
        <v>13284</v>
      </c>
      <c r="H612" s="4" t="s">
        <v>13285</v>
      </c>
      <c r="I612" t="s">
        <v>71</v>
      </c>
      <c r="J612" t="s">
        <v>10782</v>
      </c>
      <c r="K612" t="s">
        <v>13286</v>
      </c>
    </row>
    <row r="613" spans="1:11" ht="201.6" x14ac:dyDescent="0.3">
      <c r="A613" s="4" t="s">
        <v>3201</v>
      </c>
      <c r="B613">
        <v>1</v>
      </c>
      <c r="C613">
        <v>2024</v>
      </c>
      <c r="D613" t="s">
        <v>11414</v>
      </c>
      <c r="E613">
        <v>0</v>
      </c>
      <c r="F613" t="s">
        <v>13287</v>
      </c>
      <c r="G613" t="s">
        <v>13288</v>
      </c>
      <c r="H613" s="4" t="s">
        <v>13289</v>
      </c>
      <c r="I613" t="s">
        <v>71</v>
      </c>
      <c r="J613" t="s">
        <v>10782</v>
      </c>
      <c r="K613" t="s">
        <v>13290</v>
      </c>
    </row>
    <row r="614" spans="1:11" ht="216" x14ac:dyDescent="0.3">
      <c r="A614" s="4" t="s">
        <v>2455</v>
      </c>
      <c r="B614">
        <v>2</v>
      </c>
      <c r="C614">
        <v>2024</v>
      </c>
      <c r="D614" t="s">
        <v>318</v>
      </c>
      <c r="E614">
        <v>2</v>
      </c>
      <c r="F614" t="s">
        <v>13291</v>
      </c>
      <c r="G614" t="s">
        <v>13292</v>
      </c>
      <c r="H614" s="4" t="s">
        <v>13293</v>
      </c>
      <c r="I614" t="s">
        <v>71</v>
      </c>
      <c r="J614" t="s">
        <v>10782</v>
      </c>
      <c r="K614" t="s">
        <v>13294</v>
      </c>
    </row>
    <row r="615" spans="1:11" ht="100.8" x14ac:dyDescent="0.3">
      <c r="A615" s="4" t="s">
        <v>4094</v>
      </c>
      <c r="B615">
        <v>3</v>
      </c>
      <c r="C615">
        <v>2024</v>
      </c>
      <c r="D615" t="s">
        <v>2416</v>
      </c>
      <c r="E615">
        <v>0</v>
      </c>
      <c r="F615" t="s">
        <v>13295</v>
      </c>
      <c r="G615" t="s">
        <v>13296</v>
      </c>
      <c r="H615" s="4" t="s">
        <v>13297</v>
      </c>
      <c r="I615" t="s">
        <v>71</v>
      </c>
      <c r="J615" t="s">
        <v>10782</v>
      </c>
      <c r="K615" t="s">
        <v>13298</v>
      </c>
    </row>
    <row r="616" spans="1:11" ht="201.6" x14ac:dyDescent="0.3">
      <c r="A616" s="4" t="s">
        <v>4095</v>
      </c>
      <c r="B616">
        <v>3</v>
      </c>
      <c r="C616">
        <v>2024</v>
      </c>
      <c r="D616" t="s">
        <v>13299</v>
      </c>
      <c r="E616">
        <v>3</v>
      </c>
      <c r="F616" t="s">
        <v>13300</v>
      </c>
      <c r="G616" t="s">
        <v>13301</v>
      </c>
      <c r="H616" s="4" t="s">
        <v>13302</v>
      </c>
      <c r="I616" t="s">
        <v>71</v>
      </c>
      <c r="J616" t="s">
        <v>10782</v>
      </c>
      <c r="K616" t="s">
        <v>13303</v>
      </c>
    </row>
    <row r="617" spans="1:11" ht="129.6" x14ac:dyDescent="0.3">
      <c r="A617" s="4" t="s">
        <v>4096</v>
      </c>
      <c r="B617">
        <v>3</v>
      </c>
      <c r="C617">
        <v>2024</v>
      </c>
      <c r="D617" t="s">
        <v>11164</v>
      </c>
      <c r="E617">
        <v>0</v>
      </c>
      <c r="F617" t="s">
        <v>13304</v>
      </c>
      <c r="G617" t="s">
        <v>13305</v>
      </c>
      <c r="H617" s="4" t="s">
        <v>13306</v>
      </c>
      <c r="I617" t="s">
        <v>71</v>
      </c>
      <c r="J617" t="s">
        <v>10782</v>
      </c>
      <c r="K617" t="s">
        <v>13307</v>
      </c>
    </row>
    <row r="618" spans="1:11" ht="158.4" x14ac:dyDescent="0.3">
      <c r="A618" s="4" t="s">
        <v>4097</v>
      </c>
      <c r="B618">
        <v>3</v>
      </c>
      <c r="C618">
        <v>2024</v>
      </c>
      <c r="D618" t="s">
        <v>704</v>
      </c>
      <c r="E618">
        <v>1</v>
      </c>
      <c r="F618" t="s">
        <v>13308</v>
      </c>
      <c r="G618" t="s">
        <v>13309</v>
      </c>
      <c r="H618" s="4" t="s">
        <v>13310</v>
      </c>
      <c r="I618" t="s">
        <v>10823</v>
      </c>
      <c r="J618" t="s">
        <v>10782</v>
      </c>
      <c r="K618" t="s">
        <v>13311</v>
      </c>
    </row>
    <row r="619" spans="1:11" ht="158.4" x14ac:dyDescent="0.3">
      <c r="A619" s="4" t="s">
        <v>4098</v>
      </c>
      <c r="B619">
        <v>3</v>
      </c>
      <c r="C619">
        <v>2024</v>
      </c>
      <c r="D619" t="s">
        <v>1125</v>
      </c>
      <c r="E619">
        <v>1</v>
      </c>
      <c r="F619" t="s">
        <v>13312</v>
      </c>
      <c r="G619" t="s">
        <v>13313</v>
      </c>
      <c r="H619" s="4" t="s">
        <v>13314</v>
      </c>
      <c r="I619" t="s">
        <v>10945</v>
      </c>
      <c r="J619" t="s">
        <v>10782</v>
      </c>
      <c r="K619" t="s">
        <v>13315</v>
      </c>
    </row>
    <row r="620" spans="1:11" ht="201.6" x14ac:dyDescent="0.3">
      <c r="A620" s="4" t="s">
        <v>570</v>
      </c>
      <c r="B620">
        <v>1</v>
      </c>
      <c r="C620">
        <v>2024</v>
      </c>
      <c r="D620" t="s">
        <v>217</v>
      </c>
      <c r="E620">
        <v>6</v>
      </c>
      <c r="F620" t="s">
        <v>13316</v>
      </c>
      <c r="G620" t="s">
        <v>13317</v>
      </c>
      <c r="H620" s="4" t="s">
        <v>13318</v>
      </c>
      <c r="I620" t="s">
        <v>71</v>
      </c>
      <c r="J620" t="s">
        <v>10782</v>
      </c>
      <c r="K620" t="s">
        <v>13319</v>
      </c>
    </row>
    <row r="621" spans="1:11" ht="244.8" x14ac:dyDescent="0.3">
      <c r="A621" s="4" t="s">
        <v>4099</v>
      </c>
      <c r="B621">
        <v>3</v>
      </c>
      <c r="C621">
        <v>2024</v>
      </c>
      <c r="D621" t="s">
        <v>217</v>
      </c>
      <c r="E621">
        <v>8</v>
      </c>
      <c r="F621" t="s">
        <v>13320</v>
      </c>
      <c r="G621" t="s">
        <v>13321</v>
      </c>
      <c r="H621" s="4" t="s">
        <v>13322</v>
      </c>
      <c r="I621" t="s">
        <v>71</v>
      </c>
      <c r="J621" t="s">
        <v>10782</v>
      </c>
      <c r="K621" t="s">
        <v>13323</v>
      </c>
    </row>
    <row r="622" spans="1:11" ht="86.4" x14ac:dyDescent="0.3">
      <c r="A622" s="4" t="s">
        <v>4100</v>
      </c>
      <c r="B622">
        <v>3</v>
      </c>
      <c r="C622">
        <v>2024</v>
      </c>
      <c r="D622" t="s">
        <v>13324</v>
      </c>
      <c r="E622">
        <v>0</v>
      </c>
      <c r="F622" t="s">
        <v>13325</v>
      </c>
      <c r="G622" t="s">
        <v>13326</v>
      </c>
      <c r="H622" s="4" t="s">
        <v>13327</v>
      </c>
      <c r="I622" t="s">
        <v>71</v>
      </c>
      <c r="J622" t="s">
        <v>10782</v>
      </c>
      <c r="K622" t="s">
        <v>13328</v>
      </c>
    </row>
    <row r="623" spans="1:11" ht="172.8" x14ac:dyDescent="0.3">
      <c r="A623" s="4" t="s">
        <v>4101</v>
      </c>
      <c r="B623">
        <v>3</v>
      </c>
      <c r="C623">
        <v>2024</v>
      </c>
      <c r="D623" t="s">
        <v>1002</v>
      </c>
      <c r="E623">
        <v>7</v>
      </c>
      <c r="F623" t="s">
        <v>13329</v>
      </c>
      <c r="G623" t="s">
        <v>13330</v>
      </c>
      <c r="H623" s="4" t="s">
        <v>13331</v>
      </c>
      <c r="I623" t="s">
        <v>71</v>
      </c>
      <c r="J623" t="s">
        <v>10782</v>
      </c>
      <c r="K623" t="s">
        <v>13332</v>
      </c>
    </row>
    <row r="624" spans="1:11" ht="230.4" x14ac:dyDescent="0.3">
      <c r="A624" s="4" t="s">
        <v>4102</v>
      </c>
      <c r="B624">
        <v>3</v>
      </c>
      <c r="C624">
        <v>2024</v>
      </c>
      <c r="D624" t="s">
        <v>10924</v>
      </c>
      <c r="E624">
        <v>8</v>
      </c>
      <c r="F624" t="s">
        <v>13333</v>
      </c>
      <c r="G624" t="s">
        <v>13334</v>
      </c>
      <c r="H624" s="4" t="s">
        <v>13335</v>
      </c>
      <c r="I624" t="s">
        <v>71</v>
      </c>
      <c r="J624" t="s">
        <v>10782</v>
      </c>
      <c r="K624" t="s">
        <v>13336</v>
      </c>
    </row>
    <row r="625" spans="1:11" ht="43.2" x14ac:dyDescent="0.3">
      <c r="A625" s="4" t="s">
        <v>4103</v>
      </c>
      <c r="B625">
        <v>3</v>
      </c>
      <c r="C625">
        <v>2024</v>
      </c>
      <c r="D625" t="s">
        <v>724</v>
      </c>
      <c r="E625">
        <v>0</v>
      </c>
      <c r="F625" t="s">
        <v>13337</v>
      </c>
      <c r="G625" t="s">
        <v>13338</v>
      </c>
      <c r="H625" s="4" t="s">
        <v>13339</v>
      </c>
    </row>
    <row r="626" spans="1:11" ht="158.4" x14ac:dyDescent="0.3">
      <c r="A626" s="4" t="s">
        <v>4104</v>
      </c>
      <c r="B626">
        <v>3</v>
      </c>
      <c r="C626">
        <v>2024</v>
      </c>
      <c r="D626" t="s">
        <v>80</v>
      </c>
      <c r="E626">
        <v>0</v>
      </c>
      <c r="F626" t="s">
        <v>13340</v>
      </c>
      <c r="G626" t="s">
        <v>13341</v>
      </c>
      <c r="H626" s="4" t="s">
        <v>13342</v>
      </c>
    </row>
    <row r="627" spans="1:11" ht="115.2" x14ac:dyDescent="0.3">
      <c r="A627" s="4" t="s">
        <v>4105</v>
      </c>
      <c r="B627">
        <v>3</v>
      </c>
      <c r="C627">
        <v>2024</v>
      </c>
      <c r="D627" t="s">
        <v>80</v>
      </c>
      <c r="E627">
        <v>1</v>
      </c>
      <c r="F627" t="s">
        <v>13343</v>
      </c>
      <c r="G627" t="s">
        <v>13344</v>
      </c>
      <c r="H627" s="4" t="s">
        <v>13345</v>
      </c>
      <c r="I627" t="s">
        <v>71</v>
      </c>
      <c r="J627" t="s">
        <v>10782</v>
      </c>
      <c r="K627" t="s">
        <v>13346</v>
      </c>
    </row>
    <row r="628" spans="1:11" ht="216" x14ac:dyDescent="0.3">
      <c r="A628" s="4" t="s">
        <v>4106</v>
      </c>
      <c r="B628">
        <v>3</v>
      </c>
      <c r="C628">
        <v>2024</v>
      </c>
      <c r="D628" t="s">
        <v>11055</v>
      </c>
      <c r="E628">
        <v>3</v>
      </c>
      <c r="F628" t="s">
        <v>13347</v>
      </c>
      <c r="G628" t="s">
        <v>13348</v>
      </c>
      <c r="H628" s="4" t="s">
        <v>13349</v>
      </c>
      <c r="I628" t="s">
        <v>71</v>
      </c>
      <c r="J628" t="s">
        <v>10782</v>
      </c>
      <c r="K628" t="s">
        <v>13350</v>
      </c>
    </row>
    <row r="629" spans="1:11" ht="129.6" x14ac:dyDescent="0.3">
      <c r="A629" s="4" t="s">
        <v>4107</v>
      </c>
      <c r="B629">
        <v>3</v>
      </c>
      <c r="C629">
        <v>2024</v>
      </c>
      <c r="D629" t="s">
        <v>12202</v>
      </c>
      <c r="E629">
        <v>4</v>
      </c>
      <c r="F629" t="s">
        <v>13351</v>
      </c>
      <c r="G629" t="s">
        <v>13352</v>
      </c>
      <c r="H629" s="4" t="s">
        <v>13353</v>
      </c>
    </row>
    <row r="630" spans="1:11" ht="216" x14ac:dyDescent="0.3">
      <c r="A630" s="4" t="s">
        <v>4108</v>
      </c>
      <c r="B630">
        <v>3</v>
      </c>
      <c r="C630">
        <v>2024</v>
      </c>
      <c r="D630" t="s">
        <v>217</v>
      </c>
      <c r="E630">
        <v>1</v>
      </c>
      <c r="F630" t="s">
        <v>13354</v>
      </c>
      <c r="G630" t="s">
        <v>13355</v>
      </c>
      <c r="H630" s="4" t="s">
        <v>13356</v>
      </c>
      <c r="I630" t="s">
        <v>71</v>
      </c>
      <c r="J630" t="s">
        <v>10782</v>
      </c>
      <c r="K630" t="s">
        <v>13357</v>
      </c>
    </row>
    <row r="631" spans="1:11" ht="144" x14ac:dyDescent="0.3">
      <c r="A631" s="4" t="s">
        <v>576</v>
      </c>
      <c r="B631">
        <v>1</v>
      </c>
      <c r="C631">
        <v>2024</v>
      </c>
      <c r="D631" t="s">
        <v>234</v>
      </c>
      <c r="E631">
        <v>1</v>
      </c>
      <c r="F631" t="s">
        <v>13358</v>
      </c>
      <c r="G631" t="s">
        <v>13359</v>
      </c>
      <c r="H631" s="4" t="s">
        <v>13360</v>
      </c>
      <c r="I631" t="s">
        <v>71</v>
      </c>
      <c r="J631" t="s">
        <v>10782</v>
      </c>
      <c r="K631" t="s">
        <v>13361</v>
      </c>
    </row>
    <row r="632" spans="1:11" ht="158.4" x14ac:dyDescent="0.3">
      <c r="A632" s="4" t="s">
        <v>4109</v>
      </c>
      <c r="B632">
        <v>3</v>
      </c>
      <c r="C632">
        <v>2024</v>
      </c>
      <c r="D632" t="s">
        <v>432</v>
      </c>
      <c r="E632">
        <v>0</v>
      </c>
      <c r="F632" t="s">
        <v>13362</v>
      </c>
      <c r="G632" t="s">
        <v>13363</v>
      </c>
      <c r="H632" s="4" t="s">
        <v>13364</v>
      </c>
      <c r="I632" t="s">
        <v>71</v>
      </c>
      <c r="J632" t="s">
        <v>10782</v>
      </c>
      <c r="K632" t="s">
        <v>13365</v>
      </c>
    </row>
    <row r="633" spans="1:11" ht="72" x14ac:dyDescent="0.3">
      <c r="A633" s="4" t="s">
        <v>4110</v>
      </c>
      <c r="B633">
        <v>3</v>
      </c>
      <c r="C633">
        <v>2024</v>
      </c>
      <c r="D633" t="s">
        <v>80</v>
      </c>
      <c r="E633">
        <v>0</v>
      </c>
      <c r="F633" t="s">
        <v>13366</v>
      </c>
      <c r="G633" t="s">
        <v>13367</v>
      </c>
      <c r="H633" s="4" t="s">
        <v>13368</v>
      </c>
    </row>
    <row r="634" spans="1:11" ht="201.6" x14ac:dyDescent="0.3">
      <c r="A634" s="4" t="s">
        <v>4111</v>
      </c>
      <c r="B634">
        <v>3</v>
      </c>
      <c r="C634">
        <v>2024</v>
      </c>
      <c r="D634" t="s">
        <v>177</v>
      </c>
      <c r="E634">
        <v>0</v>
      </c>
      <c r="F634" t="s">
        <v>13369</v>
      </c>
      <c r="G634" t="s">
        <v>13370</v>
      </c>
      <c r="H634" s="4" t="s">
        <v>13371</v>
      </c>
      <c r="I634" t="s">
        <v>71</v>
      </c>
      <c r="J634" t="s">
        <v>10782</v>
      </c>
      <c r="K634" t="s">
        <v>13372</v>
      </c>
    </row>
    <row r="635" spans="1:11" ht="158.4" x14ac:dyDescent="0.3">
      <c r="A635" s="4" t="s">
        <v>583</v>
      </c>
      <c r="B635">
        <v>1</v>
      </c>
      <c r="C635">
        <v>2024</v>
      </c>
      <c r="D635" t="s">
        <v>147</v>
      </c>
      <c r="E635">
        <v>13</v>
      </c>
      <c r="F635" t="s">
        <v>13373</v>
      </c>
      <c r="G635" t="s">
        <v>13374</v>
      </c>
      <c r="H635" s="4" t="s">
        <v>13375</v>
      </c>
      <c r="I635" t="s">
        <v>71</v>
      </c>
      <c r="J635" t="s">
        <v>10782</v>
      </c>
      <c r="K635" t="s">
        <v>13376</v>
      </c>
    </row>
    <row r="636" spans="1:11" ht="201.6" x14ac:dyDescent="0.3">
      <c r="A636" s="4" t="s">
        <v>3202</v>
      </c>
      <c r="B636">
        <v>1</v>
      </c>
      <c r="C636">
        <v>2024</v>
      </c>
      <c r="D636" t="s">
        <v>13377</v>
      </c>
      <c r="E636">
        <v>4</v>
      </c>
      <c r="F636" t="s">
        <v>13378</v>
      </c>
      <c r="G636" t="s">
        <v>13379</v>
      </c>
      <c r="H636" s="4" t="s">
        <v>13380</v>
      </c>
      <c r="I636" t="s">
        <v>71</v>
      </c>
      <c r="J636" t="s">
        <v>10782</v>
      </c>
      <c r="K636" t="s">
        <v>13381</v>
      </c>
    </row>
    <row r="637" spans="1:11" ht="115.2" x14ac:dyDescent="0.3">
      <c r="A637" s="4" t="s">
        <v>4112</v>
      </c>
      <c r="B637">
        <v>3</v>
      </c>
      <c r="C637">
        <v>2024</v>
      </c>
      <c r="D637" t="s">
        <v>13382</v>
      </c>
      <c r="E637">
        <v>3</v>
      </c>
      <c r="F637" t="s">
        <v>13383</v>
      </c>
      <c r="G637" t="s">
        <v>13384</v>
      </c>
      <c r="H637" s="4" t="s">
        <v>13385</v>
      </c>
      <c r="I637" t="s">
        <v>10823</v>
      </c>
      <c r="J637" t="s">
        <v>10782</v>
      </c>
      <c r="K637" t="s">
        <v>13386</v>
      </c>
    </row>
    <row r="638" spans="1:11" ht="28.8" x14ac:dyDescent="0.3">
      <c r="A638" s="4" t="s">
        <v>4113</v>
      </c>
      <c r="B638">
        <v>3</v>
      </c>
      <c r="C638">
        <v>2024</v>
      </c>
      <c r="D638" t="s">
        <v>637</v>
      </c>
      <c r="E638">
        <v>1</v>
      </c>
      <c r="F638" t="s">
        <v>13387</v>
      </c>
      <c r="G638" t="s">
        <v>13388</v>
      </c>
      <c r="H638" s="4" t="s">
        <v>13389</v>
      </c>
    </row>
    <row r="639" spans="1:11" ht="187.2" x14ac:dyDescent="0.3">
      <c r="A639" s="4" t="s">
        <v>4114</v>
      </c>
      <c r="B639">
        <v>3</v>
      </c>
      <c r="C639">
        <v>2024</v>
      </c>
      <c r="D639" t="s">
        <v>80</v>
      </c>
      <c r="E639">
        <v>1</v>
      </c>
      <c r="F639" t="s">
        <v>13390</v>
      </c>
      <c r="G639" t="s">
        <v>13391</v>
      </c>
      <c r="H639" s="4" t="s">
        <v>13392</v>
      </c>
      <c r="I639" t="s">
        <v>71</v>
      </c>
      <c r="J639" t="s">
        <v>10782</v>
      </c>
      <c r="K639" t="s">
        <v>13393</v>
      </c>
    </row>
    <row r="640" spans="1:11" ht="187.2" x14ac:dyDescent="0.3">
      <c r="A640" s="4" t="s">
        <v>3203</v>
      </c>
      <c r="B640">
        <v>1</v>
      </c>
      <c r="C640">
        <v>2024</v>
      </c>
      <c r="D640" t="s">
        <v>13394</v>
      </c>
      <c r="E640">
        <v>5</v>
      </c>
      <c r="F640" t="s">
        <v>13395</v>
      </c>
      <c r="G640" t="s">
        <v>13396</v>
      </c>
      <c r="H640" s="4" t="s">
        <v>13397</v>
      </c>
      <c r="I640" t="s">
        <v>71</v>
      </c>
      <c r="J640" t="s">
        <v>10782</v>
      </c>
      <c r="K640" t="s">
        <v>13398</v>
      </c>
    </row>
    <row r="641" spans="1:11" ht="201.6" x14ac:dyDescent="0.3">
      <c r="A641" s="4" t="s">
        <v>4115</v>
      </c>
      <c r="B641">
        <v>3</v>
      </c>
      <c r="C641">
        <v>2024</v>
      </c>
      <c r="D641" t="s">
        <v>2893</v>
      </c>
      <c r="E641">
        <v>2</v>
      </c>
      <c r="F641" t="s">
        <v>13399</v>
      </c>
      <c r="G641" t="s">
        <v>13400</v>
      </c>
      <c r="H641" s="4" t="s">
        <v>13401</v>
      </c>
      <c r="I641" t="s">
        <v>71</v>
      </c>
      <c r="J641" t="s">
        <v>10782</v>
      </c>
      <c r="K641" t="s">
        <v>13402</v>
      </c>
    </row>
    <row r="642" spans="1:11" ht="129.6" x14ac:dyDescent="0.3">
      <c r="A642" s="4" t="s">
        <v>4116</v>
      </c>
      <c r="B642">
        <v>3</v>
      </c>
      <c r="C642">
        <v>2024</v>
      </c>
      <c r="D642" t="s">
        <v>385</v>
      </c>
      <c r="E642">
        <v>1</v>
      </c>
      <c r="F642" t="s">
        <v>13403</v>
      </c>
      <c r="G642" t="s">
        <v>13404</v>
      </c>
      <c r="H642" s="4" t="s">
        <v>13405</v>
      </c>
      <c r="I642" t="s">
        <v>71</v>
      </c>
      <c r="J642" t="s">
        <v>10782</v>
      </c>
      <c r="K642" t="s">
        <v>13406</v>
      </c>
    </row>
    <row r="643" spans="1:11" ht="288" x14ac:dyDescent="0.3">
      <c r="A643" s="4" t="s">
        <v>4117</v>
      </c>
      <c r="B643">
        <v>3</v>
      </c>
      <c r="C643">
        <v>2024</v>
      </c>
      <c r="D643" t="s">
        <v>472</v>
      </c>
      <c r="E643">
        <v>16</v>
      </c>
      <c r="F643" t="s">
        <v>13407</v>
      </c>
      <c r="G643" t="s">
        <v>13408</v>
      </c>
      <c r="H643" s="4" t="s">
        <v>13409</v>
      </c>
      <c r="I643" t="s">
        <v>71</v>
      </c>
      <c r="J643" t="s">
        <v>10782</v>
      </c>
      <c r="K643" t="s">
        <v>13410</v>
      </c>
    </row>
    <row r="644" spans="1:11" ht="201.6" x14ac:dyDescent="0.3">
      <c r="A644" s="4" t="s">
        <v>4118</v>
      </c>
      <c r="B644">
        <v>3</v>
      </c>
      <c r="C644">
        <v>2024</v>
      </c>
      <c r="D644" t="s">
        <v>11598</v>
      </c>
      <c r="E644">
        <v>1</v>
      </c>
      <c r="F644" t="s">
        <v>13411</v>
      </c>
      <c r="G644" t="s">
        <v>13412</v>
      </c>
      <c r="H644" s="4" t="s">
        <v>13413</v>
      </c>
      <c r="I644" t="s">
        <v>71</v>
      </c>
      <c r="J644" t="s">
        <v>10782</v>
      </c>
      <c r="K644" t="s">
        <v>13414</v>
      </c>
    </row>
    <row r="645" spans="1:11" ht="129.6" x14ac:dyDescent="0.3">
      <c r="A645" s="4" t="s">
        <v>2458</v>
      </c>
      <c r="B645">
        <v>2</v>
      </c>
      <c r="C645">
        <v>2024</v>
      </c>
      <c r="D645" t="s">
        <v>318</v>
      </c>
      <c r="E645">
        <v>4</v>
      </c>
      <c r="F645" t="s">
        <v>13415</v>
      </c>
      <c r="G645" t="s">
        <v>13416</v>
      </c>
      <c r="H645" s="4" t="s">
        <v>13417</v>
      </c>
    </row>
    <row r="646" spans="1:11" ht="129.6" x14ac:dyDescent="0.3">
      <c r="A646" s="4" t="s">
        <v>589</v>
      </c>
      <c r="B646">
        <v>1</v>
      </c>
      <c r="C646">
        <v>2024</v>
      </c>
      <c r="D646" t="s">
        <v>590</v>
      </c>
      <c r="E646">
        <v>1</v>
      </c>
      <c r="F646" t="s">
        <v>13418</v>
      </c>
      <c r="G646" t="s">
        <v>13419</v>
      </c>
      <c r="H646" s="4" t="s">
        <v>13420</v>
      </c>
      <c r="I646" t="s">
        <v>71</v>
      </c>
      <c r="J646" t="s">
        <v>10782</v>
      </c>
      <c r="K646" t="s">
        <v>13421</v>
      </c>
    </row>
    <row r="647" spans="1:11" ht="158.4" x14ac:dyDescent="0.3">
      <c r="A647" s="4" t="s">
        <v>3489</v>
      </c>
      <c r="B647">
        <v>2</v>
      </c>
      <c r="C647">
        <v>2024</v>
      </c>
      <c r="D647" t="s">
        <v>11839</v>
      </c>
      <c r="E647">
        <v>0</v>
      </c>
      <c r="F647" t="s">
        <v>13422</v>
      </c>
      <c r="G647" t="s">
        <v>13423</v>
      </c>
      <c r="H647" s="4" t="s">
        <v>13424</v>
      </c>
      <c r="I647" t="s">
        <v>71</v>
      </c>
      <c r="J647" t="s">
        <v>10782</v>
      </c>
      <c r="K647" t="s">
        <v>13425</v>
      </c>
    </row>
    <row r="648" spans="1:11" ht="158.4" x14ac:dyDescent="0.3">
      <c r="A648" s="4" t="s">
        <v>3490</v>
      </c>
      <c r="B648">
        <v>2</v>
      </c>
      <c r="C648">
        <v>2024</v>
      </c>
      <c r="D648" t="s">
        <v>147</v>
      </c>
      <c r="E648">
        <v>3</v>
      </c>
      <c r="F648" t="s">
        <v>13426</v>
      </c>
      <c r="G648" t="s">
        <v>13427</v>
      </c>
      <c r="H648" s="4" t="s">
        <v>13428</v>
      </c>
      <c r="I648" t="s">
        <v>71</v>
      </c>
      <c r="J648" t="s">
        <v>10782</v>
      </c>
      <c r="K648" t="s">
        <v>13429</v>
      </c>
    </row>
    <row r="649" spans="1:11" ht="100.8" x14ac:dyDescent="0.3">
      <c r="A649" s="4" t="s">
        <v>4119</v>
      </c>
      <c r="B649">
        <v>3</v>
      </c>
      <c r="C649">
        <v>2024</v>
      </c>
      <c r="D649" t="s">
        <v>217</v>
      </c>
      <c r="E649">
        <v>2</v>
      </c>
      <c r="F649" t="s">
        <v>13430</v>
      </c>
      <c r="G649" t="s">
        <v>13431</v>
      </c>
      <c r="H649" s="4" t="s">
        <v>13432</v>
      </c>
    </row>
    <row r="650" spans="1:11" ht="129.6" x14ac:dyDescent="0.3">
      <c r="A650" s="4" t="s">
        <v>4120</v>
      </c>
      <c r="B650">
        <v>3</v>
      </c>
      <c r="C650">
        <v>2024</v>
      </c>
      <c r="D650" t="s">
        <v>1426</v>
      </c>
      <c r="E650">
        <v>9</v>
      </c>
      <c r="F650" t="s">
        <v>13433</v>
      </c>
      <c r="G650" t="s">
        <v>13434</v>
      </c>
      <c r="H650" s="4" t="s">
        <v>13435</v>
      </c>
      <c r="I650" t="s">
        <v>71</v>
      </c>
      <c r="J650" t="s">
        <v>10782</v>
      </c>
      <c r="K650" t="s">
        <v>13436</v>
      </c>
    </row>
    <row r="651" spans="1:11" ht="158.4" x14ac:dyDescent="0.3">
      <c r="A651" s="4" t="s">
        <v>4121</v>
      </c>
      <c r="B651">
        <v>3</v>
      </c>
      <c r="C651">
        <v>2024</v>
      </c>
      <c r="D651" t="s">
        <v>1525</v>
      </c>
      <c r="E651">
        <v>8</v>
      </c>
      <c r="F651" t="s">
        <v>13437</v>
      </c>
      <c r="G651" t="s">
        <v>13438</v>
      </c>
      <c r="H651" s="4" t="s">
        <v>13439</v>
      </c>
      <c r="I651" t="s">
        <v>71</v>
      </c>
      <c r="J651" t="s">
        <v>10782</v>
      </c>
      <c r="K651" t="s">
        <v>13440</v>
      </c>
    </row>
    <row r="652" spans="1:11" ht="216" x14ac:dyDescent="0.3">
      <c r="A652" s="4" t="s">
        <v>4122</v>
      </c>
      <c r="B652">
        <v>3</v>
      </c>
      <c r="C652">
        <v>2024</v>
      </c>
      <c r="D652" t="s">
        <v>264</v>
      </c>
      <c r="E652">
        <v>7</v>
      </c>
      <c r="F652" t="s">
        <v>13441</v>
      </c>
      <c r="G652" t="s">
        <v>13442</v>
      </c>
      <c r="H652" s="4" t="s">
        <v>13443</v>
      </c>
      <c r="I652" t="s">
        <v>71</v>
      </c>
      <c r="J652" t="s">
        <v>10782</v>
      </c>
      <c r="K652" t="s">
        <v>13444</v>
      </c>
    </row>
    <row r="653" spans="1:11" ht="158.4" x14ac:dyDescent="0.3">
      <c r="A653" s="4" t="s">
        <v>3204</v>
      </c>
      <c r="B653">
        <v>1</v>
      </c>
      <c r="C653">
        <v>2024</v>
      </c>
      <c r="D653" t="s">
        <v>10169</v>
      </c>
      <c r="E653">
        <v>4</v>
      </c>
      <c r="F653" t="s">
        <v>13445</v>
      </c>
      <c r="G653" t="s">
        <v>13446</v>
      </c>
      <c r="H653" s="4" t="s">
        <v>13447</v>
      </c>
    </row>
    <row r="654" spans="1:11" ht="244.8" x14ac:dyDescent="0.3">
      <c r="A654" s="4" t="s">
        <v>4123</v>
      </c>
      <c r="B654">
        <v>3</v>
      </c>
      <c r="C654">
        <v>2024</v>
      </c>
      <c r="D654" t="s">
        <v>10924</v>
      </c>
      <c r="E654">
        <v>1</v>
      </c>
      <c r="F654" t="s">
        <v>13448</v>
      </c>
      <c r="G654" t="s">
        <v>13449</v>
      </c>
      <c r="H654" s="4" t="s">
        <v>13450</v>
      </c>
      <c r="I654" t="s">
        <v>71</v>
      </c>
      <c r="J654" t="s">
        <v>10782</v>
      </c>
      <c r="K654" t="s">
        <v>13451</v>
      </c>
    </row>
    <row r="655" spans="1:11" ht="129.6" x14ac:dyDescent="0.3">
      <c r="A655" s="4" t="s">
        <v>4124</v>
      </c>
      <c r="B655">
        <v>3</v>
      </c>
      <c r="C655">
        <v>2024</v>
      </c>
      <c r="D655" t="s">
        <v>12491</v>
      </c>
      <c r="E655">
        <v>0</v>
      </c>
      <c r="F655" t="s">
        <v>13452</v>
      </c>
      <c r="G655" t="s">
        <v>13453</v>
      </c>
      <c r="H655" s="4" t="s">
        <v>13454</v>
      </c>
      <c r="I655" t="s">
        <v>71</v>
      </c>
      <c r="J655" t="s">
        <v>10782</v>
      </c>
      <c r="K655" t="s">
        <v>13455</v>
      </c>
    </row>
    <row r="656" spans="1:11" ht="86.4" x14ac:dyDescent="0.3">
      <c r="A656" s="4" t="s">
        <v>4125</v>
      </c>
      <c r="B656">
        <v>3</v>
      </c>
      <c r="C656">
        <v>2024</v>
      </c>
      <c r="D656" t="s">
        <v>811</v>
      </c>
      <c r="E656">
        <v>1</v>
      </c>
      <c r="F656" t="s">
        <v>13456</v>
      </c>
      <c r="G656" t="s">
        <v>13457</v>
      </c>
      <c r="H656" s="4" t="s">
        <v>13458</v>
      </c>
    </row>
    <row r="657" spans="1:11" ht="144" x14ac:dyDescent="0.3">
      <c r="A657" s="4" t="s">
        <v>4126</v>
      </c>
      <c r="B657">
        <v>3</v>
      </c>
      <c r="C657">
        <v>2024</v>
      </c>
      <c r="D657" t="s">
        <v>1002</v>
      </c>
      <c r="E657">
        <v>1</v>
      </c>
      <c r="F657" t="s">
        <v>13459</v>
      </c>
      <c r="G657" t="s">
        <v>13460</v>
      </c>
      <c r="H657" s="4" t="s">
        <v>13461</v>
      </c>
      <c r="I657" t="s">
        <v>71</v>
      </c>
      <c r="J657" t="s">
        <v>10782</v>
      </c>
      <c r="K657" t="s">
        <v>13462</v>
      </c>
    </row>
    <row r="658" spans="1:11" ht="144" x14ac:dyDescent="0.3">
      <c r="A658" s="4" t="s">
        <v>598</v>
      </c>
      <c r="B658">
        <v>1</v>
      </c>
      <c r="C658">
        <v>2024</v>
      </c>
      <c r="D658" t="s">
        <v>217</v>
      </c>
      <c r="E658">
        <v>0</v>
      </c>
      <c r="F658" t="s">
        <v>13463</v>
      </c>
      <c r="G658" t="s">
        <v>13464</v>
      </c>
      <c r="H658" s="4" t="s">
        <v>13465</v>
      </c>
      <c r="I658" t="s">
        <v>71</v>
      </c>
      <c r="J658" t="s">
        <v>10782</v>
      </c>
      <c r="K658" t="s">
        <v>13466</v>
      </c>
    </row>
    <row r="659" spans="1:11" ht="288" x14ac:dyDescent="0.3">
      <c r="A659" s="4" t="s">
        <v>4127</v>
      </c>
      <c r="B659">
        <v>3</v>
      </c>
      <c r="C659">
        <v>2024</v>
      </c>
      <c r="D659" t="s">
        <v>329</v>
      </c>
      <c r="E659">
        <v>4</v>
      </c>
      <c r="F659" t="s">
        <v>13467</v>
      </c>
      <c r="G659" t="s">
        <v>13468</v>
      </c>
      <c r="H659" s="4" t="s">
        <v>13469</v>
      </c>
      <c r="I659" t="s">
        <v>71</v>
      </c>
      <c r="J659" t="s">
        <v>10782</v>
      </c>
      <c r="K659" t="s">
        <v>13470</v>
      </c>
    </row>
    <row r="660" spans="1:11" ht="201.6" x14ac:dyDescent="0.3">
      <c r="A660" s="4" t="s">
        <v>4128</v>
      </c>
      <c r="B660">
        <v>3</v>
      </c>
      <c r="C660">
        <v>2024</v>
      </c>
      <c r="D660" t="s">
        <v>13471</v>
      </c>
      <c r="E660">
        <v>2</v>
      </c>
      <c r="F660" t="s">
        <v>13472</v>
      </c>
      <c r="G660" t="s">
        <v>13473</v>
      </c>
      <c r="H660" s="4" t="s">
        <v>13474</v>
      </c>
      <c r="I660" t="s">
        <v>71</v>
      </c>
      <c r="J660" t="s">
        <v>10782</v>
      </c>
      <c r="K660" t="s">
        <v>13475</v>
      </c>
    </row>
    <row r="661" spans="1:11" ht="201.6" x14ac:dyDescent="0.3">
      <c r="A661" s="4" t="s">
        <v>4129</v>
      </c>
      <c r="B661">
        <v>3</v>
      </c>
      <c r="C661">
        <v>2024</v>
      </c>
      <c r="D661" t="s">
        <v>12253</v>
      </c>
      <c r="E661">
        <v>0</v>
      </c>
      <c r="F661" t="s">
        <v>13476</v>
      </c>
      <c r="G661" t="s">
        <v>13477</v>
      </c>
      <c r="H661" s="4" t="s">
        <v>13478</v>
      </c>
      <c r="I661" t="s">
        <v>71</v>
      </c>
      <c r="J661" t="s">
        <v>10782</v>
      </c>
      <c r="K661" t="s">
        <v>13479</v>
      </c>
    </row>
    <row r="662" spans="1:11" ht="158.4" x14ac:dyDescent="0.3">
      <c r="A662" s="4" t="s">
        <v>601</v>
      </c>
      <c r="B662">
        <v>1</v>
      </c>
      <c r="C662">
        <v>2024</v>
      </c>
      <c r="D662" t="s">
        <v>147</v>
      </c>
      <c r="E662">
        <v>1</v>
      </c>
      <c r="F662" t="s">
        <v>13480</v>
      </c>
      <c r="G662" t="s">
        <v>13481</v>
      </c>
      <c r="H662" s="4" t="s">
        <v>13482</v>
      </c>
      <c r="I662" t="s">
        <v>71</v>
      </c>
      <c r="J662" t="s">
        <v>10782</v>
      </c>
      <c r="K662" t="s">
        <v>13483</v>
      </c>
    </row>
    <row r="663" spans="1:11" ht="374.4" x14ac:dyDescent="0.3">
      <c r="A663" s="4" t="s">
        <v>4130</v>
      </c>
      <c r="B663">
        <v>3</v>
      </c>
      <c r="C663">
        <v>2024</v>
      </c>
      <c r="D663" t="s">
        <v>380</v>
      </c>
      <c r="E663">
        <v>4</v>
      </c>
      <c r="F663" t="s">
        <v>13484</v>
      </c>
      <c r="G663" t="s">
        <v>13485</v>
      </c>
      <c r="H663" s="4" t="s">
        <v>13486</v>
      </c>
      <c r="I663" t="s">
        <v>71</v>
      </c>
      <c r="J663" t="s">
        <v>10782</v>
      </c>
      <c r="K663" t="s">
        <v>13487</v>
      </c>
    </row>
    <row r="664" spans="1:11" ht="187.2" x14ac:dyDescent="0.3">
      <c r="A664" s="4" t="s">
        <v>4131</v>
      </c>
      <c r="B664">
        <v>3</v>
      </c>
      <c r="C664">
        <v>2024</v>
      </c>
      <c r="D664" t="s">
        <v>12253</v>
      </c>
      <c r="E664">
        <v>0</v>
      </c>
      <c r="F664" t="s">
        <v>13488</v>
      </c>
      <c r="G664" t="s">
        <v>13489</v>
      </c>
      <c r="H664" s="4" t="s">
        <v>13490</v>
      </c>
      <c r="I664" t="s">
        <v>71</v>
      </c>
      <c r="J664" t="s">
        <v>10782</v>
      </c>
      <c r="K664" t="s">
        <v>13491</v>
      </c>
    </row>
    <row r="665" spans="1:11" ht="144" x14ac:dyDescent="0.3">
      <c r="A665" s="4" t="s">
        <v>3205</v>
      </c>
      <c r="B665">
        <v>1</v>
      </c>
      <c r="C665">
        <v>2024</v>
      </c>
      <c r="D665" t="s">
        <v>217</v>
      </c>
      <c r="E665">
        <v>1</v>
      </c>
      <c r="F665" t="s">
        <v>13492</v>
      </c>
      <c r="G665" t="s">
        <v>13493</v>
      </c>
      <c r="H665" s="4" t="s">
        <v>13494</v>
      </c>
      <c r="I665" t="s">
        <v>71</v>
      </c>
      <c r="J665" t="s">
        <v>10782</v>
      </c>
      <c r="K665" t="s">
        <v>13495</v>
      </c>
    </row>
    <row r="666" spans="1:11" ht="230.4" x14ac:dyDescent="0.3">
      <c r="A666" s="4" t="s">
        <v>4132</v>
      </c>
      <c r="B666">
        <v>3</v>
      </c>
      <c r="C666">
        <v>2024</v>
      </c>
      <c r="D666" t="s">
        <v>13496</v>
      </c>
      <c r="E666">
        <v>0</v>
      </c>
      <c r="F666" t="s">
        <v>13497</v>
      </c>
      <c r="G666" t="s">
        <v>13498</v>
      </c>
      <c r="H666" s="4" t="s">
        <v>13499</v>
      </c>
      <c r="I666" t="s">
        <v>71</v>
      </c>
      <c r="J666" t="s">
        <v>10782</v>
      </c>
      <c r="K666" t="s">
        <v>13500</v>
      </c>
    </row>
    <row r="667" spans="1:11" ht="230.4" x14ac:dyDescent="0.3">
      <c r="A667" s="4" t="s">
        <v>2459</v>
      </c>
      <c r="B667">
        <v>2</v>
      </c>
      <c r="C667">
        <v>2024</v>
      </c>
      <c r="D667" t="s">
        <v>318</v>
      </c>
      <c r="E667">
        <v>3</v>
      </c>
      <c r="F667" t="s">
        <v>13501</v>
      </c>
      <c r="G667" t="s">
        <v>13502</v>
      </c>
      <c r="H667" s="4" t="s">
        <v>13503</v>
      </c>
      <c r="I667" t="s">
        <v>71</v>
      </c>
      <c r="J667" t="s">
        <v>10782</v>
      </c>
      <c r="K667" t="s">
        <v>13504</v>
      </c>
    </row>
    <row r="668" spans="1:11" ht="201.6" x14ac:dyDescent="0.3">
      <c r="A668" s="4" t="s">
        <v>4133</v>
      </c>
      <c r="B668">
        <v>3</v>
      </c>
      <c r="C668">
        <v>2024</v>
      </c>
      <c r="D668" t="s">
        <v>10169</v>
      </c>
      <c r="E668">
        <v>8</v>
      </c>
      <c r="F668" t="s">
        <v>13505</v>
      </c>
      <c r="G668" t="s">
        <v>13506</v>
      </c>
      <c r="H668" s="4" t="s">
        <v>13507</v>
      </c>
      <c r="I668" t="s">
        <v>71</v>
      </c>
      <c r="J668" t="s">
        <v>10782</v>
      </c>
      <c r="K668" t="s">
        <v>13508</v>
      </c>
    </row>
    <row r="669" spans="1:11" ht="158.4" x14ac:dyDescent="0.3">
      <c r="A669" s="4" t="s">
        <v>4134</v>
      </c>
      <c r="B669">
        <v>3</v>
      </c>
      <c r="C669">
        <v>2024</v>
      </c>
      <c r="D669" t="s">
        <v>2893</v>
      </c>
      <c r="E669">
        <v>6</v>
      </c>
      <c r="F669" t="s">
        <v>13509</v>
      </c>
      <c r="G669" t="s">
        <v>13510</v>
      </c>
      <c r="H669" s="4" t="s">
        <v>13511</v>
      </c>
      <c r="I669" t="s">
        <v>71</v>
      </c>
      <c r="J669" t="s">
        <v>10782</v>
      </c>
      <c r="K669" t="s">
        <v>13512</v>
      </c>
    </row>
    <row r="670" spans="1:11" ht="216" x14ac:dyDescent="0.3">
      <c r="A670" s="4" t="s">
        <v>4135</v>
      </c>
      <c r="B670">
        <v>3</v>
      </c>
      <c r="C670">
        <v>2024</v>
      </c>
      <c r="D670" t="s">
        <v>2416</v>
      </c>
      <c r="E670">
        <v>3</v>
      </c>
      <c r="F670" t="s">
        <v>13513</v>
      </c>
      <c r="G670" t="s">
        <v>13514</v>
      </c>
      <c r="H670" s="4" t="s">
        <v>13515</v>
      </c>
      <c r="I670" t="s">
        <v>71</v>
      </c>
      <c r="J670" t="s">
        <v>10782</v>
      </c>
      <c r="K670" t="s">
        <v>13516</v>
      </c>
    </row>
    <row r="671" spans="1:11" ht="216" x14ac:dyDescent="0.3">
      <c r="A671" s="4" t="s">
        <v>4136</v>
      </c>
      <c r="B671">
        <v>3</v>
      </c>
      <c r="C671">
        <v>2024</v>
      </c>
      <c r="D671" t="s">
        <v>1125</v>
      </c>
      <c r="E671">
        <v>0</v>
      </c>
      <c r="F671" t="s">
        <v>13517</v>
      </c>
      <c r="G671" t="s">
        <v>13518</v>
      </c>
      <c r="H671" s="4" t="s">
        <v>13519</v>
      </c>
      <c r="I671" t="s">
        <v>10945</v>
      </c>
      <c r="J671" t="s">
        <v>10782</v>
      </c>
      <c r="K671" t="s">
        <v>13520</v>
      </c>
    </row>
    <row r="672" spans="1:11" ht="172.8" x14ac:dyDescent="0.3">
      <c r="A672" s="4" t="s">
        <v>3206</v>
      </c>
      <c r="B672">
        <v>1</v>
      </c>
      <c r="C672">
        <v>2024</v>
      </c>
      <c r="D672" t="s">
        <v>318</v>
      </c>
      <c r="E672">
        <v>8</v>
      </c>
      <c r="F672" t="s">
        <v>13521</v>
      </c>
      <c r="G672" t="s">
        <v>13522</v>
      </c>
      <c r="H672" s="4" t="s">
        <v>13523</v>
      </c>
      <c r="I672" t="s">
        <v>71</v>
      </c>
      <c r="J672" t="s">
        <v>10782</v>
      </c>
      <c r="K672" t="s">
        <v>13524</v>
      </c>
    </row>
    <row r="673" spans="1:11" ht="144" x14ac:dyDescent="0.3">
      <c r="A673" s="4" t="s">
        <v>4137</v>
      </c>
      <c r="B673">
        <v>3</v>
      </c>
      <c r="C673">
        <v>2024</v>
      </c>
      <c r="D673" t="s">
        <v>13054</v>
      </c>
      <c r="E673">
        <v>0</v>
      </c>
      <c r="G673" t="s">
        <v>13525</v>
      </c>
      <c r="H673" s="4" t="s">
        <v>13526</v>
      </c>
      <c r="I673" s="4" t="s">
        <v>71</v>
      </c>
      <c r="J673" t="s">
        <v>10782</v>
      </c>
      <c r="K673" t="s">
        <v>13527</v>
      </c>
    </row>
    <row r="674" spans="1:11" ht="129.6" x14ac:dyDescent="0.3">
      <c r="A674" s="4" t="s">
        <v>3207</v>
      </c>
      <c r="B674">
        <v>1</v>
      </c>
      <c r="C674">
        <v>2024</v>
      </c>
      <c r="D674" t="s">
        <v>10178</v>
      </c>
      <c r="E674">
        <v>22</v>
      </c>
      <c r="F674" t="s">
        <v>13528</v>
      </c>
      <c r="G674" t="s">
        <v>13529</v>
      </c>
      <c r="H674" s="4" t="s">
        <v>13530</v>
      </c>
      <c r="I674" t="s">
        <v>71</v>
      </c>
      <c r="J674" t="s">
        <v>10782</v>
      </c>
      <c r="K674" t="s">
        <v>13531</v>
      </c>
    </row>
    <row r="675" spans="1:11" ht="288" x14ac:dyDescent="0.3">
      <c r="A675" s="4" t="s">
        <v>4138</v>
      </c>
      <c r="B675">
        <v>3</v>
      </c>
      <c r="C675">
        <v>2024</v>
      </c>
      <c r="D675" t="s">
        <v>2628</v>
      </c>
      <c r="E675">
        <v>0</v>
      </c>
      <c r="F675" t="s">
        <v>13532</v>
      </c>
      <c r="G675" t="s">
        <v>13533</v>
      </c>
      <c r="H675" s="4" t="s">
        <v>13534</v>
      </c>
      <c r="I675" t="s">
        <v>71</v>
      </c>
      <c r="J675" t="s">
        <v>10782</v>
      </c>
      <c r="K675" t="s">
        <v>13535</v>
      </c>
    </row>
    <row r="676" spans="1:11" ht="201.6" x14ac:dyDescent="0.3">
      <c r="A676" s="4" t="s">
        <v>4139</v>
      </c>
      <c r="B676">
        <v>3</v>
      </c>
      <c r="C676">
        <v>2024</v>
      </c>
      <c r="D676" t="s">
        <v>128</v>
      </c>
      <c r="E676">
        <v>3</v>
      </c>
      <c r="F676" t="s">
        <v>13536</v>
      </c>
      <c r="G676" t="s">
        <v>13537</v>
      </c>
      <c r="H676" s="4" t="s">
        <v>13538</v>
      </c>
      <c r="I676" t="s">
        <v>71</v>
      </c>
      <c r="J676" t="s">
        <v>10782</v>
      </c>
      <c r="K676" t="s">
        <v>13539</v>
      </c>
    </row>
    <row r="677" spans="1:11" ht="158.4" x14ac:dyDescent="0.3">
      <c r="A677" s="4" t="s">
        <v>3208</v>
      </c>
      <c r="B677">
        <v>1</v>
      </c>
      <c r="C677">
        <v>2024</v>
      </c>
      <c r="D677" t="s">
        <v>1525</v>
      </c>
      <c r="E677">
        <v>1</v>
      </c>
      <c r="F677" t="s">
        <v>13540</v>
      </c>
      <c r="G677" t="s">
        <v>13541</v>
      </c>
      <c r="H677" s="4" t="s">
        <v>13542</v>
      </c>
      <c r="I677" t="s">
        <v>71</v>
      </c>
      <c r="J677" t="s">
        <v>10782</v>
      </c>
      <c r="K677" t="s">
        <v>13543</v>
      </c>
    </row>
    <row r="678" spans="1:11" ht="187.2" x14ac:dyDescent="0.3">
      <c r="A678" s="4" t="s">
        <v>4140</v>
      </c>
      <c r="B678">
        <v>3</v>
      </c>
      <c r="C678">
        <v>2024</v>
      </c>
      <c r="D678" t="s">
        <v>10057</v>
      </c>
      <c r="E678">
        <v>1</v>
      </c>
      <c r="F678" t="s">
        <v>13544</v>
      </c>
      <c r="G678" t="s">
        <v>13545</v>
      </c>
      <c r="H678" s="4" t="s">
        <v>13546</v>
      </c>
      <c r="I678" t="s">
        <v>71</v>
      </c>
      <c r="J678" t="s">
        <v>10782</v>
      </c>
      <c r="K678" t="s">
        <v>13547</v>
      </c>
    </row>
    <row r="679" spans="1:11" ht="216" x14ac:dyDescent="0.3">
      <c r="A679" s="4" t="s">
        <v>4141</v>
      </c>
      <c r="B679">
        <v>3</v>
      </c>
      <c r="C679">
        <v>2024</v>
      </c>
      <c r="D679" t="s">
        <v>724</v>
      </c>
      <c r="E679">
        <v>0</v>
      </c>
      <c r="F679" t="s">
        <v>13548</v>
      </c>
      <c r="G679" t="s">
        <v>13549</v>
      </c>
      <c r="H679" s="4" t="s">
        <v>13550</v>
      </c>
      <c r="I679" t="s">
        <v>71</v>
      </c>
      <c r="J679" t="s">
        <v>10782</v>
      </c>
      <c r="K679" t="s">
        <v>13551</v>
      </c>
    </row>
    <row r="680" spans="1:11" ht="201.6" x14ac:dyDescent="0.3">
      <c r="A680" s="4" t="s">
        <v>4142</v>
      </c>
      <c r="B680">
        <v>3</v>
      </c>
      <c r="C680">
        <v>2024</v>
      </c>
      <c r="D680" t="s">
        <v>83</v>
      </c>
      <c r="E680">
        <v>4</v>
      </c>
      <c r="F680" t="s">
        <v>13552</v>
      </c>
      <c r="G680" t="s">
        <v>13553</v>
      </c>
      <c r="H680" s="4" t="s">
        <v>13554</v>
      </c>
      <c r="I680" t="s">
        <v>71</v>
      </c>
      <c r="J680" t="s">
        <v>10782</v>
      </c>
      <c r="K680" t="s">
        <v>13555</v>
      </c>
    </row>
    <row r="681" spans="1:11" ht="201.6" x14ac:dyDescent="0.3">
      <c r="A681" s="4" t="s">
        <v>4143</v>
      </c>
      <c r="B681">
        <v>3</v>
      </c>
      <c r="C681">
        <v>2024</v>
      </c>
      <c r="D681" t="s">
        <v>1002</v>
      </c>
      <c r="E681">
        <v>4</v>
      </c>
      <c r="F681" t="s">
        <v>13556</v>
      </c>
      <c r="G681" t="s">
        <v>13557</v>
      </c>
      <c r="H681" s="4" t="s">
        <v>13558</v>
      </c>
      <c r="I681" t="s">
        <v>71</v>
      </c>
      <c r="J681" t="s">
        <v>10782</v>
      </c>
      <c r="K681" t="s">
        <v>13559</v>
      </c>
    </row>
    <row r="682" spans="1:11" ht="187.2" x14ac:dyDescent="0.3">
      <c r="A682" s="4" t="s">
        <v>608</v>
      </c>
      <c r="B682">
        <v>1</v>
      </c>
      <c r="C682">
        <v>2024</v>
      </c>
      <c r="D682" t="s">
        <v>217</v>
      </c>
      <c r="E682">
        <v>2</v>
      </c>
      <c r="F682" t="s">
        <v>13560</v>
      </c>
      <c r="G682" t="s">
        <v>13561</v>
      </c>
      <c r="H682" s="4" t="s">
        <v>13562</v>
      </c>
      <c r="I682" t="s">
        <v>71</v>
      </c>
      <c r="J682" t="s">
        <v>10782</v>
      </c>
      <c r="K682" t="s">
        <v>13563</v>
      </c>
    </row>
    <row r="683" spans="1:11" ht="172.8" x14ac:dyDescent="0.3">
      <c r="A683" s="4" t="s">
        <v>4144</v>
      </c>
      <c r="B683">
        <v>3</v>
      </c>
      <c r="C683">
        <v>2024</v>
      </c>
      <c r="D683" t="s">
        <v>13564</v>
      </c>
      <c r="E683">
        <v>0</v>
      </c>
      <c r="F683" t="s">
        <v>13565</v>
      </c>
      <c r="G683" t="s">
        <v>13566</v>
      </c>
      <c r="H683" s="4" t="s">
        <v>13567</v>
      </c>
      <c r="I683" t="s">
        <v>71</v>
      </c>
      <c r="J683" t="s">
        <v>10782</v>
      </c>
      <c r="K683" t="s">
        <v>13568</v>
      </c>
    </row>
    <row r="684" spans="1:11" ht="187.2" x14ac:dyDescent="0.3">
      <c r="A684" s="4" t="s">
        <v>4145</v>
      </c>
      <c r="B684">
        <v>3</v>
      </c>
      <c r="C684">
        <v>2024</v>
      </c>
      <c r="D684" t="s">
        <v>2018</v>
      </c>
      <c r="E684">
        <v>4</v>
      </c>
      <c r="F684" t="s">
        <v>13569</v>
      </c>
      <c r="G684" t="s">
        <v>13570</v>
      </c>
      <c r="H684" s="4" t="s">
        <v>13571</v>
      </c>
      <c r="I684" t="s">
        <v>71</v>
      </c>
      <c r="J684" t="s">
        <v>10782</v>
      </c>
      <c r="K684" t="s">
        <v>13572</v>
      </c>
    </row>
    <row r="685" spans="1:11" ht="187.2" x14ac:dyDescent="0.3">
      <c r="A685" s="4" t="s">
        <v>4146</v>
      </c>
      <c r="B685">
        <v>3</v>
      </c>
      <c r="C685">
        <v>2024</v>
      </c>
      <c r="D685" t="s">
        <v>405</v>
      </c>
      <c r="E685">
        <v>7</v>
      </c>
      <c r="F685" t="s">
        <v>13573</v>
      </c>
      <c r="G685" t="s">
        <v>13574</v>
      </c>
      <c r="H685" s="4" t="s">
        <v>13575</v>
      </c>
      <c r="I685" t="s">
        <v>71</v>
      </c>
      <c r="J685" t="s">
        <v>10782</v>
      </c>
      <c r="K685" t="s">
        <v>13576</v>
      </c>
    </row>
    <row r="686" spans="1:11" ht="129.6" x14ac:dyDescent="0.3">
      <c r="A686" s="4" t="s">
        <v>4147</v>
      </c>
      <c r="B686">
        <v>3</v>
      </c>
      <c r="C686">
        <v>2024</v>
      </c>
      <c r="D686" t="s">
        <v>318</v>
      </c>
      <c r="E686">
        <v>6</v>
      </c>
      <c r="F686" t="s">
        <v>13577</v>
      </c>
      <c r="G686" t="s">
        <v>13578</v>
      </c>
      <c r="H686" s="4" t="s">
        <v>13579</v>
      </c>
      <c r="I686" t="s">
        <v>71</v>
      </c>
      <c r="J686" t="s">
        <v>10782</v>
      </c>
      <c r="K686" t="s">
        <v>13580</v>
      </c>
    </row>
    <row r="687" spans="1:11" ht="216" x14ac:dyDescent="0.3">
      <c r="A687" s="4" t="s">
        <v>4148</v>
      </c>
      <c r="B687">
        <v>3</v>
      </c>
      <c r="C687">
        <v>2024</v>
      </c>
      <c r="D687" t="s">
        <v>1936</v>
      </c>
      <c r="E687">
        <v>10</v>
      </c>
      <c r="F687" t="s">
        <v>13581</v>
      </c>
      <c r="G687" t="s">
        <v>13582</v>
      </c>
      <c r="H687" s="4" t="s">
        <v>13583</v>
      </c>
      <c r="I687" t="s">
        <v>71</v>
      </c>
      <c r="J687" t="s">
        <v>10782</v>
      </c>
      <c r="K687" t="s">
        <v>13584</v>
      </c>
    </row>
    <row r="688" spans="1:11" ht="172.8" x14ac:dyDescent="0.3">
      <c r="A688" s="4" t="s">
        <v>4149</v>
      </c>
      <c r="B688">
        <v>3</v>
      </c>
      <c r="C688">
        <v>2024</v>
      </c>
      <c r="D688" t="s">
        <v>217</v>
      </c>
      <c r="E688">
        <v>1</v>
      </c>
      <c r="F688" t="s">
        <v>13585</v>
      </c>
      <c r="G688" t="s">
        <v>13586</v>
      </c>
      <c r="H688" s="4" t="s">
        <v>13587</v>
      </c>
      <c r="I688" t="s">
        <v>71</v>
      </c>
      <c r="J688" t="s">
        <v>10782</v>
      </c>
      <c r="K688" t="s">
        <v>13588</v>
      </c>
    </row>
    <row r="689" spans="1:11" ht="288" x14ac:dyDescent="0.3">
      <c r="A689" s="4" t="s">
        <v>4150</v>
      </c>
      <c r="B689">
        <v>3</v>
      </c>
      <c r="C689">
        <v>2024</v>
      </c>
      <c r="D689" t="s">
        <v>10104</v>
      </c>
      <c r="E689">
        <v>1</v>
      </c>
      <c r="F689" t="s">
        <v>13589</v>
      </c>
      <c r="G689" t="s">
        <v>13590</v>
      </c>
      <c r="H689" s="4" t="s">
        <v>13591</v>
      </c>
      <c r="I689" t="s">
        <v>71</v>
      </c>
      <c r="J689" t="s">
        <v>10782</v>
      </c>
      <c r="K689" t="s">
        <v>13592</v>
      </c>
    </row>
    <row r="690" spans="1:11" ht="43.2" x14ac:dyDescent="0.3">
      <c r="A690" s="4" t="s">
        <v>4151</v>
      </c>
      <c r="B690">
        <v>3</v>
      </c>
      <c r="C690">
        <v>2024</v>
      </c>
      <c r="D690" t="s">
        <v>13593</v>
      </c>
      <c r="E690">
        <v>9</v>
      </c>
      <c r="F690" t="s">
        <v>13594</v>
      </c>
      <c r="G690" t="s">
        <v>13595</v>
      </c>
      <c r="H690" s="4" t="s">
        <v>13596</v>
      </c>
    </row>
    <row r="691" spans="1:11" ht="244.8" x14ac:dyDescent="0.3">
      <c r="A691" s="4" t="s">
        <v>4152</v>
      </c>
      <c r="B691">
        <v>3</v>
      </c>
      <c r="C691">
        <v>2024</v>
      </c>
      <c r="D691" t="s">
        <v>12580</v>
      </c>
      <c r="E691">
        <v>0</v>
      </c>
      <c r="F691" t="s">
        <v>13597</v>
      </c>
      <c r="G691" t="s">
        <v>13598</v>
      </c>
      <c r="H691" s="4" t="s">
        <v>13599</v>
      </c>
      <c r="I691" t="s">
        <v>71</v>
      </c>
      <c r="J691" t="s">
        <v>10782</v>
      </c>
      <c r="K691" t="s">
        <v>13600</v>
      </c>
    </row>
    <row r="692" spans="1:11" ht="115.2" x14ac:dyDescent="0.3">
      <c r="A692" s="4" t="s">
        <v>3209</v>
      </c>
      <c r="B692">
        <v>1</v>
      </c>
      <c r="C692">
        <v>2024</v>
      </c>
      <c r="D692" t="s">
        <v>147</v>
      </c>
      <c r="E692">
        <v>9</v>
      </c>
      <c r="F692" t="s">
        <v>13601</v>
      </c>
      <c r="G692" t="s">
        <v>13602</v>
      </c>
      <c r="H692" s="4" t="s">
        <v>13603</v>
      </c>
      <c r="I692" t="s">
        <v>71</v>
      </c>
      <c r="J692" t="s">
        <v>10782</v>
      </c>
      <c r="K692" t="s">
        <v>13604</v>
      </c>
    </row>
    <row r="693" spans="1:11" ht="144" x14ac:dyDescent="0.3">
      <c r="A693" s="4" t="s">
        <v>4153</v>
      </c>
      <c r="B693">
        <v>3</v>
      </c>
      <c r="C693">
        <v>2024</v>
      </c>
      <c r="D693" t="s">
        <v>2859</v>
      </c>
      <c r="E693">
        <v>0</v>
      </c>
      <c r="F693" t="s">
        <v>13605</v>
      </c>
      <c r="G693" t="s">
        <v>13606</v>
      </c>
      <c r="H693" s="4" t="s">
        <v>13607</v>
      </c>
      <c r="I693" t="s">
        <v>71</v>
      </c>
      <c r="J693" t="s">
        <v>10782</v>
      </c>
      <c r="K693" t="s">
        <v>13608</v>
      </c>
    </row>
    <row r="694" spans="1:11" ht="201.6" x14ac:dyDescent="0.3">
      <c r="A694" s="4" t="s">
        <v>3210</v>
      </c>
      <c r="B694">
        <v>1</v>
      </c>
      <c r="C694">
        <v>2024</v>
      </c>
      <c r="D694" t="s">
        <v>128</v>
      </c>
      <c r="E694">
        <v>3</v>
      </c>
      <c r="F694" t="s">
        <v>13609</v>
      </c>
      <c r="G694" t="s">
        <v>13610</v>
      </c>
      <c r="H694" s="4" t="s">
        <v>13611</v>
      </c>
      <c r="I694" t="s">
        <v>71</v>
      </c>
      <c r="J694" t="s">
        <v>10782</v>
      </c>
      <c r="K694" t="s">
        <v>13612</v>
      </c>
    </row>
    <row r="695" spans="1:11" ht="230.4" x14ac:dyDescent="0.3">
      <c r="A695" s="4" t="s">
        <v>609</v>
      </c>
      <c r="B695">
        <v>1</v>
      </c>
      <c r="C695">
        <v>2024</v>
      </c>
      <c r="D695" t="s">
        <v>622</v>
      </c>
      <c r="E695">
        <v>1</v>
      </c>
      <c r="F695" t="s">
        <v>13613</v>
      </c>
      <c r="G695" t="s">
        <v>13614</v>
      </c>
      <c r="H695" s="4" t="s">
        <v>13615</v>
      </c>
      <c r="I695" t="s">
        <v>71</v>
      </c>
      <c r="J695" t="s">
        <v>10782</v>
      </c>
      <c r="K695" t="s">
        <v>13616</v>
      </c>
    </row>
    <row r="696" spans="1:11" ht="230.4" x14ac:dyDescent="0.3">
      <c r="A696" s="4" t="s">
        <v>4154</v>
      </c>
      <c r="B696">
        <v>3</v>
      </c>
      <c r="C696">
        <v>2024</v>
      </c>
      <c r="D696" t="s">
        <v>217</v>
      </c>
      <c r="E696">
        <v>1</v>
      </c>
      <c r="F696" t="s">
        <v>13617</v>
      </c>
      <c r="G696" t="s">
        <v>13618</v>
      </c>
      <c r="H696" s="4" t="s">
        <v>13619</v>
      </c>
      <c r="I696" t="s">
        <v>71</v>
      </c>
      <c r="J696" t="s">
        <v>10782</v>
      </c>
      <c r="K696" t="s">
        <v>13620</v>
      </c>
    </row>
    <row r="697" spans="1:11" ht="115.2" x14ac:dyDescent="0.3">
      <c r="A697" s="4" t="s">
        <v>4155</v>
      </c>
      <c r="B697">
        <v>3</v>
      </c>
      <c r="C697">
        <v>2024</v>
      </c>
      <c r="D697" t="s">
        <v>13621</v>
      </c>
      <c r="E697">
        <v>0</v>
      </c>
      <c r="F697" t="s">
        <v>13622</v>
      </c>
      <c r="G697" t="s">
        <v>13623</v>
      </c>
      <c r="H697" s="4" t="s">
        <v>13624</v>
      </c>
      <c r="I697" t="s">
        <v>71</v>
      </c>
      <c r="J697" t="s">
        <v>10782</v>
      </c>
      <c r="K697" t="s">
        <v>13625</v>
      </c>
    </row>
    <row r="698" spans="1:11" ht="172.8" x14ac:dyDescent="0.3">
      <c r="A698" s="4" t="s">
        <v>4156</v>
      </c>
      <c r="B698">
        <v>3</v>
      </c>
      <c r="C698">
        <v>2024</v>
      </c>
      <c r="D698" t="s">
        <v>550</v>
      </c>
      <c r="E698">
        <v>2</v>
      </c>
      <c r="F698" t="s">
        <v>13626</v>
      </c>
      <c r="G698" t="s">
        <v>13627</v>
      </c>
      <c r="H698" s="4" t="s">
        <v>13628</v>
      </c>
      <c r="I698" t="s">
        <v>71</v>
      </c>
      <c r="J698" t="s">
        <v>10782</v>
      </c>
      <c r="K698" t="s">
        <v>13629</v>
      </c>
    </row>
    <row r="699" spans="1:11" ht="144" x14ac:dyDescent="0.3">
      <c r="A699" s="4" t="s">
        <v>4157</v>
      </c>
      <c r="B699">
        <v>3</v>
      </c>
      <c r="C699">
        <v>2024</v>
      </c>
      <c r="D699" t="s">
        <v>13630</v>
      </c>
      <c r="E699">
        <v>1</v>
      </c>
      <c r="F699" t="s">
        <v>13631</v>
      </c>
      <c r="G699" t="s">
        <v>13632</v>
      </c>
      <c r="H699" s="4" t="s">
        <v>13633</v>
      </c>
      <c r="I699" t="s">
        <v>71</v>
      </c>
      <c r="J699" t="s">
        <v>10782</v>
      </c>
      <c r="K699" t="s">
        <v>13634</v>
      </c>
    </row>
    <row r="700" spans="1:11" ht="201.6" x14ac:dyDescent="0.3">
      <c r="A700" s="4" t="s">
        <v>4158</v>
      </c>
      <c r="B700">
        <v>3</v>
      </c>
      <c r="C700">
        <v>2024</v>
      </c>
      <c r="D700" t="s">
        <v>11164</v>
      </c>
      <c r="E700">
        <v>0</v>
      </c>
      <c r="F700" t="s">
        <v>13635</v>
      </c>
      <c r="G700" t="s">
        <v>13636</v>
      </c>
      <c r="H700" s="4" t="s">
        <v>13637</v>
      </c>
      <c r="I700" t="s">
        <v>71</v>
      </c>
      <c r="J700" t="s">
        <v>10782</v>
      </c>
      <c r="K700" t="s">
        <v>13638</v>
      </c>
    </row>
    <row r="701" spans="1:11" ht="100.8" x14ac:dyDescent="0.3">
      <c r="A701" s="4" t="s">
        <v>4159</v>
      </c>
      <c r="B701">
        <v>3</v>
      </c>
      <c r="C701">
        <v>2024</v>
      </c>
      <c r="D701" t="s">
        <v>13639</v>
      </c>
      <c r="E701">
        <v>2</v>
      </c>
      <c r="F701" t="s">
        <v>13640</v>
      </c>
      <c r="G701" t="s">
        <v>13641</v>
      </c>
      <c r="H701" s="4" t="s">
        <v>13642</v>
      </c>
      <c r="I701" t="s">
        <v>71</v>
      </c>
      <c r="J701" t="s">
        <v>10782</v>
      </c>
      <c r="K701" t="s">
        <v>13643</v>
      </c>
    </row>
    <row r="702" spans="1:11" ht="129.6" x14ac:dyDescent="0.3">
      <c r="A702" s="4" t="s">
        <v>4160</v>
      </c>
      <c r="B702">
        <v>3</v>
      </c>
      <c r="C702">
        <v>2024</v>
      </c>
      <c r="D702" t="s">
        <v>13644</v>
      </c>
      <c r="E702">
        <v>0</v>
      </c>
      <c r="F702" t="s">
        <v>13645</v>
      </c>
      <c r="G702" t="s">
        <v>13646</v>
      </c>
      <c r="H702" s="4" t="s">
        <v>13647</v>
      </c>
    </row>
    <row r="703" spans="1:11" ht="201.6" x14ac:dyDescent="0.3">
      <c r="A703" s="4" t="s">
        <v>4161</v>
      </c>
      <c r="B703">
        <v>3</v>
      </c>
      <c r="C703">
        <v>2024</v>
      </c>
      <c r="D703" t="s">
        <v>2585</v>
      </c>
      <c r="E703">
        <v>1</v>
      </c>
      <c r="F703" t="s">
        <v>13648</v>
      </c>
      <c r="G703" t="s">
        <v>13649</v>
      </c>
      <c r="H703" s="4" t="s">
        <v>13650</v>
      </c>
      <c r="I703" t="s">
        <v>71</v>
      </c>
      <c r="J703" t="s">
        <v>10782</v>
      </c>
      <c r="K703" t="s">
        <v>13651</v>
      </c>
    </row>
    <row r="704" spans="1:11" ht="201.6" x14ac:dyDescent="0.3">
      <c r="A704" s="4" t="s">
        <v>4162</v>
      </c>
      <c r="B704">
        <v>3</v>
      </c>
      <c r="C704">
        <v>2024</v>
      </c>
      <c r="D704" t="s">
        <v>12857</v>
      </c>
      <c r="E704">
        <v>1</v>
      </c>
      <c r="F704" t="s">
        <v>13652</v>
      </c>
      <c r="G704" t="s">
        <v>13653</v>
      </c>
      <c r="H704" s="4" t="s">
        <v>13654</v>
      </c>
      <c r="I704" t="s">
        <v>71</v>
      </c>
      <c r="J704" t="s">
        <v>10782</v>
      </c>
      <c r="K704" t="s">
        <v>13655</v>
      </c>
    </row>
    <row r="705" spans="1:11" ht="129.6" x14ac:dyDescent="0.3">
      <c r="A705" s="4" t="s">
        <v>4163</v>
      </c>
      <c r="B705">
        <v>3</v>
      </c>
      <c r="C705">
        <v>2024</v>
      </c>
      <c r="D705" t="s">
        <v>13656</v>
      </c>
      <c r="E705">
        <v>0</v>
      </c>
      <c r="F705" t="s">
        <v>13657</v>
      </c>
      <c r="G705" t="s">
        <v>13658</v>
      </c>
      <c r="H705" s="4" t="s">
        <v>13659</v>
      </c>
      <c r="I705" t="s">
        <v>71</v>
      </c>
      <c r="J705" t="s">
        <v>10782</v>
      </c>
      <c r="K705" t="s">
        <v>13660</v>
      </c>
    </row>
    <row r="706" spans="1:11" x14ac:dyDescent="0.3">
      <c r="A706" s="4" t="s">
        <v>4164</v>
      </c>
      <c r="B706">
        <v>3</v>
      </c>
      <c r="C706">
        <v>2024</v>
      </c>
      <c r="D706" t="s">
        <v>13661</v>
      </c>
      <c r="E706">
        <v>3</v>
      </c>
      <c r="F706" t="s">
        <v>13662</v>
      </c>
      <c r="G706" t="s">
        <v>13663</v>
      </c>
      <c r="H706" s="4" t="s">
        <v>13664</v>
      </c>
    </row>
    <row r="707" spans="1:11" ht="144" x14ac:dyDescent="0.3">
      <c r="A707" s="4" t="s">
        <v>4165</v>
      </c>
      <c r="B707">
        <v>3</v>
      </c>
      <c r="C707">
        <v>2024</v>
      </c>
      <c r="D707" t="s">
        <v>329</v>
      </c>
      <c r="E707">
        <v>1</v>
      </c>
      <c r="F707" t="s">
        <v>13665</v>
      </c>
      <c r="G707" t="s">
        <v>13666</v>
      </c>
      <c r="H707" s="4" t="s">
        <v>13667</v>
      </c>
      <c r="I707" t="s">
        <v>71</v>
      </c>
      <c r="J707" t="s">
        <v>10782</v>
      </c>
      <c r="K707" t="s">
        <v>13668</v>
      </c>
    </row>
    <row r="708" spans="1:11" ht="187.2" x14ac:dyDescent="0.3">
      <c r="A708" s="4" t="s">
        <v>4166</v>
      </c>
      <c r="B708">
        <v>3</v>
      </c>
      <c r="C708">
        <v>2024</v>
      </c>
      <c r="D708" t="s">
        <v>13669</v>
      </c>
      <c r="E708">
        <v>12</v>
      </c>
      <c r="F708" t="s">
        <v>13670</v>
      </c>
      <c r="G708" t="s">
        <v>13671</v>
      </c>
      <c r="H708" s="4" t="s">
        <v>13672</v>
      </c>
      <c r="I708" t="s">
        <v>71</v>
      </c>
      <c r="J708" t="s">
        <v>10782</v>
      </c>
      <c r="K708" t="s">
        <v>13673</v>
      </c>
    </row>
    <row r="709" spans="1:11" ht="144" x14ac:dyDescent="0.3">
      <c r="A709" s="4" t="s">
        <v>4167</v>
      </c>
      <c r="B709">
        <v>3</v>
      </c>
      <c r="C709">
        <v>2024</v>
      </c>
      <c r="D709" t="s">
        <v>12080</v>
      </c>
      <c r="E709">
        <v>1</v>
      </c>
      <c r="F709" t="s">
        <v>13674</v>
      </c>
      <c r="G709" t="s">
        <v>13675</v>
      </c>
      <c r="H709" s="4" t="s">
        <v>13676</v>
      </c>
    </row>
    <row r="710" spans="1:11" ht="115.2" x14ac:dyDescent="0.3">
      <c r="A710" s="4" t="s">
        <v>4168</v>
      </c>
      <c r="B710">
        <v>3</v>
      </c>
      <c r="C710">
        <v>2024</v>
      </c>
      <c r="D710" t="s">
        <v>1438</v>
      </c>
      <c r="E710">
        <v>0</v>
      </c>
      <c r="F710" t="s">
        <v>13677</v>
      </c>
      <c r="G710" t="s">
        <v>13678</v>
      </c>
      <c r="H710" s="4" t="s">
        <v>13679</v>
      </c>
      <c r="I710" t="s">
        <v>71</v>
      </c>
      <c r="J710" t="s">
        <v>10782</v>
      </c>
      <c r="K710" t="s">
        <v>13680</v>
      </c>
    </row>
    <row r="711" spans="1:11" ht="187.2" x14ac:dyDescent="0.3">
      <c r="A711" s="4" t="s">
        <v>4169</v>
      </c>
      <c r="B711">
        <v>3</v>
      </c>
      <c r="C711">
        <v>2024</v>
      </c>
      <c r="D711" t="s">
        <v>12491</v>
      </c>
      <c r="E711">
        <v>3</v>
      </c>
      <c r="F711" t="s">
        <v>13681</v>
      </c>
      <c r="G711" t="s">
        <v>13682</v>
      </c>
      <c r="H711" s="4" t="s">
        <v>13683</v>
      </c>
      <c r="I711" t="s">
        <v>71</v>
      </c>
      <c r="J711" t="s">
        <v>10782</v>
      </c>
      <c r="K711" t="s">
        <v>13684</v>
      </c>
    </row>
    <row r="712" spans="1:11" ht="158.4" x14ac:dyDescent="0.3">
      <c r="A712" s="4" t="s">
        <v>4170</v>
      </c>
      <c r="B712">
        <v>3</v>
      </c>
      <c r="C712">
        <v>2024</v>
      </c>
      <c r="D712" t="s">
        <v>13685</v>
      </c>
      <c r="E712">
        <v>0</v>
      </c>
      <c r="F712" t="s">
        <v>13686</v>
      </c>
      <c r="G712" t="s">
        <v>13687</v>
      </c>
      <c r="H712" s="4" t="s">
        <v>13688</v>
      </c>
      <c r="I712" t="s">
        <v>71</v>
      </c>
      <c r="J712" t="s">
        <v>10782</v>
      </c>
      <c r="K712" t="s">
        <v>13689</v>
      </c>
    </row>
    <row r="713" spans="1:11" ht="129.6" x14ac:dyDescent="0.3">
      <c r="A713" s="4" t="s">
        <v>4171</v>
      </c>
      <c r="B713">
        <v>3</v>
      </c>
      <c r="C713">
        <v>2024</v>
      </c>
      <c r="D713" t="s">
        <v>2328</v>
      </c>
      <c r="E713">
        <v>0</v>
      </c>
      <c r="F713" t="s">
        <v>13690</v>
      </c>
      <c r="G713" t="s">
        <v>13691</v>
      </c>
      <c r="H713" s="4" t="s">
        <v>13692</v>
      </c>
    </row>
    <row r="714" spans="1:11" ht="43.2" x14ac:dyDescent="0.3">
      <c r="A714" s="4" t="s">
        <v>4172</v>
      </c>
      <c r="B714">
        <v>3</v>
      </c>
      <c r="C714">
        <v>2024</v>
      </c>
      <c r="D714" t="s">
        <v>10805</v>
      </c>
      <c r="E714">
        <v>1</v>
      </c>
      <c r="F714" t="s">
        <v>13693</v>
      </c>
      <c r="G714" t="s">
        <v>13694</v>
      </c>
      <c r="H714" s="4" t="s">
        <v>13695</v>
      </c>
    </row>
    <row r="715" spans="1:11" ht="187.2" x14ac:dyDescent="0.3">
      <c r="A715" s="4" t="s">
        <v>3211</v>
      </c>
      <c r="B715">
        <v>1</v>
      </c>
      <c r="C715">
        <v>2024</v>
      </c>
      <c r="D715" t="s">
        <v>13696</v>
      </c>
      <c r="E715">
        <v>0</v>
      </c>
      <c r="F715" t="s">
        <v>13697</v>
      </c>
      <c r="G715" t="s">
        <v>13698</v>
      </c>
      <c r="H715" s="4" t="s">
        <v>13699</v>
      </c>
      <c r="I715" t="s">
        <v>71</v>
      </c>
      <c r="J715" t="s">
        <v>10782</v>
      </c>
      <c r="K715" t="s">
        <v>13700</v>
      </c>
    </row>
    <row r="716" spans="1:11" ht="288" x14ac:dyDescent="0.3">
      <c r="A716" s="4" t="s">
        <v>4173</v>
      </c>
      <c r="B716">
        <v>3</v>
      </c>
      <c r="C716">
        <v>2024</v>
      </c>
      <c r="D716" t="s">
        <v>10971</v>
      </c>
      <c r="E716">
        <v>10</v>
      </c>
      <c r="F716" t="s">
        <v>13701</v>
      </c>
      <c r="G716" t="s">
        <v>13702</v>
      </c>
      <c r="H716" s="4" t="s">
        <v>13703</v>
      </c>
      <c r="I716" t="s">
        <v>71</v>
      </c>
      <c r="J716" t="s">
        <v>10782</v>
      </c>
      <c r="K716" t="s">
        <v>13704</v>
      </c>
    </row>
    <row r="717" spans="1:11" ht="158.4" x14ac:dyDescent="0.3">
      <c r="A717" s="4" t="s">
        <v>4174</v>
      </c>
      <c r="B717">
        <v>3</v>
      </c>
      <c r="C717">
        <v>2024</v>
      </c>
      <c r="D717" t="s">
        <v>590</v>
      </c>
      <c r="E717">
        <v>2</v>
      </c>
      <c r="F717" t="s">
        <v>13705</v>
      </c>
      <c r="G717" t="s">
        <v>13706</v>
      </c>
      <c r="H717" s="4" t="s">
        <v>13707</v>
      </c>
      <c r="I717" t="s">
        <v>71</v>
      </c>
      <c r="J717" t="s">
        <v>10782</v>
      </c>
      <c r="K717" t="s">
        <v>13708</v>
      </c>
    </row>
    <row r="718" spans="1:11" ht="244.8" x14ac:dyDescent="0.3">
      <c r="A718" s="4" t="s">
        <v>4175</v>
      </c>
      <c r="B718">
        <v>3</v>
      </c>
      <c r="C718">
        <v>2024</v>
      </c>
      <c r="D718" t="s">
        <v>13709</v>
      </c>
      <c r="E718">
        <v>5</v>
      </c>
      <c r="F718" t="s">
        <v>13710</v>
      </c>
      <c r="G718" t="s">
        <v>13711</v>
      </c>
      <c r="H718" s="4" t="s">
        <v>13712</v>
      </c>
      <c r="I718" t="s">
        <v>71</v>
      </c>
      <c r="J718" t="s">
        <v>10782</v>
      </c>
      <c r="K718" t="s">
        <v>13713</v>
      </c>
    </row>
    <row r="719" spans="1:11" ht="115.2" x14ac:dyDescent="0.3">
      <c r="A719" s="4" t="s">
        <v>4176</v>
      </c>
      <c r="B719">
        <v>3</v>
      </c>
      <c r="C719">
        <v>2024</v>
      </c>
      <c r="D719" t="s">
        <v>318</v>
      </c>
      <c r="E719">
        <v>1</v>
      </c>
      <c r="F719" t="s">
        <v>13714</v>
      </c>
      <c r="G719" t="s">
        <v>13715</v>
      </c>
      <c r="H719" s="4" t="s">
        <v>13716</v>
      </c>
    </row>
    <row r="720" spans="1:11" ht="172.8" x14ac:dyDescent="0.3">
      <c r="A720" s="4" t="s">
        <v>3491</v>
      </c>
      <c r="B720">
        <v>2</v>
      </c>
      <c r="C720">
        <v>2024</v>
      </c>
      <c r="D720" t="s">
        <v>147</v>
      </c>
      <c r="E720">
        <v>15</v>
      </c>
      <c r="F720" t="s">
        <v>13717</v>
      </c>
      <c r="G720" t="s">
        <v>13718</v>
      </c>
      <c r="H720" s="4" t="s">
        <v>13719</v>
      </c>
      <c r="I720" t="s">
        <v>71</v>
      </c>
      <c r="J720" t="s">
        <v>10782</v>
      </c>
      <c r="K720" t="s">
        <v>13720</v>
      </c>
    </row>
    <row r="721" spans="1:11" ht="187.2" x14ac:dyDescent="0.3">
      <c r="A721" s="4" t="s">
        <v>4177</v>
      </c>
      <c r="B721">
        <v>3</v>
      </c>
      <c r="C721">
        <v>2024</v>
      </c>
      <c r="D721" t="s">
        <v>13721</v>
      </c>
      <c r="E721">
        <v>2</v>
      </c>
      <c r="F721" t="s">
        <v>13722</v>
      </c>
      <c r="G721" t="s">
        <v>13723</v>
      </c>
      <c r="H721" s="4" t="s">
        <v>13724</v>
      </c>
      <c r="I721" t="s">
        <v>71</v>
      </c>
      <c r="J721" t="s">
        <v>10782</v>
      </c>
      <c r="K721" t="s">
        <v>13725</v>
      </c>
    </row>
    <row r="722" spans="1:11" ht="72" x14ac:dyDescent="0.3">
      <c r="A722" s="4" t="s">
        <v>4178</v>
      </c>
      <c r="B722">
        <v>3</v>
      </c>
      <c r="C722">
        <v>2024</v>
      </c>
      <c r="D722" t="s">
        <v>1770</v>
      </c>
      <c r="E722">
        <v>2</v>
      </c>
      <c r="F722" t="s">
        <v>13726</v>
      </c>
      <c r="G722" t="s">
        <v>13727</v>
      </c>
      <c r="H722" s="4" t="s">
        <v>13728</v>
      </c>
    </row>
    <row r="723" spans="1:11" ht="129.6" x14ac:dyDescent="0.3">
      <c r="A723" s="4" t="s">
        <v>4179</v>
      </c>
      <c r="B723">
        <v>3</v>
      </c>
      <c r="C723">
        <v>2024</v>
      </c>
      <c r="D723" t="s">
        <v>329</v>
      </c>
      <c r="E723">
        <v>1</v>
      </c>
      <c r="F723" t="s">
        <v>13729</v>
      </c>
      <c r="G723" t="s">
        <v>13730</v>
      </c>
      <c r="H723" s="4" t="s">
        <v>13731</v>
      </c>
      <c r="I723" t="s">
        <v>71</v>
      </c>
      <c r="J723" t="s">
        <v>10782</v>
      </c>
      <c r="K723" t="s">
        <v>13732</v>
      </c>
    </row>
    <row r="724" spans="1:11" ht="244.8" x14ac:dyDescent="0.3">
      <c r="A724" s="4" t="s">
        <v>4180</v>
      </c>
      <c r="B724">
        <v>3</v>
      </c>
      <c r="C724">
        <v>2024</v>
      </c>
      <c r="D724" t="s">
        <v>10971</v>
      </c>
      <c r="E724">
        <v>7</v>
      </c>
      <c r="F724" t="s">
        <v>13733</v>
      </c>
      <c r="G724" t="s">
        <v>13734</v>
      </c>
      <c r="H724" s="4" t="s">
        <v>13735</v>
      </c>
      <c r="I724" t="s">
        <v>71</v>
      </c>
      <c r="J724" t="s">
        <v>10782</v>
      </c>
      <c r="K724" t="s">
        <v>13736</v>
      </c>
    </row>
    <row r="725" spans="1:11" ht="259.2" x14ac:dyDescent="0.3">
      <c r="A725" s="4" t="s">
        <v>626</v>
      </c>
      <c r="B725">
        <v>1</v>
      </c>
      <c r="C725">
        <v>2024</v>
      </c>
      <c r="D725" t="s">
        <v>627</v>
      </c>
      <c r="E725">
        <v>6</v>
      </c>
      <c r="F725" t="s">
        <v>13737</v>
      </c>
      <c r="G725" t="s">
        <v>13738</v>
      </c>
      <c r="H725" s="4" t="s">
        <v>13739</v>
      </c>
      <c r="I725" t="s">
        <v>71</v>
      </c>
      <c r="J725" t="s">
        <v>10782</v>
      </c>
      <c r="K725" t="s">
        <v>13740</v>
      </c>
    </row>
    <row r="726" spans="1:11" ht="158.4" x14ac:dyDescent="0.3">
      <c r="A726" s="4" t="s">
        <v>4181</v>
      </c>
      <c r="B726">
        <v>3</v>
      </c>
      <c r="C726">
        <v>2024</v>
      </c>
      <c r="D726" t="s">
        <v>11419</v>
      </c>
      <c r="E726">
        <v>0</v>
      </c>
      <c r="F726" t="s">
        <v>13741</v>
      </c>
      <c r="G726" t="s">
        <v>13742</v>
      </c>
      <c r="H726" s="4" t="s">
        <v>13743</v>
      </c>
      <c r="I726" t="s">
        <v>71</v>
      </c>
      <c r="J726" t="s">
        <v>10782</v>
      </c>
      <c r="K726" t="s">
        <v>13744</v>
      </c>
    </row>
    <row r="727" spans="1:11" ht="115.2" x14ac:dyDescent="0.3">
      <c r="A727" s="4" t="s">
        <v>4182</v>
      </c>
      <c r="B727">
        <v>3</v>
      </c>
      <c r="C727">
        <v>2024</v>
      </c>
      <c r="D727" t="s">
        <v>11337</v>
      </c>
      <c r="E727">
        <v>0</v>
      </c>
      <c r="F727" t="s">
        <v>13745</v>
      </c>
      <c r="G727" t="s">
        <v>13746</v>
      </c>
      <c r="H727" s="4" t="s">
        <v>13747</v>
      </c>
      <c r="I727" t="s">
        <v>71</v>
      </c>
      <c r="J727" t="s">
        <v>10782</v>
      </c>
      <c r="K727" t="s">
        <v>13748</v>
      </c>
    </row>
    <row r="728" spans="1:11" ht="187.2" x14ac:dyDescent="0.3">
      <c r="A728" s="4" t="s">
        <v>4183</v>
      </c>
      <c r="B728">
        <v>3</v>
      </c>
      <c r="C728">
        <v>2024</v>
      </c>
      <c r="D728" t="s">
        <v>11337</v>
      </c>
      <c r="E728">
        <v>4</v>
      </c>
      <c r="F728" t="s">
        <v>13749</v>
      </c>
      <c r="G728" t="s">
        <v>13750</v>
      </c>
      <c r="H728" s="4" t="s">
        <v>13751</v>
      </c>
      <c r="I728" t="s">
        <v>71</v>
      </c>
      <c r="J728" t="s">
        <v>10782</v>
      </c>
      <c r="K728" t="s">
        <v>13752</v>
      </c>
    </row>
    <row r="729" spans="1:11" ht="115.2" x14ac:dyDescent="0.3">
      <c r="A729" s="4" t="s">
        <v>3492</v>
      </c>
      <c r="B729">
        <v>2</v>
      </c>
      <c r="C729">
        <v>2024</v>
      </c>
      <c r="D729" t="s">
        <v>217</v>
      </c>
      <c r="E729">
        <v>1</v>
      </c>
      <c r="F729" t="s">
        <v>13753</v>
      </c>
      <c r="G729" t="s">
        <v>13754</v>
      </c>
      <c r="H729" s="4" t="s">
        <v>13755</v>
      </c>
    </row>
    <row r="730" spans="1:11" ht="144" x14ac:dyDescent="0.3">
      <c r="A730" s="4" t="s">
        <v>4184</v>
      </c>
      <c r="B730">
        <v>3</v>
      </c>
      <c r="C730">
        <v>2024</v>
      </c>
      <c r="D730" t="s">
        <v>13756</v>
      </c>
      <c r="E730">
        <v>0</v>
      </c>
      <c r="F730" t="s">
        <v>13757</v>
      </c>
      <c r="G730" t="s">
        <v>13758</v>
      </c>
      <c r="H730" s="4" t="s">
        <v>13759</v>
      </c>
      <c r="I730" t="s">
        <v>71</v>
      </c>
      <c r="J730" t="s">
        <v>10782</v>
      </c>
      <c r="K730" t="s">
        <v>13760</v>
      </c>
    </row>
    <row r="731" spans="1:11" ht="86.4" x14ac:dyDescent="0.3">
      <c r="A731" s="4" t="s">
        <v>4185</v>
      </c>
      <c r="B731">
        <v>3</v>
      </c>
      <c r="C731">
        <v>2024</v>
      </c>
      <c r="D731" t="s">
        <v>80</v>
      </c>
      <c r="E731">
        <v>5</v>
      </c>
      <c r="F731" t="s">
        <v>13761</v>
      </c>
      <c r="G731" t="s">
        <v>13762</v>
      </c>
      <c r="H731" s="4" t="s">
        <v>13763</v>
      </c>
    </row>
    <row r="732" spans="1:11" ht="100.8" x14ac:dyDescent="0.3">
      <c r="A732" s="4" t="s">
        <v>4186</v>
      </c>
      <c r="B732">
        <v>3</v>
      </c>
      <c r="C732">
        <v>2024</v>
      </c>
      <c r="D732" t="s">
        <v>544</v>
      </c>
      <c r="E732">
        <v>0</v>
      </c>
      <c r="F732" t="s">
        <v>13764</v>
      </c>
      <c r="G732" t="s">
        <v>13765</v>
      </c>
      <c r="H732" s="4" t="s">
        <v>13766</v>
      </c>
    </row>
    <row r="733" spans="1:11" ht="144" x14ac:dyDescent="0.3">
      <c r="A733" s="4" t="s">
        <v>3493</v>
      </c>
      <c r="B733">
        <v>2</v>
      </c>
      <c r="C733">
        <v>2024</v>
      </c>
      <c r="D733" t="s">
        <v>217</v>
      </c>
      <c r="E733">
        <v>4</v>
      </c>
      <c r="F733" t="s">
        <v>13767</v>
      </c>
      <c r="G733" t="s">
        <v>13768</v>
      </c>
      <c r="H733" s="4" t="s">
        <v>13769</v>
      </c>
      <c r="I733" t="s">
        <v>71</v>
      </c>
      <c r="J733" t="s">
        <v>10782</v>
      </c>
      <c r="K733" t="s">
        <v>13770</v>
      </c>
    </row>
    <row r="734" spans="1:11" ht="72" x14ac:dyDescent="0.3">
      <c r="A734" s="4" t="s">
        <v>4187</v>
      </c>
      <c r="B734">
        <v>3</v>
      </c>
      <c r="C734">
        <v>2024</v>
      </c>
      <c r="D734" t="s">
        <v>13771</v>
      </c>
      <c r="E734">
        <v>0</v>
      </c>
      <c r="F734" t="s">
        <v>13772</v>
      </c>
      <c r="G734" t="s">
        <v>13773</v>
      </c>
      <c r="H734" s="4" t="s">
        <v>13774</v>
      </c>
      <c r="I734" t="s">
        <v>71</v>
      </c>
      <c r="J734" t="s">
        <v>10782</v>
      </c>
      <c r="K734" t="s">
        <v>13775</v>
      </c>
    </row>
    <row r="735" spans="1:11" ht="230.4" x14ac:dyDescent="0.3">
      <c r="A735" s="4" t="s">
        <v>4188</v>
      </c>
      <c r="B735">
        <v>3</v>
      </c>
      <c r="C735">
        <v>2024</v>
      </c>
      <c r="D735" t="s">
        <v>13776</v>
      </c>
      <c r="E735">
        <v>1</v>
      </c>
      <c r="F735" t="s">
        <v>13777</v>
      </c>
      <c r="G735" t="s">
        <v>13778</v>
      </c>
      <c r="H735" s="4" t="s">
        <v>13779</v>
      </c>
      <c r="I735" t="s">
        <v>10823</v>
      </c>
      <c r="J735" t="s">
        <v>10782</v>
      </c>
      <c r="K735" t="s">
        <v>13780</v>
      </c>
    </row>
    <row r="736" spans="1:11" ht="172.8" x14ac:dyDescent="0.3">
      <c r="A736" s="4" t="s">
        <v>4189</v>
      </c>
      <c r="B736">
        <v>3</v>
      </c>
      <c r="C736">
        <v>2024</v>
      </c>
      <c r="D736" t="s">
        <v>10057</v>
      </c>
      <c r="E736">
        <v>2</v>
      </c>
      <c r="F736" t="s">
        <v>13781</v>
      </c>
      <c r="G736" t="s">
        <v>13782</v>
      </c>
      <c r="H736" s="4" t="s">
        <v>13783</v>
      </c>
      <c r="I736" t="s">
        <v>71</v>
      </c>
      <c r="J736" t="s">
        <v>10782</v>
      </c>
      <c r="K736" t="s">
        <v>13784</v>
      </c>
    </row>
    <row r="737" spans="1:11" ht="302.39999999999998" x14ac:dyDescent="0.3">
      <c r="A737" s="4" t="s">
        <v>4190</v>
      </c>
      <c r="B737">
        <v>3</v>
      </c>
      <c r="C737">
        <v>2024</v>
      </c>
      <c r="D737" t="s">
        <v>13785</v>
      </c>
      <c r="E737">
        <v>0</v>
      </c>
      <c r="F737" t="s">
        <v>13786</v>
      </c>
      <c r="G737" t="s">
        <v>13787</v>
      </c>
      <c r="H737" s="4" t="s">
        <v>13788</v>
      </c>
      <c r="I737" t="s">
        <v>71</v>
      </c>
      <c r="J737" t="s">
        <v>10782</v>
      </c>
      <c r="K737" t="s">
        <v>13789</v>
      </c>
    </row>
    <row r="738" spans="1:11" ht="158.4" x14ac:dyDescent="0.3">
      <c r="A738" s="4" t="s">
        <v>4191</v>
      </c>
      <c r="B738">
        <v>3</v>
      </c>
      <c r="C738">
        <v>2024</v>
      </c>
      <c r="D738" t="s">
        <v>329</v>
      </c>
      <c r="E738">
        <v>3</v>
      </c>
      <c r="F738" t="s">
        <v>13790</v>
      </c>
      <c r="G738" t="s">
        <v>13791</v>
      </c>
      <c r="H738" s="4" t="s">
        <v>13792</v>
      </c>
      <c r="I738" t="s">
        <v>71</v>
      </c>
      <c r="J738" t="s">
        <v>10782</v>
      </c>
      <c r="K738" t="s">
        <v>13793</v>
      </c>
    </row>
    <row r="739" spans="1:11" ht="28.8" x14ac:dyDescent="0.3">
      <c r="A739" s="4" t="s">
        <v>4192</v>
      </c>
      <c r="B739">
        <v>3</v>
      </c>
      <c r="C739">
        <v>2024</v>
      </c>
      <c r="D739" t="s">
        <v>13794</v>
      </c>
      <c r="E739">
        <v>3</v>
      </c>
      <c r="F739" t="s">
        <v>13795</v>
      </c>
      <c r="G739" t="s">
        <v>13796</v>
      </c>
      <c r="H739" s="4" t="s">
        <v>13797</v>
      </c>
    </row>
    <row r="740" spans="1:11" ht="144" x14ac:dyDescent="0.3">
      <c r="A740" s="4" t="s">
        <v>4193</v>
      </c>
      <c r="B740">
        <v>3</v>
      </c>
      <c r="C740">
        <v>2024</v>
      </c>
      <c r="D740" t="s">
        <v>11159</v>
      </c>
      <c r="E740">
        <v>0</v>
      </c>
      <c r="F740" t="s">
        <v>13798</v>
      </c>
      <c r="G740" t="s">
        <v>13799</v>
      </c>
      <c r="H740" s="4" t="s">
        <v>13800</v>
      </c>
      <c r="I740" t="s">
        <v>71</v>
      </c>
      <c r="J740" t="s">
        <v>10782</v>
      </c>
      <c r="K740" t="s">
        <v>13801</v>
      </c>
    </row>
    <row r="741" spans="1:11" ht="129.6" x14ac:dyDescent="0.3">
      <c r="A741" s="4" t="s">
        <v>4194</v>
      </c>
      <c r="B741">
        <v>3</v>
      </c>
      <c r="C741">
        <v>2024</v>
      </c>
      <c r="D741" t="s">
        <v>13802</v>
      </c>
      <c r="E741">
        <v>0</v>
      </c>
      <c r="F741" t="s">
        <v>13803</v>
      </c>
      <c r="G741" t="s">
        <v>13804</v>
      </c>
      <c r="H741" s="4" t="s">
        <v>13805</v>
      </c>
      <c r="I741" t="s">
        <v>71</v>
      </c>
      <c r="J741" t="s">
        <v>10782</v>
      </c>
      <c r="K741" t="s">
        <v>13806</v>
      </c>
    </row>
    <row r="742" spans="1:11" ht="172.8" x14ac:dyDescent="0.3">
      <c r="A742" s="4" t="s">
        <v>4195</v>
      </c>
      <c r="B742">
        <v>3</v>
      </c>
      <c r="C742">
        <v>2024</v>
      </c>
      <c r="D742" t="s">
        <v>13807</v>
      </c>
      <c r="E742">
        <v>5</v>
      </c>
      <c r="F742" t="s">
        <v>13808</v>
      </c>
      <c r="G742" t="s">
        <v>13809</v>
      </c>
      <c r="H742" s="4" t="s">
        <v>13810</v>
      </c>
      <c r="I742" t="s">
        <v>10823</v>
      </c>
      <c r="J742" t="s">
        <v>10782</v>
      </c>
      <c r="K742" t="s">
        <v>13811</v>
      </c>
    </row>
    <row r="743" spans="1:11" ht="72" x14ac:dyDescent="0.3">
      <c r="A743" s="4" t="s">
        <v>4196</v>
      </c>
      <c r="B743">
        <v>3</v>
      </c>
      <c r="C743">
        <v>2024</v>
      </c>
      <c r="D743" t="s">
        <v>217</v>
      </c>
      <c r="E743">
        <v>5</v>
      </c>
      <c r="F743" t="s">
        <v>13812</v>
      </c>
      <c r="G743" t="s">
        <v>13813</v>
      </c>
      <c r="H743" s="4" t="s">
        <v>13814</v>
      </c>
      <c r="I743" t="s">
        <v>71</v>
      </c>
      <c r="J743" t="s">
        <v>10782</v>
      </c>
      <c r="K743" t="s">
        <v>13815</v>
      </c>
    </row>
    <row r="744" spans="1:11" ht="244.8" x14ac:dyDescent="0.3">
      <c r="A744" s="4" t="s">
        <v>4197</v>
      </c>
      <c r="B744">
        <v>3</v>
      </c>
      <c r="C744">
        <v>2024</v>
      </c>
      <c r="D744" t="s">
        <v>13816</v>
      </c>
      <c r="E744">
        <v>0</v>
      </c>
      <c r="F744" t="s">
        <v>13817</v>
      </c>
      <c r="G744" t="s">
        <v>13818</v>
      </c>
      <c r="H744" s="4" t="s">
        <v>13819</v>
      </c>
      <c r="I744" t="s">
        <v>71</v>
      </c>
      <c r="J744" t="s">
        <v>10782</v>
      </c>
      <c r="K744" t="s">
        <v>13820</v>
      </c>
    </row>
    <row r="745" spans="1:11" ht="216" x14ac:dyDescent="0.3">
      <c r="A745" s="4" t="s">
        <v>4198</v>
      </c>
      <c r="B745">
        <v>3</v>
      </c>
      <c r="C745">
        <v>2024</v>
      </c>
      <c r="D745" t="s">
        <v>13821</v>
      </c>
      <c r="E745">
        <v>6</v>
      </c>
      <c r="F745" t="s">
        <v>13822</v>
      </c>
      <c r="G745" t="s">
        <v>13823</v>
      </c>
      <c r="H745" s="4" t="s">
        <v>13824</v>
      </c>
      <c r="I745" t="s">
        <v>71</v>
      </c>
      <c r="J745" t="s">
        <v>10782</v>
      </c>
      <c r="K745" t="s">
        <v>13825</v>
      </c>
    </row>
    <row r="746" spans="1:11" ht="172.8" x14ac:dyDescent="0.3">
      <c r="A746" s="4" t="s">
        <v>4199</v>
      </c>
      <c r="B746">
        <v>3</v>
      </c>
      <c r="C746">
        <v>2024</v>
      </c>
      <c r="D746" t="s">
        <v>13826</v>
      </c>
      <c r="E746">
        <v>0</v>
      </c>
      <c r="F746" t="s">
        <v>13827</v>
      </c>
      <c r="G746" t="s">
        <v>13828</v>
      </c>
      <c r="H746" s="4" t="s">
        <v>13829</v>
      </c>
      <c r="I746" t="s">
        <v>71</v>
      </c>
      <c r="J746" t="s">
        <v>10782</v>
      </c>
      <c r="K746" t="s">
        <v>13830</v>
      </c>
    </row>
    <row r="747" spans="1:11" ht="172.8" x14ac:dyDescent="0.3">
      <c r="A747" s="4" t="s">
        <v>4200</v>
      </c>
      <c r="B747">
        <v>3</v>
      </c>
      <c r="C747">
        <v>2024</v>
      </c>
      <c r="D747" t="s">
        <v>1525</v>
      </c>
      <c r="E747">
        <v>3</v>
      </c>
      <c r="F747" t="s">
        <v>13831</v>
      </c>
      <c r="G747" t="s">
        <v>13832</v>
      </c>
      <c r="H747" s="4" t="s">
        <v>13833</v>
      </c>
      <c r="I747" t="s">
        <v>10823</v>
      </c>
      <c r="J747" t="s">
        <v>10782</v>
      </c>
      <c r="K747" t="s">
        <v>13834</v>
      </c>
    </row>
    <row r="748" spans="1:11" ht="187.2" x14ac:dyDescent="0.3">
      <c r="A748" s="4" t="s">
        <v>4201</v>
      </c>
      <c r="B748">
        <v>3</v>
      </c>
      <c r="C748">
        <v>2024</v>
      </c>
      <c r="D748" t="s">
        <v>11741</v>
      </c>
      <c r="E748">
        <v>7</v>
      </c>
      <c r="F748" t="s">
        <v>13835</v>
      </c>
      <c r="G748" t="s">
        <v>13836</v>
      </c>
      <c r="H748" s="4" t="s">
        <v>13837</v>
      </c>
      <c r="I748" t="s">
        <v>71</v>
      </c>
      <c r="J748" t="s">
        <v>10782</v>
      </c>
      <c r="K748" t="s">
        <v>13838</v>
      </c>
    </row>
    <row r="749" spans="1:11" ht="172.8" x14ac:dyDescent="0.3">
      <c r="A749" s="4" t="s">
        <v>4202</v>
      </c>
      <c r="B749">
        <v>3</v>
      </c>
      <c r="C749">
        <v>2024</v>
      </c>
      <c r="D749" t="s">
        <v>12491</v>
      </c>
      <c r="E749">
        <v>1</v>
      </c>
      <c r="F749" t="s">
        <v>13839</v>
      </c>
      <c r="G749" t="s">
        <v>13840</v>
      </c>
      <c r="H749" s="4" t="s">
        <v>13841</v>
      </c>
      <c r="I749" t="s">
        <v>71</v>
      </c>
      <c r="J749" t="s">
        <v>10782</v>
      </c>
      <c r="K749" t="s">
        <v>13842</v>
      </c>
    </row>
    <row r="750" spans="1:11" ht="187.2" x14ac:dyDescent="0.3">
      <c r="A750" s="4" t="s">
        <v>4203</v>
      </c>
      <c r="B750">
        <v>3</v>
      </c>
      <c r="C750">
        <v>2024</v>
      </c>
      <c r="D750" t="s">
        <v>13807</v>
      </c>
      <c r="E750">
        <v>1</v>
      </c>
      <c r="F750" t="s">
        <v>13843</v>
      </c>
      <c r="G750" t="s">
        <v>13844</v>
      </c>
      <c r="H750" s="4" t="s">
        <v>13845</v>
      </c>
      <c r="I750" t="s">
        <v>71</v>
      </c>
      <c r="J750" t="s">
        <v>10782</v>
      </c>
      <c r="K750" t="s">
        <v>13846</v>
      </c>
    </row>
    <row r="751" spans="1:11" ht="115.2" x14ac:dyDescent="0.3">
      <c r="A751" s="4" t="s">
        <v>3494</v>
      </c>
      <c r="B751">
        <v>2</v>
      </c>
      <c r="C751">
        <v>2024</v>
      </c>
      <c r="D751" t="s">
        <v>799</v>
      </c>
      <c r="E751">
        <v>5</v>
      </c>
      <c r="F751" t="s">
        <v>13847</v>
      </c>
      <c r="G751" t="s">
        <v>13848</v>
      </c>
      <c r="H751" s="4" t="s">
        <v>13849</v>
      </c>
      <c r="I751" t="s">
        <v>71</v>
      </c>
      <c r="J751" t="s">
        <v>10782</v>
      </c>
      <c r="K751" t="s">
        <v>13850</v>
      </c>
    </row>
    <row r="752" spans="1:11" ht="201.6" x14ac:dyDescent="0.3">
      <c r="A752" s="4" t="s">
        <v>3212</v>
      </c>
      <c r="B752">
        <v>1</v>
      </c>
      <c r="C752">
        <v>2024</v>
      </c>
      <c r="D752" t="s">
        <v>217</v>
      </c>
      <c r="E752">
        <v>11</v>
      </c>
      <c r="F752" t="s">
        <v>13851</v>
      </c>
      <c r="G752" t="s">
        <v>13852</v>
      </c>
      <c r="H752" s="4" t="s">
        <v>13853</v>
      </c>
      <c r="I752" t="s">
        <v>71</v>
      </c>
      <c r="J752" t="s">
        <v>10782</v>
      </c>
      <c r="K752" t="s">
        <v>13854</v>
      </c>
    </row>
    <row r="753" spans="1:11" ht="158.4" x14ac:dyDescent="0.3">
      <c r="A753" s="4" t="s">
        <v>4204</v>
      </c>
      <c r="B753">
        <v>3</v>
      </c>
      <c r="C753">
        <v>2024</v>
      </c>
      <c r="D753" t="s">
        <v>13855</v>
      </c>
      <c r="E753">
        <v>0</v>
      </c>
      <c r="F753" t="s">
        <v>13856</v>
      </c>
      <c r="G753" t="s">
        <v>13857</v>
      </c>
      <c r="H753" s="4" t="s">
        <v>13858</v>
      </c>
      <c r="I753" t="s">
        <v>71</v>
      </c>
      <c r="J753" t="s">
        <v>10782</v>
      </c>
      <c r="K753" t="s">
        <v>13859</v>
      </c>
    </row>
    <row r="754" spans="1:11" ht="259.2" x14ac:dyDescent="0.3">
      <c r="A754" s="4" t="s">
        <v>4205</v>
      </c>
      <c r="B754">
        <v>3</v>
      </c>
      <c r="C754">
        <v>2024</v>
      </c>
      <c r="D754" t="s">
        <v>13860</v>
      </c>
      <c r="E754">
        <v>0</v>
      </c>
      <c r="F754" t="s">
        <v>13861</v>
      </c>
      <c r="G754" t="s">
        <v>13862</v>
      </c>
      <c r="H754" s="4" t="s">
        <v>13863</v>
      </c>
      <c r="I754" t="s">
        <v>71</v>
      </c>
      <c r="J754" t="s">
        <v>10782</v>
      </c>
      <c r="K754" t="s">
        <v>13864</v>
      </c>
    </row>
    <row r="755" spans="1:11" ht="172.8" x14ac:dyDescent="0.3">
      <c r="A755" s="4" t="s">
        <v>3213</v>
      </c>
      <c r="B755">
        <v>1</v>
      </c>
      <c r="C755">
        <v>2024</v>
      </c>
      <c r="D755" t="s">
        <v>13865</v>
      </c>
      <c r="E755">
        <v>14</v>
      </c>
      <c r="F755" t="s">
        <v>13866</v>
      </c>
      <c r="G755" t="s">
        <v>13867</v>
      </c>
      <c r="H755" s="4" t="s">
        <v>13868</v>
      </c>
      <c r="I755" t="s">
        <v>10823</v>
      </c>
      <c r="J755" t="s">
        <v>10782</v>
      </c>
      <c r="K755" t="s">
        <v>13869</v>
      </c>
    </row>
    <row r="756" spans="1:11" ht="187.2" x14ac:dyDescent="0.3">
      <c r="A756" s="4" t="s">
        <v>3214</v>
      </c>
      <c r="B756">
        <v>1</v>
      </c>
      <c r="C756">
        <v>2024</v>
      </c>
      <c r="D756" t="s">
        <v>80</v>
      </c>
      <c r="E756">
        <v>8</v>
      </c>
      <c r="F756" t="s">
        <v>13870</v>
      </c>
      <c r="G756" t="s">
        <v>13871</v>
      </c>
      <c r="H756" s="4" t="s">
        <v>13872</v>
      </c>
      <c r="I756" t="s">
        <v>71</v>
      </c>
      <c r="J756" t="s">
        <v>10782</v>
      </c>
      <c r="K756" t="s">
        <v>13873</v>
      </c>
    </row>
    <row r="757" spans="1:11" ht="187.2" x14ac:dyDescent="0.3">
      <c r="A757" s="4" t="s">
        <v>4206</v>
      </c>
      <c r="B757">
        <v>3</v>
      </c>
      <c r="C757">
        <v>2024</v>
      </c>
      <c r="D757" t="s">
        <v>13874</v>
      </c>
      <c r="E757">
        <v>2</v>
      </c>
      <c r="F757" t="s">
        <v>13875</v>
      </c>
      <c r="G757" t="s">
        <v>13876</v>
      </c>
      <c r="H757" s="4" t="s">
        <v>13877</v>
      </c>
      <c r="I757" t="s">
        <v>71</v>
      </c>
      <c r="J757" t="s">
        <v>10782</v>
      </c>
      <c r="K757" t="s">
        <v>13878</v>
      </c>
    </row>
    <row r="758" spans="1:11" ht="158.4" x14ac:dyDescent="0.3">
      <c r="A758" s="4" t="s">
        <v>4207</v>
      </c>
      <c r="B758">
        <v>3</v>
      </c>
      <c r="C758">
        <v>2024</v>
      </c>
      <c r="D758" t="s">
        <v>80</v>
      </c>
      <c r="E758">
        <v>1</v>
      </c>
      <c r="F758" t="s">
        <v>13879</v>
      </c>
      <c r="G758" t="s">
        <v>13880</v>
      </c>
      <c r="H758" s="4" t="s">
        <v>13881</v>
      </c>
      <c r="I758" t="s">
        <v>71</v>
      </c>
      <c r="J758" t="s">
        <v>10782</v>
      </c>
      <c r="K758" t="s">
        <v>13882</v>
      </c>
    </row>
    <row r="759" spans="1:11" ht="172.8" x14ac:dyDescent="0.3">
      <c r="A759" s="4" t="s">
        <v>4208</v>
      </c>
      <c r="B759">
        <v>3</v>
      </c>
      <c r="C759">
        <v>2024</v>
      </c>
      <c r="D759" t="s">
        <v>13883</v>
      </c>
      <c r="E759">
        <v>0</v>
      </c>
      <c r="F759" t="s">
        <v>13884</v>
      </c>
      <c r="G759" t="s">
        <v>13885</v>
      </c>
      <c r="H759" s="4" t="s">
        <v>13886</v>
      </c>
      <c r="I759" t="s">
        <v>71</v>
      </c>
      <c r="J759" t="s">
        <v>10782</v>
      </c>
      <c r="K759" t="s">
        <v>13887</v>
      </c>
    </row>
    <row r="760" spans="1:11" ht="244.8" x14ac:dyDescent="0.3">
      <c r="A760" s="4" t="s">
        <v>4209</v>
      </c>
      <c r="B760">
        <v>3</v>
      </c>
      <c r="C760">
        <v>2024</v>
      </c>
      <c r="D760" t="s">
        <v>817</v>
      </c>
      <c r="E760">
        <v>2</v>
      </c>
      <c r="F760" t="s">
        <v>13888</v>
      </c>
      <c r="G760" t="s">
        <v>13889</v>
      </c>
      <c r="H760" s="4" t="s">
        <v>13890</v>
      </c>
      <c r="I760" t="s">
        <v>71</v>
      </c>
      <c r="J760" t="s">
        <v>10782</v>
      </c>
      <c r="K760" t="s">
        <v>13891</v>
      </c>
    </row>
    <row r="761" spans="1:11" ht="72" x14ac:dyDescent="0.3">
      <c r="A761" s="4" t="s">
        <v>4210</v>
      </c>
      <c r="B761">
        <v>3</v>
      </c>
      <c r="C761">
        <v>2024</v>
      </c>
      <c r="D761" t="s">
        <v>2886</v>
      </c>
      <c r="E761">
        <v>1</v>
      </c>
      <c r="F761" t="s">
        <v>13892</v>
      </c>
      <c r="G761" t="s">
        <v>13893</v>
      </c>
      <c r="H761" s="4" t="s">
        <v>13894</v>
      </c>
    </row>
    <row r="762" spans="1:11" ht="259.2" x14ac:dyDescent="0.3">
      <c r="A762" s="4" t="s">
        <v>4211</v>
      </c>
      <c r="B762">
        <v>3</v>
      </c>
      <c r="C762">
        <v>2024</v>
      </c>
      <c r="D762" t="s">
        <v>1125</v>
      </c>
      <c r="E762">
        <v>3</v>
      </c>
      <c r="F762" t="s">
        <v>13895</v>
      </c>
      <c r="G762" t="s">
        <v>13896</v>
      </c>
      <c r="H762" s="4" t="s">
        <v>13897</v>
      </c>
    </row>
    <row r="763" spans="1:11" ht="187.2" x14ac:dyDescent="0.3">
      <c r="A763" s="4" t="s">
        <v>4212</v>
      </c>
      <c r="B763">
        <v>3</v>
      </c>
      <c r="C763">
        <v>2024</v>
      </c>
      <c r="D763" t="s">
        <v>80</v>
      </c>
      <c r="E763">
        <v>2</v>
      </c>
      <c r="F763" t="s">
        <v>13898</v>
      </c>
      <c r="G763" t="s">
        <v>13899</v>
      </c>
      <c r="H763" s="4" t="s">
        <v>13900</v>
      </c>
      <c r="I763" t="s">
        <v>71</v>
      </c>
      <c r="J763" t="s">
        <v>10782</v>
      </c>
      <c r="K763" t="s">
        <v>13901</v>
      </c>
    </row>
    <row r="764" spans="1:11" ht="201.6" x14ac:dyDescent="0.3">
      <c r="A764" s="4" t="s">
        <v>4213</v>
      </c>
      <c r="B764">
        <v>3</v>
      </c>
      <c r="C764">
        <v>2024</v>
      </c>
      <c r="D764" t="s">
        <v>318</v>
      </c>
      <c r="E764">
        <v>7</v>
      </c>
      <c r="F764" t="s">
        <v>13902</v>
      </c>
      <c r="G764" t="s">
        <v>13903</v>
      </c>
      <c r="H764" s="4" t="s">
        <v>13904</v>
      </c>
      <c r="I764" t="s">
        <v>71</v>
      </c>
      <c r="J764" t="s">
        <v>10782</v>
      </c>
      <c r="K764" t="s">
        <v>13905</v>
      </c>
    </row>
    <row r="765" spans="1:11" ht="259.2" x14ac:dyDescent="0.3">
      <c r="A765" s="4" t="s">
        <v>4214</v>
      </c>
      <c r="B765">
        <v>3</v>
      </c>
      <c r="C765">
        <v>2024</v>
      </c>
      <c r="D765" t="s">
        <v>217</v>
      </c>
      <c r="E765">
        <v>1</v>
      </c>
      <c r="F765" t="s">
        <v>13906</v>
      </c>
      <c r="G765" t="s">
        <v>13907</v>
      </c>
      <c r="H765" s="4" t="s">
        <v>13908</v>
      </c>
      <c r="I765" t="s">
        <v>71</v>
      </c>
      <c r="J765" t="s">
        <v>10782</v>
      </c>
      <c r="K765" t="s">
        <v>13909</v>
      </c>
    </row>
    <row r="766" spans="1:11" ht="201.6" x14ac:dyDescent="0.3">
      <c r="A766" s="4" t="s">
        <v>4215</v>
      </c>
      <c r="B766">
        <v>3</v>
      </c>
      <c r="C766">
        <v>2024</v>
      </c>
      <c r="D766" t="s">
        <v>217</v>
      </c>
      <c r="E766">
        <v>4</v>
      </c>
      <c r="F766" t="s">
        <v>13910</v>
      </c>
      <c r="G766" t="s">
        <v>13911</v>
      </c>
      <c r="H766" s="4" t="s">
        <v>13912</v>
      </c>
      <c r="I766" t="s">
        <v>71</v>
      </c>
      <c r="J766" t="s">
        <v>10782</v>
      </c>
      <c r="K766" t="s">
        <v>13913</v>
      </c>
    </row>
    <row r="767" spans="1:11" ht="201.6" x14ac:dyDescent="0.3">
      <c r="A767" s="4" t="s">
        <v>4216</v>
      </c>
      <c r="B767">
        <v>3</v>
      </c>
      <c r="C767">
        <v>2024</v>
      </c>
      <c r="D767" t="s">
        <v>13914</v>
      </c>
      <c r="E767">
        <v>1</v>
      </c>
      <c r="F767" t="s">
        <v>13915</v>
      </c>
      <c r="G767" t="s">
        <v>13916</v>
      </c>
      <c r="H767" s="4" t="s">
        <v>13917</v>
      </c>
      <c r="I767" t="s">
        <v>71</v>
      </c>
      <c r="J767" t="s">
        <v>10782</v>
      </c>
      <c r="K767" t="s">
        <v>13918</v>
      </c>
    </row>
    <row r="768" spans="1:11" ht="201.6" x14ac:dyDescent="0.3">
      <c r="A768" s="4" t="s">
        <v>4217</v>
      </c>
      <c r="B768">
        <v>3</v>
      </c>
      <c r="C768">
        <v>2024</v>
      </c>
      <c r="D768" t="s">
        <v>2018</v>
      </c>
      <c r="E768">
        <v>0</v>
      </c>
      <c r="F768" t="s">
        <v>13919</v>
      </c>
      <c r="G768" t="s">
        <v>13920</v>
      </c>
      <c r="H768" s="4" t="s">
        <v>13921</v>
      </c>
      <c r="I768" t="s">
        <v>71</v>
      </c>
      <c r="J768" t="s">
        <v>10782</v>
      </c>
      <c r="K768" t="s">
        <v>13922</v>
      </c>
    </row>
    <row r="769" spans="1:11" ht="187.2" x14ac:dyDescent="0.3">
      <c r="A769" s="4" t="s">
        <v>4218</v>
      </c>
      <c r="B769">
        <v>3</v>
      </c>
      <c r="C769">
        <v>2024</v>
      </c>
      <c r="D769" t="s">
        <v>318</v>
      </c>
      <c r="E769">
        <v>19</v>
      </c>
      <c r="F769" t="s">
        <v>13923</v>
      </c>
      <c r="G769" t="s">
        <v>13924</v>
      </c>
      <c r="H769" s="4" t="s">
        <v>13925</v>
      </c>
      <c r="I769" t="s">
        <v>71</v>
      </c>
      <c r="J769" t="s">
        <v>10782</v>
      </c>
      <c r="K769" t="s">
        <v>13926</v>
      </c>
    </row>
    <row r="770" spans="1:11" ht="144" x14ac:dyDescent="0.3">
      <c r="A770" s="4" t="s">
        <v>3215</v>
      </c>
      <c r="B770">
        <v>1</v>
      </c>
      <c r="C770">
        <v>2024</v>
      </c>
      <c r="D770" t="s">
        <v>13927</v>
      </c>
      <c r="E770">
        <v>0</v>
      </c>
      <c r="F770" t="s">
        <v>13928</v>
      </c>
      <c r="G770" t="s">
        <v>13929</v>
      </c>
      <c r="H770" s="4" t="s">
        <v>13930</v>
      </c>
      <c r="I770" t="s">
        <v>71</v>
      </c>
      <c r="J770" t="s">
        <v>10782</v>
      </c>
      <c r="K770" t="s">
        <v>13931</v>
      </c>
    </row>
    <row r="771" spans="1:11" ht="201.6" x14ac:dyDescent="0.3">
      <c r="A771" s="4" t="s">
        <v>4219</v>
      </c>
      <c r="B771">
        <v>3</v>
      </c>
      <c r="C771">
        <v>2024</v>
      </c>
      <c r="D771" t="s">
        <v>811</v>
      </c>
      <c r="E771">
        <v>5</v>
      </c>
      <c r="F771" t="s">
        <v>13932</v>
      </c>
      <c r="G771" t="s">
        <v>13933</v>
      </c>
      <c r="H771" s="4" t="s">
        <v>13934</v>
      </c>
      <c r="I771" t="s">
        <v>71</v>
      </c>
      <c r="J771" t="s">
        <v>10782</v>
      </c>
      <c r="K771" t="s">
        <v>13935</v>
      </c>
    </row>
    <row r="772" spans="1:11" ht="187.2" x14ac:dyDescent="0.3">
      <c r="A772" s="4" t="s">
        <v>4220</v>
      </c>
      <c r="B772">
        <v>3</v>
      </c>
      <c r="C772">
        <v>2024</v>
      </c>
      <c r="D772" t="s">
        <v>10057</v>
      </c>
      <c r="E772">
        <v>0</v>
      </c>
      <c r="F772" t="s">
        <v>13936</v>
      </c>
      <c r="G772" t="s">
        <v>13937</v>
      </c>
      <c r="H772" s="4" t="s">
        <v>13938</v>
      </c>
    </row>
    <row r="773" spans="1:11" ht="172.8" x14ac:dyDescent="0.3">
      <c r="A773" s="4" t="s">
        <v>4221</v>
      </c>
      <c r="B773">
        <v>3</v>
      </c>
      <c r="C773">
        <v>2024</v>
      </c>
      <c r="D773" t="s">
        <v>11674</v>
      </c>
      <c r="E773">
        <v>1</v>
      </c>
      <c r="F773" t="s">
        <v>13939</v>
      </c>
      <c r="G773" t="s">
        <v>13940</v>
      </c>
      <c r="H773" s="4" t="s">
        <v>13941</v>
      </c>
      <c r="I773" t="s">
        <v>71</v>
      </c>
      <c r="J773" t="s">
        <v>10782</v>
      </c>
      <c r="K773" t="s">
        <v>13942</v>
      </c>
    </row>
    <row r="774" spans="1:11" ht="201.6" x14ac:dyDescent="0.3">
      <c r="A774" s="4" t="s">
        <v>4222</v>
      </c>
      <c r="B774">
        <v>3</v>
      </c>
      <c r="C774">
        <v>2024</v>
      </c>
      <c r="D774" t="s">
        <v>1912</v>
      </c>
      <c r="E774">
        <v>0</v>
      </c>
      <c r="F774" t="s">
        <v>13943</v>
      </c>
      <c r="G774" t="s">
        <v>13944</v>
      </c>
      <c r="H774" s="4" t="s">
        <v>13945</v>
      </c>
      <c r="I774" t="s">
        <v>71</v>
      </c>
      <c r="J774" t="s">
        <v>10782</v>
      </c>
      <c r="K774" t="s">
        <v>13946</v>
      </c>
    </row>
    <row r="775" spans="1:11" ht="230.4" x14ac:dyDescent="0.3">
      <c r="A775" s="4" t="s">
        <v>4223</v>
      </c>
      <c r="B775">
        <v>3</v>
      </c>
      <c r="C775">
        <v>2024</v>
      </c>
      <c r="D775" t="s">
        <v>11585</v>
      </c>
      <c r="E775">
        <v>1</v>
      </c>
      <c r="F775" t="s">
        <v>13947</v>
      </c>
      <c r="G775" t="s">
        <v>13948</v>
      </c>
      <c r="H775" s="4" t="s">
        <v>13949</v>
      </c>
      <c r="I775" t="s">
        <v>71</v>
      </c>
      <c r="J775" t="s">
        <v>10782</v>
      </c>
      <c r="K775" t="s">
        <v>13950</v>
      </c>
    </row>
    <row r="776" spans="1:11" ht="187.2" x14ac:dyDescent="0.3">
      <c r="A776" s="4" t="s">
        <v>4224</v>
      </c>
      <c r="B776">
        <v>3</v>
      </c>
      <c r="C776">
        <v>2024</v>
      </c>
      <c r="D776" t="s">
        <v>13951</v>
      </c>
      <c r="E776">
        <v>0</v>
      </c>
      <c r="F776" t="s">
        <v>13952</v>
      </c>
      <c r="G776" t="s">
        <v>13953</v>
      </c>
      <c r="H776" s="4" t="s">
        <v>13954</v>
      </c>
      <c r="I776" t="s">
        <v>71</v>
      </c>
      <c r="J776" t="s">
        <v>10782</v>
      </c>
      <c r="K776" t="s">
        <v>13955</v>
      </c>
    </row>
    <row r="777" spans="1:11" ht="28.8" x14ac:dyDescent="0.3">
      <c r="A777" s="4" t="s">
        <v>4225</v>
      </c>
      <c r="B777">
        <v>3</v>
      </c>
      <c r="C777">
        <v>2024</v>
      </c>
      <c r="D777" t="s">
        <v>12253</v>
      </c>
      <c r="E777">
        <v>2</v>
      </c>
      <c r="F777" t="s">
        <v>13956</v>
      </c>
      <c r="G777" t="s">
        <v>13957</v>
      </c>
      <c r="H777" s="4" t="s">
        <v>13958</v>
      </c>
    </row>
    <row r="778" spans="1:11" ht="158.4" x14ac:dyDescent="0.3">
      <c r="A778" s="4" t="s">
        <v>4226</v>
      </c>
      <c r="B778">
        <v>3</v>
      </c>
      <c r="C778">
        <v>2024</v>
      </c>
      <c r="D778" t="s">
        <v>217</v>
      </c>
      <c r="E778">
        <v>5</v>
      </c>
      <c r="F778" t="s">
        <v>13959</v>
      </c>
      <c r="G778" t="s">
        <v>13960</v>
      </c>
      <c r="H778" s="4" t="s">
        <v>13961</v>
      </c>
      <c r="I778" t="s">
        <v>10823</v>
      </c>
      <c r="J778" t="s">
        <v>10782</v>
      </c>
      <c r="K778" t="s">
        <v>13962</v>
      </c>
    </row>
    <row r="779" spans="1:11" ht="100.8" x14ac:dyDescent="0.3">
      <c r="A779" s="4" t="s">
        <v>4227</v>
      </c>
      <c r="B779">
        <v>3</v>
      </c>
      <c r="C779">
        <v>2024</v>
      </c>
      <c r="D779" t="s">
        <v>11164</v>
      </c>
      <c r="E779">
        <v>1</v>
      </c>
      <c r="F779" t="s">
        <v>13963</v>
      </c>
      <c r="G779" t="s">
        <v>13964</v>
      </c>
      <c r="H779" s="4" t="s">
        <v>13965</v>
      </c>
    </row>
    <row r="780" spans="1:11" ht="28.8" x14ac:dyDescent="0.3">
      <c r="A780" s="4" t="s">
        <v>4228</v>
      </c>
      <c r="B780">
        <v>3</v>
      </c>
      <c r="C780">
        <v>2024</v>
      </c>
      <c r="D780" t="s">
        <v>1438</v>
      </c>
      <c r="E780">
        <v>0</v>
      </c>
      <c r="F780" t="s">
        <v>13966</v>
      </c>
      <c r="G780" t="s">
        <v>13967</v>
      </c>
      <c r="H780" s="4" t="s">
        <v>13968</v>
      </c>
    </row>
    <row r="781" spans="1:11" ht="115.2" x14ac:dyDescent="0.3">
      <c r="A781" s="4" t="s">
        <v>4229</v>
      </c>
      <c r="B781">
        <v>3</v>
      </c>
      <c r="C781">
        <v>2024</v>
      </c>
      <c r="D781" t="s">
        <v>13969</v>
      </c>
      <c r="E781">
        <v>1</v>
      </c>
      <c r="F781" t="s">
        <v>13970</v>
      </c>
      <c r="G781" t="s">
        <v>13971</v>
      </c>
      <c r="H781" s="4" t="s">
        <v>13972</v>
      </c>
    </row>
    <row r="782" spans="1:11" ht="201.6" x14ac:dyDescent="0.3">
      <c r="A782" s="4" t="s">
        <v>4230</v>
      </c>
      <c r="B782">
        <v>3</v>
      </c>
      <c r="C782">
        <v>2024</v>
      </c>
      <c r="D782" t="s">
        <v>318</v>
      </c>
      <c r="E782">
        <v>8</v>
      </c>
      <c r="F782" t="s">
        <v>13973</v>
      </c>
      <c r="G782" t="s">
        <v>13974</v>
      </c>
      <c r="H782" s="4" t="s">
        <v>13975</v>
      </c>
      <c r="I782" t="s">
        <v>71</v>
      </c>
      <c r="J782" t="s">
        <v>10782</v>
      </c>
      <c r="K782" t="s">
        <v>13976</v>
      </c>
    </row>
    <row r="783" spans="1:11" ht="201.6" x14ac:dyDescent="0.3">
      <c r="A783" s="4" t="s">
        <v>4231</v>
      </c>
      <c r="B783">
        <v>3</v>
      </c>
      <c r="C783">
        <v>2024</v>
      </c>
      <c r="D783" t="s">
        <v>10825</v>
      </c>
      <c r="E783">
        <v>1</v>
      </c>
      <c r="F783" t="s">
        <v>13977</v>
      </c>
      <c r="G783" t="s">
        <v>13978</v>
      </c>
      <c r="H783" s="4" t="s">
        <v>13979</v>
      </c>
      <c r="I783" t="s">
        <v>71</v>
      </c>
      <c r="J783" t="s">
        <v>10782</v>
      </c>
      <c r="K783" t="s">
        <v>13980</v>
      </c>
    </row>
    <row r="784" spans="1:11" ht="144" x14ac:dyDescent="0.3">
      <c r="A784" s="4" t="s">
        <v>3216</v>
      </c>
      <c r="B784">
        <v>1</v>
      </c>
      <c r="C784">
        <v>2024</v>
      </c>
      <c r="D784" t="s">
        <v>2384</v>
      </c>
      <c r="E784">
        <v>14</v>
      </c>
      <c r="F784" t="s">
        <v>13981</v>
      </c>
      <c r="G784" t="s">
        <v>13982</v>
      </c>
      <c r="H784" s="4" t="s">
        <v>13983</v>
      </c>
      <c r="I784" t="s">
        <v>71</v>
      </c>
      <c r="J784" t="s">
        <v>10782</v>
      </c>
      <c r="K784" t="s">
        <v>13984</v>
      </c>
    </row>
    <row r="785" spans="1:11" ht="172.8" x14ac:dyDescent="0.3">
      <c r="A785" s="4" t="s">
        <v>4232</v>
      </c>
      <c r="B785">
        <v>3</v>
      </c>
      <c r="C785">
        <v>2024</v>
      </c>
      <c r="D785" t="s">
        <v>550</v>
      </c>
      <c r="E785">
        <v>0</v>
      </c>
      <c r="F785" t="s">
        <v>13985</v>
      </c>
      <c r="G785" t="s">
        <v>13986</v>
      </c>
      <c r="H785" s="4" t="s">
        <v>13987</v>
      </c>
      <c r="I785" t="s">
        <v>71</v>
      </c>
      <c r="J785" t="s">
        <v>10782</v>
      </c>
      <c r="K785" t="s">
        <v>13988</v>
      </c>
    </row>
    <row r="786" spans="1:11" ht="172.8" x14ac:dyDescent="0.3">
      <c r="A786" s="4" t="s">
        <v>4233</v>
      </c>
      <c r="B786">
        <v>3</v>
      </c>
      <c r="C786">
        <v>2024</v>
      </c>
      <c r="D786" t="s">
        <v>637</v>
      </c>
      <c r="E786">
        <v>1</v>
      </c>
      <c r="F786" t="s">
        <v>13989</v>
      </c>
      <c r="G786" t="s">
        <v>13990</v>
      </c>
      <c r="H786" s="4" t="s">
        <v>13991</v>
      </c>
      <c r="I786" t="s">
        <v>71</v>
      </c>
      <c r="J786" t="s">
        <v>10782</v>
      </c>
      <c r="K786" t="s">
        <v>13992</v>
      </c>
    </row>
    <row r="787" spans="1:11" ht="158.4" x14ac:dyDescent="0.3">
      <c r="A787" s="4" t="s">
        <v>4234</v>
      </c>
      <c r="B787">
        <v>3</v>
      </c>
      <c r="C787">
        <v>2024</v>
      </c>
      <c r="D787" t="s">
        <v>704</v>
      </c>
      <c r="E787">
        <v>1</v>
      </c>
      <c r="F787" t="s">
        <v>13993</v>
      </c>
      <c r="G787" t="s">
        <v>13994</v>
      </c>
      <c r="H787" s="4" t="s">
        <v>13995</v>
      </c>
      <c r="I787" t="s">
        <v>71</v>
      </c>
      <c r="J787" t="s">
        <v>10782</v>
      </c>
      <c r="K787" t="s">
        <v>13996</v>
      </c>
    </row>
    <row r="788" spans="1:11" ht="115.2" x14ac:dyDescent="0.3">
      <c r="A788" s="4" t="s">
        <v>4235</v>
      </c>
      <c r="B788">
        <v>3</v>
      </c>
      <c r="C788">
        <v>2024</v>
      </c>
      <c r="D788" t="s">
        <v>2986</v>
      </c>
      <c r="E788">
        <v>81</v>
      </c>
      <c r="F788" t="s">
        <v>13997</v>
      </c>
      <c r="G788" t="s">
        <v>13998</v>
      </c>
      <c r="H788" s="4" t="s">
        <v>13999</v>
      </c>
      <c r="I788" t="s">
        <v>10823</v>
      </c>
      <c r="J788" t="s">
        <v>10782</v>
      </c>
      <c r="K788" t="s">
        <v>14000</v>
      </c>
    </row>
    <row r="789" spans="1:11" ht="158.4" x14ac:dyDescent="0.3">
      <c r="A789" s="4" t="s">
        <v>3495</v>
      </c>
      <c r="B789">
        <v>2</v>
      </c>
      <c r="C789">
        <v>2024</v>
      </c>
      <c r="D789" t="s">
        <v>1002</v>
      </c>
      <c r="E789">
        <v>5</v>
      </c>
      <c r="F789" t="s">
        <v>14001</v>
      </c>
      <c r="G789" t="s">
        <v>14002</v>
      </c>
      <c r="H789" s="4" t="s">
        <v>14003</v>
      </c>
      <c r="I789" t="s">
        <v>71</v>
      </c>
      <c r="J789" t="s">
        <v>10782</v>
      </c>
      <c r="K789" t="s">
        <v>14004</v>
      </c>
    </row>
    <row r="790" spans="1:11" ht="115.2" x14ac:dyDescent="0.3">
      <c r="A790" s="4" t="s">
        <v>4236</v>
      </c>
      <c r="B790">
        <v>3</v>
      </c>
      <c r="C790">
        <v>2024</v>
      </c>
      <c r="D790" t="s">
        <v>10924</v>
      </c>
      <c r="E790">
        <v>0</v>
      </c>
      <c r="F790" t="s">
        <v>14005</v>
      </c>
      <c r="G790" t="s">
        <v>14006</v>
      </c>
      <c r="H790" s="4" t="s">
        <v>14007</v>
      </c>
      <c r="I790" t="s">
        <v>71</v>
      </c>
      <c r="J790" t="s">
        <v>10782</v>
      </c>
      <c r="K790" t="s">
        <v>14008</v>
      </c>
    </row>
    <row r="791" spans="1:11" ht="129.6" x14ac:dyDescent="0.3">
      <c r="A791" s="4" t="s">
        <v>2460</v>
      </c>
      <c r="B791">
        <v>2</v>
      </c>
      <c r="C791">
        <v>2024</v>
      </c>
      <c r="D791" t="s">
        <v>2500</v>
      </c>
      <c r="E791">
        <v>14</v>
      </c>
      <c r="F791" t="s">
        <v>14009</v>
      </c>
      <c r="G791" t="s">
        <v>14010</v>
      </c>
      <c r="H791" s="4" t="s">
        <v>14011</v>
      </c>
      <c r="I791" t="s">
        <v>10823</v>
      </c>
      <c r="J791" t="s">
        <v>10782</v>
      </c>
      <c r="K791" t="s">
        <v>14012</v>
      </c>
    </row>
    <row r="792" spans="1:11" ht="244.8" x14ac:dyDescent="0.3">
      <c r="A792" s="4" t="s">
        <v>4237</v>
      </c>
      <c r="B792">
        <v>3</v>
      </c>
      <c r="C792">
        <v>2024</v>
      </c>
      <c r="D792" t="s">
        <v>14013</v>
      </c>
      <c r="E792">
        <v>4</v>
      </c>
      <c r="F792" t="s">
        <v>14014</v>
      </c>
      <c r="G792" t="s">
        <v>14015</v>
      </c>
      <c r="H792" s="4" t="s">
        <v>14016</v>
      </c>
      <c r="I792" t="s">
        <v>71</v>
      </c>
      <c r="J792" t="s">
        <v>10782</v>
      </c>
      <c r="K792" t="s">
        <v>14017</v>
      </c>
    </row>
    <row r="793" spans="1:11" ht="187.2" x14ac:dyDescent="0.3">
      <c r="A793" s="4" t="s">
        <v>636</v>
      </c>
      <c r="B793">
        <v>1</v>
      </c>
      <c r="C793">
        <v>2024</v>
      </c>
      <c r="D793" t="s">
        <v>637</v>
      </c>
      <c r="E793">
        <v>2</v>
      </c>
      <c r="F793" t="s">
        <v>14018</v>
      </c>
      <c r="G793" t="s">
        <v>14019</v>
      </c>
      <c r="H793" s="4" t="s">
        <v>14020</v>
      </c>
      <c r="I793" t="s">
        <v>71</v>
      </c>
      <c r="J793" t="s">
        <v>10782</v>
      </c>
      <c r="K793" t="s">
        <v>14021</v>
      </c>
    </row>
    <row r="794" spans="1:11" ht="216" x14ac:dyDescent="0.3">
      <c r="A794" s="4" t="s">
        <v>4238</v>
      </c>
      <c r="B794">
        <v>3</v>
      </c>
      <c r="C794">
        <v>2024</v>
      </c>
      <c r="D794" t="s">
        <v>10924</v>
      </c>
      <c r="E794">
        <v>3</v>
      </c>
      <c r="F794" t="s">
        <v>14022</v>
      </c>
      <c r="G794" t="s">
        <v>14023</v>
      </c>
      <c r="H794" s="4" t="s">
        <v>14024</v>
      </c>
      <c r="I794" t="s">
        <v>71</v>
      </c>
      <c r="J794" t="s">
        <v>10782</v>
      </c>
      <c r="K794" t="s">
        <v>14025</v>
      </c>
    </row>
    <row r="795" spans="1:11" ht="172.8" x14ac:dyDescent="0.3">
      <c r="A795" s="4" t="s">
        <v>3496</v>
      </c>
      <c r="B795">
        <v>2</v>
      </c>
      <c r="C795">
        <v>2024</v>
      </c>
      <c r="D795" t="s">
        <v>80</v>
      </c>
      <c r="E795">
        <v>0</v>
      </c>
      <c r="F795" t="s">
        <v>14026</v>
      </c>
      <c r="G795" t="s">
        <v>14027</v>
      </c>
      <c r="H795" s="4" t="s">
        <v>14028</v>
      </c>
      <c r="I795" t="s">
        <v>71</v>
      </c>
      <c r="J795" t="s">
        <v>10782</v>
      </c>
      <c r="K795" t="s">
        <v>14029</v>
      </c>
    </row>
    <row r="796" spans="1:11" ht="86.4" x14ac:dyDescent="0.3">
      <c r="A796" s="4" t="s">
        <v>4239</v>
      </c>
      <c r="B796">
        <v>3</v>
      </c>
      <c r="C796">
        <v>2024</v>
      </c>
      <c r="D796" t="s">
        <v>1530</v>
      </c>
      <c r="E796">
        <v>0</v>
      </c>
      <c r="F796" t="s">
        <v>14030</v>
      </c>
      <c r="G796" t="s">
        <v>14031</v>
      </c>
      <c r="H796" s="4" t="s">
        <v>14032</v>
      </c>
    </row>
    <row r="797" spans="1:11" ht="216" x14ac:dyDescent="0.3">
      <c r="A797" s="4" t="s">
        <v>645</v>
      </c>
      <c r="B797">
        <v>1</v>
      </c>
      <c r="C797">
        <v>2024</v>
      </c>
      <c r="D797" t="s">
        <v>550</v>
      </c>
      <c r="E797">
        <v>6</v>
      </c>
      <c r="F797" t="s">
        <v>14033</v>
      </c>
      <c r="G797" t="s">
        <v>14034</v>
      </c>
      <c r="H797" s="4" t="s">
        <v>14035</v>
      </c>
    </row>
    <row r="798" spans="1:11" ht="187.2" x14ac:dyDescent="0.3">
      <c r="A798" s="4" t="s">
        <v>4240</v>
      </c>
      <c r="B798">
        <v>3</v>
      </c>
      <c r="C798">
        <v>2024</v>
      </c>
      <c r="D798" t="s">
        <v>13696</v>
      </c>
      <c r="E798">
        <v>0</v>
      </c>
      <c r="F798" t="s">
        <v>14036</v>
      </c>
      <c r="G798" t="s">
        <v>14037</v>
      </c>
      <c r="H798" s="4" t="s">
        <v>14038</v>
      </c>
      <c r="I798" t="s">
        <v>71</v>
      </c>
      <c r="J798" t="s">
        <v>10782</v>
      </c>
      <c r="K798" t="s">
        <v>14039</v>
      </c>
    </row>
    <row r="799" spans="1:11" ht="187.2" x14ac:dyDescent="0.3">
      <c r="A799" s="4" t="s">
        <v>4241</v>
      </c>
      <c r="B799">
        <v>3</v>
      </c>
      <c r="C799">
        <v>2024</v>
      </c>
      <c r="D799" t="s">
        <v>11871</v>
      </c>
      <c r="E799">
        <v>1</v>
      </c>
      <c r="F799" t="s">
        <v>14040</v>
      </c>
      <c r="G799" t="s">
        <v>14041</v>
      </c>
      <c r="H799" s="4" t="s">
        <v>14042</v>
      </c>
      <c r="I799" t="s">
        <v>71</v>
      </c>
      <c r="J799" t="s">
        <v>10782</v>
      </c>
      <c r="K799" t="s">
        <v>14043</v>
      </c>
    </row>
    <row r="800" spans="1:11" ht="100.8" x14ac:dyDescent="0.3">
      <c r="A800" s="4" t="s">
        <v>4242</v>
      </c>
      <c r="B800">
        <v>3</v>
      </c>
      <c r="C800">
        <v>2024</v>
      </c>
      <c r="D800" t="s">
        <v>11064</v>
      </c>
      <c r="E800">
        <v>25</v>
      </c>
      <c r="F800" t="s">
        <v>14044</v>
      </c>
      <c r="G800" t="s">
        <v>14045</v>
      </c>
      <c r="H800" s="4" t="s">
        <v>14046</v>
      </c>
      <c r="I800" t="s">
        <v>71</v>
      </c>
      <c r="J800" t="s">
        <v>10782</v>
      </c>
      <c r="K800" t="s">
        <v>14047</v>
      </c>
    </row>
    <row r="801" spans="1:11" ht="216" x14ac:dyDescent="0.3">
      <c r="A801" s="4" t="s">
        <v>649</v>
      </c>
      <c r="B801">
        <v>1</v>
      </c>
      <c r="C801">
        <v>2024</v>
      </c>
      <c r="D801" t="s">
        <v>318</v>
      </c>
      <c r="E801">
        <v>3</v>
      </c>
      <c r="F801" t="s">
        <v>14048</v>
      </c>
      <c r="G801" t="s">
        <v>14049</v>
      </c>
      <c r="H801" s="4" t="s">
        <v>14050</v>
      </c>
      <c r="I801" t="s">
        <v>71</v>
      </c>
      <c r="J801" t="s">
        <v>10782</v>
      </c>
      <c r="K801" t="s">
        <v>14051</v>
      </c>
    </row>
    <row r="802" spans="1:11" ht="158.4" x14ac:dyDescent="0.3">
      <c r="A802" s="4" t="s">
        <v>4243</v>
      </c>
      <c r="B802">
        <v>3</v>
      </c>
      <c r="C802">
        <v>2024</v>
      </c>
      <c r="D802" t="s">
        <v>14052</v>
      </c>
      <c r="E802">
        <v>0</v>
      </c>
      <c r="F802" t="s">
        <v>14053</v>
      </c>
      <c r="G802" t="s">
        <v>14054</v>
      </c>
      <c r="H802" s="4" t="s">
        <v>14055</v>
      </c>
      <c r="I802" t="s">
        <v>71</v>
      </c>
      <c r="J802" t="s">
        <v>10782</v>
      </c>
      <c r="K802" t="s">
        <v>14056</v>
      </c>
    </row>
    <row r="803" spans="1:11" ht="259.2" x14ac:dyDescent="0.3">
      <c r="A803" s="4" t="s">
        <v>2462</v>
      </c>
      <c r="B803">
        <v>2</v>
      </c>
      <c r="C803">
        <v>2024</v>
      </c>
      <c r="D803" t="s">
        <v>264</v>
      </c>
      <c r="E803">
        <v>0</v>
      </c>
      <c r="F803" t="s">
        <v>14057</v>
      </c>
      <c r="G803" t="s">
        <v>14058</v>
      </c>
      <c r="H803" s="4" t="s">
        <v>14059</v>
      </c>
      <c r="I803" t="s">
        <v>71</v>
      </c>
      <c r="J803" t="s">
        <v>10782</v>
      </c>
      <c r="K803" t="s">
        <v>14060</v>
      </c>
    </row>
    <row r="804" spans="1:11" ht="158.4" x14ac:dyDescent="0.3">
      <c r="A804" s="4" t="s">
        <v>4244</v>
      </c>
      <c r="B804">
        <v>3</v>
      </c>
      <c r="C804">
        <v>2024</v>
      </c>
      <c r="D804" t="s">
        <v>14061</v>
      </c>
      <c r="E804">
        <v>0</v>
      </c>
      <c r="F804" t="s">
        <v>14062</v>
      </c>
      <c r="G804" t="s">
        <v>14063</v>
      </c>
      <c r="H804" s="4" t="s">
        <v>14064</v>
      </c>
      <c r="I804" t="s">
        <v>71</v>
      </c>
      <c r="J804" t="s">
        <v>10782</v>
      </c>
      <c r="K804" t="s">
        <v>14065</v>
      </c>
    </row>
    <row r="805" spans="1:11" ht="129.6" x14ac:dyDescent="0.3">
      <c r="A805" s="4" t="s">
        <v>3217</v>
      </c>
      <c r="B805">
        <v>1</v>
      </c>
      <c r="C805">
        <v>2024</v>
      </c>
      <c r="D805" t="s">
        <v>217</v>
      </c>
      <c r="E805">
        <v>0</v>
      </c>
      <c r="F805" t="s">
        <v>14066</v>
      </c>
      <c r="G805" t="s">
        <v>14067</v>
      </c>
      <c r="H805" s="4" t="s">
        <v>14068</v>
      </c>
      <c r="I805" t="s">
        <v>71</v>
      </c>
      <c r="J805" t="s">
        <v>10782</v>
      </c>
      <c r="K805" t="s">
        <v>14069</v>
      </c>
    </row>
    <row r="806" spans="1:11" ht="201.6" x14ac:dyDescent="0.3">
      <c r="A806" s="4" t="s">
        <v>4245</v>
      </c>
      <c r="B806">
        <v>3</v>
      </c>
      <c r="C806">
        <v>2024</v>
      </c>
      <c r="D806" t="s">
        <v>1912</v>
      </c>
      <c r="E806">
        <v>0</v>
      </c>
      <c r="F806" t="s">
        <v>14070</v>
      </c>
      <c r="G806" t="s">
        <v>14071</v>
      </c>
      <c r="H806" s="4" t="s">
        <v>14072</v>
      </c>
      <c r="I806" t="s">
        <v>71</v>
      </c>
      <c r="J806" t="s">
        <v>10782</v>
      </c>
      <c r="K806" t="s">
        <v>14073</v>
      </c>
    </row>
    <row r="807" spans="1:11" ht="201.6" x14ac:dyDescent="0.3">
      <c r="A807" s="4" t="s">
        <v>4246</v>
      </c>
      <c r="B807">
        <v>3</v>
      </c>
      <c r="C807">
        <v>2024</v>
      </c>
      <c r="D807" t="s">
        <v>13816</v>
      </c>
      <c r="E807">
        <v>0</v>
      </c>
      <c r="F807" t="s">
        <v>14074</v>
      </c>
      <c r="G807" t="s">
        <v>14075</v>
      </c>
      <c r="H807" s="4" t="s">
        <v>14076</v>
      </c>
      <c r="I807" t="s">
        <v>71</v>
      </c>
      <c r="J807" t="s">
        <v>10782</v>
      </c>
      <c r="K807" t="s">
        <v>14077</v>
      </c>
    </row>
    <row r="808" spans="1:11" ht="172.8" x14ac:dyDescent="0.3">
      <c r="A808" s="4" t="s">
        <v>4247</v>
      </c>
      <c r="B808">
        <v>3</v>
      </c>
      <c r="C808">
        <v>2024</v>
      </c>
      <c r="D808" t="s">
        <v>918</v>
      </c>
      <c r="E808">
        <v>2</v>
      </c>
      <c r="F808" t="s">
        <v>14078</v>
      </c>
      <c r="G808" t="s">
        <v>14079</v>
      </c>
      <c r="H808" s="4" t="s">
        <v>14080</v>
      </c>
      <c r="I808" t="s">
        <v>71</v>
      </c>
      <c r="J808" t="s">
        <v>10782</v>
      </c>
      <c r="K808" t="s">
        <v>14081</v>
      </c>
    </row>
    <row r="809" spans="1:11" ht="158.4" x14ac:dyDescent="0.3">
      <c r="A809" s="4" t="s">
        <v>4248</v>
      </c>
      <c r="B809">
        <v>3</v>
      </c>
      <c r="C809">
        <v>2024</v>
      </c>
      <c r="D809" t="s">
        <v>1877</v>
      </c>
      <c r="E809">
        <v>1</v>
      </c>
      <c r="F809" t="s">
        <v>14082</v>
      </c>
      <c r="G809" t="s">
        <v>14083</v>
      </c>
      <c r="H809" s="4" t="s">
        <v>14084</v>
      </c>
      <c r="I809" t="s">
        <v>71</v>
      </c>
      <c r="J809" t="s">
        <v>10782</v>
      </c>
      <c r="K809" t="s">
        <v>14085</v>
      </c>
    </row>
    <row r="810" spans="1:11" ht="187.2" x14ac:dyDescent="0.3">
      <c r="A810" s="4" t="s">
        <v>4249</v>
      </c>
      <c r="B810">
        <v>3</v>
      </c>
      <c r="C810">
        <v>2024</v>
      </c>
      <c r="D810" t="s">
        <v>217</v>
      </c>
      <c r="E810">
        <v>0</v>
      </c>
      <c r="F810" t="s">
        <v>14086</v>
      </c>
      <c r="G810" t="s">
        <v>14087</v>
      </c>
      <c r="H810" s="4" t="s">
        <v>14088</v>
      </c>
      <c r="I810" t="s">
        <v>71</v>
      </c>
      <c r="J810" t="s">
        <v>10782</v>
      </c>
      <c r="K810" t="s">
        <v>14089</v>
      </c>
    </row>
    <row r="811" spans="1:11" ht="259.2" x14ac:dyDescent="0.3">
      <c r="A811" s="4" t="s">
        <v>3497</v>
      </c>
      <c r="B811">
        <v>2</v>
      </c>
      <c r="C811">
        <v>2024</v>
      </c>
      <c r="D811" t="s">
        <v>14090</v>
      </c>
      <c r="E811">
        <v>0</v>
      </c>
      <c r="F811" t="s">
        <v>14091</v>
      </c>
      <c r="H811" s="4" t="s">
        <v>14092</v>
      </c>
      <c r="I811" s="4" t="s">
        <v>10823</v>
      </c>
      <c r="J811" t="s">
        <v>10782</v>
      </c>
      <c r="K811" t="s">
        <v>14093</v>
      </c>
    </row>
    <row r="812" spans="1:11" ht="172.8" x14ac:dyDescent="0.3">
      <c r="A812" s="4" t="s">
        <v>4250</v>
      </c>
      <c r="B812">
        <v>3</v>
      </c>
      <c r="C812">
        <v>2024</v>
      </c>
      <c r="D812" t="s">
        <v>964</v>
      </c>
      <c r="E812">
        <v>1</v>
      </c>
      <c r="F812" t="s">
        <v>14094</v>
      </c>
      <c r="G812" t="s">
        <v>14095</v>
      </c>
      <c r="H812" s="4" t="s">
        <v>14096</v>
      </c>
      <c r="I812" t="s">
        <v>71</v>
      </c>
      <c r="J812" t="s">
        <v>10782</v>
      </c>
      <c r="K812" t="s">
        <v>14097</v>
      </c>
    </row>
    <row r="813" spans="1:11" ht="129.6" x14ac:dyDescent="0.3">
      <c r="A813" s="4" t="s">
        <v>4251</v>
      </c>
      <c r="B813">
        <v>3</v>
      </c>
      <c r="C813">
        <v>2024</v>
      </c>
      <c r="D813" t="s">
        <v>217</v>
      </c>
      <c r="E813">
        <v>0</v>
      </c>
      <c r="F813" t="s">
        <v>14098</v>
      </c>
      <c r="G813" t="s">
        <v>14099</v>
      </c>
      <c r="H813" s="4" t="s">
        <v>14100</v>
      </c>
      <c r="I813" t="s">
        <v>71</v>
      </c>
      <c r="J813" t="s">
        <v>10782</v>
      </c>
      <c r="K813" t="s">
        <v>14101</v>
      </c>
    </row>
    <row r="814" spans="1:11" ht="158.4" x14ac:dyDescent="0.3">
      <c r="A814" s="4" t="s">
        <v>4252</v>
      </c>
      <c r="B814">
        <v>3</v>
      </c>
      <c r="C814">
        <v>2024</v>
      </c>
      <c r="D814" t="s">
        <v>14102</v>
      </c>
      <c r="E814">
        <v>1</v>
      </c>
      <c r="F814" t="s">
        <v>14103</v>
      </c>
      <c r="G814" t="s">
        <v>14104</v>
      </c>
      <c r="H814" s="4" t="s">
        <v>14105</v>
      </c>
      <c r="I814" t="s">
        <v>71</v>
      </c>
      <c r="J814" t="s">
        <v>10782</v>
      </c>
      <c r="K814" t="s">
        <v>14106</v>
      </c>
    </row>
    <row r="815" spans="1:11" ht="115.2" x14ac:dyDescent="0.3">
      <c r="A815" s="4" t="s">
        <v>4253</v>
      </c>
      <c r="B815">
        <v>3</v>
      </c>
      <c r="C815">
        <v>2024</v>
      </c>
      <c r="D815" t="s">
        <v>14107</v>
      </c>
      <c r="E815">
        <v>0</v>
      </c>
      <c r="F815" t="s">
        <v>14108</v>
      </c>
      <c r="G815" t="s">
        <v>14109</v>
      </c>
      <c r="H815" s="4" t="s">
        <v>14110</v>
      </c>
      <c r="I815" t="s">
        <v>71</v>
      </c>
      <c r="J815" t="s">
        <v>10782</v>
      </c>
      <c r="K815" t="s">
        <v>14111</v>
      </c>
    </row>
    <row r="816" spans="1:11" ht="158.4" x14ac:dyDescent="0.3">
      <c r="A816" s="4" t="s">
        <v>4254</v>
      </c>
      <c r="B816">
        <v>3</v>
      </c>
      <c r="C816">
        <v>2024</v>
      </c>
      <c r="D816" t="s">
        <v>13696</v>
      </c>
      <c r="E816">
        <v>0</v>
      </c>
      <c r="F816" t="s">
        <v>14112</v>
      </c>
      <c r="G816" t="s">
        <v>14113</v>
      </c>
      <c r="H816" s="4" t="s">
        <v>14114</v>
      </c>
      <c r="I816" t="s">
        <v>71</v>
      </c>
      <c r="J816" t="s">
        <v>10782</v>
      </c>
      <c r="K816" t="s">
        <v>14115</v>
      </c>
    </row>
    <row r="817" spans="1:11" ht="144" x14ac:dyDescent="0.3">
      <c r="A817" s="4" t="s">
        <v>3218</v>
      </c>
      <c r="B817">
        <v>1</v>
      </c>
      <c r="C817">
        <v>2024</v>
      </c>
      <c r="D817" t="s">
        <v>14116</v>
      </c>
      <c r="E817">
        <v>0</v>
      </c>
      <c r="F817" t="s">
        <v>14117</v>
      </c>
      <c r="G817" t="s">
        <v>14118</v>
      </c>
      <c r="H817" s="4" t="s">
        <v>14119</v>
      </c>
      <c r="I817" t="s">
        <v>71</v>
      </c>
      <c r="J817" t="s">
        <v>10782</v>
      </c>
      <c r="K817" t="s">
        <v>14120</v>
      </c>
    </row>
    <row r="818" spans="1:11" ht="158.4" x14ac:dyDescent="0.3">
      <c r="A818" s="4" t="s">
        <v>4255</v>
      </c>
      <c r="B818">
        <v>3</v>
      </c>
      <c r="C818">
        <v>2024</v>
      </c>
      <c r="D818" t="s">
        <v>13721</v>
      </c>
      <c r="E818">
        <v>0</v>
      </c>
      <c r="F818" t="s">
        <v>14121</v>
      </c>
      <c r="G818" t="s">
        <v>14122</v>
      </c>
      <c r="H818" s="4" t="s">
        <v>14123</v>
      </c>
      <c r="I818" t="s">
        <v>71</v>
      </c>
      <c r="J818" t="s">
        <v>10782</v>
      </c>
      <c r="K818" t="s">
        <v>14124</v>
      </c>
    </row>
    <row r="819" spans="1:11" ht="172.8" x14ac:dyDescent="0.3">
      <c r="A819" s="4" t="s">
        <v>4256</v>
      </c>
      <c r="B819">
        <v>3</v>
      </c>
      <c r="C819">
        <v>2024</v>
      </c>
      <c r="D819" t="s">
        <v>13816</v>
      </c>
      <c r="E819">
        <v>0</v>
      </c>
      <c r="F819" t="s">
        <v>14125</v>
      </c>
      <c r="G819" t="s">
        <v>14126</v>
      </c>
      <c r="H819" s="4" t="s">
        <v>14127</v>
      </c>
      <c r="I819" t="s">
        <v>71</v>
      </c>
      <c r="J819" t="s">
        <v>10782</v>
      </c>
      <c r="K819" t="s">
        <v>14128</v>
      </c>
    </row>
    <row r="820" spans="1:11" ht="144" x14ac:dyDescent="0.3">
      <c r="A820" s="4" t="s">
        <v>4257</v>
      </c>
      <c r="B820">
        <v>3</v>
      </c>
      <c r="C820">
        <v>2024</v>
      </c>
      <c r="D820" t="s">
        <v>1912</v>
      </c>
      <c r="E820">
        <v>1</v>
      </c>
      <c r="F820" t="s">
        <v>14129</v>
      </c>
      <c r="G820" t="s">
        <v>14130</v>
      </c>
      <c r="H820" s="4" t="s">
        <v>14131</v>
      </c>
      <c r="I820" t="s">
        <v>10823</v>
      </c>
      <c r="J820" t="s">
        <v>10782</v>
      </c>
      <c r="K820" t="s">
        <v>14132</v>
      </c>
    </row>
    <row r="821" spans="1:11" ht="129.6" x14ac:dyDescent="0.3">
      <c r="A821" s="4" t="s">
        <v>4258</v>
      </c>
      <c r="B821">
        <v>3</v>
      </c>
      <c r="C821">
        <v>2024</v>
      </c>
      <c r="D821" t="s">
        <v>14133</v>
      </c>
      <c r="E821">
        <v>0</v>
      </c>
      <c r="F821" t="s">
        <v>14134</v>
      </c>
      <c r="G821" t="s">
        <v>14135</v>
      </c>
      <c r="H821" s="4" t="s">
        <v>14136</v>
      </c>
      <c r="I821" t="s">
        <v>71</v>
      </c>
      <c r="J821" t="s">
        <v>10782</v>
      </c>
      <c r="K821" t="s">
        <v>14137</v>
      </c>
    </row>
    <row r="822" spans="1:11" ht="158.4" x14ac:dyDescent="0.3">
      <c r="A822" s="4" t="s">
        <v>4259</v>
      </c>
      <c r="B822">
        <v>3</v>
      </c>
      <c r="C822">
        <v>2024</v>
      </c>
      <c r="D822" t="s">
        <v>14138</v>
      </c>
      <c r="E822">
        <v>4</v>
      </c>
      <c r="F822" t="s">
        <v>14139</v>
      </c>
      <c r="G822" t="s">
        <v>14140</v>
      </c>
      <c r="H822" s="4" t="s">
        <v>14141</v>
      </c>
      <c r="I822" t="s">
        <v>71</v>
      </c>
      <c r="J822" t="s">
        <v>10782</v>
      </c>
      <c r="K822" t="s">
        <v>14142</v>
      </c>
    </row>
    <row r="823" spans="1:11" ht="158.4" x14ac:dyDescent="0.3">
      <c r="A823" s="4" t="s">
        <v>3219</v>
      </c>
      <c r="B823">
        <v>1</v>
      </c>
      <c r="C823">
        <v>2024</v>
      </c>
      <c r="D823" t="s">
        <v>14143</v>
      </c>
      <c r="E823">
        <v>0</v>
      </c>
      <c r="F823" t="s">
        <v>14144</v>
      </c>
      <c r="G823" t="s">
        <v>14145</v>
      </c>
      <c r="H823" s="4" t="s">
        <v>14146</v>
      </c>
    </row>
    <row r="824" spans="1:11" ht="86.4" x14ac:dyDescent="0.3">
      <c r="A824" s="4" t="s">
        <v>4260</v>
      </c>
      <c r="B824">
        <v>3</v>
      </c>
      <c r="C824">
        <v>2024</v>
      </c>
      <c r="D824" t="s">
        <v>14147</v>
      </c>
      <c r="E824">
        <v>0</v>
      </c>
      <c r="F824" t="s">
        <v>14148</v>
      </c>
      <c r="G824" t="s">
        <v>14149</v>
      </c>
      <c r="H824" s="4" t="s">
        <v>14150</v>
      </c>
    </row>
    <row r="825" spans="1:11" ht="244.8" x14ac:dyDescent="0.3">
      <c r="A825" s="4" t="s">
        <v>4261</v>
      </c>
      <c r="B825">
        <v>3</v>
      </c>
      <c r="C825">
        <v>2024</v>
      </c>
      <c r="D825" t="s">
        <v>363</v>
      </c>
      <c r="E825">
        <v>0</v>
      </c>
      <c r="F825" t="s">
        <v>14151</v>
      </c>
      <c r="G825" t="s">
        <v>14152</v>
      </c>
      <c r="H825" s="4" t="s">
        <v>14153</v>
      </c>
      <c r="I825" t="s">
        <v>71</v>
      </c>
      <c r="J825" t="s">
        <v>10782</v>
      </c>
      <c r="K825" t="s">
        <v>14154</v>
      </c>
    </row>
    <row r="826" spans="1:11" ht="158.4" x14ac:dyDescent="0.3">
      <c r="A826" s="4" t="s">
        <v>4262</v>
      </c>
      <c r="B826">
        <v>3</v>
      </c>
      <c r="C826">
        <v>2024</v>
      </c>
      <c r="D826" t="s">
        <v>14102</v>
      </c>
      <c r="E826">
        <v>0</v>
      </c>
      <c r="F826" t="s">
        <v>14155</v>
      </c>
      <c r="G826" t="s">
        <v>14156</v>
      </c>
      <c r="H826" s="4" t="s">
        <v>14157</v>
      </c>
      <c r="I826" t="s">
        <v>71</v>
      </c>
      <c r="J826" t="s">
        <v>10782</v>
      </c>
      <c r="K826" t="s">
        <v>14158</v>
      </c>
    </row>
    <row r="827" spans="1:11" ht="201.6" x14ac:dyDescent="0.3">
      <c r="A827" s="4" t="s">
        <v>4263</v>
      </c>
      <c r="B827">
        <v>3</v>
      </c>
      <c r="C827">
        <v>2024</v>
      </c>
      <c r="D827" t="s">
        <v>14159</v>
      </c>
      <c r="E827">
        <v>0</v>
      </c>
      <c r="G827" t="s">
        <v>14160</v>
      </c>
      <c r="H827" s="4" t="s">
        <v>14161</v>
      </c>
      <c r="I827" s="4" t="s">
        <v>71</v>
      </c>
      <c r="J827" t="s">
        <v>10782</v>
      </c>
      <c r="K827" t="s">
        <v>14162</v>
      </c>
    </row>
    <row r="828" spans="1:11" ht="201.6" x14ac:dyDescent="0.3">
      <c r="A828" s="4" t="s">
        <v>4264</v>
      </c>
      <c r="B828">
        <v>3</v>
      </c>
      <c r="C828">
        <v>2024</v>
      </c>
      <c r="D828" t="s">
        <v>14163</v>
      </c>
      <c r="E828">
        <v>1</v>
      </c>
      <c r="F828" t="s">
        <v>14164</v>
      </c>
      <c r="G828" t="s">
        <v>14165</v>
      </c>
      <c r="H828" s="4" t="s">
        <v>14166</v>
      </c>
      <c r="I828" t="s">
        <v>71</v>
      </c>
      <c r="J828" t="s">
        <v>10782</v>
      </c>
      <c r="K828" t="s">
        <v>14167</v>
      </c>
    </row>
    <row r="829" spans="1:11" ht="172.8" x14ac:dyDescent="0.3">
      <c r="A829" s="4" t="s">
        <v>4265</v>
      </c>
      <c r="B829">
        <v>3</v>
      </c>
      <c r="C829">
        <v>2024</v>
      </c>
      <c r="D829" t="s">
        <v>14168</v>
      </c>
      <c r="E829">
        <v>0</v>
      </c>
      <c r="F829" t="s">
        <v>14169</v>
      </c>
      <c r="G829" t="s">
        <v>14170</v>
      </c>
      <c r="H829" s="4" t="s">
        <v>14171</v>
      </c>
      <c r="I829" t="s">
        <v>71</v>
      </c>
      <c r="J829" t="s">
        <v>10782</v>
      </c>
      <c r="K829" t="s">
        <v>14172</v>
      </c>
    </row>
    <row r="830" spans="1:11" ht="144" x14ac:dyDescent="0.3">
      <c r="A830" s="4" t="s">
        <v>4266</v>
      </c>
      <c r="B830">
        <v>3</v>
      </c>
      <c r="C830">
        <v>2024</v>
      </c>
      <c r="D830" t="s">
        <v>14173</v>
      </c>
      <c r="E830">
        <v>1</v>
      </c>
      <c r="F830" t="s">
        <v>14174</v>
      </c>
      <c r="G830" t="s">
        <v>14175</v>
      </c>
      <c r="H830" s="4" t="s">
        <v>14176</v>
      </c>
      <c r="I830" t="s">
        <v>71</v>
      </c>
      <c r="J830" t="s">
        <v>10782</v>
      </c>
      <c r="K830" t="s">
        <v>14177</v>
      </c>
    </row>
    <row r="831" spans="1:11" ht="187.2" x14ac:dyDescent="0.3">
      <c r="A831" s="4" t="s">
        <v>4267</v>
      </c>
      <c r="B831">
        <v>3</v>
      </c>
      <c r="C831">
        <v>2024</v>
      </c>
      <c r="D831" t="s">
        <v>1088</v>
      </c>
      <c r="E831">
        <v>0</v>
      </c>
      <c r="F831" t="s">
        <v>14178</v>
      </c>
      <c r="G831" t="s">
        <v>14179</v>
      </c>
      <c r="H831" s="4" t="s">
        <v>14180</v>
      </c>
      <c r="I831" t="s">
        <v>71</v>
      </c>
      <c r="J831" t="s">
        <v>10782</v>
      </c>
      <c r="K831" t="s">
        <v>14181</v>
      </c>
    </row>
    <row r="832" spans="1:11" ht="144" x14ac:dyDescent="0.3">
      <c r="A832" s="4" t="s">
        <v>4268</v>
      </c>
      <c r="B832">
        <v>3</v>
      </c>
      <c r="C832">
        <v>2024</v>
      </c>
      <c r="D832" t="s">
        <v>14182</v>
      </c>
      <c r="E832">
        <v>0</v>
      </c>
      <c r="F832" t="s">
        <v>14183</v>
      </c>
      <c r="G832" t="s">
        <v>14184</v>
      </c>
      <c r="H832" s="4" t="s">
        <v>14185</v>
      </c>
      <c r="I832" t="s">
        <v>71</v>
      </c>
      <c r="J832" t="s">
        <v>10782</v>
      </c>
      <c r="K832" t="s">
        <v>14186</v>
      </c>
    </row>
    <row r="833" spans="1:11" ht="86.4" x14ac:dyDescent="0.3">
      <c r="A833" s="4" t="s">
        <v>4269</v>
      </c>
      <c r="B833">
        <v>3</v>
      </c>
      <c r="C833">
        <v>2024</v>
      </c>
      <c r="D833" t="s">
        <v>217</v>
      </c>
      <c r="E833">
        <v>0</v>
      </c>
      <c r="F833" t="s">
        <v>14187</v>
      </c>
      <c r="G833" t="s">
        <v>14188</v>
      </c>
      <c r="H833" s="4" t="s">
        <v>14189</v>
      </c>
    </row>
    <row r="834" spans="1:11" ht="172.8" x14ac:dyDescent="0.3">
      <c r="A834" s="4" t="s">
        <v>4270</v>
      </c>
      <c r="B834">
        <v>3</v>
      </c>
      <c r="C834">
        <v>2024</v>
      </c>
      <c r="D834" t="s">
        <v>958</v>
      </c>
      <c r="E834">
        <v>0</v>
      </c>
      <c r="F834" t="s">
        <v>14190</v>
      </c>
      <c r="G834" t="s">
        <v>14191</v>
      </c>
      <c r="H834" s="4" t="s">
        <v>14192</v>
      </c>
      <c r="I834" t="s">
        <v>71</v>
      </c>
      <c r="J834" t="s">
        <v>10782</v>
      </c>
      <c r="K834" t="s">
        <v>14193</v>
      </c>
    </row>
    <row r="835" spans="1:11" ht="316.8" x14ac:dyDescent="0.3">
      <c r="A835" s="4" t="s">
        <v>4271</v>
      </c>
      <c r="B835">
        <v>3</v>
      </c>
      <c r="C835">
        <v>2024</v>
      </c>
      <c r="D835" t="s">
        <v>14194</v>
      </c>
      <c r="E835">
        <v>0</v>
      </c>
      <c r="F835" t="s">
        <v>14195</v>
      </c>
      <c r="G835" t="s">
        <v>14196</v>
      </c>
      <c r="H835" s="4" t="s">
        <v>14197</v>
      </c>
      <c r="I835" t="s">
        <v>71</v>
      </c>
      <c r="J835" t="s">
        <v>10782</v>
      </c>
      <c r="K835" t="s">
        <v>14198</v>
      </c>
    </row>
    <row r="836" spans="1:11" ht="172.8" x14ac:dyDescent="0.3">
      <c r="A836" s="4" t="s">
        <v>4272</v>
      </c>
      <c r="B836">
        <v>3</v>
      </c>
      <c r="C836">
        <v>2024</v>
      </c>
      <c r="D836" t="s">
        <v>14199</v>
      </c>
      <c r="E836">
        <v>0</v>
      </c>
      <c r="F836" t="s">
        <v>14200</v>
      </c>
      <c r="G836" t="s">
        <v>14201</v>
      </c>
      <c r="H836" s="4" t="s">
        <v>14202</v>
      </c>
      <c r="I836" t="s">
        <v>71</v>
      </c>
      <c r="J836" t="s">
        <v>10782</v>
      </c>
      <c r="K836" t="s">
        <v>14203</v>
      </c>
    </row>
    <row r="837" spans="1:11" ht="115.2" x14ac:dyDescent="0.3">
      <c r="A837" s="4" t="s">
        <v>4273</v>
      </c>
      <c r="B837">
        <v>3</v>
      </c>
      <c r="C837">
        <v>2024</v>
      </c>
      <c r="D837" t="s">
        <v>11649</v>
      </c>
      <c r="E837">
        <v>1</v>
      </c>
      <c r="F837" t="s">
        <v>14204</v>
      </c>
      <c r="G837" t="s">
        <v>14205</v>
      </c>
      <c r="H837" s="4" t="s">
        <v>14206</v>
      </c>
      <c r="I837" t="s">
        <v>71</v>
      </c>
      <c r="J837" t="s">
        <v>10782</v>
      </c>
      <c r="K837" t="s">
        <v>14207</v>
      </c>
    </row>
    <row r="838" spans="1:11" ht="187.2" x14ac:dyDescent="0.3">
      <c r="A838" s="4" t="s">
        <v>4274</v>
      </c>
      <c r="B838">
        <v>3</v>
      </c>
      <c r="C838">
        <v>2024</v>
      </c>
      <c r="D838" t="s">
        <v>13816</v>
      </c>
      <c r="E838">
        <v>1</v>
      </c>
      <c r="F838" t="s">
        <v>14208</v>
      </c>
      <c r="G838" t="s">
        <v>14209</v>
      </c>
      <c r="H838" s="4" t="s">
        <v>14210</v>
      </c>
      <c r="I838" t="s">
        <v>71</v>
      </c>
      <c r="J838" t="s">
        <v>10782</v>
      </c>
      <c r="K838" t="s">
        <v>14211</v>
      </c>
    </row>
    <row r="839" spans="1:11" ht="172.8" x14ac:dyDescent="0.3">
      <c r="A839" s="4" t="s">
        <v>4275</v>
      </c>
      <c r="B839">
        <v>3</v>
      </c>
      <c r="C839">
        <v>2024</v>
      </c>
      <c r="D839" t="s">
        <v>665</v>
      </c>
      <c r="E839">
        <v>1</v>
      </c>
      <c r="F839" t="s">
        <v>14212</v>
      </c>
      <c r="G839" t="s">
        <v>14213</v>
      </c>
      <c r="H839" s="4" t="s">
        <v>14214</v>
      </c>
      <c r="I839" t="s">
        <v>71</v>
      </c>
      <c r="J839" t="s">
        <v>10782</v>
      </c>
      <c r="K839" t="s">
        <v>14215</v>
      </c>
    </row>
    <row r="840" spans="1:11" ht="230.4" x14ac:dyDescent="0.3">
      <c r="A840" s="4" t="s">
        <v>4276</v>
      </c>
      <c r="B840">
        <v>3</v>
      </c>
      <c r="C840">
        <v>2024</v>
      </c>
      <c r="D840" t="s">
        <v>14216</v>
      </c>
      <c r="E840">
        <v>0</v>
      </c>
      <c r="F840" t="s">
        <v>14217</v>
      </c>
      <c r="G840" t="s">
        <v>14218</v>
      </c>
      <c r="H840" s="4" t="s">
        <v>14219</v>
      </c>
      <c r="I840" t="s">
        <v>71</v>
      </c>
      <c r="J840" t="s">
        <v>10782</v>
      </c>
      <c r="K840" t="s">
        <v>14220</v>
      </c>
    </row>
    <row r="841" spans="1:11" ht="129.6" x14ac:dyDescent="0.3">
      <c r="A841" s="4" t="s">
        <v>4277</v>
      </c>
      <c r="B841">
        <v>3</v>
      </c>
      <c r="C841">
        <v>2024</v>
      </c>
      <c r="D841" t="s">
        <v>217</v>
      </c>
      <c r="E841">
        <v>1</v>
      </c>
      <c r="F841" t="s">
        <v>14221</v>
      </c>
      <c r="G841" t="s">
        <v>14222</v>
      </c>
      <c r="H841" s="4" t="s">
        <v>14223</v>
      </c>
    </row>
    <row r="842" spans="1:11" ht="43.2" x14ac:dyDescent="0.3">
      <c r="A842" s="4" t="s">
        <v>4278</v>
      </c>
      <c r="B842">
        <v>3</v>
      </c>
      <c r="C842">
        <v>2024</v>
      </c>
      <c r="D842" t="s">
        <v>14224</v>
      </c>
      <c r="E842">
        <v>0</v>
      </c>
      <c r="F842" t="s">
        <v>14225</v>
      </c>
      <c r="G842" t="s">
        <v>14226</v>
      </c>
      <c r="H842" s="4" t="s">
        <v>14227</v>
      </c>
    </row>
    <row r="843" spans="1:11" ht="144" x14ac:dyDescent="0.3">
      <c r="A843" s="4" t="s">
        <v>4279</v>
      </c>
      <c r="B843">
        <v>3</v>
      </c>
      <c r="C843">
        <v>2024</v>
      </c>
      <c r="D843" t="s">
        <v>964</v>
      </c>
      <c r="E843">
        <v>1</v>
      </c>
      <c r="F843" t="s">
        <v>14228</v>
      </c>
      <c r="G843" t="s">
        <v>14229</v>
      </c>
      <c r="H843" s="4" t="s">
        <v>14230</v>
      </c>
      <c r="I843" t="s">
        <v>71</v>
      </c>
      <c r="J843" t="s">
        <v>10782</v>
      </c>
      <c r="K843" t="s">
        <v>14231</v>
      </c>
    </row>
    <row r="844" spans="1:11" ht="360" x14ac:dyDescent="0.3">
      <c r="A844" s="4" t="s">
        <v>4280</v>
      </c>
      <c r="B844">
        <v>3</v>
      </c>
      <c r="C844">
        <v>2024</v>
      </c>
      <c r="D844" t="s">
        <v>773</v>
      </c>
      <c r="E844">
        <v>3</v>
      </c>
      <c r="F844" t="s">
        <v>14232</v>
      </c>
      <c r="G844" t="s">
        <v>14233</v>
      </c>
      <c r="H844" s="4" t="s">
        <v>14234</v>
      </c>
      <c r="I844" t="s">
        <v>71</v>
      </c>
      <c r="J844" t="s">
        <v>10782</v>
      </c>
      <c r="K844" t="s">
        <v>14235</v>
      </c>
    </row>
    <row r="845" spans="1:11" ht="172.8" x14ac:dyDescent="0.3">
      <c r="A845" s="4" t="s">
        <v>4281</v>
      </c>
      <c r="B845">
        <v>3</v>
      </c>
      <c r="C845">
        <v>2024</v>
      </c>
      <c r="D845" t="s">
        <v>665</v>
      </c>
      <c r="E845">
        <v>0</v>
      </c>
      <c r="F845" t="s">
        <v>14236</v>
      </c>
      <c r="G845" t="s">
        <v>14237</v>
      </c>
      <c r="H845" s="4" t="s">
        <v>14238</v>
      </c>
      <c r="I845" t="s">
        <v>71</v>
      </c>
      <c r="J845" t="s">
        <v>10782</v>
      </c>
      <c r="K845" t="s">
        <v>14239</v>
      </c>
    </row>
    <row r="846" spans="1:11" ht="129.6" x14ac:dyDescent="0.3">
      <c r="A846" s="4" t="s">
        <v>4282</v>
      </c>
      <c r="B846">
        <v>3</v>
      </c>
      <c r="C846">
        <v>2024</v>
      </c>
      <c r="D846" t="s">
        <v>14240</v>
      </c>
      <c r="E846">
        <v>0</v>
      </c>
      <c r="F846" t="s">
        <v>14241</v>
      </c>
      <c r="G846" t="s">
        <v>14242</v>
      </c>
      <c r="H846" s="4" t="s">
        <v>14243</v>
      </c>
      <c r="I846" t="s">
        <v>71</v>
      </c>
      <c r="J846" t="s">
        <v>10782</v>
      </c>
      <c r="K846" t="s">
        <v>14244</v>
      </c>
    </row>
    <row r="847" spans="1:11" ht="216" x14ac:dyDescent="0.3">
      <c r="A847" s="4" t="s">
        <v>3498</v>
      </c>
      <c r="B847">
        <v>2</v>
      </c>
      <c r="C847">
        <v>2024</v>
      </c>
      <c r="D847" t="s">
        <v>14245</v>
      </c>
      <c r="E847">
        <v>0</v>
      </c>
      <c r="F847" t="s">
        <v>14246</v>
      </c>
      <c r="G847" t="s">
        <v>14247</v>
      </c>
      <c r="H847" s="4" t="s">
        <v>14248</v>
      </c>
      <c r="I847" t="s">
        <v>71</v>
      </c>
      <c r="J847" t="s">
        <v>10782</v>
      </c>
      <c r="K847" t="s">
        <v>14249</v>
      </c>
    </row>
    <row r="848" spans="1:11" ht="172.8" x14ac:dyDescent="0.3">
      <c r="A848" s="4" t="s">
        <v>656</v>
      </c>
      <c r="B848">
        <v>1</v>
      </c>
      <c r="C848">
        <v>2024</v>
      </c>
      <c r="D848" t="s">
        <v>657</v>
      </c>
      <c r="E848">
        <v>0</v>
      </c>
      <c r="F848" t="s">
        <v>14250</v>
      </c>
      <c r="G848" t="s">
        <v>14251</v>
      </c>
      <c r="H848" s="4" t="s">
        <v>14252</v>
      </c>
      <c r="I848" t="s">
        <v>71</v>
      </c>
      <c r="J848" t="s">
        <v>10782</v>
      </c>
      <c r="K848" t="s">
        <v>14253</v>
      </c>
    </row>
    <row r="849" spans="1:11" ht="172.8" x14ac:dyDescent="0.3">
      <c r="A849" s="4" t="s">
        <v>4283</v>
      </c>
      <c r="B849">
        <v>3</v>
      </c>
      <c r="C849">
        <v>2024</v>
      </c>
      <c r="D849" t="s">
        <v>14254</v>
      </c>
      <c r="E849">
        <v>0</v>
      </c>
      <c r="F849" t="s">
        <v>14255</v>
      </c>
      <c r="G849" t="s">
        <v>14256</v>
      </c>
      <c r="H849" s="4" t="s">
        <v>14257</v>
      </c>
      <c r="I849" t="s">
        <v>71</v>
      </c>
      <c r="J849" t="s">
        <v>10782</v>
      </c>
      <c r="K849" t="s">
        <v>14258</v>
      </c>
    </row>
    <row r="850" spans="1:11" ht="100.8" x14ac:dyDescent="0.3">
      <c r="A850" s="4" t="s">
        <v>4284</v>
      </c>
      <c r="B850">
        <v>3</v>
      </c>
      <c r="C850">
        <v>2024</v>
      </c>
      <c r="D850" t="s">
        <v>1912</v>
      </c>
      <c r="E850">
        <v>0</v>
      </c>
      <c r="F850" t="s">
        <v>14259</v>
      </c>
      <c r="G850" t="s">
        <v>14260</v>
      </c>
      <c r="H850" s="4" t="s">
        <v>14261</v>
      </c>
      <c r="I850" t="s">
        <v>71</v>
      </c>
      <c r="J850" t="s">
        <v>10782</v>
      </c>
      <c r="K850" t="s">
        <v>14262</v>
      </c>
    </row>
    <row r="851" spans="1:11" ht="144" x14ac:dyDescent="0.3">
      <c r="A851" s="4" t="s">
        <v>4285</v>
      </c>
      <c r="B851">
        <v>3</v>
      </c>
      <c r="C851">
        <v>2024</v>
      </c>
      <c r="D851" t="s">
        <v>14263</v>
      </c>
      <c r="E851">
        <v>0</v>
      </c>
      <c r="F851" t="s">
        <v>14264</v>
      </c>
      <c r="G851" t="s">
        <v>14265</v>
      </c>
      <c r="H851" s="4" t="s">
        <v>14266</v>
      </c>
      <c r="I851" t="s">
        <v>71</v>
      </c>
      <c r="J851" t="s">
        <v>10782</v>
      </c>
      <c r="K851" t="s">
        <v>14267</v>
      </c>
    </row>
    <row r="852" spans="1:11" ht="172.8" x14ac:dyDescent="0.3">
      <c r="A852" s="4" t="s">
        <v>4286</v>
      </c>
      <c r="B852">
        <v>3</v>
      </c>
      <c r="C852">
        <v>2024</v>
      </c>
      <c r="D852" t="s">
        <v>964</v>
      </c>
      <c r="E852">
        <v>6</v>
      </c>
      <c r="F852" t="s">
        <v>14268</v>
      </c>
      <c r="G852" t="s">
        <v>14269</v>
      </c>
      <c r="H852" s="4" t="s">
        <v>14270</v>
      </c>
      <c r="I852" t="s">
        <v>71</v>
      </c>
      <c r="J852" t="s">
        <v>10782</v>
      </c>
      <c r="K852" t="s">
        <v>14271</v>
      </c>
    </row>
    <row r="853" spans="1:11" ht="201.6" x14ac:dyDescent="0.3">
      <c r="A853" s="4" t="s">
        <v>4287</v>
      </c>
      <c r="B853">
        <v>3</v>
      </c>
      <c r="C853">
        <v>2024</v>
      </c>
      <c r="D853" t="s">
        <v>363</v>
      </c>
      <c r="E853">
        <v>1</v>
      </c>
      <c r="F853" t="s">
        <v>14272</v>
      </c>
      <c r="G853" t="s">
        <v>14273</v>
      </c>
      <c r="H853" s="4" t="s">
        <v>14274</v>
      </c>
      <c r="I853" t="s">
        <v>10823</v>
      </c>
      <c r="J853" t="s">
        <v>10782</v>
      </c>
      <c r="K853" t="s">
        <v>14275</v>
      </c>
    </row>
    <row r="854" spans="1:11" ht="129.6" x14ac:dyDescent="0.3">
      <c r="A854" s="4" t="s">
        <v>4288</v>
      </c>
      <c r="B854">
        <v>3</v>
      </c>
      <c r="C854">
        <v>2024</v>
      </c>
      <c r="D854" t="s">
        <v>14276</v>
      </c>
      <c r="E854">
        <v>0</v>
      </c>
      <c r="F854" t="s">
        <v>14277</v>
      </c>
      <c r="G854" t="s">
        <v>14278</v>
      </c>
      <c r="H854" s="4" t="s">
        <v>14279</v>
      </c>
      <c r="I854" t="s">
        <v>71</v>
      </c>
      <c r="J854" t="s">
        <v>10782</v>
      </c>
      <c r="K854" t="s">
        <v>14280</v>
      </c>
    </row>
    <row r="855" spans="1:11" ht="230.4" x14ac:dyDescent="0.3">
      <c r="A855" s="4" t="s">
        <v>4289</v>
      </c>
      <c r="B855">
        <v>3</v>
      </c>
      <c r="C855">
        <v>2024</v>
      </c>
      <c r="D855" t="s">
        <v>1912</v>
      </c>
      <c r="E855">
        <v>0</v>
      </c>
      <c r="F855" t="s">
        <v>14281</v>
      </c>
      <c r="G855" t="s">
        <v>14282</v>
      </c>
      <c r="H855" s="4" t="s">
        <v>14283</v>
      </c>
      <c r="I855" t="s">
        <v>71</v>
      </c>
      <c r="J855" t="s">
        <v>10782</v>
      </c>
      <c r="K855" t="s">
        <v>14284</v>
      </c>
    </row>
    <row r="856" spans="1:11" ht="100.8" x14ac:dyDescent="0.3">
      <c r="A856" s="4" t="s">
        <v>4290</v>
      </c>
      <c r="B856">
        <v>3</v>
      </c>
      <c r="C856">
        <v>2024</v>
      </c>
      <c r="D856" t="s">
        <v>14285</v>
      </c>
      <c r="E856">
        <v>3</v>
      </c>
      <c r="F856" t="s">
        <v>14286</v>
      </c>
      <c r="G856" t="s">
        <v>14287</v>
      </c>
      <c r="H856" s="4" t="s">
        <v>14288</v>
      </c>
      <c r="I856" t="s">
        <v>71</v>
      </c>
      <c r="J856" t="s">
        <v>10782</v>
      </c>
      <c r="K856" t="s">
        <v>14289</v>
      </c>
    </row>
    <row r="857" spans="1:11" ht="129.6" x14ac:dyDescent="0.3">
      <c r="A857" s="4" t="s">
        <v>4291</v>
      </c>
      <c r="B857">
        <v>3</v>
      </c>
      <c r="C857">
        <v>2024</v>
      </c>
      <c r="D857" t="s">
        <v>964</v>
      </c>
      <c r="E857">
        <v>1</v>
      </c>
      <c r="F857" t="s">
        <v>14290</v>
      </c>
      <c r="G857" t="s">
        <v>14291</v>
      </c>
      <c r="H857" s="4" t="s">
        <v>14292</v>
      </c>
      <c r="I857" t="s">
        <v>71</v>
      </c>
      <c r="J857" t="s">
        <v>10782</v>
      </c>
      <c r="K857" t="s">
        <v>14293</v>
      </c>
    </row>
    <row r="858" spans="1:11" ht="201.6" x14ac:dyDescent="0.3">
      <c r="A858" s="4" t="s">
        <v>664</v>
      </c>
      <c r="B858">
        <v>1</v>
      </c>
      <c r="C858">
        <v>2024</v>
      </c>
      <c r="D858" t="s">
        <v>665</v>
      </c>
      <c r="E858">
        <v>0</v>
      </c>
      <c r="F858" t="s">
        <v>14294</v>
      </c>
      <c r="G858" t="s">
        <v>14295</v>
      </c>
      <c r="H858" s="4" t="s">
        <v>14296</v>
      </c>
      <c r="I858" t="s">
        <v>71</v>
      </c>
      <c r="J858" t="s">
        <v>10782</v>
      </c>
      <c r="K858" t="s">
        <v>14297</v>
      </c>
    </row>
    <row r="859" spans="1:11" ht="316.8" x14ac:dyDescent="0.3">
      <c r="A859" s="4" t="s">
        <v>4292</v>
      </c>
      <c r="B859">
        <v>3</v>
      </c>
      <c r="C859">
        <v>2024</v>
      </c>
      <c r="D859" t="s">
        <v>14216</v>
      </c>
      <c r="E859">
        <v>1</v>
      </c>
      <c r="F859" t="s">
        <v>14298</v>
      </c>
      <c r="G859" t="s">
        <v>14299</v>
      </c>
      <c r="H859" s="4" t="s">
        <v>14300</v>
      </c>
      <c r="I859" t="s">
        <v>71</v>
      </c>
      <c r="J859" t="s">
        <v>10782</v>
      </c>
      <c r="K859" t="s">
        <v>14301</v>
      </c>
    </row>
    <row r="860" spans="1:11" ht="230.4" x14ac:dyDescent="0.3">
      <c r="A860" s="4" t="s">
        <v>4293</v>
      </c>
      <c r="B860">
        <v>3</v>
      </c>
      <c r="C860">
        <v>2024</v>
      </c>
      <c r="D860" t="s">
        <v>1438</v>
      </c>
      <c r="E860">
        <v>1</v>
      </c>
      <c r="F860" t="s">
        <v>14302</v>
      </c>
      <c r="G860" t="s">
        <v>14303</v>
      </c>
      <c r="H860" s="4" t="s">
        <v>14304</v>
      </c>
      <c r="I860" t="s">
        <v>71</v>
      </c>
      <c r="J860" t="s">
        <v>10782</v>
      </c>
      <c r="K860" t="s">
        <v>14305</v>
      </c>
    </row>
    <row r="861" spans="1:11" ht="230.4" x14ac:dyDescent="0.3">
      <c r="A861" s="4" t="s">
        <v>4294</v>
      </c>
      <c r="B861">
        <v>3</v>
      </c>
      <c r="C861">
        <v>2024</v>
      </c>
      <c r="D861" t="s">
        <v>14224</v>
      </c>
      <c r="E861">
        <v>0</v>
      </c>
      <c r="F861" t="s">
        <v>14306</v>
      </c>
      <c r="G861" t="s">
        <v>14307</v>
      </c>
      <c r="H861" s="4" t="s">
        <v>14308</v>
      </c>
      <c r="I861" t="s">
        <v>71</v>
      </c>
      <c r="J861" t="s">
        <v>10782</v>
      </c>
      <c r="K861" t="s">
        <v>14309</v>
      </c>
    </row>
    <row r="862" spans="1:11" ht="187.2" x14ac:dyDescent="0.3">
      <c r="A862" s="4" t="s">
        <v>4295</v>
      </c>
      <c r="B862">
        <v>3</v>
      </c>
      <c r="C862">
        <v>2024</v>
      </c>
      <c r="D862" t="s">
        <v>14310</v>
      </c>
      <c r="E862">
        <v>0</v>
      </c>
      <c r="F862" t="s">
        <v>14311</v>
      </c>
      <c r="G862" t="s">
        <v>14312</v>
      </c>
      <c r="H862" s="4" t="s">
        <v>14313</v>
      </c>
      <c r="I862" t="s">
        <v>71</v>
      </c>
      <c r="J862" t="s">
        <v>10782</v>
      </c>
      <c r="K862" t="s">
        <v>14314</v>
      </c>
    </row>
    <row r="863" spans="1:11" ht="172.8" x14ac:dyDescent="0.3">
      <c r="A863" s="4" t="s">
        <v>4296</v>
      </c>
      <c r="B863">
        <v>3</v>
      </c>
      <c r="C863">
        <v>2024</v>
      </c>
      <c r="D863" t="s">
        <v>14315</v>
      </c>
      <c r="E863">
        <v>0</v>
      </c>
      <c r="F863" t="s">
        <v>14316</v>
      </c>
      <c r="G863" t="s">
        <v>14317</v>
      </c>
      <c r="H863" s="4" t="s">
        <v>14318</v>
      </c>
      <c r="I863" t="s">
        <v>71</v>
      </c>
      <c r="J863" t="s">
        <v>10782</v>
      </c>
      <c r="K863" t="s">
        <v>14319</v>
      </c>
    </row>
    <row r="864" spans="1:11" ht="201.6" x14ac:dyDescent="0.3">
      <c r="A864" s="4" t="s">
        <v>4297</v>
      </c>
      <c r="B864">
        <v>3</v>
      </c>
      <c r="C864">
        <v>2024</v>
      </c>
      <c r="D864" t="s">
        <v>14320</v>
      </c>
      <c r="E864">
        <v>0</v>
      </c>
      <c r="F864" t="s">
        <v>14321</v>
      </c>
      <c r="G864" t="s">
        <v>14322</v>
      </c>
      <c r="H864" s="4" t="s">
        <v>14323</v>
      </c>
      <c r="I864" t="s">
        <v>71</v>
      </c>
      <c r="J864" t="s">
        <v>10782</v>
      </c>
      <c r="K864" t="s">
        <v>14324</v>
      </c>
    </row>
    <row r="865" spans="1:11" ht="158.4" x14ac:dyDescent="0.3">
      <c r="A865" s="4" t="s">
        <v>4298</v>
      </c>
      <c r="B865">
        <v>3</v>
      </c>
      <c r="C865">
        <v>2024</v>
      </c>
      <c r="D865" t="s">
        <v>14325</v>
      </c>
      <c r="E865">
        <v>0</v>
      </c>
      <c r="F865" t="s">
        <v>14326</v>
      </c>
      <c r="G865" t="s">
        <v>14327</v>
      </c>
      <c r="H865" s="4" t="s">
        <v>14328</v>
      </c>
      <c r="I865" t="s">
        <v>71</v>
      </c>
      <c r="J865" t="s">
        <v>10782</v>
      </c>
      <c r="K865" t="s">
        <v>14329</v>
      </c>
    </row>
    <row r="866" spans="1:11" ht="158.4" x14ac:dyDescent="0.3">
      <c r="A866" s="4" t="s">
        <v>2544</v>
      </c>
      <c r="B866">
        <v>2</v>
      </c>
      <c r="C866">
        <v>2024</v>
      </c>
      <c r="D866" t="s">
        <v>964</v>
      </c>
      <c r="E866">
        <v>3</v>
      </c>
      <c r="F866" t="s">
        <v>14330</v>
      </c>
      <c r="G866" t="s">
        <v>14331</v>
      </c>
      <c r="H866" s="4" t="s">
        <v>14332</v>
      </c>
      <c r="I866" t="s">
        <v>71</v>
      </c>
      <c r="J866" t="s">
        <v>10782</v>
      </c>
      <c r="K866" t="s">
        <v>14333</v>
      </c>
    </row>
    <row r="867" spans="1:11" ht="158.4" x14ac:dyDescent="0.3">
      <c r="A867" s="4" t="s">
        <v>4299</v>
      </c>
      <c r="B867">
        <v>3</v>
      </c>
      <c r="C867">
        <v>2024</v>
      </c>
      <c r="D867" t="s">
        <v>13756</v>
      </c>
      <c r="E867">
        <v>0</v>
      </c>
      <c r="F867" t="s">
        <v>14334</v>
      </c>
      <c r="G867" t="s">
        <v>14335</v>
      </c>
      <c r="H867" s="4" t="s">
        <v>14336</v>
      </c>
      <c r="I867" t="s">
        <v>71</v>
      </c>
      <c r="J867" t="s">
        <v>10782</v>
      </c>
      <c r="K867" t="s">
        <v>14337</v>
      </c>
    </row>
    <row r="868" spans="1:11" ht="158.4" x14ac:dyDescent="0.3">
      <c r="A868" s="4" t="s">
        <v>4300</v>
      </c>
      <c r="B868">
        <v>3</v>
      </c>
      <c r="C868">
        <v>2024</v>
      </c>
      <c r="D868" t="s">
        <v>918</v>
      </c>
      <c r="E868">
        <v>0</v>
      </c>
      <c r="F868" t="s">
        <v>14338</v>
      </c>
      <c r="G868" t="s">
        <v>14339</v>
      </c>
      <c r="H868" s="4" t="s">
        <v>14340</v>
      </c>
      <c r="I868" t="s">
        <v>71</v>
      </c>
      <c r="J868" t="s">
        <v>10782</v>
      </c>
      <c r="K868" t="s">
        <v>14341</v>
      </c>
    </row>
    <row r="869" spans="1:11" ht="144" x14ac:dyDescent="0.3">
      <c r="A869" s="4" t="s">
        <v>3499</v>
      </c>
      <c r="B869">
        <v>2</v>
      </c>
      <c r="C869">
        <v>2024</v>
      </c>
      <c r="D869" t="s">
        <v>363</v>
      </c>
      <c r="E869">
        <v>4</v>
      </c>
      <c r="F869" t="s">
        <v>14342</v>
      </c>
      <c r="G869" t="s">
        <v>14343</v>
      </c>
      <c r="H869" s="4" t="s">
        <v>14344</v>
      </c>
      <c r="I869" t="s">
        <v>71</v>
      </c>
      <c r="J869" t="s">
        <v>10782</v>
      </c>
      <c r="K869" t="s">
        <v>14345</v>
      </c>
    </row>
    <row r="870" spans="1:11" ht="158.4" x14ac:dyDescent="0.3">
      <c r="A870" s="4" t="s">
        <v>4301</v>
      </c>
      <c r="B870">
        <v>3</v>
      </c>
      <c r="C870">
        <v>2024</v>
      </c>
      <c r="D870" t="s">
        <v>14346</v>
      </c>
      <c r="E870">
        <v>1</v>
      </c>
      <c r="F870" t="s">
        <v>14347</v>
      </c>
      <c r="G870" t="s">
        <v>14348</v>
      </c>
      <c r="H870" s="4" t="s">
        <v>14349</v>
      </c>
      <c r="I870" t="s">
        <v>71</v>
      </c>
      <c r="J870" t="s">
        <v>10782</v>
      </c>
      <c r="K870" t="s">
        <v>14350</v>
      </c>
    </row>
    <row r="871" spans="1:11" ht="201.6" x14ac:dyDescent="0.3">
      <c r="A871" s="4" t="s">
        <v>4302</v>
      </c>
      <c r="B871">
        <v>3</v>
      </c>
      <c r="C871">
        <v>2024</v>
      </c>
      <c r="D871" t="s">
        <v>11432</v>
      </c>
      <c r="E871">
        <v>1</v>
      </c>
      <c r="F871" t="s">
        <v>14351</v>
      </c>
      <c r="G871" t="s">
        <v>14352</v>
      </c>
      <c r="H871" s="4" t="s">
        <v>14353</v>
      </c>
      <c r="I871" t="s">
        <v>71</v>
      </c>
      <c r="J871" t="s">
        <v>10782</v>
      </c>
      <c r="K871" t="s">
        <v>14354</v>
      </c>
    </row>
    <row r="872" spans="1:11" ht="158.4" x14ac:dyDescent="0.3">
      <c r="A872" s="4" t="s">
        <v>4303</v>
      </c>
      <c r="B872">
        <v>3</v>
      </c>
      <c r="C872">
        <v>2024</v>
      </c>
      <c r="D872" t="s">
        <v>14147</v>
      </c>
      <c r="E872">
        <v>0</v>
      </c>
      <c r="F872" t="s">
        <v>14355</v>
      </c>
      <c r="G872" t="s">
        <v>14356</v>
      </c>
      <c r="H872" s="4" t="s">
        <v>14357</v>
      </c>
      <c r="I872" t="s">
        <v>71</v>
      </c>
      <c r="J872" t="s">
        <v>10782</v>
      </c>
      <c r="K872" t="s">
        <v>14358</v>
      </c>
    </row>
    <row r="873" spans="1:11" ht="144" x14ac:dyDescent="0.3">
      <c r="A873" s="4" t="s">
        <v>4304</v>
      </c>
      <c r="B873">
        <v>3</v>
      </c>
      <c r="C873">
        <v>2024</v>
      </c>
      <c r="D873" t="s">
        <v>11585</v>
      </c>
      <c r="E873">
        <v>0</v>
      </c>
      <c r="F873" t="s">
        <v>14359</v>
      </c>
      <c r="G873" t="s">
        <v>14360</v>
      </c>
      <c r="H873" s="4" t="s">
        <v>14361</v>
      </c>
      <c r="I873" t="s">
        <v>71</v>
      </c>
      <c r="J873" t="s">
        <v>10782</v>
      </c>
      <c r="K873" t="s">
        <v>14362</v>
      </c>
    </row>
    <row r="874" spans="1:11" ht="86.4" x14ac:dyDescent="0.3">
      <c r="A874" s="4" t="s">
        <v>4305</v>
      </c>
      <c r="B874">
        <v>3</v>
      </c>
      <c r="C874">
        <v>2024</v>
      </c>
      <c r="D874" t="s">
        <v>14363</v>
      </c>
      <c r="E874">
        <v>1</v>
      </c>
      <c r="F874" t="s">
        <v>14364</v>
      </c>
      <c r="G874" t="s">
        <v>14365</v>
      </c>
      <c r="H874" s="4" t="s">
        <v>14366</v>
      </c>
    </row>
    <row r="875" spans="1:11" ht="244.8" x14ac:dyDescent="0.3">
      <c r="A875" s="4" t="s">
        <v>4306</v>
      </c>
      <c r="B875">
        <v>3</v>
      </c>
      <c r="C875">
        <v>2024</v>
      </c>
      <c r="D875" t="s">
        <v>13816</v>
      </c>
      <c r="E875">
        <v>1</v>
      </c>
      <c r="F875" t="s">
        <v>14367</v>
      </c>
      <c r="G875" t="s">
        <v>14368</v>
      </c>
      <c r="H875" s="4" t="s">
        <v>14369</v>
      </c>
      <c r="I875" t="s">
        <v>71</v>
      </c>
      <c r="J875" t="s">
        <v>10782</v>
      </c>
      <c r="K875" t="s">
        <v>14370</v>
      </c>
    </row>
    <row r="876" spans="1:11" ht="172.8" x14ac:dyDescent="0.3">
      <c r="A876" s="4" t="s">
        <v>4307</v>
      </c>
      <c r="B876">
        <v>3</v>
      </c>
      <c r="C876">
        <v>2024</v>
      </c>
      <c r="D876" t="s">
        <v>622</v>
      </c>
      <c r="E876">
        <v>0</v>
      </c>
      <c r="F876" t="s">
        <v>14371</v>
      </c>
      <c r="G876" t="s">
        <v>14372</v>
      </c>
      <c r="H876" s="4" t="s">
        <v>14373</v>
      </c>
      <c r="I876" t="s">
        <v>71</v>
      </c>
      <c r="J876" t="s">
        <v>10782</v>
      </c>
      <c r="K876" t="s">
        <v>14374</v>
      </c>
    </row>
    <row r="877" spans="1:11" ht="172.8" x14ac:dyDescent="0.3">
      <c r="A877" s="4" t="s">
        <v>4308</v>
      </c>
      <c r="B877">
        <v>3</v>
      </c>
      <c r="C877">
        <v>2024</v>
      </c>
      <c r="D877" t="s">
        <v>14375</v>
      </c>
      <c r="E877">
        <v>2</v>
      </c>
      <c r="F877" t="s">
        <v>14376</v>
      </c>
      <c r="G877" t="s">
        <v>14377</v>
      </c>
      <c r="H877" s="4" t="s">
        <v>14378</v>
      </c>
      <c r="I877" t="s">
        <v>71</v>
      </c>
      <c r="J877" t="s">
        <v>10782</v>
      </c>
      <c r="K877" t="s">
        <v>14379</v>
      </c>
    </row>
    <row r="878" spans="1:11" ht="115.2" x14ac:dyDescent="0.3">
      <c r="A878" s="4" t="s">
        <v>3220</v>
      </c>
      <c r="B878">
        <v>1</v>
      </c>
      <c r="C878">
        <v>2024</v>
      </c>
      <c r="D878" t="s">
        <v>14380</v>
      </c>
      <c r="E878">
        <v>0</v>
      </c>
      <c r="F878" t="s">
        <v>14381</v>
      </c>
      <c r="G878" t="s">
        <v>14382</v>
      </c>
      <c r="H878" s="4" t="s">
        <v>14383</v>
      </c>
      <c r="I878" t="s">
        <v>71</v>
      </c>
      <c r="J878" t="s">
        <v>10782</v>
      </c>
      <c r="K878" t="s">
        <v>14384</v>
      </c>
    </row>
    <row r="879" spans="1:11" ht="115.2" x14ac:dyDescent="0.3">
      <c r="A879" s="4" t="s">
        <v>4309</v>
      </c>
      <c r="B879">
        <v>3</v>
      </c>
      <c r="C879">
        <v>2024</v>
      </c>
      <c r="D879" t="s">
        <v>11495</v>
      </c>
      <c r="E879">
        <v>0</v>
      </c>
      <c r="F879" t="s">
        <v>14385</v>
      </c>
      <c r="G879" t="s">
        <v>14386</v>
      </c>
      <c r="H879" s="4" t="s">
        <v>14387</v>
      </c>
      <c r="I879" t="s">
        <v>71</v>
      </c>
      <c r="J879" t="s">
        <v>10782</v>
      </c>
      <c r="K879" t="s">
        <v>14388</v>
      </c>
    </row>
    <row r="880" spans="1:11" ht="115.2" x14ac:dyDescent="0.3">
      <c r="A880" s="4" t="s">
        <v>4310</v>
      </c>
      <c r="B880">
        <v>3</v>
      </c>
      <c r="C880">
        <v>2024</v>
      </c>
      <c r="D880" t="s">
        <v>14389</v>
      </c>
      <c r="E880">
        <v>0</v>
      </c>
      <c r="F880" t="s">
        <v>14390</v>
      </c>
      <c r="G880" t="s">
        <v>14391</v>
      </c>
      <c r="H880" s="4" t="s">
        <v>14392</v>
      </c>
      <c r="I880" t="s">
        <v>71</v>
      </c>
      <c r="J880" t="s">
        <v>10782</v>
      </c>
      <c r="K880" t="s">
        <v>14393</v>
      </c>
    </row>
    <row r="881" spans="1:11" ht="172.8" x14ac:dyDescent="0.3">
      <c r="A881" s="4" t="s">
        <v>4311</v>
      </c>
      <c r="B881">
        <v>3</v>
      </c>
      <c r="C881">
        <v>2024</v>
      </c>
      <c r="D881" t="s">
        <v>14394</v>
      </c>
      <c r="E881">
        <v>0</v>
      </c>
      <c r="F881" t="s">
        <v>14395</v>
      </c>
      <c r="G881" t="s">
        <v>14396</v>
      </c>
      <c r="H881" s="4" t="s">
        <v>14397</v>
      </c>
      <c r="I881" t="s">
        <v>71</v>
      </c>
      <c r="J881" t="s">
        <v>10782</v>
      </c>
      <c r="K881" t="s">
        <v>14398</v>
      </c>
    </row>
    <row r="882" spans="1:11" ht="100.8" x14ac:dyDescent="0.3">
      <c r="A882" s="4" t="s">
        <v>4312</v>
      </c>
      <c r="B882">
        <v>3</v>
      </c>
      <c r="C882">
        <v>2024</v>
      </c>
      <c r="D882" t="s">
        <v>1088</v>
      </c>
      <c r="E882">
        <v>2</v>
      </c>
      <c r="F882" t="s">
        <v>14399</v>
      </c>
      <c r="G882" t="s">
        <v>14400</v>
      </c>
      <c r="H882" s="4" t="s">
        <v>14401</v>
      </c>
    </row>
    <row r="883" spans="1:11" ht="244.8" x14ac:dyDescent="0.3">
      <c r="A883" s="4" t="s">
        <v>4313</v>
      </c>
      <c r="B883">
        <v>3</v>
      </c>
      <c r="C883">
        <v>2024</v>
      </c>
      <c r="D883" t="s">
        <v>2628</v>
      </c>
      <c r="E883">
        <v>2</v>
      </c>
      <c r="F883" t="s">
        <v>14402</v>
      </c>
      <c r="G883" t="s">
        <v>14403</v>
      </c>
      <c r="H883" s="4" t="s">
        <v>14404</v>
      </c>
      <c r="I883" t="s">
        <v>71</v>
      </c>
      <c r="J883" t="s">
        <v>10782</v>
      </c>
      <c r="K883" t="s">
        <v>14405</v>
      </c>
    </row>
    <row r="884" spans="1:11" ht="115.2" x14ac:dyDescent="0.3">
      <c r="A884" s="4" t="s">
        <v>4314</v>
      </c>
      <c r="B884">
        <v>3</v>
      </c>
      <c r="C884">
        <v>2024</v>
      </c>
      <c r="D884" t="s">
        <v>14168</v>
      </c>
      <c r="E884">
        <v>0</v>
      </c>
      <c r="F884" t="s">
        <v>14406</v>
      </c>
      <c r="G884" t="s">
        <v>14407</v>
      </c>
      <c r="H884" s="4" t="s">
        <v>14408</v>
      </c>
      <c r="I884" t="s">
        <v>71</v>
      </c>
      <c r="J884" t="s">
        <v>10782</v>
      </c>
      <c r="K884" t="s">
        <v>14409</v>
      </c>
    </row>
    <row r="885" spans="1:11" ht="144" x14ac:dyDescent="0.3">
      <c r="A885" s="4" t="s">
        <v>4315</v>
      </c>
      <c r="B885">
        <v>3</v>
      </c>
      <c r="C885">
        <v>2024</v>
      </c>
      <c r="D885" t="s">
        <v>14410</v>
      </c>
      <c r="E885">
        <v>0</v>
      </c>
      <c r="F885" t="s">
        <v>14411</v>
      </c>
      <c r="G885" t="s">
        <v>14412</v>
      </c>
      <c r="H885" s="4" t="s">
        <v>14413</v>
      </c>
      <c r="I885" t="s">
        <v>71</v>
      </c>
      <c r="J885" t="s">
        <v>10782</v>
      </c>
      <c r="K885" t="s">
        <v>14414</v>
      </c>
    </row>
    <row r="886" spans="1:11" ht="144" x14ac:dyDescent="0.3">
      <c r="A886" s="4" t="s">
        <v>4316</v>
      </c>
      <c r="B886">
        <v>3</v>
      </c>
      <c r="C886">
        <v>2024</v>
      </c>
      <c r="D886" t="s">
        <v>14415</v>
      </c>
      <c r="E886">
        <v>0</v>
      </c>
      <c r="F886" t="s">
        <v>14416</v>
      </c>
      <c r="G886" t="s">
        <v>14417</v>
      </c>
      <c r="H886" s="4" t="s">
        <v>14418</v>
      </c>
      <c r="I886" t="s">
        <v>71</v>
      </c>
      <c r="J886" t="s">
        <v>10782</v>
      </c>
      <c r="K886" t="s">
        <v>14419</v>
      </c>
    </row>
    <row r="887" spans="1:11" ht="187.2" x14ac:dyDescent="0.3">
      <c r="A887" s="4" t="s">
        <v>4317</v>
      </c>
      <c r="B887">
        <v>3</v>
      </c>
      <c r="C887">
        <v>2024</v>
      </c>
      <c r="D887" t="s">
        <v>657</v>
      </c>
      <c r="E887">
        <v>0</v>
      </c>
      <c r="F887" t="s">
        <v>14420</v>
      </c>
      <c r="G887" t="s">
        <v>14421</v>
      </c>
      <c r="H887" s="4" t="s">
        <v>14422</v>
      </c>
      <c r="I887" t="s">
        <v>71</v>
      </c>
      <c r="J887" t="s">
        <v>10782</v>
      </c>
      <c r="K887" t="s">
        <v>14423</v>
      </c>
    </row>
    <row r="888" spans="1:11" ht="201.6" x14ac:dyDescent="0.3">
      <c r="A888" s="4" t="s">
        <v>4318</v>
      </c>
      <c r="B888">
        <v>3</v>
      </c>
      <c r="C888">
        <v>2024</v>
      </c>
      <c r="D888" t="s">
        <v>11585</v>
      </c>
      <c r="E888">
        <v>0</v>
      </c>
      <c r="F888" t="s">
        <v>14424</v>
      </c>
      <c r="G888" t="s">
        <v>14425</v>
      </c>
      <c r="H888" s="4" t="s">
        <v>14426</v>
      </c>
      <c r="I888" t="s">
        <v>71</v>
      </c>
      <c r="J888" t="s">
        <v>10782</v>
      </c>
      <c r="K888" t="s">
        <v>14427</v>
      </c>
    </row>
    <row r="889" spans="1:11" ht="259.2" x14ac:dyDescent="0.3">
      <c r="A889" s="4" t="s">
        <v>4319</v>
      </c>
      <c r="B889">
        <v>3</v>
      </c>
      <c r="C889">
        <v>2024</v>
      </c>
      <c r="D889" t="s">
        <v>264</v>
      </c>
      <c r="E889">
        <v>0</v>
      </c>
      <c r="F889" t="s">
        <v>14428</v>
      </c>
      <c r="G889" t="s">
        <v>14429</v>
      </c>
      <c r="H889" s="4" t="s">
        <v>14430</v>
      </c>
      <c r="I889" t="s">
        <v>71</v>
      </c>
      <c r="J889" t="s">
        <v>10782</v>
      </c>
      <c r="K889" t="s">
        <v>14431</v>
      </c>
    </row>
    <row r="890" spans="1:11" ht="216" x14ac:dyDescent="0.3">
      <c r="A890" s="4" t="s">
        <v>3221</v>
      </c>
      <c r="B890">
        <v>1</v>
      </c>
      <c r="C890">
        <v>2024</v>
      </c>
      <c r="D890" t="s">
        <v>11276</v>
      </c>
      <c r="E890">
        <v>0</v>
      </c>
      <c r="F890" t="s">
        <v>14432</v>
      </c>
      <c r="G890" t="s">
        <v>14433</v>
      </c>
      <c r="H890" s="4" t="s">
        <v>14434</v>
      </c>
      <c r="I890" t="s">
        <v>71</v>
      </c>
      <c r="J890" t="s">
        <v>10782</v>
      </c>
      <c r="K890" t="s">
        <v>14435</v>
      </c>
    </row>
    <row r="891" spans="1:11" ht="201.6" x14ac:dyDescent="0.3">
      <c r="A891" s="4" t="s">
        <v>4320</v>
      </c>
      <c r="B891">
        <v>3</v>
      </c>
      <c r="C891">
        <v>2024</v>
      </c>
      <c r="D891" t="s">
        <v>14436</v>
      </c>
      <c r="E891">
        <v>0</v>
      </c>
      <c r="F891" t="s">
        <v>14437</v>
      </c>
      <c r="G891" t="s">
        <v>14438</v>
      </c>
      <c r="H891" s="4" t="s">
        <v>14439</v>
      </c>
      <c r="I891" t="s">
        <v>71</v>
      </c>
      <c r="J891" t="s">
        <v>10782</v>
      </c>
      <c r="K891" t="s">
        <v>14440</v>
      </c>
    </row>
    <row r="892" spans="1:11" ht="360" x14ac:dyDescent="0.3">
      <c r="A892" s="4" t="s">
        <v>4321</v>
      </c>
      <c r="B892">
        <v>3</v>
      </c>
      <c r="C892">
        <v>2024</v>
      </c>
      <c r="D892" t="s">
        <v>14102</v>
      </c>
      <c r="E892">
        <v>0</v>
      </c>
      <c r="F892" t="s">
        <v>14441</v>
      </c>
      <c r="G892" t="s">
        <v>14442</v>
      </c>
      <c r="H892" s="4" t="s">
        <v>14443</v>
      </c>
    </row>
    <row r="893" spans="1:11" ht="28.8" x14ac:dyDescent="0.3">
      <c r="A893" s="4" t="s">
        <v>4322</v>
      </c>
      <c r="B893">
        <v>3</v>
      </c>
      <c r="C893">
        <v>2024</v>
      </c>
      <c r="D893" t="s">
        <v>1912</v>
      </c>
      <c r="E893">
        <v>1</v>
      </c>
      <c r="F893" t="s">
        <v>14444</v>
      </c>
      <c r="G893" t="s">
        <v>14445</v>
      </c>
      <c r="H893" s="4" t="s">
        <v>14446</v>
      </c>
    </row>
    <row r="894" spans="1:11" ht="302.39999999999998" x14ac:dyDescent="0.3">
      <c r="A894" s="4" t="s">
        <v>4323</v>
      </c>
      <c r="B894">
        <v>3</v>
      </c>
      <c r="C894">
        <v>2024</v>
      </c>
      <c r="D894" t="s">
        <v>14447</v>
      </c>
      <c r="E894">
        <v>1</v>
      </c>
      <c r="F894" t="s">
        <v>14448</v>
      </c>
      <c r="G894" t="s">
        <v>14449</v>
      </c>
      <c r="H894" s="4" t="s">
        <v>14450</v>
      </c>
      <c r="I894" t="s">
        <v>71</v>
      </c>
      <c r="J894" t="s">
        <v>10782</v>
      </c>
      <c r="K894" t="s">
        <v>14451</v>
      </c>
    </row>
    <row r="895" spans="1:11" ht="100.8" x14ac:dyDescent="0.3">
      <c r="A895" s="4" t="s">
        <v>3222</v>
      </c>
      <c r="B895">
        <v>1</v>
      </c>
      <c r="C895">
        <v>2024</v>
      </c>
      <c r="D895" t="s">
        <v>363</v>
      </c>
      <c r="E895">
        <v>0</v>
      </c>
      <c r="F895" t="s">
        <v>14452</v>
      </c>
      <c r="G895" t="s">
        <v>14453</v>
      </c>
      <c r="H895" s="4" t="s">
        <v>14454</v>
      </c>
    </row>
    <row r="896" spans="1:11" ht="259.2" x14ac:dyDescent="0.3">
      <c r="A896" s="4" t="s">
        <v>4324</v>
      </c>
      <c r="B896">
        <v>3</v>
      </c>
      <c r="C896">
        <v>2024</v>
      </c>
      <c r="D896" t="s">
        <v>1438</v>
      </c>
      <c r="E896">
        <v>2</v>
      </c>
      <c r="F896" t="s">
        <v>14455</v>
      </c>
      <c r="G896" t="s">
        <v>14456</v>
      </c>
      <c r="H896" s="4" t="s">
        <v>14457</v>
      </c>
      <c r="I896" t="s">
        <v>71</v>
      </c>
      <c r="J896" t="s">
        <v>10782</v>
      </c>
      <c r="K896" t="s">
        <v>14458</v>
      </c>
    </row>
    <row r="897" spans="1:11" ht="187.2" x14ac:dyDescent="0.3">
      <c r="A897" s="4" t="s">
        <v>4325</v>
      </c>
      <c r="B897">
        <v>3</v>
      </c>
      <c r="C897">
        <v>2024</v>
      </c>
      <c r="D897" t="s">
        <v>11585</v>
      </c>
      <c r="E897">
        <v>1</v>
      </c>
      <c r="F897" t="s">
        <v>14459</v>
      </c>
      <c r="G897" t="s">
        <v>14460</v>
      </c>
      <c r="H897" s="4" t="s">
        <v>14461</v>
      </c>
      <c r="I897" t="s">
        <v>71</v>
      </c>
      <c r="J897" t="s">
        <v>10782</v>
      </c>
      <c r="K897" t="s">
        <v>14462</v>
      </c>
    </row>
    <row r="898" spans="1:11" ht="316.8" x14ac:dyDescent="0.3">
      <c r="A898" s="4" t="s">
        <v>4326</v>
      </c>
      <c r="B898">
        <v>3</v>
      </c>
      <c r="C898">
        <v>2024</v>
      </c>
      <c r="D898" t="s">
        <v>622</v>
      </c>
      <c r="E898">
        <v>0</v>
      </c>
      <c r="F898" t="s">
        <v>14463</v>
      </c>
      <c r="G898" t="s">
        <v>14464</v>
      </c>
      <c r="H898" s="4" t="s">
        <v>14465</v>
      </c>
      <c r="I898" t="s">
        <v>71</v>
      </c>
      <c r="J898" t="s">
        <v>10782</v>
      </c>
      <c r="K898" t="s">
        <v>14466</v>
      </c>
    </row>
    <row r="899" spans="1:11" ht="244.8" x14ac:dyDescent="0.3">
      <c r="A899" s="4" t="s">
        <v>4327</v>
      </c>
      <c r="B899">
        <v>3</v>
      </c>
      <c r="C899">
        <v>2024</v>
      </c>
      <c r="D899" t="s">
        <v>11432</v>
      </c>
      <c r="E899">
        <v>0</v>
      </c>
      <c r="F899" t="s">
        <v>14467</v>
      </c>
      <c r="G899" t="s">
        <v>14468</v>
      </c>
      <c r="H899" s="4" t="s">
        <v>14469</v>
      </c>
      <c r="I899" t="s">
        <v>71</v>
      </c>
      <c r="J899" t="s">
        <v>10782</v>
      </c>
      <c r="K899" t="s">
        <v>14470</v>
      </c>
    </row>
    <row r="900" spans="1:11" ht="144" x14ac:dyDescent="0.3">
      <c r="A900" s="4" t="s">
        <v>4328</v>
      </c>
      <c r="B900">
        <v>3</v>
      </c>
      <c r="C900">
        <v>2024</v>
      </c>
      <c r="D900" t="s">
        <v>217</v>
      </c>
      <c r="E900">
        <v>0</v>
      </c>
      <c r="F900" t="s">
        <v>14471</v>
      </c>
      <c r="G900" t="s">
        <v>14472</v>
      </c>
      <c r="H900" s="4" t="s">
        <v>14473</v>
      </c>
      <c r="I900" t="s">
        <v>71</v>
      </c>
      <c r="J900" t="s">
        <v>10782</v>
      </c>
      <c r="K900" t="s">
        <v>14474</v>
      </c>
    </row>
    <row r="901" spans="1:11" ht="201.6" x14ac:dyDescent="0.3">
      <c r="A901" s="4" t="s">
        <v>3500</v>
      </c>
      <c r="B901">
        <v>2</v>
      </c>
      <c r="C901">
        <v>2024</v>
      </c>
      <c r="D901" t="s">
        <v>958</v>
      </c>
      <c r="E901">
        <v>0</v>
      </c>
      <c r="F901" t="s">
        <v>14475</v>
      </c>
      <c r="G901" t="s">
        <v>14476</v>
      </c>
      <c r="H901" s="4" t="s">
        <v>14477</v>
      </c>
      <c r="I901" t="s">
        <v>71</v>
      </c>
      <c r="J901" t="s">
        <v>10782</v>
      </c>
      <c r="K901" t="s">
        <v>14478</v>
      </c>
    </row>
    <row r="902" spans="1:11" ht="158.4" x14ac:dyDescent="0.3">
      <c r="A902" s="4" t="s">
        <v>4329</v>
      </c>
      <c r="B902">
        <v>3</v>
      </c>
      <c r="C902">
        <v>2024</v>
      </c>
      <c r="D902" t="s">
        <v>918</v>
      </c>
      <c r="E902">
        <v>0</v>
      </c>
      <c r="F902" t="s">
        <v>14479</v>
      </c>
      <c r="G902" t="s">
        <v>14480</v>
      </c>
      <c r="H902" s="4" t="s">
        <v>14481</v>
      </c>
      <c r="I902" t="s">
        <v>71</v>
      </c>
      <c r="J902" t="s">
        <v>10782</v>
      </c>
      <c r="K902" t="s">
        <v>14482</v>
      </c>
    </row>
    <row r="903" spans="1:11" ht="158.4" x14ac:dyDescent="0.3">
      <c r="A903" s="4" t="s">
        <v>3223</v>
      </c>
      <c r="B903">
        <v>1</v>
      </c>
      <c r="C903">
        <v>2024</v>
      </c>
      <c r="D903" t="s">
        <v>217</v>
      </c>
      <c r="E903">
        <v>1</v>
      </c>
      <c r="F903" t="s">
        <v>14483</v>
      </c>
      <c r="G903" t="s">
        <v>14484</v>
      </c>
      <c r="H903" s="4" t="s">
        <v>14485</v>
      </c>
      <c r="I903" t="s">
        <v>71</v>
      </c>
      <c r="J903" t="s">
        <v>10782</v>
      </c>
      <c r="K903" t="s">
        <v>14486</v>
      </c>
    </row>
    <row r="904" spans="1:11" ht="230.4" x14ac:dyDescent="0.3">
      <c r="A904" s="4" t="s">
        <v>3501</v>
      </c>
      <c r="B904">
        <v>2</v>
      </c>
      <c r="C904">
        <v>2024</v>
      </c>
      <c r="D904" t="s">
        <v>80</v>
      </c>
      <c r="E904">
        <v>9</v>
      </c>
      <c r="F904" t="s">
        <v>14487</v>
      </c>
      <c r="G904" t="s">
        <v>14488</v>
      </c>
      <c r="H904" s="4" t="s">
        <v>14489</v>
      </c>
    </row>
    <row r="905" spans="1:11" ht="28.8" x14ac:dyDescent="0.3">
      <c r="A905" s="4" t="s">
        <v>4330</v>
      </c>
      <c r="B905">
        <v>3</v>
      </c>
      <c r="C905">
        <v>2024</v>
      </c>
      <c r="D905" t="s">
        <v>14490</v>
      </c>
      <c r="E905">
        <v>2</v>
      </c>
      <c r="F905" t="s">
        <v>14491</v>
      </c>
      <c r="G905" t="s">
        <v>14492</v>
      </c>
    </row>
    <row r="906" spans="1:11" ht="172.8" x14ac:dyDescent="0.3">
      <c r="A906" s="4" t="s">
        <v>4331</v>
      </c>
      <c r="B906">
        <v>3</v>
      </c>
      <c r="C906">
        <v>2024</v>
      </c>
      <c r="D906" t="s">
        <v>2585</v>
      </c>
      <c r="E906">
        <v>2</v>
      </c>
      <c r="F906" t="s">
        <v>14493</v>
      </c>
      <c r="G906" t="s">
        <v>14494</v>
      </c>
      <c r="H906" s="4" t="s">
        <v>14495</v>
      </c>
      <c r="I906" t="s">
        <v>71</v>
      </c>
      <c r="J906" t="s">
        <v>10782</v>
      </c>
      <c r="K906" t="s">
        <v>14496</v>
      </c>
    </row>
    <row r="907" spans="1:11" ht="331.2" x14ac:dyDescent="0.3">
      <c r="A907" s="4" t="s">
        <v>4332</v>
      </c>
      <c r="B907">
        <v>3</v>
      </c>
      <c r="C907">
        <v>2024</v>
      </c>
      <c r="D907" t="s">
        <v>14216</v>
      </c>
      <c r="E907">
        <v>3</v>
      </c>
      <c r="F907" t="s">
        <v>14497</v>
      </c>
      <c r="G907" t="s">
        <v>14498</v>
      </c>
      <c r="H907" s="4" t="s">
        <v>14499</v>
      </c>
    </row>
    <row r="908" spans="1:11" ht="129.6" x14ac:dyDescent="0.3">
      <c r="A908" s="4" t="s">
        <v>4333</v>
      </c>
      <c r="B908">
        <v>3</v>
      </c>
      <c r="C908">
        <v>2024</v>
      </c>
      <c r="D908" t="s">
        <v>12593</v>
      </c>
      <c r="E908">
        <v>0</v>
      </c>
      <c r="F908" t="s">
        <v>14500</v>
      </c>
      <c r="G908" t="s">
        <v>14501</v>
      </c>
      <c r="H908" s="4" t="s">
        <v>14502</v>
      </c>
      <c r="I908" t="s">
        <v>71</v>
      </c>
      <c r="J908" t="s">
        <v>10782</v>
      </c>
      <c r="K908" t="s">
        <v>14503</v>
      </c>
    </row>
    <row r="909" spans="1:11" ht="115.2" x14ac:dyDescent="0.3">
      <c r="A909" s="4" t="s">
        <v>4334</v>
      </c>
      <c r="B909">
        <v>3</v>
      </c>
      <c r="C909">
        <v>2024</v>
      </c>
      <c r="D909" t="s">
        <v>679</v>
      </c>
      <c r="E909">
        <v>7</v>
      </c>
      <c r="F909" t="s">
        <v>14504</v>
      </c>
      <c r="G909" t="s">
        <v>14505</v>
      </c>
      <c r="H909" s="4" t="s">
        <v>14506</v>
      </c>
      <c r="I909" t="s">
        <v>71</v>
      </c>
      <c r="J909" t="s">
        <v>10782</v>
      </c>
      <c r="K909" t="s">
        <v>14507</v>
      </c>
    </row>
    <row r="910" spans="1:11" ht="144" x14ac:dyDescent="0.3">
      <c r="A910" s="4" t="s">
        <v>4335</v>
      </c>
      <c r="B910">
        <v>3</v>
      </c>
      <c r="C910">
        <v>2024</v>
      </c>
      <c r="D910" t="s">
        <v>80</v>
      </c>
      <c r="E910">
        <v>2</v>
      </c>
      <c r="F910" t="s">
        <v>14508</v>
      </c>
      <c r="G910" t="s">
        <v>14509</v>
      </c>
      <c r="H910" s="4" t="s">
        <v>14510</v>
      </c>
      <c r="I910" t="s">
        <v>71</v>
      </c>
      <c r="J910" t="s">
        <v>10782</v>
      </c>
      <c r="K910" t="s">
        <v>14511</v>
      </c>
    </row>
    <row r="911" spans="1:11" ht="201.6" x14ac:dyDescent="0.3">
      <c r="A911" s="4" t="s">
        <v>4336</v>
      </c>
      <c r="B911">
        <v>3</v>
      </c>
      <c r="C911">
        <v>2024</v>
      </c>
      <c r="D911" t="s">
        <v>14512</v>
      </c>
      <c r="E911">
        <v>1</v>
      </c>
      <c r="F911" t="s">
        <v>14513</v>
      </c>
      <c r="G911" t="s">
        <v>14514</v>
      </c>
      <c r="H911" s="4" t="s">
        <v>14515</v>
      </c>
      <c r="I911" t="s">
        <v>71</v>
      </c>
      <c r="J911" t="s">
        <v>10782</v>
      </c>
      <c r="K911" t="s">
        <v>14516</v>
      </c>
    </row>
    <row r="912" spans="1:11" ht="172.8" x14ac:dyDescent="0.3">
      <c r="A912" s="4" t="s">
        <v>4337</v>
      </c>
      <c r="B912">
        <v>3</v>
      </c>
      <c r="C912">
        <v>2024</v>
      </c>
      <c r="D912" t="s">
        <v>14517</v>
      </c>
      <c r="E912">
        <v>0</v>
      </c>
      <c r="F912" t="s">
        <v>14518</v>
      </c>
      <c r="G912" t="s">
        <v>14519</v>
      </c>
      <c r="H912" s="4" t="s">
        <v>14520</v>
      </c>
      <c r="I912" t="s">
        <v>71</v>
      </c>
      <c r="J912" t="s">
        <v>10782</v>
      </c>
      <c r="K912" t="s">
        <v>14521</v>
      </c>
    </row>
    <row r="913" spans="1:11" ht="216" x14ac:dyDescent="0.3">
      <c r="A913" s="4" t="s">
        <v>4338</v>
      </c>
      <c r="B913">
        <v>3</v>
      </c>
      <c r="C913">
        <v>2024</v>
      </c>
      <c r="D913" t="s">
        <v>14512</v>
      </c>
      <c r="E913">
        <v>5</v>
      </c>
      <c r="F913" t="s">
        <v>14522</v>
      </c>
      <c r="G913" t="s">
        <v>14523</v>
      </c>
      <c r="H913" s="4" t="s">
        <v>14524</v>
      </c>
      <c r="I913" t="s">
        <v>71</v>
      </c>
      <c r="J913" t="s">
        <v>10782</v>
      </c>
      <c r="K913" t="s">
        <v>14525</v>
      </c>
    </row>
    <row r="914" spans="1:11" ht="345.6" x14ac:dyDescent="0.3">
      <c r="A914" s="4" t="s">
        <v>4339</v>
      </c>
      <c r="B914">
        <v>3</v>
      </c>
      <c r="C914">
        <v>2024</v>
      </c>
      <c r="D914" t="s">
        <v>1530</v>
      </c>
      <c r="E914">
        <v>2</v>
      </c>
      <c r="F914" t="s">
        <v>14526</v>
      </c>
      <c r="G914" t="s">
        <v>14527</v>
      </c>
      <c r="H914" s="4" t="s">
        <v>14528</v>
      </c>
      <c r="I914" t="s">
        <v>71</v>
      </c>
      <c r="J914" t="s">
        <v>10782</v>
      </c>
      <c r="K914" t="s">
        <v>14529</v>
      </c>
    </row>
    <row r="915" spans="1:11" ht="86.4" x14ac:dyDescent="0.3">
      <c r="A915" s="4" t="s">
        <v>4340</v>
      </c>
      <c r="B915">
        <v>3</v>
      </c>
      <c r="C915">
        <v>2024</v>
      </c>
      <c r="D915" t="s">
        <v>1841</v>
      </c>
      <c r="E915">
        <v>1</v>
      </c>
      <c r="F915" t="s">
        <v>14530</v>
      </c>
      <c r="G915" t="s">
        <v>14531</v>
      </c>
      <c r="H915" s="4" t="s">
        <v>14532</v>
      </c>
    </row>
    <row r="916" spans="1:11" ht="115.2" x14ac:dyDescent="0.3">
      <c r="A916" s="4" t="s">
        <v>4341</v>
      </c>
      <c r="B916">
        <v>3</v>
      </c>
      <c r="C916">
        <v>2024</v>
      </c>
      <c r="D916" t="s">
        <v>14533</v>
      </c>
      <c r="E916">
        <v>4</v>
      </c>
      <c r="F916" t="s">
        <v>14534</v>
      </c>
      <c r="G916" t="s">
        <v>14535</v>
      </c>
      <c r="H916" s="4" t="s">
        <v>14536</v>
      </c>
      <c r="I916" t="s">
        <v>71</v>
      </c>
      <c r="J916" t="s">
        <v>10782</v>
      </c>
      <c r="K916" t="s">
        <v>14537</v>
      </c>
    </row>
    <row r="917" spans="1:11" ht="216" x14ac:dyDescent="0.3">
      <c r="A917" s="4" t="s">
        <v>4342</v>
      </c>
      <c r="B917">
        <v>3</v>
      </c>
      <c r="C917">
        <v>2024</v>
      </c>
      <c r="D917" t="s">
        <v>10971</v>
      </c>
      <c r="E917">
        <v>5</v>
      </c>
      <c r="F917" t="s">
        <v>14538</v>
      </c>
      <c r="G917" t="s">
        <v>14539</v>
      </c>
      <c r="H917" s="4" t="s">
        <v>14540</v>
      </c>
      <c r="I917" t="s">
        <v>71</v>
      </c>
      <c r="J917" t="s">
        <v>10782</v>
      </c>
      <c r="K917" t="s">
        <v>14541</v>
      </c>
    </row>
    <row r="918" spans="1:11" ht="187.2" x14ac:dyDescent="0.3">
      <c r="A918" s="4" t="s">
        <v>4343</v>
      </c>
      <c r="B918">
        <v>3</v>
      </c>
      <c r="C918">
        <v>2024</v>
      </c>
      <c r="D918" t="s">
        <v>528</v>
      </c>
      <c r="E918">
        <v>1</v>
      </c>
      <c r="F918" t="s">
        <v>14542</v>
      </c>
      <c r="G918" t="s">
        <v>14543</v>
      </c>
      <c r="H918" s="4" t="s">
        <v>14544</v>
      </c>
    </row>
    <row r="919" spans="1:11" ht="187.2" x14ac:dyDescent="0.3">
      <c r="A919" s="4" t="s">
        <v>4344</v>
      </c>
      <c r="B919">
        <v>3</v>
      </c>
      <c r="C919">
        <v>2024</v>
      </c>
      <c r="D919" t="s">
        <v>2361</v>
      </c>
      <c r="E919">
        <v>18</v>
      </c>
      <c r="F919" t="s">
        <v>14545</v>
      </c>
      <c r="G919" t="s">
        <v>14546</v>
      </c>
      <c r="H919" s="4" t="s">
        <v>14547</v>
      </c>
      <c r="I919" t="s">
        <v>71</v>
      </c>
      <c r="J919" t="s">
        <v>10782</v>
      </c>
      <c r="K919" t="s">
        <v>14548</v>
      </c>
    </row>
    <row r="920" spans="1:11" ht="158.4" x14ac:dyDescent="0.3">
      <c r="A920" s="4" t="s">
        <v>4345</v>
      </c>
      <c r="B920">
        <v>3</v>
      </c>
      <c r="C920">
        <v>2024</v>
      </c>
      <c r="D920" t="s">
        <v>657</v>
      </c>
      <c r="E920">
        <v>14</v>
      </c>
      <c r="F920" t="s">
        <v>14549</v>
      </c>
      <c r="G920" t="s">
        <v>14550</v>
      </c>
      <c r="H920" s="4" t="s">
        <v>14551</v>
      </c>
      <c r="I920" t="s">
        <v>71</v>
      </c>
      <c r="J920" t="s">
        <v>10782</v>
      </c>
      <c r="K920" t="s">
        <v>14552</v>
      </c>
    </row>
    <row r="921" spans="1:11" ht="158.4" x14ac:dyDescent="0.3">
      <c r="A921" s="4" t="s">
        <v>4346</v>
      </c>
      <c r="B921">
        <v>3</v>
      </c>
      <c r="C921">
        <v>2024</v>
      </c>
      <c r="D921" t="s">
        <v>14553</v>
      </c>
      <c r="E921">
        <v>2</v>
      </c>
      <c r="F921" t="s">
        <v>14554</v>
      </c>
      <c r="G921" t="s">
        <v>14555</v>
      </c>
      <c r="H921" s="4" t="s">
        <v>14556</v>
      </c>
    </row>
    <row r="922" spans="1:11" ht="172.8" x14ac:dyDescent="0.3">
      <c r="A922" s="4" t="s">
        <v>4347</v>
      </c>
      <c r="B922">
        <v>3</v>
      </c>
      <c r="C922">
        <v>2024</v>
      </c>
      <c r="D922" t="s">
        <v>637</v>
      </c>
      <c r="E922">
        <v>11</v>
      </c>
      <c r="F922" t="s">
        <v>14557</v>
      </c>
      <c r="G922" t="s">
        <v>14558</v>
      </c>
      <c r="H922" s="4" t="s">
        <v>14559</v>
      </c>
      <c r="I922" t="s">
        <v>71</v>
      </c>
      <c r="J922" t="s">
        <v>10782</v>
      </c>
      <c r="K922" t="s">
        <v>14560</v>
      </c>
    </row>
    <row r="923" spans="1:11" ht="144" x14ac:dyDescent="0.3">
      <c r="A923" s="4" t="s">
        <v>663</v>
      </c>
      <c r="B923">
        <v>1</v>
      </c>
      <c r="C923">
        <v>2024</v>
      </c>
      <c r="D923" t="s">
        <v>405</v>
      </c>
      <c r="E923">
        <v>19</v>
      </c>
      <c r="F923" t="s">
        <v>14561</v>
      </c>
      <c r="G923" t="s">
        <v>14562</v>
      </c>
      <c r="H923" s="4" t="s">
        <v>14563</v>
      </c>
      <c r="I923" t="s">
        <v>71</v>
      </c>
      <c r="J923" t="s">
        <v>10782</v>
      </c>
      <c r="K923" t="s">
        <v>14564</v>
      </c>
    </row>
    <row r="924" spans="1:11" ht="187.2" x14ac:dyDescent="0.3">
      <c r="A924" s="4" t="s">
        <v>4348</v>
      </c>
      <c r="B924">
        <v>3</v>
      </c>
      <c r="C924">
        <v>2024</v>
      </c>
      <c r="D924" t="s">
        <v>14436</v>
      </c>
      <c r="E924">
        <v>3</v>
      </c>
      <c r="F924" t="s">
        <v>14565</v>
      </c>
      <c r="G924" t="s">
        <v>14566</v>
      </c>
      <c r="H924" s="4" t="s">
        <v>14567</v>
      </c>
      <c r="I924" t="s">
        <v>71</v>
      </c>
      <c r="J924" t="s">
        <v>10782</v>
      </c>
      <c r="K924" t="s">
        <v>14568</v>
      </c>
    </row>
    <row r="925" spans="1:11" ht="187.2" x14ac:dyDescent="0.3">
      <c r="A925" s="4" t="s">
        <v>4349</v>
      </c>
      <c r="B925">
        <v>3</v>
      </c>
      <c r="C925">
        <v>2024</v>
      </c>
      <c r="D925" t="s">
        <v>14553</v>
      </c>
      <c r="E925">
        <v>2</v>
      </c>
      <c r="F925" t="s">
        <v>14569</v>
      </c>
      <c r="G925" t="s">
        <v>14570</v>
      </c>
      <c r="H925" s="4" t="s">
        <v>14571</v>
      </c>
      <c r="I925" t="s">
        <v>71</v>
      </c>
      <c r="J925" t="s">
        <v>10782</v>
      </c>
      <c r="K925" t="s">
        <v>14572</v>
      </c>
    </row>
    <row r="926" spans="1:11" ht="201.6" x14ac:dyDescent="0.3">
      <c r="A926" s="4" t="s">
        <v>4350</v>
      </c>
      <c r="B926">
        <v>3</v>
      </c>
      <c r="C926">
        <v>2024</v>
      </c>
      <c r="D926" t="s">
        <v>817</v>
      </c>
      <c r="E926">
        <v>0</v>
      </c>
      <c r="F926" t="s">
        <v>14573</v>
      </c>
      <c r="G926" t="s">
        <v>14574</v>
      </c>
      <c r="H926" s="4" t="s">
        <v>14575</v>
      </c>
      <c r="I926" t="s">
        <v>71</v>
      </c>
      <c r="J926" t="s">
        <v>10782</v>
      </c>
      <c r="K926" t="s">
        <v>14576</v>
      </c>
    </row>
    <row r="927" spans="1:11" ht="172.8" x14ac:dyDescent="0.3">
      <c r="A927" s="4" t="s">
        <v>4351</v>
      </c>
      <c r="B927">
        <v>3</v>
      </c>
      <c r="C927">
        <v>2024</v>
      </c>
      <c r="D927" t="s">
        <v>13003</v>
      </c>
      <c r="E927">
        <v>3</v>
      </c>
      <c r="F927" t="s">
        <v>14577</v>
      </c>
      <c r="G927" t="s">
        <v>14578</v>
      </c>
      <c r="H927" s="4" t="s">
        <v>14579</v>
      </c>
      <c r="I927" t="s">
        <v>71</v>
      </c>
      <c r="J927" t="s">
        <v>10782</v>
      </c>
      <c r="K927" t="s">
        <v>14580</v>
      </c>
    </row>
    <row r="928" spans="1:11" ht="158.4" x14ac:dyDescent="0.3">
      <c r="A928" s="4" t="s">
        <v>4352</v>
      </c>
      <c r="B928">
        <v>3</v>
      </c>
      <c r="C928">
        <v>2024</v>
      </c>
      <c r="D928" t="s">
        <v>14325</v>
      </c>
      <c r="E928">
        <v>1</v>
      </c>
      <c r="F928" t="s">
        <v>14581</v>
      </c>
      <c r="G928" t="s">
        <v>14582</v>
      </c>
      <c r="H928" s="4" t="s">
        <v>14583</v>
      </c>
      <c r="I928" t="s">
        <v>71</v>
      </c>
      <c r="J928" t="s">
        <v>10782</v>
      </c>
      <c r="K928" t="s">
        <v>14584</v>
      </c>
    </row>
    <row r="929" spans="1:11" ht="158.4" x14ac:dyDescent="0.3">
      <c r="A929" s="4" t="s">
        <v>4353</v>
      </c>
      <c r="B929">
        <v>3</v>
      </c>
      <c r="C929">
        <v>2024</v>
      </c>
      <c r="D929" t="s">
        <v>11525</v>
      </c>
      <c r="E929">
        <v>10</v>
      </c>
      <c r="F929" t="s">
        <v>14585</v>
      </c>
      <c r="G929" t="s">
        <v>14586</v>
      </c>
      <c r="H929" s="4" t="s">
        <v>14587</v>
      </c>
    </row>
    <row r="930" spans="1:11" ht="158.4" x14ac:dyDescent="0.3">
      <c r="A930" s="4" t="s">
        <v>4354</v>
      </c>
      <c r="B930">
        <v>3</v>
      </c>
      <c r="C930">
        <v>2024</v>
      </c>
      <c r="D930" t="s">
        <v>14588</v>
      </c>
      <c r="E930">
        <v>6</v>
      </c>
      <c r="F930" t="s">
        <v>14589</v>
      </c>
      <c r="G930" t="s">
        <v>14590</v>
      </c>
      <c r="H930" s="4" t="s">
        <v>14591</v>
      </c>
      <c r="I930" t="s">
        <v>71</v>
      </c>
      <c r="J930" t="s">
        <v>10782</v>
      </c>
      <c r="K930" t="s">
        <v>14592</v>
      </c>
    </row>
    <row r="931" spans="1:11" ht="144" x14ac:dyDescent="0.3">
      <c r="A931" s="4" t="s">
        <v>3502</v>
      </c>
      <c r="B931">
        <v>2</v>
      </c>
      <c r="C931">
        <v>2024</v>
      </c>
      <c r="D931" t="s">
        <v>637</v>
      </c>
      <c r="E931">
        <v>2</v>
      </c>
      <c r="F931" t="s">
        <v>14593</v>
      </c>
      <c r="G931" t="s">
        <v>14594</v>
      </c>
      <c r="H931" s="4" t="s">
        <v>14595</v>
      </c>
      <c r="I931" t="s">
        <v>10823</v>
      </c>
      <c r="J931" t="s">
        <v>10782</v>
      </c>
      <c r="K931" t="s">
        <v>14596</v>
      </c>
    </row>
    <row r="932" spans="1:11" ht="244.8" x14ac:dyDescent="0.3">
      <c r="A932" s="4" t="s">
        <v>4355</v>
      </c>
      <c r="B932">
        <v>3</v>
      </c>
      <c r="C932">
        <v>2024</v>
      </c>
      <c r="D932" t="s">
        <v>14597</v>
      </c>
      <c r="E932">
        <v>2</v>
      </c>
      <c r="F932" t="s">
        <v>14598</v>
      </c>
      <c r="G932" t="s">
        <v>14599</v>
      </c>
      <c r="H932" s="4" t="s">
        <v>14600</v>
      </c>
      <c r="I932" t="s">
        <v>71</v>
      </c>
      <c r="J932" t="s">
        <v>10782</v>
      </c>
      <c r="K932" t="s">
        <v>14601</v>
      </c>
    </row>
    <row r="933" spans="1:11" ht="100.8" x14ac:dyDescent="0.3">
      <c r="A933" s="4" t="s">
        <v>678</v>
      </c>
      <c r="B933">
        <v>1</v>
      </c>
      <c r="C933">
        <v>2024</v>
      </c>
      <c r="D933" t="s">
        <v>679</v>
      </c>
      <c r="E933">
        <v>7</v>
      </c>
      <c r="F933" t="s">
        <v>14602</v>
      </c>
      <c r="G933" t="s">
        <v>14603</v>
      </c>
      <c r="H933" s="4" t="s">
        <v>14604</v>
      </c>
      <c r="I933" t="s">
        <v>71</v>
      </c>
      <c r="J933" t="s">
        <v>10782</v>
      </c>
      <c r="K933" t="s">
        <v>14605</v>
      </c>
    </row>
    <row r="934" spans="1:11" ht="129.6" x14ac:dyDescent="0.3">
      <c r="A934" s="4" t="s">
        <v>4356</v>
      </c>
      <c r="B934">
        <v>3</v>
      </c>
      <c r="C934">
        <v>2024</v>
      </c>
      <c r="D934" t="s">
        <v>14606</v>
      </c>
      <c r="E934">
        <v>8</v>
      </c>
      <c r="F934" t="s">
        <v>14607</v>
      </c>
      <c r="G934" t="s">
        <v>14608</v>
      </c>
      <c r="H934" s="4" t="s">
        <v>14609</v>
      </c>
      <c r="I934" t="s">
        <v>71</v>
      </c>
      <c r="J934" t="s">
        <v>10782</v>
      </c>
      <c r="K934" t="s">
        <v>14610</v>
      </c>
    </row>
    <row r="935" spans="1:11" ht="172.8" x14ac:dyDescent="0.3">
      <c r="A935" s="4" t="s">
        <v>3503</v>
      </c>
      <c r="B935">
        <v>2</v>
      </c>
      <c r="C935">
        <v>2024</v>
      </c>
      <c r="D935" t="s">
        <v>637</v>
      </c>
      <c r="E935">
        <v>14</v>
      </c>
      <c r="F935" t="s">
        <v>14611</v>
      </c>
      <c r="G935" t="s">
        <v>14612</v>
      </c>
      <c r="H935" s="4" t="s">
        <v>14613</v>
      </c>
      <c r="I935" t="s">
        <v>10823</v>
      </c>
      <c r="J935" t="s">
        <v>10782</v>
      </c>
      <c r="K935" t="s">
        <v>14614</v>
      </c>
    </row>
    <row r="936" spans="1:11" ht="259.2" x14ac:dyDescent="0.3">
      <c r="A936" s="4" t="s">
        <v>4357</v>
      </c>
      <c r="B936">
        <v>3</v>
      </c>
      <c r="C936">
        <v>2024</v>
      </c>
      <c r="D936" t="s">
        <v>1912</v>
      </c>
      <c r="E936">
        <v>0</v>
      </c>
      <c r="F936" t="s">
        <v>14615</v>
      </c>
      <c r="G936" t="s">
        <v>14616</v>
      </c>
      <c r="H936" s="4" t="s">
        <v>14617</v>
      </c>
      <c r="I936" t="s">
        <v>71</v>
      </c>
      <c r="J936" t="s">
        <v>10782</v>
      </c>
      <c r="K936" t="s">
        <v>14618</v>
      </c>
    </row>
    <row r="937" spans="1:11" ht="172.8" x14ac:dyDescent="0.3">
      <c r="A937" s="4" t="s">
        <v>4358</v>
      </c>
      <c r="B937">
        <v>3</v>
      </c>
      <c r="C937">
        <v>2024</v>
      </c>
      <c r="D937" t="s">
        <v>2375</v>
      </c>
      <c r="E937">
        <v>1</v>
      </c>
      <c r="F937" t="s">
        <v>14619</v>
      </c>
      <c r="G937" t="s">
        <v>14620</v>
      </c>
      <c r="H937" s="4" t="s">
        <v>14621</v>
      </c>
      <c r="I937" t="s">
        <v>71</v>
      </c>
      <c r="J937" t="s">
        <v>10782</v>
      </c>
      <c r="K937" t="s">
        <v>14622</v>
      </c>
    </row>
    <row r="938" spans="1:11" ht="172.8" x14ac:dyDescent="0.3">
      <c r="A938" s="4" t="s">
        <v>4359</v>
      </c>
      <c r="B938">
        <v>3</v>
      </c>
      <c r="C938">
        <v>2024</v>
      </c>
      <c r="D938" t="s">
        <v>14623</v>
      </c>
      <c r="E938">
        <v>0</v>
      </c>
      <c r="F938" t="s">
        <v>14624</v>
      </c>
      <c r="G938" t="s">
        <v>14625</v>
      </c>
      <c r="H938" s="4" t="s">
        <v>14626</v>
      </c>
      <c r="I938" t="s">
        <v>71</v>
      </c>
      <c r="J938" t="s">
        <v>10782</v>
      </c>
      <c r="K938" t="s">
        <v>14627</v>
      </c>
    </row>
    <row r="939" spans="1:11" ht="158.4" x14ac:dyDescent="0.3">
      <c r="A939" s="4" t="s">
        <v>4360</v>
      </c>
      <c r="B939">
        <v>3</v>
      </c>
      <c r="C939">
        <v>2024</v>
      </c>
      <c r="D939" t="s">
        <v>11626</v>
      </c>
      <c r="E939">
        <v>8</v>
      </c>
      <c r="F939" t="s">
        <v>14628</v>
      </c>
      <c r="G939" t="s">
        <v>14629</v>
      </c>
      <c r="H939" s="4" t="s">
        <v>14630</v>
      </c>
      <c r="I939" t="s">
        <v>71</v>
      </c>
      <c r="J939" t="s">
        <v>10782</v>
      </c>
      <c r="K939" t="s">
        <v>14631</v>
      </c>
    </row>
    <row r="940" spans="1:11" ht="158.4" x14ac:dyDescent="0.3">
      <c r="A940" s="4" t="s">
        <v>4361</v>
      </c>
      <c r="B940">
        <v>3</v>
      </c>
      <c r="C940">
        <v>2024</v>
      </c>
      <c r="D940" t="s">
        <v>918</v>
      </c>
      <c r="E940">
        <v>14</v>
      </c>
      <c r="F940" t="s">
        <v>14632</v>
      </c>
      <c r="G940" t="s">
        <v>14633</v>
      </c>
      <c r="H940" s="4" t="s">
        <v>14634</v>
      </c>
      <c r="I940" t="s">
        <v>71</v>
      </c>
      <c r="J940" t="s">
        <v>10782</v>
      </c>
      <c r="K940" t="s">
        <v>14635</v>
      </c>
    </row>
    <row r="941" spans="1:11" ht="86.4" x14ac:dyDescent="0.3">
      <c r="A941" s="4" t="s">
        <v>4362</v>
      </c>
      <c r="B941">
        <v>3</v>
      </c>
      <c r="C941">
        <v>2024</v>
      </c>
      <c r="D941" t="s">
        <v>14636</v>
      </c>
      <c r="E941">
        <v>0</v>
      </c>
      <c r="F941" t="s">
        <v>14637</v>
      </c>
      <c r="G941" t="s">
        <v>14638</v>
      </c>
      <c r="H941" s="4" t="s">
        <v>14639</v>
      </c>
      <c r="I941" t="s">
        <v>71</v>
      </c>
      <c r="J941" t="s">
        <v>10782</v>
      </c>
      <c r="K941" t="s">
        <v>14640</v>
      </c>
    </row>
    <row r="942" spans="1:11" ht="129.6" x14ac:dyDescent="0.3">
      <c r="A942" s="4" t="s">
        <v>4363</v>
      </c>
      <c r="B942">
        <v>3</v>
      </c>
      <c r="C942">
        <v>2024</v>
      </c>
      <c r="D942" t="s">
        <v>147</v>
      </c>
      <c r="E942">
        <v>1</v>
      </c>
      <c r="F942" t="s">
        <v>14641</v>
      </c>
      <c r="G942" t="s">
        <v>14642</v>
      </c>
      <c r="H942" s="4" t="s">
        <v>14643</v>
      </c>
      <c r="I942" t="s">
        <v>71</v>
      </c>
      <c r="J942" t="s">
        <v>10782</v>
      </c>
      <c r="K942" t="s">
        <v>14644</v>
      </c>
    </row>
    <row r="943" spans="1:11" ht="244.8" x14ac:dyDescent="0.3">
      <c r="A943" s="4" t="s">
        <v>4364</v>
      </c>
      <c r="B943">
        <v>3</v>
      </c>
      <c r="C943">
        <v>2024</v>
      </c>
      <c r="D943" t="s">
        <v>147</v>
      </c>
      <c r="E943">
        <v>7</v>
      </c>
      <c r="F943" t="s">
        <v>14645</v>
      </c>
      <c r="G943" t="s">
        <v>14646</v>
      </c>
      <c r="H943" s="4" t="s">
        <v>14647</v>
      </c>
      <c r="I943" t="s">
        <v>71</v>
      </c>
      <c r="J943" t="s">
        <v>10782</v>
      </c>
      <c r="K943" t="s">
        <v>14648</v>
      </c>
    </row>
    <row r="944" spans="1:11" ht="360" x14ac:dyDescent="0.3">
      <c r="A944" s="4" t="s">
        <v>4365</v>
      </c>
      <c r="B944">
        <v>3</v>
      </c>
      <c r="C944">
        <v>2024</v>
      </c>
      <c r="D944" t="s">
        <v>11574</v>
      </c>
      <c r="E944">
        <v>2</v>
      </c>
      <c r="F944" t="s">
        <v>14649</v>
      </c>
      <c r="G944" t="s">
        <v>14650</v>
      </c>
      <c r="H944" s="4" t="s">
        <v>14651</v>
      </c>
      <c r="I944" t="s">
        <v>10823</v>
      </c>
      <c r="J944" t="s">
        <v>10782</v>
      </c>
      <c r="K944" t="s">
        <v>14652</v>
      </c>
    </row>
    <row r="945" spans="1:11" ht="144" x14ac:dyDescent="0.3">
      <c r="A945" s="4" t="s">
        <v>680</v>
      </c>
      <c r="B945">
        <v>1</v>
      </c>
      <c r="C945">
        <v>2024</v>
      </c>
      <c r="D945" t="s">
        <v>190</v>
      </c>
      <c r="E945">
        <v>7</v>
      </c>
      <c r="F945" t="s">
        <v>14653</v>
      </c>
      <c r="G945" t="s">
        <v>14654</v>
      </c>
      <c r="H945" s="4" t="s">
        <v>14655</v>
      </c>
      <c r="I945" t="s">
        <v>71</v>
      </c>
      <c r="J945" t="s">
        <v>10782</v>
      </c>
      <c r="K945" t="s">
        <v>14656</v>
      </c>
    </row>
    <row r="946" spans="1:11" ht="72" x14ac:dyDescent="0.3">
      <c r="A946" s="4" t="s">
        <v>3504</v>
      </c>
      <c r="B946">
        <v>2</v>
      </c>
      <c r="C946">
        <v>2024</v>
      </c>
      <c r="D946" t="s">
        <v>1438</v>
      </c>
      <c r="E946">
        <v>4</v>
      </c>
      <c r="F946" t="s">
        <v>14657</v>
      </c>
      <c r="G946" t="s">
        <v>14658</v>
      </c>
      <c r="H946" s="4" t="s">
        <v>14659</v>
      </c>
    </row>
    <row r="947" spans="1:11" ht="158.4" x14ac:dyDescent="0.3">
      <c r="A947" s="4" t="s">
        <v>4366</v>
      </c>
      <c r="B947">
        <v>3</v>
      </c>
      <c r="C947">
        <v>2024</v>
      </c>
      <c r="D947" t="s">
        <v>14660</v>
      </c>
      <c r="E947">
        <v>11</v>
      </c>
      <c r="F947" t="s">
        <v>14661</v>
      </c>
      <c r="G947" t="s">
        <v>14662</v>
      </c>
      <c r="H947" s="4" t="s">
        <v>14663</v>
      </c>
      <c r="I947" t="s">
        <v>71</v>
      </c>
      <c r="J947" t="s">
        <v>10782</v>
      </c>
      <c r="K947" t="s">
        <v>14664</v>
      </c>
    </row>
    <row r="948" spans="1:11" ht="187.2" x14ac:dyDescent="0.3">
      <c r="A948" s="4" t="s">
        <v>4367</v>
      </c>
      <c r="B948">
        <v>3</v>
      </c>
      <c r="C948">
        <v>2024</v>
      </c>
      <c r="D948" t="s">
        <v>80</v>
      </c>
      <c r="E948">
        <v>2</v>
      </c>
      <c r="F948" t="s">
        <v>14665</v>
      </c>
      <c r="G948" t="s">
        <v>14666</v>
      </c>
      <c r="H948" s="4" t="s">
        <v>14667</v>
      </c>
      <c r="I948" t="s">
        <v>71</v>
      </c>
      <c r="J948" t="s">
        <v>10782</v>
      </c>
      <c r="K948" t="s">
        <v>14668</v>
      </c>
    </row>
    <row r="949" spans="1:11" ht="172.8" x14ac:dyDescent="0.3">
      <c r="A949" s="4" t="s">
        <v>4368</v>
      </c>
      <c r="B949">
        <v>3</v>
      </c>
      <c r="C949">
        <v>2024</v>
      </c>
      <c r="D949" t="s">
        <v>12593</v>
      </c>
      <c r="E949">
        <v>1</v>
      </c>
      <c r="F949" t="s">
        <v>14669</v>
      </c>
      <c r="G949" t="s">
        <v>14670</v>
      </c>
      <c r="H949" s="4" t="s">
        <v>14671</v>
      </c>
      <c r="I949" t="s">
        <v>71</v>
      </c>
      <c r="J949" t="s">
        <v>10782</v>
      </c>
      <c r="K949" t="s">
        <v>14672</v>
      </c>
    </row>
    <row r="950" spans="1:11" ht="86.4" x14ac:dyDescent="0.3">
      <c r="A950" s="4" t="s">
        <v>4369</v>
      </c>
      <c r="B950">
        <v>3</v>
      </c>
      <c r="C950">
        <v>2024</v>
      </c>
      <c r="D950" t="s">
        <v>14553</v>
      </c>
      <c r="E950">
        <v>0</v>
      </c>
      <c r="F950" t="s">
        <v>14673</v>
      </c>
      <c r="G950" t="s">
        <v>14674</v>
      </c>
      <c r="H950" s="4" t="s">
        <v>14675</v>
      </c>
    </row>
    <row r="951" spans="1:11" ht="115.2" x14ac:dyDescent="0.3">
      <c r="A951" s="4" t="s">
        <v>3224</v>
      </c>
      <c r="B951">
        <v>1</v>
      </c>
      <c r="C951">
        <v>2024</v>
      </c>
      <c r="D951" t="s">
        <v>1088</v>
      </c>
      <c r="E951">
        <v>3</v>
      </c>
      <c r="F951" t="s">
        <v>14676</v>
      </c>
      <c r="G951" t="s">
        <v>14677</v>
      </c>
      <c r="H951" s="4" t="s">
        <v>14678</v>
      </c>
      <c r="I951" t="s">
        <v>71</v>
      </c>
      <c r="J951" t="s">
        <v>10782</v>
      </c>
      <c r="K951" t="s">
        <v>14679</v>
      </c>
    </row>
    <row r="952" spans="1:11" ht="158.4" x14ac:dyDescent="0.3">
      <c r="A952" s="4" t="s">
        <v>4370</v>
      </c>
      <c r="B952">
        <v>3</v>
      </c>
      <c r="C952">
        <v>2024</v>
      </c>
      <c r="D952" t="s">
        <v>637</v>
      </c>
      <c r="E952">
        <v>6</v>
      </c>
      <c r="F952" t="s">
        <v>14680</v>
      </c>
      <c r="G952" t="s">
        <v>14681</v>
      </c>
      <c r="H952" s="4" t="s">
        <v>14682</v>
      </c>
      <c r="I952" t="s">
        <v>71</v>
      </c>
      <c r="J952" t="s">
        <v>10782</v>
      </c>
      <c r="K952" t="s">
        <v>14683</v>
      </c>
    </row>
    <row r="953" spans="1:11" ht="187.2" x14ac:dyDescent="0.3">
      <c r="A953" s="4" t="s">
        <v>703</v>
      </c>
      <c r="B953">
        <v>1</v>
      </c>
      <c r="C953">
        <v>2024</v>
      </c>
      <c r="D953" t="s">
        <v>704</v>
      </c>
      <c r="E953">
        <v>2</v>
      </c>
      <c r="F953" t="s">
        <v>14684</v>
      </c>
      <c r="G953" t="s">
        <v>14685</v>
      </c>
      <c r="H953" s="4" t="s">
        <v>14686</v>
      </c>
      <c r="I953" t="s">
        <v>71</v>
      </c>
      <c r="J953" t="s">
        <v>10782</v>
      </c>
      <c r="K953" t="s">
        <v>14687</v>
      </c>
    </row>
    <row r="954" spans="1:11" ht="230.4" x14ac:dyDescent="0.3">
      <c r="A954" s="4" t="s">
        <v>3505</v>
      </c>
      <c r="B954">
        <v>2</v>
      </c>
      <c r="C954">
        <v>2024</v>
      </c>
      <c r="D954" t="s">
        <v>217</v>
      </c>
      <c r="E954">
        <v>1</v>
      </c>
      <c r="F954" t="s">
        <v>14688</v>
      </c>
      <c r="G954" t="s">
        <v>14689</v>
      </c>
      <c r="H954" s="4" t="s">
        <v>14690</v>
      </c>
      <c r="I954" t="s">
        <v>71</v>
      </c>
      <c r="J954" t="s">
        <v>10782</v>
      </c>
      <c r="K954" t="s">
        <v>14691</v>
      </c>
    </row>
    <row r="955" spans="1:11" ht="201.6" x14ac:dyDescent="0.3">
      <c r="A955" s="4" t="s">
        <v>4371</v>
      </c>
      <c r="B955">
        <v>3</v>
      </c>
      <c r="C955">
        <v>2024</v>
      </c>
      <c r="D955" t="s">
        <v>14692</v>
      </c>
      <c r="E955">
        <v>19</v>
      </c>
      <c r="G955" t="s">
        <v>14693</v>
      </c>
      <c r="H955" s="4" t="s">
        <v>14694</v>
      </c>
      <c r="I955" s="4" t="s">
        <v>71</v>
      </c>
      <c r="J955" t="s">
        <v>10782</v>
      </c>
      <c r="K955" t="s">
        <v>14695</v>
      </c>
    </row>
    <row r="956" spans="1:11" ht="172.8" x14ac:dyDescent="0.3">
      <c r="A956" s="4" t="s">
        <v>4372</v>
      </c>
      <c r="B956">
        <v>3</v>
      </c>
      <c r="C956">
        <v>2023</v>
      </c>
      <c r="D956" t="s">
        <v>637</v>
      </c>
      <c r="E956">
        <v>13</v>
      </c>
      <c r="F956" t="s">
        <v>14696</v>
      </c>
      <c r="G956" t="s">
        <v>14697</v>
      </c>
      <c r="H956" s="4" t="s">
        <v>14698</v>
      </c>
    </row>
    <row r="957" spans="1:11" ht="158.4" x14ac:dyDescent="0.3">
      <c r="A957" s="4" t="s">
        <v>4373</v>
      </c>
      <c r="B957">
        <v>3</v>
      </c>
      <c r="C957">
        <v>2023</v>
      </c>
      <c r="D957" t="s">
        <v>13865</v>
      </c>
      <c r="E957">
        <v>9</v>
      </c>
      <c r="F957" t="s">
        <v>14699</v>
      </c>
      <c r="G957" t="s">
        <v>14700</v>
      </c>
      <c r="H957" s="4" t="s">
        <v>14701</v>
      </c>
      <c r="I957" t="s">
        <v>71</v>
      </c>
      <c r="J957" t="s">
        <v>10782</v>
      </c>
      <c r="K957" t="s">
        <v>14702</v>
      </c>
    </row>
    <row r="958" spans="1:11" ht="288" x14ac:dyDescent="0.3">
      <c r="A958" s="4" t="s">
        <v>4374</v>
      </c>
      <c r="B958">
        <v>3</v>
      </c>
      <c r="C958">
        <v>2023</v>
      </c>
      <c r="D958" t="s">
        <v>14703</v>
      </c>
      <c r="E958">
        <v>1</v>
      </c>
      <c r="F958" t="s">
        <v>14704</v>
      </c>
      <c r="G958" t="s">
        <v>14705</v>
      </c>
      <c r="H958" s="4" t="s">
        <v>14706</v>
      </c>
      <c r="I958" t="s">
        <v>71</v>
      </c>
      <c r="J958" t="s">
        <v>10782</v>
      </c>
      <c r="K958" t="s">
        <v>14707</v>
      </c>
    </row>
    <row r="959" spans="1:11" ht="158.4" x14ac:dyDescent="0.3">
      <c r="A959" s="4" t="s">
        <v>4375</v>
      </c>
      <c r="B959">
        <v>3</v>
      </c>
      <c r="C959">
        <v>2023</v>
      </c>
      <c r="D959" t="s">
        <v>2519</v>
      </c>
      <c r="E959">
        <v>1</v>
      </c>
      <c r="F959" t="s">
        <v>14708</v>
      </c>
      <c r="G959" t="s">
        <v>14709</v>
      </c>
      <c r="H959" s="4" t="s">
        <v>14710</v>
      </c>
      <c r="I959" t="s">
        <v>71</v>
      </c>
      <c r="J959" t="s">
        <v>10782</v>
      </c>
      <c r="K959" t="s">
        <v>14711</v>
      </c>
    </row>
    <row r="960" spans="1:11" ht="86.4" x14ac:dyDescent="0.3">
      <c r="A960" s="4" t="s">
        <v>4376</v>
      </c>
      <c r="B960">
        <v>3</v>
      </c>
      <c r="C960">
        <v>2023</v>
      </c>
      <c r="D960" t="s">
        <v>12593</v>
      </c>
      <c r="E960">
        <v>0</v>
      </c>
      <c r="F960" t="s">
        <v>14712</v>
      </c>
      <c r="G960" t="s">
        <v>14713</v>
      </c>
      <c r="H960" s="4" t="s">
        <v>14714</v>
      </c>
    </row>
    <row r="961" spans="1:11" ht="244.8" x14ac:dyDescent="0.3">
      <c r="A961" s="4" t="s">
        <v>4377</v>
      </c>
      <c r="B961">
        <v>3</v>
      </c>
      <c r="C961">
        <v>2023</v>
      </c>
      <c r="D961" t="s">
        <v>14715</v>
      </c>
      <c r="E961">
        <v>2</v>
      </c>
      <c r="F961" t="s">
        <v>14716</v>
      </c>
      <c r="G961" t="s">
        <v>14717</v>
      </c>
      <c r="H961" s="4" t="s">
        <v>14718</v>
      </c>
      <c r="I961" t="s">
        <v>71</v>
      </c>
      <c r="J961" t="s">
        <v>10782</v>
      </c>
      <c r="K961" t="s">
        <v>14719</v>
      </c>
    </row>
    <row r="962" spans="1:11" ht="172.8" x14ac:dyDescent="0.3">
      <c r="A962" s="4" t="s">
        <v>3225</v>
      </c>
      <c r="B962">
        <v>1</v>
      </c>
      <c r="C962">
        <v>2023</v>
      </c>
      <c r="D962" t="s">
        <v>12875</v>
      </c>
      <c r="E962">
        <v>3</v>
      </c>
      <c r="F962" t="s">
        <v>14720</v>
      </c>
      <c r="G962" t="s">
        <v>14721</v>
      </c>
      <c r="H962" s="4" t="s">
        <v>14722</v>
      </c>
      <c r="I962" t="s">
        <v>71</v>
      </c>
      <c r="J962" t="s">
        <v>10782</v>
      </c>
      <c r="K962" t="s">
        <v>14723</v>
      </c>
    </row>
    <row r="963" spans="1:11" ht="172.8" x14ac:dyDescent="0.3">
      <c r="A963" s="4" t="s">
        <v>3226</v>
      </c>
      <c r="B963">
        <v>1</v>
      </c>
      <c r="C963">
        <v>2023</v>
      </c>
      <c r="D963" t="s">
        <v>1525</v>
      </c>
      <c r="E963">
        <v>4</v>
      </c>
      <c r="F963" t="s">
        <v>14724</v>
      </c>
      <c r="G963" t="s">
        <v>14725</v>
      </c>
      <c r="H963" s="4" t="s">
        <v>14726</v>
      </c>
      <c r="I963" t="s">
        <v>71</v>
      </c>
      <c r="J963" t="s">
        <v>10782</v>
      </c>
      <c r="K963" t="s">
        <v>14727</v>
      </c>
    </row>
    <row r="964" spans="1:11" ht="201.6" x14ac:dyDescent="0.3">
      <c r="A964" s="4" t="s">
        <v>4378</v>
      </c>
      <c r="B964">
        <v>3</v>
      </c>
      <c r="C964">
        <v>2023</v>
      </c>
      <c r="D964" t="s">
        <v>2018</v>
      </c>
      <c r="E964">
        <v>0</v>
      </c>
      <c r="F964" t="s">
        <v>14728</v>
      </c>
      <c r="G964" t="s">
        <v>14729</v>
      </c>
      <c r="H964" s="4" t="s">
        <v>14730</v>
      </c>
      <c r="I964" t="s">
        <v>71</v>
      </c>
      <c r="J964" t="s">
        <v>10782</v>
      </c>
      <c r="K964" t="s">
        <v>14731</v>
      </c>
    </row>
    <row r="965" spans="1:11" ht="273.60000000000002" x14ac:dyDescent="0.3">
      <c r="A965" s="4" t="s">
        <v>4379</v>
      </c>
      <c r="B965">
        <v>3</v>
      </c>
      <c r="C965">
        <v>2023</v>
      </c>
      <c r="D965" t="s">
        <v>277</v>
      </c>
      <c r="E965">
        <v>3</v>
      </c>
      <c r="F965" t="s">
        <v>14732</v>
      </c>
      <c r="G965" t="s">
        <v>14733</v>
      </c>
      <c r="H965" s="4" t="s">
        <v>14734</v>
      </c>
      <c r="I965" t="s">
        <v>71</v>
      </c>
      <c r="J965" t="s">
        <v>10782</v>
      </c>
      <c r="K965" t="s">
        <v>14735</v>
      </c>
    </row>
    <row r="966" spans="1:11" ht="172.8" x14ac:dyDescent="0.3">
      <c r="A966" s="4" t="s">
        <v>4380</v>
      </c>
      <c r="B966">
        <v>3</v>
      </c>
      <c r="C966">
        <v>2023</v>
      </c>
      <c r="D966" t="s">
        <v>14736</v>
      </c>
      <c r="E966">
        <v>0</v>
      </c>
      <c r="F966" t="s">
        <v>14737</v>
      </c>
      <c r="G966" t="s">
        <v>14738</v>
      </c>
      <c r="H966" s="4" t="s">
        <v>14739</v>
      </c>
      <c r="I966" t="s">
        <v>71</v>
      </c>
      <c r="J966" t="s">
        <v>10782</v>
      </c>
      <c r="K966" t="s">
        <v>14740</v>
      </c>
    </row>
    <row r="967" spans="1:11" ht="187.2" x14ac:dyDescent="0.3">
      <c r="A967" s="4" t="s">
        <v>3227</v>
      </c>
      <c r="B967">
        <v>1</v>
      </c>
      <c r="C967">
        <v>2023</v>
      </c>
      <c r="D967" t="s">
        <v>80</v>
      </c>
      <c r="E967">
        <v>13</v>
      </c>
      <c r="F967" t="s">
        <v>14741</v>
      </c>
      <c r="G967" t="s">
        <v>14742</v>
      </c>
      <c r="H967" s="4" t="s">
        <v>14743</v>
      </c>
      <c r="I967" t="s">
        <v>71</v>
      </c>
      <c r="J967" t="s">
        <v>10782</v>
      </c>
      <c r="K967" t="s">
        <v>14744</v>
      </c>
    </row>
    <row r="968" spans="1:11" ht="201.6" x14ac:dyDescent="0.3">
      <c r="A968" s="4" t="s">
        <v>4381</v>
      </c>
      <c r="B968">
        <v>3</v>
      </c>
      <c r="C968">
        <v>2023</v>
      </c>
      <c r="D968" t="s">
        <v>1936</v>
      </c>
      <c r="E968">
        <v>9</v>
      </c>
      <c r="F968" t="s">
        <v>14745</v>
      </c>
      <c r="G968" t="s">
        <v>14746</v>
      </c>
      <c r="H968" s="4" t="s">
        <v>14747</v>
      </c>
      <c r="I968" t="s">
        <v>71</v>
      </c>
      <c r="J968" t="s">
        <v>10782</v>
      </c>
      <c r="K968" t="s">
        <v>14748</v>
      </c>
    </row>
    <row r="969" spans="1:11" ht="172.8" x14ac:dyDescent="0.3">
      <c r="A969" s="4" t="s">
        <v>4382</v>
      </c>
      <c r="B969">
        <v>3</v>
      </c>
      <c r="C969">
        <v>2023</v>
      </c>
      <c r="D969" t="s">
        <v>14749</v>
      </c>
      <c r="E969">
        <v>1</v>
      </c>
      <c r="F969" t="s">
        <v>14750</v>
      </c>
      <c r="G969" t="s">
        <v>14751</v>
      </c>
      <c r="H969" s="4" t="s">
        <v>14752</v>
      </c>
    </row>
    <row r="970" spans="1:11" ht="201.6" x14ac:dyDescent="0.3">
      <c r="A970" s="4" t="s">
        <v>4383</v>
      </c>
      <c r="B970">
        <v>3</v>
      </c>
      <c r="C970">
        <v>2023</v>
      </c>
      <c r="D970" t="s">
        <v>1936</v>
      </c>
      <c r="E970">
        <v>8</v>
      </c>
      <c r="F970" t="s">
        <v>14753</v>
      </c>
      <c r="G970" t="s">
        <v>14754</v>
      </c>
      <c r="H970" s="4" t="s">
        <v>14755</v>
      </c>
      <c r="I970" t="s">
        <v>71</v>
      </c>
      <c r="J970" t="s">
        <v>10782</v>
      </c>
      <c r="K970" t="s">
        <v>14756</v>
      </c>
    </row>
    <row r="971" spans="1:11" ht="43.2" x14ac:dyDescent="0.3">
      <c r="A971" s="4" t="s">
        <v>4384</v>
      </c>
      <c r="B971">
        <v>3</v>
      </c>
      <c r="C971">
        <v>2023</v>
      </c>
      <c r="D971" t="s">
        <v>1002</v>
      </c>
      <c r="E971">
        <v>1</v>
      </c>
      <c r="F971" t="s">
        <v>14757</v>
      </c>
      <c r="G971" t="s">
        <v>14758</v>
      </c>
      <c r="H971" s="4" t="s">
        <v>14759</v>
      </c>
    </row>
    <row r="972" spans="1:11" ht="144" x14ac:dyDescent="0.3">
      <c r="A972" s="4" t="s">
        <v>4385</v>
      </c>
      <c r="B972">
        <v>3</v>
      </c>
      <c r="C972">
        <v>2023</v>
      </c>
      <c r="D972" t="s">
        <v>277</v>
      </c>
      <c r="E972">
        <v>5</v>
      </c>
      <c r="F972" t="s">
        <v>14760</v>
      </c>
      <c r="G972" t="s">
        <v>14761</v>
      </c>
      <c r="H972" s="4" t="s">
        <v>14762</v>
      </c>
      <c r="I972" t="s">
        <v>71</v>
      </c>
      <c r="J972" t="s">
        <v>10782</v>
      </c>
      <c r="K972" t="s">
        <v>14763</v>
      </c>
    </row>
    <row r="973" spans="1:11" ht="259.2" x14ac:dyDescent="0.3">
      <c r="A973" s="4" t="s">
        <v>4386</v>
      </c>
      <c r="B973">
        <v>3</v>
      </c>
      <c r="C973">
        <v>2023</v>
      </c>
      <c r="D973" t="s">
        <v>14736</v>
      </c>
      <c r="E973">
        <v>3</v>
      </c>
      <c r="F973" t="s">
        <v>14764</v>
      </c>
      <c r="G973" t="s">
        <v>14765</v>
      </c>
      <c r="H973" s="4" t="s">
        <v>14766</v>
      </c>
      <c r="I973" t="s">
        <v>71</v>
      </c>
      <c r="J973" t="s">
        <v>10782</v>
      </c>
      <c r="K973" t="s">
        <v>14767</v>
      </c>
    </row>
    <row r="974" spans="1:11" ht="172.8" x14ac:dyDescent="0.3">
      <c r="A974" s="4" t="s">
        <v>4387</v>
      </c>
      <c r="B974">
        <v>3</v>
      </c>
      <c r="C974">
        <v>2023</v>
      </c>
      <c r="D974" t="s">
        <v>10937</v>
      </c>
      <c r="E974">
        <v>0</v>
      </c>
      <c r="F974" t="s">
        <v>14768</v>
      </c>
      <c r="G974" t="s">
        <v>14769</v>
      </c>
      <c r="H974" s="4" t="s">
        <v>14770</v>
      </c>
    </row>
    <row r="975" spans="1:11" ht="259.2" x14ac:dyDescent="0.3">
      <c r="A975" s="4" t="s">
        <v>4388</v>
      </c>
      <c r="B975">
        <v>3</v>
      </c>
      <c r="C975">
        <v>2023</v>
      </c>
      <c r="D975" t="s">
        <v>627</v>
      </c>
      <c r="E975">
        <v>7</v>
      </c>
      <c r="F975" t="s">
        <v>14771</v>
      </c>
      <c r="G975" t="s">
        <v>14772</v>
      </c>
      <c r="H975" s="4" t="s">
        <v>14773</v>
      </c>
      <c r="I975" t="s">
        <v>71</v>
      </c>
      <c r="J975" t="s">
        <v>10782</v>
      </c>
      <c r="K975" t="s">
        <v>14774</v>
      </c>
    </row>
    <row r="976" spans="1:11" ht="201.6" x14ac:dyDescent="0.3">
      <c r="A976" s="4" t="s">
        <v>4389</v>
      </c>
      <c r="B976">
        <v>3</v>
      </c>
      <c r="C976">
        <v>2023</v>
      </c>
      <c r="D976" t="s">
        <v>14775</v>
      </c>
      <c r="E976">
        <v>2</v>
      </c>
      <c r="F976" t="s">
        <v>14776</v>
      </c>
      <c r="G976" t="s">
        <v>14777</v>
      </c>
      <c r="H976" s="4" t="s">
        <v>14778</v>
      </c>
      <c r="I976" t="s">
        <v>71</v>
      </c>
      <c r="J976" t="s">
        <v>10782</v>
      </c>
      <c r="K976" t="s">
        <v>14779</v>
      </c>
    </row>
    <row r="977" spans="1:11" ht="216" x14ac:dyDescent="0.3">
      <c r="A977" s="4" t="s">
        <v>4390</v>
      </c>
      <c r="B977">
        <v>3</v>
      </c>
      <c r="C977">
        <v>2023</v>
      </c>
      <c r="D977" t="s">
        <v>164</v>
      </c>
      <c r="E977">
        <v>3</v>
      </c>
      <c r="F977" t="s">
        <v>14780</v>
      </c>
      <c r="G977" t="s">
        <v>14781</v>
      </c>
      <c r="H977" s="4" t="s">
        <v>14782</v>
      </c>
      <c r="I977" t="s">
        <v>71</v>
      </c>
      <c r="J977" t="s">
        <v>10782</v>
      </c>
      <c r="K977" t="s">
        <v>14783</v>
      </c>
    </row>
    <row r="978" spans="1:11" ht="244.8" x14ac:dyDescent="0.3">
      <c r="A978" s="4" t="s">
        <v>4391</v>
      </c>
      <c r="B978">
        <v>3</v>
      </c>
      <c r="C978">
        <v>2023</v>
      </c>
      <c r="D978" t="s">
        <v>11711</v>
      </c>
      <c r="E978">
        <v>1</v>
      </c>
      <c r="F978" t="s">
        <v>14784</v>
      </c>
      <c r="G978" t="s">
        <v>14785</v>
      </c>
      <c r="H978" s="4" t="s">
        <v>14786</v>
      </c>
      <c r="I978" t="s">
        <v>71</v>
      </c>
      <c r="J978" t="s">
        <v>14787</v>
      </c>
      <c r="K978" t="s">
        <v>14788</v>
      </c>
    </row>
    <row r="979" spans="1:11" ht="201.6" x14ac:dyDescent="0.3">
      <c r="A979" s="4" t="s">
        <v>4392</v>
      </c>
      <c r="B979">
        <v>3</v>
      </c>
      <c r="C979">
        <v>2023</v>
      </c>
      <c r="D979" t="s">
        <v>318</v>
      </c>
      <c r="E979">
        <v>6</v>
      </c>
      <c r="F979" t="s">
        <v>14789</v>
      </c>
      <c r="G979" t="s">
        <v>14790</v>
      </c>
      <c r="H979" s="4" t="s">
        <v>14791</v>
      </c>
    </row>
    <row r="980" spans="1:11" ht="230.4" x14ac:dyDescent="0.3">
      <c r="A980" s="4" t="s">
        <v>3506</v>
      </c>
      <c r="B980">
        <v>2</v>
      </c>
      <c r="C980">
        <v>2023</v>
      </c>
      <c r="D980" t="s">
        <v>329</v>
      </c>
      <c r="E980">
        <v>7</v>
      </c>
      <c r="F980" t="s">
        <v>14792</v>
      </c>
      <c r="G980" t="s">
        <v>14793</v>
      </c>
      <c r="H980" s="4" t="s">
        <v>14794</v>
      </c>
      <c r="I980" t="s">
        <v>71</v>
      </c>
      <c r="J980" t="s">
        <v>10782</v>
      </c>
      <c r="K980" t="s">
        <v>14795</v>
      </c>
    </row>
    <row r="981" spans="1:11" ht="172.8" x14ac:dyDescent="0.3">
      <c r="A981" s="4" t="s">
        <v>4393</v>
      </c>
      <c r="B981">
        <v>3</v>
      </c>
      <c r="C981">
        <v>2023</v>
      </c>
      <c r="D981" t="s">
        <v>14796</v>
      </c>
      <c r="E981">
        <v>0</v>
      </c>
      <c r="F981" t="s">
        <v>14797</v>
      </c>
      <c r="G981" t="s">
        <v>14798</v>
      </c>
      <c r="H981" s="4" t="s">
        <v>14799</v>
      </c>
      <c r="I981" t="s">
        <v>71</v>
      </c>
      <c r="J981" t="s">
        <v>10782</v>
      </c>
      <c r="K981" t="s">
        <v>14800</v>
      </c>
    </row>
    <row r="982" spans="1:11" ht="216" x14ac:dyDescent="0.3">
      <c r="A982" s="4" t="s">
        <v>4394</v>
      </c>
      <c r="B982">
        <v>3</v>
      </c>
      <c r="C982">
        <v>2023</v>
      </c>
      <c r="D982" t="s">
        <v>11159</v>
      </c>
      <c r="E982">
        <v>3</v>
      </c>
      <c r="F982" t="s">
        <v>14801</v>
      </c>
      <c r="G982" t="s">
        <v>14802</v>
      </c>
      <c r="H982" s="4" t="s">
        <v>14803</v>
      </c>
      <c r="I982" t="s">
        <v>71</v>
      </c>
      <c r="J982" t="s">
        <v>10782</v>
      </c>
      <c r="K982" t="s">
        <v>14804</v>
      </c>
    </row>
    <row r="983" spans="1:11" ht="144" x14ac:dyDescent="0.3">
      <c r="A983" s="4" t="s">
        <v>4395</v>
      </c>
      <c r="B983">
        <v>3</v>
      </c>
      <c r="C983">
        <v>2023</v>
      </c>
      <c r="D983" t="s">
        <v>14805</v>
      </c>
      <c r="E983">
        <v>1</v>
      </c>
      <c r="F983" t="s">
        <v>14806</v>
      </c>
      <c r="G983" t="s">
        <v>14807</v>
      </c>
      <c r="H983" s="4" t="s">
        <v>14808</v>
      </c>
      <c r="I983" t="s">
        <v>71</v>
      </c>
      <c r="J983" t="s">
        <v>10782</v>
      </c>
      <c r="K983" t="s">
        <v>14809</v>
      </c>
    </row>
    <row r="984" spans="1:11" ht="187.2" x14ac:dyDescent="0.3">
      <c r="A984" s="4" t="s">
        <v>4396</v>
      </c>
      <c r="B984">
        <v>3</v>
      </c>
      <c r="C984">
        <v>2023</v>
      </c>
      <c r="D984" t="s">
        <v>14810</v>
      </c>
      <c r="E984">
        <v>2</v>
      </c>
      <c r="F984" t="s">
        <v>14811</v>
      </c>
      <c r="G984" t="s">
        <v>14812</v>
      </c>
      <c r="H984" s="4" t="s">
        <v>14813</v>
      </c>
      <c r="I984" t="s">
        <v>10823</v>
      </c>
      <c r="J984" t="s">
        <v>10782</v>
      </c>
      <c r="K984" t="s">
        <v>14814</v>
      </c>
    </row>
    <row r="985" spans="1:11" ht="158.4" x14ac:dyDescent="0.3">
      <c r="A985" s="4" t="s">
        <v>4397</v>
      </c>
      <c r="B985">
        <v>3</v>
      </c>
      <c r="C985">
        <v>2023</v>
      </c>
      <c r="D985" t="s">
        <v>14815</v>
      </c>
      <c r="E985">
        <v>3</v>
      </c>
      <c r="F985" t="s">
        <v>14816</v>
      </c>
      <c r="G985" t="s">
        <v>14817</v>
      </c>
      <c r="H985" s="4" t="s">
        <v>14818</v>
      </c>
      <c r="I985" t="s">
        <v>71</v>
      </c>
      <c r="J985" t="s">
        <v>10782</v>
      </c>
      <c r="K985" t="s">
        <v>14819</v>
      </c>
    </row>
    <row r="986" spans="1:11" ht="172.8" x14ac:dyDescent="0.3">
      <c r="A986" s="4" t="s">
        <v>3228</v>
      </c>
      <c r="B986">
        <v>1</v>
      </c>
      <c r="C986">
        <v>2023</v>
      </c>
      <c r="D986" t="s">
        <v>14820</v>
      </c>
      <c r="E986">
        <v>3</v>
      </c>
      <c r="F986" t="s">
        <v>14821</v>
      </c>
      <c r="G986" t="s">
        <v>14822</v>
      </c>
      <c r="H986" s="4" t="s">
        <v>14823</v>
      </c>
      <c r="I986" t="s">
        <v>71</v>
      </c>
      <c r="J986" t="s">
        <v>10782</v>
      </c>
      <c r="K986" t="s">
        <v>14824</v>
      </c>
    </row>
    <row r="987" spans="1:11" ht="144" x14ac:dyDescent="0.3">
      <c r="A987" s="4" t="s">
        <v>4398</v>
      </c>
      <c r="B987">
        <v>3</v>
      </c>
      <c r="C987">
        <v>2023</v>
      </c>
      <c r="D987" t="s">
        <v>277</v>
      </c>
      <c r="E987">
        <v>5</v>
      </c>
      <c r="F987" t="s">
        <v>14825</v>
      </c>
      <c r="G987" t="s">
        <v>14826</v>
      </c>
      <c r="H987" s="4" t="s">
        <v>14827</v>
      </c>
      <c r="I987" t="s">
        <v>71</v>
      </c>
      <c r="J987" t="s">
        <v>10782</v>
      </c>
      <c r="K987" t="s">
        <v>14828</v>
      </c>
    </row>
    <row r="988" spans="1:11" ht="172.8" x14ac:dyDescent="0.3">
      <c r="A988" s="4" t="s">
        <v>4399</v>
      </c>
      <c r="B988">
        <v>3</v>
      </c>
      <c r="C988">
        <v>2023</v>
      </c>
      <c r="D988" t="s">
        <v>277</v>
      </c>
      <c r="E988">
        <v>1</v>
      </c>
      <c r="F988" t="s">
        <v>14829</v>
      </c>
      <c r="G988" t="s">
        <v>14830</v>
      </c>
      <c r="H988" s="4" t="s">
        <v>14831</v>
      </c>
      <c r="I988" t="s">
        <v>71</v>
      </c>
      <c r="J988" t="s">
        <v>10782</v>
      </c>
      <c r="K988" t="s">
        <v>14832</v>
      </c>
    </row>
    <row r="989" spans="1:11" ht="158.4" x14ac:dyDescent="0.3">
      <c r="A989" s="4" t="s">
        <v>3229</v>
      </c>
      <c r="B989">
        <v>1</v>
      </c>
      <c r="C989">
        <v>2023</v>
      </c>
      <c r="D989" t="s">
        <v>637</v>
      </c>
      <c r="E989">
        <v>2</v>
      </c>
      <c r="F989" t="s">
        <v>14833</v>
      </c>
      <c r="G989" t="s">
        <v>14834</v>
      </c>
      <c r="H989" s="4" t="s">
        <v>14835</v>
      </c>
      <c r="I989" t="s">
        <v>71</v>
      </c>
      <c r="J989" t="s">
        <v>10782</v>
      </c>
      <c r="K989" t="s">
        <v>14836</v>
      </c>
    </row>
    <row r="990" spans="1:11" ht="158.4" x14ac:dyDescent="0.3">
      <c r="A990" s="4" t="s">
        <v>4400</v>
      </c>
      <c r="B990">
        <v>3</v>
      </c>
      <c r="C990">
        <v>2023</v>
      </c>
      <c r="D990" t="s">
        <v>11164</v>
      </c>
      <c r="E990">
        <v>0</v>
      </c>
      <c r="F990" t="s">
        <v>14837</v>
      </c>
      <c r="G990" t="s">
        <v>14838</v>
      </c>
      <c r="H990" s="4" t="s">
        <v>14839</v>
      </c>
      <c r="I990" t="s">
        <v>71</v>
      </c>
      <c r="J990" t="s">
        <v>10782</v>
      </c>
      <c r="K990" t="s">
        <v>14840</v>
      </c>
    </row>
    <row r="991" spans="1:11" ht="72" x14ac:dyDescent="0.3">
      <c r="A991" s="4" t="s">
        <v>715</v>
      </c>
      <c r="B991">
        <v>1</v>
      </c>
      <c r="C991">
        <v>2023</v>
      </c>
      <c r="D991" t="s">
        <v>318</v>
      </c>
      <c r="E991">
        <v>5</v>
      </c>
      <c r="F991" t="s">
        <v>14841</v>
      </c>
      <c r="G991" t="s">
        <v>14842</v>
      </c>
      <c r="H991" s="4" t="s">
        <v>14843</v>
      </c>
    </row>
    <row r="992" spans="1:11" ht="244.8" x14ac:dyDescent="0.3">
      <c r="A992" s="4" t="s">
        <v>4401</v>
      </c>
      <c r="B992">
        <v>3</v>
      </c>
      <c r="C992">
        <v>2023</v>
      </c>
      <c r="D992" t="s">
        <v>2596</v>
      </c>
      <c r="E992">
        <v>2</v>
      </c>
      <c r="F992" t="s">
        <v>14844</v>
      </c>
      <c r="G992" t="s">
        <v>14845</v>
      </c>
      <c r="H992" s="4" t="s">
        <v>14846</v>
      </c>
      <c r="I992" t="s">
        <v>71</v>
      </c>
      <c r="J992" t="s">
        <v>10782</v>
      </c>
      <c r="K992" t="s">
        <v>14847</v>
      </c>
    </row>
    <row r="993" spans="1:11" ht="144" x14ac:dyDescent="0.3">
      <c r="A993" s="4" t="s">
        <v>4402</v>
      </c>
      <c r="B993">
        <v>3</v>
      </c>
      <c r="C993">
        <v>2023</v>
      </c>
      <c r="D993" t="s">
        <v>2416</v>
      </c>
      <c r="E993">
        <v>2</v>
      </c>
      <c r="F993" t="s">
        <v>14848</v>
      </c>
      <c r="G993" t="s">
        <v>14849</v>
      </c>
      <c r="H993" s="4" t="s">
        <v>14850</v>
      </c>
      <c r="I993" t="s">
        <v>71</v>
      </c>
      <c r="J993" t="s">
        <v>10782</v>
      </c>
      <c r="K993" t="s">
        <v>14851</v>
      </c>
    </row>
    <row r="994" spans="1:11" ht="100.8" x14ac:dyDescent="0.3">
      <c r="A994" s="4" t="s">
        <v>3230</v>
      </c>
      <c r="B994">
        <v>1</v>
      </c>
      <c r="C994">
        <v>2023</v>
      </c>
      <c r="D994" t="s">
        <v>1002</v>
      </c>
      <c r="E994">
        <v>3</v>
      </c>
      <c r="F994" t="s">
        <v>14852</v>
      </c>
      <c r="G994" t="s">
        <v>14853</v>
      </c>
      <c r="H994" s="4" t="s">
        <v>14854</v>
      </c>
    </row>
    <row r="995" spans="1:11" ht="115.2" x14ac:dyDescent="0.3">
      <c r="A995" s="4" t="s">
        <v>3231</v>
      </c>
      <c r="B995">
        <v>1</v>
      </c>
      <c r="C995">
        <v>2023</v>
      </c>
      <c r="D995" t="s">
        <v>679</v>
      </c>
      <c r="E995">
        <v>2</v>
      </c>
      <c r="F995" t="s">
        <v>14855</v>
      </c>
      <c r="G995" t="s">
        <v>14856</v>
      </c>
      <c r="H995" s="4" t="s">
        <v>14857</v>
      </c>
      <c r="I995" t="s">
        <v>71</v>
      </c>
      <c r="J995" t="s">
        <v>10782</v>
      </c>
      <c r="K995" t="s">
        <v>14858</v>
      </c>
    </row>
    <row r="996" spans="1:11" ht="244.8" x14ac:dyDescent="0.3">
      <c r="A996" s="4" t="s">
        <v>4403</v>
      </c>
      <c r="B996">
        <v>3</v>
      </c>
      <c r="C996">
        <v>2023</v>
      </c>
      <c r="D996" t="s">
        <v>1936</v>
      </c>
      <c r="E996">
        <v>5</v>
      </c>
      <c r="F996" t="s">
        <v>14859</v>
      </c>
      <c r="G996" t="s">
        <v>14860</v>
      </c>
      <c r="H996" s="4" t="s">
        <v>14861</v>
      </c>
      <c r="I996" t="s">
        <v>71</v>
      </c>
      <c r="J996" t="s">
        <v>10782</v>
      </c>
      <c r="K996" t="s">
        <v>14862</v>
      </c>
    </row>
    <row r="997" spans="1:11" ht="201.6" x14ac:dyDescent="0.3">
      <c r="A997" s="4" t="s">
        <v>4404</v>
      </c>
      <c r="B997">
        <v>3</v>
      </c>
      <c r="C997">
        <v>2023</v>
      </c>
      <c r="D997" t="s">
        <v>14863</v>
      </c>
      <c r="E997">
        <v>2</v>
      </c>
      <c r="F997" t="s">
        <v>14864</v>
      </c>
      <c r="G997" t="s">
        <v>14865</v>
      </c>
      <c r="H997" s="4" t="s">
        <v>14866</v>
      </c>
      <c r="I997" t="s">
        <v>71</v>
      </c>
      <c r="J997" t="s">
        <v>10782</v>
      </c>
      <c r="K997" t="s">
        <v>14867</v>
      </c>
    </row>
    <row r="998" spans="1:11" ht="172.8" x14ac:dyDescent="0.3">
      <c r="A998" s="4" t="s">
        <v>4405</v>
      </c>
      <c r="B998">
        <v>3</v>
      </c>
      <c r="C998">
        <v>2023</v>
      </c>
      <c r="D998" t="s">
        <v>14868</v>
      </c>
      <c r="E998">
        <v>1</v>
      </c>
      <c r="F998" t="s">
        <v>14869</v>
      </c>
      <c r="G998" t="s">
        <v>14870</v>
      </c>
      <c r="H998" s="4" t="s">
        <v>14871</v>
      </c>
      <c r="I998" t="s">
        <v>71</v>
      </c>
      <c r="J998" t="s">
        <v>10782</v>
      </c>
      <c r="K998" t="s">
        <v>14872</v>
      </c>
    </row>
    <row r="999" spans="1:11" ht="172.8" x14ac:dyDescent="0.3">
      <c r="A999" s="4" t="s">
        <v>4406</v>
      </c>
      <c r="B999">
        <v>3</v>
      </c>
      <c r="C999">
        <v>2023</v>
      </c>
      <c r="D999" t="s">
        <v>14873</v>
      </c>
      <c r="E999">
        <v>9</v>
      </c>
      <c r="F999" t="s">
        <v>14874</v>
      </c>
      <c r="G999" t="s">
        <v>14875</v>
      </c>
      <c r="H999" s="4" t="s">
        <v>14876</v>
      </c>
      <c r="I999" t="s">
        <v>10823</v>
      </c>
      <c r="J999" t="s">
        <v>10782</v>
      </c>
      <c r="K999" t="s">
        <v>14877</v>
      </c>
    </row>
    <row r="1000" spans="1:11" ht="216" x14ac:dyDescent="0.3">
      <c r="A1000" s="4" t="s">
        <v>4407</v>
      </c>
      <c r="B1000">
        <v>3</v>
      </c>
      <c r="C1000">
        <v>2023</v>
      </c>
      <c r="D1000" t="s">
        <v>436</v>
      </c>
      <c r="E1000">
        <v>2</v>
      </c>
      <c r="F1000" t="s">
        <v>14878</v>
      </c>
      <c r="G1000" t="s">
        <v>14879</v>
      </c>
      <c r="H1000" s="4" t="s">
        <v>14880</v>
      </c>
    </row>
    <row r="1001" spans="1:11" ht="201.6" x14ac:dyDescent="0.3">
      <c r="A1001" s="4" t="s">
        <v>4408</v>
      </c>
      <c r="B1001">
        <v>3</v>
      </c>
      <c r="C1001">
        <v>2023</v>
      </c>
      <c r="D1001" t="s">
        <v>1936</v>
      </c>
      <c r="E1001">
        <v>6</v>
      </c>
      <c r="F1001" t="s">
        <v>14881</v>
      </c>
      <c r="G1001" t="s">
        <v>14882</v>
      </c>
      <c r="H1001" s="4" t="s">
        <v>14883</v>
      </c>
      <c r="I1001" t="s">
        <v>10823</v>
      </c>
      <c r="J1001" t="s">
        <v>10782</v>
      </c>
      <c r="K1001" t="s">
        <v>14884</v>
      </c>
    </row>
    <row r="1002" spans="1:11" ht="331.2" x14ac:dyDescent="0.3">
      <c r="A1002" s="4" t="s">
        <v>4409</v>
      </c>
      <c r="B1002">
        <v>3</v>
      </c>
      <c r="C1002">
        <v>2023</v>
      </c>
      <c r="D1002" t="s">
        <v>380</v>
      </c>
      <c r="E1002">
        <v>6</v>
      </c>
      <c r="F1002" t="s">
        <v>14885</v>
      </c>
      <c r="G1002" t="s">
        <v>14886</v>
      </c>
      <c r="H1002" s="4" t="s">
        <v>14887</v>
      </c>
      <c r="I1002" t="s">
        <v>71</v>
      </c>
      <c r="J1002" t="s">
        <v>10782</v>
      </c>
      <c r="K1002" t="s">
        <v>14888</v>
      </c>
    </row>
    <row r="1003" spans="1:11" ht="201.6" x14ac:dyDescent="0.3">
      <c r="A1003" s="4" t="s">
        <v>4410</v>
      </c>
      <c r="B1003">
        <v>3</v>
      </c>
      <c r="C1003">
        <v>2023</v>
      </c>
      <c r="D1003" t="s">
        <v>1015</v>
      </c>
      <c r="E1003">
        <v>13</v>
      </c>
      <c r="F1003" t="s">
        <v>14889</v>
      </c>
      <c r="G1003" t="s">
        <v>14890</v>
      </c>
      <c r="H1003" s="4" t="s">
        <v>14891</v>
      </c>
      <c r="I1003" t="s">
        <v>71</v>
      </c>
      <c r="J1003" t="s">
        <v>10782</v>
      </c>
      <c r="K1003" t="s">
        <v>14892</v>
      </c>
    </row>
    <row r="1004" spans="1:11" ht="172.8" x14ac:dyDescent="0.3">
      <c r="A1004" s="4" t="s">
        <v>4411</v>
      </c>
      <c r="B1004">
        <v>3</v>
      </c>
      <c r="C1004">
        <v>2023</v>
      </c>
      <c r="D1004" t="s">
        <v>2018</v>
      </c>
      <c r="E1004">
        <v>11</v>
      </c>
      <c r="F1004" t="s">
        <v>14893</v>
      </c>
      <c r="G1004" t="s">
        <v>14894</v>
      </c>
      <c r="H1004" s="4" t="s">
        <v>14895</v>
      </c>
      <c r="I1004" t="s">
        <v>71</v>
      </c>
      <c r="J1004" t="s">
        <v>10782</v>
      </c>
      <c r="K1004" t="s">
        <v>14896</v>
      </c>
    </row>
    <row r="1005" spans="1:11" ht="144" x14ac:dyDescent="0.3">
      <c r="A1005" s="4" t="s">
        <v>3232</v>
      </c>
      <c r="B1005">
        <v>1</v>
      </c>
      <c r="C1005">
        <v>2023</v>
      </c>
      <c r="D1005" t="s">
        <v>1129</v>
      </c>
      <c r="E1005">
        <v>10</v>
      </c>
      <c r="F1005" t="s">
        <v>14897</v>
      </c>
      <c r="G1005" t="s">
        <v>14898</v>
      </c>
      <c r="H1005" s="4" t="s">
        <v>14899</v>
      </c>
      <c r="I1005" t="s">
        <v>71</v>
      </c>
      <c r="J1005" t="s">
        <v>10782</v>
      </c>
      <c r="K1005" t="s">
        <v>14900</v>
      </c>
    </row>
    <row r="1006" spans="1:11" ht="201.6" x14ac:dyDescent="0.3">
      <c r="A1006" s="4" t="s">
        <v>4412</v>
      </c>
      <c r="B1006">
        <v>3</v>
      </c>
      <c r="C1006">
        <v>2023</v>
      </c>
      <c r="D1006" t="s">
        <v>11327</v>
      </c>
      <c r="E1006">
        <v>2</v>
      </c>
      <c r="F1006" t="s">
        <v>14901</v>
      </c>
      <c r="G1006" t="s">
        <v>14902</v>
      </c>
      <c r="H1006" s="4" t="s">
        <v>14903</v>
      </c>
      <c r="I1006" t="s">
        <v>71</v>
      </c>
      <c r="J1006" t="s">
        <v>10782</v>
      </c>
      <c r="K1006" t="s">
        <v>14904</v>
      </c>
    </row>
    <row r="1007" spans="1:11" ht="57.6" x14ac:dyDescent="0.3">
      <c r="A1007" s="4" t="s">
        <v>4413</v>
      </c>
      <c r="B1007">
        <v>3</v>
      </c>
      <c r="C1007">
        <v>2023</v>
      </c>
      <c r="D1007" t="s">
        <v>14905</v>
      </c>
      <c r="E1007">
        <v>0</v>
      </c>
      <c r="F1007" t="s">
        <v>14906</v>
      </c>
      <c r="G1007" t="s">
        <v>14907</v>
      </c>
      <c r="H1007" s="4" t="s">
        <v>14908</v>
      </c>
    </row>
    <row r="1008" spans="1:11" ht="259.2" x14ac:dyDescent="0.3">
      <c r="A1008" s="4" t="s">
        <v>4414</v>
      </c>
      <c r="B1008">
        <v>3</v>
      </c>
      <c r="C1008">
        <v>2023</v>
      </c>
      <c r="D1008" t="s">
        <v>14909</v>
      </c>
      <c r="E1008">
        <v>4</v>
      </c>
      <c r="F1008" t="s">
        <v>14910</v>
      </c>
      <c r="G1008" t="s">
        <v>14911</v>
      </c>
      <c r="H1008" s="4" t="s">
        <v>14912</v>
      </c>
      <c r="I1008" t="s">
        <v>71</v>
      </c>
      <c r="J1008" t="s">
        <v>10782</v>
      </c>
      <c r="K1008" t="s">
        <v>14913</v>
      </c>
    </row>
    <row r="1009" spans="1:11" ht="216" x14ac:dyDescent="0.3">
      <c r="A1009" s="4" t="s">
        <v>4415</v>
      </c>
      <c r="B1009">
        <v>3</v>
      </c>
      <c r="C1009">
        <v>2023</v>
      </c>
      <c r="D1009" t="s">
        <v>80</v>
      </c>
      <c r="E1009">
        <v>6</v>
      </c>
      <c r="F1009" t="s">
        <v>14914</v>
      </c>
      <c r="G1009" t="s">
        <v>14915</v>
      </c>
      <c r="H1009" s="4" t="s">
        <v>14916</v>
      </c>
      <c r="I1009" t="s">
        <v>71</v>
      </c>
      <c r="J1009" t="s">
        <v>10782</v>
      </c>
      <c r="K1009" t="s">
        <v>14917</v>
      </c>
    </row>
    <row r="1010" spans="1:11" ht="201.6" x14ac:dyDescent="0.3">
      <c r="A1010" s="4" t="s">
        <v>4416</v>
      </c>
      <c r="B1010">
        <v>3</v>
      </c>
      <c r="C1010">
        <v>2023</v>
      </c>
      <c r="D1010" t="s">
        <v>14918</v>
      </c>
      <c r="E1010">
        <v>0</v>
      </c>
      <c r="F1010" t="s">
        <v>14919</v>
      </c>
      <c r="G1010" t="s">
        <v>14920</v>
      </c>
      <c r="H1010" s="4" t="s">
        <v>14921</v>
      </c>
      <c r="I1010" t="s">
        <v>71</v>
      </c>
      <c r="J1010" t="s">
        <v>10782</v>
      </c>
      <c r="K1010" t="s">
        <v>14922</v>
      </c>
    </row>
    <row r="1011" spans="1:11" ht="187.2" x14ac:dyDescent="0.3">
      <c r="A1011" s="4" t="s">
        <v>4417</v>
      </c>
      <c r="B1011">
        <v>3</v>
      </c>
      <c r="C1011">
        <v>2023</v>
      </c>
      <c r="D1011" t="s">
        <v>405</v>
      </c>
      <c r="E1011">
        <v>2</v>
      </c>
      <c r="F1011" t="s">
        <v>14923</v>
      </c>
      <c r="G1011" t="s">
        <v>14924</v>
      </c>
      <c r="H1011" s="4" t="s">
        <v>14925</v>
      </c>
      <c r="I1011" t="s">
        <v>71</v>
      </c>
      <c r="J1011" t="s">
        <v>10782</v>
      </c>
      <c r="K1011" t="s">
        <v>14926</v>
      </c>
    </row>
    <row r="1012" spans="1:11" ht="144" x14ac:dyDescent="0.3">
      <c r="A1012" s="4" t="s">
        <v>4418</v>
      </c>
      <c r="B1012">
        <v>3</v>
      </c>
      <c r="C1012">
        <v>2023</v>
      </c>
      <c r="D1012" t="s">
        <v>544</v>
      </c>
      <c r="E1012">
        <v>1</v>
      </c>
      <c r="F1012" t="s">
        <v>14927</v>
      </c>
      <c r="G1012" t="s">
        <v>14928</v>
      </c>
      <c r="H1012" s="4" t="s">
        <v>14929</v>
      </c>
    </row>
    <row r="1013" spans="1:11" ht="158.4" x14ac:dyDescent="0.3">
      <c r="A1013" s="4" t="s">
        <v>4419</v>
      </c>
      <c r="B1013">
        <v>3</v>
      </c>
      <c r="C1013">
        <v>2023</v>
      </c>
      <c r="D1013" t="s">
        <v>1129</v>
      </c>
      <c r="E1013">
        <v>3</v>
      </c>
      <c r="F1013" t="s">
        <v>14930</v>
      </c>
      <c r="G1013" t="s">
        <v>14931</v>
      </c>
      <c r="H1013" s="4" t="s">
        <v>14932</v>
      </c>
      <c r="I1013" t="s">
        <v>71</v>
      </c>
      <c r="J1013" t="s">
        <v>10782</v>
      </c>
      <c r="K1013" t="s">
        <v>14933</v>
      </c>
    </row>
    <row r="1014" spans="1:11" ht="158.4" x14ac:dyDescent="0.3">
      <c r="A1014" s="4" t="s">
        <v>3507</v>
      </c>
      <c r="B1014">
        <v>2</v>
      </c>
      <c r="C1014">
        <v>2023</v>
      </c>
      <c r="D1014" t="s">
        <v>1129</v>
      </c>
      <c r="E1014">
        <v>23</v>
      </c>
      <c r="F1014" t="s">
        <v>14934</v>
      </c>
      <c r="G1014" t="s">
        <v>14935</v>
      </c>
      <c r="H1014" s="4" t="s">
        <v>14936</v>
      </c>
    </row>
    <row r="1015" spans="1:11" ht="244.8" x14ac:dyDescent="0.3">
      <c r="A1015" s="4" t="s">
        <v>3508</v>
      </c>
      <c r="B1015">
        <v>2</v>
      </c>
      <c r="C1015">
        <v>2023</v>
      </c>
      <c r="D1015" t="s">
        <v>10057</v>
      </c>
      <c r="E1015">
        <v>11</v>
      </c>
      <c r="F1015" t="s">
        <v>14937</v>
      </c>
      <c r="G1015" t="s">
        <v>14938</v>
      </c>
      <c r="H1015" s="4" t="s">
        <v>14939</v>
      </c>
      <c r="I1015" t="s">
        <v>71</v>
      </c>
      <c r="J1015" t="s">
        <v>10782</v>
      </c>
      <c r="K1015" t="s">
        <v>14940</v>
      </c>
    </row>
    <row r="1016" spans="1:11" ht="172.8" x14ac:dyDescent="0.3">
      <c r="A1016" s="4" t="s">
        <v>4420</v>
      </c>
      <c r="B1016">
        <v>3</v>
      </c>
      <c r="C1016">
        <v>2023</v>
      </c>
      <c r="D1016" t="s">
        <v>1849</v>
      </c>
      <c r="E1016">
        <v>0</v>
      </c>
      <c r="F1016" t="s">
        <v>14941</v>
      </c>
      <c r="G1016" t="s">
        <v>14942</v>
      </c>
      <c r="H1016" s="4" t="s">
        <v>14943</v>
      </c>
      <c r="I1016" t="s">
        <v>71</v>
      </c>
      <c r="J1016" t="s">
        <v>10782</v>
      </c>
      <c r="K1016" t="s">
        <v>14944</v>
      </c>
    </row>
    <row r="1017" spans="1:11" ht="158.4" x14ac:dyDescent="0.3">
      <c r="A1017" s="4" t="s">
        <v>4421</v>
      </c>
      <c r="B1017">
        <v>3</v>
      </c>
      <c r="C1017">
        <v>2023</v>
      </c>
      <c r="D1017" t="s">
        <v>10169</v>
      </c>
      <c r="E1017">
        <v>10</v>
      </c>
      <c r="F1017" t="s">
        <v>14945</v>
      </c>
      <c r="G1017" t="s">
        <v>14946</v>
      </c>
      <c r="H1017" s="4" t="s">
        <v>14947</v>
      </c>
      <c r="I1017" t="s">
        <v>71</v>
      </c>
      <c r="J1017" t="s">
        <v>10782</v>
      </c>
      <c r="K1017" t="s">
        <v>14948</v>
      </c>
    </row>
    <row r="1018" spans="1:11" ht="244.8" x14ac:dyDescent="0.3">
      <c r="A1018" s="4" t="s">
        <v>4422</v>
      </c>
      <c r="B1018">
        <v>3</v>
      </c>
      <c r="C1018">
        <v>2023</v>
      </c>
      <c r="D1018" t="s">
        <v>10937</v>
      </c>
      <c r="E1018">
        <v>6</v>
      </c>
      <c r="F1018" t="s">
        <v>14949</v>
      </c>
      <c r="G1018" t="s">
        <v>14950</v>
      </c>
      <c r="H1018" s="4" t="s">
        <v>14951</v>
      </c>
      <c r="I1018" t="s">
        <v>71</v>
      </c>
      <c r="J1018" t="s">
        <v>10782</v>
      </c>
      <c r="K1018" t="s">
        <v>14952</v>
      </c>
    </row>
    <row r="1019" spans="1:11" ht="72" x14ac:dyDescent="0.3">
      <c r="A1019" s="4" t="s">
        <v>4423</v>
      </c>
      <c r="B1019">
        <v>3</v>
      </c>
      <c r="C1019">
        <v>2023</v>
      </c>
      <c r="D1019" t="s">
        <v>11327</v>
      </c>
      <c r="E1019">
        <v>1</v>
      </c>
      <c r="F1019" t="s">
        <v>14953</v>
      </c>
      <c r="G1019" t="s">
        <v>14954</v>
      </c>
      <c r="H1019" s="4" t="s">
        <v>14955</v>
      </c>
    </row>
    <row r="1020" spans="1:11" ht="244.8" x14ac:dyDescent="0.3">
      <c r="A1020" s="4" t="s">
        <v>4424</v>
      </c>
      <c r="B1020">
        <v>3</v>
      </c>
      <c r="C1020">
        <v>2023</v>
      </c>
      <c r="D1020" t="s">
        <v>1836</v>
      </c>
      <c r="E1020">
        <v>6</v>
      </c>
      <c r="F1020" t="s">
        <v>14956</v>
      </c>
      <c r="G1020" t="s">
        <v>14957</v>
      </c>
      <c r="H1020" s="4" t="s">
        <v>14958</v>
      </c>
      <c r="I1020" t="s">
        <v>71</v>
      </c>
      <c r="J1020" t="s">
        <v>10782</v>
      </c>
      <c r="K1020" t="s">
        <v>14959</v>
      </c>
    </row>
    <row r="1021" spans="1:11" ht="201.6" x14ac:dyDescent="0.3">
      <c r="A1021" s="4" t="s">
        <v>4425</v>
      </c>
      <c r="B1021">
        <v>3</v>
      </c>
      <c r="C1021">
        <v>2023</v>
      </c>
      <c r="D1021" t="s">
        <v>637</v>
      </c>
      <c r="E1021">
        <v>2</v>
      </c>
      <c r="F1021" t="s">
        <v>14960</v>
      </c>
      <c r="G1021" t="s">
        <v>14961</v>
      </c>
      <c r="H1021" s="4" t="s">
        <v>14962</v>
      </c>
      <c r="I1021" t="s">
        <v>71</v>
      </c>
      <c r="J1021" t="s">
        <v>10782</v>
      </c>
      <c r="K1021" t="s">
        <v>14963</v>
      </c>
    </row>
    <row r="1022" spans="1:11" ht="86.4" x14ac:dyDescent="0.3">
      <c r="A1022" s="4" t="s">
        <v>4426</v>
      </c>
      <c r="B1022">
        <v>3</v>
      </c>
      <c r="C1022">
        <v>2023</v>
      </c>
      <c r="D1022" t="s">
        <v>1770</v>
      </c>
      <c r="E1022">
        <v>7</v>
      </c>
      <c r="F1022" t="s">
        <v>14964</v>
      </c>
      <c r="G1022" t="s">
        <v>14965</v>
      </c>
      <c r="H1022" s="4" t="s">
        <v>14966</v>
      </c>
    </row>
    <row r="1023" spans="1:11" ht="216" x14ac:dyDescent="0.3">
      <c r="A1023" s="4" t="s">
        <v>4427</v>
      </c>
      <c r="B1023">
        <v>3</v>
      </c>
      <c r="C1023">
        <v>2023</v>
      </c>
      <c r="D1023" t="s">
        <v>12080</v>
      </c>
      <c r="E1023">
        <v>4</v>
      </c>
      <c r="F1023" t="s">
        <v>14967</v>
      </c>
      <c r="G1023" t="s">
        <v>14968</v>
      </c>
      <c r="H1023" s="4" t="s">
        <v>14969</v>
      </c>
      <c r="I1023" t="s">
        <v>10823</v>
      </c>
      <c r="J1023" t="s">
        <v>10782</v>
      </c>
      <c r="K1023" t="s">
        <v>14970</v>
      </c>
    </row>
    <row r="1024" spans="1:11" ht="273.60000000000002" x14ac:dyDescent="0.3">
      <c r="A1024" s="4" t="s">
        <v>4428</v>
      </c>
      <c r="B1024">
        <v>3</v>
      </c>
      <c r="C1024">
        <v>2023</v>
      </c>
      <c r="D1024" t="s">
        <v>2763</v>
      </c>
      <c r="E1024">
        <v>8</v>
      </c>
      <c r="F1024" t="s">
        <v>14971</v>
      </c>
      <c r="G1024" t="s">
        <v>14972</v>
      </c>
      <c r="H1024" s="4" t="s">
        <v>14973</v>
      </c>
      <c r="I1024" t="s">
        <v>71</v>
      </c>
      <c r="J1024" t="s">
        <v>10782</v>
      </c>
      <c r="K1024" t="s">
        <v>14974</v>
      </c>
    </row>
    <row r="1025" spans="1:11" ht="201.6" x14ac:dyDescent="0.3">
      <c r="A1025" s="4" t="s">
        <v>4429</v>
      </c>
      <c r="B1025">
        <v>3</v>
      </c>
      <c r="C1025">
        <v>2023</v>
      </c>
      <c r="D1025" t="s">
        <v>11041</v>
      </c>
      <c r="E1025">
        <v>4</v>
      </c>
      <c r="F1025" t="s">
        <v>14975</v>
      </c>
      <c r="G1025" t="s">
        <v>14976</v>
      </c>
      <c r="H1025" s="4" t="s">
        <v>14977</v>
      </c>
      <c r="I1025" t="s">
        <v>71</v>
      </c>
      <c r="J1025" t="s">
        <v>10782</v>
      </c>
      <c r="K1025" t="s">
        <v>14978</v>
      </c>
    </row>
    <row r="1026" spans="1:11" ht="216" x14ac:dyDescent="0.3">
      <c r="A1026" s="4" t="s">
        <v>4430</v>
      </c>
      <c r="B1026">
        <v>3</v>
      </c>
      <c r="C1026">
        <v>2023</v>
      </c>
      <c r="D1026" t="s">
        <v>14815</v>
      </c>
      <c r="E1026">
        <v>3</v>
      </c>
      <c r="F1026" t="s">
        <v>14979</v>
      </c>
      <c r="G1026" t="s">
        <v>14980</v>
      </c>
      <c r="H1026" s="4" t="s">
        <v>14981</v>
      </c>
      <c r="I1026" t="s">
        <v>71</v>
      </c>
      <c r="J1026" t="s">
        <v>10782</v>
      </c>
      <c r="K1026" t="s">
        <v>14982</v>
      </c>
    </row>
    <row r="1027" spans="1:11" ht="216" x14ac:dyDescent="0.3">
      <c r="A1027" s="4" t="s">
        <v>4431</v>
      </c>
      <c r="B1027">
        <v>3</v>
      </c>
      <c r="C1027">
        <v>2023</v>
      </c>
      <c r="D1027" t="s">
        <v>14512</v>
      </c>
      <c r="E1027">
        <v>3</v>
      </c>
      <c r="F1027" t="s">
        <v>14983</v>
      </c>
      <c r="G1027" t="s">
        <v>14984</v>
      </c>
      <c r="H1027" s="4" t="s">
        <v>14985</v>
      </c>
      <c r="I1027" t="s">
        <v>71</v>
      </c>
      <c r="J1027" t="s">
        <v>10782</v>
      </c>
      <c r="K1027" t="s">
        <v>14986</v>
      </c>
    </row>
    <row r="1028" spans="1:11" ht="158.4" x14ac:dyDescent="0.3">
      <c r="A1028" s="4" t="s">
        <v>4432</v>
      </c>
      <c r="B1028">
        <v>3</v>
      </c>
      <c r="C1028">
        <v>2023</v>
      </c>
      <c r="D1028" t="s">
        <v>2886</v>
      </c>
      <c r="E1028">
        <v>22</v>
      </c>
      <c r="F1028" t="s">
        <v>14987</v>
      </c>
      <c r="G1028" t="s">
        <v>14988</v>
      </c>
      <c r="H1028" s="4" t="s">
        <v>14989</v>
      </c>
      <c r="I1028" t="s">
        <v>10823</v>
      </c>
      <c r="J1028" t="s">
        <v>10782</v>
      </c>
      <c r="K1028" t="s">
        <v>14990</v>
      </c>
    </row>
    <row r="1029" spans="1:11" ht="172.8" x14ac:dyDescent="0.3">
      <c r="A1029" s="4" t="s">
        <v>4433</v>
      </c>
      <c r="B1029">
        <v>3</v>
      </c>
      <c r="C1029">
        <v>2023</v>
      </c>
      <c r="D1029" t="s">
        <v>12037</v>
      </c>
      <c r="E1029">
        <v>11</v>
      </c>
      <c r="F1029" t="s">
        <v>14991</v>
      </c>
      <c r="G1029" t="s">
        <v>14992</v>
      </c>
      <c r="H1029" s="4" t="s">
        <v>14993</v>
      </c>
      <c r="I1029" t="s">
        <v>71</v>
      </c>
      <c r="J1029" t="s">
        <v>10782</v>
      </c>
      <c r="K1029" t="s">
        <v>14994</v>
      </c>
    </row>
    <row r="1030" spans="1:11" ht="201.6" x14ac:dyDescent="0.3">
      <c r="A1030" s="4" t="s">
        <v>4434</v>
      </c>
      <c r="B1030">
        <v>3</v>
      </c>
      <c r="C1030">
        <v>2023</v>
      </c>
      <c r="D1030" t="s">
        <v>1770</v>
      </c>
      <c r="E1030">
        <v>9</v>
      </c>
      <c r="F1030" t="s">
        <v>14995</v>
      </c>
      <c r="G1030" t="s">
        <v>14996</v>
      </c>
      <c r="H1030" s="4" t="s">
        <v>14997</v>
      </c>
      <c r="I1030" t="s">
        <v>71</v>
      </c>
      <c r="J1030" t="s">
        <v>10782</v>
      </c>
      <c r="K1030" t="s">
        <v>14998</v>
      </c>
    </row>
    <row r="1031" spans="1:11" ht="158.4" x14ac:dyDescent="0.3">
      <c r="A1031" s="4" t="s">
        <v>2545</v>
      </c>
      <c r="B1031">
        <v>2</v>
      </c>
      <c r="C1031">
        <v>2023</v>
      </c>
      <c r="D1031" t="s">
        <v>1015</v>
      </c>
      <c r="E1031">
        <v>1</v>
      </c>
      <c r="F1031" t="s">
        <v>14999</v>
      </c>
      <c r="G1031" t="s">
        <v>15000</v>
      </c>
      <c r="H1031" s="4" t="s">
        <v>15001</v>
      </c>
      <c r="I1031" t="s">
        <v>71</v>
      </c>
      <c r="J1031" t="s">
        <v>10782</v>
      </c>
      <c r="K1031" t="s">
        <v>15002</v>
      </c>
    </row>
    <row r="1032" spans="1:11" ht="115.2" x14ac:dyDescent="0.3">
      <c r="A1032" s="4" t="s">
        <v>3509</v>
      </c>
      <c r="B1032">
        <v>2</v>
      </c>
      <c r="C1032">
        <v>2023</v>
      </c>
      <c r="D1032" t="s">
        <v>1129</v>
      </c>
      <c r="E1032">
        <v>13</v>
      </c>
      <c r="F1032" t="s">
        <v>15003</v>
      </c>
      <c r="G1032" t="s">
        <v>15004</v>
      </c>
      <c r="H1032" s="4" t="s">
        <v>15005</v>
      </c>
      <c r="I1032" t="s">
        <v>71</v>
      </c>
      <c r="J1032" t="s">
        <v>10782</v>
      </c>
      <c r="K1032" t="s">
        <v>15006</v>
      </c>
    </row>
    <row r="1033" spans="1:11" ht="158.4" x14ac:dyDescent="0.3">
      <c r="A1033" s="4" t="s">
        <v>4435</v>
      </c>
      <c r="B1033">
        <v>3</v>
      </c>
      <c r="C1033">
        <v>2023</v>
      </c>
      <c r="D1033" t="s">
        <v>637</v>
      </c>
      <c r="E1033">
        <v>7</v>
      </c>
      <c r="F1033" t="s">
        <v>15007</v>
      </c>
      <c r="G1033" t="s">
        <v>15008</v>
      </c>
      <c r="H1033" s="4" t="s">
        <v>15009</v>
      </c>
      <c r="I1033" t="s">
        <v>71</v>
      </c>
      <c r="J1033" t="s">
        <v>10782</v>
      </c>
      <c r="K1033" t="s">
        <v>15010</v>
      </c>
    </row>
    <row r="1034" spans="1:11" ht="172.8" x14ac:dyDescent="0.3">
      <c r="A1034" s="4" t="s">
        <v>4436</v>
      </c>
      <c r="B1034">
        <v>3</v>
      </c>
      <c r="C1034">
        <v>2023</v>
      </c>
      <c r="D1034" t="s">
        <v>15011</v>
      </c>
      <c r="E1034">
        <v>2</v>
      </c>
      <c r="F1034" t="s">
        <v>15012</v>
      </c>
      <c r="G1034" t="s">
        <v>15013</v>
      </c>
      <c r="H1034" s="4" t="s">
        <v>15014</v>
      </c>
      <c r="I1034" t="s">
        <v>71</v>
      </c>
      <c r="J1034" t="s">
        <v>10782</v>
      </c>
      <c r="K1034" t="s">
        <v>15015</v>
      </c>
    </row>
    <row r="1035" spans="1:11" ht="216" x14ac:dyDescent="0.3">
      <c r="A1035" s="4" t="s">
        <v>4437</v>
      </c>
      <c r="B1035">
        <v>3</v>
      </c>
      <c r="C1035">
        <v>2023</v>
      </c>
      <c r="D1035" t="s">
        <v>550</v>
      </c>
      <c r="E1035">
        <v>8</v>
      </c>
      <c r="F1035" t="s">
        <v>15016</v>
      </c>
      <c r="G1035" t="s">
        <v>15017</v>
      </c>
      <c r="H1035" s="4" t="s">
        <v>15018</v>
      </c>
    </row>
    <row r="1036" spans="1:11" ht="201.6" x14ac:dyDescent="0.3">
      <c r="A1036" s="4" t="s">
        <v>4438</v>
      </c>
      <c r="B1036">
        <v>3</v>
      </c>
      <c r="C1036">
        <v>2023</v>
      </c>
      <c r="D1036" t="s">
        <v>637</v>
      </c>
      <c r="E1036">
        <v>7</v>
      </c>
      <c r="F1036" t="s">
        <v>15019</v>
      </c>
      <c r="G1036" t="s">
        <v>15020</v>
      </c>
      <c r="H1036" s="4" t="s">
        <v>15021</v>
      </c>
      <c r="I1036" t="s">
        <v>71</v>
      </c>
      <c r="J1036" t="s">
        <v>10782</v>
      </c>
      <c r="K1036" t="s">
        <v>15022</v>
      </c>
    </row>
    <row r="1037" spans="1:11" ht="100.8" x14ac:dyDescent="0.3">
      <c r="A1037" s="4" t="s">
        <v>4439</v>
      </c>
      <c r="B1037">
        <v>3</v>
      </c>
      <c r="C1037">
        <v>2023</v>
      </c>
      <c r="D1037" t="s">
        <v>234</v>
      </c>
      <c r="E1037">
        <v>4</v>
      </c>
      <c r="F1037" t="s">
        <v>15023</v>
      </c>
      <c r="G1037" t="s">
        <v>15024</v>
      </c>
      <c r="H1037" s="4" t="s">
        <v>15025</v>
      </c>
    </row>
    <row r="1038" spans="1:11" ht="201.6" x14ac:dyDescent="0.3">
      <c r="A1038" s="4" t="s">
        <v>4440</v>
      </c>
      <c r="B1038">
        <v>3</v>
      </c>
      <c r="C1038">
        <v>2023</v>
      </c>
      <c r="D1038" t="s">
        <v>277</v>
      </c>
      <c r="E1038">
        <v>14</v>
      </c>
      <c r="F1038" t="s">
        <v>15026</v>
      </c>
      <c r="G1038" t="s">
        <v>15027</v>
      </c>
      <c r="H1038" s="4" t="s">
        <v>15028</v>
      </c>
      <c r="I1038" t="s">
        <v>71</v>
      </c>
      <c r="J1038" t="s">
        <v>10782</v>
      </c>
      <c r="K1038" t="s">
        <v>15029</v>
      </c>
    </row>
    <row r="1039" spans="1:11" ht="144" x14ac:dyDescent="0.3">
      <c r="A1039" s="4" t="s">
        <v>4441</v>
      </c>
      <c r="B1039">
        <v>3</v>
      </c>
      <c r="C1039">
        <v>2023</v>
      </c>
      <c r="D1039" t="s">
        <v>2416</v>
      </c>
      <c r="E1039">
        <v>11</v>
      </c>
      <c r="F1039" t="s">
        <v>15030</v>
      </c>
      <c r="G1039" t="s">
        <v>15031</v>
      </c>
      <c r="H1039" s="4" t="s">
        <v>15032</v>
      </c>
      <c r="I1039" t="s">
        <v>71</v>
      </c>
      <c r="J1039" t="s">
        <v>10782</v>
      </c>
      <c r="K1039" t="s">
        <v>15033</v>
      </c>
    </row>
    <row r="1040" spans="1:11" ht="158.4" x14ac:dyDescent="0.3">
      <c r="A1040" s="4" t="s">
        <v>4442</v>
      </c>
      <c r="B1040">
        <v>3</v>
      </c>
      <c r="C1040">
        <v>2023</v>
      </c>
      <c r="D1040" t="s">
        <v>12080</v>
      </c>
      <c r="E1040">
        <v>0</v>
      </c>
      <c r="F1040" t="s">
        <v>15034</v>
      </c>
      <c r="G1040" t="s">
        <v>15035</v>
      </c>
      <c r="H1040" s="4" t="s">
        <v>15036</v>
      </c>
      <c r="I1040" t="s">
        <v>71</v>
      </c>
      <c r="J1040" t="s">
        <v>10782</v>
      </c>
      <c r="K1040" t="s">
        <v>15037</v>
      </c>
    </row>
    <row r="1041" spans="1:11" ht="115.2" x14ac:dyDescent="0.3">
      <c r="A1041" s="4" t="s">
        <v>4443</v>
      </c>
      <c r="B1041">
        <v>3</v>
      </c>
      <c r="C1041">
        <v>2023</v>
      </c>
      <c r="D1041" t="s">
        <v>15038</v>
      </c>
      <c r="E1041">
        <v>17</v>
      </c>
      <c r="F1041" t="s">
        <v>15039</v>
      </c>
      <c r="G1041" t="s">
        <v>15040</v>
      </c>
      <c r="H1041" s="4" t="s">
        <v>15041</v>
      </c>
    </row>
    <row r="1042" spans="1:11" ht="100.8" x14ac:dyDescent="0.3">
      <c r="A1042" s="4" t="s">
        <v>4444</v>
      </c>
      <c r="B1042">
        <v>3</v>
      </c>
      <c r="C1042">
        <v>2023</v>
      </c>
      <c r="D1042" t="s">
        <v>217</v>
      </c>
      <c r="E1042">
        <v>8</v>
      </c>
      <c r="F1042" t="s">
        <v>15042</v>
      </c>
      <c r="G1042" t="s">
        <v>15043</v>
      </c>
      <c r="H1042" s="4" t="s">
        <v>15044</v>
      </c>
    </row>
    <row r="1043" spans="1:11" ht="187.2" x14ac:dyDescent="0.3">
      <c r="A1043" s="4" t="s">
        <v>4445</v>
      </c>
      <c r="B1043">
        <v>3</v>
      </c>
      <c r="C1043">
        <v>2023</v>
      </c>
      <c r="D1043" t="s">
        <v>10169</v>
      </c>
      <c r="E1043">
        <v>6</v>
      </c>
      <c r="F1043" t="s">
        <v>15045</v>
      </c>
      <c r="G1043" t="s">
        <v>15046</v>
      </c>
      <c r="H1043" s="4" t="s">
        <v>15047</v>
      </c>
      <c r="I1043" t="s">
        <v>71</v>
      </c>
      <c r="J1043" t="s">
        <v>10782</v>
      </c>
      <c r="K1043" t="s">
        <v>15048</v>
      </c>
    </row>
    <row r="1044" spans="1:11" ht="100.8" x14ac:dyDescent="0.3">
      <c r="A1044" s="4" t="s">
        <v>4446</v>
      </c>
      <c r="B1044">
        <v>3</v>
      </c>
      <c r="C1044">
        <v>2023</v>
      </c>
      <c r="D1044" t="s">
        <v>11617</v>
      </c>
      <c r="E1044">
        <v>0</v>
      </c>
      <c r="F1044" t="s">
        <v>15049</v>
      </c>
      <c r="G1044" t="s">
        <v>15050</v>
      </c>
      <c r="H1044" s="4" t="s">
        <v>15051</v>
      </c>
    </row>
    <row r="1045" spans="1:11" ht="172.8" x14ac:dyDescent="0.3">
      <c r="A1045" s="4" t="s">
        <v>4447</v>
      </c>
      <c r="B1045">
        <v>3</v>
      </c>
      <c r="C1045">
        <v>2023</v>
      </c>
      <c r="D1045" t="s">
        <v>363</v>
      </c>
      <c r="E1045">
        <v>9</v>
      </c>
      <c r="F1045" t="s">
        <v>15052</v>
      </c>
      <c r="G1045" t="s">
        <v>15053</v>
      </c>
      <c r="H1045" s="4" t="s">
        <v>15054</v>
      </c>
      <c r="I1045" t="s">
        <v>71</v>
      </c>
      <c r="J1045" t="s">
        <v>10782</v>
      </c>
      <c r="K1045" t="s">
        <v>15055</v>
      </c>
    </row>
    <row r="1046" spans="1:11" ht="57.6" x14ac:dyDescent="0.3">
      <c r="A1046" s="4" t="s">
        <v>4448</v>
      </c>
      <c r="B1046">
        <v>3</v>
      </c>
      <c r="C1046">
        <v>2023</v>
      </c>
      <c r="D1046" t="s">
        <v>2742</v>
      </c>
      <c r="E1046">
        <v>1</v>
      </c>
      <c r="F1046" t="s">
        <v>15056</v>
      </c>
      <c r="G1046" t="s">
        <v>15057</v>
      </c>
      <c r="H1046" s="4" t="s">
        <v>15058</v>
      </c>
    </row>
    <row r="1047" spans="1:11" ht="259.2" x14ac:dyDescent="0.3">
      <c r="A1047" s="4" t="s">
        <v>4449</v>
      </c>
      <c r="B1047">
        <v>3</v>
      </c>
      <c r="C1047">
        <v>2023</v>
      </c>
      <c r="D1047" t="s">
        <v>1530</v>
      </c>
      <c r="E1047">
        <v>0</v>
      </c>
      <c r="F1047" t="s">
        <v>15059</v>
      </c>
      <c r="G1047" t="s">
        <v>15060</v>
      </c>
      <c r="H1047" s="4" t="s">
        <v>15061</v>
      </c>
      <c r="I1047" t="s">
        <v>71</v>
      </c>
      <c r="J1047" t="s">
        <v>10782</v>
      </c>
      <c r="K1047" t="s">
        <v>15062</v>
      </c>
    </row>
    <row r="1048" spans="1:11" ht="187.2" x14ac:dyDescent="0.3">
      <c r="A1048" s="4" t="s">
        <v>4450</v>
      </c>
      <c r="B1048">
        <v>3</v>
      </c>
      <c r="C1048">
        <v>2023</v>
      </c>
      <c r="D1048" t="s">
        <v>217</v>
      </c>
      <c r="E1048">
        <v>4</v>
      </c>
      <c r="F1048" t="s">
        <v>15063</v>
      </c>
      <c r="G1048" t="s">
        <v>15064</v>
      </c>
      <c r="H1048" s="4" t="s">
        <v>15065</v>
      </c>
      <c r="I1048" t="s">
        <v>71</v>
      </c>
      <c r="J1048" t="s">
        <v>10782</v>
      </c>
      <c r="K1048" t="s">
        <v>15066</v>
      </c>
    </row>
    <row r="1049" spans="1:11" ht="230.4" x14ac:dyDescent="0.3">
      <c r="A1049" s="4" t="s">
        <v>725</v>
      </c>
      <c r="B1049">
        <v>1</v>
      </c>
      <c r="C1049">
        <v>2023</v>
      </c>
      <c r="D1049" t="s">
        <v>724</v>
      </c>
      <c r="E1049">
        <v>1</v>
      </c>
      <c r="F1049" t="s">
        <v>15067</v>
      </c>
      <c r="G1049" t="s">
        <v>15068</v>
      </c>
      <c r="H1049" s="4" t="s">
        <v>15069</v>
      </c>
      <c r="I1049" t="s">
        <v>71</v>
      </c>
      <c r="J1049" t="s">
        <v>10782</v>
      </c>
      <c r="K1049" t="s">
        <v>15070</v>
      </c>
    </row>
    <row r="1050" spans="1:11" ht="201.6" x14ac:dyDescent="0.3">
      <c r="A1050" s="4" t="s">
        <v>4451</v>
      </c>
      <c r="B1050">
        <v>3</v>
      </c>
      <c r="C1050">
        <v>2023</v>
      </c>
      <c r="D1050" t="s">
        <v>15071</v>
      </c>
      <c r="E1050">
        <v>0</v>
      </c>
      <c r="F1050" t="s">
        <v>15072</v>
      </c>
      <c r="G1050" t="s">
        <v>15073</v>
      </c>
      <c r="H1050" s="4" t="s">
        <v>15074</v>
      </c>
      <c r="I1050" t="s">
        <v>71</v>
      </c>
      <c r="J1050" t="s">
        <v>10782</v>
      </c>
      <c r="K1050" t="s">
        <v>15075</v>
      </c>
    </row>
    <row r="1051" spans="1:11" ht="273.60000000000002" x14ac:dyDescent="0.3">
      <c r="A1051" s="4" t="s">
        <v>2546</v>
      </c>
      <c r="B1051">
        <v>2</v>
      </c>
      <c r="C1051">
        <v>2023</v>
      </c>
      <c r="D1051" t="s">
        <v>704</v>
      </c>
      <c r="E1051">
        <v>24</v>
      </c>
      <c r="F1051" t="s">
        <v>15076</v>
      </c>
      <c r="G1051" t="s">
        <v>15077</v>
      </c>
      <c r="H1051" s="4" t="s">
        <v>15078</v>
      </c>
      <c r="I1051" t="s">
        <v>71</v>
      </c>
      <c r="J1051" t="s">
        <v>10782</v>
      </c>
      <c r="K1051" t="s">
        <v>15079</v>
      </c>
    </row>
    <row r="1052" spans="1:11" ht="187.2" x14ac:dyDescent="0.3">
      <c r="A1052" s="4" t="s">
        <v>2547</v>
      </c>
      <c r="B1052">
        <v>2</v>
      </c>
      <c r="C1052">
        <v>2023</v>
      </c>
      <c r="D1052" t="s">
        <v>147</v>
      </c>
      <c r="E1052">
        <v>14</v>
      </c>
      <c r="F1052" t="s">
        <v>15080</v>
      </c>
      <c r="G1052" t="s">
        <v>15081</v>
      </c>
      <c r="H1052" s="4" t="s">
        <v>15082</v>
      </c>
      <c r="I1052" t="s">
        <v>71</v>
      </c>
      <c r="J1052" t="s">
        <v>10782</v>
      </c>
      <c r="K1052" t="s">
        <v>15083</v>
      </c>
    </row>
    <row r="1053" spans="1:11" ht="187.2" x14ac:dyDescent="0.3">
      <c r="A1053" s="4" t="s">
        <v>3233</v>
      </c>
      <c r="B1053">
        <v>1</v>
      </c>
      <c r="C1053">
        <v>2023</v>
      </c>
      <c r="D1053" t="s">
        <v>217</v>
      </c>
      <c r="E1053">
        <v>0</v>
      </c>
      <c r="F1053" t="s">
        <v>15084</v>
      </c>
      <c r="G1053" t="s">
        <v>15085</v>
      </c>
      <c r="H1053" s="4" t="s">
        <v>15086</v>
      </c>
      <c r="I1053" t="s">
        <v>71</v>
      </c>
      <c r="J1053" t="s">
        <v>10782</v>
      </c>
      <c r="K1053" t="s">
        <v>15087</v>
      </c>
    </row>
    <row r="1054" spans="1:11" ht="100.8" x14ac:dyDescent="0.3">
      <c r="A1054" s="4" t="s">
        <v>4452</v>
      </c>
      <c r="B1054">
        <v>3</v>
      </c>
      <c r="C1054">
        <v>2023</v>
      </c>
      <c r="D1054" t="s">
        <v>10788</v>
      </c>
      <c r="E1054">
        <v>3</v>
      </c>
      <c r="F1054" t="s">
        <v>15088</v>
      </c>
      <c r="G1054" t="s">
        <v>15089</v>
      </c>
      <c r="H1054" s="4" t="s">
        <v>15090</v>
      </c>
    </row>
    <row r="1055" spans="1:11" ht="201.6" x14ac:dyDescent="0.3">
      <c r="A1055" s="4" t="s">
        <v>728</v>
      </c>
      <c r="B1055">
        <v>1</v>
      </c>
      <c r="C1055">
        <v>2023</v>
      </c>
      <c r="D1055" t="s">
        <v>202</v>
      </c>
      <c r="E1055">
        <v>6</v>
      </c>
      <c r="F1055" t="s">
        <v>15091</v>
      </c>
      <c r="G1055" t="s">
        <v>15092</v>
      </c>
      <c r="H1055" s="4" t="s">
        <v>15093</v>
      </c>
      <c r="I1055" t="s">
        <v>71</v>
      </c>
      <c r="J1055" t="s">
        <v>10782</v>
      </c>
      <c r="K1055" t="s">
        <v>15094</v>
      </c>
    </row>
    <row r="1056" spans="1:11" ht="187.2" x14ac:dyDescent="0.3">
      <c r="A1056" s="4" t="s">
        <v>4453</v>
      </c>
      <c r="B1056">
        <v>3</v>
      </c>
      <c r="C1056">
        <v>2023</v>
      </c>
      <c r="D1056" t="s">
        <v>550</v>
      </c>
      <c r="E1056">
        <v>1</v>
      </c>
      <c r="F1056" t="s">
        <v>15095</v>
      </c>
      <c r="G1056" t="s">
        <v>15096</v>
      </c>
      <c r="H1056" s="4" t="s">
        <v>15097</v>
      </c>
      <c r="I1056" t="s">
        <v>71</v>
      </c>
      <c r="J1056" t="s">
        <v>10782</v>
      </c>
      <c r="K1056" t="s">
        <v>15098</v>
      </c>
    </row>
    <row r="1057" spans="1:11" ht="129.6" x14ac:dyDescent="0.3">
      <c r="A1057" s="4" t="s">
        <v>4454</v>
      </c>
      <c r="B1057">
        <v>3</v>
      </c>
      <c r="C1057">
        <v>2023</v>
      </c>
      <c r="D1057" t="s">
        <v>436</v>
      </c>
      <c r="E1057">
        <v>4</v>
      </c>
      <c r="F1057" t="s">
        <v>15099</v>
      </c>
      <c r="G1057" t="s">
        <v>15100</v>
      </c>
      <c r="H1057" s="4" t="s">
        <v>15101</v>
      </c>
    </row>
    <row r="1058" spans="1:11" ht="172.8" x14ac:dyDescent="0.3">
      <c r="A1058" s="4" t="s">
        <v>733</v>
      </c>
      <c r="B1058">
        <v>1</v>
      </c>
      <c r="C1058">
        <v>2023</v>
      </c>
      <c r="D1058" t="s">
        <v>147</v>
      </c>
      <c r="E1058">
        <v>0</v>
      </c>
      <c r="F1058" t="s">
        <v>15102</v>
      </c>
      <c r="G1058" t="s">
        <v>15103</v>
      </c>
      <c r="H1058" s="4" t="s">
        <v>15104</v>
      </c>
    </row>
    <row r="1059" spans="1:11" ht="144" x14ac:dyDescent="0.3">
      <c r="A1059" s="4" t="s">
        <v>4455</v>
      </c>
      <c r="B1059">
        <v>3</v>
      </c>
      <c r="C1059">
        <v>2023</v>
      </c>
      <c r="D1059" t="s">
        <v>11779</v>
      </c>
      <c r="E1059">
        <v>11</v>
      </c>
      <c r="F1059" t="s">
        <v>15105</v>
      </c>
      <c r="G1059" t="s">
        <v>15106</v>
      </c>
      <c r="H1059" s="4" t="s">
        <v>15107</v>
      </c>
    </row>
    <row r="1060" spans="1:11" ht="187.2" x14ac:dyDescent="0.3">
      <c r="A1060" s="4" t="s">
        <v>3510</v>
      </c>
      <c r="B1060">
        <v>2</v>
      </c>
      <c r="C1060">
        <v>2023</v>
      </c>
      <c r="D1060" t="s">
        <v>11231</v>
      </c>
      <c r="E1060">
        <v>2</v>
      </c>
      <c r="F1060" t="s">
        <v>15108</v>
      </c>
      <c r="G1060" t="s">
        <v>15109</v>
      </c>
      <c r="H1060" s="4" t="s">
        <v>15110</v>
      </c>
      <c r="I1060" t="s">
        <v>71</v>
      </c>
      <c r="J1060" t="s">
        <v>10782</v>
      </c>
      <c r="K1060" t="s">
        <v>15111</v>
      </c>
    </row>
    <row r="1061" spans="1:11" ht="259.2" x14ac:dyDescent="0.3">
      <c r="A1061" s="4" t="s">
        <v>4456</v>
      </c>
      <c r="B1061">
        <v>3</v>
      </c>
      <c r="C1061">
        <v>2023</v>
      </c>
      <c r="D1061" t="s">
        <v>15112</v>
      </c>
      <c r="E1061">
        <v>2</v>
      </c>
      <c r="F1061" t="s">
        <v>15113</v>
      </c>
      <c r="G1061" t="s">
        <v>15114</v>
      </c>
      <c r="H1061" s="4" t="s">
        <v>15115</v>
      </c>
      <c r="I1061" t="s">
        <v>71</v>
      </c>
      <c r="J1061" t="s">
        <v>10782</v>
      </c>
      <c r="K1061" t="s">
        <v>15116</v>
      </c>
    </row>
    <row r="1062" spans="1:11" ht="230.4" x14ac:dyDescent="0.3">
      <c r="A1062" s="4" t="s">
        <v>4457</v>
      </c>
      <c r="B1062">
        <v>3</v>
      </c>
      <c r="C1062">
        <v>2023</v>
      </c>
      <c r="D1062" t="s">
        <v>637</v>
      </c>
      <c r="E1062">
        <v>2</v>
      </c>
      <c r="F1062" t="s">
        <v>15117</v>
      </c>
      <c r="G1062" t="s">
        <v>15118</v>
      </c>
      <c r="H1062" s="4" t="s">
        <v>15119</v>
      </c>
      <c r="I1062" t="s">
        <v>71</v>
      </c>
      <c r="J1062" t="s">
        <v>10782</v>
      </c>
      <c r="K1062" t="s">
        <v>15120</v>
      </c>
    </row>
    <row r="1063" spans="1:11" ht="129.6" x14ac:dyDescent="0.3">
      <c r="A1063" s="4" t="s">
        <v>4458</v>
      </c>
      <c r="B1063">
        <v>3</v>
      </c>
      <c r="C1063">
        <v>2023</v>
      </c>
      <c r="D1063" t="s">
        <v>817</v>
      </c>
      <c r="E1063">
        <v>0</v>
      </c>
      <c r="F1063" t="s">
        <v>15121</v>
      </c>
      <c r="G1063" t="s">
        <v>15122</v>
      </c>
      <c r="H1063" s="4" t="s">
        <v>15123</v>
      </c>
      <c r="I1063" t="s">
        <v>71</v>
      </c>
      <c r="J1063" t="s">
        <v>10782</v>
      </c>
      <c r="K1063" t="s">
        <v>15124</v>
      </c>
    </row>
    <row r="1064" spans="1:11" ht="201.6" x14ac:dyDescent="0.3">
      <c r="A1064" s="4" t="s">
        <v>4459</v>
      </c>
      <c r="B1064">
        <v>3</v>
      </c>
      <c r="C1064">
        <v>2023</v>
      </c>
      <c r="D1064" t="s">
        <v>2585</v>
      </c>
      <c r="E1064">
        <v>2</v>
      </c>
      <c r="F1064" t="s">
        <v>15125</v>
      </c>
      <c r="G1064" t="s">
        <v>15126</v>
      </c>
      <c r="H1064" s="4" t="s">
        <v>15127</v>
      </c>
      <c r="I1064" t="s">
        <v>71</v>
      </c>
      <c r="J1064" t="s">
        <v>10782</v>
      </c>
      <c r="K1064" t="s">
        <v>15128</v>
      </c>
    </row>
    <row r="1065" spans="1:11" ht="201.6" x14ac:dyDescent="0.3">
      <c r="A1065" s="4" t="s">
        <v>4460</v>
      </c>
      <c r="B1065">
        <v>3</v>
      </c>
      <c r="C1065">
        <v>2023</v>
      </c>
      <c r="D1065" t="s">
        <v>318</v>
      </c>
      <c r="E1065">
        <v>12</v>
      </c>
      <c r="F1065" t="s">
        <v>15129</v>
      </c>
      <c r="G1065" t="s">
        <v>15130</v>
      </c>
      <c r="H1065" s="4" t="s">
        <v>15131</v>
      </c>
      <c r="I1065" t="s">
        <v>71</v>
      </c>
      <c r="J1065" t="s">
        <v>10782</v>
      </c>
      <c r="K1065" t="s">
        <v>15132</v>
      </c>
    </row>
    <row r="1066" spans="1:11" ht="172.8" x14ac:dyDescent="0.3">
      <c r="A1066" s="4" t="s">
        <v>4461</v>
      </c>
      <c r="B1066">
        <v>3</v>
      </c>
      <c r="C1066">
        <v>2023</v>
      </c>
      <c r="D1066" t="s">
        <v>10169</v>
      </c>
      <c r="E1066">
        <v>5</v>
      </c>
      <c r="F1066" t="s">
        <v>15133</v>
      </c>
      <c r="G1066" t="s">
        <v>15134</v>
      </c>
      <c r="H1066" s="4" t="s">
        <v>15135</v>
      </c>
    </row>
    <row r="1067" spans="1:11" ht="230.4" x14ac:dyDescent="0.3">
      <c r="A1067" s="4" t="s">
        <v>4462</v>
      </c>
      <c r="B1067">
        <v>3</v>
      </c>
      <c r="C1067">
        <v>2023</v>
      </c>
      <c r="D1067" t="s">
        <v>1849</v>
      </c>
      <c r="E1067">
        <v>2</v>
      </c>
      <c r="F1067" t="s">
        <v>15136</v>
      </c>
      <c r="G1067" t="s">
        <v>15137</v>
      </c>
      <c r="H1067" s="4" t="s">
        <v>15138</v>
      </c>
      <c r="I1067" t="s">
        <v>71</v>
      </c>
      <c r="J1067" t="s">
        <v>10782</v>
      </c>
      <c r="K1067" t="s">
        <v>15139</v>
      </c>
    </row>
    <row r="1068" spans="1:11" ht="129.6" x14ac:dyDescent="0.3">
      <c r="A1068" s="4" t="s">
        <v>4463</v>
      </c>
      <c r="B1068">
        <v>3</v>
      </c>
      <c r="C1068">
        <v>2023</v>
      </c>
      <c r="D1068" t="s">
        <v>277</v>
      </c>
      <c r="E1068">
        <v>2</v>
      </c>
      <c r="F1068" t="s">
        <v>15140</v>
      </c>
      <c r="G1068" t="s">
        <v>15141</v>
      </c>
      <c r="H1068" s="4" t="s">
        <v>15142</v>
      </c>
      <c r="I1068" t="s">
        <v>71</v>
      </c>
      <c r="J1068" t="s">
        <v>10782</v>
      </c>
      <c r="K1068" t="s">
        <v>15143</v>
      </c>
    </row>
    <row r="1069" spans="1:11" ht="216" x14ac:dyDescent="0.3">
      <c r="A1069" s="4" t="s">
        <v>4464</v>
      </c>
      <c r="B1069">
        <v>3</v>
      </c>
      <c r="C1069">
        <v>2023</v>
      </c>
      <c r="D1069" t="s">
        <v>13951</v>
      </c>
      <c r="E1069">
        <v>4</v>
      </c>
      <c r="F1069" t="s">
        <v>15144</v>
      </c>
      <c r="G1069" t="s">
        <v>15145</v>
      </c>
      <c r="H1069" s="4" t="s">
        <v>15146</v>
      </c>
      <c r="I1069" t="s">
        <v>71</v>
      </c>
      <c r="J1069" t="s">
        <v>10782</v>
      </c>
      <c r="K1069" t="s">
        <v>15147</v>
      </c>
    </row>
    <row r="1070" spans="1:11" ht="115.2" x14ac:dyDescent="0.3">
      <c r="A1070" s="4" t="s">
        <v>4465</v>
      </c>
      <c r="B1070">
        <v>3</v>
      </c>
      <c r="C1070">
        <v>2023</v>
      </c>
      <c r="D1070" t="s">
        <v>1002</v>
      </c>
      <c r="E1070">
        <v>1</v>
      </c>
      <c r="F1070" t="s">
        <v>15148</v>
      </c>
      <c r="G1070" t="s">
        <v>15149</v>
      </c>
      <c r="H1070" s="4" t="s">
        <v>15150</v>
      </c>
    </row>
    <row r="1071" spans="1:11" ht="86.4" x14ac:dyDescent="0.3">
      <c r="A1071" s="4" t="s">
        <v>4466</v>
      </c>
      <c r="B1071">
        <v>3</v>
      </c>
      <c r="C1071">
        <v>2023</v>
      </c>
      <c r="D1071" t="s">
        <v>147</v>
      </c>
      <c r="E1071">
        <v>1</v>
      </c>
      <c r="F1071" t="s">
        <v>15151</v>
      </c>
      <c r="G1071" t="s">
        <v>15152</v>
      </c>
      <c r="H1071" s="4" t="s">
        <v>15153</v>
      </c>
    </row>
    <row r="1072" spans="1:11" ht="244.8" x14ac:dyDescent="0.3">
      <c r="A1072" s="4" t="s">
        <v>4467</v>
      </c>
      <c r="B1072">
        <v>3</v>
      </c>
      <c r="C1072">
        <v>2023</v>
      </c>
      <c r="D1072" t="s">
        <v>434</v>
      </c>
      <c r="E1072">
        <v>4</v>
      </c>
      <c r="F1072" t="s">
        <v>15154</v>
      </c>
      <c r="G1072" t="s">
        <v>15155</v>
      </c>
      <c r="H1072" s="4" t="s">
        <v>15156</v>
      </c>
      <c r="I1072" t="s">
        <v>71</v>
      </c>
      <c r="J1072" t="s">
        <v>10782</v>
      </c>
      <c r="K1072" t="s">
        <v>15157</v>
      </c>
    </row>
    <row r="1073" spans="1:11" ht="172.8" x14ac:dyDescent="0.3">
      <c r="A1073" s="4" t="s">
        <v>4468</v>
      </c>
      <c r="B1073">
        <v>3</v>
      </c>
      <c r="C1073">
        <v>2023</v>
      </c>
      <c r="D1073" t="s">
        <v>147</v>
      </c>
      <c r="E1073">
        <v>7</v>
      </c>
      <c r="F1073" t="s">
        <v>15158</v>
      </c>
      <c r="G1073" t="s">
        <v>15159</v>
      </c>
      <c r="H1073" s="4" t="s">
        <v>15160</v>
      </c>
      <c r="I1073" t="s">
        <v>71</v>
      </c>
      <c r="J1073" t="s">
        <v>10782</v>
      </c>
      <c r="K1073" t="s">
        <v>15161</v>
      </c>
    </row>
    <row r="1074" spans="1:11" ht="187.2" x14ac:dyDescent="0.3">
      <c r="A1074" s="4" t="s">
        <v>4469</v>
      </c>
      <c r="B1074">
        <v>3</v>
      </c>
      <c r="C1074">
        <v>2023</v>
      </c>
      <c r="D1074" t="s">
        <v>15162</v>
      </c>
      <c r="E1074">
        <v>3</v>
      </c>
      <c r="F1074" t="s">
        <v>15163</v>
      </c>
      <c r="G1074" t="s">
        <v>15164</v>
      </c>
      <c r="H1074" s="4" t="s">
        <v>15165</v>
      </c>
      <c r="I1074" t="s">
        <v>71</v>
      </c>
      <c r="J1074" t="s">
        <v>10782</v>
      </c>
      <c r="K1074" t="s">
        <v>15166</v>
      </c>
    </row>
    <row r="1075" spans="1:11" ht="57.6" x14ac:dyDescent="0.3">
      <c r="A1075" s="4" t="s">
        <v>4470</v>
      </c>
      <c r="B1075">
        <v>3</v>
      </c>
      <c r="C1075">
        <v>2023</v>
      </c>
      <c r="D1075" t="s">
        <v>679</v>
      </c>
      <c r="E1075">
        <v>4</v>
      </c>
      <c r="F1075" t="s">
        <v>15167</v>
      </c>
      <c r="G1075" t="s">
        <v>15168</v>
      </c>
      <c r="H1075" s="4" t="s">
        <v>15169</v>
      </c>
    </row>
    <row r="1076" spans="1:11" ht="201.6" x14ac:dyDescent="0.3">
      <c r="A1076" s="4" t="s">
        <v>4471</v>
      </c>
      <c r="B1076">
        <v>3</v>
      </c>
      <c r="C1076">
        <v>2023</v>
      </c>
      <c r="D1076" t="s">
        <v>799</v>
      </c>
      <c r="E1076">
        <v>9</v>
      </c>
      <c r="F1076" t="s">
        <v>15170</v>
      </c>
      <c r="G1076" t="s">
        <v>15171</v>
      </c>
      <c r="H1076" s="4" t="s">
        <v>15172</v>
      </c>
      <c r="I1076" t="s">
        <v>71</v>
      </c>
      <c r="J1076" t="s">
        <v>10782</v>
      </c>
      <c r="K1076" t="s">
        <v>15173</v>
      </c>
    </row>
    <row r="1077" spans="1:11" ht="144" x14ac:dyDescent="0.3">
      <c r="A1077" s="4" t="s">
        <v>4472</v>
      </c>
      <c r="B1077">
        <v>3</v>
      </c>
      <c r="C1077">
        <v>2023</v>
      </c>
      <c r="D1077" t="s">
        <v>15174</v>
      </c>
      <c r="E1077">
        <v>15</v>
      </c>
      <c r="F1077" t="s">
        <v>15175</v>
      </c>
      <c r="G1077" t="s">
        <v>15176</v>
      </c>
      <c r="H1077" s="4" t="s">
        <v>15177</v>
      </c>
      <c r="I1077" t="s">
        <v>10823</v>
      </c>
      <c r="J1077" t="s">
        <v>10782</v>
      </c>
      <c r="K1077" t="s">
        <v>15178</v>
      </c>
    </row>
    <row r="1078" spans="1:11" ht="201.6" x14ac:dyDescent="0.3">
      <c r="A1078" s="4" t="s">
        <v>4473</v>
      </c>
      <c r="B1078">
        <v>3</v>
      </c>
      <c r="C1078">
        <v>2023</v>
      </c>
      <c r="D1078" t="s">
        <v>277</v>
      </c>
      <c r="E1078">
        <v>7</v>
      </c>
      <c r="F1078" t="s">
        <v>15179</v>
      </c>
      <c r="G1078" t="s">
        <v>15180</v>
      </c>
      <c r="H1078" s="4" t="s">
        <v>15181</v>
      </c>
      <c r="I1078" t="s">
        <v>71</v>
      </c>
      <c r="J1078" t="s">
        <v>10782</v>
      </c>
      <c r="K1078" t="s">
        <v>15182</v>
      </c>
    </row>
    <row r="1079" spans="1:11" ht="172.8" x14ac:dyDescent="0.3">
      <c r="A1079" s="4" t="s">
        <v>4474</v>
      </c>
      <c r="B1079">
        <v>3</v>
      </c>
      <c r="C1079">
        <v>2023</v>
      </c>
      <c r="D1079" t="s">
        <v>15183</v>
      </c>
      <c r="E1079">
        <v>0</v>
      </c>
      <c r="F1079" t="s">
        <v>15184</v>
      </c>
      <c r="G1079" t="s">
        <v>15185</v>
      </c>
      <c r="H1079" s="4" t="s">
        <v>15186</v>
      </c>
      <c r="I1079" t="s">
        <v>71</v>
      </c>
      <c r="J1079" t="s">
        <v>10782</v>
      </c>
      <c r="K1079" t="s">
        <v>15187</v>
      </c>
    </row>
    <row r="1080" spans="1:11" ht="115.2" x14ac:dyDescent="0.3">
      <c r="A1080" s="4" t="s">
        <v>4475</v>
      </c>
      <c r="B1080">
        <v>3</v>
      </c>
      <c r="C1080">
        <v>2023</v>
      </c>
      <c r="D1080" t="s">
        <v>637</v>
      </c>
      <c r="E1080">
        <v>8</v>
      </c>
      <c r="F1080" t="s">
        <v>15188</v>
      </c>
      <c r="G1080" t="s">
        <v>15189</v>
      </c>
      <c r="H1080" s="4" t="s">
        <v>15190</v>
      </c>
    </row>
    <row r="1081" spans="1:11" ht="144" x14ac:dyDescent="0.3">
      <c r="A1081" s="4" t="s">
        <v>3234</v>
      </c>
      <c r="B1081">
        <v>1</v>
      </c>
      <c r="C1081">
        <v>2023</v>
      </c>
      <c r="D1081" t="s">
        <v>105</v>
      </c>
      <c r="E1081">
        <v>5</v>
      </c>
      <c r="F1081" t="s">
        <v>15191</v>
      </c>
      <c r="G1081" t="s">
        <v>15192</v>
      </c>
      <c r="H1081" s="4" t="s">
        <v>15193</v>
      </c>
      <c r="I1081" t="s">
        <v>71</v>
      </c>
      <c r="J1081" t="s">
        <v>10782</v>
      </c>
      <c r="K1081" t="s">
        <v>15194</v>
      </c>
    </row>
    <row r="1082" spans="1:11" ht="144" x14ac:dyDescent="0.3">
      <c r="A1082" s="4" t="s">
        <v>4476</v>
      </c>
      <c r="B1082">
        <v>3</v>
      </c>
      <c r="C1082">
        <v>2023</v>
      </c>
      <c r="D1082" t="s">
        <v>1129</v>
      </c>
      <c r="E1082">
        <v>17</v>
      </c>
      <c r="F1082" t="s">
        <v>15195</v>
      </c>
      <c r="G1082" t="s">
        <v>15196</v>
      </c>
      <c r="H1082" s="4" t="s">
        <v>15197</v>
      </c>
      <c r="I1082" t="s">
        <v>71</v>
      </c>
      <c r="J1082" t="s">
        <v>10782</v>
      </c>
      <c r="K1082" t="s">
        <v>15198</v>
      </c>
    </row>
    <row r="1083" spans="1:11" ht="144" x14ac:dyDescent="0.3">
      <c r="A1083" s="4" t="s">
        <v>4477</v>
      </c>
      <c r="B1083">
        <v>3</v>
      </c>
      <c r="C1083">
        <v>2023</v>
      </c>
      <c r="D1083" t="s">
        <v>329</v>
      </c>
      <c r="E1083">
        <v>1</v>
      </c>
      <c r="F1083" t="s">
        <v>15199</v>
      </c>
      <c r="G1083" t="s">
        <v>15200</v>
      </c>
      <c r="H1083" s="4" t="s">
        <v>15201</v>
      </c>
      <c r="I1083" t="s">
        <v>71</v>
      </c>
      <c r="J1083" t="s">
        <v>10782</v>
      </c>
      <c r="K1083" t="s">
        <v>15202</v>
      </c>
    </row>
    <row r="1084" spans="1:11" ht="216" x14ac:dyDescent="0.3">
      <c r="A1084" s="4" t="s">
        <v>4478</v>
      </c>
      <c r="B1084">
        <v>3</v>
      </c>
      <c r="C1084">
        <v>2023</v>
      </c>
      <c r="D1084" t="s">
        <v>318</v>
      </c>
      <c r="E1084">
        <v>4</v>
      </c>
      <c r="F1084" t="s">
        <v>15203</v>
      </c>
      <c r="G1084" t="s">
        <v>15204</v>
      </c>
      <c r="H1084" s="4" t="s">
        <v>15205</v>
      </c>
      <c r="I1084" t="s">
        <v>71</v>
      </c>
      <c r="J1084" t="s">
        <v>10782</v>
      </c>
      <c r="K1084" t="s">
        <v>15206</v>
      </c>
    </row>
    <row r="1085" spans="1:11" ht="100.8" x14ac:dyDescent="0.3">
      <c r="A1085" s="4" t="s">
        <v>3511</v>
      </c>
      <c r="B1085">
        <v>2</v>
      </c>
      <c r="C1085">
        <v>2023</v>
      </c>
      <c r="D1085" t="s">
        <v>318</v>
      </c>
      <c r="E1085">
        <v>8</v>
      </c>
      <c r="F1085" t="s">
        <v>15207</v>
      </c>
      <c r="G1085" t="s">
        <v>15208</v>
      </c>
      <c r="H1085" s="4" t="s">
        <v>15209</v>
      </c>
    </row>
    <row r="1086" spans="1:11" ht="144" x14ac:dyDescent="0.3">
      <c r="A1086" s="4" t="s">
        <v>4479</v>
      </c>
      <c r="B1086">
        <v>3</v>
      </c>
      <c r="C1086">
        <v>2023</v>
      </c>
      <c r="D1086" t="s">
        <v>1129</v>
      </c>
      <c r="E1086">
        <v>8</v>
      </c>
      <c r="F1086" t="s">
        <v>15210</v>
      </c>
      <c r="G1086" t="s">
        <v>15211</v>
      </c>
      <c r="H1086" s="4" t="s">
        <v>15212</v>
      </c>
      <c r="I1086" t="s">
        <v>71</v>
      </c>
      <c r="J1086" t="s">
        <v>10782</v>
      </c>
      <c r="K1086" t="s">
        <v>15213</v>
      </c>
    </row>
    <row r="1087" spans="1:11" ht="259.2" x14ac:dyDescent="0.3">
      <c r="A1087" s="4" t="s">
        <v>745</v>
      </c>
      <c r="B1087">
        <v>1</v>
      </c>
      <c r="C1087">
        <v>2023</v>
      </c>
      <c r="D1087" t="s">
        <v>329</v>
      </c>
      <c r="E1087">
        <v>11</v>
      </c>
      <c r="F1087" t="s">
        <v>15214</v>
      </c>
      <c r="G1087" t="s">
        <v>15215</v>
      </c>
      <c r="H1087" s="4" t="s">
        <v>15216</v>
      </c>
      <c r="I1087" t="s">
        <v>71</v>
      </c>
      <c r="J1087" t="s">
        <v>10782</v>
      </c>
      <c r="K1087" t="s">
        <v>15217</v>
      </c>
    </row>
    <row r="1088" spans="1:11" ht="187.2" x14ac:dyDescent="0.3">
      <c r="A1088" s="4" t="s">
        <v>756</v>
      </c>
      <c r="B1088">
        <v>1</v>
      </c>
      <c r="C1088">
        <v>2023</v>
      </c>
      <c r="D1088" t="s">
        <v>637</v>
      </c>
      <c r="E1088">
        <v>2</v>
      </c>
      <c r="F1088" t="s">
        <v>15218</v>
      </c>
      <c r="G1088" t="s">
        <v>15219</v>
      </c>
      <c r="H1088" s="4" t="s">
        <v>15220</v>
      </c>
      <c r="I1088" t="s">
        <v>71</v>
      </c>
      <c r="J1088" t="s">
        <v>10782</v>
      </c>
      <c r="K1088" t="s">
        <v>15221</v>
      </c>
    </row>
    <row r="1089" spans="1:11" ht="129.6" x14ac:dyDescent="0.3">
      <c r="A1089" s="4" t="s">
        <v>4480</v>
      </c>
      <c r="B1089">
        <v>3</v>
      </c>
      <c r="C1089">
        <v>2023</v>
      </c>
      <c r="D1089" t="s">
        <v>277</v>
      </c>
      <c r="E1089">
        <v>3</v>
      </c>
      <c r="F1089" t="s">
        <v>15222</v>
      </c>
      <c r="G1089" t="s">
        <v>15223</v>
      </c>
      <c r="H1089" s="4" t="s">
        <v>15224</v>
      </c>
      <c r="I1089" t="s">
        <v>71</v>
      </c>
      <c r="J1089" t="s">
        <v>10782</v>
      </c>
      <c r="K1089" t="s">
        <v>15225</v>
      </c>
    </row>
    <row r="1090" spans="1:11" ht="187.2" x14ac:dyDescent="0.3">
      <c r="A1090" s="4" t="s">
        <v>4481</v>
      </c>
      <c r="B1090">
        <v>3</v>
      </c>
      <c r="C1090">
        <v>2023</v>
      </c>
      <c r="D1090" t="s">
        <v>11159</v>
      </c>
      <c r="E1090">
        <v>3</v>
      </c>
      <c r="F1090" t="s">
        <v>15226</v>
      </c>
      <c r="G1090" t="s">
        <v>15227</v>
      </c>
      <c r="H1090" s="4" t="s">
        <v>15228</v>
      </c>
      <c r="I1090" t="s">
        <v>71</v>
      </c>
      <c r="J1090" t="s">
        <v>10782</v>
      </c>
      <c r="K1090" t="s">
        <v>15229</v>
      </c>
    </row>
    <row r="1091" spans="1:11" ht="158.4" x14ac:dyDescent="0.3">
      <c r="A1091" s="4" t="s">
        <v>4482</v>
      </c>
      <c r="B1091">
        <v>3</v>
      </c>
      <c r="C1091">
        <v>2023</v>
      </c>
      <c r="D1091" t="s">
        <v>11159</v>
      </c>
      <c r="E1091">
        <v>5</v>
      </c>
      <c r="F1091" t="s">
        <v>15230</v>
      </c>
      <c r="G1091" t="s">
        <v>15231</v>
      </c>
      <c r="H1091" s="4" t="s">
        <v>15232</v>
      </c>
      <c r="I1091" t="s">
        <v>71</v>
      </c>
      <c r="J1091" t="s">
        <v>10782</v>
      </c>
      <c r="K1091" t="s">
        <v>15233</v>
      </c>
    </row>
    <row r="1092" spans="1:11" ht="144" x14ac:dyDescent="0.3">
      <c r="A1092" s="4" t="s">
        <v>4483</v>
      </c>
      <c r="B1092">
        <v>3</v>
      </c>
      <c r="C1092">
        <v>2023</v>
      </c>
      <c r="D1092" t="s">
        <v>11164</v>
      </c>
      <c r="E1092">
        <v>7</v>
      </c>
      <c r="F1092" t="s">
        <v>15234</v>
      </c>
      <c r="G1092" t="s">
        <v>15235</v>
      </c>
      <c r="H1092" s="4" t="s">
        <v>15236</v>
      </c>
      <c r="I1092" t="s">
        <v>71</v>
      </c>
      <c r="J1092" t="s">
        <v>10782</v>
      </c>
      <c r="K1092" t="s">
        <v>15237</v>
      </c>
    </row>
    <row r="1093" spans="1:11" ht="115.2" x14ac:dyDescent="0.3">
      <c r="A1093" s="4" t="s">
        <v>4484</v>
      </c>
      <c r="B1093">
        <v>3</v>
      </c>
      <c r="C1093">
        <v>2023</v>
      </c>
      <c r="D1093" t="s">
        <v>277</v>
      </c>
      <c r="E1093">
        <v>5</v>
      </c>
      <c r="F1093" t="s">
        <v>15238</v>
      </c>
      <c r="G1093" t="s">
        <v>15239</v>
      </c>
      <c r="H1093" s="4" t="s">
        <v>15240</v>
      </c>
      <c r="I1093" t="s">
        <v>71</v>
      </c>
      <c r="J1093" t="s">
        <v>10782</v>
      </c>
      <c r="K1093" t="s">
        <v>15241</v>
      </c>
    </row>
    <row r="1094" spans="1:11" ht="201.6" x14ac:dyDescent="0.3">
      <c r="A1094" s="4" t="s">
        <v>4485</v>
      </c>
      <c r="B1094">
        <v>3</v>
      </c>
      <c r="C1094">
        <v>2023</v>
      </c>
      <c r="D1094" t="s">
        <v>637</v>
      </c>
      <c r="E1094">
        <v>9</v>
      </c>
      <c r="F1094" t="s">
        <v>15242</v>
      </c>
      <c r="G1094" t="s">
        <v>15243</v>
      </c>
      <c r="H1094" s="4" t="s">
        <v>15244</v>
      </c>
      <c r="I1094" t="s">
        <v>71</v>
      </c>
      <c r="J1094" t="s">
        <v>10782</v>
      </c>
      <c r="K1094" t="s">
        <v>15245</v>
      </c>
    </row>
    <row r="1095" spans="1:11" ht="172.8" x14ac:dyDescent="0.3">
      <c r="A1095" s="4" t="s">
        <v>759</v>
      </c>
      <c r="B1095">
        <v>1</v>
      </c>
      <c r="C1095">
        <v>2023</v>
      </c>
      <c r="D1095" t="s">
        <v>637</v>
      </c>
      <c r="E1095">
        <v>1</v>
      </c>
      <c r="F1095" t="s">
        <v>15246</v>
      </c>
      <c r="G1095" t="s">
        <v>15247</v>
      </c>
      <c r="H1095" s="4" t="s">
        <v>15248</v>
      </c>
      <c r="I1095" t="s">
        <v>71</v>
      </c>
      <c r="J1095" t="s">
        <v>10782</v>
      </c>
      <c r="K1095" t="s">
        <v>15249</v>
      </c>
    </row>
    <row r="1096" spans="1:11" ht="158.4" x14ac:dyDescent="0.3">
      <c r="A1096" s="4" t="s">
        <v>4486</v>
      </c>
      <c r="B1096">
        <v>3</v>
      </c>
      <c r="C1096">
        <v>2023</v>
      </c>
      <c r="D1096" t="s">
        <v>2596</v>
      </c>
      <c r="E1096">
        <v>1</v>
      </c>
      <c r="F1096" t="s">
        <v>15250</v>
      </c>
      <c r="G1096" t="s">
        <v>15251</v>
      </c>
      <c r="H1096" s="4" t="s">
        <v>15252</v>
      </c>
      <c r="I1096" t="s">
        <v>71</v>
      </c>
      <c r="J1096" t="s">
        <v>10782</v>
      </c>
      <c r="K1096" t="s">
        <v>15253</v>
      </c>
    </row>
    <row r="1097" spans="1:11" ht="115.2" x14ac:dyDescent="0.3">
      <c r="A1097" s="4" t="s">
        <v>3235</v>
      </c>
      <c r="B1097">
        <v>1</v>
      </c>
      <c r="C1097">
        <v>2023</v>
      </c>
      <c r="D1097" t="s">
        <v>15254</v>
      </c>
      <c r="E1097">
        <v>2</v>
      </c>
      <c r="F1097" t="s">
        <v>15255</v>
      </c>
      <c r="G1097" t="s">
        <v>15256</v>
      </c>
      <c r="H1097" s="4" t="s">
        <v>15257</v>
      </c>
      <c r="I1097" t="s">
        <v>71</v>
      </c>
      <c r="J1097" t="s">
        <v>10782</v>
      </c>
      <c r="K1097" t="s">
        <v>15258</v>
      </c>
    </row>
    <row r="1098" spans="1:11" ht="187.2" x14ac:dyDescent="0.3">
      <c r="A1098" s="4" t="s">
        <v>4487</v>
      </c>
      <c r="B1098">
        <v>3</v>
      </c>
      <c r="C1098">
        <v>2023</v>
      </c>
      <c r="D1098" t="s">
        <v>13021</v>
      </c>
      <c r="E1098">
        <v>1</v>
      </c>
      <c r="F1098" t="s">
        <v>15259</v>
      </c>
      <c r="G1098" t="s">
        <v>15260</v>
      </c>
      <c r="H1098" s="4" t="s">
        <v>15261</v>
      </c>
      <c r="I1098" t="s">
        <v>71</v>
      </c>
      <c r="J1098" t="s">
        <v>10782</v>
      </c>
      <c r="K1098" t="s">
        <v>15262</v>
      </c>
    </row>
    <row r="1099" spans="1:11" ht="172.8" x14ac:dyDescent="0.3">
      <c r="A1099" s="4" t="s">
        <v>4488</v>
      </c>
      <c r="B1099">
        <v>3</v>
      </c>
      <c r="C1099">
        <v>2023</v>
      </c>
      <c r="D1099" t="s">
        <v>817</v>
      </c>
      <c r="E1099">
        <v>2</v>
      </c>
      <c r="F1099" t="s">
        <v>15263</v>
      </c>
      <c r="G1099" t="s">
        <v>15264</v>
      </c>
      <c r="H1099" s="4" t="s">
        <v>15265</v>
      </c>
      <c r="I1099" t="s">
        <v>71</v>
      </c>
      <c r="J1099" t="s">
        <v>10782</v>
      </c>
      <c r="K1099" t="s">
        <v>15266</v>
      </c>
    </row>
    <row r="1100" spans="1:11" ht="172.8" x14ac:dyDescent="0.3">
      <c r="A1100" s="4" t="s">
        <v>4489</v>
      </c>
      <c r="B1100">
        <v>3</v>
      </c>
      <c r="C1100">
        <v>2023</v>
      </c>
      <c r="D1100" t="s">
        <v>277</v>
      </c>
      <c r="E1100">
        <v>14</v>
      </c>
      <c r="F1100" t="s">
        <v>15267</v>
      </c>
      <c r="G1100" t="s">
        <v>15268</v>
      </c>
      <c r="H1100" s="4" t="s">
        <v>15269</v>
      </c>
      <c r="I1100" t="s">
        <v>71</v>
      </c>
      <c r="J1100" t="s">
        <v>10782</v>
      </c>
      <c r="K1100" t="s">
        <v>15270</v>
      </c>
    </row>
    <row r="1101" spans="1:11" ht="201.6" x14ac:dyDescent="0.3">
      <c r="A1101" s="4" t="s">
        <v>4490</v>
      </c>
      <c r="B1101">
        <v>3</v>
      </c>
      <c r="C1101">
        <v>2023</v>
      </c>
      <c r="D1101" t="s">
        <v>15271</v>
      </c>
      <c r="E1101">
        <v>7</v>
      </c>
      <c r="F1101" t="s">
        <v>15272</v>
      </c>
      <c r="G1101" t="s">
        <v>15273</v>
      </c>
      <c r="H1101" s="4" t="s">
        <v>15274</v>
      </c>
      <c r="I1101" t="s">
        <v>71</v>
      </c>
      <c r="J1101" t="s">
        <v>10782</v>
      </c>
      <c r="K1101" t="s">
        <v>15275</v>
      </c>
    </row>
    <row r="1102" spans="1:11" ht="158.4" x14ac:dyDescent="0.3">
      <c r="A1102" s="4" t="s">
        <v>4491</v>
      </c>
      <c r="B1102">
        <v>3</v>
      </c>
      <c r="C1102">
        <v>2023</v>
      </c>
      <c r="D1102" t="s">
        <v>329</v>
      </c>
      <c r="E1102">
        <v>4</v>
      </c>
      <c r="F1102" t="s">
        <v>15276</v>
      </c>
      <c r="G1102" t="s">
        <v>15277</v>
      </c>
      <c r="H1102" s="4" t="s">
        <v>15278</v>
      </c>
      <c r="I1102" t="s">
        <v>71</v>
      </c>
      <c r="J1102" t="s">
        <v>10782</v>
      </c>
      <c r="K1102" t="s">
        <v>15279</v>
      </c>
    </row>
    <row r="1103" spans="1:11" ht="201.6" x14ac:dyDescent="0.3">
      <c r="A1103" s="4" t="s">
        <v>4492</v>
      </c>
      <c r="B1103">
        <v>3</v>
      </c>
      <c r="C1103">
        <v>2023</v>
      </c>
      <c r="D1103" t="s">
        <v>817</v>
      </c>
      <c r="E1103">
        <v>2</v>
      </c>
      <c r="F1103" t="s">
        <v>15280</v>
      </c>
      <c r="G1103" t="s">
        <v>15281</v>
      </c>
      <c r="H1103" s="4" t="s">
        <v>15282</v>
      </c>
    </row>
    <row r="1104" spans="1:11" ht="230.4" x14ac:dyDescent="0.3">
      <c r="A1104" s="4" t="s">
        <v>4493</v>
      </c>
      <c r="B1104">
        <v>3</v>
      </c>
      <c r="C1104">
        <v>2023</v>
      </c>
      <c r="D1104" t="s">
        <v>11159</v>
      </c>
      <c r="E1104">
        <v>1</v>
      </c>
      <c r="F1104" t="s">
        <v>15283</v>
      </c>
      <c r="G1104" t="s">
        <v>15284</v>
      </c>
      <c r="H1104" s="4" t="s">
        <v>15285</v>
      </c>
      <c r="I1104" t="s">
        <v>71</v>
      </c>
      <c r="J1104" t="s">
        <v>10782</v>
      </c>
      <c r="K1104" t="s">
        <v>15286</v>
      </c>
    </row>
    <row r="1105" spans="1:11" ht="187.2" x14ac:dyDescent="0.3">
      <c r="A1105" s="4" t="s">
        <v>3512</v>
      </c>
      <c r="B1105">
        <v>2</v>
      </c>
      <c r="C1105">
        <v>2023</v>
      </c>
      <c r="D1105" t="s">
        <v>217</v>
      </c>
      <c r="E1105">
        <v>0</v>
      </c>
      <c r="F1105" t="s">
        <v>15287</v>
      </c>
      <c r="G1105" t="s">
        <v>15288</v>
      </c>
      <c r="H1105" s="4" t="s">
        <v>15289</v>
      </c>
      <c r="I1105" t="s">
        <v>71</v>
      </c>
      <c r="J1105" t="s">
        <v>10782</v>
      </c>
      <c r="K1105" t="s">
        <v>15290</v>
      </c>
    </row>
    <row r="1106" spans="1:11" ht="259.2" x14ac:dyDescent="0.3">
      <c r="A1106" s="4" t="s">
        <v>4494</v>
      </c>
      <c r="B1106">
        <v>3</v>
      </c>
      <c r="C1106">
        <v>2023</v>
      </c>
      <c r="D1106" t="s">
        <v>80</v>
      </c>
      <c r="E1106">
        <v>6</v>
      </c>
      <c r="F1106" t="s">
        <v>15291</v>
      </c>
      <c r="G1106" t="s">
        <v>15292</v>
      </c>
      <c r="H1106" s="4" t="s">
        <v>15293</v>
      </c>
      <c r="I1106" t="s">
        <v>71</v>
      </c>
      <c r="J1106" t="s">
        <v>10782</v>
      </c>
      <c r="K1106" t="s">
        <v>15294</v>
      </c>
    </row>
    <row r="1107" spans="1:11" ht="172.8" x14ac:dyDescent="0.3">
      <c r="A1107" s="4" t="s">
        <v>4495</v>
      </c>
      <c r="B1107">
        <v>3</v>
      </c>
      <c r="C1107">
        <v>2023</v>
      </c>
      <c r="D1107" t="s">
        <v>1002</v>
      </c>
      <c r="E1107">
        <v>4</v>
      </c>
      <c r="F1107" t="s">
        <v>15295</v>
      </c>
      <c r="G1107" t="s">
        <v>15296</v>
      </c>
      <c r="H1107" s="4" t="s">
        <v>15297</v>
      </c>
      <c r="I1107" t="s">
        <v>71</v>
      </c>
      <c r="J1107" t="s">
        <v>10782</v>
      </c>
      <c r="K1107" t="s">
        <v>15298</v>
      </c>
    </row>
    <row r="1108" spans="1:11" ht="201.6" x14ac:dyDescent="0.3">
      <c r="A1108" s="4" t="s">
        <v>4496</v>
      </c>
      <c r="B1108">
        <v>3</v>
      </c>
      <c r="C1108">
        <v>2023</v>
      </c>
      <c r="D1108" t="s">
        <v>329</v>
      </c>
      <c r="E1108">
        <v>3</v>
      </c>
      <c r="F1108" t="s">
        <v>15299</v>
      </c>
      <c r="G1108" t="s">
        <v>15300</v>
      </c>
      <c r="H1108" s="4" t="s">
        <v>15301</v>
      </c>
      <c r="I1108" t="s">
        <v>71</v>
      </c>
      <c r="J1108" t="s">
        <v>10782</v>
      </c>
      <c r="K1108" t="s">
        <v>15302</v>
      </c>
    </row>
    <row r="1109" spans="1:11" ht="129.6" x14ac:dyDescent="0.3">
      <c r="A1109" s="4" t="s">
        <v>4497</v>
      </c>
      <c r="B1109">
        <v>3</v>
      </c>
      <c r="C1109">
        <v>2023</v>
      </c>
      <c r="D1109" t="s">
        <v>15303</v>
      </c>
      <c r="E1109">
        <v>0</v>
      </c>
      <c r="F1109" t="s">
        <v>15304</v>
      </c>
      <c r="G1109" t="s">
        <v>15305</v>
      </c>
      <c r="H1109" s="4" t="s">
        <v>15306</v>
      </c>
      <c r="I1109" t="s">
        <v>71</v>
      </c>
      <c r="J1109" t="s">
        <v>10782</v>
      </c>
      <c r="K1109" t="s">
        <v>15307</v>
      </c>
    </row>
    <row r="1110" spans="1:11" ht="230.4" x14ac:dyDescent="0.3">
      <c r="A1110" s="4" t="s">
        <v>4498</v>
      </c>
      <c r="B1110">
        <v>3</v>
      </c>
      <c r="C1110">
        <v>2023</v>
      </c>
      <c r="D1110" t="s">
        <v>164</v>
      </c>
      <c r="E1110">
        <v>4</v>
      </c>
      <c r="F1110" t="s">
        <v>15308</v>
      </c>
      <c r="G1110" t="s">
        <v>15309</v>
      </c>
      <c r="H1110" s="4" t="s">
        <v>15310</v>
      </c>
      <c r="I1110" t="s">
        <v>71</v>
      </c>
      <c r="J1110" t="s">
        <v>10782</v>
      </c>
      <c r="K1110" t="s">
        <v>15311</v>
      </c>
    </row>
    <row r="1111" spans="1:11" ht="144" x14ac:dyDescent="0.3">
      <c r="A1111" s="4" t="s">
        <v>4499</v>
      </c>
      <c r="B1111">
        <v>3</v>
      </c>
      <c r="C1111">
        <v>2023</v>
      </c>
      <c r="D1111" t="s">
        <v>13969</v>
      </c>
      <c r="E1111">
        <v>4</v>
      </c>
      <c r="F1111" t="s">
        <v>15312</v>
      </c>
      <c r="G1111" t="s">
        <v>15313</v>
      </c>
      <c r="H1111" s="4" t="s">
        <v>15314</v>
      </c>
      <c r="I1111" t="s">
        <v>71</v>
      </c>
      <c r="J1111" t="s">
        <v>10782</v>
      </c>
      <c r="K1111" t="s">
        <v>15315</v>
      </c>
    </row>
    <row r="1112" spans="1:11" ht="144" x14ac:dyDescent="0.3">
      <c r="A1112" s="4" t="s">
        <v>3236</v>
      </c>
      <c r="B1112">
        <v>1</v>
      </c>
      <c r="C1112">
        <v>2023</v>
      </c>
      <c r="D1112" t="s">
        <v>1525</v>
      </c>
      <c r="E1112">
        <v>4</v>
      </c>
      <c r="F1112" t="s">
        <v>15316</v>
      </c>
      <c r="G1112" t="s">
        <v>15317</v>
      </c>
      <c r="H1112" s="4" t="s">
        <v>15318</v>
      </c>
      <c r="I1112" t="s">
        <v>71</v>
      </c>
      <c r="J1112" t="s">
        <v>10782</v>
      </c>
      <c r="K1112" t="s">
        <v>15319</v>
      </c>
    </row>
    <row r="1113" spans="1:11" ht="201.6" x14ac:dyDescent="0.3">
      <c r="A1113" s="4" t="s">
        <v>4500</v>
      </c>
      <c r="B1113">
        <v>3</v>
      </c>
      <c r="C1113">
        <v>2023</v>
      </c>
      <c r="D1113" t="s">
        <v>164</v>
      </c>
      <c r="E1113">
        <v>1</v>
      </c>
      <c r="F1113" t="s">
        <v>15320</v>
      </c>
      <c r="G1113" t="s">
        <v>15321</v>
      </c>
      <c r="H1113" s="4" t="s">
        <v>15322</v>
      </c>
      <c r="I1113" t="s">
        <v>71</v>
      </c>
      <c r="J1113" t="s">
        <v>10782</v>
      </c>
      <c r="K1113" t="s">
        <v>15323</v>
      </c>
    </row>
    <row r="1114" spans="1:11" ht="172.8" x14ac:dyDescent="0.3">
      <c r="A1114" s="4" t="s">
        <v>4501</v>
      </c>
      <c r="B1114">
        <v>3</v>
      </c>
      <c r="C1114">
        <v>2023</v>
      </c>
      <c r="D1114" t="s">
        <v>15324</v>
      </c>
      <c r="E1114">
        <v>0</v>
      </c>
      <c r="F1114" t="s">
        <v>15325</v>
      </c>
      <c r="G1114" t="s">
        <v>15326</v>
      </c>
      <c r="H1114" s="4" t="s">
        <v>15327</v>
      </c>
      <c r="I1114" t="s">
        <v>71</v>
      </c>
      <c r="J1114" t="s">
        <v>10782</v>
      </c>
      <c r="K1114" t="s">
        <v>15328</v>
      </c>
    </row>
    <row r="1115" spans="1:11" ht="273.60000000000002" x14ac:dyDescent="0.3">
      <c r="A1115" s="4" t="s">
        <v>4502</v>
      </c>
      <c r="B1115">
        <v>3</v>
      </c>
      <c r="C1115">
        <v>2023</v>
      </c>
      <c r="D1115" t="s">
        <v>2893</v>
      </c>
      <c r="E1115">
        <v>7</v>
      </c>
      <c r="F1115" t="s">
        <v>15329</v>
      </c>
      <c r="G1115" t="s">
        <v>15330</v>
      </c>
      <c r="H1115" s="4" t="s">
        <v>15331</v>
      </c>
      <c r="I1115" t="s">
        <v>71</v>
      </c>
      <c r="J1115" t="s">
        <v>10782</v>
      </c>
      <c r="K1115" t="s">
        <v>15332</v>
      </c>
    </row>
    <row r="1116" spans="1:11" ht="259.2" x14ac:dyDescent="0.3">
      <c r="A1116" s="4" t="s">
        <v>4503</v>
      </c>
      <c r="B1116">
        <v>3</v>
      </c>
      <c r="C1116">
        <v>2023</v>
      </c>
      <c r="D1116" t="s">
        <v>15333</v>
      </c>
      <c r="E1116">
        <v>0</v>
      </c>
      <c r="F1116" t="s">
        <v>15334</v>
      </c>
      <c r="G1116" t="s">
        <v>15335</v>
      </c>
      <c r="H1116" s="4" t="s">
        <v>15336</v>
      </c>
      <c r="I1116" t="s">
        <v>71</v>
      </c>
      <c r="J1116" t="s">
        <v>10782</v>
      </c>
      <c r="K1116" t="s">
        <v>15337</v>
      </c>
    </row>
    <row r="1117" spans="1:11" ht="86.4" x14ac:dyDescent="0.3">
      <c r="A1117" s="4" t="s">
        <v>4504</v>
      </c>
      <c r="B1117">
        <v>3</v>
      </c>
      <c r="C1117">
        <v>2023</v>
      </c>
      <c r="D1117" t="s">
        <v>15338</v>
      </c>
      <c r="E1117">
        <v>0</v>
      </c>
      <c r="F1117" t="s">
        <v>15339</v>
      </c>
      <c r="G1117" t="s">
        <v>15340</v>
      </c>
      <c r="H1117" s="4" t="s">
        <v>15341</v>
      </c>
      <c r="I1117" t="s">
        <v>71</v>
      </c>
      <c r="J1117" t="s">
        <v>10782</v>
      </c>
      <c r="K1117" t="s">
        <v>15342</v>
      </c>
    </row>
    <row r="1118" spans="1:11" ht="158.4" x14ac:dyDescent="0.3">
      <c r="A1118" s="4" t="s">
        <v>4505</v>
      </c>
      <c r="B1118">
        <v>3</v>
      </c>
      <c r="C1118">
        <v>2023</v>
      </c>
      <c r="D1118" t="s">
        <v>15343</v>
      </c>
      <c r="E1118">
        <v>1</v>
      </c>
      <c r="F1118" t="s">
        <v>15344</v>
      </c>
      <c r="G1118" t="s">
        <v>15345</v>
      </c>
      <c r="H1118" s="4" t="s">
        <v>15346</v>
      </c>
      <c r="I1118" t="s">
        <v>71</v>
      </c>
      <c r="J1118" t="s">
        <v>10782</v>
      </c>
      <c r="K1118" t="s">
        <v>15347</v>
      </c>
    </row>
    <row r="1119" spans="1:11" ht="144" x14ac:dyDescent="0.3">
      <c r="A1119" s="4" t="s">
        <v>4506</v>
      </c>
      <c r="B1119">
        <v>3</v>
      </c>
      <c r="C1119">
        <v>2023</v>
      </c>
      <c r="D1119" t="s">
        <v>2742</v>
      </c>
      <c r="E1119">
        <v>5</v>
      </c>
      <c r="F1119" t="s">
        <v>15348</v>
      </c>
      <c r="G1119" t="s">
        <v>15349</v>
      </c>
      <c r="H1119" s="4" t="s">
        <v>15350</v>
      </c>
      <c r="I1119" t="s">
        <v>71</v>
      </c>
      <c r="J1119" t="s">
        <v>10782</v>
      </c>
      <c r="K1119" t="s">
        <v>15351</v>
      </c>
    </row>
    <row r="1120" spans="1:11" ht="158.4" x14ac:dyDescent="0.3">
      <c r="A1120" s="4" t="s">
        <v>4507</v>
      </c>
      <c r="B1120">
        <v>3</v>
      </c>
      <c r="C1120">
        <v>2023</v>
      </c>
      <c r="D1120" t="s">
        <v>1002</v>
      </c>
      <c r="E1120">
        <v>4</v>
      </c>
      <c r="F1120" t="s">
        <v>15352</v>
      </c>
      <c r="G1120" t="s">
        <v>15353</v>
      </c>
      <c r="H1120" s="4" t="s">
        <v>15354</v>
      </c>
      <c r="I1120" t="s">
        <v>71</v>
      </c>
      <c r="J1120" t="s">
        <v>10782</v>
      </c>
      <c r="K1120" t="s">
        <v>15355</v>
      </c>
    </row>
    <row r="1121" spans="1:11" ht="158.4" x14ac:dyDescent="0.3">
      <c r="A1121" s="4" t="s">
        <v>4508</v>
      </c>
      <c r="B1121">
        <v>3</v>
      </c>
      <c r="C1121">
        <v>2023</v>
      </c>
      <c r="D1121" t="s">
        <v>773</v>
      </c>
      <c r="E1121">
        <v>6</v>
      </c>
      <c r="F1121" t="s">
        <v>15356</v>
      </c>
      <c r="G1121" t="s">
        <v>15357</v>
      </c>
      <c r="H1121" s="4" t="s">
        <v>15358</v>
      </c>
      <c r="I1121" t="s">
        <v>71</v>
      </c>
      <c r="J1121" t="s">
        <v>10782</v>
      </c>
      <c r="K1121" t="s">
        <v>15359</v>
      </c>
    </row>
    <row r="1122" spans="1:11" ht="187.2" x14ac:dyDescent="0.3">
      <c r="A1122" s="4" t="s">
        <v>3513</v>
      </c>
      <c r="B1122">
        <v>2</v>
      </c>
      <c r="C1122">
        <v>2023</v>
      </c>
      <c r="D1122" t="s">
        <v>405</v>
      </c>
      <c r="E1122">
        <v>9</v>
      </c>
      <c r="F1122" t="s">
        <v>15360</v>
      </c>
      <c r="G1122" t="s">
        <v>15361</v>
      </c>
      <c r="H1122" s="4" t="s">
        <v>15362</v>
      </c>
      <c r="I1122" t="s">
        <v>71</v>
      </c>
      <c r="J1122" t="s">
        <v>10782</v>
      </c>
      <c r="K1122" t="s">
        <v>15363</v>
      </c>
    </row>
    <row r="1123" spans="1:11" ht="172.8" x14ac:dyDescent="0.3">
      <c r="A1123" s="4" t="s">
        <v>4509</v>
      </c>
      <c r="B1123">
        <v>3</v>
      </c>
      <c r="C1123">
        <v>2023</v>
      </c>
      <c r="D1123" t="s">
        <v>12875</v>
      </c>
      <c r="E1123">
        <v>2</v>
      </c>
      <c r="F1123" t="s">
        <v>15364</v>
      </c>
      <c r="G1123" t="s">
        <v>15365</v>
      </c>
      <c r="H1123" s="4" t="s">
        <v>15366</v>
      </c>
      <c r="I1123" t="s">
        <v>71</v>
      </c>
      <c r="J1123" t="s">
        <v>10782</v>
      </c>
      <c r="K1123" t="s">
        <v>15367</v>
      </c>
    </row>
    <row r="1124" spans="1:11" ht="129.6" x14ac:dyDescent="0.3">
      <c r="A1124" s="4" t="s">
        <v>4510</v>
      </c>
      <c r="B1124">
        <v>3</v>
      </c>
      <c r="C1124">
        <v>2023</v>
      </c>
      <c r="D1124" t="s">
        <v>385</v>
      </c>
      <c r="E1124">
        <v>4</v>
      </c>
      <c r="F1124" t="s">
        <v>15368</v>
      </c>
      <c r="G1124" t="s">
        <v>15369</v>
      </c>
      <c r="H1124" s="4" t="s">
        <v>15370</v>
      </c>
      <c r="I1124" t="s">
        <v>71</v>
      </c>
      <c r="J1124" t="s">
        <v>10782</v>
      </c>
      <c r="K1124" t="s">
        <v>15371</v>
      </c>
    </row>
    <row r="1125" spans="1:11" ht="172.8" x14ac:dyDescent="0.3">
      <c r="A1125" s="4" t="s">
        <v>4511</v>
      </c>
      <c r="B1125">
        <v>3</v>
      </c>
      <c r="C1125">
        <v>2023</v>
      </c>
      <c r="D1125" t="s">
        <v>405</v>
      </c>
      <c r="E1125">
        <v>20</v>
      </c>
      <c r="F1125" t="s">
        <v>15372</v>
      </c>
      <c r="G1125" t="s">
        <v>15373</v>
      </c>
      <c r="H1125" s="4" t="s">
        <v>15374</v>
      </c>
      <c r="I1125" t="s">
        <v>71</v>
      </c>
      <c r="J1125" t="s">
        <v>10782</v>
      </c>
      <c r="K1125" t="s">
        <v>15375</v>
      </c>
    </row>
    <row r="1126" spans="1:11" ht="28.8" x14ac:dyDescent="0.3">
      <c r="A1126" s="4" t="s">
        <v>4512</v>
      </c>
      <c r="B1126">
        <v>3</v>
      </c>
      <c r="C1126">
        <v>2023</v>
      </c>
      <c r="D1126" t="s">
        <v>80</v>
      </c>
      <c r="E1126">
        <v>3</v>
      </c>
      <c r="F1126" t="s">
        <v>15376</v>
      </c>
      <c r="G1126" t="s">
        <v>15377</v>
      </c>
      <c r="H1126" s="4" t="s">
        <v>15378</v>
      </c>
    </row>
    <row r="1127" spans="1:11" ht="187.2" x14ac:dyDescent="0.3">
      <c r="A1127" s="4" t="s">
        <v>4513</v>
      </c>
      <c r="B1127">
        <v>3</v>
      </c>
      <c r="C1127">
        <v>2023</v>
      </c>
      <c r="D1127" t="s">
        <v>14820</v>
      </c>
      <c r="E1127">
        <v>5</v>
      </c>
      <c r="F1127" t="s">
        <v>15379</v>
      </c>
      <c r="G1127" t="s">
        <v>15380</v>
      </c>
      <c r="H1127" s="4" t="s">
        <v>15381</v>
      </c>
      <c r="I1127" t="s">
        <v>71</v>
      </c>
      <c r="J1127" t="s">
        <v>10782</v>
      </c>
      <c r="K1127" t="s">
        <v>15382</v>
      </c>
    </row>
    <row r="1128" spans="1:11" ht="172.8" x14ac:dyDescent="0.3">
      <c r="A1128" s="4" t="s">
        <v>4514</v>
      </c>
      <c r="B1128">
        <v>3</v>
      </c>
      <c r="C1128">
        <v>2023</v>
      </c>
      <c r="D1128" t="s">
        <v>10815</v>
      </c>
      <c r="E1128">
        <v>4</v>
      </c>
      <c r="F1128" t="s">
        <v>15383</v>
      </c>
      <c r="G1128" t="s">
        <v>15384</v>
      </c>
      <c r="H1128" s="4" t="s">
        <v>15385</v>
      </c>
      <c r="I1128" t="s">
        <v>71</v>
      </c>
      <c r="J1128" t="s">
        <v>10782</v>
      </c>
      <c r="K1128" t="s">
        <v>15386</v>
      </c>
    </row>
    <row r="1129" spans="1:11" ht="273.60000000000002" x14ac:dyDescent="0.3">
      <c r="A1129" s="4" t="s">
        <v>4515</v>
      </c>
      <c r="B1129">
        <v>3</v>
      </c>
      <c r="C1129">
        <v>2023</v>
      </c>
      <c r="D1129" t="s">
        <v>147</v>
      </c>
      <c r="E1129">
        <v>24</v>
      </c>
      <c r="F1129" t="s">
        <v>15387</v>
      </c>
      <c r="G1129" t="s">
        <v>15388</v>
      </c>
      <c r="H1129" s="4" t="s">
        <v>15389</v>
      </c>
      <c r="I1129" t="s">
        <v>71</v>
      </c>
      <c r="J1129" t="s">
        <v>10782</v>
      </c>
      <c r="K1129" t="s">
        <v>15390</v>
      </c>
    </row>
    <row r="1130" spans="1:11" ht="187.2" x14ac:dyDescent="0.3">
      <c r="A1130" s="4" t="s">
        <v>4516</v>
      </c>
      <c r="B1130">
        <v>3</v>
      </c>
      <c r="C1130">
        <v>2023</v>
      </c>
      <c r="D1130" t="s">
        <v>482</v>
      </c>
      <c r="E1130">
        <v>0</v>
      </c>
      <c r="F1130" t="s">
        <v>15391</v>
      </c>
      <c r="G1130" t="s">
        <v>15392</v>
      </c>
      <c r="H1130" s="4" t="s">
        <v>15393</v>
      </c>
      <c r="I1130" t="s">
        <v>71</v>
      </c>
      <c r="J1130" t="s">
        <v>10782</v>
      </c>
      <c r="K1130" t="s">
        <v>15394</v>
      </c>
    </row>
    <row r="1131" spans="1:11" ht="144" x14ac:dyDescent="0.3">
      <c r="A1131" s="4" t="s">
        <v>4517</v>
      </c>
      <c r="B1131">
        <v>3</v>
      </c>
      <c r="C1131">
        <v>2023</v>
      </c>
      <c r="D1131" t="s">
        <v>637</v>
      </c>
      <c r="E1131">
        <v>1</v>
      </c>
      <c r="F1131" t="s">
        <v>15395</v>
      </c>
      <c r="G1131" t="s">
        <v>15396</v>
      </c>
      <c r="H1131" s="4" t="s">
        <v>15397</v>
      </c>
      <c r="I1131" t="s">
        <v>71</v>
      </c>
      <c r="J1131" t="s">
        <v>10782</v>
      </c>
      <c r="K1131" t="s">
        <v>15398</v>
      </c>
    </row>
    <row r="1132" spans="1:11" ht="172.8" x14ac:dyDescent="0.3">
      <c r="A1132" s="4" t="s">
        <v>4518</v>
      </c>
      <c r="B1132">
        <v>3</v>
      </c>
      <c r="C1132">
        <v>2023</v>
      </c>
      <c r="D1132" t="s">
        <v>1770</v>
      </c>
      <c r="E1132">
        <v>5</v>
      </c>
      <c r="F1132" t="s">
        <v>15399</v>
      </c>
      <c r="G1132" t="s">
        <v>15400</v>
      </c>
      <c r="H1132" s="4" t="s">
        <v>15401</v>
      </c>
      <c r="I1132" t="s">
        <v>71</v>
      </c>
      <c r="J1132" t="s">
        <v>10782</v>
      </c>
      <c r="K1132" t="s">
        <v>15402</v>
      </c>
    </row>
    <row r="1133" spans="1:11" ht="144" x14ac:dyDescent="0.3">
      <c r="A1133" s="4" t="s">
        <v>4519</v>
      </c>
      <c r="B1133">
        <v>3</v>
      </c>
      <c r="C1133">
        <v>2023</v>
      </c>
      <c r="D1133" t="s">
        <v>2893</v>
      </c>
      <c r="E1133">
        <v>12</v>
      </c>
      <c r="F1133" t="s">
        <v>15403</v>
      </c>
      <c r="G1133" t="s">
        <v>15404</v>
      </c>
      <c r="H1133" s="4" t="s">
        <v>15405</v>
      </c>
      <c r="I1133" t="s">
        <v>71</v>
      </c>
      <c r="J1133" t="s">
        <v>10782</v>
      </c>
      <c r="K1133" t="s">
        <v>15406</v>
      </c>
    </row>
    <row r="1134" spans="1:11" ht="86.4" x14ac:dyDescent="0.3">
      <c r="A1134" s="4" t="s">
        <v>4520</v>
      </c>
      <c r="B1134">
        <v>3</v>
      </c>
      <c r="C1134">
        <v>2023</v>
      </c>
      <c r="D1134" t="s">
        <v>15407</v>
      </c>
      <c r="E1134">
        <v>0</v>
      </c>
      <c r="F1134" t="s">
        <v>15408</v>
      </c>
      <c r="G1134" t="s">
        <v>15409</v>
      </c>
      <c r="H1134" s="4" t="s">
        <v>15410</v>
      </c>
    </row>
    <row r="1135" spans="1:11" ht="201.6" x14ac:dyDescent="0.3">
      <c r="A1135" s="4" t="s">
        <v>4521</v>
      </c>
      <c r="B1135">
        <v>3</v>
      </c>
      <c r="C1135">
        <v>2023</v>
      </c>
      <c r="D1135" t="s">
        <v>405</v>
      </c>
      <c r="E1135">
        <v>2</v>
      </c>
      <c r="F1135" t="s">
        <v>15411</v>
      </c>
      <c r="G1135" t="s">
        <v>15412</v>
      </c>
      <c r="H1135" s="4" t="s">
        <v>15413</v>
      </c>
      <c r="I1135" t="s">
        <v>71</v>
      </c>
      <c r="J1135" t="s">
        <v>10782</v>
      </c>
      <c r="K1135" t="s">
        <v>15414</v>
      </c>
    </row>
    <row r="1136" spans="1:11" ht="115.2" x14ac:dyDescent="0.3">
      <c r="A1136" s="4" t="s">
        <v>4522</v>
      </c>
      <c r="B1136">
        <v>3</v>
      </c>
      <c r="C1136">
        <v>2023</v>
      </c>
      <c r="D1136" t="s">
        <v>550</v>
      </c>
      <c r="E1136">
        <v>0</v>
      </c>
      <c r="F1136" t="s">
        <v>15415</v>
      </c>
      <c r="G1136" t="s">
        <v>15416</v>
      </c>
      <c r="H1136" s="4" t="s">
        <v>15417</v>
      </c>
    </row>
    <row r="1137" spans="1:11" ht="172.8" x14ac:dyDescent="0.3">
      <c r="A1137" s="4" t="s">
        <v>3514</v>
      </c>
      <c r="B1137">
        <v>2</v>
      </c>
      <c r="C1137">
        <v>2023</v>
      </c>
      <c r="D1137" t="s">
        <v>329</v>
      </c>
      <c r="E1137">
        <v>15</v>
      </c>
      <c r="F1137" t="s">
        <v>15418</v>
      </c>
      <c r="G1137" t="s">
        <v>15419</v>
      </c>
      <c r="H1137" s="4" t="s">
        <v>15420</v>
      </c>
      <c r="I1137" t="s">
        <v>71</v>
      </c>
      <c r="J1137" t="s">
        <v>10782</v>
      </c>
      <c r="K1137" t="s">
        <v>15421</v>
      </c>
    </row>
    <row r="1138" spans="1:11" ht="216" x14ac:dyDescent="0.3">
      <c r="A1138" s="4" t="s">
        <v>4523</v>
      </c>
      <c r="B1138">
        <v>3</v>
      </c>
      <c r="C1138">
        <v>2023</v>
      </c>
      <c r="D1138" t="s">
        <v>11774</v>
      </c>
      <c r="E1138">
        <v>0</v>
      </c>
      <c r="F1138" t="s">
        <v>15422</v>
      </c>
      <c r="G1138" t="s">
        <v>15423</v>
      </c>
      <c r="H1138" s="4" t="s">
        <v>15424</v>
      </c>
      <c r="I1138" t="s">
        <v>71</v>
      </c>
      <c r="J1138" t="s">
        <v>10782</v>
      </c>
      <c r="K1138" t="s">
        <v>15425</v>
      </c>
    </row>
    <row r="1139" spans="1:11" ht="100.8" x14ac:dyDescent="0.3">
      <c r="A1139" s="4" t="s">
        <v>4524</v>
      </c>
      <c r="B1139">
        <v>3</v>
      </c>
      <c r="C1139">
        <v>2023</v>
      </c>
      <c r="D1139" t="s">
        <v>15426</v>
      </c>
      <c r="E1139">
        <v>2</v>
      </c>
      <c r="F1139" t="s">
        <v>15427</v>
      </c>
      <c r="G1139" t="s">
        <v>15428</v>
      </c>
      <c r="H1139" s="4" t="s">
        <v>15429</v>
      </c>
    </row>
    <row r="1140" spans="1:11" ht="201.6" x14ac:dyDescent="0.3">
      <c r="A1140" s="4" t="s">
        <v>4525</v>
      </c>
      <c r="B1140">
        <v>3</v>
      </c>
      <c r="C1140">
        <v>2023</v>
      </c>
      <c r="D1140" t="s">
        <v>434</v>
      </c>
      <c r="E1140">
        <v>7</v>
      </c>
      <c r="F1140" t="s">
        <v>15430</v>
      </c>
      <c r="G1140" t="s">
        <v>15431</v>
      </c>
      <c r="H1140" s="4" t="s">
        <v>15432</v>
      </c>
      <c r="I1140" t="s">
        <v>71</v>
      </c>
      <c r="J1140" t="s">
        <v>10782</v>
      </c>
      <c r="K1140" t="s">
        <v>15433</v>
      </c>
    </row>
    <row r="1141" spans="1:11" ht="216" x14ac:dyDescent="0.3">
      <c r="A1141" s="4" t="s">
        <v>764</v>
      </c>
      <c r="B1141">
        <v>1</v>
      </c>
      <c r="C1141">
        <v>2023</v>
      </c>
      <c r="D1141" t="s">
        <v>773</v>
      </c>
      <c r="E1141">
        <v>7</v>
      </c>
      <c r="F1141" t="s">
        <v>15434</v>
      </c>
      <c r="G1141" t="s">
        <v>15435</v>
      </c>
      <c r="H1141" s="4" t="s">
        <v>15436</v>
      </c>
      <c r="I1141" t="s">
        <v>71</v>
      </c>
      <c r="J1141" t="s">
        <v>10782</v>
      </c>
      <c r="K1141" t="s">
        <v>15437</v>
      </c>
    </row>
    <row r="1142" spans="1:11" ht="187.2" x14ac:dyDescent="0.3">
      <c r="A1142" s="4" t="s">
        <v>767</v>
      </c>
      <c r="B1142">
        <v>1</v>
      </c>
      <c r="C1142">
        <v>2023</v>
      </c>
      <c r="D1142" t="s">
        <v>782</v>
      </c>
      <c r="E1142">
        <v>3</v>
      </c>
      <c r="F1142" t="s">
        <v>15438</v>
      </c>
      <c r="G1142" t="s">
        <v>15439</v>
      </c>
      <c r="H1142" s="4" t="s">
        <v>15440</v>
      </c>
      <c r="I1142" t="s">
        <v>71</v>
      </c>
      <c r="J1142" t="s">
        <v>10782</v>
      </c>
      <c r="K1142" t="s">
        <v>15441</v>
      </c>
    </row>
    <row r="1143" spans="1:11" ht="187.2" x14ac:dyDescent="0.3">
      <c r="A1143" s="4" t="s">
        <v>4526</v>
      </c>
      <c r="B1143">
        <v>3</v>
      </c>
      <c r="C1143">
        <v>2023</v>
      </c>
      <c r="D1143" t="s">
        <v>15071</v>
      </c>
      <c r="E1143">
        <v>0</v>
      </c>
      <c r="F1143" t="s">
        <v>15442</v>
      </c>
      <c r="G1143" t="s">
        <v>15443</v>
      </c>
      <c r="H1143" s="4" t="s">
        <v>15444</v>
      </c>
      <c r="I1143" t="s">
        <v>71</v>
      </c>
      <c r="J1143" t="s">
        <v>10782</v>
      </c>
      <c r="K1143" t="s">
        <v>15445</v>
      </c>
    </row>
    <row r="1144" spans="1:11" ht="144" x14ac:dyDescent="0.3">
      <c r="A1144" s="4" t="s">
        <v>4527</v>
      </c>
      <c r="B1144">
        <v>3</v>
      </c>
      <c r="C1144">
        <v>2023</v>
      </c>
      <c r="D1144" t="s">
        <v>2201</v>
      </c>
      <c r="E1144">
        <v>6</v>
      </c>
      <c r="F1144" t="s">
        <v>15446</v>
      </c>
      <c r="G1144" t="s">
        <v>15447</v>
      </c>
      <c r="H1144" s="4" t="s">
        <v>15448</v>
      </c>
      <c r="I1144" t="s">
        <v>10823</v>
      </c>
      <c r="J1144" t="s">
        <v>10782</v>
      </c>
      <c r="K1144" t="s">
        <v>15449</v>
      </c>
    </row>
    <row r="1145" spans="1:11" ht="201.6" x14ac:dyDescent="0.3">
      <c r="A1145" s="4" t="s">
        <v>4528</v>
      </c>
      <c r="B1145">
        <v>3</v>
      </c>
      <c r="C1145">
        <v>2023</v>
      </c>
      <c r="D1145" t="s">
        <v>11598</v>
      </c>
      <c r="E1145">
        <v>4</v>
      </c>
      <c r="F1145" t="s">
        <v>15450</v>
      </c>
      <c r="G1145" t="s">
        <v>15451</v>
      </c>
      <c r="H1145" s="4" t="s">
        <v>15452</v>
      </c>
      <c r="I1145" t="s">
        <v>71</v>
      </c>
      <c r="J1145" t="s">
        <v>10782</v>
      </c>
      <c r="K1145" t="s">
        <v>15453</v>
      </c>
    </row>
    <row r="1146" spans="1:11" ht="230.4" x14ac:dyDescent="0.3">
      <c r="A1146" s="4" t="s">
        <v>4529</v>
      </c>
      <c r="B1146">
        <v>3</v>
      </c>
      <c r="C1146">
        <v>2023</v>
      </c>
      <c r="D1146" t="s">
        <v>15454</v>
      </c>
      <c r="E1146">
        <v>6</v>
      </c>
      <c r="F1146" t="s">
        <v>15455</v>
      </c>
      <c r="G1146" t="s">
        <v>15456</v>
      </c>
      <c r="H1146" s="4" t="s">
        <v>15457</v>
      </c>
      <c r="I1146" t="s">
        <v>71</v>
      </c>
      <c r="J1146" t="s">
        <v>10782</v>
      </c>
      <c r="K1146" t="s">
        <v>15458</v>
      </c>
    </row>
    <row r="1147" spans="1:11" ht="201.6" x14ac:dyDescent="0.3">
      <c r="A1147" s="4" t="s">
        <v>4530</v>
      </c>
      <c r="B1147">
        <v>3</v>
      </c>
      <c r="C1147">
        <v>2023</v>
      </c>
      <c r="D1147" t="s">
        <v>811</v>
      </c>
      <c r="E1147">
        <v>10</v>
      </c>
      <c r="F1147" t="s">
        <v>15459</v>
      </c>
      <c r="G1147" t="s">
        <v>15460</v>
      </c>
      <c r="H1147" s="4" t="s">
        <v>15461</v>
      </c>
      <c r="I1147" t="s">
        <v>71</v>
      </c>
      <c r="J1147" t="s">
        <v>10782</v>
      </c>
      <c r="K1147" t="s">
        <v>15462</v>
      </c>
    </row>
    <row r="1148" spans="1:11" ht="43.2" x14ac:dyDescent="0.3">
      <c r="A1148" s="4" t="s">
        <v>4531</v>
      </c>
      <c r="B1148">
        <v>3</v>
      </c>
      <c r="C1148">
        <v>2023</v>
      </c>
      <c r="D1148" t="s">
        <v>10825</v>
      </c>
      <c r="E1148">
        <v>3</v>
      </c>
      <c r="F1148" t="s">
        <v>15463</v>
      </c>
      <c r="G1148" t="s">
        <v>15464</v>
      </c>
      <c r="H1148" s="4" t="s">
        <v>15465</v>
      </c>
    </row>
    <row r="1149" spans="1:11" ht="201.6" x14ac:dyDescent="0.3">
      <c r="A1149" s="4" t="s">
        <v>4532</v>
      </c>
      <c r="B1149">
        <v>3</v>
      </c>
      <c r="C1149">
        <v>2023</v>
      </c>
      <c r="D1149" t="s">
        <v>329</v>
      </c>
      <c r="E1149">
        <v>2</v>
      </c>
      <c r="F1149" t="s">
        <v>15466</v>
      </c>
      <c r="G1149" t="s">
        <v>15467</v>
      </c>
      <c r="H1149" s="4" t="s">
        <v>15468</v>
      </c>
      <c r="I1149" t="s">
        <v>71</v>
      </c>
      <c r="J1149" t="s">
        <v>10782</v>
      </c>
      <c r="K1149" t="s">
        <v>15469</v>
      </c>
    </row>
    <row r="1150" spans="1:11" ht="172.8" x14ac:dyDescent="0.3">
      <c r="A1150" s="4" t="s">
        <v>4533</v>
      </c>
      <c r="B1150">
        <v>3</v>
      </c>
      <c r="C1150">
        <v>2023</v>
      </c>
      <c r="D1150" t="s">
        <v>164</v>
      </c>
      <c r="E1150">
        <v>4</v>
      </c>
      <c r="F1150" t="s">
        <v>15470</v>
      </c>
      <c r="G1150" t="s">
        <v>15471</v>
      </c>
      <c r="H1150" s="4" t="s">
        <v>15472</v>
      </c>
      <c r="I1150" t="s">
        <v>71</v>
      </c>
      <c r="J1150" t="s">
        <v>10782</v>
      </c>
      <c r="K1150" t="s">
        <v>15473</v>
      </c>
    </row>
    <row r="1151" spans="1:11" ht="72" x14ac:dyDescent="0.3">
      <c r="A1151" s="4" t="s">
        <v>2548</v>
      </c>
      <c r="B1151">
        <v>2</v>
      </c>
      <c r="C1151">
        <v>2023</v>
      </c>
      <c r="D1151" t="s">
        <v>2585</v>
      </c>
      <c r="E1151">
        <v>6</v>
      </c>
      <c r="F1151" t="s">
        <v>15474</v>
      </c>
      <c r="G1151" t="s">
        <v>15475</v>
      </c>
      <c r="H1151" s="4" t="s">
        <v>15476</v>
      </c>
    </row>
    <row r="1152" spans="1:11" ht="158.4" x14ac:dyDescent="0.3">
      <c r="A1152" s="4" t="s">
        <v>3237</v>
      </c>
      <c r="B1152">
        <v>1</v>
      </c>
      <c r="C1152">
        <v>2023</v>
      </c>
      <c r="D1152" t="s">
        <v>550</v>
      </c>
      <c r="E1152">
        <v>5</v>
      </c>
      <c r="F1152" t="s">
        <v>15477</v>
      </c>
      <c r="G1152" t="s">
        <v>15478</v>
      </c>
      <c r="H1152" s="4" t="s">
        <v>15479</v>
      </c>
      <c r="I1152" t="s">
        <v>71</v>
      </c>
      <c r="J1152" t="s">
        <v>10782</v>
      </c>
      <c r="K1152" t="s">
        <v>15480</v>
      </c>
    </row>
    <row r="1153" spans="1:11" ht="144" x14ac:dyDescent="0.3">
      <c r="A1153" s="4" t="s">
        <v>3238</v>
      </c>
      <c r="B1153">
        <v>1</v>
      </c>
      <c r="C1153">
        <v>2023</v>
      </c>
      <c r="D1153" t="s">
        <v>329</v>
      </c>
      <c r="E1153">
        <v>14</v>
      </c>
      <c r="F1153" t="s">
        <v>15481</v>
      </c>
      <c r="G1153" t="s">
        <v>15482</v>
      </c>
      <c r="H1153" s="4" t="s">
        <v>15483</v>
      </c>
    </row>
    <row r="1154" spans="1:11" ht="72" x14ac:dyDescent="0.3">
      <c r="A1154" s="4" t="s">
        <v>4534</v>
      </c>
      <c r="B1154">
        <v>3</v>
      </c>
      <c r="C1154">
        <v>2023</v>
      </c>
      <c r="D1154" t="s">
        <v>482</v>
      </c>
      <c r="E1154">
        <v>2</v>
      </c>
      <c r="F1154" t="s">
        <v>15484</v>
      </c>
      <c r="G1154" t="s">
        <v>15485</v>
      </c>
      <c r="H1154" s="4" t="s">
        <v>15486</v>
      </c>
    </row>
    <row r="1155" spans="1:11" ht="360" x14ac:dyDescent="0.3">
      <c r="A1155" s="4" t="s">
        <v>4535</v>
      </c>
      <c r="B1155">
        <v>3</v>
      </c>
      <c r="C1155">
        <v>2023</v>
      </c>
      <c r="D1155" t="s">
        <v>15487</v>
      </c>
      <c r="E1155">
        <v>0</v>
      </c>
      <c r="F1155" t="s">
        <v>15488</v>
      </c>
      <c r="G1155" t="s">
        <v>15489</v>
      </c>
      <c r="H1155" s="4" t="s">
        <v>15490</v>
      </c>
    </row>
    <row r="1156" spans="1:11" ht="172.8" x14ac:dyDescent="0.3">
      <c r="A1156" s="4" t="s">
        <v>4536</v>
      </c>
      <c r="B1156">
        <v>3</v>
      </c>
      <c r="C1156">
        <v>2023</v>
      </c>
      <c r="D1156" t="s">
        <v>637</v>
      </c>
      <c r="E1156">
        <v>8</v>
      </c>
      <c r="F1156" t="s">
        <v>15491</v>
      </c>
      <c r="G1156" t="s">
        <v>15492</v>
      </c>
      <c r="H1156" s="4" t="s">
        <v>15493</v>
      </c>
      <c r="I1156" t="s">
        <v>71</v>
      </c>
      <c r="J1156" t="s">
        <v>10782</v>
      </c>
      <c r="K1156" t="s">
        <v>15494</v>
      </c>
    </row>
    <row r="1157" spans="1:11" ht="158.4" x14ac:dyDescent="0.3">
      <c r="A1157" s="4" t="s">
        <v>4537</v>
      </c>
      <c r="B1157">
        <v>3</v>
      </c>
      <c r="C1157">
        <v>2023</v>
      </c>
      <c r="D1157" t="s">
        <v>11574</v>
      </c>
      <c r="E1157">
        <v>10</v>
      </c>
      <c r="F1157" t="s">
        <v>15495</v>
      </c>
      <c r="G1157" t="s">
        <v>15496</v>
      </c>
      <c r="H1157" s="4" t="s">
        <v>15497</v>
      </c>
      <c r="I1157" t="s">
        <v>10823</v>
      </c>
      <c r="J1157" t="s">
        <v>10782</v>
      </c>
      <c r="K1157" t="s">
        <v>15498</v>
      </c>
    </row>
    <row r="1158" spans="1:11" ht="158.4" x14ac:dyDescent="0.3">
      <c r="A1158" s="4" t="s">
        <v>4538</v>
      </c>
      <c r="B1158">
        <v>3</v>
      </c>
      <c r="C1158">
        <v>2023</v>
      </c>
      <c r="D1158" t="s">
        <v>11055</v>
      </c>
      <c r="E1158">
        <v>2</v>
      </c>
      <c r="F1158" t="s">
        <v>15499</v>
      </c>
      <c r="G1158" t="s">
        <v>15500</v>
      </c>
      <c r="H1158" s="4" t="s">
        <v>15501</v>
      </c>
      <c r="I1158" t="s">
        <v>71</v>
      </c>
      <c r="J1158" t="s">
        <v>10782</v>
      </c>
      <c r="K1158" t="s">
        <v>15502</v>
      </c>
    </row>
    <row r="1159" spans="1:11" ht="244.8" x14ac:dyDescent="0.3">
      <c r="A1159" s="4" t="s">
        <v>4539</v>
      </c>
      <c r="B1159">
        <v>3</v>
      </c>
      <c r="C1159">
        <v>2023</v>
      </c>
      <c r="D1159" t="s">
        <v>1849</v>
      </c>
      <c r="E1159">
        <v>40</v>
      </c>
      <c r="F1159" t="s">
        <v>15503</v>
      </c>
      <c r="G1159" t="s">
        <v>15504</v>
      </c>
      <c r="H1159" s="4" t="s">
        <v>15505</v>
      </c>
      <c r="I1159" t="s">
        <v>71</v>
      </c>
      <c r="J1159" t="s">
        <v>10782</v>
      </c>
      <c r="K1159" t="s">
        <v>15506</v>
      </c>
    </row>
    <row r="1160" spans="1:11" ht="172.8" x14ac:dyDescent="0.3">
      <c r="A1160" s="4" t="s">
        <v>4540</v>
      </c>
      <c r="B1160">
        <v>3</v>
      </c>
      <c r="C1160">
        <v>2023</v>
      </c>
      <c r="D1160" t="s">
        <v>15507</v>
      </c>
      <c r="E1160">
        <v>11</v>
      </c>
      <c r="F1160" t="s">
        <v>15508</v>
      </c>
      <c r="G1160" t="s">
        <v>15509</v>
      </c>
      <c r="H1160" s="4" t="s">
        <v>15510</v>
      </c>
      <c r="I1160" t="s">
        <v>71</v>
      </c>
      <c r="J1160" t="s">
        <v>10782</v>
      </c>
      <c r="K1160" t="s">
        <v>15511</v>
      </c>
    </row>
    <row r="1161" spans="1:11" ht="230.4" x14ac:dyDescent="0.3">
      <c r="A1161" s="4" t="s">
        <v>4541</v>
      </c>
      <c r="B1161">
        <v>3</v>
      </c>
      <c r="C1161">
        <v>2023</v>
      </c>
      <c r="D1161" t="s">
        <v>12080</v>
      </c>
      <c r="E1161">
        <v>5</v>
      </c>
      <c r="F1161" t="s">
        <v>15512</v>
      </c>
      <c r="G1161" t="s">
        <v>15513</v>
      </c>
      <c r="H1161" s="4" t="s">
        <v>15514</v>
      </c>
      <c r="I1161" t="s">
        <v>10823</v>
      </c>
      <c r="J1161" t="s">
        <v>10782</v>
      </c>
      <c r="K1161" t="s">
        <v>15515</v>
      </c>
    </row>
    <row r="1162" spans="1:11" ht="244.8" x14ac:dyDescent="0.3">
      <c r="A1162" s="4" t="s">
        <v>4542</v>
      </c>
      <c r="B1162">
        <v>3</v>
      </c>
      <c r="C1162">
        <v>2023</v>
      </c>
      <c r="D1162" t="s">
        <v>15516</v>
      </c>
      <c r="E1162">
        <v>4</v>
      </c>
      <c r="F1162" t="s">
        <v>15517</v>
      </c>
      <c r="G1162" t="s">
        <v>15518</v>
      </c>
      <c r="H1162" s="4" t="s">
        <v>15519</v>
      </c>
      <c r="I1162" t="s">
        <v>71</v>
      </c>
      <c r="J1162" t="s">
        <v>10782</v>
      </c>
      <c r="K1162" t="s">
        <v>15520</v>
      </c>
    </row>
    <row r="1163" spans="1:11" ht="172.8" x14ac:dyDescent="0.3">
      <c r="A1163" s="4" t="s">
        <v>4543</v>
      </c>
      <c r="B1163">
        <v>3</v>
      </c>
      <c r="C1163">
        <v>2023</v>
      </c>
      <c r="D1163" t="s">
        <v>10924</v>
      </c>
      <c r="E1163">
        <v>5</v>
      </c>
      <c r="F1163" t="s">
        <v>15521</v>
      </c>
      <c r="G1163" t="s">
        <v>15522</v>
      </c>
      <c r="H1163" s="4" t="s">
        <v>15523</v>
      </c>
      <c r="I1163" t="s">
        <v>71</v>
      </c>
      <c r="J1163" t="s">
        <v>10782</v>
      </c>
      <c r="K1163" t="s">
        <v>15524</v>
      </c>
    </row>
    <row r="1164" spans="1:11" ht="172.8" x14ac:dyDescent="0.3">
      <c r="A1164" s="4" t="s">
        <v>768</v>
      </c>
      <c r="B1164">
        <v>1</v>
      </c>
      <c r="C1164">
        <v>2023</v>
      </c>
      <c r="D1164" t="s">
        <v>217</v>
      </c>
      <c r="E1164">
        <v>14</v>
      </c>
      <c r="F1164" t="s">
        <v>15525</v>
      </c>
      <c r="G1164" t="s">
        <v>15526</v>
      </c>
      <c r="H1164" s="4" t="s">
        <v>15527</v>
      </c>
      <c r="I1164" t="s">
        <v>71</v>
      </c>
      <c r="J1164" t="s">
        <v>10782</v>
      </c>
      <c r="K1164" t="s">
        <v>15528</v>
      </c>
    </row>
    <row r="1165" spans="1:11" ht="216" x14ac:dyDescent="0.3">
      <c r="A1165" s="4" t="s">
        <v>4544</v>
      </c>
      <c r="B1165">
        <v>3</v>
      </c>
      <c r="C1165">
        <v>2023</v>
      </c>
      <c r="D1165" t="s">
        <v>11164</v>
      </c>
      <c r="E1165">
        <v>12</v>
      </c>
      <c r="F1165" t="s">
        <v>15529</v>
      </c>
      <c r="G1165" t="s">
        <v>15530</v>
      </c>
      <c r="H1165" s="4" t="s">
        <v>15531</v>
      </c>
      <c r="I1165" t="s">
        <v>71</v>
      </c>
      <c r="J1165" t="s">
        <v>10782</v>
      </c>
      <c r="K1165" t="s">
        <v>15532</v>
      </c>
    </row>
    <row r="1166" spans="1:11" ht="244.8" x14ac:dyDescent="0.3">
      <c r="A1166" s="4" t="s">
        <v>4545</v>
      </c>
      <c r="B1166">
        <v>3</v>
      </c>
      <c r="C1166">
        <v>2023</v>
      </c>
      <c r="D1166" t="s">
        <v>1525</v>
      </c>
      <c r="E1166">
        <v>7</v>
      </c>
      <c r="F1166" t="s">
        <v>15533</v>
      </c>
      <c r="G1166" t="s">
        <v>15534</v>
      </c>
      <c r="H1166" s="4" t="s">
        <v>15535</v>
      </c>
      <c r="I1166" t="s">
        <v>71</v>
      </c>
      <c r="J1166" t="s">
        <v>10782</v>
      </c>
      <c r="K1166" t="s">
        <v>15536</v>
      </c>
    </row>
    <row r="1167" spans="1:11" ht="259.2" x14ac:dyDescent="0.3">
      <c r="A1167" s="4" t="s">
        <v>771</v>
      </c>
      <c r="B1167">
        <v>1</v>
      </c>
      <c r="C1167">
        <v>2023</v>
      </c>
      <c r="D1167" t="s">
        <v>544</v>
      </c>
      <c r="E1167">
        <v>4</v>
      </c>
      <c r="F1167" t="s">
        <v>15537</v>
      </c>
      <c r="G1167" t="s">
        <v>15538</v>
      </c>
      <c r="H1167" s="4" t="s">
        <v>15539</v>
      </c>
    </row>
    <row r="1168" spans="1:11" ht="201.6" x14ac:dyDescent="0.3">
      <c r="A1168" s="4" t="s">
        <v>4546</v>
      </c>
      <c r="B1168">
        <v>3</v>
      </c>
      <c r="C1168">
        <v>2023</v>
      </c>
      <c r="D1168" t="s">
        <v>811</v>
      </c>
      <c r="E1168">
        <v>1</v>
      </c>
      <c r="F1168" t="s">
        <v>15540</v>
      </c>
      <c r="G1168" t="s">
        <v>15541</v>
      </c>
      <c r="H1168" s="4" t="s">
        <v>15542</v>
      </c>
      <c r="I1168" t="s">
        <v>71</v>
      </c>
      <c r="J1168" t="s">
        <v>10782</v>
      </c>
      <c r="K1168" t="s">
        <v>15543</v>
      </c>
    </row>
    <row r="1169" spans="1:11" ht="201.6" x14ac:dyDescent="0.3">
      <c r="A1169" s="4" t="s">
        <v>4547</v>
      </c>
      <c r="B1169">
        <v>3</v>
      </c>
      <c r="C1169">
        <v>2023</v>
      </c>
      <c r="D1169" t="s">
        <v>15544</v>
      </c>
      <c r="E1169">
        <v>13</v>
      </c>
      <c r="F1169" t="s">
        <v>15545</v>
      </c>
      <c r="G1169" t="s">
        <v>15546</v>
      </c>
      <c r="H1169" s="4" t="s">
        <v>15547</v>
      </c>
      <c r="I1169" t="s">
        <v>71</v>
      </c>
      <c r="J1169" t="s">
        <v>10782</v>
      </c>
      <c r="K1169" t="s">
        <v>15548</v>
      </c>
    </row>
    <row r="1170" spans="1:11" ht="216" x14ac:dyDescent="0.3">
      <c r="A1170" s="4" t="s">
        <v>4548</v>
      </c>
      <c r="B1170">
        <v>3</v>
      </c>
      <c r="C1170">
        <v>2023</v>
      </c>
      <c r="D1170" t="s">
        <v>318</v>
      </c>
      <c r="E1170">
        <v>15</v>
      </c>
      <c r="F1170" t="s">
        <v>15549</v>
      </c>
      <c r="G1170" t="s">
        <v>15550</v>
      </c>
      <c r="H1170" s="4" t="s">
        <v>15551</v>
      </c>
      <c r="I1170" t="s">
        <v>71</v>
      </c>
      <c r="J1170" t="s">
        <v>10782</v>
      </c>
      <c r="K1170" t="s">
        <v>15552</v>
      </c>
    </row>
    <row r="1171" spans="1:11" ht="244.8" x14ac:dyDescent="0.3">
      <c r="A1171" s="4" t="s">
        <v>4549</v>
      </c>
      <c r="B1171">
        <v>3</v>
      </c>
      <c r="C1171">
        <v>2023</v>
      </c>
      <c r="D1171" t="s">
        <v>724</v>
      </c>
      <c r="E1171">
        <v>1</v>
      </c>
      <c r="F1171" t="s">
        <v>15553</v>
      </c>
      <c r="G1171" t="s">
        <v>15554</v>
      </c>
      <c r="H1171" s="4" t="s">
        <v>15555</v>
      </c>
      <c r="I1171" t="s">
        <v>71</v>
      </c>
      <c r="J1171" t="s">
        <v>10782</v>
      </c>
      <c r="K1171" t="s">
        <v>15556</v>
      </c>
    </row>
    <row r="1172" spans="1:11" ht="129.6" x14ac:dyDescent="0.3">
      <c r="A1172" s="4" t="s">
        <v>772</v>
      </c>
      <c r="B1172">
        <v>1</v>
      </c>
      <c r="C1172">
        <v>2023</v>
      </c>
      <c r="D1172" t="s">
        <v>799</v>
      </c>
      <c r="E1172">
        <v>1</v>
      </c>
      <c r="F1172" t="s">
        <v>15557</v>
      </c>
      <c r="G1172" t="s">
        <v>15558</v>
      </c>
      <c r="H1172" s="4" t="s">
        <v>15559</v>
      </c>
      <c r="I1172" t="s">
        <v>71</v>
      </c>
      <c r="J1172" t="s">
        <v>10782</v>
      </c>
      <c r="K1172" t="s">
        <v>15560</v>
      </c>
    </row>
    <row r="1173" spans="1:11" ht="115.2" x14ac:dyDescent="0.3">
      <c r="A1173" s="4" t="s">
        <v>4550</v>
      </c>
      <c r="B1173">
        <v>3</v>
      </c>
      <c r="C1173">
        <v>2023</v>
      </c>
      <c r="D1173" t="s">
        <v>1503</v>
      </c>
      <c r="E1173">
        <v>3</v>
      </c>
      <c r="F1173" t="s">
        <v>15561</v>
      </c>
      <c r="G1173" t="s">
        <v>15562</v>
      </c>
      <c r="H1173" s="4" t="s">
        <v>15563</v>
      </c>
      <c r="I1173" t="s">
        <v>71</v>
      </c>
      <c r="J1173" t="s">
        <v>10782</v>
      </c>
      <c r="K1173" t="s">
        <v>15564</v>
      </c>
    </row>
    <row r="1174" spans="1:11" ht="201.6" x14ac:dyDescent="0.3">
      <c r="A1174" s="4" t="s">
        <v>804</v>
      </c>
      <c r="B1174">
        <v>1</v>
      </c>
      <c r="C1174">
        <v>2023</v>
      </c>
      <c r="D1174" t="s">
        <v>811</v>
      </c>
      <c r="E1174">
        <v>15</v>
      </c>
      <c r="F1174" t="s">
        <v>15565</v>
      </c>
      <c r="G1174" t="s">
        <v>15566</v>
      </c>
      <c r="H1174" s="4" t="s">
        <v>15567</v>
      </c>
      <c r="I1174" t="s">
        <v>71</v>
      </c>
      <c r="J1174" t="s">
        <v>10782</v>
      </c>
      <c r="K1174" t="s">
        <v>15568</v>
      </c>
    </row>
    <row r="1175" spans="1:11" ht="244.8" x14ac:dyDescent="0.3">
      <c r="A1175" s="4" t="s">
        <v>4551</v>
      </c>
      <c r="B1175">
        <v>3</v>
      </c>
      <c r="C1175">
        <v>2023</v>
      </c>
      <c r="D1175" t="s">
        <v>1197</v>
      </c>
      <c r="E1175">
        <v>34</v>
      </c>
      <c r="F1175" t="s">
        <v>15569</v>
      </c>
      <c r="G1175" t="s">
        <v>15570</v>
      </c>
      <c r="H1175" s="4" t="s">
        <v>15571</v>
      </c>
      <c r="I1175" t="s">
        <v>10823</v>
      </c>
      <c r="J1175" t="s">
        <v>10782</v>
      </c>
      <c r="K1175" t="s">
        <v>15572</v>
      </c>
    </row>
    <row r="1176" spans="1:11" ht="172.8" x14ac:dyDescent="0.3">
      <c r="A1176" s="4" t="s">
        <v>4552</v>
      </c>
      <c r="B1176">
        <v>3</v>
      </c>
      <c r="C1176">
        <v>2023</v>
      </c>
      <c r="D1176" t="s">
        <v>329</v>
      </c>
      <c r="E1176">
        <v>1</v>
      </c>
      <c r="F1176" t="s">
        <v>15573</v>
      </c>
      <c r="G1176" t="s">
        <v>15574</v>
      </c>
      <c r="H1176" s="4" t="s">
        <v>15575</v>
      </c>
      <c r="I1176" t="s">
        <v>71</v>
      </c>
      <c r="J1176" t="s">
        <v>10782</v>
      </c>
      <c r="K1176" t="s">
        <v>15576</v>
      </c>
    </row>
    <row r="1177" spans="1:11" ht="201.6" x14ac:dyDescent="0.3">
      <c r="A1177" s="4" t="s">
        <v>1464</v>
      </c>
      <c r="B1177">
        <v>1</v>
      </c>
      <c r="C1177">
        <v>2023</v>
      </c>
      <c r="D1177" t="s">
        <v>380</v>
      </c>
      <c r="E1177">
        <v>16</v>
      </c>
      <c r="F1177" t="s">
        <v>15577</v>
      </c>
      <c r="G1177" t="s">
        <v>15578</v>
      </c>
      <c r="H1177" s="4" t="s">
        <v>15579</v>
      </c>
      <c r="I1177" t="s">
        <v>71</v>
      </c>
      <c r="J1177" t="s">
        <v>10782</v>
      </c>
      <c r="K1177" t="s">
        <v>15580</v>
      </c>
    </row>
    <row r="1178" spans="1:11" ht="144" x14ac:dyDescent="0.3">
      <c r="A1178" s="4" t="s">
        <v>4553</v>
      </c>
      <c r="B1178">
        <v>3</v>
      </c>
      <c r="C1178">
        <v>2023</v>
      </c>
      <c r="D1178" t="s">
        <v>14052</v>
      </c>
      <c r="E1178">
        <v>1</v>
      </c>
      <c r="F1178" t="s">
        <v>15581</v>
      </c>
      <c r="G1178" t="s">
        <v>15582</v>
      </c>
      <c r="H1178" s="4" t="s">
        <v>15583</v>
      </c>
      <c r="I1178" t="s">
        <v>71</v>
      </c>
      <c r="J1178" t="s">
        <v>10782</v>
      </c>
      <c r="K1178" t="s">
        <v>15584</v>
      </c>
    </row>
    <row r="1179" spans="1:11" ht="230.4" x14ac:dyDescent="0.3">
      <c r="A1179" s="4" t="s">
        <v>4554</v>
      </c>
      <c r="B1179">
        <v>3</v>
      </c>
      <c r="C1179">
        <v>2023</v>
      </c>
      <c r="D1179" t="s">
        <v>637</v>
      </c>
      <c r="E1179">
        <v>7</v>
      </c>
      <c r="F1179" t="s">
        <v>15585</v>
      </c>
      <c r="G1179" t="s">
        <v>15586</v>
      </c>
      <c r="H1179" s="4" t="s">
        <v>15587</v>
      </c>
      <c r="I1179" t="s">
        <v>71</v>
      </c>
      <c r="J1179" t="s">
        <v>10782</v>
      </c>
      <c r="K1179" t="s">
        <v>15588</v>
      </c>
    </row>
    <row r="1180" spans="1:11" ht="201.6" x14ac:dyDescent="0.3">
      <c r="A1180" s="4" t="s">
        <v>4555</v>
      </c>
      <c r="B1180">
        <v>3</v>
      </c>
      <c r="C1180">
        <v>2023</v>
      </c>
      <c r="D1180" t="s">
        <v>13644</v>
      </c>
      <c r="E1180">
        <v>3</v>
      </c>
      <c r="F1180" t="s">
        <v>15589</v>
      </c>
      <c r="G1180" t="s">
        <v>15590</v>
      </c>
      <c r="H1180" s="4" t="s">
        <v>15591</v>
      </c>
      <c r="I1180" t="s">
        <v>71</v>
      </c>
      <c r="J1180" t="s">
        <v>10782</v>
      </c>
      <c r="K1180" t="s">
        <v>15592</v>
      </c>
    </row>
    <row r="1181" spans="1:11" ht="201.6" x14ac:dyDescent="0.3">
      <c r="A1181" s="4" t="s">
        <v>4556</v>
      </c>
      <c r="B1181">
        <v>3</v>
      </c>
      <c r="C1181">
        <v>2023</v>
      </c>
      <c r="D1181" t="s">
        <v>380</v>
      </c>
      <c r="E1181">
        <v>3</v>
      </c>
      <c r="F1181" t="s">
        <v>15593</v>
      </c>
      <c r="G1181" t="s">
        <v>15594</v>
      </c>
      <c r="H1181" s="4" t="s">
        <v>15595</v>
      </c>
      <c r="I1181" t="s">
        <v>71</v>
      </c>
      <c r="J1181" t="s">
        <v>10782</v>
      </c>
      <c r="K1181" t="s">
        <v>15596</v>
      </c>
    </row>
    <row r="1182" spans="1:11" ht="86.4" x14ac:dyDescent="0.3">
      <c r="A1182" s="4" t="s">
        <v>4557</v>
      </c>
      <c r="B1182">
        <v>3</v>
      </c>
      <c r="C1182">
        <v>2023</v>
      </c>
      <c r="D1182" t="s">
        <v>15597</v>
      </c>
      <c r="E1182">
        <v>0</v>
      </c>
      <c r="F1182" t="s">
        <v>15598</v>
      </c>
      <c r="G1182" t="s">
        <v>15599</v>
      </c>
      <c r="H1182" s="4" t="s">
        <v>15600</v>
      </c>
      <c r="I1182" t="s">
        <v>71</v>
      </c>
      <c r="J1182" t="s">
        <v>10782</v>
      </c>
      <c r="K1182" t="s">
        <v>15601</v>
      </c>
    </row>
    <row r="1183" spans="1:11" ht="115.2" x14ac:dyDescent="0.3">
      <c r="A1183" s="4" t="s">
        <v>4558</v>
      </c>
      <c r="B1183">
        <v>3</v>
      </c>
      <c r="C1183">
        <v>2023</v>
      </c>
      <c r="D1183" t="s">
        <v>679</v>
      </c>
      <c r="E1183">
        <v>9</v>
      </c>
      <c r="F1183" t="s">
        <v>15602</v>
      </c>
      <c r="G1183" t="s">
        <v>15603</v>
      </c>
      <c r="H1183" s="4" t="s">
        <v>15604</v>
      </c>
      <c r="I1183" t="s">
        <v>71</v>
      </c>
      <c r="J1183" t="s">
        <v>10782</v>
      </c>
      <c r="K1183" t="s">
        <v>15605</v>
      </c>
    </row>
    <row r="1184" spans="1:11" ht="187.2" x14ac:dyDescent="0.3">
      <c r="A1184" s="4" t="s">
        <v>4559</v>
      </c>
      <c r="B1184">
        <v>3</v>
      </c>
      <c r="C1184">
        <v>2023</v>
      </c>
      <c r="D1184" t="s">
        <v>12593</v>
      </c>
      <c r="E1184">
        <v>7</v>
      </c>
      <c r="F1184" t="s">
        <v>15606</v>
      </c>
      <c r="G1184" t="s">
        <v>15607</v>
      </c>
      <c r="H1184" s="4" t="s">
        <v>15608</v>
      </c>
      <c r="I1184" t="s">
        <v>71</v>
      </c>
      <c r="J1184" t="s">
        <v>10782</v>
      </c>
      <c r="K1184" t="s">
        <v>15609</v>
      </c>
    </row>
    <row r="1185" spans="1:11" ht="259.2" x14ac:dyDescent="0.3">
      <c r="A1185" s="4" t="s">
        <v>4560</v>
      </c>
      <c r="B1185">
        <v>3</v>
      </c>
      <c r="C1185">
        <v>2023</v>
      </c>
      <c r="D1185" t="s">
        <v>2628</v>
      </c>
      <c r="E1185">
        <v>0</v>
      </c>
      <c r="F1185" t="s">
        <v>15610</v>
      </c>
      <c r="G1185" t="s">
        <v>15611</v>
      </c>
      <c r="H1185" s="4" t="s">
        <v>15612</v>
      </c>
      <c r="I1185" t="s">
        <v>71</v>
      </c>
      <c r="J1185" t="s">
        <v>10782</v>
      </c>
      <c r="K1185" t="s">
        <v>15613</v>
      </c>
    </row>
    <row r="1186" spans="1:11" ht="115.2" x14ac:dyDescent="0.3">
      <c r="A1186" s="4" t="s">
        <v>4561</v>
      </c>
      <c r="B1186">
        <v>3</v>
      </c>
      <c r="C1186">
        <v>2023</v>
      </c>
      <c r="D1186" t="s">
        <v>2585</v>
      </c>
      <c r="E1186">
        <v>4</v>
      </c>
      <c r="F1186" t="s">
        <v>15614</v>
      </c>
      <c r="G1186" t="s">
        <v>15615</v>
      </c>
      <c r="H1186" s="4" t="s">
        <v>15616</v>
      </c>
      <c r="I1186" t="s">
        <v>71</v>
      </c>
      <c r="J1186" t="s">
        <v>10782</v>
      </c>
      <c r="K1186" t="s">
        <v>15617</v>
      </c>
    </row>
    <row r="1187" spans="1:11" ht="201.6" x14ac:dyDescent="0.3">
      <c r="A1187" s="4" t="s">
        <v>4562</v>
      </c>
      <c r="B1187">
        <v>3</v>
      </c>
      <c r="C1187">
        <v>2023</v>
      </c>
      <c r="D1187" t="s">
        <v>380</v>
      </c>
      <c r="E1187">
        <v>16</v>
      </c>
      <c r="F1187" t="s">
        <v>15618</v>
      </c>
      <c r="G1187" t="s">
        <v>15619</v>
      </c>
      <c r="H1187" s="4" t="s">
        <v>15620</v>
      </c>
      <c r="I1187" t="s">
        <v>10823</v>
      </c>
      <c r="J1187" t="s">
        <v>10782</v>
      </c>
      <c r="K1187" t="s">
        <v>15621</v>
      </c>
    </row>
    <row r="1188" spans="1:11" ht="187.2" x14ac:dyDescent="0.3">
      <c r="A1188" s="4" t="s">
        <v>4563</v>
      </c>
      <c r="B1188">
        <v>3</v>
      </c>
      <c r="C1188">
        <v>2023</v>
      </c>
      <c r="D1188" t="s">
        <v>12580</v>
      </c>
      <c r="E1188">
        <v>2</v>
      </c>
      <c r="F1188" t="s">
        <v>15622</v>
      </c>
      <c r="G1188" t="s">
        <v>15623</v>
      </c>
      <c r="H1188" s="4" t="s">
        <v>15624</v>
      </c>
      <c r="I1188" t="s">
        <v>71</v>
      </c>
      <c r="J1188" t="s">
        <v>10782</v>
      </c>
      <c r="K1188" t="s">
        <v>15625</v>
      </c>
    </row>
    <row r="1189" spans="1:11" ht="172.8" x14ac:dyDescent="0.3">
      <c r="A1189" s="4" t="s">
        <v>4564</v>
      </c>
      <c r="B1189">
        <v>3</v>
      </c>
      <c r="C1189">
        <v>2023</v>
      </c>
      <c r="D1189" t="s">
        <v>15626</v>
      </c>
      <c r="E1189">
        <v>1</v>
      </c>
      <c r="F1189" t="s">
        <v>15627</v>
      </c>
      <c r="G1189" t="s">
        <v>15628</v>
      </c>
      <c r="H1189" s="4" t="s">
        <v>15629</v>
      </c>
      <c r="I1189" t="s">
        <v>71</v>
      </c>
      <c r="J1189" t="s">
        <v>10782</v>
      </c>
      <c r="K1189" t="s">
        <v>15630</v>
      </c>
    </row>
    <row r="1190" spans="1:11" ht="172.8" x14ac:dyDescent="0.3">
      <c r="A1190" s="4" t="s">
        <v>4565</v>
      </c>
      <c r="B1190">
        <v>3</v>
      </c>
      <c r="C1190">
        <v>2023</v>
      </c>
      <c r="D1190" t="s">
        <v>11159</v>
      </c>
      <c r="E1190">
        <v>4</v>
      </c>
      <c r="F1190" t="s">
        <v>15631</v>
      </c>
      <c r="G1190" t="s">
        <v>15632</v>
      </c>
      <c r="H1190" s="4" t="s">
        <v>15633</v>
      </c>
      <c r="I1190" t="s">
        <v>71</v>
      </c>
      <c r="J1190" t="s">
        <v>10782</v>
      </c>
      <c r="K1190" t="s">
        <v>15634</v>
      </c>
    </row>
    <row r="1191" spans="1:11" ht="273.60000000000002" x14ac:dyDescent="0.3">
      <c r="A1191" s="4" t="s">
        <v>4566</v>
      </c>
      <c r="B1191">
        <v>3</v>
      </c>
      <c r="C1191">
        <v>2023</v>
      </c>
      <c r="D1191" t="s">
        <v>1125</v>
      </c>
      <c r="E1191">
        <v>6</v>
      </c>
      <c r="F1191" t="s">
        <v>15635</v>
      </c>
      <c r="G1191" t="s">
        <v>15636</v>
      </c>
      <c r="H1191" s="4" t="s">
        <v>15637</v>
      </c>
      <c r="I1191" t="s">
        <v>10945</v>
      </c>
      <c r="J1191" t="s">
        <v>10782</v>
      </c>
      <c r="K1191" t="s">
        <v>15638</v>
      </c>
    </row>
    <row r="1192" spans="1:11" ht="187.2" x14ac:dyDescent="0.3">
      <c r="A1192" s="4" t="s">
        <v>4567</v>
      </c>
      <c r="B1192">
        <v>3</v>
      </c>
      <c r="C1192">
        <v>2023</v>
      </c>
      <c r="D1192" t="s">
        <v>13756</v>
      </c>
      <c r="E1192">
        <v>0</v>
      </c>
      <c r="F1192" t="s">
        <v>15639</v>
      </c>
      <c r="G1192" t="s">
        <v>15640</v>
      </c>
      <c r="H1192" s="4" t="s">
        <v>15641</v>
      </c>
      <c r="I1192" t="s">
        <v>71</v>
      </c>
      <c r="J1192" t="s">
        <v>10782</v>
      </c>
      <c r="K1192" t="s">
        <v>15642</v>
      </c>
    </row>
    <row r="1193" spans="1:11" ht="201.6" x14ac:dyDescent="0.3">
      <c r="A1193" s="4" t="s">
        <v>4568</v>
      </c>
      <c r="B1193">
        <v>3</v>
      </c>
      <c r="C1193">
        <v>2023</v>
      </c>
      <c r="D1193" t="s">
        <v>10805</v>
      </c>
      <c r="E1193">
        <v>19</v>
      </c>
      <c r="F1193" t="s">
        <v>15643</v>
      </c>
      <c r="G1193" t="s">
        <v>15644</v>
      </c>
      <c r="H1193" s="4" t="s">
        <v>15645</v>
      </c>
      <c r="I1193" t="s">
        <v>71</v>
      </c>
      <c r="J1193" t="s">
        <v>10782</v>
      </c>
      <c r="K1193" t="s">
        <v>15646</v>
      </c>
    </row>
    <row r="1194" spans="1:11" ht="259.2" x14ac:dyDescent="0.3">
      <c r="A1194" s="4" t="s">
        <v>4569</v>
      </c>
      <c r="B1194">
        <v>3</v>
      </c>
      <c r="C1194">
        <v>2023</v>
      </c>
      <c r="D1194" t="s">
        <v>15647</v>
      </c>
      <c r="E1194">
        <v>0</v>
      </c>
      <c r="F1194" t="s">
        <v>15648</v>
      </c>
      <c r="G1194" t="s">
        <v>15649</v>
      </c>
      <c r="H1194" s="4" t="s">
        <v>15650</v>
      </c>
      <c r="I1194" t="s">
        <v>71</v>
      </c>
      <c r="J1194" t="s">
        <v>10782</v>
      </c>
      <c r="K1194" t="s">
        <v>15651</v>
      </c>
    </row>
    <row r="1195" spans="1:11" ht="187.2" x14ac:dyDescent="0.3">
      <c r="A1195" s="4" t="s">
        <v>4570</v>
      </c>
      <c r="B1195">
        <v>3</v>
      </c>
      <c r="C1195">
        <v>2023</v>
      </c>
      <c r="D1195" t="s">
        <v>15652</v>
      </c>
      <c r="E1195">
        <v>2</v>
      </c>
      <c r="F1195" t="s">
        <v>15653</v>
      </c>
      <c r="G1195" t="s">
        <v>15654</v>
      </c>
      <c r="H1195" s="4" t="s">
        <v>15655</v>
      </c>
      <c r="I1195" t="s">
        <v>71</v>
      </c>
      <c r="J1195" t="s">
        <v>10782</v>
      </c>
      <c r="K1195" t="s">
        <v>15656</v>
      </c>
    </row>
    <row r="1196" spans="1:11" ht="187.2" x14ac:dyDescent="0.3">
      <c r="A1196" s="4" t="s">
        <v>4571</v>
      </c>
      <c r="B1196">
        <v>3</v>
      </c>
      <c r="C1196">
        <v>2023</v>
      </c>
      <c r="D1196" t="s">
        <v>2819</v>
      </c>
      <c r="E1196">
        <v>2</v>
      </c>
      <c r="F1196" t="s">
        <v>15657</v>
      </c>
      <c r="G1196" t="s">
        <v>15658</v>
      </c>
      <c r="H1196" s="4" t="s">
        <v>15659</v>
      </c>
      <c r="I1196" t="s">
        <v>71</v>
      </c>
      <c r="J1196" t="s">
        <v>10782</v>
      </c>
      <c r="K1196" t="s">
        <v>15660</v>
      </c>
    </row>
    <row r="1197" spans="1:11" ht="144" x14ac:dyDescent="0.3">
      <c r="A1197" s="4" t="s">
        <v>805</v>
      </c>
      <c r="B1197">
        <v>1</v>
      </c>
      <c r="C1197">
        <v>2023</v>
      </c>
      <c r="D1197" t="s">
        <v>817</v>
      </c>
      <c r="E1197">
        <v>1</v>
      </c>
      <c r="F1197" t="s">
        <v>15661</v>
      </c>
      <c r="G1197" t="s">
        <v>15662</v>
      </c>
      <c r="H1197" s="4" t="s">
        <v>15663</v>
      </c>
      <c r="I1197" t="s">
        <v>71</v>
      </c>
      <c r="J1197" t="s">
        <v>10782</v>
      </c>
      <c r="K1197" t="s">
        <v>15664</v>
      </c>
    </row>
    <row r="1198" spans="1:11" ht="158.4" x14ac:dyDescent="0.3">
      <c r="A1198" s="4" t="s">
        <v>4572</v>
      </c>
      <c r="B1198">
        <v>3</v>
      </c>
      <c r="C1198">
        <v>2023</v>
      </c>
      <c r="D1198" t="s">
        <v>15665</v>
      </c>
      <c r="E1198">
        <v>0</v>
      </c>
      <c r="F1198" t="s">
        <v>15666</v>
      </c>
      <c r="G1198" t="s">
        <v>15667</v>
      </c>
      <c r="H1198" s="4" t="s">
        <v>15668</v>
      </c>
    </row>
    <row r="1199" spans="1:11" ht="158.4" x14ac:dyDescent="0.3">
      <c r="A1199" s="4" t="s">
        <v>4573</v>
      </c>
      <c r="B1199">
        <v>3</v>
      </c>
      <c r="C1199">
        <v>2023</v>
      </c>
      <c r="D1199" t="s">
        <v>1802</v>
      </c>
      <c r="E1199">
        <v>8</v>
      </c>
      <c r="F1199" t="s">
        <v>15669</v>
      </c>
      <c r="G1199" t="s">
        <v>15670</v>
      </c>
      <c r="H1199" s="4" t="s">
        <v>15671</v>
      </c>
      <c r="I1199" t="s">
        <v>71</v>
      </c>
      <c r="J1199" t="s">
        <v>10782</v>
      </c>
      <c r="K1199" t="s">
        <v>15672</v>
      </c>
    </row>
    <row r="1200" spans="1:11" ht="172.8" x14ac:dyDescent="0.3">
      <c r="A1200" s="4" t="s">
        <v>4574</v>
      </c>
      <c r="B1200">
        <v>3</v>
      </c>
      <c r="C1200">
        <v>2023</v>
      </c>
      <c r="D1200" t="s">
        <v>147</v>
      </c>
      <c r="E1200">
        <v>0</v>
      </c>
      <c r="F1200" t="s">
        <v>15673</v>
      </c>
      <c r="G1200" t="s">
        <v>15674</v>
      </c>
      <c r="H1200" s="4" t="s">
        <v>15675</v>
      </c>
      <c r="I1200" t="s">
        <v>71</v>
      </c>
      <c r="J1200" t="s">
        <v>10782</v>
      </c>
      <c r="K1200" t="s">
        <v>15676</v>
      </c>
    </row>
    <row r="1201" spans="1:11" ht="187.2" x14ac:dyDescent="0.3">
      <c r="A1201" s="4" t="s">
        <v>4575</v>
      </c>
      <c r="B1201">
        <v>3</v>
      </c>
      <c r="C1201">
        <v>2023</v>
      </c>
      <c r="D1201" t="s">
        <v>2859</v>
      </c>
      <c r="E1201">
        <v>7</v>
      </c>
      <c r="F1201" t="s">
        <v>15677</v>
      </c>
      <c r="G1201" t="s">
        <v>15678</v>
      </c>
      <c r="H1201" s="4" t="s">
        <v>15679</v>
      </c>
      <c r="I1201" t="s">
        <v>71</v>
      </c>
      <c r="J1201" t="s">
        <v>10782</v>
      </c>
      <c r="K1201" t="s">
        <v>15680</v>
      </c>
    </row>
    <row r="1202" spans="1:11" ht="187.2" x14ac:dyDescent="0.3">
      <c r="A1202" s="4" t="s">
        <v>4576</v>
      </c>
      <c r="B1202">
        <v>3</v>
      </c>
      <c r="C1202">
        <v>2023</v>
      </c>
      <c r="D1202" t="s">
        <v>217</v>
      </c>
      <c r="E1202">
        <v>8</v>
      </c>
      <c r="F1202" t="s">
        <v>15681</v>
      </c>
      <c r="G1202" t="s">
        <v>15682</v>
      </c>
      <c r="H1202" s="4" t="s">
        <v>15683</v>
      </c>
      <c r="I1202" t="s">
        <v>71</v>
      </c>
      <c r="J1202" t="s">
        <v>10782</v>
      </c>
      <c r="K1202" t="s">
        <v>15684</v>
      </c>
    </row>
    <row r="1203" spans="1:11" ht="158.4" x14ac:dyDescent="0.3">
      <c r="A1203" s="4" t="s">
        <v>3239</v>
      </c>
      <c r="B1203">
        <v>1</v>
      </c>
      <c r="C1203">
        <v>2023</v>
      </c>
      <c r="D1203" t="s">
        <v>363</v>
      </c>
      <c r="E1203">
        <v>15</v>
      </c>
      <c r="F1203" t="s">
        <v>15685</v>
      </c>
      <c r="G1203" t="s">
        <v>15686</v>
      </c>
      <c r="H1203" s="4" t="s">
        <v>15687</v>
      </c>
      <c r="I1203" t="s">
        <v>71</v>
      </c>
      <c r="J1203" t="s">
        <v>10782</v>
      </c>
      <c r="K1203" t="s">
        <v>15688</v>
      </c>
    </row>
    <row r="1204" spans="1:11" ht="158.4" x14ac:dyDescent="0.3">
      <c r="A1204" s="4" t="s">
        <v>806</v>
      </c>
      <c r="B1204">
        <v>1</v>
      </c>
      <c r="C1204">
        <v>2023</v>
      </c>
      <c r="D1204" t="s">
        <v>622</v>
      </c>
      <c r="E1204">
        <v>1</v>
      </c>
      <c r="F1204" t="s">
        <v>15689</v>
      </c>
      <c r="G1204" t="s">
        <v>15690</v>
      </c>
      <c r="H1204" s="4" t="s">
        <v>15691</v>
      </c>
      <c r="I1204" t="s">
        <v>71</v>
      </c>
      <c r="J1204" t="s">
        <v>10782</v>
      </c>
      <c r="K1204" t="s">
        <v>15692</v>
      </c>
    </row>
    <row r="1205" spans="1:11" ht="187.2" x14ac:dyDescent="0.3">
      <c r="A1205" s="4" t="s">
        <v>4577</v>
      </c>
      <c r="B1205">
        <v>3</v>
      </c>
      <c r="C1205">
        <v>2023</v>
      </c>
      <c r="D1205" t="s">
        <v>12491</v>
      </c>
      <c r="E1205">
        <v>2</v>
      </c>
      <c r="F1205" t="s">
        <v>15693</v>
      </c>
      <c r="G1205" t="s">
        <v>15694</v>
      </c>
      <c r="H1205" s="4" t="s">
        <v>15695</v>
      </c>
      <c r="I1205" t="s">
        <v>71</v>
      </c>
      <c r="J1205" t="s">
        <v>10782</v>
      </c>
      <c r="K1205" t="s">
        <v>15696</v>
      </c>
    </row>
    <row r="1206" spans="1:11" ht="172.8" x14ac:dyDescent="0.3">
      <c r="A1206" s="4" t="s">
        <v>4578</v>
      </c>
      <c r="B1206">
        <v>3</v>
      </c>
      <c r="C1206">
        <v>2023</v>
      </c>
      <c r="D1206" t="s">
        <v>11104</v>
      </c>
      <c r="E1206">
        <v>18</v>
      </c>
      <c r="F1206" t="s">
        <v>15697</v>
      </c>
      <c r="G1206" t="s">
        <v>15698</v>
      </c>
      <c r="H1206" s="4" t="s">
        <v>15699</v>
      </c>
      <c r="I1206" t="s">
        <v>71</v>
      </c>
      <c r="J1206" t="s">
        <v>10782</v>
      </c>
      <c r="K1206" t="s">
        <v>15700</v>
      </c>
    </row>
    <row r="1207" spans="1:11" ht="86.4" x14ac:dyDescent="0.3">
      <c r="A1207" s="4" t="s">
        <v>4579</v>
      </c>
      <c r="B1207">
        <v>3</v>
      </c>
      <c r="C1207">
        <v>2023</v>
      </c>
      <c r="D1207" t="s">
        <v>11159</v>
      </c>
      <c r="E1207">
        <v>8</v>
      </c>
      <c r="F1207" t="s">
        <v>15701</v>
      </c>
      <c r="G1207" t="s">
        <v>15702</v>
      </c>
      <c r="H1207" s="4" t="s">
        <v>15703</v>
      </c>
    </row>
    <row r="1208" spans="1:11" ht="129.6" x14ac:dyDescent="0.3">
      <c r="A1208" s="4" t="s">
        <v>4580</v>
      </c>
      <c r="B1208">
        <v>3</v>
      </c>
      <c r="C1208">
        <v>2023</v>
      </c>
      <c r="D1208" t="s">
        <v>544</v>
      </c>
      <c r="E1208">
        <v>10</v>
      </c>
      <c r="F1208" t="s">
        <v>15704</v>
      </c>
      <c r="G1208" t="s">
        <v>15705</v>
      </c>
      <c r="H1208" s="4" t="s">
        <v>15706</v>
      </c>
      <c r="I1208" t="s">
        <v>71</v>
      </c>
      <c r="J1208" t="s">
        <v>10782</v>
      </c>
      <c r="K1208" t="s">
        <v>15707</v>
      </c>
    </row>
    <row r="1209" spans="1:11" ht="201.6" x14ac:dyDescent="0.3">
      <c r="A1209" s="4" t="s">
        <v>4581</v>
      </c>
      <c r="B1209">
        <v>3</v>
      </c>
      <c r="C1209">
        <v>2023</v>
      </c>
      <c r="D1209" t="s">
        <v>12580</v>
      </c>
      <c r="E1209">
        <v>4</v>
      </c>
      <c r="F1209" t="s">
        <v>15708</v>
      </c>
      <c r="G1209" t="s">
        <v>15709</v>
      </c>
      <c r="H1209" s="4" t="s">
        <v>15710</v>
      </c>
      <c r="I1209" t="s">
        <v>71</v>
      </c>
      <c r="J1209" t="s">
        <v>10782</v>
      </c>
      <c r="K1209" t="s">
        <v>15711</v>
      </c>
    </row>
    <row r="1210" spans="1:11" ht="144" x14ac:dyDescent="0.3">
      <c r="A1210" s="4" t="s">
        <v>4582</v>
      </c>
      <c r="B1210">
        <v>3</v>
      </c>
      <c r="C1210">
        <v>2023</v>
      </c>
      <c r="D1210" t="s">
        <v>482</v>
      </c>
      <c r="E1210">
        <v>2</v>
      </c>
      <c r="F1210" t="s">
        <v>15712</v>
      </c>
      <c r="G1210" t="s">
        <v>15713</v>
      </c>
      <c r="H1210" s="4" t="s">
        <v>15714</v>
      </c>
      <c r="I1210" t="s">
        <v>71</v>
      </c>
      <c r="J1210" t="s">
        <v>10782</v>
      </c>
      <c r="K1210" t="s">
        <v>15715</v>
      </c>
    </row>
    <row r="1211" spans="1:11" ht="230.4" x14ac:dyDescent="0.3">
      <c r="A1211" s="4" t="s">
        <v>4583</v>
      </c>
      <c r="B1211">
        <v>3</v>
      </c>
      <c r="C1211">
        <v>2023</v>
      </c>
      <c r="D1211" t="s">
        <v>80</v>
      </c>
      <c r="E1211">
        <v>16</v>
      </c>
      <c r="F1211" t="s">
        <v>15716</v>
      </c>
      <c r="G1211" t="s">
        <v>15717</v>
      </c>
      <c r="H1211" s="4" t="s">
        <v>15718</v>
      </c>
      <c r="I1211" t="s">
        <v>71</v>
      </c>
      <c r="J1211" t="s">
        <v>10782</v>
      </c>
      <c r="K1211" t="s">
        <v>15719</v>
      </c>
    </row>
    <row r="1212" spans="1:11" ht="187.2" x14ac:dyDescent="0.3">
      <c r="A1212" s="4" t="s">
        <v>4584</v>
      </c>
      <c r="B1212">
        <v>3</v>
      </c>
      <c r="C1212">
        <v>2023</v>
      </c>
      <c r="D1212" t="s">
        <v>12580</v>
      </c>
      <c r="E1212">
        <v>0</v>
      </c>
      <c r="F1212" t="s">
        <v>15720</v>
      </c>
      <c r="G1212" t="s">
        <v>15721</v>
      </c>
      <c r="H1212" s="4" t="s">
        <v>15722</v>
      </c>
      <c r="I1212" t="s">
        <v>71</v>
      </c>
      <c r="J1212" t="s">
        <v>10782</v>
      </c>
      <c r="K1212" t="s">
        <v>15723</v>
      </c>
    </row>
    <row r="1213" spans="1:11" ht="244.8" x14ac:dyDescent="0.3">
      <c r="A1213" s="4" t="s">
        <v>4585</v>
      </c>
      <c r="B1213">
        <v>3</v>
      </c>
      <c r="C1213">
        <v>2023</v>
      </c>
      <c r="D1213" t="s">
        <v>637</v>
      </c>
      <c r="E1213">
        <v>5</v>
      </c>
      <c r="F1213" t="s">
        <v>15724</v>
      </c>
      <c r="G1213" t="s">
        <v>15725</v>
      </c>
      <c r="H1213" s="4" t="s">
        <v>15726</v>
      </c>
      <c r="I1213" t="s">
        <v>71</v>
      </c>
      <c r="J1213" t="s">
        <v>10782</v>
      </c>
      <c r="K1213" t="s">
        <v>15727</v>
      </c>
    </row>
    <row r="1214" spans="1:11" ht="172.8" x14ac:dyDescent="0.3">
      <c r="A1214" s="4" t="s">
        <v>4586</v>
      </c>
      <c r="B1214">
        <v>3</v>
      </c>
      <c r="C1214">
        <v>2023</v>
      </c>
      <c r="D1214" t="s">
        <v>10169</v>
      </c>
      <c r="E1214">
        <v>8</v>
      </c>
      <c r="F1214" t="s">
        <v>15728</v>
      </c>
      <c r="G1214" t="s">
        <v>15729</v>
      </c>
      <c r="H1214" s="4" t="s">
        <v>15730</v>
      </c>
      <c r="I1214" t="s">
        <v>71</v>
      </c>
      <c r="J1214" t="s">
        <v>10782</v>
      </c>
      <c r="K1214" t="s">
        <v>15731</v>
      </c>
    </row>
    <row r="1215" spans="1:11" ht="144" x14ac:dyDescent="0.3">
      <c r="A1215" s="4" t="s">
        <v>4587</v>
      </c>
      <c r="B1215">
        <v>3</v>
      </c>
      <c r="C1215">
        <v>2023</v>
      </c>
      <c r="D1215" t="s">
        <v>13821</v>
      </c>
      <c r="E1215">
        <v>3</v>
      </c>
      <c r="F1215" t="s">
        <v>15732</v>
      </c>
      <c r="G1215" t="s">
        <v>15733</v>
      </c>
      <c r="H1215" s="4" t="s">
        <v>15734</v>
      </c>
      <c r="I1215" t="s">
        <v>71</v>
      </c>
      <c r="J1215" t="s">
        <v>10782</v>
      </c>
      <c r="K1215" t="s">
        <v>15735</v>
      </c>
    </row>
    <row r="1216" spans="1:11" ht="230.4" x14ac:dyDescent="0.3">
      <c r="A1216" s="4" t="s">
        <v>4588</v>
      </c>
      <c r="B1216">
        <v>3</v>
      </c>
      <c r="C1216">
        <v>2023</v>
      </c>
      <c r="D1216" t="s">
        <v>637</v>
      </c>
      <c r="E1216">
        <v>15</v>
      </c>
      <c r="F1216" t="s">
        <v>15736</v>
      </c>
      <c r="G1216" t="s">
        <v>15737</v>
      </c>
      <c r="H1216" s="4" t="s">
        <v>15738</v>
      </c>
      <c r="I1216" t="s">
        <v>71</v>
      </c>
      <c r="J1216" t="s">
        <v>10782</v>
      </c>
      <c r="K1216" t="s">
        <v>15739</v>
      </c>
    </row>
    <row r="1217" spans="1:11" ht="72" x14ac:dyDescent="0.3">
      <c r="A1217" s="4" t="s">
        <v>4589</v>
      </c>
      <c r="B1217">
        <v>3</v>
      </c>
      <c r="C1217">
        <v>2023</v>
      </c>
      <c r="D1217" t="s">
        <v>12080</v>
      </c>
      <c r="E1217">
        <v>6</v>
      </c>
      <c r="F1217" t="s">
        <v>15740</v>
      </c>
      <c r="G1217" t="s">
        <v>15741</v>
      </c>
      <c r="H1217" s="4" t="s">
        <v>15742</v>
      </c>
    </row>
    <row r="1218" spans="1:11" ht="100.8" x14ac:dyDescent="0.3">
      <c r="A1218" s="4" t="s">
        <v>4590</v>
      </c>
      <c r="B1218">
        <v>3</v>
      </c>
      <c r="C1218">
        <v>2023</v>
      </c>
      <c r="D1218" t="s">
        <v>12072</v>
      </c>
      <c r="E1218">
        <v>1</v>
      </c>
      <c r="F1218" t="s">
        <v>15743</v>
      </c>
      <c r="G1218" t="s">
        <v>15744</v>
      </c>
      <c r="H1218" s="4" t="s">
        <v>15745</v>
      </c>
      <c r="I1218" t="s">
        <v>71</v>
      </c>
      <c r="J1218" t="s">
        <v>10782</v>
      </c>
      <c r="K1218" t="s">
        <v>15746</v>
      </c>
    </row>
    <row r="1219" spans="1:11" ht="86.4" x14ac:dyDescent="0.3">
      <c r="A1219" s="4" t="s">
        <v>4591</v>
      </c>
      <c r="B1219">
        <v>3</v>
      </c>
      <c r="C1219">
        <v>2023</v>
      </c>
      <c r="D1219" t="s">
        <v>318</v>
      </c>
      <c r="E1219">
        <v>7</v>
      </c>
      <c r="F1219" t="s">
        <v>15747</v>
      </c>
      <c r="G1219" t="s">
        <v>15748</v>
      </c>
      <c r="H1219" s="4" t="s">
        <v>15749</v>
      </c>
    </row>
    <row r="1220" spans="1:11" ht="158.4" x14ac:dyDescent="0.3">
      <c r="A1220" s="4" t="s">
        <v>3240</v>
      </c>
      <c r="B1220">
        <v>1</v>
      </c>
      <c r="C1220">
        <v>2023</v>
      </c>
      <c r="D1220" t="s">
        <v>15750</v>
      </c>
      <c r="E1220">
        <v>7</v>
      </c>
      <c r="F1220" t="s">
        <v>15751</v>
      </c>
      <c r="G1220" t="s">
        <v>15752</v>
      </c>
      <c r="H1220" s="4" t="s">
        <v>15753</v>
      </c>
      <c r="I1220" t="s">
        <v>71</v>
      </c>
      <c r="J1220" t="s">
        <v>10782</v>
      </c>
      <c r="K1220" t="s">
        <v>15754</v>
      </c>
    </row>
    <row r="1221" spans="1:11" ht="158.4" x14ac:dyDescent="0.3">
      <c r="A1221" s="4" t="s">
        <v>4592</v>
      </c>
      <c r="B1221">
        <v>3</v>
      </c>
      <c r="C1221">
        <v>2023</v>
      </c>
      <c r="D1221" t="s">
        <v>14805</v>
      </c>
      <c r="E1221">
        <v>0</v>
      </c>
      <c r="F1221" t="s">
        <v>15755</v>
      </c>
      <c r="G1221" t="s">
        <v>15756</v>
      </c>
      <c r="H1221" s="4" t="s">
        <v>15757</v>
      </c>
      <c r="I1221" t="s">
        <v>71</v>
      </c>
      <c r="J1221" t="s">
        <v>10782</v>
      </c>
      <c r="K1221" t="s">
        <v>15758</v>
      </c>
    </row>
    <row r="1222" spans="1:11" ht="129.6" x14ac:dyDescent="0.3">
      <c r="A1222" s="4" t="s">
        <v>4593</v>
      </c>
      <c r="B1222">
        <v>3</v>
      </c>
      <c r="C1222">
        <v>2023</v>
      </c>
      <c r="D1222" t="s">
        <v>11883</v>
      </c>
      <c r="E1222">
        <v>1</v>
      </c>
      <c r="F1222" t="s">
        <v>15759</v>
      </c>
      <c r="G1222" t="s">
        <v>15760</v>
      </c>
      <c r="H1222" s="4" t="s">
        <v>15761</v>
      </c>
      <c r="I1222" t="s">
        <v>71</v>
      </c>
      <c r="J1222" t="s">
        <v>10782</v>
      </c>
      <c r="K1222" t="s">
        <v>15762</v>
      </c>
    </row>
    <row r="1223" spans="1:11" ht="187.2" x14ac:dyDescent="0.3">
      <c r="A1223" s="4" t="s">
        <v>4594</v>
      </c>
      <c r="B1223">
        <v>3</v>
      </c>
      <c r="C1223">
        <v>2023</v>
      </c>
      <c r="D1223" t="s">
        <v>1746</v>
      </c>
      <c r="E1223">
        <v>12</v>
      </c>
      <c r="F1223" t="s">
        <v>15763</v>
      </c>
      <c r="G1223" t="s">
        <v>15764</v>
      </c>
      <c r="H1223" s="4" t="s">
        <v>15765</v>
      </c>
      <c r="I1223" t="s">
        <v>71</v>
      </c>
      <c r="J1223" t="s">
        <v>10782</v>
      </c>
      <c r="K1223" t="s">
        <v>15766</v>
      </c>
    </row>
    <row r="1224" spans="1:11" ht="201.6" x14ac:dyDescent="0.3">
      <c r="A1224" s="4" t="s">
        <v>4595</v>
      </c>
      <c r="B1224">
        <v>3</v>
      </c>
      <c r="C1224">
        <v>2023</v>
      </c>
      <c r="D1224" t="s">
        <v>13874</v>
      </c>
      <c r="E1224">
        <v>11</v>
      </c>
      <c r="F1224" t="s">
        <v>15767</v>
      </c>
      <c r="G1224" t="s">
        <v>15768</v>
      </c>
      <c r="H1224" s="4" t="s">
        <v>15769</v>
      </c>
      <c r="I1224" t="s">
        <v>71</v>
      </c>
      <c r="J1224" t="s">
        <v>10782</v>
      </c>
      <c r="K1224" t="s">
        <v>15770</v>
      </c>
    </row>
    <row r="1225" spans="1:11" ht="144" x14ac:dyDescent="0.3">
      <c r="A1225" s="4" t="s">
        <v>4596</v>
      </c>
      <c r="B1225">
        <v>3</v>
      </c>
      <c r="C1225">
        <v>2023</v>
      </c>
      <c r="D1225" t="s">
        <v>1865</v>
      </c>
      <c r="E1225">
        <v>3</v>
      </c>
      <c r="F1225" t="s">
        <v>15771</v>
      </c>
      <c r="G1225" t="s">
        <v>15772</v>
      </c>
      <c r="H1225" s="4" t="s">
        <v>15773</v>
      </c>
      <c r="I1225" t="s">
        <v>71</v>
      </c>
      <c r="J1225" t="s">
        <v>10782</v>
      </c>
      <c r="K1225" t="s">
        <v>15774</v>
      </c>
    </row>
    <row r="1226" spans="1:11" ht="259.2" x14ac:dyDescent="0.3">
      <c r="A1226" s="4" t="s">
        <v>4597</v>
      </c>
      <c r="B1226">
        <v>3</v>
      </c>
      <c r="C1226">
        <v>2023</v>
      </c>
      <c r="D1226" t="s">
        <v>10924</v>
      </c>
      <c r="E1226">
        <v>3</v>
      </c>
      <c r="F1226" t="s">
        <v>15775</v>
      </c>
      <c r="G1226" t="s">
        <v>15776</v>
      </c>
      <c r="H1226" s="4" t="s">
        <v>15777</v>
      </c>
      <c r="I1226" t="s">
        <v>71</v>
      </c>
      <c r="J1226" t="s">
        <v>10782</v>
      </c>
      <c r="K1226" t="s">
        <v>15778</v>
      </c>
    </row>
    <row r="1227" spans="1:11" ht="172.8" x14ac:dyDescent="0.3">
      <c r="A1227" s="4" t="s">
        <v>4598</v>
      </c>
      <c r="B1227">
        <v>3</v>
      </c>
      <c r="C1227">
        <v>2023</v>
      </c>
      <c r="D1227" t="s">
        <v>15779</v>
      </c>
      <c r="E1227">
        <v>1</v>
      </c>
      <c r="F1227" t="s">
        <v>15780</v>
      </c>
      <c r="G1227" t="s">
        <v>15781</v>
      </c>
      <c r="H1227" s="4" t="s">
        <v>15782</v>
      </c>
      <c r="I1227" t="s">
        <v>71</v>
      </c>
      <c r="J1227" t="s">
        <v>10782</v>
      </c>
      <c r="K1227" t="s">
        <v>15783</v>
      </c>
    </row>
    <row r="1228" spans="1:11" ht="115.2" x14ac:dyDescent="0.3">
      <c r="A1228" s="4" t="s">
        <v>4599</v>
      </c>
      <c r="B1228">
        <v>3</v>
      </c>
      <c r="C1228">
        <v>2023</v>
      </c>
      <c r="D1228" t="s">
        <v>637</v>
      </c>
      <c r="E1228">
        <v>6</v>
      </c>
      <c r="F1228" t="s">
        <v>15784</v>
      </c>
      <c r="G1228" t="s">
        <v>15785</v>
      </c>
      <c r="H1228" s="4" t="s">
        <v>15786</v>
      </c>
    </row>
    <row r="1229" spans="1:11" ht="172.8" x14ac:dyDescent="0.3">
      <c r="A1229" s="4" t="s">
        <v>4600</v>
      </c>
      <c r="B1229">
        <v>3</v>
      </c>
      <c r="C1229">
        <v>2023</v>
      </c>
      <c r="D1229" t="s">
        <v>622</v>
      </c>
      <c r="E1229">
        <v>0</v>
      </c>
      <c r="F1229" t="s">
        <v>15787</v>
      </c>
      <c r="G1229" t="s">
        <v>15788</v>
      </c>
      <c r="H1229" s="4" t="s">
        <v>15789</v>
      </c>
    </row>
    <row r="1230" spans="1:11" ht="187.2" x14ac:dyDescent="0.3">
      <c r="A1230" s="4" t="s">
        <v>4601</v>
      </c>
      <c r="B1230">
        <v>3</v>
      </c>
      <c r="C1230">
        <v>2023</v>
      </c>
      <c r="D1230" t="s">
        <v>14909</v>
      </c>
      <c r="E1230">
        <v>2</v>
      </c>
      <c r="F1230" t="s">
        <v>15790</v>
      </c>
      <c r="G1230" t="s">
        <v>15791</v>
      </c>
      <c r="H1230" s="4" t="s">
        <v>15792</v>
      </c>
      <c r="I1230" t="s">
        <v>10823</v>
      </c>
      <c r="J1230" t="s">
        <v>10782</v>
      </c>
      <c r="K1230" t="s">
        <v>15793</v>
      </c>
    </row>
    <row r="1231" spans="1:11" ht="172.8" x14ac:dyDescent="0.3">
      <c r="A1231" s="4" t="s">
        <v>807</v>
      </c>
      <c r="B1231">
        <v>1</v>
      </c>
      <c r="C1231">
        <v>2023</v>
      </c>
      <c r="D1231" t="s">
        <v>830</v>
      </c>
      <c r="E1231">
        <v>7</v>
      </c>
      <c r="F1231" t="s">
        <v>15794</v>
      </c>
      <c r="G1231" t="s">
        <v>15795</v>
      </c>
      <c r="H1231" s="4" t="s">
        <v>15796</v>
      </c>
    </row>
    <row r="1232" spans="1:11" ht="187.2" x14ac:dyDescent="0.3">
      <c r="A1232" s="4" t="s">
        <v>4602</v>
      </c>
      <c r="B1232">
        <v>3</v>
      </c>
      <c r="C1232">
        <v>2023</v>
      </c>
      <c r="D1232" t="s">
        <v>80</v>
      </c>
      <c r="E1232">
        <v>1</v>
      </c>
      <c r="F1232" t="s">
        <v>15797</v>
      </c>
      <c r="G1232" t="s">
        <v>15798</v>
      </c>
      <c r="H1232" s="4" t="s">
        <v>15799</v>
      </c>
      <c r="I1232" t="s">
        <v>71</v>
      </c>
      <c r="J1232" t="s">
        <v>10782</v>
      </c>
      <c r="K1232" t="s">
        <v>15800</v>
      </c>
    </row>
    <row r="1233" spans="1:11" ht="144" x14ac:dyDescent="0.3">
      <c r="A1233" s="4" t="s">
        <v>4603</v>
      </c>
      <c r="B1233">
        <v>3</v>
      </c>
      <c r="C1233">
        <v>2023</v>
      </c>
      <c r="D1233" t="s">
        <v>15801</v>
      </c>
      <c r="E1233">
        <v>8</v>
      </c>
      <c r="F1233" t="s">
        <v>15802</v>
      </c>
      <c r="G1233" t="s">
        <v>15803</v>
      </c>
      <c r="H1233" s="4" t="s">
        <v>15804</v>
      </c>
      <c r="I1233" t="s">
        <v>71</v>
      </c>
      <c r="J1233" t="s">
        <v>10782</v>
      </c>
      <c r="K1233" t="s">
        <v>15805</v>
      </c>
    </row>
    <row r="1234" spans="1:11" ht="100.8" x14ac:dyDescent="0.3">
      <c r="A1234" s="4" t="s">
        <v>4604</v>
      </c>
      <c r="B1234">
        <v>3</v>
      </c>
      <c r="C1234">
        <v>2023</v>
      </c>
      <c r="D1234" t="s">
        <v>11276</v>
      </c>
      <c r="E1234">
        <v>9</v>
      </c>
      <c r="F1234" t="s">
        <v>15806</v>
      </c>
      <c r="G1234" t="s">
        <v>15807</v>
      </c>
      <c r="H1234" s="4" t="s">
        <v>15808</v>
      </c>
      <c r="I1234" t="s">
        <v>71</v>
      </c>
      <c r="J1234" t="s">
        <v>10782</v>
      </c>
      <c r="K1234" t="s">
        <v>15809</v>
      </c>
    </row>
    <row r="1235" spans="1:11" ht="129.6" x14ac:dyDescent="0.3">
      <c r="A1235" s="4" t="s">
        <v>4605</v>
      </c>
      <c r="B1235">
        <v>3</v>
      </c>
      <c r="C1235">
        <v>2023</v>
      </c>
      <c r="D1235" t="s">
        <v>679</v>
      </c>
      <c r="E1235">
        <v>5</v>
      </c>
      <c r="F1235" t="s">
        <v>15810</v>
      </c>
      <c r="G1235" t="s">
        <v>15811</v>
      </c>
      <c r="H1235" s="4" t="s">
        <v>15812</v>
      </c>
      <c r="I1235" t="s">
        <v>71</v>
      </c>
      <c r="J1235" t="s">
        <v>10782</v>
      </c>
      <c r="K1235" t="s">
        <v>15813</v>
      </c>
    </row>
    <row r="1236" spans="1:11" ht="244.8" x14ac:dyDescent="0.3">
      <c r="A1236" s="4" t="s">
        <v>4606</v>
      </c>
      <c r="B1236">
        <v>3</v>
      </c>
      <c r="C1236">
        <v>2023</v>
      </c>
      <c r="D1236" t="s">
        <v>380</v>
      </c>
      <c r="E1236">
        <v>9</v>
      </c>
      <c r="F1236" t="s">
        <v>15814</v>
      </c>
      <c r="G1236" t="s">
        <v>15815</v>
      </c>
      <c r="H1236" s="4" t="s">
        <v>15816</v>
      </c>
      <c r="I1236" t="s">
        <v>71</v>
      </c>
      <c r="J1236" t="s">
        <v>10782</v>
      </c>
      <c r="K1236" t="s">
        <v>15817</v>
      </c>
    </row>
    <row r="1237" spans="1:11" ht="158.4" x14ac:dyDescent="0.3">
      <c r="A1237" s="4" t="s">
        <v>4607</v>
      </c>
      <c r="B1237">
        <v>3</v>
      </c>
      <c r="C1237">
        <v>2023</v>
      </c>
      <c r="D1237" t="s">
        <v>318</v>
      </c>
      <c r="E1237">
        <v>3</v>
      </c>
      <c r="F1237" t="s">
        <v>15818</v>
      </c>
      <c r="G1237" t="s">
        <v>15819</v>
      </c>
      <c r="H1237" s="4" t="s">
        <v>15820</v>
      </c>
      <c r="I1237" t="s">
        <v>71</v>
      </c>
      <c r="J1237" t="s">
        <v>10782</v>
      </c>
      <c r="K1237" t="s">
        <v>15821</v>
      </c>
    </row>
    <row r="1238" spans="1:11" ht="216" x14ac:dyDescent="0.3">
      <c r="A1238" s="4" t="s">
        <v>4608</v>
      </c>
      <c r="B1238">
        <v>3</v>
      </c>
      <c r="C1238">
        <v>2023</v>
      </c>
      <c r="D1238" t="s">
        <v>1002</v>
      </c>
      <c r="E1238">
        <v>4</v>
      </c>
      <c r="F1238" t="s">
        <v>15822</v>
      </c>
      <c r="G1238" t="s">
        <v>15823</v>
      </c>
      <c r="H1238" s="4" t="s">
        <v>15824</v>
      </c>
      <c r="I1238" t="s">
        <v>71</v>
      </c>
      <c r="J1238" t="s">
        <v>10782</v>
      </c>
      <c r="K1238" t="s">
        <v>15825</v>
      </c>
    </row>
    <row r="1239" spans="1:11" ht="144" x14ac:dyDescent="0.3">
      <c r="A1239" s="4" t="s">
        <v>4609</v>
      </c>
      <c r="B1239">
        <v>3</v>
      </c>
      <c r="C1239">
        <v>2023</v>
      </c>
      <c r="D1239" t="s">
        <v>15071</v>
      </c>
      <c r="E1239">
        <v>1</v>
      </c>
      <c r="F1239" t="s">
        <v>15826</v>
      </c>
      <c r="G1239" t="s">
        <v>15827</v>
      </c>
      <c r="H1239" s="4" t="s">
        <v>15828</v>
      </c>
      <c r="I1239" t="s">
        <v>71</v>
      </c>
      <c r="J1239" t="s">
        <v>10782</v>
      </c>
      <c r="K1239" t="s">
        <v>15829</v>
      </c>
    </row>
    <row r="1240" spans="1:11" ht="144" x14ac:dyDescent="0.3">
      <c r="A1240" s="4" t="s">
        <v>4610</v>
      </c>
      <c r="B1240">
        <v>3</v>
      </c>
      <c r="C1240">
        <v>2023</v>
      </c>
      <c r="D1240" t="s">
        <v>637</v>
      </c>
      <c r="E1240">
        <v>2</v>
      </c>
      <c r="F1240" t="s">
        <v>15830</v>
      </c>
      <c r="G1240" t="s">
        <v>15831</v>
      </c>
      <c r="H1240" s="4" t="s">
        <v>15832</v>
      </c>
      <c r="I1240" t="s">
        <v>71</v>
      </c>
      <c r="J1240" t="s">
        <v>10782</v>
      </c>
      <c r="K1240" t="s">
        <v>15833</v>
      </c>
    </row>
    <row r="1241" spans="1:11" ht="129.6" x14ac:dyDescent="0.3">
      <c r="A1241" s="4" t="s">
        <v>3241</v>
      </c>
      <c r="B1241">
        <v>1</v>
      </c>
      <c r="C1241">
        <v>2023</v>
      </c>
      <c r="D1241" t="s">
        <v>13874</v>
      </c>
      <c r="E1241">
        <v>3</v>
      </c>
      <c r="F1241" t="s">
        <v>15834</v>
      </c>
      <c r="G1241" t="s">
        <v>15835</v>
      </c>
      <c r="H1241" s="4" t="s">
        <v>15836</v>
      </c>
    </row>
    <row r="1242" spans="1:11" ht="216" x14ac:dyDescent="0.3">
      <c r="A1242" s="4" t="s">
        <v>4611</v>
      </c>
      <c r="B1242">
        <v>3</v>
      </c>
      <c r="C1242">
        <v>2023</v>
      </c>
      <c r="D1242" t="s">
        <v>10971</v>
      </c>
      <c r="E1242">
        <v>3</v>
      </c>
      <c r="F1242" t="s">
        <v>15837</v>
      </c>
      <c r="G1242" t="s">
        <v>15838</v>
      </c>
      <c r="H1242" s="4" t="s">
        <v>15839</v>
      </c>
      <c r="I1242" t="s">
        <v>71</v>
      </c>
      <c r="J1242" t="s">
        <v>10782</v>
      </c>
      <c r="K1242" t="s">
        <v>15840</v>
      </c>
    </row>
    <row r="1243" spans="1:11" ht="201.6" x14ac:dyDescent="0.3">
      <c r="A1243" s="4" t="s">
        <v>3515</v>
      </c>
      <c r="B1243">
        <v>2</v>
      </c>
      <c r="C1243">
        <v>2023</v>
      </c>
      <c r="D1243" t="s">
        <v>80</v>
      </c>
      <c r="E1243">
        <v>12</v>
      </c>
      <c r="F1243" t="s">
        <v>15841</v>
      </c>
      <c r="G1243" t="s">
        <v>15842</v>
      </c>
      <c r="H1243" s="4" t="s">
        <v>15843</v>
      </c>
      <c r="I1243" t="s">
        <v>71</v>
      </c>
      <c r="J1243" t="s">
        <v>10782</v>
      </c>
      <c r="K1243" t="s">
        <v>15844</v>
      </c>
    </row>
    <row r="1244" spans="1:11" ht="172.8" x14ac:dyDescent="0.3">
      <c r="A1244" s="4" t="s">
        <v>4612</v>
      </c>
      <c r="B1244">
        <v>3</v>
      </c>
      <c r="C1244">
        <v>2023</v>
      </c>
      <c r="D1244" t="s">
        <v>217</v>
      </c>
      <c r="E1244">
        <v>3</v>
      </c>
      <c r="F1244" t="s">
        <v>15845</v>
      </c>
      <c r="G1244" t="s">
        <v>15846</v>
      </c>
      <c r="H1244" s="4" t="s">
        <v>15847</v>
      </c>
      <c r="I1244" t="s">
        <v>71</v>
      </c>
      <c r="J1244" t="s">
        <v>10782</v>
      </c>
      <c r="K1244" t="s">
        <v>15848</v>
      </c>
    </row>
    <row r="1245" spans="1:11" ht="158.4" x14ac:dyDescent="0.3">
      <c r="A1245" s="4" t="s">
        <v>4613</v>
      </c>
      <c r="B1245">
        <v>3</v>
      </c>
      <c r="C1245">
        <v>2023</v>
      </c>
      <c r="D1245" t="s">
        <v>15071</v>
      </c>
      <c r="E1245">
        <v>0</v>
      </c>
      <c r="F1245" t="s">
        <v>15849</v>
      </c>
      <c r="G1245" t="s">
        <v>15850</v>
      </c>
      <c r="H1245" s="4" t="s">
        <v>15851</v>
      </c>
      <c r="I1245" t="s">
        <v>71</v>
      </c>
      <c r="J1245" t="s">
        <v>10782</v>
      </c>
      <c r="K1245" t="s">
        <v>15852</v>
      </c>
    </row>
    <row r="1246" spans="1:11" ht="172.8" x14ac:dyDescent="0.3">
      <c r="A1246" s="4" t="s">
        <v>4614</v>
      </c>
      <c r="B1246">
        <v>3</v>
      </c>
      <c r="C1246">
        <v>2023</v>
      </c>
      <c r="D1246" t="s">
        <v>147</v>
      </c>
      <c r="E1246">
        <v>8</v>
      </c>
      <c r="F1246" t="s">
        <v>15853</v>
      </c>
      <c r="G1246" t="s">
        <v>15854</v>
      </c>
      <c r="H1246" s="4" t="s">
        <v>15855</v>
      </c>
    </row>
    <row r="1247" spans="1:11" ht="100.8" x14ac:dyDescent="0.3">
      <c r="A1247" s="4" t="s">
        <v>4615</v>
      </c>
      <c r="B1247">
        <v>3</v>
      </c>
      <c r="C1247">
        <v>2023</v>
      </c>
      <c r="D1247" t="s">
        <v>15856</v>
      </c>
      <c r="E1247">
        <v>0</v>
      </c>
      <c r="F1247" t="s">
        <v>15857</v>
      </c>
      <c r="G1247" t="s">
        <v>15858</v>
      </c>
      <c r="H1247" s="4" t="s">
        <v>15859</v>
      </c>
      <c r="I1247" t="s">
        <v>71</v>
      </c>
      <c r="J1247" t="s">
        <v>10782</v>
      </c>
      <c r="K1247" t="s">
        <v>15860</v>
      </c>
    </row>
    <row r="1248" spans="1:11" ht="259.2" x14ac:dyDescent="0.3">
      <c r="A1248" s="4" t="s">
        <v>4616</v>
      </c>
      <c r="B1248">
        <v>3</v>
      </c>
      <c r="C1248">
        <v>2023</v>
      </c>
      <c r="D1248" t="s">
        <v>80</v>
      </c>
      <c r="E1248">
        <v>4</v>
      </c>
      <c r="F1248" t="s">
        <v>15861</v>
      </c>
      <c r="G1248" t="s">
        <v>15862</v>
      </c>
      <c r="H1248" s="4" t="s">
        <v>15863</v>
      </c>
      <c r="I1248" t="s">
        <v>71</v>
      </c>
      <c r="J1248" t="s">
        <v>10782</v>
      </c>
      <c r="K1248" t="s">
        <v>15864</v>
      </c>
    </row>
    <row r="1249" spans="1:11" ht="129.6" x14ac:dyDescent="0.3">
      <c r="A1249" s="4" t="s">
        <v>4617</v>
      </c>
      <c r="B1249">
        <v>3</v>
      </c>
      <c r="C1249">
        <v>2023</v>
      </c>
      <c r="D1249" t="s">
        <v>2519</v>
      </c>
      <c r="E1249">
        <v>3</v>
      </c>
      <c r="F1249" t="s">
        <v>15865</v>
      </c>
      <c r="G1249" t="s">
        <v>15866</v>
      </c>
      <c r="H1249" s="4" t="s">
        <v>15867</v>
      </c>
      <c r="I1249" t="s">
        <v>71</v>
      </c>
      <c r="J1249" t="s">
        <v>10782</v>
      </c>
      <c r="K1249" t="s">
        <v>15868</v>
      </c>
    </row>
    <row r="1250" spans="1:11" ht="144" x14ac:dyDescent="0.3">
      <c r="A1250" s="4" t="s">
        <v>2549</v>
      </c>
      <c r="B1250">
        <v>2</v>
      </c>
      <c r="C1250">
        <v>2023</v>
      </c>
      <c r="D1250" t="s">
        <v>622</v>
      </c>
      <c r="E1250">
        <v>4</v>
      </c>
      <c r="F1250" t="s">
        <v>15869</v>
      </c>
      <c r="G1250" t="s">
        <v>15870</v>
      </c>
      <c r="H1250" s="4" t="s">
        <v>15871</v>
      </c>
      <c r="I1250" t="s">
        <v>71</v>
      </c>
      <c r="J1250" t="s">
        <v>10782</v>
      </c>
      <c r="K1250" t="s">
        <v>15872</v>
      </c>
    </row>
    <row r="1251" spans="1:11" ht="201.6" x14ac:dyDescent="0.3">
      <c r="A1251" s="4" t="s">
        <v>4618</v>
      </c>
      <c r="B1251">
        <v>3</v>
      </c>
      <c r="C1251">
        <v>2023</v>
      </c>
      <c r="D1251" t="s">
        <v>2853</v>
      </c>
      <c r="E1251">
        <v>9</v>
      </c>
      <c r="F1251" t="s">
        <v>15873</v>
      </c>
      <c r="G1251" t="s">
        <v>15874</v>
      </c>
      <c r="H1251" s="4" t="s">
        <v>15875</v>
      </c>
      <c r="I1251" t="s">
        <v>71</v>
      </c>
      <c r="J1251" t="s">
        <v>10782</v>
      </c>
      <c r="K1251" t="s">
        <v>15876</v>
      </c>
    </row>
    <row r="1252" spans="1:11" ht="115.2" x14ac:dyDescent="0.3">
      <c r="A1252" s="4" t="s">
        <v>4619</v>
      </c>
      <c r="B1252">
        <v>3</v>
      </c>
      <c r="C1252">
        <v>2023</v>
      </c>
      <c r="D1252" t="s">
        <v>679</v>
      </c>
      <c r="E1252">
        <v>7</v>
      </c>
      <c r="F1252" t="s">
        <v>15877</v>
      </c>
      <c r="G1252" t="s">
        <v>15878</v>
      </c>
      <c r="H1252" s="4" t="s">
        <v>15879</v>
      </c>
      <c r="I1252" t="s">
        <v>71</v>
      </c>
      <c r="J1252" t="s">
        <v>10782</v>
      </c>
      <c r="K1252" t="s">
        <v>15880</v>
      </c>
    </row>
    <row r="1253" spans="1:11" ht="244.8" x14ac:dyDescent="0.3">
      <c r="A1253" s="4" t="s">
        <v>808</v>
      </c>
      <c r="B1253">
        <v>1</v>
      </c>
      <c r="C1253">
        <v>2023</v>
      </c>
      <c r="D1253" t="s">
        <v>329</v>
      </c>
      <c r="E1253">
        <v>13</v>
      </c>
      <c r="F1253" t="s">
        <v>15881</v>
      </c>
      <c r="G1253" t="s">
        <v>15882</v>
      </c>
      <c r="H1253" s="4" t="s">
        <v>15883</v>
      </c>
      <c r="I1253" t="s">
        <v>71</v>
      </c>
      <c r="J1253" t="s">
        <v>10782</v>
      </c>
      <c r="K1253" t="s">
        <v>15884</v>
      </c>
    </row>
    <row r="1254" spans="1:11" ht="216" x14ac:dyDescent="0.3">
      <c r="A1254" s="4" t="s">
        <v>3242</v>
      </c>
      <c r="B1254">
        <v>1</v>
      </c>
      <c r="C1254">
        <v>2023</v>
      </c>
      <c r="D1254" t="s">
        <v>11164</v>
      </c>
      <c r="E1254">
        <v>11</v>
      </c>
      <c r="F1254" t="s">
        <v>15885</v>
      </c>
      <c r="G1254" t="s">
        <v>15886</v>
      </c>
      <c r="H1254" s="4" t="s">
        <v>15887</v>
      </c>
      <c r="I1254" t="s">
        <v>71</v>
      </c>
      <c r="J1254" t="s">
        <v>10782</v>
      </c>
      <c r="K1254" t="s">
        <v>15888</v>
      </c>
    </row>
    <row r="1255" spans="1:11" ht="230.4" x14ac:dyDescent="0.3">
      <c r="A1255" s="4" t="s">
        <v>3243</v>
      </c>
      <c r="B1255">
        <v>1</v>
      </c>
      <c r="C1255">
        <v>2023</v>
      </c>
      <c r="D1255" t="s">
        <v>550</v>
      </c>
      <c r="E1255">
        <v>8</v>
      </c>
      <c r="F1255" t="s">
        <v>15889</v>
      </c>
      <c r="G1255" t="s">
        <v>15890</v>
      </c>
      <c r="H1255" s="4" t="s">
        <v>15891</v>
      </c>
      <c r="I1255" t="s">
        <v>71</v>
      </c>
      <c r="J1255" t="s">
        <v>10782</v>
      </c>
      <c r="K1255" t="s">
        <v>15892</v>
      </c>
    </row>
    <row r="1256" spans="1:11" ht="187.2" x14ac:dyDescent="0.3">
      <c r="A1256" s="4" t="s">
        <v>3244</v>
      </c>
      <c r="B1256">
        <v>1</v>
      </c>
      <c r="C1256">
        <v>2023</v>
      </c>
      <c r="D1256" t="s">
        <v>329</v>
      </c>
      <c r="E1256">
        <v>12</v>
      </c>
      <c r="F1256" t="s">
        <v>15893</v>
      </c>
      <c r="G1256" t="s">
        <v>15894</v>
      </c>
      <c r="H1256" s="4" t="s">
        <v>15895</v>
      </c>
      <c r="I1256" t="s">
        <v>71</v>
      </c>
      <c r="J1256" t="s">
        <v>10782</v>
      </c>
      <c r="K1256" t="s">
        <v>15896</v>
      </c>
    </row>
    <row r="1257" spans="1:11" ht="115.2" x14ac:dyDescent="0.3">
      <c r="A1257" s="4" t="s">
        <v>4620</v>
      </c>
      <c r="B1257">
        <v>3</v>
      </c>
      <c r="C1257">
        <v>2023</v>
      </c>
      <c r="D1257" t="s">
        <v>15897</v>
      </c>
      <c r="E1257">
        <v>1</v>
      </c>
      <c r="F1257" t="s">
        <v>15898</v>
      </c>
      <c r="G1257" t="s">
        <v>15899</v>
      </c>
      <c r="H1257" s="4" t="s">
        <v>15900</v>
      </c>
      <c r="I1257" t="s">
        <v>71</v>
      </c>
      <c r="J1257" t="s">
        <v>10782</v>
      </c>
      <c r="K1257" t="s">
        <v>15901</v>
      </c>
    </row>
    <row r="1258" spans="1:11" ht="172.8" x14ac:dyDescent="0.3">
      <c r="A1258" s="4" t="s">
        <v>4621</v>
      </c>
      <c r="B1258">
        <v>3</v>
      </c>
      <c r="C1258">
        <v>2023</v>
      </c>
      <c r="D1258" t="s">
        <v>1688</v>
      </c>
      <c r="E1258">
        <v>5</v>
      </c>
      <c r="F1258" t="s">
        <v>15902</v>
      </c>
      <c r="G1258" t="s">
        <v>15903</v>
      </c>
      <c r="H1258" s="4" t="s">
        <v>15904</v>
      </c>
      <c r="I1258" t="s">
        <v>71</v>
      </c>
      <c r="J1258" t="s">
        <v>10782</v>
      </c>
      <c r="K1258" t="s">
        <v>15905</v>
      </c>
    </row>
    <row r="1259" spans="1:11" ht="144" x14ac:dyDescent="0.3">
      <c r="A1259" s="4" t="s">
        <v>4622</v>
      </c>
      <c r="B1259">
        <v>3</v>
      </c>
      <c r="C1259">
        <v>2023</v>
      </c>
      <c r="D1259" t="s">
        <v>11263</v>
      </c>
      <c r="E1259">
        <v>6</v>
      </c>
      <c r="F1259" t="s">
        <v>15906</v>
      </c>
      <c r="G1259" t="s">
        <v>15907</v>
      </c>
      <c r="H1259" s="4" t="s">
        <v>15908</v>
      </c>
      <c r="I1259" t="s">
        <v>71</v>
      </c>
      <c r="J1259" t="s">
        <v>10782</v>
      </c>
      <c r="K1259" t="s">
        <v>15909</v>
      </c>
    </row>
    <row r="1260" spans="1:11" ht="230.4" x14ac:dyDescent="0.3">
      <c r="A1260" s="4" t="s">
        <v>4623</v>
      </c>
      <c r="B1260">
        <v>3</v>
      </c>
      <c r="C1260">
        <v>2023</v>
      </c>
      <c r="D1260" t="s">
        <v>817</v>
      </c>
      <c r="E1260">
        <v>4</v>
      </c>
      <c r="F1260" t="s">
        <v>15910</v>
      </c>
      <c r="G1260" t="s">
        <v>15911</v>
      </c>
      <c r="H1260" s="4" t="s">
        <v>15912</v>
      </c>
      <c r="I1260" t="s">
        <v>71</v>
      </c>
      <c r="J1260" t="s">
        <v>10782</v>
      </c>
      <c r="K1260" t="s">
        <v>15913</v>
      </c>
    </row>
    <row r="1261" spans="1:11" ht="158.4" x14ac:dyDescent="0.3">
      <c r="A1261" s="4" t="s">
        <v>3245</v>
      </c>
      <c r="B1261">
        <v>1</v>
      </c>
      <c r="C1261">
        <v>2023</v>
      </c>
      <c r="D1261" t="s">
        <v>217</v>
      </c>
      <c r="E1261">
        <v>9</v>
      </c>
      <c r="F1261" t="s">
        <v>15914</v>
      </c>
      <c r="G1261" t="s">
        <v>15915</v>
      </c>
      <c r="H1261" s="4" t="s">
        <v>15916</v>
      </c>
      <c r="I1261" t="s">
        <v>71</v>
      </c>
      <c r="J1261" t="s">
        <v>10782</v>
      </c>
      <c r="K1261" t="s">
        <v>15917</v>
      </c>
    </row>
    <row r="1262" spans="1:11" ht="144" x14ac:dyDescent="0.3">
      <c r="A1262" s="4" t="s">
        <v>4624</v>
      </c>
      <c r="B1262">
        <v>3</v>
      </c>
      <c r="C1262">
        <v>2023</v>
      </c>
      <c r="D1262" t="s">
        <v>637</v>
      </c>
      <c r="E1262">
        <v>6</v>
      </c>
      <c r="F1262" t="s">
        <v>15918</v>
      </c>
      <c r="G1262" t="s">
        <v>15919</v>
      </c>
      <c r="H1262" s="4" t="s">
        <v>15920</v>
      </c>
      <c r="I1262" t="s">
        <v>71</v>
      </c>
      <c r="J1262" t="s">
        <v>10782</v>
      </c>
      <c r="K1262" t="s">
        <v>15921</v>
      </c>
    </row>
    <row r="1263" spans="1:11" ht="158.4" x14ac:dyDescent="0.3">
      <c r="A1263" s="4" t="s">
        <v>4625</v>
      </c>
      <c r="B1263">
        <v>3</v>
      </c>
      <c r="C1263">
        <v>2023</v>
      </c>
      <c r="D1263" t="s">
        <v>80</v>
      </c>
      <c r="E1263">
        <v>12</v>
      </c>
      <c r="F1263" t="s">
        <v>15922</v>
      </c>
      <c r="G1263" t="s">
        <v>15923</v>
      </c>
      <c r="H1263" s="4" t="s">
        <v>15924</v>
      </c>
      <c r="I1263" t="s">
        <v>71</v>
      </c>
      <c r="J1263" t="s">
        <v>10782</v>
      </c>
      <c r="K1263" t="s">
        <v>15925</v>
      </c>
    </row>
    <row r="1264" spans="1:11" ht="115.2" x14ac:dyDescent="0.3">
      <c r="A1264" s="4" t="s">
        <v>3246</v>
      </c>
      <c r="B1264">
        <v>1</v>
      </c>
      <c r="C1264">
        <v>2023</v>
      </c>
      <c r="D1264" t="s">
        <v>3026</v>
      </c>
      <c r="E1264">
        <v>1</v>
      </c>
      <c r="F1264" t="s">
        <v>15926</v>
      </c>
      <c r="G1264" t="s">
        <v>15927</v>
      </c>
      <c r="H1264" s="4" t="s">
        <v>15928</v>
      </c>
      <c r="I1264" t="s">
        <v>71</v>
      </c>
      <c r="J1264" t="s">
        <v>10782</v>
      </c>
      <c r="K1264" t="s">
        <v>15929</v>
      </c>
    </row>
    <row r="1265" spans="1:11" ht="172.8" x14ac:dyDescent="0.3">
      <c r="A1265" s="4" t="s">
        <v>4626</v>
      </c>
      <c r="B1265">
        <v>3</v>
      </c>
      <c r="C1265">
        <v>2023</v>
      </c>
      <c r="D1265" t="s">
        <v>1770</v>
      </c>
      <c r="E1265">
        <v>6</v>
      </c>
      <c r="F1265" t="s">
        <v>15930</v>
      </c>
      <c r="G1265" t="s">
        <v>15931</v>
      </c>
      <c r="H1265" s="4" t="s">
        <v>15932</v>
      </c>
      <c r="I1265" t="s">
        <v>71</v>
      </c>
      <c r="J1265" t="s">
        <v>10782</v>
      </c>
      <c r="K1265" t="s">
        <v>15933</v>
      </c>
    </row>
    <row r="1266" spans="1:11" ht="201.6" x14ac:dyDescent="0.3">
      <c r="A1266" s="4" t="s">
        <v>4627</v>
      </c>
      <c r="B1266">
        <v>3</v>
      </c>
      <c r="C1266">
        <v>2023</v>
      </c>
      <c r="D1266" t="s">
        <v>637</v>
      </c>
      <c r="E1266">
        <v>7</v>
      </c>
      <c r="F1266" t="s">
        <v>15934</v>
      </c>
      <c r="G1266" t="s">
        <v>15935</v>
      </c>
      <c r="H1266" s="4" t="s">
        <v>15936</v>
      </c>
      <c r="I1266" t="s">
        <v>71</v>
      </c>
      <c r="J1266" t="s">
        <v>10782</v>
      </c>
      <c r="K1266" t="s">
        <v>15937</v>
      </c>
    </row>
    <row r="1267" spans="1:11" ht="187.2" x14ac:dyDescent="0.3">
      <c r="A1267" s="4" t="s">
        <v>4628</v>
      </c>
      <c r="B1267">
        <v>3</v>
      </c>
      <c r="C1267">
        <v>2023</v>
      </c>
      <c r="D1267" t="s">
        <v>13914</v>
      </c>
      <c r="E1267">
        <v>4</v>
      </c>
      <c r="F1267" t="s">
        <v>15938</v>
      </c>
      <c r="G1267" t="s">
        <v>15939</v>
      </c>
      <c r="H1267" s="4" t="s">
        <v>15940</v>
      </c>
      <c r="I1267" t="s">
        <v>71</v>
      </c>
      <c r="J1267" t="s">
        <v>10782</v>
      </c>
      <c r="K1267" t="s">
        <v>15941</v>
      </c>
    </row>
    <row r="1268" spans="1:11" ht="144" x14ac:dyDescent="0.3">
      <c r="A1268" s="4" t="s">
        <v>4629</v>
      </c>
      <c r="B1268">
        <v>3</v>
      </c>
      <c r="C1268">
        <v>2023</v>
      </c>
      <c r="D1268" t="s">
        <v>1849</v>
      </c>
      <c r="E1268">
        <v>2</v>
      </c>
      <c r="F1268" t="s">
        <v>15942</v>
      </c>
      <c r="G1268" t="s">
        <v>15943</v>
      </c>
      <c r="H1268" s="4" t="s">
        <v>15944</v>
      </c>
      <c r="I1268" t="s">
        <v>71</v>
      </c>
      <c r="J1268" t="s">
        <v>10782</v>
      </c>
      <c r="K1268" t="s">
        <v>15945</v>
      </c>
    </row>
    <row r="1269" spans="1:11" ht="158.4" x14ac:dyDescent="0.3">
      <c r="A1269" s="4" t="s">
        <v>4630</v>
      </c>
      <c r="B1269">
        <v>3</v>
      </c>
      <c r="C1269">
        <v>2023</v>
      </c>
      <c r="D1269" t="s">
        <v>1802</v>
      </c>
      <c r="E1269">
        <v>4</v>
      </c>
      <c r="F1269" t="s">
        <v>15946</v>
      </c>
      <c r="G1269" t="s">
        <v>15947</v>
      </c>
      <c r="H1269" s="4" t="s">
        <v>15948</v>
      </c>
      <c r="I1269" t="s">
        <v>71</v>
      </c>
      <c r="J1269" t="s">
        <v>10782</v>
      </c>
      <c r="K1269" t="s">
        <v>15949</v>
      </c>
    </row>
    <row r="1270" spans="1:11" ht="187.2" x14ac:dyDescent="0.3">
      <c r="A1270" s="4" t="s">
        <v>838</v>
      </c>
      <c r="B1270">
        <v>1</v>
      </c>
      <c r="C1270">
        <v>2023</v>
      </c>
      <c r="D1270" t="s">
        <v>811</v>
      </c>
      <c r="E1270">
        <v>6</v>
      </c>
      <c r="F1270" t="s">
        <v>15950</v>
      </c>
      <c r="G1270" t="s">
        <v>15951</v>
      </c>
      <c r="H1270" s="4" t="s">
        <v>15952</v>
      </c>
      <c r="I1270" t="s">
        <v>71</v>
      </c>
      <c r="J1270" t="s">
        <v>10782</v>
      </c>
      <c r="K1270" t="s">
        <v>15953</v>
      </c>
    </row>
    <row r="1271" spans="1:11" ht="216" x14ac:dyDescent="0.3">
      <c r="A1271" s="4" t="s">
        <v>4631</v>
      </c>
      <c r="B1271">
        <v>3</v>
      </c>
      <c r="C1271">
        <v>2023</v>
      </c>
      <c r="D1271" t="s">
        <v>15954</v>
      </c>
      <c r="E1271">
        <v>8</v>
      </c>
      <c r="F1271" t="s">
        <v>15955</v>
      </c>
      <c r="G1271" t="s">
        <v>15956</v>
      </c>
      <c r="H1271" s="4" t="s">
        <v>15957</v>
      </c>
      <c r="I1271" t="s">
        <v>71</v>
      </c>
      <c r="J1271" t="s">
        <v>10782</v>
      </c>
      <c r="K1271" t="s">
        <v>15958</v>
      </c>
    </row>
    <row r="1272" spans="1:11" ht="158.4" x14ac:dyDescent="0.3">
      <c r="A1272" s="4" t="s">
        <v>4632</v>
      </c>
      <c r="B1272">
        <v>3</v>
      </c>
      <c r="C1272">
        <v>2023</v>
      </c>
      <c r="D1272" t="s">
        <v>11702</v>
      </c>
      <c r="E1272">
        <v>31</v>
      </c>
      <c r="F1272" t="s">
        <v>15959</v>
      </c>
      <c r="G1272" t="s">
        <v>15960</v>
      </c>
      <c r="H1272" s="4" t="s">
        <v>15961</v>
      </c>
    </row>
    <row r="1273" spans="1:11" ht="230.4" x14ac:dyDescent="0.3">
      <c r="A1273" s="4" t="s">
        <v>4633</v>
      </c>
      <c r="B1273">
        <v>3</v>
      </c>
      <c r="C1273">
        <v>2023</v>
      </c>
      <c r="D1273" t="s">
        <v>1802</v>
      </c>
      <c r="E1273">
        <v>4</v>
      </c>
      <c r="F1273" t="s">
        <v>15962</v>
      </c>
      <c r="G1273" t="s">
        <v>15963</v>
      </c>
      <c r="H1273" s="4" t="s">
        <v>15964</v>
      </c>
      <c r="I1273" t="s">
        <v>71</v>
      </c>
      <c r="J1273" t="s">
        <v>10782</v>
      </c>
      <c r="K1273" t="s">
        <v>15965</v>
      </c>
    </row>
    <row r="1274" spans="1:11" ht="201.6" x14ac:dyDescent="0.3">
      <c r="A1274" s="4" t="s">
        <v>4634</v>
      </c>
      <c r="B1274">
        <v>3</v>
      </c>
      <c r="C1274">
        <v>2023</v>
      </c>
      <c r="D1274" t="s">
        <v>11674</v>
      </c>
      <c r="E1274">
        <v>0</v>
      </c>
      <c r="F1274" t="s">
        <v>15966</v>
      </c>
      <c r="G1274" t="s">
        <v>15967</v>
      </c>
      <c r="H1274" s="4" t="s">
        <v>15968</v>
      </c>
      <c r="I1274" t="s">
        <v>71</v>
      </c>
      <c r="J1274" t="s">
        <v>10782</v>
      </c>
      <c r="K1274" t="s">
        <v>15969</v>
      </c>
    </row>
    <row r="1275" spans="1:11" ht="187.2" x14ac:dyDescent="0.3">
      <c r="A1275" s="4" t="s">
        <v>4635</v>
      </c>
      <c r="B1275">
        <v>3</v>
      </c>
      <c r="C1275">
        <v>2023</v>
      </c>
      <c r="D1275" t="s">
        <v>482</v>
      </c>
      <c r="E1275">
        <v>17</v>
      </c>
      <c r="F1275" t="s">
        <v>15970</v>
      </c>
      <c r="G1275" t="s">
        <v>15971</v>
      </c>
      <c r="H1275" s="4" t="s">
        <v>15972</v>
      </c>
      <c r="I1275" t="s">
        <v>71</v>
      </c>
      <c r="J1275" t="s">
        <v>10782</v>
      </c>
      <c r="K1275" t="s">
        <v>15973</v>
      </c>
    </row>
    <row r="1276" spans="1:11" ht="201.6" x14ac:dyDescent="0.3">
      <c r="A1276" s="4" t="s">
        <v>4636</v>
      </c>
      <c r="B1276">
        <v>3</v>
      </c>
      <c r="C1276">
        <v>2023</v>
      </c>
      <c r="D1276" t="s">
        <v>637</v>
      </c>
      <c r="E1276">
        <v>7</v>
      </c>
      <c r="F1276" t="s">
        <v>15974</v>
      </c>
      <c r="G1276" t="s">
        <v>15975</v>
      </c>
      <c r="H1276" s="4" t="s">
        <v>15976</v>
      </c>
      <c r="I1276" t="s">
        <v>71</v>
      </c>
      <c r="J1276" t="s">
        <v>10782</v>
      </c>
      <c r="K1276" t="s">
        <v>15977</v>
      </c>
    </row>
    <row r="1277" spans="1:11" ht="273.60000000000002" x14ac:dyDescent="0.3">
      <c r="A1277" s="4" t="s">
        <v>4637</v>
      </c>
      <c r="B1277">
        <v>3</v>
      </c>
      <c r="C1277">
        <v>2023</v>
      </c>
      <c r="D1277" t="s">
        <v>329</v>
      </c>
      <c r="E1277">
        <v>7</v>
      </c>
      <c r="F1277" t="s">
        <v>15978</v>
      </c>
      <c r="G1277" t="s">
        <v>15979</v>
      </c>
      <c r="H1277" s="4" t="s">
        <v>15980</v>
      </c>
      <c r="I1277" t="s">
        <v>71</v>
      </c>
      <c r="J1277" t="s">
        <v>10782</v>
      </c>
      <c r="K1277" t="s">
        <v>15981</v>
      </c>
    </row>
    <row r="1278" spans="1:11" ht="57.6" x14ac:dyDescent="0.3">
      <c r="A1278" s="4" t="s">
        <v>3247</v>
      </c>
      <c r="B1278">
        <v>1</v>
      </c>
      <c r="C1278">
        <v>2023</v>
      </c>
      <c r="D1278" t="s">
        <v>15982</v>
      </c>
      <c r="E1278">
        <v>0</v>
      </c>
      <c r="F1278" t="s">
        <v>15983</v>
      </c>
      <c r="G1278" t="s">
        <v>15984</v>
      </c>
      <c r="H1278" s="4" t="s">
        <v>15985</v>
      </c>
      <c r="I1278" t="s">
        <v>71</v>
      </c>
      <c r="J1278" t="s">
        <v>10782</v>
      </c>
      <c r="K1278" t="s">
        <v>15986</v>
      </c>
    </row>
    <row r="1279" spans="1:11" ht="216" x14ac:dyDescent="0.3">
      <c r="A1279" s="4" t="s">
        <v>4638</v>
      </c>
      <c r="B1279">
        <v>3</v>
      </c>
      <c r="C1279">
        <v>2023</v>
      </c>
      <c r="D1279" t="s">
        <v>80</v>
      </c>
      <c r="E1279">
        <v>3</v>
      </c>
      <c r="F1279" t="s">
        <v>15987</v>
      </c>
      <c r="G1279" t="s">
        <v>15988</v>
      </c>
      <c r="H1279" s="4" t="s">
        <v>15989</v>
      </c>
      <c r="I1279" t="s">
        <v>71</v>
      </c>
      <c r="J1279" t="s">
        <v>10782</v>
      </c>
      <c r="K1279" t="s">
        <v>15990</v>
      </c>
    </row>
    <row r="1280" spans="1:11" ht="144" x14ac:dyDescent="0.3">
      <c r="A1280" s="4" t="s">
        <v>4639</v>
      </c>
      <c r="B1280">
        <v>3</v>
      </c>
      <c r="C1280">
        <v>2023</v>
      </c>
      <c r="D1280" t="s">
        <v>15991</v>
      </c>
      <c r="E1280">
        <v>0</v>
      </c>
      <c r="F1280" t="s">
        <v>15992</v>
      </c>
      <c r="G1280" t="s">
        <v>15993</v>
      </c>
      <c r="H1280" s="4" t="s">
        <v>15994</v>
      </c>
    </row>
    <row r="1281" spans="1:11" ht="172.8" x14ac:dyDescent="0.3">
      <c r="A1281" s="4" t="s">
        <v>4640</v>
      </c>
      <c r="B1281">
        <v>3</v>
      </c>
      <c r="C1281">
        <v>2023</v>
      </c>
      <c r="D1281" t="s">
        <v>544</v>
      </c>
      <c r="E1281">
        <v>1</v>
      </c>
      <c r="F1281" t="s">
        <v>15995</v>
      </c>
      <c r="G1281" t="s">
        <v>15996</v>
      </c>
      <c r="H1281" s="4" t="s">
        <v>15997</v>
      </c>
      <c r="I1281" t="s">
        <v>71</v>
      </c>
      <c r="J1281" t="s">
        <v>10782</v>
      </c>
      <c r="K1281" t="s">
        <v>15998</v>
      </c>
    </row>
    <row r="1282" spans="1:11" ht="244.8" x14ac:dyDescent="0.3">
      <c r="A1282" s="4" t="s">
        <v>4641</v>
      </c>
      <c r="B1282">
        <v>3</v>
      </c>
      <c r="C1282">
        <v>2023</v>
      </c>
      <c r="D1282" t="s">
        <v>15999</v>
      </c>
      <c r="E1282">
        <v>4</v>
      </c>
      <c r="F1282" t="s">
        <v>16000</v>
      </c>
      <c r="G1282" t="s">
        <v>16001</v>
      </c>
      <c r="H1282" s="4" t="s">
        <v>16002</v>
      </c>
      <c r="I1282" t="s">
        <v>71</v>
      </c>
      <c r="J1282" t="s">
        <v>10782</v>
      </c>
      <c r="K1282" t="s">
        <v>16003</v>
      </c>
    </row>
    <row r="1283" spans="1:11" ht="129.6" x14ac:dyDescent="0.3">
      <c r="A1283" s="4" t="s">
        <v>4642</v>
      </c>
      <c r="B1283">
        <v>3</v>
      </c>
      <c r="C1283">
        <v>2023</v>
      </c>
      <c r="D1283" t="s">
        <v>11159</v>
      </c>
      <c r="E1283">
        <v>1</v>
      </c>
      <c r="F1283" t="s">
        <v>16004</v>
      </c>
      <c r="G1283" t="s">
        <v>16005</v>
      </c>
      <c r="H1283" s="4" t="s">
        <v>16006</v>
      </c>
      <c r="I1283" t="s">
        <v>71</v>
      </c>
      <c r="J1283" t="s">
        <v>10782</v>
      </c>
      <c r="K1283" t="s">
        <v>16007</v>
      </c>
    </row>
    <row r="1284" spans="1:11" ht="172.8" x14ac:dyDescent="0.3">
      <c r="A1284" s="4" t="s">
        <v>4643</v>
      </c>
      <c r="B1284">
        <v>3</v>
      </c>
      <c r="C1284">
        <v>2023</v>
      </c>
      <c r="D1284" t="s">
        <v>329</v>
      </c>
      <c r="E1284">
        <v>5</v>
      </c>
      <c r="F1284" t="s">
        <v>16008</v>
      </c>
      <c r="G1284" t="s">
        <v>16009</v>
      </c>
      <c r="H1284" s="4" t="s">
        <v>16010</v>
      </c>
      <c r="I1284" t="s">
        <v>71</v>
      </c>
      <c r="J1284" t="s">
        <v>10782</v>
      </c>
      <c r="K1284" t="s">
        <v>16011</v>
      </c>
    </row>
    <row r="1285" spans="1:11" ht="158.4" x14ac:dyDescent="0.3">
      <c r="A1285" s="4" t="s">
        <v>4644</v>
      </c>
      <c r="B1285">
        <v>3</v>
      </c>
      <c r="C1285">
        <v>2023</v>
      </c>
      <c r="D1285" t="s">
        <v>16012</v>
      </c>
      <c r="E1285">
        <v>0</v>
      </c>
      <c r="G1285" t="s">
        <v>16013</v>
      </c>
      <c r="H1285" s="4" t="s">
        <v>16014</v>
      </c>
      <c r="I1285" s="4" t="s">
        <v>71</v>
      </c>
      <c r="J1285" t="s">
        <v>10782</v>
      </c>
      <c r="K1285" t="s">
        <v>16015</v>
      </c>
    </row>
    <row r="1286" spans="1:11" ht="187.2" x14ac:dyDescent="0.3">
      <c r="A1286" s="4" t="s">
        <v>4645</v>
      </c>
      <c r="B1286">
        <v>3</v>
      </c>
      <c r="C1286">
        <v>2023</v>
      </c>
      <c r="D1286" t="s">
        <v>11783</v>
      </c>
      <c r="E1286">
        <v>20</v>
      </c>
      <c r="F1286" t="s">
        <v>16016</v>
      </c>
      <c r="G1286" t="s">
        <v>16017</v>
      </c>
      <c r="H1286" s="4" t="s">
        <v>16018</v>
      </c>
      <c r="I1286" t="s">
        <v>71</v>
      </c>
      <c r="J1286" t="s">
        <v>10782</v>
      </c>
      <c r="K1286" t="s">
        <v>16019</v>
      </c>
    </row>
    <row r="1287" spans="1:11" ht="158.4" x14ac:dyDescent="0.3">
      <c r="A1287" s="4" t="s">
        <v>4646</v>
      </c>
      <c r="B1287">
        <v>3</v>
      </c>
      <c r="C1287">
        <v>2023</v>
      </c>
      <c r="D1287" t="s">
        <v>12253</v>
      </c>
      <c r="E1287">
        <v>3</v>
      </c>
      <c r="F1287" t="s">
        <v>16020</v>
      </c>
      <c r="G1287" t="s">
        <v>16021</v>
      </c>
      <c r="H1287" s="4" t="s">
        <v>16022</v>
      </c>
      <c r="I1287" t="s">
        <v>71</v>
      </c>
      <c r="J1287" t="s">
        <v>10782</v>
      </c>
      <c r="K1287" t="s">
        <v>16023</v>
      </c>
    </row>
    <row r="1288" spans="1:11" ht="187.2" x14ac:dyDescent="0.3">
      <c r="A1288" s="4" t="s">
        <v>4647</v>
      </c>
      <c r="B1288">
        <v>3</v>
      </c>
      <c r="C1288">
        <v>2023</v>
      </c>
      <c r="D1288" t="s">
        <v>12875</v>
      </c>
      <c r="E1288">
        <v>4</v>
      </c>
      <c r="F1288" t="s">
        <v>16024</v>
      </c>
      <c r="G1288" t="s">
        <v>16025</v>
      </c>
      <c r="H1288" s="4" t="s">
        <v>16026</v>
      </c>
      <c r="I1288" t="s">
        <v>71</v>
      </c>
      <c r="J1288" t="s">
        <v>10782</v>
      </c>
      <c r="K1288" t="s">
        <v>16027</v>
      </c>
    </row>
    <row r="1289" spans="1:11" ht="172.8" x14ac:dyDescent="0.3">
      <c r="A1289" s="4" t="s">
        <v>4648</v>
      </c>
      <c r="B1289">
        <v>3</v>
      </c>
      <c r="C1289">
        <v>2023</v>
      </c>
      <c r="D1289" t="s">
        <v>1936</v>
      </c>
      <c r="E1289">
        <v>16</v>
      </c>
      <c r="F1289" t="s">
        <v>16028</v>
      </c>
      <c r="G1289" t="s">
        <v>16029</v>
      </c>
      <c r="H1289" s="4" t="s">
        <v>16030</v>
      </c>
      <c r="I1289" t="s">
        <v>71</v>
      </c>
      <c r="J1289" t="s">
        <v>10782</v>
      </c>
      <c r="K1289" t="s">
        <v>16031</v>
      </c>
    </row>
    <row r="1290" spans="1:11" ht="115.2" x14ac:dyDescent="0.3">
      <c r="A1290" s="4" t="s">
        <v>4649</v>
      </c>
      <c r="B1290">
        <v>3</v>
      </c>
      <c r="C1290">
        <v>2023</v>
      </c>
      <c r="D1290" t="s">
        <v>10169</v>
      </c>
      <c r="E1290">
        <v>3</v>
      </c>
      <c r="F1290" t="s">
        <v>16032</v>
      </c>
      <c r="G1290" t="s">
        <v>16033</v>
      </c>
      <c r="H1290" s="4" t="s">
        <v>16034</v>
      </c>
      <c r="I1290" t="s">
        <v>71</v>
      </c>
      <c r="J1290" t="s">
        <v>10782</v>
      </c>
      <c r="K1290" t="s">
        <v>16035</v>
      </c>
    </row>
    <row r="1291" spans="1:11" ht="187.2" x14ac:dyDescent="0.3">
      <c r="A1291" s="4" t="s">
        <v>4650</v>
      </c>
      <c r="B1291">
        <v>3</v>
      </c>
      <c r="C1291">
        <v>2023</v>
      </c>
      <c r="D1291" t="s">
        <v>282</v>
      </c>
      <c r="E1291">
        <v>0</v>
      </c>
      <c r="F1291" t="s">
        <v>16036</v>
      </c>
      <c r="G1291" t="s">
        <v>16037</v>
      </c>
      <c r="H1291" s="4" t="s">
        <v>16038</v>
      </c>
      <c r="I1291" t="s">
        <v>71</v>
      </c>
      <c r="J1291" t="s">
        <v>10782</v>
      </c>
      <c r="K1291" t="s">
        <v>16039</v>
      </c>
    </row>
    <row r="1292" spans="1:11" ht="187.2" x14ac:dyDescent="0.3">
      <c r="A1292" s="4" t="s">
        <v>4651</v>
      </c>
      <c r="B1292">
        <v>3</v>
      </c>
      <c r="C1292">
        <v>2023</v>
      </c>
      <c r="D1292" t="s">
        <v>11159</v>
      </c>
      <c r="E1292">
        <v>5</v>
      </c>
      <c r="F1292" t="s">
        <v>16040</v>
      </c>
      <c r="G1292" t="s">
        <v>16041</v>
      </c>
      <c r="H1292" s="4" t="s">
        <v>16042</v>
      </c>
      <c r="I1292" t="s">
        <v>71</v>
      </c>
      <c r="J1292" t="s">
        <v>10782</v>
      </c>
      <c r="K1292" t="s">
        <v>16043</v>
      </c>
    </row>
    <row r="1293" spans="1:11" ht="100.8" x14ac:dyDescent="0.3">
      <c r="A1293" s="4" t="s">
        <v>4652</v>
      </c>
      <c r="B1293">
        <v>3</v>
      </c>
      <c r="C1293">
        <v>2023</v>
      </c>
      <c r="D1293" t="s">
        <v>1426</v>
      </c>
      <c r="E1293">
        <v>18</v>
      </c>
      <c r="F1293" t="s">
        <v>16044</v>
      </c>
      <c r="G1293" t="s">
        <v>16045</v>
      </c>
      <c r="H1293" s="4" t="s">
        <v>16046</v>
      </c>
      <c r="I1293" t="s">
        <v>10823</v>
      </c>
      <c r="J1293" t="s">
        <v>10782</v>
      </c>
      <c r="K1293" t="s">
        <v>16047</v>
      </c>
    </row>
    <row r="1294" spans="1:11" ht="187.2" x14ac:dyDescent="0.3">
      <c r="A1294" s="4" t="s">
        <v>4653</v>
      </c>
      <c r="B1294">
        <v>3</v>
      </c>
      <c r="C1294">
        <v>2023</v>
      </c>
      <c r="D1294" t="s">
        <v>11159</v>
      </c>
      <c r="E1294">
        <v>2</v>
      </c>
      <c r="F1294" t="s">
        <v>16048</v>
      </c>
      <c r="G1294" t="s">
        <v>16049</v>
      </c>
      <c r="H1294" s="4" t="s">
        <v>16050</v>
      </c>
      <c r="I1294" t="s">
        <v>71</v>
      </c>
      <c r="J1294" t="s">
        <v>10782</v>
      </c>
      <c r="K1294" t="s">
        <v>16051</v>
      </c>
    </row>
    <row r="1295" spans="1:11" ht="216" x14ac:dyDescent="0.3">
      <c r="A1295" s="4" t="s">
        <v>4654</v>
      </c>
      <c r="B1295">
        <v>3</v>
      </c>
      <c r="C1295">
        <v>2023</v>
      </c>
      <c r="D1295" t="s">
        <v>264</v>
      </c>
      <c r="E1295">
        <v>9</v>
      </c>
      <c r="F1295" t="s">
        <v>16052</v>
      </c>
      <c r="G1295" t="s">
        <v>16053</v>
      </c>
      <c r="H1295" s="4" t="s">
        <v>16054</v>
      </c>
      <c r="I1295" t="s">
        <v>71</v>
      </c>
      <c r="J1295" t="s">
        <v>10782</v>
      </c>
      <c r="K1295" t="s">
        <v>16055</v>
      </c>
    </row>
    <row r="1296" spans="1:11" ht="216" x14ac:dyDescent="0.3">
      <c r="A1296" s="4" t="s">
        <v>4655</v>
      </c>
      <c r="B1296">
        <v>3</v>
      </c>
      <c r="C1296">
        <v>2023</v>
      </c>
      <c r="D1296" t="s">
        <v>14052</v>
      </c>
      <c r="E1296">
        <v>10</v>
      </c>
      <c r="F1296" t="s">
        <v>16056</v>
      </c>
      <c r="G1296" t="s">
        <v>16057</v>
      </c>
      <c r="H1296" s="4" t="s">
        <v>16058</v>
      </c>
      <c r="I1296" t="s">
        <v>71</v>
      </c>
      <c r="J1296" t="s">
        <v>10782</v>
      </c>
      <c r="K1296" t="s">
        <v>16059</v>
      </c>
    </row>
    <row r="1297" spans="1:11" ht="100.8" x14ac:dyDescent="0.3">
      <c r="A1297" s="4" t="s">
        <v>4656</v>
      </c>
      <c r="B1297">
        <v>3</v>
      </c>
      <c r="C1297">
        <v>2023</v>
      </c>
      <c r="D1297" t="s">
        <v>482</v>
      </c>
      <c r="E1297">
        <v>1</v>
      </c>
      <c r="F1297" t="s">
        <v>16060</v>
      </c>
      <c r="G1297" t="s">
        <v>16061</v>
      </c>
      <c r="H1297" s="4" t="s">
        <v>16062</v>
      </c>
    </row>
    <row r="1298" spans="1:11" ht="187.2" x14ac:dyDescent="0.3">
      <c r="A1298" s="4" t="s">
        <v>4657</v>
      </c>
      <c r="B1298">
        <v>3</v>
      </c>
      <c r="C1298">
        <v>2023</v>
      </c>
      <c r="D1298" t="s">
        <v>811</v>
      </c>
      <c r="E1298">
        <v>7</v>
      </c>
      <c r="F1298" t="s">
        <v>16063</v>
      </c>
      <c r="G1298" t="s">
        <v>16064</v>
      </c>
      <c r="H1298" s="4" t="s">
        <v>16065</v>
      </c>
      <c r="I1298" t="s">
        <v>71</v>
      </c>
      <c r="J1298" t="s">
        <v>10782</v>
      </c>
      <c r="K1298" t="s">
        <v>16066</v>
      </c>
    </row>
    <row r="1299" spans="1:11" ht="187.2" x14ac:dyDescent="0.3">
      <c r="A1299" s="4" t="s">
        <v>4658</v>
      </c>
      <c r="B1299">
        <v>3</v>
      </c>
      <c r="C1299">
        <v>2023</v>
      </c>
      <c r="D1299" t="s">
        <v>10924</v>
      </c>
      <c r="E1299">
        <v>3</v>
      </c>
      <c r="F1299" t="s">
        <v>16067</v>
      </c>
      <c r="G1299" t="s">
        <v>16068</v>
      </c>
      <c r="H1299" s="4" t="s">
        <v>16069</v>
      </c>
      <c r="I1299" t="s">
        <v>71</v>
      </c>
      <c r="J1299" t="s">
        <v>10782</v>
      </c>
      <c r="K1299" t="s">
        <v>16070</v>
      </c>
    </row>
    <row r="1300" spans="1:11" ht="28.8" x14ac:dyDescent="0.3">
      <c r="A1300" s="4" t="s">
        <v>4659</v>
      </c>
      <c r="B1300">
        <v>3</v>
      </c>
      <c r="C1300">
        <v>2023</v>
      </c>
      <c r="D1300" t="s">
        <v>637</v>
      </c>
      <c r="E1300">
        <v>1</v>
      </c>
      <c r="F1300" t="s">
        <v>16071</v>
      </c>
      <c r="G1300" t="s">
        <v>16072</v>
      </c>
      <c r="H1300" s="4" t="s">
        <v>16073</v>
      </c>
    </row>
    <row r="1301" spans="1:11" ht="72" x14ac:dyDescent="0.3">
      <c r="A1301" s="4" t="s">
        <v>4660</v>
      </c>
      <c r="B1301">
        <v>3</v>
      </c>
      <c r="C1301">
        <v>2023</v>
      </c>
      <c r="D1301" t="s">
        <v>164</v>
      </c>
      <c r="E1301">
        <v>1</v>
      </c>
      <c r="F1301" t="s">
        <v>16074</v>
      </c>
      <c r="G1301" t="s">
        <v>16075</v>
      </c>
      <c r="H1301" s="4" t="s">
        <v>16076</v>
      </c>
    </row>
    <row r="1302" spans="1:11" ht="201.6" x14ac:dyDescent="0.3">
      <c r="A1302" s="4" t="s">
        <v>4661</v>
      </c>
      <c r="B1302">
        <v>3</v>
      </c>
      <c r="C1302">
        <v>2023</v>
      </c>
      <c r="D1302" t="s">
        <v>1316</v>
      </c>
      <c r="E1302">
        <v>13</v>
      </c>
      <c r="F1302" t="s">
        <v>16077</v>
      </c>
      <c r="G1302" t="s">
        <v>16078</v>
      </c>
      <c r="H1302" s="4" t="s">
        <v>16079</v>
      </c>
      <c r="I1302" t="s">
        <v>71</v>
      </c>
      <c r="J1302" t="s">
        <v>10782</v>
      </c>
      <c r="K1302" t="s">
        <v>16080</v>
      </c>
    </row>
    <row r="1303" spans="1:11" ht="201.6" x14ac:dyDescent="0.3">
      <c r="A1303" s="4" t="s">
        <v>4662</v>
      </c>
      <c r="B1303">
        <v>3</v>
      </c>
      <c r="C1303">
        <v>2023</v>
      </c>
      <c r="D1303" t="s">
        <v>637</v>
      </c>
      <c r="E1303">
        <v>5</v>
      </c>
      <c r="F1303" t="s">
        <v>16081</v>
      </c>
      <c r="G1303" t="s">
        <v>16082</v>
      </c>
      <c r="H1303" s="4" t="s">
        <v>16083</v>
      </c>
      <c r="I1303" t="s">
        <v>71</v>
      </c>
      <c r="J1303" t="s">
        <v>10782</v>
      </c>
      <c r="K1303" t="s">
        <v>16084</v>
      </c>
    </row>
    <row r="1304" spans="1:11" ht="201.6" x14ac:dyDescent="0.3">
      <c r="A1304" s="4" t="s">
        <v>4663</v>
      </c>
      <c r="B1304">
        <v>3</v>
      </c>
      <c r="C1304">
        <v>2023</v>
      </c>
      <c r="D1304" t="s">
        <v>2201</v>
      </c>
      <c r="E1304">
        <v>25</v>
      </c>
      <c r="F1304" t="s">
        <v>16085</v>
      </c>
      <c r="G1304" t="s">
        <v>16086</v>
      </c>
      <c r="H1304" s="4" t="s">
        <v>16087</v>
      </c>
      <c r="I1304" t="s">
        <v>71</v>
      </c>
      <c r="J1304" t="s">
        <v>10782</v>
      </c>
      <c r="K1304" t="s">
        <v>16088</v>
      </c>
    </row>
    <row r="1305" spans="1:11" ht="129.6" x14ac:dyDescent="0.3">
      <c r="A1305" s="4" t="s">
        <v>2550</v>
      </c>
      <c r="B1305">
        <v>2</v>
      </c>
      <c r="C1305">
        <v>2023</v>
      </c>
      <c r="D1305" t="s">
        <v>2596</v>
      </c>
      <c r="E1305">
        <v>1</v>
      </c>
      <c r="F1305" t="s">
        <v>16089</v>
      </c>
      <c r="G1305" t="s">
        <v>16090</v>
      </c>
      <c r="H1305" s="4" t="s">
        <v>16091</v>
      </c>
      <c r="I1305" t="s">
        <v>71</v>
      </c>
      <c r="J1305" t="s">
        <v>10782</v>
      </c>
      <c r="K1305" t="s">
        <v>16092</v>
      </c>
    </row>
    <row r="1306" spans="1:11" ht="187.2" x14ac:dyDescent="0.3">
      <c r="A1306" s="4" t="s">
        <v>4664</v>
      </c>
      <c r="B1306">
        <v>3</v>
      </c>
      <c r="C1306">
        <v>2023</v>
      </c>
      <c r="D1306" t="s">
        <v>318</v>
      </c>
      <c r="E1306">
        <v>5</v>
      </c>
      <c r="F1306" t="s">
        <v>16093</v>
      </c>
      <c r="G1306" t="s">
        <v>16094</v>
      </c>
      <c r="H1306" s="4" t="s">
        <v>16095</v>
      </c>
      <c r="I1306" t="s">
        <v>71</v>
      </c>
      <c r="J1306" t="s">
        <v>10782</v>
      </c>
      <c r="K1306" t="s">
        <v>16096</v>
      </c>
    </row>
    <row r="1307" spans="1:11" ht="158.4" x14ac:dyDescent="0.3">
      <c r="A1307" s="4" t="s">
        <v>4665</v>
      </c>
      <c r="B1307">
        <v>3</v>
      </c>
      <c r="C1307">
        <v>2023</v>
      </c>
      <c r="D1307" t="s">
        <v>11164</v>
      </c>
      <c r="E1307">
        <v>19</v>
      </c>
      <c r="F1307" t="s">
        <v>16097</v>
      </c>
      <c r="G1307" t="s">
        <v>16098</v>
      </c>
      <c r="H1307" s="4" t="s">
        <v>16099</v>
      </c>
      <c r="I1307" t="s">
        <v>71</v>
      </c>
      <c r="J1307" t="s">
        <v>10782</v>
      </c>
      <c r="K1307" t="s">
        <v>16100</v>
      </c>
    </row>
    <row r="1308" spans="1:11" ht="187.2" x14ac:dyDescent="0.3">
      <c r="A1308" s="4" t="s">
        <v>3516</v>
      </c>
      <c r="B1308">
        <v>2</v>
      </c>
      <c r="C1308">
        <v>2023</v>
      </c>
      <c r="D1308" t="s">
        <v>11276</v>
      </c>
      <c r="E1308">
        <v>3</v>
      </c>
      <c r="F1308" t="s">
        <v>16101</v>
      </c>
      <c r="G1308" t="s">
        <v>16102</v>
      </c>
      <c r="H1308" s="4" t="s">
        <v>16103</v>
      </c>
      <c r="I1308" t="s">
        <v>71</v>
      </c>
      <c r="J1308" t="s">
        <v>10782</v>
      </c>
      <c r="K1308" t="s">
        <v>16104</v>
      </c>
    </row>
    <row r="1309" spans="1:11" ht="115.2" x14ac:dyDescent="0.3">
      <c r="A1309" s="4" t="s">
        <v>4666</v>
      </c>
      <c r="B1309">
        <v>3</v>
      </c>
      <c r="C1309">
        <v>2023</v>
      </c>
      <c r="D1309" t="s">
        <v>2853</v>
      </c>
      <c r="E1309">
        <v>4</v>
      </c>
      <c r="F1309" t="s">
        <v>16105</v>
      </c>
      <c r="G1309" t="s">
        <v>16106</v>
      </c>
      <c r="H1309" s="4" t="s">
        <v>16107</v>
      </c>
    </row>
    <row r="1310" spans="1:11" ht="172.8" x14ac:dyDescent="0.3">
      <c r="A1310" s="4" t="s">
        <v>4667</v>
      </c>
      <c r="B1310">
        <v>3</v>
      </c>
      <c r="C1310">
        <v>2023</v>
      </c>
      <c r="D1310" t="s">
        <v>1841</v>
      </c>
      <c r="E1310">
        <v>5</v>
      </c>
      <c r="F1310" t="s">
        <v>16108</v>
      </c>
      <c r="G1310" t="s">
        <v>16109</v>
      </c>
      <c r="H1310" s="4" t="s">
        <v>16110</v>
      </c>
      <c r="I1310" t="s">
        <v>71</v>
      </c>
      <c r="J1310" t="s">
        <v>10782</v>
      </c>
      <c r="K1310" t="s">
        <v>16111</v>
      </c>
    </row>
    <row r="1311" spans="1:11" ht="144" x14ac:dyDescent="0.3">
      <c r="A1311" s="4" t="s">
        <v>4668</v>
      </c>
      <c r="B1311">
        <v>3</v>
      </c>
      <c r="C1311">
        <v>2023</v>
      </c>
      <c r="D1311" t="s">
        <v>16112</v>
      </c>
      <c r="E1311">
        <v>5</v>
      </c>
      <c r="F1311" t="s">
        <v>16113</v>
      </c>
      <c r="G1311" t="s">
        <v>16114</v>
      </c>
      <c r="H1311" s="4" t="s">
        <v>16115</v>
      </c>
      <c r="I1311" t="s">
        <v>71</v>
      </c>
      <c r="J1311" t="s">
        <v>10782</v>
      </c>
      <c r="K1311" t="s">
        <v>16116</v>
      </c>
    </row>
    <row r="1312" spans="1:11" ht="244.8" x14ac:dyDescent="0.3">
      <c r="A1312" s="4" t="s">
        <v>4669</v>
      </c>
      <c r="B1312">
        <v>3</v>
      </c>
      <c r="C1312">
        <v>2023</v>
      </c>
      <c r="D1312" t="s">
        <v>11598</v>
      </c>
      <c r="E1312">
        <v>6</v>
      </c>
      <c r="F1312" t="s">
        <v>16117</v>
      </c>
      <c r="G1312" t="s">
        <v>16118</v>
      </c>
      <c r="H1312" s="4" t="s">
        <v>16119</v>
      </c>
      <c r="I1312" t="s">
        <v>71</v>
      </c>
      <c r="J1312" t="s">
        <v>10782</v>
      </c>
      <c r="K1312" t="s">
        <v>16120</v>
      </c>
    </row>
    <row r="1313" spans="1:11" ht="187.2" x14ac:dyDescent="0.3">
      <c r="A1313" s="4" t="s">
        <v>4670</v>
      </c>
      <c r="B1313">
        <v>3</v>
      </c>
      <c r="C1313">
        <v>2023</v>
      </c>
      <c r="D1313" t="s">
        <v>217</v>
      </c>
      <c r="E1313">
        <v>5</v>
      </c>
      <c r="F1313" t="s">
        <v>16121</v>
      </c>
      <c r="G1313" t="s">
        <v>16122</v>
      </c>
      <c r="H1313" s="4" t="s">
        <v>16123</v>
      </c>
      <c r="I1313" t="s">
        <v>71</v>
      </c>
      <c r="J1313" t="s">
        <v>10782</v>
      </c>
      <c r="K1313" t="s">
        <v>16124</v>
      </c>
    </row>
    <row r="1314" spans="1:11" ht="72" x14ac:dyDescent="0.3">
      <c r="A1314" s="4" t="s">
        <v>4671</v>
      </c>
      <c r="B1314">
        <v>3</v>
      </c>
      <c r="C1314">
        <v>2023</v>
      </c>
      <c r="D1314" t="s">
        <v>217</v>
      </c>
      <c r="E1314">
        <v>1</v>
      </c>
      <c r="F1314" t="s">
        <v>16125</v>
      </c>
      <c r="G1314" t="s">
        <v>16126</v>
      </c>
      <c r="H1314" s="4" t="s">
        <v>16127</v>
      </c>
    </row>
    <row r="1315" spans="1:11" ht="244.8" x14ac:dyDescent="0.3">
      <c r="A1315" s="4" t="s">
        <v>4672</v>
      </c>
      <c r="B1315">
        <v>3</v>
      </c>
      <c r="C1315">
        <v>2023</v>
      </c>
      <c r="D1315" t="s">
        <v>1015</v>
      </c>
      <c r="E1315">
        <v>1</v>
      </c>
      <c r="F1315" t="s">
        <v>16128</v>
      </c>
      <c r="G1315" t="s">
        <v>16129</v>
      </c>
      <c r="H1315" s="4" t="s">
        <v>16130</v>
      </c>
      <c r="I1315" t="s">
        <v>71</v>
      </c>
      <c r="J1315" t="s">
        <v>10782</v>
      </c>
      <c r="K1315" t="s">
        <v>16131</v>
      </c>
    </row>
    <row r="1316" spans="1:11" ht="201.6" x14ac:dyDescent="0.3">
      <c r="A1316" s="4" t="s">
        <v>3517</v>
      </c>
      <c r="B1316">
        <v>2</v>
      </c>
      <c r="C1316">
        <v>2023</v>
      </c>
      <c r="D1316" t="s">
        <v>637</v>
      </c>
      <c r="E1316">
        <v>9</v>
      </c>
      <c r="F1316" t="s">
        <v>16132</v>
      </c>
      <c r="G1316" t="s">
        <v>16133</v>
      </c>
      <c r="H1316" s="4" t="s">
        <v>16134</v>
      </c>
      <c r="I1316" t="s">
        <v>71</v>
      </c>
      <c r="J1316" t="s">
        <v>10782</v>
      </c>
      <c r="K1316" t="s">
        <v>16135</v>
      </c>
    </row>
    <row r="1317" spans="1:11" ht="187.2" x14ac:dyDescent="0.3">
      <c r="A1317" s="4" t="s">
        <v>4673</v>
      </c>
      <c r="B1317">
        <v>3</v>
      </c>
      <c r="C1317">
        <v>2023</v>
      </c>
      <c r="D1317" t="s">
        <v>773</v>
      </c>
      <c r="E1317">
        <v>7</v>
      </c>
      <c r="F1317" t="s">
        <v>16136</v>
      </c>
      <c r="G1317" t="s">
        <v>16137</v>
      </c>
      <c r="H1317" s="4" t="s">
        <v>16138</v>
      </c>
      <c r="I1317" t="s">
        <v>71</v>
      </c>
      <c r="J1317" t="s">
        <v>10782</v>
      </c>
      <c r="K1317" t="s">
        <v>16139</v>
      </c>
    </row>
    <row r="1318" spans="1:11" ht="187.2" x14ac:dyDescent="0.3">
      <c r="A1318" s="4" t="s">
        <v>3248</v>
      </c>
      <c r="B1318">
        <v>1</v>
      </c>
      <c r="C1318">
        <v>2023</v>
      </c>
      <c r="D1318" t="s">
        <v>217</v>
      </c>
      <c r="E1318">
        <v>5</v>
      </c>
      <c r="F1318" t="s">
        <v>16140</v>
      </c>
      <c r="G1318" t="s">
        <v>16141</v>
      </c>
      <c r="H1318" s="4" t="s">
        <v>16142</v>
      </c>
      <c r="I1318" t="s">
        <v>71</v>
      </c>
      <c r="J1318" t="s">
        <v>10782</v>
      </c>
      <c r="K1318" t="s">
        <v>16143</v>
      </c>
    </row>
    <row r="1319" spans="1:11" ht="172.8" x14ac:dyDescent="0.3">
      <c r="A1319" s="4" t="s">
        <v>4674</v>
      </c>
      <c r="B1319">
        <v>3</v>
      </c>
      <c r="C1319">
        <v>2023</v>
      </c>
      <c r="D1319" t="s">
        <v>217</v>
      </c>
      <c r="E1319">
        <v>2</v>
      </c>
      <c r="F1319" t="s">
        <v>16144</v>
      </c>
      <c r="G1319" t="s">
        <v>16145</v>
      </c>
      <c r="H1319" s="4" t="s">
        <v>16146</v>
      </c>
      <c r="I1319" t="s">
        <v>71</v>
      </c>
      <c r="J1319" t="s">
        <v>10782</v>
      </c>
      <c r="K1319" t="s">
        <v>16147</v>
      </c>
    </row>
    <row r="1320" spans="1:11" ht="216" x14ac:dyDescent="0.3">
      <c r="A1320" s="4" t="s">
        <v>4675</v>
      </c>
      <c r="B1320">
        <v>3</v>
      </c>
      <c r="C1320">
        <v>2023</v>
      </c>
      <c r="D1320" t="s">
        <v>16148</v>
      </c>
      <c r="E1320">
        <v>13</v>
      </c>
      <c r="F1320" t="s">
        <v>16149</v>
      </c>
      <c r="G1320" t="s">
        <v>16150</v>
      </c>
      <c r="H1320" s="4" t="s">
        <v>16151</v>
      </c>
      <c r="I1320" t="s">
        <v>71</v>
      </c>
      <c r="J1320" t="s">
        <v>10782</v>
      </c>
      <c r="K1320" t="s">
        <v>16152</v>
      </c>
    </row>
    <row r="1321" spans="1:11" ht="172.8" x14ac:dyDescent="0.3">
      <c r="A1321" s="4" t="s">
        <v>4676</v>
      </c>
      <c r="B1321">
        <v>3</v>
      </c>
      <c r="C1321">
        <v>2023</v>
      </c>
      <c r="D1321" t="s">
        <v>2853</v>
      </c>
      <c r="E1321">
        <v>4</v>
      </c>
      <c r="F1321" t="s">
        <v>16153</v>
      </c>
      <c r="G1321" t="s">
        <v>16154</v>
      </c>
      <c r="H1321" s="4" t="s">
        <v>16155</v>
      </c>
      <c r="I1321" t="s">
        <v>71</v>
      </c>
      <c r="J1321" t="s">
        <v>10782</v>
      </c>
      <c r="K1321" t="s">
        <v>16156</v>
      </c>
    </row>
    <row r="1322" spans="1:11" ht="172.8" x14ac:dyDescent="0.3">
      <c r="A1322" s="4" t="s">
        <v>3518</v>
      </c>
      <c r="B1322">
        <v>2</v>
      </c>
      <c r="C1322">
        <v>2023</v>
      </c>
      <c r="D1322" t="s">
        <v>2819</v>
      </c>
      <c r="E1322">
        <v>6</v>
      </c>
      <c r="F1322" t="s">
        <v>16157</v>
      </c>
      <c r="G1322" t="s">
        <v>16158</v>
      </c>
      <c r="H1322" s="4" t="s">
        <v>16159</v>
      </c>
      <c r="I1322" t="s">
        <v>10823</v>
      </c>
      <c r="J1322" t="s">
        <v>10782</v>
      </c>
      <c r="K1322" t="s">
        <v>16160</v>
      </c>
    </row>
    <row r="1323" spans="1:11" ht="201.6" x14ac:dyDescent="0.3">
      <c r="A1323" s="4" t="s">
        <v>4677</v>
      </c>
      <c r="B1323">
        <v>3</v>
      </c>
      <c r="C1323">
        <v>2023</v>
      </c>
      <c r="D1323" t="s">
        <v>318</v>
      </c>
      <c r="E1323">
        <v>22</v>
      </c>
      <c r="F1323" t="s">
        <v>16161</v>
      </c>
      <c r="G1323" t="s">
        <v>16162</v>
      </c>
      <c r="H1323" s="4" t="s">
        <v>16163</v>
      </c>
      <c r="I1323" t="s">
        <v>71</v>
      </c>
      <c r="J1323" t="s">
        <v>10782</v>
      </c>
      <c r="K1323" t="s">
        <v>16164</v>
      </c>
    </row>
    <row r="1324" spans="1:11" ht="115.2" x14ac:dyDescent="0.3">
      <c r="A1324" s="4" t="s">
        <v>4678</v>
      </c>
      <c r="B1324">
        <v>3</v>
      </c>
      <c r="C1324">
        <v>2023</v>
      </c>
      <c r="D1324" t="s">
        <v>385</v>
      </c>
      <c r="E1324">
        <v>13</v>
      </c>
      <c r="F1324" t="s">
        <v>16165</v>
      </c>
      <c r="G1324" t="s">
        <v>16166</v>
      </c>
      <c r="H1324" s="4" t="s">
        <v>16167</v>
      </c>
      <c r="I1324" t="s">
        <v>71</v>
      </c>
      <c r="J1324" t="s">
        <v>10782</v>
      </c>
      <c r="K1324" t="s">
        <v>16168</v>
      </c>
    </row>
    <row r="1325" spans="1:11" ht="172.8" x14ac:dyDescent="0.3">
      <c r="A1325" s="4" t="s">
        <v>4679</v>
      </c>
      <c r="B1325">
        <v>3</v>
      </c>
      <c r="C1325">
        <v>2023</v>
      </c>
      <c r="D1325" t="s">
        <v>10805</v>
      </c>
      <c r="E1325">
        <v>13</v>
      </c>
      <c r="F1325" t="s">
        <v>16169</v>
      </c>
      <c r="G1325" t="s">
        <v>16170</v>
      </c>
      <c r="H1325" s="4" t="s">
        <v>16171</v>
      </c>
      <c r="I1325" t="s">
        <v>71</v>
      </c>
      <c r="J1325" t="s">
        <v>10782</v>
      </c>
      <c r="K1325" t="s">
        <v>16172</v>
      </c>
    </row>
    <row r="1326" spans="1:11" ht="158.4" x14ac:dyDescent="0.3">
      <c r="A1326" s="4" t="s">
        <v>4680</v>
      </c>
      <c r="B1326">
        <v>3</v>
      </c>
      <c r="C1326">
        <v>2023</v>
      </c>
      <c r="D1326" t="s">
        <v>282</v>
      </c>
      <c r="E1326">
        <v>3</v>
      </c>
      <c r="F1326" t="s">
        <v>16173</v>
      </c>
      <c r="G1326" t="s">
        <v>16174</v>
      </c>
      <c r="H1326" s="4" t="s">
        <v>16175</v>
      </c>
      <c r="I1326" t="s">
        <v>71</v>
      </c>
      <c r="J1326" t="s">
        <v>10782</v>
      </c>
      <c r="K1326" t="s">
        <v>16176</v>
      </c>
    </row>
    <row r="1327" spans="1:11" ht="100.8" x14ac:dyDescent="0.3">
      <c r="A1327" s="4" t="s">
        <v>4681</v>
      </c>
      <c r="B1327">
        <v>3</v>
      </c>
      <c r="C1327">
        <v>2023</v>
      </c>
      <c r="D1327" t="s">
        <v>590</v>
      </c>
      <c r="E1327">
        <v>16</v>
      </c>
      <c r="F1327" t="s">
        <v>16177</v>
      </c>
      <c r="G1327" t="s">
        <v>16178</v>
      </c>
      <c r="H1327" s="4" t="s">
        <v>16179</v>
      </c>
      <c r="I1327" t="s">
        <v>71</v>
      </c>
      <c r="J1327" t="s">
        <v>10782</v>
      </c>
      <c r="K1327" t="s">
        <v>16180</v>
      </c>
    </row>
    <row r="1328" spans="1:11" ht="158.4" x14ac:dyDescent="0.3">
      <c r="A1328" s="4" t="s">
        <v>4682</v>
      </c>
      <c r="B1328">
        <v>3</v>
      </c>
      <c r="C1328">
        <v>2023</v>
      </c>
      <c r="D1328" t="s">
        <v>2596</v>
      </c>
      <c r="E1328">
        <v>7</v>
      </c>
      <c r="F1328" t="s">
        <v>16181</v>
      </c>
      <c r="G1328" t="s">
        <v>16182</v>
      </c>
      <c r="H1328" s="4" t="s">
        <v>16183</v>
      </c>
      <c r="I1328" t="s">
        <v>71</v>
      </c>
      <c r="J1328" t="s">
        <v>10782</v>
      </c>
      <c r="K1328" t="s">
        <v>16184</v>
      </c>
    </row>
    <row r="1329" spans="1:11" ht="201.6" x14ac:dyDescent="0.3">
      <c r="A1329" s="4" t="s">
        <v>4683</v>
      </c>
      <c r="B1329">
        <v>3</v>
      </c>
      <c r="C1329">
        <v>2023</v>
      </c>
      <c r="D1329" t="s">
        <v>637</v>
      </c>
      <c r="E1329">
        <v>26</v>
      </c>
      <c r="F1329" t="s">
        <v>16185</v>
      </c>
      <c r="G1329" t="s">
        <v>16186</v>
      </c>
      <c r="H1329" s="4" t="s">
        <v>16187</v>
      </c>
      <c r="I1329" t="s">
        <v>71</v>
      </c>
      <c r="J1329" t="s">
        <v>10782</v>
      </c>
      <c r="K1329" t="s">
        <v>16188</v>
      </c>
    </row>
    <row r="1330" spans="1:11" ht="302.39999999999998" x14ac:dyDescent="0.3">
      <c r="A1330" s="4" t="s">
        <v>4684</v>
      </c>
      <c r="B1330">
        <v>3</v>
      </c>
      <c r="C1330">
        <v>2023</v>
      </c>
      <c r="D1330" t="s">
        <v>16189</v>
      </c>
      <c r="E1330">
        <v>9</v>
      </c>
      <c r="F1330" t="s">
        <v>16190</v>
      </c>
      <c r="G1330" t="s">
        <v>16191</v>
      </c>
      <c r="H1330" s="4" t="s">
        <v>16192</v>
      </c>
      <c r="I1330" t="s">
        <v>71</v>
      </c>
      <c r="J1330" t="s">
        <v>10782</v>
      </c>
      <c r="K1330" t="s">
        <v>16193</v>
      </c>
    </row>
    <row r="1331" spans="1:11" ht="244.8" x14ac:dyDescent="0.3">
      <c r="A1331" s="4" t="s">
        <v>4685</v>
      </c>
      <c r="B1331">
        <v>3</v>
      </c>
      <c r="C1331">
        <v>2023</v>
      </c>
      <c r="D1331" t="s">
        <v>1936</v>
      </c>
      <c r="E1331">
        <v>34</v>
      </c>
      <c r="F1331" t="s">
        <v>16194</v>
      </c>
      <c r="G1331" t="s">
        <v>16195</v>
      </c>
      <c r="H1331" s="4" t="s">
        <v>16196</v>
      </c>
      <c r="I1331" t="s">
        <v>71</v>
      </c>
      <c r="J1331" t="s">
        <v>10782</v>
      </c>
      <c r="K1331" t="s">
        <v>16197</v>
      </c>
    </row>
    <row r="1332" spans="1:11" ht="216" x14ac:dyDescent="0.3">
      <c r="A1332" s="4" t="s">
        <v>4686</v>
      </c>
      <c r="B1332">
        <v>3</v>
      </c>
      <c r="C1332">
        <v>2023</v>
      </c>
      <c r="D1332" t="s">
        <v>217</v>
      </c>
      <c r="E1332">
        <v>6</v>
      </c>
      <c r="F1332" t="s">
        <v>16198</v>
      </c>
      <c r="G1332" t="s">
        <v>16199</v>
      </c>
      <c r="H1332" s="4" t="s">
        <v>16200</v>
      </c>
      <c r="I1332" t="s">
        <v>71</v>
      </c>
      <c r="J1332" t="s">
        <v>10782</v>
      </c>
      <c r="K1332" t="s">
        <v>16201</v>
      </c>
    </row>
    <row r="1333" spans="1:11" ht="158.4" x14ac:dyDescent="0.3">
      <c r="A1333" s="4" t="s">
        <v>4687</v>
      </c>
      <c r="B1333">
        <v>3</v>
      </c>
      <c r="C1333">
        <v>2023</v>
      </c>
      <c r="D1333" t="s">
        <v>11164</v>
      </c>
      <c r="E1333">
        <v>1</v>
      </c>
      <c r="F1333" t="s">
        <v>16202</v>
      </c>
      <c r="G1333" t="s">
        <v>16203</v>
      </c>
      <c r="H1333" s="4" t="s">
        <v>16204</v>
      </c>
      <c r="I1333" t="s">
        <v>71</v>
      </c>
      <c r="J1333" t="s">
        <v>10782</v>
      </c>
      <c r="K1333" t="s">
        <v>16205</v>
      </c>
    </row>
    <row r="1334" spans="1:11" ht="244.8" x14ac:dyDescent="0.3">
      <c r="A1334" s="4" t="s">
        <v>4688</v>
      </c>
      <c r="B1334">
        <v>3</v>
      </c>
      <c r="C1334">
        <v>2023</v>
      </c>
      <c r="D1334" t="s">
        <v>202</v>
      </c>
      <c r="E1334">
        <v>2</v>
      </c>
      <c r="F1334" t="s">
        <v>16206</v>
      </c>
      <c r="G1334" t="s">
        <v>16207</v>
      </c>
      <c r="H1334" s="4" t="s">
        <v>16208</v>
      </c>
      <c r="I1334" t="s">
        <v>71</v>
      </c>
      <c r="J1334" t="s">
        <v>10782</v>
      </c>
      <c r="K1334" t="s">
        <v>16209</v>
      </c>
    </row>
    <row r="1335" spans="1:11" ht="144" x14ac:dyDescent="0.3">
      <c r="A1335" s="4" t="s">
        <v>4689</v>
      </c>
      <c r="B1335">
        <v>3</v>
      </c>
      <c r="C1335">
        <v>2023</v>
      </c>
      <c r="D1335" t="s">
        <v>16210</v>
      </c>
      <c r="E1335">
        <v>1</v>
      </c>
      <c r="F1335" t="s">
        <v>16211</v>
      </c>
      <c r="G1335" t="s">
        <v>16212</v>
      </c>
      <c r="H1335" s="4" t="s">
        <v>16213</v>
      </c>
      <c r="I1335" t="s">
        <v>71</v>
      </c>
      <c r="J1335" t="s">
        <v>10782</v>
      </c>
      <c r="K1335" t="s">
        <v>16214</v>
      </c>
    </row>
    <row r="1336" spans="1:11" ht="201.6" x14ac:dyDescent="0.3">
      <c r="A1336" s="4" t="s">
        <v>4690</v>
      </c>
      <c r="B1336">
        <v>3</v>
      </c>
      <c r="C1336">
        <v>2023</v>
      </c>
      <c r="D1336" t="s">
        <v>202</v>
      </c>
      <c r="E1336">
        <v>4</v>
      </c>
      <c r="F1336" t="s">
        <v>16215</v>
      </c>
      <c r="G1336" t="s">
        <v>16216</v>
      </c>
      <c r="H1336" s="4" t="s">
        <v>16217</v>
      </c>
      <c r="I1336" t="s">
        <v>71</v>
      </c>
      <c r="J1336" t="s">
        <v>10782</v>
      </c>
      <c r="K1336" t="s">
        <v>16218</v>
      </c>
    </row>
    <row r="1337" spans="1:11" ht="244.8" x14ac:dyDescent="0.3">
      <c r="A1337" s="4" t="s">
        <v>4691</v>
      </c>
      <c r="B1337">
        <v>3</v>
      </c>
      <c r="C1337">
        <v>2023</v>
      </c>
      <c r="D1337" t="s">
        <v>1849</v>
      </c>
      <c r="E1337">
        <v>1</v>
      </c>
      <c r="F1337" t="s">
        <v>16219</v>
      </c>
      <c r="G1337" t="s">
        <v>16220</v>
      </c>
      <c r="H1337" s="4" t="s">
        <v>16221</v>
      </c>
      <c r="I1337" t="s">
        <v>71</v>
      </c>
      <c r="J1337" t="s">
        <v>10782</v>
      </c>
      <c r="K1337" t="s">
        <v>16222</v>
      </c>
    </row>
    <row r="1338" spans="1:11" ht="115.2" x14ac:dyDescent="0.3">
      <c r="A1338" s="4" t="s">
        <v>4692</v>
      </c>
      <c r="B1338">
        <v>3</v>
      </c>
      <c r="C1338">
        <v>2023</v>
      </c>
      <c r="D1338" t="s">
        <v>11327</v>
      </c>
      <c r="E1338">
        <v>2</v>
      </c>
      <c r="F1338" t="s">
        <v>16223</v>
      </c>
      <c r="G1338" t="s">
        <v>16224</v>
      </c>
      <c r="H1338" s="4" t="s">
        <v>16225</v>
      </c>
    </row>
    <row r="1339" spans="1:11" ht="144" x14ac:dyDescent="0.3">
      <c r="A1339" s="4" t="s">
        <v>4693</v>
      </c>
      <c r="B1339">
        <v>3</v>
      </c>
      <c r="C1339">
        <v>2023</v>
      </c>
      <c r="D1339" t="s">
        <v>16226</v>
      </c>
      <c r="E1339">
        <v>36</v>
      </c>
      <c r="F1339" t="s">
        <v>16227</v>
      </c>
      <c r="G1339" t="s">
        <v>16228</v>
      </c>
      <c r="H1339" s="4" t="s">
        <v>16229</v>
      </c>
      <c r="I1339" t="s">
        <v>10823</v>
      </c>
      <c r="J1339" t="s">
        <v>10782</v>
      </c>
      <c r="K1339" t="s">
        <v>16230</v>
      </c>
    </row>
    <row r="1340" spans="1:11" ht="230.4" x14ac:dyDescent="0.3">
      <c r="A1340" s="4" t="s">
        <v>4694</v>
      </c>
      <c r="B1340">
        <v>3</v>
      </c>
      <c r="C1340">
        <v>2023</v>
      </c>
      <c r="D1340" t="s">
        <v>11041</v>
      </c>
      <c r="E1340">
        <v>2</v>
      </c>
      <c r="F1340" t="s">
        <v>16231</v>
      </c>
      <c r="G1340" t="s">
        <v>16232</v>
      </c>
      <c r="H1340" s="4" t="s">
        <v>16233</v>
      </c>
      <c r="I1340" t="s">
        <v>71</v>
      </c>
      <c r="J1340" t="s">
        <v>10782</v>
      </c>
      <c r="K1340" t="s">
        <v>16234</v>
      </c>
    </row>
    <row r="1341" spans="1:11" ht="201.6" x14ac:dyDescent="0.3">
      <c r="A1341" s="4" t="s">
        <v>4695</v>
      </c>
      <c r="B1341">
        <v>3</v>
      </c>
      <c r="C1341">
        <v>2023</v>
      </c>
      <c r="D1341" t="s">
        <v>202</v>
      </c>
      <c r="E1341">
        <v>3</v>
      </c>
      <c r="F1341" t="s">
        <v>16235</v>
      </c>
      <c r="G1341" t="s">
        <v>16236</v>
      </c>
      <c r="H1341" s="4" t="s">
        <v>16237</v>
      </c>
      <c r="I1341" t="s">
        <v>71</v>
      </c>
      <c r="J1341" t="s">
        <v>10782</v>
      </c>
      <c r="K1341" t="s">
        <v>16238</v>
      </c>
    </row>
    <row r="1342" spans="1:11" ht="187.2" x14ac:dyDescent="0.3">
      <c r="A1342" s="4" t="s">
        <v>4696</v>
      </c>
      <c r="B1342">
        <v>3</v>
      </c>
      <c r="C1342">
        <v>2023</v>
      </c>
      <c r="D1342" t="s">
        <v>830</v>
      </c>
      <c r="E1342">
        <v>7</v>
      </c>
      <c r="F1342" t="s">
        <v>16239</v>
      </c>
      <c r="G1342" t="s">
        <v>16240</v>
      </c>
      <c r="H1342" s="4" t="s">
        <v>16241</v>
      </c>
      <c r="I1342" t="s">
        <v>71</v>
      </c>
      <c r="J1342" t="s">
        <v>10782</v>
      </c>
      <c r="K1342" t="s">
        <v>16242</v>
      </c>
    </row>
    <row r="1343" spans="1:11" ht="158.4" x14ac:dyDescent="0.3">
      <c r="A1343" s="4" t="s">
        <v>4697</v>
      </c>
      <c r="B1343">
        <v>3</v>
      </c>
      <c r="C1343">
        <v>2023</v>
      </c>
      <c r="D1343" t="s">
        <v>16243</v>
      </c>
      <c r="E1343">
        <v>0</v>
      </c>
      <c r="F1343" t="s">
        <v>16244</v>
      </c>
      <c r="G1343" t="s">
        <v>16245</v>
      </c>
      <c r="H1343" s="4" t="s">
        <v>16246</v>
      </c>
      <c r="I1343" t="s">
        <v>71</v>
      </c>
      <c r="J1343" t="s">
        <v>10782</v>
      </c>
      <c r="K1343" t="s">
        <v>16247</v>
      </c>
    </row>
    <row r="1344" spans="1:11" ht="216" x14ac:dyDescent="0.3">
      <c r="A1344" s="4" t="s">
        <v>4698</v>
      </c>
      <c r="B1344">
        <v>3</v>
      </c>
      <c r="C1344">
        <v>2023</v>
      </c>
      <c r="D1344" t="s">
        <v>637</v>
      </c>
      <c r="E1344">
        <v>0</v>
      </c>
      <c r="F1344" t="s">
        <v>16248</v>
      </c>
      <c r="G1344" t="s">
        <v>16249</v>
      </c>
      <c r="H1344" s="4" t="s">
        <v>16250</v>
      </c>
      <c r="I1344" t="s">
        <v>71</v>
      </c>
      <c r="J1344" t="s">
        <v>10782</v>
      </c>
      <c r="K1344" t="s">
        <v>16251</v>
      </c>
    </row>
    <row r="1345" spans="1:11" ht="43.2" x14ac:dyDescent="0.3">
      <c r="A1345" s="4" t="s">
        <v>4699</v>
      </c>
      <c r="B1345">
        <v>3</v>
      </c>
      <c r="C1345">
        <v>2023</v>
      </c>
      <c r="D1345" t="s">
        <v>385</v>
      </c>
      <c r="E1345">
        <v>16</v>
      </c>
      <c r="F1345" t="s">
        <v>16252</v>
      </c>
      <c r="G1345" t="s">
        <v>16253</v>
      </c>
      <c r="H1345" s="4" t="s">
        <v>16254</v>
      </c>
    </row>
    <row r="1346" spans="1:11" ht="158.4" x14ac:dyDescent="0.3">
      <c r="A1346" s="4" t="s">
        <v>4700</v>
      </c>
      <c r="B1346">
        <v>3</v>
      </c>
      <c r="C1346">
        <v>2023</v>
      </c>
      <c r="D1346" t="s">
        <v>177</v>
      </c>
      <c r="E1346">
        <v>4</v>
      </c>
      <c r="F1346" t="s">
        <v>16255</v>
      </c>
      <c r="G1346" t="s">
        <v>16256</v>
      </c>
      <c r="H1346" s="4" t="s">
        <v>16257</v>
      </c>
      <c r="I1346" t="s">
        <v>71</v>
      </c>
      <c r="J1346" t="s">
        <v>10782</v>
      </c>
      <c r="K1346" t="s">
        <v>16258</v>
      </c>
    </row>
    <row r="1347" spans="1:11" ht="201.6" x14ac:dyDescent="0.3">
      <c r="A1347" s="4" t="s">
        <v>4701</v>
      </c>
      <c r="B1347">
        <v>3</v>
      </c>
      <c r="C1347">
        <v>2023</v>
      </c>
      <c r="D1347" t="s">
        <v>318</v>
      </c>
      <c r="E1347">
        <v>55</v>
      </c>
      <c r="F1347" t="s">
        <v>16259</v>
      </c>
      <c r="G1347" t="s">
        <v>16260</v>
      </c>
      <c r="H1347" s="4" t="s">
        <v>16261</v>
      </c>
      <c r="I1347" t="s">
        <v>71</v>
      </c>
      <c r="J1347" t="s">
        <v>10782</v>
      </c>
      <c r="K1347" t="s">
        <v>16262</v>
      </c>
    </row>
    <row r="1348" spans="1:11" ht="201.6" x14ac:dyDescent="0.3">
      <c r="A1348" s="4" t="s">
        <v>4702</v>
      </c>
      <c r="B1348">
        <v>3</v>
      </c>
      <c r="C1348">
        <v>2023</v>
      </c>
      <c r="D1348" t="s">
        <v>11159</v>
      </c>
      <c r="E1348">
        <v>31</v>
      </c>
      <c r="F1348" t="s">
        <v>16263</v>
      </c>
      <c r="G1348" t="s">
        <v>16264</v>
      </c>
      <c r="H1348" s="4" t="s">
        <v>16265</v>
      </c>
      <c r="I1348" t="s">
        <v>10823</v>
      </c>
      <c r="J1348" t="s">
        <v>10782</v>
      </c>
      <c r="K1348" t="s">
        <v>16266</v>
      </c>
    </row>
    <row r="1349" spans="1:11" ht="144" x14ac:dyDescent="0.3">
      <c r="A1349" s="4" t="s">
        <v>4703</v>
      </c>
      <c r="B1349">
        <v>3</v>
      </c>
      <c r="C1349">
        <v>2023</v>
      </c>
      <c r="D1349" t="s">
        <v>2819</v>
      </c>
      <c r="E1349">
        <v>2</v>
      </c>
      <c r="F1349" t="s">
        <v>16267</v>
      </c>
      <c r="G1349" t="s">
        <v>16268</v>
      </c>
      <c r="H1349" s="4" t="s">
        <v>16269</v>
      </c>
      <c r="I1349" t="s">
        <v>71</v>
      </c>
      <c r="J1349" t="s">
        <v>10782</v>
      </c>
      <c r="K1349" t="s">
        <v>16270</v>
      </c>
    </row>
    <row r="1350" spans="1:11" ht="172.8" x14ac:dyDescent="0.3">
      <c r="A1350" s="4" t="s">
        <v>4704</v>
      </c>
      <c r="B1350">
        <v>3</v>
      </c>
      <c r="C1350">
        <v>2023</v>
      </c>
      <c r="D1350" t="s">
        <v>13914</v>
      </c>
      <c r="E1350">
        <v>12</v>
      </c>
      <c r="F1350" t="s">
        <v>16271</v>
      </c>
      <c r="G1350" t="s">
        <v>16272</v>
      </c>
      <c r="H1350" s="4" t="s">
        <v>16273</v>
      </c>
      <c r="I1350" t="s">
        <v>71</v>
      </c>
      <c r="J1350" t="s">
        <v>10782</v>
      </c>
      <c r="K1350" t="s">
        <v>16274</v>
      </c>
    </row>
    <row r="1351" spans="1:11" ht="187.2" x14ac:dyDescent="0.3">
      <c r="A1351" s="4" t="s">
        <v>4705</v>
      </c>
      <c r="B1351">
        <v>3</v>
      </c>
      <c r="C1351">
        <v>2023</v>
      </c>
      <c r="D1351" t="s">
        <v>10825</v>
      </c>
      <c r="E1351">
        <v>4</v>
      </c>
      <c r="F1351" t="s">
        <v>16275</v>
      </c>
      <c r="G1351" t="s">
        <v>16276</v>
      </c>
      <c r="H1351" s="4" t="s">
        <v>16277</v>
      </c>
      <c r="I1351" t="s">
        <v>71</v>
      </c>
      <c r="J1351" t="s">
        <v>10782</v>
      </c>
      <c r="K1351" t="s">
        <v>16278</v>
      </c>
    </row>
    <row r="1352" spans="1:11" ht="187.2" x14ac:dyDescent="0.3">
      <c r="A1352" s="4" t="s">
        <v>4706</v>
      </c>
      <c r="B1352">
        <v>3</v>
      </c>
      <c r="C1352">
        <v>2023</v>
      </c>
      <c r="D1352" t="s">
        <v>318</v>
      </c>
      <c r="E1352">
        <v>11</v>
      </c>
      <c r="F1352" t="s">
        <v>16279</v>
      </c>
      <c r="G1352" t="s">
        <v>16280</v>
      </c>
      <c r="H1352" s="4" t="s">
        <v>16281</v>
      </c>
      <c r="I1352" t="s">
        <v>71</v>
      </c>
      <c r="J1352" t="s">
        <v>10782</v>
      </c>
      <c r="K1352" t="s">
        <v>16282</v>
      </c>
    </row>
    <row r="1353" spans="1:11" ht="230.4" x14ac:dyDescent="0.3">
      <c r="A1353" s="4" t="s">
        <v>4707</v>
      </c>
      <c r="B1353">
        <v>3</v>
      </c>
      <c r="C1353">
        <v>2023</v>
      </c>
      <c r="D1353" t="s">
        <v>217</v>
      </c>
      <c r="E1353">
        <v>4</v>
      </c>
      <c r="F1353" t="s">
        <v>16283</v>
      </c>
      <c r="G1353" t="s">
        <v>16284</v>
      </c>
      <c r="H1353" s="4" t="s">
        <v>16285</v>
      </c>
      <c r="I1353" t="s">
        <v>71</v>
      </c>
      <c r="J1353" t="s">
        <v>10782</v>
      </c>
      <c r="K1353" t="s">
        <v>16286</v>
      </c>
    </row>
    <row r="1354" spans="1:11" ht="187.2" x14ac:dyDescent="0.3">
      <c r="A1354" s="4" t="s">
        <v>4708</v>
      </c>
      <c r="B1354">
        <v>3</v>
      </c>
      <c r="C1354">
        <v>2023</v>
      </c>
      <c r="D1354" t="s">
        <v>1525</v>
      </c>
      <c r="E1354">
        <v>9</v>
      </c>
      <c r="F1354" t="s">
        <v>16287</v>
      </c>
      <c r="G1354" t="s">
        <v>16288</v>
      </c>
      <c r="H1354" s="4" t="s">
        <v>16289</v>
      </c>
      <c r="I1354" t="s">
        <v>71</v>
      </c>
      <c r="J1354" t="s">
        <v>10782</v>
      </c>
      <c r="K1354" t="s">
        <v>16290</v>
      </c>
    </row>
    <row r="1355" spans="1:11" ht="187.2" x14ac:dyDescent="0.3">
      <c r="A1355" s="4" t="s">
        <v>4709</v>
      </c>
      <c r="B1355">
        <v>3</v>
      </c>
      <c r="C1355">
        <v>2023</v>
      </c>
      <c r="D1355" t="s">
        <v>637</v>
      </c>
      <c r="E1355">
        <v>3</v>
      </c>
      <c r="F1355" t="s">
        <v>16291</v>
      </c>
      <c r="G1355" t="s">
        <v>16292</v>
      </c>
      <c r="H1355" s="4" t="s">
        <v>16293</v>
      </c>
      <c r="I1355" t="s">
        <v>71</v>
      </c>
      <c r="J1355" t="s">
        <v>10782</v>
      </c>
      <c r="K1355" t="s">
        <v>16294</v>
      </c>
    </row>
    <row r="1356" spans="1:11" ht="201.6" x14ac:dyDescent="0.3">
      <c r="A1356" s="4" t="s">
        <v>4710</v>
      </c>
      <c r="B1356">
        <v>3</v>
      </c>
      <c r="C1356">
        <v>2023</v>
      </c>
      <c r="D1356" t="s">
        <v>380</v>
      </c>
      <c r="E1356">
        <v>5</v>
      </c>
      <c r="F1356" t="s">
        <v>16295</v>
      </c>
      <c r="G1356" t="s">
        <v>16296</v>
      </c>
      <c r="H1356" s="4" t="s">
        <v>16297</v>
      </c>
      <c r="I1356" t="s">
        <v>71</v>
      </c>
      <c r="J1356" t="s">
        <v>10782</v>
      </c>
      <c r="K1356" t="s">
        <v>16298</v>
      </c>
    </row>
    <row r="1357" spans="1:11" ht="144" x14ac:dyDescent="0.3">
      <c r="A1357" s="4" t="s">
        <v>4711</v>
      </c>
      <c r="B1357">
        <v>3</v>
      </c>
      <c r="C1357">
        <v>2023</v>
      </c>
      <c r="D1357" t="s">
        <v>16299</v>
      </c>
      <c r="E1357">
        <v>3</v>
      </c>
      <c r="F1357" t="s">
        <v>16300</v>
      </c>
      <c r="G1357" t="s">
        <v>16301</v>
      </c>
      <c r="H1357" s="4" t="s">
        <v>16302</v>
      </c>
      <c r="I1357" t="s">
        <v>71</v>
      </c>
      <c r="J1357" t="s">
        <v>10782</v>
      </c>
      <c r="K1357" t="s">
        <v>16303</v>
      </c>
    </row>
    <row r="1358" spans="1:11" ht="100.8" x14ac:dyDescent="0.3">
      <c r="A1358" s="4" t="s">
        <v>3519</v>
      </c>
      <c r="B1358">
        <v>2</v>
      </c>
      <c r="C1358">
        <v>2023</v>
      </c>
      <c r="D1358" t="s">
        <v>217</v>
      </c>
      <c r="E1358">
        <v>6</v>
      </c>
      <c r="F1358" t="s">
        <v>16304</v>
      </c>
      <c r="G1358" t="s">
        <v>16305</v>
      </c>
      <c r="H1358" s="4" t="s">
        <v>16306</v>
      </c>
      <c r="I1358" t="s">
        <v>71</v>
      </c>
      <c r="J1358" t="s">
        <v>10782</v>
      </c>
      <c r="K1358" t="s">
        <v>16307</v>
      </c>
    </row>
    <row r="1359" spans="1:11" ht="187.2" x14ac:dyDescent="0.3">
      <c r="A1359" s="4" t="s">
        <v>4712</v>
      </c>
      <c r="B1359">
        <v>3</v>
      </c>
      <c r="C1359">
        <v>2023</v>
      </c>
      <c r="D1359" t="s">
        <v>482</v>
      </c>
      <c r="E1359">
        <v>5</v>
      </c>
      <c r="F1359" t="s">
        <v>16308</v>
      </c>
      <c r="G1359" t="s">
        <v>16309</v>
      </c>
      <c r="H1359" s="4" t="s">
        <v>16310</v>
      </c>
      <c r="I1359" t="s">
        <v>71</v>
      </c>
      <c r="J1359" t="s">
        <v>10782</v>
      </c>
      <c r="K1359" t="s">
        <v>16311</v>
      </c>
    </row>
    <row r="1360" spans="1:11" ht="201.6" x14ac:dyDescent="0.3">
      <c r="A1360" s="4" t="s">
        <v>4713</v>
      </c>
      <c r="B1360">
        <v>3</v>
      </c>
      <c r="C1360">
        <v>2023</v>
      </c>
      <c r="D1360" t="s">
        <v>1525</v>
      </c>
      <c r="E1360">
        <v>3</v>
      </c>
      <c r="F1360" t="s">
        <v>16312</v>
      </c>
      <c r="G1360" t="s">
        <v>16313</v>
      </c>
      <c r="H1360" s="4" t="s">
        <v>16314</v>
      </c>
      <c r="I1360" t="s">
        <v>71</v>
      </c>
      <c r="J1360" t="s">
        <v>10782</v>
      </c>
      <c r="K1360" t="s">
        <v>16315</v>
      </c>
    </row>
    <row r="1361" spans="1:11" ht="201.6" x14ac:dyDescent="0.3">
      <c r="A1361" s="4" t="s">
        <v>4714</v>
      </c>
      <c r="B1361">
        <v>3</v>
      </c>
      <c r="C1361">
        <v>2023</v>
      </c>
      <c r="D1361" t="s">
        <v>11007</v>
      </c>
      <c r="E1361">
        <v>13</v>
      </c>
      <c r="F1361" t="s">
        <v>16316</v>
      </c>
      <c r="G1361" t="s">
        <v>16317</v>
      </c>
      <c r="H1361" s="4" t="s">
        <v>16318</v>
      </c>
      <c r="I1361" t="s">
        <v>71</v>
      </c>
      <c r="J1361" t="s">
        <v>10782</v>
      </c>
      <c r="K1361" t="s">
        <v>16319</v>
      </c>
    </row>
    <row r="1362" spans="1:11" ht="86.4" x14ac:dyDescent="0.3">
      <c r="A1362" s="4" t="s">
        <v>3249</v>
      </c>
      <c r="B1362">
        <v>1</v>
      </c>
      <c r="C1362">
        <v>2023</v>
      </c>
      <c r="D1362" t="s">
        <v>637</v>
      </c>
      <c r="E1362">
        <v>20</v>
      </c>
      <c r="F1362" t="s">
        <v>16320</v>
      </c>
      <c r="G1362" t="s">
        <v>16321</v>
      </c>
      <c r="H1362" s="4" t="s">
        <v>16322</v>
      </c>
    </row>
    <row r="1363" spans="1:11" ht="172.8" x14ac:dyDescent="0.3">
      <c r="A1363" s="4" t="s">
        <v>4715</v>
      </c>
      <c r="B1363">
        <v>3</v>
      </c>
      <c r="C1363">
        <v>2023</v>
      </c>
      <c r="D1363" t="s">
        <v>12072</v>
      </c>
      <c r="E1363">
        <v>1</v>
      </c>
      <c r="F1363" t="s">
        <v>16323</v>
      </c>
      <c r="G1363" t="s">
        <v>16324</v>
      </c>
      <c r="H1363" s="4" t="s">
        <v>16325</v>
      </c>
      <c r="I1363" t="s">
        <v>71</v>
      </c>
      <c r="J1363" t="s">
        <v>10782</v>
      </c>
      <c r="K1363" t="s">
        <v>16326</v>
      </c>
    </row>
    <row r="1364" spans="1:11" ht="100.8" x14ac:dyDescent="0.3">
      <c r="A1364" s="4" t="s">
        <v>4716</v>
      </c>
      <c r="B1364">
        <v>3</v>
      </c>
      <c r="C1364">
        <v>2023</v>
      </c>
      <c r="D1364" t="s">
        <v>16327</v>
      </c>
      <c r="E1364">
        <v>2</v>
      </c>
      <c r="F1364" t="s">
        <v>16328</v>
      </c>
      <c r="G1364" t="s">
        <v>16329</v>
      </c>
      <c r="H1364" s="4" t="s">
        <v>16330</v>
      </c>
    </row>
    <row r="1365" spans="1:11" ht="115.2" x14ac:dyDescent="0.3">
      <c r="A1365" s="4" t="s">
        <v>4717</v>
      </c>
      <c r="B1365">
        <v>3</v>
      </c>
      <c r="C1365">
        <v>2023</v>
      </c>
      <c r="D1365" t="s">
        <v>679</v>
      </c>
      <c r="E1365">
        <v>13</v>
      </c>
      <c r="F1365" t="s">
        <v>16331</v>
      </c>
      <c r="G1365" t="s">
        <v>16332</v>
      </c>
      <c r="H1365" s="4" t="s">
        <v>16333</v>
      </c>
      <c r="I1365" t="s">
        <v>10823</v>
      </c>
      <c r="J1365" t="s">
        <v>10782</v>
      </c>
      <c r="K1365" t="s">
        <v>16334</v>
      </c>
    </row>
    <row r="1366" spans="1:11" ht="244.8" x14ac:dyDescent="0.3">
      <c r="A1366" s="4" t="s">
        <v>4718</v>
      </c>
      <c r="B1366">
        <v>3</v>
      </c>
      <c r="C1366">
        <v>2023</v>
      </c>
      <c r="D1366" t="s">
        <v>80</v>
      </c>
      <c r="E1366">
        <v>2</v>
      </c>
      <c r="F1366" t="s">
        <v>16335</v>
      </c>
      <c r="G1366" t="s">
        <v>16336</v>
      </c>
      <c r="H1366" s="4" t="s">
        <v>16337</v>
      </c>
      <c r="I1366" t="s">
        <v>71</v>
      </c>
      <c r="J1366" t="s">
        <v>10782</v>
      </c>
      <c r="K1366" t="s">
        <v>16338</v>
      </c>
    </row>
    <row r="1367" spans="1:11" ht="187.2" x14ac:dyDescent="0.3">
      <c r="A1367" s="4" t="s">
        <v>4719</v>
      </c>
      <c r="B1367">
        <v>3</v>
      </c>
      <c r="C1367">
        <v>2023</v>
      </c>
      <c r="D1367" t="s">
        <v>177</v>
      </c>
      <c r="E1367">
        <v>28</v>
      </c>
      <c r="F1367" t="s">
        <v>16339</v>
      </c>
      <c r="G1367" t="s">
        <v>16340</v>
      </c>
      <c r="H1367" s="4" t="s">
        <v>16341</v>
      </c>
    </row>
    <row r="1368" spans="1:11" ht="216" x14ac:dyDescent="0.3">
      <c r="A1368" s="4" t="s">
        <v>4720</v>
      </c>
      <c r="B1368">
        <v>3</v>
      </c>
      <c r="C1368">
        <v>2023</v>
      </c>
      <c r="D1368" t="s">
        <v>202</v>
      </c>
      <c r="E1368">
        <v>7</v>
      </c>
      <c r="F1368" t="s">
        <v>16342</v>
      </c>
      <c r="G1368" t="s">
        <v>16343</v>
      </c>
      <c r="H1368" s="4" t="s">
        <v>16344</v>
      </c>
      <c r="I1368" t="s">
        <v>71</v>
      </c>
      <c r="J1368" t="s">
        <v>10782</v>
      </c>
      <c r="K1368" t="s">
        <v>16345</v>
      </c>
    </row>
    <row r="1369" spans="1:11" ht="201.6" x14ac:dyDescent="0.3">
      <c r="A1369" s="4" t="s">
        <v>3250</v>
      </c>
      <c r="B1369">
        <v>1</v>
      </c>
      <c r="C1369">
        <v>2023</v>
      </c>
      <c r="D1369" t="s">
        <v>637</v>
      </c>
      <c r="E1369">
        <v>28</v>
      </c>
      <c r="F1369" t="s">
        <v>16346</v>
      </c>
      <c r="G1369" t="s">
        <v>16347</v>
      </c>
      <c r="H1369" s="4" t="s">
        <v>16348</v>
      </c>
      <c r="I1369" t="s">
        <v>71</v>
      </c>
      <c r="J1369" t="s">
        <v>10782</v>
      </c>
      <c r="K1369" t="s">
        <v>16349</v>
      </c>
    </row>
    <row r="1370" spans="1:11" ht="216" x14ac:dyDescent="0.3">
      <c r="A1370" s="4" t="s">
        <v>4721</v>
      </c>
      <c r="B1370">
        <v>3</v>
      </c>
      <c r="C1370">
        <v>2023</v>
      </c>
      <c r="D1370" t="s">
        <v>11327</v>
      </c>
      <c r="E1370">
        <v>1</v>
      </c>
      <c r="F1370" t="s">
        <v>16350</v>
      </c>
      <c r="G1370" t="s">
        <v>16351</v>
      </c>
      <c r="H1370" s="4" t="s">
        <v>16352</v>
      </c>
      <c r="I1370" t="s">
        <v>71</v>
      </c>
      <c r="J1370" t="s">
        <v>10782</v>
      </c>
      <c r="K1370" t="s">
        <v>16353</v>
      </c>
    </row>
    <row r="1371" spans="1:11" ht="172.8" x14ac:dyDescent="0.3">
      <c r="A1371" s="4" t="s">
        <v>4722</v>
      </c>
      <c r="B1371">
        <v>3</v>
      </c>
      <c r="C1371">
        <v>2023</v>
      </c>
      <c r="D1371" t="s">
        <v>2819</v>
      </c>
      <c r="E1371">
        <v>1</v>
      </c>
      <c r="F1371" t="s">
        <v>16354</v>
      </c>
      <c r="G1371" t="s">
        <v>16355</v>
      </c>
      <c r="H1371" s="4" t="s">
        <v>16356</v>
      </c>
      <c r="I1371" t="s">
        <v>71</v>
      </c>
      <c r="J1371" t="s">
        <v>10782</v>
      </c>
      <c r="K1371" t="s">
        <v>16357</v>
      </c>
    </row>
    <row r="1372" spans="1:11" ht="144" x14ac:dyDescent="0.3">
      <c r="A1372" s="4" t="s">
        <v>4723</v>
      </c>
      <c r="B1372">
        <v>3</v>
      </c>
      <c r="C1372">
        <v>2023</v>
      </c>
      <c r="D1372" t="s">
        <v>637</v>
      </c>
      <c r="E1372">
        <v>6</v>
      </c>
      <c r="F1372" t="s">
        <v>16358</v>
      </c>
      <c r="G1372" t="s">
        <v>16359</v>
      </c>
      <c r="H1372" s="4" t="s">
        <v>16360</v>
      </c>
      <c r="I1372" t="s">
        <v>71</v>
      </c>
      <c r="J1372" t="s">
        <v>10782</v>
      </c>
      <c r="K1372" t="s">
        <v>16361</v>
      </c>
    </row>
    <row r="1373" spans="1:11" ht="100.8" x14ac:dyDescent="0.3">
      <c r="A1373" s="4" t="s">
        <v>4724</v>
      </c>
      <c r="B1373">
        <v>3</v>
      </c>
      <c r="C1373">
        <v>2023</v>
      </c>
      <c r="D1373" t="s">
        <v>2416</v>
      </c>
      <c r="E1373">
        <v>20</v>
      </c>
      <c r="F1373" t="s">
        <v>16362</v>
      </c>
      <c r="G1373" t="s">
        <v>16363</v>
      </c>
      <c r="H1373" s="4" t="s">
        <v>16364</v>
      </c>
      <c r="I1373" t="s">
        <v>71</v>
      </c>
      <c r="J1373" t="s">
        <v>10782</v>
      </c>
      <c r="K1373" t="s">
        <v>16365</v>
      </c>
    </row>
    <row r="1374" spans="1:11" ht="216" x14ac:dyDescent="0.3">
      <c r="A1374" s="4" t="s">
        <v>4725</v>
      </c>
      <c r="B1374">
        <v>3</v>
      </c>
      <c r="C1374">
        <v>2023</v>
      </c>
      <c r="D1374" t="s">
        <v>80</v>
      </c>
      <c r="E1374">
        <v>4</v>
      </c>
      <c r="F1374" t="s">
        <v>16366</v>
      </c>
      <c r="G1374" t="s">
        <v>16367</v>
      </c>
      <c r="H1374" s="4" t="s">
        <v>16368</v>
      </c>
      <c r="I1374" t="s">
        <v>71</v>
      </c>
      <c r="J1374" t="s">
        <v>10782</v>
      </c>
      <c r="K1374" t="s">
        <v>16369</v>
      </c>
    </row>
    <row r="1375" spans="1:11" ht="187.2" x14ac:dyDescent="0.3">
      <c r="A1375" s="4" t="s">
        <v>4726</v>
      </c>
      <c r="B1375">
        <v>3</v>
      </c>
      <c r="C1375">
        <v>2023</v>
      </c>
      <c r="D1375" t="s">
        <v>217</v>
      </c>
      <c r="E1375">
        <v>6</v>
      </c>
      <c r="F1375" t="s">
        <v>16370</v>
      </c>
      <c r="G1375" t="s">
        <v>16371</v>
      </c>
      <c r="H1375" s="4" t="s">
        <v>16372</v>
      </c>
      <c r="I1375" t="s">
        <v>71</v>
      </c>
      <c r="J1375" t="s">
        <v>10782</v>
      </c>
      <c r="K1375" t="s">
        <v>16373</v>
      </c>
    </row>
    <row r="1376" spans="1:11" ht="158.4" x14ac:dyDescent="0.3">
      <c r="A1376" s="4" t="s">
        <v>3520</v>
      </c>
      <c r="B1376">
        <v>2</v>
      </c>
      <c r="C1376">
        <v>2023</v>
      </c>
      <c r="D1376" t="s">
        <v>1002</v>
      </c>
      <c r="E1376">
        <v>16</v>
      </c>
      <c r="F1376" t="s">
        <v>16374</v>
      </c>
      <c r="G1376" t="s">
        <v>16375</v>
      </c>
      <c r="H1376" s="4" t="s">
        <v>16376</v>
      </c>
      <c r="I1376" t="s">
        <v>71</v>
      </c>
      <c r="J1376" t="s">
        <v>10782</v>
      </c>
      <c r="K1376" t="s">
        <v>16377</v>
      </c>
    </row>
    <row r="1377" spans="1:11" ht="158.4" x14ac:dyDescent="0.3">
      <c r="A1377" s="4" t="s">
        <v>4727</v>
      </c>
      <c r="B1377">
        <v>3</v>
      </c>
      <c r="C1377">
        <v>2023</v>
      </c>
      <c r="D1377" t="s">
        <v>14346</v>
      </c>
      <c r="E1377">
        <v>0</v>
      </c>
      <c r="F1377" t="s">
        <v>16378</v>
      </c>
      <c r="G1377" t="s">
        <v>16379</v>
      </c>
      <c r="H1377" s="4" t="s">
        <v>16380</v>
      </c>
    </row>
    <row r="1378" spans="1:11" ht="216" x14ac:dyDescent="0.3">
      <c r="A1378" s="4" t="s">
        <v>839</v>
      </c>
      <c r="B1378">
        <v>1</v>
      </c>
      <c r="C1378">
        <v>2023</v>
      </c>
      <c r="D1378" t="s">
        <v>858</v>
      </c>
      <c r="E1378">
        <v>5</v>
      </c>
      <c r="F1378" t="s">
        <v>16381</v>
      </c>
      <c r="G1378" t="s">
        <v>16382</v>
      </c>
      <c r="H1378" s="4" t="s">
        <v>16383</v>
      </c>
    </row>
    <row r="1379" spans="1:11" ht="28.8" x14ac:dyDescent="0.3">
      <c r="A1379" s="4" t="s">
        <v>4728</v>
      </c>
      <c r="B1379">
        <v>3</v>
      </c>
      <c r="C1379">
        <v>2023</v>
      </c>
      <c r="D1379" t="s">
        <v>1002</v>
      </c>
      <c r="E1379">
        <v>6</v>
      </c>
      <c r="F1379" t="s">
        <v>16384</v>
      </c>
      <c r="G1379" t="s">
        <v>16385</v>
      </c>
      <c r="H1379" s="4" t="s">
        <v>16386</v>
      </c>
    </row>
    <row r="1380" spans="1:11" ht="100.8" x14ac:dyDescent="0.3">
      <c r="A1380" s="4" t="s">
        <v>4729</v>
      </c>
      <c r="B1380">
        <v>3</v>
      </c>
      <c r="C1380">
        <v>2023</v>
      </c>
      <c r="D1380" t="s">
        <v>380</v>
      </c>
      <c r="E1380">
        <v>3</v>
      </c>
      <c r="F1380" t="s">
        <v>16387</v>
      </c>
      <c r="G1380" t="s">
        <v>16388</v>
      </c>
      <c r="H1380" s="4" t="s">
        <v>16389</v>
      </c>
    </row>
    <row r="1381" spans="1:11" ht="158.4" x14ac:dyDescent="0.3">
      <c r="A1381" s="4" t="s">
        <v>4730</v>
      </c>
      <c r="B1381">
        <v>3</v>
      </c>
      <c r="C1381">
        <v>2023</v>
      </c>
      <c r="D1381" t="s">
        <v>11159</v>
      </c>
      <c r="E1381">
        <v>4</v>
      </c>
      <c r="F1381" t="s">
        <v>16390</v>
      </c>
      <c r="G1381" t="s">
        <v>16391</v>
      </c>
      <c r="H1381" s="4" t="s">
        <v>16392</v>
      </c>
      <c r="I1381" t="s">
        <v>71</v>
      </c>
      <c r="J1381" t="s">
        <v>10782</v>
      </c>
      <c r="K1381" t="s">
        <v>16393</v>
      </c>
    </row>
    <row r="1382" spans="1:11" ht="187.2" x14ac:dyDescent="0.3">
      <c r="A1382" s="4" t="s">
        <v>4731</v>
      </c>
      <c r="B1382">
        <v>3</v>
      </c>
      <c r="C1382">
        <v>2023</v>
      </c>
      <c r="D1382" t="s">
        <v>1770</v>
      </c>
      <c r="E1382">
        <v>3</v>
      </c>
      <c r="F1382" t="s">
        <v>16394</v>
      </c>
      <c r="G1382" t="s">
        <v>16395</v>
      </c>
      <c r="H1382" s="4" t="s">
        <v>16396</v>
      </c>
      <c r="I1382" t="s">
        <v>71</v>
      </c>
      <c r="J1382" t="s">
        <v>10782</v>
      </c>
      <c r="K1382" t="s">
        <v>16397</v>
      </c>
    </row>
    <row r="1383" spans="1:11" ht="158.4" x14ac:dyDescent="0.3">
      <c r="A1383" s="4" t="s">
        <v>4732</v>
      </c>
      <c r="B1383">
        <v>3</v>
      </c>
      <c r="C1383">
        <v>2023</v>
      </c>
      <c r="D1383" t="s">
        <v>637</v>
      </c>
      <c r="E1383">
        <v>15</v>
      </c>
      <c r="F1383" t="s">
        <v>16398</v>
      </c>
      <c r="G1383" t="s">
        <v>16399</v>
      </c>
      <c r="H1383" s="4" t="s">
        <v>16400</v>
      </c>
      <c r="I1383" t="s">
        <v>71</v>
      </c>
      <c r="J1383" t="s">
        <v>10782</v>
      </c>
      <c r="K1383" t="s">
        <v>16401</v>
      </c>
    </row>
    <row r="1384" spans="1:11" ht="187.2" x14ac:dyDescent="0.3">
      <c r="A1384" s="4" t="s">
        <v>4733</v>
      </c>
      <c r="B1384">
        <v>3</v>
      </c>
      <c r="C1384">
        <v>2023</v>
      </c>
      <c r="D1384" t="s">
        <v>2893</v>
      </c>
      <c r="E1384">
        <v>14</v>
      </c>
      <c r="F1384" t="s">
        <v>16402</v>
      </c>
      <c r="G1384" t="s">
        <v>16403</v>
      </c>
      <c r="H1384" s="4" t="s">
        <v>16404</v>
      </c>
    </row>
    <row r="1385" spans="1:11" ht="230.4" x14ac:dyDescent="0.3">
      <c r="A1385" s="4" t="s">
        <v>4734</v>
      </c>
      <c r="B1385">
        <v>3</v>
      </c>
      <c r="C1385">
        <v>2023</v>
      </c>
      <c r="D1385" t="s">
        <v>478</v>
      </c>
      <c r="E1385">
        <v>4</v>
      </c>
      <c r="F1385" t="s">
        <v>16405</v>
      </c>
      <c r="G1385" t="s">
        <v>16406</v>
      </c>
      <c r="H1385" s="4" t="s">
        <v>16407</v>
      </c>
      <c r="I1385" t="s">
        <v>71</v>
      </c>
      <c r="J1385" t="s">
        <v>10782</v>
      </c>
      <c r="K1385" t="s">
        <v>16408</v>
      </c>
    </row>
    <row r="1386" spans="1:11" ht="201.6" x14ac:dyDescent="0.3">
      <c r="A1386" s="4" t="s">
        <v>4735</v>
      </c>
      <c r="B1386">
        <v>3</v>
      </c>
      <c r="C1386">
        <v>2023</v>
      </c>
      <c r="D1386" t="s">
        <v>1746</v>
      </c>
      <c r="E1386">
        <v>14</v>
      </c>
      <c r="F1386" t="s">
        <v>16409</v>
      </c>
      <c r="G1386" t="s">
        <v>16410</v>
      </c>
      <c r="H1386" s="4" t="s">
        <v>16411</v>
      </c>
      <c r="I1386" t="s">
        <v>71</v>
      </c>
      <c r="J1386" t="s">
        <v>10782</v>
      </c>
      <c r="K1386" t="s">
        <v>16412</v>
      </c>
    </row>
    <row r="1387" spans="1:11" ht="172.8" x14ac:dyDescent="0.3">
      <c r="A1387" s="4" t="s">
        <v>4736</v>
      </c>
      <c r="B1387">
        <v>3</v>
      </c>
      <c r="C1387">
        <v>2023</v>
      </c>
      <c r="D1387" t="s">
        <v>11164</v>
      </c>
      <c r="E1387">
        <v>9</v>
      </c>
      <c r="F1387" t="s">
        <v>16413</v>
      </c>
      <c r="G1387" t="s">
        <v>16414</v>
      </c>
      <c r="H1387" s="4" t="s">
        <v>16415</v>
      </c>
      <c r="I1387" t="s">
        <v>71</v>
      </c>
      <c r="J1387" t="s">
        <v>10782</v>
      </c>
      <c r="K1387" t="s">
        <v>16416</v>
      </c>
    </row>
    <row r="1388" spans="1:11" ht="129.6" x14ac:dyDescent="0.3">
      <c r="A1388" s="4" t="s">
        <v>3251</v>
      </c>
      <c r="B1388">
        <v>1</v>
      </c>
      <c r="C1388">
        <v>2023</v>
      </c>
      <c r="D1388" t="s">
        <v>1426</v>
      </c>
      <c r="E1388">
        <v>25</v>
      </c>
      <c r="F1388" t="s">
        <v>16417</v>
      </c>
      <c r="G1388" t="s">
        <v>16418</v>
      </c>
      <c r="H1388" s="4" t="s">
        <v>16419</v>
      </c>
      <c r="I1388" t="s">
        <v>71</v>
      </c>
      <c r="J1388" t="s">
        <v>10782</v>
      </c>
      <c r="K1388" t="s">
        <v>16420</v>
      </c>
    </row>
    <row r="1389" spans="1:11" ht="144" x14ac:dyDescent="0.3">
      <c r="A1389" s="4" t="s">
        <v>4737</v>
      </c>
      <c r="B1389">
        <v>3</v>
      </c>
      <c r="C1389">
        <v>2023</v>
      </c>
      <c r="D1389" t="s">
        <v>482</v>
      </c>
      <c r="E1389">
        <v>4</v>
      </c>
      <c r="F1389" t="s">
        <v>16421</v>
      </c>
      <c r="G1389" t="s">
        <v>16422</v>
      </c>
      <c r="H1389" s="4" t="s">
        <v>16423</v>
      </c>
      <c r="I1389" t="s">
        <v>10823</v>
      </c>
      <c r="J1389" t="s">
        <v>10782</v>
      </c>
      <c r="K1389" t="s">
        <v>16424</v>
      </c>
    </row>
    <row r="1390" spans="1:11" ht="172.8" x14ac:dyDescent="0.3">
      <c r="A1390" s="4" t="s">
        <v>4738</v>
      </c>
      <c r="B1390">
        <v>3</v>
      </c>
      <c r="C1390">
        <v>2023</v>
      </c>
      <c r="D1390" t="s">
        <v>1936</v>
      </c>
      <c r="E1390">
        <v>7</v>
      </c>
      <c r="F1390" t="s">
        <v>16425</v>
      </c>
      <c r="G1390" t="s">
        <v>16426</v>
      </c>
      <c r="H1390" s="4" t="s">
        <v>16427</v>
      </c>
      <c r="I1390" t="s">
        <v>71</v>
      </c>
      <c r="J1390" t="s">
        <v>10782</v>
      </c>
      <c r="K1390" t="s">
        <v>16428</v>
      </c>
    </row>
    <row r="1391" spans="1:11" ht="172.8" x14ac:dyDescent="0.3">
      <c r="A1391" s="4" t="s">
        <v>4739</v>
      </c>
      <c r="B1391">
        <v>3</v>
      </c>
      <c r="C1391">
        <v>2023</v>
      </c>
      <c r="D1391" t="s">
        <v>217</v>
      </c>
      <c r="E1391">
        <v>2</v>
      </c>
      <c r="F1391" t="s">
        <v>16429</v>
      </c>
      <c r="G1391" t="s">
        <v>16430</v>
      </c>
      <c r="H1391" s="4" t="s">
        <v>16431</v>
      </c>
      <c r="I1391" t="s">
        <v>71</v>
      </c>
      <c r="J1391" t="s">
        <v>10782</v>
      </c>
      <c r="K1391" t="s">
        <v>16432</v>
      </c>
    </row>
    <row r="1392" spans="1:11" ht="187.2" x14ac:dyDescent="0.3">
      <c r="A1392" s="4" t="s">
        <v>3252</v>
      </c>
      <c r="B1392">
        <v>1</v>
      </c>
      <c r="C1392">
        <v>2023</v>
      </c>
      <c r="D1392" t="s">
        <v>405</v>
      </c>
      <c r="E1392">
        <v>10</v>
      </c>
      <c r="F1392" t="s">
        <v>16433</v>
      </c>
      <c r="G1392" t="s">
        <v>16434</v>
      </c>
      <c r="H1392" s="4" t="s">
        <v>16435</v>
      </c>
      <c r="I1392" t="s">
        <v>71</v>
      </c>
      <c r="J1392" t="s">
        <v>10782</v>
      </c>
      <c r="K1392" t="s">
        <v>16436</v>
      </c>
    </row>
    <row r="1393" spans="1:11" ht="187.2" x14ac:dyDescent="0.3">
      <c r="A1393" s="4" t="s">
        <v>4740</v>
      </c>
      <c r="B1393">
        <v>3</v>
      </c>
      <c r="C1393">
        <v>2023</v>
      </c>
      <c r="D1393" t="s">
        <v>1936</v>
      </c>
      <c r="E1393">
        <v>14</v>
      </c>
      <c r="F1393" t="s">
        <v>16437</v>
      </c>
      <c r="G1393" t="s">
        <v>16438</v>
      </c>
      <c r="H1393" s="4" t="s">
        <v>16439</v>
      </c>
      <c r="I1393" t="s">
        <v>71</v>
      </c>
      <c r="J1393" t="s">
        <v>10782</v>
      </c>
      <c r="K1393" t="s">
        <v>16440</v>
      </c>
    </row>
    <row r="1394" spans="1:11" ht="244.8" x14ac:dyDescent="0.3">
      <c r="A1394" s="4" t="s">
        <v>3253</v>
      </c>
      <c r="B1394">
        <v>1</v>
      </c>
      <c r="C1394">
        <v>2023</v>
      </c>
      <c r="D1394" t="s">
        <v>217</v>
      </c>
      <c r="E1394">
        <v>6</v>
      </c>
      <c r="F1394" t="s">
        <v>16441</v>
      </c>
      <c r="G1394" t="s">
        <v>16442</v>
      </c>
      <c r="H1394" s="4" t="s">
        <v>16443</v>
      </c>
      <c r="I1394" t="s">
        <v>71</v>
      </c>
      <c r="J1394" t="s">
        <v>10782</v>
      </c>
      <c r="K1394" t="s">
        <v>16444</v>
      </c>
    </row>
    <row r="1395" spans="1:11" ht="201.6" x14ac:dyDescent="0.3">
      <c r="A1395" s="4" t="s">
        <v>3254</v>
      </c>
      <c r="B1395">
        <v>1</v>
      </c>
      <c r="C1395">
        <v>2023</v>
      </c>
      <c r="D1395" t="s">
        <v>217</v>
      </c>
      <c r="E1395">
        <v>29</v>
      </c>
      <c r="F1395" t="s">
        <v>16445</v>
      </c>
      <c r="G1395" t="s">
        <v>16446</v>
      </c>
      <c r="H1395" s="4" t="s">
        <v>16447</v>
      </c>
      <c r="I1395" t="s">
        <v>71</v>
      </c>
      <c r="J1395" t="s">
        <v>10782</v>
      </c>
      <c r="K1395" t="s">
        <v>16448</v>
      </c>
    </row>
    <row r="1396" spans="1:11" ht="129.6" x14ac:dyDescent="0.3">
      <c r="A1396" s="4" t="s">
        <v>4741</v>
      </c>
      <c r="B1396">
        <v>3</v>
      </c>
      <c r="C1396">
        <v>2023</v>
      </c>
      <c r="D1396" t="s">
        <v>16449</v>
      </c>
      <c r="E1396">
        <v>7</v>
      </c>
      <c r="F1396" t="s">
        <v>16450</v>
      </c>
      <c r="G1396" t="s">
        <v>16451</v>
      </c>
      <c r="H1396" s="4" t="s">
        <v>16452</v>
      </c>
    </row>
    <row r="1397" spans="1:11" ht="201.6" x14ac:dyDescent="0.3">
      <c r="A1397" s="4" t="s">
        <v>840</v>
      </c>
      <c r="B1397">
        <v>1</v>
      </c>
      <c r="C1397">
        <v>2023</v>
      </c>
      <c r="D1397" t="s">
        <v>217</v>
      </c>
      <c r="E1397">
        <v>16</v>
      </c>
      <c r="F1397" t="s">
        <v>16453</v>
      </c>
      <c r="G1397" t="s">
        <v>16454</v>
      </c>
      <c r="H1397" s="4" t="s">
        <v>16455</v>
      </c>
      <c r="I1397" t="s">
        <v>71</v>
      </c>
      <c r="J1397" t="s">
        <v>10782</v>
      </c>
      <c r="K1397" t="s">
        <v>16456</v>
      </c>
    </row>
    <row r="1398" spans="1:11" ht="158.4" x14ac:dyDescent="0.3">
      <c r="A1398" s="4" t="s">
        <v>3255</v>
      </c>
      <c r="B1398">
        <v>1</v>
      </c>
      <c r="C1398">
        <v>2023</v>
      </c>
      <c r="D1398" t="s">
        <v>482</v>
      </c>
      <c r="E1398">
        <v>5</v>
      </c>
      <c r="F1398" t="s">
        <v>16457</v>
      </c>
      <c r="G1398" t="s">
        <v>16458</v>
      </c>
      <c r="H1398" s="4" t="s">
        <v>16459</v>
      </c>
      <c r="I1398" t="s">
        <v>71</v>
      </c>
      <c r="J1398" t="s">
        <v>10782</v>
      </c>
      <c r="K1398" t="s">
        <v>16460</v>
      </c>
    </row>
    <row r="1399" spans="1:11" ht="244.8" x14ac:dyDescent="0.3">
      <c r="A1399" s="4" t="s">
        <v>4742</v>
      </c>
      <c r="B1399">
        <v>3</v>
      </c>
      <c r="C1399">
        <v>2023</v>
      </c>
      <c r="D1399" t="s">
        <v>637</v>
      </c>
      <c r="E1399">
        <v>5</v>
      </c>
      <c r="F1399" t="s">
        <v>16461</v>
      </c>
      <c r="G1399" t="s">
        <v>16462</v>
      </c>
      <c r="H1399" s="4" t="s">
        <v>16463</v>
      </c>
      <c r="I1399" t="s">
        <v>10823</v>
      </c>
      <c r="J1399" t="s">
        <v>10782</v>
      </c>
      <c r="K1399" t="s">
        <v>16464</v>
      </c>
    </row>
    <row r="1400" spans="1:11" ht="115.2" x14ac:dyDescent="0.3">
      <c r="A1400" s="4" t="s">
        <v>4743</v>
      </c>
      <c r="B1400">
        <v>3</v>
      </c>
      <c r="C1400">
        <v>2023</v>
      </c>
      <c r="D1400" t="s">
        <v>16465</v>
      </c>
      <c r="E1400">
        <v>7</v>
      </c>
      <c r="F1400" t="s">
        <v>16466</v>
      </c>
      <c r="G1400" t="s">
        <v>16467</v>
      </c>
      <c r="H1400" s="4" t="s">
        <v>16468</v>
      </c>
      <c r="I1400" t="s">
        <v>71</v>
      </c>
      <c r="J1400" t="s">
        <v>10782</v>
      </c>
      <c r="K1400" t="s">
        <v>16469</v>
      </c>
    </row>
    <row r="1401" spans="1:11" ht="115.2" x14ac:dyDescent="0.3">
      <c r="A1401" s="4" t="s">
        <v>4744</v>
      </c>
      <c r="B1401">
        <v>3</v>
      </c>
      <c r="C1401">
        <v>2023</v>
      </c>
      <c r="D1401" t="s">
        <v>1426</v>
      </c>
      <c r="E1401">
        <v>40</v>
      </c>
      <c r="F1401" t="s">
        <v>16470</v>
      </c>
      <c r="G1401" t="s">
        <v>16471</v>
      </c>
      <c r="H1401" s="4" t="s">
        <v>16472</v>
      </c>
      <c r="I1401" t="s">
        <v>71</v>
      </c>
      <c r="J1401" t="s">
        <v>10782</v>
      </c>
      <c r="K1401" t="s">
        <v>16473</v>
      </c>
    </row>
    <row r="1402" spans="1:11" ht="216" x14ac:dyDescent="0.3">
      <c r="A1402" s="4" t="s">
        <v>4745</v>
      </c>
      <c r="B1402">
        <v>3</v>
      </c>
      <c r="C1402">
        <v>2023</v>
      </c>
      <c r="D1402" t="s">
        <v>637</v>
      </c>
      <c r="E1402">
        <v>13</v>
      </c>
      <c r="F1402" t="s">
        <v>16474</v>
      </c>
      <c r="G1402" t="s">
        <v>16475</v>
      </c>
      <c r="H1402" s="4" t="s">
        <v>16476</v>
      </c>
      <c r="I1402" t="s">
        <v>71</v>
      </c>
      <c r="J1402" t="s">
        <v>10782</v>
      </c>
      <c r="K1402" t="s">
        <v>16477</v>
      </c>
    </row>
    <row r="1403" spans="1:11" ht="158.4" x14ac:dyDescent="0.3">
      <c r="A1403" s="4" t="s">
        <v>4746</v>
      </c>
      <c r="B1403">
        <v>3</v>
      </c>
      <c r="C1403">
        <v>2023</v>
      </c>
      <c r="D1403" t="s">
        <v>1912</v>
      </c>
      <c r="E1403">
        <v>4</v>
      </c>
      <c r="F1403" t="s">
        <v>16478</v>
      </c>
      <c r="G1403" t="s">
        <v>16479</v>
      </c>
      <c r="H1403" s="4" t="s">
        <v>16480</v>
      </c>
      <c r="I1403" t="s">
        <v>71</v>
      </c>
      <c r="J1403" t="s">
        <v>10782</v>
      </c>
      <c r="K1403" t="s">
        <v>16481</v>
      </c>
    </row>
    <row r="1404" spans="1:11" ht="345.6" x14ac:dyDescent="0.3">
      <c r="A1404" s="4" t="s">
        <v>4747</v>
      </c>
      <c r="B1404">
        <v>3</v>
      </c>
      <c r="C1404">
        <v>2023</v>
      </c>
      <c r="D1404" t="s">
        <v>637</v>
      </c>
      <c r="E1404">
        <v>6</v>
      </c>
      <c r="F1404" t="s">
        <v>16482</v>
      </c>
      <c r="G1404" t="s">
        <v>16483</v>
      </c>
      <c r="H1404" s="4" t="s">
        <v>16484</v>
      </c>
      <c r="I1404" t="s">
        <v>71</v>
      </c>
      <c r="J1404" t="s">
        <v>10782</v>
      </c>
      <c r="K1404" t="s">
        <v>16485</v>
      </c>
    </row>
    <row r="1405" spans="1:11" ht="100.8" x14ac:dyDescent="0.3">
      <c r="A1405" s="4" t="s">
        <v>4748</v>
      </c>
      <c r="B1405">
        <v>3</v>
      </c>
      <c r="C1405">
        <v>2023</v>
      </c>
      <c r="D1405" t="s">
        <v>799</v>
      </c>
      <c r="E1405">
        <v>14</v>
      </c>
      <c r="F1405" t="s">
        <v>16486</v>
      </c>
      <c r="G1405" t="s">
        <v>16487</v>
      </c>
      <c r="H1405" s="4" t="s">
        <v>16488</v>
      </c>
    </row>
    <row r="1406" spans="1:11" ht="129.6" x14ac:dyDescent="0.3">
      <c r="A1406" s="4" t="s">
        <v>4749</v>
      </c>
      <c r="B1406">
        <v>3</v>
      </c>
      <c r="C1406">
        <v>2023</v>
      </c>
      <c r="D1406" t="s">
        <v>2628</v>
      </c>
      <c r="E1406">
        <v>0</v>
      </c>
      <c r="F1406" t="s">
        <v>16489</v>
      </c>
      <c r="G1406" t="s">
        <v>16490</v>
      </c>
      <c r="H1406" s="4" t="s">
        <v>16491</v>
      </c>
      <c r="I1406" t="s">
        <v>71</v>
      </c>
      <c r="J1406" t="s">
        <v>10782</v>
      </c>
      <c r="K1406" t="s">
        <v>16492</v>
      </c>
    </row>
    <row r="1407" spans="1:11" ht="158.4" x14ac:dyDescent="0.3">
      <c r="A1407" s="4" t="s">
        <v>4750</v>
      </c>
      <c r="B1407">
        <v>3</v>
      </c>
      <c r="C1407">
        <v>2023</v>
      </c>
      <c r="D1407" t="s">
        <v>164</v>
      </c>
      <c r="E1407">
        <v>3</v>
      </c>
      <c r="F1407" t="s">
        <v>16493</v>
      </c>
      <c r="G1407" t="s">
        <v>16494</v>
      </c>
      <c r="H1407" s="4" t="s">
        <v>16495</v>
      </c>
    </row>
    <row r="1408" spans="1:11" ht="201.6" x14ac:dyDescent="0.3">
      <c r="A1408" s="4" t="s">
        <v>4751</v>
      </c>
      <c r="B1408">
        <v>3</v>
      </c>
      <c r="C1408">
        <v>2023</v>
      </c>
      <c r="D1408" t="s">
        <v>1912</v>
      </c>
      <c r="E1408">
        <v>2</v>
      </c>
      <c r="F1408" t="s">
        <v>16496</v>
      </c>
      <c r="G1408" t="s">
        <v>16497</v>
      </c>
      <c r="H1408" s="4" t="s">
        <v>16498</v>
      </c>
      <c r="I1408" t="s">
        <v>71</v>
      </c>
      <c r="J1408" t="s">
        <v>10782</v>
      </c>
      <c r="K1408" t="s">
        <v>16499</v>
      </c>
    </row>
    <row r="1409" spans="1:11" ht="115.2" x14ac:dyDescent="0.3">
      <c r="A1409" s="4" t="s">
        <v>4752</v>
      </c>
      <c r="B1409">
        <v>3</v>
      </c>
      <c r="C1409">
        <v>2023</v>
      </c>
      <c r="D1409" t="s">
        <v>1912</v>
      </c>
      <c r="E1409">
        <v>8</v>
      </c>
      <c r="F1409" t="s">
        <v>16500</v>
      </c>
      <c r="G1409" t="s">
        <v>16501</v>
      </c>
      <c r="H1409" s="4" t="s">
        <v>16502</v>
      </c>
    </row>
    <row r="1410" spans="1:11" ht="216" x14ac:dyDescent="0.3">
      <c r="A1410" s="4" t="s">
        <v>4753</v>
      </c>
      <c r="B1410">
        <v>3</v>
      </c>
      <c r="C1410">
        <v>2023</v>
      </c>
      <c r="D1410" t="s">
        <v>10971</v>
      </c>
      <c r="E1410">
        <v>7</v>
      </c>
      <c r="F1410" t="s">
        <v>16503</v>
      </c>
      <c r="G1410" t="s">
        <v>16504</v>
      </c>
      <c r="H1410" s="4" t="s">
        <v>16505</v>
      </c>
      <c r="I1410" t="s">
        <v>71</v>
      </c>
      <c r="J1410" t="s">
        <v>10782</v>
      </c>
      <c r="K1410" t="s">
        <v>16506</v>
      </c>
    </row>
    <row r="1411" spans="1:11" ht="172.8" x14ac:dyDescent="0.3">
      <c r="A1411" s="4" t="s">
        <v>4754</v>
      </c>
      <c r="B1411">
        <v>3</v>
      </c>
      <c r="C1411">
        <v>2023</v>
      </c>
      <c r="D1411" t="s">
        <v>16507</v>
      </c>
      <c r="E1411">
        <v>1</v>
      </c>
      <c r="F1411" t="s">
        <v>16508</v>
      </c>
      <c r="G1411" t="s">
        <v>16509</v>
      </c>
      <c r="H1411" s="4" t="s">
        <v>16510</v>
      </c>
      <c r="I1411" t="s">
        <v>71</v>
      </c>
      <c r="J1411" t="s">
        <v>10782</v>
      </c>
      <c r="K1411" t="s">
        <v>16511</v>
      </c>
    </row>
    <row r="1412" spans="1:11" ht="201.6" x14ac:dyDescent="0.3">
      <c r="A1412" s="4" t="s">
        <v>4755</v>
      </c>
      <c r="B1412">
        <v>3</v>
      </c>
      <c r="C1412">
        <v>2023</v>
      </c>
      <c r="D1412" t="s">
        <v>13394</v>
      </c>
      <c r="E1412">
        <v>11</v>
      </c>
      <c r="F1412" t="s">
        <v>16512</v>
      </c>
      <c r="G1412" t="s">
        <v>16513</v>
      </c>
      <c r="H1412" s="4" t="s">
        <v>16514</v>
      </c>
      <c r="I1412" t="s">
        <v>71</v>
      </c>
      <c r="J1412" t="s">
        <v>10782</v>
      </c>
      <c r="K1412" t="s">
        <v>16515</v>
      </c>
    </row>
    <row r="1413" spans="1:11" ht="86.4" x14ac:dyDescent="0.3">
      <c r="A1413" s="4" t="s">
        <v>4756</v>
      </c>
      <c r="B1413">
        <v>3</v>
      </c>
      <c r="C1413">
        <v>2023</v>
      </c>
      <c r="D1413" t="s">
        <v>14636</v>
      </c>
      <c r="E1413">
        <v>1</v>
      </c>
      <c r="F1413" t="s">
        <v>16516</v>
      </c>
      <c r="G1413" t="s">
        <v>16517</v>
      </c>
      <c r="H1413" s="4" t="s">
        <v>16518</v>
      </c>
      <c r="I1413" t="s">
        <v>71</v>
      </c>
      <c r="J1413" t="s">
        <v>10782</v>
      </c>
      <c r="K1413" t="s">
        <v>16519</v>
      </c>
    </row>
    <row r="1414" spans="1:11" ht="115.2" x14ac:dyDescent="0.3">
      <c r="A1414" s="4" t="s">
        <v>841</v>
      </c>
      <c r="B1414">
        <v>1</v>
      </c>
      <c r="C1414">
        <v>2023</v>
      </c>
      <c r="D1414" t="s">
        <v>217</v>
      </c>
      <c r="E1414">
        <v>1</v>
      </c>
      <c r="F1414" t="s">
        <v>16520</v>
      </c>
      <c r="G1414" t="s">
        <v>16521</v>
      </c>
      <c r="H1414" s="4" t="s">
        <v>16522</v>
      </c>
      <c r="I1414" t="s">
        <v>71</v>
      </c>
      <c r="J1414" t="s">
        <v>10782</v>
      </c>
      <c r="K1414" t="s">
        <v>16523</v>
      </c>
    </row>
    <row r="1415" spans="1:11" ht="43.2" x14ac:dyDescent="0.3">
      <c r="A1415" s="4" t="s">
        <v>4757</v>
      </c>
      <c r="B1415">
        <v>3</v>
      </c>
      <c r="C1415">
        <v>2023</v>
      </c>
      <c r="D1415" t="s">
        <v>329</v>
      </c>
      <c r="E1415">
        <v>1</v>
      </c>
      <c r="F1415" t="s">
        <v>16524</v>
      </c>
      <c r="G1415" t="s">
        <v>16525</v>
      </c>
      <c r="H1415" s="4" t="s">
        <v>16526</v>
      </c>
    </row>
    <row r="1416" spans="1:11" ht="187.2" x14ac:dyDescent="0.3">
      <c r="A1416" s="4" t="s">
        <v>4758</v>
      </c>
      <c r="B1416">
        <v>3</v>
      </c>
      <c r="C1416">
        <v>2023</v>
      </c>
      <c r="D1416" t="s">
        <v>892</v>
      </c>
      <c r="E1416">
        <v>40</v>
      </c>
      <c r="F1416" t="s">
        <v>16527</v>
      </c>
      <c r="G1416" t="s">
        <v>16528</v>
      </c>
      <c r="H1416" s="4" t="s">
        <v>16529</v>
      </c>
      <c r="I1416" t="s">
        <v>71</v>
      </c>
      <c r="J1416" t="s">
        <v>10782</v>
      </c>
      <c r="K1416" t="s">
        <v>16530</v>
      </c>
    </row>
    <row r="1417" spans="1:11" ht="244.8" x14ac:dyDescent="0.3">
      <c r="A1417" s="4" t="s">
        <v>4759</v>
      </c>
      <c r="B1417">
        <v>3</v>
      </c>
      <c r="C1417">
        <v>2023</v>
      </c>
      <c r="D1417" t="s">
        <v>1912</v>
      </c>
      <c r="E1417">
        <v>4</v>
      </c>
      <c r="F1417" t="s">
        <v>16531</v>
      </c>
      <c r="G1417" t="s">
        <v>16532</v>
      </c>
      <c r="H1417" s="4" t="s">
        <v>16533</v>
      </c>
      <c r="I1417" t="s">
        <v>71</v>
      </c>
      <c r="J1417" t="s">
        <v>10782</v>
      </c>
      <c r="K1417" t="s">
        <v>16534</v>
      </c>
    </row>
    <row r="1418" spans="1:11" ht="158.4" x14ac:dyDescent="0.3">
      <c r="A1418" s="4" t="s">
        <v>4760</v>
      </c>
      <c r="B1418">
        <v>3</v>
      </c>
      <c r="C1418">
        <v>2023</v>
      </c>
      <c r="D1418" t="s">
        <v>16535</v>
      </c>
      <c r="E1418">
        <v>0</v>
      </c>
      <c r="F1418" t="s">
        <v>16536</v>
      </c>
      <c r="G1418" t="s">
        <v>16537</v>
      </c>
      <c r="H1418" s="4" t="s">
        <v>16538</v>
      </c>
      <c r="I1418" t="s">
        <v>71</v>
      </c>
      <c r="J1418" t="s">
        <v>10782</v>
      </c>
      <c r="K1418" t="s">
        <v>16539</v>
      </c>
    </row>
    <row r="1419" spans="1:11" ht="115.2" x14ac:dyDescent="0.3">
      <c r="A1419" s="4" t="s">
        <v>3521</v>
      </c>
      <c r="B1419">
        <v>2</v>
      </c>
      <c r="C1419">
        <v>2023</v>
      </c>
      <c r="D1419" t="s">
        <v>11649</v>
      </c>
      <c r="E1419">
        <v>1</v>
      </c>
      <c r="F1419" t="s">
        <v>16540</v>
      </c>
      <c r="G1419" t="s">
        <v>16541</v>
      </c>
      <c r="H1419" s="4" t="s">
        <v>16542</v>
      </c>
      <c r="I1419" t="s">
        <v>71</v>
      </c>
      <c r="J1419" t="s">
        <v>10782</v>
      </c>
      <c r="K1419" t="s">
        <v>16543</v>
      </c>
    </row>
    <row r="1420" spans="1:11" ht="216" x14ac:dyDescent="0.3">
      <c r="A1420" s="4" t="s">
        <v>4761</v>
      </c>
      <c r="B1420">
        <v>3</v>
      </c>
      <c r="C1420">
        <v>2023</v>
      </c>
      <c r="D1420" t="s">
        <v>2819</v>
      </c>
      <c r="E1420">
        <v>18</v>
      </c>
      <c r="F1420" t="s">
        <v>16544</v>
      </c>
      <c r="G1420" t="s">
        <v>16545</v>
      </c>
      <c r="H1420" s="4" t="s">
        <v>16546</v>
      </c>
      <c r="I1420" t="s">
        <v>10823</v>
      </c>
      <c r="J1420" t="s">
        <v>10782</v>
      </c>
      <c r="K1420" t="s">
        <v>16547</v>
      </c>
    </row>
    <row r="1421" spans="1:11" ht="172.8" x14ac:dyDescent="0.3">
      <c r="A1421" s="4" t="s">
        <v>4762</v>
      </c>
      <c r="B1421">
        <v>3</v>
      </c>
      <c r="C1421">
        <v>2023</v>
      </c>
      <c r="D1421" t="s">
        <v>217</v>
      </c>
      <c r="E1421">
        <v>28</v>
      </c>
      <c r="F1421" t="s">
        <v>16548</v>
      </c>
      <c r="G1421" t="s">
        <v>16549</v>
      </c>
      <c r="H1421" s="4" t="s">
        <v>16550</v>
      </c>
      <c r="I1421" t="s">
        <v>71</v>
      </c>
      <c r="J1421" t="s">
        <v>10782</v>
      </c>
      <c r="K1421" t="s">
        <v>16551</v>
      </c>
    </row>
    <row r="1422" spans="1:11" ht="172.8" x14ac:dyDescent="0.3">
      <c r="A1422" s="4" t="s">
        <v>4763</v>
      </c>
      <c r="B1422">
        <v>3</v>
      </c>
      <c r="C1422">
        <v>2023</v>
      </c>
      <c r="D1422" t="s">
        <v>550</v>
      </c>
      <c r="E1422">
        <v>7</v>
      </c>
      <c r="F1422" t="s">
        <v>16552</v>
      </c>
      <c r="G1422" t="s">
        <v>16553</v>
      </c>
      <c r="H1422" s="4" t="s">
        <v>16554</v>
      </c>
      <c r="I1422" t="s">
        <v>71</v>
      </c>
      <c r="J1422" t="s">
        <v>10782</v>
      </c>
      <c r="K1422" t="s">
        <v>16555</v>
      </c>
    </row>
    <row r="1423" spans="1:11" ht="57.6" x14ac:dyDescent="0.3">
      <c r="A1423" s="4" t="s">
        <v>4764</v>
      </c>
      <c r="B1423">
        <v>3</v>
      </c>
      <c r="C1423">
        <v>2023</v>
      </c>
      <c r="D1423" t="s">
        <v>16556</v>
      </c>
      <c r="E1423">
        <v>0</v>
      </c>
      <c r="G1423" t="s">
        <v>16557</v>
      </c>
      <c r="H1423" s="4" t="s">
        <v>16558</v>
      </c>
      <c r="I1423" s="4" t="s">
        <v>71</v>
      </c>
      <c r="J1423" t="s">
        <v>10782</v>
      </c>
      <c r="K1423" t="s">
        <v>16559</v>
      </c>
    </row>
    <row r="1424" spans="1:11" ht="172.8" x14ac:dyDescent="0.3">
      <c r="A1424" s="4" t="s">
        <v>4765</v>
      </c>
      <c r="B1424">
        <v>3</v>
      </c>
      <c r="C1424">
        <v>2023</v>
      </c>
      <c r="D1424" t="s">
        <v>16560</v>
      </c>
      <c r="E1424">
        <v>7</v>
      </c>
      <c r="F1424" t="s">
        <v>16561</v>
      </c>
      <c r="G1424" t="s">
        <v>16562</v>
      </c>
      <c r="H1424" s="4" t="s">
        <v>16563</v>
      </c>
      <c r="I1424" t="s">
        <v>71</v>
      </c>
      <c r="J1424" t="s">
        <v>10782</v>
      </c>
      <c r="K1424" t="s">
        <v>16564</v>
      </c>
    </row>
    <row r="1425" spans="1:11" ht="244.8" x14ac:dyDescent="0.3">
      <c r="A1425" s="4" t="s">
        <v>4766</v>
      </c>
      <c r="B1425">
        <v>3</v>
      </c>
      <c r="C1425">
        <v>2023</v>
      </c>
      <c r="D1425" t="s">
        <v>1912</v>
      </c>
      <c r="E1425">
        <v>9</v>
      </c>
      <c r="F1425" t="s">
        <v>16565</v>
      </c>
      <c r="G1425" t="s">
        <v>16566</v>
      </c>
      <c r="H1425" s="4" t="s">
        <v>16567</v>
      </c>
      <c r="I1425" t="s">
        <v>71</v>
      </c>
      <c r="J1425" t="s">
        <v>10782</v>
      </c>
      <c r="K1425" t="s">
        <v>16568</v>
      </c>
    </row>
    <row r="1426" spans="1:11" ht="230.4" x14ac:dyDescent="0.3">
      <c r="A1426" s="4" t="s">
        <v>4767</v>
      </c>
      <c r="B1426">
        <v>3</v>
      </c>
      <c r="C1426">
        <v>2023</v>
      </c>
      <c r="D1426" t="s">
        <v>318</v>
      </c>
      <c r="E1426">
        <v>4</v>
      </c>
      <c r="F1426" t="s">
        <v>16569</v>
      </c>
      <c r="G1426" t="s">
        <v>16570</v>
      </c>
      <c r="H1426" s="4" t="s">
        <v>16571</v>
      </c>
      <c r="I1426" t="s">
        <v>71</v>
      </c>
      <c r="J1426" t="s">
        <v>10782</v>
      </c>
      <c r="K1426" t="s">
        <v>16572</v>
      </c>
    </row>
    <row r="1427" spans="1:11" ht="158.4" x14ac:dyDescent="0.3">
      <c r="A1427" s="4" t="s">
        <v>4768</v>
      </c>
      <c r="B1427">
        <v>3</v>
      </c>
      <c r="C1427">
        <v>2023</v>
      </c>
      <c r="D1427" t="s">
        <v>12128</v>
      </c>
      <c r="E1427">
        <v>2</v>
      </c>
      <c r="F1427" t="s">
        <v>16573</v>
      </c>
      <c r="G1427" t="s">
        <v>16574</v>
      </c>
      <c r="H1427" s="4" t="s">
        <v>16575</v>
      </c>
      <c r="I1427" t="s">
        <v>71</v>
      </c>
      <c r="J1427" t="s">
        <v>10782</v>
      </c>
      <c r="K1427" t="s">
        <v>16576</v>
      </c>
    </row>
    <row r="1428" spans="1:11" ht="144" x14ac:dyDescent="0.3">
      <c r="A1428" s="4" t="s">
        <v>4769</v>
      </c>
      <c r="B1428">
        <v>3</v>
      </c>
      <c r="C1428">
        <v>2023</v>
      </c>
      <c r="D1428" t="s">
        <v>1530</v>
      </c>
      <c r="E1428">
        <v>7</v>
      </c>
      <c r="F1428" t="s">
        <v>16577</v>
      </c>
      <c r="G1428" t="s">
        <v>16578</v>
      </c>
      <c r="H1428" s="4" t="s">
        <v>16579</v>
      </c>
      <c r="I1428" t="s">
        <v>71</v>
      </c>
      <c r="J1428" t="s">
        <v>10782</v>
      </c>
      <c r="K1428" t="s">
        <v>16580</v>
      </c>
    </row>
    <row r="1429" spans="1:11" ht="172.8" x14ac:dyDescent="0.3">
      <c r="A1429" s="4" t="s">
        <v>4770</v>
      </c>
      <c r="B1429">
        <v>3</v>
      </c>
      <c r="C1429">
        <v>2023</v>
      </c>
      <c r="D1429" t="s">
        <v>1088</v>
      </c>
      <c r="E1429">
        <v>1</v>
      </c>
      <c r="F1429" t="s">
        <v>16581</v>
      </c>
      <c r="G1429" t="s">
        <v>16582</v>
      </c>
      <c r="H1429" s="4" t="s">
        <v>16583</v>
      </c>
      <c r="I1429" t="s">
        <v>71</v>
      </c>
      <c r="J1429" t="s">
        <v>10782</v>
      </c>
      <c r="K1429" t="s">
        <v>16584</v>
      </c>
    </row>
    <row r="1430" spans="1:11" ht="187.2" x14ac:dyDescent="0.3">
      <c r="A1430" s="4" t="s">
        <v>3256</v>
      </c>
      <c r="B1430">
        <v>1</v>
      </c>
      <c r="C1430">
        <v>2023</v>
      </c>
      <c r="D1430" t="s">
        <v>1770</v>
      </c>
      <c r="E1430">
        <v>6</v>
      </c>
      <c r="F1430" t="s">
        <v>16585</v>
      </c>
      <c r="G1430" t="s">
        <v>16586</v>
      </c>
      <c r="H1430" s="4" t="s">
        <v>16587</v>
      </c>
      <c r="I1430" t="s">
        <v>71</v>
      </c>
      <c r="J1430" t="s">
        <v>10782</v>
      </c>
      <c r="K1430" t="s">
        <v>16588</v>
      </c>
    </row>
    <row r="1431" spans="1:11" ht="172.8" x14ac:dyDescent="0.3">
      <c r="A1431" s="4" t="s">
        <v>3257</v>
      </c>
      <c r="B1431">
        <v>1</v>
      </c>
      <c r="C1431">
        <v>2023</v>
      </c>
      <c r="D1431" t="s">
        <v>16589</v>
      </c>
      <c r="E1431">
        <v>1</v>
      </c>
      <c r="F1431" t="s">
        <v>16590</v>
      </c>
      <c r="G1431" t="s">
        <v>16591</v>
      </c>
      <c r="H1431" s="4" t="s">
        <v>16592</v>
      </c>
      <c r="I1431" t="s">
        <v>71</v>
      </c>
      <c r="J1431" t="s">
        <v>10782</v>
      </c>
      <c r="K1431" t="s">
        <v>16593</v>
      </c>
    </row>
    <row r="1432" spans="1:11" ht="230.4" x14ac:dyDescent="0.3">
      <c r="A1432" s="4" t="s">
        <v>4771</v>
      </c>
      <c r="B1432">
        <v>3</v>
      </c>
      <c r="C1432">
        <v>2023</v>
      </c>
      <c r="D1432" t="s">
        <v>318</v>
      </c>
      <c r="E1432">
        <v>23</v>
      </c>
      <c r="F1432" t="s">
        <v>16594</v>
      </c>
      <c r="G1432" t="s">
        <v>16595</v>
      </c>
      <c r="H1432" s="4" t="s">
        <v>16596</v>
      </c>
      <c r="I1432" t="s">
        <v>71</v>
      </c>
      <c r="J1432" t="s">
        <v>10782</v>
      </c>
      <c r="K1432" t="s">
        <v>16597</v>
      </c>
    </row>
    <row r="1433" spans="1:11" ht="129.6" x14ac:dyDescent="0.3">
      <c r="A1433" s="4" t="s">
        <v>4772</v>
      </c>
      <c r="B1433">
        <v>3</v>
      </c>
      <c r="C1433">
        <v>2023</v>
      </c>
      <c r="D1433" t="s">
        <v>385</v>
      </c>
      <c r="E1433">
        <v>22</v>
      </c>
      <c r="F1433" t="s">
        <v>16598</v>
      </c>
      <c r="G1433" t="s">
        <v>16599</v>
      </c>
      <c r="H1433" s="4" t="s">
        <v>16600</v>
      </c>
      <c r="I1433" t="s">
        <v>71</v>
      </c>
      <c r="J1433" t="s">
        <v>10782</v>
      </c>
      <c r="K1433" t="s">
        <v>16601</v>
      </c>
    </row>
    <row r="1434" spans="1:11" ht="187.2" x14ac:dyDescent="0.3">
      <c r="A1434" s="4" t="s">
        <v>4773</v>
      </c>
      <c r="B1434">
        <v>3</v>
      </c>
      <c r="C1434">
        <v>2023</v>
      </c>
      <c r="D1434" t="s">
        <v>80</v>
      </c>
      <c r="E1434">
        <v>17</v>
      </c>
      <c r="F1434" t="s">
        <v>16602</v>
      </c>
      <c r="G1434" t="s">
        <v>16603</v>
      </c>
      <c r="H1434" s="4" t="s">
        <v>16604</v>
      </c>
      <c r="I1434" t="s">
        <v>71</v>
      </c>
      <c r="J1434" t="s">
        <v>10782</v>
      </c>
      <c r="K1434" t="s">
        <v>16605</v>
      </c>
    </row>
    <row r="1435" spans="1:11" ht="158.4" x14ac:dyDescent="0.3">
      <c r="A1435" s="4" t="s">
        <v>4774</v>
      </c>
      <c r="B1435">
        <v>3</v>
      </c>
      <c r="C1435">
        <v>2023</v>
      </c>
      <c r="D1435" t="s">
        <v>329</v>
      </c>
      <c r="E1435">
        <v>2</v>
      </c>
      <c r="F1435" t="s">
        <v>16606</v>
      </c>
      <c r="G1435" t="s">
        <v>16607</v>
      </c>
      <c r="H1435" s="4" t="s">
        <v>16608</v>
      </c>
      <c r="I1435" t="s">
        <v>71</v>
      </c>
      <c r="J1435" t="s">
        <v>10782</v>
      </c>
      <c r="K1435" t="s">
        <v>16609</v>
      </c>
    </row>
    <row r="1436" spans="1:11" ht="259.2" x14ac:dyDescent="0.3">
      <c r="A1436" s="4" t="s">
        <v>879</v>
      </c>
      <c r="B1436">
        <v>1</v>
      </c>
      <c r="C1436">
        <v>2023</v>
      </c>
      <c r="D1436" t="s">
        <v>892</v>
      </c>
      <c r="E1436">
        <v>4</v>
      </c>
      <c r="F1436" t="s">
        <v>16610</v>
      </c>
      <c r="G1436" t="s">
        <v>16611</v>
      </c>
      <c r="H1436" s="4" t="s">
        <v>16612</v>
      </c>
      <c r="I1436" t="s">
        <v>71</v>
      </c>
      <c r="J1436" t="s">
        <v>10782</v>
      </c>
      <c r="K1436" t="s">
        <v>16613</v>
      </c>
    </row>
    <row r="1437" spans="1:11" ht="115.2" x14ac:dyDescent="0.3">
      <c r="A1437" s="4" t="s">
        <v>4775</v>
      </c>
      <c r="B1437">
        <v>3</v>
      </c>
      <c r="C1437">
        <v>2023</v>
      </c>
      <c r="D1437" t="s">
        <v>12862</v>
      </c>
      <c r="E1437">
        <v>0</v>
      </c>
      <c r="F1437" t="s">
        <v>16614</v>
      </c>
      <c r="G1437" t="s">
        <v>16615</v>
      </c>
      <c r="H1437" s="4" t="s">
        <v>16616</v>
      </c>
      <c r="I1437" t="s">
        <v>71</v>
      </c>
      <c r="J1437" t="s">
        <v>10782</v>
      </c>
      <c r="K1437" t="s">
        <v>16617</v>
      </c>
    </row>
    <row r="1438" spans="1:11" ht="144" x14ac:dyDescent="0.3">
      <c r="A1438" s="4" t="s">
        <v>3258</v>
      </c>
      <c r="B1438">
        <v>1</v>
      </c>
      <c r="C1438">
        <v>2023</v>
      </c>
      <c r="D1438" t="s">
        <v>13696</v>
      </c>
      <c r="E1438">
        <v>0</v>
      </c>
      <c r="F1438" t="s">
        <v>16618</v>
      </c>
      <c r="G1438" t="s">
        <v>16619</v>
      </c>
      <c r="H1438" s="4" t="s">
        <v>16620</v>
      </c>
      <c r="I1438" t="s">
        <v>71</v>
      </c>
      <c r="J1438" t="s">
        <v>10782</v>
      </c>
      <c r="K1438" t="s">
        <v>16621</v>
      </c>
    </row>
    <row r="1439" spans="1:11" ht="187.2" x14ac:dyDescent="0.3">
      <c r="A1439" s="4" t="s">
        <v>4776</v>
      </c>
      <c r="B1439">
        <v>3</v>
      </c>
      <c r="C1439">
        <v>2023</v>
      </c>
      <c r="D1439" t="s">
        <v>16622</v>
      </c>
      <c r="E1439">
        <v>0</v>
      </c>
      <c r="F1439" t="s">
        <v>16623</v>
      </c>
      <c r="G1439" t="s">
        <v>16624</v>
      </c>
      <c r="H1439" s="4" t="s">
        <v>16625</v>
      </c>
      <c r="I1439" t="s">
        <v>71</v>
      </c>
      <c r="J1439" t="s">
        <v>10782</v>
      </c>
      <c r="K1439" t="s">
        <v>16626</v>
      </c>
    </row>
    <row r="1440" spans="1:11" ht="201.6" x14ac:dyDescent="0.3">
      <c r="A1440" s="4" t="s">
        <v>4777</v>
      </c>
      <c r="B1440">
        <v>3</v>
      </c>
      <c r="C1440">
        <v>2023</v>
      </c>
      <c r="D1440" t="s">
        <v>2893</v>
      </c>
      <c r="E1440">
        <v>5</v>
      </c>
      <c r="F1440" t="s">
        <v>16627</v>
      </c>
      <c r="G1440" t="s">
        <v>16628</v>
      </c>
      <c r="H1440" s="4" t="s">
        <v>16629</v>
      </c>
      <c r="I1440" t="s">
        <v>71</v>
      </c>
      <c r="J1440" t="s">
        <v>10782</v>
      </c>
      <c r="K1440" t="s">
        <v>16630</v>
      </c>
    </row>
    <row r="1441" spans="1:11" ht="172.8" x14ac:dyDescent="0.3">
      <c r="A1441" s="4" t="s">
        <v>2551</v>
      </c>
      <c r="B1441">
        <v>2</v>
      </c>
      <c r="C1441">
        <v>2023</v>
      </c>
      <c r="D1441" t="s">
        <v>1912</v>
      </c>
      <c r="E1441">
        <v>8</v>
      </c>
      <c r="F1441" t="s">
        <v>16631</v>
      </c>
      <c r="G1441" t="s">
        <v>16632</v>
      </c>
      <c r="H1441" s="4" t="s">
        <v>16633</v>
      </c>
      <c r="I1441" t="s">
        <v>71</v>
      </c>
      <c r="J1441" t="s">
        <v>10782</v>
      </c>
      <c r="K1441" t="s">
        <v>16634</v>
      </c>
    </row>
    <row r="1442" spans="1:11" ht="172.8" x14ac:dyDescent="0.3">
      <c r="A1442" s="4" t="s">
        <v>3259</v>
      </c>
      <c r="B1442">
        <v>1</v>
      </c>
      <c r="C1442">
        <v>2023</v>
      </c>
      <c r="D1442" t="s">
        <v>817</v>
      </c>
      <c r="E1442">
        <v>3</v>
      </c>
      <c r="F1442" t="s">
        <v>16635</v>
      </c>
      <c r="G1442" t="s">
        <v>16636</v>
      </c>
      <c r="H1442" s="4" t="s">
        <v>16637</v>
      </c>
      <c r="I1442" t="s">
        <v>71</v>
      </c>
      <c r="J1442" t="s">
        <v>10782</v>
      </c>
      <c r="K1442" t="s">
        <v>16638</v>
      </c>
    </row>
    <row r="1443" spans="1:11" ht="216" x14ac:dyDescent="0.3">
      <c r="A1443" s="4" t="s">
        <v>3522</v>
      </c>
      <c r="B1443">
        <v>2</v>
      </c>
      <c r="C1443">
        <v>2023</v>
      </c>
      <c r="D1443" t="s">
        <v>11337</v>
      </c>
      <c r="E1443">
        <v>5</v>
      </c>
      <c r="F1443" t="s">
        <v>16639</v>
      </c>
      <c r="G1443" t="s">
        <v>16640</v>
      </c>
      <c r="H1443" s="4" t="s">
        <v>16641</v>
      </c>
      <c r="I1443" t="s">
        <v>71</v>
      </c>
      <c r="J1443" t="s">
        <v>10782</v>
      </c>
      <c r="K1443" t="s">
        <v>16642</v>
      </c>
    </row>
    <row r="1444" spans="1:11" ht="100.8" x14ac:dyDescent="0.3">
      <c r="A1444" s="4" t="s">
        <v>4778</v>
      </c>
      <c r="B1444">
        <v>3</v>
      </c>
      <c r="C1444">
        <v>2023</v>
      </c>
      <c r="D1444" t="s">
        <v>1002</v>
      </c>
      <c r="E1444">
        <v>50</v>
      </c>
      <c r="F1444" t="s">
        <v>16643</v>
      </c>
      <c r="G1444" t="s">
        <v>16644</v>
      </c>
      <c r="H1444" s="4" t="s">
        <v>16645</v>
      </c>
    </row>
    <row r="1445" spans="1:11" ht="187.2" x14ac:dyDescent="0.3">
      <c r="A1445" s="4" t="s">
        <v>4779</v>
      </c>
      <c r="B1445">
        <v>3</v>
      </c>
      <c r="C1445">
        <v>2023</v>
      </c>
      <c r="D1445" t="s">
        <v>1912</v>
      </c>
      <c r="E1445">
        <v>3</v>
      </c>
      <c r="F1445" t="s">
        <v>16646</v>
      </c>
      <c r="G1445" t="s">
        <v>16647</v>
      </c>
      <c r="H1445" s="4" t="s">
        <v>16648</v>
      </c>
      <c r="I1445" t="s">
        <v>71</v>
      </c>
      <c r="J1445" t="s">
        <v>10782</v>
      </c>
      <c r="K1445" t="s">
        <v>16649</v>
      </c>
    </row>
    <row r="1446" spans="1:11" ht="129.6" x14ac:dyDescent="0.3">
      <c r="A1446" s="4" t="s">
        <v>4780</v>
      </c>
      <c r="B1446">
        <v>3</v>
      </c>
      <c r="C1446">
        <v>2023</v>
      </c>
      <c r="D1446" t="s">
        <v>3026</v>
      </c>
      <c r="E1446">
        <v>1</v>
      </c>
      <c r="F1446" t="s">
        <v>16650</v>
      </c>
      <c r="G1446" t="s">
        <v>16651</v>
      </c>
      <c r="H1446" s="4" t="s">
        <v>16652</v>
      </c>
      <c r="I1446" t="s">
        <v>71</v>
      </c>
      <c r="J1446" t="s">
        <v>10782</v>
      </c>
      <c r="K1446" t="s">
        <v>16653</v>
      </c>
    </row>
    <row r="1447" spans="1:11" ht="129.6" x14ac:dyDescent="0.3">
      <c r="A1447" s="4" t="s">
        <v>3260</v>
      </c>
      <c r="B1447">
        <v>1</v>
      </c>
      <c r="C1447">
        <v>2023</v>
      </c>
      <c r="D1447" t="s">
        <v>318</v>
      </c>
      <c r="E1447">
        <v>14</v>
      </c>
      <c r="F1447" t="s">
        <v>16654</v>
      </c>
      <c r="G1447" t="s">
        <v>16655</v>
      </c>
      <c r="H1447" s="4" t="s">
        <v>16656</v>
      </c>
      <c r="I1447" t="s">
        <v>71</v>
      </c>
      <c r="J1447" t="s">
        <v>10782</v>
      </c>
      <c r="K1447" t="s">
        <v>16657</v>
      </c>
    </row>
    <row r="1448" spans="1:11" ht="259.2" x14ac:dyDescent="0.3">
      <c r="A1448" s="4" t="s">
        <v>4781</v>
      </c>
      <c r="B1448">
        <v>3</v>
      </c>
      <c r="C1448">
        <v>2023</v>
      </c>
      <c r="D1448" t="s">
        <v>329</v>
      </c>
      <c r="E1448">
        <v>11</v>
      </c>
      <c r="F1448" t="s">
        <v>16658</v>
      </c>
      <c r="G1448" t="s">
        <v>16659</v>
      </c>
      <c r="H1448" s="4" t="s">
        <v>16660</v>
      </c>
      <c r="I1448" t="s">
        <v>71</v>
      </c>
      <c r="J1448" t="s">
        <v>10782</v>
      </c>
      <c r="K1448" t="s">
        <v>16661</v>
      </c>
    </row>
    <row r="1449" spans="1:11" ht="345.6" x14ac:dyDescent="0.3">
      <c r="A1449" s="4" t="s">
        <v>4782</v>
      </c>
      <c r="B1449">
        <v>3</v>
      </c>
      <c r="C1449">
        <v>2023</v>
      </c>
      <c r="D1449" t="s">
        <v>14102</v>
      </c>
      <c r="E1449">
        <v>0</v>
      </c>
      <c r="F1449" t="s">
        <v>16662</v>
      </c>
      <c r="G1449" t="s">
        <v>16663</v>
      </c>
      <c r="H1449" s="4" t="s">
        <v>16664</v>
      </c>
      <c r="I1449" t="s">
        <v>71</v>
      </c>
      <c r="J1449" t="s">
        <v>10782</v>
      </c>
      <c r="K1449" t="s">
        <v>16665</v>
      </c>
    </row>
    <row r="1450" spans="1:11" ht="129.6" x14ac:dyDescent="0.3">
      <c r="A1450" s="4" t="s">
        <v>4783</v>
      </c>
      <c r="B1450">
        <v>3</v>
      </c>
      <c r="C1450">
        <v>2023</v>
      </c>
      <c r="D1450" t="s">
        <v>11159</v>
      </c>
      <c r="E1450">
        <v>4</v>
      </c>
      <c r="F1450" t="s">
        <v>16666</v>
      </c>
      <c r="G1450" t="s">
        <v>16667</v>
      </c>
      <c r="H1450" s="4" t="s">
        <v>16668</v>
      </c>
    </row>
    <row r="1451" spans="1:11" ht="216" x14ac:dyDescent="0.3">
      <c r="A1451" s="4" t="s">
        <v>4784</v>
      </c>
      <c r="B1451">
        <v>3</v>
      </c>
      <c r="C1451">
        <v>2023</v>
      </c>
      <c r="D1451" t="s">
        <v>637</v>
      </c>
      <c r="E1451">
        <v>4</v>
      </c>
      <c r="F1451" t="s">
        <v>16669</v>
      </c>
      <c r="G1451" t="s">
        <v>16670</v>
      </c>
      <c r="H1451" s="4" t="s">
        <v>16671</v>
      </c>
      <c r="I1451" t="s">
        <v>71</v>
      </c>
      <c r="J1451" t="s">
        <v>10782</v>
      </c>
      <c r="K1451" t="s">
        <v>16672</v>
      </c>
    </row>
    <row r="1452" spans="1:11" ht="244.8" x14ac:dyDescent="0.3">
      <c r="A1452" s="4" t="s">
        <v>3261</v>
      </c>
      <c r="B1452">
        <v>1</v>
      </c>
      <c r="C1452">
        <v>2023</v>
      </c>
      <c r="D1452" t="s">
        <v>11337</v>
      </c>
      <c r="E1452">
        <v>2</v>
      </c>
      <c r="F1452" t="s">
        <v>16673</v>
      </c>
      <c r="G1452" t="s">
        <v>16674</v>
      </c>
      <c r="H1452" s="4" t="s">
        <v>16675</v>
      </c>
      <c r="I1452" t="s">
        <v>71</v>
      </c>
      <c r="J1452" t="s">
        <v>10782</v>
      </c>
      <c r="K1452" t="s">
        <v>16676</v>
      </c>
    </row>
    <row r="1453" spans="1:11" ht="187.2" x14ac:dyDescent="0.3">
      <c r="A1453" s="4" t="s">
        <v>3262</v>
      </c>
      <c r="B1453">
        <v>1</v>
      </c>
      <c r="C1453">
        <v>2023</v>
      </c>
      <c r="D1453" t="s">
        <v>16677</v>
      </c>
      <c r="E1453">
        <v>19</v>
      </c>
      <c r="F1453" t="s">
        <v>16678</v>
      </c>
      <c r="G1453" t="s">
        <v>16679</v>
      </c>
      <c r="H1453" s="4" t="s">
        <v>16680</v>
      </c>
      <c r="I1453" t="s">
        <v>71</v>
      </c>
      <c r="J1453" t="s">
        <v>10782</v>
      </c>
      <c r="K1453" t="s">
        <v>16681</v>
      </c>
    </row>
    <row r="1454" spans="1:11" ht="129.6" x14ac:dyDescent="0.3">
      <c r="A1454" s="4" t="s">
        <v>4785</v>
      </c>
      <c r="B1454">
        <v>3</v>
      </c>
      <c r="C1454">
        <v>2023</v>
      </c>
      <c r="D1454" t="s">
        <v>14116</v>
      </c>
      <c r="E1454">
        <v>0</v>
      </c>
      <c r="F1454" t="s">
        <v>16682</v>
      </c>
      <c r="G1454" t="s">
        <v>16683</v>
      </c>
      <c r="H1454" s="4" t="s">
        <v>16684</v>
      </c>
      <c r="I1454" t="s">
        <v>71</v>
      </c>
      <c r="J1454" t="s">
        <v>10782</v>
      </c>
      <c r="K1454" t="s">
        <v>16685</v>
      </c>
    </row>
    <row r="1455" spans="1:11" ht="115.2" x14ac:dyDescent="0.3">
      <c r="A1455" s="4" t="s">
        <v>4786</v>
      </c>
      <c r="B1455">
        <v>3</v>
      </c>
      <c r="C1455">
        <v>2023</v>
      </c>
      <c r="D1455" t="s">
        <v>1570</v>
      </c>
      <c r="E1455">
        <v>0</v>
      </c>
      <c r="F1455" t="s">
        <v>16686</v>
      </c>
      <c r="G1455" t="s">
        <v>16687</v>
      </c>
      <c r="H1455" s="4" t="s">
        <v>16688</v>
      </c>
      <c r="I1455" t="s">
        <v>71</v>
      </c>
      <c r="J1455" t="s">
        <v>10782</v>
      </c>
      <c r="K1455" t="s">
        <v>16689</v>
      </c>
    </row>
    <row r="1456" spans="1:11" ht="158.4" x14ac:dyDescent="0.3">
      <c r="A1456" s="4" t="s">
        <v>4787</v>
      </c>
      <c r="B1456">
        <v>3</v>
      </c>
      <c r="C1456">
        <v>2023</v>
      </c>
      <c r="D1456" t="s">
        <v>782</v>
      </c>
      <c r="E1456">
        <v>13</v>
      </c>
      <c r="F1456" t="s">
        <v>16690</v>
      </c>
      <c r="G1456" t="s">
        <v>16691</v>
      </c>
      <c r="H1456" s="4" t="s">
        <v>16692</v>
      </c>
      <c r="I1456" t="s">
        <v>71</v>
      </c>
      <c r="J1456" t="s">
        <v>10782</v>
      </c>
      <c r="K1456" t="s">
        <v>16693</v>
      </c>
    </row>
    <row r="1457" spans="1:11" ht="115.2" x14ac:dyDescent="0.3">
      <c r="A1457" s="4" t="s">
        <v>4788</v>
      </c>
      <c r="B1457">
        <v>3</v>
      </c>
      <c r="C1457">
        <v>2023</v>
      </c>
      <c r="D1457" t="s">
        <v>11159</v>
      </c>
      <c r="E1457">
        <v>1</v>
      </c>
      <c r="F1457" t="s">
        <v>16694</v>
      </c>
      <c r="G1457" t="s">
        <v>16695</v>
      </c>
      <c r="H1457" s="4" t="s">
        <v>16696</v>
      </c>
    </row>
    <row r="1458" spans="1:11" ht="230.4" x14ac:dyDescent="0.3">
      <c r="A1458" s="4" t="s">
        <v>4789</v>
      </c>
      <c r="B1458">
        <v>3</v>
      </c>
      <c r="C1458">
        <v>2023</v>
      </c>
      <c r="D1458" t="s">
        <v>16697</v>
      </c>
      <c r="E1458">
        <v>20</v>
      </c>
      <c r="F1458" t="s">
        <v>16698</v>
      </c>
      <c r="G1458" t="s">
        <v>16699</v>
      </c>
      <c r="H1458" s="4" t="s">
        <v>16700</v>
      </c>
      <c r="I1458" t="s">
        <v>10823</v>
      </c>
      <c r="J1458" t="s">
        <v>10782</v>
      </c>
      <c r="K1458" t="s">
        <v>16701</v>
      </c>
    </row>
    <row r="1459" spans="1:11" ht="187.2" x14ac:dyDescent="0.3">
      <c r="A1459" s="4" t="s">
        <v>4790</v>
      </c>
      <c r="B1459">
        <v>3</v>
      </c>
      <c r="C1459">
        <v>2023</v>
      </c>
      <c r="D1459" t="s">
        <v>217</v>
      </c>
      <c r="E1459">
        <v>0</v>
      </c>
      <c r="F1459" t="s">
        <v>16702</v>
      </c>
      <c r="G1459" t="s">
        <v>16703</v>
      </c>
      <c r="H1459" s="4" t="s">
        <v>16704</v>
      </c>
      <c r="I1459" t="s">
        <v>71</v>
      </c>
      <c r="J1459" t="s">
        <v>10782</v>
      </c>
      <c r="K1459" t="s">
        <v>16705</v>
      </c>
    </row>
    <row r="1460" spans="1:11" ht="144" x14ac:dyDescent="0.3">
      <c r="A1460" s="4" t="s">
        <v>4791</v>
      </c>
      <c r="B1460">
        <v>3</v>
      </c>
      <c r="C1460">
        <v>2023</v>
      </c>
      <c r="D1460" t="s">
        <v>1794</v>
      </c>
      <c r="E1460">
        <v>0</v>
      </c>
      <c r="F1460" t="s">
        <v>16706</v>
      </c>
      <c r="G1460" t="s">
        <v>16707</v>
      </c>
      <c r="H1460" s="4" t="s">
        <v>16708</v>
      </c>
      <c r="I1460" t="s">
        <v>71</v>
      </c>
      <c r="J1460" t="s">
        <v>10782</v>
      </c>
      <c r="K1460" t="s">
        <v>16709</v>
      </c>
    </row>
    <row r="1461" spans="1:11" ht="187.2" x14ac:dyDescent="0.3">
      <c r="A1461" s="4" t="s">
        <v>4792</v>
      </c>
      <c r="B1461">
        <v>3</v>
      </c>
      <c r="C1461">
        <v>2023</v>
      </c>
      <c r="D1461" t="s">
        <v>14199</v>
      </c>
      <c r="E1461">
        <v>1</v>
      </c>
      <c r="F1461" t="s">
        <v>16710</v>
      </c>
      <c r="G1461" t="s">
        <v>16711</v>
      </c>
      <c r="H1461" s="4" t="s">
        <v>16712</v>
      </c>
      <c r="I1461" t="s">
        <v>71</v>
      </c>
      <c r="J1461" t="s">
        <v>10782</v>
      </c>
      <c r="K1461" t="s">
        <v>16713</v>
      </c>
    </row>
    <row r="1462" spans="1:11" ht="187.2" x14ac:dyDescent="0.3">
      <c r="A1462" s="4" t="s">
        <v>4793</v>
      </c>
      <c r="B1462">
        <v>3</v>
      </c>
      <c r="C1462">
        <v>2023</v>
      </c>
      <c r="D1462" t="s">
        <v>147</v>
      </c>
      <c r="E1462">
        <v>46</v>
      </c>
      <c r="F1462" t="s">
        <v>16714</v>
      </c>
      <c r="G1462" t="s">
        <v>16715</v>
      </c>
      <c r="H1462" s="4" t="s">
        <v>16716</v>
      </c>
      <c r="I1462" t="s">
        <v>71</v>
      </c>
      <c r="J1462" t="s">
        <v>10782</v>
      </c>
      <c r="K1462" t="s">
        <v>16717</v>
      </c>
    </row>
    <row r="1463" spans="1:11" ht="216" x14ac:dyDescent="0.3">
      <c r="A1463" s="4" t="s">
        <v>4794</v>
      </c>
      <c r="B1463">
        <v>3</v>
      </c>
      <c r="C1463">
        <v>2023</v>
      </c>
      <c r="D1463" t="s">
        <v>318</v>
      </c>
      <c r="E1463">
        <v>11</v>
      </c>
      <c r="F1463" t="s">
        <v>16718</v>
      </c>
      <c r="G1463" t="s">
        <v>16719</v>
      </c>
      <c r="H1463" s="4" t="s">
        <v>16720</v>
      </c>
      <c r="I1463" t="s">
        <v>71</v>
      </c>
      <c r="J1463" t="s">
        <v>10782</v>
      </c>
      <c r="K1463" t="s">
        <v>16721</v>
      </c>
    </row>
    <row r="1464" spans="1:11" ht="201.6" x14ac:dyDescent="0.3">
      <c r="A1464" s="4" t="s">
        <v>3263</v>
      </c>
      <c r="B1464">
        <v>1</v>
      </c>
      <c r="C1464">
        <v>2023</v>
      </c>
      <c r="D1464" t="s">
        <v>217</v>
      </c>
      <c r="E1464">
        <v>12</v>
      </c>
      <c r="F1464" t="s">
        <v>16722</v>
      </c>
      <c r="G1464" t="s">
        <v>16723</v>
      </c>
      <c r="H1464" s="4" t="s">
        <v>16724</v>
      </c>
      <c r="I1464" t="s">
        <v>71</v>
      </c>
      <c r="J1464" t="s">
        <v>10782</v>
      </c>
      <c r="K1464" t="s">
        <v>16725</v>
      </c>
    </row>
    <row r="1465" spans="1:11" ht="100.8" x14ac:dyDescent="0.3">
      <c r="A1465" s="4" t="s">
        <v>3523</v>
      </c>
      <c r="B1465">
        <v>2</v>
      </c>
      <c r="C1465">
        <v>2023</v>
      </c>
      <c r="D1465" t="s">
        <v>14636</v>
      </c>
      <c r="E1465">
        <v>5</v>
      </c>
      <c r="F1465" t="s">
        <v>16726</v>
      </c>
      <c r="G1465" t="s">
        <v>16727</v>
      </c>
      <c r="H1465" s="4" t="s">
        <v>16728</v>
      </c>
      <c r="I1465" t="s">
        <v>71</v>
      </c>
      <c r="J1465" t="s">
        <v>10782</v>
      </c>
      <c r="K1465" t="s">
        <v>16729</v>
      </c>
    </row>
    <row r="1466" spans="1:11" ht="187.2" x14ac:dyDescent="0.3">
      <c r="A1466" s="4" t="s">
        <v>4795</v>
      </c>
      <c r="B1466">
        <v>3</v>
      </c>
      <c r="C1466">
        <v>2023</v>
      </c>
      <c r="D1466" t="s">
        <v>11294</v>
      </c>
      <c r="E1466">
        <v>3</v>
      </c>
      <c r="F1466" t="s">
        <v>16730</v>
      </c>
      <c r="G1466" t="s">
        <v>16731</v>
      </c>
      <c r="H1466" s="4" t="s">
        <v>16732</v>
      </c>
      <c r="I1466" t="s">
        <v>71</v>
      </c>
      <c r="J1466" t="s">
        <v>10782</v>
      </c>
      <c r="K1466" t="s">
        <v>16733</v>
      </c>
    </row>
    <row r="1467" spans="1:11" ht="316.8" x14ac:dyDescent="0.3">
      <c r="A1467" s="4" t="s">
        <v>4796</v>
      </c>
      <c r="B1467">
        <v>3</v>
      </c>
      <c r="C1467">
        <v>2023</v>
      </c>
      <c r="D1467" t="s">
        <v>10924</v>
      </c>
      <c r="E1467">
        <v>12</v>
      </c>
      <c r="F1467" t="s">
        <v>16734</v>
      </c>
      <c r="G1467" t="s">
        <v>16735</v>
      </c>
      <c r="H1467" s="4" t="s">
        <v>16736</v>
      </c>
      <c r="I1467" t="s">
        <v>71</v>
      </c>
      <c r="J1467" t="s">
        <v>10782</v>
      </c>
      <c r="K1467" t="s">
        <v>16737</v>
      </c>
    </row>
    <row r="1468" spans="1:11" ht="158.4" x14ac:dyDescent="0.3">
      <c r="A1468" s="4" t="s">
        <v>4797</v>
      </c>
      <c r="B1468">
        <v>3</v>
      </c>
      <c r="C1468">
        <v>2023</v>
      </c>
      <c r="D1468" t="s">
        <v>1912</v>
      </c>
      <c r="E1468">
        <v>0</v>
      </c>
      <c r="F1468" t="s">
        <v>16738</v>
      </c>
      <c r="G1468" t="s">
        <v>16739</v>
      </c>
      <c r="H1468" s="4" t="s">
        <v>16740</v>
      </c>
      <c r="I1468" t="s">
        <v>71</v>
      </c>
      <c r="J1468" t="s">
        <v>10782</v>
      </c>
      <c r="K1468" t="s">
        <v>16741</v>
      </c>
    </row>
    <row r="1469" spans="1:11" ht="172.8" x14ac:dyDescent="0.3">
      <c r="A1469" s="4" t="s">
        <v>3524</v>
      </c>
      <c r="B1469">
        <v>2</v>
      </c>
      <c r="C1469">
        <v>2023</v>
      </c>
      <c r="D1469" t="s">
        <v>16742</v>
      </c>
      <c r="E1469">
        <v>3</v>
      </c>
      <c r="F1469" t="s">
        <v>16743</v>
      </c>
      <c r="G1469" t="s">
        <v>16744</v>
      </c>
      <c r="H1469" s="4" t="s">
        <v>16745</v>
      </c>
    </row>
    <row r="1470" spans="1:11" ht="187.2" x14ac:dyDescent="0.3">
      <c r="A1470" s="4" t="s">
        <v>4798</v>
      </c>
      <c r="B1470">
        <v>3</v>
      </c>
      <c r="C1470">
        <v>2023</v>
      </c>
      <c r="D1470" t="s">
        <v>12318</v>
      </c>
      <c r="E1470">
        <v>7</v>
      </c>
      <c r="F1470" t="s">
        <v>16746</v>
      </c>
      <c r="G1470" t="s">
        <v>16747</v>
      </c>
      <c r="H1470" s="4" t="s">
        <v>16748</v>
      </c>
      <c r="I1470" t="s">
        <v>71</v>
      </c>
      <c r="J1470" t="s">
        <v>10782</v>
      </c>
      <c r="K1470" t="s">
        <v>16749</v>
      </c>
    </row>
    <row r="1471" spans="1:11" ht="259.2" x14ac:dyDescent="0.3">
      <c r="A1471" s="4" t="s">
        <v>4799</v>
      </c>
      <c r="B1471">
        <v>3</v>
      </c>
      <c r="C1471">
        <v>2023</v>
      </c>
      <c r="D1471" t="s">
        <v>550</v>
      </c>
      <c r="E1471">
        <v>6</v>
      </c>
      <c r="F1471" t="s">
        <v>16750</v>
      </c>
      <c r="G1471" t="s">
        <v>16751</v>
      </c>
      <c r="H1471" s="4" t="s">
        <v>16752</v>
      </c>
      <c r="I1471" t="s">
        <v>71</v>
      </c>
      <c r="J1471" t="s">
        <v>10782</v>
      </c>
      <c r="K1471" t="s">
        <v>16753</v>
      </c>
    </row>
    <row r="1472" spans="1:11" ht="230.4" x14ac:dyDescent="0.3">
      <c r="A1472" s="4" t="s">
        <v>4800</v>
      </c>
      <c r="B1472">
        <v>3</v>
      </c>
      <c r="C1472">
        <v>2023</v>
      </c>
      <c r="D1472" t="s">
        <v>217</v>
      </c>
      <c r="E1472">
        <v>2</v>
      </c>
      <c r="F1472" t="s">
        <v>16754</v>
      </c>
      <c r="G1472" t="s">
        <v>16755</v>
      </c>
      <c r="H1472" s="4" t="s">
        <v>16756</v>
      </c>
      <c r="I1472" t="s">
        <v>71</v>
      </c>
      <c r="J1472" t="s">
        <v>10782</v>
      </c>
      <c r="K1472" t="s">
        <v>16757</v>
      </c>
    </row>
    <row r="1473" spans="1:11" ht="100.8" x14ac:dyDescent="0.3">
      <c r="A1473" s="4" t="s">
        <v>4801</v>
      </c>
      <c r="B1473">
        <v>3</v>
      </c>
      <c r="C1473">
        <v>2023</v>
      </c>
      <c r="D1473" t="s">
        <v>16758</v>
      </c>
      <c r="E1473">
        <v>1</v>
      </c>
      <c r="F1473" t="s">
        <v>16759</v>
      </c>
      <c r="G1473" t="s">
        <v>16760</v>
      </c>
      <c r="H1473" s="4" t="s">
        <v>16761</v>
      </c>
      <c r="I1473" t="s">
        <v>71</v>
      </c>
      <c r="J1473" t="s">
        <v>10782</v>
      </c>
      <c r="K1473" t="s">
        <v>16762</v>
      </c>
    </row>
    <row r="1474" spans="1:11" ht="244.8" x14ac:dyDescent="0.3">
      <c r="A1474" s="4" t="s">
        <v>2552</v>
      </c>
      <c r="B1474">
        <v>2</v>
      </c>
      <c r="C1474">
        <v>2023</v>
      </c>
      <c r="D1474" t="s">
        <v>704</v>
      </c>
      <c r="E1474">
        <v>8</v>
      </c>
      <c r="F1474" t="s">
        <v>16763</v>
      </c>
      <c r="G1474" t="s">
        <v>16764</v>
      </c>
      <c r="H1474" s="4" t="s">
        <v>16765</v>
      </c>
      <c r="I1474" t="s">
        <v>71</v>
      </c>
      <c r="J1474" t="s">
        <v>10782</v>
      </c>
      <c r="K1474" t="s">
        <v>16766</v>
      </c>
    </row>
    <row r="1475" spans="1:11" ht="158.4" x14ac:dyDescent="0.3">
      <c r="A1475" s="4" t="s">
        <v>4802</v>
      </c>
      <c r="B1475">
        <v>3</v>
      </c>
      <c r="C1475">
        <v>2023</v>
      </c>
      <c r="D1475" t="s">
        <v>217</v>
      </c>
      <c r="E1475">
        <v>10</v>
      </c>
      <c r="F1475" t="s">
        <v>16767</v>
      </c>
      <c r="G1475" t="s">
        <v>16768</v>
      </c>
      <c r="H1475" s="4" t="s">
        <v>16769</v>
      </c>
      <c r="I1475" t="s">
        <v>71</v>
      </c>
      <c r="J1475" t="s">
        <v>10782</v>
      </c>
      <c r="K1475" t="s">
        <v>16770</v>
      </c>
    </row>
    <row r="1476" spans="1:11" ht="115.2" x14ac:dyDescent="0.3">
      <c r="A1476" s="4" t="s">
        <v>4803</v>
      </c>
      <c r="B1476">
        <v>3</v>
      </c>
      <c r="C1476">
        <v>2023</v>
      </c>
      <c r="D1476" t="s">
        <v>16771</v>
      </c>
      <c r="E1476">
        <v>8</v>
      </c>
      <c r="F1476" t="s">
        <v>16772</v>
      </c>
      <c r="G1476" t="s">
        <v>16773</v>
      </c>
      <c r="H1476" s="4" t="s">
        <v>16774</v>
      </c>
      <c r="I1476" t="s">
        <v>71</v>
      </c>
      <c r="J1476" t="s">
        <v>10782</v>
      </c>
      <c r="K1476" t="s">
        <v>16775</v>
      </c>
    </row>
    <row r="1477" spans="1:11" ht="144" x14ac:dyDescent="0.3">
      <c r="A1477" s="4" t="s">
        <v>4804</v>
      </c>
      <c r="B1477">
        <v>3</v>
      </c>
      <c r="C1477">
        <v>2023</v>
      </c>
      <c r="D1477" t="s">
        <v>2893</v>
      </c>
      <c r="E1477">
        <v>7</v>
      </c>
      <c r="F1477" t="s">
        <v>16776</v>
      </c>
      <c r="G1477" t="s">
        <v>16777</v>
      </c>
      <c r="H1477" s="4" t="s">
        <v>16778</v>
      </c>
      <c r="I1477" t="s">
        <v>71</v>
      </c>
      <c r="J1477" t="s">
        <v>10782</v>
      </c>
      <c r="K1477" t="s">
        <v>16779</v>
      </c>
    </row>
    <row r="1478" spans="1:11" ht="115.2" x14ac:dyDescent="0.3">
      <c r="A1478" s="4" t="s">
        <v>3264</v>
      </c>
      <c r="B1478">
        <v>1</v>
      </c>
      <c r="C1478">
        <v>2023</v>
      </c>
      <c r="D1478" t="s">
        <v>16780</v>
      </c>
      <c r="E1478">
        <v>4</v>
      </c>
      <c r="F1478" t="s">
        <v>16781</v>
      </c>
      <c r="G1478" t="s">
        <v>16782</v>
      </c>
      <c r="H1478" s="4" t="s">
        <v>16783</v>
      </c>
      <c r="I1478" t="s">
        <v>71</v>
      </c>
      <c r="J1478" t="s">
        <v>10782</v>
      </c>
      <c r="K1478" t="s">
        <v>16784</v>
      </c>
    </row>
    <row r="1479" spans="1:11" ht="201.6" x14ac:dyDescent="0.3">
      <c r="A1479" s="4" t="s">
        <v>4805</v>
      </c>
      <c r="B1479">
        <v>3</v>
      </c>
      <c r="C1479">
        <v>2023</v>
      </c>
      <c r="D1479" t="s">
        <v>2853</v>
      </c>
      <c r="E1479">
        <v>2</v>
      </c>
      <c r="F1479" t="s">
        <v>16785</v>
      </c>
      <c r="G1479" t="s">
        <v>16786</v>
      </c>
      <c r="H1479" s="4" t="s">
        <v>16787</v>
      </c>
      <c r="I1479" t="s">
        <v>71</v>
      </c>
      <c r="J1479" t="s">
        <v>10782</v>
      </c>
      <c r="K1479" t="s">
        <v>16788</v>
      </c>
    </row>
    <row r="1480" spans="1:11" ht="172.8" x14ac:dyDescent="0.3">
      <c r="A1480" s="4" t="s">
        <v>3265</v>
      </c>
      <c r="B1480">
        <v>1</v>
      </c>
      <c r="C1480">
        <v>2023</v>
      </c>
      <c r="D1480" t="s">
        <v>2030</v>
      </c>
      <c r="E1480">
        <v>12</v>
      </c>
      <c r="F1480" t="s">
        <v>16789</v>
      </c>
      <c r="G1480" t="s">
        <v>16790</v>
      </c>
      <c r="H1480" s="4" t="s">
        <v>16791</v>
      </c>
      <c r="I1480" t="s">
        <v>71</v>
      </c>
      <c r="J1480" t="s">
        <v>10782</v>
      </c>
      <c r="K1480" t="s">
        <v>16792</v>
      </c>
    </row>
    <row r="1481" spans="1:11" ht="201.6" x14ac:dyDescent="0.3">
      <c r="A1481" s="4" t="s">
        <v>4806</v>
      </c>
      <c r="B1481">
        <v>3</v>
      </c>
      <c r="C1481">
        <v>2023</v>
      </c>
      <c r="D1481" t="s">
        <v>16793</v>
      </c>
      <c r="E1481">
        <v>4</v>
      </c>
      <c r="F1481" t="s">
        <v>16794</v>
      </c>
      <c r="G1481" t="s">
        <v>16795</v>
      </c>
      <c r="H1481" s="4" t="s">
        <v>16796</v>
      </c>
      <c r="I1481" t="s">
        <v>71</v>
      </c>
      <c r="J1481" t="s">
        <v>10782</v>
      </c>
      <c r="K1481" t="s">
        <v>16797</v>
      </c>
    </row>
    <row r="1482" spans="1:11" ht="187.2" x14ac:dyDescent="0.3">
      <c r="A1482" s="4" t="s">
        <v>4807</v>
      </c>
      <c r="B1482">
        <v>3</v>
      </c>
      <c r="C1482">
        <v>2023</v>
      </c>
      <c r="D1482" t="s">
        <v>147</v>
      </c>
      <c r="E1482">
        <v>10</v>
      </c>
      <c r="F1482" t="s">
        <v>16798</v>
      </c>
      <c r="G1482" t="s">
        <v>16799</v>
      </c>
      <c r="H1482" s="4" t="s">
        <v>16800</v>
      </c>
      <c r="I1482" t="s">
        <v>71</v>
      </c>
      <c r="J1482" t="s">
        <v>10782</v>
      </c>
      <c r="K1482" t="s">
        <v>16801</v>
      </c>
    </row>
    <row r="1483" spans="1:11" ht="172.8" x14ac:dyDescent="0.3">
      <c r="A1483" s="4" t="s">
        <v>4808</v>
      </c>
      <c r="B1483">
        <v>3</v>
      </c>
      <c r="C1483">
        <v>2023</v>
      </c>
      <c r="D1483" t="s">
        <v>217</v>
      </c>
      <c r="E1483">
        <v>4</v>
      </c>
      <c r="F1483" t="s">
        <v>16802</v>
      </c>
      <c r="G1483" t="s">
        <v>16803</v>
      </c>
      <c r="H1483" s="4" t="s">
        <v>16804</v>
      </c>
      <c r="I1483" t="s">
        <v>71</v>
      </c>
      <c r="J1483" t="s">
        <v>10782</v>
      </c>
      <c r="K1483" t="s">
        <v>16805</v>
      </c>
    </row>
    <row r="1484" spans="1:11" ht="244.8" x14ac:dyDescent="0.3">
      <c r="A1484" s="4" t="s">
        <v>3266</v>
      </c>
      <c r="B1484">
        <v>1</v>
      </c>
      <c r="C1484">
        <v>2023</v>
      </c>
      <c r="D1484" t="s">
        <v>10057</v>
      </c>
      <c r="E1484">
        <v>12</v>
      </c>
      <c r="F1484" t="s">
        <v>16806</v>
      </c>
      <c r="G1484" t="s">
        <v>16807</v>
      </c>
      <c r="H1484" s="4" t="s">
        <v>16808</v>
      </c>
      <c r="I1484" t="s">
        <v>71</v>
      </c>
      <c r="J1484" t="s">
        <v>10782</v>
      </c>
      <c r="K1484" t="s">
        <v>16809</v>
      </c>
    </row>
    <row r="1485" spans="1:11" ht="57.6" x14ac:dyDescent="0.3">
      <c r="A1485" s="4" t="s">
        <v>4809</v>
      </c>
      <c r="B1485">
        <v>3</v>
      </c>
      <c r="C1485">
        <v>2023</v>
      </c>
      <c r="D1485" t="s">
        <v>14380</v>
      </c>
      <c r="E1485">
        <v>2</v>
      </c>
      <c r="F1485" t="s">
        <v>16810</v>
      </c>
      <c r="G1485" t="s">
        <v>16811</v>
      </c>
      <c r="H1485" s="4" t="s">
        <v>16812</v>
      </c>
    </row>
    <row r="1486" spans="1:11" ht="187.2" x14ac:dyDescent="0.3">
      <c r="A1486" s="4" t="s">
        <v>4810</v>
      </c>
      <c r="B1486">
        <v>3</v>
      </c>
      <c r="C1486">
        <v>2023</v>
      </c>
      <c r="D1486" t="s">
        <v>405</v>
      </c>
      <c r="E1486">
        <v>39</v>
      </c>
      <c r="F1486" t="s">
        <v>16813</v>
      </c>
      <c r="G1486" t="s">
        <v>16814</v>
      </c>
      <c r="H1486" s="4" t="s">
        <v>16815</v>
      </c>
      <c r="I1486" t="s">
        <v>71</v>
      </c>
      <c r="J1486" t="s">
        <v>10782</v>
      </c>
      <c r="K1486" t="s">
        <v>16816</v>
      </c>
    </row>
    <row r="1487" spans="1:11" ht="187.2" x14ac:dyDescent="0.3">
      <c r="A1487" s="4" t="s">
        <v>4811</v>
      </c>
      <c r="B1487">
        <v>3</v>
      </c>
      <c r="C1487">
        <v>2023</v>
      </c>
      <c r="D1487" t="s">
        <v>217</v>
      </c>
      <c r="E1487">
        <v>14</v>
      </c>
      <c r="F1487" t="s">
        <v>16817</v>
      </c>
      <c r="G1487" t="s">
        <v>16818</v>
      </c>
      <c r="H1487" s="4" t="s">
        <v>16819</v>
      </c>
    </row>
    <row r="1488" spans="1:11" ht="302.39999999999998" x14ac:dyDescent="0.3">
      <c r="A1488" s="4" t="s">
        <v>4812</v>
      </c>
      <c r="B1488">
        <v>3</v>
      </c>
      <c r="C1488">
        <v>2023</v>
      </c>
      <c r="D1488" t="s">
        <v>1125</v>
      </c>
      <c r="E1488">
        <v>72</v>
      </c>
      <c r="F1488" t="s">
        <v>16820</v>
      </c>
      <c r="G1488" t="s">
        <v>16821</v>
      </c>
      <c r="H1488" s="4" t="s">
        <v>16822</v>
      </c>
      <c r="I1488" t="s">
        <v>10945</v>
      </c>
      <c r="J1488" t="s">
        <v>10782</v>
      </c>
      <c r="K1488" t="s">
        <v>16823</v>
      </c>
    </row>
    <row r="1489" spans="1:11" ht="172.8" x14ac:dyDescent="0.3">
      <c r="A1489" s="4" t="s">
        <v>4813</v>
      </c>
      <c r="B1489">
        <v>3</v>
      </c>
      <c r="C1489">
        <v>2023</v>
      </c>
      <c r="D1489" t="s">
        <v>318</v>
      </c>
      <c r="E1489">
        <v>4</v>
      </c>
      <c r="F1489" t="s">
        <v>16824</v>
      </c>
      <c r="G1489" t="s">
        <v>16825</v>
      </c>
      <c r="H1489" s="4" t="s">
        <v>16826</v>
      </c>
      <c r="I1489" t="s">
        <v>71</v>
      </c>
      <c r="J1489" t="s">
        <v>10782</v>
      </c>
      <c r="K1489" t="s">
        <v>16827</v>
      </c>
    </row>
    <row r="1490" spans="1:11" ht="201.6" x14ac:dyDescent="0.3">
      <c r="A1490" s="4" t="s">
        <v>4814</v>
      </c>
      <c r="B1490">
        <v>3</v>
      </c>
      <c r="C1490">
        <v>2023</v>
      </c>
      <c r="D1490" t="s">
        <v>13696</v>
      </c>
      <c r="E1490">
        <v>0</v>
      </c>
      <c r="F1490" t="s">
        <v>16828</v>
      </c>
      <c r="G1490" t="s">
        <v>16829</v>
      </c>
      <c r="H1490" s="4" t="s">
        <v>16830</v>
      </c>
      <c r="I1490" t="s">
        <v>71</v>
      </c>
      <c r="J1490" t="s">
        <v>10782</v>
      </c>
      <c r="K1490" t="s">
        <v>16831</v>
      </c>
    </row>
    <row r="1491" spans="1:11" ht="244.8" x14ac:dyDescent="0.3">
      <c r="A1491" s="4" t="s">
        <v>4815</v>
      </c>
      <c r="B1491">
        <v>3</v>
      </c>
      <c r="C1491">
        <v>2023</v>
      </c>
      <c r="D1491" t="s">
        <v>13816</v>
      </c>
      <c r="E1491">
        <v>6</v>
      </c>
      <c r="F1491" t="s">
        <v>16832</v>
      </c>
      <c r="G1491" t="s">
        <v>16833</v>
      </c>
      <c r="H1491" s="4" t="s">
        <v>16834</v>
      </c>
      <c r="I1491" t="s">
        <v>71</v>
      </c>
      <c r="J1491" t="s">
        <v>10782</v>
      </c>
      <c r="K1491" t="s">
        <v>16835</v>
      </c>
    </row>
    <row r="1492" spans="1:11" ht="86.4" x14ac:dyDescent="0.3">
      <c r="A1492" s="4" t="s">
        <v>4816</v>
      </c>
      <c r="B1492">
        <v>3</v>
      </c>
      <c r="C1492">
        <v>2023</v>
      </c>
      <c r="D1492" t="s">
        <v>2416</v>
      </c>
      <c r="E1492">
        <v>23</v>
      </c>
      <c r="F1492" t="s">
        <v>16836</v>
      </c>
      <c r="G1492" t="s">
        <v>16837</v>
      </c>
      <c r="H1492" s="4" t="s">
        <v>16838</v>
      </c>
    </row>
    <row r="1493" spans="1:11" ht="115.2" x14ac:dyDescent="0.3">
      <c r="A1493" s="4" t="s">
        <v>4817</v>
      </c>
      <c r="B1493">
        <v>3</v>
      </c>
      <c r="C1493">
        <v>2023</v>
      </c>
      <c r="D1493" t="s">
        <v>16839</v>
      </c>
      <c r="E1493">
        <v>0</v>
      </c>
      <c r="F1493" t="s">
        <v>16840</v>
      </c>
      <c r="G1493" t="s">
        <v>16841</v>
      </c>
      <c r="H1493" s="4" t="s">
        <v>16842</v>
      </c>
    </row>
    <row r="1494" spans="1:11" ht="144" x14ac:dyDescent="0.3">
      <c r="A1494" s="4" t="s">
        <v>4818</v>
      </c>
      <c r="B1494">
        <v>3</v>
      </c>
      <c r="C1494">
        <v>2023</v>
      </c>
      <c r="D1494" t="s">
        <v>1125</v>
      </c>
      <c r="E1494">
        <v>12</v>
      </c>
      <c r="F1494" t="s">
        <v>16843</v>
      </c>
      <c r="G1494" t="s">
        <v>16844</v>
      </c>
      <c r="H1494" s="4" t="s">
        <v>16845</v>
      </c>
    </row>
    <row r="1495" spans="1:11" ht="144" x14ac:dyDescent="0.3">
      <c r="A1495" s="4" t="s">
        <v>4819</v>
      </c>
      <c r="B1495">
        <v>3</v>
      </c>
      <c r="C1495">
        <v>2023</v>
      </c>
      <c r="D1495" t="s">
        <v>147</v>
      </c>
      <c r="E1495">
        <v>6</v>
      </c>
      <c r="F1495" t="s">
        <v>16846</v>
      </c>
      <c r="G1495" t="s">
        <v>16847</v>
      </c>
      <c r="H1495" s="4" t="s">
        <v>16848</v>
      </c>
      <c r="I1495" t="s">
        <v>71</v>
      </c>
      <c r="J1495" t="s">
        <v>10782</v>
      </c>
      <c r="K1495" t="s">
        <v>16849</v>
      </c>
    </row>
    <row r="1496" spans="1:11" ht="244.8" x14ac:dyDescent="0.3">
      <c r="A1496" s="4" t="s">
        <v>880</v>
      </c>
      <c r="B1496">
        <v>1</v>
      </c>
      <c r="C1496">
        <v>2023</v>
      </c>
      <c r="D1496" t="s">
        <v>329</v>
      </c>
      <c r="E1496">
        <v>29</v>
      </c>
      <c r="F1496" t="s">
        <v>16850</v>
      </c>
      <c r="G1496" t="s">
        <v>16851</v>
      </c>
      <c r="H1496" s="4" t="s">
        <v>16852</v>
      </c>
      <c r="I1496" t="s">
        <v>71</v>
      </c>
      <c r="J1496" t="s">
        <v>10782</v>
      </c>
      <c r="K1496" t="s">
        <v>16853</v>
      </c>
    </row>
    <row r="1497" spans="1:11" ht="115.2" x14ac:dyDescent="0.3">
      <c r="A1497" s="4" t="s">
        <v>4820</v>
      </c>
      <c r="B1497">
        <v>3</v>
      </c>
      <c r="C1497">
        <v>2023</v>
      </c>
      <c r="D1497" t="s">
        <v>16854</v>
      </c>
      <c r="E1497">
        <v>0</v>
      </c>
      <c r="F1497" t="s">
        <v>16855</v>
      </c>
      <c r="G1497" t="s">
        <v>16856</v>
      </c>
      <c r="H1497" s="4" t="s">
        <v>16857</v>
      </c>
      <c r="I1497" t="s">
        <v>71</v>
      </c>
      <c r="J1497" t="s">
        <v>10782</v>
      </c>
      <c r="K1497" t="s">
        <v>16858</v>
      </c>
    </row>
    <row r="1498" spans="1:11" ht="172.8" x14ac:dyDescent="0.3">
      <c r="A1498" s="4" t="s">
        <v>4821</v>
      </c>
      <c r="B1498">
        <v>3</v>
      </c>
      <c r="C1498">
        <v>2023</v>
      </c>
      <c r="D1498" t="s">
        <v>14147</v>
      </c>
      <c r="E1498">
        <v>3</v>
      </c>
      <c r="F1498" t="s">
        <v>16859</v>
      </c>
      <c r="G1498" t="s">
        <v>16860</v>
      </c>
      <c r="H1498" s="4" t="s">
        <v>16861</v>
      </c>
      <c r="I1498" t="s">
        <v>71</v>
      </c>
      <c r="J1498" t="s">
        <v>10782</v>
      </c>
      <c r="K1498" t="s">
        <v>16862</v>
      </c>
    </row>
    <row r="1499" spans="1:11" ht="158.4" x14ac:dyDescent="0.3">
      <c r="A1499" s="4" t="s">
        <v>4822</v>
      </c>
      <c r="B1499">
        <v>3</v>
      </c>
      <c r="C1499">
        <v>2023</v>
      </c>
      <c r="D1499" t="s">
        <v>217</v>
      </c>
      <c r="E1499">
        <v>8</v>
      </c>
      <c r="F1499" t="s">
        <v>16863</v>
      </c>
      <c r="G1499" t="s">
        <v>16864</v>
      </c>
      <c r="H1499" s="4" t="s">
        <v>16865</v>
      </c>
    </row>
    <row r="1500" spans="1:11" ht="187.2" x14ac:dyDescent="0.3">
      <c r="A1500" s="4" t="s">
        <v>4823</v>
      </c>
      <c r="B1500">
        <v>3</v>
      </c>
      <c r="C1500">
        <v>2023</v>
      </c>
      <c r="D1500" t="s">
        <v>12080</v>
      </c>
      <c r="E1500">
        <v>96</v>
      </c>
      <c r="F1500" t="s">
        <v>16866</v>
      </c>
      <c r="G1500" t="s">
        <v>16867</v>
      </c>
      <c r="H1500" s="4" t="s">
        <v>16868</v>
      </c>
      <c r="I1500" t="s">
        <v>10823</v>
      </c>
      <c r="J1500" t="s">
        <v>10782</v>
      </c>
      <c r="K1500" t="s">
        <v>16869</v>
      </c>
    </row>
    <row r="1501" spans="1:11" ht="172.8" x14ac:dyDescent="0.3">
      <c r="A1501" s="4" t="s">
        <v>4824</v>
      </c>
      <c r="B1501">
        <v>3</v>
      </c>
      <c r="C1501">
        <v>2023</v>
      </c>
      <c r="D1501" t="s">
        <v>16870</v>
      </c>
      <c r="E1501">
        <v>3</v>
      </c>
      <c r="F1501" t="s">
        <v>16871</v>
      </c>
      <c r="G1501" t="s">
        <v>16872</v>
      </c>
      <c r="H1501" s="4" t="s">
        <v>16873</v>
      </c>
      <c r="I1501" t="s">
        <v>71</v>
      </c>
      <c r="J1501" t="s">
        <v>10782</v>
      </c>
      <c r="K1501" t="s">
        <v>16874</v>
      </c>
    </row>
    <row r="1502" spans="1:11" ht="172.8" x14ac:dyDescent="0.3">
      <c r="A1502" s="4" t="s">
        <v>4825</v>
      </c>
      <c r="B1502">
        <v>3</v>
      </c>
      <c r="C1502">
        <v>2023</v>
      </c>
      <c r="D1502" t="s">
        <v>217</v>
      </c>
      <c r="E1502">
        <v>6</v>
      </c>
      <c r="F1502" t="s">
        <v>16875</v>
      </c>
      <c r="G1502" t="s">
        <v>16876</v>
      </c>
      <c r="H1502" s="4" t="s">
        <v>16877</v>
      </c>
      <c r="I1502" t="s">
        <v>71</v>
      </c>
      <c r="J1502" t="s">
        <v>10782</v>
      </c>
      <c r="K1502" t="s">
        <v>16878</v>
      </c>
    </row>
    <row r="1503" spans="1:11" ht="259.2" x14ac:dyDescent="0.3">
      <c r="A1503" s="4" t="s">
        <v>4826</v>
      </c>
      <c r="B1503">
        <v>3</v>
      </c>
      <c r="C1503">
        <v>2023</v>
      </c>
      <c r="D1503" t="s">
        <v>16879</v>
      </c>
      <c r="E1503">
        <v>7</v>
      </c>
      <c r="F1503" t="s">
        <v>16880</v>
      </c>
      <c r="G1503" t="s">
        <v>16881</v>
      </c>
      <c r="H1503" s="4" t="s">
        <v>16882</v>
      </c>
    </row>
    <row r="1504" spans="1:11" ht="230.4" x14ac:dyDescent="0.3">
      <c r="A1504" s="4" t="s">
        <v>881</v>
      </c>
      <c r="B1504">
        <v>1</v>
      </c>
      <c r="C1504">
        <v>2023</v>
      </c>
      <c r="D1504" t="s">
        <v>892</v>
      </c>
      <c r="E1504">
        <v>5</v>
      </c>
      <c r="F1504" t="s">
        <v>16883</v>
      </c>
      <c r="G1504" t="s">
        <v>16884</v>
      </c>
      <c r="H1504" s="4" t="s">
        <v>16885</v>
      </c>
    </row>
    <row r="1505" spans="1:11" ht="201.6" x14ac:dyDescent="0.3">
      <c r="A1505" s="4" t="s">
        <v>882</v>
      </c>
      <c r="B1505">
        <v>1</v>
      </c>
      <c r="C1505">
        <v>2023</v>
      </c>
      <c r="D1505" t="s">
        <v>907</v>
      </c>
      <c r="E1505">
        <v>15</v>
      </c>
      <c r="F1505" t="s">
        <v>16886</v>
      </c>
      <c r="G1505" t="s">
        <v>16887</v>
      </c>
      <c r="H1505" s="4" t="s">
        <v>16888</v>
      </c>
      <c r="I1505" t="s">
        <v>71</v>
      </c>
      <c r="J1505" t="s">
        <v>10782</v>
      </c>
      <c r="K1505" t="s">
        <v>16889</v>
      </c>
    </row>
    <row r="1506" spans="1:11" ht="129.6" x14ac:dyDescent="0.3">
      <c r="A1506" s="4" t="s">
        <v>4827</v>
      </c>
      <c r="B1506">
        <v>3</v>
      </c>
      <c r="C1506">
        <v>2023</v>
      </c>
      <c r="D1506" t="s">
        <v>1088</v>
      </c>
      <c r="E1506">
        <v>17</v>
      </c>
      <c r="F1506" t="s">
        <v>16890</v>
      </c>
      <c r="G1506" t="s">
        <v>16891</v>
      </c>
      <c r="H1506" s="4" t="s">
        <v>16892</v>
      </c>
      <c r="I1506" t="s">
        <v>71</v>
      </c>
      <c r="J1506" t="s">
        <v>10782</v>
      </c>
      <c r="K1506" t="s">
        <v>16893</v>
      </c>
    </row>
    <row r="1507" spans="1:11" ht="72" x14ac:dyDescent="0.3">
      <c r="A1507" s="4" t="s">
        <v>4828</v>
      </c>
      <c r="B1507">
        <v>3</v>
      </c>
      <c r="C1507">
        <v>2023</v>
      </c>
      <c r="D1507" t="s">
        <v>11521</v>
      </c>
      <c r="E1507">
        <v>1</v>
      </c>
      <c r="F1507" t="s">
        <v>16894</v>
      </c>
      <c r="G1507" t="s">
        <v>16895</v>
      </c>
      <c r="H1507" s="4" t="s">
        <v>16896</v>
      </c>
    </row>
    <row r="1508" spans="1:11" ht="158.4" x14ac:dyDescent="0.3">
      <c r="A1508" s="4" t="s">
        <v>4829</v>
      </c>
      <c r="B1508">
        <v>3</v>
      </c>
      <c r="C1508">
        <v>2023</v>
      </c>
      <c r="D1508" t="s">
        <v>10971</v>
      </c>
      <c r="E1508">
        <v>15</v>
      </c>
      <c r="F1508" t="s">
        <v>16897</v>
      </c>
      <c r="G1508" t="s">
        <v>16898</v>
      </c>
      <c r="H1508" s="4" t="s">
        <v>16899</v>
      </c>
      <c r="I1508" t="s">
        <v>71</v>
      </c>
      <c r="J1508" t="s">
        <v>10782</v>
      </c>
      <c r="K1508" t="s">
        <v>16900</v>
      </c>
    </row>
    <row r="1509" spans="1:11" ht="72" x14ac:dyDescent="0.3">
      <c r="A1509" s="4" t="s">
        <v>4830</v>
      </c>
      <c r="B1509">
        <v>3</v>
      </c>
      <c r="C1509">
        <v>2023</v>
      </c>
      <c r="D1509" t="s">
        <v>217</v>
      </c>
      <c r="E1509">
        <v>9</v>
      </c>
      <c r="F1509" t="s">
        <v>16901</v>
      </c>
      <c r="G1509" t="s">
        <v>16902</v>
      </c>
      <c r="H1509" s="4" t="s">
        <v>16903</v>
      </c>
    </row>
    <row r="1510" spans="1:11" ht="216" x14ac:dyDescent="0.3">
      <c r="A1510" s="4" t="s">
        <v>4831</v>
      </c>
      <c r="B1510">
        <v>3</v>
      </c>
      <c r="C1510">
        <v>2023</v>
      </c>
      <c r="D1510" t="s">
        <v>10971</v>
      </c>
      <c r="E1510">
        <v>22</v>
      </c>
      <c r="F1510" t="s">
        <v>16904</v>
      </c>
      <c r="G1510" t="s">
        <v>16905</v>
      </c>
      <c r="H1510" s="4" t="s">
        <v>16906</v>
      </c>
      <c r="I1510" t="s">
        <v>71</v>
      </c>
      <c r="J1510" t="s">
        <v>10782</v>
      </c>
      <c r="K1510" t="s">
        <v>16907</v>
      </c>
    </row>
    <row r="1511" spans="1:11" ht="115.2" x14ac:dyDescent="0.3">
      <c r="A1511" s="4" t="s">
        <v>883</v>
      </c>
      <c r="B1511">
        <v>1</v>
      </c>
      <c r="C1511">
        <v>2023</v>
      </c>
      <c r="D1511" t="s">
        <v>912</v>
      </c>
      <c r="E1511">
        <v>9</v>
      </c>
      <c r="F1511" t="s">
        <v>16908</v>
      </c>
      <c r="G1511" t="s">
        <v>16909</v>
      </c>
      <c r="H1511" s="4" t="s">
        <v>16910</v>
      </c>
      <c r="I1511" t="s">
        <v>71</v>
      </c>
      <c r="J1511" t="s">
        <v>10782</v>
      </c>
      <c r="K1511" t="s">
        <v>16911</v>
      </c>
    </row>
    <row r="1512" spans="1:11" ht="129.6" x14ac:dyDescent="0.3">
      <c r="A1512" s="4" t="s">
        <v>3267</v>
      </c>
      <c r="B1512">
        <v>1</v>
      </c>
      <c r="C1512">
        <v>2023</v>
      </c>
      <c r="D1512" t="s">
        <v>190</v>
      </c>
      <c r="E1512">
        <v>29</v>
      </c>
      <c r="F1512" t="s">
        <v>16912</v>
      </c>
      <c r="G1512" t="s">
        <v>16913</v>
      </c>
      <c r="H1512" s="4" t="s">
        <v>16914</v>
      </c>
      <c r="I1512" t="s">
        <v>71</v>
      </c>
      <c r="J1512" t="s">
        <v>10782</v>
      </c>
      <c r="K1512" t="s">
        <v>16915</v>
      </c>
    </row>
    <row r="1513" spans="1:11" ht="288" x14ac:dyDescent="0.3">
      <c r="A1513" s="4" t="s">
        <v>3525</v>
      </c>
      <c r="B1513">
        <v>2</v>
      </c>
      <c r="C1513">
        <v>2023</v>
      </c>
      <c r="D1513" t="s">
        <v>177</v>
      </c>
      <c r="E1513">
        <v>37</v>
      </c>
      <c r="F1513" t="s">
        <v>16916</v>
      </c>
      <c r="G1513" t="s">
        <v>16917</v>
      </c>
      <c r="H1513" s="4" t="s">
        <v>16918</v>
      </c>
      <c r="I1513" t="s">
        <v>71</v>
      </c>
      <c r="J1513" t="s">
        <v>10782</v>
      </c>
      <c r="K1513" t="s">
        <v>16919</v>
      </c>
    </row>
    <row r="1514" spans="1:11" ht="187.2" x14ac:dyDescent="0.3">
      <c r="A1514" s="4" t="s">
        <v>4832</v>
      </c>
      <c r="B1514">
        <v>3</v>
      </c>
      <c r="C1514">
        <v>2023</v>
      </c>
      <c r="D1514" t="s">
        <v>13110</v>
      </c>
      <c r="E1514">
        <v>4</v>
      </c>
      <c r="F1514" t="s">
        <v>16920</v>
      </c>
      <c r="G1514" t="s">
        <v>16921</v>
      </c>
      <c r="H1514" s="4" t="s">
        <v>16922</v>
      </c>
    </row>
    <row r="1515" spans="1:11" ht="100.8" x14ac:dyDescent="0.3">
      <c r="A1515" s="4" t="s">
        <v>4833</v>
      </c>
      <c r="B1515">
        <v>3</v>
      </c>
      <c r="C1515">
        <v>2023</v>
      </c>
      <c r="D1515" t="s">
        <v>16923</v>
      </c>
      <c r="E1515">
        <v>2</v>
      </c>
      <c r="F1515" t="s">
        <v>16924</v>
      </c>
      <c r="G1515" t="s">
        <v>16925</v>
      </c>
      <c r="H1515" s="4" t="s">
        <v>16926</v>
      </c>
      <c r="I1515" t="s">
        <v>71</v>
      </c>
      <c r="J1515" t="s">
        <v>10782</v>
      </c>
      <c r="K1515" t="s">
        <v>16927</v>
      </c>
    </row>
    <row r="1516" spans="1:11" ht="100.8" x14ac:dyDescent="0.3">
      <c r="A1516" s="4" t="s">
        <v>4834</v>
      </c>
      <c r="B1516">
        <v>3</v>
      </c>
      <c r="C1516">
        <v>2023</v>
      </c>
      <c r="D1516" t="s">
        <v>16928</v>
      </c>
      <c r="E1516">
        <v>7</v>
      </c>
      <c r="F1516" t="s">
        <v>16929</v>
      </c>
      <c r="G1516" t="s">
        <v>16930</v>
      </c>
      <c r="H1516" s="4" t="s">
        <v>16931</v>
      </c>
      <c r="I1516" t="s">
        <v>71</v>
      </c>
      <c r="J1516" t="s">
        <v>10782</v>
      </c>
      <c r="K1516" t="s">
        <v>16932</v>
      </c>
    </row>
    <row r="1517" spans="1:11" ht="100.8" x14ac:dyDescent="0.3">
      <c r="A1517" s="4" t="s">
        <v>4835</v>
      </c>
      <c r="B1517">
        <v>3</v>
      </c>
      <c r="C1517">
        <v>2023</v>
      </c>
      <c r="D1517" t="s">
        <v>16933</v>
      </c>
      <c r="E1517">
        <v>6</v>
      </c>
      <c r="F1517" t="s">
        <v>16934</v>
      </c>
      <c r="G1517" t="s">
        <v>16935</v>
      </c>
      <c r="H1517" s="4" t="s">
        <v>16936</v>
      </c>
    </row>
    <row r="1518" spans="1:11" ht="259.2" x14ac:dyDescent="0.3">
      <c r="A1518" s="4" t="s">
        <v>4836</v>
      </c>
      <c r="B1518">
        <v>3</v>
      </c>
      <c r="C1518">
        <v>2023</v>
      </c>
      <c r="D1518" t="s">
        <v>16937</v>
      </c>
      <c r="E1518">
        <v>10</v>
      </c>
      <c r="F1518" t="s">
        <v>16938</v>
      </c>
      <c r="G1518" t="s">
        <v>16939</v>
      </c>
      <c r="H1518" s="4" t="s">
        <v>16940</v>
      </c>
      <c r="I1518" t="s">
        <v>71</v>
      </c>
      <c r="J1518" t="s">
        <v>10782</v>
      </c>
      <c r="K1518" t="s">
        <v>16941</v>
      </c>
    </row>
    <row r="1519" spans="1:11" ht="187.2" x14ac:dyDescent="0.3">
      <c r="A1519" s="4" t="s">
        <v>884</v>
      </c>
      <c r="B1519">
        <v>1</v>
      </c>
      <c r="C1519">
        <v>2023</v>
      </c>
      <c r="D1519" t="s">
        <v>918</v>
      </c>
      <c r="E1519">
        <v>9</v>
      </c>
      <c r="F1519" t="s">
        <v>16942</v>
      </c>
      <c r="G1519" t="s">
        <v>16943</v>
      </c>
      <c r="H1519" s="4" t="s">
        <v>16944</v>
      </c>
      <c r="I1519" t="s">
        <v>71</v>
      </c>
      <c r="J1519" t="s">
        <v>10782</v>
      </c>
      <c r="K1519" t="s">
        <v>16945</v>
      </c>
    </row>
    <row r="1520" spans="1:11" ht="273.60000000000002" x14ac:dyDescent="0.3">
      <c r="A1520" s="4" t="s">
        <v>4837</v>
      </c>
      <c r="B1520">
        <v>3</v>
      </c>
      <c r="C1520">
        <v>2023</v>
      </c>
      <c r="D1520" t="s">
        <v>1912</v>
      </c>
      <c r="E1520">
        <v>9</v>
      </c>
      <c r="F1520" t="s">
        <v>16946</v>
      </c>
      <c r="G1520" t="s">
        <v>16947</v>
      </c>
      <c r="H1520" s="4" t="s">
        <v>16948</v>
      </c>
      <c r="I1520" t="s">
        <v>71</v>
      </c>
      <c r="J1520" t="s">
        <v>10782</v>
      </c>
      <c r="K1520" t="s">
        <v>16949</v>
      </c>
    </row>
    <row r="1521" spans="1:11" ht="201.6" x14ac:dyDescent="0.3">
      <c r="A1521" s="4" t="s">
        <v>3268</v>
      </c>
      <c r="B1521">
        <v>1</v>
      </c>
      <c r="C1521">
        <v>2023</v>
      </c>
      <c r="D1521" t="s">
        <v>16950</v>
      </c>
      <c r="E1521">
        <v>4</v>
      </c>
      <c r="F1521" t="s">
        <v>16951</v>
      </c>
      <c r="G1521" t="s">
        <v>16952</v>
      </c>
      <c r="H1521" s="4" t="s">
        <v>16953</v>
      </c>
      <c r="I1521" t="s">
        <v>71</v>
      </c>
      <c r="J1521" t="s">
        <v>10782</v>
      </c>
      <c r="K1521" t="s">
        <v>16954</v>
      </c>
    </row>
    <row r="1522" spans="1:11" ht="244.8" x14ac:dyDescent="0.3">
      <c r="A1522" s="4" t="s">
        <v>4838</v>
      </c>
      <c r="B1522">
        <v>3</v>
      </c>
      <c r="C1522">
        <v>2023</v>
      </c>
      <c r="D1522" t="s">
        <v>14553</v>
      </c>
      <c r="E1522">
        <v>2</v>
      </c>
      <c r="F1522" t="s">
        <v>16955</v>
      </c>
      <c r="G1522" t="s">
        <v>16956</v>
      </c>
      <c r="H1522" s="4" t="s">
        <v>16957</v>
      </c>
      <c r="I1522" t="s">
        <v>71</v>
      </c>
      <c r="J1522" t="s">
        <v>10782</v>
      </c>
      <c r="K1522" t="s">
        <v>16958</v>
      </c>
    </row>
    <row r="1523" spans="1:11" ht="158.4" x14ac:dyDescent="0.3">
      <c r="A1523" s="4" t="s">
        <v>4839</v>
      </c>
      <c r="B1523">
        <v>3</v>
      </c>
      <c r="C1523">
        <v>2023</v>
      </c>
      <c r="D1523" t="s">
        <v>16959</v>
      </c>
      <c r="E1523">
        <v>3</v>
      </c>
      <c r="F1523" t="s">
        <v>16960</v>
      </c>
      <c r="G1523" t="s">
        <v>16961</v>
      </c>
      <c r="H1523" s="4" t="s">
        <v>16962</v>
      </c>
      <c r="I1523" t="s">
        <v>71</v>
      </c>
      <c r="J1523" t="s">
        <v>10782</v>
      </c>
      <c r="K1523" t="s">
        <v>16963</v>
      </c>
    </row>
    <row r="1524" spans="1:11" ht="158.4" x14ac:dyDescent="0.3">
      <c r="A1524" s="4" t="s">
        <v>4840</v>
      </c>
      <c r="B1524">
        <v>3</v>
      </c>
      <c r="C1524">
        <v>2023</v>
      </c>
      <c r="D1524" t="s">
        <v>1366</v>
      </c>
      <c r="E1524">
        <v>6</v>
      </c>
      <c r="F1524" t="s">
        <v>16964</v>
      </c>
      <c r="G1524" t="s">
        <v>16965</v>
      </c>
      <c r="H1524" s="4" t="s">
        <v>16966</v>
      </c>
      <c r="I1524" t="s">
        <v>71</v>
      </c>
      <c r="J1524" t="s">
        <v>10782</v>
      </c>
      <c r="K1524" t="s">
        <v>16967</v>
      </c>
    </row>
    <row r="1525" spans="1:11" ht="115.2" x14ac:dyDescent="0.3">
      <c r="A1525" s="4" t="s">
        <v>4841</v>
      </c>
      <c r="B1525">
        <v>3</v>
      </c>
      <c r="C1525">
        <v>2023</v>
      </c>
      <c r="D1525" t="s">
        <v>14310</v>
      </c>
      <c r="E1525">
        <v>1</v>
      </c>
      <c r="F1525" t="s">
        <v>16968</v>
      </c>
      <c r="G1525" t="s">
        <v>16969</v>
      </c>
      <c r="H1525" s="4" t="s">
        <v>16970</v>
      </c>
      <c r="I1525" t="s">
        <v>71</v>
      </c>
      <c r="J1525" t="s">
        <v>10782</v>
      </c>
      <c r="K1525" t="s">
        <v>16971</v>
      </c>
    </row>
    <row r="1526" spans="1:11" ht="187.2" x14ac:dyDescent="0.3">
      <c r="A1526" s="4" t="s">
        <v>4842</v>
      </c>
      <c r="B1526">
        <v>3</v>
      </c>
      <c r="C1526">
        <v>2023</v>
      </c>
      <c r="D1526" t="s">
        <v>1438</v>
      </c>
      <c r="E1526">
        <v>0</v>
      </c>
      <c r="F1526" t="s">
        <v>16972</v>
      </c>
      <c r="G1526" t="s">
        <v>16973</v>
      </c>
      <c r="H1526" s="4" t="s">
        <v>16974</v>
      </c>
      <c r="I1526" t="s">
        <v>71</v>
      </c>
      <c r="J1526" t="s">
        <v>10782</v>
      </c>
      <c r="K1526" t="s">
        <v>16975</v>
      </c>
    </row>
    <row r="1527" spans="1:11" ht="187.2" x14ac:dyDescent="0.3">
      <c r="A1527" s="4" t="s">
        <v>4843</v>
      </c>
      <c r="B1527">
        <v>3</v>
      </c>
      <c r="C1527">
        <v>2023</v>
      </c>
      <c r="D1527" t="s">
        <v>16976</v>
      </c>
      <c r="E1527">
        <v>0</v>
      </c>
      <c r="F1527" t="s">
        <v>16977</v>
      </c>
      <c r="G1527" t="s">
        <v>16978</v>
      </c>
      <c r="H1527" s="4" t="s">
        <v>16979</v>
      </c>
      <c r="I1527" t="s">
        <v>71</v>
      </c>
      <c r="J1527" t="s">
        <v>10782</v>
      </c>
      <c r="K1527" t="s">
        <v>16980</v>
      </c>
    </row>
    <row r="1528" spans="1:11" ht="43.2" x14ac:dyDescent="0.3">
      <c r="A1528" s="4" t="s">
        <v>4844</v>
      </c>
      <c r="B1528">
        <v>3</v>
      </c>
      <c r="C1528">
        <v>2023</v>
      </c>
      <c r="D1528" t="s">
        <v>2222</v>
      </c>
      <c r="E1528">
        <v>0</v>
      </c>
      <c r="F1528" t="s">
        <v>16981</v>
      </c>
      <c r="G1528" t="s">
        <v>16982</v>
      </c>
      <c r="H1528" s="4" t="s">
        <v>71</v>
      </c>
      <c r="I1528" t="s">
        <v>10782</v>
      </c>
      <c r="J1528" t="s">
        <v>16983</v>
      </c>
    </row>
    <row r="1529" spans="1:11" ht="409.6" x14ac:dyDescent="0.3">
      <c r="A1529" s="4" t="s">
        <v>3269</v>
      </c>
      <c r="B1529">
        <v>1</v>
      </c>
      <c r="C1529">
        <v>2023</v>
      </c>
      <c r="D1529" t="s">
        <v>14102</v>
      </c>
      <c r="E1529">
        <v>0</v>
      </c>
      <c r="F1529" t="s">
        <v>16984</v>
      </c>
      <c r="G1529" t="s">
        <v>16985</v>
      </c>
      <c r="H1529" s="4" t="s">
        <v>16986</v>
      </c>
      <c r="I1529" t="s">
        <v>71</v>
      </c>
      <c r="J1529" t="s">
        <v>10782</v>
      </c>
      <c r="K1529" t="s">
        <v>16987</v>
      </c>
    </row>
    <row r="1530" spans="1:11" ht="129.6" x14ac:dyDescent="0.3">
      <c r="A1530" s="4" t="s">
        <v>885</v>
      </c>
      <c r="B1530">
        <v>1</v>
      </c>
      <c r="C1530">
        <v>2023</v>
      </c>
      <c r="D1530" t="s">
        <v>405</v>
      </c>
      <c r="E1530">
        <v>23</v>
      </c>
      <c r="F1530" t="s">
        <v>16988</v>
      </c>
      <c r="G1530" t="s">
        <v>16989</v>
      </c>
      <c r="H1530" s="4" t="s">
        <v>16990</v>
      </c>
      <c r="I1530" t="s">
        <v>71</v>
      </c>
      <c r="J1530" t="s">
        <v>10782</v>
      </c>
      <c r="K1530" t="s">
        <v>16991</v>
      </c>
    </row>
    <row r="1531" spans="1:11" ht="216" x14ac:dyDescent="0.3">
      <c r="A1531" s="4" t="s">
        <v>4845</v>
      </c>
      <c r="B1531">
        <v>3</v>
      </c>
      <c r="C1531">
        <v>2023</v>
      </c>
      <c r="D1531" t="s">
        <v>14216</v>
      </c>
      <c r="E1531">
        <v>0</v>
      </c>
      <c r="F1531" t="s">
        <v>16992</v>
      </c>
      <c r="G1531" t="s">
        <v>16993</v>
      </c>
      <c r="H1531" s="4" t="s">
        <v>16994</v>
      </c>
      <c r="I1531" t="s">
        <v>71</v>
      </c>
      <c r="J1531" t="s">
        <v>10782</v>
      </c>
      <c r="K1531" t="s">
        <v>16995</v>
      </c>
    </row>
    <row r="1532" spans="1:11" ht="201.6" x14ac:dyDescent="0.3">
      <c r="A1532" s="4" t="s">
        <v>4846</v>
      </c>
      <c r="B1532">
        <v>3</v>
      </c>
      <c r="C1532">
        <v>2023</v>
      </c>
      <c r="D1532" t="s">
        <v>12318</v>
      </c>
      <c r="E1532">
        <v>8</v>
      </c>
      <c r="F1532" t="s">
        <v>16996</v>
      </c>
      <c r="G1532" t="s">
        <v>16997</v>
      </c>
      <c r="H1532" s="4" t="s">
        <v>16998</v>
      </c>
      <c r="I1532" t="s">
        <v>71</v>
      </c>
      <c r="J1532" t="s">
        <v>10782</v>
      </c>
      <c r="K1532" t="s">
        <v>16999</v>
      </c>
    </row>
    <row r="1533" spans="1:11" ht="187.2" x14ac:dyDescent="0.3">
      <c r="A1533" s="4" t="s">
        <v>4847</v>
      </c>
      <c r="B1533">
        <v>3</v>
      </c>
      <c r="C1533">
        <v>2023</v>
      </c>
      <c r="D1533" t="s">
        <v>14553</v>
      </c>
      <c r="E1533">
        <v>11</v>
      </c>
      <c r="F1533" t="s">
        <v>17000</v>
      </c>
      <c r="G1533" t="s">
        <v>17001</v>
      </c>
      <c r="H1533" s="4" t="s">
        <v>17002</v>
      </c>
      <c r="I1533" t="s">
        <v>71</v>
      </c>
      <c r="J1533" t="s">
        <v>10782</v>
      </c>
      <c r="K1533" t="s">
        <v>17003</v>
      </c>
    </row>
    <row r="1534" spans="1:11" ht="201.6" x14ac:dyDescent="0.3">
      <c r="A1534" s="4" t="s">
        <v>4848</v>
      </c>
      <c r="B1534">
        <v>3</v>
      </c>
      <c r="C1534">
        <v>2023</v>
      </c>
      <c r="D1534" t="s">
        <v>918</v>
      </c>
      <c r="E1534">
        <v>3</v>
      </c>
      <c r="F1534" t="s">
        <v>17004</v>
      </c>
      <c r="G1534" t="s">
        <v>17005</v>
      </c>
      <c r="H1534" s="4" t="s">
        <v>17006</v>
      </c>
    </row>
    <row r="1535" spans="1:11" ht="172.8" x14ac:dyDescent="0.3">
      <c r="A1535" s="4" t="s">
        <v>4849</v>
      </c>
      <c r="B1535">
        <v>3</v>
      </c>
      <c r="C1535">
        <v>2023</v>
      </c>
      <c r="D1535" t="s">
        <v>14553</v>
      </c>
      <c r="E1535">
        <v>11</v>
      </c>
      <c r="F1535" t="s">
        <v>17007</v>
      </c>
      <c r="G1535" t="s">
        <v>17008</v>
      </c>
      <c r="H1535" s="4" t="s">
        <v>17009</v>
      </c>
      <c r="I1535" t="s">
        <v>71</v>
      </c>
      <c r="J1535" t="s">
        <v>10782</v>
      </c>
      <c r="K1535" t="s">
        <v>17010</v>
      </c>
    </row>
    <row r="1536" spans="1:11" ht="144" x14ac:dyDescent="0.3">
      <c r="A1536" s="4" t="s">
        <v>888</v>
      </c>
      <c r="B1536">
        <v>1</v>
      </c>
      <c r="C1536">
        <v>2023</v>
      </c>
      <c r="D1536" t="s">
        <v>958</v>
      </c>
      <c r="E1536">
        <v>9</v>
      </c>
      <c r="F1536" t="s">
        <v>17011</v>
      </c>
      <c r="G1536" t="s">
        <v>17012</v>
      </c>
      <c r="H1536" s="4" t="s">
        <v>17013</v>
      </c>
      <c r="I1536" t="s">
        <v>71</v>
      </c>
      <c r="J1536" t="s">
        <v>10782</v>
      </c>
      <c r="K1536" t="s">
        <v>17014</v>
      </c>
    </row>
    <row r="1537" spans="1:11" ht="201.6" x14ac:dyDescent="0.3">
      <c r="A1537" s="4" t="s">
        <v>4850</v>
      </c>
      <c r="B1537">
        <v>3</v>
      </c>
      <c r="C1537">
        <v>2023</v>
      </c>
      <c r="D1537" t="s">
        <v>202</v>
      </c>
      <c r="E1537">
        <v>9</v>
      </c>
      <c r="F1537" t="s">
        <v>17015</v>
      </c>
      <c r="G1537" t="s">
        <v>17016</v>
      </c>
      <c r="H1537" s="4" t="s">
        <v>17017</v>
      </c>
      <c r="I1537" t="s">
        <v>71</v>
      </c>
      <c r="J1537" t="s">
        <v>10782</v>
      </c>
      <c r="K1537" t="s">
        <v>17018</v>
      </c>
    </row>
    <row r="1538" spans="1:11" ht="129.6" x14ac:dyDescent="0.3">
      <c r="A1538" s="4" t="s">
        <v>4851</v>
      </c>
      <c r="B1538">
        <v>3</v>
      </c>
      <c r="C1538">
        <v>2023</v>
      </c>
      <c r="D1538" t="s">
        <v>892</v>
      </c>
      <c r="E1538">
        <v>8</v>
      </c>
      <c r="F1538" t="s">
        <v>17019</v>
      </c>
      <c r="G1538" t="s">
        <v>17020</v>
      </c>
      <c r="H1538" s="4" t="s">
        <v>17021</v>
      </c>
    </row>
    <row r="1539" spans="1:11" ht="201.6" x14ac:dyDescent="0.3">
      <c r="A1539" s="4" t="s">
        <v>4852</v>
      </c>
      <c r="B1539">
        <v>3</v>
      </c>
      <c r="C1539">
        <v>2023</v>
      </c>
      <c r="D1539" t="s">
        <v>17022</v>
      </c>
      <c r="E1539">
        <v>14</v>
      </c>
      <c r="F1539" t="s">
        <v>17023</v>
      </c>
      <c r="G1539" t="s">
        <v>17024</v>
      </c>
      <c r="H1539" s="4" t="s">
        <v>17025</v>
      </c>
      <c r="I1539" t="s">
        <v>71</v>
      </c>
      <c r="J1539" t="s">
        <v>10782</v>
      </c>
      <c r="K1539" t="s">
        <v>17026</v>
      </c>
    </row>
    <row r="1540" spans="1:11" ht="230.4" x14ac:dyDescent="0.3">
      <c r="A1540" s="4" t="s">
        <v>4853</v>
      </c>
      <c r="B1540">
        <v>3</v>
      </c>
      <c r="C1540">
        <v>2023</v>
      </c>
      <c r="D1540" t="s">
        <v>637</v>
      </c>
      <c r="E1540">
        <v>19</v>
      </c>
      <c r="F1540" t="s">
        <v>17027</v>
      </c>
      <c r="G1540" t="s">
        <v>17028</v>
      </c>
      <c r="H1540" s="4" t="s">
        <v>17029</v>
      </c>
      <c r="I1540" t="s">
        <v>71</v>
      </c>
      <c r="J1540" t="s">
        <v>10782</v>
      </c>
      <c r="K1540" t="s">
        <v>17030</v>
      </c>
    </row>
    <row r="1541" spans="1:11" ht="172.8" x14ac:dyDescent="0.3">
      <c r="A1541" s="4" t="s">
        <v>3526</v>
      </c>
      <c r="B1541">
        <v>2</v>
      </c>
      <c r="C1541">
        <v>2023</v>
      </c>
      <c r="D1541" t="s">
        <v>482</v>
      </c>
      <c r="E1541">
        <v>5</v>
      </c>
      <c r="F1541" t="s">
        <v>17031</v>
      </c>
      <c r="G1541" t="s">
        <v>17032</v>
      </c>
      <c r="H1541" s="4" t="s">
        <v>17033</v>
      </c>
      <c r="I1541" t="s">
        <v>71</v>
      </c>
      <c r="J1541" t="s">
        <v>10782</v>
      </c>
      <c r="K1541" t="s">
        <v>17034</v>
      </c>
    </row>
    <row r="1542" spans="1:11" ht="230.4" x14ac:dyDescent="0.3">
      <c r="A1542" s="4" t="s">
        <v>4854</v>
      </c>
      <c r="B1542">
        <v>3</v>
      </c>
      <c r="C1542">
        <v>2023</v>
      </c>
      <c r="D1542" t="s">
        <v>13816</v>
      </c>
      <c r="E1542">
        <v>3</v>
      </c>
      <c r="F1542" t="s">
        <v>17035</v>
      </c>
      <c r="G1542" t="s">
        <v>17036</v>
      </c>
      <c r="H1542" s="4" t="s">
        <v>17037</v>
      </c>
    </row>
    <row r="1543" spans="1:11" ht="230.4" x14ac:dyDescent="0.3">
      <c r="A1543" s="4" t="s">
        <v>4855</v>
      </c>
      <c r="B1543">
        <v>3</v>
      </c>
      <c r="C1543">
        <v>2023</v>
      </c>
      <c r="D1543" t="s">
        <v>234</v>
      </c>
      <c r="E1543">
        <v>1</v>
      </c>
      <c r="F1543" t="s">
        <v>17038</v>
      </c>
      <c r="G1543" t="s">
        <v>17039</v>
      </c>
      <c r="H1543" s="4" t="s">
        <v>17040</v>
      </c>
      <c r="I1543" t="s">
        <v>71</v>
      </c>
      <c r="J1543" t="s">
        <v>10782</v>
      </c>
      <c r="K1543" t="s">
        <v>17041</v>
      </c>
    </row>
    <row r="1544" spans="1:11" ht="86.4" x14ac:dyDescent="0.3">
      <c r="A1544" s="4" t="s">
        <v>4856</v>
      </c>
      <c r="B1544">
        <v>3</v>
      </c>
      <c r="C1544">
        <v>2023</v>
      </c>
      <c r="D1544" t="s">
        <v>17042</v>
      </c>
      <c r="E1544">
        <v>0</v>
      </c>
      <c r="F1544" t="s">
        <v>17043</v>
      </c>
      <c r="G1544" t="s">
        <v>17044</v>
      </c>
      <c r="H1544" s="4" t="s">
        <v>17045</v>
      </c>
    </row>
    <row r="1545" spans="1:11" ht="201.6" x14ac:dyDescent="0.3">
      <c r="A1545" s="4" t="s">
        <v>4857</v>
      </c>
      <c r="B1545">
        <v>3</v>
      </c>
      <c r="C1545">
        <v>2023</v>
      </c>
      <c r="D1545" t="s">
        <v>14102</v>
      </c>
      <c r="E1545">
        <v>0</v>
      </c>
      <c r="F1545" t="s">
        <v>17046</v>
      </c>
      <c r="G1545" t="s">
        <v>17047</v>
      </c>
      <c r="H1545" s="4" t="s">
        <v>17048</v>
      </c>
      <c r="I1545" t="s">
        <v>71</v>
      </c>
      <c r="J1545" t="s">
        <v>10782</v>
      </c>
      <c r="K1545" t="s">
        <v>17049</v>
      </c>
    </row>
    <row r="1546" spans="1:11" ht="172.8" x14ac:dyDescent="0.3">
      <c r="A1546" s="4" t="s">
        <v>4858</v>
      </c>
      <c r="B1546">
        <v>3</v>
      </c>
      <c r="C1546">
        <v>2023</v>
      </c>
      <c r="D1546" t="s">
        <v>13685</v>
      </c>
      <c r="E1546">
        <v>32</v>
      </c>
      <c r="F1546" t="s">
        <v>17050</v>
      </c>
      <c r="G1546" t="s">
        <v>17051</v>
      </c>
      <c r="H1546" s="4" t="s">
        <v>17052</v>
      </c>
      <c r="I1546" t="s">
        <v>71</v>
      </c>
      <c r="J1546" t="s">
        <v>10782</v>
      </c>
      <c r="K1546" t="s">
        <v>17053</v>
      </c>
    </row>
    <row r="1547" spans="1:11" ht="158.4" x14ac:dyDescent="0.3">
      <c r="A1547" s="4" t="s">
        <v>4859</v>
      </c>
      <c r="B1547">
        <v>3</v>
      </c>
      <c r="C1547">
        <v>2023</v>
      </c>
      <c r="D1547" t="s">
        <v>964</v>
      </c>
      <c r="E1547">
        <v>5</v>
      </c>
      <c r="F1547" t="s">
        <v>17054</v>
      </c>
      <c r="G1547" t="s">
        <v>17055</v>
      </c>
      <c r="H1547" s="4" t="s">
        <v>17056</v>
      </c>
      <c r="I1547" t="s">
        <v>71</v>
      </c>
      <c r="J1547" t="s">
        <v>10782</v>
      </c>
      <c r="K1547" t="s">
        <v>17057</v>
      </c>
    </row>
    <row r="1548" spans="1:11" ht="201.6" x14ac:dyDescent="0.3">
      <c r="A1548" s="4" t="s">
        <v>4860</v>
      </c>
      <c r="B1548">
        <v>3</v>
      </c>
      <c r="C1548">
        <v>2023</v>
      </c>
      <c r="D1548" t="s">
        <v>14597</v>
      </c>
      <c r="E1548">
        <v>1</v>
      </c>
      <c r="F1548" t="s">
        <v>17058</v>
      </c>
      <c r="G1548" t="s">
        <v>17059</v>
      </c>
      <c r="H1548" s="4" t="s">
        <v>17060</v>
      </c>
      <c r="I1548" t="s">
        <v>71</v>
      </c>
      <c r="J1548" t="s">
        <v>10782</v>
      </c>
      <c r="K1548" t="s">
        <v>17061</v>
      </c>
    </row>
    <row r="1549" spans="1:11" ht="172.8" x14ac:dyDescent="0.3">
      <c r="A1549" s="4" t="s">
        <v>4861</v>
      </c>
      <c r="B1549">
        <v>3</v>
      </c>
      <c r="C1549">
        <v>2023</v>
      </c>
      <c r="D1549" t="s">
        <v>1912</v>
      </c>
      <c r="E1549">
        <v>5</v>
      </c>
      <c r="F1549" t="s">
        <v>17062</v>
      </c>
      <c r="G1549" t="s">
        <v>17063</v>
      </c>
      <c r="H1549" s="4" t="s">
        <v>17064</v>
      </c>
      <c r="I1549" t="s">
        <v>71</v>
      </c>
      <c r="J1549" t="s">
        <v>10782</v>
      </c>
      <c r="K1549" t="s">
        <v>17065</v>
      </c>
    </row>
    <row r="1550" spans="1:11" ht="187.2" x14ac:dyDescent="0.3">
      <c r="A1550" s="4" t="s">
        <v>3270</v>
      </c>
      <c r="B1550">
        <v>1</v>
      </c>
      <c r="C1550">
        <v>2023</v>
      </c>
      <c r="D1550" t="s">
        <v>17066</v>
      </c>
      <c r="E1550">
        <v>8</v>
      </c>
      <c r="F1550" t="s">
        <v>17067</v>
      </c>
      <c r="G1550" t="s">
        <v>17068</v>
      </c>
      <c r="H1550" s="4" t="s">
        <v>17069</v>
      </c>
      <c r="I1550" t="s">
        <v>71</v>
      </c>
      <c r="J1550" t="s">
        <v>10782</v>
      </c>
      <c r="K1550" t="s">
        <v>17070</v>
      </c>
    </row>
    <row r="1551" spans="1:11" ht="172.8" x14ac:dyDescent="0.3">
      <c r="A1551" s="4" t="s">
        <v>4862</v>
      </c>
      <c r="B1551">
        <v>3</v>
      </c>
      <c r="C1551">
        <v>2023</v>
      </c>
      <c r="D1551" t="s">
        <v>17071</v>
      </c>
      <c r="E1551">
        <v>0</v>
      </c>
      <c r="F1551" t="s">
        <v>17072</v>
      </c>
      <c r="G1551" t="s">
        <v>17073</v>
      </c>
      <c r="H1551" s="4" t="s">
        <v>17074</v>
      </c>
      <c r="I1551" t="s">
        <v>71</v>
      </c>
      <c r="J1551" t="s">
        <v>10782</v>
      </c>
      <c r="K1551" t="s">
        <v>17075</v>
      </c>
    </row>
    <row r="1552" spans="1:11" ht="129.6" x14ac:dyDescent="0.3">
      <c r="A1552" s="4" t="s">
        <v>4863</v>
      </c>
      <c r="B1552">
        <v>3</v>
      </c>
      <c r="C1552">
        <v>2023</v>
      </c>
      <c r="D1552" t="s">
        <v>17076</v>
      </c>
      <c r="E1552">
        <v>7</v>
      </c>
      <c r="F1552" t="s">
        <v>17077</v>
      </c>
      <c r="G1552" t="s">
        <v>17078</v>
      </c>
      <c r="H1552" s="4" t="s">
        <v>17079</v>
      </c>
    </row>
    <row r="1553" spans="1:11" ht="172.8" x14ac:dyDescent="0.3">
      <c r="A1553" s="4" t="s">
        <v>4864</v>
      </c>
      <c r="B1553">
        <v>3</v>
      </c>
      <c r="C1553">
        <v>2023</v>
      </c>
      <c r="D1553" t="s">
        <v>964</v>
      </c>
      <c r="E1553">
        <v>1</v>
      </c>
      <c r="F1553" t="s">
        <v>17080</v>
      </c>
      <c r="G1553" t="s">
        <v>17081</v>
      </c>
      <c r="H1553" s="4" t="s">
        <v>17082</v>
      </c>
      <c r="I1553" t="s">
        <v>71</v>
      </c>
      <c r="J1553" t="s">
        <v>10782</v>
      </c>
      <c r="K1553" t="s">
        <v>17083</v>
      </c>
    </row>
    <row r="1554" spans="1:11" ht="187.2" x14ac:dyDescent="0.3">
      <c r="A1554" s="4" t="s">
        <v>4865</v>
      </c>
      <c r="B1554">
        <v>3</v>
      </c>
      <c r="C1554">
        <v>2023</v>
      </c>
      <c r="D1554" t="s">
        <v>14102</v>
      </c>
      <c r="E1554">
        <v>0</v>
      </c>
      <c r="F1554" t="s">
        <v>17084</v>
      </c>
      <c r="G1554" t="s">
        <v>17085</v>
      </c>
      <c r="H1554" s="4" t="s">
        <v>17086</v>
      </c>
      <c r="I1554" t="s">
        <v>71</v>
      </c>
      <c r="J1554" t="s">
        <v>10782</v>
      </c>
      <c r="K1554" t="s">
        <v>17087</v>
      </c>
    </row>
    <row r="1555" spans="1:11" ht="201.6" x14ac:dyDescent="0.3">
      <c r="A1555" s="4" t="s">
        <v>4866</v>
      </c>
      <c r="B1555">
        <v>3</v>
      </c>
      <c r="C1555">
        <v>2023</v>
      </c>
      <c r="D1555" t="s">
        <v>16677</v>
      </c>
      <c r="E1555">
        <v>5</v>
      </c>
      <c r="F1555" t="s">
        <v>17088</v>
      </c>
      <c r="G1555" t="s">
        <v>17089</v>
      </c>
      <c r="H1555" s="4" t="s">
        <v>17090</v>
      </c>
      <c r="I1555" t="s">
        <v>71</v>
      </c>
      <c r="J1555" t="s">
        <v>10782</v>
      </c>
      <c r="K1555" t="s">
        <v>17091</v>
      </c>
    </row>
    <row r="1556" spans="1:11" ht="216" x14ac:dyDescent="0.3">
      <c r="A1556" s="4" t="s">
        <v>4867</v>
      </c>
      <c r="B1556">
        <v>3</v>
      </c>
      <c r="C1556">
        <v>2023</v>
      </c>
      <c r="D1556" t="s">
        <v>1802</v>
      </c>
      <c r="E1556">
        <v>15</v>
      </c>
      <c r="F1556" t="s">
        <v>17092</v>
      </c>
      <c r="G1556" t="s">
        <v>17093</v>
      </c>
      <c r="H1556" s="4" t="s">
        <v>17094</v>
      </c>
      <c r="I1556" t="s">
        <v>71</v>
      </c>
      <c r="J1556" t="s">
        <v>10782</v>
      </c>
      <c r="K1556" t="s">
        <v>17095</v>
      </c>
    </row>
    <row r="1557" spans="1:11" ht="216" x14ac:dyDescent="0.3">
      <c r="A1557" s="4" t="s">
        <v>4868</v>
      </c>
      <c r="B1557">
        <v>3</v>
      </c>
      <c r="C1557">
        <v>2023</v>
      </c>
      <c r="D1557" t="s">
        <v>1438</v>
      </c>
      <c r="E1557">
        <v>3</v>
      </c>
      <c r="F1557" t="s">
        <v>17096</v>
      </c>
      <c r="G1557" t="s">
        <v>17097</v>
      </c>
      <c r="H1557" s="4" t="s">
        <v>17098</v>
      </c>
      <c r="I1557" t="s">
        <v>71</v>
      </c>
      <c r="J1557" t="s">
        <v>10782</v>
      </c>
      <c r="K1557" t="s">
        <v>17099</v>
      </c>
    </row>
    <row r="1558" spans="1:11" ht="72" x14ac:dyDescent="0.3">
      <c r="A1558" s="4" t="s">
        <v>3271</v>
      </c>
      <c r="B1558">
        <v>1</v>
      </c>
      <c r="C1558">
        <v>2023</v>
      </c>
      <c r="D1558" t="s">
        <v>11164</v>
      </c>
      <c r="E1558">
        <v>8</v>
      </c>
      <c r="F1558" t="s">
        <v>17100</v>
      </c>
      <c r="G1558" t="s">
        <v>17101</v>
      </c>
      <c r="H1558" s="4" t="s">
        <v>17102</v>
      </c>
    </row>
    <row r="1559" spans="1:11" ht="187.2" x14ac:dyDescent="0.3">
      <c r="A1559" s="4" t="s">
        <v>4869</v>
      </c>
      <c r="B1559">
        <v>3</v>
      </c>
      <c r="C1559">
        <v>2023</v>
      </c>
      <c r="D1559" t="s">
        <v>11521</v>
      </c>
      <c r="E1559">
        <v>3</v>
      </c>
      <c r="F1559" t="s">
        <v>17103</v>
      </c>
      <c r="G1559" t="s">
        <v>17104</v>
      </c>
      <c r="H1559" s="4" t="s">
        <v>17105</v>
      </c>
      <c r="I1559" t="s">
        <v>71</v>
      </c>
      <c r="J1559" t="s">
        <v>10782</v>
      </c>
      <c r="K1559" t="s">
        <v>17106</v>
      </c>
    </row>
    <row r="1560" spans="1:11" ht="144" x14ac:dyDescent="0.3">
      <c r="A1560" s="4" t="s">
        <v>4870</v>
      </c>
      <c r="B1560">
        <v>3</v>
      </c>
      <c r="C1560">
        <v>2023</v>
      </c>
      <c r="D1560" t="s">
        <v>14553</v>
      </c>
      <c r="E1560">
        <v>3</v>
      </c>
      <c r="F1560" t="s">
        <v>17107</v>
      </c>
      <c r="G1560" t="s">
        <v>17108</v>
      </c>
      <c r="H1560" s="4" t="s">
        <v>17109</v>
      </c>
      <c r="I1560" t="s">
        <v>71</v>
      </c>
      <c r="J1560" t="s">
        <v>10782</v>
      </c>
      <c r="K1560" t="s">
        <v>17110</v>
      </c>
    </row>
    <row r="1561" spans="1:11" ht="158.4" x14ac:dyDescent="0.3">
      <c r="A1561" s="4" t="s">
        <v>4871</v>
      </c>
      <c r="B1561">
        <v>3</v>
      </c>
      <c r="C1561">
        <v>2023</v>
      </c>
      <c r="D1561" t="s">
        <v>17111</v>
      </c>
      <c r="E1561">
        <v>1</v>
      </c>
      <c r="F1561" t="s">
        <v>17112</v>
      </c>
      <c r="G1561" t="s">
        <v>17113</v>
      </c>
      <c r="H1561" s="4" t="s">
        <v>17114</v>
      </c>
      <c r="I1561" t="s">
        <v>71</v>
      </c>
      <c r="J1561" t="s">
        <v>10782</v>
      </c>
      <c r="K1561" t="s">
        <v>17115</v>
      </c>
    </row>
    <row r="1562" spans="1:11" ht="144" x14ac:dyDescent="0.3">
      <c r="A1562" s="4" t="s">
        <v>4872</v>
      </c>
      <c r="B1562">
        <v>3</v>
      </c>
      <c r="C1562">
        <v>2023</v>
      </c>
      <c r="D1562" t="s">
        <v>637</v>
      </c>
      <c r="E1562">
        <v>12</v>
      </c>
      <c r="F1562" t="s">
        <v>17116</v>
      </c>
      <c r="G1562" t="s">
        <v>17117</v>
      </c>
      <c r="H1562" s="4" t="s">
        <v>17118</v>
      </c>
    </row>
    <row r="1563" spans="1:11" ht="172.8" x14ac:dyDescent="0.3">
      <c r="A1563" s="4" t="s">
        <v>4873</v>
      </c>
      <c r="B1563">
        <v>3</v>
      </c>
      <c r="C1563">
        <v>2023</v>
      </c>
      <c r="D1563" t="s">
        <v>12318</v>
      </c>
      <c r="E1563">
        <v>10</v>
      </c>
      <c r="F1563" t="s">
        <v>17119</v>
      </c>
      <c r="G1563" t="s">
        <v>17120</v>
      </c>
      <c r="H1563" s="4" t="s">
        <v>17121</v>
      </c>
      <c r="I1563" t="s">
        <v>71</v>
      </c>
      <c r="J1563" t="s">
        <v>10782</v>
      </c>
      <c r="K1563" t="s">
        <v>17122</v>
      </c>
    </row>
    <row r="1564" spans="1:11" ht="158.4" x14ac:dyDescent="0.3">
      <c r="A1564" s="4" t="s">
        <v>4874</v>
      </c>
      <c r="B1564">
        <v>3</v>
      </c>
      <c r="C1564">
        <v>2023</v>
      </c>
      <c r="D1564" t="s">
        <v>11164</v>
      </c>
      <c r="E1564">
        <v>17</v>
      </c>
      <c r="F1564" t="s">
        <v>17123</v>
      </c>
      <c r="G1564" t="s">
        <v>17124</v>
      </c>
      <c r="H1564" s="4" t="s">
        <v>17125</v>
      </c>
      <c r="I1564" t="s">
        <v>10823</v>
      </c>
      <c r="J1564" t="s">
        <v>10782</v>
      </c>
      <c r="K1564" t="s">
        <v>17126</v>
      </c>
    </row>
    <row r="1565" spans="1:11" ht="144" x14ac:dyDescent="0.3">
      <c r="A1565" s="4" t="s">
        <v>4875</v>
      </c>
      <c r="B1565">
        <v>3</v>
      </c>
      <c r="C1565">
        <v>2023</v>
      </c>
      <c r="D1565" t="s">
        <v>17127</v>
      </c>
      <c r="E1565">
        <v>3</v>
      </c>
      <c r="F1565" t="s">
        <v>17128</v>
      </c>
      <c r="G1565" t="s">
        <v>17129</v>
      </c>
      <c r="H1565" s="4" t="s">
        <v>17130</v>
      </c>
      <c r="I1565" t="s">
        <v>71</v>
      </c>
      <c r="J1565" t="s">
        <v>10782</v>
      </c>
      <c r="K1565" t="s">
        <v>17131</v>
      </c>
    </row>
    <row r="1566" spans="1:11" ht="144" x14ac:dyDescent="0.3">
      <c r="A1566" s="4" t="s">
        <v>4876</v>
      </c>
      <c r="B1566">
        <v>3</v>
      </c>
      <c r="C1566">
        <v>2023</v>
      </c>
      <c r="D1566" t="s">
        <v>11569</v>
      </c>
      <c r="E1566">
        <v>1</v>
      </c>
      <c r="F1566" t="s">
        <v>17132</v>
      </c>
      <c r="G1566" t="s">
        <v>17133</v>
      </c>
      <c r="H1566" s="4" t="s">
        <v>17134</v>
      </c>
      <c r="I1566" t="s">
        <v>71</v>
      </c>
      <c r="J1566" t="s">
        <v>10782</v>
      </c>
      <c r="K1566" t="s">
        <v>17135</v>
      </c>
    </row>
    <row r="1567" spans="1:11" ht="273.60000000000002" x14ac:dyDescent="0.3">
      <c r="A1567" s="4" t="s">
        <v>4877</v>
      </c>
      <c r="B1567">
        <v>3</v>
      </c>
      <c r="C1567">
        <v>2023</v>
      </c>
      <c r="D1567" t="s">
        <v>17136</v>
      </c>
      <c r="E1567">
        <v>2</v>
      </c>
      <c r="F1567" t="s">
        <v>17137</v>
      </c>
      <c r="G1567" t="s">
        <v>17138</v>
      </c>
      <c r="H1567" s="4" t="s">
        <v>17139</v>
      </c>
    </row>
    <row r="1568" spans="1:11" ht="172.8" x14ac:dyDescent="0.3">
      <c r="A1568" s="4" t="s">
        <v>4878</v>
      </c>
      <c r="B1568">
        <v>3</v>
      </c>
      <c r="C1568">
        <v>2023</v>
      </c>
      <c r="D1568" t="s">
        <v>17140</v>
      </c>
      <c r="E1568">
        <v>7</v>
      </c>
      <c r="F1568" t="s">
        <v>17141</v>
      </c>
      <c r="G1568" t="s">
        <v>17142</v>
      </c>
      <c r="H1568" s="4" t="s">
        <v>17143</v>
      </c>
      <c r="I1568" t="s">
        <v>71</v>
      </c>
      <c r="J1568" t="s">
        <v>10782</v>
      </c>
      <c r="K1568" t="s">
        <v>17144</v>
      </c>
    </row>
    <row r="1569" spans="1:11" ht="187.2" x14ac:dyDescent="0.3">
      <c r="A1569" s="4" t="s">
        <v>4879</v>
      </c>
      <c r="B1569">
        <v>3</v>
      </c>
      <c r="C1569">
        <v>2023</v>
      </c>
      <c r="D1569" t="s">
        <v>2853</v>
      </c>
      <c r="E1569">
        <v>11</v>
      </c>
      <c r="F1569" t="s">
        <v>17145</v>
      </c>
      <c r="G1569" t="s">
        <v>17146</v>
      </c>
      <c r="H1569" s="4" t="s">
        <v>17147</v>
      </c>
      <c r="I1569" t="s">
        <v>71</v>
      </c>
      <c r="J1569" t="s">
        <v>10782</v>
      </c>
      <c r="K1569" t="s">
        <v>17148</v>
      </c>
    </row>
    <row r="1570" spans="1:11" ht="129.6" x14ac:dyDescent="0.3">
      <c r="A1570" s="4" t="s">
        <v>4880</v>
      </c>
      <c r="B1570">
        <v>3</v>
      </c>
      <c r="C1570">
        <v>2023</v>
      </c>
      <c r="D1570" t="s">
        <v>958</v>
      </c>
      <c r="E1570">
        <v>4</v>
      </c>
      <c r="F1570" t="s">
        <v>17149</v>
      </c>
      <c r="G1570" t="s">
        <v>17150</v>
      </c>
      <c r="H1570" s="4" t="s">
        <v>17151</v>
      </c>
      <c r="I1570" t="s">
        <v>71</v>
      </c>
      <c r="J1570" t="s">
        <v>10782</v>
      </c>
      <c r="K1570" t="s">
        <v>17152</v>
      </c>
    </row>
    <row r="1571" spans="1:11" ht="172.8" x14ac:dyDescent="0.3">
      <c r="A1571" s="4" t="s">
        <v>3272</v>
      </c>
      <c r="B1571">
        <v>1</v>
      </c>
      <c r="C1571">
        <v>2023</v>
      </c>
      <c r="D1571" t="s">
        <v>14285</v>
      </c>
      <c r="E1571">
        <v>5</v>
      </c>
      <c r="F1571" t="s">
        <v>17153</v>
      </c>
      <c r="G1571" t="s">
        <v>17154</v>
      </c>
      <c r="H1571" s="4" t="s">
        <v>17155</v>
      </c>
      <c r="I1571" t="s">
        <v>71</v>
      </c>
      <c r="J1571" t="s">
        <v>10782</v>
      </c>
      <c r="K1571" t="s">
        <v>17156</v>
      </c>
    </row>
    <row r="1572" spans="1:11" ht="158.4" x14ac:dyDescent="0.3">
      <c r="A1572" s="4" t="s">
        <v>4881</v>
      </c>
      <c r="B1572">
        <v>3</v>
      </c>
      <c r="C1572">
        <v>2023</v>
      </c>
      <c r="D1572" t="s">
        <v>14623</v>
      </c>
      <c r="E1572">
        <v>3</v>
      </c>
      <c r="F1572" t="s">
        <v>17157</v>
      </c>
      <c r="G1572" t="s">
        <v>17158</v>
      </c>
      <c r="H1572" s="4" t="s">
        <v>17159</v>
      </c>
      <c r="I1572" t="s">
        <v>71</v>
      </c>
      <c r="J1572" t="s">
        <v>10782</v>
      </c>
      <c r="K1572" t="s">
        <v>17160</v>
      </c>
    </row>
    <row r="1573" spans="1:11" ht="259.2" x14ac:dyDescent="0.3">
      <c r="A1573" s="4" t="s">
        <v>4882</v>
      </c>
      <c r="B1573">
        <v>3</v>
      </c>
      <c r="C1573">
        <v>2023</v>
      </c>
      <c r="D1573" t="s">
        <v>892</v>
      </c>
      <c r="E1573">
        <v>4</v>
      </c>
      <c r="F1573" t="s">
        <v>17161</v>
      </c>
      <c r="G1573" t="s">
        <v>17162</v>
      </c>
      <c r="H1573" s="4" t="s">
        <v>17163</v>
      </c>
      <c r="I1573" t="s">
        <v>71</v>
      </c>
      <c r="J1573" t="s">
        <v>10782</v>
      </c>
      <c r="K1573" t="s">
        <v>17164</v>
      </c>
    </row>
    <row r="1574" spans="1:11" ht="201.6" x14ac:dyDescent="0.3">
      <c r="A1574" s="4" t="s">
        <v>4883</v>
      </c>
      <c r="B1574">
        <v>3</v>
      </c>
      <c r="C1574">
        <v>2023</v>
      </c>
      <c r="D1574" t="s">
        <v>264</v>
      </c>
      <c r="E1574">
        <v>7</v>
      </c>
      <c r="F1574" t="s">
        <v>17165</v>
      </c>
      <c r="G1574" t="s">
        <v>17166</v>
      </c>
      <c r="H1574" s="4" t="s">
        <v>17167</v>
      </c>
      <c r="I1574" t="s">
        <v>10823</v>
      </c>
      <c r="J1574" t="s">
        <v>10782</v>
      </c>
      <c r="K1574" t="s">
        <v>17168</v>
      </c>
    </row>
    <row r="1575" spans="1:11" ht="144" x14ac:dyDescent="0.3">
      <c r="A1575" s="4" t="s">
        <v>4884</v>
      </c>
      <c r="B1575">
        <v>3</v>
      </c>
      <c r="C1575">
        <v>2023</v>
      </c>
      <c r="D1575" t="s">
        <v>918</v>
      </c>
      <c r="E1575">
        <v>1</v>
      </c>
      <c r="F1575" t="s">
        <v>17169</v>
      </c>
      <c r="G1575" t="s">
        <v>17170</v>
      </c>
      <c r="H1575" s="4" t="s">
        <v>17171</v>
      </c>
      <c r="I1575" t="s">
        <v>71</v>
      </c>
      <c r="J1575" t="s">
        <v>10782</v>
      </c>
      <c r="K1575" t="s">
        <v>17172</v>
      </c>
    </row>
    <row r="1576" spans="1:11" ht="244.8" x14ac:dyDescent="0.3">
      <c r="A1576" s="4" t="s">
        <v>4885</v>
      </c>
      <c r="B1576">
        <v>3</v>
      </c>
      <c r="C1576">
        <v>2023</v>
      </c>
      <c r="D1576" t="s">
        <v>14102</v>
      </c>
      <c r="E1576">
        <v>0</v>
      </c>
      <c r="F1576" t="s">
        <v>17173</v>
      </c>
      <c r="G1576" t="s">
        <v>17174</v>
      </c>
      <c r="H1576" s="4" t="s">
        <v>17175</v>
      </c>
      <c r="I1576" t="s">
        <v>71</v>
      </c>
      <c r="J1576" t="s">
        <v>10782</v>
      </c>
      <c r="K1576" t="s">
        <v>17176</v>
      </c>
    </row>
    <row r="1577" spans="1:11" ht="158.4" x14ac:dyDescent="0.3">
      <c r="A1577" s="4" t="s">
        <v>3273</v>
      </c>
      <c r="B1577">
        <v>1</v>
      </c>
      <c r="C1577">
        <v>2023</v>
      </c>
      <c r="D1577" t="s">
        <v>11164</v>
      </c>
      <c r="E1577">
        <v>2</v>
      </c>
      <c r="F1577" t="s">
        <v>17177</v>
      </c>
      <c r="G1577" t="s">
        <v>17178</v>
      </c>
      <c r="H1577" s="4" t="s">
        <v>17179</v>
      </c>
      <c r="I1577" t="s">
        <v>71</v>
      </c>
      <c r="J1577" t="s">
        <v>10782</v>
      </c>
      <c r="K1577" t="s">
        <v>17180</v>
      </c>
    </row>
    <row r="1578" spans="1:11" ht="158.4" x14ac:dyDescent="0.3">
      <c r="A1578" s="4" t="s">
        <v>4886</v>
      </c>
      <c r="B1578">
        <v>3</v>
      </c>
      <c r="C1578">
        <v>2023</v>
      </c>
      <c r="D1578" t="s">
        <v>892</v>
      </c>
      <c r="E1578">
        <v>7</v>
      </c>
      <c r="F1578" t="s">
        <v>17181</v>
      </c>
      <c r="G1578" t="s">
        <v>17182</v>
      </c>
      <c r="H1578" s="4" t="s">
        <v>17183</v>
      </c>
      <c r="I1578" t="s">
        <v>71</v>
      </c>
      <c r="J1578" t="s">
        <v>10782</v>
      </c>
      <c r="K1578" t="s">
        <v>17184</v>
      </c>
    </row>
    <row r="1579" spans="1:11" ht="129.6" x14ac:dyDescent="0.3">
      <c r="A1579" s="4" t="s">
        <v>3274</v>
      </c>
      <c r="B1579">
        <v>1</v>
      </c>
      <c r="C1579">
        <v>2023</v>
      </c>
      <c r="D1579" t="s">
        <v>11521</v>
      </c>
      <c r="E1579">
        <v>7</v>
      </c>
      <c r="F1579" t="s">
        <v>17185</v>
      </c>
      <c r="G1579" t="s">
        <v>17186</v>
      </c>
      <c r="H1579" s="4" t="s">
        <v>17187</v>
      </c>
      <c r="I1579" t="s">
        <v>71</v>
      </c>
      <c r="J1579" t="s">
        <v>10782</v>
      </c>
      <c r="K1579" t="s">
        <v>17188</v>
      </c>
    </row>
    <row r="1580" spans="1:11" ht="187.2" x14ac:dyDescent="0.3">
      <c r="A1580" s="4" t="s">
        <v>3275</v>
      </c>
      <c r="B1580">
        <v>1</v>
      </c>
      <c r="C1580">
        <v>2023</v>
      </c>
      <c r="D1580" t="s">
        <v>217</v>
      </c>
      <c r="E1580">
        <v>6</v>
      </c>
      <c r="F1580" t="s">
        <v>17189</v>
      </c>
      <c r="G1580" t="s">
        <v>17190</v>
      </c>
      <c r="H1580" s="4" t="s">
        <v>17191</v>
      </c>
      <c r="I1580" t="s">
        <v>71</v>
      </c>
      <c r="J1580" t="s">
        <v>10782</v>
      </c>
      <c r="K1580" t="s">
        <v>17192</v>
      </c>
    </row>
    <row r="1581" spans="1:11" ht="144" x14ac:dyDescent="0.3">
      <c r="A1581" s="4" t="s">
        <v>933</v>
      </c>
      <c r="B1581">
        <v>1</v>
      </c>
      <c r="C1581">
        <v>2023</v>
      </c>
      <c r="D1581" t="s">
        <v>959</v>
      </c>
      <c r="E1581">
        <v>13</v>
      </c>
      <c r="F1581" t="s">
        <v>17193</v>
      </c>
      <c r="G1581" t="s">
        <v>17194</v>
      </c>
      <c r="H1581" s="4" t="s">
        <v>17195</v>
      </c>
    </row>
    <row r="1582" spans="1:11" ht="129.6" x14ac:dyDescent="0.3">
      <c r="A1582" s="4" t="s">
        <v>4887</v>
      </c>
      <c r="B1582">
        <v>3</v>
      </c>
      <c r="C1582">
        <v>2023</v>
      </c>
      <c r="D1582" t="s">
        <v>10072</v>
      </c>
      <c r="E1582">
        <v>0</v>
      </c>
      <c r="F1582" t="s">
        <v>17196</v>
      </c>
      <c r="G1582" t="s">
        <v>17197</v>
      </c>
      <c r="H1582" s="4" t="s">
        <v>17198</v>
      </c>
      <c r="I1582" t="s">
        <v>71</v>
      </c>
      <c r="J1582" t="s">
        <v>10782</v>
      </c>
      <c r="K1582" t="s">
        <v>17199</v>
      </c>
    </row>
    <row r="1583" spans="1:11" ht="273.60000000000002" x14ac:dyDescent="0.3">
      <c r="A1583" s="4" t="s">
        <v>4888</v>
      </c>
      <c r="B1583">
        <v>3</v>
      </c>
      <c r="C1583">
        <v>2023</v>
      </c>
      <c r="D1583" t="s">
        <v>637</v>
      </c>
      <c r="E1583">
        <v>23</v>
      </c>
      <c r="F1583" t="s">
        <v>17200</v>
      </c>
      <c r="G1583" t="s">
        <v>17201</v>
      </c>
      <c r="H1583" s="4" t="s">
        <v>17202</v>
      </c>
      <c r="I1583" t="s">
        <v>71</v>
      </c>
      <c r="J1583" t="s">
        <v>10782</v>
      </c>
      <c r="K1583" t="s">
        <v>17203</v>
      </c>
    </row>
    <row r="1584" spans="1:11" ht="172.8" x14ac:dyDescent="0.3">
      <c r="A1584" s="4" t="s">
        <v>4889</v>
      </c>
      <c r="B1584">
        <v>3</v>
      </c>
      <c r="C1584">
        <v>2023</v>
      </c>
      <c r="D1584" t="s">
        <v>1366</v>
      </c>
      <c r="E1584">
        <v>1</v>
      </c>
      <c r="F1584" t="s">
        <v>17204</v>
      </c>
      <c r="G1584" t="s">
        <v>17205</v>
      </c>
      <c r="H1584" s="4" t="s">
        <v>17206</v>
      </c>
      <c r="I1584" t="s">
        <v>71</v>
      </c>
      <c r="J1584" t="s">
        <v>10782</v>
      </c>
      <c r="K1584" t="s">
        <v>17207</v>
      </c>
    </row>
    <row r="1585" spans="1:11" ht="216" x14ac:dyDescent="0.3">
      <c r="A1585" s="4" t="s">
        <v>4890</v>
      </c>
      <c r="B1585">
        <v>3</v>
      </c>
      <c r="C1585">
        <v>2023</v>
      </c>
      <c r="D1585" t="s">
        <v>17208</v>
      </c>
      <c r="E1585">
        <v>6</v>
      </c>
      <c r="F1585" t="s">
        <v>17209</v>
      </c>
      <c r="G1585" t="s">
        <v>17210</v>
      </c>
      <c r="H1585" s="4" t="s">
        <v>17211</v>
      </c>
      <c r="I1585" t="s">
        <v>71</v>
      </c>
      <c r="J1585" t="s">
        <v>10782</v>
      </c>
      <c r="K1585" t="s">
        <v>17212</v>
      </c>
    </row>
    <row r="1586" spans="1:11" ht="374.4" x14ac:dyDescent="0.3">
      <c r="A1586" s="4" t="s">
        <v>3276</v>
      </c>
      <c r="B1586">
        <v>1</v>
      </c>
      <c r="C1586">
        <v>2023</v>
      </c>
      <c r="D1586" t="s">
        <v>14102</v>
      </c>
      <c r="E1586">
        <v>0</v>
      </c>
      <c r="F1586" t="s">
        <v>17213</v>
      </c>
      <c r="G1586" t="s">
        <v>17214</v>
      </c>
      <c r="H1586" s="4" t="s">
        <v>17215</v>
      </c>
    </row>
    <row r="1587" spans="1:11" ht="230.4" x14ac:dyDescent="0.3">
      <c r="A1587" s="4" t="s">
        <v>4891</v>
      </c>
      <c r="B1587">
        <v>3</v>
      </c>
      <c r="C1587">
        <v>2023</v>
      </c>
      <c r="D1587" t="s">
        <v>380</v>
      </c>
      <c r="E1587">
        <v>9</v>
      </c>
      <c r="F1587" t="s">
        <v>17216</v>
      </c>
      <c r="G1587" t="s">
        <v>17217</v>
      </c>
      <c r="H1587" s="4" t="s">
        <v>17218</v>
      </c>
      <c r="I1587" t="s">
        <v>71</v>
      </c>
      <c r="J1587" t="s">
        <v>10782</v>
      </c>
      <c r="K1587" t="s">
        <v>17219</v>
      </c>
    </row>
    <row r="1588" spans="1:11" ht="158.4" x14ac:dyDescent="0.3">
      <c r="A1588" s="4" t="s">
        <v>934</v>
      </c>
      <c r="B1588">
        <v>1</v>
      </c>
      <c r="C1588">
        <v>2023</v>
      </c>
      <c r="D1588" t="s">
        <v>964</v>
      </c>
      <c r="E1588">
        <v>4</v>
      </c>
      <c r="F1588" t="s">
        <v>17220</v>
      </c>
      <c r="G1588" t="s">
        <v>17221</v>
      </c>
      <c r="H1588" s="4" t="s">
        <v>17222</v>
      </c>
      <c r="I1588" t="s">
        <v>71</v>
      </c>
      <c r="J1588" t="s">
        <v>10782</v>
      </c>
      <c r="K1588" t="s">
        <v>17223</v>
      </c>
    </row>
    <row r="1589" spans="1:11" ht="158.4" x14ac:dyDescent="0.3">
      <c r="A1589" s="4" t="s">
        <v>4892</v>
      </c>
      <c r="B1589">
        <v>3</v>
      </c>
      <c r="C1589">
        <v>2023</v>
      </c>
      <c r="D1589" t="s">
        <v>17224</v>
      </c>
      <c r="E1589">
        <v>3</v>
      </c>
      <c r="F1589" t="s">
        <v>17225</v>
      </c>
      <c r="G1589" t="s">
        <v>17226</v>
      </c>
      <c r="H1589" s="4" t="s">
        <v>17227</v>
      </c>
      <c r="I1589" t="s">
        <v>71</v>
      </c>
      <c r="J1589" t="s">
        <v>10782</v>
      </c>
      <c r="K1589" t="s">
        <v>17228</v>
      </c>
    </row>
    <row r="1590" spans="1:11" ht="115.2" x14ac:dyDescent="0.3">
      <c r="A1590" s="4" t="s">
        <v>3527</v>
      </c>
      <c r="B1590">
        <v>2</v>
      </c>
      <c r="C1590">
        <v>2023</v>
      </c>
      <c r="D1590" t="s">
        <v>11521</v>
      </c>
      <c r="E1590">
        <v>2</v>
      </c>
      <c r="F1590" t="s">
        <v>17229</v>
      </c>
      <c r="G1590" t="s">
        <v>17230</v>
      </c>
      <c r="H1590" s="4" t="s">
        <v>17231</v>
      </c>
      <c r="I1590" t="s">
        <v>71</v>
      </c>
      <c r="J1590" t="s">
        <v>10782</v>
      </c>
      <c r="K1590" t="s">
        <v>17232</v>
      </c>
    </row>
    <row r="1591" spans="1:11" ht="216" x14ac:dyDescent="0.3">
      <c r="A1591" s="4" t="s">
        <v>4893</v>
      </c>
      <c r="B1591">
        <v>3</v>
      </c>
      <c r="C1591">
        <v>2023</v>
      </c>
      <c r="D1591" t="s">
        <v>1438</v>
      </c>
      <c r="E1591">
        <v>9</v>
      </c>
      <c r="F1591" t="s">
        <v>17233</v>
      </c>
      <c r="G1591" t="s">
        <v>17234</v>
      </c>
      <c r="H1591" s="4" t="s">
        <v>17235</v>
      </c>
    </row>
    <row r="1592" spans="1:11" ht="144" x14ac:dyDescent="0.3">
      <c r="A1592" s="4" t="s">
        <v>4894</v>
      </c>
      <c r="B1592">
        <v>3</v>
      </c>
      <c r="C1592">
        <v>2023</v>
      </c>
      <c r="D1592" t="s">
        <v>14102</v>
      </c>
      <c r="E1592">
        <v>0</v>
      </c>
      <c r="F1592" t="s">
        <v>17236</v>
      </c>
      <c r="G1592" t="s">
        <v>17237</v>
      </c>
      <c r="H1592" s="4" t="s">
        <v>17238</v>
      </c>
    </row>
    <row r="1593" spans="1:11" ht="187.2" x14ac:dyDescent="0.3">
      <c r="A1593" s="4" t="s">
        <v>4895</v>
      </c>
      <c r="B1593">
        <v>3</v>
      </c>
      <c r="C1593">
        <v>2023</v>
      </c>
      <c r="D1593" t="s">
        <v>10825</v>
      </c>
      <c r="E1593">
        <v>15</v>
      </c>
      <c r="F1593" t="s">
        <v>17239</v>
      </c>
      <c r="G1593" t="s">
        <v>17240</v>
      </c>
      <c r="H1593" s="4" t="s">
        <v>17241</v>
      </c>
      <c r="I1593" t="s">
        <v>71</v>
      </c>
      <c r="J1593" t="s">
        <v>10782</v>
      </c>
      <c r="K1593" t="s">
        <v>17242</v>
      </c>
    </row>
    <row r="1594" spans="1:11" ht="172.8" x14ac:dyDescent="0.3">
      <c r="A1594" s="4" t="s">
        <v>4896</v>
      </c>
      <c r="B1594">
        <v>3</v>
      </c>
      <c r="C1594">
        <v>2023</v>
      </c>
      <c r="D1594" t="s">
        <v>16976</v>
      </c>
      <c r="E1594">
        <v>0</v>
      </c>
      <c r="F1594" t="s">
        <v>17243</v>
      </c>
      <c r="G1594" t="s">
        <v>17244</v>
      </c>
      <c r="H1594" s="4" t="s">
        <v>17245</v>
      </c>
      <c r="I1594" t="s">
        <v>71</v>
      </c>
      <c r="J1594" t="s">
        <v>10782</v>
      </c>
      <c r="K1594" t="s">
        <v>17246</v>
      </c>
    </row>
    <row r="1595" spans="1:11" ht="115.2" x14ac:dyDescent="0.3">
      <c r="A1595" s="4" t="s">
        <v>4897</v>
      </c>
      <c r="B1595">
        <v>3</v>
      </c>
      <c r="C1595">
        <v>2023</v>
      </c>
      <c r="D1595" t="s">
        <v>17247</v>
      </c>
      <c r="E1595">
        <v>0</v>
      </c>
      <c r="G1595" t="s">
        <v>17248</v>
      </c>
      <c r="H1595" s="4" t="s">
        <v>17249</v>
      </c>
    </row>
    <row r="1596" spans="1:11" ht="158.4" x14ac:dyDescent="0.3">
      <c r="A1596" s="4" t="s">
        <v>4898</v>
      </c>
      <c r="B1596">
        <v>3</v>
      </c>
      <c r="C1596">
        <v>2023</v>
      </c>
      <c r="D1596" t="s">
        <v>17250</v>
      </c>
      <c r="E1596">
        <v>2</v>
      </c>
      <c r="F1596" t="s">
        <v>17251</v>
      </c>
      <c r="G1596" t="s">
        <v>17252</v>
      </c>
      <c r="H1596" s="4" t="s">
        <v>17253</v>
      </c>
      <c r="I1596" t="s">
        <v>71</v>
      </c>
      <c r="J1596" t="s">
        <v>10782</v>
      </c>
      <c r="K1596" t="s">
        <v>17254</v>
      </c>
    </row>
    <row r="1597" spans="1:11" ht="129.6" x14ac:dyDescent="0.3">
      <c r="A1597" s="4" t="s">
        <v>4899</v>
      </c>
      <c r="B1597">
        <v>3</v>
      </c>
      <c r="C1597">
        <v>2023</v>
      </c>
      <c r="D1597" t="s">
        <v>665</v>
      </c>
      <c r="E1597">
        <v>0</v>
      </c>
      <c r="F1597" t="s">
        <v>17255</v>
      </c>
      <c r="G1597" t="s">
        <v>17256</v>
      </c>
      <c r="H1597" s="4" t="s">
        <v>17257</v>
      </c>
      <c r="I1597" t="s">
        <v>71</v>
      </c>
      <c r="J1597" t="s">
        <v>10782</v>
      </c>
      <c r="K1597" t="s">
        <v>17258</v>
      </c>
    </row>
    <row r="1598" spans="1:11" ht="144" x14ac:dyDescent="0.3">
      <c r="A1598" s="4" t="s">
        <v>4900</v>
      </c>
      <c r="B1598">
        <v>3</v>
      </c>
      <c r="C1598">
        <v>2023</v>
      </c>
      <c r="D1598" t="s">
        <v>1794</v>
      </c>
      <c r="E1598">
        <v>1</v>
      </c>
      <c r="F1598" t="s">
        <v>17259</v>
      </c>
      <c r="G1598" t="s">
        <v>17260</v>
      </c>
      <c r="H1598" s="4" t="s">
        <v>17261</v>
      </c>
      <c r="I1598" t="s">
        <v>71</v>
      </c>
      <c r="J1598" t="s">
        <v>10782</v>
      </c>
      <c r="K1598" t="s">
        <v>17262</v>
      </c>
    </row>
    <row r="1599" spans="1:11" ht="172.8" x14ac:dyDescent="0.3">
      <c r="A1599" s="4" t="s">
        <v>4901</v>
      </c>
      <c r="B1599">
        <v>3</v>
      </c>
      <c r="C1599">
        <v>2023</v>
      </c>
      <c r="D1599" t="s">
        <v>147</v>
      </c>
      <c r="E1599">
        <v>26</v>
      </c>
      <c r="F1599" t="s">
        <v>17263</v>
      </c>
      <c r="G1599" t="s">
        <v>17264</v>
      </c>
      <c r="H1599" s="4" t="s">
        <v>17265</v>
      </c>
      <c r="I1599" t="s">
        <v>71</v>
      </c>
      <c r="J1599" t="s">
        <v>10782</v>
      </c>
      <c r="K1599" t="s">
        <v>17266</v>
      </c>
    </row>
    <row r="1600" spans="1:11" ht="28.8" x14ac:dyDescent="0.3">
      <c r="A1600" s="4" t="s">
        <v>4902</v>
      </c>
      <c r="B1600">
        <v>3</v>
      </c>
      <c r="C1600">
        <v>2023</v>
      </c>
      <c r="D1600" t="s">
        <v>217</v>
      </c>
      <c r="E1600">
        <v>8</v>
      </c>
      <c r="F1600" t="s">
        <v>17267</v>
      </c>
      <c r="G1600" t="s">
        <v>17268</v>
      </c>
      <c r="H1600" s="4" t="s">
        <v>17269</v>
      </c>
    </row>
    <row r="1601" spans="1:11" ht="28.8" x14ac:dyDescent="0.3">
      <c r="A1601" s="4" t="s">
        <v>4903</v>
      </c>
      <c r="B1601">
        <v>3</v>
      </c>
      <c r="C1601">
        <v>2022</v>
      </c>
      <c r="D1601" t="s">
        <v>1570</v>
      </c>
      <c r="E1601">
        <v>1</v>
      </c>
      <c r="F1601" t="s">
        <v>17270</v>
      </c>
      <c r="G1601" t="s">
        <v>17271</v>
      </c>
      <c r="H1601" s="4" t="s">
        <v>17272</v>
      </c>
    </row>
    <row r="1602" spans="1:11" ht="230.4" x14ac:dyDescent="0.3">
      <c r="A1602" s="4" t="s">
        <v>4904</v>
      </c>
      <c r="B1602">
        <v>3</v>
      </c>
      <c r="C1602">
        <v>2022</v>
      </c>
      <c r="D1602" t="s">
        <v>17273</v>
      </c>
      <c r="E1602">
        <v>2</v>
      </c>
      <c r="F1602" t="s">
        <v>17274</v>
      </c>
      <c r="G1602" t="s">
        <v>17275</v>
      </c>
      <c r="H1602" s="4" t="s">
        <v>17276</v>
      </c>
      <c r="I1602" t="s">
        <v>71</v>
      </c>
      <c r="J1602" t="s">
        <v>10782</v>
      </c>
      <c r="K1602" t="s">
        <v>17277</v>
      </c>
    </row>
    <row r="1603" spans="1:11" ht="115.2" x14ac:dyDescent="0.3">
      <c r="A1603" s="4" t="s">
        <v>4905</v>
      </c>
      <c r="B1603">
        <v>3</v>
      </c>
      <c r="C1603">
        <v>2022</v>
      </c>
      <c r="D1603" t="s">
        <v>217</v>
      </c>
      <c r="E1603">
        <v>2</v>
      </c>
      <c r="F1603" t="s">
        <v>17278</v>
      </c>
      <c r="G1603" t="s">
        <v>17279</v>
      </c>
      <c r="H1603" s="4" t="s">
        <v>17280</v>
      </c>
    </row>
    <row r="1604" spans="1:11" ht="216" x14ac:dyDescent="0.3">
      <c r="A1604" s="4" t="s">
        <v>4906</v>
      </c>
      <c r="B1604">
        <v>3</v>
      </c>
      <c r="C1604">
        <v>2022</v>
      </c>
      <c r="D1604" t="s">
        <v>1570</v>
      </c>
      <c r="E1604">
        <v>2</v>
      </c>
      <c r="F1604" t="s">
        <v>17281</v>
      </c>
      <c r="G1604" t="s">
        <v>17282</v>
      </c>
      <c r="H1604" s="4" t="s">
        <v>17283</v>
      </c>
      <c r="I1604" t="s">
        <v>71</v>
      </c>
      <c r="J1604" t="s">
        <v>10782</v>
      </c>
      <c r="K1604" t="s">
        <v>17284</v>
      </c>
    </row>
    <row r="1605" spans="1:11" ht="201.6" x14ac:dyDescent="0.3">
      <c r="A1605" s="4" t="s">
        <v>4907</v>
      </c>
      <c r="B1605">
        <v>3</v>
      </c>
      <c r="C1605">
        <v>2022</v>
      </c>
      <c r="D1605" t="s">
        <v>1530</v>
      </c>
      <c r="E1605">
        <v>10</v>
      </c>
      <c r="F1605" t="s">
        <v>17285</v>
      </c>
      <c r="G1605" t="s">
        <v>17286</v>
      </c>
      <c r="H1605" s="4" t="s">
        <v>17287</v>
      </c>
      <c r="I1605" t="s">
        <v>71</v>
      </c>
      <c r="J1605" t="s">
        <v>10782</v>
      </c>
      <c r="K1605" t="s">
        <v>17288</v>
      </c>
    </row>
    <row r="1606" spans="1:11" ht="115.2" x14ac:dyDescent="0.3">
      <c r="A1606" s="4" t="s">
        <v>4908</v>
      </c>
      <c r="B1606">
        <v>3</v>
      </c>
      <c r="C1606">
        <v>2022</v>
      </c>
      <c r="D1606" t="s">
        <v>1129</v>
      </c>
      <c r="E1606">
        <v>24</v>
      </c>
      <c r="F1606" t="s">
        <v>17289</v>
      </c>
      <c r="G1606" t="s">
        <v>17290</v>
      </c>
      <c r="H1606" s="4" t="s">
        <v>17291</v>
      </c>
      <c r="I1606" t="s">
        <v>71</v>
      </c>
      <c r="J1606" t="s">
        <v>10782</v>
      </c>
      <c r="K1606" t="s">
        <v>17292</v>
      </c>
    </row>
    <row r="1607" spans="1:11" ht="172.8" x14ac:dyDescent="0.3">
      <c r="A1607" s="4" t="s">
        <v>4909</v>
      </c>
      <c r="B1607">
        <v>3</v>
      </c>
      <c r="C1607">
        <v>2022</v>
      </c>
      <c r="D1607" t="s">
        <v>1936</v>
      </c>
      <c r="E1607">
        <v>29</v>
      </c>
      <c r="F1607" t="s">
        <v>17293</v>
      </c>
      <c r="G1607" t="s">
        <v>17294</v>
      </c>
      <c r="H1607" s="4" t="s">
        <v>17295</v>
      </c>
      <c r="I1607" t="s">
        <v>10823</v>
      </c>
      <c r="J1607" t="s">
        <v>10782</v>
      </c>
      <c r="K1607" t="s">
        <v>17296</v>
      </c>
    </row>
    <row r="1608" spans="1:11" ht="129.6" x14ac:dyDescent="0.3">
      <c r="A1608" s="4" t="s">
        <v>3277</v>
      </c>
      <c r="B1608">
        <v>1</v>
      </c>
      <c r="C1608">
        <v>2022</v>
      </c>
      <c r="D1608" t="s">
        <v>329</v>
      </c>
      <c r="E1608">
        <v>2</v>
      </c>
      <c r="F1608" t="s">
        <v>17297</v>
      </c>
      <c r="G1608" t="s">
        <v>17298</v>
      </c>
      <c r="H1608" s="4" t="s">
        <v>17299</v>
      </c>
      <c r="I1608" t="s">
        <v>71</v>
      </c>
      <c r="J1608" t="s">
        <v>10782</v>
      </c>
      <c r="K1608" t="s">
        <v>17300</v>
      </c>
    </row>
    <row r="1609" spans="1:11" ht="187.2" x14ac:dyDescent="0.3">
      <c r="A1609" s="4" t="s">
        <v>4910</v>
      </c>
      <c r="B1609">
        <v>3</v>
      </c>
      <c r="C1609">
        <v>2022</v>
      </c>
      <c r="D1609" t="s">
        <v>10815</v>
      </c>
      <c r="E1609">
        <v>33</v>
      </c>
      <c r="F1609" t="s">
        <v>17301</v>
      </c>
      <c r="G1609" t="s">
        <v>17302</v>
      </c>
      <c r="H1609" s="4" t="s">
        <v>17303</v>
      </c>
      <c r="I1609" t="s">
        <v>71</v>
      </c>
      <c r="J1609" t="s">
        <v>10782</v>
      </c>
      <c r="K1609" t="s">
        <v>17304</v>
      </c>
    </row>
    <row r="1610" spans="1:11" ht="216" x14ac:dyDescent="0.3">
      <c r="A1610" s="4" t="s">
        <v>4911</v>
      </c>
      <c r="B1610">
        <v>3</v>
      </c>
      <c r="C1610">
        <v>2022</v>
      </c>
      <c r="D1610" t="s">
        <v>892</v>
      </c>
      <c r="E1610">
        <v>8</v>
      </c>
      <c r="F1610" t="s">
        <v>17305</v>
      </c>
      <c r="G1610" t="s">
        <v>17306</v>
      </c>
      <c r="H1610" s="4" t="s">
        <v>17307</v>
      </c>
      <c r="I1610" t="s">
        <v>71</v>
      </c>
      <c r="J1610" t="s">
        <v>10782</v>
      </c>
      <c r="K1610" t="s">
        <v>17308</v>
      </c>
    </row>
    <row r="1611" spans="1:11" x14ac:dyDescent="0.3">
      <c r="A1611" s="4" t="s">
        <v>4912</v>
      </c>
      <c r="B1611">
        <v>3</v>
      </c>
      <c r="C1611">
        <v>2022</v>
      </c>
      <c r="D1611" t="s">
        <v>2986</v>
      </c>
      <c r="E1611">
        <v>1</v>
      </c>
      <c r="F1611" t="s">
        <v>17309</v>
      </c>
      <c r="G1611" t="s">
        <v>17310</v>
      </c>
      <c r="H1611" s="4" t="s">
        <v>17311</v>
      </c>
      <c r="I1611" t="s">
        <v>71</v>
      </c>
      <c r="J1611" t="s">
        <v>10782</v>
      </c>
      <c r="K1611" t="s">
        <v>17312</v>
      </c>
    </row>
    <row r="1612" spans="1:11" ht="216" x14ac:dyDescent="0.3">
      <c r="A1612" s="4" t="s">
        <v>4913</v>
      </c>
      <c r="B1612">
        <v>3</v>
      </c>
      <c r="C1612">
        <v>2022</v>
      </c>
      <c r="D1612" t="s">
        <v>1759</v>
      </c>
      <c r="E1612">
        <v>3</v>
      </c>
      <c r="F1612" t="s">
        <v>17313</v>
      </c>
      <c r="G1612" t="s">
        <v>17314</v>
      </c>
      <c r="H1612" s="4" t="s">
        <v>17315</v>
      </c>
      <c r="I1612" t="s">
        <v>71</v>
      </c>
      <c r="J1612" t="s">
        <v>10782</v>
      </c>
      <c r="K1612" t="s">
        <v>17316</v>
      </c>
    </row>
    <row r="1613" spans="1:11" ht="100.8" x14ac:dyDescent="0.3">
      <c r="A1613" s="4" t="s">
        <v>935</v>
      </c>
      <c r="B1613">
        <v>1</v>
      </c>
      <c r="C1613">
        <v>2022</v>
      </c>
      <c r="D1613" t="s">
        <v>277</v>
      </c>
      <c r="E1613">
        <v>88</v>
      </c>
      <c r="F1613" t="s">
        <v>17317</v>
      </c>
      <c r="G1613" t="s">
        <v>17318</v>
      </c>
      <c r="H1613" s="4" t="s">
        <v>17319</v>
      </c>
      <c r="I1613" t="s">
        <v>71</v>
      </c>
      <c r="J1613" t="s">
        <v>10782</v>
      </c>
      <c r="K1613" t="s">
        <v>17320</v>
      </c>
    </row>
    <row r="1614" spans="1:11" ht="144" x14ac:dyDescent="0.3">
      <c r="A1614" s="4" t="s">
        <v>4914</v>
      </c>
      <c r="B1614">
        <v>3</v>
      </c>
      <c r="C1614">
        <v>2022</v>
      </c>
      <c r="D1614" t="s">
        <v>277</v>
      </c>
      <c r="E1614">
        <v>24</v>
      </c>
      <c r="F1614" t="s">
        <v>17321</v>
      </c>
      <c r="G1614" t="s">
        <v>17322</v>
      </c>
      <c r="H1614" s="4" t="s">
        <v>17323</v>
      </c>
      <c r="I1614" t="s">
        <v>71</v>
      </c>
      <c r="J1614" t="s">
        <v>10782</v>
      </c>
      <c r="K1614" t="s">
        <v>17324</v>
      </c>
    </row>
    <row r="1615" spans="1:11" ht="158.4" x14ac:dyDescent="0.3">
      <c r="A1615" s="4" t="s">
        <v>4915</v>
      </c>
      <c r="B1615">
        <v>3</v>
      </c>
      <c r="C1615">
        <v>2022</v>
      </c>
      <c r="D1615" t="s">
        <v>11064</v>
      </c>
      <c r="E1615">
        <v>17</v>
      </c>
      <c r="F1615" t="s">
        <v>17325</v>
      </c>
      <c r="G1615" t="s">
        <v>17326</v>
      </c>
      <c r="H1615" s="4" t="s">
        <v>17327</v>
      </c>
    </row>
    <row r="1616" spans="1:11" ht="129.6" x14ac:dyDescent="0.3">
      <c r="A1616" s="4" t="s">
        <v>4916</v>
      </c>
      <c r="B1616">
        <v>3</v>
      </c>
      <c r="C1616">
        <v>2022</v>
      </c>
      <c r="D1616" t="s">
        <v>2328</v>
      </c>
      <c r="E1616">
        <v>5</v>
      </c>
      <c r="F1616" t="s">
        <v>17328</v>
      </c>
      <c r="G1616" t="s">
        <v>17329</v>
      </c>
      <c r="H1616" s="4" t="s">
        <v>17330</v>
      </c>
      <c r="I1616" t="s">
        <v>71</v>
      </c>
      <c r="J1616" t="s">
        <v>10782</v>
      </c>
      <c r="K1616" t="s">
        <v>17331</v>
      </c>
    </row>
    <row r="1617" spans="1:11" ht="216" x14ac:dyDescent="0.3">
      <c r="A1617" s="4" t="s">
        <v>4917</v>
      </c>
      <c r="B1617">
        <v>3</v>
      </c>
      <c r="C1617">
        <v>2022</v>
      </c>
      <c r="D1617" t="s">
        <v>329</v>
      </c>
      <c r="E1617">
        <v>8</v>
      </c>
      <c r="F1617" t="s">
        <v>17332</v>
      </c>
      <c r="G1617" t="s">
        <v>17333</v>
      </c>
      <c r="H1617" s="4" t="s">
        <v>17334</v>
      </c>
      <c r="I1617" t="s">
        <v>71</v>
      </c>
      <c r="J1617" t="s">
        <v>10782</v>
      </c>
      <c r="K1617" t="s">
        <v>17335</v>
      </c>
    </row>
    <row r="1618" spans="1:11" ht="100.8" x14ac:dyDescent="0.3">
      <c r="A1618" s="4" t="s">
        <v>4918</v>
      </c>
      <c r="B1618">
        <v>3</v>
      </c>
      <c r="C1618">
        <v>2022</v>
      </c>
      <c r="D1618" t="s">
        <v>724</v>
      </c>
      <c r="E1618">
        <v>3</v>
      </c>
      <c r="F1618" t="s">
        <v>17336</v>
      </c>
      <c r="G1618" t="s">
        <v>17337</v>
      </c>
      <c r="H1618" s="4" t="s">
        <v>17338</v>
      </c>
    </row>
    <row r="1619" spans="1:11" ht="216" x14ac:dyDescent="0.3">
      <c r="A1619" s="4" t="s">
        <v>4919</v>
      </c>
      <c r="B1619">
        <v>3</v>
      </c>
      <c r="C1619">
        <v>2022</v>
      </c>
      <c r="D1619" t="s">
        <v>11041</v>
      </c>
      <c r="E1619">
        <v>1</v>
      </c>
      <c r="F1619" t="s">
        <v>17339</v>
      </c>
      <c r="G1619" t="s">
        <v>17340</v>
      </c>
      <c r="H1619" s="4" t="s">
        <v>17341</v>
      </c>
      <c r="I1619" t="s">
        <v>71</v>
      </c>
      <c r="J1619" t="s">
        <v>10782</v>
      </c>
      <c r="K1619" t="s">
        <v>17342</v>
      </c>
    </row>
    <row r="1620" spans="1:11" ht="115.2" x14ac:dyDescent="0.3">
      <c r="A1620" s="4" t="s">
        <v>4920</v>
      </c>
      <c r="B1620">
        <v>3</v>
      </c>
      <c r="C1620">
        <v>2022</v>
      </c>
      <c r="D1620" t="s">
        <v>318</v>
      </c>
      <c r="E1620">
        <v>23</v>
      </c>
      <c r="F1620" t="s">
        <v>17343</v>
      </c>
      <c r="G1620" t="s">
        <v>17344</v>
      </c>
      <c r="H1620" s="4" t="s">
        <v>17345</v>
      </c>
      <c r="I1620" t="s">
        <v>71</v>
      </c>
      <c r="J1620" t="s">
        <v>10782</v>
      </c>
      <c r="K1620" t="s">
        <v>17346</v>
      </c>
    </row>
    <row r="1621" spans="1:11" ht="172.8" x14ac:dyDescent="0.3">
      <c r="A1621" s="4" t="s">
        <v>4921</v>
      </c>
      <c r="B1621">
        <v>3</v>
      </c>
      <c r="C1621">
        <v>2022</v>
      </c>
      <c r="D1621" t="s">
        <v>550</v>
      </c>
      <c r="E1621">
        <v>3</v>
      </c>
      <c r="F1621" t="s">
        <v>17347</v>
      </c>
      <c r="G1621" t="s">
        <v>17348</v>
      </c>
      <c r="H1621" s="4" t="s">
        <v>17349</v>
      </c>
      <c r="I1621" t="s">
        <v>71</v>
      </c>
      <c r="J1621" t="s">
        <v>10782</v>
      </c>
      <c r="K1621" t="s">
        <v>17350</v>
      </c>
    </row>
    <row r="1622" spans="1:11" ht="158.4" x14ac:dyDescent="0.3">
      <c r="A1622" s="4" t="s">
        <v>4922</v>
      </c>
      <c r="B1622">
        <v>3</v>
      </c>
      <c r="C1622">
        <v>2022</v>
      </c>
      <c r="D1622" t="s">
        <v>11674</v>
      </c>
      <c r="E1622">
        <v>12</v>
      </c>
      <c r="F1622" t="s">
        <v>17351</v>
      </c>
      <c r="G1622" t="s">
        <v>17352</v>
      </c>
      <c r="H1622" s="4" t="s">
        <v>17353</v>
      </c>
      <c r="I1622" t="s">
        <v>71</v>
      </c>
      <c r="J1622" t="s">
        <v>10782</v>
      </c>
      <c r="K1622" t="s">
        <v>17354</v>
      </c>
    </row>
    <row r="1623" spans="1:11" ht="244.8" x14ac:dyDescent="0.3">
      <c r="A1623" s="4" t="s">
        <v>941</v>
      </c>
      <c r="B1623">
        <v>1</v>
      </c>
      <c r="C1623">
        <v>2022</v>
      </c>
      <c r="D1623" t="s">
        <v>128</v>
      </c>
      <c r="E1623">
        <v>4</v>
      </c>
      <c r="F1623" t="s">
        <v>17355</v>
      </c>
      <c r="G1623" t="s">
        <v>17356</v>
      </c>
      <c r="H1623" s="4" t="s">
        <v>17357</v>
      </c>
      <c r="I1623" t="s">
        <v>71</v>
      </c>
      <c r="J1623" t="s">
        <v>10782</v>
      </c>
      <c r="K1623" t="s">
        <v>17358</v>
      </c>
    </row>
    <row r="1624" spans="1:11" ht="86.4" x14ac:dyDescent="0.3">
      <c r="A1624" s="4" t="s">
        <v>4923</v>
      </c>
      <c r="B1624">
        <v>3</v>
      </c>
      <c r="C1624">
        <v>2022</v>
      </c>
      <c r="D1624" t="s">
        <v>817</v>
      </c>
      <c r="E1624">
        <v>12</v>
      </c>
      <c r="F1624" t="s">
        <v>17359</v>
      </c>
      <c r="G1624" t="s">
        <v>17360</v>
      </c>
      <c r="H1624" s="4" t="s">
        <v>17361</v>
      </c>
    </row>
    <row r="1625" spans="1:11" ht="230.4" x14ac:dyDescent="0.3">
      <c r="A1625" s="4" t="s">
        <v>4924</v>
      </c>
      <c r="B1625">
        <v>3</v>
      </c>
      <c r="C1625">
        <v>2022</v>
      </c>
      <c r="D1625" t="s">
        <v>17362</v>
      </c>
      <c r="E1625">
        <v>7</v>
      </c>
      <c r="F1625" t="s">
        <v>17363</v>
      </c>
      <c r="G1625" t="s">
        <v>17364</v>
      </c>
      <c r="H1625" s="4" t="s">
        <v>17365</v>
      </c>
      <c r="I1625" t="s">
        <v>71</v>
      </c>
      <c r="J1625" t="s">
        <v>10782</v>
      </c>
      <c r="K1625" t="s">
        <v>17366</v>
      </c>
    </row>
    <row r="1626" spans="1:11" ht="129.6" x14ac:dyDescent="0.3">
      <c r="A1626" s="4" t="s">
        <v>942</v>
      </c>
      <c r="B1626">
        <v>1</v>
      </c>
      <c r="C1626">
        <v>2022</v>
      </c>
      <c r="D1626" t="s">
        <v>405</v>
      </c>
      <c r="E1626">
        <v>16</v>
      </c>
      <c r="F1626" t="s">
        <v>17367</v>
      </c>
      <c r="G1626" t="s">
        <v>17368</v>
      </c>
      <c r="H1626" s="4" t="s">
        <v>17369</v>
      </c>
      <c r="I1626" t="s">
        <v>71</v>
      </c>
      <c r="J1626" t="s">
        <v>10782</v>
      </c>
      <c r="K1626" t="s">
        <v>17370</v>
      </c>
    </row>
    <row r="1627" spans="1:11" ht="172.8" x14ac:dyDescent="0.3">
      <c r="A1627" s="4" t="s">
        <v>4925</v>
      </c>
      <c r="B1627">
        <v>3</v>
      </c>
      <c r="C1627">
        <v>2022</v>
      </c>
      <c r="D1627" t="s">
        <v>277</v>
      </c>
      <c r="E1627">
        <v>5</v>
      </c>
      <c r="F1627" t="s">
        <v>17371</v>
      </c>
      <c r="G1627" t="s">
        <v>17372</v>
      </c>
      <c r="H1627" s="4" t="s">
        <v>17373</v>
      </c>
      <c r="I1627" t="s">
        <v>71</v>
      </c>
      <c r="J1627" t="s">
        <v>10782</v>
      </c>
      <c r="K1627" t="s">
        <v>17374</v>
      </c>
    </row>
    <row r="1628" spans="1:11" ht="230.4" x14ac:dyDescent="0.3">
      <c r="A1628" s="4" t="s">
        <v>3528</v>
      </c>
      <c r="B1628">
        <v>2</v>
      </c>
      <c r="C1628">
        <v>2022</v>
      </c>
      <c r="D1628" t="s">
        <v>12037</v>
      </c>
      <c r="E1628">
        <v>12</v>
      </c>
      <c r="F1628" t="s">
        <v>17375</v>
      </c>
      <c r="G1628" t="s">
        <v>17376</v>
      </c>
      <c r="H1628" s="4" t="s">
        <v>17377</v>
      </c>
    </row>
    <row r="1629" spans="1:11" ht="172.8" x14ac:dyDescent="0.3">
      <c r="A1629" s="4" t="s">
        <v>4926</v>
      </c>
      <c r="B1629">
        <v>3</v>
      </c>
      <c r="C1629">
        <v>2022</v>
      </c>
      <c r="D1629" t="s">
        <v>10971</v>
      </c>
      <c r="E1629">
        <v>9</v>
      </c>
      <c r="F1629" t="s">
        <v>17378</v>
      </c>
      <c r="G1629" t="s">
        <v>17379</v>
      </c>
      <c r="H1629" s="4" t="s">
        <v>17380</v>
      </c>
      <c r="I1629" t="s">
        <v>71</v>
      </c>
      <c r="J1629" t="s">
        <v>10782</v>
      </c>
      <c r="K1629" t="s">
        <v>17381</v>
      </c>
    </row>
    <row r="1630" spans="1:11" ht="144" x14ac:dyDescent="0.3">
      <c r="A1630" s="4" t="s">
        <v>3278</v>
      </c>
      <c r="B1630">
        <v>1</v>
      </c>
      <c r="C1630">
        <v>2022</v>
      </c>
      <c r="D1630" t="s">
        <v>217</v>
      </c>
      <c r="E1630">
        <v>3</v>
      </c>
      <c r="F1630" t="s">
        <v>17382</v>
      </c>
      <c r="G1630" t="s">
        <v>17383</v>
      </c>
      <c r="H1630" s="4" t="s">
        <v>17384</v>
      </c>
    </row>
    <row r="1631" spans="1:11" ht="144" x14ac:dyDescent="0.3">
      <c r="A1631" s="4" t="s">
        <v>4927</v>
      </c>
      <c r="B1631">
        <v>3</v>
      </c>
      <c r="C1631">
        <v>2022</v>
      </c>
      <c r="D1631" t="s">
        <v>1570</v>
      </c>
      <c r="E1631">
        <v>3</v>
      </c>
      <c r="F1631" t="s">
        <v>17385</v>
      </c>
      <c r="G1631" t="s">
        <v>17386</v>
      </c>
      <c r="H1631" s="4" t="s">
        <v>17387</v>
      </c>
      <c r="I1631" t="s">
        <v>71</v>
      </c>
      <c r="J1631" t="s">
        <v>10782</v>
      </c>
      <c r="K1631" t="s">
        <v>17388</v>
      </c>
    </row>
    <row r="1632" spans="1:11" ht="316.8" x14ac:dyDescent="0.3">
      <c r="A1632" s="4" t="s">
        <v>4928</v>
      </c>
      <c r="B1632">
        <v>3</v>
      </c>
      <c r="C1632">
        <v>2022</v>
      </c>
      <c r="D1632" t="s">
        <v>637</v>
      </c>
      <c r="E1632">
        <v>24</v>
      </c>
      <c r="F1632" t="s">
        <v>17389</v>
      </c>
      <c r="G1632" t="s">
        <v>17390</v>
      </c>
      <c r="H1632" s="4" t="s">
        <v>17391</v>
      </c>
      <c r="I1632" t="s">
        <v>71</v>
      </c>
      <c r="J1632" t="s">
        <v>10782</v>
      </c>
      <c r="K1632" t="s">
        <v>17392</v>
      </c>
    </row>
    <row r="1633" spans="1:11" ht="216" x14ac:dyDescent="0.3">
      <c r="A1633" s="4" t="s">
        <v>4929</v>
      </c>
      <c r="B1633">
        <v>3</v>
      </c>
      <c r="C1633">
        <v>2022</v>
      </c>
      <c r="D1633" t="s">
        <v>637</v>
      </c>
      <c r="E1633">
        <v>3</v>
      </c>
      <c r="F1633" t="s">
        <v>17393</v>
      </c>
      <c r="G1633" t="s">
        <v>17394</v>
      </c>
      <c r="H1633" s="4" t="s">
        <v>17395</v>
      </c>
      <c r="I1633" t="s">
        <v>71</v>
      </c>
      <c r="J1633" t="s">
        <v>10782</v>
      </c>
      <c r="K1633" t="s">
        <v>17396</v>
      </c>
    </row>
    <row r="1634" spans="1:11" ht="201.6" x14ac:dyDescent="0.3">
      <c r="A1634" s="4" t="s">
        <v>4930</v>
      </c>
      <c r="B1634">
        <v>3</v>
      </c>
      <c r="C1634">
        <v>2022</v>
      </c>
      <c r="D1634" t="s">
        <v>10937</v>
      </c>
      <c r="E1634">
        <v>21</v>
      </c>
      <c r="F1634" t="s">
        <v>17397</v>
      </c>
      <c r="G1634" t="s">
        <v>17398</v>
      </c>
      <c r="H1634" s="4" t="s">
        <v>17399</v>
      </c>
      <c r="I1634" t="s">
        <v>71</v>
      </c>
      <c r="J1634" t="s">
        <v>10782</v>
      </c>
      <c r="K1634" t="s">
        <v>17400</v>
      </c>
    </row>
    <row r="1635" spans="1:11" ht="158.4" x14ac:dyDescent="0.3">
      <c r="A1635" s="4" t="s">
        <v>4931</v>
      </c>
      <c r="B1635">
        <v>3</v>
      </c>
      <c r="C1635">
        <v>2022</v>
      </c>
      <c r="D1635" t="s">
        <v>17401</v>
      </c>
      <c r="E1635">
        <v>0</v>
      </c>
      <c r="F1635" t="s">
        <v>17402</v>
      </c>
      <c r="G1635" t="s">
        <v>17403</v>
      </c>
      <c r="H1635" s="4" t="s">
        <v>17404</v>
      </c>
      <c r="I1635" t="s">
        <v>71</v>
      </c>
      <c r="J1635" t="s">
        <v>10782</v>
      </c>
      <c r="K1635" t="s">
        <v>17405</v>
      </c>
    </row>
    <row r="1636" spans="1:11" ht="172.8" x14ac:dyDescent="0.3">
      <c r="A1636" s="4" t="s">
        <v>943</v>
      </c>
      <c r="B1636">
        <v>1</v>
      </c>
      <c r="C1636">
        <v>2022</v>
      </c>
      <c r="D1636" t="s">
        <v>550</v>
      </c>
      <c r="E1636">
        <v>5</v>
      </c>
      <c r="F1636" t="s">
        <v>17406</v>
      </c>
      <c r="G1636" t="s">
        <v>17407</v>
      </c>
      <c r="H1636" s="4" t="s">
        <v>17408</v>
      </c>
      <c r="I1636" t="s">
        <v>71</v>
      </c>
      <c r="J1636" t="s">
        <v>10782</v>
      </c>
      <c r="K1636" t="s">
        <v>17409</v>
      </c>
    </row>
    <row r="1637" spans="1:11" ht="158.4" x14ac:dyDescent="0.3">
      <c r="A1637" s="4" t="s">
        <v>3279</v>
      </c>
      <c r="B1637">
        <v>1</v>
      </c>
      <c r="C1637">
        <v>2022</v>
      </c>
      <c r="D1637" t="s">
        <v>277</v>
      </c>
      <c r="E1637">
        <v>26</v>
      </c>
      <c r="F1637" t="s">
        <v>17410</v>
      </c>
      <c r="G1637" t="s">
        <v>17411</v>
      </c>
      <c r="H1637" s="4" t="s">
        <v>17412</v>
      </c>
      <c r="I1637" t="s">
        <v>71</v>
      </c>
      <c r="J1637" t="s">
        <v>10782</v>
      </c>
      <c r="K1637" t="s">
        <v>17413</v>
      </c>
    </row>
    <row r="1638" spans="1:11" ht="216" x14ac:dyDescent="0.3">
      <c r="A1638" s="4" t="s">
        <v>4932</v>
      </c>
      <c r="B1638">
        <v>3</v>
      </c>
      <c r="C1638">
        <v>2022</v>
      </c>
      <c r="D1638" t="s">
        <v>17273</v>
      </c>
      <c r="E1638">
        <v>6</v>
      </c>
      <c r="F1638" t="s">
        <v>17414</v>
      </c>
      <c r="G1638" t="s">
        <v>17415</v>
      </c>
      <c r="H1638" s="4" t="s">
        <v>17416</v>
      </c>
      <c r="I1638" t="s">
        <v>71</v>
      </c>
      <c r="J1638" t="s">
        <v>10782</v>
      </c>
      <c r="K1638" t="s">
        <v>17417</v>
      </c>
    </row>
    <row r="1639" spans="1:11" ht="259.2" x14ac:dyDescent="0.3">
      <c r="A1639" s="4" t="s">
        <v>4933</v>
      </c>
      <c r="B1639">
        <v>3</v>
      </c>
      <c r="C1639">
        <v>2022</v>
      </c>
      <c r="D1639" t="s">
        <v>13816</v>
      </c>
      <c r="E1639">
        <v>3</v>
      </c>
      <c r="F1639" t="s">
        <v>17418</v>
      </c>
      <c r="G1639" t="s">
        <v>17419</v>
      </c>
      <c r="H1639" s="4" t="s">
        <v>17420</v>
      </c>
      <c r="I1639" t="s">
        <v>71</v>
      </c>
      <c r="J1639" t="s">
        <v>10782</v>
      </c>
      <c r="K1639" t="s">
        <v>17421</v>
      </c>
    </row>
    <row r="1640" spans="1:11" ht="129.6" x14ac:dyDescent="0.3">
      <c r="A1640" s="4" t="s">
        <v>4934</v>
      </c>
      <c r="B1640">
        <v>3</v>
      </c>
      <c r="C1640">
        <v>2022</v>
      </c>
      <c r="D1640" t="s">
        <v>277</v>
      </c>
      <c r="E1640">
        <v>7</v>
      </c>
      <c r="F1640" t="s">
        <v>17422</v>
      </c>
      <c r="G1640" t="s">
        <v>17423</v>
      </c>
      <c r="H1640" s="4" t="s">
        <v>17424</v>
      </c>
      <c r="I1640" t="s">
        <v>71</v>
      </c>
      <c r="J1640" t="s">
        <v>10782</v>
      </c>
      <c r="K1640" t="s">
        <v>17425</v>
      </c>
    </row>
    <row r="1641" spans="1:11" ht="187.2" x14ac:dyDescent="0.3">
      <c r="A1641" s="4" t="s">
        <v>2553</v>
      </c>
      <c r="B1641">
        <v>2</v>
      </c>
      <c r="C1641">
        <v>2022</v>
      </c>
      <c r="D1641" t="s">
        <v>405</v>
      </c>
      <c r="E1641">
        <v>4</v>
      </c>
      <c r="F1641" t="s">
        <v>17426</v>
      </c>
      <c r="G1641" t="s">
        <v>17427</v>
      </c>
      <c r="H1641" s="4" t="s">
        <v>17428</v>
      </c>
      <c r="I1641" t="s">
        <v>71</v>
      </c>
      <c r="J1641" t="s">
        <v>10782</v>
      </c>
      <c r="K1641" t="s">
        <v>17429</v>
      </c>
    </row>
    <row r="1642" spans="1:11" ht="187.2" x14ac:dyDescent="0.3">
      <c r="A1642" s="4" t="s">
        <v>4935</v>
      </c>
      <c r="B1642">
        <v>3</v>
      </c>
      <c r="C1642">
        <v>2022</v>
      </c>
      <c r="D1642" t="s">
        <v>1936</v>
      </c>
      <c r="E1642">
        <v>5</v>
      </c>
      <c r="F1642" t="s">
        <v>17430</v>
      </c>
      <c r="G1642" t="s">
        <v>17431</v>
      </c>
      <c r="H1642" s="4" t="s">
        <v>17432</v>
      </c>
      <c r="I1642" t="s">
        <v>71</v>
      </c>
      <c r="J1642" t="s">
        <v>10782</v>
      </c>
      <c r="K1642" t="s">
        <v>17433</v>
      </c>
    </row>
    <row r="1643" spans="1:11" ht="216" x14ac:dyDescent="0.3">
      <c r="A1643" s="4" t="s">
        <v>4936</v>
      </c>
      <c r="B1643">
        <v>3</v>
      </c>
      <c r="C1643">
        <v>2022</v>
      </c>
      <c r="D1643" t="s">
        <v>405</v>
      </c>
      <c r="E1643">
        <v>33</v>
      </c>
      <c r="F1643" t="s">
        <v>17434</v>
      </c>
      <c r="G1643" t="s">
        <v>17435</v>
      </c>
      <c r="H1643" s="4" t="s">
        <v>17436</v>
      </c>
      <c r="I1643" t="s">
        <v>71</v>
      </c>
      <c r="J1643" t="s">
        <v>10782</v>
      </c>
      <c r="K1643" t="s">
        <v>17437</v>
      </c>
    </row>
    <row r="1644" spans="1:11" ht="158.4" x14ac:dyDescent="0.3">
      <c r="A1644" s="4" t="s">
        <v>944</v>
      </c>
      <c r="B1644">
        <v>1</v>
      </c>
      <c r="C1644">
        <v>2022</v>
      </c>
      <c r="D1644" t="s">
        <v>1002</v>
      </c>
      <c r="E1644">
        <v>20</v>
      </c>
      <c r="F1644" t="s">
        <v>17438</v>
      </c>
      <c r="G1644" t="s">
        <v>17439</v>
      </c>
      <c r="H1644" s="4" t="s">
        <v>17440</v>
      </c>
      <c r="I1644" t="s">
        <v>71</v>
      </c>
      <c r="J1644" t="s">
        <v>10782</v>
      </c>
      <c r="K1644" t="s">
        <v>17441</v>
      </c>
    </row>
    <row r="1645" spans="1:11" ht="230.4" x14ac:dyDescent="0.3">
      <c r="A1645" s="4" t="s">
        <v>4937</v>
      </c>
      <c r="B1645">
        <v>3</v>
      </c>
      <c r="C1645">
        <v>2022</v>
      </c>
      <c r="D1645" t="s">
        <v>1849</v>
      </c>
      <c r="E1645">
        <v>9</v>
      </c>
      <c r="F1645" t="s">
        <v>17442</v>
      </c>
      <c r="G1645" t="s">
        <v>17443</v>
      </c>
      <c r="H1645" s="4" t="s">
        <v>17444</v>
      </c>
      <c r="I1645" t="s">
        <v>71</v>
      </c>
      <c r="J1645" t="s">
        <v>10782</v>
      </c>
      <c r="K1645" t="s">
        <v>17445</v>
      </c>
    </row>
    <row r="1646" spans="1:11" ht="187.2" x14ac:dyDescent="0.3">
      <c r="A1646" s="4" t="s">
        <v>4938</v>
      </c>
      <c r="B1646">
        <v>3</v>
      </c>
      <c r="C1646">
        <v>2022</v>
      </c>
      <c r="D1646" t="s">
        <v>17273</v>
      </c>
      <c r="E1646">
        <v>2</v>
      </c>
      <c r="F1646" t="s">
        <v>17446</v>
      </c>
      <c r="G1646" t="s">
        <v>17447</v>
      </c>
      <c r="H1646" s="4" t="s">
        <v>17448</v>
      </c>
      <c r="I1646" t="s">
        <v>71</v>
      </c>
      <c r="J1646" t="s">
        <v>10782</v>
      </c>
      <c r="K1646" t="s">
        <v>17449</v>
      </c>
    </row>
    <row r="1647" spans="1:11" ht="158.4" x14ac:dyDescent="0.3">
      <c r="A1647" s="4" t="s">
        <v>4939</v>
      </c>
      <c r="B1647">
        <v>3</v>
      </c>
      <c r="C1647">
        <v>2022</v>
      </c>
      <c r="D1647" t="s">
        <v>277</v>
      </c>
      <c r="E1647">
        <v>9</v>
      </c>
      <c r="F1647" t="s">
        <v>17450</v>
      </c>
      <c r="G1647" t="s">
        <v>17451</v>
      </c>
      <c r="H1647" s="4" t="s">
        <v>17452</v>
      </c>
      <c r="I1647" t="s">
        <v>71</v>
      </c>
      <c r="J1647" t="s">
        <v>10782</v>
      </c>
      <c r="K1647" t="s">
        <v>17453</v>
      </c>
    </row>
    <row r="1648" spans="1:11" ht="187.2" x14ac:dyDescent="0.3">
      <c r="A1648" s="4" t="s">
        <v>4940</v>
      </c>
      <c r="B1648">
        <v>3</v>
      </c>
      <c r="C1648">
        <v>2022</v>
      </c>
      <c r="D1648" t="s">
        <v>17454</v>
      </c>
      <c r="E1648">
        <v>1</v>
      </c>
      <c r="F1648" t="s">
        <v>17455</v>
      </c>
      <c r="G1648" t="s">
        <v>17456</v>
      </c>
      <c r="H1648" s="4" t="s">
        <v>17457</v>
      </c>
      <c r="I1648" t="s">
        <v>71</v>
      </c>
      <c r="J1648" t="s">
        <v>10782</v>
      </c>
      <c r="K1648" t="s">
        <v>17458</v>
      </c>
    </row>
    <row r="1649" spans="1:11" ht="302.39999999999998" x14ac:dyDescent="0.3">
      <c r="A1649" s="4" t="s">
        <v>4941</v>
      </c>
      <c r="B1649">
        <v>3</v>
      </c>
      <c r="C1649">
        <v>2022</v>
      </c>
      <c r="D1649" t="s">
        <v>11783</v>
      </c>
      <c r="E1649">
        <v>7</v>
      </c>
      <c r="F1649" t="s">
        <v>17459</v>
      </c>
      <c r="G1649" t="s">
        <v>17460</v>
      </c>
      <c r="H1649" s="4" t="s">
        <v>17461</v>
      </c>
      <c r="I1649" t="s">
        <v>71</v>
      </c>
      <c r="J1649" t="s">
        <v>10782</v>
      </c>
      <c r="K1649" t="s">
        <v>17462</v>
      </c>
    </row>
    <row r="1650" spans="1:11" ht="172.8" x14ac:dyDescent="0.3">
      <c r="A1650" s="4" t="s">
        <v>4942</v>
      </c>
      <c r="B1650">
        <v>3</v>
      </c>
      <c r="C1650">
        <v>2022</v>
      </c>
      <c r="D1650" t="s">
        <v>17463</v>
      </c>
      <c r="E1650">
        <v>0</v>
      </c>
      <c r="F1650" t="s">
        <v>17464</v>
      </c>
      <c r="G1650" t="s">
        <v>17465</v>
      </c>
      <c r="H1650" s="4" t="s">
        <v>17466</v>
      </c>
      <c r="I1650" t="s">
        <v>71</v>
      </c>
      <c r="J1650" t="s">
        <v>10782</v>
      </c>
      <c r="K1650" t="s">
        <v>17467</v>
      </c>
    </row>
    <row r="1651" spans="1:11" ht="172.8" x14ac:dyDescent="0.3">
      <c r="A1651" s="4" t="s">
        <v>4943</v>
      </c>
      <c r="B1651">
        <v>3</v>
      </c>
      <c r="C1651">
        <v>2022</v>
      </c>
      <c r="D1651" t="s">
        <v>13865</v>
      </c>
      <c r="E1651">
        <v>5</v>
      </c>
      <c r="F1651" t="s">
        <v>17468</v>
      </c>
      <c r="G1651" t="s">
        <v>17469</v>
      </c>
      <c r="H1651" s="4" t="s">
        <v>17470</v>
      </c>
      <c r="I1651" t="s">
        <v>71</v>
      </c>
      <c r="J1651" t="s">
        <v>10782</v>
      </c>
      <c r="K1651" t="s">
        <v>17471</v>
      </c>
    </row>
    <row r="1652" spans="1:11" ht="187.2" x14ac:dyDescent="0.3">
      <c r="A1652" s="4" t="s">
        <v>4944</v>
      </c>
      <c r="B1652">
        <v>3</v>
      </c>
      <c r="C1652">
        <v>2022</v>
      </c>
      <c r="D1652" t="s">
        <v>550</v>
      </c>
      <c r="E1652">
        <v>4</v>
      </c>
      <c r="F1652" t="s">
        <v>17472</v>
      </c>
      <c r="G1652" t="s">
        <v>17473</v>
      </c>
      <c r="H1652" s="4" t="s">
        <v>17474</v>
      </c>
      <c r="I1652" t="s">
        <v>71</v>
      </c>
      <c r="J1652" t="s">
        <v>10782</v>
      </c>
      <c r="K1652" t="s">
        <v>17475</v>
      </c>
    </row>
    <row r="1653" spans="1:11" ht="129.6" x14ac:dyDescent="0.3">
      <c r="A1653" s="4" t="s">
        <v>4945</v>
      </c>
      <c r="B1653">
        <v>3</v>
      </c>
      <c r="C1653">
        <v>2022</v>
      </c>
      <c r="D1653" t="s">
        <v>17476</v>
      </c>
      <c r="E1653">
        <v>0</v>
      </c>
      <c r="F1653" t="s">
        <v>17477</v>
      </c>
      <c r="G1653" t="s">
        <v>17478</v>
      </c>
      <c r="H1653" s="4" t="s">
        <v>17479</v>
      </c>
    </row>
    <row r="1654" spans="1:11" ht="86.4" x14ac:dyDescent="0.3">
      <c r="A1654" s="4" t="s">
        <v>4946</v>
      </c>
      <c r="B1654">
        <v>3</v>
      </c>
      <c r="C1654">
        <v>2022</v>
      </c>
      <c r="D1654" t="s">
        <v>482</v>
      </c>
      <c r="E1654">
        <v>2</v>
      </c>
      <c r="F1654" t="s">
        <v>17480</v>
      </c>
      <c r="G1654" t="s">
        <v>17481</v>
      </c>
      <c r="H1654" s="4" t="s">
        <v>17482</v>
      </c>
    </row>
    <row r="1655" spans="1:11" ht="187.2" x14ac:dyDescent="0.3">
      <c r="A1655" s="4" t="s">
        <v>4947</v>
      </c>
      <c r="B1655">
        <v>3</v>
      </c>
      <c r="C1655">
        <v>2022</v>
      </c>
      <c r="D1655" t="s">
        <v>380</v>
      </c>
      <c r="E1655">
        <v>6</v>
      </c>
      <c r="F1655" t="s">
        <v>17483</v>
      </c>
      <c r="G1655" t="s">
        <v>17484</v>
      </c>
      <c r="H1655" s="4" t="s">
        <v>17485</v>
      </c>
      <c r="I1655" t="s">
        <v>71</v>
      </c>
      <c r="J1655" t="s">
        <v>10782</v>
      </c>
      <c r="K1655" t="s">
        <v>17486</v>
      </c>
    </row>
    <row r="1656" spans="1:11" ht="216" x14ac:dyDescent="0.3">
      <c r="A1656" s="4" t="s">
        <v>4948</v>
      </c>
      <c r="B1656">
        <v>3</v>
      </c>
      <c r="C1656">
        <v>2022</v>
      </c>
      <c r="D1656" t="s">
        <v>17487</v>
      </c>
      <c r="E1656">
        <v>3</v>
      </c>
      <c r="F1656" t="s">
        <v>17488</v>
      </c>
      <c r="G1656" t="s">
        <v>17489</v>
      </c>
      <c r="H1656" s="4" t="s">
        <v>17490</v>
      </c>
      <c r="I1656" t="s">
        <v>71</v>
      </c>
      <c r="J1656" t="s">
        <v>10782</v>
      </c>
      <c r="K1656" t="s">
        <v>17491</v>
      </c>
    </row>
    <row r="1657" spans="1:11" ht="129.6" x14ac:dyDescent="0.3">
      <c r="A1657" s="4" t="s">
        <v>4949</v>
      </c>
      <c r="B1657">
        <v>3</v>
      </c>
      <c r="C1657">
        <v>2022</v>
      </c>
      <c r="D1657" t="s">
        <v>277</v>
      </c>
      <c r="E1657">
        <v>24</v>
      </c>
      <c r="F1657" t="s">
        <v>17492</v>
      </c>
      <c r="G1657" t="s">
        <v>17493</v>
      </c>
      <c r="H1657" s="4" t="s">
        <v>17494</v>
      </c>
      <c r="I1657" t="s">
        <v>71</v>
      </c>
      <c r="J1657" t="s">
        <v>10782</v>
      </c>
      <c r="K1657" t="s">
        <v>17495</v>
      </c>
    </row>
    <row r="1658" spans="1:11" ht="172.8" x14ac:dyDescent="0.3">
      <c r="A1658" s="4" t="s">
        <v>4950</v>
      </c>
      <c r="B1658">
        <v>3</v>
      </c>
      <c r="C1658">
        <v>2022</v>
      </c>
      <c r="D1658" t="s">
        <v>329</v>
      </c>
      <c r="E1658">
        <v>3</v>
      </c>
      <c r="F1658" t="s">
        <v>17496</v>
      </c>
      <c r="G1658" t="s">
        <v>17497</v>
      </c>
      <c r="H1658" s="4" t="s">
        <v>17498</v>
      </c>
    </row>
    <row r="1659" spans="1:11" ht="201.6" x14ac:dyDescent="0.3">
      <c r="A1659" s="4" t="s">
        <v>4951</v>
      </c>
      <c r="B1659">
        <v>3</v>
      </c>
      <c r="C1659">
        <v>2022</v>
      </c>
      <c r="D1659" t="s">
        <v>1936</v>
      </c>
      <c r="E1659">
        <v>27</v>
      </c>
      <c r="F1659" t="s">
        <v>17499</v>
      </c>
      <c r="G1659" t="s">
        <v>17500</v>
      </c>
      <c r="H1659" s="4" t="s">
        <v>17501</v>
      </c>
      <c r="I1659" t="s">
        <v>71</v>
      </c>
      <c r="J1659" t="s">
        <v>10782</v>
      </c>
      <c r="K1659" t="s">
        <v>17502</v>
      </c>
    </row>
    <row r="1660" spans="1:11" ht="129.6" x14ac:dyDescent="0.3">
      <c r="A1660" s="4" t="s">
        <v>4952</v>
      </c>
      <c r="B1660">
        <v>3</v>
      </c>
      <c r="C1660">
        <v>2022</v>
      </c>
      <c r="D1660" t="s">
        <v>478</v>
      </c>
      <c r="E1660">
        <v>4</v>
      </c>
      <c r="F1660" t="s">
        <v>17503</v>
      </c>
      <c r="G1660" t="s">
        <v>17504</v>
      </c>
      <c r="H1660" s="4" t="s">
        <v>17505</v>
      </c>
      <c r="I1660" t="s">
        <v>71</v>
      </c>
      <c r="J1660" t="s">
        <v>10782</v>
      </c>
      <c r="K1660" t="s">
        <v>17506</v>
      </c>
    </row>
    <row r="1661" spans="1:11" ht="158.4" x14ac:dyDescent="0.3">
      <c r="A1661" s="4" t="s">
        <v>4953</v>
      </c>
      <c r="B1661">
        <v>3</v>
      </c>
      <c r="C1661">
        <v>2022</v>
      </c>
      <c r="D1661" t="s">
        <v>190</v>
      </c>
      <c r="E1661">
        <v>21</v>
      </c>
      <c r="F1661" t="s">
        <v>17507</v>
      </c>
      <c r="G1661" t="s">
        <v>17508</v>
      </c>
      <c r="H1661" s="4" t="s">
        <v>17509</v>
      </c>
      <c r="I1661" t="s">
        <v>71</v>
      </c>
      <c r="J1661" t="s">
        <v>10782</v>
      </c>
      <c r="K1661" t="s">
        <v>17510</v>
      </c>
    </row>
    <row r="1662" spans="1:11" ht="144" x14ac:dyDescent="0.3">
      <c r="A1662" s="4" t="s">
        <v>4954</v>
      </c>
      <c r="B1662">
        <v>3</v>
      </c>
      <c r="C1662">
        <v>2022</v>
      </c>
      <c r="D1662" t="s">
        <v>637</v>
      </c>
      <c r="E1662">
        <v>2</v>
      </c>
      <c r="F1662" t="s">
        <v>17511</v>
      </c>
      <c r="G1662" t="s">
        <v>17512</v>
      </c>
      <c r="H1662" s="4" t="s">
        <v>17513</v>
      </c>
      <c r="I1662" t="s">
        <v>71</v>
      </c>
      <c r="J1662" t="s">
        <v>10782</v>
      </c>
      <c r="K1662" t="s">
        <v>17514</v>
      </c>
    </row>
    <row r="1663" spans="1:11" ht="201.6" x14ac:dyDescent="0.3">
      <c r="A1663" s="4" t="s">
        <v>4955</v>
      </c>
      <c r="B1663">
        <v>3</v>
      </c>
      <c r="C1663">
        <v>2022</v>
      </c>
      <c r="D1663" t="s">
        <v>10924</v>
      </c>
      <c r="E1663">
        <v>8</v>
      </c>
      <c r="F1663" t="s">
        <v>17515</v>
      </c>
      <c r="G1663" t="s">
        <v>17516</v>
      </c>
      <c r="H1663" s="4" t="s">
        <v>17517</v>
      </c>
      <c r="I1663" t="s">
        <v>71</v>
      </c>
      <c r="J1663" t="s">
        <v>10782</v>
      </c>
      <c r="K1663" t="s">
        <v>17518</v>
      </c>
    </row>
    <row r="1664" spans="1:11" ht="172.8" x14ac:dyDescent="0.3">
      <c r="A1664" s="4" t="s">
        <v>4956</v>
      </c>
      <c r="B1664">
        <v>3</v>
      </c>
      <c r="C1664">
        <v>2022</v>
      </c>
      <c r="D1664" t="s">
        <v>17519</v>
      </c>
      <c r="E1664">
        <v>0</v>
      </c>
      <c r="F1664" t="s">
        <v>17520</v>
      </c>
      <c r="G1664" t="s">
        <v>17521</v>
      </c>
      <c r="H1664" s="4" t="s">
        <v>17522</v>
      </c>
      <c r="I1664" t="s">
        <v>71</v>
      </c>
      <c r="J1664" t="s">
        <v>10782</v>
      </c>
      <c r="K1664" t="s">
        <v>17523</v>
      </c>
    </row>
    <row r="1665" spans="1:11" ht="172.8" x14ac:dyDescent="0.3">
      <c r="A1665" s="4" t="s">
        <v>4957</v>
      </c>
      <c r="B1665">
        <v>3</v>
      </c>
      <c r="C1665">
        <v>2022</v>
      </c>
      <c r="D1665" t="s">
        <v>17524</v>
      </c>
      <c r="E1665">
        <v>9</v>
      </c>
      <c r="F1665" t="s">
        <v>17525</v>
      </c>
      <c r="G1665" t="s">
        <v>17526</v>
      </c>
      <c r="H1665" s="4" t="s">
        <v>17527</v>
      </c>
      <c r="I1665" t="s">
        <v>71</v>
      </c>
      <c r="J1665" t="s">
        <v>10782</v>
      </c>
      <c r="K1665" t="s">
        <v>17528</v>
      </c>
    </row>
    <row r="1666" spans="1:11" ht="216" x14ac:dyDescent="0.3">
      <c r="A1666" s="4" t="s">
        <v>4958</v>
      </c>
      <c r="B1666">
        <v>3</v>
      </c>
      <c r="C1666">
        <v>2022</v>
      </c>
      <c r="D1666" t="s">
        <v>277</v>
      </c>
      <c r="E1666">
        <v>13</v>
      </c>
      <c r="F1666" t="s">
        <v>17529</v>
      </c>
      <c r="G1666" t="s">
        <v>17530</v>
      </c>
      <c r="H1666" s="4" t="s">
        <v>17531</v>
      </c>
      <c r="I1666" t="s">
        <v>71</v>
      </c>
      <c r="J1666" t="s">
        <v>10782</v>
      </c>
      <c r="K1666" t="s">
        <v>17532</v>
      </c>
    </row>
    <row r="1667" spans="1:11" ht="158.4" x14ac:dyDescent="0.3">
      <c r="A1667" s="4" t="s">
        <v>4959</v>
      </c>
      <c r="B1667">
        <v>3</v>
      </c>
      <c r="C1667">
        <v>2022</v>
      </c>
      <c r="D1667" t="s">
        <v>17533</v>
      </c>
      <c r="E1667">
        <v>8</v>
      </c>
      <c r="F1667" t="s">
        <v>17534</v>
      </c>
      <c r="G1667" t="s">
        <v>17535</v>
      </c>
      <c r="H1667" s="4" t="s">
        <v>17536</v>
      </c>
      <c r="I1667" t="s">
        <v>71</v>
      </c>
      <c r="J1667" t="s">
        <v>10782</v>
      </c>
      <c r="K1667" t="s">
        <v>17537</v>
      </c>
    </row>
    <row r="1668" spans="1:11" ht="172.8" x14ac:dyDescent="0.3">
      <c r="A1668" s="4" t="s">
        <v>4960</v>
      </c>
      <c r="B1668">
        <v>3</v>
      </c>
      <c r="C1668">
        <v>2022</v>
      </c>
      <c r="D1668" t="s">
        <v>17538</v>
      </c>
      <c r="E1668">
        <v>12</v>
      </c>
      <c r="F1668" t="s">
        <v>17539</v>
      </c>
      <c r="G1668" t="s">
        <v>17540</v>
      </c>
      <c r="H1668" s="4" t="s">
        <v>17541</v>
      </c>
      <c r="I1668" t="s">
        <v>71</v>
      </c>
      <c r="J1668" t="s">
        <v>10782</v>
      </c>
      <c r="K1668" t="s">
        <v>17542</v>
      </c>
    </row>
    <row r="1669" spans="1:11" ht="201.6" x14ac:dyDescent="0.3">
      <c r="A1669" s="4" t="s">
        <v>4961</v>
      </c>
      <c r="B1669">
        <v>3</v>
      </c>
      <c r="C1669">
        <v>2022</v>
      </c>
      <c r="D1669" t="s">
        <v>3026</v>
      </c>
      <c r="E1669">
        <v>2</v>
      </c>
      <c r="F1669" t="s">
        <v>17543</v>
      </c>
      <c r="G1669" t="s">
        <v>17544</v>
      </c>
      <c r="H1669" s="4" t="s">
        <v>17545</v>
      </c>
      <c r="I1669" t="s">
        <v>71</v>
      </c>
      <c r="J1669" t="s">
        <v>10782</v>
      </c>
      <c r="K1669" t="s">
        <v>17546</v>
      </c>
    </row>
    <row r="1670" spans="1:11" ht="187.2" x14ac:dyDescent="0.3">
      <c r="A1670" s="4" t="s">
        <v>4962</v>
      </c>
      <c r="B1670">
        <v>3</v>
      </c>
      <c r="C1670">
        <v>2022</v>
      </c>
      <c r="D1670" t="s">
        <v>1412</v>
      </c>
      <c r="E1670">
        <v>2</v>
      </c>
      <c r="F1670" t="s">
        <v>17547</v>
      </c>
      <c r="G1670" t="s">
        <v>17548</v>
      </c>
      <c r="H1670" s="4" t="s">
        <v>17549</v>
      </c>
      <c r="I1670" t="s">
        <v>71</v>
      </c>
      <c r="J1670" t="s">
        <v>10782</v>
      </c>
      <c r="K1670" t="s">
        <v>17550</v>
      </c>
    </row>
    <row r="1671" spans="1:11" ht="172.8" x14ac:dyDescent="0.3">
      <c r="A1671" s="4" t="s">
        <v>4963</v>
      </c>
      <c r="B1671">
        <v>3</v>
      </c>
      <c r="C1671">
        <v>2022</v>
      </c>
      <c r="D1671" t="s">
        <v>11805</v>
      </c>
      <c r="E1671">
        <v>3</v>
      </c>
      <c r="F1671" t="s">
        <v>17551</v>
      </c>
      <c r="G1671" t="s">
        <v>17552</v>
      </c>
      <c r="H1671" s="4" t="s">
        <v>17553</v>
      </c>
      <c r="I1671" t="s">
        <v>71</v>
      </c>
      <c r="J1671" t="s">
        <v>10782</v>
      </c>
      <c r="K1671" t="s">
        <v>17554</v>
      </c>
    </row>
    <row r="1672" spans="1:11" ht="216" x14ac:dyDescent="0.3">
      <c r="A1672" s="4" t="s">
        <v>4964</v>
      </c>
      <c r="B1672">
        <v>3</v>
      </c>
      <c r="C1672">
        <v>2022</v>
      </c>
      <c r="D1672" t="s">
        <v>892</v>
      </c>
      <c r="E1672">
        <v>6</v>
      </c>
      <c r="F1672" t="s">
        <v>17555</v>
      </c>
      <c r="G1672" t="s">
        <v>17556</v>
      </c>
      <c r="H1672" s="4" t="s">
        <v>17557</v>
      </c>
      <c r="I1672" t="s">
        <v>71</v>
      </c>
      <c r="J1672" t="s">
        <v>10782</v>
      </c>
      <c r="K1672" t="s">
        <v>17558</v>
      </c>
    </row>
    <row r="1673" spans="1:11" ht="187.2" x14ac:dyDescent="0.3">
      <c r="A1673" s="4" t="s">
        <v>4965</v>
      </c>
      <c r="B1673">
        <v>3</v>
      </c>
      <c r="C1673">
        <v>2022</v>
      </c>
      <c r="D1673" t="s">
        <v>12037</v>
      </c>
      <c r="E1673">
        <v>5</v>
      </c>
      <c r="F1673" t="s">
        <v>17559</v>
      </c>
      <c r="G1673" t="s">
        <v>17560</v>
      </c>
      <c r="H1673" s="4" t="s">
        <v>17561</v>
      </c>
    </row>
    <row r="1674" spans="1:11" ht="187.2" x14ac:dyDescent="0.3">
      <c r="A1674" s="4" t="s">
        <v>4966</v>
      </c>
      <c r="B1674">
        <v>3</v>
      </c>
      <c r="C1674">
        <v>2022</v>
      </c>
      <c r="D1674" t="s">
        <v>11585</v>
      </c>
      <c r="E1674">
        <v>0</v>
      </c>
      <c r="F1674" t="s">
        <v>17562</v>
      </c>
      <c r="G1674" t="s">
        <v>17563</v>
      </c>
      <c r="H1674" s="4" t="s">
        <v>17564</v>
      </c>
      <c r="I1674" t="s">
        <v>71</v>
      </c>
      <c r="J1674" t="s">
        <v>10782</v>
      </c>
      <c r="K1674" t="s">
        <v>17565</v>
      </c>
    </row>
    <row r="1675" spans="1:11" ht="129.6" x14ac:dyDescent="0.3">
      <c r="A1675" s="4" t="s">
        <v>4967</v>
      </c>
      <c r="B1675">
        <v>3</v>
      </c>
      <c r="C1675">
        <v>2022</v>
      </c>
      <c r="D1675" t="s">
        <v>892</v>
      </c>
      <c r="E1675">
        <v>4</v>
      </c>
      <c r="F1675" t="s">
        <v>17566</v>
      </c>
      <c r="G1675" t="s">
        <v>17567</v>
      </c>
      <c r="H1675" s="4" t="s">
        <v>17568</v>
      </c>
      <c r="I1675" t="s">
        <v>71</v>
      </c>
      <c r="J1675" t="s">
        <v>10782</v>
      </c>
      <c r="K1675" t="s">
        <v>17569</v>
      </c>
    </row>
    <row r="1676" spans="1:11" ht="187.2" x14ac:dyDescent="0.3">
      <c r="A1676" s="4" t="s">
        <v>3280</v>
      </c>
      <c r="B1676">
        <v>1</v>
      </c>
      <c r="C1676">
        <v>2022</v>
      </c>
      <c r="D1676" t="s">
        <v>405</v>
      </c>
      <c r="E1676">
        <v>32</v>
      </c>
      <c r="F1676" t="s">
        <v>17570</v>
      </c>
      <c r="G1676" t="s">
        <v>17571</v>
      </c>
      <c r="H1676" s="4" t="s">
        <v>17572</v>
      </c>
      <c r="I1676" t="s">
        <v>71</v>
      </c>
      <c r="J1676" t="s">
        <v>10782</v>
      </c>
      <c r="K1676" t="s">
        <v>17573</v>
      </c>
    </row>
    <row r="1677" spans="1:11" ht="115.2" x14ac:dyDescent="0.3">
      <c r="A1677" s="4" t="s">
        <v>4968</v>
      </c>
      <c r="B1677">
        <v>3</v>
      </c>
      <c r="C1677">
        <v>2022</v>
      </c>
      <c r="D1677" t="s">
        <v>277</v>
      </c>
      <c r="E1677">
        <v>8</v>
      </c>
      <c r="F1677" t="s">
        <v>17574</v>
      </c>
      <c r="G1677" t="s">
        <v>17575</v>
      </c>
      <c r="H1677" s="4" t="s">
        <v>17576</v>
      </c>
    </row>
    <row r="1678" spans="1:11" ht="144" x14ac:dyDescent="0.3">
      <c r="A1678" s="4" t="s">
        <v>4969</v>
      </c>
      <c r="B1678">
        <v>3</v>
      </c>
      <c r="C1678">
        <v>2022</v>
      </c>
      <c r="D1678" t="s">
        <v>277</v>
      </c>
      <c r="E1678">
        <v>1</v>
      </c>
      <c r="F1678" t="s">
        <v>17577</v>
      </c>
      <c r="G1678" t="s">
        <v>17578</v>
      </c>
      <c r="H1678" s="4" t="s">
        <v>17579</v>
      </c>
      <c r="I1678" t="s">
        <v>71</v>
      </c>
      <c r="J1678" t="s">
        <v>10782</v>
      </c>
      <c r="K1678" t="s">
        <v>17580</v>
      </c>
    </row>
    <row r="1679" spans="1:11" ht="115.2" x14ac:dyDescent="0.3">
      <c r="A1679" s="4" t="s">
        <v>4970</v>
      </c>
      <c r="B1679">
        <v>3</v>
      </c>
      <c r="C1679">
        <v>2022</v>
      </c>
      <c r="D1679" t="s">
        <v>405</v>
      </c>
      <c r="E1679">
        <v>2</v>
      </c>
      <c r="F1679" t="s">
        <v>17581</v>
      </c>
      <c r="G1679" t="s">
        <v>17582</v>
      </c>
      <c r="H1679" s="4" t="s">
        <v>17583</v>
      </c>
      <c r="I1679" t="s">
        <v>71</v>
      </c>
      <c r="J1679" t="s">
        <v>10782</v>
      </c>
      <c r="K1679" t="s">
        <v>17584</v>
      </c>
    </row>
    <row r="1680" spans="1:11" ht="187.2" x14ac:dyDescent="0.3">
      <c r="A1680" s="4" t="s">
        <v>4971</v>
      </c>
      <c r="B1680">
        <v>3</v>
      </c>
      <c r="C1680">
        <v>2022</v>
      </c>
      <c r="D1680" t="s">
        <v>11805</v>
      </c>
      <c r="E1680">
        <v>2</v>
      </c>
      <c r="F1680" t="s">
        <v>17585</v>
      </c>
      <c r="G1680" t="s">
        <v>17586</v>
      </c>
      <c r="H1680" s="4" t="s">
        <v>17587</v>
      </c>
      <c r="I1680" t="s">
        <v>71</v>
      </c>
      <c r="J1680" t="s">
        <v>10782</v>
      </c>
      <c r="K1680" t="s">
        <v>17588</v>
      </c>
    </row>
    <row r="1681" spans="1:11" ht="144" x14ac:dyDescent="0.3">
      <c r="A1681" s="4" t="s">
        <v>4972</v>
      </c>
      <c r="B1681">
        <v>3</v>
      </c>
      <c r="C1681">
        <v>2022</v>
      </c>
      <c r="D1681" t="s">
        <v>1570</v>
      </c>
      <c r="E1681">
        <v>2</v>
      </c>
      <c r="F1681" t="s">
        <v>17589</v>
      </c>
      <c r="G1681" t="s">
        <v>17590</v>
      </c>
      <c r="H1681" s="4" t="s">
        <v>17591</v>
      </c>
    </row>
    <row r="1682" spans="1:11" ht="43.2" x14ac:dyDescent="0.3">
      <c r="A1682" s="4" t="s">
        <v>4973</v>
      </c>
      <c r="B1682">
        <v>3</v>
      </c>
      <c r="C1682">
        <v>2022</v>
      </c>
      <c r="D1682" t="s">
        <v>11337</v>
      </c>
      <c r="E1682">
        <v>36</v>
      </c>
      <c r="F1682" t="s">
        <v>17592</v>
      </c>
      <c r="G1682" t="s">
        <v>17593</v>
      </c>
      <c r="H1682" s="4" t="s">
        <v>17594</v>
      </c>
    </row>
    <row r="1683" spans="1:11" ht="172.8" x14ac:dyDescent="0.3">
      <c r="A1683" s="4" t="s">
        <v>4974</v>
      </c>
      <c r="B1683">
        <v>3</v>
      </c>
      <c r="C1683">
        <v>2022</v>
      </c>
      <c r="D1683" t="s">
        <v>2018</v>
      </c>
      <c r="E1683">
        <v>19</v>
      </c>
      <c r="F1683" t="s">
        <v>17595</v>
      </c>
      <c r="G1683" t="s">
        <v>17596</v>
      </c>
      <c r="H1683" s="4" t="s">
        <v>17597</v>
      </c>
      <c r="I1683" t="s">
        <v>71</v>
      </c>
      <c r="J1683" t="s">
        <v>10782</v>
      </c>
      <c r="K1683" t="s">
        <v>17598</v>
      </c>
    </row>
    <row r="1684" spans="1:11" ht="201.6" x14ac:dyDescent="0.3">
      <c r="A1684" s="4" t="s">
        <v>4975</v>
      </c>
      <c r="B1684">
        <v>3</v>
      </c>
      <c r="C1684">
        <v>2022</v>
      </c>
      <c r="D1684" t="s">
        <v>637</v>
      </c>
      <c r="E1684">
        <v>10</v>
      </c>
      <c r="F1684" t="s">
        <v>17599</v>
      </c>
      <c r="G1684" t="s">
        <v>17600</v>
      </c>
      <c r="H1684" s="4" t="s">
        <v>17601</v>
      </c>
      <c r="I1684" t="s">
        <v>71</v>
      </c>
      <c r="J1684" t="s">
        <v>10782</v>
      </c>
      <c r="K1684" t="s">
        <v>17602</v>
      </c>
    </row>
    <row r="1685" spans="1:11" ht="187.2" x14ac:dyDescent="0.3">
      <c r="A1685" s="4" t="s">
        <v>4976</v>
      </c>
      <c r="B1685">
        <v>3</v>
      </c>
      <c r="C1685">
        <v>2022</v>
      </c>
      <c r="D1685" t="s">
        <v>11821</v>
      </c>
      <c r="E1685">
        <v>12</v>
      </c>
      <c r="F1685" t="s">
        <v>17603</v>
      </c>
      <c r="G1685" t="s">
        <v>17604</v>
      </c>
      <c r="H1685" s="4" t="s">
        <v>17605</v>
      </c>
    </row>
    <row r="1686" spans="1:11" ht="172.8" x14ac:dyDescent="0.3">
      <c r="A1686" s="4" t="s">
        <v>4977</v>
      </c>
      <c r="B1686">
        <v>3</v>
      </c>
      <c r="C1686">
        <v>2022</v>
      </c>
      <c r="D1686" t="s">
        <v>2596</v>
      </c>
      <c r="E1686">
        <v>3</v>
      </c>
      <c r="F1686" t="s">
        <v>17606</v>
      </c>
      <c r="G1686" t="s">
        <v>17607</v>
      </c>
      <c r="H1686" s="4" t="s">
        <v>17608</v>
      </c>
      <c r="I1686" t="s">
        <v>71</v>
      </c>
      <c r="J1686" t="s">
        <v>10782</v>
      </c>
      <c r="K1686" t="s">
        <v>17609</v>
      </c>
    </row>
    <row r="1687" spans="1:11" ht="86.4" x14ac:dyDescent="0.3">
      <c r="A1687" s="4" t="s">
        <v>4978</v>
      </c>
      <c r="B1687">
        <v>3</v>
      </c>
      <c r="C1687">
        <v>2022</v>
      </c>
      <c r="D1687" t="s">
        <v>17610</v>
      </c>
      <c r="E1687">
        <v>21</v>
      </c>
      <c r="F1687" t="s">
        <v>17611</v>
      </c>
      <c r="G1687" t="s">
        <v>17612</v>
      </c>
      <c r="H1687" s="4" t="s">
        <v>17613</v>
      </c>
    </row>
    <row r="1688" spans="1:11" ht="115.2" x14ac:dyDescent="0.3">
      <c r="A1688" s="4" t="s">
        <v>4979</v>
      </c>
      <c r="B1688">
        <v>3</v>
      </c>
      <c r="C1688">
        <v>2022</v>
      </c>
      <c r="D1688" t="s">
        <v>1129</v>
      </c>
      <c r="E1688">
        <v>8</v>
      </c>
      <c r="F1688" t="s">
        <v>17614</v>
      </c>
      <c r="G1688" t="s">
        <v>17615</v>
      </c>
      <c r="H1688" s="4" t="s">
        <v>17616</v>
      </c>
      <c r="I1688" t="s">
        <v>71</v>
      </c>
      <c r="J1688" t="s">
        <v>10782</v>
      </c>
      <c r="K1688" t="s">
        <v>17617</v>
      </c>
    </row>
    <row r="1689" spans="1:11" ht="158.4" x14ac:dyDescent="0.3">
      <c r="A1689" s="4" t="s">
        <v>4980</v>
      </c>
      <c r="B1689">
        <v>3</v>
      </c>
      <c r="C1689">
        <v>2022</v>
      </c>
      <c r="D1689" t="s">
        <v>622</v>
      </c>
      <c r="E1689">
        <v>4</v>
      </c>
      <c r="F1689" t="s">
        <v>17618</v>
      </c>
      <c r="G1689" t="s">
        <v>17619</v>
      </c>
      <c r="H1689" s="4" t="s">
        <v>17620</v>
      </c>
    </row>
    <row r="1690" spans="1:11" ht="115.2" x14ac:dyDescent="0.3">
      <c r="A1690" s="4" t="s">
        <v>4981</v>
      </c>
      <c r="B1690">
        <v>3</v>
      </c>
      <c r="C1690">
        <v>2022</v>
      </c>
      <c r="D1690" t="s">
        <v>12234</v>
      </c>
      <c r="E1690">
        <v>3</v>
      </c>
      <c r="F1690" t="s">
        <v>17621</v>
      </c>
      <c r="G1690" t="s">
        <v>17622</v>
      </c>
      <c r="H1690" s="4" t="s">
        <v>17623</v>
      </c>
      <c r="I1690" t="s">
        <v>10945</v>
      </c>
      <c r="J1690" t="s">
        <v>10782</v>
      </c>
      <c r="K1690" t="s">
        <v>17624</v>
      </c>
    </row>
    <row r="1691" spans="1:11" ht="86.4" x14ac:dyDescent="0.3">
      <c r="A1691" s="4" t="s">
        <v>3281</v>
      </c>
      <c r="B1691">
        <v>1</v>
      </c>
      <c r="C1691">
        <v>2022</v>
      </c>
      <c r="D1691" t="s">
        <v>13669</v>
      </c>
      <c r="E1691">
        <v>3</v>
      </c>
      <c r="F1691" t="s">
        <v>17625</v>
      </c>
      <c r="G1691" t="s">
        <v>17626</v>
      </c>
      <c r="H1691" s="4" t="s">
        <v>17627</v>
      </c>
    </row>
    <row r="1692" spans="1:11" ht="172.8" x14ac:dyDescent="0.3">
      <c r="A1692" s="4" t="s">
        <v>4982</v>
      </c>
      <c r="B1692">
        <v>3</v>
      </c>
      <c r="C1692">
        <v>2022</v>
      </c>
      <c r="D1692" t="s">
        <v>637</v>
      </c>
      <c r="E1692">
        <v>7</v>
      </c>
      <c r="F1692" t="s">
        <v>17628</v>
      </c>
      <c r="G1692" t="s">
        <v>17629</v>
      </c>
      <c r="H1692" s="4" t="s">
        <v>17630</v>
      </c>
      <c r="I1692" t="s">
        <v>71</v>
      </c>
      <c r="J1692" t="s">
        <v>10782</v>
      </c>
      <c r="K1692" t="s">
        <v>17631</v>
      </c>
    </row>
    <row r="1693" spans="1:11" ht="216" x14ac:dyDescent="0.3">
      <c r="A1693" s="4" t="s">
        <v>945</v>
      </c>
      <c r="B1693">
        <v>1</v>
      </c>
      <c r="C1693">
        <v>2022</v>
      </c>
      <c r="D1693" t="s">
        <v>227</v>
      </c>
      <c r="E1693">
        <v>16</v>
      </c>
      <c r="F1693" t="s">
        <v>17632</v>
      </c>
      <c r="G1693" t="s">
        <v>17633</v>
      </c>
      <c r="H1693" s="4" t="s">
        <v>17634</v>
      </c>
      <c r="I1693" t="s">
        <v>71</v>
      </c>
      <c r="J1693" t="s">
        <v>10782</v>
      </c>
      <c r="K1693" t="s">
        <v>17635</v>
      </c>
    </row>
    <row r="1694" spans="1:11" ht="216" x14ac:dyDescent="0.3">
      <c r="A1694" s="4" t="s">
        <v>4983</v>
      </c>
      <c r="B1694">
        <v>3</v>
      </c>
      <c r="C1694">
        <v>2022</v>
      </c>
      <c r="D1694" t="s">
        <v>277</v>
      </c>
      <c r="E1694">
        <v>19</v>
      </c>
      <c r="F1694" t="s">
        <v>17636</v>
      </c>
      <c r="G1694" t="s">
        <v>17637</v>
      </c>
      <c r="H1694" s="4" t="s">
        <v>17638</v>
      </c>
      <c r="I1694" t="s">
        <v>71</v>
      </c>
      <c r="J1694" t="s">
        <v>10782</v>
      </c>
      <c r="K1694" t="s">
        <v>17639</v>
      </c>
    </row>
    <row r="1695" spans="1:11" ht="187.2" x14ac:dyDescent="0.3">
      <c r="A1695" s="4" t="s">
        <v>4984</v>
      </c>
      <c r="B1695">
        <v>3</v>
      </c>
      <c r="C1695">
        <v>2022</v>
      </c>
      <c r="D1695" t="s">
        <v>329</v>
      </c>
      <c r="E1695">
        <v>5</v>
      </c>
      <c r="F1695" t="s">
        <v>17640</v>
      </c>
      <c r="G1695" t="s">
        <v>17641</v>
      </c>
      <c r="H1695" s="4" t="s">
        <v>17642</v>
      </c>
      <c r="I1695" t="s">
        <v>71</v>
      </c>
      <c r="J1695" t="s">
        <v>10782</v>
      </c>
      <c r="K1695" t="s">
        <v>17643</v>
      </c>
    </row>
    <row r="1696" spans="1:11" ht="201.6" x14ac:dyDescent="0.3">
      <c r="A1696" s="4" t="s">
        <v>4985</v>
      </c>
      <c r="B1696">
        <v>3</v>
      </c>
      <c r="C1696">
        <v>2022</v>
      </c>
      <c r="D1696" t="s">
        <v>14820</v>
      </c>
      <c r="E1696">
        <v>6</v>
      </c>
      <c r="F1696" t="s">
        <v>17644</v>
      </c>
      <c r="G1696" t="s">
        <v>17645</v>
      </c>
      <c r="H1696" s="4" t="s">
        <v>17646</v>
      </c>
      <c r="I1696" t="s">
        <v>71</v>
      </c>
      <c r="J1696" t="s">
        <v>10782</v>
      </c>
      <c r="K1696" t="s">
        <v>17647</v>
      </c>
    </row>
    <row r="1697" spans="1:11" ht="115.2" x14ac:dyDescent="0.3">
      <c r="A1697" s="4" t="s">
        <v>4986</v>
      </c>
      <c r="B1697">
        <v>3</v>
      </c>
      <c r="C1697">
        <v>2022</v>
      </c>
      <c r="D1697" t="s">
        <v>1129</v>
      </c>
      <c r="E1697">
        <v>24</v>
      </c>
      <c r="F1697" t="s">
        <v>17648</v>
      </c>
      <c r="G1697" t="s">
        <v>17649</v>
      </c>
      <c r="H1697" s="4" t="s">
        <v>17650</v>
      </c>
      <c r="I1697" t="s">
        <v>71</v>
      </c>
      <c r="J1697" t="s">
        <v>10782</v>
      </c>
      <c r="K1697" t="s">
        <v>17651</v>
      </c>
    </row>
    <row r="1698" spans="1:11" ht="158.4" x14ac:dyDescent="0.3">
      <c r="A1698" s="4" t="s">
        <v>4987</v>
      </c>
      <c r="B1698">
        <v>3</v>
      </c>
      <c r="C1698">
        <v>2022</v>
      </c>
      <c r="D1698" t="s">
        <v>2018</v>
      </c>
      <c r="E1698">
        <v>7</v>
      </c>
      <c r="F1698" t="s">
        <v>17652</v>
      </c>
      <c r="G1698" t="s">
        <v>17653</v>
      </c>
      <c r="H1698" s="4" t="s">
        <v>17654</v>
      </c>
      <c r="I1698" t="s">
        <v>71</v>
      </c>
      <c r="J1698" t="s">
        <v>10782</v>
      </c>
      <c r="K1698" t="s">
        <v>17655</v>
      </c>
    </row>
    <row r="1699" spans="1:11" ht="72" x14ac:dyDescent="0.3">
      <c r="A1699" s="4" t="s">
        <v>4988</v>
      </c>
      <c r="B1699">
        <v>3</v>
      </c>
      <c r="C1699">
        <v>2022</v>
      </c>
      <c r="D1699" t="s">
        <v>17656</v>
      </c>
      <c r="E1699">
        <v>0</v>
      </c>
      <c r="F1699" t="s">
        <v>17657</v>
      </c>
      <c r="G1699" t="s">
        <v>17658</v>
      </c>
      <c r="H1699" s="4" t="s">
        <v>17659</v>
      </c>
    </row>
    <row r="1700" spans="1:11" ht="244.8" x14ac:dyDescent="0.3">
      <c r="A1700" s="4" t="s">
        <v>4989</v>
      </c>
      <c r="B1700">
        <v>3</v>
      </c>
      <c r="C1700">
        <v>2022</v>
      </c>
      <c r="D1700" t="s">
        <v>550</v>
      </c>
      <c r="E1700">
        <v>17</v>
      </c>
      <c r="F1700" t="s">
        <v>17660</v>
      </c>
      <c r="G1700" t="s">
        <v>17661</v>
      </c>
      <c r="H1700" s="4" t="s">
        <v>17662</v>
      </c>
      <c r="I1700" t="s">
        <v>71</v>
      </c>
      <c r="J1700" t="s">
        <v>10782</v>
      </c>
      <c r="K1700" t="s">
        <v>17663</v>
      </c>
    </row>
    <row r="1701" spans="1:11" ht="230.4" x14ac:dyDescent="0.3">
      <c r="A1701" s="4" t="s">
        <v>4990</v>
      </c>
      <c r="B1701">
        <v>3</v>
      </c>
      <c r="C1701">
        <v>2022</v>
      </c>
      <c r="D1701" t="s">
        <v>17273</v>
      </c>
      <c r="E1701">
        <v>12</v>
      </c>
      <c r="F1701" t="s">
        <v>17664</v>
      </c>
      <c r="G1701" t="s">
        <v>17665</v>
      </c>
      <c r="H1701" s="4" t="s">
        <v>17666</v>
      </c>
      <c r="I1701" t="s">
        <v>71</v>
      </c>
      <c r="J1701" t="s">
        <v>10782</v>
      </c>
      <c r="K1701" t="s">
        <v>17667</v>
      </c>
    </row>
    <row r="1702" spans="1:11" ht="244.8" x14ac:dyDescent="0.3">
      <c r="A1702" s="4" t="s">
        <v>4991</v>
      </c>
      <c r="B1702">
        <v>3</v>
      </c>
      <c r="C1702">
        <v>2022</v>
      </c>
      <c r="D1702" t="s">
        <v>17524</v>
      </c>
      <c r="E1702">
        <v>2</v>
      </c>
      <c r="F1702" t="s">
        <v>17668</v>
      </c>
      <c r="G1702" t="s">
        <v>17669</v>
      </c>
      <c r="H1702" s="4" t="s">
        <v>17670</v>
      </c>
      <c r="I1702" t="s">
        <v>71</v>
      </c>
      <c r="J1702" t="s">
        <v>10782</v>
      </c>
      <c r="K1702" t="s">
        <v>17671</v>
      </c>
    </row>
    <row r="1703" spans="1:11" ht="187.2" x14ac:dyDescent="0.3">
      <c r="A1703" s="4" t="s">
        <v>4992</v>
      </c>
      <c r="B1703">
        <v>3</v>
      </c>
      <c r="C1703">
        <v>2022</v>
      </c>
      <c r="D1703" t="s">
        <v>528</v>
      </c>
      <c r="E1703">
        <v>8</v>
      </c>
      <c r="F1703" t="s">
        <v>17672</v>
      </c>
      <c r="G1703" t="s">
        <v>17673</v>
      </c>
      <c r="H1703" s="4" t="s">
        <v>17674</v>
      </c>
      <c r="I1703" t="s">
        <v>71</v>
      </c>
      <c r="J1703" t="s">
        <v>10782</v>
      </c>
      <c r="K1703" t="s">
        <v>17675</v>
      </c>
    </row>
    <row r="1704" spans="1:11" ht="273.60000000000002" x14ac:dyDescent="0.3">
      <c r="A1704" s="4" t="s">
        <v>4993</v>
      </c>
      <c r="B1704">
        <v>3</v>
      </c>
      <c r="C1704">
        <v>2022</v>
      </c>
      <c r="D1704" t="s">
        <v>892</v>
      </c>
      <c r="E1704">
        <v>5</v>
      </c>
      <c r="F1704" t="s">
        <v>17676</v>
      </c>
      <c r="G1704" t="s">
        <v>17677</v>
      </c>
      <c r="H1704" s="4" t="s">
        <v>17678</v>
      </c>
      <c r="I1704" t="s">
        <v>71</v>
      </c>
      <c r="J1704" t="s">
        <v>10782</v>
      </c>
      <c r="K1704" t="s">
        <v>17679</v>
      </c>
    </row>
    <row r="1705" spans="1:11" ht="172.8" x14ac:dyDescent="0.3">
      <c r="A1705" s="4" t="s">
        <v>4994</v>
      </c>
      <c r="B1705">
        <v>3</v>
      </c>
      <c r="C1705">
        <v>2022</v>
      </c>
      <c r="D1705" t="s">
        <v>217</v>
      </c>
      <c r="E1705">
        <v>16</v>
      </c>
      <c r="F1705" t="s">
        <v>17680</v>
      </c>
      <c r="G1705" t="s">
        <v>17681</v>
      </c>
      <c r="H1705" s="4" t="s">
        <v>17682</v>
      </c>
      <c r="I1705" t="s">
        <v>71</v>
      </c>
      <c r="J1705" t="s">
        <v>10782</v>
      </c>
      <c r="K1705" t="s">
        <v>17683</v>
      </c>
    </row>
    <row r="1706" spans="1:11" ht="158.4" x14ac:dyDescent="0.3">
      <c r="A1706" s="4" t="s">
        <v>4995</v>
      </c>
      <c r="B1706">
        <v>3</v>
      </c>
      <c r="C1706">
        <v>2022</v>
      </c>
      <c r="D1706" t="s">
        <v>550</v>
      </c>
      <c r="E1706">
        <v>3</v>
      </c>
      <c r="F1706" t="s">
        <v>17684</v>
      </c>
      <c r="G1706" t="s">
        <v>17685</v>
      </c>
      <c r="H1706" s="4" t="s">
        <v>17686</v>
      </c>
      <c r="I1706" t="s">
        <v>71</v>
      </c>
      <c r="J1706" t="s">
        <v>10782</v>
      </c>
      <c r="K1706" t="s">
        <v>17687</v>
      </c>
    </row>
    <row r="1707" spans="1:11" ht="216" x14ac:dyDescent="0.3">
      <c r="A1707" s="4" t="s">
        <v>4996</v>
      </c>
      <c r="B1707">
        <v>3</v>
      </c>
      <c r="C1707">
        <v>2022</v>
      </c>
      <c r="D1707" t="s">
        <v>17688</v>
      </c>
      <c r="E1707">
        <v>5</v>
      </c>
      <c r="F1707" t="s">
        <v>17689</v>
      </c>
      <c r="G1707" t="s">
        <v>17690</v>
      </c>
      <c r="H1707" s="4" t="s">
        <v>17691</v>
      </c>
      <c r="I1707" t="s">
        <v>10823</v>
      </c>
      <c r="J1707" t="s">
        <v>10782</v>
      </c>
      <c r="K1707" t="s">
        <v>17692</v>
      </c>
    </row>
    <row r="1708" spans="1:11" ht="187.2" x14ac:dyDescent="0.3">
      <c r="A1708" s="4" t="s">
        <v>4997</v>
      </c>
      <c r="B1708">
        <v>3</v>
      </c>
      <c r="C1708">
        <v>2022</v>
      </c>
      <c r="D1708" t="s">
        <v>12984</v>
      </c>
      <c r="E1708">
        <v>6</v>
      </c>
      <c r="F1708" t="s">
        <v>17693</v>
      </c>
      <c r="G1708" t="s">
        <v>17694</v>
      </c>
      <c r="H1708" s="4" t="s">
        <v>17695</v>
      </c>
      <c r="I1708" t="s">
        <v>71</v>
      </c>
      <c r="J1708" t="s">
        <v>10782</v>
      </c>
      <c r="K1708" t="s">
        <v>17696</v>
      </c>
    </row>
    <row r="1709" spans="1:11" ht="288" x14ac:dyDescent="0.3">
      <c r="A1709" s="4" t="s">
        <v>4998</v>
      </c>
      <c r="B1709">
        <v>3</v>
      </c>
      <c r="C1709">
        <v>2022</v>
      </c>
      <c r="D1709" t="s">
        <v>10924</v>
      </c>
      <c r="E1709">
        <v>5</v>
      </c>
      <c r="F1709" t="s">
        <v>17697</v>
      </c>
      <c r="G1709" t="s">
        <v>17698</v>
      </c>
      <c r="H1709" s="4" t="s">
        <v>17699</v>
      </c>
      <c r="I1709" t="s">
        <v>71</v>
      </c>
      <c r="J1709" t="s">
        <v>10782</v>
      </c>
      <c r="K1709" t="s">
        <v>17700</v>
      </c>
    </row>
    <row r="1710" spans="1:11" ht="302.39999999999998" x14ac:dyDescent="0.3">
      <c r="A1710" s="4" t="s">
        <v>4999</v>
      </c>
      <c r="B1710">
        <v>3</v>
      </c>
      <c r="C1710">
        <v>2022</v>
      </c>
      <c r="D1710" t="s">
        <v>1530</v>
      </c>
      <c r="E1710">
        <v>6</v>
      </c>
      <c r="F1710" t="s">
        <v>17701</v>
      </c>
      <c r="G1710" t="s">
        <v>17702</v>
      </c>
      <c r="H1710" s="4" t="s">
        <v>17703</v>
      </c>
      <c r="I1710" t="s">
        <v>71</v>
      </c>
      <c r="J1710" t="s">
        <v>10782</v>
      </c>
      <c r="K1710" t="s">
        <v>17704</v>
      </c>
    </row>
    <row r="1711" spans="1:11" ht="216" x14ac:dyDescent="0.3">
      <c r="A1711" s="4" t="s">
        <v>5000</v>
      </c>
      <c r="B1711">
        <v>3</v>
      </c>
      <c r="C1711">
        <v>2022</v>
      </c>
      <c r="D1711" t="s">
        <v>318</v>
      </c>
      <c r="E1711">
        <v>22</v>
      </c>
      <c r="F1711" t="s">
        <v>17705</v>
      </c>
      <c r="G1711" t="s">
        <v>17706</v>
      </c>
      <c r="H1711" s="4" t="s">
        <v>17707</v>
      </c>
    </row>
    <row r="1712" spans="1:11" ht="187.2" x14ac:dyDescent="0.3">
      <c r="A1712" s="4" t="s">
        <v>5001</v>
      </c>
      <c r="B1712">
        <v>3</v>
      </c>
      <c r="C1712">
        <v>2022</v>
      </c>
      <c r="D1712" t="s">
        <v>637</v>
      </c>
      <c r="E1712">
        <v>9</v>
      </c>
      <c r="F1712" t="s">
        <v>17708</v>
      </c>
      <c r="G1712" t="s">
        <v>17709</v>
      </c>
      <c r="H1712" s="4" t="s">
        <v>17710</v>
      </c>
      <c r="I1712" t="s">
        <v>71</v>
      </c>
      <c r="J1712" t="s">
        <v>10782</v>
      </c>
      <c r="K1712" t="s">
        <v>17711</v>
      </c>
    </row>
    <row r="1713" spans="1:11" ht="201.6" x14ac:dyDescent="0.3">
      <c r="A1713" s="4" t="s">
        <v>5002</v>
      </c>
      <c r="B1713">
        <v>3</v>
      </c>
      <c r="C1713">
        <v>2022</v>
      </c>
      <c r="D1713" t="s">
        <v>17712</v>
      </c>
      <c r="E1713">
        <v>2</v>
      </c>
      <c r="F1713" t="s">
        <v>17713</v>
      </c>
      <c r="G1713" t="s">
        <v>17714</v>
      </c>
      <c r="H1713" s="4" t="s">
        <v>17715</v>
      </c>
      <c r="I1713" t="s">
        <v>71</v>
      </c>
      <c r="J1713" t="s">
        <v>10782</v>
      </c>
      <c r="K1713" t="s">
        <v>17716</v>
      </c>
    </row>
    <row r="1714" spans="1:11" ht="201.6" x14ac:dyDescent="0.3">
      <c r="A1714" s="4" t="s">
        <v>5003</v>
      </c>
      <c r="B1714">
        <v>3</v>
      </c>
      <c r="C1714">
        <v>2022</v>
      </c>
      <c r="D1714" t="s">
        <v>892</v>
      </c>
      <c r="E1714">
        <v>6</v>
      </c>
      <c r="F1714" t="s">
        <v>17717</v>
      </c>
      <c r="G1714" t="s">
        <v>17718</v>
      </c>
      <c r="H1714" s="4" t="s">
        <v>17719</v>
      </c>
      <c r="I1714" t="s">
        <v>71</v>
      </c>
      <c r="J1714" t="s">
        <v>10782</v>
      </c>
      <c r="K1714" t="s">
        <v>17720</v>
      </c>
    </row>
    <row r="1715" spans="1:11" ht="216" x14ac:dyDescent="0.3">
      <c r="A1715" s="4" t="s">
        <v>5004</v>
      </c>
      <c r="B1715">
        <v>3</v>
      </c>
      <c r="C1715">
        <v>2022</v>
      </c>
      <c r="D1715" t="s">
        <v>2819</v>
      </c>
      <c r="E1715">
        <v>7</v>
      </c>
      <c r="F1715" t="s">
        <v>17721</v>
      </c>
      <c r="G1715" t="s">
        <v>17722</v>
      </c>
      <c r="H1715" s="4" t="s">
        <v>17723</v>
      </c>
      <c r="I1715" t="s">
        <v>71</v>
      </c>
      <c r="J1715" t="s">
        <v>10782</v>
      </c>
      <c r="K1715" t="s">
        <v>17724</v>
      </c>
    </row>
    <row r="1716" spans="1:11" ht="172.8" x14ac:dyDescent="0.3">
      <c r="A1716" s="4" t="s">
        <v>946</v>
      </c>
      <c r="B1716">
        <v>1</v>
      </c>
      <c r="C1716">
        <v>2022</v>
      </c>
      <c r="D1716" t="s">
        <v>1015</v>
      </c>
      <c r="E1716">
        <v>3</v>
      </c>
      <c r="F1716" t="s">
        <v>17725</v>
      </c>
      <c r="G1716" t="s">
        <v>17726</v>
      </c>
      <c r="H1716" s="4" t="s">
        <v>17727</v>
      </c>
      <c r="I1716" t="s">
        <v>71</v>
      </c>
      <c r="J1716" t="s">
        <v>10782</v>
      </c>
      <c r="K1716" t="s">
        <v>17728</v>
      </c>
    </row>
    <row r="1717" spans="1:11" ht="172.8" x14ac:dyDescent="0.3">
      <c r="A1717" s="4" t="s">
        <v>5005</v>
      </c>
      <c r="B1717">
        <v>3</v>
      </c>
      <c r="C1717">
        <v>2022</v>
      </c>
      <c r="D1717" t="s">
        <v>637</v>
      </c>
      <c r="E1717">
        <v>10</v>
      </c>
      <c r="F1717" t="s">
        <v>17729</v>
      </c>
      <c r="G1717" t="s">
        <v>17730</v>
      </c>
      <c r="H1717" s="4" t="s">
        <v>17731</v>
      </c>
      <c r="I1717" t="s">
        <v>71</v>
      </c>
      <c r="J1717" t="s">
        <v>10782</v>
      </c>
      <c r="K1717" t="s">
        <v>17732</v>
      </c>
    </row>
    <row r="1718" spans="1:11" ht="201.6" x14ac:dyDescent="0.3">
      <c r="A1718" s="4" t="s">
        <v>5006</v>
      </c>
      <c r="B1718">
        <v>3</v>
      </c>
      <c r="C1718">
        <v>2022</v>
      </c>
      <c r="D1718" t="s">
        <v>11276</v>
      </c>
      <c r="E1718">
        <v>10</v>
      </c>
      <c r="F1718" t="s">
        <v>17733</v>
      </c>
      <c r="G1718" t="s">
        <v>17734</v>
      </c>
      <c r="H1718" s="4" t="s">
        <v>17735</v>
      </c>
      <c r="I1718" t="s">
        <v>71</v>
      </c>
      <c r="J1718" t="s">
        <v>10782</v>
      </c>
      <c r="K1718" t="s">
        <v>17736</v>
      </c>
    </row>
    <row r="1719" spans="1:11" ht="172.8" x14ac:dyDescent="0.3">
      <c r="A1719" s="4" t="s">
        <v>2554</v>
      </c>
      <c r="B1719">
        <v>2</v>
      </c>
      <c r="C1719">
        <v>2022</v>
      </c>
      <c r="D1719" t="s">
        <v>1015</v>
      </c>
      <c r="E1719">
        <v>1</v>
      </c>
      <c r="F1719" t="s">
        <v>17737</v>
      </c>
      <c r="G1719" t="s">
        <v>17738</v>
      </c>
      <c r="H1719" s="4" t="s">
        <v>17739</v>
      </c>
      <c r="I1719" t="s">
        <v>71</v>
      </c>
      <c r="J1719" t="s">
        <v>10782</v>
      </c>
      <c r="K1719" t="s">
        <v>17740</v>
      </c>
    </row>
    <row r="1720" spans="1:11" ht="144" x14ac:dyDescent="0.3">
      <c r="A1720" s="4" t="s">
        <v>2555</v>
      </c>
      <c r="B1720">
        <v>2</v>
      </c>
      <c r="C1720">
        <v>2022</v>
      </c>
      <c r="D1720" t="s">
        <v>2628</v>
      </c>
      <c r="E1720">
        <v>2</v>
      </c>
      <c r="F1720" t="s">
        <v>17741</v>
      </c>
      <c r="G1720" t="s">
        <v>17742</v>
      </c>
      <c r="H1720" s="4" t="s">
        <v>17743</v>
      </c>
      <c r="I1720" t="s">
        <v>71</v>
      </c>
      <c r="J1720" t="s">
        <v>10782</v>
      </c>
      <c r="K1720" t="s">
        <v>17744</v>
      </c>
    </row>
    <row r="1721" spans="1:11" ht="72" x14ac:dyDescent="0.3">
      <c r="A1721" s="4" t="s">
        <v>5007</v>
      </c>
      <c r="B1721">
        <v>3</v>
      </c>
      <c r="C1721">
        <v>2022</v>
      </c>
      <c r="D1721" t="s">
        <v>17745</v>
      </c>
      <c r="E1721">
        <v>0</v>
      </c>
      <c r="F1721" t="s">
        <v>17746</v>
      </c>
      <c r="G1721" t="s">
        <v>17747</v>
      </c>
      <c r="H1721" s="4" t="s">
        <v>17748</v>
      </c>
      <c r="I1721" t="s">
        <v>71</v>
      </c>
      <c r="J1721" t="s">
        <v>10782</v>
      </c>
      <c r="K1721" t="s">
        <v>17749</v>
      </c>
    </row>
    <row r="1722" spans="1:11" ht="244.8" x14ac:dyDescent="0.3">
      <c r="A1722" s="4" t="s">
        <v>5008</v>
      </c>
      <c r="B1722">
        <v>3</v>
      </c>
      <c r="C1722">
        <v>2022</v>
      </c>
      <c r="D1722" t="s">
        <v>217</v>
      </c>
      <c r="E1722">
        <v>16</v>
      </c>
      <c r="F1722" t="s">
        <v>17750</v>
      </c>
      <c r="G1722" t="s">
        <v>17751</v>
      </c>
      <c r="H1722" s="4" t="s">
        <v>17752</v>
      </c>
      <c r="I1722" t="s">
        <v>71</v>
      </c>
      <c r="J1722" t="s">
        <v>10782</v>
      </c>
      <c r="K1722" t="s">
        <v>17753</v>
      </c>
    </row>
    <row r="1723" spans="1:11" ht="115.2" x14ac:dyDescent="0.3">
      <c r="A1723" s="4" t="s">
        <v>2557</v>
      </c>
      <c r="B1723">
        <v>2</v>
      </c>
      <c r="C1723">
        <v>2022</v>
      </c>
      <c r="D1723" t="s">
        <v>80</v>
      </c>
      <c r="E1723">
        <v>12</v>
      </c>
      <c r="F1723" t="s">
        <v>17754</v>
      </c>
      <c r="G1723" t="s">
        <v>17755</v>
      </c>
      <c r="H1723" s="4" t="s">
        <v>17756</v>
      </c>
      <c r="I1723" t="s">
        <v>71</v>
      </c>
      <c r="J1723" t="s">
        <v>10782</v>
      </c>
      <c r="K1723" t="s">
        <v>17757</v>
      </c>
    </row>
    <row r="1724" spans="1:11" ht="28.8" x14ac:dyDescent="0.3">
      <c r="A1724" s="4" t="s">
        <v>5009</v>
      </c>
      <c r="B1724">
        <v>3</v>
      </c>
      <c r="C1724">
        <v>2022</v>
      </c>
      <c r="D1724" t="s">
        <v>17758</v>
      </c>
      <c r="E1724">
        <v>11</v>
      </c>
      <c r="F1724" t="s">
        <v>17759</v>
      </c>
      <c r="G1724" t="s">
        <v>17760</v>
      </c>
      <c r="H1724" s="4" t="s">
        <v>17761</v>
      </c>
    </row>
    <row r="1725" spans="1:11" ht="144" x14ac:dyDescent="0.3">
      <c r="A1725" s="4" t="s">
        <v>5010</v>
      </c>
      <c r="B1725">
        <v>3</v>
      </c>
      <c r="C1725">
        <v>2022</v>
      </c>
      <c r="D1725" t="s">
        <v>380</v>
      </c>
      <c r="E1725">
        <v>10</v>
      </c>
      <c r="F1725" t="s">
        <v>17762</v>
      </c>
      <c r="G1725" t="s">
        <v>17763</v>
      </c>
      <c r="H1725" s="4" t="s">
        <v>17764</v>
      </c>
      <c r="I1725" t="s">
        <v>71</v>
      </c>
      <c r="J1725" t="s">
        <v>10782</v>
      </c>
      <c r="K1725" t="s">
        <v>17765</v>
      </c>
    </row>
    <row r="1726" spans="1:11" ht="187.2" x14ac:dyDescent="0.3">
      <c r="A1726" s="4" t="s">
        <v>5011</v>
      </c>
      <c r="B1726">
        <v>3</v>
      </c>
      <c r="C1726">
        <v>2022</v>
      </c>
      <c r="D1726" t="s">
        <v>799</v>
      </c>
      <c r="E1726">
        <v>17</v>
      </c>
      <c r="F1726" t="s">
        <v>17766</v>
      </c>
      <c r="G1726" t="s">
        <v>17767</v>
      </c>
      <c r="H1726" s="4" t="s">
        <v>17768</v>
      </c>
      <c r="I1726" t="s">
        <v>71</v>
      </c>
      <c r="J1726" t="s">
        <v>10782</v>
      </c>
      <c r="K1726" t="s">
        <v>17769</v>
      </c>
    </row>
    <row r="1727" spans="1:11" ht="187.2" x14ac:dyDescent="0.3">
      <c r="A1727" s="4" t="s">
        <v>5012</v>
      </c>
      <c r="B1727">
        <v>3</v>
      </c>
      <c r="C1727">
        <v>2022</v>
      </c>
      <c r="D1727" t="s">
        <v>11294</v>
      </c>
      <c r="E1727">
        <v>1</v>
      </c>
      <c r="F1727" t="s">
        <v>17770</v>
      </c>
      <c r="G1727" t="s">
        <v>17771</v>
      </c>
      <c r="H1727" s="4" t="s">
        <v>17772</v>
      </c>
      <c r="I1727" t="s">
        <v>71</v>
      </c>
      <c r="J1727" t="s">
        <v>10782</v>
      </c>
      <c r="K1727" t="s">
        <v>17773</v>
      </c>
    </row>
    <row r="1728" spans="1:11" ht="230.4" x14ac:dyDescent="0.3">
      <c r="A1728" s="4" t="s">
        <v>5013</v>
      </c>
      <c r="B1728">
        <v>3</v>
      </c>
      <c r="C1728">
        <v>2022</v>
      </c>
      <c r="D1728" t="s">
        <v>637</v>
      </c>
      <c r="E1728">
        <v>10</v>
      </c>
      <c r="F1728" t="s">
        <v>17774</v>
      </c>
      <c r="G1728" t="s">
        <v>17775</v>
      </c>
      <c r="H1728" s="4" t="s">
        <v>17776</v>
      </c>
      <c r="I1728" t="s">
        <v>71</v>
      </c>
      <c r="J1728" t="s">
        <v>10782</v>
      </c>
      <c r="K1728" t="s">
        <v>17777</v>
      </c>
    </row>
    <row r="1729" spans="1:11" ht="158.4" x14ac:dyDescent="0.3">
      <c r="A1729" s="4" t="s">
        <v>5014</v>
      </c>
      <c r="B1729">
        <v>3</v>
      </c>
      <c r="C1729">
        <v>2022</v>
      </c>
      <c r="D1729" t="s">
        <v>329</v>
      </c>
      <c r="E1729">
        <v>4</v>
      </c>
      <c r="F1729" t="s">
        <v>17778</v>
      </c>
      <c r="G1729" t="s">
        <v>17779</v>
      </c>
      <c r="H1729" s="4" t="s">
        <v>17780</v>
      </c>
      <c r="I1729" t="s">
        <v>71</v>
      </c>
      <c r="J1729" t="s">
        <v>10782</v>
      </c>
      <c r="K1729" t="s">
        <v>17781</v>
      </c>
    </row>
    <row r="1730" spans="1:11" ht="158.4" x14ac:dyDescent="0.3">
      <c r="A1730" s="4" t="s">
        <v>5015</v>
      </c>
      <c r="B1730">
        <v>3</v>
      </c>
      <c r="C1730">
        <v>2022</v>
      </c>
      <c r="D1730" t="s">
        <v>482</v>
      </c>
      <c r="E1730">
        <v>0</v>
      </c>
      <c r="F1730" t="s">
        <v>17782</v>
      </c>
      <c r="G1730" t="s">
        <v>17783</v>
      </c>
      <c r="H1730" s="4" t="s">
        <v>17784</v>
      </c>
      <c r="I1730" t="s">
        <v>71</v>
      </c>
      <c r="J1730" t="s">
        <v>10782</v>
      </c>
      <c r="K1730" t="s">
        <v>17785</v>
      </c>
    </row>
    <row r="1731" spans="1:11" ht="273.60000000000002" x14ac:dyDescent="0.3">
      <c r="A1731" s="4" t="s">
        <v>5016</v>
      </c>
      <c r="B1731">
        <v>3</v>
      </c>
      <c r="C1731">
        <v>2022</v>
      </c>
      <c r="D1731" t="s">
        <v>2416</v>
      </c>
      <c r="E1731">
        <v>12</v>
      </c>
      <c r="F1731" t="s">
        <v>17786</v>
      </c>
      <c r="G1731" t="s">
        <v>17787</v>
      </c>
      <c r="H1731" s="4" t="s">
        <v>17788</v>
      </c>
      <c r="I1731" t="s">
        <v>71</v>
      </c>
      <c r="J1731" t="s">
        <v>10782</v>
      </c>
      <c r="K1731" t="s">
        <v>17789</v>
      </c>
    </row>
    <row r="1732" spans="1:11" ht="187.2" x14ac:dyDescent="0.3">
      <c r="A1732" s="4" t="s">
        <v>5017</v>
      </c>
      <c r="B1732">
        <v>3</v>
      </c>
      <c r="C1732">
        <v>2022</v>
      </c>
      <c r="D1732" t="s">
        <v>11598</v>
      </c>
      <c r="E1732">
        <v>7</v>
      </c>
      <c r="F1732" t="s">
        <v>17790</v>
      </c>
      <c r="G1732" t="s">
        <v>17791</v>
      </c>
      <c r="H1732" s="4" t="s">
        <v>17792</v>
      </c>
      <c r="I1732" t="s">
        <v>71</v>
      </c>
      <c r="J1732" t="s">
        <v>10782</v>
      </c>
      <c r="K1732" t="s">
        <v>17793</v>
      </c>
    </row>
    <row r="1733" spans="1:11" ht="43.2" x14ac:dyDescent="0.3">
      <c r="A1733" s="4" t="s">
        <v>5018</v>
      </c>
      <c r="B1733">
        <v>3</v>
      </c>
      <c r="C1733">
        <v>2022</v>
      </c>
      <c r="D1733" t="s">
        <v>679</v>
      </c>
      <c r="E1733">
        <v>6</v>
      </c>
      <c r="F1733" t="s">
        <v>17794</v>
      </c>
      <c r="G1733" t="s">
        <v>17795</v>
      </c>
      <c r="H1733" s="4" t="s">
        <v>17796</v>
      </c>
    </row>
    <row r="1734" spans="1:11" ht="187.2" x14ac:dyDescent="0.3">
      <c r="A1734" s="4" t="s">
        <v>5019</v>
      </c>
      <c r="B1734">
        <v>3</v>
      </c>
      <c r="C1734">
        <v>2022</v>
      </c>
      <c r="D1734" t="s">
        <v>892</v>
      </c>
      <c r="E1734">
        <v>3</v>
      </c>
      <c r="F1734" t="s">
        <v>17797</v>
      </c>
      <c r="G1734" t="s">
        <v>17798</v>
      </c>
      <c r="H1734" s="4" t="s">
        <v>17799</v>
      </c>
      <c r="I1734" t="s">
        <v>71</v>
      </c>
      <c r="J1734" t="s">
        <v>10782</v>
      </c>
      <c r="K1734" t="s">
        <v>17800</v>
      </c>
    </row>
    <row r="1735" spans="1:11" ht="129.6" x14ac:dyDescent="0.3">
      <c r="A1735" s="4" t="s">
        <v>5020</v>
      </c>
      <c r="B1735">
        <v>3</v>
      </c>
      <c r="C1735">
        <v>2022</v>
      </c>
      <c r="D1735" t="s">
        <v>217</v>
      </c>
      <c r="E1735">
        <v>9</v>
      </c>
      <c r="F1735" t="s">
        <v>17801</v>
      </c>
      <c r="G1735" t="s">
        <v>17802</v>
      </c>
      <c r="H1735" s="4" t="s">
        <v>17803</v>
      </c>
      <c r="I1735" t="s">
        <v>71</v>
      </c>
      <c r="J1735" t="s">
        <v>10782</v>
      </c>
      <c r="K1735" t="s">
        <v>17804</v>
      </c>
    </row>
    <row r="1736" spans="1:11" ht="230.4" x14ac:dyDescent="0.3">
      <c r="A1736" s="4" t="s">
        <v>5021</v>
      </c>
      <c r="B1736">
        <v>3</v>
      </c>
      <c r="C1736">
        <v>2022</v>
      </c>
      <c r="D1736" t="s">
        <v>234</v>
      </c>
      <c r="E1736">
        <v>6</v>
      </c>
      <c r="F1736" t="s">
        <v>17805</v>
      </c>
      <c r="G1736" t="s">
        <v>17806</v>
      </c>
      <c r="H1736" s="4" t="s">
        <v>17807</v>
      </c>
      <c r="I1736" t="s">
        <v>71</v>
      </c>
      <c r="J1736" t="s">
        <v>10782</v>
      </c>
      <c r="K1736" t="s">
        <v>17808</v>
      </c>
    </row>
    <row r="1737" spans="1:11" ht="187.2" x14ac:dyDescent="0.3">
      <c r="A1737" s="4" t="s">
        <v>5022</v>
      </c>
      <c r="B1737">
        <v>3</v>
      </c>
      <c r="C1737">
        <v>2022</v>
      </c>
      <c r="D1737" t="s">
        <v>318</v>
      </c>
      <c r="E1737">
        <v>9</v>
      </c>
      <c r="F1737" t="s">
        <v>17809</v>
      </c>
      <c r="G1737" t="s">
        <v>17810</v>
      </c>
      <c r="H1737" s="4" t="s">
        <v>17811</v>
      </c>
      <c r="I1737" t="s">
        <v>71</v>
      </c>
      <c r="J1737" t="s">
        <v>10782</v>
      </c>
      <c r="K1737" t="s">
        <v>17812</v>
      </c>
    </row>
    <row r="1738" spans="1:11" ht="187.2" x14ac:dyDescent="0.3">
      <c r="A1738" s="4" t="s">
        <v>5023</v>
      </c>
      <c r="B1738">
        <v>3</v>
      </c>
      <c r="C1738">
        <v>2022</v>
      </c>
      <c r="D1738" t="s">
        <v>318</v>
      </c>
      <c r="E1738">
        <v>14</v>
      </c>
      <c r="F1738" t="s">
        <v>17813</v>
      </c>
      <c r="G1738" t="s">
        <v>17814</v>
      </c>
      <c r="H1738" s="4" t="s">
        <v>17815</v>
      </c>
      <c r="I1738" t="s">
        <v>71</v>
      </c>
      <c r="J1738" t="s">
        <v>10782</v>
      </c>
      <c r="K1738" t="s">
        <v>17816</v>
      </c>
    </row>
    <row r="1739" spans="1:11" ht="230.4" x14ac:dyDescent="0.3">
      <c r="A1739" s="4" t="s">
        <v>5024</v>
      </c>
      <c r="B1739">
        <v>3</v>
      </c>
      <c r="C1739">
        <v>2022</v>
      </c>
      <c r="D1739" t="s">
        <v>704</v>
      </c>
      <c r="E1739">
        <v>21</v>
      </c>
      <c r="F1739" t="s">
        <v>17817</v>
      </c>
      <c r="G1739" t="s">
        <v>17818</v>
      </c>
      <c r="H1739" s="4" t="s">
        <v>17819</v>
      </c>
      <c r="I1739" t="s">
        <v>71</v>
      </c>
      <c r="J1739" t="s">
        <v>10782</v>
      </c>
      <c r="K1739" t="s">
        <v>17820</v>
      </c>
    </row>
    <row r="1740" spans="1:11" ht="302.39999999999998" x14ac:dyDescent="0.3">
      <c r="A1740" s="4" t="s">
        <v>5025</v>
      </c>
      <c r="B1740">
        <v>3</v>
      </c>
      <c r="C1740">
        <v>2022</v>
      </c>
      <c r="D1740" t="s">
        <v>1125</v>
      </c>
      <c r="E1740">
        <v>33</v>
      </c>
      <c r="F1740" t="s">
        <v>17821</v>
      </c>
      <c r="G1740" t="s">
        <v>17822</v>
      </c>
      <c r="H1740" s="4" t="s">
        <v>17823</v>
      </c>
      <c r="I1740" t="s">
        <v>10945</v>
      </c>
      <c r="J1740" t="s">
        <v>10782</v>
      </c>
      <c r="K1740" t="s">
        <v>17824</v>
      </c>
    </row>
    <row r="1741" spans="1:11" ht="158.4" x14ac:dyDescent="0.3">
      <c r="A1741" s="4" t="s">
        <v>5026</v>
      </c>
      <c r="B1741">
        <v>3</v>
      </c>
      <c r="C1741">
        <v>2022</v>
      </c>
      <c r="D1741" t="s">
        <v>16112</v>
      </c>
      <c r="E1741">
        <v>3</v>
      </c>
      <c r="F1741" t="s">
        <v>17825</v>
      </c>
      <c r="G1741" t="s">
        <v>17826</v>
      </c>
      <c r="H1741" s="4" t="s">
        <v>17827</v>
      </c>
      <c r="I1741" t="s">
        <v>71</v>
      </c>
      <c r="J1741" t="s">
        <v>10782</v>
      </c>
      <c r="K1741" t="s">
        <v>17828</v>
      </c>
    </row>
    <row r="1742" spans="1:11" ht="201.6" x14ac:dyDescent="0.3">
      <c r="A1742" s="4" t="s">
        <v>5027</v>
      </c>
      <c r="B1742">
        <v>3</v>
      </c>
      <c r="C1742">
        <v>2022</v>
      </c>
      <c r="D1742" t="s">
        <v>11967</v>
      </c>
      <c r="E1742">
        <v>15</v>
      </c>
      <c r="F1742" t="s">
        <v>17829</v>
      </c>
      <c r="G1742" t="s">
        <v>17830</v>
      </c>
      <c r="H1742" s="4" t="s">
        <v>17831</v>
      </c>
      <c r="I1742" t="s">
        <v>71</v>
      </c>
      <c r="J1742" t="s">
        <v>10782</v>
      </c>
      <c r="K1742" t="s">
        <v>17832</v>
      </c>
    </row>
    <row r="1743" spans="1:11" ht="244.8" x14ac:dyDescent="0.3">
      <c r="A1743" s="4" t="s">
        <v>5028</v>
      </c>
      <c r="B1743">
        <v>3</v>
      </c>
      <c r="C1743">
        <v>2022</v>
      </c>
      <c r="D1743" t="s">
        <v>637</v>
      </c>
      <c r="E1743">
        <v>24</v>
      </c>
      <c r="F1743" t="s">
        <v>17833</v>
      </c>
      <c r="G1743" t="s">
        <v>17834</v>
      </c>
      <c r="H1743" s="4" t="s">
        <v>17835</v>
      </c>
      <c r="I1743" t="s">
        <v>71</v>
      </c>
      <c r="J1743" t="s">
        <v>10782</v>
      </c>
      <c r="K1743" t="s">
        <v>17836</v>
      </c>
    </row>
    <row r="1744" spans="1:11" ht="144" x14ac:dyDescent="0.3">
      <c r="A1744" s="4" t="s">
        <v>5029</v>
      </c>
      <c r="B1744">
        <v>3</v>
      </c>
      <c r="C1744">
        <v>2022</v>
      </c>
      <c r="D1744" t="s">
        <v>15071</v>
      </c>
      <c r="E1744">
        <v>2</v>
      </c>
      <c r="F1744" t="s">
        <v>17837</v>
      </c>
      <c r="G1744" t="s">
        <v>17838</v>
      </c>
      <c r="H1744" s="4" t="s">
        <v>17839</v>
      </c>
      <c r="I1744" t="s">
        <v>71</v>
      </c>
      <c r="J1744" t="s">
        <v>10782</v>
      </c>
      <c r="K1744" t="s">
        <v>17840</v>
      </c>
    </row>
    <row r="1745" spans="1:11" ht="172.8" x14ac:dyDescent="0.3">
      <c r="A1745" s="4" t="s">
        <v>5030</v>
      </c>
      <c r="B1745">
        <v>3</v>
      </c>
      <c r="C1745">
        <v>2022</v>
      </c>
      <c r="D1745" t="s">
        <v>12593</v>
      </c>
      <c r="E1745">
        <v>1</v>
      </c>
      <c r="F1745" t="s">
        <v>17841</v>
      </c>
      <c r="G1745" t="s">
        <v>17842</v>
      </c>
      <c r="H1745" s="4" t="s">
        <v>17843</v>
      </c>
      <c r="I1745" t="s">
        <v>71</v>
      </c>
      <c r="J1745" t="s">
        <v>10782</v>
      </c>
      <c r="K1745" t="s">
        <v>17844</v>
      </c>
    </row>
    <row r="1746" spans="1:11" ht="230.4" x14ac:dyDescent="0.3">
      <c r="A1746" s="4" t="s">
        <v>5031</v>
      </c>
      <c r="B1746">
        <v>3</v>
      </c>
      <c r="C1746">
        <v>2022</v>
      </c>
      <c r="D1746" t="s">
        <v>1912</v>
      </c>
      <c r="E1746">
        <v>3</v>
      </c>
      <c r="F1746" t="s">
        <v>17845</v>
      </c>
      <c r="G1746" t="s">
        <v>17846</v>
      </c>
      <c r="H1746" s="4" t="s">
        <v>17847</v>
      </c>
      <c r="I1746" t="s">
        <v>71</v>
      </c>
      <c r="J1746" t="s">
        <v>10782</v>
      </c>
      <c r="K1746" t="s">
        <v>17848</v>
      </c>
    </row>
    <row r="1747" spans="1:11" ht="187.2" x14ac:dyDescent="0.3">
      <c r="A1747" s="4" t="s">
        <v>3529</v>
      </c>
      <c r="B1747">
        <v>2</v>
      </c>
      <c r="C1747">
        <v>2022</v>
      </c>
      <c r="D1747" t="s">
        <v>434</v>
      </c>
      <c r="E1747">
        <v>65</v>
      </c>
      <c r="F1747" t="s">
        <v>17849</v>
      </c>
      <c r="G1747" t="s">
        <v>17850</v>
      </c>
      <c r="H1747" s="4" t="s">
        <v>17851</v>
      </c>
      <c r="I1747" t="s">
        <v>71</v>
      </c>
      <c r="J1747" t="s">
        <v>10782</v>
      </c>
      <c r="K1747" t="s">
        <v>17852</v>
      </c>
    </row>
    <row r="1748" spans="1:11" ht="273.60000000000002" x14ac:dyDescent="0.3">
      <c r="A1748" s="4" t="s">
        <v>5032</v>
      </c>
      <c r="B1748">
        <v>3</v>
      </c>
      <c r="C1748">
        <v>2022</v>
      </c>
      <c r="D1748" t="s">
        <v>637</v>
      </c>
      <c r="E1748">
        <v>38</v>
      </c>
      <c r="F1748" t="s">
        <v>17853</v>
      </c>
      <c r="G1748" t="s">
        <v>17854</v>
      </c>
      <c r="H1748" s="4" t="s">
        <v>17855</v>
      </c>
      <c r="I1748" t="s">
        <v>71</v>
      </c>
      <c r="J1748" t="s">
        <v>10782</v>
      </c>
      <c r="K1748" t="s">
        <v>17856</v>
      </c>
    </row>
    <row r="1749" spans="1:11" ht="129.6" x14ac:dyDescent="0.3">
      <c r="A1749" s="4" t="s">
        <v>5033</v>
      </c>
      <c r="B1749">
        <v>3</v>
      </c>
      <c r="C1749">
        <v>2022</v>
      </c>
      <c r="D1749" t="s">
        <v>892</v>
      </c>
      <c r="E1749">
        <v>7</v>
      </c>
      <c r="F1749" t="s">
        <v>17857</v>
      </c>
      <c r="G1749" t="s">
        <v>17858</v>
      </c>
      <c r="H1749" s="4" t="s">
        <v>17859</v>
      </c>
      <c r="I1749" t="s">
        <v>71</v>
      </c>
      <c r="J1749" t="s">
        <v>10782</v>
      </c>
      <c r="K1749" t="s">
        <v>17860</v>
      </c>
    </row>
    <row r="1750" spans="1:11" ht="129.6" x14ac:dyDescent="0.3">
      <c r="A1750" s="4" t="s">
        <v>5034</v>
      </c>
      <c r="B1750">
        <v>3</v>
      </c>
      <c r="C1750">
        <v>2022</v>
      </c>
      <c r="D1750" t="s">
        <v>12593</v>
      </c>
      <c r="E1750">
        <v>3</v>
      </c>
      <c r="F1750" t="s">
        <v>17861</v>
      </c>
      <c r="G1750" t="s">
        <v>17862</v>
      </c>
      <c r="H1750" s="4" t="s">
        <v>17863</v>
      </c>
    </row>
    <row r="1751" spans="1:11" ht="100.8" x14ac:dyDescent="0.3">
      <c r="A1751" s="4" t="s">
        <v>5035</v>
      </c>
      <c r="B1751">
        <v>3</v>
      </c>
      <c r="C1751">
        <v>2022</v>
      </c>
      <c r="D1751" t="s">
        <v>817</v>
      </c>
      <c r="E1751">
        <v>2</v>
      </c>
      <c r="F1751" t="s">
        <v>17864</v>
      </c>
      <c r="G1751" t="s">
        <v>17865</v>
      </c>
      <c r="H1751" s="4" t="s">
        <v>17866</v>
      </c>
      <c r="I1751" t="s">
        <v>71</v>
      </c>
      <c r="J1751" t="s">
        <v>10782</v>
      </c>
      <c r="K1751" t="s">
        <v>17867</v>
      </c>
    </row>
    <row r="1752" spans="1:11" ht="201.6" x14ac:dyDescent="0.3">
      <c r="A1752" s="4" t="s">
        <v>5036</v>
      </c>
      <c r="B1752">
        <v>3</v>
      </c>
      <c r="C1752">
        <v>2022</v>
      </c>
      <c r="D1752" t="s">
        <v>1746</v>
      </c>
      <c r="E1752">
        <v>9</v>
      </c>
      <c r="F1752" t="s">
        <v>17868</v>
      </c>
      <c r="G1752" t="s">
        <v>17869</v>
      </c>
      <c r="H1752" s="4" t="s">
        <v>17870</v>
      </c>
      <c r="I1752" t="s">
        <v>71</v>
      </c>
      <c r="J1752" t="s">
        <v>10782</v>
      </c>
      <c r="K1752" t="s">
        <v>17871</v>
      </c>
    </row>
    <row r="1753" spans="1:11" ht="115.2" x14ac:dyDescent="0.3">
      <c r="A1753" s="4" t="s">
        <v>2558</v>
      </c>
      <c r="B1753">
        <v>2</v>
      </c>
      <c r="C1753">
        <v>2022</v>
      </c>
      <c r="D1753" t="s">
        <v>234</v>
      </c>
      <c r="E1753">
        <v>1</v>
      </c>
      <c r="F1753" t="s">
        <v>17872</v>
      </c>
      <c r="G1753" t="s">
        <v>17873</v>
      </c>
      <c r="H1753" s="4" t="s">
        <v>17874</v>
      </c>
      <c r="I1753" t="s">
        <v>71</v>
      </c>
      <c r="J1753" t="s">
        <v>10782</v>
      </c>
      <c r="K1753" t="s">
        <v>17875</v>
      </c>
    </row>
    <row r="1754" spans="1:11" ht="244.8" x14ac:dyDescent="0.3">
      <c r="A1754" s="4" t="s">
        <v>5037</v>
      </c>
      <c r="B1754">
        <v>3</v>
      </c>
      <c r="C1754">
        <v>2022</v>
      </c>
      <c r="D1754" t="s">
        <v>17876</v>
      </c>
      <c r="E1754">
        <v>3</v>
      </c>
      <c r="F1754" t="s">
        <v>17877</v>
      </c>
      <c r="G1754" t="s">
        <v>17878</v>
      </c>
      <c r="H1754" s="4" t="s">
        <v>17879</v>
      </c>
      <c r="I1754" t="s">
        <v>71</v>
      </c>
      <c r="J1754" t="s">
        <v>10782</v>
      </c>
      <c r="K1754" t="s">
        <v>17880</v>
      </c>
    </row>
    <row r="1755" spans="1:11" ht="187.2" x14ac:dyDescent="0.3">
      <c r="A1755" s="4" t="s">
        <v>5038</v>
      </c>
      <c r="B1755">
        <v>3</v>
      </c>
      <c r="C1755">
        <v>2022</v>
      </c>
      <c r="D1755" t="s">
        <v>17881</v>
      </c>
      <c r="E1755">
        <v>24</v>
      </c>
      <c r="F1755" t="s">
        <v>17882</v>
      </c>
      <c r="G1755" t="s">
        <v>17883</v>
      </c>
      <c r="H1755" s="4" t="s">
        <v>17884</v>
      </c>
      <c r="I1755" t="s">
        <v>71</v>
      </c>
      <c r="J1755" t="s">
        <v>10782</v>
      </c>
      <c r="K1755" t="s">
        <v>17885</v>
      </c>
    </row>
    <row r="1756" spans="1:11" ht="230.4" x14ac:dyDescent="0.3">
      <c r="A1756" s="4" t="s">
        <v>5039</v>
      </c>
      <c r="B1756">
        <v>3</v>
      </c>
      <c r="C1756">
        <v>2022</v>
      </c>
      <c r="D1756" t="s">
        <v>10971</v>
      </c>
      <c r="E1756">
        <v>12</v>
      </c>
      <c r="F1756" t="s">
        <v>17886</v>
      </c>
      <c r="G1756" t="s">
        <v>17887</v>
      </c>
      <c r="H1756" s="4" t="s">
        <v>17888</v>
      </c>
      <c r="I1756" t="s">
        <v>71</v>
      </c>
      <c r="J1756" t="s">
        <v>10782</v>
      </c>
      <c r="K1756" t="s">
        <v>17889</v>
      </c>
    </row>
    <row r="1757" spans="1:11" ht="144" x14ac:dyDescent="0.3">
      <c r="A1757" s="4" t="s">
        <v>5040</v>
      </c>
      <c r="B1757">
        <v>3</v>
      </c>
      <c r="C1757">
        <v>2022</v>
      </c>
      <c r="D1757" t="s">
        <v>434</v>
      </c>
      <c r="E1757">
        <v>10</v>
      </c>
      <c r="F1757" t="s">
        <v>17890</v>
      </c>
      <c r="G1757" t="s">
        <v>17891</v>
      </c>
      <c r="H1757" s="4" t="s">
        <v>17892</v>
      </c>
    </row>
    <row r="1758" spans="1:11" ht="172.8" x14ac:dyDescent="0.3">
      <c r="A1758" s="4" t="s">
        <v>3282</v>
      </c>
      <c r="B1758">
        <v>1</v>
      </c>
      <c r="C1758">
        <v>2022</v>
      </c>
      <c r="D1758" t="s">
        <v>217</v>
      </c>
      <c r="E1758">
        <v>3</v>
      </c>
      <c r="F1758" t="s">
        <v>17893</v>
      </c>
      <c r="G1758" t="s">
        <v>17894</v>
      </c>
      <c r="H1758" s="4" t="s">
        <v>17895</v>
      </c>
      <c r="I1758" t="s">
        <v>71</v>
      </c>
      <c r="J1758" t="s">
        <v>10782</v>
      </c>
      <c r="K1758" t="s">
        <v>17896</v>
      </c>
    </row>
    <row r="1759" spans="1:11" ht="86.4" x14ac:dyDescent="0.3">
      <c r="A1759" s="4" t="s">
        <v>5041</v>
      </c>
      <c r="B1759">
        <v>3</v>
      </c>
      <c r="C1759">
        <v>2022</v>
      </c>
      <c r="D1759" t="s">
        <v>637</v>
      </c>
      <c r="E1759">
        <v>27</v>
      </c>
      <c r="F1759" t="s">
        <v>17897</v>
      </c>
      <c r="G1759" t="s">
        <v>17898</v>
      </c>
      <c r="H1759" s="4" t="s">
        <v>17899</v>
      </c>
    </row>
    <row r="1760" spans="1:11" ht="230.4" x14ac:dyDescent="0.3">
      <c r="A1760" s="4" t="s">
        <v>5042</v>
      </c>
      <c r="B1760">
        <v>3</v>
      </c>
      <c r="C1760">
        <v>2022</v>
      </c>
      <c r="D1760" t="s">
        <v>17900</v>
      </c>
      <c r="E1760">
        <v>6</v>
      </c>
      <c r="F1760" t="s">
        <v>17901</v>
      </c>
      <c r="G1760" t="s">
        <v>17902</v>
      </c>
      <c r="H1760" s="4" t="s">
        <v>17903</v>
      </c>
    </row>
    <row r="1761" spans="1:11" ht="201.6" x14ac:dyDescent="0.3">
      <c r="A1761" s="4" t="s">
        <v>5043</v>
      </c>
      <c r="B1761">
        <v>3</v>
      </c>
      <c r="C1761">
        <v>2022</v>
      </c>
      <c r="D1761" t="s">
        <v>13756</v>
      </c>
      <c r="E1761">
        <v>2</v>
      </c>
      <c r="F1761" t="s">
        <v>17904</v>
      </c>
      <c r="G1761" t="s">
        <v>17905</v>
      </c>
      <c r="H1761" s="4" t="s">
        <v>17906</v>
      </c>
      <c r="I1761" t="s">
        <v>71</v>
      </c>
      <c r="J1761" t="s">
        <v>10782</v>
      </c>
      <c r="K1761" t="s">
        <v>17907</v>
      </c>
    </row>
    <row r="1762" spans="1:11" ht="201.6" x14ac:dyDescent="0.3">
      <c r="A1762" s="4" t="s">
        <v>5044</v>
      </c>
      <c r="B1762">
        <v>3</v>
      </c>
      <c r="C1762">
        <v>2022</v>
      </c>
      <c r="D1762" t="s">
        <v>17362</v>
      </c>
      <c r="E1762">
        <v>4</v>
      </c>
      <c r="F1762" t="s">
        <v>17908</v>
      </c>
      <c r="G1762" t="s">
        <v>17909</v>
      </c>
      <c r="H1762" s="4" t="s">
        <v>17910</v>
      </c>
      <c r="I1762" t="s">
        <v>71</v>
      </c>
      <c r="J1762" t="s">
        <v>10782</v>
      </c>
      <c r="K1762" t="s">
        <v>17911</v>
      </c>
    </row>
    <row r="1763" spans="1:11" ht="273.60000000000002" x14ac:dyDescent="0.3">
      <c r="A1763" s="4" t="s">
        <v>5045</v>
      </c>
      <c r="B1763">
        <v>3</v>
      </c>
      <c r="C1763">
        <v>2022</v>
      </c>
      <c r="D1763" t="s">
        <v>11294</v>
      </c>
      <c r="E1763">
        <v>2</v>
      </c>
      <c r="F1763" t="s">
        <v>17912</v>
      </c>
      <c r="G1763" t="s">
        <v>17913</v>
      </c>
      <c r="H1763" s="4" t="s">
        <v>17914</v>
      </c>
      <c r="I1763" t="s">
        <v>71</v>
      </c>
      <c r="J1763" t="s">
        <v>10782</v>
      </c>
      <c r="K1763" t="s">
        <v>17915</v>
      </c>
    </row>
    <row r="1764" spans="1:11" ht="201.6" x14ac:dyDescent="0.3">
      <c r="A1764" s="4" t="s">
        <v>5046</v>
      </c>
      <c r="B1764">
        <v>3</v>
      </c>
      <c r="C1764">
        <v>2022</v>
      </c>
      <c r="D1764" t="s">
        <v>12593</v>
      </c>
      <c r="E1764">
        <v>8</v>
      </c>
      <c r="F1764" t="s">
        <v>17916</v>
      </c>
      <c r="G1764" t="s">
        <v>17917</v>
      </c>
      <c r="H1764" s="4" t="s">
        <v>17918</v>
      </c>
      <c r="I1764" t="s">
        <v>71</v>
      </c>
      <c r="J1764" t="s">
        <v>10782</v>
      </c>
      <c r="K1764" t="s">
        <v>17919</v>
      </c>
    </row>
    <row r="1765" spans="1:11" ht="230.4" x14ac:dyDescent="0.3">
      <c r="A1765" s="4" t="s">
        <v>5047</v>
      </c>
      <c r="B1765">
        <v>3</v>
      </c>
      <c r="C1765">
        <v>2022</v>
      </c>
      <c r="D1765" t="s">
        <v>17920</v>
      </c>
      <c r="E1765">
        <v>9</v>
      </c>
      <c r="F1765" t="s">
        <v>17921</v>
      </c>
      <c r="G1765" t="s">
        <v>17922</v>
      </c>
      <c r="H1765" s="4" t="s">
        <v>17923</v>
      </c>
      <c r="I1765" t="s">
        <v>71</v>
      </c>
      <c r="J1765" t="s">
        <v>10782</v>
      </c>
      <c r="K1765" t="s">
        <v>17924</v>
      </c>
    </row>
    <row r="1766" spans="1:11" ht="201.6" x14ac:dyDescent="0.3">
      <c r="A1766" s="4" t="s">
        <v>5048</v>
      </c>
      <c r="B1766">
        <v>3</v>
      </c>
      <c r="C1766">
        <v>2022</v>
      </c>
      <c r="D1766" t="s">
        <v>1936</v>
      </c>
      <c r="E1766">
        <v>25</v>
      </c>
      <c r="F1766" t="s">
        <v>17925</v>
      </c>
      <c r="G1766" t="s">
        <v>17926</v>
      </c>
      <c r="H1766" s="4" t="s">
        <v>17927</v>
      </c>
      <c r="I1766" t="s">
        <v>71</v>
      </c>
      <c r="J1766" t="s">
        <v>10782</v>
      </c>
      <c r="K1766" t="s">
        <v>17928</v>
      </c>
    </row>
    <row r="1767" spans="1:11" ht="187.2" x14ac:dyDescent="0.3">
      <c r="A1767" s="4" t="s">
        <v>5049</v>
      </c>
      <c r="B1767">
        <v>3</v>
      </c>
      <c r="C1767">
        <v>2022</v>
      </c>
      <c r="D1767" t="s">
        <v>11598</v>
      </c>
      <c r="E1767">
        <v>10</v>
      </c>
      <c r="F1767" t="s">
        <v>17929</v>
      </c>
      <c r="G1767" t="s">
        <v>17930</v>
      </c>
      <c r="H1767" s="4" t="s">
        <v>17931</v>
      </c>
      <c r="I1767" t="s">
        <v>71</v>
      </c>
      <c r="J1767" t="s">
        <v>10782</v>
      </c>
      <c r="K1767" t="s">
        <v>17932</v>
      </c>
    </row>
    <row r="1768" spans="1:11" ht="216" x14ac:dyDescent="0.3">
      <c r="A1768" s="4" t="s">
        <v>5050</v>
      </c>
      <c r="B1768">
        <v>3</v>
      </c>
      <c r="C1768">
        <v>2022</v>
      </c>
      <c r="D1768" t="s">
        <v>318</v>
      </c>
      <c r="E1768">
        <v>15</v>
      </c>
      <c r="F1768" t="s">
        <v>17933</v>
      </c>
      <c r="G1768" t="s">
        <v>17934</v>
      </c>
      <c r="H1768" s="4" t="s">
        <v>17935</v>
      </c>
      <c r="I1768" t="s">
        <v>71</v>
      </c>
      <c r="J1768" t="s">
        <v>10782</v>
      </c>
      <c r="K1768" t="s">
        <v>17936</v>
      </c>
    </row>
    <row r="1769" spans="1:11" ht="201.6" x14ac:dyDescent="0.3">
      <c r="A1769" s="4" t="s">
        <v>2559</v>
      </c>
      <c r="B1769">
        <v>2</v>
      </c>
      <c r="C1769">
        <v>2022</v>
      </c>
      <c r="D1769" t="s">
        <v>217</v>
      </c>
      <c r="E1769">
        <v>6</v>
      </c>
      <c r="F1769" t="s">
        <v>17937</v>
      </c>
      <c r="G1769" t="s">
        <v>17938</v>
      </c>
      <c r="H1769" s="4" t="s">
        <v>17939</v>
      </c>
      <c r="I1769" t="s">
        <v>71</v>
      </c>
      <c r="J1769" t="s">
        <v>10782</v>
      </c>
      <c r="K1769" t="s">
        <v>17940</v>
      </c>
    </row>
    <row r="1770" spans="1:11" ht="187.2" x14ac:dyDescent="0.3">
      <c r="A1770" s="4" t="s">
        <v>5051</v>
      </c>
      <c r="B1770">
        <v>3</v>
      </c>
      <c r="C1770">
        <v>2022</v>
      </c>
      <c r="D1770" t="s">
        <v>12318</v>
      </c>
      <c r="E1770">
        <v>13</v>
      </c>
      <c r="F1770" t="s">
        <v>17941</v>
      </c>
      <c r="G1770" t="s">
        <v>17942</v>
      </c>
      <c r="H1770" s="4" t="s">
        <v>17943</v>
      </c>
      <c r="I1770" t="s">
        <v>71</v>
      </c>
      <c r="J1770" t="s">
        <v>10782</v>
      </c>
      <c r="K1770" t="s">
        <v>17944</v>
      </c>
    </row>
    <row r="1771" spans="1:11" ht="201.6" x14ac:dyDescent="0.3">
      <c r="A1771" s="4" t="s">
        <v>5052</v>
      </c>
      <c r="B1771">
        <v>3</v>
      </c>
      <c r="C1771">
        <v>2022</v>
      </c>
      <c r="D1771" t="s">
        <v>12875</v>
      </c>
      <c r="E1771">
        <v>2</v>
      </c>
      <c r="F1771" t="s">
        <v>17945</v>
      </c>
      <c r="G1771" t="s">
        <v>17946</v>
      </c>
      <c r="H1771" s="4" t="s">
        <v>17947</v>
      </c>
      <c r="I1771" t="s">
        <v>71</v>
      </c>
      <c r="J1771" t="s">
        <v>10782</v>
      </c>
      <c r="K1771" t="s">
        <v>17948</v>
      </c>
    </row>
    <row r="1772" spans="1:11" ht="201.6" x14ac:dyDescent="0.3">
      <c r="A1772" s="4" t="s">
        <v>5053</v>
      </c>
      <c r="B1772">
        <v>3</v>
      </c>
      <c r="C1772">
        <v>2022</v>
      </c>
      <c r="D1772" t="s">
        <v>11598</v>
      </c>
      <c r="E1772">
        <v>11</v>
      </c>
      <c r="F1772" t="s">
        <v>17949</v>
      </c>
      <c r="G1772" t="s">
        <v>17950</v>
      </c>
      <c r="H1772" s="4" t="s">
        <v>17951</v>
      </c>
      <c r="I1772" t="s">
        <v>71</v>
      </c>
      <c r="J1772" t="s">
        <v>10782</v>
      </c>
      <c r="K1772" t="s">
        <v>17952</v>
      </c>
    </row>
    <row r="1773" spans="1:11" ht="100.8" x14ac:dyDescent="0.3">
      <c r="A1773" s="4" t="s">
        <v>5054</v>
      </c>
      <c r="B1773">
        <v>3</v>
      </c>
      <c r="C1773">
        <v>2022</v>
      </c>
      <c r="D1773" t="s">
        <v>679</v>
      </c>
      <c r="E1773">
        <v>7</v>
      </c>
      <c r="F1773" t="s">
        <v>17953</v>
      </c>
      <c r="G1773" t="s">
        <v>17954</v>
      </c>
      <c r="H1773" s="4" t="s">
        <v>17955</v>
      </c>
      <c r="I1773" t="s">
        <v>71</v>
      </c>
      <c r="J1773" t="s">
        <v>10782</v>
      </c>
      <c r="K1773" t="s">
        <v>17956</v>
      </c>
    </row>
    <row r="1774" spans="1:11" ht="187.2" x14ac:dyDescent="0.3">
      <c r="A1774" s="4" t="s">
        <v>3283</v>
      </c>
      <c r="B1774">
        <v>1</v>
      </c>
      <c r="C1774">
        <v>2022</v>
      </c>
      <c r="D1774" t="s">
        <v>147</v>
      </c>
      <c r="E1774">
        <v>19</v>
      </c>
      <c r="F1774" t="s">
        <v>17957</v>
      </c>
      <c r="G1774" t="s">
        <v>17958</v>
      </c>
      <c r="H1774" s="4" t="s">
        <v>17959</v>
      </c>
      <c r="I1774" t="s">
        <v>71</v>
      </c>
      <c r="J1774" t="s">
        <v>10782</v>
      </c>
      <c r="K1774" t="s">
        <v>17960</v>
      </c>
    </row>
    <row r="1775" spans="1:11" ht="230.4" x14ac:dyDescent="0.3">
      <c r="A1775" s="4" t="s">
        <v>3284</v>
      </c>
      <c r="B1775">
        <v>1</v>
      </c>
      <c r="C1775">
        <v>2022</v>
      </c>
      <c r="D1775" t="s">
        <v>217</v>
      </c>
      <c r="E1775">
        <v>9</v>
      </c>
      <c r="F1775" t="s">
        <v>17961</v>
      </c>
      <c r="G1775" t="s">
        <v>17962</v>
      </c>
      <c r="H1775" s="4" t="s">
        <v>17963</v>
      </c>
      <c r="I1775" t="s">
        <v>71</v>
      </c>
      <c r="J1775" t="s">
        <v>10782</v>
      </c>
      <c r="K1775" t="s">
        <v>17964</v>
      </c>
    </row>
    <row r="1776" spans="1:11" ht="57.6" x14ac:dyDescent="0.3">
      <c r="A1776" s="4" t="s">
        <v>5055</v>
      </c>
      <c r="B1776">
        <v>3</v>
      </c>
      <c r="C1776">
        <v>2022</v>
      </c>
      <c r="D1776" t="s">
        <v>17965</v>
      </c>
      <c r="E1776">
        <v>24</v>
      </c>
      <c r="F1776" t="s">
        <v>17966</v>
      </c>
      <c r="G1776" t="s">
        <v>17967</v>
      </c>
      <c r="H1776" s="4" t="s">
        <v>17968</v>
      </c>
    </row>
    <row r="1777" spans="1:11" ht="100.8" x14ac:dyDescent="0.3">
      <c r="A1777" s="4" t="s">
        <v>5056</v>
      </c>
      <c r="B1777">
        <v>3</v>
      </c>
      <c r="C1777">
        <v>2022</v>
      </c>
      <c r="D1777" t="s">
        <v>637</v>
      </c>
      <c r="E1777">
        <v>3</v>
      </c>
      <c r="F1777" t="s">
        <v>17969</v>
      </c>
      <c r="G1777" t="s">
        <v>17970</v>
      </c>
      <c r="H1777" s="4" t="s">
        <v>17971</v>
      </c>
    </row>
    <row r="1778" spans="1:11" ht="115.2" x14ac:dyDescent="0.3">
      <c r="A1778" s="4" t="s">
        <v>5057</v>
      </c>
      <c r="B1778">
        <v>3</v>
      </c>
      <c r="C1778">
        <v>2022</v>
      </c>
      <c r="D1778" t="s">
        <v>12000</v>
      </c>
      <c r="E1778">
        <v>4</v>
      </c>
      <c r="F1778" t="s">
        <v>17972</v>
      </c>
      <c r="G1778" t="s">
        <v>17973</v>
      </c>
      <c r="H1778" s="4" t="s">
        <v>17974</v>
      </c>
    </row>
    <row r="1779" spans="1:11" ht="288" x14ac:dyDescent="0.3">
      <c r="A1779" s="4" t="s">
        <v>5058</v>
      </c>
      <c r="B1779">
        <v>3</v>
      </c>
      <c r="C1779">
        <v>2022</v>
      </c>
      <c r="D1779" t="s">
        <v>637</v>
      </c>
      <c r="E1779">
        <v>7</v>
      </c>
      <c r="F1779" t="s">
        <v>17975</v>
      </c>
      <c r="G1779" t="s">
        <v>17976</v>
      </c>
      <c r="H1779" s="4" t="s">
        <v>17977</v>
      </c>
      <c r="I1779" t="s">
        <v>71</v>
      </c>
      <c r="J1779" t="s">
        <v>10782</v>
      </c>
      <c r="K1779" t="s">
        <v>17978</v>
      </c>
    </row>
    <row r="1780" spans="1:11" ht="43.2" x14ac:dyDescent="0.3">
      <c r="A1780" s="4" t="s">
        <v>5059</v>
      </c>
      <c r="B1780">
        <v>3</v>
      </c>
      <c r="C1780">
        <v>2022</v>
      </c>
      <c r="D1780" t="s">
        <v>2819</v>
      </c>
      <c r="E1780">
        <v>2</v>
      </c>
      <c r="F1780" t="s">
        <v>17979</v>
      </c>
      <c r="G1780" t="s">
        <v>17980</v>
      </c>
      <c r="H1780" s="4" t="s">
        <v>17981</v>
      </c>
    </row>
    <row r="1781" spans="1:11" ht="273.60000000000002" x14ac:dyDescent="0.3">
      <c r="A1781" s="4" t="s">
        <v>5060</v>
      </c>
      <c r="B1781">
        <v>3</v>
      </c>
      <c r="C1781">
        <v>2022</v>
      </c>
      <c r="D1781" t="s">
        <v>627</v>
      </c>
      <c r="E1781">
        <v>4</v>
      </c>
      <c r="F1781" t="s">
        <v>17982</v>
      </c>
      <c r="G1781" t="s">
        <v>17983</v>
      </c>
      <c r="H1781" s="4" t="s">
        <v>17984</v>
      </c>
      <c r="I1781" t="s">
        <v>71</v>
      </c>
      <c r="J1781" t="s">
        <v>10782</v>
      </c>
      <c r="K1781" t="s">
        <v>17985</v>
      </c>
    </row>
    <row r="1782" spans="1:11" ht="201.6" x14ac:dyDescent="0.3">
      <c r="A1782" s="4" t="s">
        <v>5061</v>
      </c>
      <c r="B1782">
        <v>3</v>
      </c>
      <c r="C1782">
        <v>2022</v>
      </c>
      <c r="D1782" t="s">
        <v>637</v>
      </c>
      <c r="E1782">
        <v>7</v>
      </c>
      <c r="F1782" t="s">
        <v>17986</v>
      </c>
      <c r="G1782" t="s">
        <v>17987</v>
      </c>
      <c r="H1782" s="4" t="s">
        <v>17988</v>
      </c>
      <c r="I1782" t="s">
        <v>71</v>
      </c>
      <c r="J1782" t="s">
        <v>10782</v>
      </c>
      <c r="K1782" t="s">
        <v>17989</v>
      </c>
    </row>
    <row r="1783" spans="1:11" ht="259.2" x14ac:dyDescent="0.3">
      <c r="A1783" s="4" t="s">
        <v>5062</v>
      </c>
      <c r="B1783">
        <v>3</v>
      </c>
      <c r="C1783">
        <v>2022</v>
      </c>
      <c r="D1783" t="s">
        <v>11159</v>
      </c>
      <c r="E1783">
        <v>9</v>
      </c>
      <c r="F1783" t="s">
        <v>17990</v>
      </c>
      <c r="G1783" t="s">
        <v>17991</v>
      </c>
      <c r="H1783" s="4" t="s">
        <v>17992</v>
      </c>
      <c r="I1783" t="s">
        <v>71</v>
      </c>
      <c r="J1783" t="s">
        <v>10782</v>
      </c>
      <c r="K1783" t="s">
        <v>17993</v>
      </c>
    </row>
    <row r="1784" spans="1:11" ht="158.4" x14ac:dyDescent="0.3">
      <c r="A1784" s="4" t="s">
        <v>5063</v>
      </c>
      <c r="B1784">
        <v>3</v>
      </c>
      <c r="C1784">
        <v>2022</v>
      </c>
      <c r="D1784" t="s">
        <v>2384</v>
      </c>
      <c r="E1784">
        <v>25</v>
      </c>
      <c r="F1784" t="s">
        <v>17994</v>
      </c>
      <c r="G1784" t="s">
        <v>17995</v>
      </c>
      <c r="H1784" s="4" t="s">
        <v>17996</v>
      </c>
      <c r="I1784" t="s">
        <v>71</v>
      </c>
      <c r="J1784" t="s">
        <v>10782</v>
      </c>
      <c r="K1784" t="s">
        <v>17997</v>
      </c>
    </row>
    <row r="1785" spans="1:11" ht="172.8" x14ac:dyDescent="0.3">
      <c r="A1785" s="4" t="s">
        <v>5064</v>
      </c>
      <c r="B1785">
        <v>3</v>
      </c>
      <c r="C1785">
        <v>2022</v>
      </c>
      <c r="D1785" t="s">
        <v>2853</v>
      </c>
      <c r="E1785">
        <v>3</v>
      </c>
      <c r="F1785" t="s">
        <v>17998</v>
      </c>
      <c r="G1785" t="s">
        <v>17999</v>
      </c>
      <c r="H1785" s="4" t="s">
        <v>18000</v>
      </c>
      <c r="I1785" t="s">
        <v>71</v>
      </c>
      <c r="J1785" t="s">
        <v>10782</v>
      </c>
      <c r="K1785" t="s">
        <v>18001</v>
      </c>
    </row>
    <row r="1786" spans="1:11" ht="172.8" x14ac:dyDescent="0.3">
      <c r="A1786" s="4" t="s">
        <v>5065</v>
      </c>
      <c r="B1786">
        <v>3</v>
      </c>
      <c r="C1786">
        <v>2022</v>
      </c>
      <c r="D1786" t="s">
        <v>637</v>
      </c>
      <c r="E1786">
        <v>9</v>
      </c>
      <c r="F1786" t="s">
        <v>18002</v>
      </c>
      <c r="G1786" t="s">
        <v>18003</v>
      </c>
      <c r="H1786" s="4" t="s">
        <v>18004</v>
      </c>
      <c r="I1786" t="s">
        <v>71</v>
      </c>
      <c r="J1786" t="s">
        <v>10782</v>
      </c>
      <c r="K1786" t="s">
        <v>18005</v>
      </c>
    </row>
    <row r="1787" spans="1:11" ht="144" x14ac:dyDescent="0.3">
      <c r="A1787" s="4" t="s">
        <v>5066</v>
      </c>
      <c r="B1787">
        <v>3</v>
      </c>
      <c r="C1787">
        <v>2022</v>
      </c>
      <c r="D1787" t="s">
        <v>817</v>
      </c>
      <c r="E1787">
        <v>2</v>
      </c>
      <c r="F1787" t="s">
        <v>18006</v>
      </c>
      <c r="G1787" t="s">
        <v>18007</v>
      </c>
      <c r="H1787" s="4" t="s">
        <v>18008</v>
      </c>
      <c r="I1787" t="s">
        <v>71</v>
      </c>
      <c r="J1787" t="s">
        <v>10782</v>
      </c>
      <c r="K1787" t="s">
        <v>18009</v>
      </c>
    </row>
    <row r="1788" spans="1:11" ht="201.6" x14ac:dyDescent="0.3">
      <c r="A1788" s="4" t="s">
        <v>5067</v>
      </c>
      <c r="B1788">
        <v>3</v>
      </c>
      <c r="C1788">
        <v>2022</v>
      </c>
      <c r="D1788" t="s">
        <v>18010</v>
      </c>
      <c r="E1788">
        <v>8</v>
      </c>
      <c r="F1788" t="s">
        <v>18011</v>
      </c>
      <c r="G1788" t="s">
        <v>18012</v>
      </c>
      <c r="H1788" s="4" t="s">
        <v>18013</v>
      </c>
      <c r="I1788" t="s">
        <v>71</v>
      </c>
      <c r="J1788" t="s">
        <v>10782</v>
      </c>
      <c r="K1788" t="s">
        <v>18014</v>
      </c>
    </row>
    <row r="1789" spans="1:11" ht="187.2" x14ac:dyDescent="0.3">
      <c r="A1789" s="4" t="s">
        <v>5068</v>
      </c>
      <c r="B1789">
        <v>3</v>
      </c>
      <c r="C1789">
        <v>2022</v>
      </c>
      <c r="D1789" t="s">
        <v>13816</v>
      </c>
      <c r="E1789">
        <v>6</v>
      </c>
      <c r="F1789" t="s">
        <v>18015</v>
      </c>
      <c r="G1789" t="s">
        <v>18016</v>
      </c>
      <c r="H1789" s="4" t="s">
        <v>18017</v>
      </c>
      <c r="I1789" t="s">
        <v>71</v>
      </c>
      <c r="J1789" t="s">
        <v>10782</v>
      </c>
      <c r="K1789" t="s">
        <v>18018</v>
      </c>
    </row>
    <row r="1790" spans="1:11" ht="244.8" x14ac:dyDescent="0.3">
      <c r="A1790" s="4" t="s">
        <v>5069</v>
      </c>
      <c r="B1790">
        <v>3</v>
      </c>
      <c r="C1790">
        <v>2022</v>
      </c>
      <c r="D1790" t="s">
        <v>318</v>
      </c>
      <c r="E1790">
        <v>37</v>
      </c>
      <c r="F1790" t="s">
        <v>18019</v>
      </c>
      <c r="G1790" t="s">
        <v>18020</v>
      </c>
      <c r="H1790" s="4" t="s">
        <v>18021</v>
      </c>
      <c r="I1790" t="s">
        <v>71</v>
      </c>
      <c r="J1790" t="s">
        <v>10782</v>
      </c>
      <c r="K1790" t="s">
        <v>18022</v>
      </c>
    </row>
    <row r="1791" spans="1:11" ht="57.6" x14ac:dyDescent="0.3">
      <c r="A1791" s="4" t="s">
        <v>5070</v>
      </c>
      <c r="B1791">
        <v>3</v>
      </c>
      <c r="C1791">
        <v>2022</v>
      </c>
      <c r="D1791" t="s">
        <v>1770</v>
      </c>
      <c r="E1791">
        <v>12</v>
      </c>
      <c r="F1791" t="s">
        <v>18023</v>
      </c>
      <c r="G1791" t="s">
        <v>18024</v>
      </c>
      <c r="H1791" s="4" t="s">
        <v>18025</v>
      </c>
    </row>
    <row r="1792" spans="1:11" ht="201.6" x14ac:dyDescent="0.3">
      <c r="A1792" s="4" t="s">
        <v>5071</v>
      </c>
      <c r="B1792">
        <v>3</v>
      </c>
      <c r="C1792">
        <v>2022</v>
      </c>
      <c r="D1792" t="s">
        <v>80</v>
      </c>
      <c r="E1792">
        <v>8</v>
      </c>
      <c r="F1792" t="s">
        <v>18026</v>
      </c>
      <c r="G1792" t="s">
        <v>18027</v>
      </c>
      <c r="H1792" s="4" t="s">
        <v>18028</v>
      </c>
      <c r="I1792" t="s">
        <v>71</v>
      </c>
      <c r="J1792" t="s">
        <v>10782</v>
      </c>
      <c r="K1792" t="s">
        <v>18029</v>
      </c>
    </row>
    <row r="1793" spans="1:11" ht="129.6" x14ac:dyDescent="0.3">
      <c r="A1793" s="4" t="s">
        <v>5072</v>
      </c>
      <c r="B1793">
        <v>3</v>
      </c>
      <c r="C1793">
        <v>2022</v>
      </c>
      <c r="D1793" t="s">
        <v>637</v>
      </c>
      <c r="E1793">
        <v>22</v>
      </c>
      <c r="F1793" t="s">
        <v>18030</v>
      </c>
      <c r="G1793" t="s">
        <v>18031</v>
      </c>
      <c r="H1793" s="4" t="s">
        <v>18032</v>
      </c>
      <c r="I1793" t="s">
        <v>71</v>
      </c>
      <c r="J1793" t="s">
        <v>10782</v>
      </c>
      <c r="K1793" t="s">
        <v>18033</v>
      </c>
    </row>
    <row r="1794" spans="1:11" ht="201.6" x14ac:dyDescent="0.3">
      <c r="A1794" s="4" t="s">
        <v>5073</v>
      </c>
      <c r="B1794">
        <v>3</v>
      </c>
      <c r="C1794">
        <v>2022</v>
      </c>
      <c r="D1794" t="s">
        <v>12849</v>
      </c>
      <c r="E1794">
        <v>51</v>
      </c>
      <c r="F1794" t="s">
        <v>18034</v>
      </c>
      <c r="G1794" t="s">
        <v>18035</v>
      </c>
      <c r="H1794" s="4" t="s">
        <v>18036</v>
      </c>
      <c r="I1794" t="s">
        <v>71</v>
      </c>
      <c r="J1794" t="s">
        <v>10782</v>
      </c>
      <c r="K1794" t="s">
        <v>18037</v>
      </c>
    </row>
    <row r="1795" spans="1:11" ht="288" x14ac:dyDescent="0.3">
      <c r="A1795" s="4" t="s">
        <v>5074</v>
      </c>
      <c r="B1795">
        <v>3</v>
      </c>
      <c r="C1795">
        <v>2022</v>
      </c>
      <c r="D1795" t="s">
        <v>892</v>
      </c>
      <c r="E1795">
        <v>8</v>
      </c>
      <c r="F1795" t="s">
        <v>18038</v>
      </c>
      <c r="G1795" t="s">
        <v>18039</v>
      </c>
      <c r="H1795" s="4" t="s">
        <v>18040</v>
      </c>
      <c r="I1795" t="s">
        <v>10823</v>
      </c>
      <c r="J1795" t="s">
        <v>10782</v>
      </c>
      <c r="K1795" t="s">
        <v>18041</v>
      </c>
    </row>
    <row r="1796" spans="1:11" ht="216" x14ac:dyDescent="0.3">
      <c r="A1796" s="4" t="s">
        <v>5075</v>
      </c>
      <c r="B1796">
        <v>3</v>
      </c>
      <c r="C1796">
        <v>2022</v>
      </c>
      <c r="D1796" t="s">
        <v>432</v>
      </c>
      <c r="E1796">
        <v>20</v>
      </c>
      <c r="F1796" t="s">
        <v>18042</v>
      </c>
      <c r="G1796" t="s">
        <v>18043</v>
      </c>
      <c r="H1796" s="4" t="s">
        <v>18044</v>
      </c>
      <c r="I1796" t="s">
        <v>71</v>
      </c>
      <c r="J1796" t="s">
        <v>10782</v>
      </c>
      <c r="K1796" t="s">
        <v>18045</v>
      </c>
    </row>
    <row r="1797" spans="1:11" ht="316.8" x14ac:dyDescent="0.3">
      <c r="A1797" s="4" t="s">
        <v>5076</v>
      </c>
      <c r="B1797">
        <v>3</v>
      </c>
      <c r="C1797">
        <v>2022</v>
      </c>
      <c r="D1797" t="s">
        <v>80</v>
      </c>
      <c r="E1797">
        <v>11</v>
      </c>
      <c r="F1797" t="s">
        <v>18046</v>
      </c>
      <c r="G1797" t="s">
        <v>18047</v>
      </c>
      <c r="H1797" s="4" t="s">
        <v>18048</v>
      </c>
      <c r="I1797" t="s">
        <v>71</v>
      </c>
      <c r="J1797" t="s">
        <v>10782</v>
      </c>
      <c r="K1797" t="s">
        <v>18049</v>
      </c>
    </row>
    <row r="1798" spans="1:11" ht="259.2" x14ac:dyDescent="0.3">
      <c r="A1798" s="4" t="s">
        <v>5077</v>
      </c>
      <c r="B1798">
        <v>3</v>
      </c>
      <c r="C1798">
        <v>2022</v>
      </c>
      <c r="D1798" t="s">
        <v>1912</v>
      </c>
      <c r="E1798">
        <v>0</v>
      </c>
      <c r="F1798" t="s">
        <v>18050</v>
      </c>
      <c r="G1798" t="s">
        <v>18051</v>
      </c>
      <c r="H1798" s="4" t="s">
        <v>18052</v>
      </c>
      <c r="I1798" t="s">
        <v>71</v>
      </c>
      <c r="J1798" t="s">
        <v>10782</v>
      </c>
      <c r="K1798" t="s">
        <v>18053</v>
      </c>
    </row>
    <row r="1799" spans="1:11" ht="230.4" x14ac:dyDescent="0.3">
      <c r="A1799" s="4" t="s">
        <v>5078</v>
      </c>
      <c r="B1799">
        <v>3</v>
      </c>
      <c r="C1799">
        <v>2022</v>
      </c>
      <c r="D1799" t="s">
        <v>679</v>
      </c>
      <c r="E1799">
        <v>7</v>
      </c>
      <c r="F1799" t="s">
        <v>18054</v>
      </c>
      <c r="G1799" t="s">
        <v>18055</v>
      </c>
      <c r="H1799" s="4" t="s">
        <v>18056</v>
      </c>
      <c r="I1799" t="s">
        <v>71</v>
      </c>
      <c r="J1799" t="s">
        <v>10782</v>
      </c>
      <c r="K1799" t="s">
        <v>18057</v>
      </c>
    </row>
    <row r="1800" spans="1:11" ht="201.6" x14ac:dyDescent="0.3">
      <c r="A1800" s="4" t="s">
        <v>5079</v>
      </c>
      <c r="B1800">
        <v>3</v>
      </c>
      <c r="C1800">
        <v>2022</v>
      </c>
      <c r="D1800" t="s">
        <v>1770</v>
      </c>
      <c r="E1800">
        <v>64</v>
      </c>
      <c r="F1800" t="s">
        <v>18058</v>
      </c>
      <c r="G1800" t="s">
        <v>18059</v>
      </c>
      <c r="H1800" s="4" t="s">
        <v>18060</v>
      </c>
      <c r="I1800" t="s">
        <v>10823</v>
      </c>
      <c r="J1800" t="s">
        <v>10782</v>
      </c>
      <c r="K1800" t="s">
        <v>18061</v>
      </c>
    </row>
    <row r="1801" spans="1:11" ht="158.4" x14ac:dyDescent="0.3">
      <c r="A1801" s="4" t="s">
        <v>5080</v>
      </c>
      <c r="B1801">
        <v>3</v>
      </c>
      <c r="C1801">
        <v>2022</v>
      </c>
      <c r="D1801" t="s">
        <v>704</v>
      </c>
      <c r="E1801">
        <v>25</v>
      </c>
      <c r="F1801" t="s">
        <v>18062</v>
      </c>
      <c r="G1801" t="s">
        <v>18063</v>
      </c>
      <c r="H1801" s="4" t="s">
        <v>18064</v>
      </c>
      <c r="I1801" t="s">
        <v>71</v>
      </c>
      <c r="J1801" t="s">
        <v>10782</v>
      </c>
      <c r="K1801" t="s">
        <v>18065</v>
      </c>
    </row>
    <row r="1802" spans="1:11" ht="187.2" x14ac:dyDescent="0.3">
      <c r="A1802" s="4" t="s">
        <v>947</v>
      </c>
      <c r="B1802">
        <v>1</v>
      </c>
      <c r="C1802">
        <v>2022</v>
      </c>
      <c r="D1802" t="s">
        <v>329</v>
      </c>
      <c r="E1802">
        <v>7</v>
      </c>
      <c r="F1802" t="s">
        <v>18066</v>
      </c>
      <c r="G1802" t="s">
        <v>18067</v>
      </c>
      <c r="H1802" s="4" t="s">
        <v>18068</v>
      </c>
      <c r="I1802" t="s">
        <v>71</v>
      </c>
      <c r="J1802" t="s">
        <v>10782</v>
      </c>
      <c r="K1802" t="s">
        <v>18069</v>
      </c>
    </row>
    <row r="1803" spans="1:11" ht="158.4" x14ac:dyDescent="0.3">
      <c r="A1803" s="4" t="s">
        <v>948</v>
      </c>
      <c r="B1803">
        <v>1</v>
      </c>
      <c r="C1803">
        <v>2022</v>
      </c>
      <c r="D1803" t="s">
        <v>622</v>
      </c>
      <c r="E1803">
        <v>2</v>
      </c>
      <c r="F1803" t="s">
        <v>18070</v>
      </c>
      <c r="G1803" t="s">
        <v>18071</v>
      </c>
      <c r="H1803" s="4" t="s">
        <v>18072</v>
      </c>
      <c r="I1803" t="s">
        <v>71</v>
      </c>
      <c r="J1803" t="s">
        <v>10782</v>
      </c>
      <c r="K1803" t="s">
        <v>18073</v>
      </c>
    </row>
    <row r="1804" spans="1:11" ht="172.8" x14ac:dyDescent="0.3">
      <c r="A1804" s="4" t="s">
        <v>5081</v>
      </c>
      <c r="B1804">
        <v>3</v>
      </c>
      <c r="C1804">
        <v>2022</v>
      </c>
      <c r="D1804" t="s">
        <v>2361</v>
      </c>
      <c r="E1804">
        <v>3</v>
      </c>
      <c r="F1804" t="s">
        <v>18074</v>
      </c>
      <c r="G1804" t="s">
        <v>18075</v>
      </c>
      <c r="H1804" s="4" t="s">
        <v>18076</v>
      </c>
      <c r="I1804" t="s">
        <v>71</v>
      </c>
      <c r="J1804" t="s">
        <v>10782</v>
      </c>
      <c r="K1804" t="s">
        <v>18077</v>
      </c>
    </row>
    <row r="1805" spans="1:11" ht="187.2" x14ac:dyDescent="0.3">
      <c r="A1805" s="4" t="s">
        <v>5082</v>
      </c>
      <c r="B1805">
        <v>3</v>
      </c>
      <c r="C1805">
        <v>2022</v>
      </c>
      <c r="D1805" t="s">
        <v>1770</v>
      </c>
      <c r="E1805">
        <v>7</v>
      </c>
      <c r="F1805" t="s">
        <v>18078</v>
      </c>
      <c r="G1805" t="s">
        <v>18079</v>
      </c>
      <c r="H1805" s="4" t="s">
        <v>18080</v>
      </c>
      <c r="I1805" t="s">
        <v>71</v>
      </c>
      <c r="J1805" t="s">
        <v>10782</v>
      </c>
      <c r="K1805" t="s">
        <v>18081</v>
      </c>
    </row>
    <row r="1806" spans="1:11" ht="144" x14ac:dyDescent="0.3">
      <c r="A1806" s="4" t="s">
        <v>5083</v>
      </c>
      <c r="B1806">
        <v>3</v>
      </c>
      <c r="C1806">
        <v>2022</v>
      </c>
      <c r="D1806" t="s">
        <v>10796</v>
      </c>
      <c r="E1806">
        <v>8</v>
      </c>
      <c r="F1806" t="s">
        <v>18082</v>
      </c>
      <c r="G1806" t="s">
        <v>18083</v>
      </c>
      <c r="H1806" s="4" t="s">
        <v>18084</v>
      </c>
      <c r="I1806" t="s">
        <v>71</v>
      </c>
      <c r="J1806" t="s">
        <v>10782</v>
      </c>
      <c r="K1806" t="s">
        <v>18085</v>
      </c>
    </row>
    <row r="1807" spans="1:11" ht="187.2" x14ac:dyDescent="0.3">
      <c r="A1807" s="4" t="s">
        <v>5084</v>
      </c>
      <c r="B1807">
        <v>3</v>
      </c>
      <c r="C1807">
        <v>2022</v>
      </c>
      <c r="D1807" t="s">
        <v>892</v>
      </c>
      <c r="E1807">
        <v>4</v>
      </c>
      <c r="F1807" t="s">
        <v>18086</v>
      </c>
      <c r="G1807" t="s">
        <v>18087</v>
      </c>
      <c r="H1807" s="4" t="s">
        <v>18088</v>
      </c>
      <c r="I1807" t="s">
        <v>71</v>
      </c>
      <c r="J1807" t="s">
        <v>10782</v>
      </c>
      <c r="K1807" t="s">
        <v>18089</v>
      </c>
    </row>
    <row r="1808" spans="1:11" ht="187.2" x14ac:dyDescent="0.3">
      <c r="A1808" s="4" t="s">
        <v>5085</v>
      </c>
      <c r="B1808">
        <v>3</v>
      </c>
      <c r="C1808">
        <v>2022</v>
      </c>
      <c r="D1808" t="s">
        <v>80</v>
      </c>
      <c r="E1808">
        <v>9</v>
      </c>
      <c r="F1808" t="s">
        <v>18090</v>
      </c>
      <c r="G1808" t="s">
        <v>18091</v>
      </c>
      <c r="H1808" s="4" t="s">
        <v>18092</v>
      </c>
      <c r="I1808" t="s">
        <v>71</v>
      </c>
      <c r="J1808" t="s">
        <v>10782</v>
      </c>
      <c r="K1808" t="s">
        <v>18093</v>
      </c>
    </row>
    <row r="1809" spans="1:11" ht="331.2" x14ac:dyDescent="0.3">
      <c r="A1809" s="4" t="s">
        <v>5086</v>
      </c>
      <c r="B1809">
        <v>3</v>
      </c>
      <c r="C1809">
        <v>2022</v>
      </c>
      <c r="D1809" t="s">
        <v>18094</v>
      </c>
      <c r="E1809">
        <v>7</v>
      </c>
      <c r="F1809" t="s">
        <v>18095</v>
      </c>
      <c r="G1809" t="s">
        <v>18096</v>
      </c>
      <c r="H1809" s="4" t="s">
        <v>18097</v>
      </c>
      <c r="I1809" t="s">
        <v>71</v>
      </c>
      <c r="J1809" t="s">
        <v>10782</v>
      </c>
      <c r="K1809" t="s">
        <v>18098</v>
      </c>
    </row>
    <row r="1810" spans="1:11" ht="86.4" x14ac:dyDescent="0.3">
      <c r="A1810" s="4" t="s">
        <v>5087</v>
      </c>
      <c r="B1810">
        <v>3</v>
      </c>
      <c r="C1810">
        <v>2022</v>
      </c>
      <c r="D1810" t="s">
        <v>637</v>
      </c>
      <c r="E1810">
        <v>11</v>
      </c>
      <c r="F1810" t="s">
        <v>18099</v>
      </c>
      <c r="G1810" t="s">
        <v>18100</v>
      </c>
      <c r="H1810" s="4" t="s">
        <v>18101</v>
      </c>
    </row>
    <row r="1811" spans="1:11" ht="316.8" x14ac:dyDescent="0.3">
      <c r="A1811" s="4" t="s">
        <v>5088</v>
      </c>
      <c r="B1811">
        <v>3</v>
      </c>
      <c r="C1811">
        <v>2022</v>
      </c>
      <c r="D1811" t="s">
        <v>11826</v>
      </c>
      <c r="E1811">
        <v>16</v>
      </c>
      <c r="F1811" t="s">
        <v>18102</v>
      </c>
      <c r="G1811" t="s">
        <v>18103</v>
      </c>
      <c r="H1811" s="4" t="s">
        <v>18104</v>
      </c>
      <c r="I1811" t="s">
        <v>71</v>
      </c>
      <c r="J1811" t="s">
        <v>10782</v>
      </c>
      <c r="K1811" t="s">
        <v>18105</v>
      </c>
    </row>
    <row r="1812" spans="1:11" ht="172.8" x14ac:dyDescent="0.3">
      <c r="A1812" s="4" t="s">
        <v>5089</v>
      </c>
      <c r="B1812">
        <v>3</v>
      </c>
      <c r="C1812">
        <v>2022</v>
      </c>
      <c r="D1812" t="s">
        <v>811</v>
      </c>
      <c r="E1812">
        <v>3</v>
      </c>
      <c r="F1812" t="s">
        <v>18106</v>
      </c>
      <c r="G1812" t="s">
        <v>18107</v>
      </c>
      <c r="H1812" s="4" t="s">
        <v>18108</v>
      </c>
    </row>
    <row r="1813" spans="1:11" ht="244.8" x14ac:dyDescent="0.3">
      <c r="A1813" s="4" t="s">
        <v>5090</v>
      </c>
      <c r="B1813">
        <v>3</v>
      </c>
      <c r="C1813">
        <v>2022</v>
      </c>
      <c r="D1813" t="s">
        <v>1438</v>
      </c>
      <c r="E1813">
        <v>2</v>
      </c>
      <c r="F1813" t="s">
        <v>18109</v>
      </c>
      <c r="G1813" t="s">
        <v>18110</v>
      </c>
      <c r="H1813" s="4" t="s">
        <v>18111</v>
      </c>
      <c r="I1813" t="s">
        <v>71</v>
      </c>
      <c r="J1813" t="s">
        <v>10782</v>
      </c>
      <c r="K1813" t="s">
        <v>18112</v>
      </c>
    </row>
    <row r="1814" spans="1:11" ht="172.8" x14ac:dyDescent="0.3">
      <c r="A1814" s="4" t="s">
        <v>5091</v>
      </c>
      <c r="B1814">
        <v>3</v>
      </c>
      <c r="C1814">
        <v>2022</v>
      </c>
      <c r="D1814" t="s">
        <v>10886</v>
      </c>
      <c r="E1814">
        <v>2</v>
      </c>
      <c r="F1814" t="s">
        <v>18113</v>
      </c>
      <c r="G1814" t="s">
        <v>18114</v>
      </c>
      <c r="H1814" s="4" t="s">
        <v>18115</v>
      </c>
      <c r="I1814" t="s">
        <v>71</v>
      </c>
      <c r="J1814" t="s">
        <v>10782</v>
      </c>
      <c r="K1814" t="s">
        <v>18116</v>
      </c>
    </row>
    <row r="1815" spans="1:11" ht="216" x14ac:dyDescent="0.3">
      <c r="A1815" s="4" t="s">
        <v>5092</v>
      </c>
      <c r="B1815">
        <v>3</v>
      </c>
      <c r="C1815">
        <v>2022</v>
      </c>
      <c r="D1815" t="s">
        <v>811</v>
      </c>
      <c r="E1815">
        <v>18</v>
      </c>
      <c r="F1815" t="s">
        <v>18117</v>
      </c>
      <c r="G1815" t="s">
        <v>18118</v>
      </c>
      <c r="H1815" s="4" t="s">
        <v>18119</v>
      </c>
      <c r="I1815" t="s">
        <v>10823</v>
      </c>
      <c r="J1815" t="s">
        <v>10782</v>
      </c>
      <c r="K1815" t="s">
        <v>18120</v>
      </c>
    </row>
    <row r="1816" spans="1:11" ht="201.6" x14ac:dyDescent="0.3">
      <c r="A1816" s="4" t="s">
        <v>5093</v>
      </c>
      <c r="B1816">
        <v>3</v>
      </c>
      <c r="C1816">
        <v>2022</v>
      </c>
      <c r="D1816" t="s">
        <v>405</v>
      </c>
      <c r="E1816">
        <v>10</v>
      </c>
      <c r="F1816" t="s">
        <v>18121</v>
      </c>
      <c r="G1816" t="s">
        <v>18122</v>
      </c>
      <c r="H1816" s="4" t="s">
        <v>18123</v>
      </c>
      <c r="I1816" t="s">
        <v>71</v>
      </c>
      <c r="J1816" t="s">
        <v>10782</v>
      </c>
      <c r="K1816" t="s">
        <v>18124</v>
      </c>
    </row>
    <row r="1817" spans="1:11" ht="172.8" x14ac:dyDescent="0.3">
      <c r="A1817" s="4" t="s">
        <v>5094</v>
      </c>
      <c r="B1817">
        <v>3</v>
      </c>
      <c r="C1817">
        <v>2022</v>
      </c>
      <c r="D1817" t="s">
        <v>18125</v>
      </c>
      <c r="E1817">
        <v>13</v>
      </c>
      <c r="F1817" t="s">
        <v>18126</v>
      </c>
      <c r="G1817" t="s">
        <v>18127</v>
      </c>
      <c r="H1817" s="4" t="s">
        <v>18128</v>
      </c>
      <c r="I1817" t="s">
        <v>71</v>
      </c>
      <c r="J1817" t="s">
        <v>10782</v>
      </c>
      <c r="K1817" t="s">
        <v>18129</v>
      </c>
    </row>
    <row r="1818" spans="1:11" ht="158.4" x14ac:dyDescent="0.3">
      <c r="A1818" s="4" t="s">
        <v>5095</v>
      </c>
      <c r="B1818">
        <v>3</v>
      </c>
      <c r="C1818">
        <v>2022</v>
      </c>
      <c r="D1818" t="s">
        <v>217</v>
      </c>
      <c r="E1818">
        <v>1</v>
      </c>
      <c r="F1818" t="s">
        <v>18130</v>
      </c>
      <c r="G1818" t="s">
        <v>18131</v>
      </c>
      <c r="H1818" s="4" t="s">
        <v>18132</v>
      </c>
      <c r="I1818" t="s">
        <v>71</v>
      </c>
      <c r="J1818" t="s">
        <v>10782</v>
      </c>
      <c r="K1818" t="s">
        <v>18133</v>
      </c>
    </row>
    <row r="1819" spans="1:11" ht="216" x14ac:dyDescent="0.3">
      <c r="A1819" s="4" t="s">
        <v>5096</v>
      </c>
      <c r="B1819">
        <v>3</v>
      </c>
      <c r="C1819">
        <v>2022</v>
      </c>
      <c r="D1819" t="s">
        <v>1912</v>
      </c>
      <c r="E1819">
        <v>0</v>
      </c>
      <c r="F1819" t="s">
        <v>18134</v>
      </c>
      <c r="G1819" t="s">
        <v>18135</v>
      </c>
      <c r="H1819" s="4" t="s">
        <v>18136</v>
      </c>
      <c r="I1819" t="s">
        <v>71</v>
      </c>
      <c r="J1819" t="s">
        <v>10782</v>
      </c>
      <c r="K1819" t="s">
        <v>18137</v>
      </c>
    </row>
    <row r="1820" spans="1:11" ht="172.8" x14ac:dyDescent="0.3">
      <c r="A1820" s="4" t="s">
        <v>5097</v>
      </c>
      <c r="B1820">
        <v>3</v>
      </c>
      <c r="C1820">
        <v>2022</v>
      </c>
      <c r="D1820" t="s">
        <v>11617</v>
      </c>
      <c r="E1820">
        <v>1</v>
      </c>
      <c r="F1820" t="s">
        <v>18138</v>
      </c>
      <c r="G1820" t="s">
        <v>18139</v>
      </c>
      <c r="H1820" s="4" t="s">
        <v>18140</v>
      </c>
      <c r="I1820" t="s">
        <v>10945</v>
      </c>
      <c r="J1820" t="s">
        <v>10782</v>
      </c>
      <c r="K1820" t="s">
        <v>18141</v>
      </c>
    </row>
    <row r="1821" spans="1:11" ht="244.8" x14ac:dyDescent="0.3">
      <c r="A1821" s="4" t="s">
        <v>5098</v>
      </c>
      <c r="B1821">
        <v>3</v>
      </c>
      <c r="C1821">
        <v>2022</v>
      </c>
      <c r="D1821" t="s">
        <v>892</v>
      </c>
      <c r="E1821">
        <v>4</v>
      </c>
      <c r="F1821" t="s">
        <v>18142</v>
      </c>
      <c r="G1821" t="s">
        <v>18143</v>
      </c>
      <c r="H1821" s="4" t="s">
        <v>18144</v>
      </c>
      <c r="I1821" t="s">
        <v>71</v>
      </c>
      <c r="J1821" t="s">
        <v>10782</v>
      </c>
      <c r="K1821" t="s">
        <v>18145</v>
      </c>
    </row>
    <row r="1822" spans="1:11" ht="230.4" x14ac:dyDescent="0.3">
      <c r="A1822" s="4" t="s">
        <v>5099</v>
      </c>
      <c r="B1822">
        <v>3</v>
      </c>
      <c r="C1822">
        <v>2022</v>
      </c>
      <c r="D1822" t="s">
        <v>10456</v>
      </c>
      <c r="E1822">
        <v>4</v>
      </c>
      <c r="F1822" t="s">
        <v>18146</v>
      </c>
      <c r="G1822" t="s">
        <v>18147</v>
      </c>
      <c r="H1822" s="4" t="s">
        <v>18148</v>
      </c>
      <c r="I1822" t="s">
        <v>71</v>
      </c>
      <c r="J1822" t="s">
        <v>10782</v>
      </c>
      <c r="K1822" t="s">
        <v>18149</v>
      </c>
    </row>
    <row r="1823" spans="1:11" ht="158.4" x14ac:dyDescent="0.3">
      <c r="A1823" s="4" t="s">
        <v>5100</v>
      </c>
      <c r="B1823">
        <v>3</v>
      </c>
      <c r="C1823">
        <v>2022</v>
      </c>
      <c r="D1823" t="s">
        <v>282</v>
      </c>
      <c r="E1823">
        <v>2</v>
      </c>
      <c r="F1823" t="s">
        <v>18150</v>
      </c>
      <c r="G1823" t="s">
        <v>18151</v>
      </c>
      <c r="H1823" s="4" t="s">
        <v>18152</v>
      </c>
      <c r="I1823" t="s">
        <v>71</v>
      </c>
      <c r="J1823" t="s">
        <v>10782</v>
      </c>
      <c r="K1823" t="s">
        <v>18153</v>
      </c>
    </row>
    <row r="1824" spans="1:11" ht="201.6" x14ac:dyDescent="0.3">
      <c r="A1824" s="4" t="s">
        <v>5101</v>
      </c>
      <c r="B1824">
        <v>3</v>
      </c>
      <c r="C1824">
        <v>2022</v>
      </c>
      <c r="D1824" t="s">
        <v>18154</v>
      </c>
      <c r="E1824">
        <v>21</v>
      </c>
      <c r="F1824" t="s">
        <v>18155</v>
      </c>
      <c r="G1824" t="s">
        <v>18156</v>
      </c>
      <c r="H1824" s="4" t="s">
        <v>18157</v>
      </c>
      <c r="I1824" t="s">
        <v>71</v>
      </c>
      <c r="J1824" t="s">
        <v>10782</v>
      </c>
      <c r="K1824" t="s">
        <v>18158</v>
      </c>
    </row>
    <row r="1825" spans="1:11" ht="201.6" x14ac:dyDescent="0.3">
      <c r="A1825" s="4" t="s">
        <v>5102</v>
      </c>
      <c r="B1825">
        <v>3</v>
      </c>
      <c r="C1825">
        <v>2022</v>
      </c>
      <c r="D1825" t="s">
        <v>11741</v>
      </c>
      <c r="E1825">
        <v>8</v>
      </c>
      <c r="F1825" t="s">
        <v>18159</v>
      </c>
      <c r="G1825" t="s">
        <v>18160</v>
      </c>
      <c r="H1825" s="4" t="s">
        <v>18161</v>
      </c>
      <c r="I1825" t="s">
        <v>71</v>
      </c>
      <c r="J1825" t="s">
        <v>10782</v>
      </c>
      <c r="K1825" t="s">
        <v>18162</v>
      </c>
    </row>
    <row r="1826" spans="1:11" ht="201.6" x14ac:dyDescent="0.3">
      <c r="A1826" s="4" t="s">
        <v>5103</v>
      </c>
      <c r="B1826">
        <v>3</v>
      </c>
      <c r="C1826">
        <v>2022</v>
      </c>
      <c r="D1826" t="s">
        <v>405</v>
      </c>
      <c r="E1826">
        <v>24</v>
      </c>
      <c r="F1826" t="s">
        <v>18163</v>
      </c>
      <c r="G1826" t="s">
        <v>18164</v>
      </c>
      <c r="H1826" s="4" t="s">
        <v>18165</v>
      </c>
      <c r="I1826" t="s">
        <v>71</v>
      </c>
      <c r="J1826" t="s">
        <v>10782</v>
      </c>
      <c r="K1826" t="s">
        <v>18166</v>
      </c>
    </row>
    <row r="1827" spans="1:11" ht="187.2" x14ac:dyDescent="0.3">
      <c r="A1827" s="4" t="s">
        <v>5104</v>
      </c>
      <c r="B1827">
        <v>3</v>
      </c>
      <c r="C1827">
        <v>2022</v>
      </c>
      <c r="D1827" t="s">
        <v>217</v>
      </c>
      <c r="E1827">
        <v>45</v>
      </c>
      <c r="F1827" t="s">
        <v>18167</v>
      </c>
      <c r="G1827" t="s">
        <v>18168</v>
      </c>
      <c r="H1827" s="4" t="s">
        <v>18169</v>
      </c>
      <c r="I1827" t="s">
        <v>71</v>
      </c>
      <c r="J1827" t="s">
        <v>10782</v>
      </c>
      <c r="K1827" t="s">
        <v>18170</v>
      </c>
    </row>
    <row r="1828" spans="1:11" ht="230.4" x14ac:dyDescent="0.3">
      <c r="A1828" s="4" t="s">
        <v>5105</v>
      </c>
      <c r="B1828">
        <v>3</v>
      </c>
      <c r="C1828">
        <v>2022</v>
      </c>
      <c r="D1828" t="s">
        <v>2628</v>
      </c>
      <c r="E1828">
        <v>5</v>
      </c>
      <c r="F1828" t="s">
        <v>18171</v>
      </c>
      <c r="G1828" t="s">
        <v>18172</v>
      </c>
      <c r="H1828" s="4" t="s">
        <v>18173</v>
      </c>
      <c r="I1828" t="s">
        <v>71</v>
      </c>
      <c r="J1828" t="s">
        <v>10782</v>
      </c>
      <c r="K1828" t="s">
        <v>18174</v>
      </c>
    </row>
    <row r="1829" spans="1:11" ht="158.4" x14ac:dyDescent="0.3">
      <c r="A1829" s="4" t="s">
        <v>5106</v>
      </c>
      <c r="B1829">
        <v>3</v>
      </c>
      <c r="C1829">
        <v>2022</v>
      </c>
      <c r="D1829" t="s">
        <v>704</v>
      </c>
      <c r="E1829">
        <v>22</v>
      </c>
      <c r="F1829" t="s">
        <v>18175</v>
      </c>
      <c r="G1829" t="s">
        <v>18176</v>
      </c>
      <c r="H1829" s="4" t="s">
        <v>18177</v>
      </c>
      <c r="I1829" t="s">
        <v>71</v>
      </c>
      <c r="J1829" t="s">
        <v>10782</v>
      </c>
      <c r="K1829" t="s">
        <v>18178</v>
      </c>
    </row>
    <row r="1830" spans="1:11" ht="172.8" x14ac:dyDescent="0.3">
      <c r="A1830" s="4" t="s">
        <v>5107</v>
      </c>
      <c r="B1830">
        <v>3</v>
      </c>
      <c r="C1830">
        <v>2022</v>
      </c>
      <c r="D1830" t="s">
        <v>1936</v>
      </c>
      <c r="E1830">
        <v>49</v>
      </c>
      <c r="F1830" t="s">
        <v>18179</v>
      </c>
      <c r="G1830" t="s">
        <v>18180</v>
      </c>
      <c r="H1830" s="4" t="s">
        <v>18181</v>
      </c>
      <c r="I1830" t="s">
        <v>10823</v>
      </c>
      <c r="J1830" t="s">
        <v>10782</v>
      </c>
      <c r="K1830" t="s">
        <v>18182</v>
      </c>
    </row>
    <row r="1831" spans="1:11" ht="144" x14ac:dyDescent="0.3">
      <c r="A1831" s="4" t="s">
        <v>5108</v>
      </c>
      <c r="B1831">
        <v>3</v>
      </c>
      <c r="C1831">
        <v>2022</v>
      </c>
      <c r="D1831" t="s">
        <v>2819</v>
      </c>
      <c r="E1831">
        <v>2</v>
      </c>
      <c r="F1831" t="s">
        <v>18183</v>
      </c>
      <c r="G1831" t="s">
        <v>18184</v>
      </c>
      <c r="H1831" s="4" t="s">
        <v>18185</v>
      </c>
      <c r="I1831" t="s">
        <v>71</v>
      </c>
      <c r="J1831" t="s">
        <v>10782</v>
      </c>
      <c r="K1831" t="s">
        <v>18186</v>
      </c>
    </row>
    <row r="1832" spans="1:11" ht="187.2" x14ac:dyDescent="0.3">
      <c r="A1832" s="4" t="s">
        <v>3285</v>
      </c>
      <c r="B1832">
        <v>1</v>
      </c>
      <c r="C1832">
        <v>2022</v>
      </c>
      <c r="D1832" t="s">
        <v>18187</v>
      </c>
      <c r="E1832">
        <v>14</v>
      </c>
      <c r="F1832" t="s">
        <v>18188</v>
      </c>
      <c r="G1832" t="s">
        <v>18189</v>
      </c>
      <c r="H1832" s="4" t="s">
        <v>18190</v>
      </c>
      <c r="I1832" t="s">
        <v>71</v>
      </c>
      <c r="J1832" t="s">
        <v>10782</v>
      </c>
      <c r="K1832" t="s">
        <v>18191</v>
      </c>
    </row>
    <row r="1833" spans="1:11" ht="115.2" x14ac:dyDescent="0.3">
      <c r="A1833" s="4" t="s">
        <v>5109</v>
      </c>
      <c r="B1833">
        <v>3</v>
      </c>
      <c r="C1833">
        <v>2022</v>
      </c>
      <c r="D1833" t="s">
        <v>550</v>
      </c>
      <c r="E1833">
        <v>7</v>
      </c>
      <c r="F1833" t="s">
        <v>18192</v>
      </c>
      <c r="G1833" t="s">
        <v>18193</v>
      </c>
      <c r="H1833" s="4" t="s">
        <v>18194</v>
      </c>
      <c r="I1833" t="s">
        <v>71</v>
      </c>
      <c r="J1833" t="s">
        <v>10782</v>
      </c>
      <c r="K1833" t="s">
        <v>18195</v>
      </c>
    </row>
    <row r="1834" spans="1:11" ht="144" x14ac:dyDescent="0.3">
      <c r="A1834" s="4" t="s">
        <v>5110</v>
      </c>
      <c r="B1834">
        <v>3</v>
      </c>
      <c r="C1834">
        <v>2022</v>
      </c>
      <c r="D1834" t="s">
        <v>10825</v>
      </c>
      <c r="E1834">
        <v>3</v>
      </c>
      <c r="F1834" t="s">
        <v>18196</v>
      </c>
      <c r="G1834" t="s">
        <v>18197</v>
      </c>
      <c r="H1834" s="4" t="s">
        <v>18198</v>
      </c>
      <c r="I1834" t="s">
        <v>71</v>
      </c>
      <c r="J1834" t="s">
        <v>10782</v>
      </c>
      <c r="K1834" t="s">
        <v>18199</v>
      </c>
    </row>
    <row r="1835" spans="1:11" ht="172.8" x14ac:dyDescent="0.3">
      <c r="A1835" s="4" t="s">
        <v>5111</v>
      </c>
      <c r="B1835">
        <v>3</v>
      </c>
      <c r="C1835">
        <v>2022</v>
      </c>
      <c r="D1835" t="s">
        <v>18200</v>
      </c>
      <c r="E1835">
        <v>1</v>
      </c>
      <c r="F1835" t="s">
        <v>18201</v>
      </c>
      <c r="G1835" t="s">
        <v>18202</v>
      </c>
      <c r="H1835" s="4" t="s">
        <v>18203</v>
      </c>
      <c r="I1835" t="s">
        <v>71</v>
      </c>
      <c r="J1835" t="s">
        <v>10782</v>
      </c>
      <c r="K1835" t="s">
        <v>18204</v>
      </c>
    </row>
    <row r="1836" spans="1:11" ht="86.4" x14ac:dyDescent="0.3">
      <c r="A1836" s="4" t="s">
        <v>5112</v>
      </c>
      <c r="B1836">
        <v>3</v>
      </c>
      <c r="C1836">
        <v>2022</v>
      </c>
      <c r="D1836" t="s">
        <v>18205</v>
      </c>
      <c r="E1836">
        <v>11</v>
      </c>
      <c r="F1836" t="s">
        <v>18206</v>
      </c>
      <c r="G1836" t="s">
        <v>18207</v>
      </c>
      <c r="H1836" s="4" t="s">
        <v>18208</v>
      </c>
      <c r="I1836" t="s">
        <v>71</v>
      </c>
      <c r="J1836" t="s">
        <v>10782</v>
      </c>
      <c r="K1836" t="s">
        <v>18209</v>
      </c>
    </row>
    <row r="1837" spans="1:11" ht="259.2" x14ac:dyDescent="0.3">
      <c r="A1837" s="4" t="s">
        <v>5113</v>
      </c>
      <c r="B1837">
        <v>3</v>
      </c>
      <c r="C1837">
        <v>2022</v>
      </c>
      <c r="D1837" t="s">
        <v>18210</v>
      </c>
      <c r="E1837">
        <v>6</v>
      </c>
      <c r="F1837" t="s">
        <v>18211</v>
      </c>
      <c r="G1837" t="s">
        <v>18212</v>
      </c>
      <c r="H1837" s="4" t="s">
        <v>18213</v>
      </c>
      <c r="I1837" t="s">
        <v>10823</v>
      </c>
      <c r="J1837" t="s">
        <v>10782</v>
      </c>
      <c r="K1837" t="s">
        <v>18214</v>
      </c>
    </row>
    <row r="1838" spans="1:11" ht="187.2" x14ac:dyDescent="0.3">
      <c r="A1838" s="4" t="s">
        <v>5114</v>
      </c>
      <c r="B1838">
        <v>3</v>
      </c>
      <c r="C1838">
        <v>2022</v>
      </c>
      <c r="D1838" t="s">
        <v>18215</v>
      </c>
      <c r="E1838">
        <v>2</v>
      </c>
      <c r="F1838" t="s">
        <v>18216</v>
      </c>
      <c r="G1838" t="s">
        <v>18217</v>
      </c>
      <c r="H1838" s="4" t="s">
        <v>18218</v>
      </c>
      <c r="I1838" t="s">
        <v>71</v>
      </c>
      <c r="J1838" t="s">
        <v>10782</v>
      </c>
      <c r="K1838" t="s">
        <v>18219</v>
      </c>
    </row>
    <row r="1839" spans="1:11" ht="187.2" x14ac:dyDescent="0.3">
      <c r="A1839" s="4" t="s">
        <v>5115</v>
      </c>
      <c r="B1839">
        <v>3</v>
      </c>
      <c r="C1839">
        <v>2022</v>
      </c>
      <c r="D1839" t="s">
        <v>18220</v>
      </c>
      <c r="E1839">
        <v>2</v>
      </c>
      <c r="F1839" t="s">
        <v>18221</v>
      </c>
      <c r="G1839" t="s">
        <v>18222</v>
      </c>
      <c r="H1839" s="4" t="s">
        <v>18223</v>
      </c>
      <c r="I1839" t="s">
        <v>71</v>
      </c>
      <c r="J1839" t="s">
        <v>10782</v>
      </c>
      <c r="K1839" t="s">
        <v>18224</v>
      </c>
    </row>
    <row r="1840" spans="1:11" ht="316.8" x14ac:dyDescent="0.3">
      <c r="A1840" s="4" t="s">
        <v>5116</v>
      </c>
      <c r="B1840">
        <v>3</v>
      </c>
      <c r="C1840">
        <v>2022</v>
      </c>
      <c r="D1840" t="s">
        <v>1802</v>
      </c>
      <c r="E1840">
        <v>4</v>
      </c>
      <c r="F1840" t="s">
        <v>18225</v>
      </c>
      <c r="G1840" t="s">
        <v>18226</v>
      </c>
      <c r="H1840" s="4" t="s">
        <v>18227</v>
      </c>
      <c r="I1840" t="s">
        <v>71</v>
      </c>
      <c r="J1840" t="s">
        <v>10782</v>
      </c>
      <c r="K1840" t="s">
        <v>18228</v>
      </c>
    </row>
    <row r="1841" spans="1:11" ht="144" x14ac:dyDescent="0.3">
      <c r="A1841" s="4" t="s">
        <v>5117</v>
      </c>
      <c r="B1841">
        <v>3</v>
      </c>
      <c r="C1841">
        <v>2022</v>
      </c>
      <c r="D1841" t="s">
        <v>11159</v>
      </c>
      <c r="E1841">
        <v>5</v>
      </c>
      <c r="F1841" t="s">
        <v>18229</v>
      </c>
      <c r="G1841" t="s">
        <v>18230</v>
      </c>
      <c r="H1841" s="4" t="s">
        <v>18231</v>
      </c>
      <c r="I1841" t="s">
        <v>71</v>
      </c>
      <c r="J1841" t="s">
        <v>10782</v>
      </c>
      <c r="K1841" t="s">
        <v>18232</v>
      </c>
    </row>
    <row r="1842" spans="1:11" ht="158.4" x14ac:dyDescent="0.3">
      <c r="A1842" s="4" t="s">
        <v>5118</v>
      </c>
      <c r="B1842">
        <v>3</v>
      </c>
      <c r="C1842">
        <v>2022</v>
      </c>
      <c r="D1842" t="s">
        <v>2384</v>
      </c>
      <c r="E1842">
        <v>28</v>
      </c>
      <c r="F1842" t="s">
        <v>18233</v>
      </c>
      <c r="G1842" t="s">
        <v>18234</v>
      </c>
      <c r="H1842" s="4" t="s">
        <v>18235</v>
      </c>
      <c r="I1842" t="s">
        <v>71</v>
      </c>
      <c r="J1842" t="s">
        <v>10782</v>
      </c>
      <c r="K1842" t="s">
        <v>18236</v>
      </c>
    </row>
    <row r="1843" spans="1:11" ht="115.2" x14ac:dyDescent="0.3">
      <c r="A1843" s="4" t="s">
        <v>5119</v>
      </c>
      <c r="B1843">
        <v>3</v>
      </c>
      <c r="C1843">
        <v>2022</v>
      </c>
      <c r="D1843" t="s">
        <v>329</v>
      </c>
      <c r="E1843">
        <v>1</v>
      </c>
      <c r="F1843" t="s">
        <v>18237</v>
      </c>
      <c r="G1843" t="s">
        <v>18238</v>
      </c>
      <c r="H1843" s="4" t="s">
        <v>18239</v>
      </c>
    </row>
    <row r="1844" spans="1:11" ht="158.4" x14ac:dyDescent="0.3">
      <c r="A1844" s="4" t="s">
        <v>5120</v>
      </c>
      <c r="B1844">
        <v>3</v>
      </c>
      <c r="C1844">
        <v>2022</v>
      </c>
      <c r="D1844" t="s">
        <v>637</v>
      </c>
      <c r="E1844">
        <v>16</v>
      </c>
      <c r="F1844" t="s">
        <v>18240</v>
      </c>
      <c r="G1844" t="s">
        <v>18241</v>
      </c>
      <c r="H1844" s="4" t="s">
        <v>18242</v>
      </c>
      <c r="I1844" t="s">
        <v>71</v>
      </c>
      <c r="J1844" t="s">
        <v>10782</v>
      </c>
      <c r="K1844" t="s">
        <v>18243</v>
      </c>
    </row>
    <row r="1845" spans="1:11" ht="100.8" x14ac:dyDescent="0.3">
      <c r="A1845" s="4" t="s">
        <v>5121</v>
      </c>
      <c r="B1845">
        <v>3</v>
      </c>
      <c r="C1845">
        <v>2022</v>
      </c>
      <c r="D1845" t="s">
        <v>550</v>
      </c>
      <c r="E1845">
        <v>4</v>
      </c>
      <c r="F1845" t="s">
        <v>18244</v>
      </c>
      <c r="G1845" t="s">
        <v>18245</v>
      </c>
      <c r="H1845" s="4" t="s">
        <v>18246</v>
      </c>
      <c r="I1845" t="s">
        <v>10823</v>
      </c>
      <c r="J1845" t="s">
        <v>10782</v>
      </c>
      <c r="K1845" t="s">
        <v>18247</v>
      </c>
    </row>
    <row r="1846" spans="1:11" ht="172.8" x14ac:dyDescent="0.3">
      <c r="A1846" s="4" t="s">
        <v>5122</v>
      </c>
      <c r="B1846">
        <v>3</v>
      </c>
      <c r="C1846">
        <v>2022</v>
      </c>
      <c r="D1846" t="s">
        <v>1849</v>
      </c>
      <c r="E1846">
        <v>9</v>
      </c>
      <c r="F1846" t="s">
        <v>18248</v>
      </c>
      <c r="G1846" t="s">
        <v>18249</v>
      </c>
      <c r="H1846" s="4" t="s">
        <v>18250</v>
      </c>
      <c r="I1846" t="s">
        <v>71</v>
      </c>
      <c r="J1846" t="s">
        <v>10782</v>
      </c>
      <c r="K1846" t="s">
        <v>18251</v>
      </c>
    </row>
    <row r="1847" spans="1:11" ht="345.6" x14ac:dyDescent="0.3">
      <c r="A1847" s="4" t="s">
        <v>5123</v>
      </c>
      <c r="B1847">
        <v>3</v>
      </c>
      <c r="C1847">
        <v>2022</v>
      </c>
      <c r="D1847" t="s">
        <v>11574</v>
      </c>
      <c r="E1847">
        <v>12</v>
      </c>
      <c r="F1847" t="s">
        <v>18252</v>
      </c>
      <c r="G1847" t="s">
        <v>18253</v>
      </c>
      <c r="H1847" s="4" t="s">
        <v>18254</v>
      </c>
      <c r="I1847" t="s">
        <v>10823</v>
      </c>
      <c r="J1847" t="s">
        <v>10782</v>
      </c>
      <c r="K1847" t="s">
        <v>18255</v>
      </c>
    </row>
    <row r="1848" spans="1:11" ht="172.8" x14ac:dyDescent="0.3">
      <c r="A1848" s="4" t="s">
        <v>2560</v>
      </c>
      <c r="B1848">
        <v>2</v>
      </c>
      <c r="C1848">
        <v>2022</v>
      </c>
      <c r="D1848" t="s">
        <v>1530</v>
      </c>
      <c r="E1848">
        <v>4</v>
      </c>
      <c r="F1848" t="s">
        <v>18256</v>
      </c>
      <c r="G1848" t="s">
        <v>18257</v>
      </c>
      <c r="H1848" s="4" t="s">
        <v>18258</v>
      </c>
      <c r="I1848" t="s">
        <v>71</v>
      </c>
      <c r="J1848" t="s">
        <v>10782</v>
      </c>
      <c r="K1848" t="s">
        <v>18259</v>
      </c>
    </row>
    <row r="1849" spans="1:11" ht="201.6" x14ac:dyDescent="0.3">
      <c r="A1849" s="4" t="s">
        <v>949</v>
      </c>
      <c r="B1849">
        <v>1</v>
      </c>
      <c r="C1849">
        <v>2022</v>
      </c>
      <c r="D1849" t="s">
        <v>637</v>
      </c>
      <c r="E1849">
        <v>17</v>
      </c>
      <c r="F1849" t="s">
        <v>18260</v>
      </c>
      <c r="G1849" t="s">
        <v>18261</v>
      </c>
      <c r="H1849" s="4" t="s">
        <v>18262</v>
      </c>
      <c r="I1849" t="s">
        <v>71</v>
      </c>
      <c r="J1849" t="s">
        <v>10782</v>
      </c>
      <c r="K1849" t="s">
        <v>18263</v>
      </c>
    </row>
    <row r="1850" spans="1:11" ht="259.2" x14ac:dyDescent="0.3">
      <c r="A1850" s="4" t="s">
        <v>5124</v>
      </c>
      <c r="B1850">
        <v>3</v>
      </c>
      <c r="C1850">
        <v>2022</v>
      </c>
      <c r="D1850" t="s">
        <v>17362</v>
      </c>
      <c r="E1850">
        <v>6</v>
      </c>
      <c r="F1850" t="s">
        <v>18264</v>
      </c>
      <c r="G1850" t="s">
        <v>18265</v>
      </c>
      <c r="H1850" s="4" t="s">
        <v>18266</v>
      </c>
      <c r="I1850" t="s">
        <v>71</v>
      </c>
      <c r="J1850" t="s">
        <v>10782</v>
      </c>
      <c r="K1850" t="s">
        <v>18267</v>
      </c>
    </row>
    <row r="1851" spans="1:11" ht="115.2" x14ac:dyDescent="0.3">
      <c r="A1851" s="4" t="s">
        <v>5125</v>
      </c>
      <c r="B1851">
        <v>3</v>
      </c>
      <c r="C1851">
        <v>2022</v>
      </c>
      <c r="D1851" t="s">
        <v>14276</v>
      </c>
      <c r="E1851">
        <v>1</v>
      </c>
      <c r="F1851" t="s">
        <v>18268</v>
      </c>
      <c r="G1851" t="s">
        <v>18269</v>
      </c>
      <c r="H1851" s="4" t="s">
        <v>18270</v>
      </c>
      <c r="I1851" t="s">
        <v>71</v>
      </c>
      <c r="J1851" t="s">
        <v>10782</v>
      </c>
      <c r="K1851" t="s">
        <v>18271</v>
      </c>
    </row>
    <row r="1852" spans="1:11" ht="201.6" x14ac:dyDescent="0.3">
      <c r="A1852" s="4" t="s">
        <v>5126</v>
      </c>
      <c r="B1852">
        <v>3</v>
      </c>
      <c r="C1852">
        <v>2022</v>
      </c>
      <c r="D1852" t="s">
        <v>202</v>
      </c>
      <c r="E1852">
        <v>7</v>
      </c>
      <c r="F1852" t="s">
        <v>18272</v>
      </c>
      <c r="G1852" t="s">
        <v>18273</v>
      </c>
      <c r="H1852" s="4" t="s">
        <v>18274</v>
      </c>
      <c r="I1852" t="s">
        <v>71</v>
      </c>
      <c r="J1852" t="s">
        <v>10782</v>
      </c>
      <c r="K1852" t="s">
        <v>18275</v>
      </c>
    </row>
    <row r="1853" spans="1:11" ht="244.8" x14ac:dyDescent="0.3">
      <c r="A1853" s="4" t="s">
        <v>5127</v>
      </c>
      <c r="B1853">
        <v>3</v>
      </c>
      <c r="C1853">
        <v>2022</v>
      </c>
      <c r="D1853" t="s">
        <v>1836</v>
      </c>
      <c r="E1853">
        <v>12</v>
      </c>
      <c r="F1853" t="s">
        <v>18276</v>
      </c>
      <c r="G1853" t="s">
        <v>18277</v>
      </c>
      <c r="H1853" s="4" t="s">
        <v>18278</v>
      </c>
      <c r="I1853" t="s">
        <v>71</v>
      </c>
      <c r="J1853" t="s">
        <v>10782</v>
      </c>
      <c r="K1853" t="s">
        <v>18279</v>
      </c>
    </row>
    <row r="1854" spans="1:11" ht="230.4" x14ac:dyDescent="0.3">
      <c r="A1854" s="4" t="s">
        <v>5128</v>
      </c>
      <c r="B1854">
        <v>3</v>
      </c>
      <c r="C1854">
        <v>2022</v>
      </c>
      <c r="D1854" t="s">
        <v>14346</v>
      </c>
      <c r="E1854">
        <v>2</v>
      </c>
      <c r="F1854" t="s">
        <v>18280</v>
      </c>
      <c r="G1854" t="s">
        <v>18281</v>
      </c>
      <c r="H1854" s="4" t="s">
        <v>18282</v>
      </c>
      <c r="I1854" t="s">
        <v>71</v>
      </c>
      <c r="J1854" t="s">
        <v>10782</v>
      </c>
      <c r="K1854" t="s">
        <v>18283</v>
      </c>
    </row>
    <row r="1855" spans="1:11" ht="187.2" x14ac:dyDescent="0.3">
      <c r="A1855" s="4" t="s">
        <v>5129</v>
      </c>
      <c r="B1855">
        <v>3</v>
      </c>
      <c r="C1855">
        <v>2022</v>
      </c>
      <c r="D1855" t="s">
        <v>329</v>
      </c>
      <c r="E1855">
        <v>11</v>
      </c>
      <c r="F1855" t="s">
        <v>18284</v>
      </c>
      <c r="G1855" t="s">
        <v>18285</v>
      </c>
      <c r="H1855" s="4" t="s">
        <v>18286</v>
      </c>
      <c r="I1855" t="s">
        <v>71</v>
      </c>
      <c r="J1855" t="s">
        <v>10782</v>
      </c>
      <c r="K1855" t="s">
        <v>18287</v>
      </c>
    </row>
    <row r="1856" spans="1:11" ht="144" x14ac:dyDescent="0.3">
      <c r="A1856" s="4" t="s">
        <v>5130</v>
      </c>
      <c r="B1856">
        <v>3</v>
      </c>
      <c r="C1856">
        <v>2022</v>
      </c>
      <c r="D1856" t="s">
        <v>1802</v>
      </c>
      <c r="E1856">
        <v>4</v>
      </c>
      <c r="F1856" t="s">
        <v>18288</v>
      </c>
      <c r="G1856" t="s">
        <v>18289</v>
      </c>
      <c r="H1856" s="4" t="s">
        <v>18290</v>
      </c>
    </row>
    <row r="1857" spans="1:11" ht="172.8" x14ac:dyDescent="0.3">
      <c r="A1857" s="4" t="s">
        <v>951</v>
      </c>
      <c r="B1857">
        <v>1</v>
      </c>
      <c r="C1857">
        <v>2022</v>
      </c>
      <c r="D1857" t="s">
        <v>1038</v>
      </c>
      <c r="E1857">
        <v>21</v>
      </c>
      <c r="F1857" t="s">
        <v>18291</v>
      </c>
      <c r="G1857" t="s">
        <v>18292</v>
      </c>
      <c r="H1857" s="4" t="s">
        <v>18293</v>
      </c>
      <c r="I1857" t="s">
        <v>71</v>
      </c>
      <c r="J1857" t="s">
        <v>10782</v>
      </c>
      <c r="K1857" t="s">
        <v>18294</v>
      </c>
    </row>
    <row r="1858" spans="1:11" ht="144" x14ac:dyDescent="0.3">
      <c r="A1858" s="4" t="s">
        <v>5131</v>
      </c>
      <c r="B1858">
        <v>3</v>
      </c>
      <c r="C1858">
        <v>2022</v>
      </c>
      <c r="D1858" t="s">
        <v>2853</v>
      </c>
      <c r="E1858">
        <v>6</v>
      </c>
      <c r="F1858" t="s">
        <v>18295</v>
      </c>
      <c r="G1858" t="s">
        <v>18296</v>
      </c>
      <c r="H1858" s="4" t="s">
        <v>18297</v>
      </c>
      <c r="I1858" t="s">
        <v>71</v>
      </c>
      <c r="J1858" t="s">
        <v>10782</v>
      </c>
      <c r="K1858" t="s">
        <v>18298</v>
      </c>
    </row>
    <row r="1859" spans="1:11" ht="158.4" x14ac:dyDescent="0.3">
      <c r="A1859" s="4" t="s">
        <v>5132</v>
      </c>
      <c r="B1859">
        <v>3</v>
      </c>
      <c r="C1859">
        <v>2022</v>
      </c>
      <c r="D1859" t="s">
        <v>15779</v>
      </c>
      <c r="E1859">
        <v>3</v>
      </c>
      <c r="F1859" t="s">
        <v>18299</v>
      </c>
      <c r="G1859" t="s">
        <v>18300</v>
      </c>
      <c r="H1859" s="4" t="s">
        <v>18301</v>
      </c>
    </row>
    <row r="1860" spans="1:11" ht="172.8" x14ac:dyDescent="0.3">
      <c r="A1860" s="4" t="s">
        <v>5133</v>
      </c>
      <c r="B1860">
        <v>3</v>
      </c>
      <c r="C1860">
        <v>2022</v>
      </c>
      <c r="D1860" t="s">
        <v>1065</v>
      </c>
      <c r="E1860">
        <v>9</v>
      </c>
      <c r="F1860" t="s">
        <v>18302</v>
      </c>
      <c r="G1860" t="s">
        <v>18303</v>
      </c>
      <c r="H1860" s="4" t="s">
        <v>18304</v>
      </c>
      <c r="I1860" t="s">
        <v>71</v>
      </c>
      <c r="J1860" t="s">
        <v>10782</v>
      </c>
      <c r="K1860" t="s">
        <v>18305</v>
      </c>
    </row>
    <row r="1861" spans="1:11" ht="172.8" x14ac:dyDescent="0.3">
      <c r="A1861" s="4" t="s">
        <v>5134</v>
      </c>
      <c r="B1861">
        <v>3</v>
      </c>
      <c r="C1861">
        <v>2022</v>
      </c>
      <c r="D1861" t="s">
        <v>1570</v>
      </c>
      <c r="E1861">
        <v>9</v>
      </c>
      <c r="F1861" t="s">
        <v>18306</v>
      </c>
      <c r="G1861" t="s">
        <v>18307</v>
      </c>
      <c r="H1861" s="4" t="s">
        <v>18308</v>
      </c>
    </row>
    <row r="1862" spans="1:11" ht="201.6" x14ac:dyDescent="0.3">
      <c r="A1862" s="4" t="s">
        <v>5135</v>
      </c>
      <c r="B1862">
        <v>3</v>
      </c>
      <c r="C1862">
        <v>2022</v>
      </c>
      <c r="D1862" t="s">
        <v>1746</v>
      </c>
      <c r="E1862">
        <v>2</v>
      </c>
      <c r="F1862" t="s">
        <v>18309</v>
      </c>
      <c r="G1862" t="s">
        <v>18310</v>
      </c>
      <c r="H1862" s="4" t="s">
        <v>18311</v>
      </c>
      <c r="I1862" t="s">
        <v>71</v>
      </c>
      <c r="J1862" t="s">
        <v>10782</v>
      </c>
      <c r="K1862" t="s">
        <v>18312</v>
      </c>
    </row>
    <row r="1863" spans="1:11" ht="172.8" x14ac:dyDescent="0.3">
      <c r="A1863" s="4" t="s">
        <v>5136</v>
      </c>
      <c r="B1863">
        <v>3</v>
      </c>
      <c r="C1863">
        <v>2022</v>
      </c>
      <c r="D1863" t="s">
        <v>18313</v>
      </c>
      <c r="E1863">
        <v>16</v>
      </c>
      <c r="F1863" t="s">
        <v>18314</v>
      </c>
      <c r="G1863" t="s">
        <v>18315</v>
      </c>
      <c r="H1863" s="4" t="s">
        <v>18316</v>
      </c>
    </row>
    <row r="1864" spans="1:11" ht="172.8" x14ac:dyDescent="0.3">
      <c r="A1864" s="4" t="s">
        <v>5137</v>
      </c>
      <c r="B1864">
        <v>3</v>
      </c>
      <c r="C1864">
        <v>2022</v>
      </c>
      <c r="D1864" t="s">
        <v>14863</v>
      </c>
      <c r="E1864">
        <v>3</v>
      </c>
      <c r="F1864" t="s">
        <v>18317</v>
      </c>
      <c r="G1864" t="s">
        <v>18318</v>
      </c>
      <c r="H1864" s="4" t="s">
        <v>18319</v>
      </c>
      <c r="I1864" t="s">
        <v>71</v>
      </c>
      <c r="J1864" t="s">
        <v>10782</v>
      </c>
      <c r="K1864" t="s">
        <v>18320</v>
      </c>
    </row>
    <row r="1865" spans="1:11" ht="230.4" x14ac:dyDescent="0.3">
      <c r="A1865" s="4" t="s">
        <v>5138</v>
      </c>
      <c r="B1865">
        <v>3</v>
      </c>
      <c r="C1865">
        <v>2022</v>
      </c>
      <c r="D1865" t="s">
        <v>18321</v>
      </c>
      <c r="E1865">
        <v>1</v>
      </c>
      <c r="F1865" t="s">
        <v>18322</v>
      </c>
      <c r="G1865" t="s">
        <v>18323</v>
      </c>
      <c r="H1865" s="4" t="s">
        <v>18324</v>
      </c>
      <c r="I1865" t="s">
        <v>71</v>
      </c>
      <c r="J1865" t="s">
        <v>10782</v>
      </c>
      <c r="K1865" t="s">
        <v>18325</v>
      </c>
    </row>
    <row r="1866" spans="1:11" ht="158.4" x14ac:dyDescent="0.3">
      <c r="A1866" s="4" t="s">
        <v>5139</v>
      </c>
      <c r="B1866">
        <v>3</v>
      </c>
      <c r="C1866">
        <v>2022</v>
      </c>
      <c r="D1866" t="s">
        <v>13721</v>
      </c>
      <c r="E1866">
        <v>6</v>
      </c>
      <c r="F1866" t="s">
        <v>18326</v>
      </c>
      <c r="G1866" t="s">
        <v>18327</v>
      </c>
      <c r="H1866" s="4" t="s">
        <v>18328</v>
      </c>
      <c r="I1866" t="s">
        <v>71</v>
      </c>
      <c r="J1866" t="s">
        <v>10782</v>
      </c>
      <c r="K1866" t="s">
        <v>18329</v>
      </c>
    </row>
    <row r="1867" spans="1:11" ht="43.2" x14ac:dyDescent="0.3">
      <c r="A1867" s="4" t="s">
        <v>5140</v>
      </c>
      <c r="B1867">
        <v>3</v>
      </c>
      <c r="C1867">
        <v>2022</v>
      </c>
      <c r="D1867" t="s">
        <v>12947</v>
      </c>
      <c r="E1867">
        <v>2</v>
      </c>
      <c r="F1867" t="s">
        <v>18330</v>
      </c>
      <c r="G1867" t="s">
        <v>18331</v>
      </c>
      <c r="H1867" s="4" t="s">
        <v>71</v>
      </c>
      <c r="I1867" t="s">
        <v>10782</v>
      </c>
      <c r="J1867" t="s">
        <v>18332</v>
      </c>
    </row>
    <row r="1868" spans="1:11" ht="172.8" x14ac:dyDescent="0.3">
      <c r="A1868" s="4" t="s">
        <v>5141</v>
      </c>
      <c r="B1868">
        <v>3</v>
      </c>
      <c r="C1868">
        <v>2022</v>
      </c>
      <c r="D1868" t="s">
        <v>18333</v>
      </c>
      <c r="E1868">
        <v>18</v>
      </c>
      <c r="F1868" t="s">
        <v>18334</v>
      </c>
      <c r="G1868" t="s">
        <v>18335</v>
      </c>
      <c r="H1868" s="4" t="s">
        <v>18336</v>
      </c>
      <c r="I1868" t="s">
        <v>71</v>
      </c>
      <c r="J1868" t="s">
        <v>10782</v>
      </c>
      <c r="K1868" t="s">
        <v>18337</v>
      </c>
    </row>
    <row r="1869" spans="1:11" ht="158.4" x14ac:dyDescent="0.3">
      <c r="A1869" s="4" t="s">
        <v>5142</v>
      </c>
      <c r="B1869">
        <v>3</v>
      </c>
      <c r="C1869">
        <v>2022</v>
      </c>
      <c r="D1869" t="s">
        <v>15626</v>
      </c>
      <c r="E1869">
        <v>56</v>
      </c>
      <c r="F1869" t="s">
        <v>18338</v>
      </c>
      <c r="G1869" t="s">
        <v>18339</v>
      </c>
      <c r="H1869" s="4" t="s">
        <v>18340</v>
      </c>
      <c r="I1869" t="s">
        <v>10823</v>
      </c>
      <c r="J1869" t="s">
        <v>10782</v>
      </c>
      <c r="K1869" t="s">
        <v>18341</v>
      </c>
    </row>
    <row r="1870" spans="1:11" ht="187.2" x14ac:dyDescent="0.3">
      <c r="A1870" s="4" t="s">
        <v>5143</v>
      </c>
      <c r="B1870">
        <v>3</v>
      </c>
      <c r="C1870">
        <v>2022</v>
      </c>
      <c r="D1870" t="s">
        <v>704</v>
      </c>
      <c r="E1870">
        <v>5</v>
      </c>
      <c r="F1870" t="s">
        <v>18342</v>
      </c>
      <c r="G1870" t="s">
        <v>18343</v>
      </c>
      <c r="H1870" s="4" t="s">
        <v>18344</v>
      </c>
      <c r="I1870" t="s">
        <v>71</v>
      </c>
      <c r="J1870" t="s">
        <v>10782</v>
      </c>
      <c r="K1870" t="s">
        <v>18345</v>
      </c>
    </row>
    <row r="1871" spans="1:11" ht="158.4" x14ac:dyDescent="0.3">
      <c r="A1871" s="4" t="s">
        <v>5144</v>
      </c>
      <c r="B1871">
        <v>3</v>
      </c>
      <c r="C1871">
        <v>2022</v>
      </c>
      <c r="D1871" t="s">
        <v>528</v>
      </c>
      <c r="E1871">
        <v>19</v>
      </c>
      <c r="F1871" t="s">
        <v>18346</v>
      </c>
      <c r="G1871" t="s">
        <v>18347</v>
      </c>
      <c r="H1871" s="4" t="s">
        <v>18348</v>
      </c>
      <c r="I1871" t="s">
        <v>10823</v>
      </c>
      <c r="J1871" t="s">
        <v>10782</v>
      </c>
      <c r="K1871" t="s">
        <v>18349</v>
      </c>
    </row>
    <row r="1872" spans="1:11" ht="187.2" x14ac:dyDescent="0.3">
      <c r="A1872" s="4" t="s">
        <v>5145</v>
      </c>
      <c r="B1872">
        <v>3</v>
      </c>
      <c r="C1872">
        <v>2022</v>
      </c>
      <c r="D1872" t="s">
        <v>1770</v>
      </c>
      <c r="E1872">
        <v>12</v>
      </c>
      <c r="F1872" t="s">
        <v>18350</v>
      </c>
      <c r="G1872" t="s">
        <v>18351</v>
      </c>
      <c r="H1872" s="4" t="s">
        <v>18352</v>
      </c>
      <c r="I1872" t="s">
        <v>71</v>
      </c>
      <c r="J1872" t="s">
        <v>10782</v>
      </c>
      <c r="K1872" t="s">
        <v>18353</v>
      </c>
    </row>
    <row r="1873" spans="1:11" ht="244.8" x14ac:dyDescent="0.3">
      <c r="A1873" s="4" t="s">
        <v>5146</v>
      </c>
      <c r="B1873">
        <v>3</v>
      </c>
      <c r="C1873">
        <v>2022</v>
      </c>
      <c r="D1873" t="s">
        <v>482</v>
      </c>
      <c r="E1873">
        <v>2</v>
      </c>
      <c r="F1873" t="s">
        <v>18354</v>
      </c>
      <c r="G1873" t="s">
        <v>18355</v>
      </c>
      <c r="H1873" s="4" t="s">
        <v>18356</v>
      </c>
      <c r="I1873" t="s">
        <v>71</v>
      </c>
      <c r="J1873" t="s">
        <v>10782</v>
      </c>
      <c r="K1873" t="s">
        <v>18357</v>
      </c>
    </row>
    <row r="1874" spans="1:11" ht="158.4" x14ac:dyDescent="0.3">
      <c r="A1874" s="4" t="s">
        <v>5147</v>
      </c>
      <c r="B1874">
        <v>3</v>
      </c>
      <c r="C1874">
        <v>2022</v>
      </c>
      <c r="D1874" t="s">
        <v>1570</v>
      </c>
      <c r="E1874">
        <v>1</v>
      </c>
      <c r="F1874" t="s">
        <v>18358</v>
      </c>
      <c r="G1874" t="s">
        <v>18359</v>
      </c>
      <c r="H1874" s="4" t="s">
        <v>18360</v>
      </c>
      <c r="I1874" t="s">
        <v>71</v>
      </c>
      <c r="J1874" t="s">
        <v>10782</v>
      </c>
      <c r="K1874" t="s">
        <v>18361</v>
      </c>
    </row>
    <row r="1875" spans="1:11" ht="201.6" x14ac:dyDescent="0.3">
      <c r="A1875" s="4" t="s">
        <v>5148</v>
      </c>
      <c r="B1875">
        <v>3</v>
      </c>
      <c r="C1875">
        <v>2022</v>
      </c>
      <c r="D1875" t="s">
        <v>1570</v>
      </c>
      <c r="E1875">
        <v>0</v>
      </c>
      <c r="F1875" t="s">
        <v>18362</v>
      </c>
      <c r="G1875" t="s">
        <v>18363</v>
      </c>
      <c r="H1875" s="4" t="s">
        <v>18364</v>
      </c>
      <c r="I1875" t="s">
        <v>71</v>
      </c>
      <c r="J1875" t="s">
        <v>10782</v>
      </c>
      <c r="K1875" t="s">
        <v>18365</v>
      </c>
    </row>
    <row r="1876" spans="1:11" ht="230.4" x14ac:dyDescent="0.3">
      <c r="A1876" s="4" t="s">
        <v>5149</v>
      </c>
      <c r="B1876">
        <v>3</v>
      </c>
      <c r="C1876">
        <v>2022</v>
      </c>
      <c r="D1876" t="s">
        <v>12318</v>
      </c>
      <c r="E1876">
        <v>8</v>
      </c>
      <c r="F1876" t="s">
        <v>18366</v>
      </c>
      <c r="G1876" t="s">
        <v>18367</v>
      </c>
      <c r="H1876" s="4" t="s">
        <v>18368</v>
      </c>
      <c r="I1876" t="s">
        <v>71</v>
      </c>
      <c r="J1876" t="s">
        <v>10782</v>
      </c>
      <c r="K1876" t="s">
        <v>18369</v>
      </c>
    </row>
    <row r="1877" spans="1:11" ht="86.4" x14ac:dyDescent="0.3">
      <c r="A1877" s="4" t="s">
        <v>5150</v>
      </c>
      <c r="B1877">
        <v>3</v>
      </c>
      <c r="C1877">
        <v>2022</v>
      </c>
      <c r="D1877" t="s">
        <v>11556</v>
      </c>
      <c r="E1877">
        <v>16</v>
      </c>
      <c r="F1877" t="s">
        <v>18370</v>
      </c>
      <c r="G1877" t="s">
        <v>18371</v>
      </c>
      <c r="H1877" s="4" t="s">
        <v>18372</v>
      </c>
    </row>
    <row r="1878" spans="1:11" ht="259.2" x14ac:dyDescent="0.3">
      <c r="A1878" s="4" t="s">
        <v>5151</v>
      </c>
      <c r="B1878">
        <v>3</v>
      </c>
      <c r="C1878">
        <v>2022</v>
      </c>
      <c r="D1878" t="s">
        <v>1849</v>
      </c>
      <c r="E1878">
        <v>4</v>
      </c>
      <c r="F1878" t="s">
        <v>18373</v>
      </c>
      <c r="G1878" t="s">
        <v>18374</v>
      </c>
      <c r="H1878" s="4" t="s">
        <v>18375</v>
      </c>
      <c r="I1878" t="s">
        <v>71</v>
      </c>
      <c r="J1878" t="s">
        <v>10782</v>
      </c>
      <c r="K1878" t="s">
        <v>18376</v>
      </c>
    </row>
    <row r="1879" spans="1:11" ht="172.8" x14ac:dyDescent="0.3">
      <c r="A1879" s="4" t="s">
        <v>5152</v>
      </c>
      <c r="B1879">
        <v>3</v>
      </c>
      <c r="C1879">
        <v>2022</v>
      </c>
      <c r="D1879" t="s">
        <v>18377</v>
      </c>
      <c r="E1879">
        <v>10</v>
      </c>
      <c r="F1879" t="s">
        <v>18378</v>
      </c>
      <c r="G1879" t="s">
        <v>18379</v>
      </c>
      <c r="H1879" s="4" t="s">
        <v>18380</v>
      </c>
      <c r="I1879" t="s">
        <v>71</v>
      </c>
      <c r="J1879" t="s">
        <v>10782</v>
      </c>
      <c r="K1879" t="s">
        <v>18381</v>
      </c>
    </row>
    <row r="1880" spans="1:11" ht="172.8" x14ac:dyDescent="0.3">
      <c r="A1880" s="4" t="s">
        <v>5153</v>
      </c>
      <c r="B1880">
        <v>3</v>
      </c>
      <c r="C1880">
        <v>2022</v>
      </c>
      <c r="D1880" t="s">
        <v>164</v>
      </c>
      <c r="E1880">
        <v>9</v>
      </c>
      <c r="F1880" t="s">
        <v>18382</v>
      </c>
      <c r="G1880" t="s">
        <v>18383</v>
      </c>
      <c r="H1880" s="4" t="s">
        <v>18384</v>
      </c>
      <c r="I1880" t="s">
        <v>71</v>
      </c>
      <c r="J1880" t="s">
        <v>10782</v>
      </c>
      <c r="K1880" t="s">
        <v>18385</v>
      </c>
    </row>
    <row r="1881" spans="1:11" ht="201.6" x14ac:dyDescent="0.3">
      <c r="A1881" s="4" t="s">
        <v>5154</v>
      </c>
      <c r="B1881">
        <v>3</v>
      </c>
      <c r="C1881">
        <v>2022</v>
      </c>
      <c r="D1881" t="s">
        <v>704</v>
      </c>
      <c r="E1881">
        <v>23</v>
      </c>
      <c r="F1881" t="s">
        <v>18386</v>
      </c>
      <c r="G1881" t="s">
        <v>18387</v>
      </c>
      <c r="H1881" s="4" t="s">
        <v>18388</v>
      </c>
      <c r="I1881" t="s">
        <v>71</v>
      </c>
      <c r="J1881" t="s">
        <v>10782</v>
      </c>
      <c r="K1881" t="s">
        <v>18389</v>
      </c>
    </row>
    <row r="1882" spans="1:11" ht="172.8" x14ac:dyDescent="0.3">
      <c r="A1882" s="4" t="s">
        <v>5155</v>
      </c>
      <c r="B1882">
        <v>3</v>
      </c>
      <c r="C1882">
        <v>2022</v>
      </c>
      <c r="D1882" t="s">
        <v>147</v>
      </c>
      <c r="E1882">
        <v>7</v>
      </c>
      <c r="F1882" t="s">
        <v>18390</v>
      </c>
      <c r="G1882" t="s">
        <v>18391</v>
      </c>
      <c r="H1882" s="4" t="s">
        <v>18392</v>
      </c>
      <c r="I1882" t="s">
        <v>71</v>
      </c>
      <c r="J1882" t="s">
        <v>10782</v>
      </c>
      <c r="K1882" t="s">
        <v>18393</v>
      </c>
    </row>
    <row r="1883" spans="1:11" ht="144" x14ac:dyDescent="0.3">
      <c r="A1883" s="4" t="s">
        <v>5156</v>
      </c>
      <c r="B1883">
        <v>3</v>
      </c>
      <c r="C1883">
        <v>2022</v>
      </c>
      <c r="D1883" t="s">
        <v>18394</v>
      </c>
      <c r="E1883">
        <v>13</v>
      </c>
      <c r="F1883" t="s">
        <v>18395</v>
      </c>
      <c r="G1883" t="s">
        <v>18396</v>
      </c>
      <c r="H1883" s="4" t="s">
        <v>18397</v>
      </c>
      <c r="I1883" t="s">
        <v>71</v>
      </c>
      <c r="J1883" t="s">
        <v>10782</v>
      </c>
      <c r="K1883" t="s">
        <v>18398</v>
      </c>
    </row>
    <row r="1884" spans="1:11" ht="187.2" x14ac:dyDescent="0.3">
      <c r="A1884" s="4" t="s">
        <v>5157</v>
      </c>
      <c r="B1884">
        <v>3</v>
      </c>
      <c r="C1884">
        <v>2022</v>
      </c>
      <c r="D1884" t="s">
        <v>11774</v>
      </c>
      <c r="E1884">
        <v>0</v>
      </c>
      <c r="F1884" t="s">
        <v>18399</v>
      </c>
      <c r="G1884" t="s">
        <v>18400</v>
      </c>
      <c r="H1884" s="4" t="s">
        <v>18401</v>
      </c>
      <c r="I1884" t="s">
        <v>71</v>
      </c>
      <c r="J1884" t="s">
        <v>10782</v>
      </c>
      <c r="K1884" t="s">
        <v>18402</v>
      </c>
    </row>
    <row r="1885" spans="1:11" ht="158.4" x14ac:dyDescent="0.3">
      <c r="A1885" s="4" t="s">
        <v>3286</v>
      </c>
      <c r="B1885">
        <v>1</v>
      </c>
      <c r="C1885">
        <v>2022</v>
      </c>
      <c r="D1885" t="s">
        <v>773</v>
      </c>
      <c r="E1885">
        <v>7</v>
      </c>
      <c r="F1885" t="s">
        <v>18403</v>
      </c>
      <c r="G1885" t="s">
        <v>18404</v>
      </c>
      <c r="H1885" s="4" t="s">
        <v>18405</v>
      </c>
      <c r="I1885" t="s">
        <v>71</v>
      </c>
      <c r="J1885" t="s">
        <v>10782</v>
      </c>
      <c r="K1885" t="s">
        <v>18406</v>
      </c>
    </row>
    <row r="1886" spans="1:11" ht="259.2" x14ac:dyDescent="0.3">
      <c r="A1886" s="4" t="s">
        <v>5158</v>
      </c>
      <c r="B1886">
        <v>3</v>
      </c>
      <c r="C1886">
        <v>2022</v>
      </c>
      <c r="D1886" t="s">
        <v>202</v>
      </c>
      <c r="E1886">
        <v>9</v>
      </c>
      <c r="F1886" t="s">
        <v>18407</v>
      </c>
      <c r="G1886" t="s">
        <v>18408</v>
      </c>
      <c r="H1886" s="4" t="s">
        <v>18409</v>
      </c>
      <c r="I1886" t="s">
        <v>71</v>
      </c>
      <c r="J1886" t="s">
        <v>10782</v>
      </c>
      <c r="K1886" t="s">
        <v>18410</v>
      </c>
    </row>
    <row r="1887" spans="1:11" ht="129.6" x14ac:dyDescent="0.3">
      <c r="A1887" s="4" t="s">
        <v>5159</v>
      </c>
      <c r="B1887">
        <v>3</v>
      </c>
      <c r="C1887">
        <v>2022</v>
      </c>
      <c r="D1887" t="s">
        <v>1802</v>
      </c>
      <c r="E1887">
        <v>2</v>
      </c>
      <c r="F1887" t="s">
        <v>18411</v>
      </c>
      <c r="G1887" t="s">
        <v>18412</v>
      </c>
      <c r="H1887" s="4" t="s">
        <v>18413</v>
      </c>
      <c r="I1887" t="s">
        <v>71</v>
      </c>
      <c r="J1887" t="s">
        <v>10782</v>
      </c>
      <c r="K1887" t="s">
        <v>18414</v>
      </c>
    </row>
    <row r="1888" spans="1:11" ht="129.6" x14ac:dyDescent="0.3">
      <c r="A1888" s="4" t="s">
        <v>5160</v>
      </c>
      <c r="B1888">
        <v>3</v>
      </c>
      <c r="C1888">
        <v>2022</v>
      </c>
      <c r="D1888" t="s">
        <v>18415</v>
      </c>
      <c r="E1888">
        <v>0</v>
      </c>
      <c r="F1888" t="s">
        <v>18416</v>
      </c>
      <c r="G1888" t="s">
        <v>18417</v>
      </c>
      <c r="H1888" s="4" t="s">
        <v>18418</v>
      </c>
    </row>
    <row r="1889" spans="1:11" ht="172.8" x14ac:dyDescent="0.3">
      <c r="A1889" s="4" t="s">
        <v>5161</v>
      </c>
      <c r="B1889">
        <v>3</v>
      </c>
      <c r="C1889">
        <v>2022</v>
      </c>
      <c r="D1889" t="s">
        <v>892</v>
      </c>
      <c r="E1889">
        <v>14</v>
      </c>
      <c r="F1889" t="s">
        <v>18419</v>
      </c>
      <c r="G1889" t="s">
        <v>18420</v>
      </c>
      <c r="H1889" s="4" t="s">
        <v>18421</v>
      </c>
      <c r="I1889" t="s">
        <v>71</v>
      </c>
      <c r="J1889" t="s">
        <v>10782</v>
      </c>
      <c r="K1889" t="s">
        <v>18422</v>
      </c>
    </row>
    <row r="1890" spans="1:11" ht="158.4" x14ac:dyDescent="0.3">
      <c r="A1890" s="4" t="s">
        <v>5162</v>
      </c>
      <c r="B1890">
        <v>3</v>
      </c>
      <c r="C1890">
        <v>2022</v>
      </c>
      <c r="D1890" t="s">
        <v>15071</v>
      </c>
      <c r="E1890">
        <v>1</v>
      </c>
      <c r="F1890" t="s">
        <v>18423</v>
      </c>
      <c r="G1890" t="s">
        <v>18424</v>
      </c>
      <c r="H1890" s="4" t="s">
        <v>18425</v>
      </c>
    </row>
    <row r="1891" spans="1:11" ht="172.8" x14ac:dyDescent="0.3">
      <c r="A1891" s="4" t="s">
        <v>5163</v>
      </c>
      <c r="B1891">
        <v>3</v>
      </c>
      <c r="C1891">
        <v>2022</v>
      </c>
      <c r="D1891" t="s">
        <v>1002</v>
      </c>
      <c r="E1891">
        <v>19</v>
      </c>
      <c r="F1891" t="s">
        <v>18426</v>
      </c>
      <c r="G1891" t="s">
        <v>18427</v>
      </c>
      <c r="H1891" s="4" t="s">
        <v>18428</v>
      </c>
      <c r="I1891" t="s">
        <v>71</v>
      </c>
      <c r="J1891" t="s">
        <v>10782</v>
      </c>
      <c r="K1891" t="s">
        <v>18429</v>
      </c>
    </row>
    <row r="1892" spans="1:11" ht="158.4" x14ac:dyDescent="0.3">
      <c r="A1892" s="4" t="s">
        <v>5164</v>
      </c>
      <c r="B1892">
        <v>3</v>
      </c>
      <c r="C1892">
        <v>2022</v>
      </c>
      <c r="D1892" t="s">
        <v>528</v>
      </c>
      <c r="E1892">
        <v>8</v>
      </c>
      <c r="F1892" t="s">
        <v>18430</v>
      </c>
      <c r="G1892" t="s">
        <v>18431</v>
      </c>
      <c r="H1892" s="4" t="s">
        <v>18432</v>
      </c>
      <c r="I1892" t="s">
        <v>10823</v>
      </c>
      <c r="J1892" t="s">
        <v>10782</v>
      </c>
      <c r="K1892" t="s">
        <v>18433</v>
      </c>
    </row>
    <row r="1893" spans="1:11" ht="345.6" x14ac:dyDescent="0.3">
      <c r="A1893" s="4" t="s">
        <v>5165</v>
      </c>
      <c r="B1893">
        <v>3</v>
      </c>
      <c r="C1893">
        <v>2022</v>
      </c>
      <c r="D1893" t="s">
        <v>11164</v>
      </c>
      <c r="E1893">
        <v>1</v>
      </c>
      <c r="F1893" t="s">
        <v>18434</v>
      </c>
      <c r="G1893" t="s">
        <v>18435</v>
      </c>
      <c r="H1893" s="4" t="s">
        <v>18436</v>
      </c>
      <c r="I1893" t="s">
        <v>71</v>
      </c>
      <c r="J1893" t="s">
        <v>10782</v>
      </c>
      <c r="K1893" t="s">
        <v>18437</v>
      </c>
    </row>
    <row r="1894" spans="1:11" ht="230.4" x14ac:dyDescent="0.3">
      <c r="A1894" s="4" t="s">
        <v>5166</v>
      </c>
      <c r="B1894">
        <v>3</v>
      </c>
      <c r="C1894">
        <v>2022</v>
      </c>
      <c r="D1894" t="s">
        <v>318</v>
      </c>
      <c r="E1894">
        <v>13</v>
      </c>
      <c r="F1894" t="s">
        <v>18438</v>
      </c>
      <c r="G1894" t="s">
        <v>18439</v>
      </c>
      <c r="H1894" s="4" t="s">
        <v>18440</v>
      </c>
      <c r="I1894" t="s">
        <v>71</v>
      </c>
      <c r="J1894" t="s">
        <v>10782</v>
      </c>
      <c r="K1894" t="s">
        <v>18441</v>
      </c>
    </row>
    <row r="1895" spans="1:11" ht="86.4" x14ac:dyDescent="0.3">
      <c r="A1895" s="4" t="s">
        <v>5167</v>
      </c>
      <c r="B1895">
        <v>3</v>
      </c>
      <c r="C1895">
        <v>2022</v>
      </c>
      <c r="D1895" t="s">
        <v>398</v>
      </c>
      <c r="E1895">
        <v>5</v>
      </c>
      <c r="F1895" t="s">
        <v>18442</v>
      </c>
      <c r="G1895" t="s">
        <v>18443</v>
      </c>
      <c r="H1895" s="4" t="s">
        <v>18444</v>
      </c>
    </row>
    <row r="1896" spans="1:11" ht="187.2" x14ac:dyDescent="0.3">
      <c r="A1896" s="4" t="s">
        <v>5168</v>
      </c>
      <c r="B1896">
        <v>3</v>
      </c>
      <c r="C1896">
        <v>2022</v>
      </c>
      <c r="D1896" t="s">
        <v>704</v>
      </c>
      <c r="E1896">
        <v>16</v>
      </c>
      <c r="F1896" t="s">
        <v>18445</v>
      </c>
      <c r="G1896" t="s">
        <v>18446</v>
      </c>
      <c r="H1896" s="4" t="s">
        <v>18447</v>
      </c>
      <c r="I1896" t="s">
        <v>71</v>
      </c>
      <c r="J1896" t="s">
        <v>10782</v>
      </c>
      <c r="K1896" t="s">
        <v>18448</v>
      </c>
    </row>
    <row r="1897" spans="1:11" ht="216" x14ac:dyDescent="0.3">
      <c r="A1897" s="4" t="s">
        <v>5169</v>
      </c>
      <c r="B1897">
        <v>3</v>
      </c>
      <c r="C1897">
        <v>2022</v>
      </c>
      <c r="D1897" t="s">
        <v>1530</v>
      </c>
      <c r="E1897">
        <v>35</v>
      </c>
      <c r="F1897" t="s">
        <v>18449</v>
      </c>
      <c r="G1897" t="s">
        <v>18450</v>
      </c>
      <c r="H1897" s="4" t="s">
        <v>18451</v>
      </c>
      <c r="I1897" t="s">
        <v>71</v>
      </c>
      <c r="J1897" t="s">
        <v>10782</v>
      </c>
      <c r="K1897" t="s">
        <v>18452</v>
      </c>
    </row>
    <row r="1898" spans="1:11" ht="201.6" x14ac:dyDescent="0.3">
      <c r="A1898" s="4" t="s">
        <v>5170</v>
      </c>
      <c r="B1898">
        <v>3</v>
      </c>
      <c r="C1898">
        <v>2022</v>
      </c>
      <c r="D1898" t="s">
        <v>13816</v>
      </c>
      <c r="E1898">
        <v>2</v>
      </c>
      <c r="F1898" t="s">
        <v>18453</v>
      </c>
      <c r="G1898" t="s">
        <v>18454</v>
      </c>
      <c r="H1898" s="4" t="s">
        <v>18455</v>
      </c>
      <c r="I1898" t="s">
        <v>71</v>
      </c>
      <c r="J1898" t="s">
        <v>10782</v>
      </c>
      <c r="K1898" t="s">
        <v>18456</v>
      </c>
    </row>
    <row r="1899" spans="1:11" ht="216" x14ac:dyDescent="0.3">
      <c r="A1899" s="4" t="s">
        <v>5171</v>
      </c>
      <c r="B1899">
        <v>3</v>
      </c>
      <c r="C1899">
        <v>2022</v>
      </c>
      <c r="D1899" t="s">
        <v>10924</v>
      </c>
      <c r="E1899">
        <v>23</v>
      </c>
      <c r="F1899" t="s">
        <v>18457</v>
      </c>
      <c r="G1899" t="s">
        <v>18458</v>
      </c>
      <c r="H1899" s="4" t="s">
        <v>18459</v>
      </c>
      <c r="I1899" t="s">
        <v>71</v>
      </c>
      <c r="J1899" t="s">
        <v>10782</v>
      </c>
      <c r="K1899" t="s">
        <v>18460</v>
      </c>
    </row>
    <row r="1900" spans="1:11" ht="201.6" x14ac:dyDescent="0.3">
      <c r="A1900" s="4" t="s">
        <v>5172</v>
      </c>
      <c r="B1900">
        <v>3</v>
      </c>
      <c r="C1900">
        <v>2022</v>
      </c>
      <c r="D1900" t="s">
        <v>329</v>
      </c>
      <c r="E1900">
        <v>5</v>
      </c>
      <c r="F1900" t="s">
        <v>18461</v>
      </c>
      <c r="G1900" t="s">
        <v>18462</v>
      </c>
      <c r="H1900" s="4" t="s">
        <v>18463</v>
      </c>
      <c r="I1900" t="s">
        <v>71</v>
      </c>
      <c r="J1900" t="s">
        <v>10782</v>
      </c>
      <c r="K1900" t="s">
        <v>18464</v>
      </c>
    </row>
    <row r="1901" spans="1:11" ht="230.4" x14ac:dyDescent="0.3">
      <c r="A1901" s="4" t="s">
        <v>5173</v>
      </c>
      <c r="B1901">
        <v>3</v>
      </c>
      <c r="C1901">
        <v>2022</v>
      </c>
      <c r="D1901" t="s">
        <v>318</v>
      </c>
      <c r="E1901">
        <v>25</v>
      </c>
      <c r="F1901" t="s">
        <v>18465</v>
      </c>
      <c r="G1901" t="s">
        <v>18466</v>
      </c>
      <c r="H1901" s="4" t="s">
        <v>18467</v>
      </c>
      <c r="I1901" t="s">
        <v>71</v>
      </c>
      <c r="J1901" t="s">
        <v>10782</v>
      </c>
      <c r="K1901" t="s">
        <v>18468</v>
      </c>
    </row>
    <row r="1902" spans="1:11" ht="172.8" x14ac:dyDescent="0.3">
      <c r="A1902" s="4" t="s">
        <v>5174</v>
      </c>
      <c r="B1902">
        <v>3</v>
      </c>
      <c r="C1902">
        <v>2022</v>
      </c>
      <c r="D1902" t="s">
        <v>234</v>
      </c>
      <c r="E1902">
        <v>4</v>
      </c>
      <c r="F1902" t="s">
        <v>18469</v>
      </c>
      <c r="G1902" t="s">
        <v>18470</v>
      </c>
      <c r="H1902" s="4" t="s">
        <v>18471</v>
      </c>
    </row>
    <row r="1903" spans="1:11" ht="230.4" x14ac:dyDescent="0.3">
      <c r="A1903" s="4" t="s">
        <v>5175</v>
      </c>
      <c r="B1903">
        <v>3</v>
      </c>
      <c r="C1903">
        <v>2022</v>
      </c>
      <c r="D1903" t="s">
        <v>637</v>
      </c>
      <c r="E1903">
        <v>11</v>
      </c>
      <c r="F1903" t="s">
        <v>18472</v>
      </c>
      <c r="G1903" t="s">
        <v>18473</v>
      </c>
      <c r="H1903" s="4" t="s">
        <v>18474</v>
      </c>
      <c r="I1903" t="s">
        <v>71</v>
      </c>
      <c r="J1903" t="s">
        <v>10782</v>
      </c>
      <c r="K1903" t="s">
        <v>18475</v>
      </c>
    </row>
    <row r="1904" spans="1:11" ht="187.2" x14ac:dyDescent="0.3">
      <c r="A1904" s="4" t="s">
        <v>5176</v>
      </c>
      <c r="B1904">
        <v>3</v>
      </c>
      <c r="C1904">
        <v>2022</v>
      </c>
      <c r="D1904" t="s">
        <v>405</v>
      </c>
      <c r="E1904">
        <v>2</v>
      </c>
      <c r="F1904" t="s">
        <v>18476</v>
      </c>
      <c r="G1904" t="s">
        <v>18477</v>
      </c>
      <c r="H1904" s="4" t="s">
        <v>18478</v>
      </c>
      <c r="I1904" t="s">
        <v>71</v>
      </c>
      <c r="J1904" t="s">
        <v>10782</v>
      </c>
      <c r="K1904" t="s">
        <v>18479</v>
      </c>
    </row>
    <row r="1905" spans="1:11" ht="230.4" x14ac:dyDescent="0.3">
      <c r="A1905" s="4" t="s">
        <v>5177</v>
      </c>
      <c r="B1905">
        <v>3</v>
      </c>
      <c r="C1905">
        <v>2022</v>
      </c>
      <c r="D1905" t="s">
        <v>18480</v>
      </c>
      <c r="E1905">
        <v>9</v>
      </c>
      <c r="F1905" t="s">
        <v>18481</v>
      </c>
      <c r="G1905" t="s">
        <v>18482</v>
      </c>
      <c r="H1905" s="4" t="s">
        <v>18483</v>
      </c>
      <c r="I1905" t="s">
        <v>71</v>
      </c>
      <c r="J1905" t="s">
        <v>10782</v>
      </c>
      <c r="K1905" t="s">
        <v>18484</v>
      </c>
    </row>
    <row r="1906" spans="1:11" ht="144" x14ac:dyDescent="0.3">
      <c r="A1906" s="4" t="s">
        <v>5178</v>
      </c>
      <c r="B1906">
        <v>3</v>
      </c>
      <c r="C1906">
        <v>2022</v>
      </c>
      <c r="D1906" t="s">
        <v>637</v>
      </c>
      <c r="E1906">
        <v>8</v>
      </c>
      <c r="F1906" t="s">
        <v>18485</v>
      </c>
      <c r="G1906" t="s">
        <v>18486</v>
      </c>
      <c r="H1906" s="4" t="s">
        <v>18487</v>
      </c>
      <c r="I1906" t="s">
        <v>71</v>
      </c>
      <c r="J1906" t="s">
        <v>10782</v>
      </c>
      <c r="K1906" t="s">
        <v>18488</v>
      </c>
    </row>
    <row r="1907" spans="1:11" ht="172.8" x14ac:dyDescent="0.3">
      <c r="A1907" s="4" t="s">
        <v>5179</v>
      </c>
      <c r="B1907">
        <v>3</v>
      </c>
      <c r="C1907">
        <v>2022</v>
      </c>
      <c r="D1907" t="s">
        <v>217</v>
      </c>
      <c r="E1907">
        <v>19</v>
      </c>
      <c r="F1907" t="s">
        <v>18489</v>
      </c>
      <c r="G1907" t="s">
        <v>18490</v>
      </c>
      <c r="H1907" s="4" t="s">
        <v>18491</v>
      </c>
      <c r="I1907" t="s">
        <v>71</v>
      </c>
      <c r="J1907" t="s">
        <v>10782</v>
      </c>
      <c r="K1907" t="s">
        <v>18492</v>
      </c>
    </row>
    <row r="1908" spans="1:11" ht="100.8" x14ac:dyDescent="0.3">
      <c r="A1908" s="4" t="s">
        <v>5180</v>
      </c>
      <c r="B1908">
        <v>3</v>
      </c>
      <c r="C1908">
        <v>2022</v>
      </c>
      <c r="D1908" t="s">
        <v>385</v>
      </c>
      <c r="E1908">
        <v>18</v>
      </c>
      <c r="F1908" t="s">
        <v>18493</v>
      </c>
      <c r="G1908" t="s">
        <v>18494</v>
      </c>
      <c r="H1908" s="4" t="s">
        <v>18495</v>
      </c>
      <c r="I1908" t="s">
        <v>71</v>
      </c>
      <c r="J1908" t="s">
        <v>10782</v>
      </c>
      <c r="K1908" t="s">
        <v>18496</v>
      </c>
    </row>
    <row r="1909" spans="1:11" ht="201.6" x14ac:dyDescent="0.3">
      <c r="A1909" s="4" t="s">
        <v>5181</v>
      </c>
      <c r="B1909">
        <v>3</v>
      </c>
      <c r="C1909">
        <v>2022</v>
      </c>
      <c r="D1909" t="s">
        <v>15626</v>
      </c>
      <c r="E1909">
        <v>4</v>
      </c>
      <c r="F1909" t="s">
        <v>18497</v>
      </c>
      <c r="G1909" t="s">
        <v>18498</v>
      </c>
      <c r="H1909" s="4" t="s">
        <v>18499</v>
      </c>
      <c r="I1909" t="s">
        <v>71</v>
      </c>
      <c r="J1909" t="s">
        <v>10782</v>
      </c>
      <c r="K1909" t="s">
        <v>18500</v>
      </c>
    </row>
    <row r="1910" spans="1:11" ht="201.6" x14ac:dyDescent="0.3">
      <c r="A1910" s="4" t="s">
        <v>3287</v>
      </c>
      <c r="B1910">
        <v>1</v>
      </c>
      <c r="C1910">
        <v>2022</v>
      </c>
      <c r="D1910" t="s">
        <v>217</v>
      </c>
      <c r="E1910">
        <v>6</v>
      </c>
      <c r="F1910" t="s">
        <v>18501</v>
      </c>
      <c r="G1910" t="s">
        <v>18502</v>
      </c>
      <c r="H1910" s="4" t="s">
        <v>18503</v>
      </c>
      <c r="I1910" t="s">
        <v>71</v>
      </c>
      <c r="J1910" t="s">
        <v>10782</v>
      </c>
      <c r="K1910" t="s">
        <v>18504</v>
      </c>
    </row>
    <row r="1911" spans="1:11" ht="201.6" x14ac:dyDescent="0.3">
      <c r="A1911" s="4" t="s">
        <v>5182</v>
      </c>
      <c r="B1911">
        <v>3</v>
      </c>
      <c r="C1911">
        <v>2022</v>
      </c>
      <c r="D1911" t="s">
        <v>11310</v>
      </c>
      <c r="E1911">
        <v>14</v>
      </c>
      <c r="F1911" t="s">
        <v>18505</v>
      </c>
      <c r="G1911" t="s">
        <v>18506</v>
      </c>
      <c r="H1911" s="4" t="s">
        <v>18507</v>
      </c>
      <c r="I1911" t="s">
        <v>71</v>
      </c>
      <c r="J1911" t="s">
        <v>10782</v>
      </c>
      <c r="K1911" t="s">
        <v>18508</v>
      </c>
    </row>
    <row r="1912" spans="1:11" ht="187.2" x14ac:dyDescent="0.3">
      <c r="A1912" s="4" t="s">
        <v>5183</v>
      </c>
      <c r="B1912">
        <v>3</v>
      </c>
      <c r="C1912">
        <v>2022</v>
      </c>
      <c r="D1912" t="s">
        <v>13054</v>
      </c>
      <c r="E1912">
        <v>0</v>
      </c>
      <c r="G1912" t="s">
        <v>18509</v>
      </c>
      <c r="H1912" s="4" t="s">
        <v>18510</v>
      </c>
      <c r="I1912" s="4" t="s">
        <v>71</v>
      </c>
      <c r="J1912" t="s">
        <v>10782</v>
      </c>
      <c r="K1912" t="s">
        <v>18511</v>
      </c>
    </row>
    <row r="1913" spans="1:11" ht="86.4" x14ac:dyDescent="0.3">
      <c r="A1913" s="4" t="s">
        <v>5184</v>
      </c>
      <c r="B1913">
        <v>3</v>
      </c>
      <c r="C1913">
        <v>2022</v>
      </c>
      <c r="D1913" t="s">
        <v>11294</v>
      </c>
      <c r="E1913">
        <v>7</v>
      </c>
      <c r="F1913" t="s">
        <v>18512</v>
      </c>
      <c r="G1913" t="s">
        <v>18513</v>
      </c>
      <c r="H1913" s="4" t="s">
        <v>18514</v>
      </c>
    </row>
    <row r="1914" spans="1:11" ht="86.4" x14ac:dyDescent="0.3">
      <c r="A1914" s="4" t="s">
        <v>5185</v>
      </c>
      <c r="B1914">
        <v>3</v>
      </c>
      <c r="C1914">
        <v>2022</v>
      </c>
      <c r="D1914" t="s">
        <v>1002</v>
      </c>
      <c r="E1914">
        <v>11</v>
      </c>
      <c r="F1914" t="s">
        <v>18515</v>
      </c>
      <c r="G1914" t="s">
        <v>18516</v>
      </c>
      <c r="H1914" s="4" t="s">
        <v>18517</v>
      </c>
    </row>
    <row r="1915" spans="1:11" ht="158.4" x14ac:dyDescent="0.3">
      <c r="A1915" s="4" t="s">
        <v>5186</v>
      </c>
      <c r="B1915">
        <v>3</v>
      </c>
      <c r="C1915">
        <v>2022</v>
      </c>
      <c r="D1915" t="s">
        <v>190</v>
      </c>
      <c r="E1915">
        <v>10</v>
      </c>
      <c r="F1915" t="s">
        <v>18518</v>
      </c>
      <c r="G1915" t="s">
        <v>18519</v>
      </c>
      <c r="H1915" s="4" t="s">
        <v>18520</v>
      </c>
      <c r="I1915" t="s">
        <v>71</v>
      </c>
      <c r="J1915" t="s">
        <v>10782</v>
      </c>
      <c r="K1915" t="s">
        <v>18521</v>
      </c>
    </row>
    <row r="1916" spans="1:11" ht="158.4" x14ac:dyDescent="0.3">
      <c r="A1916" s="4" t="s">
        <v>3288</v>
      </c>
      <c r="B1916">
        <v>1</v>
      </c>
      <c r="C1916">
        <v>2022</v>
      </c>
      <c r="D1916" t="s">
        <v>1570</v>
      </c>
      <c r="E1916">
        <v>1</v>
      </c>
      <c r="F1916" t="s">
        <v>18522</v>
      </c>
      <c r="G1916" t="s">
        <v>18523</v>
      </c>
      <c r="H1916" s="4" t="s">
        <v>18524</v>
      </c>
    </row>
    <row r="1917" spans="1:11" ht="43.2" x14ac:dyDescent="0.3">
      <c r="A1917" s="4" t="s">
        <v>5187</v>
      </c>
      <c r="B1917">
        <v>3</v>
      </c>
      <c r="C1917">
        <v>2022</v>
      </c>
      <c r="D1917" t="s">
        <v>892</v>
      </c>
      <c r="E1917">
        <v>5</v>
      </c>
      <c r="F1917" t="s">
        <v>18525</v>
      </c>
      <c r="G1917" t="s">
        <v>18526</v>
      </c>
      <c r="H1917" s="4" t="s">
        <v>18527</v>
      </c>
    </row>
    <row r="1918" spans="1:11" ht="187.2" x14ac:dyDescent="0.3">
      <c r="A1918" s="4" t="s">
        <v>5188</v>
      </c>
      <c r="B1918">
        <v>3</v>
      </c>
      <c r="C1918">
        <v>2022</v>
      </c>
      <c r="D1918" t="s">
        <v>679</v>
      </c>
      <c r="E1918">
        <v>57</v>
      </c>
      <c r="F1918" t="s">
        <v>18528</v>
      </c>
      <c r="G1918" t="s">
        <v>18529</v>
      </c>
      <c r="H1918" s="4" t="s">
        <v>18530</v>
      </c>
      <c r="I1918" t="s">
        <v>71</v>
      </c>
      <c r="J1918" t="s">
        <v>10782</v>
      </c>
      <c r="K1918" t="s">
        <v>18531</v>
      </c>
    </row>
    <row r="1919" spans="1:11" ht="172.8" x14ac:dyDescent="0.3">
      <c r="A1919" s="4" t="s">
        <v>5189</v>
      </c>
      <c r="B1919">
        <v>3</v>
      </c>
      <c r="C1919">
        <v>2022</v>
      </c>
      <c r="D1919" t="s">
        <v>2742</v>
      </c>
      <c r="E1919">
        <v>20</v>
      </c>
      <c r="F1919" t="s">
        <v>18532</v>
      </c>
      <c r="G1919" t="s">
        <v>18533</v>
      </c>
      <c r="H1919" s="4" t="s">
        <v>18534</v>
      </c>
      <c r="I1919" t="s">
        <v>71</v>
      </c>
      <c r="J1919" t="s">
        <v>10782</v>
      </c>
      <c r="K1919" t="s">
        <v>18535</v>
      </c>
    </row>
    <row r="1920" spans="1:11" ht="144" x14ac:dyDescent="0.3">
      <c r="A1920" s="4" t="s">
        <v>5190</v>
      </c>
      <c r="B1920">
        <v>3</v>
      </c>
      <c r="C1920">
        <v>2022</v>
      </c>
      <c r="D1920" t="s">
        <v>11556</v>
      </c>
      <c r="E1920">
        <v>46</v>
      </c>
      <c r="F1920" t="s">
        <v>18536</v>
      </c>
      <c r="G1920" t="s">
        <v>18537</v>
      </c>
      <c r="H1920" s="4" t="s">
        <v>18538</v>
      </c>
      <c r="I1920" t="s">
        <v>71</v>
      </c>
      <c r="J1920" t="s">
        <v>10782</v>
      </c>
      <c r="K1920" t="s">
        <v>18539</v>
      </c>
    </row>
    <row r="1921" spans="1:11" ht="172.8" x14ac:dyDescent="0.3">
      <c r="A1921" s="4" t="s">
        <v>5191</v>
      </c>
      <c r="B1921">
        <v>3</v>
      </c>
      <c r="C1921">
        <v>2022</v>
      </c>
      <c r="D1921" t="s">
        <v>2853</v>
      </c>
      <c r="E1921">
        <v>11</v>
      </c>
      <c r="F1921" t="s">
        <v>18540</v>
      </c>
      <c r="G1921" t="s">
        <v>18541</v>
      </c>
      <c r="H1921" s="4" t="s">
        <v>18542</v>
      </c>
      <c r="I1921" t="s">
        <v>71</v>
      </c>
      <c r="J1921" t="s">
        <v>10782</v>
      </c>
      <c r="K1921" t="s">
        <v>18543</v>
      </c>
    </row>
    <row r="1922" spans="1:11" ht="172.8" x14ac:dyDescent="0.3">
      <c r="A1922" s="4" t="s">
        <v>5192</v>
      </c>
      <c r="B1922">
        <v>3</v>
      </c>
      <c r="C1922">
        <v>2022</v>
      </c>
      <c r="D1922" t="s">
        <v>17610</v>
      </c>
      <c r="E1922">
        <v>8</v>
      </c>
      <c r="F1922" t="s">
        <v>18544</v>
      </c>
      <c r="G1922" t="s">
        <v>18545</v>
      </c>
      <c r="H1922" s="4" t="s">
        <v>18546</v>
      </c>
      <c r="I1922" t="s">
        <v>71</v>
      </c>
      <c r="J1922" t="s">
        <v>10782</v>
      </c>
      <c r="K1922" t="s">
        <v>18547</v>
      </c>
    </row>
    <row r="1923" spans="1:11" ht="187.2" x14ac:dyDescent="0.3">
      <c r="A1923" s="4" t="s">
        <v>5193</v>
      </c>
      <c r="B1923">
        <v>3</v>
      </c>
      <c r="C1923">
        <v>2022</v>
      </c>
      <c r="D1923" t="s">
        <v>11728</v>
      </c>
      <c r="E1923">
        <v>8</v>
      </c>
      <c r="F1923" t="s">
        <v>18548</v>
      </c>
      <c r="G1923" t="s">
        <v>18549</v>
      </c>
      <c r="H1923" s="4" t="s">
        <v>18550</v>
      </c>
      <c r="I1923" t="s">
        <v>71</v>
      </c>
      <c r="J1923" t="s">
        <v>10782</v>
      </c>
      <c r="K1923" t="s">
        <v>18551</v>
      </c>
    </row>
    <row r="1924" spans="1:11" ht="216" x14ac:dyDescent="0.3">
      <c r="A1924" s="4" t="s">
        <v>5194</v>
      </c>
      <c r="B1924">
        <v>3</v>
      </c>
      <c r="C1924">
        <v>2022</v>
      </c>
      <c r="D1924" t="s">
        <v>1570</v>
      </c>
      <c r="E1924">
        <v>34</v>
      </c>
      <c r="F1924" t="s">
        <v>18552</v>
      </c>
      <c r="G1924" t="s">
        <v>18553</v>
      </c>
      <c r="H1924" s="4" t="s">
        <v>18554</v>
      </c>
      <c r="I1924" t="s">
        <v>10823</v>
      </c>
      <c r="J1924" t="s">
        <v>10782</v>
      </c>
      <c r="K1924" t="s">
        <v>18555</v>
      </c>
    </row>
    <row r="1925" spans="1:11" ht="158.4" x14ac:dyDescent="0.3">
      <c r="A1925" s="4" t="s">
        <v>5195</v>
      </c>
      <c r="B1925">
        <v>3</v>
      </c>
      <c r="C1925">
        <v>2022</v>
      </c>
      <c r="D1925" t="s">
        <v>1002</v>
      </c>
      <c r="E1925">
        <v>32</v>
      </c>
      <c r="F1925" t="s">
        <v>18556</v>
      </c>
      <c r="G1925" t="s">
        <v>18557</v>
      </c>
      <c r="H1925" s="4" t="s">
        <v>18558</v>
      </c>
      <c r="I1925" t="s">
        <v>71</v>
      </c>
      <c r="J1925" t="s">
        <v>10782</v>
      </c>
      <c r="K1925" t="s">
        <v>18559</v>
      </c>
    </row>
    <row r="1926" spans="1:11" ht="144" x14ac:dyDescent="0.3">
      <c r="A1926" s="4" t="s">
        <v>3289</v>
      </c>
      <c r="B1926">
        <v>1</v>
      </c>
      <c r="C1926">
        <v>2022</v>
      </c>
      <c r="D1926" t="s">
        <v>550</v>
      </c>
      <c r="E1926">
        <v>13</v>
      </c>
      <c r="F1926" t="s">
        <v>18560</v>
      </c>
      <c r="G1926" t="s">
        <v>18561</v>
      </c>
      <c r="H1926" s="4" t="s">
        <v>18562</v>
      </c>
      <c r="I1926" t="s">
        <v>71</v>
      </c>
      <c r="J1926" t="s">
        <v>10782</v>
      </c>
      <c r="K1926" t="s">
        <v>18563</v>
      </c>
    </row>
    <row r="1927" spans="1:11" ht="201.6" x14ac:dyDescent="0.3">
      <c r="A1927" s="4" t="s">
        <v>5196</v>
      </c>
      <c r="B1927">
        <v>3</v>
      </c>
      <c r="C1927">
        <v>2022</v>
      </c>
      <c r="D1927" t="s">
        <v>11783</v>
      </c>
      <c r="E1927">
        <v>36</v>
      </c>
      <c r="F1927" t="s">
        <v>18564</v>
      </c>
      <c r="G1927" t="s">
        <v>18565</v>
      </c>
      <c r="H1927" s="4" t="s">
        <v>18566</v>
      </c>
      <c r="I1927" t="s">
        <v>71</v>
      </c>
      <c r="J1927" t="s">
        <v>10782</v>
      </c>
      <c r="K1927" t="s">
        <v>18567</v>
      </c>
    </row>
    <row r="1928" spans="1:11" ht="187.2" x14ac:dyDescent="0.3">
      <c r="A1928" s="4" t="s">
        <v>5197</v>
      </c>
      <c r="B1928">
        <v>3</v>
      </c>
      <c r="C1928">
        <v>2022</v>
      </c>
      <c r="D1928" t="s">
        <v>329</v>
      </c>
      <c r="E1928">
        <v>14</v>
      </c>
      <c r="F1928" t="s">
        <v>18568</v>
      </c>
      <c r="G1928" t="s">
        <v>18569</v>
      </c>
      <c r="H1928" s="4" t="s">
        <v>18570</v>
      </c>
      <c r="I1928" t="s">
        <v>71</v>
      </c>
      <c r="J1928" t="s">
        <v>10782</v>
      </c>
      <c r="K1928" t="s">
        <v>18571</v>
      </c>
    </row>
    <row r="1929" spans="1:11" ht="216" x14ac:dyDescent="0.3">
      <c r="A1929" s="4" t="s">
        <v>5198</v>
      </c>
      <c r="B1929">
        <v>3</v>
      </c>
      <c r="C1929">
        <v>2022</v>
      </c>
      <c r="D1929" t="s">
        <v>12373</v>
      </c>
      <c r="E1929">
        <v>6</v>
      </c>
      <c r="F1929" t="s">
        <v>18572</v>
      </c>
      <c r="G1929" t="s">
        <v>18573</v>
      </c>
      <c r="H1929" s="4" t="s">
        <v>18574</v>
      </c>
      <c r="I1929" t="s">
        <v>71</v>
      </c>
      <c r="J1929" t="s">
        <v>10782</v>
      </c>
      <c r="K1929" t="s">
        <v>18575</v>
      </c>
    </row>
    <row r="1930" spans="1:11" ht="28.8" x14ac:dyDescent="0.3">
      <c r="A1930" s="4" t="s">
        <v>5199</v>
      </c>
      <c r="B1930">
        <v>3</v>
      </c>
      <c r="C1930">
        <v>2022</v>
      </c>
      <c r="D1930" t="s">
        <v>15544</v>
      </c>
      <c r="E1930">
        <v>36</v>
      </c>
      <c r="F1930" t="s">
        <v>18576</v>
      </c>
      <c r="G1930" t="s">
        <v>18577</v>
      </c>
      <c r="H1930" s="4" t="s">
        <v>18578</v>
      </c>
    </row>
    <row r="1931" spans="1:11" ht="201.6" x14ac:dyDescent="0.3">
      <c r="A1931" s="4" t="s">
        <v>5200</v>
      </c>
      <c r="B1931">
        <v>3</v>
      </c>
      <c r="C1931">
        <v>2022</v>
      </c>
      <c r="D1931" t="s">
        <v>405</v>
      </c>
      <c r="E1931">
        <v>46</v>
      </c>
      <c r="F1931" t="s">
        <v>18579</v>
      </c>
      <c r="G1931" t="s">
        <v>18580</v>
      </c>
      <c r="H1931" s="4" t="s">
        <v>18581</v>
      </c>
      <c r="I1931" t="s">
        <v>10823</v>
      </c>
      <c r="J1931" t="s">
        <v>10782</v>
      </c>
      <c r="K1931" t="s">
        <v>18582</v>
      </c>
    </row>
    <row r="1932" spans="1:11" ht="187.2" x14ac:dyDescent="0.3">
      <c r="A1932" s="4" t="s">
        <v>5201</v>
      </c>
      <c r="B1932">
        <v>3</v>
      </c>
      <c r="C1932">
        <v>2022</v>
      </c>
      <c r="D1932" t="s">
        <v>2853</v>
      </c>
      <c r="E1932">
        <v>11</v>
      </c>
      <c r="F1932" t="s">
        <v>18583</v>
      </c>
      <c r="G1932" t="s">
        <v>18584</v>
      </c>
      <c r="H1932" s="4" t="s">
        <v>18585</v>
      </c>
      <c r="I1932" t="s">
        <v>71</v>
      </c>
      <c r="J1932" t="s">
        <v>10782</v>
      </c>
      <c r="K1932" t="s">
        <v>18586</v>
      </c>
    </row>
    <row r="1933" spans="1:11" ht="201.6" x14ac:dyDescent="0.3">
      <c r="A1933" s="4" t="s">
        <v>5202</v>
      </c>
      <c r="B1933">
        <v>3</v>
      </c>
      <c r="C1933">
        <v>2022</v>
      </c>
      <c r="D1933" t="s">
        <v>17920</v>
      </c>
      <c r="E1933">
        <v>4</v>
      </c>
      <c r="F1933" t="s">
        <v>18587</v>
      </c>
      <c r="G1933" t="s">
        <v>18588</v>
      </c>
      <c r="H1933" s="4" t="s">
        <v>18589</v>
      </c>
      <c r="I1933" t="s">
        <v>71</v>
      </c>
      <c r="J1933" t="s">
        <v>10782</v>
      </c>
      <c r="K1933" t="s">
        <v>18590</v>
      </c>
    </row>
    <row r="1934" spans="1:11" ht="158.4" x14ac:dyDescent="0.3">
      <c r="A1934" s="4" t="s">
        <v>3290</v>
      </c>
      <c r="B1934">
        <v>1</v>
      </c>
      <c r="C1934">
        <v>2022</v>
      </c>
      <c r="D1934" t="s">
        <v>622</v>
      </c>
      <c r="E1934">
        <v>6</v>
      </c>
      <c r="F1934" t="s">
        <v>18591</v>
      </c>
      <c r="G1934" t="s">
        <v>18592</v>
      </c>
      <c r="H1934" s="4" t="s">
        <v>18593</v>
      </c>
      <c r="I1934" t="s">
        <v>71</v>
      </c>
      <c r="J1934" t="s">
        <v>10782</v>
      </c>
      <c r="K1934" t="s">
        <v>18594</v>
      </c>
    </row>
    <row r="1935" spans="1:11" ht="72" x14ac:dyDescent="0.3">
      <c r="A1935" s="4" t="s">
        <v>5203</v>
      </c>
      <c r="B1935">
        <v>3</v>
      </c>
      <c r="C1935">
        <v>2022</v>
      </c>
      <c r="D1935" t="s">
        <v>637</v>
      </c>
      <c r="E1935">
        <v>8</v>
      </c>
      <c r="F1935" t="s">
        <v>18595</v>
      </c>
      <c r="G1935" t="s">
        <v>18596</v>
      </c>
      <c r="H1935" s="4" t="s">
        <v>18597</v>
      </c>
    </row>
    <row r="1936" spans="1:11" ht="187.2" x14ac:dyDescent="0.3">
      <c r="A1936" s="4" t="s">
        <v>3530</v>
      </c>
      <c r="B1936">
        <v>2</v>
      </c>
      <c r="C1936">
        <v>2022</v>
      </c>
      <c r="D1936" t="s">
        <v>2893</v>
      </c>
      <c r="E1936">
        <v>21</v>
      </c>
      <c r="F1936" t="s">
        <v>18598</v>
      </c>
      <c r="G1936" t="s">
        <v>18599</v>
      </c>
      <c r="H1936" s="4" t="s">
        <v>18600</v>
      </c>
      <c r="I1936" t="s">
        <v>71</v>
      </c>
      <c r="J1936" t="s">
        <v>10782</v>
      </c>
      <c r="K1936" t="s">
        <v>18601</v>
      </c>
    </row>
    <row r="1937" spans="1:11" ht="172.8" x14ac:dyDescent="0.3">
      <c r="A1937" s="4" t="s">
        <v>5204</v>
      </c>
      <c r="B1937">
        <v>3</v>
      </c>
      <c r="C1937">
        <v>2022</v>
      </c>
      <c r="D1937" t="s">
        <v>1802</v>
      </c>
      <c r="E1937">
        <v>7</v>
      </c>
      <c r="F1937" t="s">
        <v>18602</v>
      </c>
      <c r="G1937" t="s">
        <v>18603</v>
      </c>
      <c r="H1937" s="4" t="s">
        <v>18604</v>
      </c>
      <c r="I1937" t="s">
        <v>71</v>
      </c>
      <c r="J1937" t="s">
        <v>10782</v>
      </c>
      <c r="K1937" t="s">
        <v>18605</v>
      </c>
    </row>
    <row r="1938" spans="1:11" ht="316.8" x14ac:dyDescent="0.3">
      <c r="A1938" s="4" t="s">
        <v>5205</v>
      </c>
      <c r="B1938">
        <v>3</v>
      </c>
      <c r="C1938">
        <v>2022</v>
      </c>
      <c r="D1938" t="s">
        <v>329</v>
      </c>
      <c r="E1938">
        <v>12</v>
      </c>
      <c r="F1938" t="s">
        <v>18606</v>
      </c>
      <c r="G1938" t="s">
        <v>18607</v>
      </c>
      <c r="H1938" s="4" t="s">
        <v>18608</v>
      </c>
      <c r="I1938" t="s">
        <v>71</v>
      </c>
      <c r="J1938" t="s">
        <v>10782</v>
      </c>
      <c r="K1938" t="s">
        <v>18609</v>
      </c>
    </row>
    <row r="1939" spans="1:11" ht="158.4" x14ac:dyDescent="0.3">
      <c r="A1939" s="4" t="s">
        <v>5206</v>
      </c>
      <c r="B1939">
        <v>3</v>
      </c>
      <c r="C1939">
        <v>2022</v>
      </c>
      <c r="D1939" t="s">
        <v>11159</v>
      </c>
      <c r="E1939">
        <v>4</v>
      </c>
      <c r="F1939" t="s">
        <v>18610</v>
      </c>
      <c r="G1939" t="s">
        <v>18611</v>
      </c>
      <c r="H1939" s="4" t="s">
        <v>18612</v>
      </c>
      <c r="I1939" t="s">
        <v>71</v>
      </c>
      <c r="J1939" t="s">
        <v>10782</v>
      </c>
      <c r="K1939" t="s">
        <v>18613</v>
      </c>
    </row>
    <row r="1940" spans="1:11" ht="216" x14ac:dyDescent="0.3">
      <c r="A1940" s="4" t="s">
        <v>5207</v>
      </c>
      <c r="B1940">
        <v>3</v>
      </c>
      <c r="C1940">
        <v>2022</v>
      </c>
      <c r="D1940" t="s">
        <v>83</v>
      </c>
      <c r="E1940">
        <v>6</v>
      </c>
      <c r="F1940" t="s">
        <v>18614</v>
      </c>
      <c r="G1940" t="s">
        <v>18615</v>
      </c>
      <c r="H1940" s="4" t="s">
        <v>18616</v>
      </c>
      <c r="I1940" t="s">
        <v>71</v>
      </c>
      <c r="J1940" t="s">
        <v>10782</v>
      </c>
      <c r="K1940" t="s">
        <v>18617</v>
      </c>
    </row>
    <row r="1941" spans="1:11" ht="172.8" x14ac:dyDescent="0.3">
      <c r="A1941" s="4" t="s">
        <v>5208</v>
      </c>
      <c r="B1941">
        <v>3</v>
      </c>
      <c r="C1941">
        <v>2022</v>
      </c>
      <c r="D1941" t="s">
        <v>13721</v>
      </c>
      <c r="E1941">
        <v>1</v>
      </c>
      <c r="F1941" t="s">
        <v>18618</v>
      </c>
      <c r="G1941" t="s">
        <v>18619</v>
      </c>
      <c r="H1941" s="4" t="s">
        <v>18620</v>
      </c>
      <c r="I1941" t="s">
        <v>71</v>
      </c>
      <c r="J1941" t="s">
        <v>10782</v>
      </c>
      <c r="K1941" t="s">
        <v>18621</v>
      </c>
    </row>
    <row r="1942" spans="1:11" ht="115.2" x14ac:dyDescent="0.3">
      <c r="A1942" s="4" t="s">
        <v>5209</v>
      </c>
      <c r="B1942">
        <v>3</v>
      </c>
      <c r="C1942">
        <v>2022</v>
      </c>
      <c r="D1942" t="s">
        <v>217</v>
      </c>
      <c r="E1942">
        <v>6</v>
      </c>
      <c r="F1942" t="s">
        <v>18622</v>
      </c>
      <c r="G1942" t="s">
        <v>18623</v>
      </c>
      <c r="H1942" s="4" t="s">
        <v>18624</v>
      </c>
      <c r="I1942" t="s">
        <v>71</v>
      </c>
      <c r="J1942" t="s">
        <v>10782</v>
      </c>
      <c r="K1942" t="s">
        <v>18625</v>
      </c>
    </row>
    <row r="1943" spans="1:11" ht="100.8" x14ac:dyDescent="0.3">
      <c r="A1943" s="4" t="s">
        <v>5210</v>
      </c>
      <c r="B1943">
        <v>3</v>
      </c>
      <c r="C1943">
        <v>2022</v>
      </c>
      <c r="D1943" t="s">
        <v>637</v>
      </c>
      <c r="E1943">
        <v>4</v>
      </c>
      <c r="F1943" t="s">
        <v>18626</v>
      </c>
      <c r="G1943" t="s">
        <v>18627</v>
      </c>
      <c r="H1943" s="4" t="s">
        <v>18628</v>
      </c>
    </row>
    <row r="1944" spans="1:11" ht="187.2" x14ac:dyDescent="0.3">
      <c r="A1944" s="4" t="s">
        <v>5211</v>
      </c>
      <c r="B1944">
        <v>3</v>
      </c>
      <c r="C1944">
        <v>2022</v>
      </c>
      <c r="D1944" t="s">
        <v>10825</v>
      </c>
      <c r="E1944">
        <v>10</v>
      </c>
      <c r="F1944" t="s">
        <v>18629</v>
      </c>
      <c r="G1944" t="s">
        <v>18630</v>
      </c>
      <c r="H1944" s="4" t="s">
        <v>18631</v>
      </c>
      <c r="I1944" t="s">
        <v>71</v>
      </c>
      <c r="J1944" t="s">
        <v>10782</v>
      </c>
      <c r="K1944" t="s">
        <v>18632</v>
      </c>
    </row>
    <row r="1945" spans="1:11" ht="144" x14ac:dyDescent="0.3">
      <c r="A1945" s="4" t="s">
        <v>5212</v>
      </c>
      <c r="B1945">
        <v>3</v>
      </c>
      <c r="C1945">
        <v>2022</v>
      </c>
      <c r="D1945" t="s">
        <v>15454</v>
      </c>
      <c r="E1945">
        <v>12</v>
      </c>
      <c r="F1945" t="s">
        <v>18633</v>
      </c>
      <c r="G1945" t="s">
        <v>18634</v>
      </c>
      <c r="H1945" s="4" t="s">
        <v>18635</v>
      </c>
      <c r="I1945" t="s">
        <v>71</v>
      </c>
      <c r="J1945" t="s">
        <v>10782</v>
      </c>
      <c r="K1945" t="s">
        <v>18636</v>
      </c>
    </row>
    <row r="1946" spans="1:11" ht="57.6" x14ac:dyDescent="0.3">
      <c r="A1946" s="4" t="s">
        <v>5213</v>
      </c>
      <c r="B1946">
        <v>3</v>
      </c>
      <c r="C1946">
        <v>2022</v>
      </c>
      <c r="D1946" t="s">
        <v>12642</v>
      </c>
      <c r="E1946">
        <v>2</v>
      </c>
      <c r="F1946" t="s">
        <v>18637</v>
      </c>
      <c r="G1946" t="s">
        <v>18638</v>
      </c>
      <c r="H1946" s="4" t="s">
        <v>18639</v>
      </c>
    </row>
    <row r="1947" spans="1:11" ht="158.4" x14ac:dyDescent="0.3">
      <c r="A1947" s="4" t="s">
        <v>5214</v>
      </c>
      <c r="B1947">
        <v>3</v>
      </c>
      <c r="C1947">
        <v>2022</v>
      </c>
      <c r="D1947" t="s">
        <v>217</v>
      </c>
      <c r="E1947">
        <v>18</v>
      </c>
      <c r="F1947" t="s">
        <v>18640</v>
      </c>
      <c r="G1947" t="s">
        <v>18641</v>
      </c>
      <c r="H1947" s="4" t="s">
        <v>18642</v>
      </c>
      <c r="I1947" t="s">
        <v>71</v>
      </c>
      <c r="J1947" t="s">
        <v>10782</v>
      </c>
      <c r="K1947" t="s">
        <v>18643</v>
      </c>
    </row>
    <row r="1948" spans="1:11" ht="288" x14ac:dyDescent="0.3">
      <c r="A1948" s="4" t="s">
        <v>5215</v>
      </c>
      <c r="B1948">
        <v>3</v>
      </c>
      <c r="C1948">
        <v>2022</v>
      </c>
      <c r="D1948" t="s">
        <v>1125</v>
      </c>
      <c r="E1948">
        <v>12</v>
      </c>
      <c r="F1948" t="s">
        <v>18644</v>
      </c>
      <c r="G1948" t="s">
        <v>18645</v>
      </c>
      <c r="H1948" s="4" t="s">
        <v>18646</v>
      </c>
      <c r="I1948" t="s">
        <v>10945</v>
      </c>
      <c r="J1948" t="s">
        <v>10782</v>
      </c>
      <c r="K1948" t="s">
        <v>18647</v>
      </c>
    </row>
    <row r="1949" spans="1:11" ht="187.2" x14ac:dyDescent="0.3">
      <c r="A1949" s="4" t="s">
        <v>5216</v>
      </c>
      <c r="B1949">
        <v>3</v>
      </c>
      <c r="C1949">
        <v>2022</v>
      </c>
      <c r="D1949" t="s">
        <v>11159</v>
      </c>
      <c r="E1949">
        <v>4</v>
      </c>
      <c r="F1949" t="s">
        <v>18648</v>
      </c>
      <c r="G1949" t="s">
        <v>18649</v>
      </c>
      <c r="H1949" s="4" t="s">
        <v>18650</v>
      </c>
      <c r="I1949" t="s">
        <v>71</v>
      </c>
      <c r="J1949" t="s">
        <v>10782</v>
      </c>
      <c r="K1949" t="s">
        <v>18651</v>
      </c>
    </row>
    <row r="1950" spans="1:11" ht="144" x14ac:dyDescent="0.3">
      <c r="A1950" s="4" t="s">
        <v>5217</v>
      </c>
      <c r="B1950">
        <v>3</v>
      </c>
      <c r="C1950">
        <v>2022</v>
      </c>
      <c r="D1950" t="s">
        <v>15626</v>
      </c>
      <c r="E1950">
        <v>4</v>
      </c>
      <c r="F1950" t="s">
        <v>18652</v>
      </c>
      <c r="G1950" t="s">
        <v>18653</v>
      </c>
      <c r="H1950" s="4" t="s">
        <v>18654</v>
      </c>
      <c r="I1950" t="s">
        <v>71</v>
      </c>
      <c r="J1950" t="s">
        <v>10782</v>
      </c>
      <c r="K1950" t="s">
        <v>18655</v>
      </c>
    </row>
    <row r="1951" spans="1:11" ht="115.2" x14ac:dyDescent="0.3">
      <c r="A1951" s="4" t="s">
        <v>5218</v>
      </c>
      <c r="B1951">
        <v>3</v>
      </c>
      <c r="C1951">
        <v>2022</v>
      </c>
      <c r="D1951" t="s">
        <v>18656</v>
      </c>
      <c r="E1951">
        <v>42</v>
      </c>
      <c r="F1951" t="s">
        <v>18657</v>
      </c>
      <c r="G1951" t="s">
        <v>18658</v>
      </c>
      <c r="H1951" s="4" t="s">
        <v>18659</v>
      </c>
    </row>
    <row r="1952" spans="1:11" ht="158.4" x14ac:dyDescent="0.3">
      <c r="A1952" s="4" t="s">
        <v>5219</v>
      </c>
      <c r="B1952">
        <v>3</v>
      </c>
      <c r="C1952">
        <v>2022</v>
      </c>
      <c r="D1952" t="s">
        <v>11556</v>
      </c>
      <c r="E1952">
        <v>12</v>
      </c>
      <c r="F1952" t="s">
        <v>18660</v>
      </c>
      <c r="G1952" t="s">
        <v>18661</v>
      </c>
      <c r="H1952" s="4" t="s">
        <v>18662</v>
      </c>
      <c r="I1952" t="s">
        <v>71</v>
      </c>
      <c r="J1952" t="s">
        <v>10782</v>
      </c>
      <c r="K1952" t="s">
        <v>18663</v>
      </c>
    </row>
    <row r="1953" spans="1:11" ht="158.4" x14ac:dyDescent="0.3">
      <c r="A1953" s="4" t="s">
        <v>5220</v>
      </c>
      <c r="B1953">
        <v>3</v>
      </c>
      <c r="C1953">
        <v>2022</v>
      </c>
      <c r="D1953" t="s">
        <v>18664</v>
      </c>
      <c r="E1953">
        <v>6</v>
      </c>
      <c r="F1953" t="s">
        <v>18665</v>
      </c>
      <c r="G1953" t="s">
        <v>18666</v>
      </c>
      <c r="H1953" s="4" t="s">
        <v>18667</v>
      </c>
      <c r="I1953" t="s">
        <v>71</v>
      </c>
      <c r="J1953" t="s">
        <v>10782</v>
      </c>
      <c r="K1953" t="s">
        <v>18668</v>
      </c>
    </row>
    <row r="1954" spans="1:11" ht="216" x14ac:dyDescent="0.3">
      <c r="A1954" s="4" t="s">
        <v>5221</v>
      </c>
      <c r="B1954">
        <v>3</v>
      </c>
      <c r="C1954">
        <v>2022</v>
      </c>
      <c r="D1954" t="s">
        <v>3026</v>
      </c>
      <c r="E1954">
        <v>1</v>
      </c>
      <c r="F1954" t="s">
        <v>18669</v>
      </c>
      <c r="G1954" t="s">
        <v>18670</v>
      </c>
      <c r="H1954" s="4" t="s">
        <v>18671</v>
      </c>
      <c r="I1954" t="s">
        <v>71</v>
      </c>
      <c r="J1954" t="s">
        <v>10782</v>
      </c>
      <c r="K1954" t="s">
        <v>18672</v>
      </c>
    </row>
    <row r="1955" spans="1:11" ht="144" x14ac:dyDescent="0.3">
      <c r="A1955" s="4" t="s">
        <v>5222</v>
      </c>
      <c r="B1955">
        <v>3</v>
      </c>
      <c r="C1955">
        <v>2022</v>
      </c>
      <c r="D1955" t="s">
        <v>637</v>
      </c>
      <c r="E1955">
        <v>2</v>
      </c>
      <c r="F1955" t="s">
        <v>18673</v>
      </c>
      <c r="G1955" t="s">
        <v>18674</v>
      </c>
      <c r="H1955" s="4" t="s">
        <v>18675</v>
      </c>
      <c r="I1955" t="s">
        <v>71</v>
      </c>
      <c r="J1955" t="s">
        <v>10782</v>
      </c>
      <c r="K1955" t="s">
        <v>18676</v>
      </c>
    </row>
    <row r="1956" spans="1:11" ht="259.2" x14ac:dyDescent="0.3">
      <c r="A1956" s="4" t="s">
        <v>5223</v>
      </c>
      <c r="B1956">
        <v>3</v>
      </c>
      <c r="C1956">
        <v>2022</v>
      </c>
      <c r="D1956" t="s">
        <v>892</v>
      </c>
      <c r="E1956">
        <v>32</v>
      </c>
      <c r="F1956" t="s">
        <v>18677</v>
      </c>
      <c r="G1956" t="s">
        <v>18678</v>
      </c>
      <c r="H1956" s="4" t="s">
        <v>18679</v>
      </c>
      <c r="I1956" t="s">
        <v>10823</v>
      </c>
      <c r="J1956" t="s">
        <v>10782</v>
      </c>
      <c r="K1956" t="s">
        <v>18680</v>
      </c>
    </row>
    <row r="1957" spans="1:11" x14ac:dyDescent="0.3">
      <c r="A1957" s="4" t="s">
        <v>5224</v>
      </c>
      <c r="B1957">
        <v>3</v>
      </c>
      <c r="C1957">
        <v>2022</v>
      </c>
      <c r="D1957" t="s">
        <v>2986</v>
      </c>
      <c r="E1957">
        <v>7</v>
      </c>
      <c r="F1957" t="s">
        <v>18681</v>
      </c>
      <c r="G1957" t="s">
        <v>18682</v>
      </c>
      <c r="H1957" s="4" t="s">
        <v>17311</v>
      </c>
      <c r="I1957" t="s">
        <v>71</v>
      </c>
      <c r="J1957" t="s">
        <v>10782</v>
      </c>
      <c r="K1957" t="s">
        <v>18683</v>
      </c>
    </row>
    <row r="1958" spans="1:11" ht="144" x14ac:dyDescent="0.3">
      <c r="A1958" s="4" t="s">
        <v>3291</v>
      </c>
      <c r="B1958">
        <v>1</v>
      </c>
      <c r="C1958">
        <v>2022</v>
      </c>
      <c r="D1958" t="s">
        <v>190</v>
      </c>
      <c r="E1958">
        <v>8</v>
      </c>
      <c r="F1958" t="s">
        <v>18684</v>
      </c>
      <c r="G1958" t="s">
        <v>18685</v>
      </c>
      <c r="H1958" s="4" t="s">
        <v>18686</v>
      </c>
      <c r="I1958" t="s">
        <v>71</v>
      </c>
      <c r="J1958" t="s">
        <v>10782</v>
      </c>
      <c r="K1958" t="s">
        <v>18687</v>
      </c>
    </row>
    <row r="1959" spans="1:11" ht="201.6" x14ac:dyDescent="0.3">
      <c r="A1959" s="4" t="s">
        <v>5225</v>
      </c>
      <c r="B1959">
        <v>3</v>
      </c>
      <c r="C1959">
        <v>2022</v>
      </c>
      <c r="D1959" t="s">
        <v>80</v>
      </c>
      <c r="E1959">
        <v>12</v>
      </c>
      <c r="F1959" t="s">
        <v>18688</v>
      </c>
      <c r="G1959" t="s">
        <v>18689</v>
      </c>
      <c r="H1959" s="4" t="s">
        <v>18690</v>
      </c>
      <c r="I1959" t="s">
        <v>71</v>
      </c>
      <c r="J1959" t="s">
        <v>10782</v>
      </c>
      <c r="K1959" t="s">
        <v>18691</v>
      </c>
    </row>
    <row r="1960" spans="1:11" ht="187.2" x14ac:dyDescent="0.3">
      <c r="A1960" s="4" t="s">
        <v>5226</v>
      </c>
      <c r="B1960">
        <v>3</v>
      </c>
      <c r="C1960">
        <v>2022</v>
      </c>
      <c r="D1960" t="s">
        <v>2853</v>
      </c>
      <c r="E1960">
        <v>12</v>
      </c>
      <c r="F1960" t="s">
        <v>18692</v>
      </c>
      <c r="G1960" t="s">
        <v>18693</v>
      </c>
      <c r="H1960" s="4" t="s">
        <v>18694</v>
      </c>
      <c r="I1960" t="s">
        <v>71</v>
      </c>
      <c r="J1960" t="s">
        <v>10782</v>
      </c>
      <c r="K1960" t="s">
        <v>18695</v>
      </c>
    </row>
    <row r="1961" spans="1:11" ht="158.4" x14ac:dyDescent="0.3">
      <c r="A1961" s="4" t="s">
        <v>5227</v>
      </c>
      <c r="B1961">
        <v>3</v>
      </c>
      <c r="C1961">
        <v>2022</v>
      </c>
      <c r="D1961" t="s">
        <v>18696</v>
      </c>
      <c r="E1961">
        <v>0</v>
      </c>
      <c r="F1961" t="s">
        <v>18697</v>
      </c>
      <c r="G1961" t="s">
        <v>18698</v>
      </c>
      <c r="H1961" s="4" t="s">
        <v>18699</v>
      </c>
      <c r="I1961" t="s">
        <v>71</v>
      </c>
      <c r="J1961" t="s">
        <v>10782</v>
      </c>
      <c r="K1961" t="s">
        <v>18700</v>
      </c>
    </row>
    <row r="1962" spans="1:11" ht="115.2" x14ac:dyDescent="0.3">
      <c r="A1962" s="4" t="s">
        <v>5228</v>
      </c>
      <c r="B1962">
        <v>3</v>
      </c>
      <c r="C1962">
        <v>2022</v>
      </c>
      <c r="D1962" t="s">
        <v>80</v>
      </c>
      <c r="E1962">
        <v>7</v>
      </c>
      <c r="F1962" t="s">
        <v>18701</v>
      </c>
      <c r="G1962" t="s">
        <v>18702</v>
      </c>
      <c r="H1962" s="4" t="s">
        <v>18703</v>
      </c>
    </row>
    <row r="1963" spans="1:11" ht="273.60000000000002" x14ac:dyDescent="0.3">
      <c r="A1963" s="4" t="s">
        <v>5229</v>
      </c>
      <c r="B1963">
        <v>3</v>
      </c>
      <c r="C1963">
        <v>2022</v>
      </c>
      <c r="D1963" t="s">
        <v>11674</v>
      </c>
      <c r="E1963">
        <v>10</v>
      </c>
      <c r="F1963" t="s">
        <v>18704</v>
      </c>
      <c r="G1963" t="s">
        <v>18705</v>
      </c>
      <c r="H1963" s="4" t="s">
        <v>18706</v>
      </c>
      <c r="I1963" t="s">
        <v>71</v>
      </c>
      <c r="J1963" t="s">
        <v>10782</v>
      </c>
      <c r="K1963" t="s">
        <v>18707</v>
      </c>
    </row>
    <row r="1964" spans="1:11" ht="129.6" x14ac:dyDescent="0.3">
      <c r="A1964" s="4" t="s">
        <v>3531</v>
      </c>
      <c r="B1964">
        <v>2</v>
      </c>
      <c r="C1964">
        <v>2022</v>
      </c>
      <c r="D1964" t="s">
        <v>892</v>
      </c>
      <c r="E1964">
        <v>8</v>
      </c>
      <c r="F1964" t="s">
        <v>18708</v>
      </c>
      <c r="G1964" t="s">
        <v>18709</v>
      </c>
      <c r="H1964" s="4" t="s">
        <v>18710</v>
      </c>
    </row>
    <row r="1965" spans="1:11" ht="158.4" x14ac:dyDescent="0.3">
      <c r="A1965" s="4" t="s">
        <v>5230</v>
      </c>
      <c r="B1965">
        <v>3</v>
      </c>
      <c r="C1965">
        <v>2022</v>
      </c>
      <c r="D1965" t="s">
        <v>2201</v>
      </c>
      <c r="E1965">
        <v>18</v>
      </c>
      <c r="F1965" t="s">
        <v>18711</v>
      </c>
      <c r="G1965" t="s">
        <v>18712</v>
      </c>
      <c r="H1965" s="4" t="s">
        <v>18713</v>
      </c>
    </row>
    <row r="1966" spans="1:11" ht="187.2" x14ac:dyDescent="0.3">
      <c r="A1966" s="4" t="s">
        <v>5231</v>
      </c>
      <c r="B1966">
        <v>3</v>
      </c>
      <c r="C1966">
        <v>2022</v>
      </c>
      <c r="D1966" t="s">
        <v>18714</v>
      </c>
      <c r="E1966">
        <v>1</v>
      </c>
      <c r="F1966" t="s">
        <v>18715</v>
      </c>
      <c r="G1966" t="s">
        <v>18716</v>
      </c>
      <c r="H1966" s="4" t="s">
        <v>18717</v>
      </c>
      <c r="I1966" t="s">
        <v>71</v>
      </c>
      <c r="J1966" t="s">
        <v>10782</v>
      </c>
      <c r="K1966" t="s">
        <v>18718</v>
      </c>
    </row>
    <row r="1967" spans="1:11" ht="244.8" x14ac:dyDescent="0.3">
      <c r="A1967" s="4" t="s">
        <v>5232</v>
      </c>
      <c r="B1967">
        <v>3</v>
      </c>
      <c r="C1967">
        <v>2022</v>
      </c>
      <c r="D1967" t="s">
        <v>637</v>
      </c>
      <c r="E1967">
        <v>27</v>
      </c>
      <c r="F1967" t="s">
        <v>18719</v>
      </c>
      <c r="G1967" t="s">
        <v>18720</v>
      </c>
      <c r="H1967" s="4" t="s">
        <v>18721</v>
      </c>
      <c r="I1967" t="s">
        <v>71</v>
      </c>
      <c r="J1967" t="s">
        <v>10782</v>
      </c>
      <c r="K1967" t="s">
        <v>18722</v>
      </c>
    </row>
    <row r="1968" spans="1:11" ht="115.2" x14ac:dyDescent="0.3">
      <c r="A1968" s="4" t="s">
        <v>5233</v>
      </c>
      <c r="B1968">
        <v>3</v>
      </c>
      <c r="C1968">
        <v>2022</v>
      </c>
      <c r="D1968" t="s">
        <v>164</v>
      </c>
      <c r="E1968">
        <v>9</v>
      </c>
      <c r="F1968" t="s">
        <v>18723</v>
      </c>
      <c r="G1968" t="s">
        <v>18724</v>
      </c>
      <c r="H1968" s="4" t="s">
        <v>18725</v>
      </c>
    </row>
    <row r="1969" spans="1:11" ht="115.2" x14ac:dyDescent="0.3">
      <c r="A1969" s="4" t="s">
        <v>3532</v>
      </c>
      <c r="B1969">
        <v>2</v>
      </c>
      <c r="C1969">
        <v>2022</v>
      </c>
      <c r="D1969" t="s">
        <v>385</v>
      </c>
      <c r="E1969">
        <v>1</v>
      </c>
      <c r="F1969" t="s">
        <v>18726</v>
      </c>
      <c r="G1969" t="s">
        <v>18727</v>
      </c>
      <c r="H1969" s="4" t="s">
        <v>18728</v>
      </c>
      <c r="I1969" t="s">
        <v>71</v>
      </c>
      <c r="J1969" t="s">
        <v>10782</v>
      </c>
      <c r="K1969" t="s">
        <v>18729</v>
      </c>
    </row>
    <row r="1970" spans="1:11" ht="360" x14ac:dyDescent="0.3">
      <c r="A1970" s="4" t="s">
        <v>5234</v>
      </c>
      <c r="B1970">
        <v>3</v>
      </c>
      <c r="C1970">
        <v>2022</v>
      </c>
      <c r="D1970" t="s">
        <v>11711</v>
      </c>
      <c r="E1970">
        <v>1</v>
      </c>
      <c r="F1970" t="s">
        <v>18730</v>
      </c>
      <c r="G1970" t="s">
        <v>18731</v>
      </c>
      <c r="H1970" s="4" t="s">
        <v>18732</v>
      </c>
      <c r="I1970" t="s">
        <v>71</v>
      </c>
      <c r="J1970" t="s">
        <v>10782</v>
      </c>
      <c r="K1970" t="s">
        <v>18733</v>
      </c>
    </row>
    <row r="1971" spans="1:11" ht="172.8" x14ac:dyDescent="0.3">
      <c r="A1971" s="4" t="s">
        <v>5235</v>
      </c>
      <c r="B1971">
        <v>3</v>
      </c>
      <c r="C1971">
        <v>2022</v>
      </c>
      <c r="D1971" t="s">
        <v>637</v>
      </c>
      <c r="E1971">
        <v>14</v>
      </c>
      <c r="F1971" t="s">
        <v>18734</v>
      </c>
      <c r="G1971" t="s">
        <v>18735</v>
      </c>
      <c r="H1971" s="4" t="s">
        <v>18736</v>
      </c>
      <c r="I1971" t="s">
        <v>71</v>
      </c>
      <c r="J1971" t="s">
        <v>10782</v>
      </c>
      <c r="K1971" t="s">
        <v>18737</v>
      </c>
    </row>
    <row r="1972" spans="1:11" ht="216" x14ac:dyDescent="0.3">
      <c r="A1972" s="4" t="s">
        <v>5236</v>
      </c>
      <c r="B1972">
        <v>3</v>
      </c>
      <c r="C1972">
        <v>2022</v>
      </c>
      <c r="D1972" t="s">
        <v>482</v>
      </c>
      <c r="E1972">
        <v>14</v>
      </c>
      <c r="F1972" t="s">
        <v>18738</v>
      </c>
      <c r="G1972" t="s">
        <v>18739</v>
      </c>
      <c r="H1972" s="4" t="s">
        <v>18740</v>
      </c>
      <c r="I1972" t="s">
        <v>71</v>
      </c>
      <c r="J1972" t="s">
        <v>10782</v>
      </c>
      <c r="K1972" t="s">
        <v>18741</v>
      </c>
    </row>
    <row r="1973" spans="1:11" ht="216" x14ac:dyDescent="0.3">
      <c r="A1973" s="4" t="s">
        <v>5237</v>
      </c>
      <c r="B1973">
        <v>3</v>
      </c>
      <c r="C1973">
        <v>2022</v>
      </c>
      <c r="D1973" t="s">
        <v>18742</v>
      </c>
      <c r="E1973">
        <v>4</v>
      </c>
      <c r="F1973" t="s">
        <v>18743</v>
      </c>
      <c r="G1973" t="s">
        <v>18744</v>
      </c>
      <c r="H1973" s="4" t="s">
        <v>18745</v>
      </c>
      <c r="I1973" t="s">
        <v>10823</v>
      </c>
      <c r="J1973" t="s">
        <v>10782</v>
      </c>
      <c r="K1973" t="s">
        <v>18746</v>
      </c>
    </row>
    <row r="1974" spans="1:11" ht="172.8" x14ac:dyDescent="0.3">
      <c r="A1974" s="4" t="s">
        <v>5238</v>
      </c>
      <c r="B1974">
        <v>3</v>
      </c>
      <c r="C1974">
        <v>2022</v>
      </c>
      <c r="D1974" t="s">
        <v>405</v>
      </c>
      <c r="E1974">
        <v>33</v>
      </c>
      <c r="F1974" t="s">
        <v>18747</v>
      </c>
      <c r="G1974" t="s">
        <v>18748</v>
      </c>
      <c r="H1974" s="4" t="s">
        <v>18749</v>
      </c>
      <c r="I1974" t="s">
        <v>71</v>
      </c>
      <c r="J1974" t="s">
        <v>10782</v>
      </c>
      <c r="K1974" t="s">
        <v>18750</v>
      </c>
    </row>
    <row r="1975" spans="1:11" ht="216" x14ac:dyDescent="0.3">
      <c r="A1975" s="4" t="s">
        <v>952</v>
      </c>
      <c r="B1975">
        <v>1</v>
      </c>
      <c r="C1975">
        <v>2022</v>
      </c>
      <c r="D1975" t="s">
        <v>147</v>
      </c>
      <c r="E1975">
        <v>30</v>
      </c>
      <c r="F1975" t="s">
        <v>18751</v>
      </c>
      <c r="G1975" t="s">
        <v>18752</v>
      </c>
      <c r="H1975" s="4" t="s">
        <v>18753</v>
      </c>
      <c r="I1975" t="s">
        <v>71</v>
      </c>
      <c r="J1975" t="s">
        <v>10782</v>
      </c>
      <c r="K1975" t="s">
        <v>18754</v>
      </c>
    </row>
    <row r="1976" spans="1:11" ht="273.60000000000002" x14ac:dyDescent="0.3">
      <c r="A1976" s="4" t="s">
        <v>5239</v>
      </c>
      <c r="B1976">
        <v>3</v>
      </c>
      <c r="C1976">
        <v>2022</v>
      </c>
      <c r="D1976" t="s">
        <v>1125</v>
      </c>
      <c r="E1976">
        <v>13</v>
      </c>
      <c r="F1976" t="s">
        <v>18755</v>
      </c>
      <c r="G1976" t="s">
        <v>18756</v>
      </c>
      <c r="H1976" s="4" t="s">
        <v>18757</v>
      </c>
      <c r="I1976" t="s">
        <v>10945</v>
      </c>
      <c r="J1976" t="s">
        <v>10782</v>
      </c>
      <c r="K1976" t="s">
        <v>18758</v>
      </c>
    </row>
    <row r="1977" spans="1:11" ht="273.60000000000002" x14ac:dyDescent="0.3">
      <c r="A1977" s="4" t="s">
        <v>5240</v>
      </c>
      <c r="B1977">
        <v>3</v>
      </c>
      <c r="C1977">
        <v>2022</v>
      </c>
      <c r="D1977" t="s">
        <v>637</v>
      </c>
      <c r="E1977">
        <v>10</v>
      </c>
      <c r="F1977" t="s">
        <v>18759</v>
      </c>
      <c r="G1977" t="s">
        <v>18760</v>
      </c>
      <c r="H1977" s="4" t="s">
        <v>18761</v>
      </c>
      <c r="I1977" t="s">
        <v>71</v>
      </c>
      <c r="J1977" t="s">
        <v>10782</v>
      </c>
      <c r="K1977" t="s">
        <v>18762</v>
      </c>
    </row>
    <row r="1978" spans="1:11" ht="302.39999999999998" x14ac:dyDescent="0.3">
      <c r="A1978" s="4" t="s">
        <v>5241</v>
      </c>
      <c r="B1978">
        <v>3</v>
      </c>
      <c r="C1978">
        <v>2022</v>
      </c>
      <c r="D1978" t="s">
        <v>329</v>
      </c>
      <c r="E1978">
        <v>6</v>
      </c>
      <c r="F1978" t="s">
        <v>18763</v>
      </c>
      <c r="G1978" t="s">
        <v>18764</v>
      </c>
      <c r="H1978" s="4" t="s">
        <v>18765</v>
      </c>
      <c r="I1978" t="s">
        <v>71</v>
      </c>
      <c r="J1978" t="s">
        <v>10782</v>
      </c>
      <c r="K1978" t="s">
        <v>18766</v>
      </c>
    </row>
    <row r="1979" spans="1:11" ht="172.8" x14ac:dyDescent="0.3">
      <c r="A1979" s="4" t="s">
        <v>5242</v>
      </c>
      <c r="B1979">
        <v>3</v>
      </c>
      <c r="C1979">
        <v>2022</v>
      </c>
      <c r="D1979" t="s">
        <v>637</v>
      </c>
      <c r="E1979">
        <v>9</v>
      </c>
      <c r="F1979" t="s">
        <v>18767</v>
      </c>
      <c r="G1979" t="s">
        <v>18768</v>
      </c>
      <c r="H1979" s="4" t="s">
        <v>18769</v>
      </c>
      <c r="I1979" t="s">
        <v>71</v>
      </c>
      <c r="J1979" t="s">
        <v>10782</v>
      </c>
      <c r="K1979" t="s">
        <v>18770</v>
      </c>
    </row>
    <row r="1980" spans="1:11" ht="72" x14ac:dyDescent="0.3">
      <c r="A1980" s="4" t="s">
        <v>5243</v>
      </c>
      <c r="B1980">
        <v>3</v>
      </c>
      <c r="C1980">
        <v>2022</v>
      </c>
      <c r="D1980" t="s">
        <v>16327</v>
      </c>
      <c r="E1980">
        <v>4</v>
      </c>
      <c r="F1980" t="s">
        <v>18771</v>
      </c>
      <c r="G1980" t="s">
        <v>18772</v>
      </c>
      <c r="H1980" s="4" t="s">
        <v>18773</v>
      </c>
    </row>
    <row r="1981" spans="1:11" ht="86.4" x14ac:dyDescent="0.3">
      <c r="A1981" s="4" t="s">
        <v>5244</v>
      </c>
      <c r="B1981">
        <v>3</v>
      </c>
      <c r="C1981">
        <v>2022</v>
      </c>
      <c r="D1981" t="s">
        <v>18774</v>
      </c>
      <c r="E1981">
        <v>6</v>
      </c>
      <c r="F1981" t="s">
        <v>18775</v>
      </c>
      <c r="G1981" t="s">
        <v>18776</v>
      </c>
      <c r="H1981" s="4" t="s">
        <v>18777</v>
      </c>
    </row>
    <row r="1982" spans="1:11" ht="172.8" x14ac:dyDescent="0.3">
      <c r="A1982" s="4" t="s">
        <v>5245</v>
      </c>
      <c r="B1982">
        <v>3</v>
      </c>
      <c r="C1982">
        <v>2022</v>
      </c>
      <c r="D1982" t="s">
        <v>147</v>
      </c>
      <c r="E1982">
        <v>7</v>
      </c>
      <c r="F1982" t="s">
        <v>18778</v>
      </c>
      <c r="G1982" t="s">
        <v>18779</v>
      </c>
      <c r="H1982" s="4" t="s">
        <v>18780</v>
      </c>
      <c r="I1982" t="s">
        <v>71</v>
      </c>
      <c r="J1982" t="s">
        <v>10782</v>
      </c>
      <c r="K1982" t="s">
        <v>18781</v>
      </c>
    </row>
    <row r="1983" spans="1:11" ht="100.8" x14ac:dyDescent="0.3">
      <c r="A1983" s="4" t="s">
        <v>5246</v>
      </c>
      <c r="B1983">
        <v>3</v>
      </c>
      <c r="C1983">
        <v>2022</v>
      </c>
      <c r="D1983" t="s">
        <v>12642</v>
      </c>
      <c r="E1983">
        <v>38</v>
      </c>
      <c r="F1983" t="s">
        <v>18782</v>
      </c>
      <c r="G1983" t="s">
        <v>18783</v>
      </c>
      <c r="H1983" s="4" t="s">
        <v>18784</v>
      </c>
      <c r="I1983" t="s">
        <v>10823</v>
      </c>
      <c r="J1983" t="s">
        <v>10782</v>
      </c>
      <c r="K1983" t="s">
        <v>18785</v>
      </c>
    </row>
    <row r="1984" spans="1:11" ht="187.2" x14ac:dyDescent="0.3">
      <c r="A1984" s="4" t="s">
        <v>5247</v>
      </c>
      <c r="B1984">
        <v>3</v>
      </c>
      <c r="C1984">
        <v>2022</v>
      </c>
      <c r="D1984" t="s">
        <v>147</v>
      </c>
      <c r="E1984">
        <v>113</v>
      </c>
      <c r="F1984" t="s">
        <v>18786</v>
      </c>
      <c r="G1984" t="s">
        <v>18787</v>
      </c>
      <c r="H1984" s="4" t="s">
        <v>18788</v>
      </c>
      <c r="I1984" t="s">
        <v>71</v>
      </c>
      <c r="J1984" t="s">
        <v>10782</v>
      </c>
      <c r="K1984" t="s">
        <v>18789</v>
      </c>
    </row>
    <row r="1985" spans="1:11" ht="244.8" x14ac:dyDescent="0.3">
      <c r="A1985" s="4" t="s">
        <v>5248</v>
      </c>
      <c r="B1985">
        <v>3</v>
      </c>
      <c r="C1985">
        <v>2022</v>
      </c>
      <c r="D1985" t="s">
        <v>478</v>
      </c>
      <c r="E1985">
        <v>4</v>
      </c>
      <c r="F1985" t="s">
        <v>18790</v>
      </c>
      <c r="G1985" t="s">
        <v>18791</v>
      </c>
      <c r="H1985" s="4" t="s">
        <v>18792</v>
      </c>
      <c r="I1985" t="s">
        <v>71</v>
      </c>
      <c r="J1985" t="s">
        <v>10782</v>
      </c>
      <c r="K1985" t="s">
        <v>18793</v>
      </c>
    </row>
    <row r="1986" spans="1:11" ht="201.6" x14ac:dyDescent="0.3">
      <c r="A1986" s="4" t="s">
        <v>5249</v>
      </c>
      <c r="B1986">
        <v>3</v>
      </c>
      <c r="C1986">
        <v>2022</v>
      </c>
      <c r="D1986" t="s">
        <v>550</v>
      </c>
      <c r="E1986">
        <v>8</v>
      </c>
      <c r="F1986" t="s">
        <v>18794</v>
      </c>
      <c r="G1986" t="s">
        <v>18795</v>
      </c>
      <c r="H1986" s="4" t="s">
        <v>18796</v>
      </c>
      <c r="I1986" t="s">
        <v>71</v>
      </c>
      <c r="J1986" t="s">
        <v>10782</v>
      </c>
      <c r="K1986" t="s">
        <v>18797</v>
      </c>
    </row>
    <row r="1987" spans="1:11" ht="216" x14ac:dyDescent="0.3">
      <c r="A1987" s="4" t="s">
        <v>5250</v>
      </c>
      <c r="B1987">
        <v>3</v>
      </c>
      <c r="C1987">
        <v>2022</v>
      </c>
      <c r="D1987" t="s">
        <v>2416</v>
      </c>
      <c r="E1987">
        <v>6</v>
      </c>
      <c r="F1987" t="s">
        <v>18798</v>
      </c>
      <c r="G1987" t="s">
        <v>18799</v>
      </c>
      <c r="H1987" s="4" t="s">
        <v>18800</v>
      </c>
      <c r="I1987" t="s">
        <v>71</v>
      </c>
      <c r="J1987" t="s">
        <v>10782</v>
      </c>
      <c r="K1987" t="s">
        <v>18801</v>
      </c>
    </row>
    <row r="1988" spans="1:11" ht="158.4" x14ac:dyDescent="0.3">
      <c r="A1988" s="4" t="s">
        <v>5251</v>
      </c>
      <c r="B1988">
        <v>3</v>
      </c>
      <c r="C1988">
        <v>2022</v>
      </c>
      <c r="D1988" t="s">
        <v>2416</v>
      </c>
      <c r="E1988">
        <v>11</v>
      </c>
      <c r="F1988" t="s">
        <v>18802</v>
      </c>
      <c r="G1988" t="s">
        <v>18803</v>
      </c>
      <c r="H1988" s="4" t="s">
        <v>18804</v>
      </c>
      <c r="I1988" t="s">
        <v>71</v>
      </c>
      <c r="J1988" t="s">
        <v>10782</v>
      </c>
      <c r="K1988" t="s">
        <v>18805</v>
      </c>
    </row>
    <row r="1989" spans="1:11" ht="86.4" x14ac:dyDescent="0.3">
      <c r="A1989" s="4" t="s">
        <v>5252</v>
      </c>
      <c r="B1989">
        <v>3</v>
      </c>
      <c r="C1989">
        <v>2022</v>
      </c>
      <c r="D1989" t="s">
        <v>18806</v>
      </c>
      <c r="E1989">
        <v>5</v>
      </c>
      <c r="F1989" t="s">
        <v>18807</v>
      </c>
      <c r="G1989" t="s">
        <v>18808</v>
      </c>
      <c r="H1989" s="4" t="s">
        <v>18809</v>
      </c>
    </row>
    <row r="1990" spans="1:11" ht="129.6" x14ac:dyDescent="0.3">
      <c r="A1990" s="4" t="s">
        <v>5253</v>
      </c>
      <c r="B1990">
        <v>3</v>
      </c>
      <c r="C1990">
        <v>2022</v>
      </c>
      <c r="D1990" t="s">
        <v>2986</v>
      </c>
      <c r="E1990">
        <v>34</v>
      </c>
      <c r="F1990" t="s">
        <v>18810</v>
      </c>
      <c r="G1990" t="s">
        <v>18811</v>
      </c>
      <c r="H1990" s="4" t="s">
        <v>18812</v>
      </c>
      <c r="I1990" t="s">
        <v>71</v>
      </c>
      <c r="J1990" t="s">
        <v>10782</v>
      </c>
      <c r="K1990" t="s">
        <v>18813</v>
      </c>
    </row>
    <row r="1991" spans="1:11" ht="129.6" x14ac:dyDescent="0.3">
      <c r="A1991" s="4" t="s">
        <v>5254</v>
      </c>
      <c r="B1991">
        <v>3</v>
      </c>
      <c r="C1991">
        <v>2022</v>
      </c>
      <c r="D1991" t="s">
        <v>217</v>
      </c>
      <c r="E1991">
        <v>22</v>
      </c>
      <c r="F1991" t="s">
        <v>18814</v>
      </c>
      <c r="G1991" t="s">
        <v>18815</v>
      </c>
      <c r="H1991" s="4" t="s">
        <v>18816</v>
      </c>
      <c r="I1991" t="s">
        <v>71</v>
      </c>
      <c r="J1991" t="s">
        <v>10782</v>
      </c>
      <c r="K1991" t="s">
        <v>18817</v>
      </c>
    </row>
    <row r="1992" spans="1:11" ht="201.6" x14ac:dyDescent="0.3">
      <c r="A1992" s="4" t="s">
        <v>5255</v>
      </c>
      <c r="B1992">
        <v>3</v>
      </c>
      <c r="C1992">
        <v>2022</v>
      </c>
      <c r="D1992" t="s">
        <v>11471</v>
      </c>
      <c r="E1992">
        <v>24</v>
      </c>
      <c r="F1992" t="s">
        <v>18818</v>
      </c>
      <c r="G1992" t="s">
        <v>18819</v>
      </c>
      <c r="H1992" s="4" t="s">
        <v>18820</v>
      </c>
    </row>
    <row r="1993" spans="1:11" ht="187.2" x14ac:dyDescent="0.3">
      <c r="A1993" s="4" t="s">
        <v>5256</v>
      </c>
      <c r="B1993">
        <v>3</v>
      </c>
      <c r="C1993">
        <v>2022</v>
      </c>
      <c r="D1993" t="s">
        <v>799</v>
      </c>
      <c r="E1993">
        <v>4</v>
      </c>
      <c r="F1993" t="s">
        <v>18821</v>
      </c>
      <c r="G1993" t="s">
        <v>18822</v>
      </c>
      <c r="H1993" s="4" t="s">
        <v>18823</v>
      </c>
      <c r="I1993" t="s">
        <v>71</v>
      </c>
      <c r="J1993" t="s">
        <v>10782</v>
      </c>
      <c r="K1993" t="s">
        <v>18824</v>
      </c>
    </row>
    <row r="1994" spans="1:11" ht="158.4" x14ac:dyDescent="0.3">
      <c r="A1994" s="4" t="s">
        <v>5257</v>
      </c>
      <c r="B1994">
        <v>3</v>
      </c>
      <c r="C1994">
        <v>2022</v>
      </c>
      <c r="D1994" t="s">
        <v>18825</v>
      </c>
      <c r="E1994">
        <v>2</v>
      </c>
      <c r="F1994" t="s">
        <v>18826</v>
      </c>
      <c r="G1994" t="s">
        <v>18827</v>
      </c>
      <c r="H1994" s="4" t="s">
        <v>18828</v>
      </c>
      <c r="I1994" t="s">
        <v>71</v>
      </c>
      <c r="J1994" t="s">
        <v>10782</v>
      </c>
      <c r="K1994" t="s">
        <v>18829</v>
      </c>
    </row>
    <row r="1995" spans="1:11" ht="100.8" x14ac:dyDescent="0.3">
      <c r="A1995" s="4" t="s">
        <v>5258</v>
      </c>
      <c r="B1995">
        <v>3</v>
      </c>
      <c r="C1995">
        <v>2022</v>
      </c>
      <c r="D1995" t="s">
        <v>11617</v>
      </c>
      <c r="E1995">
        <v>6</v>
      </c>
      <c r="F1995" t="s">
        <v>18830</v>
      </c>
      <c r="G1995" t="s">
        <v>18831</v>
      </c>
      <c r="H1995" s="4" t="s">
        <v>18832</v>
      </c>
      <c r="I1995" t="s">
        <v>10945</v>
      </c>
      <c r="J1995" t="s">
        <v>10782</v>
      </c>
      <c r="K1995" t="s">
        <v>18833</v>
      </c>
    </row>
    <row r="1996" spans="1:11" ht="72" x14ac:dyDescent="0.3">
      <c r="A1996" s="4" t="s">
        <v>5259</v>
      </c>
      <c r="B1996">
        <v>3</v>
      </c>
      <c r="C1996">
        <v>2022</v>
      </c>
      <c r="D1996" t="s">
        <v>704</v>
      </c>
      <c r="E1996">
        <v>9</v>
      </c>
      <c r="F1996" t="s">
        <v>18834</v>
      </c>
      <c r="G1996" t="s">
        <v>18835</v>
      </c>
      <c r="H1996" s="4" t="s">
        <v>18836</v>
      </c>
    </row>
    <row r="1997" spans="1:11" ht="129.6" x14ac:dyDescent="0.3">
      <c r="A1997" s="4" t="s">
        <v>5260</v>
      </c>
      <c r="B1997">
        <v>3</v>
      </c>
      <c r="C1997">
        <v>2022</v>
      </c>
      <c r="D1997" t="s">
        <v>190</v>
      </c>
      <c r="E1997">
        <v>18</v>
      </c>
      <c r="F1997" t="s">
        <v>18837</v>
      </c>
      <c r="G1997" t="s">
        <v>18838</v>
      </c>
      <c r="H1997" s="4" t="s">
        <v>18839</v>
      </c>
      <c r="I1997" t="s">
        <v>71</v>
      </c>
      <c r="J1997" t="s">
        <v>10782</v>
      </c>
      <c r="K1997" t="s">
        <v>18840</v>
      </c>
    </row>
    <row r="1998" spans="1:11" ht="158.4" x14ac:dyDescent="0.3">
      <c r="A1998" s="4" t="s">
        <v>5261</v>
      </c>
      <c r="B1998">
        <v>3</v>
      </c>
      <c r="C1998">
        <v>2022</v>
      </c>
      <c r="D1998" t="s">
        <v>12593</v>
      </c>
      <c r="E1998">
        <v>12</v>
      </c>
      <c r="F1998" t="s">
        <v>18841</v>
      </c>
      <c r="G1998" t="s">
        <v>18842</v>
      </c>
      <c r="H1998" s="4" t="s">
        <v>18843</v>
      </c>
    </row>
    <row r="1999" spans="1:11" ht="230.4" x14ac:dyDescent="0.3">
      <c r="A1999" s="4" t="s">
        <v>3292</v>
      </c>
      <c r="B1999">
        <v>1</v>
      </c>
      <c r="C1999">
        <v>2022</v>
      </c>
      <c r="D1999" t="s">
        <v>1525</v>
      </c>
      <c r="E1999">
        <v>13</v>
      </c>
      <c r="F1999" t="s">
        <v>18844</v>
      </c>
      <c r="G1999" t="s">
        <v>18845</v>
      </c>
      <c r="H1999" s="4" t="s">
        <v>18846</v>
      </c>
    </row>
    <row r="2000" spans="1:11" ht="144" x14ac:dyDescent="0.3">
      <c r="A2000" s="4" t="s">
        <v>5262</v>
      </c>
      <c r="B2000">
        <v>3</v>
      </c>
      <c r="C2000">
        <v>2022</v>
      </c>
      <c r="D2000" t="s">
        <v>817</v>
      </c>
      <c r="E2000">
        <v>8</v>
      </c>
      <c r="F2000" t="s">
        <v>18847</v>
      </c>
      <c r="G2000" t="s">
        <v>18848</v>
      </c>
      <c r="H2000" s="4" t="s">
        <v>18849</v>
      </c>
      <c r="I2000" t="s">
        <v>10823</v>
      </c>
      <c r="J2000" t="s">
        <v>10782</v>
      </c>
      <c r="K2000" t="s">
        <v>18850</v>
      </c>
    </row>
    <row r="2001" spans="1:11" ht="115.2" x14ac:dyDescent="0.3">
      <c r="A2001" s="4" t="s">
        <v>5263</v>
      </c>
      <c r="B2001">
        <v>3</v>
      </c>
      <c r="C2001">
        <v>2022</v>
      </c>
      <c r="D2001" t="s">
        <v>105</v>
      </c>
      <c r="E2001">
        <v>7</v>
      </c>
      <c r="F2001" t="s">
        <v>18851</v>
      </c>
      <c r="G2001" t="s">
        <v>18852</v>
      </c>
      <c r="H2001" s="4" t="s">
        <v>18853</v>
      </c>
      <c r="I2001" t="s">
        <v>71</v>
      </c>
      <c r="J2001" t="s">
        <v>10782</v>
      </c>
      <c r="K2001" t="s">
        <v>18854</v>
      </c>
    </row>
    <row r="2002" spans="1:11" ht="201.6" x14ac:dyDescent="0.3">
      <c r="A2002" s="4" t="s">
        <v>5264</v>
      </c>
      <c r="B2002">
        <v>3</v>
      </c>
      <c r="C2002">
        <v>2022</v>
      </c>
      <c r="D2002" t="s">
        <v>10825</v>
      </c>
      <c r="E2002">
        <v>19</v>
      </c>
      <c r="F2002" t="s">
        <v>18855</v>
      </c>
      <c r="G2002" t="s">
        <v>18856</v>
      </c>
      <c r="H2002" s="4" t="s">
        <v>18857</v>
      </c>
      <c r="I2002" t="s">
        <v>71</v>
      </c>
      <c r="J2002" t="s">
        <v>10782</v>
      </c>
      <c r="K2002" t="s">
        <v>18858</v>
      </c>
    </row>
    <row r="2003" spans="1:11" ht="172.8" x14ac:dyDescent="0.3">
      <c r="A2003" s="4" t="s">
        <v>5265</v>
      </c>
      <c r="B2003">
        <v>3</v>
      </c>
      <c r="C2003">
        <v>2022</v>
      </c>
      <c r="D2003" t="s">
        <v>637</v>
      </c>
      <c r="E2003">
        <v>4</v>
      </c>
      <c r="F2003" t="s">
        <v>18859</v>
      </c>
      <c r="G2003" t="s">
        <v>18860</v>
      </c>
      <c r="H2003" s="4" t="s">
        <v>18861</v>
      </c>
      <c r="I2003" t="s">
        <v>71</v>
      </c>
      <c r="J2003" t="s">
        <v>10782</v>
      </c>
      <c r="K2003" t="s">
        <v>18862</v>
      </c>
    </row>
    <row r="2004" spans="1:11" ht="187.2" x14ac:dyDescent="0.3">
      <c r="A2004" s="4" t="s">
        <v>5266</v>
      </c>
      <c r="B2004">
        <v>3</v>
      </c>
      <c r="C2004">
        <v>2022</v>
      </c>
      <c r="D2004" t="s">
        <v>11159</v>
      </c>
      <c r="E2004">
        <v>7</v>
      </c>
      <c r="F2004" t="s">
        <v>18863</v>
      </c>
      <c r="G2004" t="s">
        <v>18864</v>
      </c>
      <c r="H2004" s="4" t="s">
        <v>18865</v>
      </c>
      <c r="I2004" t="s">
        <v>71</v>
      </c>
      <c r="J2004" t="s">
        <v>10782</v>
      </c>
      <c r="K2004" t="s">
        <v>18866</v>
      </c>
    </row>
    <row r="2005" spans="1:11" ht="201.6" x14ac:dyDescent="0.3">
      <c r="A2005" s="4" t="s">
        <v>5267</v>
      </c>
      <c r="B2005">
        <v>3</v>
      </c>
      <c r="C2005">
        <v>2022</v>
      </c>
      <c r="D2005" t="s">
        <v>405</v>
      </c>
      <c r="E2005">
        <v>7</v>
      </c>
      <c r="F2005" t="s">
        <v>18867</v>
      </c>
      <c r="G2005" t="s">
        <v>18868</v>
      </c>
      <c r="H2005" s="4" t="s">
        <v>18869</v>
      </c>
      <c r="I2005" t="s">
        <v>71</v>
      </c>
      <c r="J2005" t="s">
        <v>10782</v>
      </c>
      <c r="K2005" t="s">
        <v>18870</v>
      </c>
    </row>
    <row r="2006" spans="1:11" ht="115.2" x14ac:dyDescent="0.3">
      <c r="A2006" s="4" t="s">
        <v>3293</v>
      </c>
      <c r="B2006">
        <v>1</v>
      </c>
      <c r="C2006">
        <v>2022</v>
      </c>
      <c r="D2006" t="s">
        <v>329</v>
      </c>
      <c r="E2006">
        <v>17</v>
      </c>
      <c r="F2006" t="s">
        <v>18871</v>
      </c>
      <c r="G2006" t="s">
        <v>18872</v>
      </c>
      <c r="H2006" s="4" t="s">
        <v>18873</v>
      </c>
      <c r="I2006" t="s">
        <v>71</v>
      </c>
      <c r="J2006" t="s">
        <v>10782</v>
      </c>
      <c r="K2006" t="s">
        <v>18874</v>
      </c>
    </row>
    <row r="2007" spans="1:11" ht="72" x14ac:dyDescent="0.3">
      <c r="A2007" s="4" t="s">
        <v>953</v>
      </c>
      <c r="B2007">
        <v>1</v>
      </c>
      <c r="C2007">
        <v>2022</v>
      </c>
      <c r="D2007" t="s">
        <v>227</v>
      </c>
      <c r="E2007">
        <v>12</v>
      </c>
      <c r="F2007" t="s">
        <v>18875</v>
      </c>
      <c r="G2007" t="s">
        <v>18876</v>
      </c>
      <c r="H2007" s="4" t="s">
        <v>18877</v>
      </c>
      <c r="I2007" t="s">
        <v>71</v>
      </c>
      <c r="J2007" t="s">
        <v>10782</v>
      </c>
      <c r="K2007" t="s">
        <v>18878</v>
      </c>
    </row>
    <row r="2008" spans="1:11" ht="43.2" x14ac:dyDescent="0.3">
      <c r="A2008" s="4" t="s">
        <v>5268</v>
      </c>
      <c r="B2008">
        <v>3</v>
      </c>
      <c r="C2008">
        <v>2022</v>
      </c>
      <c r="D2008" t="s">
        <v>17273</v>
      </c>
      <c r="E2008">
        <v>9</v>
      </c>
      <c r="F2008" t="s">
        <v>18879</v>
      </c>
      <c r="G2008" t="s">
        <v>18880</v>
      </c>
      <c r="H2008" s="4" t="s">
        <v>18881</v>
      </c>
    </row>
    <row r="2009" spans="1:11" ht="273.60000000000002" x14ac:dyDescent="0.3">
      <c r="A2009" s="4" t="s">
        <v>5269</v>
      </c>
      <c r="B2009">
        <v>3</v>
      </c>
      <c r="C2009">
        <v>2022</v>
      </c>
      <c r="D2009" t="s">
        <v>1912</v>
      </c>
      <c r="E2009">
        <v>10</v>
      </c>
      <c r="F2009" t="s">
        <v>18882</v>
      </c>
      <c r="G2009" t="s">
        <v>18883</v>
      </c>
      <c r="H2009" s="4" t="s">
        <v>18884</v>
      </c>
      <c r="I2009" t="s">
        <v>71</v>
      </c>
      <c r="J2009" t="s">
        <v>10782</v>
      </c>
      <c r="K2009" t="s">
        <v>18885</v>
      </c>
    </row>
    <row r="2010" spans="1:11" ht="201.6" x14ac:dyDescent="0.3">
      <c r="A2010" s="4" t="s">
        <v>5270</v>
      </c>
      <c r="B2010">
        <v>3</v>
      </c>
      <c r="C2010">
        <v>2022</v>
      </c>
      <c r="D2010" t="s">
        <v>830</v>
      </c>
      <c r="E2010">
        <v>6</v>
      </c>
      <c r="F2010" t="s">
        <v>18886</v>
      </c>
      <c r="G2010" t="s">
        <v>18887</v>
      </c>
      <c r="H2010" s="4" t="s">
        <v>18888</v>
      </c>
      <c r="I2010" t="s">
        <v>71</v>
      </c>
      <c r="J2010" t="s">
        <v>10782</v>
      </c>
      <c r="K2010" t="s">
        <v>18889</v>
      </c>
    </row>
    <row r="2011" spans="1:11" ht="100.8" x14ac:dyDescent="0.3">
      <c r="A2011" s="4" t="s">
        <v>5271</v>
      </c>
      <c r="B2011">
        <v>3</v>
      </c>
      <c r="C2011">
        <v>2022</v>
      </c>
      <c r="D2011" t="s">
        <v>11164</v>
      </c>
      <c r="E2011">
        <v>10</v>
      </c>
      <c r="F2011" t="s">
        <v>18890</v>
      </c>
      <c r="G2011" t="s">
        <v>18891</v>
      </c>
      <c r="H2011" s="4" t="s">
        <v>18892</v>
      </c>
    </row>
    <row r="2012" spans="1:11" ht="187.2" x14ac:dyDescent="0.3">
      <c r="A2012" s="4" t="s">
        <v>3294</v>
      </c>
      <c r="B2012">
        <v>1</v>
      </c>
      <c r="C2012">
        <v>2022</v>
      </c>
      <c r="D2012" t="s">
        <v>217</v>
      </c>
      <c r="E2012">
        <v>12</v>
      </c>
      <c r="F2012" t="s">
        <v>18893</v>
      </c>
      <c r="G2012" t="s">
        <v>18894</v>
      </c>
      <c r="H2012" s="4" t="s">
        <v>18895</v>
      </c>
      <c r="I2012" t="s">
        <v>71</v>
      </c>
      <c r="J2012" t="s">
        <v>10782</v>
      </c>
      <c r="K2012" t="s">
        <v>18896</v>
      </c>
    </row>
    <row r="2013" spans="1:11" ht="172.8" x14ac:dyDescent="0.3">
      <c r="A2013" s="4" t="s">
        <v>5272</v>
      </c>
      <c r="B2013">
        <v>3</v>
      </c>
      <c r="C2013">
        <v>2022</v>
      </c>
      <c r="D2013" t="s">
        <v>2416</v>
      </c>
      <c r="E2013">
        <v>12</v>
      </c>
      <c r="F2013" t="s">
        <v>18897</v>
      </c>
      <c r="G2013" t="s">
        <v>18898</v>
      </c>
      <c r="H2013" s="4" t="s">
        <v>18899</v>
      </c>
      <c r="I2013" t="s">
        <v>71</v>
      </c>
      <c r="J2013" t="s">
        <v>10782</v>
      </c>
      <c r="K2013" t="s">
        <v>18900</v>
      </c>
    </row>
    <row r="2014" spans="1:11" ht="129.6" x14ac:dyDescent="0.3">
      <c r="A2014" s="4" t="s">
        <v>3295</v>
      </c>
      <c r="B2014">
        <v>1</v>
      </c>
      <c r="C2014">
        <v>2022</v>
      </c>
      <c r="D2014" t="s">
        <v>482</v>
      </c>
      <c r="E2014">
        <v>3</v>
      </c>
      <c r="F2014" t="s">
        <v>18901</v>
      </c>
      <c r="G2014" t="s">
        <v>18902</v>
      </c>
      <c r="H2014" s="4" t="s">
        <v>18903</v>
      </c>
      <c r="I2014" t="s">
        <v>71</v>
      </c>
      <c r="J2014" t="s">
        <v>10782</v>
      </c>
      <c r="K2014" t="s">
        <v>18904</v>
      </c>
    </row>
    <row r="2015" spans="1:11" ht="288" x14ac:dyDescent="0.3">
      <c r="A2015" s="4" t="s">
        <v>5273</v>
      </c>
      <c r="B2015">
        <v>3</v>
      </c>
      <c r="C2015">
        <v>2022</v>
      </c>
      <c r="D2015" t="s">
        <v>892</v>
      </c>
      <c r="E2015">
        <v>10</v>
      </c>
      <c r="F2015" t="s">
        <v>18905</v>
      </c>
      <c r="G2015" t="s">
        <v>18906</v>
      </c>
      <c r="H2015" s="4" t="s">
        <v>18907</v>
      </c>
      <c r="I2015" t="s">
        <v>71</v>
      </c>
      <c r="J2015" t="s">
        <v>10782</v>
      </c>
      <c r="K2015" t="s">
        <v>18908</v>
      </c>
    </row>
    <row r="2016" spans="1:11" ht="144" x14ac:dyDescent="0.3">
      <c r="A2016" s="4" t="s">
        <v>5274</v>
      </c>
      <c r="B2016">
        <v>3</v>
      </c>
      <c r="C2016">
        <v>2022</v>
      </c>
      <c r="D2016" t="s">
        <v>227</v>
      </c>
      <c r="E2016">
        <v>31</v>
      </c>
      <c r="F2016" t="s">
        <v>18909</v>
      </c>
      <c r="G2016" t="s">
        <v>18910</v>
      </c>
      <c r="H2016" s="4" t="s">
        <v>18911</v>
      </c>
    </row>
    <row r="2017" spans="1:11" ht="216" x14ac:dyDescent="0.3">
      <c r="A2017" s="4" t="s">
        <v>5275</v>
      </c>
      <c r="B2017">
        <v>3</v>
      </c>
      <c r="C2017">
        <v>2022</v>
      </c>
      <c r="D2017" t="s">
        <v>817</v>
      </c>
      <c r="E2017">
        <v>4</v>
      </c>
      <c r="F2017" t="s">
        <v>18912</v>
      </c>
      <c r="G2017" t="s">
        <v>18913</v>
      </c>
      <c r="H2017" s="4" t="s">
        <v>18914</v>
      </c>
      <c r="I2017" t="s">
        <v>71</v>
      </c>
      <c r="J2017" t="s">
        <v>10782</v>
      </c>
      <c r="K2017" t="s">
        <v>18915</v>
      </c>
    </row>
    <row r="2018" spans="1:11" ht="172.8" x14ac:dyDescent="0.3">
      <c r="A2018" s="4" t="s">
        <v>5276</v>
      </c>
      <c r="B2018">
        <v>3</v>
      </c>
      <c r="C2018">
        <v>2022</v>
      </c>
      <c r="D2018" t="s">
        <v>217</v>
      </c>
      <c r="E2018">
        <v>20</v>
      </c>
      <c r="F2018" t="s">
        <v>18916</v>
      </c>
      <c r="G2018" t="s">
        <v>18917</v>
      </c>
      <c r="H2018" s="4" t="s">
        <v>18918</v>
      </c>
      <c r="I2018" t="s">
        <v>71</v>
      </c>
      <c r="J2018" t="s">
        <v>10782</v>
      </c>
      <c r="K2018" t="s">
        <v>18919</v>
      </c>
    </row>
    <row r="2019" spans="1:11" ht="187.2" x14ac:dyDescent="0.3">
      <c r="A2019" s="4" t="s">
        <v>5277</v>
      </c>
      <c r="B2019">
        <v>3</v>
      </c>
      <c r="C2019">
        <v>2022</v>
      </c>
      <c r="D2019" t="s">
        <v>10805</v>
      </c>
      <c r="E2019">
        <v>26</v>
      </c>
      <c r="F2019" t="s">
        <v>18920</v>
      </c>
      <c r="G2019" t="s">
        <v>18921</v>
      </c>
      <c r="H2019" s="4" t="s">
        <v>18922</v>
      </c>
      <c r="I2019" t="s">
        <v>71</v>
      </c>
      <c r="J2019" t="s">
        <v>10782</v>
      </c>
      <c r="K2019" t="s">
        <v>18923</v>
      </c>
    </row>
    <row r="2020" spans="1:11" ht="144" x14ac:dyDescent="0.3">
      <c r="A2020" s="4" t="s">
        <v>5278</v>
      </c>
      <c r="B2020">
        <v>3</v>
      </c>
      <c r="C2020">
        <v>2022</v>
      </c>
      <c r="D2020" t="s">
        <v>17524</v>
      </c>
      <c r="E2020">
        <v>4</v>
      </c>
      <c r="F2020" t="s">
        <v>18924</v>
      </c>
      <c r="G2020" t="s">
        <v>18925</v>
      </c>
      <c r="H2020" s="4" t="s">
        <v>18926</v>
      </c>
      <c r="I2020" t="s">
        <v>71</v>
      </c>
      <c r="J2020" t="s">
        <v>10782</v>
      </c>
      <c r="K2020" t="s">
        <v>18927</v>
      </c>
    </row>
    <row r="2021" spans="1:11" ht="187.2" x14ac:dyDescent="0.3">
      <c r="A2021" s="4" t="s">
        <v>5279</v>
      </c>
      <c r="B2021">
        <v>3</v>
      </c>
      <c r="C2021">
        <v>2022</v>
      </c>
      <c r="D2021" t="s">
        <v>80</v>
      </c>
      <c r="E2021">
        <v>38</v>
      </c>
      <c r="F2021" t="s">
        <v>18928</v>
      </c>
      <c r="G2021" t="s">
        <v>18929</v>
      </c>
      <c r="H2021" s="4" t="s">
        <v>18930</v>
      </c>
      <c r="I2021" t="s">
        <v>71</v>
      </c>
      <c r="J2021" t="s">
        <v>10782</v>
      </c>
      <c r="K2021" t="s">
        <v>18931</v>
      </c>
    </row>
    <row r="2022" spans="1:11" ht="187.2" x14ac:dyDescent="0.3">
      <c r="A2022" s="4" t="s">
        <v>5280</v>
      </c>
      <c r="B2022">
        <v>3</v>
      </c>
      <c r="C2022">
        <v>2022</v>
      </c>
      <c r="D2022" t="s">
        <v>11702</v>
      </c>
      <c r="E2022">
        <v>29</v>
      </c>
      <c r="F2022" t="s">
        <v>18932</v>
      </c>
      <c r="G2022" t="s">
        <v>18933</v>
      </c>
      <c r="H2022" s="4" t="s">
        <v>18934</v>
      </c>
      <c r="I2022" t="s">
        <v>10823</v>
      </c>
      <c r="J2022" t="s">
        <v>10782</v>
      </c>
      <c r="K2022" t="s">
        <v>18935</v>
      </c>
    </row>
    <row r="2023" spans="1:11" ht="187.2" x14ac:dyDescent="0.3">
      <c r="A2023" s="4" t="s">
        <v>5281</v>
      </c>
      <c r="B2023">
        <v>3</v>
      </c>
      <c r="C2023">
        <v>2022</v>
      </c>
      <c r="D2023" t="s">
        <v>2853</v>
      </c>
      <c r="E2023">
        <v>7</v>
      </c>
      <c r="F2023" t="s">
        <v>18936</v>
      </c>
      <c r="G2023" t="s">
        <v>18937</v>
      </c>
      <c r="H2023" s="4" t="s">
        <v>18938</v>
      </c>
      <c r="I2023" t="s">
        <v>71</v>
      </c>
      <c r="J2023" t="s">
        <v>10782</v>
      </c>
      <c r="K2023" t="s">
        <v>18939</v>
      </c>
    </row>
    <row r="2024" spans="1:11" ht="129.6" x14ac:dyDescent="0.3">
      <c r="A2024" s="4" t="s">
        <v>5282</v>
      </c>
      <c r="B2024">
        <v>3</v>
      </c>
      <c r="C2024">
        <v>2022</v>
      </c>
      <c r="D2024" t="s">
        <v>17487</v>
      </c>
      <c r="E2024">
        <v>25</v>
      </c>
      <c r="F2024" t="s">
        <v>18940</v>
      </c>
      <c r="G2024" t="s">
        <v>18941</v>
      </c>
      <c r="H2024" s="4" t="s">
        <v>18942</v>
      </c>
      <c r="I2024" t="s">
        <v>71</v>
      </c>
      <c r="J2024" t="s">
        <v>10782</v>
      </c>
      <c r="K2024" t="s">
        <v>18943</v>
      </c>
    </row>
    <row r="2025" spans="1:11" ht="144" x14ac:dyDescent="0.3">
      <c r="A2025" s="4" t="s">
        <v>5283</v>
      </c>
      <c r="B2025">
        <v>3</v>
      </c>
      <c r="C2025">
        <v>2022</v>
      </c>
      <c r="D2025" t="s">
        <v>18944</v>
      </c>
      <c r="E2025">
        <v>20</v>
      </c>
      <c r="F2025" t="s">
        <v>18945</v>
      </c>
      <c r="G2025" t="s">
        <v>18946</v>
      </c>
      <c r="H2025" s="4" t="s">
        <v>18947</v>
      </c>
      <c r="I2025" t="s">
        <v>71</v>
      </c>
      <c r="J2025" t="s">
        <v>10782</v>
      </c>
      <c r="K2025" t="s">
        <v>18948</v>
      </c>
    </row>
    <row r="2026" spans="1:11" ht="201.6" x14ac:dyDescent="0.3">
      <c r="A2026" s="4" t="s">
        <v>5284</v>
      </c>
      <c r="B2026">
        <v>3</v>
      </c>
      <c r="C2026">
        <v>2022</v>
      </c>
      <c r="D2026" t="s">
        <v>637</v>
      </c>
      <c r="E2026">
        <v>8</v>
      </c>
      <c r="F2026" t="s">
        <v>18949</v>
      </c>
      <c r="G2026" t="s">
        <v>18950</v>
      </c>
      <c r="H2026" s="4" t="s">
        <v>18951</v>
      </c>
      <c r="I2026" t="s">
        <v>71</v>
      </c>
      <c r="J2026" t="s">
        <v>10782</v>
      </c>
      <c r="K2026" t="s">
        <v>18952</v>
      </c>
    </row>
    <row r="2027" spans="1:11" ht="201.6" x14ac:dyDescent="0.3">
      <c r="A2027" s="4" t="s">
        <v>5285</v>
      </c>
      <c r="B2027">
        <v>3</v>
      </c>
      <c r="C2027">
        <v>2022</v>
      </c>
      <c r="D2027" t="s">
        <v>1936</v>
      </c>
      <c r="E2027">
        <v>28</v>
      </c>
      <c r="F2027" t="s">
        <v>18953</v>
      </c>
      <c r="G2027" t="s">
        <v>18954</v>
      </c>
      <c r="H2027" s="4" t="s">
        <v>18955</v>
      </c>
      <c r="I2027" t="s">
        <v>71</v>
      </c>
      <c r="J2027" t="s">
        <v>10782</v>
      </c>
      <c r="K2027" t="s">
        <v>18956</v>
      </c>
    </row>
    <row r="2028" spans="1:11" ht="144" x14ac:dyDescent="0.3">
      <c r="A2028" s="4" t="s">
        <v>5286</v>
      </c>
      <c r="B2028">
        <v>3</v>
      </c>
      <c r="C2028">
        <v>2022</v>
      </c>
      <c r="D2028" t="s">
        <v>2628</v>
      </c>
      <c r="E2028">
        <v>13</v>
      </c>
      <c r="F2028" t="s">
        <v>18957</v>
      </c>
      <c r="G2028" t="s">
        <v>18958</v>
      </c>
      <c r="H2028" s="4" t="s">
        <v>18959</v>
      </c>
      <c r="I2028" t="s">
        <v>71</v>
      </c>
      <c r="J2028" t="s">
        <v>10782</v>
      </c>
      <c r="K2028" t="s">
        <v>18960</v>
      </c>
    </row>
    <row r="2029" spans="1:11" ht="187.2" x14ac:dyDescent="0.3">
      <c r="A2029" s="4" t="s">
        <v>5287</v>
      </c>
      <c r="B2029">
        <v>3</v>
      </c>
      <c r="C2029">
        <v>2022</v>
      </c>
      <c r="D2029" t="s">
        <v>147</v>
      </c>
      <c r="E2029">
        <v>23</v>
      </c>
      <c r="F2029" t="s">
        <v>18961</v>
      </c>
      <c r="G2029" t="s">
        <v>18962</v>
      </c>
      <c r="H2029" s="4" t="s">
        <v>18963</v>
      </c>
      <c r="I2029" t="s">
        <v>71</v>
      </c>
      <c r="J2029" t="s">
        <v>10782</v>
      </c>
      <c r="K2029" t="s">
        <v>18964</v>
      </c>
    </row>
    <row r="2030" spans="1:11" ht="409.6" x14ac:dyDescent="0.3">
      <c r="A2030" s="4" t="s">
        <v>3533</v>
      </c>
      <c r="B2030">
        <v>2</v>
      </c>
      <c r="C2030">
        <v>2022</v>
      </c>
      <c r="D2030" t="s">
        <v>811</v>
      </c>
      <c r="E2030">
        <v>6</v>
      </c>
      <c r="F2030" t="s">
        <v>18965</v>
      </c>
      <c r="G2030" t="s">
        <v>18966</v>
      </c>
      <c r="H2030" s="4" t="s">
        <v>18967</v>
      </c>
    </row>
    <row r="2031" spans="1:11" ht="201.6" x14ac:dyDescent="0.3">
      <c r="A2031" s="4" t="s">
        <v>5288</v>
      </c>
      <c r="B2031">
        <v>3</v>
      </c>
      <c r="C2031">
        <v>2022</v>
      </c>
      <c r="D2031" t="s">
        <v>11658</v>
      </c>
      <c r="E2031">
        <v>21</v>
      </c>
      <c r="F2031" t="s">
        <v>18968</v>
      </c>
      <c r="G2031" t="s">
        <v>18969</v>
      </c>
      <c r="H2031" s="4" t="s">
        <v>18970</v>
      </c>
      <c r="I2031" t="s">
        <v>71</v>
      </c>
      <c r="J2031" t="s">
        <v>10782</v>
      </c>
      <c r="K2031" t="s">
        <v>18971</v>
      </c>
    </row>
    <row r="2032" spans="1:11" ht="216" x14ac:dyDescent="0.3">
      <c r="A2032" s="4" t="s">
        <v>5289</v>
      </c>
      <c r="B2032">
        <v>3</v>
      </c>
      <c r="C2032">
        <v>2022</v>
      </c>
      <c r="D2032" t="s">
        <v>217</v>
      </c>
      <c r="E2032">
        <v>7</v>
      </c>
      <c r="F2032" t="s">
        <v>18972</v>
      </c>
      <c r="G2032" t="s">
        <v>18973</v>
      </c>
      <c r="H2032" s="4" t="s">
        <v>18974</v>
      </c>
      <c r="I2032" t="s">
        <v>71</v>
      </c>
      <c r="J2032" t="s">
        <v>10782</v>
      </c>
      <c r="K2032" t="s">
        <v>18975</v>
      </c>
    </row>
    <row r="2033" spans="1:11" ht="158.4" x14ac:dyDescent="0.3">
      <c r="A2033" s="4" t="s">
        <v>5290</v>
      </c>
      <c r="B2033">
        <v>3</v>
      </c>
      <c r="C2033">
        <v>2022</v>
      </c>
      <c r="D2033" t="s">
        <v>318</v>
      </c>
      <c r="E2033">
        <v>38</v>
      </c>
      <c r="F2033" t="s">
        <v>18976</v>
      </c>
      <c r="G2033" t="s">
        <v>18977</v>
      </c>
      <c r="H2033" s="4" t="s">
        <v>18978</v>
      </c>
      <c r="I2033" t="s">
        <v>71</v>
      </c>
      <c r="J2033" t="s">
        <v>10782</v>
      </c>
      <c r="K2033" t="s">
        <v>18979</v>
      </c>
    </row>
    <row r="2034" spans="1:11" ht="172.8" x14ac:dyDescent="0.3">
      <c r="A2034" s="4" t="s">
        <v>3296</v>
      </c>
      <c r="B2034">
        <v>1</v>
      </c>
      <c r="C2034">
        <v>2022</v>
      </c>
      <c r="D2034" t="s">
        <v>1912</v>
      </c>
      <c r="E2034">
        <v>12</v>
      </c>
      <c r="F2034" t="s">
        <v>18980</v>
      </c>
      <c r="G2034" t="s">
        <v>18981</v>
      </c>
      <c r="H2034" s="4" t="s">
        <v>18982</v>
      </c>
      <c r="I2034" t="s">
        <v>71</v>
      </c>
      <c r="J2034" t="s">
        <v>10782</v>
      </c>
      <c r="K2034" t="s">
        <v>18983</v>
      </c>
    </row>
    <row r="2035" spans="1:11" ht="158.4" x14ac:dyDescent="0.3">
      <c r="A2035" s="4" t="s">
        <v>5291</v>
      </c>
      <c r="B2035">
        <v>3</v>
      </c>
      <c r="C2035">
        <v>2022</v>
      </c>
      <c r="D2035" t="s">
        <v>2853</v>
      </c>
      <c r="E2035">
        <v>6</v>
      </c>
      <c r="F2035" t="s">
        <v>18984</v>
      </c>
      <c r="G2035" t="s">
        <v>18985</v>
      </c>
      <c r="H2035" s="4" t="s">
        <v>18986</v>
      </c>
      <c r="I2035" t="s">
        <v>71</v>
      </c>
      <c r="J2035" t="s">
        <v>10782</v>
      </c>
      <c r="K2035" t="s">
        <v>18987</v>
      </c>
    </row>
    <row r="2036" spans="1:11" ht="230.4" x14ac:dyDescent="0.3">
      <c r="A2036" s="4" t="s">
        <v>3534</v>
      </c>
      <c r="B2036">
        <v>2</v>
      </c>
      <c r="C2036">
        <v>2022</v>
      </c>
      <c r="D2036" t="s">
        <v>329</v>
      </c>
      <c r="E2036">
        <v>16</v>
      </c>
      <c r="F2036" t="s">
        <v>18988</v>
      </c>
      <c r="G2036" t="s">
        <v>18989</v>
      </c>
      <c r="H2036" s="4" t="s">
        <v>18990</v>
      </c>
      <c r="I2036" t="s">
        <v>71</v>
      </c>
      <c r="J2036" t="s">
        <v>10782</v>
      </c>
      <c r="K2036" t="s">
        <v>18991</v>
      </c>
    </row>
    <row r="2037" spans="1:11" ht="216" x14ac:dyDescent="0.3">
      <c r="A2037" s="4" t="s">
        <v>5292</v>
      </c>
      <c r="B2037">
        <v>3</v>
      </c>
      <c r="C2037">
        <v>2022</v>
      </c>
      <c r="D2037" t="s">
        <v>2030</v>
      </c>
      <c r="E2037">
        <v>4</v>
      </c>
      <c r="F2037" t="s">
        <v>18992</v>
      </c>
      <c r="G2037" t="s">
        <v>18993</v>
      </c>
      <c r="H2037" s="4" t="s">
        <v>18994</v>
      </c>
      <c r="I2037" t="s">
        <v>10823</v>
      </c>
      <c r="J2037" t="s">
        <v>10782</v>
      </c>
      <c r="K2037" t="s">
        <v>18995</v>
      </c>
    </row>
    <row r="2038" spans="1:11" ht="144" x14ac:dyDescent="0.3">
      <c r="A2038" s="4" t="s">
        <v>5293</v>
      </c>
      <c r="B2038">
        <v>3</v>
      </c>
      <c r="C2038">
        <v>2022</v>
      </c>
      <c r="D2038" t="s">
        <v>128</v>
      </c>
      <c r="E2038">
        <v>8</v>
      </c>
      <c r="F2038" t="s">
        <v>18996</v>
      </c>
      <c r="G2038" t="s">
        <v>18997</v>
      </c>
      <c r="H2038" s="4" t="s">
        <v>18998</v>
      </c>
    </row>
    <row r="2039" spans="1:11" ht="201.6" x14ac:dyDescent="0.3">
      <c r="A2039" s="4" t="s">
        <v>5294</v>
      </c>
      <c r="B2039">
        <v>3</v>
      </c>
      <c r="C2039">
        <v>2022</v>
      </c>
      <c r="D2039" t="s">
        <v>637</v>
      </c>
      <c r="E2039">
        <v>8</v>
      </c>
      <c r="F2039" t="s">
        <v>18999</v>
      </c>
      <c r="G2039" t="s">
        <v>19000</v>
      </c>
      <c r="H2039" s="4" t="s">
        <v>19001</v>
      </c>
      <c r="I2039" t="s">
        <v>71</v>
      </c>
      <c r="J2039" t="s">
        <v>10782</v>
      </c>
      <c r="K2039" t="s">
        <v>19002</v>
      </c>
    </row>
    <row r="2040" spans="1:11" ht="43.2" x14ac:dyDescent="0.3">
      <c r="A2040" s="4" t="s">
        <v>5295</v>
      </c>
      <c r="B2040">
        <v>3</v>
      </c>
      <c r="C2040">
        <v>2022</v>
      </c>
      <c r="D2040" t="s">
        <v>11041</v>
      </c>
      <c r="E2040">
        <v>6</v>
      </c>
      <c r="F2040" t="s">
        <v>19003</v>
      </c>
      <c r="G2040" t="s">
        <v>19004</v>
      </c>
      <c r="H2040" s="4" t="s">
        <v>19005</v>
      </c>
    </row>
    <row r="2041" spans="1:11" ht="158.4" x14ac:dyDescent="0.3">
      <c r="A2041" s="4" t="s">
        <v>5296</v>
      </c>
      <c r="B2041">
        <v>3</v>
      </c>
      <c r="C2041">
        <v>2022</v>
      </c>
      <c r="D2041" t="s">
        <v>817</v>
      </c>
      <c r="E2041">
        <v>3</v>
      </c>
      <c r="F2041" t="s">
        <v>19006</v>
      </c>
      <c r="G2041" t="s">
        <v>19007</v>
      </c>
      <c r="H2041" s="4" t="s">
        <v>19008</v>
      </c>
      <c r="I2041" t="s">
        <v>71</v>
      </c>
      <c r="J2041" t="s">
        <v>10782</v>
      </c>
      <c r="K2041" t="s">
        <v>19009</v>
      </c>
    </row>
    <row r="2042" spans="1:11" ht="216" x14ac:dyDescent="0.3">
      <c r="A2042" s="4" t="s">
        <v>5297</v>
      </c>
      <c r="B2042">
        <v>3</v>
      </c>
      <c r="C2042">
        <v>2022</v>
      </c>
      <c r="D2042" t="s">
        <v>1912</v>
      </c>
      <c r="E2042">
        <v>4</v>
      </c>
      <c r="F2042" t="s">
        <v>19010</v>
      </c>
      <c r="G2042" t="s">
        <v>19011</v>
      </c>
      <c r="H2042" s="4" t="s">
        <v>19012</v>
      </c>
      <c r="I2042" t="s">
        <v>71</v>
      </c>
      <c r="J2042" t="s">
        <v>10782</v>
      </c>
      <c r="K2042" t="s">
        <v>19013</v>
      </c>
    </row>
    <row r="2043" spans="1:11" ht="216" x14ac:dyDescent="0.3">
      <c r="A2043" s="4" t="s">
        <v>5298</v>
      </c>
      <c r="B2043">
        <v>3</v>
      </c>
      <c r="C2043">
        <v>2022</v>
      </c>
      <c r="D2043" t="s">
        <v>1570</v>
      </c>
      <c r="E2043">
        <v>1</v>
      </c>
      <c r="F2043" t="s">
        <v>19014</v>
      </c>
      <c r="G2043" t="s">
        <v>19015</v>
      </c>
      <c r="H2043" s="4" t="s">
        <v>19016</v>
      </c>
      <c r="I2043" t="s">
        <v>71</v>
      </c>
      <c r="J2043" t="s">
        <v>10782</v>
      </c>
      <c r="K2043" t="s">
        <v>19017</v>
      </c>
    </row>
    <row r="2044" spans="1:11" ht="187.2" x14ac:dyDescent="0.3">
      <c r="A2044" s="4" t="s">
        <v>5299</v>
      </c>
      <c r="B2044">
        <v>3</v>
      </c>
      <c r="C2044">
        <v>2022</v>
      </c>
      <c r="D2044" t="s">
        <v>14815</v>
      </c>
      <c r="E2044">
        <v>30</v>
      </c>
      <c r="F2044" t="s">
        <v>19018</v>
      </c>
      <c r="G2044" t="s">
        <v>19019</v>
      </c>
      <c r="H2044" s="4" t="s">
        <v>19020</v>
      </c>
      <c r="I2044" t="s">
        <v>71</v>
      </c>
      <c r="J2044" t="s">
        <v>10782</v>
      </c>
      <c r="K2044" t="s">
        <v>19021</v>
      </c>
    </row>
    <row r="2045" spans="1:11" ht="144" x14ac:dyDescent="0.3">
      <c r="A2045" s="4" t="s">
        <v>5300</v>
      </c>
      <c r="B2045">
        <v>3</v>
      </c>
      <c r="C2045">
        <v>2022</v>
      </c>
      <c r="D2045" t="s">
        <v>550</v>
      </c>
      <c r="E2045">
        <v>9</v>
      </c>
      <c r="F2045" t="s">
        <v>19022</v>
      </c>
      <c r="G2045" t="s">
        <v>19023</v>
      </c>
      <c r="H2045" s="4" t="s">
        <v>19024</v>
      </c>
      <c r="I2045" t="s">
        <v>71</v>
      </c>
      <c r="J2045" t="s">
        <v>10782</v>
      </c>
      <c r="K2045" t="s">
        <v>19025</v>
      </c>
    </row>
    <row r="2046" spans="1:11" ht="144" x14ac:dyDescent="0.3">
      <c r="A2046" s="4" t="s">
        <v>5301</v>
      </c>
      <c r="B2046">
        <v>3</v>
      </c>
      <c r="C2046">
        <v>2022</v>
      </c>
      <c r="D2046" t="s">
        <v>329</v>
      </c>
      <c r="E2046">
        <v>6</v>
      </c>
      <c r="F2046" t="s">
        <v>19026</v>
      </c>
      <c r="G2046" t="s">
        <v>19027</v>
      </c>
      <c r="H2046" s="4" t="s">
        <v>19028</v>
      </c>
      <c r="I2046" t="s">
        <v>71</v>
      </c>
      <c r="J2046" t="s">
        <v>10782</v>
      </c>
      <c r="K2046" t="s">
        <v>19029</v>
      </c>
    </row>
    <row r="2047" spans="1:11" ht="201.6" x14ac:dyDescent="0.3">
      <c r="A2047" s="4" t="s">
        <v>5302</v>
      </c>
      <c r="B2047">
        <v>3</v>
      </c>
      <c r="C2047">
        <v>2022</v>
      </c>
      <c r="D2047" t="s">
        <v>318</v>
      </c>
      <c r="E2047">
        <v>11</v>
      </c>
      <c r="F2047" t="s">
        <v>19030</v>
      </c>
      <c r="G2047" t="s">
        <v>19031</v>
      </c>
      <c r="H2047" s="4" t="s">
        <v>19032</v>
      </c>
      <c r="I2047" t="s">
        <v>71</v>
      </c>
      <c r="J2047" t="s">
        <v>10782</v>
      </c>
      <c r="K2047" t="s">
        <v>19033</v>
      </c>
    </row>
    <row r="2048" spans="1:11" ht="72" x14ac:dyDescent="0.3">
      <c r="A2048" s="4" t="s">
        <v>5303</v>
      </c>
      <c r="B2048">
        <v>3</v>
      </c>
      <c r="C2048">
        <v>2022</v>
      </c>
      <c r="D2048" t="s">
        <v>811</v>
      </c>
      <c r="E2048">
        <v>20</v>
      </c>
      <c r="F2048" t="s">
        <v>19034</v>
      </c>
      <c r="G2048" t="s">
        <v>19035</v>
      </c>
      <c r="H2048" s="4" t="s">
        <v>19036</v>
      </c>
    </row>
    <row r="2049" spans="1:11" ht="86.4" x14ac:dyDescent="0.3">
      <c r="A2049" s="4" t="s">
        <v>5304</v>
      </c>
      <c r="B2049">
        <v>3</v>
      </c>
      <c r="C2049">
        <v>2022</v>
      </c>
      <c r="D2049" t="s">
        <v>13564</v>
      </c>
      <c r="E2049">
        <v>3</v>
      </c>
      <c r="F2049" t="s">
        <v>19037</v>
      </c>
      <c r="G2049" t="s">
        <v>19038</v>
      </c>
      <c r="H2049" s="4" t="s">
        <v>19039</v>
      </c>
    </row>
    <row r="2050" spans="1:11" ht="158.4" x14ac:dyDescent="0.3">
      <c r="A2050" s="4" t="s">
        <v>5305</v>
      </c>
      <c r="B2050">
        <v>3</v>
      </c>
      <c r="C2050">
        <v>2022</v>
      </c>
      <c r="D2050" t="s">
        <v>10924</v>
      </c>
      <c r="E2050">
        <v>21</v>
      </c>
      <c r="F2050" t="s">
        <v>19040</v>
      </c>
      <c r="G2050" t="s">
        <v>19041</v>
      </c>
      <c r="H2050" s="4" t="s">
        <v>19042</v>
      </c>
      <c r="I2050" t="s">
        <v>71</v>
      </c>
      <c r="J2050" t="s">
        <v>10782</v>
      </c>
      <c r="K2050" t="s">
        <v>19043</v>
      </c>
    </row>
    <row r="2051" spans="1:11" ht="144" x14ac:dyDescent="0.3">
      <c r="A2051" s="4" t="s">
        <v>5306</v>
      </c>
      <c r="B2051">
        <v>3</v>
      </c>
      <c r="C2051">
        <v>2022</v>
      </c>
      <c r="D2051" t="s">
        <v>363</v>
      </c>
      <c r="E2051">
        <v>17</v>
      </c>
      <c r="F2051" t="s">
        <v>19044</v>
      </c>
      <c r="G2051" t="s">
        <v>19045</v>
      </c>
      <c r="H2051" s="4" t="s">
        <v>19046</v>
      </c>
      <c r="I2051" t="s">
        <v>71</v>
      </c>
      <c r="J2051" t="s">
        <v>10782</v>
      </c>
      <c r="K2051" t="s">
        <v>19047</v>
      </c>
    </row>
    <row r="2052" spans="1:11" ht="57.6" x14ac:dyDescent="0.3">
      <c r="A2052" s="4" t="s">
        <v>5307</v>
      </c>
      <c r="B2052">
        <v>3</v>
      </c>
      <c r="C2052">
        <v>2022</v>
      </c>
      <c r="D2052" t="s">
        <v>13951</v>
      </c>
      <c r="E2052">
        <v>27</v>
      </c>
      <c r="F2052" t="s">
        <v>19048</v>
      </c>
      <c r="G2052" t="s">
        <v>19049</v>
      </c>
      <c r="H2052" s="4" t="s">
        <v>19050</v>
      </c>
    </row>
    <row r="2053" spans="1:11" ht="187.2" x14ac:dyDescent="0.3">
      <c r="A2053" s="4" t="s">
        <v>5308</v>
      </c>
      <c r="B2053">
        <v>3</v>
      </c>
      <c r="C2053">
        <v>2022</v>
      </c>
      <c r="D2053" t="s">
        <v>2853</v>
      </c>
      <c r="E2053">
        <v>8</v>
      </c>
      <c r="F2053" t="s">
        <v>19051</v>
      </c>
      <c r="G2053" t="s">
        <v>19052</v>
      </c>
      <c r="H2053" s="4" t="s">
        <v>19053</v>
      </c>
      <c r="I2053" t="s">
        <v>71</v>
      </c>
      <c r="J2053" t="s">
        <v>10782</v>
      </c>
      <c r="K2053" t="s">
        <v>19054</v>
      </c>
    </row>
    <row r="2054" spans="1:11" ht="100.8" x14ac:dyDescent="0.3">
      <c r="A2054" s="4" t="s">
        <v>5309</v>
      </c>
      <c r="B2054">
        <v>3</v>
      </c>
      <c r="C2054">
        <v>2022</v>
      </c>
      <c r="D2054" t="s">
        <v>817</v>
      </c>
      <c r="E2054">
        <v>4</v>
      </c>
      <c r="F2054" t="s">
        <v>19055</v>
      </c>
      <c r="G2054" t="s">
        <v>19056</v>
      </c>
      <c r="H2054" s="4" t="s">
        <v>19057</v>
      </c>
    </row>
    <row r="2055" spans="1:11" ht="187.2" x14ac:dyDescent="0.3">
      <c r="A2055" s="4" t="s">
        <v>5310</v>
      </c>
      <c r="B2055">
        <v>3</v>
      </c>
      <c r="C2055">
        <v>2022</v>
      </c>
      <c r="D2055" t="s">
        <v>405</v>
      </c>
      <c r="E2055">
        <v>23</v>
      </c>
      <c r="F2055" t="s">
        <v>19058</v>
      </c>
      <c r="G2055" t="s">
        <v>19059</v>
      </c>
      <c r="H2055" s="4" t="s">
        <v>19060</v>
      </c>
      <c r="I2055" t="s">
        <v>71</v>
      </c>
      <c r="J2055" t="s">
        <v>10782</v>
      </c>
      <c r="K2055" t="s">
        <v>19061</v>
      </c>
    </row>
    <row r="2056" spans="1:11" ht="172.8" x14ac:dyDescent="0.3">
      <c r="A2056" s="4" t="s">
        <v>5311</v>
      </c>
      <c r="B2056">
        <v>3</v>
      </c>
      <c r="C2056">
        <v>2022</v>
      </c>
      <c r="D2056" t="s">
        <v>11064</v>
      </c>
      <c r="E2056">
        <v>3</v>
      </c>
      <c r="F2056" t="s">
        <v>19062</v>
      </c>
      <c r="G2056" t="s">
        <v>19063</v>
      </c>
      <c r="H2056" s="4" t="s">
        <v>19064</v>
      </c>
      <c r="I2056" t="s">
        <v>71</v>
      </c>
      <c r="J2056" t="s">
        <v>10782</v>
      </c>
      <c r="K2056" t="s">
        <v>19065</v>
      </c>
    </row>
    <row r="2057" spans="1:11" ht="158.4" x14ac:dyDescent="0.3">
      <c r="A2057" s="4" t="s">
        <v>5312</v>
      </c>
      <c r="B2057">
        <v>3</v>
      </c>
      <c r="C2057">
        <v>2022</v>
      </c>
      <c r="D2057" t="s">
        <v>19066</v>
      </c>
      <c r="E2057">
        <v>1</v>
      </c>
      <c r="F2057" t="s">
        <v>19067</v>
      </c>
      <c r="G2057" t="s">
        <v>19068</v>
      </c>
      <c r="H2057" s="4" t="s">
        <v>19069</v>
      </c>
      <c r="I2057" t="s">
        <v>71</v>
      </c>
      <c r="J2057" t="s">
        <v>10782</v>
      </c>
      <c r="K2057" t="s">
        <v>19070</v>
      </c>
    </row>
    <row r="2058" spans="1:11" ht="129.6" x14ac:dyDescent="0.3">
      <c r="A2058" s="4" t="s">
        <v>5313</v>
      </c>
      <c r="B2058">
        <v>3</v>
      </c>
      <c r="C2058">
        <v>2022</v>
      </c>
      <c r="D2058" t="s">
        <v>2886</v>
      </c>
      <c r="E2058">
        <v>62</v>
      </c>
      <c r="F2058" t="s">
        <v>19071</v>
      </c>
      <c r="G2058" t="s">
        <v>19072</v>
      </c>
      <c r="H2058" s="4" t="s">
        <v>19073</v>
      </c>
      <c r="I2058" t="s">
        <v>71</v>
      </c>
      <c r="J2058" t="s">
        <v>10782</v>
      </c>
      <c r="K2058" t="s">
        <v>19074</v>
      </c>
    </row>
    <row r="2059" spans="1:11" ht="201.6" x14ac:dyDescent="0.3">
      <c r="A2059" s="4" t="s">
        <v>5314</v>
      </c>
      <c r="B2059">
        <v>3</v>
      </c>
      <c r="C2059">
        <v>2022</v>
      </c>
      <c r="D2059" t="s">
        <v>10825</v>
      </c>
      <c r="E2059">
        <v>28</v>
      </c>
      <c r="F2059" t="s">
        <v>19075</v>
      </c>
      <c r="G2059" t="s">
        <v>19076</v>
      </c>
      <c r="H2059" s="4" t="s">
        <v>19077</v>
      </c>
      <c r="I2059" t="s">
        <v>71</v>
      </c>
      <c r="J2059" t="s">
        <v>10782</v>
      </c>
      <c r="K2059" t="s">
        <v>19078</v>
      </c>
    </row>
    <row r="2060" spans="1:11" ht="158.4" x14ac:dyDescent="0.3">
      <c r="A2060" s="4" t="s">
        <v>5315</v>
      </c>
      <c r="B2060">
        <v>3</v>
      </c>
      <c r="C2060">
        <v>2022</v>
      </c>
      <c r="D2060" t="s">
        <v>217</v>
      </c>
      <c r="E2060">
        <v>1</v>
      </c>
      <c r="F2060" t="s">
        <v>19079</v>
      </c>
      <c r="G2060" t="s">
        <v>19080</v>
      </c>
      <c r="H2060" s="4" t="s">
        <v>19081</v>
      </c>
      <c r="I2060" t="s">
        <v>71</v>
      </c>
      <c r="J2060" t="s">
        <v>10782</v>
      </c>
      <c r="K2060" t="s">
        <v>19082</v>
      </c>
    </row>
    <row r="2061" spans="1:11" ht="259.2" x14ac:dyDescent="0.3">
      <c r="A2061" s="4" t="s">
        <v>5316</v>
      </c>
      <c r="B2061">
        <v>3</v>
      </c>
      <c r="C2061">
        <v>2022</v>
      </c>
      <c r="D2061" t="s">
        <v>892</v>
      </c>
      <c r="E2061">
        <v>2</v>
      </c>
      <c r="F2061" t="s">
        <v>19083</v>
      </c>
      <c r="G2061" t="s">
        <v>19084</v>
      </c>
      <c r="H2061" s="4" t="s">
        <v>19085</v>
      </c>
      <c r="I2061" t="s">
        <v>71</v>
      </c>
      <c r="J2061" t="s">
        <v>10782</v>
      </c>
      <c r="K2061" t="s">
        <v>19086</v>
      </c>
    </row>
    <row r="2062" spans="1:11" ht="273.60000000000002" x14ac:dyDescent="0.3">
      <c r="A2062" s="4" t="s">
        <v>5317</v>
      </c>
      <c r="B2062">
        <v>3</v>
      </c>
      <c r="C2062">
        <v>2022</v>
      </c>
      <c r="D2062" t="s">
        <v>329</v>
      </c>
      <c r="E2062">
        <v>9</v>
      </c>
      <c r="F2062" t="s">
        <v>19087</v>
      </c>
      <c r="G2062" t="s">
        <v>19088</v>
      </c>
      <c r="H2062" s="4" t="s">
        <v>19089</v>
      </c>
      <c r="I2062" t="s">
        <v>71</v>
      </c>
      <c r="J2062" t="s">
        <v>10782</v>
      </c>
      <c r="K2062" t="s">
        <v>19090</v>
      </c>
    </row>
    <row r="2063" spans="1:11" ht="158.4" x14ac:dyDescent="0.3">
      <c r="A2063" s="4" t="s">
        <v>5318</v>
      </c>
      <c r="B2063">
        <v>3</v>
      </c>
      <c r="C2063">
        <v>2022</v>
      </c>
      <c r="D2063" t="s">
        <v>11674</v>
      </c>
      <c r="E2063">
        <v>15</v>
      </c>
      <c r="F2063" t="s">
        <v>19091</v>
      </c>
      <c r="G2063" t="s">
        <v>19092</v>
      </c>
      <c r="H2063" s="4" t="s">
        <v>19093</v>
      </c>
    </row>
    <row r="2064" spans="1:11" ht="158.4" x14ac:dyDescent="0.3">
      <c r="A2064" s="4" t="s">
        <v>5319</v>
      </c>
      <c r="B2064">
        <v>3</v>
      </c>
      <c r="C2064">
        <v>2022</v>
      </c>
      <c r="D2064" t="s">
        <v>329</v>
      </c>
      <c r="E2064">
        <v>3</v>
      </c>
      <c r="F2064" t="s">
        <v>19094</v>
      </c>
      <c r="G2064" t="s">
        <v>19095</v>
      </c>
      <c r="H2064" s="4" t="s">
        <v>19096</v>
      </c>
      <c r="I2064" t="s">
        <v>71</v>
      </c>
      <c r="J2064" t="s">
        <v>10782</v>
      </c>
      <c r="K2064" t="s">
        <v>19097</v>
      </c>
    </row>
    <row r="2065" spans="1:11" ht="172.8" x14ac:dyDescent="0.3">
      <c r="A2065" s="4" t="s">
        <v>5320</v>
      </c>
      <c r="B2065">
        <v>3</v>
      </c>
      <c r="C2065">
        <v>2022</v>
      </c>
      <c r="D2065" t="s">
        <v>637</v>
      </c>
      <c r="E2065">
        <v>7</v>
      </c>
      <c r="F2065" t="s">
        <v>19098</v>
      </c>
      <c r="G2065" t="s">
        <v>19099</v>
      </c>
      <c r="H2065" s="4" t="s">
        <v>19100</v>
      </c>
      <c r="I2065" t="s">
        <v>71</v>
      </c>
      <c r="J2065" t="s">
        <v>10782</v>
      </c>
      <c r="K2065" t="s">
        <v>19101</v>
      </c>
    </row>
    <row r="2066" spans="1:11" ht="201.6" x14ac:dyDescent="0.3">
      <c r="A2066" s="4" t="s">
        <v>5321</v>
      </c>
      <c r="B2066">
        <v>3</v>
      </c>
      <c r="C2066">
        <v>2022</v>
      </c>
      <c r="D2066" t="s">
        <v>80</v>
      </c>
      <c r="E2066">
        <v>22</v>
      </c>
      <c r="F2066" t="s">
        <v>19102</v>
      </c>
      <c r="G2066" t="s">
        <v>19103</v>
      </c>
      <c r="H2066" s="4" t="s">
        <v>19104</v>
      </c>
      <c r="I2066" t="s">
        <v>71</v>
      </c>
      <c r="J2066" t="s">
        <v>10782</v>
      </c>
      <c r="K2066" t="s">
        <v>19105</v>
      </c>
    </row>
    <row r="2067" spans="1:11" ht="288" x14ac:dyDescent="0.3">
      <c r="A2067" s="4" t="s">
        <v>2658</v>
      </c>
      <c r="B2067">
        <v>2</v>
      </c>
      <c r="C2067">
        <v>2022</v>
      </c>
      <c r="D2067" t="s">
        <v>217</v>
      </c>
      <c r="E2067">
        <v>2</v>
      </c>
      <c r="F2067" t="s">
        <v>19106</v>
      </c>
      <c r="G2067" t="s">
        <v>19107</v>
      </c>
      <c r="H2067" s="4" t="s">
        <v>19108</v>
      </c>
    </row>
    <row r="2068" spans="1:11" ht="216" x14ac:dyDescent="0.3">
      <c r="A2068" s="4" t="s">
        <v>1050</v>
      </c>
      <c r="B2068">
        <v>1</v>
      </c>
      <c r="C2068">
        <v>2022</v>
      </c>
      <c r="D2068" t="s">
        <v>1065</v>
      </c>
      <c r="E2068">
        <v>13</v>
      </c>
      <c r="F2068" t="s">
        <v>19109</v>
      </c>
      <c r="G2068" t="s">
        <v>19110</v>
      </c>
      <c r="H2068" s="4" t="s">
        <v>19111</v>
      </c>
      <c r="I2068" t="s">
        <v>71</v>
      </c>
      <c r="J2068" t="s">
        <v>10782</v>
      </c>
      <c r="K2068" t="s">
        <v>19112</v>
      </c>
    </row>
    <row r="2069" spans="1:11" ht="144" x14ac:dyDescent="0.3">
      <c r="A2069" s="4" t="s">
        <v>5322</v>
      </c>
      <c r="B2069">
        <v>3</v>
      </c>
      <c r="C2069">
        <v>2022</v>
      </c>
      <c r="D2069" t="s">
        <v>12000</v>
      </c>
      <c r="E2069">
        <v>4</v>
      </c>
      <c r="F2069" t="s">
        <v>19113</v>
      </c>
      <c r="G2069" t="s">
        <v>19114</v>
      </c>
      <c r="H2069" s="4" t="s">
        <v>19115</v>
      </c>
      <c r="I2069" t="s">
        <v>71</v>
      </c>
      <c r="J2069" t="s">
        <v>10782</v>
      </c>
      <c r="K2069" t="s">
        <v>19116</v>
      </c>
    </row>
    <row r="2070" spans="1:11" ht="216" x14ac:dyDescent="0.3">
      <c r="A2070" s="4" t="s">
        <v>3297</v>
      </c>
      <c r="B2070">
        <v>1</v>
      </c>
      <c r="C2070">
        <v>2022</v>
      </c>
      <c r="D2070" t="s">
        <v>217</v>
      </c>
      <c r="E2070">
        <v>6</v>
      </c>
      <c r="F2070" t="s">
        <v>19117</v>
      </c>
      <c r="G2070" t="s">
        <v>19118</v>
      </c>
      <c r="H2070" s="4" t="s">
        <v>19119</v>
      </c>
      <c r="I2070" t="s">
        <v>71</v>
      </c>
      <c r="J2070" t="s">
        <v>10782</v>
      </c>
      <c r="K2070" t="s">
        <v>19120</v>
      </c>
    </row>
    <row r="2071" spans="1:11" ht="201.6" x14ac:dyDescent="0.3">
      <c r="A2071" s="4" t="s">
        <v>5323</v>
      </c>
      <c r="B2071">
        <v>3</v>
      </c>
      <c r="C2071">
        <v>2022</v>
      </c>
      <c r="D2071" t="s">
        <v>147</v>
      </c>
      <c r="E2071">
        <v>3</v>
      </c>
      <c r="F2071" t="s">
        <v>19121</v>
      </c>
      <c r="G2071" t="s">
        <v>19122</v>
      </c>
      <c r="H2071" s="4" t="s">
        <v>19123</v>
      </c>
      <c r="I2071" t="s">
        <v>71</v>
      </c>
      <c r="J2071" t="s">
        <v>10782</v>
      </c>
      <c r="K2071" t="s">
        <v>19124</v>
      </c>
    </row>
    <row r="2072" spans="1:11" ht="230.4" x14ac:dyDescent="0.3">
      <c r="A2072" s="4" t="s">
        <v>5324</v>
      </c>
      <c r="B2072">
        <v>3</v>
      </c>
      <c r="C2072">
        <v>2022</v>
      </c>
      <c r="D2072" t="s">
        <v>799</v>
      </c>
      <c r="E2072">
        <v>2</v>
      </c>
      <c r="F2072" t="s">
        <v>19125</v>
      </c>
      <c r="G2072" t="s">
        <v>19126</v>
      </c>
      <c r="H2072" s="4" t="s">
        <v>19127</v>
      </c>
      <c r="I2072" t="s">
        <v>71</v>
      </c>
      <c r="J2072" t="s">
        <v>10782</v>
      </c>
      <c r="K2072" t="s">
        <v>19128</v>
      </c>
    </row>
    <row r="2073" spans="1:11" ht="144" x14ac:dyDescent="0.3">
      <c r="A2073" s="4" t="s">
        <v>5325</v>
      </c>
      <c r="B2073">
        <v>3</v>
      </c>
      <c r="C2073">
        <v>2022</v>
      </c>
      <c r="D2073" t="s">
        <v>14703</v>
      </c>
      <c r="E2073">
        <v>4</v>
      </c>
      <c r="F2073" t="s">
        <v>19129</v>
      </c>
      <c r="G2073" t="s">
        <v>19130</v>
      </c>
      <c r="H2073" s="4" t="s">
        <v>19131</v>
      </c>
      <c r="I2073" t="s">
        <v>71</v>
      </c>
      <c r="J2073" t="s">
        <v>10782</v>
      </c>
      <c r="K2073" t="s">
        <v>19132</v>
      </c>
    </row>
    <row r="2074" spans="1:11" ht="158.4" x14ac:dyDescent="0.3">
      <c r="A2074" s="4" t="s">
        <v>5326</v>
      </c>
      <c r="B2074">
        <v>3</v>
      </c>
      <c r="C2074">
        <v>2022</v>
      </c>
      <c r="D2074" t="s">
        <v>217</v>
      </c>
      <c r="E2074">
        <v>31</v>
      </c>
      <c r="F2074" t="s">
        <v>19133</v>
      </c>
      <c r="G2074" t="s">
        <v>19134</v>
      </c>
      <c r="H2074" s="4" t="s">
        <v>19135</v>
      </c>
    </row>
    <row r="2075" spans="1:11" ht="187.2" x14ac:dyDescent="0.3">
      <c r="A2075" s="4" t="s">
        <v>5327</v>
      </c>
      <c r="B2075">
        <v>3</v>
      </c>
      <c r="C2075">
        <v>2022</v>
      </c>
      <c r="D2075" t="s">
        <v>217</v>
      </c>
      <c r="E2075">
        <v>12</v>
      </c>
      <c r="F2075" t="s">
        <v>19136</v>
      </c>
      <c r="G2075" t="s">
        <v>19137</v>
      </c>
      <c r="H2075" s="4" t="s">
        <v>19138</v>
      </c>
    </row>
    <row r="2076" spans="1:11" ht="201.6" x14ac:dyDescent="0.3">
      <c r="A2076" s="4" t="s">
        <v>5328</v>
      </c>
      <c r="B2076">
        <v>3</v>
      </c>
      <c r="C2076">
        <v>2022</v>
      </c>
      <c r="D2076" t="s">
        <v>10924</v>
      </c>
      <c r="E2076">
        <v>7</v>
      </c>
      <c r="F2076" t="s">
        <v>19139</v>
      </c>
      <c r="G2076" t="s">
        <v>19140</v>
      </c>
      <c r="H2076" s="4" t="s">
        <v>19141</v>
      </c>
      <c r="I2076" t="s">
        <v>71</v>
      </c>
      <c r="J2076" t="s">
        <v>10782</v>
      </c>
      <c r="K2076" t="s">
        <v>19142</v>
      </c>
    </row>
    <row r="2077" spans="1:11" ht="201.6" x14ac:dyDescent="0.3">
      <c r="A2077" s="4" t="s">
        <v>5329</v>
      </c>
      <c r="B2077">
        <v>3</v>
      </c>
      <c r="C2077">
        <v>2022</v>
      </c>
      <c r="D2077" t="s">
        <v>80</v>
      </c>
      <c r="E2077">
        <v>47</v>
      </c>
      <c r="F2077" t="s">
        <v>19143</v>
      </c>
      <c r="G2077" t="s">
        <v>19144</v>
      </c>
      <c r="H2077" s="4" t="s">
        <v>19145</v>
      </c>
      <c r="I2077" t="s">
        <v>71</v>
      </c>
      <c r="J2077" t="s">
        <v>10782</v>
      </c>
      <c r="K2077" t="s">
        <v>19146</v>
      </c>
    </row>
    <row r="2078" spans="1:11" ht="129.6" x14ac:dyDescent="0.3">
      <c r="A2078" s="4" t="s">
        <v>5330</v>
      </c>
      <c r="B2078">
        <v>3</v>
      </c>
      <c r="C2078">
        <v>2022</v>
      </c>
      <c r="D2078" t="s">
        <v>637</v>
      </c>
      <c r="E2078">
        <v>7</v>
      </c>
      <c r="F2078" t="s">
        <v>19147</v>
      </c>
      <c r="G2078" t="s">
        <v>19148</v>
      </c>
      <c r="H2078" s="4" t="s">
        <v>19149</v>
      </c>
      <c r="I2078" t="s">
        <v>71</v>
      </c>
      <c r="J2078" t="s">
        <v>10782</v>
      </c>
      <c r="K2078" t="s">
        <v>19150</v>
      </c>
    </row>
    <row r="2079" spans="1:11" ht="129.6" x14ac:dyDescent="0.3">
      <c r="A2079" s="4" t="s">
        <v>5331</v>
      </c>
      <c r="B2079">
        <v>3</v>
      </c>
      <c r="C2079">
        <v>2022</v>
      </c>
      <c r="D2079" t="s">
        <v>14517</v>
      </c>
      <c r="E2079">
        <v>4</v>
      </c>
      <c r="F2079" t="s">
        <v>19151</v>
      </c>
      <c r="G2079" t="s">
        <v>19152</v>
      </c>
      <c r="H2079" s="4" t="s">
        <v>19153</v>
      </c>
      <c r="I2079" t="s">
        <v>71</v>
      </c>
      <c r="J2079" t="s">
        <v>10782</v>
      </c>
      <c r="K2079" t="s">
        <v>19154</v>
      </c>
    </row>
    <row r="2080" spans="1:11" ht="115.2" x14ac:dyDescent="0.3">
      <c r="A2080" s="4" t="s">
        <v>5332</v>
      </c>
      <c r="B2080">
        <v>3</v>
      </c>
      <c r="C2080">
        <v>2022</v>
      </c>
      <c r="D2080" t="s">
        <v>1621</v>
      </c>
      <c r="E2080">
        <v>2</v>
      </c>
      <c r="F2080" t="s">
        <v>19155</v>
      </c>
      <c r="G2080" t="s">
        <v>19156</v>
      </c>
      <c r="H2080" s="4" t="s">
        <v>19157</v>
      </c>
      <c r="I2080" t="s">
        <v>71</v>
      </c>
      <c r="J2080" t="s">
        <v>10782</v>
      </c>
      <c r="K2080" t="s">
        <v>19158</v>
      </c>
    </row>
    <row r="2081" spans="1:11" ht="201.6" x14ac:dyDescent="0.3">
      <c r="A2081" s="4" t="s">
        <v>3298</v>
      </c>
      <c r="B2081">
        <v>1</v>
      </c>
      <c r="C2081">
        <v>2022</v>
      </c>
      <c r="D2081" t="s">
        <v>14703</v>
      </c>
      <c r="E2081">
        <v>4</v>
      </c>
      <c r="F2081" t="s">
        <v>19159</v>
      </c>
      <c r="G2081" t="s">
        <v>19160</v>
      </c>
      <c r="H2081" s="4" t="s">
        <v>19161</v>
      </c>
      <c r="I2081" t="s">
        <v>71</v>
      </c>
      <c r="J2081" t="s">
        <v>10782</v>
      </c>
      <c r="K2081" t="s">
        <v>19162</v>
      </c>
    </row>
    <row r="2082" spans="1:11" ht="230.4" x14ac:dyDescent="0.3">
      <c r="A2082" s="4" t="s">
        <v>5333</v>
      </c>
      <c r="B2082">
        <v>3</v>
      </c>
      <c r="C2082">
        <v>2022</v>
      </c>
      <c r="D2082" t="s">
        <v>363</v>
      </c>
      <c r="E2082">
        <v>10</v>
      </c>
      <c r="F2082" t="s">
        <v>19163</v>
      </c>
      <c r="G2082" t="s">
        <v>19164</v>
      </c>
      <c r="H2082" s="4" t="s">
        <v>19165</v>
      </c>
      <c r="I2082" t="s">
        <v>71</v>
      </c>
      <c r="J2082" t="s">
        <v>10782</v>
      </c>
      <c r="K2082" t="s">
        <v>19166</v>
      </c>
    </row>
    <row r="2083" spans="1:11" ht="144" x14ac:dyDescent="0.3">
      <c r="A2083" s="4" t="s">
        <v>5334</v>
      </c>
      <c r="B2083">
        <v>3</v>
      </c>
      <c r="C2083">
        <v>2022</v>
      </c>
      <c r="D2083" t="s">
        <v>12580</v>
      </c>
      <c r="E2083">
        <v>8</v>
      </c>
      <c r="F2083" t="s">
        <v>19167</v>
      </c>
      <c r="G2083" t="s">
        <v>19168</v>
      </c>
      <c r="H2083" s="4" t="s">
        <v>19169</v>
      </c>
      <c r="I2083" t="s">
        <v>71</v>
      </c>
      <c r="J2083" t="s">
        <v>10782</v>
      </c>
      <c r="K2083" t="s">
        <v>19170</v>
      </c>
    </row>
    <row r="2084" spans="1:11" ht="86.4" x14ac:dyDescent="0.3">
      <c r="A2084" s="4" t="s">
        <v>5335</v>
      </c>
      <c r="B2084">
        <v>3</v>
      </c>
      <c r="C2084">
        <v>2022</v>
      </c>
      <c r="D2084" t="s">
        <v>817</v>
      </c>
      <c r="E2084">
        <v>3</v>
      </c>
      <c r="F2084" t="s">
        <v>19171</v>
      </c>
      <c r="G2084" t="s">
        <v>19172</v>
      </c>
      <c r="H2084" s="4" t="s">
        <v>19173</v>
      </c>
    </row>
    <row r="2085" spans="1:11" ht="403.2" x14ac:dyDescent="0.3">
      <c r="A2085" s="4" t="s">
        <v>5336</v>
      </c>
      <c r="B2085">
        <v>3</v>
      </c>
      <c r="C2085">
        <v>2022</v>
      </c>
      <c r="D2085" t="s">
        <v>11674</v>
      </c>
      <c r="E2085">
        <v>26</v>
      </c>
      <c r="F2085" t="s">
        <v>19174</v>
      </c>
      <c r="G2085" t="s">
        <v>19175</v>
      </c>
      <c r="H2085" s="4" t="s">
        <v>19176</v>
      </c>
      <c r="I2085" t="s">
        <v>71</v>
      </c>
      <c r="J2085" t="s">
        <v>10782</v>
      </c>
      <c r="K2085" t="s">
        <v>19177</v>
      </c>
    </row>
    <row r="2086" spans="1:11" ht="201.6" x14ac:dyDescent="0.3">
      <c r="A2086" s="4" t="s">
        <v>1051</v>
      </c>
      <c r="B2086">
        <v>1</v>
      </c>
      <c r="C2086">
        <v>2022</v>
      </c>
      <c r="D2086" t="s">
        <v>724</v>
      </c>
      <c r="E2086">
        <v>7</v>
      </c>
      <c r="F2086" t="s">
        <v>19178</v>
      </c>
      <c r="G2086" t="s">
        <v>19179</v>
      </c>
      <c r="H2086" s="4" t="s">
        <v>19180</v>
      </c>
      <c r="I2086" t="s">
        <v>71</v>
      </c>
      <c r="J2086" t="s">
        <v>10782</v>
      </c>
      <c r="K2086" t="s">
        <v>19181</v>
      </c>
    </row>
    <row r="2087" spans="1:11" ht="216" x14ac:dyDescent="0.3">
      <c r="A2087" s="4" t="s">
        <v>5337</v>
      </c>
      <c r="B2087">
        <v>3</v>
      </c>
      <c r="C2087">
        <v>2022</v>
      </c>
      <c r="D2087" t="s">
        <v>11617</v>
      </c>
      <c r="E2087">
        <v>3</v>
      </c>
      <c r="F2087" t="s">
        <v>19182</v>
      </c>
      <c r="G2087" t="s">
        <v>19183</v>
      </c>
      <c r="H2087" s="4" t="s">
        <v>19184</v>
      </c>
      <c r="I2087" t="s">
        <v>10945</v>
      </c>
      <c r="J2087" t="s">
        <v>10782</v>
      </c>
      <c r="K2087" t="s">
        <v>19185</v>
      </c>
    </row>
    <row r="2088" spans="1:11" ht="201.6" x14ac:dyDescent="0.3">
      <c r="A2088" s="4" t="s">
        <v>5338</v>
      </c>
      <c r="B2088">
        <v>3</v>
      </c>
      <c r="C2088">
        <v>2022</v>
      </c>
      <c r="D2088" t="s">
        <v>19186</v>
      </c>
      <c r="E2088">
        <v>14</v>
      </c>
      <c r="F2088" t="s">
        <v>19187</v>
      </c>
      <c r="G2088" t="s">
        <v>19188</v>
      </c>
      <c r="H2088" s="4" t="s">
        <v>19189</v>
      </c>
      <c r="I2088" t="s">
        <v>71</v>
      </c>
      <c r="J2088" t="s">
        <v>10782</v>
      </c>
      <c r="K2088" t="s">
        <v>19190</v>
      </c>
    </row>
    <row r="2089" spans="1:11" ht="172.8" x14ac:dyDescent="0.3">
      <c r="A2089" s="4" t="s">
        <v>5339</v>
      </c>
      <c r="B2089">
        <v>3</v>
      </c>
      <c r="C2089">
        <v>2022</v>
      </c>
      <c r="D2089" t="s">
        <v>10178</v>
      </c>
      <c r="E2089">
        <v>74</v>
      </c>
      <c r="F2089" t="s">
        <v>19191</v>
      </c>
      <c r="G2089" t="s">
        <v>19192</v>
      </c>
      <c r="H2089" s="4" t="s">
        <v>19193</v>
      </c>
      <c r="I2089" t="s">
        <v>71</v>
      </c>
      <c r="J2089" t="s">
        <v>10782</v>
      </c>
      <c r="K2089" t="s">
        <v>19194</v>
      </c>
    </row>
    <row r="2090" spans="1:11" ht="201.6" x14ac:dyDescent="0.3">
      <c r="A2090" s="4" t="s">
        <v>5340</v>
      </c>
      <c r="B2090">
        <v>3</v>
      </c>
      <c r="C2090">
        <v>2022</v>
      </c>
      <c r="D2090" t="s">
        <v>318</v>
      </c>
      <c r="E2090">
        <v>9</v>
      </c>
      <c r="F2090" t="s">
        <v>19195</v>
      </c>
      <c r="G2090" t="s">
        <v>19196</v>
      </c>
      <c r="H2090" s="4" t="s">
        <v>19197</v>
      </c>
      <c r="I2090" t="s">
        <v>71</v>
      </c>
      <c r="J2090" t="s">
        <v>10782</v>
      </c>
      <c r="K2090" t="s">
        <v>19198</v>
      </c>
    </row>
    <row r="2091" spans="1:11" ht="144" x14ac:dyDescent="0.3">
      <c r="A2091" s="4" t="s">
        <v>5341</v>
      </c>
      <c r="B2091">
        <v>3</v>
      </c>
      <c r="C2091">
        <v>2022</v>
      </c>
      <c r="D2091" t="s">
        <v>12318</v>
      </c>
      <c r="E2091">
        <v>8</v>
      </c>
      <c r="F2091" t="s">
        <v>19199</v>
      </c>
      <c r="G2091" t="s">
        <v>19200</v>
      </c>
      <c r="H2091" s="4" t="s">
        <v>19201</v>
      </c>
      <c r="I2091" t="s">
        <v>71</v>
      </c>
      <c r="J2091" t="s">
        <v>10782</v>
      </c>
      <c r="K2091" t="s">
        <v>19202</v>
      </c>
    </row>
    <row r="2092" spans="1:11" ht="201.6" x14ac:dyDescent="0.3">
      <c r="A2092" s="4" t="s">
        <v>5342</v>
      </c>
      <c r="B2092">
        <v>3</v>
      </c>
      <c r="C2092">
        <v>2022</v>
      </c>
      <c r="D2092" t="s">
        <v>637</v>
      </c>
      <c r="E2092">
        <v>1</v>
      </c>
      <c r="F2092" t="s">
        <v>19203</v>
      </c>
      <c r="G2092" t="s">
        <v>19204</v>
      </c>
      <c r="H2092" s="4" t="s">
        <v>19205</v>
      </c>
      <c r="I2092" t="s">
        <v>71</v>
      </c>
      <c r="J2092" t="s">
        <v>10782</v>
      </c>
      <c r="K2092" t="s">
        <v>19206</v>
      </c>
    </row>
    <row r="2093" spans="1:11" ht="158.4" x14ac:dyDescent="0.3">
      <c r="A2093" s="4" t="s">
        <v>5343</v>
      </c>
      <c r="B2093">
        <v>3</v>
      </c>
      <c r="C2093">
        <v>2022</v>
      </c>
      <c r="D2093" t="s">
        <v>1936</v>
      </c>
      <c r="E2093">
        <v>11</v>
      </c>
      <c r="F2093" t="s">
        <v>19207</v>
      </c>
      <c r="G2093" t="s">
        <v>19208</v>
      </c>
      <c r="H2093" s="4" t="s">
        <v>19209</v>
      </c>
      <c r="I2093" t="s">
        <v>71</v>
      </c>
      <c r="J2093" t="s">
        <v>10782</v>
      </c>
      <c r="K2093" t="s">
        <v>19210</v>
      </c>
    </row>
    <row r="2094" spans="1:11" ht="187.2" x14ac:dyDescent="0.3">
      <c r="A2094" s="4" t="s">
        <v>5344</v>
      </c>
      <c r="B2094">
        <v>3</v>
      </c>
      <c r="C2094">
        <v>2022</v>
      </c>
      <c r="D2094" t="s">
        <v>1770</v>
      </c>
      <c r="E2094">
        <v>14</v>
      </c>
      <c r="F2094" t="s">
        <v>19211</v>
      </c>
      <c r="G2094" t="s">
        <v>19212</v>
      </c>
      <c r="H2094" s="4" t="s">
        <v>19213</v>
      </c>
      <c r="I2094" t="s">
        <v>71</v>
      </c>
      <c r="J2094" t="s">
        <v>10782</v>
      </c>
      <c r="K2094" t="s">
        <v>19214</v>
      </c>
    </row>
    <row r="2095" spans="1:11" ht="158.4" x14ac:dyDescent="0.3">
      <c r="A2095" s="4" t="s">
        <v>5345</v>
      </c>
      <c r="B2095">
        <v>3</v>
      </c>
      <c r="C2095">
        <v>2022</v>
      </c>
      <c r="D2095" t="s">
        <v>19215</v>
      </c>
      <c r="E2095">
        <v>4</v>
      </c>
      <c r="F2095" t="s">
        <v>19216</v>
      </c>
      <c r="G2095" t="s">
        <v>19217</v>
      </c>
      <c r="H2095" s="4" t="s">
        <v>19218</v>
      </c>
      <c r="I2095" t="s">
        <v>71</v>
      </c>
      <c r="J2095" t="s">
        <v>10782</v>
      </c>
      <c r="K2095" t="s">
        <v>19219</v>
      </c>
    </row>
    <row r="2096" spans="1:11" ht="100.8" x14ac:dyDescent="0.3">
      <c r="A2096" s="4" t="s">
        <v>5346</v>
      </c>
      <c r="B2096">
        <v>3</v>
      </c>
      <c r="C2096">
        <v>2022</v>
      </c>
      <c r="D2096" t="s">
        <v>19220</v>
      </c>
      <c r="E2096">
        <v>0</v>
      </c>
      <c r="G2096" t="s">
        <v>19221</v>
      </c>
      <c r="H2096" s="4" t="s">
        <v>19222</v>
      </c>
      <c r="I2096" s="4" t="s">
        <v>71</v>
      </c>
      <c r="J2096" t="s">
        <v>10782</v>
      </c>
      <c r="K2096" t="s">
        <v>19223</v>
      </c>
    </row>
    <row r="2097" spans="1:11" ht="144" x14ac:dyDescent="0.3">
      <c r="A2097" s="4" t="s">
        <v>5347</v>
      </c>
      <c r="B2097">
        <v>3</v>
      </c>
      <c r="C2097">
        <v>2022</v>
      </c>
      <c r="D2097" t="s">
        <v>398</v>
      </c>
      <c r="E2097">
        <v>2</v>
      </c>
      <c r="F2097" t="s">
        <v>19224</v>
      </c>
      <c r="G2097" t="s">
        <v>19225</v>
      </c>
      <c r="H2097" s="4" t="s">
        <v>19226</v>
      </c>
      <c r="I2097" t="s">
        <v>71</v>
      </c>
      <c r="J2097" t="s">
        <v>10782</v>
      </c>
      <c r="K2097" t="s">
        <v>19227</v>
      </c>
    </row>
    <row r="2098" spans="1:11" ht="201.6" x14ac:dyDescent="0.3">
      <c r="A2098" s="4" t="s">
        <v>5348</v>
      </c>
      <c r="B2098">
        <v>3</v>
      </c>
      <c r="C2098">
        <v>2022</v>
      </c>
      <c r="D2098" t="s">
        <v>11556</v>
      </c>
      <c r="E2098">
        <v>12</v>
      </c>
      <c r="F2098" t="s">
        <v>19228</v>
      </c>
      <c r="G2098" t="s">
        <v>19229</v>
      </c>
      <c r="H2098" s="4" t="s">
        <v>19230</v>
      </c>
      <c r="I2098" t="s">
        <v>71</v>
      </c>
      <c r="J2098" t="s">
        <v>10782</v>
      </c>
      <c r="K2098" t="s">
        <v>19231</v>
      </c>
    </row>
    <row r="2099" spans="1:11" ht="144" x14ac:dyDescent="0.3">
      <c r="A2099" s="4" t="s">
        <v>5349</v>
      </c>
      <c r="B2099">
        <v>3</v>
      </c>
      <c r="C2099">
        <v>2022</v>
      </c>
      <c r="D2099" t="s">
        <v>80</v>
      </c>
      <c r="E2099">
        <v>12</v>
      </c>
      <c r="F2099" t="s">
        <v>19232</v>
      </c>
      <c r="G2099" t="s">
        <v>19233</v>
      </c>
      <c r="H2099" s="4" t="s">
        <v>19234</v>
      </c>
    </row>
    <row r="2100" spans="1:11" ht="144" x14ac:dyDescent="0.3">
      <c r="A2100" s="4" t="s">
        <v>5350</v>
      </c>
      <c r="B2100">
        <v>3</v>
      </c>
      <c r="C2100">
        <v>2022</v>
      </c>
      <c r="D2100" t="s">
        <v>14310</v>
      </c>
      <c r="E2100">
        <v>15</v>
      </c>
      <c r="F2100" t="s">
        <v>19235</v>
      </c>
      <c r="G2100" t="s">
        <v>19236</v>
      </c>
      <c r="H2100" s="4" t="s">
        <v>19237</v>
      </c>
      <c r="I2100" t="s">
        <v>71</v>
      </c>
      <c r="J2100" t="s">
        <v>10782</v>
      </c>
      <c r="K2100" t="s">
        <v>19238</v>
      </c>
    </row>
    <row r="2101" spans="1:11" ht="172.8" x14ac:dyDescent="0.3">
      <c r="A2101" s="4" t="s">
        <v>5351</v>
      </c>
      <c r="B2101">
        <v>3</v>
      </c>
      <c r="C2101">
        <v>2022</v>
      </c>
      <c r="D2101" t="s">
        <v>14815</v>
      </c>
      <c r="E2101">
        <v>35</v>
      </c>
      <c r="F2101" t="s">
        <v>19239</v>
      </c>
      <c r="G2101" t="s">
        <v>19240</v>
      </c>
      <c r="H2101" s="4" t="s">
        <v>19241</v>
      </c>
      <c r="I2101" t="s">
        <v>71</v>
      </c>
      <c r="J2101" t="s">
        <v>10782</v>
      </c>
      <c r="K2101" t="s">
        <v>19242</v>
      </c>
    </row>
    <row r="2102" spans="1:11" ht="172.8" x14ac:dyDescent="0.3">
      <c r="A2102" s="4" t="s">
        <v>5352</v>
      </c>
      <c r="B2102">
        <v>3</v>
      </c>
      <c r="C2102">
        <v>2022</v>
      </c>
      <c r="D2102" t="s">
        <v>16937</v>
      </c>
      <c r="E2102">
        <v>9</v>
      </c>
      <c r="F2102" t="s">
        <v>19243</v>
      </c>
      <c r="G2102" t="s">
        <v>19244</v>
      </c>
      <c r="H2102" s="4" t="s">
        <v>19245</v>
      </c>
      <c r="I2102" t="s">
        <v>71</v>
      </c>
      <c r="J2102" t="s">
        <v>10782</v>
      </c>
      <c r="K2102" t="s">
        <v>19246</v>
      </c>
    </row>
    <row r="2103" spans="1:11" ht="158.4" x14ac:dyDescent="0.3">
      <c r="A2103" s="4" t="s">
        <v>5353</v>
      </c>
      <c r="B2103">
        <v>3</v>
      </c>
      <c r="C2103">
        <v>2022</v>
      </c>
      <c r="D2103" t="s">
        <v>958</v>
      </c>
      <c r="E2103">
        <v>18</v>
      </c>
      <c r="F2103" t="s">
        <v>19247</v>
      </c>
      <c r="G2103" t="s">
        <v>19248</v>
      </c>
      <c r="H2103" s="4" t="s">
        <v>19249</v>
      </c>
      <c r="I2103" t="s">
        <v>71</v>
      </c>
      <c r="J2103" t="s">
        <v>10782</v>
      </c>
      <c r="K2103" t="s">
        <v>19250</v>
      </c>
    </row>
    <row r="2104" spans="1:11" ht="158.4" x14ac:dyDescent="0.3">
      <c r="A2104" s="4" t="s">
        <v>5354</v>
      </c>
      <c r="B2104">
        <v>3</v>
      </c>
      <c r="C2104">
        <v>2022</v>
      </c>
      <c r="D2104" t="s">
        <v>10815</v>
      </c>
      <c r="E2104">
        <v>3</v>
      </c>
      <c r="F2104" t="s">
        <v>19251</v>
      </c>
      <c r="G2104" t="s">
        <v>19252</v>
      </c>
      <c r="H2104" s="4" t="s">
        <v>19253</v>
      </c>
      <c r="I2104" t="s">
        <v>71</v>
      </c>
      <c r="J2104" t="s">
        <v>10782</v>
      </c>
      <c r="K2104" t="s">
        <v>19254</v>
      </c>
    </row>
    <row r="2105" spans="1:11" ht="100.8" x14ac:dyDescent="0.3">
      <c r="A2105" s="4" t="s">
        <v>5355</v>
      </c>
      <c r="B2105">
        <v>3</v>
      </c>
      <c r="C2105">
        <v>2022</v>
      </c>
      <c r="D2105" t="s">
        <v>14533</v>
      </c>
      <c r="E2105">
        <v>11</v>
      </c>
      <c r="F2105" t="s">
        <v>19255</v>
      </c>
      <c r="G2105" t="s">
        <v>19256</v>
      </c>
      <c r="H2105" s="4" t="s">
        <v>19257</v>
      </c>
      <c r="I2105" t="s">
        <v>71</v>
      </c>
      <c r="J2105" t="s">
        <v>10782</v>
      </c>
      <c r="K2105" t="s">
        <v>19258</v>
      </c>
    </row>
    <row r="2106" spans="1:11" ht="115.2" x14ac:dyDescent="0.3">
      <c r="A2106" s="4" t="s">
        <v>5356</v>
      </c>
      <c r="B2106">
        <v>3</v>
      </c>
      <c r="C2106">
        <v>2022</v>
      </c>
      <c r="D2106" t="s">
        <v>385</v>
      </c>
      <c r="E2106">
        <v>38</v>
      </c>
      <c r="F2106" t="s">
        <v>19259</v>
      </c>
      <c r="G2106" t="s">
        <v>19260</v>
      </c>
      <c r="H2106" s="4" t="s">
        <v>19261</v>
      </c>
      <c r="I2106" t="s">
        <v>71</v>
      </c>
      <c r="J2106" t="s">
        <v>10782</v>
      </c>
      <c r="K2106" t="s">
        <v>19262</v>
      </c>
    </row>
    <row r="2107" spans="1:11" ht="115.2" x14ac:dyDescent="0.3">
      <c r="A2107" s="4" t="s">
        <v>5357</v>
      </c>
      <c r="B2107">
        <v>3</v>
      </c>
      <c r="C2107">
        <v>2022</v>
      </c>
      <c r="D2107" t="s">
        <v>11495</v>
      </c>
      <c r="E2107">
        <v>0</v>
      </c>
      <c r="F2107" t="s">
        <v>19263</v>
      </c>
      <c r="G2107" t="s">
        <v>19264</v>
      </c>
      <c r="H2107" s="4" t="s">
        <v>19265</v>
      </c>
      <c r="I2107" t="s">
        <v>71</v>
      </c>
      <c r="J2107" t="s">
        <v>10782</v>
      </c>
      <c r="K2107" t="s">
        <v>19266</v>
      </c>
    </row>
    <row r="2108" spans="1:11" ht="115.2" x14ac:dyDescent="0.3">
      <c r="A2108" s="4" t="s">
        <v>3535</v>
      </c>
      <c r="B2108">
        <v>2</v>
      </c>
      <c r="C2108">
        <v>2022</v>
      </c>
      <c r="D2108" t="s">
        <v>19267</v>
      </c>
      <c r="E2108">
        <v>5</v>
      </c>
      <c r="F2108" t="s">
        <v>19268</v>
      </c>
      <c r="G2108" t="s">
        <v>19269</v>
      </c>
      <c r="H2108" s="4" t="s">
        <v>19270</v>
      </c>
      <c r="I2108" t="s">
        <v>71</v>
      </c>
      <c r="J2108" t="s">
        <v>10782</v>
      </c>
      <c r="K2108" t="s">
        <v>19271</v>
      </c>
    </row>
    <row r="2109" spans="1:11" ht="230.4" x14ac:dyDescent="0.3">
      <c r="A2109" s="4" t="s">
        <v>5358</v>
      </c>
      <c r="B2109">
        <v>3</v>
      </c>
      <c r="C2109">
        <v>2022</v>
      </c>
      <c r="D2109" t="s">
        <v>817</v>
      </c>
      <c r="E2109">
        <v>9</v>
      </c>
      <c r="F2109" t="s">
        <v>19272</v>
      </c>
      <c r="G2109" t="s">
        <v>19273</v>
      </c>
      <c r="H2109" s="4" t="s">
        <v>19274</v>
      </c>
      <c r="I2109" t="s">
        <v>71</v>
      </c>
      <c r="J2109" t="s">
        <v>10782</v>
      </c>
      <c r="K2109" t="s">
        <v>19275</v>
      </c>
    </row>
    <row r="2110" spans="1:11" ht="172.8" x14ac:dyDescent="0.3">
      <c r="A2110" s="4" t="s">
        <v>5359</v>
      </c>
      <c r="B2110">
        <v>3</v>
      </c>
      <c r="C2110">
        <v>2022</v>
      </c>
      <c r="D2110" t="s">
        <v>329</v>
      </c>
      <c r="E2110">
        <v>5</v>
      </c>
      <c r="F2110" t="s">
        <v>19276</v>
      </c>
      <c r="G2110" t="s">
        <v>19277</v>
      </c>
      <c r="H2110" s="4" t="s">
        <v>19278</v>
      </c>
      <c r="I2110" t="s">
        <v>71</v>
      </c>
      <c r="J2110" t="s">
        <v>10782</v>
      </c>
      <c r="K2110" t="s">
        <v>19279</v>
      </c>
    </row>
    <row r="2111" spans="1:11" ht="129.6" x14ac:dyDescent="0.3">
      <c r="A2111" s="4" t="s">
        <v>5360</v>
      </c>
      <c r="B2111">
        <v>3</v>
      </c>
      <c r="C2111">
        <v>2022</v>
      </c>
      <c r="D2111" t="s">
        <v>665</v>
      </c>
      <c r="E2111">
        <v>6</v>
      </c>
      <c r="F2111" t="s">
        <v>19280</v>
      </c>
      <c r="G2111" t="s">
        <v>19281</v>
      </c>
      <c r="H2111" s="4" t="s">
        <v>19282</v>
      </c>
      <c r="I2111" t="s">
        <v>71</v>
      </c>
      <c r="J2111" t="s">
        <v>10782</v>
      </c>
      <c r="K2111" t="s">
        <v>19283</v>
      </c>
    </row>
    <row r="2112" spans="1:11" ht="144" x14ac:dyDescent="0.3">
      <c r="A2112" s="4" t="s">
        <v>3299</v>
      </c>
      <c r="B2112">
        <v>1</v>
      </c>
      <c r="C2112">
        <v>2022</v>
      </c>
      <c r="D2112" t="s">
        <v>329</v>
      </c>
      <c r="E2112">
        <v>26</v>
      </c>
      <c r="F2112" t="s">
        <v>19284</v>
      </c>
      <c r="G2112" t="s">
        <v>19285</v>
      </c>
      <c r="H2112" s="4" t="s">
        <v>19286</v>
      </c>
      <c r="I2112" t="s">
        <v>71</v>
      </c>
      <c r="J2112" t="s">
        <v>10782</v>
      </c>
      <c r="K2112" t="s">
        <v>19287</v>
      </c>
    </row>
    <row r="2113" spans="1:11" ht="216" x14ac:dyDescent="0.3">
      <c r="A2113" s="4" t="s">
        <v>1052</v>
      </c>
      <c r="B2113">
        <v>1</v>
      </c>
      <c r="C2113">
        <v>2022</v>
      </c>
      <c r="D2113" t="s">
        <v>637</v>
      </c>
      <c r="E2113">
        <v>4</v>
      </c>
      <c r="F2113" t="s">
        <v>19288</v>
      </c>
      <c r="G2113" t="s">
        <v>19289</v>
      </c>
      <c r="H2113" s="4" t="s">
        <v>19290</v>
      </c>
      <c r="I2113" t="s">
        <v>71</v>
      </c>
      <c r="J2113" t="s">
        <v>10782</v>
      </c>
      <c r="K2113" t="s">
        <v>19291</v>
      </c>
    </row>
    <row r="2114" spans="1:11" ht="302.39999999999998" x14ac:dyDescent="0.3">
      <c r="A2114" s="4" t="s">
        <v>5361</v>
      </c>
      <c r="B2114">
        <v>3</v>
      </c>
      <c r="C2114">
        <v>2022</v>
      </c>
      <c r="D2114" t="s">
        <v>17224</v>
      </c>
      <c r="E2114">
        <v>1</v>
      </c>
      <c r="F2114" t="s">
        <v>19292</v>
      </c>
      <c r="G2114" t="s">
        <v>19293</v>
      </c>
      <c r="H2114" s="4" t="s">
        <v>19294</v>
      </c>
      <c r="I2114" t="s">
        <v>71</v>
      </c>
      <c r="J2114" t="s">
        <v>10782</v>
      </c>
      <c r="K2114" t="s">
        <v>19295</v>
      </c>
    </row>
    <row r="2115" spans="1:11" ht="158.4" x14ac:dyDescent="0.3">
      <c r="A2115" s="4" t="s">
        <v>5362</v>
      </c>
      <c r="B2115">
        <v>3</v>
      </c>
      <c r="C2115">
        <v>2022</v>
      </c>
      <c r="D2115" t="s">
        <v>637</v>
      </c>
      <c r="E2115">
        <v>3</v>
      </c>
      <c r="F2115" t="s">
        <v>19296</v>
      </c>
      <c r="G2115" t="s">
        <v>19297</v>
      </c>
      <c r="H2115" s="4" t="s">
        <v>19298</v>
      </c>
      <c r="I2115" t="s">
        <v>71</v>
      </c>
      <c r="J2115" t="s">
        <v>10782</v>
      </c>
      <c r="K2115" t="s">
        <v>19299</v>
      </c>
    </row>
    <row r="2116" spans="1:11" ht="158.4" x14ac:dyDescent="0.3">
      <c r="A2116" s="4" t="s">
        <v>5363</v>
      </c>
      <c r="B2116">
        <v>3</v>
      </c>
      <c r="C2116">
        <v>2022</v>
      </c>
      <c r="D2116" t="s">
        <v>704</v>
      </c>
      <c r="E2116">
        <v>13</v>
      </c>
      <c r="F2116" t="s">
        <v>19300</v>
      </c>
      <c r="G2116" t="s">
        <v>19301</v>
      </c>
      <c r="H2116" s="4" t="s">
        <v>19302</v>
      </c>
      <c r="I2116" t="s">
        <v>71</v>
      </c>
      <c r="J2116" t="s">
        <v>10782</v>
      </c>
      <c r="K2116" t="s">
        <v>19303</v>
      </c>
    </row>
    <row r="2117" spans="1:11" ht="158.4" x14ac:dyDescent="0.3">
      <c r="A2117" s="4" t="s">
        <v>5364</v>
      </c>
      <c r="B2117">
        <v>3</v>
      </c>
      <c r="C2117">
        <v>2022</v>
      </c>
      <c r="D2117" t="s">
        <v>217</v>
      </c>
      <c r="E2117">
        <v>15</v>
      </c>
      <c r="F2117" t="s">
        <v>19304</v>
      </c>
      <c r="G2117" t="s">
        <v>19305</v>
      </c>
      <c r="H2117" s="4" t="s">
        <v>19306</v>
      </c>
      <c r="I2117" t="s">
        <v>71</v>
      </c>
      <c r="J2117" t="s">
        <v>10782</v>
      </c>
      <c r="K2117" t="s">
        <v>19307</v>
      </c>
    </row>
    <row r="2118" spans="1:11" ht="129.6" x14ac:dyDescent="0.3">
      <c r="A2118" s="4" t="s">
        <v>5365</v>
      </c>
      <c r="B2118">
        <v>3</v>
      </c>
      <c r="C2118">
        <v>2022</v>
      </c>
      <c r="D2118" t="s">
        <v>14905</v>
      </c>
      <c r="E2118">
        <v>0</v>
      </c>
      <c r="F2118" t="s">
        <v>19308</v>
      </c>
      <c r="G2118" t="s">
        <v>19309</v>
      </c>
      <c r="H2118" s="4" t="s">
        <v>19310</v>
      </c>
      <c r="I2118" t="s">
        <v>71</v>
      </c>
      <c r="J2118" t="s">
        <v>10782</v>
      </c>
      <c r="K2118" t="s">
        <v>19311</v>
      </c>
    </row>
    <row r="2119" spans="1:11" ht="115.2" x14ac:dyDescent="0.3">
      <c r="A2119" s="4" t="s">
        <v>5366</v>
      </c>
      <c r="B2119">
        <v>3</v>
      </c>
      <c r="C2119">
        <v>2022</v>
      </c>
      <c r="D2119" t="s">
        <v>2742</v>
      </c>
      <c r="E2119">
        <v>0</v>
      </c>
      <c r="F2119" t="s">
        <v>19312</v>
      </c>
      <c r="G2119" t="s">
        <v>19313</v>
      </c>
      <c r="H2119" s="4" t="s">
        <v>19314</v>
      </c>
      <c r="I2119" t="s">
        <v>71</v>
      </c>
      <c r="J2119" t="s">
        <v>10782</v>
      </c>
      <c r="K2119" t="s">
        <v>19315</v>
      </c>
    </row>
    <row r="2120" spans="1:11" ht="187.2" x14ac:dyDescent="0.3">
      <c r="A2120" s="4" t="s">
        <v>5367</v>
      </c>
      <c r="B2120">
        <v>3</v>
      </c>
      <c r="C2120">
        <v>2022</v>
      </c>
      <c r="D2120" t="s">
        <v>18377</v>
      </c>
      <c r="E2120">
        <v>8</v>
      </c>
      <c r="F2120" t="s">
        <v>19316</v>
      </c>
      <c r="G2120" t="s">
        <v>19317</v>
      </c>
      <c r="H2120" s="4" t="s">
        <v>19318</v>
      </c>
      <c r="I2120" t="s">
        <v>71</v>
      </c>
      <c r="J2120" t="s">
        <v>10782</v>
      </c>
      <c r="K2120" t="s">
        <v>19319</v>
      </c>
    </row>
    <row r="2121" spans="1:11" ht="28.8" x14ac:dyDescent="0.3">
      <c r="A2121" s="4" t="s">
        <v>5368</v>
      </c>
      <c r="B2121">
        <v>3</v>
      </c>
      <c r="C2121">
        <v>2022</v>
      </c>
      <c r="D2121" t="s">
        <v>1082</v>
      </c>
      <c r="E2121">
        <v>5</v>
      </c>
      <c r="F2121" t="s">
        <v>19320</v>
      </c>
      <c r="G2121" t="s">
        <v>19321</v>
      </c>
      <c r="H2121" s="4" t="s">
        <v>19322</v>
      </c>
    </row>
    <row r="2122" spans="1:11" ht="158.4" x14ac:dyDescent="0.3">
      <c r="A2122" s="4" t="s">
        <v>5369</v>
      </c>
      <c r="B2122">
        <v>3</v>
      </c>
      <c r="C2122">
        <v>2022</v>
      </c>
      <c r="D2122" t="s">
        <v>482</v>
      </c>
      <c r="E2122">
        <v>11</v>
      </c>
      <c r="F2122" t="s">
        <v>19323</v>
      </c>
      <c r="G2122" t="s">
        <v>19324</v>
      </c>
      <c r="H2122" s="4" t="s">
        <v>19325</v>
      </c>
    </row>
    <row r="2123" spans="1:11" ht="216" x14ac:dyDescent="0.3">
      <c r="A2123" s="4" t="s">
        <v>5370</v>
      </c>
      <c r="B2123">
        <v>3</v>
      </c>
      <c r="C2123">
        <v>2022</v>
      </c>
      <c r="D2123" t="s">
        <v>2201</v>
      </c>
      <c r="E2123">
        <v>21</v>
      </c>
      <c r="F2123" t="s">
        <v>19326</v>
      </c>
      <c r="G2123" t="s">
        <v>19327</v>
      </c>
      <c r="H2123" s="4" t="s">
        <v>19328</v>
      </c>
      <c r="I2123" t="s">
        <v>71</v>
      </c>
      <c r="J2123" t="s">
        <v>10782</v>
      </c>
      <c r="K2123" t="s">
        <v>19329</v>
      </c>
    </row>
    <row r="2124" spans="1:11" ht="230.4" x14ac:dyDescent="0.3">
      <c r="A2124" s="4" t="s">
        <v>5371</v>
      </c>
      <c r="B2124">
        <v>3</v>
      </c>
      <c r="C2124">
        <v>2022</v>
      </c>
      <c r="D2124" t="s">
        <v>10971</v>
      </c>
      <c r="E2124">
        <v>50</v>
      </c>
      <c r="F2124" t="s">
        <v>19330</v>
      </c>
      <c r="G2124" t="s">
        <v>19331</v>
      </c>
      <c r="H2124" s="4" t="s">
        <v>19332</v>
      </c>
      <c r="I2124" t="s">
        <v>71</v>
      </c>
      <c r="J2124" t="s">
        <v>10782</v>
      </c>
      <c r="K2124" t="s">
        <v>19333</v>
      </c>
    </row>
    <row r="2125" spans="1:11" ht="43.2" x14ac:dyDescent="0.3">
      <c r="A2125" s="4" t="s">
        <v>5372</v>
      </c>
      <c r="B2125">
        <v>3</v>
      </c>
      <c r="C2125">
        <v>2022</v>
      </c>
      <c r="D2125" t="s">
        <v>15071</v>
      </c>
      <c r="E2125">
        <v>5</v>
      </c>
      <c r="F2125" t="s">
        <v>19334</v>
      </c>
      <c r="G2125" t="s">
        <v>19335</v>
      </c>
      <c r="H2125" s="4" t="s">
        <v>19336</v>
      </c>
    </row>
    <row r="2126" spans="1:11" ht="216" x14ac:dyDescent="0.3">
      <c r="A2126" s="4" t="s">
        <v>5373</v>
      </c>
      <c r="B2126">
        <v>3</v>
      </c>
      <c r="C2126">
        <v>2022</v>
      </c>
      <c r="D2126" t="s">
        <v>19337</v>
      </c>
      <c r="E2126">
        <v>2</v>
      </c>
      <c r="F2126" t="s">
        <v>19338</v>
      </c>
      <c r="G2126" t="s">
        <v>19339</v>
      </c>
      <c r="H2126" s="4" t="s">
        <v>19340</v>
      </c>
      <c r="I2126" t="s">
        <v>71</v>
      </c>
      <c r="J2126" t="s">
        <v>10782</v>
      </c>
      <c r="K2126" t="s">
        <v>19341</v>
      </c>
    </row>
    <row r="2127" spans="1:11" ht="216" x14ac:dyDescent="0.3">
      <c r="A2127" s="4" t="s">
        <v>5374</v>
      </c>
      <c r="B2127">
        <v>3</v>
      </c>
      <c r="C2127">
        <v>2022</v>
      </c>
      <c r="D2127" t="s">
        <v>11294</v>
      </c>
      <c r="E2127">
        <v>29</v>
      </c>
      <c r="F2127" t="s">
        <v>19342</v>
      </c>
      <c r="G2127" t="s">
        <v>19343</v>
      </c>
      <c r="H2127" s="4" t="s">
        <v>19344</v>
      </c>
      <c r="I2127" t="s">
        <v>71</v>
      </c>
      <c r="J2127" t="s">
        <v>10782</v>
      </c>
      <c r="K2127" t="s">
        <v>19345</v>
      </c>
    </row>
    <row r="2128" spans="1:11" ht="172.8" x14ac:dyDescent="0.3">
      <c r="A2128" s="4" t="s">
        <v>5375</v>
      </c>
      <c r="B2128">
        <v>3</v>
      </c>
      <c r="C2128">
        <v>2022</v>
      </c>
      <c r="D2128" t="s">
        <v>10815</v>
      </c>
      <c r="E2128">
        <v>26</v>
      </c>
      <c r="F2128" t="s">
        <v>19346</v>
      </c>
      <c r="G2128" t="s">
        <v>19347</v>
      </c>
      <c r="H2128" s="4" t="s">
        <v>19348</v>
      </c>
      <c r="I2128" t="s">
        <v>71</v>
      </c>
      <c r="J2128" t="s">
        <v>10782</v>
      </c>
      <c r="K2128" t="s">
        <v>19349</v>
      </c>
    </row>
    <row r="2129" spans="1:11" ht="187.2" x14ac:dyDescent="0.3">
      <c r="A2129" s="4" t="s">
        <v>5376</v>
      </c>
      <c r="B2129">
        <v>3</v>
      </c>
      <c r="C2129">
        <v>2022</v>
      </c>
      <c r="D2129" t="s">
        <v>19350</v>
      </c>
      <c r="E2129">
        <v>5</v>
      </c>
      <c r="F2129" t="s">
        <v>19351</v>
      </c>
      <c r="G2129" t="s">
        <v>19352</v>
      </c>
      <c r="H2129" s="4" t="s">
        <v>19353</v>
      </c>
      <c r="I2129" t="s">
        <v>71</v>
      </c>
      <c r="J2129" t="s">
        <v>10782</v>
      </c>
      <c r="K2129" t="s">
        <v>19354</v>
      </c>
    </row>
    <row r="2130" spans="1:11" ht="201.6" x14ac:dyDescent="0.3">
      <c r="A2130" s="4" t="s">
        <v>5377</v>
      </c>
      <c r="B2130">
        <v>3</v>
      </c>
      <c r="C2130">
        <v>2022</v>
      </c>
      <c r="D2130" t="s">
        <v>13816</v>
      </c>
      <c r="E2130">
        <v>4</v>
      </c>
      <c r="F2130" t="s">
        <v>19355</v>
      </c>
      <c r="G2130" t="s">
        <v>19356</v>
      </c>
      <c r="H2130" s="4" t="s">
        <v>19357</v>
      </c>
      <c r="I2130" t="s">
        <v>71</v>
      </c>
      <c r="J2130" t="s">
        <v>10782</v>
      </c>
      <c r="K2130" t="s">
        <v>19358</v>
      </c>
    </row>
    <row r="2131" spans="1:11" ht="259.2" x14ac:dyDescent="0.3">
      <c r="A2131" s="4" t="s">
        <v>5378</v>
      </c>
      <c r="B2131">
        <v>3</v>
      </c>
      <c r="C2131">
        <v>2022</v>
      </c>
      <c r="D2131" t="s">
        <v>1438</v>
      </c>
      <c r="E2131">
        <v>4</v>
      </c>
      <c r="F2131" t="s">
        <v>19359</v>
      </c>
      <c r="G2131" t="s">
        <v>19360</v>
      </c>
      <c r="H2131" s="4" t="s">
        <v>19361</v>
      </c>
      <c r="I2131" t="s">
        <v>71</v>
      </c>
      <c r="J2131" t="s">
        <v>10782</v>
      </c>
      <c r="K2131" t="s">
        <v>19362</v>
      </c>
    </row>
    <row r="2132" spans="1:11" ht="100.8" x14ac:dyDescent="0.3">
      <c r="A2132" s="4" t="s">
        <v>5379</v>
      </c>
      <c r="B2132">
        <v>3</v>
      </c>
      <c r="C2132">
        <v>2022</v>
      </c>
      <c r="D2132" t="s">
        <v>637</v>
      </c>
      <c r="E2132">
        <v>34</v>
      </c>
      <c r="F2132" t="s">
        <v>19363</v>
      </c>
      <c r="G2132" t="s">
        <v>19364</v>
      </c>
      <c r="H2132" s="4" t="s">
        <v>19365</v>
      </c>
    </row>
    <row r="2133" spans="1:11" ht="230.4" x14ac:dyDescent="0.3">
      <c r="A2133" s="4" t="s">
        <v>5380</v>
      </c>
      <c r="B2133">
        <v>3</v>
      </c>
      <c r="C2133">
        <v>2022</v>
      </c>
      <c r="D2133" t="s">
        <v>217</v>
      </c>
      <c r="E2133">
        <v>11</v>
      </c>
      <c r="F2133" t="s">
        <v>19366</v>
      </c>
      <c r="G2133" t="s">
        <v>19367</v>
      </c>
      <c r="H2133" s="4" t="s">
        <v>19368</v>
      </c>
      <c r="I2133" t="s">
        <v>71</v>
      </c>
      <c r="J2133" t="s">
        <v>10782</v>
      </c>
      <c r="K2133" t="s">
        <v>19369</v>
      </c>
    </row>
    <row r="2134" spans="1:11" ht="100.8" x14ac:dyDescent="0.3">
      <c r="A2134" s="4" t="s">
        <v>5381</v>
      </c>
      <c r="B2134">
        <v>3</v>
      </c>
      <c r="C2134">
        <v>2022</v>
      </c>
      <c r="D2134" t="s">
        <v>13593</v>
      </c>
      <c r="E2134">
        <v>17</v>
      </c>
      <c r="F2134" t="s">
        <v>19370</v>
      </c>
      <c r="G2134" t="s">
        <v>19371</v>
      </c>
      <c r="H2134" s="4" t="s">
        <v>19372</v>
      </c>
    </row>
    <row r="2135" spans="1:11" ht="86.4" x14ac:dyDescent="0.3">
      <c r="A2135" s="4" t="s">
        <v>5382</v>
      </c>
      <c r="B2135">
        <v>3</v>
      </c>
      <c r="C2135">
        <v>2022</v>
      </c>
      <c r="D2135" t="s">
        <v>11598</v>
      </c>
      <c r="E2135">
        <v>38</v>
      </c>
      <c r="F2135" t="s">
        <v>19373</v>
      </c>
      <c r="G2135" t="s">
        <v>19374</v>
      </c>
      <c r="H2135" s="4" t="s">
        <v>19375</v>
      </c>
    </row>
    <row r="2136" spans="1:11" ht="158.4" x14ac:dyDescent="0.3">
      <c r="A2136" s="4" t="s">
        <v>5383</v>
      </c>
      <c r="B2136">
        <v>3</v>
      </c>
      <c r="C2136">
        <v>2022</v>
      </c>
      <c r="D2136" t="s">
        <v>19376</v>
      </c>
      <c r="E2136">
        <v>1</v>
      </c>
      <c r="F2136" t="s">
        <v>19377</v>
      </c>
      <c r="G2136" t="s">
        <v>19378</v>
      </c>
      <c r="H2136" s="4" t="s">
        <v>19379</v>
      </c>
    </row>
    <row r="2137" spans="1:11" ht="172.8" x14ac:dyDescent="0.3">
      <c r="A2137" s="4" t="s">
        <v>2659</v>
      </c>
      <c r="B2137">
        <v>2</v>
      </c>
      <c r="C2137">
        <v>2022</v>
      </c>
      <c r="D2137" t="s">
        <v>2222</v>
      </c>
      <c r="E2137">
        <v>4</v>
      </c>
      <c r="G2137" t="s">
        <v>2680</v>
      </c>
      <c r="H2137" s="4" t="s">
        <v>19380</v>
      </c>
      <c r="I2137" s="4" t="s">
        <v>71</v>
      </c>
      <c r="J2137" t="s">
        <v>10782</v>
      </c>
      <c r="K2137" t="s">
        <v>19381</v>
      </c>
    </row>
    <row r="2138" spans="1:11" ht="115.2" x14ac:dyDescent="0.3">
      <c r="A2138" s="4" t="s">
        <v>5384</v>
      </c>
      <c r="B2138">
        <v>3</v>
      </c>
      <c r="C2138">
        <v>2022</v>
      </c>
      <c r="D2138" t="s">
        <v>385</v>
      </c>
      <c r="E2138">
        <v>11</v>
      </c>
      <c r="F2138" t="s">
        <v>19382</v>
      </c>
      <c r="G2138" t="s">
        <v>19383</v>
      </c>
      <c r="H2138" s="4" t="s">
        <v>19384</v>
      </c>
      <c r="I2138" t="s">
        <v>71</v>
      </c>
      <c r="J2138" t="s">
        <v>10782</v>
      </c>
      <c r="K2138" t="s">
        <v>19385</v>
      </c>
    </row>
    <row r="2139" spans="1:11" ht="72" x14ac:dyDescent="0.3">
      <c r="A2139" s="4" t="s">
        <v>5385</v>
      </c>
      <c r="B2139">
        <v>3</v>
      </c>
      <c r="C2139">
        <v>2022</v>
      </c>
      <c r="D2139" t="s">
        <v>892</v>
      </c>
      <c r="E2139">
        <v>20</v>
      </c>
      <c r="F2139" t="s">
        <v>19386</v>
      </c>
      <c r="G2139" t="s">
        <v>19387</v>
      </c>
      <c r="H2139" s="4" t="s">
        <v>19388</v>
      </c>
    </row>
    <row r="2140" spans="1:11" ht="158.4" x14ac:dyDescent="0.3">
      <c r="A2140" s="4" t="s">
        <v>5386</v>
      </c>
      <c r="B2140">
        <v>3</v>
      </c>
      <c r="C2140">
        <v>2022</v>
      </c>
      <c r="D2140" t="s">
        <v>405</v>
      </c>
      <c r="E2140">
        <v>29</v>
      </c>
      <c r="F2140" t="s">
        <v>19389</v>
      </c>
      <c r="G2140" t="s">
        <v>19390</v>
      </c>
      <c r="H2140" s="4" t="s">
        <v>19391</v>
      </c>
      <c r="I2140" t="s">
        <v>71</v>
      </c>
      <c r="J2140" t="s">
        <v>10782</v>
      </c>
      <c r="K2140" t="s">
        <v>19392</v>
      </c>
    </row>
    <row r="2141" spans="1:11" ht="115.2" x14ac:dyDescent="0.3">
      <c r="A2141" s="4" t="s">
        <v>5387</v>
      </c>
      <c r="B2141">
        <v>3</v>
      </c>
      <c r="C2141">
        <v>2022</v>
      </c>
      <c r="D2141" t="s">
        <v>15856</v>
      </c>
      <c r="E2141">
        <v>4</v>
      </c>
      <c r="F2141" t="s">
        <v>19393</v>
      </c>
      <c r="G2141" t="s">
        <v>19394</v>
      </c>
      <c r="H2141" s="4" t="s">
        <v>19395</v>
      </c>
      <c r="I2141" t="s">
        <v>71</v>
      </c>
      <c r="J2141" t="s">
        <v>10782</v>
      </c>
      <c r="K2141" t="s">
        <v>19396</v>
      </c>
    </row>
    <row r="2142" spans="1:11" ht="144" x14ac:dyDescent="0.3">
      <c r="A2142" s="4" t="s">
        <v>5388</v>
      </c>
      <c r="B2142">
        <v>3</v>
      </c>
      <c r="C2142">
        <v>2022</v>
      </c>
      <c r="D2142" t="s">
        <v>1794</v>
      </c>
      <c r="E2142">
        <v>4</v>
      </c>
      <c r="F2142" t="s">
        <v>19397</v>
      </c>
      <c r="G2142" t="s">
        <v>19398</v>
      </c>
      <c r="H2142" s="4" t="s">
        <v>19399</v>
      </c>
      <c r="I2142" t="s">
        <v>71</v>
      </c>
      <c r="J2142" t="s">
        <v>10782</v>
      </c>
      <c r="K2142" t="s">
        <v>19400</v>
      </c>
    </row>
    <row r="2143" spans="1:11" ht="201.6" x14ac:dyDescent="0.3">
      <c r="A2143" s="4" t="s">
        <v>5389</v>
      </c>
      <c r="B2143">
        <v>3</v>
      </c>
      <c r="C2143">
        <v>2022</v>
      </c>
      <c r="D2143" t="s">
        <v>19401</v>
      </c>
      <c r="E2143">
        <v>2</v>
      </c>
      <c r="F2143" t="s">
        <v>19402</v>
      </c>
      <c r="G2143" t="s">
        <v>19403</v>
      </c>
      <c r="H2143" s="4" t="s">
        <v>19404</v>
      </c>
      <c r="I2143" t="s">
        <v>71</v>
      </c>
      <c r="J2143" t="s">
        <v>10782</v>
      </c>
      <c r="K2143" t="s">
        <v>19405</v>
      </c>
    </row>
    <row r="2144" spans="1:11" ht="244.8" x14ac:dyDescent="0.3">
      <c r="A2144" s="4" t="s">
        <v>5390</v>
      </c>
      <c r="B2144">
        <v>3</v>
      </c>
      <c r="C2144">
        <v>2022</v>
      </c>
      <c r="D2144" t="s">
        <v>1912</v>
      </c>
      <c r="E2144">
        <v>15</v>
      </c>
      <c r="F2144" t="s">
        <v>19406</v>
      </c>
      <c r="G2144" t="s">
        <v>19407</v>
      </c>
      <c r="H2144" s="4" t="s">
        <v>19408</v>
      </c>
      <c r="I2144" t="s">
        <v>71</v>
      </c>
      <c r="J2144" t="s">
        <v>10782</v>
      </c>
      <c r="K2144" t="s">
        <v>19409</v>
      </c>
    </row>
    <row r="2145" spans="1:11" ht="216" x14ac:dyDescent="0.3">
      <c r="A2145" s="4" t="s">
        <v>1053</v>
      </c>
      <c r="B2145">
        <v>1</v>
      </c>
      <c r="C2145">
        <v>2022</v>
      </c>
      <c r="D2145" t="s">
        <v>1082</v>
      </c>
      <c r="E2145">
        <v>5</v>
      </c>
      <c r="F2145" t="s">
        <v>19410</v>
      </c>
      <c r="G2145" t="s">
        <v>19411</v>
      </c>
      <c r="H2145" s="4" t="s">
        <v>19412</v>
      </c>
      <c r="I2145" t="s">
        <v>71</v>
      </c>
      <c r="J2145" t="s">
        <v>10782</v>
      </c>
      <c r="K2145" t="s">
        <v>19413</v>
      </c>
    </row>
    <row r="2146" spans="1:11" ht="172.8" x14ac:dyDescent="0.3">
      <c r="A2146" s="4" t="s">
        <v>3300</v>
      </c>
      <c r="B2146">
        <v>1</v>
      </c>
      <c r="C2146">
        <v>2022</v>
      </c>
      <c r="D2146" t="s">
        <v>19414</v>
      </c>
      <c r="E2146">
        <v>11</v>
      </c>
      <c r="F2146" t="s">
        <v>19415</v>
      </c>
      <c r="G2146" t="s">
        <v>19416</v>
      </c>
      <c r="H2146" s="4" t="s">
        <v>19417</v>
      </c>
      <c r="I2146" t="s">
        <v>71</v>
      </c>
      <c r="J2146" t="s">
        <v>10782</v>
      </c>
      <c r="K2146" t="s">
        <v>19418</v>
      </c>
    </row>
    <row r="2147" spans="1:11" ht="72" x14ac:dyDescent="0.3">
      <c r="A2147" s="4" t="s">
        <v>5391</v>
      </c>
      <c r="B2147">
        <v>3</v>
      </c>
      <c r="C2147">
        <v>2022</v>
      </c>
      <c r="D2147" t="s">
        <v>19419</v>
      </c>
      <c r="E2147">
        <v>7</v>
      </c>
      <c r="F2147" t="s">
        <v>19420</v>
      </c>
      <c r="G2147" t="s">
        <v>19421</v>
      </c>
      <c r="H2147" s="4" t="s">
        <v>19422</v>
      </c>
      <c r="I2147" t="s">
        <v>71</v>
      </c>
      <c r="J2147" t="s">
        <v>10782</v>
      </c>
      <c r="K2147" t="s">
        <v>19423</v>
      </c>
    </row>
    <row r="2148" spans="1:11" ht="57.6" x14ac:dyDescent="0.3">
      <c r="A2148" s="4" t="s">
        <v>5392</v>
      </c>
      <c r="B2148">
        <v>3</v>
      </c>
      <c r="C2148">
        <v>2022</v>
      </c>
      <c r="D2148" t="s">
        <v>19424</v>
      </c>
      <c r="E2148">
        <v>0</v>
      </c>
      <c r="F2148" t="s">
        <v>19425</v>
      </c>
      <c r="G2148" t="s">
        <v>19426</v>
      </c>
      <c r="H2148" s="4" t="s">
        <v>19427</v>
      </c>
    </row>
    <row r="2149" spans="1:11" ht="100.8" x14ac:dyDescent="0.3">
      <c r="A2149" s="4" t="s">
        <v>5393</v>
      </c>
      <c r="B2149">
        <v>3</v>
      </c>
      <c r="C2149">
        <v>2022</v>
      </c>
      <c r="D2149" t="s">
        <v>637</v>
      </c>
      <c r="E2149">
        <v>22</v>
      </c>
      <c r="F2149" t="s">
        <v>19428</v>
      </c>
      <c r="G2149" t="s">
        <v>19429</v>
      </c>
      <c r="H2149" s="4" t="s">
        <v>19430</v>
      </c>
    </row>
    <row r="2150" spans="1:11" ht="172.8" x14ac:dyDescent="0.3">
      <c r="A2150" s="4" t="s">
        <v>5394</v>
      </c>
      <c r="B2150">
        <v>3</v>
      </c>
      <c r="C2150">
        <v>2022</v>
      </c>
      <c r="D2150" t="s">
        <v>19431</v>
      </c>
      <c r="E2150">
        <v>32</v>
      </c>
      <c r="F2150" t="s">
        <v>19432</v>
      </c>
      <c r="G2150" t="s">
        <v>19433</v>
      </c>
      <c r="H2150" s="4" t="s">
        <v>19434</v>
      </c>
      <c r="I2150" t="s">
        <v>71</v>
      </c>
      <c r="J2150" t="s">
        <v>10782</v>
      </c>
      <c r="K2150" t="s">
        <v>19435</v>
      </c>
    </row>
    <row r="2151" spans="1:11" ht="187.2" x14ac:dyDescent="0.3">
      <c r="A2151" s="4" t="s">
        <v>5395</v>
      </c>
      <c r="B2151">
        <v>3</v>
      </c>
      <c r="C2151">
        <v>2022</v>
      </c>
      <c r="D2151" t="s">
        <v>11598</v>
      </c>
      <c r="E2151">
        <v>23</v>
      </c>
      <c r="F2151" t="s">
        <v>19436</v>
      </c>
      <c r="G2151" t="s">
        <v>19437</v>
      </c>
      <c r="H2151" s="4" t="s">
        <v>19438</v>
      </c>
      <c r="I2151" t="s">
        <v>71</v>
      </c>
      <c r="J2151" t="s">
        <v>10782</v>
      </c>
      <c r="K2151" t="s">
        <v>19439</v>
      </c>
    </row>
    <row r="2152" spans="1:11" ht="158.4" x14ac:dyDescent="0.3">
      <c r="A2152" s="4" t="s">
        <v>5396</v>
      </c>
      <c r="B2152">
        <v>3</v>
      </c>
      <c r="C2152">
        <v>2022</v>
      </c>
      <c r="D2152" t="s">
        <v>817</v>
      </c>
      <c r="E2152">
        <v>4</v>
      </c>
      <c r="F2152" t="s">
        <v>19440</v>
      </c>
      <c r="G2152" t="s">
        <v>19441</v>
      </c>
      <c r="H2152" s="4" t="s">
        <v>19442</v>
      </c>
      <c r="I2152" t="s">
        <v>71</v>
      </c>
      <c r="J2152" t="s">
        <v>10782</v>
      </c>
      <c r="K2152" t="s">
        <v>19443</v>
      </c>
    </row>
    <row r="2153" spans="1:11" ht="100.8" x14ac:dyDescent="0.3">
      <c r="A2153" s="4" t="s">
        <v>5397</v>
      </c>
      <c r="B2153">
        <v>3</v>
      </c>
      <c r="C2153">
        <v>2022</v>
      </c>
      <c r="D2153" t="s">
        <v>2210</v>
      </c>
      <c r="E2153">
        <v>4</v>
      </c>
      <c r="F2153" t="s">
        <v>19444</v>
      </c>
      <c r="G2153" t="s">
        <v>19445</v>
      </c>
      <c r="H2153" s="4" t="s">
        <v>19446</v>
      </c>
    </row>
    <row r="2154" spans="1:11" ht="230.4" x14ac:dyDescent="0.3">
      <c r="A2154" s="4" t="s">
        <v>5398</v>
      </c>
      <c r="B2154">
        <v>3</v>
      </c>
      <c r="C2154">
        <v>2022</v>
      </c>
      <c r="D2154" t="s">
        <v>16937</v>
      </c>
      <c r="E2154">
        <v>8</v>
      </c>
      <c r="F2154" t="s">
        <v>19447</v>
      </c>
      <c r="G2154" t="s">
        <v>19448</v>
      </c>
      <c r="H2154" s="4" t="s">
        <v>19449</v>
      </c>
      <c r="I2154" t="s">
        <v>71</v>
      </c>
      <c r="J2154" t="s">
        <v>10782</v>
      </c>
      <c r="K2154" t="s">
        <v>19450</v>
      </c>
    </row>
    <row r="2155" spans="1:11" ht="230.4" x14ac:dyDescent="0.3">
      <c r="A2155" s="4" t="s">
        <v>5399</v>
      </c>
      <c r="B2155">
        <v>3</v>
      </c>
      <c r="C2155">
        <v>2022</v>
      </c>
      <c r="D2155" t="s">
        <v>318</v>
      </c>
      <c r="E2155">
        <v>28</v>
      </c>
      <c r="F2155" t="s">
        <v>19451</v>
      </c>
      <c r="G2155" t="s">
        <v>19452</v>
      </c>
      <c r="H2155" s="4" t="s">
        <v>19453</v>
      </c>
    </row>
    <row r="2156" spans="1:11" ht="201.6" x14ac:dyDescent="0.3">
      <c r="A2156" s="4" t="s">
        <v>3536</v>
      </c>
      <c r="B2156">
        <v>2</v>
      </c>
      <c r="C2156">
        <v>2022</v>
      </c>
      <c r="D2156" t="s">
        <v>10924</v>
      </c>
      <c r="E2156">
        <v>13</v>
      </c>
      <c r="F2156" t="s">
        <v>19454</v>
      </c>
      <c r="G2156" t="s">
        <v>19455</v>
      </c>
      <c r="H2156" s="4" t="s">
        <v>19456</v>
      </c>
      <c r="I2156" t="s">
        <v>71</v>
      </c>
      <c r="J2156" t="s">
        <v>10782</v>
      </c>
      <c r="K2156" t="s">
        <v>19457</v>
      </c>
    </row>
    <row r="2157" spans="1:11" ht="216" x14ac:dyDescent="0.3">
      <c r="A2157" s="4" t="s">
        <v>3537</v>
      </c>
      <c r="B2157">
        <v>2</v>
      </c>
      <c r="C2157">
        <v>2022</v>
      </c>
      <c r="D2157" t="s">
        <v>217</v>
      </c>
      <c r="E2157">
        <v>11</v>
      </c>
      <c r="F2157" t="s">
        <v>19458</v>
      </c>
      <c r="G2157" t="s">
        <v>19459</v>
      </c>
      <c r="H2157" s="4" t="s">
        <v>19460</v>
      </c>
      <c r="I2157" t="s">
        <v>71</v>
      </c>
      <c r="J2157" t="s">
        <v>10782</v>
      </c>
      <c r="K2157" t="s">
        <v>19461</v>
      </c>
    </row>
    <row r="2158" spans="1:11" ht="144" x14ac:dyDescent="0.3">
      <c r="A2158" s="4" t="s">
        <v>5400</v>
      </c>
      <c r="B2158">
        <v>3</v>
      </c>
      <c r="C2158">
        <v>2022</v>
      </c>
      <c r="D2158" t="s">
        <v>15071</v>
      </c>
      <c r="E2158">
        <v>1</v>
      </c>
      <c r="F2158" t="s">
        <v>19462</v>
      </c>
      <c r="G2158" t="s">
        <v>19463</v>
      </c>
      <c r="H2158" s="4" t="s">
        <v>19464</v>
      </c>
      <c r="I2158" t="s">
        <v>71</v>
      </c>
      <c r="J2158" t="s">
        <v>10782</v>
      </c>
      <c r="K2158" t="s">
        <v>19465</v>
      </c>
    </row>
    <row r="2159" spans="1:11" ht="216" x14ac:dyDescent="0.3">
      <c r="A2159" s="4" t="s">
        <v>5401</v>
      </c>
      <c r="B2159">
        <v>3</v>
      </c>
      <c r="C2159">
        <v>2022</v>
      </c>
      <c r="D2159" t="s">
        <v>318</v>
      </c>
      <c r="E2159">
        <v>23</v>
      </c>
      <c r="F2159" t="s">
        <v>19466</v>
      </c>
      <c r="G2159" t="s">
        <v>19467</v>
      </c>
      <c r="H2159" s="4" t="s">
        <v>19468</v>
      </c>
      <c r="I2159" t="s">
        <v>71</v>
      </c>
      <c r="J2159" t="s">
        <v>10782</v>
      </c>
      <c r="K2159" t="s">
        <v>19469</v>
      </c>
    </row>
    <row r="2160" spans="1:11" ht="259.2" x14ac:dyDescent="0.3">
      <c r="A2160" s="4" t="s">
        <v>5402</v>
      </c>
      <c r="B2160">
        <v>3</v>
      </c>
      <c r="C2160">
        <v>2022</v>
      </c>
      <c r="D2160" t="s">
        <v>17224</v>
      </c>
      <c r="E2160">
        <v>4</v>
      </c>
      <c r="F2160" t="s">
        <v>19470</v>
      </c>
      <c r="G2160" t="s">
        <v>19471</v>
      </c>
      <c r="H2160" s="4" t="s">
        <v>19472</v>
      </c>
      <c r="I2160" t="s">
        <v>71</v>
      </c>
      <c r="J2160" t="s">
        <v>10782</v>
      </c>
      <c r="K2160" t="s">
        <v>19473</v>
      </c>
    </row>
    <row r="2161" spans="1:11" ht="144" x14ac:dyDescent="0.3">
      <c r="A2161" s="4" t="s">
        <v>3301</v>
      </c>
      <c r="B2161">
        <v>1</v>
      </c>
      <c r="C2161">
        <v>2022</v>
      </c>
      <c r="D2161" t="s">
        <v>14692</v>
      </c>
      <c r="E2161">
        <v>2</v>
      </c>
      <c r="G2161" t="s">
        <v>19474</v>
      </c>
      <c r="H2161" s="4" t="s">
        <v>19475</v>
      </c>
      <c r="I2161" s="4" t="s">
        <v>71</v>
      </c>
      <c r="J2161" t="s">
        <v>10782</v>
      </c>
      <c r="K2161" t="s">
        <v>19476</v>
      </c>
    </row>
    <row r="2162" spans="1:11" ht="115.2" x14ac:dyDescent="0.3">
      <c r="A2162" s="4" t="s">
        <v>1054</v>
      </c>
      <c r="B2162">
        <v>1</v>
      </c>
      <c r="C2162">
        <v>2022</v>
      </c>
      <c r="D2162" t="s">
        <v>1088</v>
      </c>
      <c r="E2162">
        <v>41</v>
      </c>
      <c r="F2162" t="s">
        <v>19477</v>
      </c>
      <c r="G2162" t="s">
        <v>19478</v>
      </c>
      <c r="H2162" s="4" t="s">
        <v>19479</v>
      </c>
      <c r="I2162" t="s">
        <v>71</v>
      </c>
      <c r="J2162" t="s">
        <v>10782</v>
      </c>
      <c r="K2162" t="s">
        <v>19480</v>
      </c>
    </row>
    <row r="2163" spans="1:11" ht="244.8" x14ac:dyDescent="0.3">
      <c r="A2163" s="4" t="s">
        <v>1055</v>
      </c>
      <c r="B2163">
        <v>1</v>
      </c>
      <c r="C2163">
        <v>2022</v>
      </c>
      <c r="D2163" t="s">
        <v>637</v>
      </c>
      <c r="E2163">
        <v>10</v>
      </c>
      <c r="F2163" t="s">
        <v>19481</v>
      </c>
      <c r="G2163" t="s">
        <v>19482</v>
      </c>
      <c r="H2163" s="4" t="s">
        <v>19483</v>
      </c>
      <c r="I2163" t="s">
        <v>71</v>
      </c>
      <c r="J2163" t="s">
        <v>10782</v>
      </c>
      <c r="K2163" t="s">
        <v>19484</v>
      </c>
    </row>
    <row r="2164" spans="1:11" ht="115.2" x14ac:dyDescent="0.3">
      <c r="A2164" s="4" t="s">
        <v>5403</v>
      </c>
      <c r="B2164">
        <v>3</v>
      </c>
      <c r="C2164">
        <v>2022</v>
      </c>
      <c r="D2164" t="s">
        <v>19485</v>
      </c>
      <c r="E2164">
        <v>1</v>
      </c>
      <c r="F2164" t="s">
        <v>19486</v>
      </c>
      <c r="G2164" t="s">
        <v>19487</v>
      </c>
      <c r="H2164" s="4" t="s">
        <v>19488</v>
      </c>
      <c r="I2164" t="s">
        <v>71</v>
      </c>
      <c r="J2164" t="s">
        <v>10782</v>
      </c>
      <c r="K2164" t="s">
        <v>19489</v>
      </c>
    </row>
    <row r="2165" spans="1:11" ht="259.2" x14ac:dyDescent="0.3">
      <c r="A2165" s="4" t="s">
        <v>5404</v>
      </c>
      <c r="B2165">
        <v>3</v>
      </c>
      <c r="C2165">
        <v>2022</v>
      </c>
      <c r="D2165" t="s">
        <v>10924</v>
      </c>
      <c r="E2165">
        <v>9</v>
      </c>
      <c r="F2165" t="s">
        <v>19490</v>
      </c>
      <c r="G2165" t="s">
        <v>19491</v>
      </c>
      <c r="H2165" s="4" t="s">
        <v>19492</v>
      </c>
      <c r="I2165" t="s">
        <v>71</v>
      </c>
      <c r="J2165" t="s">
        <v>10782</v>
      </c>
      <c r="K2165" t="s">
        <v>19493</v>
      </c>
    </row>
    <row r="2166" spans="1:11" ht="201.6" x14ac:dyDescent="0.3">
      <c r="A2166" s="4" t="s">
        <v>3538</v>
      </c>
      <c r="B2166">
        <v>2</v>
      </c>
      <c r="C2166">
        <v>2022</v>
      </c>
      <c r="D2166" t="s">
        <v>19494</v>
      </c>
      <c r="E2166">
        <v>23</v>
      </c>
      <c r="F2166" t="s">
        <v>19495</v>
      </c>
      <c r="G2166" t="s">
        <v>19496</v>
      </c>
      <c r="H2166" s="4" t="s">
        <v>19497</v>
      </c>
      <c r="I2166" t="s">
        <v>71</v>
      </c>
      <c r="J2166" t="s">
        <v>10782</v>
      </c>
      <c r="K2166" t="s">
        <v>19498</v>
      </c>
    </row>
    <row r="2167" spans="1:11" ht="28.8" x14ac:dyDescent="0.3">
      <c r="A2167" s="4" t="s">
        <v>3539</v>
      </c>
      <c r="B2167">
        <v>2</v>
      </c>
      <c r="C2167">
        <v>2022</v>
      </c>
      <c r="D2167" t="s">
        <v>19499</v>
      </c>
      <c r="E2167">
        <v>0</v>
      </c>
      <c r="G2167" t="s">
        <v>19500</v>
      </c>
      <c r="H2167" t="s">
        <v>19501</v>
      </c>
      <c r="I2167" s="4"/>
    </row>
    <row r="2168" spans="1:11" ht="115.2" x14ac:dyDescent="0.3">
      <c r="A2168" s="4" t="s">
        <v>5405</v>
      </c>
      <c r="B2168">
        <v>3</v>
      </c>
      <c r="C2168">
        <v>2022</v>
      </c>
      <c r="D2168" t="s">
        <v>14116</v>
      </c>
      <c r="E2168">
        <v>0</v>
      </c>
      <c r="F2168" t="s">
        <v>19502</v>
      </c>
      <c r="G2168" t="s">
        <v>19503</v>
      </c>
      <c r="H2168" s="4" t="s">
        <v>19504</v>
      </c>
      <c r="I2168" t="s">
        <v>71</v>
      </c>
      <c r="J2168" t="s">
        <v>10782</v>
      </c>
      <c r="K2168" t="s">
        <v>19505</v>
      </c>
    </row>
    <row r="2169" spans="1:11" ht="230.4" x14ac:dyDescent="0.3">
      <c r="A2169" s="4" t="s">
        <v>5406</v>
      </c>
      <c r="B2169">
        <v>3</v>
      </c>
      <c r="C2169">
        <v>2022</v>
      </c>
      <c r="D2169" t="s">
        <v>11617</v>
      </c>
      <c r="E2169">
        <v>2</v>
      </c>
      <c r="F2169" t="s">
        <v>19506</v>
      </c>
      <c r="G2169" t="s">
        <v>19507</v>
      </c>
      <c r="H2169" s="4" t="s">
        <v>19508</v>
      </c>
      <c r="I2169" t="s">
        <v>10945</v>
      </c>
      <c r="J2169" t="s">
        <v>10782</v>
      </c>
      <c r="K2169" t="s">
        <v>19509</v>
      </c>
    </row>
    <row r="2170" spans="1:11" ht="201.6" x14ac:dyDescent="0.3">
      <c r="A2170" s="4" t="s">
        <v>5407</v>
      </c>
      <c r="B2170">
        <v>3</v>
      </c>
      <c r="C2170">
        <v>2022</v>
      </c>
      <c r="D2170" t="s">
        <v>19510</v>
      </c>
      <c r="E2170">
        <v>0</v>
      </c>
      <c r="F2170" t="s">
        <v>19511</v>
      </c>
      <c r="G2170" t="s">
        <v>19512</v>
      </c>
      <c r="H2170" s="4" t="s">
        <v>19513</v>
      </c>
      <c r="I2170" t="s">
        <v>71</v>
      </c>
      <c r="J2170" t="s">
        <v>10782</v>
      </c>
      <c r="K2170" t="s">
        <v>19514</v>
      </c>
    </row>
    <row r="2171" spans="1:11" ht="158.4" x14ac:dyDescent="0.3">
      <c r="A2171" s="4" t="s">
        <v>5408</v>
      </c>
      <c r="B2171">
        <v>3</v>
      </c>
      <c r="C2171">
        <v>2022</v>
      </c>
      <c r="D2171" t="s">
        <v>19515</v>
      </c>
      <c r="E2171">
        <v>6</v>
      </c>
      <c r="F2171" t="s">
        <v>19516</v>
      </c>
      <c r="G2171" t="s">
        <v>19517</v>
      </c>
      <c r="H2171" s="4" t="s">
        <v>19518</v>
      </c>
      <c r="I2171" t="s">
        <v>71</v>
      </c>
      <c r="J2171" t="s">
        <v>10782</v>
      </c>
      <c r="K2171" t="s">
        <v>19519</v>
      </c>
    </row>
    <row r="2172" spans="1:11" ht="187.2" x14ac:dyDescent="0.3">
      <c r="A2172" s="4" t="s">
        <v>5409</v>
      </c>
      <c r="B2172">
        <v>3</v>
      </c>
      <c r="C2172">
        <v>2022</v>
      </c>
      <c r="D2172" t="s">
        <v>12000</v>
      </c>
      <c r="E2172">
        <v>6</v>
      </c>
      <c r="F2172" t="s">
        <v>19520</v>
      </c>
      <c r="G2172" t="s">
        <v>19521</v>
      </c>
      <c r="H2172" s="4" t="s">
        <v>19522</v>
      </c>
      <c r="I2172" t="s">
        <v>71</v>
      </c>
      <c r="J2172" t="s">
        <v>10782</v>
      </c>
      <c r="K2172" t="s">
        <v>19523</v>
      </c>
    </row>
    <row r="2173" spans="1:11" ht="28.8" x14ac:dyDescent="0.3">
      <c r="A2173" s="4" t="s">
        <v>5410</v>
      </c>
      <c r="B2173">
        <v>3</v>
      </c>
      <c r="C2173">
        <v>2022</v>
      </c>
      <c r="D2173" t="s">
        <v>918</v>
      </c>
      <c r="E2173">
        <v>9</v>
      </c>
      <c r="F2173" t="s">
        <v>19524</v>
      </c>
      <c r="G2173" t="s">
        <v>19525</v>
      </c>
      <c r="H2173" s="4" t="s">
        <v>19526</v>
      </c>
    </row>
    <row r="2174" spans="1:11" ht="187.2" x14ac:dyDescent="0.3">
      <c r="A2174" s="4" t="s">
        <v>5411</v>
      </c>
      <c r="B2174">
        <v>3</v>
      </c>
      <c r="C2174">
        <v>2022</v>
      </c>
      <c r="D2174" t="s">
        <v>19527</v>
      </c>
      <c r="E2174">
        <v>3</v>
      </c>
      <c r="F2174" t="s">
        <v>19528</v>
      </c>
      <c r="G2174" t="s">
        <v>19529</v>
      </c>
      <c r="H2174" s="4" t="s">
        <v>19530</v>
      </c>
    </row>
    <row r="2175" spans="1:11" ht="86.4" x14ac:dyDescent="0.3">
      <c r="A2175" s="4" t="s">
        <v>5412</v>
      </c>
      <c r="B2175">
        <v>3</v>
      </c>
      <c r="C2175">
        <v>2022</v>
      </c>
      <c r="D2175" t="s">
        <v>19531</v>
      </c>
      <c r="E2175">
        <v>1</v>
      </c>
      <c r="F2175" t="s">
        <v>19532</v>
      </c>
      <c r="G2175" t="s">
        <v>19533</v>
      </c>
      <c r="H2175" s="4" t="s">
        <v>19534</v>
      </c>
    </row>
    <row r="2176" spans="1:11" ht="28.8" x14ac:dyDescent="0.3">
      <c r="A2176" s="4" t="s">
        <v>5413</v>
      </c>
      <c r="B2176">
        <v>3</v>
      </c>
      <c r="C2176">
        <v>2022</v>
      </c>
      <c r="D2176" t="s">
        <v>19499</v>
      </c>
      <c r="E2176">
        <v>0</v>
      </c>
      <c r="F2176" t="s">
        <v>19535</v>
      </c>
      <c r="G2176" t="s">
        <v>19536</v>
      </c>
      <c r="H2176" s="4" t="s">
        <v>71</v>
      </c>
      <c r="I2176" t="s">
        <v>10782</v>
      </c>
      <c r="J2176" t="s">
        <v>19537</v>
      </c>
    </row>
    <row r="2177" spans="1:11" ht="28.8" x14ac:dyDescent="0.3">
      <c r="A2177" s="4" t="s">
        <v>5414</v>
      </c>
      <c r="B2177">
        <v>3</v>
      </c>
      <c r="C2177">
        <v>2022</v>
      </c>
      <c r="D2177" t="s">
        <v>637</v>
      </c>
      <c r="E2177">
        <v>3</v>
      </c>
      <c r="F2177" t="s">
        <v>19538</v>
      </c>
      <c r="G2177" t="s">
        <v>19539</v>
      </c>
      <c r="H2177" s="4" t="s">
        <v>19540</v>
      </c>
    </row>
    <row r="2178" spans="1:11" ht="129.6" x14ac:dyDescent="0.3">
      <c r="A2178" s="4" t="s">
        <v>5415</v>
      </c>
      <c r="B2178">
        <v>3</v>
      </c>
      <c r="C2178">
        <v>2022</v>
      </c>
      <c r="D2178" t="s">
        <v>329</v>
      </c>
      <c r="E2178">
        <v>2</v>
      </c>
      <c r="F2178" t="s">
        <v>19541</v>
      </c>
      <c r="G2178" t="s">
        <v>19542</v>
      </c>
      <c r="H2178" s="4" t="s">
        <v>19543</v>
      </c>
      <c r="I2178" t="s">
        <v>71</v>
      </c>
      <c r="J2178" t="s">
        <v>10782</v>
      </c>
      <c r="K2178" t="s">
        <v>19544</v>
      </c>
    </row>
    <row r="2179" spans="1:11" ht="172.8" x14ac:dyDescent="0.3">
      <c r="A2179" s="4" t="s">
        <v>5416</v>
      </c>
      <c r="B2179">
        <v>3</v>
      </c>
      <c r="C2179">
        <v>2022</v>
      </c>
      <c r="D2179" t="s">
        <v>19545</v>
      </c>
      <c r="E2179">
        <v>2</v>
      </c>
      <c r="F2179" t="s">
        <v>19546</v>
      </c>
      <c r="G2179" t="s">
        <v>19547</v>
      </c>
      <c r="H2179" s="4" t="s">
        <v>19548</v>
      </c>
    </row>
    <row r="2180" spans="1:11" ht="216" x14ac:dyDescent="0.3">
      <c r="A2180" s="4" t="s">
        <v>5417</v>
      </c>
      <c r="B2180">
        <v>3</v>
      </c>
      <c r="C2180">
        <v>2022</v>
      </c>
      <c r="D2180" t="s">
        <v>19549</v>
      </c>
      <c r="E2180">
        <v>5</v>
      </c>
      <c r="F2180" t="s">
        <v>19550</v>
      </c>
      <c r="G2180" t="s">
        <v>19551</v>
      </c>
      <c r="H2180" s="4" t="s">
        <v>19552</v>
      </c>
      <c r="I2180" t="s">
        <v>71</v>
      </c>
      <c r="J2180" t="s">
        <v>10782</v>
      </c>
      <c r="K2180" t="s">
        <v>19553</v>
      </c>
    </row>
    <row r="2181" spans="1:11" ht="115.2" x14ac:dyDescent="0.3">
      <c r="A2181" s="4" t="s">
        <v>5418</v>
      </c>
      <c r="B2181">
        <v>3</v>
      </c>
      <c r="C2181">
        <v>2022</v>
      </c>
      <c r="D2181" t="s">
        <v>16959</v>
      </c>
      <c r="E2181">
        <v>0</v>
      </c>
      <c r="F2181" t="s">
        <v>19554</v>
      </c>
      <c r="G2181" t="s">
        <v>19555</v>
      </c>
      <c r="H2181" s="4" t="s">
        <v>19556</v>
      </c>
      <c r="I2181" t="s">
        <v>71</v>
      </c>
      <c r="J2181" t="s">
        <v>10782</v>
      </c>
      <c r="K2181" t="s">
        <v>19557</v>
      </c>
    </row>
    <row r="2182" spans="1:11" ht="115.2" x14ac:dyDescent="0.3">
      <c r="A2182" s="4" t="s">
        <v>5419</v>
      </c>
      <c r="B2182">
        <v>3</v>
      </c>
      <c r="C2182">
        <v>2022</v>
      </c>
      <c r="D2182" t="s">
        <v>385</v>
      </c>
      <c r="E2182">
        <v>29</v>
      </c>
      <c r="F2182" t="s">
        <v>19558</v>
      </c>
      <c r="G2182" t="s">
        <v>19559</v>
      </c>
      <c r="H2182" s="4" t="s">
        <v>19560</v>
      </c>
      <c r="I2182" t="s">
        <v>71</v>
      </c>
      <c r="J2182" t="s">
        <v>10782</v>
      </c>
      <c r="K2182" t="s">
        <v>19561</v>
      </c>
    </row>
    <row r="2183" spans="1:11" ht="216" x14ac:dyDescent="0.3">
      <c r="A2183" s="4" t="s">
        <v>5420</v>
      </c>
      <c r="B2183">
        <v>3</v>
      </c>
      <c r="C2183">
        <v>2022</v>
      </c>
      <c r="D2183" t="s">
        <v>918</v>
      </c>
      <c r="E2183">
        <v>4</v>
      </c>
      <c r="F2183" t="s">
        <v>19562</v>
      </c>
      <c r="G2183" t="s">
        <v>19563</v>
      </c>
      <c r="H2183" s="4" t="s">
        <v>19564</v>
      </c>
      <c r="I2183" t="s">
        <v>71</v>
      </c>
      <c r="J2183" t="s">
        <v>10782</v>
      </c>
      <c r="K2183" t="s">
        <v>19565</v>
      </c>
    </row>
    <row r="2184" spans="1:11" ht="201.6" x14ac:dyDescent="0.3">
      <c r="A2184" s="4" t="s">
        <v>5421</v>
      </c>
      <c r="B2184">
        <v>3</v>
      </c>
      <c r="C2184">
        <v>2022</v>
      </c>
      <c r="D2184" t="s">
        <v>10924</v>
      </c>
      <c r="E2184">
        <v>36</v>
      </c>
      <c r="F2184" t="s">
        <v>19566</v>
      </c>
      <c r="G2184" t="s">
        <v>19567</v>
      </c>
      <c r="H2184" s="4" t="s">
        <v>19568</v>
      </c>
      <c r="I2184" t="s">
        <v>71</v>
      </c>
      <c r="J2184" t="s">
        <v>10782</v>
      </c>
      <c r="K2184" t="s">
        <v>19569</v>
      </c>
    </row>
    <row r="2185" spans="1:11" ht="187.2" x14ac:dyDescent="0.3">
      <c r="A2185" s="4" t="s">
        <v>5422</v>
      </c>
      <c r="B2185">
        <v>3</v>
      </c>
      <c r="C2185">
        <v>2022</v>
      </c>
      <c r="D2185" t="s">
        <v>2853</v>
      </c>
      <c r="E2185">
        <v>20</v>
      </c>
      <c r="F2185" t="s">
        <v>19570</v>
      </c>
      <c r="G2185" t="s">
        <v>19571</v>
      </c>
      <c r="H2185" s="4" t="s">
        <v>19572</v>
      </c>
      <c r="I2185" t="s">
        <v>71</v>
      </c>
      <c r="J2185" t="s">
        <v>10782</v>
      </c>
      <c r="K2185" t="s">
        <v>19573</v>
      </c>
    </row>
    <row r="2186" spans="1:11" ht="129.6" x14ac:dyDescent="0.3">
      <c r="A2186" s="4" t="s">
        <v>5423</v>
      </c>
      <c r="B2186">
        <v>3</v>
      </c>
      <c r="C2186">
        <v>2022</v>
      </c>
      <c r="D2186" t="s">
        <v>19574</v>
      </c>
      <c r="E2186">
        <v>8</v>
      </c>
      <c r="F2186" t="s">
        <v>19575</v>
      </c>
      <c r="G2186" t="s">
        <v>19576</v>
      </c>
      <c r="H2186" s="4" t="s">
        <v>19577</v>
      </c>
    </row>
    <row r="2187" spans="1:11" ht="230.4" x14ac:dyDescent="0.3">
      <c r="A2187" s="4" t="s">
        <v>5424</v>
      </c>
      <c r="B2187">
        <v>3</v>
      </c>
      <c r="C2187">
        <v>2022</v>
      </c>
      <c r="D2187" t="s">
        <v>17362</v>
      </c>
      <c r="E2187">
        <v>5</v>
      </c>
      <c r="F2187" t="s">
        <v>19578</v>
      </c>
      <c r="G2187" t="s">
        <v>19579</v>
      </c>
      <c r="H2187" s="4" t="s">
        <v>19580</v>
      </c>
      <c r="I2187" t="s">
        <v>71</v>
      </c>
      <c r="J2187" t="s">
        <v>10782</v>
      </c>
      <c r="K2187" t="s">
        <v>19581</v>
      </c>
    </row>
    <row r="2188" spans="1:11" ht="388.8" x14ac:dyDescent="0.3">
      <c r="A2188" s="4" t="s">
        <v>5425</v>
      </c>
      <c r="B2188">
        <v>3</v>
      </c>
      <c r="C2188">
        <v>2022</v>
      </c>
      <c r="D2188" t="s">
        <v>14216</v>
      </c>
      <c r="E2188">
        <v>1</v>
      </c>
      <c r="F2188" t="s">
        <v>19582</v>
      </c>
      <c r="G2188" t="s">
        <v>19583</v>
      </c>
      <c r="H2188" s="4" t="s">
        <v>19584</v>
      </c>
      <c r="I2188" t="s">
        <v>71</v>
      </c>
      <c r="J2188" t="s">
        <v>10782</v>
      </c>
      <c r="K2188" t="s">
        <v>19585</v>
      </c>
    </row>
    <row r="2189" spans="1:11" ht="201.6" x14ac:dyDescent="0.3">
      <c r="A2189" s="4" t="s">
        <v>5426</v>
      </c>
      <c r="B2189">
        <v>3</v>
      </c>
      <c r="C2189">
        <v>2022</v>
      </c>
      <c r="D2189" t="s">
        <v>830</v>
      </c>
      <c r="E2189">
        <v>4</v>
      </c>
      <c r="F2189" t="s">
        <v>19586</v>
      </c>
      <c r="G2189" t="s">
        <v>19587</v>
      </c>
      <c r="H2189" s="4" t="s">
        <v>19588</v>
      </c>
      <c r="I2189" t="s">
        <v>71</v>
      </c>
      <c r="J2189" t="s">
        <v>10782</v>
      </c>
      <c r="K2189" t="s">
        <v>19589</v>
      </c>
    </row>
    <row r="2190" spans="1:11" ht="144" x14ac:dyDescent="0.3">
      <c r="A2190" s="4" t="s">
        <v>5427</v>
      </c>
      <c r="B2190">
        <v>3</v>
      </c>
      <c r="C2190">
        <v>2022</v>
      </c>
      <c r="D2190" t="s">
        <v>19590</v>
      </c>
      <c r="E2190">
        <v>1</v>
      </c>
      <c r="F2190" t="s">
        <v>19591</v>
      </c>
      <c r="G2190" t="s">
        <v>19592</v>
      </c>
      <c r="H2190" s="4" t="s">
        <v>19593</v>
      </c>
      <c r="I2190" t="s">
        <v>71</v>
      </c>
      <c r="J2190" t="s">
        <v>10782</v>
      </c>
      <c r="K2190" t="s">
        <v>19594</v>
      </c>
    </row>
    <row r="2191" spans="1:11" ht="129.6" x14ac:dyDescent="0.3">
      <c r="A2191" s="4" t="s">
        <v>5428</v>
      </c>
      <c r="B2191">
        <v>3</v>
      </c>
      <c r="C2191">
        <v>2022</v>
      </c>
      <c r="D2191" t="s">
        <v>637</v>
      </c>
      <c r="E2191">
        <v>5</v>
      </c>
      <c r="F2191" t="s">
        <v>19595</v>
      </c>
      <c r="G2191" t="s">
        <v>19596</v>
      </c>
      <c r="H2191" s="4" t="s">
        <v>19597</v>
      </c>
      <c r="I2191" t="s">
        <v>71</v>
      </c>
      <c r="J2191" t="s">
        <v>10782</v>
      </c>
      <c r="K2191" t="s">
        <v>19598</v>
      </c>
    </row>
    <row r="2192" spans="1:11" ht="144" x14ac:dyDescent="0.3">
      <c r="A2192" s="4" t="s">
        <v>5429</v>
      </c>
      <c r="B2192">
        <v>3</v>
      </c>
      <c r="C2192">
        <v>2022</v>
      </c>
      <c r="D2192" t="s">
        <v>1082</v>
      </c>
      <c r="E2192">
        <v>10</v>
      </c>
      <c r="F2192" t="s">
        <v>19599</v>
      </c>
      <c r="G2192" t="s">
        <v>19600</v>
      </c>
      <c r="H2192" s="4" t="s">
        <v>19601</v>
      </c>
      <c r="I2192" t="s">
        <v>71</v>
      </c>
      <c r="J2192" t="s">
        <v>10782</v>
      </c>
      <c r="K2192" t="s">
        <v>19602</v>
      </c>
    </row>
    <row r="2193" spans="1:12" ht="172.8" x14ac:dyDescent="0.3">
      <c r="A2193" s="4" t="s">
        <v>3540</v>
      </c>
      <c r="B2193">
        <v>2</v>
      </c>
      <c r="C2193">
        <v>2022</v>
      </c>
      <c r="D2193" t="s">
        <v>16937</v>
      </c>
      <c r="E2193">
        <v>27</v>
      </c>
      <c r="F2193" t="s">
        <v>19603</v>
      </c>
      <c r="G2193" t="s">
        <v>19604</v>
      </c>
      <c r="H2193" s="4" t="s">
        <v>19605</v>
      </c>
      <c r="I2193" t="s">
        <v>71</v>
      </c>
      <c r="J2193" t="s">
        <v>10782</v>
      </c>
      <c r="K2193" t="s">
        <v>19606</v>
      </c>
    </row>
    <row r="2194" spans="1:12" ht="115.2" x14ac:dyDescent="0.3">
      <c r="A2194" s="4" t="s">
        <v>5430</v>
      </c>
      <c r="B2194">
        <v>3</v>
      </c>
      <c r="C2194">
        <v>2022</v>
      </c>
      <c r="D2194" t="s">
        <v>1912</v>
      </c>
      <c r="E2194">
        <v>5</v>
      </c>
      <c r="F2194" t="s">
        <v>19607</v>
      </c>
      <c r="G2194" t="s">
        <v>19608</v>
      </c>
      <c r="H2194" s="4" t="s">
        <v>19609</v>
      </c>
    </row>
    <row r="2195" spans="1:12" ht="144" x14ac:dyDescent="0.3">
      <c r="A2195" s="4" t="s">
        <v>5431</v>
      </c>
      <c r="B2195">
        <v>3</v>
      </c>
      <c r="C2195">
        <v>2022</v>
      </c>
      <c r="D2195" t="s">
        <v>637</v>
      </c>
      <c r="E2195">
        <v>13</v>
      </c>
      <c r="F2195" t="s">
        <v>19610</v>
      </c>
      <c r="G2195" t="s">
        <v>19611</v>
      </c>
      <c r="H2195" s="4" t="s">
        <v>19612</v>
      </c>
      <c r="I2195" t="s">
        <v>71</v>
      </c>
      <c r="J2195" t="s">
        <v>10782</v>
      </c>
      <c r="K2195" t="s">
        <v>19613</v>
      </c>
    </row>
    <row r="2196" spans="1:12" ht="172.8" x14ac:dyDescent="0.3">
      <c r="A2196" s="4" t="s">
        <v>5432</v>
      </c>
      <c r="B2196">
        <v>3</v>
      </c>
      <c r="C2196">
        <v>2022</v>
      </c>
      <c r="D2196" t="s">
        <v>147</v>
      </c>
      <c r="E2196">
        <v>7</v>
      </c>
      <c r="F2196" t="s">
        <v>19614</v>
      </c>
      <c r="G2196" t="s">
        <v>19615</v>
      </c>
      <c r="H2196" s="4" t="s">
        <v>19616</v>
      </c>
      <c r="I2196" t="s">
        <v>71</v>
      </c>
      <c r="J2196" t="s">
        <v>10782</v>
      </c>
      <c r="K2196" t="s">
        <v>19617</v>
      </c>
    </row>
    <row r="2197" spans="1:12" ht="57.6" x14ac:dyDescent="0.3">
      <c r="A2197" s="4" t="s">
        <v>5433</v>
      </c>
      <c r="B2197">
        <v>3</v>
      </c>
      <c r="C2197">
        <v>2022</v>
      </c>
      <c r="D2197" t="s">
        <v>13816</v>
      </c>
      <c r="E2197">
        <v>5</v>
      </c>
      <c r="F2197" t="s">
        <v>19618</v>
      </c>
      <c r="G2197" t="s">
        <v>19619</v>
      </c>
      <c r="H2197" s="4" t="s">
        <v>19620</v>
      </c>
    </row>
    <row r="2198" spans="1:12" ht="144" x14ac:dyDescent="0.3">
      <c r="A2198" s="4" t="s">
        <v>3541</v>
      </c>
      <c r="B2198">
        <v>2</v>
      </c>
      <c r="C2198">
        <v>2022</v>
      </c>
      <c r="D2198" t="s">
        <v>217</v>
      </c>
      <c r="E2198">
        <v>11</v>
      </c>
      <c r="F2198" t="s">
        <v>19621</v>
      </c>
      <c r="G2198" t="s">
        <v>19622</v>
      </c>
      <c r="H2198" s="4" t="s">
        <v>19623</v>
      </c>
      <c r="I2198" t="s">
        <v>71</v>
      </c>
      <c r="J2198" t="s">
        <v>10782</v>
      </c>
      <c r="K2198" t="s">
        <v>19624</v>
      </c>
    </row>
    <row r="2199" spans="1:12" ht="201.6" x14ac:dyDescent="0.3">
      <c r="A2199" s="4" t="s">
        <v>5434</v>
      </c>
      <c r="B2199">
        <v>3</v>
      </c>
      <c r="C2199">
        <v>2022</v>
      </c>
      <c r="D2199" t="s">
        <v>19625</v>
      </c>
      <c r="E2199">
        <v>6</v>
      </c>
      <c r="F2199" t="s">
        <v>19626</v>
      </c>
      <c r="G2199" t="s">
        <v>19627</v>
      </c>
      <c r="H2199" s="4" t="s">
        <v>19628</v>
      </c>
      <c r="I2199" t="s">
        <v>71</v>
      </c>
      <c r="J2199" t="s">
        <v>10782</v>
      </c>
      <c r="K2199" t="s">
        <v>19629</v>
      </c>
    </row>
    <row r="2200" spans="1:12" ht="172.8" x14ac:dyDescent="0.3">
      <c r="A2200" s="4" t="s">
        <v>5435</v>
      </c>
      <c r="B2200">
        <v>3</v>
      </c>
      <c r="C2200">
        <v>2022</v>
      </c>
      <c r="D2200" t="s">
        <v>12253</v>
      </c>
      <c r="E2200">
        <v>1</v>
      </c>
      <c r="F2200" t="s">
        <v>19630</v>
      </c>
      <c r="G2200" t="s">
        <v>19631</v>
      </c>
      <c r="H2200" s="4" t="s">
        <v>19632</v>
      </c>
      <c r="I2200" t="s">
        <v>71</v>
      </c>
      <c r="J2200" t="s">
        <v>10782</v>
      </c>
      <c r="K2200" t="s">
        <v>19633</v>
      </c>
    </row>
    <row r="2201" spans="1:12" ht="216" x14ac:dyDescent="0.3">
      <c r="A2201" s="4" t="s">
        <v>5436</v>
      </c>
      <c r="B2201">
        <v>3</v>
      </c>
      <c r="C2201">
        <v>2022</v>
      </c>
      <c r="D2201" t="s">
        <v>15750</v>
      </c>
      <c r="E2201">
        <v>9</v>
      </c>
      <c r="F2201" t="s">
        <v>19634</v>
      </c>
      <c r="G2201" t="s">
        <v>19635</v>
      </c>
      <c r="H2201" s="4" t="s">
        <v>19636</v>
      </c>
      <c r="I2201" t="s">
        <v>71</v>
      </c>
      <c r="J2201" t="s">
        <v>10782</v>
      </c>
      <c r="K2201" t="s">
        <v>19637</v>
      </c>
    </row>
    <row r="2202" spans="1:12" ht="216" x14ac:dyDescent="0.3">
      <c r="A2202" s="4" t="s">
        <v>5437</v>
      </c>
      <c r="B2202">
        <v>3</v>
      </c>
      <c r="C2202">
        <v>2022</v>
      </c>
      <c r="D2202" t="s">
        <v>14553</v>
      </c>
      <c r="E2202">
        <v>10</v>
      </c>
      <c r="F2202" t="s">
        <v>19638</v>
      </c>
      <c r="G2202" t="s">
        <v>19639</v>
      </c>
      <c r="H2202" s="4" t="s">
        <v>19640</v>
      </c>
      <c r="I2202" t="s">
        <v>71</v>
      </c>
      <c r="J2202" t="s">
        <v>10782</v>
      </c>
      <c r="K2202" t="s">
        <v>19641</v>
      </c>
    </row>
    <row r="2203" spans="1:12" ht="172.8" x14ac:dyDescent="0.3">
      <c r="A2203" s="4" t="s">
        <v>5438</v>
      </c>
      <c r="B2203">
        <v>3</v>
      </c>
      <c r="C2203">
        <v>2022</v>
      </c>
      <c r="D2203" t="s">
        <v>14623</v>
      </c>
      <c r="E2203">
        <v>21</v>
      </c>
      <c r="F2203" t="s">
        <v>19642</v>
      </c>
      <c r="G2203" t="s">
        <v>19643</v>
      </c>
      <c r="H2203" s="4" t="s">
        <v>19644</v>
      </c>
      <c r="I2203" t="s">
        <v>71</v>
      </c>
      <c r="J2203" t="s">
        <v>10782</v>
      </c>
      <c r="K2203" t="s">
        <v>19645</v>
      </c>
    </row>
    <row r="2204" spans="1:12" ht="86.4" x14ac:dyDescent="0.3">
      <c r="A2204" s="4" t="s">
        <v>5439</v>
      </c>
      <c r="B2204">
        <v>3</v>
      </c>
      <c r="C2204">
        <v>2022</v>
      </c>
      <c r="D2204" t="s">
        <v>1570</v>
      </c>
      <c r="E2204">
        <v>7</v>
      </c>
      <c r="F2204" t="s">
        <v>19646</v>
      </c>
      <c r="G2204" t="s">
        <v>19647</v>
      </c>
      <c r="H2204" s="4" t="s">
        <v>19648</v>
      </c>
    </row>
    <row r="2205" spans="1:12" ht="172.8" x14ac:dyDescent="0.3">
      <c r="A2205" s="4" t="s">
        <v>5440</v>
      </c>
      <c r="B2205">
        <v>3</v>
      </c>
      <c r="C2205">
        <v>2022</v>
      </c>
      <c r="D2205" t="s">
        <v>80</v>
      </c>
      <c r="E2205">
        <v>22</v>
      </c>
      <c r="F2205" t="s">
        <v>19649</v>
      </c>
      <c r="G2205" t="s">
        <v>19650</v>
      </c>
      <c r="H2205" s="4" t="s">
        <v>19651</v>
      </c>
      <c r="I2205" t="s">
        <v>71</v>
      </c>
      <c r="J2205" t="s">
        <v>10782</v>
      </c>
      <c r="K2205" t="s">
        <v>19652</v>
      </c>
    </row>
    <row r="2206" spans="1:12" ht="115.2" x14ac:dyDescent="0.3">
      <c r="A2206" s="4" t="s">
        <v>5441</v>
      </c>
      <c r="B2206">
        <v>3</v>
      </c>
      <c r="C2206">
        <v>2022</v>
      </c>
      <c r="D2206" t="s">
        <v>14147</v>
      </c>
      <c r="E2206">
        <v>17</v>
      </c>
      <c r="F2206" t="s">
        <v>19653</v>
      </c>
      <c r="G2206" t="s">
        <v>19654</v>
      </c>
      <c r="H2206" s="4" t="s">
        <v>19655</v>
      </c>
      <c r="L2206" t="s">
        <v>19656</v>
      </c>
    </row>
    <row r="2207" spans="1:12" ht="187.2" x14ac:dyDescent="0.3">
      <c r="A2207" s="4" t="s">
        <v>5442</v>
      </c>
      <c r="B2207">
        <v>3</v>
      </c>
      <c r="C2207">
        <v>2022</v>
      </c>
      <c r="D2207" t="s">
        <v>12318</v>
      </c>
      <c r="E2207">
        <v>11</v>
      </c>
      <c r="F2207" t="s">
        <v>19657</v>
      </c>
      <c r="G2207" t="s">
        <v>19658</v>
      </c>
      <c r="H2207" s="4" t="s">
        <v>19659</v>
      </c>
      <c r="I2207" t="s">
        <v>71</v>
      </c>
      <c r="J2207" t="s">
        <v>10782</v>
      </c>
      <c r="K2207" t="s">
        <v>19660</v>
      </c>
    </row>
    <row r="2208" spans="1:12" ht="216" x14ac:dyDescent="0.3">
      <c r="A2208" s="4" t="s">
        <v>5443</v>
      </c>
      <c r="B2208">
        <v>3</v>
      </c>
      <c r="C2208">
        <v>2022</v>
      </c>
      <c r="D2208" t="s">
        <v>318</v>
      </c>
      <c r="E2208">
        <v>19</v>
      </c>
      <c r="F2208" t="s">
        <v>19661</v>
      </c>
      <c r="G2208" t="s">
        <v>19662</v>
      </c>
      <c r="H2208" s="4" t="s">
        <v>19663</v>
      </c>
      <c r="I2208" t="s">
        <v>71</v>
      </c>
      <c r="J2208" t="s">
        <v>10782</v>
      </c>
      <c r="K2208" t="s">
        <v>19664</v>
      </c>
    </row>
    <row r="2209" spans="1:11" ht="230.4" x14ac:dyDescent="0.3">
      <c r="A2209" s="4" t="s">
        <v>5444</v>
      </c>
      <c r="B2209">
        <v>3</v>
      </c>
      <c r="C2209">
        <v>2022</v>
      </c>
      <c r="D2209" t="s">
        <v>17076</v>
      </c>
      <c r="E2209">
        <v>2</v>
      </c>
      <c r="F2209" t="s">
        <v>19665</v>
      </c>
      <c r="G2209" t="s">
        <v>19666</v>
      </c>
      <c r="H2209" s="4" t="s">
        <v>19667</v>
      </c>
      <c r="I2209" t="s">
        <v>71</v>
      </c>
      <c r="J2209" t="s">
        <v>10782</v>
      </c>
      <c r="K2209" t="s">
        <v>19668</v>
      </c>
    </row>
    <row r="2210" spans="1:11" ht="187.2" x14ac:dyDescent="0.3">
      <c r="A2210" s="4" t="s">
        <v>5445</v>
      </c>
      <c r="B2210">
        <v>3</v>
      </c>
      <c r="C2210">
        <v>2022</v>
      </c>
      <c r="D2210" t="s">
        <v>11159</v>
      </c>
      <c r="E2210">
        <v>0</v>
      </c>
      <c r="F2210" t="s">
        <v>19669</v>
      </c>
      <c r="G2210" t="s">
        <v>19670</v>
      </c>
      <c r="H2210" s="4" t="s">
        <v>19671</v>
      </c>
      <c r="I2210" t="s">
        <v>71</v>
      </c>
      <c r="J2210" t="s">
        <v>10782</v>
      </c>
      <c r="K2210" t="s">
        <v>19672</v>
      </c>
    </row>
    <row r="2211" spans="1:11" ht="100.8" x14ac:dyDescent="0.3">
      <c r="A2211" s="4" t="s">
        <v>3302</v>
      </c>
      <c r="B2211">
        <v>1</v>
      </c>
      <c r="C2211">
        <v>2022</v>
      </c>
      <c r="D2211" t="s">
        <v>1794</v>
      </c>
      <c r="E2211">
        <v>0</v>
      </c>
      <c r="F2211" t="s">
        <v>19673</v>
      </c>
      <c r="G2211" t="s">
        <v>19674</v>
      </c>
      <c r="H2211" s="4" t="s">
        <v>19675</v>
      </c>
      <c r="I2211" t="s">
        <v>71</v>
      </c>
      <c r="J2211" t="s">
        <v>10782</v>
      </c>
      <c r="K2211" t="s">
        <v>19676</v>
      </c>
    </row>
    <row r="2212" spans="1:11" ht="187.2" x14ac:dyDescent="0.3">
      <c r="A2212" s="4" t="s">
        <v>5446</v>
      </c>
      <c r="B2212">
        <v>3</v>
      </c>
      <c r="C2212">
        <v>2022</v>
      </c>
      <c r="D2212" t="s">
        <v>2030</v>
      </c>
      <c r="E2212">
        <v>28</v>
      </c>
      <c r="F2212" t="s">
        <v>19677</v>
      </c>
      <c r="G2212" t="s">
        <v>19678</v>
      </c>
      <c r="H2212" s="4" t="s">
        <v>19679</v>
      </c>
      <c r="I2212" t="s">
        <v>71</v>
      </c>
      <c r="J2212" t="s">
        <v>10782</v>
      </c>
      <c r="K2212" t="s">
        <v>19680</v>
      </c>
    </row>
    <row r="2213" spans="1:11" ht="115.2" x14ac:dyDescent="0.3">
      <c r="A2213" s="4" t="s">
        <v>5447</v>
      </c>
      <c r="B2213">
        <v>3</v>
      </c>
      <c r="C2213">
        <v>2022</v>
      </c>
      <c r="D2213" t="s">
        <v>11332</v>
      </c>
      <c r="E2213">
        <v>3</v>
      </c>
      <c r="F2213" t="s">
        <v>19681</v>
      </c>
      <c r="G2213" t="s">
        <v>19682</v>
      </c>
      <c r="H2213" s="4" t="s">
        <v>19683</v>
      </c>
      <c r="I2213" t="s">
        <v>71</v>
      </c>
      <c r="J2213" t="s">
        <v>10782</v>
      </c>
      <c r="K2213" t="s">
        <v>19684</v>
      </c>
    </row>
    <row r="2214" spans="1:11" ht="144" x14ac:dyDescent="0.3">
      <c r="A2214" s="4" t="s">
        <v>5448</v>
      </c>
      <c r="B2214">
        <v>3</v>
      </c>
      <c r="C2214">
        <v>2022</v>
      </c>
      <c r="D2214" t="s">
        <v>19685</v>
      </c>
      <c r="E2214">
        <v>1</v>
      </c>
      <c r="F2214" t="s">
        <v>19686</v>
      </c>
      <c r="G2214" t="s">
        <v>19687</v>
      </c>
      <c r="H2214" s="4" t="s">
        <v>19688</v>
      </c>
      <c r="I2214" t="s">
        <v>71</v>
      </c>
      <c r="J2214" t="s">
        <v>10782</v>
      </c>
      <c r="K2214" t="s">
        <v>19689</v>
      </c>
    </row>
    <row r="2215" spans="1:11" ht="144" x14ac:dyDescent="0.3">
      <c r="A2215" s="4" t="s">
        <v>5449</v>
      </c>
      <c r="B2215">
        <v>3</v>
      </c>
      <c r="C2215">
        <v>2022</v>
      </c>
      <c r="D2215" t="s">
        <v>16959</v>
      </c>
      <c r="E2215">
        <v>4</v>
      </c>
      <c r="F2215" t="s">
        <v>19690</v>
      </c>
      <c r="G2215" t="s">
        <v>19691</v>
      </c>
      <c r="H2215" s="4" t="s">
        <v>19692</v>
      </c>
      <c r="I2215" t="s">
        <v>71</v>
      </c>
      <c r="J2215" t="s">
        <v>10782</v>
      </c>
      <c r="K2215" t="s">
        <v>19693</v>
      </c>
    </row>
    <row r="2216" spans="1:11" ht="201.6" x14ac:dyDescent="0.3">
      <c r="A2216" s="4" t="s">
        <v>3303</v>
      </c>
      <c r="B2216">
        <v>1</v>
      </c>
      <c r="C2216">
        <v>2022</v>
      </c>
      <c r="D2216" t="s">
        <v>622</v>
      </c>
      <c r="E2216">
        <v>2</v>
      </c>
      <c r="F2216" t="s">
        <v>19694</v>
      </c>
      <c r="G2216" t="s">
        <v>19695</v>
      </c>
      <c r="H2216" s="4" t="s">
        <v>19696</v>
      </c>
      <c r="I2216" t="s">
        <v>71</v>
      </c>
      <c r="J2216" t="s">
        <v>10782</v>
      </c>
      <c r="K2216" t="s">
        <v>19697</v>
      </c>
    </row>
    <row r="2217" spans="1:11" ht="129.6" x14ac:dyDescent="0.3">
      <c r="A2217" s="4" t="s">
        <v>5450</v>
      </c>
      <c r="B2217">
        <v>3</v>
      </c>
      <c r="C2217">
        <v>2022</v>
      </c>
      <c r="D2217" t="s">
        <v>11521</v>
      </c>
      <c r="E2217">
        <v>5</v>
      </c>
      <c r="F2217" t="s">
        <v>19698</v>
      </c>
      <c r="G2217" t="s">
        <v>19699</v>
      </c>
      <c r="H2217" s="4" t="s">
        <v>19700</v>
      </c>
      <c r="I2217" t="s">
        <v>71</v>
      </c>
      <c r="J2217" t="s">
        <v>10782</v>
      </c>
      <c r="K2217" t="s">
        <v>19701</v>
      </c>
    </row>
    <row r="2218" spans="1:11" ht="115.2" x14ac:dyDescent="0.3">
      <c r="A2218" s="4" t="s">
        <v>5451</v>
      </c>
      <c r="B2218">
        <v>3</v>
      </c>
      <c r="C2218">
        <v>2022</v>
      </c>
      <c r="D2218" t="s">
        <v>11649</v>
      </c>
      <c r="E2218">
        <v>7</v>
      </c>
      <c r="F2218" t="s">
        <v>19702</v>
      </c>
      <c r="G2218" t="s">
        <v>19703</v>
      </c>
      <c r="H2218" s="4" t="s">
        <v>19704</v>
      </c>
      <c r="I2218" t="s">
        <v>71</v>
      </c>
      <c r="J2218" t="s">
        <v>10782</v>
      </c>
      <c r="K2218" t="s">
        <v>19705</v>
      </c>
    </row>
    <row r="2219" spans="1:11" ht="172.8" x14ac:dyDescent="0.3">
      <c r="A2219" s="4" t="s">
        <v>5452</v>
      </c>
      <c r="B2219">
        <v>3</v>
      </c>
      <c r="C2219">
        <v>2022</v>
      </c>
      <c r="D2219" t="s">
        <v>19706</v>
      </c>
      <c r="E2219">
        <v>2</v>
      </c>
      <c r="F2219" t="s">
        <v>19707</v>
      </c>
      <c r="G2219" t="s">
        <v>19708</v>
      </c>
      <c r="H2219" s="4" t="s">
        <v>19709</v>
      </c>
      <c r="I2219" t="s">
        <v>71</v>
      </c>
      <c r="J2219" t="s">
        <v>10782</v>
      </c>
      <c r="K2219" t="s">
        <v>19710</v>
      </c>
    </row>
    <row r="2220" spans="1:11" ht="230.4" x14ac:dyDescent="0.3">
      <c r="A2220" s="4" t="s">
        <v>5453</v>
      </c>
      <c r="B2220">
        <v>3</v>
      </c>
      <c r="C2220">
        <v>2022</v>
      </c>
      <c r="D2220" t="s">
        <v>1794</v>
      </c>
      <c r="E2220">
        <v>3</v>
      </c>
      <c r="F2220" t="s">
        <v>19711</v>
      </c>
      <c r="G2220" t="s">
        <v>19712</v>
      </c>
      <c r="H2220" s="4" t="s">
        <v>19713</v>
      </c>
      <c r="I2220" t="s">
        <v>71</v>
      </c>
      <c r="J2220" t="s">
        <v>10782</v>
      </c>
      <c r="K2220" t="s">
        <v>19714</v>
      </c>
    </row>
    <row r="2221" spans="1:11" ht="244.8" x14ac:dyDescent="0.3">
      <c r="A2221" s="4" t="s">
        <v>5454</v>
      </c>
      <c r="B2221">
        <v>3</v>
      </c>
      <c r="C2221">
        <v>2022</v>
      </c>
      <c r="D2221" t="s">
        <v>19715</v>
      </c>
      <c r="E2221">
        <v>24</v>
      </c>
      <c r="F2221" t="s">
        <v>19716</v>
      </c>
      <c r="G2221" t="s">
        <v>19717</v>
      </c>
      <c r="H2221" s="4" t="s">
        <v>19718</v>
      </c>
      <c r="I2221" t="s">
        <v>10823</v>
      </c>
      <c r="J2221" t="s">
        <v>10782</v>
      </c>
      <c r="K2221" t="s">
        <v>19719</v>
      </c>
    </row>
    <row r="2222" spans="1:11" ht="158.4" x14ac:dyDescent="0.3">
      <c r="A2222" s="4" t="s">
        <v>5455</v>
      </c>
      <c r="B2222">
        <v>3</v>
      </c>
      <c r="C2222">
        <v>2022</v>
      </c>
      <c r="D2222" t="s">
        <v>19720</v>
      </c>
      <c r="E2222">
        <v>2</v>
      </c>
      <c r="F2222" t="s">
        <v>19721</v>
      </c>
      <c r="G2222" t="s">
        <v>19722</v>
      </c>
      <c r="H2222" s="4" t="s">
        <v>19723</v>
      </c>
      <c r="I2222" t="s">
        <v>71</v>
      </c>
      <c r="J2222" t="s">
        <v>10782</v>
      </c>
      <c r="K2222" t="s">
        <v>19724</v>
      </c>
    </row>
    <row r="2223" spans="1:11" ht="158.4" x14ac:dyDescent="0.3">
      <c r="A2223" s="4" t="s">
        <v>5456</v>
      </c>
      <c r="B2223">
        <v>3</v>
      </c>
      <c r="C2223">
        <v>2022</v>
      </c>
      <c r="D2223" t="s">
        <v>19725</v>
      </c>
      <c r="E2223">
        <v>8</v>
      </c>
      <c r="F2223" t="s">
        <v>19726</v>
      </c>
      <c r="G2223" t="s">
        <v>19727</v>
      </c>
      <c r="H2223" s="4" t="s">
        <v>19728</v>
      </c>
      <c r="I2223" t="s">
        <v>71</v>
      </c>
      <c r="J2223" t="s">
        <v>10782</v>
      </c>
      <c r="K2223" t="s">
        <v>19729</v>
      </c>
    </row>
    <row r="2224" spans="1:11" ht="158.4" x14ac:dyDescent="0.3">
      <c r="A2224" s="4" t="s">
        <v>2660</v>
      </c>
      <c r="B2224">
        <v>2</v>
      </c>
      <c r="C2224">
        <v>2022</v>
      </c>
      <c r="D2224" t="s">
        <v>665</v>
      </c>
      <c r="E2224">
        <v>3</v>
      </c>
      <c r="F2224" t="s">
        <v>19730</v>
      </c>
      <c r="G2224" t="s">
        <v>19731</v>
      </c>
      <c r="H2224" s="4" t="s">
        <v>19732</v>
      </c>
      <c r="I2224" t="s">
        <v>71</v>
      </c>
      <c r="J2224" t="s">
        <v>10782</v>
      </c>
      <c r="K2224" t="s">
        <v>19733</v>
      </c>
    </row>
    <row r="2225" spans="1:11" ht="115.2" x14ac:dyDescent="0.3">
      <c r="A2225" s="4" t="s">
        <v>5457</v>
      </c>
      <c r="B2225">
        <v>3</v>
      </c>
      <c r="C2225">
        <v>2022</v>
      </c>
      <c r="D2225" t="s">
        <v>19734</v>
      </c>
      <c r="E2225">
        <v>3</v>
      </c>
      <c r="F2225" t="s">
        <v>19735</v>
      </c>
      <c r="G2225" t="s">
        <v>19736</v>
      </c>
      <c r="H2225" s="4" t="s">
        <v>19737</v>
      </c>
      <c r="I2225" t="s">
        <v>71</v>
      </c>
      <c r="J2225" t="s">
        <v>10782</v>
      </c>
      <c r="K2225" t="s">
        <v>19738</v>
      </c>
    </row>
    <row r="2226" spans="1:11" ht="158.4" x14ac:dyDescent="0.3">
      <c r="A2226" s="4" t="s">
        <v>5458</v>
      </c>
      <c r="B2226">
        <v>3</v>
      </c>
      <c r="C2226">
        <v>2022</v>
      </c>
      <c r="D2226" t="s">
        <v>14061</v>
      </c>
      <c r="E2226">
        <v>5</v>
      </c>
      <c r="F2226" t="s">
        <v>19739</v>
      </c>
      <c r="G2226" t="s">
        <v>19740</v>
      </c>
      <c r="H2226" s="4" t="s">
        <v>19741</v>
      </c>
      <c r="I2226" t="s">
        <v>71</v>
      </c>
      <c r="J2226" t="s">
        <v>10782</v>
      </c>
      <c r="K2226" t="s">
        <v>19742</v>
      </c>
    </row>
    <row r="2227" spans="1:11" ht="172.8" x14ac:dyDescent="0.3">
      <c r="A2227" s="4" t="s">
        <v>5459</v>
      </c>
      <c r="B2227">
        <v>3</v>
      </c>
      <c r="C2227">
        <v>2022</v>
      </c>
      <c r="D2227" t="s">
        <v>19743</v>
      </c>
      <c r="E2227">
        <v>5</v>
      </c>
      <c r="F2227" t="s">
        <v>19744</v>
      </c>
      <c r="G2227" t="s">
        <v>19745</v>
      </c>
      <c r="H2227" s="4" t="s">
        <v>19746</v>
      </c>
      <c r="I2227" t="s">
        <v>71</v>
      </c>
      <c r="J2227" t="s">
        <v>10782</v>
      </c>
      <c r="K2227" t="s">
        <v>19747</v>
      </c>
    </row>
    <row r="2228" spans="1:11" ht="86.4" x14ac:dyDescent="0.3">
      <c r="A2228" s="4" t="s">
        <v>5460</v>
      </c>
      <c r="B2228">
        <v>3</v>
      </c>
      <c r="C2228">
        <v>2022</v>
      </c>
      <c r="D2228" t="s">
        <v>1794</v>
      </c>
      <c r="E2228">
        <v>3</v>
      </c>
      <c r="F2228" t="s">
        <v>19748</v>
      </c>
      <c r="G2228" t="s">
        <v>19749</v>
      </c>
      <c r="H2228" s="4" t="s">
        <v>19750</v>
      </c>
      <c r="I2228" t="s">
        <v>71</v>
      </c>
      <c r="J2228" t="s">
        <v>10782</v>
      </c>
      <c r="K2228" t="s">
        <v>19751</v>
      </c>
    </row>
    <row r="2229" spans="1:11" ht="172.8" x14ac:dyDescent="0.3">
      <c r="A2229" s="4" t="s">
        <v>1056</v>
      </c>
      <c r="B2229">
        <v>1</v>
      </c>
      <c r="C2229">
        <v>2022</v>
      </c>
      <c r="D2229" t="s">
        <v>202</v>
      </c>
      <c r="E2229">
        <v>6</v>
      </c>
      <c r="F2229" t="s">
        <v>19752</v>
      </c>
      <c r="G2229" t="s">
        <v>19753</v>
      </c>
      <c r="H2229" s="4" t="s">
        <v>19754</v>
      </c>
      <c r="I2229" t="s">
        <v>71</v>
      </c>
      <c r="J2229" t="s">
        <v>10782</v>
      </c>
      <c r="K2229" t="s">
        <v>19755</v>
      </c>
    </row>
    <row r="2230" spans="1:11" ht="144" x14ac:dyDescent="0.3">
      <c r="A2230" s="4" t="s">
        <v>5461</v>
      </c>
      <c r="B2230">
        <v>3</v>
      </c>
      <c r="C2230">
        <v>2022</v>
      </c>
      <c r="D2230" t="s">
        <v>1088</v>
      </c>
      <c r="E2230">
        <v>18</v>
      </c>
      <c r="F2230" t="s">
        <v>19756</v>
      </c>
      <c r="G2230" t="s">
        <v>19757</v>
      </c>
      <c r="H2230" s="4" t="s">
        <v>19758</v>
      </c>
      <c r="I2230" t="s">
        <v>71</v>
      </c>
      <c r="J2230" t="s">
        <v>10782</v>
      </c>
      <c r="K2230" t="s">
        <v>19759</v>
      </c>
    </row>
    <row r="2231" spans="1:11" ht="115.2" x14ac:dyDescent="0.3">
      <c r="A2231" s="4" t="s">
        <v>5462</v>
      </c>
      <c r="B2231">
        <v>3</v>
      </c>
      <c r="C2231">
        <v>2022</v>
      </c>
      <c r="D2231" t="s">
        <v>10805</v>
      </c>
      <c r="E2231">
        <v>149</v>
      </c>
      <c r="F2231" t="s">
        <v>19760</v>
      </c>
      <c r="G2231" t="s">
        <v>19761</v>
      </c>
      <c r="H2231" s="4" t="s">
        <v>19762</v>
      </c>
    </row>
    <row r="2232" spans="1:11" ht="158.4" x14ac:dyDescent="0.3">
      <c r="A2232" s="4" t="s">
        <v>5463</v>
      </c>
      <c r="B2232">
        <v>3</v>
      </c>
      <c r="C2232">
        <v>2022</v>
      </c>
      <c r="D2232" t="s">
        <v>19510</v>
      </c>
      <c r="E2232">
        <v>2</v>
      </c>
      <c r="F2232" t="s">
        <v>19763</v>
      </c>
      <c r="G2232" t="s">
        <v>19764</v>
      </c>
      <c r="H2232" s="4" t="s">
        <v>19765</v>
      </c>
    </row>
    <row r="2233" spans="1:11" ht="129.6" x14ac:dyDescent="0.3">
      <c r="A2233" s="4" t="s">
        <v>5464</v>
      </c>
      <c r="B2233">
        <v>3</v>
      </c>
      <c r="C2233">
        <v>2022</v>
      </c>
      <c r="D2233" t="s">
        <v>1088</v>
      </c>
      <c r="E2233">
        <v>5</v>
      </c>
      <c r="F2233" t="s">
        <v>19766</v>
      </c>
      <c r="G2233" t="s">
        <v>19767</v>
      </c>
      <c r="H2233" s="4" t="s">
        <v>19768</v>
      </c>
    </row>
    <row r="2234" spans="1:11" ht="129.6" x14ac:dyDescent="0.3">
      <c r="A2234" s="4" t="s">
        <v>5465</v>
      </c>
      <c r="B2234">
        <v>3</v>
      </c>
      <c r="C2234">
        <v>2022</v>
      </c>
      <c r="D2234" t="s">
        <v>1794</v>
      </c>
      <c r="E2234">
        <v>7</v>
      </c>
      <c r="F2234" t="s">
        <v>19769</v>
      </c>
      <c r="G2234" t="s">
        <v>19770</v>
      </c>
      <c r="H2234" s="4" t="s">
        <v>19771</v>
      </c>
      <c r="I2234" t="s">
        <v>71</v>
      </c>
      <c r="J2234" t="s">
        <v>10782</v>
      </c>
      <c r="K2234" t="s">
        <v>19772</v>
      </c>
    </row>
    <row r="2235" spans="1:11" ht="100.8" x14ac:dyDescent="0.3">
      <c r="A2235" s="4" t="s">
        <v>1057</v>
      </c>
      <c r="B2235">
        <v>1</v>
      </c>
      <c r="C2235">
        <v>2022</v>
      </c>
      <c r="D2235" t="s">
        <v>227</v>
      </c>
      <c r="E2235">
        <v>10</v>
      </c>
      <c r="F2235" t="s">
        <v>19773</v>
      </c>
      <c r="G2235" t="s">
        <v>19774</v>
      </c>
      <c r="H2235" s="4" t="s">
        <v>19775</v>
      </c>
      <c r="I2235" t="s">
        <v>71</v>
      </c>
      <c r="J2235" t="s">
        <v>10782</v>
      </c>
      <c r="K2235" t="s">
        <v>19776</v>
      </c>
    </row>
    <row r="2236" spans="1:11" ht="115.2" x14ac:dyDescent="0.3">
      <c r="A2236" s="4" t="s">
        <v>5466</v>
      </c>
      <c r="B2236">
        <v>3</v>
      </c>
      <c r="C2236">
        <v>2022</v>
      </c>
      <c r="D2236" t="s">
        <v>1088</v>
      </c>
      <c r="E2236">
        <v>1</v>
      </c>
      <c r="F2236" t="s">
        <v>19777</v>
      </c>
      <c r="G2236" t="s">
        <v>19778</v>
      </c>
      <c r="H2236" s="4" t="s">
        <v>19779</v>
      </c>
      <c r="I2236" t="s">
        <v>71</v>
      </c>
      <c r="J2236" t="s">
        <v>10782</v>
      </c>
      <c r="K2236" t="s">
        <v>19780</v>
      </c>
    </row>
    <row r="2237" spans="1:11" ht="28.8" x14ac:dyDescent="0.3">
      <c r="A2237" s="4" t="s">
        <v>5467</v>
      </c>
      <c r="B2237">
        <v>3</v>
      </c>
      <c r="C2237">
        <v>2022</v>
      </c>
      <c r="D2237" t="s">
        <v>1794</v>
      </c>
      <c r="E2237">
        <v>1</v>
      </c>
      <c r="F2237" t="s">
        <v>19781</v>
      </c>
      <c r="G2237" t="s">
        <v>19782</v>
      </c>
      <c r="H2237" s="4" t="s">
        <v>17311</v>
      </c>
      <c r="I2237" t="s">
        <v>71</v>
      </c>
      <c r="J2237" t="s">
        <v>10782</v>
      </c>
      <c r="K2237" t="s">
        <v>19783</v>
      </c>
    </row>
    <row r="2238" spans="1:11" ht="216" x14ac:dyDescent="0.3">
      <c r="A2238" s="4" t="s">
        <v>1058</v>
      </c>
      <c r="B2238">
        <v>1</v>
      </c>
      <c r="C2238">
        <v>2022</v>
      </c>
      <c r="D2238" t="s">
        <v>363</v>
      </c>
      <c r="E2238">
        <v>26</v>
      </c>
      <c r="F2238" t="s">
        <v>19784</v>
      </c>
      <c r="G2238" t="s">
        <v>19785</v>
      </c>
      <c r="H2238" s="4" t="s">
        <v>19786</v>
      </c>
    </row>
    <row r="2239" spans="1:11" ht="115.2" x14ac:dyDescent="0.3">
      <c r="A2239" s="4" t="s">
        <v>3304</v>
      </c>
      <c r="B2239">
        <v>1</v>
      </c>
      <c r="C2239">
        <v>2022</v>
      </c>
      <c r="D2239" t="s">
        <v>1088</v>
      </c>
      <c r="E2239">
        <v>14</v>
      </c>
      <c r="F2239" t="s">
        <v>19787</v>
      </c>
      <c r="G2239" t="s">
        <v>19788</v>
      </c>
      <c r="H2239" s="4" t="s">
        <v>19789</v>
      </c>
      <c r="I2239" t="s">
        <v>71</v>
      </c>
      <c r="J2239" t="s">
        <v>10782</v>
      </c>
      <c r="K2239" t="s">
        <v>19790</v>
      </c>
    </row>
    <row r="2240" spans="1:11" ht="158.4" x14ac:dyDescent="0.3">
      <c r="A2240" s="4" t="s">
        <v>3305</v>
      </c>
      <c r="B2240">
        <v>1</v>
      </c>
      <c r="C2240">
        <v>2022</v>
      </c>
      <c r="D2240" t="s">
        <v>217</v>
      </c>
      <c r="E2240">
        <v>7</v>
      </c>
      <c r="F2240" t="s">
        <v>19791</v>
      </c>
      <c r="G2240" t="s">
        <v>19792</v>
      </c>
      <c r="H2240" s="4" t="s">
        <v>19793</v>
      </c>
    </row>
    <row r="2241" spans="1:11" ht="129.6" x14ac:dyDescent="0.3">
      <c r="A2241" s="4" t="s">
        <v>5468</v>
      </c>
      <c r="B2241">
        <v>3</v>
      </c>
      <c r="C2241">
        <v>2022</v>
      </c>
      <c r="D2241" t="s">
        <v>19794</v>
      </c>
      <c r="E2241">
        <v>9</v>
      </c>
      <c r="F2241" t="s">
        <v>19795</v>
      </c>
      <c r="G2241" t="s">
        <v>19796</v>
      </c>
      <c r="H2241" s="4" t="s">
        <v>19797</v>
      </c>
    </row>
    <row r="2242" spans="1:11" ht="230.4" x14ac:dyDescent="0.3">
      <c r="A2242" s="4" t="s">
        <v>3542</v>
      </c>
      <c r="B2242">
        <v>2</v>
      </c>
      <c r="C2242">
        <v>2022</v>
      </c>
      <c r="D2242" t="s">
        <v>202</v>
      </c>
      <c r="E2242">
        <v>49</v>
      </c>
      <c r="F2242" t="s">
        <v>19798</v>
      </c>
      <c r="G2242" t="s">
        <v>19799</v>
      </c>
      <c r="H2242" s="4" t="s">
        <v>19800</v>
      </c>
      <c r="I2242" t="s">
        <v>71</v>
      </c>
      <c r="J2242" t="s">
        <v>10782</v>
      </c>
      <c r="K2242" t="s">
        <v>19801</v>
      </c>
    </row>
    <row r="2243" spans="1:11" ht="86.4" x14ac:dyDescent="0.3">
      <c r="A2243" s="4" t="s">
        <v>5469</v>
      </c>
      <c r="B2243">
        <v>3</v>
      </c>
      <c r="C2243">
        <v>2022</v>
      </c>
      <c r="D2243" t="s">
        <v>19802</v>
      </c>
      <c r="E2243">
        <v>9</v>
      </c>
      <c r="F2243" t="s">
        <v>19803</v>
      </c>
      <c r="G2243" t="s">
        <v>19804</v>
      </c>
      <c r="H2243" s="4" t="s">
        <v>19805</v>
      </c>
      <c r="I2243" t="s">
        <v>71</v>
      </c>
      <c r="J2243" t="s">
        <v>10782</v>
      </c>
      <c r="K2243" t="s">
        <v>19806</v>
      </c>
    </row>
    <row r="2244" spans="1:11" ht="115.2" x14ac:dyDescent="0.3">
      <c r="A2244" s="4" t="s">
        <v>5470</v>
      </c>
      <c r="B2244">
        <v>3</v>
      </c>
      <c r="C2244">
        <v>2022</v>
      </c>
      <c r="D2244" t="s">
        <v>11569</v>
      </c>
      <c r="E2244">
        <v>11</v>
      </c>
      <c r="F2244" t="s">
        <v>19807</v>
      </c>
      <c r="G2244" t="s">
        <v>19808</v>
      </c>
      <c r="H2244" s="4" t="s">
        <v>19809</v>
      </c>
    </row>
    <row r="2245" spans="1:11" ht="43.2" x14ac:dyDescent="0.3">
      <c r="A2245" s="4" t="s">
        <v>5471</v>
      </c>
      <c r="B2245">
        <v>3</v>
      </c>
      <c r="C2245">
        <v>2022</v>
      </c>
      <c r="D2245" t="s">
        <v>958</v>
      </c>
      <c r="E2245">
        <v>15</v>
      </c>
      <c r="F2245" t="s">
        <v>19810</v>
      </c>
      <c r="G2245" t="s">
        <v>19811</v>
      </c>
      <c r="H2245" s="4" t="s">
        <v>19812</v>
      </c>
    </row>
    <row r="2246" spans="1:11" ht="129.6" x14ac:dyDescent="0.3">
      <c r="A2246" s="4" t="s">
        <v>5472</v>
      </c>
      <c r="B2246">
        <v>3</v>
      </c>
      <c r="C2246">
        <v>2022</v>
      </c>
      <c r="D2246" t="s">
        <v>11164</v>
      </c>
      <c r="E2246">
        <v>11</v>
      </c>
      <c r="F2246" t="s">
        <v>19813</v>
      </c>
      <c r="G2246" t="s">
        <v>19814</v>
      </c>
      <c r="H2246" s="4" t="s">
        <v>19815</v>
      </c>
      <c r="I2246" t="s">
        <v>71</v>
      </c>
      <c r="J2246" t="s">
        <v>10782</v>
      </c>
      <c r="K2246" t="s">
        <v>19816</v>
      </c>
    </row>
    <row r="2247" spans="1:11" ht="72" x14ac:dyDescent="0.3">
      <c r="A2247" s="4" t="s">
        <v>5473</v>
      </c>
      <c r="B2247">
        <v>3</v>
      </c>
      <c r="C2247">
        <v>2022</v>
      </c>
      <c r="D2247" t="s">
        <v>19817</v>
      </c>
      <c r="E2247">
        <v>8</v>
      </c>
      <c r="F2247" t="s">
        <v>19818</v>
      </c>
      <c r="G2247" t="s">
        <v>19819</v>
      </c>
      <c r="H2247" s="4" t="s">
        <v>19820</v>
      </c>
    </row>
    <row r="2248" spans="1:11" ht="172.8" x14ac:dyDescent="0.3">
      <c r="A2248" s="4" t="s">
        <v>5474</v>
      </c>
      <c r="B2248">
        <v>3</v>
      </c>
      <c r="C2248">
        <v>2022</v>
      </c>
      <c r="D2248" t="s">
        <v>2416</v>
      </c>
      <c r="E2248">
        <v>14</v>
      </c>
      <c r="F2248" t="s">
        <v>19821</v>
      </c>
      <c r="G2248" t="s">
        <v>19822</v>
      </c>
      <c r="H2248" s="4" t="s">
        <v>19823</v>
      </c>
      <c r="I2248" t="s">
        <v>71</v>
      </c>
      <c r="J2248" t="s">
        <v>10782</v>
      </c>
      <c r="K2248" t="s">
        <v>19824</v>
      </c>
    </row>
    <row r="2249" spans="1:11" ht="158.4" x14ac:dyDescent="0.3">
      <c r="A2249" s="4" t="s">
        <v>5475</v>
      </c>
      <c r="B2249">
        <v>3</v>
      </c>
      <c r="C2249">
        <v>2022</v>
      </c>
      <c r="D2249" t="s">
        <v>724</v>
      </c>
      <c r="E2249">
        <v>11</v>
      </c>
      <c r="F2249" t="s">
        <v>19825</v>
      </c>
      <c r="G2249" t="s">
        <v>19826</v>
      </c>
      <c r="H2249" s="4" t="s">
        <v>19827</v>
      </c>
      <c r="I2249" t="s">
        <v>71</v>
      </c>
      <c r="J2249" t="s">
        <v>10782</v>
      </c>
      <c r="K2249" t="s">
        <v>19828</v>
      </c>
    </row>
    <row r="2250" spans="1:11" ht="216" x14ac:dyDescent="0.3">
      <c r="A2250" s="4" t="s">
        <v>5476</v>
      </c>
      <c r="B2250">
        <v>3</v>
      </c>
      <c r="C2250">
        <v>2022</v>
      </c>
      <c r="D2250" t="s">
        <v>1794</v>
      </c>
      <c r="E2250">
        <v>10</v>
      </c>
      <c r="F2250" t="s">
        <v>19829</v>
      </c>
      <c r="G2250" t="s">
        <v>19830</v>
      </c>
      <c r="H2250" s="4" t="s">
        <v>19831</v>
      </c>
      <c r="I2250" t="s">
        <v>71</v>
      </c>
      <c r="J2250" t="s">
        <v>10782</v>
      </c>
      <c r="K2250" t="s">
        <v>19832</v>
      </c>
    </row>
    <row r="2251" spans="1:11" ht="172.8" x14ac:dyDescent="0.3">
      <c r="A2251" s="4" t="s">
        <v>5477</v>
      </c>
      <c r="B2251">
        <v>3</v>
      </c>
      <c r="C2251">
        <v>2022</v>
      </c>
      <c r="D2251" t="s">
        <v>17140</v>
      </c>
      <c r="E2251">
        <v>6</v>
      </c>
      <c r="F2251" t="s">
        <v>19833</v>
      </c>
      <c r="G2251" t="s">
        <v>19834</v>
      </c>
      <c r="H2251" s="4" t="s">
        <v>19835</v>
      </c>
      <c r="I2251" t="s">
        <v>71</v>
      </c>
      <c r="J2251" t="s">
        <v>10782</v>
      </c>
      <c r="K2251" t="s">
        <v>19836</v>
      </c>
    </row>
    <row r="2252" spans="1:11" ht="187.2" x14ac:dyDescent="0.3">
      <c r="A2252" s="4" t="s">
        <v>5478</v>
      </c>
      <c r="B2252">
        <v>3</v>
      </c>
      <c r="C2252">
        <v>2022</v>
      </c>
      <c r="D2252" t="s">
        <v>637</v>
      </c>
      <c r="E2252">
        <v>36</v>
      </c>
      <c r="F2252" t="s">
        <v>19837</v>
      </c>
      <c r="G2252" t="s">
        <v>19838</v>
      </c>
      <c r="H2252" s="4" t="s">
        <v>19839</v>
      </c>
      <c r="I2252" t="s">
        <v>71</v>
      </c>
      <c r="J2252" t="s">
        <v>10782</v>
      </c>
      <c r="K2252" t="s">
        <v>19840</v>
      </c>
    </row>
    <row r="2253" spans="1:11" ht="115.2" x14ac:dyDescent="0.3">
      <c r="A2253" s="4" t="s">
        <v>3543</v>
      </c>
      <c r="B2253">
        <v>2</v>
      </c>
      <c r="C2253">
        <v>2022</v>
      </c>
      <c r="D2253" t="s">
        <v>1088</v>
      </c>
      <c r="E2253">
        <v>9</v>
      </c>
      <c r="F2253" t="s">
        <v>19841</v>
      </c>
      <c r="G2253" t="s">
        <v>19842</v>
      </c>
      <c r="H2253" s="4" t="s">
        <v>19843</v>
      </c>
      <c r="I2253" t="s">
        <v>71</v>
      </c>
      <c r="J2253" t="s">
        <v>10782</v>
      </c>
      <c r="K2253" t="s">
        <v>19844</v>
      </c>
    </row>
    <row r="2254" spans="1:11" ht="158.4" x14ac:dyDescent="0.3">
      <c r="A2254" s="4" t="s">
        <v>3306</v>
      </c>
      <c r="B2254">
        <v>1</v>
      </c>
      <c r="C2254">
        <v>2022</v>
      </c>
      <c r="D2254" t="s">
        <v>12593</v>
      </c>
      <c r="E2254">
        <v>8</v>
      </c>
      <c r="F2254" t="s">
        <v>19845</v>
      </c>
      <c r="G2254" t="s">
        <v>19846</v>
      </c>
      <c r="H2254" s="4" t="s">
        <v>19847</v>
      </c>
      <c r="I2254" t="s">
        <v>71</v>
      </c>
      <c r="J2254" t="s">
        <v>10782</v>
      </c>
      <c r="K2254" t="s">
        <v>19848</v>
      </c>
    </row>
    <row r="2255" spans="1:11" ht="144" x14ac:dyDescent="0.3">
      <c r="A2255" s="4" t="s">
        <v>5479</v>
      </c>
      <c r="B2255">
        <v>3</v>
      </c>
      <c r="C2255">
        <v>2022</v>
      </c>
      <c r="D2255" t="s">
        <v>11332</v>
      </c>
      <c r="E2255">
        <v>4</v>
      </c>
      <c r="F2255" t="s">
        <v>19849</v>
      </c>
      <c r="G2255" t="s">
        <v>19850</v>
      </c>
      <c r="H2255" s="4" t="s">
        <v>19851</v>
      </c>
      <c r="I2255" t="s">
        <v>71</v>
      </c>
      <c r="J2255" t="s">
        <v>10782</v>
      </c>
      <c r="K2255" t="s">
        <v>19852</v>
      </c>
    </row>
    <row r="2256" spans="1:11" ht="201.6" x14ac:dyDescent="0.3">
      <c r="A2256" s="4" t="s">
        <v>5480</v>
      </c>
      <c r="B2256">
        <v>3</v>
      </c>
      <c r="C2256">
        <v>2022</v>
      </c>
      <c r="D2256" t="s">
        <v>10825</v>
      </c>
      <c r="E2256">
        <v>8</v>
      </c>
      <c r="F2256" t="s">
        <v>19853</v>
      </c>
      <c r="G2256" t="s">
        <v>19854</v>
      </c>
      <c r="H2256" s="4" t="s">
        <v>19855</v>
      </c>
      <c r="I2256" t="s">
        <v>71</v>
      </c>
      <c r="J2256" t="s">
        <v>10782</v>
      </c>
      <c r="K2256" t="s">
        <v>19856</v>
      </c>
    </row>
    <row r="2257" spans="1:11" ht="172.8" x14ac:dyDescent="0.3">
      <c r="A2257" s="4" t="s">
        <v>5481</v>
      </c>
      <c r="B2257">
        <v>3</v>
      </c>
      <c r="C2257">
        <v>2022</v>
      </c>
      <c r="D2257" t="s">
        <v>958</v>
      </c>
      <c r="E2257">
        <v>21</v>
      </c>
      <c r="F2257" t="s">
        <v>19857</v>
      </c>
      <c r="G2257" t="s">
        <v>19858</v>
      </c>
      <c r="H2257" s="4" t="s">
        <v>19859</v>
      </c>
      <c r="I2257" t="s">
        <v>10823</v>
      </c>
      <c r="J2257" t="s">
        <v>10782</v>
      </c>
      <c r="K2257" t="s">
        <v>19860</v>
      </c>
    </row>
    <row r="2258" spans="1:11" ht="115.2" x14ac:dyDescent="0.3">
      <c r="A2258" s="4" t="s">
        <v>3307</v>
      </c>
      <c r="B2258">
        <v>1</v>
      </c>
      <c r="C2258">
        <v>2022</v>
      </c>
      <c r="D2258" t="s">
        <v>1088</v>
      </c>
      <c r="E2258">
        <v>6</v>
      </c>
      <c r="F2258" t="s">
        <v>19861</v>
      </c>
      <c r="G2258" t="s">
        <v>19862</v>
      </c>
      <c r="H2258" s="4" t="s">
        <v>19863</v>
      </c>
      <c r="I2258" t="s">
        <v>71</v>
      </c>
      <c r="J2258" t="s">
        <v>10782</v>
      </c>
      <c r="K2258" t="s">
        <v>19864</v>
      </c>
    </row>
    <row r="2259" spans="1:11" ht="187.2" x14ac:dyDescent="0.3">
      <c r="A2259" s="4" t="s">
        <v>5482</v>
      </c>
      <c r="B2259">
        <v>3</v>
      </c>
      <c r="C2259">
        <v>2022</v>
      </c>
      <c r="D2259" t="s">
        <v>10825</v>
      </c>
      <c r="E2259">
        <v>20</v>
      </c>
      <c r="F2259" t="s">
        <v>19865</v>
      </c>
      <c r="G2259" t="s">
        <v>19866</v>
      </c>
      <c r="H2259" s="4" t="s">
        <v>19867</v>
      </c>
      <c r="I2259" t="s">
        <v>71</v>
      </c>
      <c r="J2259" t="s">
        <v>10782</v>
      </c>
      <c r="K2259" t="s">
        <v>19868</v>
      </c>
    </row>
    <row r="2260" spans="1:11" ht="172.8" x14ac:dyDescent="0.3">
      <c r="A2260" s="4" t="s">
        <v>3308</v>
      </c>
      <c r="B2260">
        <v>1</v>
      </c>
      <c r="C2260">
        <v>2022</v>
      </c>
      <c r="D2260" t="s">
        <v>363</v>
      </c>
      <c r="E2260">
        <v>5</v>
      </c>
      <c r="F2260" t="s">
        <v>19869</v>
      </c>
      <c r="G2260" t="s">
        <v>19870</v>
      </c>
      <c r="H2260" s="4" t="s">
        <v>19871</v>
      </c>
      <c r="I2260" t="s">
        <v>71</v>
      </c>
      <c r="J2260" t="s">
        <v>10782</v>
      </c>
      <c r="K2260" t="s">
        <v>19872</v>
      </c>
    </row>
    <row r="2261" spans="1:11" ht="244.8" x14ac:dyDescent="0.3">
      <c r="A2261" s="4" t="s">
        <v>5483</v>
      </c>
      <c r="B2261">
        <v>3</v>
      </c>
      <c r="C2261">
        <v>2022</v>
      </c>
      <c r="D2261" t="s">
        <v>637</v>
      </c>
      <c r="E2261">
        <v>10</v>
      </c>
      <c r="F2261" t="s">
        <v>19873</v>
      </c>
      <c r="G2261" t="s">
        <v>19874</v>
      </c>
      <c r="H2261" s="4" t="s">
        <v>19875</v>
      </c>
      <c r="I2261" t="s">
        <v>71</v>
      </c>
      <c r="J2261" t="s">
        <v>10782</v>
      </c>
      <c r="K2261" t="s">
        <v>19876</v>
      </c>
    </row>
    <row r="2262" spans="1:11" ht="72" x14ac:dyDescent="0.3">
      <c r="A2262" s="4" t="s">
        <v>5484</v>
      </c>
      <c r="B2262">
        <v>3</v>
      </c>
      <c r="C2262">
        <v>2022</v>
      </c>
      <c r="D2262" t="s">
        <v>15183</v>
      </c>
      <c r="E2262">
        <v>0</v>
      </c>
      <c r="F2262" t="s">
        <v>19877</v>
      </c>
      <c r="G2262" t="s">
        <v>19878</v>
      </c>
      <c r="H2262" s="4" t="s">
        <v>19879</v>
      </c>
      <c r="I2262" t="s">
        <v>71</v>
      </c>
      <c r="J2262" t="s">
        <v>10782</v>
      </c>
      <c r="K2262" t="s">
        <v>19880</v>
      </c>
    </row>
    <row r="2263" spans="1:11" ht="144" x14ac:dyDescent="0.3">
      <c r="A2263" s="4" t="s">
        <v>3309</v>
      </c>
      <c r="B2263">
        <v>1</v>
      </c>
      <c r="C2263">
        <v>2022</v>
      </c>
      <c r="D2263" t="s">
        <v>817</v>
      </c>
      <c r="E2263">
        <v>6</v>
      </c>
      <c r="F2263" t="s">
        <v>19881</v>
      </c>
      <c r="G2263" t="s">
        <v>19882</v>
      </c>
      <c r="H2263" s="4" t="s">
        <v>19883</v>
      </c>
      <c r="I2263" t="s">
        <v>71</v>
      </c>
      <c r="J2263" t="s">
        <v>10782</v>
      </c>
      <c r="K2263" t="s">
        <v>19884</v>
      </c>
    </row>
    <row r="2264" spans="1:11" ht="201.6" x14ac:dyDescent="0.3">
      <c r="A2264" s="4" t="s">
        <v>5485</v>
      </c>
      <c r="B2264">
        <v>3</v>
      </c>
      <c r="C2264">
        <v>2022</v>
      </c>
      <c r="D2264" t="s">
        <v>19885</v>
      </c>
      <c r="E2264">
        <v>3</v>
      </c>
      <c r="F2264" t="s">
        <v>19886</v>
      </c>
      <c r="G2264" t="s">
        <v>19887</v>
      </c>
      <c r="H2264" s="4" t="s">
        <v>19888</v>
      </c>
      <c r="I2264" t="s">
        <v>71</v>
      </c>
      <c r="J2264" t="s">
        <v>10782</v>
      </c>
      <c r="K2264" t="s">
        <v>19889</v>
      </c>
    </row>
    <row r="2265" spans="1:11" ht="288" x14ac:dyDescent="0.3">
      <c r="A2265" s="4" t="s">
        <v>5486</v>
      </c>
      <c r="B2265">
        <v>3</v>
      </c>
      <c r="C2265">
        <v>2022</v>
      </c>
      <c r="D2265" t="s">
        <v>704</v>
      </c>
      <c r="E2265">
        <v>9</v>
      </c>
      <c r="F2265" t="s">
        <v>19890</v>
      </c>
      <c r="G2265" t="s">
        <v>19891</v>
      </c>
      <c r="H2265" s="4" t="s">
        <v>19892</v>
      </c>
      <c r="I2265" t="s">
        <v>71</v>
      </c>
      <c r="J2265" t="s">
        <v>10782</v>
      </c>
      <c r="K2265" t="s">
        <v>19893</v>
      </c>
    </row>
    <row r="2266" spans="1:11" ht="244.8" x14ac:dyDescent="0.3">
      <c r="A2266" s="4" t="s">
        <v>5487</v>
      </c>
      <c r="B2266">
        <v>3</v>
      </c>
      <c r="C2266">
        <v>2022</v>
      </c>
      <c r="D2266" t="s">
        <v>19894</v>
      </c>
      <c r="E2266">
        <v>0</v>
      </c>
      <c r="F2266" t="s">
        <v>19895</v>
      </c>
      <c r="G2266" t="s">
        <v>19896</v>
      </c>
      <c r="H2266" s="4" t="s">
        <v>19897</v>
      </c>
      <c r="I2266" t="s">
        <v>71</v>
      </c>
      <c r="J2266" t="s">
        <v>10782</v>
      </c>
      <c r="K2266" t="s">
        <v>19898</v>
      </c>
    </row>
    <row r="2267" spans="1:11" ht="115.2" x14ac:dyDescent="0.3">
      <c r="A2267" s="4" t="s">
        <v>3310</v>
      </c>
      <c r="B2267">
        <v>1</v>
      </c>
      <c r="C2267">
        <v>2022</v>
      </c>
      <c r="D2267" t="s">
        <v>11495</v>
      </c>
      <c r="E2267">
        <v>4</v>
      </c>
      <c r="F2267" t="s">
        <v>19899</v>
      </c>
      <c r="G2267" t="s">
        <v>19900</v>
      </c>
      <c r="H2267" s="4" t="s">
        <v>19901</v>
      </c>
    </row>
    <row r="2268" spans="1:11" ht="216" x14ac:dyDescent="0.3">
      <c r="A2268" s="4" t="s">
        <v>5488</v>
      </c>
      <c r="B2268">
        <v>3</v>
      </c>
      <c r="C2268">
        <v>2022</v>
      </c>
      <c r="D2268" t="s">
        <v>19902</v>
      </c>
      <c r="E2268">
        <v>5</v>
      </c>
      <c r="F2268" t="s">
        <v>19903</v>
      </c>
      <c r="G2268" t="s">
        <v>19904</v>
      </c>
      <c r="H2268" s="4" t="s">
        <v>19905</v>
      </c>
      <c r="I2268" t="s">
        <v>71</v>
      </c>
      <c r="J2268" t="s">
        <v>10782</v>
      </c>
      <c r="K2268" t="s">
        <v>19906</v>
      </c>
    </row>
    <row r="2269" spans="1:11" ht="158.4" x14ac:dyDescent="0.3">
      <c r="A2269" s="4" t="s">
        <v>5489</v>
      </c>
      <c r="B2269">
        <v>3</v>
      </c>
      <c r="C2269">
        <v>2022</v>
      </c>
      <c r="D2269" t="s">
        <v>13696</v>
      </c>
      <c r="E2269">
        <v>5</v>
      </c>
      <c r="F2269" t="s">
        <v>19907</v>
      </c>
      <c r="G2269" t="s">
        <v>19908</v>
      </c>
      <c r="H2269" s="4" t="s">
        <v>19909</v>
      </c>
      <c r="I2269" t="s">
        <v>71</v>
      </c>
      <c r="J2269" t="s">
        <v>10782</v>
      </c>
      <c r="K2269" t="s">
        <v>19910</v>
      </c>
    </row>
    <row r="2270" spans="1:11" ht="172.8" x14ac:dyDescent="0.3">
      <c r="A2270" s="4" t="s">
        <v>5490</v>
      </c>
      <c r="B2270">
        <v>3</v>
      </c>
      <c r="C2270">
        <v>2022</v>
      </c>
      <c r="D2270" t="s">
        <v>190</v>
      </c>
      <c r="E2270">
        <v>6</v>
      </c>
      <c r="F2270" t="s">
        <v>19911</v>
      </c>
      <c r="G2270" t="s">
        <v>19912</v>
      </c>
      <c r="H2270" s="4" t="s">
        <v>19913</v>
      </c>
      <c r="I2270" t="s">
        <v>71</v>
      </c>
      <c r="J2270" t="s">
        <v>10782</v>
      </c>
      <c r="K2270" t="s">
        <v>19914</v>
      </c>
    </row>
    <row r="2271" spans="1:11" ht="100.8" x14ac:dyDescent="0.3">
      <c r="A2271" s="4" t="s">
        <v>5491</v>
      </c>
      <c r="B2271">
        <v>3</v>
      </c>
      <c r="C2271">
        <v>2022</v>
      </c>
      <c r="D2271" t="s">
        <v>10924</v>
      </c>
      <c r="E2271">
        <v>12</v>
      </c>
      <c r="F2271" t="s">
        <v>19915</v>
      </c>
      <c r="G2271" t="s">
        <v>19916</v>
      </c>
      <c r="H2271" s="4" t="s">
        <v>19917</v>
      </c>
    </row>
    <row r="2272" spans="1:11" ht="144" x14ac:dyDescent="0.3">
      <c r="A2272" s="4" t="s">
        <v>1059</v>
      </c>
      <c r="B2272">
        <v>1</v>
      </c>
      <c r="C2272">
        <v>2022</v>
      </c>
      <c r="D2272" t="s">
        <v>964</v>
      </c>
      <c r="E2272">
        <v>17</v>
      </c>
      <c r="F2272" t="s">
        <v>19918</v>
      </c>
      <c r="G2272" t="s">
        <v>19919</v>
      </c>
      <c r="H2272" s="4" t="s">
        <v>19920</v>
      </c>
      <c r="I2272" t="s">
        <v>71</v>
      </c>
      <c r="J2272" t="s">
        <v>10782</v>
      </c>
      <c r="K2272" t="s">
        <v>19921</v>
      </c>
    </row>
    <row r="2273" spans="1:11" ht="187.2" x14ac:dyDescent="0.3">
      <c r="A2273" s="4" t="s">
        <v>5492</v>
      </c>
      <c r="B2273">
        <v>3</v>
      </c>
      <c r="C2273">
        <v>2022</v>
      </c>
      <c r="D2273" t="s">
        <v>724</v>
      </c>
      <c r="E2273">
        <v>3</v>
      </c>
      <c r="F2273" t="s">
        <v>19922</v>
      </c>
      <c r="G2273" t="s">
        <v>19923</v>
      </c>
      <c r="H2273" s="4" t="s">
        <v>19924</v>
      </c>
      <c r="I2273" t="s">
        <v>71</v>
      </c>
      <c r="J2273" t="s">
        <v>10782</v>
      </c>
      <c r="K2273" t="s">
        <v>19925</v>
      </c>
    </row>
    <row r="2274" spans="1:11" ht="158.4" x14ac:dyDescent="0.3">
      <c r="A2274" s="4" t="s">
        <v>5493</v>
      </c>
      <c r="B2274">
        <v>3</v>
      </c>
      <c r="C2274">
        <v>2022</v>
      </c>
      <c r="D2274" t="s">
        <v>17920</v>
      </c>
      <c r="E2274">
        <v>15</v>
      </c>
      <c r="F2274" t="s">
        <v>19926</v>
      </c>
      <c r="G2274" t="s">
        <v>19927</v>
      </c>
      <c r="H2274" s="4" t="s">
        <v>19928</v>
      </c>
      <c r="I2274" t="s">
        <v>71</v>
      </c>
      <c r="J2274" t="s">
        <v>10782</v>
      </c>
      <c r="K2274" t="s">
        <v>19929</v>
      </c>
    </row>
    <row r="2275" spans="1:11" ht="129.6" x14ac:dyDescent="0.3">
      <c r="A2275" s="4" t="s">
        <v>5494</v>
      </c>
      <c r="B2275">
        <v>3</v>
      </c>
      <c r="C2275">
        <v>2022</v>
      </c>
      <c r="D2275" t="s">
        <v>1770</v>
      </c>
      <c r="E2275">
        <v>20</v>
      </c>
      <c r="F2275" t="s">
        <v>19930</v>
      </c>
      <c r="G2275" t="s">
        <v>19931</v>
      </c>
      <c r="H2275" s="4" t="s">
        <v>19932</v>
      </c>
      <c r="I2275" t="s">
        <v>71</v>
      </c>
      <c r="J2275" t="s">
        <v>10782</v>
      </c>
      <c r="K2275" t="s">
        <v>19933</v>
      </c>
    </row>
    <row r="2276" spans="1:11" ht="201.6" x14ac:dyDescent="0.3">
      <c r="A2276" s="4" t="s">
        <v>5495</v>
      </c>
      <c r="B2276">
        <v>3</v>
      </c>
      <c r="C2276">
        <v>2022</v>
      </c>
      <c r="D2276" t="s">
        <v>2267</v>
      </c>
      <c r="E2276">
        <v>18</v>
      </c>
      <c r="F2276" t="s">
        <v>19934</v>
      </c>
      <c r="G2276" t="s">
        <v>19935</v>
      </c>
      <c r="H2276" s="4" t="s">
        <v>19936</v>
      </c>
    </row>
    <row r="2277" spans="1:11" ht="201.6" x14ac:dyDescent="0.3">
      <c r="A2277" s="4" t="s">
        <v>5496</v>
      </c>
      <c r="B2277">
        <v>3</v>
      </c>
      <c r="C2277">
        <v>2022</v>
      </c>
      <c r="D2277" t="s">
        <v>1088</v>
      </c>
      <c r="E2277">
        <v>5</v>
      </c>
      <c r="F2277" t="s">
        <v>19937</v>
      </c>
      <c r="G2277" t="s">
        <v>19938</v>
      </c>
      <c r="H2277" s="4" t="s">
        <v>19939</v>
      </c>
      <c r="I2277" t="s">
        <v>71</v>
      </c>
      <c r="J2277" t="s">
        <v>10782</v>
      </c>
      <c r="K2277" t="s">
        <v>19940</v>
      </c>
    </row>
    <row r="2278" spans="1:11" ht="201.6" x14ac:dyDescent="0.3">
      <c r="A2278" s="4" t="s">
        <v>1060</v>
      </c>
      <c r="B2278">
        <v>1</v>
      </c>
      <c r="C2278">
        <v>2021</v>
      </c>
      <c r="D2278" t="s">
        <v>1125</v>
      </c>
      <c r="E2278">
        <v>46</v>
      </c>
      <c r="F2278" t="s">
        <v>19941</v>
      </c>
      <c r="G2278" t="s">
        <v>19942</v>
      </c>
      <c r="H2278" s="4" t="s">
        <v>19943</v>
      </c>
      <c r="I2278" t="s">
        <v>10823</v>
      </c>
      <c r="J2278" t="s">
        <v>10782</v>
      </c>
      <c r="K2278" t="s">
        <v>19944</v>
      </c>
    </row>
    <row r="2279" spans="1:11" ht="216" x14ac:dyDescent="0.3">
      <c r="A2279" s="4" t="s">
        <v>5497</v>
      </c>
      <c r="B2279">
        <v>3</v>
      </c>
      <c r="C2279">
        <v>2021</v>
      </c>
      <c r="D2279" t="s">
        <v>227</v>
      </c>
      <c r="E2279">
        <v>1</v>
      </c>
      <c r="F2279" t="s">
        <v>19945</v>
      </c>
      <c r="G2279" t="s">
        <v>19946</v>
      </c>
      <c r="H2279" s="4" t="s">
        <v>19947</v>
      </c>
      <c r="I2279" t="s">
        <v>71</v>
      </c>
      <c r="J2279" t="s">
        <v>10782</v>
      </c>
      <c r="K2279" t="s">
        <v>19948</v>
      </c>
    </row>
    <row r="2280" spans="1:11" ht="158.4" x14ac:dyDescent="0.3">
      <c r="A2280" s="4" t="s">
        <v>5498</v>
      </c>
      <c r="B2280">
        <v>3</v>
      </c>
      <c r="C2280">
        <v>2021</v>
      </c>
      <c r="D2280" t="s">
        <v>19949</v>
      </c>
      <c r="E2280">
        <v>6</v>
      </c>
      <c r="F2280" t="s">
        <v>19950</v>
      </c>
      <c r="G2280" t="s">
        <v>19951</v>
      </c>
      <c r="H2280" s="4" t="s">
        <v>19952</v>
      </c>
      <c r="I2280" t="s">
        <v>71</v>
      </c>
      <c r="J2280" t="s">
        <v>10782</v>
      </c>
      <c r="K2280" t="s">
        <v>19953</v>
      </c>
    </row>
    <row r="2281" spans="1:11" ht="230.4" x14ac:dyDescent="0.3">
      <c r="A2281" s="4" t="s">
        <v>5499</v>
      </c>
      <c r="B2281">
        <v>3</v>
      </c>
      <c r="C2281">
        <v>2021</v>
      </c>
      <c r="D2281" t="s">
        <v>1912</v>
      </c>
      <c r="E2281">
        <v>3</v>
      </c>
      <c r="F2281" t="s">
        <v>19954</v>
      </c>
      <c r="G2281" t="s">
        <v>19955</v>
      </c>
      <c r="H2281" s="4" t="s">
        <v>19956</v>
      </c>
      <c r="I2281" t="s">
        <v>71</v>
      </c>
      <c r="J2281" t="s">
        <v>10782</v>
      </c>
      <c r="K2281" t="s">
        <v>19957</v>
      </c>
    </row>
    <row r="2282" spans="1:11" ht="129.6" x14ac:dyDescent="0.3">
      <c r="A2282" s="4" t="s">
        <v>1061</v>
      </c>
      <c r="B2282">
        <v>1</v>
      </c>
      <c r="C2282">
        <v>2021</v>
      </c>
      <c r="D2282" t="s">
        <v>1129</v>
      </c>
      <c r="E2282">
        <v>48</v>
      </c>
      <c r="F2282" t="s">
        <v>19958</v>
      </c>
      <c r="G2282" t="s">
        <v>19959</v>
      </c>
      <c r="H2282" s="4" t="s">
        <v>19960</v>
      </c>
      <c r="I2282" t="s">
        <v>71</v>
      </c>
      <c r="J2282" t="s">
        <v>10782</v>
      </c>
      <c r="K2282" t="s">
        <v>19961</v>
      </c>
    </row>
    <row r="2283" spans="1:11" ht="302.39999999999998" x14ac:dyDescent="0.3">
      <c r="A2283" s="4" t="s">
        <v>5500</v>
      </c>
      <c r="B2283">
        <v>3</v>
      </c>
      <c r="C2283">
        <v>2021</v>
      </c>
      <c r="D2283" t="s">
        <v>11556</v>
      </c>
      <c r="E2283">
        <v>10</v>
      </c>
      <c r="F2283" t="s">
        <v>19962</v>
      </c>
      <c r="G2283" t="s">
        <v>19963</v>
      </c>
      <c r="H2283" s="4" t="s">
        <v>19964</v>
      </c>
      <c r="I2283" t="s">
        <v>71</v>
      </c>
      <c r="J2283" t="s">
        <v>10782</v>
      </c>
      <c r="K2283" t="s">
        <v>19965</v>
      </c>
    </row>
    <row r="2284" spans="1:11" ht="158.4" x14ac:dyDescent="0.3">
      <c r="A2284" s="4" t="s">
        <v>3311</v>
      </c>
      <c r="B2284">
        <v>1</v>
      </c>
      <c r="C2284">
        <v>2021</v>
      </c>
      <c r="D2284" t="s">
        <v>13003</v>
      </c>
      <c r="E2284">
        <v>6</v>
      </c>
      <c r="F2284" t="s">
        <v>19966</v>
      </c>
      <c r="G2284" t="s">
        <v>19967</v>
      </c>
      <c r="H2284" s="4" t="s">
        <v>19968</v>
      </c>
      <c r="I2284" t="s">
        <v>71</v>
      </c>
      <c r="J2284" t="s">
        <v>10782</v>
      </c>
      <c r="K2284" t="s">
        <v>19969</v>
      </c>
    </row>
    <row r="2285" spans="1:11" ht="115.2" x14ac:dyDescent="0.3">
      <c r="A2285" s="4" t="s">
        <v>5501</v>
      </c>
      <c r="B2285">
        <v>3</v>
      </c>
      <c r="C2285">
        <v>2021</v>
      </c>
      <c r="D2285" t="s">
        <v>329</v>
      </c>
      <c r="E2285">
        <v>12</v>
      </c>
      <c r="F2285" t="s">
        <v>19970</v>
      </c>
      <c r="G2285" t="s">
        <v>19971</v>
      </c>
      <c r="H2285" s="4" t="s">
        <v>19972</v>
      </c>
      <c r="I2285" t="s">
        <v>71</v>
      </c>
      <c r="J2285" t="s">
        <v>10782</v>
      </c>
      <c r="K2285" t="s">
        <v>19973</v>
      </c>
    </row>
    <row r="2286" spans="1:11" ht="158.4" x14ac:dyDescent="0.3">
      <c r="A2286" s="4" t="s">
        <v>5502</v>
      </c>
      <c r="B2286">
        <v>3</v>
      </c>
      <c r="C2286">
        <v>2021</v>
      </c>
      <c r="D2286" t="s">
        <v>18825</v>
      </c>
      <c r="E2286">
        <v>3</v>
      </c>
      <c r="F2286" t="s">
        <v>19974</v>
      </c>
      <c r="G2286" t="s">
        <v>19975</v>
      </c>
      <c r="H2286" s="4" t="s">
        <v>19976</v>
      </c>
      <c r="I2286" t="s">
        <v>71</v>
      </c>
      <c r="J2286" t="s">
        <v>10782</v>
      </c>
      <c r="K2286" t="s">
        <v>19977</v>
      </c>
    </row>
    <row r="2287" spans="1:11" ht="172.8" x14ac:dyDescent="0.3">
      <c r="A2287" s="4" t="s">
        <v>5503</v>
      </c>
      <c r="B2287">
        <v>3</v>
      </c>
      <c r="C2287">
        <v>2021</v>
      </c>
      <c r="D2287" t="s">
        <v>19978</v>
      </c>
      <c r="E2287">
        <v>2</v>
      </c>
      <c r="F2287" t="s">
        <v>19979</v>
      </c>
      <c r="G2287" t="s">
        <v>19980</v>
      </c>
      <c r="H2287" s="4" t="s">
        <v>19981</v>
      </c>
      <c r="I2287" t="s">
        <v>71</v>
      </c>
      <c r="J2287" t="s">
        <v>10782</v>
      </c>
      <c r="K2287" t="s">
        <v>19982</v>
      </c>
    </row>
    <row r="2288" spans="1:11" ht="187.2" x14ac:dyDescent="0.3">
      <c r="A2288" s="4" t="s">
        <v>5504</v>
      </c>
      <c r="B2288">
        <v>3</v>
      </c>
      <c r="C2288">
        <v>2021</v>
      </c>
      <c r="D2288" t="s">
        <v>19983</v>
      </c>
      <c r="E2288">
        <v>1</v>
      </c>
      <c r="F2288" t="s">
        <v>19984</v>
      </c>
      <c r="G2288" t="s">
        <v>19985</v>
      </c>
      <c r="H2288" s="4" t="s">
        <v>19986</v>
      </c>
      <c r="I2288" t="s">
        <v>71</v>
      </c>
      <c r="J2288" t="s">
        <v>10782</v>
      </c>
      <c r="K2288" t="s">
        <v>19987</v>
      </c>
    </row>
    <row r="2289" spans="1:11" ht="201.6" x14ac:dyDescent="0.3">
      <c r="A2289" s="4" t="s">
        <v>5505</v>
      </c>
      <c r="B2289">
        <v>3</v>
      </c>
      <c r="C2289">
        <v>2021</v>
      </c>
      <c r="D2289" t="s">
        <v>227</v>
      </c>
      <c r="E2289">
        <v>2</v>
      </c>
      <c r="F2289" t="s">
        <v>19988</v>
      </c>
      <c r="G2289" t="s">
        <v>19989</v>
      </c>
      <c r="H2289" s="4" t="s">
        <v>19990</v>
      </c>
      <c r="I2289" t="s">
        <v>71</v>
      </c>
      <c r="J2289" t="s">
        <v>10782</v>
      </c>
      <c r="K2289" t="s">
        <v>19991</v>
      </c>
    </row>
    <row r="2290" spans="1:11" ht="230.4" x14ac:dyDescent="0.3">
      <c r="A2290" s="4" t="s">
        <v>5506</v>
      </c>
      <c r="B2290">
        <v>3</v>
      </c>
      <c r="C2290">
        <v>2021</v>
      </c>
      <c r="D2290" t="s">
        <v>10057</v>
      </c>
      <c r="E2290">
        <v>44</v>
      </c>
      <c r="F2290" t="s">
        <v>19992</v>
      </c>
      <c r="G2290" t="s">
        <v>19993</v>
      </c>
      <c r="H2290" s="4" t="s">
        <v>19994</v>
      </c>
      <c r="I2290" t="s">
        <v>71</v>
      </c>
      <c r="J2290" t="s">
        <v>10782</v>
      </c>
      <c r="K2290" t="s">
        <v>19995</v>
      </c>
    </row>
    <row r="2291" spans="1:11" ht="230.4" x14ac:dyDescent="0.3">
      <c r="A2291" s="4" t="s">
        <v>5507</v>
      </c>
      <c r="B2291">
        <v>3</v>
      </c>
      <c r="C2291">
        <v>2021</v>
      </c>
      <c r="D2291" t="s">
        <v>13003</v>
      </c>
      <c r="E2291">
        <v>11</v>
      </c>
      <c r="F2291" t="s">
        <v>19996</v>
      </c>
      <c r="G2291" t="s">
        <v>19997</v>
      </c>
      <c r="H2291" s="4" t="s">
        <v>19998</v>
      </c>
      <c r="I2291" t="s">
        <v>71</v>
      </c>
      <c r="J2291" t="s">
        <v>10782</v>
      </c>
      <c r="K2291" t="s">
        <v>19999</v>
      </c>
    </row>
    <row r="2292" spans="1:11" ht="216" x14ac:dyDescent="0.3">
      <c r="A2292" s="4" t="s">
        <v>5508</v>
      </c>
      <c r="B2292">
        <v>3</v>
      </c>
      <c r="C2292">
        <v>2021</v>
      </c>
      <c r="D2292" t="s">
        <v>318</v>
      </c>
      <c r="E2292">
        <v>10</v>
      </c>
      <c r="F2292" t="s">
        <v>20000</v>
      </c>
      <c r="G2292" t="s">
        <v>20001</v>
      </c>
      <c r="H2292" s="4" t="s">
        <v>20002</v>
      </c>
      <c r="I2292" t="s">
        <v>71</v>
      </c>
      <c r="J2292" t="s">
        <v>10782</v>
      </c>
      <c r="K2292" t="s">
        <v>20003</v>
      </c>
    </row>
    <row r="2293" spans="1:11" ht="244.8" x14ac:dyDescent="0.3">
      <c r="A2293" s="4" t="s">
        <v>3544</v>
      </c>
      <c r="B2293">
        <v>2</v>
      </c>
      <c r="C2293">
        <v>2021</v>
      </c>
      <c r="D2293" t="s">
        <v>405</v>
      </c>
      <c r="E2293">
        <v>9</v>
      </c>
      <c r="F2293" t="s">
        <v>20004</v>
      </c>
      <c r="G2293" t="s">
        <v>20005</v>
      </c>
      <c r="H2293" s="4" t="s">
        <v>20006</v>
      </c>
      <c r="I2293" t="s">
        <v>71</v>
      </c>
      <c r="J2293" t="s">
        <v>10782</v>
      </c>
      <c r="K2293" t="s">
        <v>20007</v>
      </c>
    </row>
    <row r="2294" spans="1:11" ht="129.6" x14ac:dyDescent="0.3">
      <c r="A2294" s="4" t="s">
        <v>3312</v>
      </c>
      <c r="B2294">
        <v>1</v>
      </c>
      <c r="C2294">
        <v>2021</v>
      </c>
      <c r="D2294" t="s">
        <v>405</v>
      </c>
      <c r="E2294">
        <v>20</v>
      </c>
      <c r="F2294" t="s">
        <v>20008</v>
      </c>
      <c r="G2294" t="s">
        <v>20009</v>
      </c>
      <c r="H2294" s="4" t="s">
        <v>20010</v>
      </c>
    </row>
    <row r="2295" spans="1:11" ht="302.39999999999998" x14ac:dyDescent="0.3">
      <c r="A2295" s="4" t="s">
        <v>5509</v>
      </c>
      <c r="B2295">
        <v>3</v>
      </c>
      <c r="C2295">
        <v>2021</v>
      </c>
      <c r="D2295" t="s">
        <v>20011</v>
      </c>
      <c r="E2295">
        <v>8</v>
      </c>
      <c r="F2295" t="s">
        <v>20012</v>
      </c>
      <c r="G2295" t="s">
        <v>20013</v>
      </c>
      <c r="H2295" s="4" t="s">
        <v>20014</v>
      </c>
      <c r="I2295" t="s">
        <v>71</v>
      </c>
      <c r="J2295" t="s">
        <v>10782</v>
      </c>
      <c r="K2295" t="s">
        <v>20015</v>
      </c>
    </row>
    <row r="2296" spans="1:11" ht="259.2" x14ac:dyDescent="0.3">
      <c r="A2296" s="4" t="s">
        <v>5510</v>
      </c>
      <c r="B2296">
        <v>3</v>
      </c>
      <c r="C2296">
        <v>2021</v>
      </c>
      <c r="D2296" t="s">
        <v>10937</v>
      </c>
      <c r="E2296">
        <v>27</v>
      </c>
      <c r="F2296" t="s">
        <v>20016</v>
      </c>
      <c r="G2296" t="s">
        <v>20017</v>
      </c>
      <c r="H2296" s="4" t="s">
        <v>20018</v>
      </c>
      <c r="I2296" t="s">
        <v>71</v>
      </c>
      <c r="J2296" t="s">
        <v>10782</v>
      </c>
      <c r="K2296" t="s">
        <v>20019</v>
      </c>
    </row>
    <row r="2297" spans="1:11" ht="172.8" x14ac:dyDescent="0.3">
      <c r="A2297" s="4" t="s">
        <v>5511</v>
      </c>
      <c r="B2297">
        <v>3</v>
      </c>
      <c r="C2297">
        <v>2021</v>
      </c>
      <c r="D2297" t="s">
        <v>637</v>
      </c>
      <c r="E2297">
        <v>5</v>
      </c>
      <c r="F2297" t="s">
        <v>20020</v>
      </c>
      <c r="G2297" t="s">
        <v>20021</v>
      </c>
      <c r="H2297" s="4" t="s">
        <v>20022</v>
      </c>
      <c r="I2297" t="s">
        <v>71</v>
      </c>
      <c r="J2297" t="s">
        <v>10782</v>
      </c>
      <c r="K2297" t="s">
        <v>20023</v>
      </c>
    </row>
    <row r="2298" spans="1:11" ht="187.2" x14ac:dyDescent="0.3">
      <c r="A2298" s="4" t="s">
        <v>5512</v>
      </c>
      <c r="B2298">
        <v>3</v>
      </c>
      <c r="C2298">
        <v>2021</v>
      </c>
      <c r="D2298" t="s">
        <v>2819</v>
      </c>
      <c r="E2298">
        <v>12</v>
      </c>
      <c r="F2298" t="s">
        <v>20024</v>
      </c>
      <c r="G2298" t="s">
        <v>20025</v>
      </c>
      <c r="H2298" s="4" t="s">
        <v>20026</v>
      </c>
      <c r="I2298" t="s">
        <v>71</v>
      </c>
      <c r="J2298" t="s">
        <v>10782</v>
      </c>
      <c r="K2298" t="s">
        <v>20027</v>
      </c>
    </row>
    <row r="2299" spans="1:11" ht="244.8" x14ac:dyDescent="0.3">
      <c r="A2299" s="4" t="s">
        <v>5513</v>
      </c>
      <c r="B2299">
        <v>3</v>
      </c>
      <c r="C2299">
        <v>2021</v>
      </c>
      <c r="D2299" t="s">
        <v>1912</v>
      </c>
      <c r="E2299">
        <v>13</v>
      </c>
      <c r="F2299" t="s">
        <v>20028</v>
      </c>
      <c r="G2299" t="s">
        <v>20029</v>
      </c>
      <c r="H2299" s="4" t="s">
        <v>20030</v>
      </c>
      <c r="I2299" t="s">
        <v>71</v>
      </c>
      <c r="J2299" t="s">
        <v>10782</v>
      </c>
      <c r="K2299" t="s">
        <v>20031</v>
      </c>
    </row>
    <row r="2300" spans="1:11" ht="115.2" x14ac:dyDescent="0.3">
      <c r="A2300" s="4" t="s">
        <v>5514</v>
      </c>
      <c r="B2300">
        <v>3</v>
      </c>
      <c r="C2300">
        <v>2021</v>
      </c>
      <c r="D2300" t="s">
        <v>15750</v>
      </c>
      <c r="E2300">
        <v>8</v>
      </c>
      <c r="F2300" t="s">
        <v>20032</v>
      </c>
      <c r="G2300" t="s">
        <v>20033</v>
      </c>
      <c r="H2300" s="4" t="s">
        <v>20034</v>
      </c>
    </row>
    <row r="2301" spans="1:11" ht="129.6" x14ac:dyDescent="0.3">
      <c r="A2301" s="4" t="s">
        <v>5515</v>
      </c>
      <c r="B2301">
        <v>3</v>
      </c>
      <c r="C2301">
        <v>2021</v>
      </c>
      <c r="D2301" t="s">
        <v>1129</v>
      </c>
      <c r="E2301">
        <v>11</v>
      </c>
      <c r="F2301" t="s">
        <v>20035</v>
      </c>
      <c r="G2301" t="s">
        <v>20036</v>
      </c>
      <c r="H2301" s="4" t="s">
        <v>20037</v>
      </c>
      <c r="I2301" t="s">
        <v>71</v>
      </c>
      <c r="J2301" t="s">
        <v>10782</v>
      </c>
      <c r="K2301" t="s">
        <v>20038</v>
      </c>
    </row>
    <row r="2302" spans="1:11" ht="201.6" x14ac:dyDescent="0.3">
      <c r="A2302" s="4" t="s">
        <v>3313</v>
      </c>
      <c r="B2302">
        <v>1</v>
      </c>
      <c r="C2302">
        <v>2021</v>
      </c>
      <c r="D2302" t="s">
        <v>11104</v>
      </c>
      <c r="E2302">
        <v>14</v>
      </c>
      <c r="F2302" t="s">
        <v>20039</v>
      </c>
      <c r="G2302" t="s">
        <v>20040</v>
      </c>
      <c r="H2302" s="4" t="s">
        <v>20041</v>
      </c>
      <c r="I2302" t="s">
        <v>71</v>
      </c>
      <c r="J2302" t="s">
        <v>10782</v>
      </c>
      <c r="K2302" t="s">
        <v>20042</v>
      </c>
    </row>
    <row r="2303" spans="1:11" ht="244.8" x14ac:dyDescent="0.3">
      <c r="A2303" s="4" t="s">
        <v>3545</v>
      </c>
      <c r="B2303">
        <v>2</v>
      </c>
      <c r="C2303">
        <v>2021</v>
      </c>
      <c r="D2303" t="s">
        <v>13816</v>
      </c>
      <c r="E2303">
        <v>6</v>
      </c>
      <c r="F2303" t="s">
        <v>20043</v>
      </c>
      <c r="G2303" t="s">
        <v>20044</v>
      </c>
      <c r="H2303" s="4" t="s">
        <v>20045</v>
      </c>
      <c r="I2303" t="s">
        <v>71</v>
      </c>
      <c r="J2303" t="s">
        <v>10782</v>
      </c>
      <c r="K2303" t="s">
        <v>20046</v>
      </c>
    </row>
    <row r="2304" spans="1:11" ht="244.8" x14ac:dyDescent="0.3">
      <c r="A2304" s="4" t="s">
        <v>5516</v>
      </c>
      <c r="B2304">
        <v>3</v>
      </c>
      <c r="C2304">
        <v>2021</v>
      </c>
      <c r="D2304" t="s">
        <v>20047</v>
      </c>
      <c r="E2304">
        <v>20</v>
      </c>
      <c r="F2304" t="s">
        <v>20048</v>
      </c>
      <c r="G2304" t="s">
        <v>20049</v>
      </c>
      <c r="H2304" s="4" t="s">
        <v>20050</v>
      </c>
      <c r="I2304" t="s">
        <v>71</v>
      </c>
      <c r="J2304" t="s">
        <v>10782</v>
      </c>
      <c r="K2304" t="s">
        <v>20051</v>
      </c>
    </row>
    <row r="2305" spans="1:11" ht="144" x14ac:dyDescent="0.3">
      <c r="A2305" s="4" t="s">
        <v>5517</v>
      </c>
      <c r="B2305">
        <v>3</v>
      </c>
      <c r="C2305">
        <v>2021</v>
      </c>
      <c r="D2305" t="s">
        <v>11041</v>
      </c>
      <c r="E2305">
        <v>1</v>
      </c>
      <c r="F2305" t="s">
        <v>20052</v>
      </c>
      <c r="G2305" t="s">
        <v>20053</v>
      </c>
      <c r="H2305" s="4" t="s">
        <v>20054</v>
      </c>
      <c r="I2305" t="s">
        <v>71</v>
      </c>
      <c r="J2305" t="s">
        <v>10782</v>
      </c>
      <c r="K2305" t="s">
        <v>20055</v>
      </c>
    </row>
    <row r="2306" spans="1:11" ht="187.2" x14ac:dyDescent="0.3">
      <c r="A2306" s="4" t="s">
        <v>5518</v>
      </c>
      <c r="B2306">
        <v>3</v>
      </c>
      <c r="C2306">
        <v>2021</v>
      </c>
      <c r="D2306" t="s">
        <v>811</v>
      </c>
      <c r="E2306">
        <v>8</v>
      </c>
      <c r="F2306" t="s">
        <v>20056</v>
      </c>
      <c r="G2306" t="s">
        <v>20057</v>
      </c>
      <c r="H2306" s="4" t="s">
        <v>20058</v>
      </c>
      <c r="I2306" t="s">
        <v>71</v>
      </c>
      <c r="J2306" t="s">
        <v>10782</v>
      </c>
      <c r="K2306" t="s">
        <v>20059</v>
      </c>
    </row>
    <row r="2307" spans="1:11" ht="144" x14ac:dyDescent="0.3">
      <c r="A2307" s="4" t="s">
        <v>5519</v>
      </c>
      <c r="B2307">
        <v>3</v>
      </c>
      <c r="C2307">
        <v>2021</v>
      </c>
      <c r="D2307" t="s">
        <v>817</v>
      </c>
      <c r="E2307">
        <v>5</v>
      </c>
      <c r="F2307" t="s">
        <v>20060</v>
      </c>
      <c r="G2307" t="s">
        <v>20061</v>
      </c>
      <c r="H2307" s="4" t="s">
        <v>20062</v>
      </c>
      <c r="I2307" t="s">
        <v>71</v>
      </c>
      <c r="J2307" t="s">
        <v>10782</v>
      </c>
      <c r="K2307" t="s">
        <v>20063</v>
      </c>
    </row>
    <row r="2308" spans="1:11" ht="100.8" x14ac:dyDescent="0.3">
      <c r="A2308" s="4" t="s">
        <v>5520</v>
      </c>
      <c r="B2308">
        <v>3</v>
      </c>
      <c r="C2308">
        <v>2021</v>
      </c>
      <c r="D2308" t="s">
        <v>637</v>
      </c>
      <c r="E2308">
        <v>13</v>
      </c>
      <c r="F2308" t="s">
        <v>20064</v>
      </c>
      <c r="G2308" t="s">
        <v>20065</v>
      </c>
      <c r="H2308" s="4" t="s">
        <v>20066</v>
      </c>
    </row>
    <row r="2309" spans="1:11" ht="172.8" x14ac:dyDescent="0.3">
      <c r="A2309" s="4" t="s">
        <v>5521</v>
      </c>
      <c r="B2309">
        <v>3</v>
      </c>
      <c r="C2309">
        <v>2021</v>
      </c>
      <c r="D2309" t="s">
        <v>20067</v>
      </c>
      <c r="E2309">
        <v>19</v>
      </c>
      <c r="F2309" t="s">
        <v>20068</v>
      </c>
      <c r="G2309" t="s">
        <v>20069</v>
      </c>
      <c r="H2309" s="4" t="s">
        <v>20070</v>
      </c>
      <c r="I2309" t="s">
        <v>71</v>
      </c>
      <c r="J2309" t="s">
        <v>10782</v>
      </c>
      <c r="K2309" t="s">
        <v>20071</v>
      </c>
    </row>
    <row r="2310" spans="1:11" ht="72" x14ac:dyDescent="0.3">
      <c r="A2310" s="4" t="s">
        <v>5522</v>
      </c>
      <c r="B2310">
        <v>3</v>
      </c>
      <c r="C2310">
        <v>2021</v>
      </c>
      <c r="D2310" t="s">
        <v>544</v>
      </c>
      <c r="E2310">
        <v>17</v>
      </c>
      <c r="F2310" t="s">
        <v>20072</v>
      </c>
      <c r="G2310" t="s">
        <v>20073</v>
      </c>
      <c r="H2310" s="4" t="s">
        <v>20074</v>
      </c>
    </row>
    <row r="2311" spans="1:11" ht="172.8" x14ac:dyDescent="0.3">
      <c r="A2311" s="4" t="s">
        <v>5523</v>
      </c>
      <c r="B2311">
        <v>3</v>
      </c>
      <c r="C2311">
        <v>2021</v>
      </c>
      <c r="D2311" t="s">
        <v>80</v>
      </c>
      <c r="E2311">
        <v>14</v>
      </c>
      <c r="F2311" t="s">
        <v>20075</v>
      </c>
      <c r="G2311" t="s">
        <v>20076</v>
      </c>
      <c r="H2311" s="4" t="s">
        <v>20077</v>
      </c>
      <c r="I2311" t="s">
        <v>71</v>
      </c>
      <c r="J2311" t="s">
        <v>10782</v>
      </c>
      <c r="K2311" t="s">
        <v>20078</v>
      </c>
    </row>
    <row r="2312" spans="1:11" ht="172.8" x14ac:dyDescent="0.3">
      <c r="A2312" s="4" t="s">
        <v>5524</v>
      </c>
      <c r="B2312">
        <v>3</v>
      </c>
      <c r="C2312">
        <v>2021</v>
      </c>
      <c r="D2312" t="s">
        <v>830</v>
      </c>
      <c r="E2312">
        <v>7</v>
      </c>
      <c r="F2312" t="s">
        <v>20079</v>
      </c>
      <c r="G2312" t="s">
        <v>20080</v>
      </c>
      <c r="H2312" s="4" t="s">
        <v>20081</v>
      </c>
      <c r="I2312" t="s">
        <v>71</v>
      </c>
      <c r="J2312" t="s">
        <v>10782</v>
      </c>
      <c r="K2312" t="s">
        <v>20082</v>
      </c>
    </row>
    <row r="2313" spans="1:11" ht="158.4" x14ac:dyDescent="0.3">
      <c r="A2313" s="4" t="s">
        <v>5525</v>
      </c>
      <c r="B2313">
        <v>3</v>
      </c>
      <c r="C2313">
        <v>2021</v>
      </c>
      <c r="D2313" t="s">
        <v>217</v>
      </c>
      <c r="E2313">
        <v>3</v>
      </c>
      <c r="F2313" t="s">
        <v>20083</v>
      </c>
      <c r="G2313" t="s">
        <v>20084</v>
      </c>
      <c r="H2313" s="4" t="s">
        <v>20085</v>
      </c>
      <c r="I2313" t="s">
        <v>71</v>
      </c>
      <c r="J2313" t="s">
        <v>10782</v>
      </c>
      <c r="K2313" t="s">
        <v>20086</v>
      </c>
    </row>
    <row r="2314" spans="1:11" ht="129.6" x14ac:dyDescent="0.3">
      <c r="A2314" s="4" t="s">
        <v>5526</v>
      </c>
      <c r="B2314">
        <v>3</v>
      </c>
      <c r="C2314">
        <v>2021</v>
      </c>
      <c r="D2314" t="s">
        <v>1129</v>
      </c>
      <c r="E2314">
        <v>66</v>
      </c>
      <c r="F2314" t="s">
        <v>20087</v>
      </c>
      <c r="G2314" t="s">
        <v>20088</v>
      </c>
      <c r="H2314" s="4" t="s">
        <v>20089</v>
      </c>
      <c r="I2314" t="s">
        <v>71</v>
      </c>
      <c r="J2314" t="s">
        <v>10782</v>
      </c>
      <c r="K2314" t="s">
        <v>20090</v>
      </c>
    </row>
    <row r="2315" spans="1:11" ht="244.8" x14ac:dyDescent="0.3">
      <c r="A2315" s="4" t="s">
        <v>5527</v>
      </c>
      <c r="B2315">
        <v>3</v>
      </c>
      <c r="C2315">
        <v>2021</v>
      </c>
      <c r="D2315" t="s">
        <v>20091</v>
      </c>
      <c r="E2315">
        <v>9</v>
      </c>
      <c r="F2315" t="s">
        <v>20092</v>
      </c>
      <c r="G2315" t="s">
        <v>20093</v>
      </c>
      <c r="H2315" s="4" t="s">
        <v>20094</v>
      </c>
      <c r="I2315" t="s">
        <v>71</v>
      </c>
      <c r="J2315" t="s">
        <v>10782</v>
      </c>
      <c r="K2315" t="s">
        <v>20095</v>
      </c>
    </row>
    <row r="2316" spans="1:11" ht="158.4" x14ac:dyDescent="0.3">
      <c r="A2316" s="4" t="s">
        <v>5528</v>
      </c>
      <c r="B2316">
        <v>3</v>
      </c>
      <c r="C2316">
        <v>2021</v>
      </c>
      <c r="D2316" t="s">
        <v>277</v>
      </c>
      <c r="E2316">
        <v>41</v>
      </c>
      <c r="F2316" t="s">
        <v>20096</v>
      </c>
      <c r="G2316" t="s">
        <v>20097</v>
      </c>
      <c r="H2316" s="4" t="s">
        <v>20098</v>
      </c>
      <c r="I2316" t="s">
        <v>71</v>
      </c>
      <c r="J2316" t="s">
        <v>10782</v>
      </c>
      <c r="K2316" t="s">
        <v>20099</v>
      </c>
    </row>
    <row r="2317" spans="1:11" ht="158.4" x14ac:dyDescent="0.3">
      <c r="A2317" s="4" t="s">
        <v>5529</v>
      </c>
      <c r="B2317">
        <v>3</v>
      </c>
      <c r="C2317">
        <v>2021</v>
      </c>
      <c r="D2317" t="s">
        <v>637</v>
      </c>
      <c r="E2317">
        <v>62</v>
      </c>
      <c r="F2317" t="s">
        <v>20100</v>
      </c>
      <c r="G2317" t="s">
        <v>20101</v>
      </c>
      <c r="H2317" s="4" t="s">
        <v>20102</v>
      </c>
      <c r="I2317" t="s">
        <v>71</v>
      </c>
      <c r="J2317" t="s">
        <v>10782</v>
      </c>
      <c r="K2317" t="s">
        <v>20103</v>
      </c>
    </row>
    <row r="2318" spans="1:11" ht="86.4" x14ac:dyDescent="0.3">
      <c r="A2318" s="4" t="s">
        <v>5530</v>
      </c>
      <c r="B2318">
        <v>3</v>
      </c>
      <c r="C2318">
        <v>2021</v>
      </c>
      <c r="D2318" t="s">
        <v>811</v>
      </c>
      <c r="E2318">
        <v>9</v>
      </c>
      <c r="F2318" t="s">
        <v>20104</v>
      </c>
      <c r="G2318" t="s">
        <v>20105</v>
      </c>
      <c r="H2318" s="4" t="s">
        <v>20106</v>
      </c>
    </row>
    <row r="2319" spans="1:11" ht="216" x14ac:dyDescent="0.3">
      <c r="A2319" s="4" t="s">
        <v>5531</v>
      </c>
      <c r="B2319">
        <v>3</v>
      </c>
      <c r="C2319">
        <v>2021</v>
      </c>
      <c r="D2319" t="s">
        <v>15071</v>
      </c>
      <c r="E2319">
        <v>4</v>
      </c>
      <c r="F2319" t="s">
        <v>20107</v>
      </c>
      <c r="G2319" t="s">
        <v>20108</v>
      </c>
      <c r="H2319" s="4" t="s">
        <v>20109</v>
      </c>
      <c r="I2319" t="s">
        <v>71</v>
      </c>
      <c r="J2319" t="s">
        <v>10782</v>
      </c>
      <c r="K2319" t="s">
        <v>20110</v>
      </c>
    </row>
    <row r="2320" spans="1:11" ht="158.4" x14ac:dyDescent="0.3">
      <c r="A2320" s="4" t="s">
        <v>5532</v>
      </c>
      <c r="B2320">
        <v>3</v>
      </c>
      <c r="C2320">
        <v>2021</v>
      </c>
      <c r="D2320" t="s">
        <v>637</v>
      </c>
      <c r="E2320">
        <v>8</v>
      </c>
      <c r="F2320" t="s">
        <v>20111</v>
      </c>
      <c r="G2320" t="s">
        <v>20112</v>
      </c>
      <c r="H2320" s="4" t="s">
        <v>20113</v>
      </c>
      <c r="I2320" t="s">
        <v>71</v>
      </c>
      <c r="J2320" t="s">
        <v>10782</v>
      </c>
      <c r="K2320" t="s">
        <v>20114</v>
      </c>
    </row>
    <row r="2321" spans="1:11" ht="288" x14ac:dyDescent="0.3">
      <c r="A2321" s="4" t="s">
        <v>5533</v>
      </c>
      <c r="B2321">
        <v>3</v>
      </c>
      <c r="C2321">
        <v>2021</v>
      </c>
      <c r="D2321" t="s">
        <v>277</v>
      </c>
      <c r="E2321">
        <v>29</v>
      </c>
      <c r="F2321" t="s">
        <v>20115</v>
      </c>
      <c r="G2321" t="s">
        <v>20116</v>
      </c>
      <c r="H2321" s="4" t="s">
        <v>20117</v>
      </c>
      <c r="I2321" t="s">
        <v>71</v>
      </c>
      <c r="J2321" t="s">
        <v>10782</v>
      </c>
      <c r="K2321" t="s">
        <v>20118</v>
      </c>
    </row>
    <row r="2322" spans="1:11" ht="158.4" x14ac:dyDescent="0.3">
      <c r="A2322" s="4" t="s">
        <v>5534</v>
      </c>
      <c r="B2322">
        <v>3</v>
      </c>
      <c r="C2322">
        <v>2021</v>
      </c>
      <c r="D2322" t="s">
        <v>1002</v>
      </c>
      <c r="E2322">
        <v>3</v>
      </c>
      <c r="F2322" t="s">
        <v>20119</v>
      </c>
      <c r="G2322" t="s">
        <v>20120</v>
      </c>
      <c r="H2322" s="4" t="s">
        <v>20121</v>
      </c>
      <c r="I2322" t="s">
        <v>71</v>
      </c>
      <c r="J2322" t="s">
        <v>10782</v>
      </c>
      <c r="K2322" t="s">
        <v>20122</v>
      </c>
    </row>
    <row r="2323" spans="1:11" ht="230.4" x14ac:dyDescent="0.3">
      <c r="A2323" s="4" t="s">
        <v>5535</v>
      </c>
      <c r="B2323">
        <v>3</v>
      </c>
      <c r="C2323">
        <v>2021</v>
      </c>
      <c r="D2323" t="s">
        <v>13644</v>
      </c>
      <c r="E2323">
        <v>4</v>
      </c>
      <c r="F2323" t="s">
        <v>20123</v>
      </c>
      <c r="G2323" t="s">
        <v>20124</v>
      </c>
      <c r="H2323" s="4" t="s">
        <v>20125</v>
      </c>
      <c r="I2323" t="s">
        <v>71</v>
      </c>
      <c r="J2323" t="s">
        <v>10782</v>
      </c>
      <c r="K2323" t="s">
        <v>20126</v>
      </c>
    </row>
    <row r="2324" spans="1:11" ht="115.2" x14ac:dyDescent="0.3">
      <c r="A2324" s="4" t="s">
        <v>5536</v>
      </c>
      <c r="B2324">
        <v>3</v>
      </c>
      <c r="C2324">
        <v>2021</v>
      </c>
      <c r="D2324" t="s">
        <v>329</v>
      </c>
      <c r="E2324">
        <v>7</v>
      </c>
      <c r="F2324" t="s">
        <v>20127</v>
      </c>
      <c r="G2324" t="s">
        <v>20128</v>
      </c>
      <c r="H2324" s="4" t="s">
        <v>20129</v>
      </c>
      <c r="I2324" t="s">
        <v>71</v>
      </c>
      <c r="J2324" t="s">
        <v>10782</v>
      </c>
      <c r="K2324" t="s">
        <v>20130</v>
      </c>
    </row>
    <row r="2325" spans="1:11" ht="201.6" x14ac:dyDescent="0.3">
      <c r="A2325" s="4" t="s">
        <v>5537</v>
      </c>
      <c r="B2325">
        <v>3</v>
      </c>
      <c r="C2325">
        <v>2021</v>
      </c>
      <c r="D2325" t="s">
        <v>2708</v>
      </c>
      <c r="E2325">
        <v>9</v>
      </c>
      <c r="F2325" t="s">
        <v>20131</v>
      </c>
      <c r="G2325" t="s">
        <v>20132</v>
      </c>
      <c r="H2325" s="4" t="s">
        <v>20133</v>
      </c>
      <c r="I2325" t="s">
        <v>71</v>
      </c>
      <c r="J2325" t="s">
        <v>10782</v>
      </c>
      <c r="K2325" t="s">
        <v>20134</v>
      </c>
    </row>
    <row r="2326" spans="1:11" ht="115.2" x14ac:dyDescent="0.3">
      <c r="A2326" s="4" t="s">
        <v>5538</v>
      </c>
      <c r="B2326">
        <v>3</v>
      </c>
      <c r="C2326">
        <v>2021</v>
      </c>
      <c r="D2326" t="s">
        <v>385</v>
      </c>
      <c r="E2326">
        <v>3</v>
      </c>
      <c r="F2326" t="s">
        <v>20135</v>
      </c>
      <c r="G2326" t="s">
        <v>20136</v>
      </c>
      <c r="H2326" s="4" t="s">
        <v>20137</v>
      </c>
      <c r="I2326" t="s">
        <v>71</v>
      </c>
      <c r="J2326" t="s">
        <v>10782</v>
      </c>
      <c r="K2326" t="s">
        <v>20138</v>
      </c>
    </row>
    <row r="2327" spans="1:11" ht="201.6" x14ac:dyDescent="0.3">
      <c r="A2327" s="4" t="s">
        <v>5539</v>
      </c>
      <c r="B2327">
        <v>3</v>
      </c>
      <c r="C2327">
        <v>2021</v>
      </c>
      <c r="D2327" t="s">
        <v>637</v>
      </c>
      <c r="E2327">
        <v>5</v>
      </c>
      <c r="F2327" t="s">
        <v>20139</v>
      </c>
      <c r="G2327" t="s">
        <v>20140</v>
      </c>
      <c r="H2327" s="4" t="s">
        <v>20141</v>
      </c>
      <c r="I2327" t="s">
        <v>71</v>
      </c>
      <c r="J2327" t="s">
        <v>10782</v>
      </c>
      <c r="K2327" t="s">
        <v>20142</v>
      </c>
    </row>
    <row r="2328" spans="1:11" ht="172.8" x14ac:dyDescent="0.3">
      <c r="A2328" s="4" t="s">
        <v>5540</v>
      </c>
      <c r="B2328">
        <v>3</v>
      </c>
      <c r="C2328">
        <v>2021</v>
      </c>
      <c r="D2328" t="s">
        <v>277</v>
      </c>
      <c r="E2328">
        <v>8</v>
      </c>
      <c r="F2328" t="s">
        <v>20143</v>
      </c>
      <c r="G2328" t="s">
        <v>20144</v>
      </c>
      <c r="H2328" s="4" t="s">
        <v>20145</v>
      </c>
      <c r="I2328" t="s">
        <v>71</v>
      </c>
      <c r="J2328" t="s">
        <v>10782</v>
      </c>
      <c r="K2328" t="s">
        <v>20146</v>
      </c>
    </row>
    <row r="2329" spans="1:11" ht="230.4" x14ac:dyDescent="0.3">
      <c r="A2329" s="4" t="s">
        <v>5541</v>
      </c>
      <c r="B2329">
        <v>3</v>
      </c>
      <c r="C2329">
        <v>2021</v>
      </c>
      <c r="D2329" t="s">
        <v>14815</v>
      </c>
      <c r="E2329">
        <v>34</v>
      </c>
      <c r="F2329" t="s">
        <v>20147</v>
      </c>
      <c r="G2329" t="s">
        <v>20148</v>
      </c>
      <c r="H2329" s="4" t="s">
        <v>20149</v>
      </c>
      <c r="I2329" t="s">
        <v>71</v>
      </c>
      <c r="J2329" t="s">
        <v>10782</v>
      </c>
      <c r="K2329" t="s">
        <v>20150</v>
      </c>
    </row>
    <row r="2330" spans="1:11" ht="144" x14ac:dyDescent="0.3">
      <c r="A2330" s="4" t="s">
        <v>5542</v>
      </c>
      <c r="B2330">
        <v>3</v>
      </c>
      <c r="C2330">
        <v>2021</v>
      </c>
      <c r="D2330" t="s">
        <v>380</v>
      </c>
      <c r="E2330">
        <v>15</v>
      </c>
      <c r="F2330" t="s">
        <v>20151</v>
      </c>
      <c r="G2330" t="s">
        <v>20152</v>
      </c>
      <c r="H2330" s="4" t="s">
        <v>20153</v>
      </c>
      <c r="I2330" t="s">
        <v>71</v>
      </c>
      <c r="J2330" t="s">
        <v>10782</v>
      </c>
      <c r="K2330" t="s">
        <v>20154</v>
      </c>
    </row>
    <row r="2331" spans="1:11" ht="144" x14ac:dyDescent="0.3">
      <c r="A2331" s="4" t="s">
        <v>5543</v>
      </c>
      <c r="B2331">
        <v>3</v>
      </c>
      <c r="C2331">
        <v>2021</v>
      </c>
      <c r="D2331" t="s">
        <v>10805</v>
      </c>
      <c r="E2331">
        <v>18</v>
      </c>
      <c r="F2331" t="s">
        <v>20155</v>
      </c>
      <c r="G2331" t="s">
        <v>20156</v>
      </c>
      <c r="H2331" s="4" t="s">
        <v>20157</v>
      </c>
      <c r="I2331" t="s">
        <v>71</v>
      </c>
      <c r="J2331" t="s">
        <v>10782</v>
      </c>
      <c r="K2331" t="s">
        <v>20158</v>
      </c>
    </row>
    <row r="2332" spans="1:11" ht="187.2" x14ac:dyDescent="0.3">
      <c r="A2332" s="4" t="s">
        <v>5544</v>
      </c>
      <c r="B2332">
        <v>3</v>
      </c>
      <c r="C2332">
        <v>2021</v>
      </c>
      <c r="D2332" t="s">
        <v>14703</v>
      </c>
      <c r="E2332">
        <v>5</v>
      </c>
      <c r="F2332" t="s">
        <v>20159</v>
      </c>
      <c r="G2332" t="s">
        <v>20160</v>
      </c>
      <c r="H2332" s="4" t="s">
        <v>20161</v>
      </c>
      <c r="I2332" t="s">
        <v>71</v>
      </c>
      <c r="J2332" t="s">
        <v>10782</v>
      </c>
      <c r="K2332" t="s">
        <v>20162</v>
      </c>
    </row>
    <row r="2333" spans="1:11" ht="187.2" x14ac:dyDescent="0.3">
      <c r="A2333" s="4" t="s">
        <v>5545</v>
      </c>
      <c r="B2333">
        <v>3</v>
      </c>
      <c r="C2333">
        <v>2021</v>
      </c>
      <c r="D2333" t="s">
        <v>2853</v>
      </c>
      <c r="E2333">
        <v>6</v>
      </c>
      <c r="F2333" t="s">
        <v>20163</v>
      </c>
      <c r="G2333" t="s">
        <v>20164</v>
      </c>
      <c r="H2333" s="4" t="s">
        <v>20165</v>
      </c>
      <c r="I2333" t="s">
        <v>71</v>
      </c>
      <c r="J2333" t="s">
        <v>10782</v>
      </c>
      <c r="K2333" t="s">
        <v>20166</v>
      </c>
    </row>
    <row r="2334" spans="1:11" ht="129.6" x14ac:dyDescent="0.3">
      <c r="A2334" s="4" t="s">
        <v>1132</v>
      </c>
      <c r="B2334">
        <v>1</v>
      </c>
      <c r="C2334">
        <v>2021</v>
      </c>
      <c r="D2334" t="s">
        <v>398</v>
      </c>
      <c r="E2334">
        <v>65</v>
      </c>
      <c r="F2334" t="s">
        <v>20167</v>
      </c>
      <c r="G2334" t="s">
        <v>20168</v>
      </c>
      <c r="H2334" s="4" t="s">
        <v>20169</v>
      </c>
    </row>
    <row r="2335" spans="1:11" ht="187.2" x14ac:dyDescent="0.3">
      <c r="A2335" s="4" t="s">
        <v>5546</v>
      </c>
      <c r="B2335">
        <v>3</v>
      </c>
      <c r="C2335">
        <v>2021</v>
      </c>
      <c r="D2335" t="s">
        <v>14815</v>
      </c>
      <c r="E2335">
        <v>9</v>
      </c>
      <c r="F2335" t="s">
        <v>20170</v>
      </c>
      <c r="G2335" t="s">
        <v>20171</v>
      </c>
      <c r="H2335" s="4" t="s">
        <v>20172</v>
      </c>
      <c r="I2335" t="s">
        <v>71</v>
      </c>
      <c r="J2335" t="s">
        <v>10782</v>
      </c>
      <c r="K2335" t="s">
        <v>20173</v>
      </c>
    </row>
    <row r="2336" spans="1:11" ht="172.8" x14ac:dyDescent="0.3">
      <c r="A2336" s="4" t="s">
        <v>5547</v>
      </c>
      <c r="B2336">
        <v>3</v>
      </c>
      <c r="C2336">
        <v>2021</v>
      </c>
      <c r="D2336" t="s">
        <v>277</v>
      </c>
      <c r="E2336">
        <v>28</v>
      </c>
      <c r="F2336" t="s">
        <v>20174</v>
      </c>
      <c r="G2336" t="s">
        <v>20175</v>
      </c>
      <c r="H2336" s="4" t="s">
        <v>20176</v>
      </c>
      <c r="I2336" t="s">
        <v>71</v>
      </c>
      <c r="J2336" t="s">
        <v>10782</v>
      </c>
      <c r="K2336" t="s">
        <v>20177</v>
      </c>
    </row>
    <row r="2337" spans="1:11" ht="172.8" x14ac:dyDescent="0.3">
      <c r="A2337" s="4" t="s">
        <v>5548</v>
      </c>
      <c r="B2337">
        <v>3</v>
      </c>
      <c r="C2337">
        <v>2021</v>
      </c>
      <c r="D2337" t="s">
        <v>637</v>
      </c>
      <c r="E2337">
        <v>12</v>
      </c>
      <c r="F2337" t="s">
        <v>20178</v>
      </c>
      <c r="G2337" t="s">
        <v>20179</v>
      </c>
      <c r="H2337" s="4" t="s">
        <v>20180</v>
      </c>
      <c r="I2337" t="s">
        <v>71</v>
      </c>
      <c r="J2337" t="s">
        <v>10782</v>
      </c>
      <c r="K2337" t="s">
        <v>20181</v>
      </c>
    </row>
    <row r="2338" spans="1:11" ht="129.6" x14ac:dyDescent="0.3">
      <c r="A2338" s="4" t="s">
        <v>5549</v>
      </c>
      <c r="B2338">
        <v>3</v>
      </c>
      <c r="C2338">
        <v>2021</v>
      </c>
      <c r="D2338" t="s">
        <v>277</v>
      </c>
      <c r="E2338">
        <v>22</v>
      </c>
      <c r="F2338" t="s">
        <v>20182</v>
      </c>
      <c r="G2338" t="s">
        <v>20183</v>
      </c>
      <c r="H2338" s="4" t="s">
        <v>20184</v>
      </c>
      <c r="I2338" t="s">
        <v>71</v>
      </c>
      <c r="J2338" t="s">
        <v>10782</v>
      </c>
      <c r="K2338" t="s">
        <v>20185</v>
      </c>
    </row>
    <row r="2339" spans="1:11" ht="201.6" x14ac:dyDescent="0.3">
      <c r="A2339" s="4" t="s">
        <v>5550</v>
      </c>
      <c r="B2339">
        <v>3</v>
      </c>
      <c r="C2339">
        <v>2021</v>
      </c>
      <c r="D2339" t="s">
        <v>264</v>
      </c>
      <c r="E2339">
        <v>14</v>
      </c>
      <c r="F2339" t="s">
        <v>20186</v>
      </c>
      <c r="G2339" t="s">
        <v>20187</v>
      </c>
      <c r="H2339" s="4" t="s">
        <v>20188</v>
      </c>
      <c r="I2339" t="s">
        <v>71</v>
      </c>
      <c r="J2339" t="s">
        <v>10782</v>
      </c>
      <c r="K2339" t="s">
        <v>20189</v>
      </c>
    </row>
    <row r="2340" spans="1:11" ht="187.2" x14ac:dyDescent="0.3">
      <c r="A2340" s="4" t="s">
        <v>5551</v>
      </c>
      <c r="B2340">
        <v>3</v>
      </c>
      <c r="C2340">
        <v>2021</v>
      </c>
      <c r="D2340" t="s">
        <v>1175</v>
      </c>
      <c r="E2340">
        <v>11</v>
      </c>
      <c r="F2340" t="s">
        <v>20190</v>
      </c>
      <c r="G2340" t="s">
        <v>20191</v>
      </c>
      <c r="H2340" s="4" t="s">
        <v>20192</v>
      </c>
      <c r="I2340" t="s">
        <v>71</v>
      </c>
      <c r="J2340" t="s">
        <v>10782</v>
      </c>
      <c r="K2340" t="s">
        <v>20193</v>
      </c>
    </row>
    <row r="2341" spans="1:11" ht="100.8" x14ac:dyDescent="0.3">
      <c r="A2341" s="4" t="s">
        <v>5552</v>
      </c>
      <c r="B2341">
        <v>3</v>
      </c>
      <c r="C2341">
        <v>2021</v>
      </c>
      <c r="D2341" t="s">
        <v>13721</v>
      </c>
      <c r="E2341">
        <v>4</v>
      </c>
      <c r="F2341" t="s">
        <v>20194</v>
      </c>
      <c r="G2341" t="s">
        <v>20195</v>
      </c>
      <c r="H2341" s="4" t="s">
        <v>20196</v>
      </c>
      <c r="I2341" t="s">
        <v>71</v>
      </c>
      <c r="J2341" t="s">
        <v>10782</v>
      </c>
      <c r="K2341" t="s">
        <v>20197</v>
      </c>
    </row>
    <row r="2342" spans="1:11" ht="187.2" x14ac:dyDescent="0.3">
      <c r="A2342" s="4" t="s">
        <v>2692</v>
      </c>
      <c r="B2342">
        <v>2</v>
      </c>
      <c r="C2342">
        <v>2021</v>
      </c>
      <c r="D2342" t="s">
        <v>637</v>
      </c>
      <c r="E2342">
        <v>4</v>
      </c>
      <c r="F2342" t="s">
        <v>20198</v>
      </c>
      <c r="G2342" t="s">
        <v>20199</v>
      </c>
      <c r="H2342" s="4" t="s">
        <v>20200</v>
      </c>
      <c r="I2342" t="s">
        <v>71</v>
      </c>
      <c r="J2342" t="s">
        <v>10782</v>
      </c>
      <c r="K2342" t="s">
        <v>20201</v>
      </c>
    </row>
    <row r="2343" spans="1:11" ht="288" x14ac:dyDescent="0.3">
      <c r="A2343" s="4" t="s">
        <v>5553</v>
      </c>
      <c r="B2343">
        <v>3</v>
      </c>
      <c r="C2343">
        <v>2021</v>
      </c>
      <c r="D2343" t="s">
        <v>637</v>
      </c>
      <c r="E2343">
        <v>16</v>
      </c>
      <c r="F2343" t="s">
        <v>20202</v>
      </c>
      <c r="G2343" t="s">
        <v>20203</v>
      </c>
      <c r="H2343" s="4" t="s">
        <v>20204</v>
      </c>
      <c r="I2343" t="s">
        <v>71</v>
      </c>
      <c r="J2343" t="s">
        <v>10782</v>
      </c>
      <c r="K2343" t="s">
        <v>20205</v>
      </c>
    </row>
    <row r="2344" spans="1:11" ht="129.6" x14ac:dyDescent="0.3">
      <c r="A2344" s="4" t="s">
        <v>5554</v>
      </c>
      <c r="B2344">
        <v>3</v>
      </c>
      <c r="C2344">
        <v>2021</v>
      </c>
      <c r="D2344" t="s">
        <v>177</v>
      </c>
      <c r="E2344">
        <v>5</v>
      </c>
      <c r="F2344" t="s">
        <v>20206</v>
      </c>
      <c r="G2344" t="s">
        <v>20207</v>
      </c>
      <c r="H2344" s="4" t="s">
        <v>20208</v>
      </c>
      <c r="I2344" t="s">
        <v>71</v>
      </c>
      <c r="J2344" t="s">
        <v>10782</v>
      </c>
      <c r="K2344" t="s">
        <v>20209</v>
      </c>
    </row>
    <row r="2345" spans="1:11" ht="172.8" x14ac:dyDescent="0.3">
      <c r="A2345" s="4" t="s">
        <v>5555</v>
      </c>
      <c r="B2345">
        <v>3</v>
      </c>
      <c r="C2345">
        <v>2021</v>
      </c>
      <c r="D2345" t="s">
        <v>892</v>
      </c>
      <c r="E2345">
        <v>61</v>
      </c>
      <c r="F2345" t="s">
        <v>20210</v>
      </c>
      <c r="G2345" t="s">
        <v>20211</v>
      </c>
      <c r="H2345" s="4" t="s">
        <v>20212</v>
      </c>
      <c r="I2345" t="s">
        <v>10823</v>
      </c>
      <c r="J2345" t="s">
        <v>10782</v>
      </c>
      <c r="K2345" t="s">
        <v>20213</v>
      </c>
    </row>
    <row r="2346" spans="1:11" ht="187.2" x14ac:dyDescent="0.3">
      <c r="A2346" s="4" t="s">
        <v>5556</v>
      </c>
      <c r="B2346">
        <v>3</v>
      </c>
      <c r="C2346">
        <v>2021</v>
      </c>
      <c r="D2346" t="s">
        <v>11702</v>
      </c>
      <c r="E2346">
        <v>69</v>
      </c>
      <c r="F2346" t="s">
        <v>20214</v>
      </c>
      <c r="G2346" t="s">
        <v>20215</v>
      </c>
      <c r="H2346" s="4" t="s">
        <v>20216</v>
      </c>
    </row>
    <row r="2347" spans="1:11" ht="100.8" x14ac:dyDescent="0.3">
      <c r="A2347" s="4" t="s">
        <v>5557</v>
      </c>
      <c r="B2347">
        <v>3</v>
      </c>
      <c r="C2347">
        <v>2021</v>
      </c>
      <c r="D2347" t="s">
        <v>380</v>
      </c>
      <c r="E2347">
        <v>0</v>
      </c>
      <c r="F2347" t="s">
        <v>20217</v>
      </c>
      <c r="G2347" t="s">
        <v>20218</v>
      </c>
      <c r="H2347" s="4" t="s">
        <v>20219</v>
      </c>
      <c r="I2347" t="s">
        <v>71</v>
      </c>
      <c r="J2347" t="s">
        <v>10782</v>
      </c>
      <c r="K2347" t="s">
        <v>20220</v>
      </c>
    </row>
    <row r="2348" spans="1:11" ht="115.2" x14ac:dyDescent="0.3">
      <c r="A2348" s="4" t="s">
        <v>1133</v>
      </c>
      <c r="B2348">
        <v>1</v>
      </c>
      <c r="C2348">
        <v>2021</v>
      </c>
      <c r="D2348" t="s">
        <v>217</v>
      </c>
      <c r="E2348">
        <v>15</v>
      </c>
      <c r="F2348" t="s">
        <v>20221</v>
      </c>
      <c r="G2348" t="s">
        <v>20222</v>
      </c>
      <c r="H2348" s="4" t="s">
        <v>20223</v>
      </c>
      <c r="I2348" t="s">
        <v>71</v>
      </c>
      <c r="J2348" t="s">
        <v>10782</v>
      </c>
      <c r="K2348" t="s">
        <v>20224</v>
      </c>
    </row>
    <row r="2349" spans="1:11" ht="144" x14ac:dyDescent="0.3">
      <c r="A2349" s="4" t="s">
        <v>1134</v>
      </c>
      <c r="B2349">
        <v>1</v>
      </c>
      <c r="C2349">
        <v>2021</v>
      </c>
      <c r="D2349" t="s">
        <v>799</v>
      </c>
      <c r="E2349">
        <v>10</v>
      </c>
      <c r="F2349" t="s">
        <v>20225</v>
      </c>
      <c r="G2349" t="s">
        <v>20226</v>
      </c>
      <c r="H2349" s="4" t="s">
        <v>20227</v>
      </c>
      <c r="I2349" t="s">
        <v>71</v>
      </c>
      <c r="J2349" t="s">
        <v>10782</v>
      </c>
      <c r="K2349" t="s">
        <v>20228</v>
      </c>
    </row>
    <row r="2350" spans="1:11" ht="158.4" x14ac:dyDescent="0.3">
      <c r="A2350" s="4" t="s">
        <v>3314</v>
      </c>
      <c r="B2350">
        <v>1</v>
      </c>
      <c r="C2350">
        <v>2021</v>
      </c>
      <c r="D2350" t="s">
        <v>432</v>
      </c>
      <c r="E2350">
        <v>5</v>
      </c>
      <c r="F2350" t="s">
        <v>20229</v>
      </c>
      <c r="G2350" t="s">
        <v>20230</v>
      </c>
      <c r="H2350" s="4" t="s">
        <v>20231</v>
      </c>
      <c r="I2350" t="s">
        <v>71</v>
      </c>
      <c r="J2350" t="s">
        <v>10782</v>
      </c>
      <c r="K2350" t="s">
        <v>20232</v>
      </c>
    </row>
    <row r="2351" spans="1:11" ht="230.4" x14ac:dyDescent="0.3">
      <c r="A2351" s="4" t="s">
        <v>2661</v>
      </c>
      <c r="B2351">
        <v>2</v>
      </c>
      <c r="C2351">
        <v>2021</v>
      </c>
      <c r="D2351" t="s">
        <v>1688</v>
      </c>
      <c r="E2351">
        <v>18</v>
      </c>
      <c r="F2351" t="s">
        <v>20233</v>
      </c>
      <c r="G2351" t="s">
        <v>20234</v>
      </c>
      <c r="H2351" s="4" t="s">
        <v>20235</v>
      </c>
      <c r="I2351" t="s">
        <v>71</v>
      </c>
      <c r="J2351" t="s">
        <v>10782</v>
      </c>
      <c r="K2351" t="s">
        <v>20236</v>
      </c>
    </row>
    <row r="2352" spans="1:11" ht="72" x14ac:dyDescent="0.3">
      <c r="A2352" s="4" t="s">
        <v>5558</v>
      </c>
      <c r="B2352">
        <v>3</v>
      </c>
      <c r="C2352">
        <v>2021</v>
      </c>
      <c r="D2352" t="s">
        <v>318</v>
      </c>
      <c r="E2352">
        <v>75</v>
      </c>
      <c r="F2352" t="s">
        <v>20237</v>
      </c>
      <c r="G2352" t="s">
        <v>20238</v>
      </c>
      <c r="H2352" s="4" t="s">
        <v>20239</v>
      </c>
    </row>
    <row r="2353" spans="1:11" ht="172.8" x14ac:dyDescent="0.3">
      <c r="A2353" s="4" t="s">
        <v>3546</v>
      </c>
      <c r="B2353">
        <v>2</v>
      </c>
      <c r="C2353">
        <v>2021</v>
      </c>
      <c r="D2353" t="s">
        <v>177</v>
      </c>
      <c r="E2353">
        <v>15</v>
      </c>
      <c r="F2353" t="s">
        <v>20240</v>
      </c>
      <c r="G2353" t="s">
        <v>20241</v>
      </c>
      <c r="H2353" s="4" t="s">
        <v>20242</v>
      </c>
      <c r="I2353" t="s">
        <v>71</v>
      </c>
      <c r="J2353" t="s">
        <v>10782</v>
      </c>
      <c r="K2353" t="s">
        <v>20243</v>
      </c>
    </row>
    <row r="2354" spans="1:11" ht="187.2" x14ac:dyDescent="0.3">
      <c r="A2354" s="4" t="s">
        <v>5559</v>
      </c>
      <c r="B2354">
        <v>3</v>
      </c>
      <c r="C2354">
        <v>2021</v>
      </c>
      <c r="D2354" t="s">
        <v>20244</v>
      </c>
      <c r="E2354">
        <v>0</v>
      </c>
      <c r="G2354" t="s">
        <v>20245</v>
      </c>
      <c r="H2354" s="4" t="s">
        <v>20246</v>
      </c>
      <c r="I2354" s="4" t="s">
        <v>71</v>
      </c>
      <c r="J2354" t="s">
        <v>10782</v>
      </c>
      <c r="K2354" t="s">
        <v>20247</v>
      </c>
    </row>
    <row r="2355" spans="1:11" ht="187.2" x14ac:dyDescent="0.3">
      <c r="A2355" s="4" t="s">
        <v>5560</v>
      </c>
      <c r="B2355">
        <v>3</v>
      </c>
      <c r="C2355">
        <v>2021</v>
      </c>
      <c r="D2355" t="s">
        <v>2018</v>
      </c>
      <c r="E2355">
        <v>10</v>
      </c>
      <c r="F2355" t="s">
        <v>20248</v>
      </c>
      <c r="G2355" t="s">
        <v>20249</v>
      </c>
      <c r="H2355" s="4" t="s">
        <v>20250</v>
      </c>
      <c r="I2355" t="s">
        <v>71</v>
      </c>
      <c r="J2355" t="s">
        <v>10782</v>
      </c>
      <c r="K2355" t="s">
        <v>20251</v>
      </c>
    </row>
    <row r="2356" spans="1:11" ht="216" x14ac:dyDescent="0.3">
      <c r="A2356" s="4" t="s">
        <v>5561</v>
      </c>
      <c r="B2356">
        <v>3</v>
      </c>
      <c r="C2356">
        <v>2021</v>
      </c>
      <c r="D2356" t="s">
        <v>20252</v>
      </c>
      <c r="E2356">
        <v>5</v>
      </c>
      <c r="F2356" t="s">
        <v>20253</v>
      </c>
      <c r="G2356" t="s">
        <v>20254</v>
      </c>
      <c r="H2356" s="4" t="s">
        <v>20255</v>
      </c>
      <c r="I2356" t="s">
        <v>71</v>
      </c>
      <c r="J2356" t="s">
        <v>10782</v>
      </c>
      <c r="K2356" t="s">
        <v>20256</v>
      </c>
    </row>
    <row r="2357" spans="1:11" ht="129.6" x14ac:dyDescent="0.3">
      <c r="A2357" s="4" t="s">
        <v>5562</v>
      </c>
      <c r="B2357">
        <v>3</v>
      </c>
      <c r="C2357">
        <v>2021</v>
      </c>
      <c r="D2357" t="s">
        <v>12364</v>
      </c>
      <c r="E2357">
        <v>10</v>
      </c>
      <c r="F2357" t="s">
        <v>20257</v>
      </c>
      <c r="G2357" t="s">
        <v>20258</v>
      </c>
      <c r="H2357" s="4" t="s">
        <v>20259</v>
      </c>
    </row>
    <row r="2358" spans="1:11" ht="259.2" x14ac:dyDescent="0.3">
      <c r="A2358" s="4" t="s">
        <v>5563</v>
      </c>
      <c r="B2358">
        <v>3</v>
      </c>
      <c r="C2358">
        <v>2021</v>
      </c>
      <c r="D2358" t="s">
        <v>1570</v>
      </c>
      <c r="E2358">
        <v>3</v>
      </c>
      <c r="F2358" t="s">
        <v>20260</v>
      </c>
      <c r="G2358" t="s">
        <v>20261</v>
      </c>
      <c r="H2358" s="4" t="s">
        <v>20262</v>
      </c>
    </row>
    <row r="2359" spans="1:11" ht="72" x14ac:dyDescent="0.3">
      <c r="A2359" s="4" t="s">
        <v>5564</v>
      </c>
      <c r="B2359">
        <v>3</v>
      </c>
      <c r="C2359">
        <v>2021</v>
      </c>
      <c r="D2359" t="s">
        <v>2859</v>
      </c>
      <c r="E2359">
        <v>8</v>
      </c>
      <c r="F2359" t="s">
        <v>20263</v>
      </c>
      <c r="G2359" t="s">
        <v>20264</v>
      </c>
      <c r="H2359" s="4" t="s">
        <v>20265</v>
      </c>
      <c r="I2359" t="s">
        <v>71</v>
      </c>
      <c r="J2359" t="s">
        <v>10782</v>
      </c>
      <c r="K2359" t="s">
        <v>20266</v>
      </c>
    </row>
    <row r="2360" spans="1:11" ht="115.2" x14ac:dyDescent="0.3">
      <c r="A2360" s="4" t="s">
        <v>5565</v>
      </c>
      <c r="B2360">
        <v>3</v>
      </c>
      <c r="C2360">
        <v>2021</v>
      </c>
      <c r="D2360" t="s">
        <v>14815</v>
      </c>
      <c r="E2360">
        <v>9</v>
      </c>
      <c r="F2360" t="s">
        <v>20267</v>
      </c>
      <c r="G2360" t="s">
        <v>20268</v>
      </c>
      <c r="H2360" s="4" t="s">
        <v>20269</v>
      </c>
    </row>
    <row r="2361" spans="1:11" ht="201.6" x14ac:dyDescent="0.3">
      <c r="A2361" s="4" t="s">
        <v>5566</v>
      </c>
      <c r="B2361">
        <v>3</v>
      </c>
      <c r="C2361">
        <v>2021</v>
      </c>
      <c r="D2361" t="s">
        <v>11658</v>
      </c>
      <c r="E2361">
        <v>4</v>
      </c>
      <c r="F2361" t="s">
        <v>20270</v>
      </c>
      <c r="G2361" t="s">
        <v>20271</v>
      </c>
      <c r="H2361" s="4" t="s">
        <v>20272</v>
      </c>
      <c r="I2361" t="s">
        <v>71</v>
      </c>
      <c r="J2361" t="s">
        <v>10782</v>
      </c>
      <c r="K2361" t="s">
        <v>20273</v>
      </c>
    </row>
    <row r="2362" spans="1:11" ht="201.6" x14ac:dyDescent="0.3">
      <c r="A2362" s="4" t="s">
        <v>5567</v>
      </c>
      <c r="B2362">
        <v>3</v>
      </c>
      <c r="C2362">
        <v>2021</v>
      </c>
      <c r="D2362" t="s">
        <v>1936</v>
      </c>
      <c r="E2362">
        <v>17</v>
      </c>
      <c r="F2362" t="s">
        <v>20274</v>
      </c>
      <c r="G2362" t="s">
        <v>20275</v>
      </c>
      <c r="H2362" s="4" t="s">
        <v>20276</v>
      </c>
      <c r="I2362" t="s">
        <v>71</v>
      </c>
      <c r="J2362" t="s">
        <v>10782</v>
      </c>
      <c r="K2362" t="s">
        <v>20277</v>
      </c>
    </row>
    <row r="2363" spans="1:11" ht="115.2" x14ac:dyDescent="0.3">
      <c r="A2363" s="4" t="s">
        <v>5568</v>
      </c>
      <c r="B2363">
        <v>3</v>
      </c>
      <c r="C2363">
        <v>2021</v>
      </c>
      <c r="D2363" t="s">
        <v>10924</v>
      </c>
      <c r="E2363">
        <v>2</v>
      </c>
      <c r="F2363" t="s">
        <v>20278</v>
      </c>
      <c r="G2363" t="s">
        <v>20279</v>
      </c>
      <c r="H2363" s="4" t="s">
        <v>20280</v>
      </c>
      <c r="I2363" t="s">
        <v>71</v>
      </c>
      <c r="J2363" t="s">
        <v>10782</v>
      </c>
      <c r="K2363" t="s">
        <v>20281</v>
      </c>
    </row>
    <row r="2364" spans="1:11" ht="158.4" x14ac:dyDescent="0.3">
      <c r="A2364" s="4" t="s">
        <v>5569</v>
      </c>
      <c r="B2364">
        <v>3</v>
      </c>
      <c r="C2364">
        <v>2021</v>
      </c>
      <c r="D2364" t="s">
        <v>11674</v>
      </c>
      <c r="E2364">
        <v>23</v>
      </c>
      <c r="F2364" t="s">
        <v>20282</v>
      </c>
      <c r="G2364" t="s">
        <v>20283</v>
      </c>
      <c r="H2364" s="4" t="s">
        <v>20284</v>
      </c>
      <c r="I2364" t="s">
        <v>71</v>
      </c>
      <c r="J2364" t="s">
        <v>10782</v>
      </c>
      <c r="K2364" t="s">
        <v>20285</v>
      </c>
    </row>
    <row r="2365" spans="1:11" ht="172.8" x14ac:dyDescent="0.3">
      <c r="A2365" s="4" t="s">
        <v>5570</v>
      </c>
      <c r="B2365">
        <v>3</v>
      </c>
      <c r="C2365">
        <v>2021</v>
      </c>
      <c r="D2365" t="s">
        <v>1002</v>
      </c>
      <c r="E2365">
        <v>9</v>
      </c>
      <c r="F2365" t="s">
        <v>20286</v>
      </c>
      <c r="G2365" t="s">
        <v>20287</v>
      </c>
      <c r="H2365" s="4" t="s">
        <v>20288</v>
      </c>
      <c r="I2365" t="s">
        <v>71</v>
      </c>
      <c r="J2365" t="s">
        <v>10782</v>
      </c>
      <c r="K2365" t="s">
        <v>20289</v>
      </c>
    </row>
    <row r="2366" spans="1:11" ht="43.2" x14ac:dyDescent="0.3">
      <c r="A2366" s="4" t="s">
        <v>5571</v>
      </c>
      <c r="B2366">
        <v>3</v>
      </c>
      <c r="C2366">
        <v>2021</v>
      </c>
      <c r="D2366" t="s">
        <v>13382</v>
      </c>
      <c r="E2366">
        <v>17</v>
      </c>
      <c r="F2366" t="s">
        <v>20290</v>
      </c>
      <c r="G2366" t="s">
        <v>20291</v>
      </c>
      <c r="H2366" s="4" t="s">
        <v>20292</v>
      </c>
      <c r="I2366" t="s">
        <v>71</v>
      </c>
      <c r="J2366" t="s">
        <v>10782</v>
      </c>
      <c r="K2366" t="s">
        <v>20293</v>
      </c>
    </row>
    <row r="2367" spans="1:11" ht="129.6" x14ac:dyDescent="0.3">
      <c r="A2367" s="4" t="s">
        <v>5572</v>
      </c>
      <c r="B2367">
        <v>3</v>
      </c>
      <c r="C2367">
        <v>2021</v>
      </c>
      <c r="D2367" t="s">
        <v>13382</v>
      </c>
      <c r="E2367">
        <v>6</v>
      </c>
      <c r="F2367" t="s">
        <v>20294</v>
      </c>
      <c r="G2367" t="s">
        <v>20295</v>
      </c>
      <c r="H2367" s="4" t="s">
        <v>20296</v>
      </c>
      <c r="I2367" t="s">
        <v>71</v>
      </c>
      <c r="J2367" t="s">
        <v>10782</v>
      </c>
      <c r="K2367" t="s">
        <v>20297</v>
      </c>
    </row>
    <row r="2368" spans="1:11" ht="144" x14ac:dyDescent="0.3">
      <c r="A2368" s="4" t="s">
        <v>5573</v>
      </c>
      <c r="B2368">
        <v>3</v>
      </c>
      <c r="C2368">
        <v>2021</v>
      </c>
      <c r="D2368" t="s">
        <v>363</v>
      </c>
      <c r="E2368">
        <v>38</v>
      </c>
      <c r="F2368" t="s">
        <v>20298</v>
      </c>
      <c r="G2368" t="s">
        <v>20299</v>
      </c>
      <c r="H2368" s="4" t="s">
        <v>20300</v>
      </c>
      <c r="I2368" t="s">
        <v>71</v>
      </c>
      <c r="J2368" t="s">
        <v>10782</v>
      </c>
      <c r="K2368" t="s">
        <v>20301</v>
      </c>
    </row>
    <row r="2369" spans="1:11" ht="216" x14ac:dyDescent="0.3">
      <c r="A2369" s="4" t="s">
        <v>5574</v>
      </c>
      <c r="B2369">
        <v>3</v>
      </c>
      <c r="C2369">
        <v>2021</v>
      </c>
      <c r="D2369" t="s">
        <v>10825</v>
      </c>
      <c r="E2369">
        <v>9</v>
      </c>
      <c r="F2369" t="s">
        <v>20302</v>
      </c>
      <c r="G2369" t="s">
        <v>20303</v>
      </c>
      <c r="H2369" s="4" t="s">
        <v>20304</v>
      </c>
      <c r="I2369" t="s">
        <v>71</v>
      </c>
      <c r="J2369" t="s">
        <v>10782</v>
      </c>
      <c r="K2369" t="s">
        <v>20305</v>
      </c>
    </row>
    <row r="2370" spans="1:11" ht="201.6" x14ac:dyDescent="0.3">
      <c r="A2370" s="4" t="s">
        <v>5575</v>
      </c>
      <c r="B2370">
        <v>3</v>
      </c>
      <c r="C2370">
        <v>2021</v>
      </c>
      <c r="D2370" t="s">
        <v>1912</v>
      </c>
      <c r="E2370">
        <v>22</v>
      </c>
      <c r="F2370" t="s">
        <v>20306</v>
      </c>
      <c r="G2370" t="s">
        <v>20307</v>
      </c>
      <c r="H2370" s="4" t="s">
        <v>20308</v>
      </c>
      <c r="I2370" t="s">
        <v>71</v>
      </c>
      <c r="J2370" t="s">
        <v>10782</v>
      </c>
      <c r="K2370" t="s">
        <v>20309</v>
      </c>
    </row>
    <row r="2371" spans="1:11" ht="144" x14ac:dyDescent="0.3">
      <c r="A2371" s="4" t="s">
        <v>5576</v>
      </c>
      <c r="B2371">
        <v>3</v>
      </c>
      <c r="C2371">
        <v>2021</v>
      </c>
      <c r="D2371" t="s">
        <v>202</v>
      </c>
      <c r="E2371">
        <v>10</v>
      </c>
      <c r="F2371" t="s">
        <v>20310</v>
      </c>
      <c r="G2371" t="s">
        <v>20311</v>
      </c>
      <c r="H2371" s="4" t="s">
        <v>20312</v>
      </c>
      <c r="I2371" t="s">
        <v>71</v>
      </c>
      <c r="J2371" t="s">
        <v>10782</v>
      </c>
      <c r="K2371" t="s">
        <v>20313</v>
      </c>
    </row>
    <row r="2372" spans="1:11" ht="259.2" x14ac:dyDescent="0.3">
      <c r="A2372" s="4" t="s">
        <v>5577</v>
      </c>
      <c r="B2372">
        <v>3</v>
      </c>
      <c r="C2372">
        <v>2021</v>
      </c>
      <c r="D2372" t="s">
        <v>202</v>
      </c>
      <c r="E2372">
        <v>10</v>
      </c>
      <c r="F2372" t="s">
        <v>20314</v>
      </c>
      <c r="G2372" t="s">
        <v>20315</v>
      </c>
      <c r="H2372" s="4" t="s">
        <v>20316</v>
      </c>
      <c r="I2372" t="s">
        <v>71</v>
      </c>
      <c r="J2372" t="s">
        <v>10782</v>
      </c>
      <c r="K2372" t="s">
        <v>20317</v>
      </c>
    </row>
    <row r="2373" spans="1:11" ht="187.2" x14ac:dyDescent="0.3">
      <c r="A2373" s="4" t="s">
        <v>5578</v>
      </c>
      <c r="B2373">
        <v>3</v>
      </c>
      <c r="C2373">
        <v>2021</v>
      </c>
      <c r="D2373" t="s">
        <v>1836</v>
      </c>
      <c r="E2373">
        <v>7</v>
      </c>
      <c r="F2373" t="s">
        <v>20318</v>
      </c>
      <c r="G2373" t="s">
        <v>20319</v>
      </c>
      <c r="H2373" s="4" t="s">
        <v>20320</v>
      </c>
      <c r="I2373" t="s">
        <v>71</v>
      </c>
      <c r="J2373" t="s">
        <v>10782</v>
      </c>
      <c r="K2373" t="s">
        <v>20321</v>
      </c>
    </row>
    <row r="2374" spans="1:11" ht="100.8" x14ac:dyDescent="0.3">
      <c r="A2374" s="4" t="s">
        <v>5579</v>
      </c>
      <c r="B2374">
        <v>3</v>
      </c>
      <c r="C2374">
        <v>2021</v>
      </c>
      <c r="D2374" t="s">
        <v>80</v>
      </c>
      <c r="E2374">
        <v>5</v>
      </c>
      <c r="F2374" t="s">
        <v>20322</v>
      </c>
      <c r="G2374" t="s">
        <v>20323</v>
      </c>
      <c r="H2374" s="4" t="s">
        <v>20324</v>
      </c>
    </row>
    <row r="2375" spans="1:11" ht="158.4" x14ac:dyDescent="0.3">
      <c r="A2375" s="4" t="s">
        <v>5580</v>
      </c>
      <c r="B2375">
        <v>3</v>
      </c>
      <c r="C2375">
        <v>2021</v>
      </c>
      <c r="D2375" t="s">
        <v>80</v>
      </c>
      <c r="E2375">
        <v>27</v>
      </c>
      <c r="F2375" t="s">
        <v>20325</v>
      </c>
      <c r="G2375" t="s">
        <v>20326</v>
      </c>
      <c r="H2375" s="4" t="s">
        <v>20327</v>
      </c>
      <c r="I2375" t="s">
        <v>71</v>
      </c>
      <c r="J2375" t="s">
        <v>10782</v>
      </c>
      <c r="K2375" t="s">
        <v>20328</v>
      </c>
    </row>
    <row r="2376" spans="1:11" ht="28.8" x14ac:dyDescent="0.3">
      <c r="A2376" s="4" t="s">
        <v>5581</v>
      </c>
      <c r="B2376">
        <v>3</v>
      </c>
      <c r="C2376">
        <v>2021</v>
      </c>
      <c r="D2376" t="s">
        <v>1912</v>
      </c>
      <c r="E2376">
        <v>1</v>
      </c>
      <c r="F2376" t="s">
        <v>20329</v>
      </c>
      <c r="G2376" t="s">
        <v>20330</v>
      </c>
      <c r="H2376" s="4" t="s">
        <v>20331</v>
      </c>
    </row>
    <row r="2377" spans="1:11" ht="158.4" x14ac:dyDescent="0.3">
      <c r="A2377" s="4" t="s">
        <v>5582</v>
      </c>
      <c r="B2377">
        <v>3</v>
      </c>
      <c r="C2377">
        <v>2021</v>
      </c>
      <c r="D2377" t="s">
        <v>10924</v>
      </c>
      <c r="E2377">
        <v>6</v>
      </c>
      <c r="F2377" t="s">
        <v>20332</v>
      </c>
      <c r="G2377" t="s">
        <v>20333</v>
      </c>
      <c r="H2377" s="4" t="s">
        <v>20334</v>
      </c>
      <c r="I2377" t="s">
        <v>71</v>
      </c>
      <c r="J2377" t="s">
        <v>10782</v>
      </c>
      <c r="K2377" t="s">
        <v>20335</v>
      </c>
    </row>
    <row r="2378" spans="1:11" ht="172.8" x14ac:dyDescent="0.3">
      <c r="A2378" s="4" t="s">
        <v>5583</v>
      </c>
      <c r="B2378">
        <v>3</v>
      </c>
      <c r="C2378">
        <v>2021</v>
      </c>
      <c r="D2378" t="s">
        <v>434</v>
      </c>
      <c r="E2378">
        <v>4</v>
      </c>
      <c r="F2378" t="s">
        <v>20336</v>
      </c>
      <c r="G2378" t="s">
        <v>20337</v>
      </c>
      <c r="H2378" s="4" t="s">
        <v>20338</v>
      </c>
      <c r="I2378" t="s">
        <v>71</v>
      </c>
      <c r="J2378" t="s">
        <v>10782</v>
      </c>
      <c r="K2378" t="s">
        <v>20339</v>
      </c>
    </row>
    <row r="2379" spans="1:11" ht="129.6" x14ac:dyDescent="0.3">
      <c r="A2379" s="4" t="s">
        <v>5584</v>
      </c>
      <c r="B2379">
        <v>3</v>
      </c>
      <c r="C2379">
        <v>2021</v>
      </c>
      <c r="D2379" t="s">
        <v>11041</v>
      </c>
      <c r="E2379">
        <v>18</v>
      </c>
      <c r="F2379" t="s">
        <v>20340</v>
      </c>
      <c r="G2379" t="s">
        <v>20341</v>
      </c>
      <c r="H2379" s="4" t="s">
        <v>20342</v>
      </c>
    </row>
    <row r="2380" spans="1:11" ht="158.4" x14ac:dyDescent="0.3">
      <c r="A2380" s="4" t="s">
        <v>5585</v>
      </c>
      <c r="B2380">
        <v>3</v>
      </c>
      <c r="C2380">
        <v>2021</v>
      </c>
      <c r="D2380" t="s">
        <v>2018</v>
      </c>
      <c r="E2380">
        <v>19</v>
      </c>
      <c r="F2380" t="s">
        <v>20343</v>
      </c>
      <c r="G2380" t="s">
        <v>20344</v>
      </c>
      <c r="H2380" s="4" t="s">
        <v>20345</v>
      </c>
      <c r="I2380" t="s">
        <v>71</v>
      </c>
      <c r="J2380" t="s">
        <v>10782</v>
      </c>
      <c r="K2380" t="s">
        <v>20346</v>
      </c>
    </row>
    <row r="2381" spans="1:11" ht="187.2" x14ac:dyDescent="0.3">
      <c r="A2381" s="4" t="s">
        <v>5586</v>
      </c>
      <c r="B2381">
        <v>3</v>
      </c>
      <c r="C2381">
        <v>2021</v>
      </c>
      <c r="D2381" t="s">
        <v>1015</v>
      </c>
      <c r="E2381">
        <v>7</v>
      </c>
      <c r="F2381" t="s">
        <v>20347</v>
      </c>
      <c r="G2381" t="s">
        <v>20348</v>
      </c>
      <c r="H2381" s="4" t="s">
        <v>20349</v>
      </c>
      <c r="I2381" t="s">
        <v>71</v>
      </c>
      <c r="J2381" t="s">
        <v>10782</v>
      </c>
      <c r="K2381" t="s">
        <v>20350</v>
      </c>
    </row>
    <row r="2382" spans="1:11" ht="86.4" x14ac:dyDescent="0.3">
      <c r="A2382" s="4" t="s">
        <v>5587</v>
      </c>
      <c r="B2382">
        <v>3</v>
      </c>
      <c r="C2382">
        <v>2021</v>
      </c>
      <c r="D2382" t="s">
        <v>277</v>
      </c>
      <c r="E2382">
        <v>35</v>
      </c>
      <c r="F2382" t="s">
        <v>20351</v>
      </c>
      <c r="G2382" t="s">
        <v>20352</v>
      </c>
      <c r="H2382" s="4" t="s">
        <v>20353</v>
      </c>
    </row>
    <row r="2383" spans="1:11" ht="144" x14ac:dyDescent="0.3">
      <c r="A2383" s="4" t="s">
        <v>5588</v>
      </c>
      <c r="B2383">
        <v>3</v>
      </c>
      <c r="C2383">
        <v>2021</v>
      </c>
      <c r="D2383" t="s">
        <v>277</v>
      </c>
      <c r="E2383">
        <v>5</v>
      </c>
      <c r="F2383" t="s">
        <v>20354</v>
      </c>
      <c r="G2383" t="s">
        <v>20355</v>
      </c>
      <c r="H2383" s="4" t="s">
        <v>20356</v>
      </c>
      <c r="I2383" t="s">
        <v>71</v>
      </c>
      <c r="J2383" t="s">
        <v>10782</v>
      </c>
      <c r="K2383" t="s">
        <v>20357</v>
      </c>
    </row>
    <row r="2384" spans="1:11" ht="244.8" x14ac:dyDescent="0.3">
      <c r="A2384" s="4" t="s">
        <v>5589</v>
      </c>
      <c r="B2384">
        <v>3</v>
      </c>
      <c r="C2384">
        <v>2021</v>
      </c>
      <c r="D2384" t="s">
        <v>80</v>
      </c>
      <c r="E2384">
        <v>40</v>
      </c>
      <c r="F2384" t="s">
        <v>20358</v>
      </c>
      <c r="G2384" t="s">
        <v>20359</v>
      </c>
      <c r="H2384" s="4" t="s">
        <v>20360</v>
      </c>
      <c r="I2384" t="s">
        <v>71</v>
      </c>
      <c r="J2384" t="s">
        <v>10782</v>
      </c>
      <c r="K2384" t="s">
        <v>20361</v>
      </c>
    </row>
    <row r="2385" spans="1:11" ht="187.2" x14ac:dyDescent="0.3">
      <c r="A2385" s="4" t="s">
        <v>5590</v>
      </c>
      <c r="B2385">
        <v>3</v>
      </c>
      <c r="C2385">
        <v>2021</v>
      </c>
      <c r="D2385" t="s">
        <v>2853</v>
      </c>
      <c r="E2385">
        <v>1</v>
      </c>
      <c r="F2385" t="s">
        <v>20362</v>
      </c>
      <c r="G2385" t="s">
        <v>20363</v>
      </c>
      <c r="H2385" s="4" t="s">
        <v>20364</v>
      </c>
      <c r="I2385" t="s">
        <v>71</v>
      </c>
      <c r="J2385" t="s">
        <v>10782</v>
      </c>
      <c r="K2385" t="s">
        <v>20365</v>
      </c>
    </row>
    <row r="2386" spans="1:11" ht="172.8" x14ac:dyDescent="0.3">
      <c r="A2386" s="4" t="s">
        <v>5591</v>
      </c>
      <c r="B2386">
        <v>3</v>
      </c>
      <c r="C2386">
        <v>2021</v>
      </c>
      <c r="D2386" t="s">
        <v>1438</v>
      </c>
      <c r="E2386">
        <v>5</v>
      </c>
      <c r="F2386" t="s">
        <v>20366</v>
      </c>
      <c r="G2386" t="s">
        <v>20367</v>
      </c>
      <c r="H2386" s="4" t="s">
        <v>20368</v>
      </c>
      <c r="I2386" t="s">
        <v>71</v>
      </c>
      <c r="J2386" t="s">
        <v>10782</v>
      </c>
      <c r="K2386" t="s">
        <v>20369</v>
      </c>
    </row>
    <row r="2387" spans="1:11" ht="100.8" x14ac:dyDescent="0.3">
      <c r="A2387" s="4" t="s">
        <v>5592</v>
      </c>
      <c r="B2387">
        <v>3</v>
      </c>
      <c r="C2387">
        <v>2021</v>
      </c>
      <c r="D2387" t="s">
        <v>1125</v>
      </c>
      <c r="E2387">
        <v>8</v>
      </c>
      <c r="F2387" t="s">
        <v>20370</v>
      </c>
      <c r="G2387" t="s">
        <v>20371</v>
      </c>
      <c r="H2387" s="4" t="s">
        <v>20372</v>
      </c>
    </row>
    <row r="2388" spans="1:11" ht="216" x14ac:dyDescent="0.3">
      <c r="A2388" s="4" t="s">
        <v>5593</v>
      </c>
      <c r="B2388">
        <v>3</v>
      </c>
      <c r="C2388">
        <v>2021</v>
      </c>
      <c r="D2388" t="s">
        <v>12364</v>
      </c>
      <c r="E2388">
        <v>48</v>
      </c>
      <c r="F2388" t="s">
        <v>20373</v>
      </c>
      <c r="G2388" t="s">
        <v>20374</v>
      </c>
      <c r="H2388" s="4" t="s">
        <v>20375</v>
      </c>
    </row>
    <row r="2389" spans="1:11" ht="129.6" x14ac:dyDescent="0.3">
      <c r="A2389" s="4" t="s">
        <v>5594</v>
      </c>
      <c r="B2389">
        <v>3</v>
      </c>
      <c r="C2389">
        <v>2021</v>
      </c>
      <c r="D2389" t="s">
        <v>277</v>
      </c>
      <c r="E2389">
        <v>27</v>
      </c>
      <c r="F2389" t="s">
        <v>20376</v>
      </c>
      <c r="G2389" t="s">
        <v>20377</v>
      </c>
      <c r="H2389" s="4" t="s">
        <v>20378</v>
      </c>
      <c r="I2389" t="s">
        <v>71</v>
      </c>
      <c r="J2389" t="s">
        <v>10782</v>
      </c>
      <c r="K2389" t="s">
        <v>20379</v>
      </c>
    </row>
    <row r="2390" spans="1:11" ht="172.8" x14ac:dyDescent="0.3">
      <c r="A2390" s="4" t="s">
        <v>5595</v>
      </c>
      <c r="B2390">
        <v>3</v>
      </c>
      <c r="C2390">
        <v>2021</v>
      </c>
      <c r="D2390" t="s">
        <v>1175</v>
      </c>
      <c r="E2390">
        <v>12</v>
      </c>
      <c r="F2390" t="s">
        <v>20380</v>
      </c>
      <c r="G2390" t="s">
        <v>20381</v>
      </c>
      <c r="H2390" s="4" t="s">
        <v>20382</v>
      </c>
      <c r="I2390" t="s">
        <v>71</v>
      </c>
      <c r="J2390" t="s">
        <v>10782</v>
      </c>
      <c r="K2390" t="s">
        <v>20383</v>
      </c>
    </row>
    <row r="2391" spans="1:11" ht="172.8" x14ac:dyDescent="0.3">
      <c r="A2391" s="4" t="s">
        <v>5596</v>
      </c>
      <c r="B2391">
        <v>3</v>
      </c>
      <c r="C2391">
        <v>2021</v>
      </c>
      <c r="D2391" t="s">
        <v>14815</v>
      </c>
      <c r="E2391">
        <v>9</v>
      </c>
      <c r="F2391" t="s">
        <v>20384</v>
      </c>
      <c r="G2391" t="s">
        <v>20385</v>
      </c>
      <c r="H2391" s="4" t="s">
        <v>20386</v>
      </c>
      <c r="I2391" t="s">
        <v>71</v>
      </c>
      <c r="J2391" t="s">
        <v>10782</v>
      </c>
      <c r="K2391" t="s">
        <v>20387</v>
      </c>
    </row>
    <row r="2392" spans="1:11" ht="144" x14ac:dyDescent="0.3">
      <c r="A2392" s="4" t="s">
        <v>5597</v>
      </c>
      <c r="B2392">
        <v>3</v>
      </c>
      <c r="C2392">
        <v>2021</v>
      </c>
      <c r="D2392" t="s">
        <v>217</v>
      </c>
      <c r="E2392">
        <v>7</v>
      </c>
      <c r="F2392" t="s">
        <v>20388</v>
      </c>
      <c r="G2392" t="s">
        <v>20389</v>
      </c>
      <c r="H2392" s="4" t="s">
        <v>20390</v>
      </c>
      <c r="I2392" t="s">
        <v>71</v>
      </c>
      <c r="J2392" t="s">
        <v>10782</v>
      </c>
      <c r="K2392" t="s">
        <v>20391</v>
      </c>
    </row>
    <row r="2393" spans="1:11" ht="187.2" x14ac:dyDescent="0.3">
      <c r="A2393" s="4" t="s">
        <v>5598</v>
      </c>
      <c r="B2393">
        <v>3</v>
      </c>
      <c r="C2393">
        <v>2021</v>
      </c>
      <c r="D2393" t="s">
        <v>622</v>
      </c>
      <c r="E2393">
        <v>12</v>
      </c>
      <c r="F2393" t="s">
        <v>20392</v>
      </c>
      <c r="G2393" t="s">
        <v>20393</v>
      </c>
      <c r="H2393" s="4" t="s">
        <v>20394</v>
      </c>
      <c r="I2393" t="s">
        <v>71</v>
      </c>
      <c r="J2393" t="s">
        <v>10782</v>
      </c>
      <c r="K2393" t="s">
        <v>20395</v>
      </c>
    </row>
    <row r="2394" spans="1:11" ht="144" x14ac:dyDescent="0.3">
      <c r="A2394" s="4" t="s">
        <v>5599</v>
      </c>
      <c r="B2394">
        <v>3</v>
      </c>
      <c r="C2394">
        <v>2021</v>
      </c>
      <c r="D2394" t="s">
        <v>2018</v>
      </c>
      <c r="E2394">
        <v>31</v>
      </c>
      <c r="F2394" t="s">
        <v>20396</v>
      </c>
      <c r="G2394" t="s">
        <v>20397</v>
      </c>
      <c r="H2394" s="4" t="s">
        <v>20398</v>
      </c>
      <c r="I2394" t="s">
        <v>10823</v>
      </c>
      <c r="J2394" t="s">
        <v>10782</v>
      </c>
      <c r="K2394" t="s">
        <v>20399</v>
      </c>
    </row>
    <row r="2395" spans="1:11" ht="158.4" x14ac:dyDescent="0.3">
      <c r="A2395" s="4" t="s">
        <v>5600</v>
      </c>
      <c r="B2395">
        <v>3</v>
      </c>
      <c r="C2395">
        <v>2021</v>
      </c>
      <c r="D2395" t="s">
        <v>13049</v>
      </c>
      <c r="E2395">
        <v>1</v>
      </c>
      <c r="F2395" t="s">
        <v>20400</v>
      </c>
      <c r="G2395" t="s">
        <v>20401</v>
      </c>
      <c r="H2395" s="4" t="s">
        <v>20402</v>
      </c>
      <c r="I2395" t="s">
        <v>71</v>
      </c>
      <c r="J2395" t="s">
        <v>10782</v>
      </c>
      <c r="K2395" t="s">
        <v>20403</v>
      </c>
    </row>
    <row r="2396" spans="1:11" ht="172.8" x14ac:dyDescent="0.3">
      <c r="A2396" s="4" t="s">
        <v>2662</v>
      </c>
      <c r="B2396">
        <v>2</v>
      </c>
      <c r="C2396">
        <v>2021</v>
      </c>
      <c r="D2396" t="s">
        <v>2708</v>
      </c>
      <c r="E2396">
        <v>20</v>
      </c>
      <c r="F2396" t="s">
        <v>20404</v>
      </c>
      <c r="G2396" t="s">
        <v>20405</v>
      </c>
      <c r="H2396" s="4" t="s">
        <v>20406</v>
      </c>
      <c r="I2396" t="s">
        <v>71</v>
      </c>
      <c r="J2396" t="s">
        <v>10782</v>
      </c>
      <c r="K2396" t="s">
        <v>20407</v>
      </c>
    </row>
    <row r="2397" spans="1:11" ht="158.4" x14ac:dyDescent="0.3">
      <c r="A2397" s="4" t="s">
        <v>5601</v>
      </c>
      <c r="B2397">
        <v>3</v>
      </c>
      <c r="C2397">
        <v>2021</v>
      </c>
      <c r="D2397" t="s">
        <v>637</v>
      </c>
      <c r="E2397">
        <v>16</v>
      </c>
      <c r="F2397" t="s">
        <v>20408</v>
      </c>
      <c r="G2397" t="s">
        <v>20409</v>
      </c>
      <c r="H2397" s="4" t="s">
        <v>20410</v>
      </c>
      <c r="I2397" t="s">
        <v>71</v>
      </c>
      <c r="J2397" t="s">
        <v>10782</v>
      </c>
      <c r="K2397" t="s">
        <v>20411</v>
      </c>
    </row>
    <row r="2398" spans="1:11" ht="230.4" x14ac:dyDescent="0.3">
      <c r="A2398" s="4" t="s">
        <v>5602</v>
      </c>
      <c r="B2398">
        <v>3</v>
      </c>
      <c r="C2398">
        <v>2021</v>
      </c>
      <c r="D2398" t="s">
        <v>11164</v>
      </c>
      <c r="E2398">
        <v>4</v>
      </c>
      <c r="F2398" t="s">
        <v>20412</v>
      </c>
      <c r="G2398" t="s">
        <v>20413</v>
      </c>
      <c r="H2398" s="4" t="s">
        <v>20414</v>
      </c>
      <c r="I2398" t="s">
        <v>71</v>
      </c>
      <c r="J2398" t="s">
        <v>10782</v>
      </c>
      <c r="K2398" t="s">
        <v>20415</v>
      </c>
    </row>
    <row r="2399" spans="1:11" ht="115.2" x14ac:dyDescent="0.3">
      <c r="A2399" s="4" t="s">
        <v>5603</v>
      </c>
      <c r="B2399">
        <v>3</v>
      </c>
      <c r="C2399">
        <v>2021</v>
      </c>
      <c r="D2399" t="s">
        <v>147</v>
      </c>
      <c r="E2399">
        <v>17</v>
      </c>
      <c r="F2399" t="s">
        <v>20416</v>
      </c>
      <c r="G2399" t="s">
        <v>20417</v>
      </c>
      <c r="H2399" s="4" t="s">
        <v>20418</v>
      </c>
    </row>
    <row r="2400" spans="1:11" ht="244.8" x14ac:dyDescent="0.3">
      <c r="A2400" s="4" t="s">
        <v>5604</v>
      </c>
      <c r="B2400">
        <v>3</v>
      </c>
      <c r="C2400">
        <v>2021</v>
      </c>
      <c r="D2400" t="s">
        <v>637</v>
      </c>
      <c r="E2400">
        <v>40</v>
      </c>
      <c r="F2400" t="s">
        <v>20419</v>
      </c>
      <c r="G2400" t="s">
        <v>20420</v>
      </c>
      <c r="H2400" s="4" t="s">
        <v>20421</v>
      </c>
      <c r="I2400" t="s">
        <v>71</v>
      </c>
      <c r="J2400" t="s">
        <v>10782</v>
      </c>
      <c r="K2400" t="s">
        <v>20422</v>
      </c>
    </row>
    <row r="2401" spans="1:11" ht="158.4" x14ac:dyDescent="0.3">
      <c r="A2401" s="4" t="s">
        <v>5605</v>
      </c>
      <c r="B2401">
        <v>3</v>
      </c>
      <c r="C2401">
        <v>2021</v>
      </c>
      <c r="D2401" t="s">
        <v>1841</v>
      </c>
      <c r="E2401">
        <v>25</v>
      </c>
      <c r="F2401" t="s">
        <v>20423</v>
      </c>
      <c r="G2401" t="s">
        <v>20424</v>
      </c>
      <c r="H2401" s="4" t="s">
        <v>20425</v>
      </c>
      <c r="I2401" t="s">
        <v>71</v>
      </c>
      <c r="J2401" t="s">
        <v>10782</v>
      </c>
      <c r="K2401" t="s">
        <v>20426</v>
      </c>
    </row>
    <row r="2402" spans="1:11" ht="115.2" x14ac:dyDescent="0.3">
      <c r="A2402" s="4" t="s">
        <v>5606</v>
      </c>
      <c r="B2402">
        <v>3</v>
      </c>
      <c r="C2402">
        <v>2021</v>
      </c>
      <c r="D2402" t="s">
        <v>11159</v>
      </c>
      <c r="E2402">
        <v>11</v>
      </c>
      <c r="F2402" t="s">
        <v>20427</v>
      </c>
      <c r="G2402" t="s">
        <v>20428</v>
      </c>
      <c r="H2402" s="4" t="s">
        <v>20429</v>
      </c>
      <c r="I2402" t="s">
        <v>71</v>
      </c>
      <c r="J2402" t="s">
        <v>10782</v>
      </c>
      <c r="K2402" t="s">
        <v>20430</v>
      </c>
    </row>
    <row r="2403" spans="1:11" ht="201.6" x14ac:dyDescent="0.3">
      <c r="A2403" s="4" t="s">
        <v>5607</v>
      </c>
      <c r="B2403">
        <v>3</v>
      </c>
      <c r="C2403">
        <v>2021</v>
      </c>
      <c r="D2403" t="s">
        <v>10924</v>
      </c>
      <c r="E2403">
        <v>45</v>
      </c>
      <c r="F2403" t="s">
        <v>20431</v>
      </c>
      <c r="G2403" t="s">
        <v>20432</v>
      </c>
      <c r="H2403" s="4" t="s">
        <v>20433</v>
      </c>
      <c r="I2403" t="s">
        <v>71</v>
      </c>
      <c r="J2403" t="s">
        <v>10782</v>
      </c>
      <c r="K2403" t="s">
        <v>20434</v>
      </c>
    </row>
    <row r="2404" spans="1:11" ht="172.8" x14ac:dyDescent="0.3">
      <c r="A2404" s="4" t="s">
        <v>5608</v>
      </c>
      <c r="B2404">
        <v>3</v>
      </c>
      <c r="C2404">
        <v>2021</v>
      </c>
      <c r="D2404" t="s">
        <v>1175</v>
      </c>
      <c r="E2404">
        <v>7</v>
      </c>
      <c r="F2404" t="s">
        <v>20435</v>
      </c>
      <c r="G2404" t="s">
        <v>20436</v>
      </c>
      <c r="H2404" s="4" t="s">
        <v>20437</v>
      </c>
      <c r="I2404" t="s">
        <v>71</v>
      </c>
      <c r="J2404" t="s">
        <v>10782</v>
      </c>
      <c r="K2404" t="s">
        <v>20438</v>
      </c>
    </row>
    <row r="2405" spans="1:11" ht="100.8" x14ac:dyDescent="0.3">
      <c r="A2405" s="4" t="s">
        <v>5609</v>
      </c>
      <c r="B2405">
        <v>3</v>
      </c>
      <c r="C2405">
        <v>2021</v>
      </c>
      <c r="D2405" t="s">
        <v>2853</v>
      </c>
      <c r="E2405">
        <v>4</v>
      </c>
      <c r="F2405" t="s">
        <v>20439</v>
      </c>
      <c r="G2405" t="s">
        <v>20440</v>
      </c>
      <c r="H2405" s="4" t="s">
        <v>20441</v>
      </c>
      <c r="I2405" t="s">
        <v>71</v>
      </c>
      <c r="J2405" t="s">
        <v>10782</v>
      </c>
      <c r="K2405" t="s">
        <v>20442</v>
      </c>
    </row>
    <row r="2406" spans="1:11" ht="187.2" x14ac:dyDescent="0.3">
      <c r="A2406" s="4" t="s">
        <v>5610</v>
      </c>
      <c r="B2406">
        <v>3</v>
      </c>
      <c r="C2406">
        <v>2021</v>
      </c>
      <c r="D2406" t="s">
        <v>13951</v>
      </c>
      <c r="E2406">
        <v>5</v>
      </c>
      <c r="F2406" t="s">
        <v>20443</v>
      </c>
      <c r="G2406" t="s">
        <v>20444</v>
      </c>
      <c r="H2406" s="4" t="s">
        <v>20445</v>
      </c>
      <c r="I2406" t="s">
        <v>71</v>
      </c>
      <c r="J2406" t="s">
        <v>10782</v>
      </c>
      <c r="K2406" t="s">
        <v>20446</v>
      </c>
    </row>
    <row r="2407" spans="1:11" ht="172.8" x14ac:dyDescent="0.3">
      <c r="A2407" s="4" t="s">
        <v>5611</v>
      </c>
      <c r="B2407">
        <v>3</v>
      </c>
      <c r="C2407">
        <v>2021</v>
      </c>
      <c r="D2407" t="s">
        <v>2819</v>
      </c>
      <c r="E2407">
        <v>5</v>
      </c>
      <c r="F2407" t="s">
        <v>20447</v>
      </c>
      <c r="G2407" t="s">
        <v>20448</v>
      </c>
      <c r="H2407" s="4" t="s">
        <v>20449</v>
      </c>
      <c r="I2407" t="s">
        <v>71</v>
      </c>
      <c r="J2407" t="s">
        <v>10782</v>
      </c>
      <c r="K2407" t="s">
        <v>20450</v>
      </c>
    </row>
    <row r="2408" spans="1:11" ht="144" x14ac:dyDescent="0.3">
      <c r="A2408" s="4" t="s">
        <v>5612</v>
      </c>
      <c r="B2408">
        <v>3</v>
      </c>
      <c r="C2408">
        <v>2021</v>
      </c>
      <c r="D2408" t="s">
        <v>1438</v>
      </c>
      <c r="E2408">
        <v>3</v>
      </c>
      <c r="F2408" t="s">
        <v>20451</v>
      </c>
      <c r="G2408" t="s">
        <v>20452</v>
      </c>
      <c r="H2408" s="4" t="s">
        <v>20453</v>
      </c>
      <c r="I2408" t="s">
        <v>71</v>
      </c>
      <c r="J2408" t="s">
        <v>10782</v>
      </c>
      <c r="K2408" t="s">
        <v>20454</v>
      </c>
    </row>
    <row r="2409" spans="1:11" ht="259.2" x14ac:dyDescent="0.3">
      <c r="A2409" s="4" t="s">
        <v>5613</v>
      </c>
      <c r="B2409">
        <v>3</v>
      </c>
      <c r="C2409">
        <v>2021</v>
      </c>
      <c r="D2409" t="s">
        <v>514</v>
      </c>
      <c r="E2409">
        <v>21</v>
      </c>
      <c r="F2409" t="s">
        <v>20455</v>
      </c>
      <c r="G2409" t="s">
        <v>20456</v>
      </c>
      <c r="H2409" s="4" t="s">
        <v>20457</v>
      </c>
      <c r="I2409" t="s">
        <v>71</v>
      </c>
      <c r="J2409" t="s">
        <v>10782</v>
      </c>
      <c r="K2409" t="s">
        <v>20458</v>
      </c>
    </row>
    <row r="2410" spans="1:11" ht="201.6" x14ac:dyDescent="0.3">
      <c r="A2410" s="4" t="s">
        <v>5614</v>
      </c>
      <c r="B2410">
        <v>3</v>
      </c>
      <c r="C2410">
        <v>2021</v>
      </c>
      <c r="D2410" t="s">
        <v>128</v>
      </c>
      <c r="E2410">
        <v>10</v>
      </c>
      <c r="F2410" t="s">
        <v>20459</v>
      </c>
      <c r="G2410" t="s">
        <v>20460</v>
      </c>
      <c r="H2410" s="4" t="s">
        <v>20461</v>
      </c>
      <c r="I2410" t="s">
        <v>71</v>
      </c>
      <c r="J2410" t="s">
        <v>10782</v>
      </c>
      <c r="K2410" t="s">
        <v>20462</v>
      </c>
    </row>
    <row r="2411" spans="1:11" ht="57.6" x14ac:dyDescent="0.3">
      <c r="A2411" s="4" t="s">
        <v>5615</v>
      </c>
      <c r="B2411">
        <v>3</v>
      </c>
      <c r="C2411">
        <v>2021</v>
      </c>
      <c r="D2411" t="s">
        <v>14796</v>
      </c>
      <c r="E2411">
        <v>6</v>
      </c>
      <c r="F2411" t="s">
        <v>20463</v>
      </c>
      <c r="G2411" t="s">
        <v>20464</v>
      </c>
      <c r="H2411" s="4" t="s">
        <v>20465</v>
      </c>
      <c r="I2411" t="s">
        <v>71</v>
      </c>
      <c r="J2411" t="s">
        <v>10782</v>
      </c>
      <c r="K2411" t="s">
        <v>20466</v>
      </c>
    </row>
    <row r="2412" spans="1:11" ht="201.6" x14ac:dyDescent="0.3">
      <c r="A2412" s="4" t="s">
        <v>5616</v>
      </c>
      <c r="B2412">
        <v>3</v>
      </c>
      <c r="C2412">
        <v>2021</v>
      </c>
      <c r="D2412" t="s">
        <v>637</v>
      </c>
      <c r="E2412">
        <v>11</v>
      </c>
      <c r="F2412" t="s">
        <v>20467</v>
      </c>
      <c r="G2412" t="s">
        <v>20468</v>
      </c>
      <c r="H2412" s="4" t="s">
        <v>20469</v>
      </c>
      <c r="I2412" t="s">
        <v>71</v>
      </c>
      <c r="J2412" t="s">
        <v>10782</v>
      </c>
      <c r="K2412" t="s">
        <v>20470</v>
      </c>
    </row>
    <row r="2413" spans="1:11" ht="201.6" x14ac:dyDescent="0.3">
      <c r="A2413" s="4" t="s">
        <v>5617</v>
      </c>
      <c r="B2413">
        <v>3</v>
      </c>
      <c r="C2413">
        <v>2021</v>
      </c>
      <c r="D2413" t="s">
        <v>217</v>
      </c>
      <c r="E2413">
        <v>24</v>
      </c>
      <c r="F2413" t="s">
        <v>20471</v>
      </c>
      <c r="G2413" t="s">
        <v>20472</v>
      </c>
      <c r="H2413" s="4" t="s">
        <v>20473</v>
      </c>
      <c r="I2413" t="s">
        <v>71</v>
      </c>
      <c r="J2413" t="s">
        <v>10782</v>
      </c>
      <c r="K2413" t="s">
        <v>20474</v>
      </c>
    </row>
    <row r="2414" spans="1:11" ht="201.6" x14ac:dyDescent="0.3">
      <c r="A2414" s="4" t="s">
        <v>5618</v>
      </c>
      <c r="B2414">
        <v>3</v>
      </c>
      <c r="C2414">
        <v>2021</v>
      </c>
      <c r="D2414" t="s">
        <v>234</v>
      </c>
      <c r="E2414">
        <v>30</v>
      </c>
      <c r="F2414" t="s">
        <v>20475</v>
      </c>
      <c r="G2414" t="s">
        <v>20476</v>
      </c>
      <c r="H2414" s="4" t="s">
        <v>20477</v>
      </c>
      <c r="I2414" t="s">
        <v>71</v>
      </c>
      <c r="J2414" t="s">
        <v>10782</v>
      </c>
      <c r="K2414" t="s">
        <v>20478</v>
      </c>
    </row>
    <row r="2415" spans="1:11" ht="144" x14ac:dyDescent="0.3">
      <c r="A2415" s="4" t="s">
        <v>5619</v>
      </c>
      <c r="B2415">
        <v>3</v>
      </c>
      <c r="C2415">
        <v>2021</v>
      </c>
      <c r="D2415" t="s">
        <v>11512</v>
      </c>
      <c r="E2415">
        <v>12</v>
      </c>
      <c r="F2415" t="s">
        <v>20479</v>
      </c>
      <c r="G2415" t="s">
        <v>20480</v>
      </c>
      <c r="H2415" s="4" t="s">
        <v>20481</v>
      </c>
      <c r="I2415" t="s">
        <v>71</v>
      </c>
      <c r="J2415" t="s">
        <v>10782</v>
      </c>
      <c r="K2415" t="s">
        <v>20482</v>
      </c>
    </row>
    <row r="2416" spans="1:11" ht="273.60000000000002" x14ac:dyDescent="0.3">
      <c r="A2416" s="4" t="s">
        <v>5620</v>
      </c>
      <c r="B2416">
        <v>3</v>
      </c>
      <c r="C2416">
        <v>2021</v>
      </c>
      <c r="D2416" t="s">
        <v>11598</v>
      </c>
      <c r="E2416">
        <v>6</v>
      </c>
      <c r="F2416" t="s">
        <v>20483</v>
      </c>
      <c r="G2416" t="s">
        <v>20484</v>
      </c>
      <c r="H2416" s="4" t="s">
        <v>20485</v>
      </c>
      <c r="I2416" t="s">
        <v>71</v>
      </c>
      <c r="J2416" t="s">
        <v>10782</v>
      </c>
      <c r="K2416" t="s">
        <v>20486</v>
      </c>
    </row>
    <row r="2417" spans="1:11" ht="158.4" x14ac:dyDescent="0.3">
      <c r="A2417" s="4" t="s">
        <v>3315</v>
      </c>
      <c r="B2417">
        <v>1</v>
      </c>
      <c r="C2417">
        <v>2021</v>
      </c>
      <c r="D2417" t="s">
        <v>217</v>
      </c>
      <c r="E2417">
        <v>14</v>
      </c>
      <c r="F2417" t="s">
        <v>20487</v>
      </c>
      <c r="G2417" t="s">
        <v>20488</v>
      </c>
      <c r="H2417" s="4" t="s">
        <v>20489</v>
      </c>
      <c r="I2417" t="s">
        <v>71</v>
      </c>
      <c r="J2417" t="s">
        <v>10782</v>
      </c>
      <c r="K2417" t="s">
        <v>20490</v>
      </c>
    </row>
    <row r="2418" spans="1:11" ht="129.6" x14ac:dyDescent="0.3">
      <c r="A2418" s="4" t="s">
        <v>3547</v>
      </c>
      <c r="B2418">
        <v>2</v>
      </c>
      <c r="C2418">
        <v>2021</v>
      </c>
      <c r="D2418" t="s">
        <v>1570</v>
      </c>
      <c r="E2418">
        <v>0</v>
      </c>
      <c r="F2418" t="s">
        <v>20491</v>
      </c>
      <c r="G2418" t="s">
        <v>20492</v>
      </c>
      <c r="H2418" s="4" t="s">
        <v>20493</v>
      </c>
    </row>
    <row r="2419" spans="1:11" ht="158.4" x14ac:dyDescent="0.3">
      <c r="A2419" s="4" t="s">
        <v>5621</v>
      </c>
      <c r="B2419">
        <v>3</v>
      </c>
      <c r="C2419">
        <v>2021</v>
      </c>
      <c r="D2419" t="s">
        <v>432</v>
      </c>
      <c r="E2419">
        <v>8</v>
      </c>
      <c r="F2419" t="s">
        <v>20494</v>
      </c>
      <c r="G2419" t="s">
        <v>20495</v>
      </c>
      <c r="H2419" s="4" t="s">
        <v>20496</v>
      </c>
      <c r="I2419" t="s">
        <v>71</v>
      </c>
      <c r="J2419" t="s">
        <v>10782</v>
      </c>
      <c r="K2419" t="s">
        <v>20497</v>
      </c>
    </row>
    <row r="2420" spans="1:11" ht="216" x14ac:dyDescent="0.3">
      <c r="A2420" s="4" t="s">
        <v>5622</v>
      </c>
      <c r="B2420">
        <v>3</v>
      </c>
      <c r="C2420">
        <v>2021</v>
      </c>
      <c r="D2420" t="s">
        <v>318</v>
      </c>
      <c r="E2420">
        <v>88</v>
      </c>
      <c r="F2420" t="s">
        <v>20498</v>
      </c>
      <c r="G2420" t="s">
        <v>20499</v>
      </c>
      <c r="H2420" s="4" t="s">
        <v>20500</v>
      </c>
      <c r="I2420" t="s">
        <v>71</v>
      </c>
      <c r="J2420" t="s">
        <v>10782</v>
      </c>
      <c r="K2420" t="s">
        <v>20501</v>
      </c>
    </row>
    <row r="2421" spans="1:11" ht="216" x14ac:dyDescent="0.3">
      <c r="A2421" s="4" t="s">
        <v>5623</v>
      </c>
      <c r="B2421">
        <v>3</v>
      </c>
      <c r="C2421">
        <v>2021</v>
      </c>
      <c r="D2421" t="s">
        <v>1438</v>
      </c>
      <c r="E2421">
        <v>6</v>
      </c>
      <c r="F2421" t="s">
        <v>20502</v>
      </c>
      <c r="G2421" t="s">
        <v>20503</v>
      </c>
      <c r="H2421" s="4" t="s">
        <v>20504</v>
      </c>
      <c r="I2421" t="s">
        <v>71</v>
      </c>
      <c r="J2421" t="s">
        <v>10782</v>
      </c>
      <c r="K2421" t="s">
        <v>20505</v>
      </c>
    </row>
    <row r="2422" spans="1:11" ht="187.2" x14ac:dyDescent="0.3">
      <c r="A2422" s="4" t="s">
        <v>5624</v>
      </c>
      <c r="B2422">
        <v>3</v>
      </c>
      <c r="C2422">
        <v>2021</v>
      </c>
      <c r="D2422" t="s">
        <v>20506</v>
      </c>
      <c r="E2422">
        <v>10</v>
      </c>
      <c r="F2422" t="s">
        <v>20507</v>
      </c>
      <c r="G2422" t="s">
        <v>20508</v>
      </c>
      <c r="H2422" s="4" t="s">
        <v>20509</v>
      </c>
    </row>
    <row r="2423" spans="1:11" ht="158.4" x14ac:dyDescent="0.3">
      <c r="A2423" s="4" t="s">
        <v>5625</v>
      </c>
      <c r="B2423">
        <v>3</v>
      </c>
      <c r="C2423">
        <v>2021</v>
      </c>
      <c r="D2423" t="s">
        <v>1570</v>
      </c>
      <c r="E2423">
        <v>3</v>
      </c>
      <c r="F2423" t="s">
        <v>20510</v>
      </c>
      <c r="G2423" t="s">
        <v>20511</v>
      </c>
      <c r="H2423" s="4" t="s">
        <v>20512</v>
      </c>
    </row>
    <row r="2424" spans="1:11" ht="172.8" x14ac:dyDescent="0.3">
      <c r="A2424" s="4" t="s">
        <v>5626</v>
      </c>
      <c r="B2424">
        <v>3</v>
      </c>
      <c r="C2424">
        <v>2021</v>
      </c>
      <c r="D2424" t="s">
        <v>20513</v>
      </c>
      <c r="E2424">
        <v>2</v>
      </c>
      <c r="F2424" t="s">
        <v>20514</v>
      </c>
      <c r="G2424" t="s">
        <v>20515</v>
      </c>
      <c r="H2424" s="4" t="s">
        <v>20516</v>
      </c>
      <c r="I2424" t="s">
        <v>71</v>
      </c>
      <c r="J2424" t="s">
        <v>10782</v>
      </c>
      <c r="K2424" t="s">
        <v>20517</v>
      </c>
    </row>
    <row r="2425" spans="1:11" ht="158.4" x14ac:dyDescent="0.3">
      <c r="A2425" s="4" t="s">
        <v>5627</v>
      </c>
      <c r="B2425">
        <v>3</v>
      </c>
      <c r="C2425">
        <v>2021</v>
      </c>
      <c r="D2425" t="s">
        <v>20518</v>
      </c>
      <c r="E2425">
        <v>3</v>
      </c>
      <c r="F2425" t="s">
        <v>20519</v>
      </c>
      <c r="G2425" t="s">
        <v>20520</v>
      </c>
      <c r="H2425" s="4" t="s">
        <v>20521</v>
      </c>
      <c r="I2425" t="s">
        <v>71</v>
      </c>
      <c r="J2425" t="s">
        <v>10782</v>
      </c>
      <c r="K2425" t="s">
        <v>20522</v>
      </c>
    </row>
    <row r="2426" spans="1:11" ht="201.6" x14ac:dyDescent="0.3">
      <c r="A2426" s="4" t="s">
        <v>5628</v>
      </c>
      <c r="B2426">
        <v>3</v>
      </c>
      <c r="C2426">
        <v>2021</v>
      </c>
      <c r="D2426" t="s">
        <v>637</v>
      </c>
      <c r="E2426">
        <v>18</v>
      </c>
      <c r="F2426" t="s">
        <v>20523</v>
      </c>
      <c r="G2426" t="s">
        <v>20524</v>
      </c>
      <c r="H2426" s="4" t="s">
        <v>20525</v>
      </c>
      <c r="I2426" t="s">
        <v>71</v>
      </c>
      <c r="J2426" t="s">
        <v>10782</v>
      </c>
      <c r="K2426" t="s">
        <v>20526</v>
      </c>
    </row>
    <row r="2427" spans="1:11" ht="273.60000000000002" x14ac:dyDescent="0.3">
      <c r="A2427" s="4" t="s">
        <v>5629</v>
      </c>
      <c r="B2427">
        <v>3</v>
      </c>
      <c r="C2427">
        <v>2021</v>
      </c>
      <c r="D2427" t="s">
        <v>892</v>
      </c>
      <c r="E2427">
        <v>19</v>
      </c>
      <c r="F2427" t="s">
        <v>20527</v>
      </c>
      <c r="G2427" t="s">
        <v>20528</v>
      </c>
      <c r="H2427" s="4" t="s">
        <v>20529</v>
      </c>
      <c r="I2427" t="s">
        <v>10823</v>
      </c>
      <c r="J2427" t="s">
        <v>10782</v>
      </c>
      <c r="K2427" t="s">
        <v>20530</v>
      </c>
    </row>
    <row r="2428" spans="1:11" ht="216" x14ac:dyDescent="0.3">
      <c r="A2428" s="4" t="s">
        <v>3316</v>
      </c>
      <c r="B2428">
        <v>1</v>
      </c>
      <c r="C2428">
        <v>2021</v>
      </c>
      <c r="D2428" t="s">
        <v>704</v>
      </c>
      <c r="E2428">
        <v>22</v>
      </c>
      <c r="F2428" t="s">
        <v>20531</v>
      </c>
      <c r="G2428" t="s">
        <v>20532</v>
      </c>
      <c r="H2428" s="4" t="s">
        <v>20533</v>
      </c>
      <c r="I2428" t="s">
        <v>71</v>
      </c>
      <c r="J2428" t="s">
        <v>10782</v>
      </c>
      <c r="K2428" t="s">
        <v>20534</v>
      </c>
    </row>
    <row r="2429" spans="1:11" ht="288" x14ac:dyDescent="0.3">
      <c r="A2429" s="4" t="s">
        <v>5630</v>
      </c>
      <c r="B2429">
        <v>3</v>
      </c>
      <c r="C2429">
        <v>2021</v>
      </c>
      <c r="D2429" t="s">
        <v>544</v>
      </c>
      <c r="E2429">
        <v>5</v>
      </c>
      <c r="F2429" t="s">
        <v>20535</v>
      </c>
      <c r="G2429" t="s">
        <v>20536</v>
      </c>
      <c r="H2429" s="4" t="s">
        <v>20537</v>
      </c>
      <c r="I2429" t="s">
        <v>71</v>
      </c>
      <c r="J2429" t="s">
        <v>10782</v>
      </c>
      <c r="K2429" t="s">
        <v>20538</v>
      </c>
    </row>
    <row r="2430" spans="1:11" ht="201.6" x14ac:dyDescent="0.3">
      <c r="A2430" s="4" t="s">
        <v>5631</v>
      </c>
      <c r="B2430">
        <v>3</v>
      </c>
      <c r="C2430">
        <v>2021</v>
      </c>
      <c r="D2430" t="s">
        <v>11337</v>
      </c>
      <c r="E2430">
        <v>46</v>
      </c>
      <c r="F2430" t="s">
        <v>20539</v>
      </c>
      <c r="G2430" t="s">
        <v>20540</v>
      </c>
      <c r="H2430" s="4" t="s">
        <v>20541</v>
      </c>
      <c r="I2430" t="s">
        <v>71</v>
      </c>
      <c r="J2430" t="s">
        <v>10782</v>
      </c>
      <c r="K2430" t="s">
        <v>20542</v>
      </c>
    </row>
    <row r="2431" spans="1:11" ht="144" x14ac:dyDescent="0.3">
      <c r="A2431" s="4" t="s">
        <v>5632</v>
      </c>
      <c r="B2431">
        <v>3</v>
      </c>
      <c r="C2431">
        <v>2021</v>
      </c>
      <c r="D2431" t="s">
        <v>637</v>
      </c>
      <c r="E2431">
        <v>24</v>
      </c>
      <c r="F2431" t="s">
        <v>20543</v>
      </c>
      <c r="G2431" t="s">
        <v>20544</v>
      </c>
      <c r="H2431" s="4" t="s">
        <v>20545</v>
      </c>
      <c r="I2431" t="s">
        <v>71</v>
      </c>
      <c r="J2431" t="s">
        <v>10782</v>
      </c>
      <c r="K2431" t="s">
        <v>20546</v>
      </c>
    </row>
    <row r="2432" spans="1:11" ht="273.60000000000002" x14ac:dyDescent="0.3">
      <c r="A2432" s="4" t="s">
        <v>5633</v>
      </c>
      <c r="B2432">
        <v>3</v>
      </c>
      <c r="C2432">
        <v>2021</v>
      </c>
      <c r="D2432" t="s">
        <v>10924</v>
      </c>
      <c r="E2432">
        <v>14</v>
      </c>
      <c r="F2432" t="s">
        <v>20547</v>
      </c>
      <c r="G2432" t="s">
        <v>20548</v>
      </c>
      <c r="H2432" s="4" t="s">
        <v>20549</v>
      </c>
      <c r="I2432" t="s">
        <v>71</v>
      </c>
      <c r="J2432" t="s">
        <v>10782</v>
      </c>
      <c r="K2432" t="s">
        <v>20550</v>
      </c>
    </row>
    <row r="2433" spans="1:11" ht="172.8" x14ac:dyDescent="0.3">
      <c r="A2433" s="4" t="s">
        <v>5634</v>
      </c>
      <c r="B2433">
        <v>3</v>
      </c>
      <c r="C2433">
        <v>2021</v>
      </c>
      <c r="D2433" t="s">
        <v>637</v>
      </c>
      <c r="E2433">
        <v>8</v>
      </c>
      <c r="F2433" t="s">
        <v>20551</v>
      </c>
      <c r="G2433" t="s">
        <v>20552</v>
      </c>
      <c r="H2433" s="4" t="s">
        <v>20553</v>
      </c>
      <c r="I2433" t="s">
        <v>71</v>
      </c>
      <c r="J2433" t="s">
        <v>10782</v>
      </c>
      <c r="K2433" t="s">
        <v>20554</v>
      </c>
    </row>
    <row r="2434" spans="1:11" ht="187.2" x14ac:dyDescent="0.3">
      <c r="A2434" s="4" t="s">
        <v>5635</v>
      </c>
      <c r="B2434">
        <v>3</v>
      </c>
      <c r="C2434">
        <v>2021</v>
      </c>
      <c r="D2434" t="s">
        <v>637</v>
      </c>
      <c r="E2434">
        <v>12</v>
      </c>
      <c r="F2434" t="s">
        <v>20555</v>
      </c>
      <c r="G2434" t="s">
        <v>20556</v>
      </c>
      <c r="H2434" s="4" t="s">
        <v>20557</v>
      </c>
      <c r="I2434" t="s">
        <v>71</v>
      </c>
      <c r="J2434" t="s">
        <v>10782</v>
      </c>
      <c r="K2434" t="s">
        <v>20558</v>
      </c>
    </row>
    <row r="2435" spans="1:11" ht="144" x14ac:dyDescent="0.3">
      <c r="A2435" s="4" t="s">
        <v>5636</v>
      </c>
      <c r="B2435">
        <v>3</v>
      </c>
      <c r="C2435">
        <v>2021</v>
      </c>
      <c r="D2435" t="s">
        <v>2328</v>
      </c>
      <c r="E2435">
        <v>26</v>
      </c>
      <c r="F2435" t="s">
        <v>20559</v>
      </c>
      <c r="G2435" t="s">
        <v>20560</v>
      </c>
      <c r="H2435" s="4" t="s">
        <v>20561</v>
      </c>
      <c r="I2435" t="s">
        <v>71</v>
      </c>
      <c r="J2435" t="s">
        <v>10782</v>
      </c>
      <c r="K2435" t="s">
        <v>20562</v>
      </c>
    </row>
    <row r="2436" spans="1:11" ht="187.2" x14ac:dyDescent="0.3">
      <c r="A2436" s="4" t="s">
        <v>5637</v>
      </c>
      <c r="B2436">
        <v>3</v>
      </c>
      <c r="C2436">
        <v>2021</v>
      </c>
      <c r="D2436" t="s">
        <v>811</v>
      </c>
      <c r="E2436">
        <v>13</v>
      </c>
      <c r="F2436" t="s">
        <v>20563</v>
      </c>
      <c r="G2436" t="s">
        <v>20564</v>
      </c>
      <c r="H2436" s="4" t="s">
        <v>20565</v>
      </c>
      <c r="I2436" t="s">
        <v>71</v>
      </c>
      <c r="J2436" t="s">
        <v>10782</v>
      </c>
      <c r="K2436" t="s">
        <v>20566</v>
      </c>
    </row>
    <row r="2437" spans="1:11" ht="144" x14ac:dyDescent="0.3">
      <c r="A2437" s="4" t="s">
        <v>5638</v>
      </c>
      <c r="B2437">
        <v>3</v>
      </c>
      <c r="C2437">
        <v>2021</v>
      </c>
      <c r="D2437" t="s">
        <v>14815</v>
      </c>
      <c r="E2437">
        <v>14</v>
      </c>
      <c r="F2437" t="s">
        <v>20567</v>
      </c>
      <c r="G2437" t="s">
        <v>20568</v>
      </c>
      <c r="H2437" s="4" t="s">
        <v>20569</v>
      </c>
      <c r="I2437" t="s">
        <v>71</v>
      </c>
      <c r="J2437" t="s">
        <v>10782</v>
      </c>
      <c r="K2437" t="s">
        <v>20570</v>
      </c>
    </row>
    <row r="2438" spans="1:11" ht="172.8" x14ac:dyDescent="0.3">
      <c r="A2438" s="4" t="s">
        <v>5639</v>
      </c>
      <c r="B2438">
        <v>3</v>
      </c>
      <c r="C2438">
        <v>2021</v>
      </c>
      <c r="D2438" t="s">
        <v>1002</v>
      </c>
      <c r="E2438">
        <v>10</v>
      </c>
      <c r="F2438" t="s">
        <v>20571</v>
      </c>
      <c r="G2438" t="s">
        <v>20572</v>
      </c>
      <c r="H2438" s="4" t="s">
        <v>20573</v>
      </c>
      <c r="I2438" t="s">
        <v>71</v>
      </c>
      <c r="J2438" t="s">
        <v>10782</v>
      </c>
      <c r="K2438" t="s">
        <v>20574</v>
      </c>
    </row>
    <row r="2439" spans="1:11" ht="216" x14ac:dyDescent="0.3">
      <c r="A2439" s="4" t="s">
        <v>5640</v>
      </c>
      <c r="B2439">
        <v>3</v>
      </c>
      <c r="C2439">
        <v>2021</v>
      </c>
      <c r="D2439" t="s">
        <v>11658</v>
      </c>
      <c r="E2439">
        <v>17</v>
      </c>
      <c r="F2439" t="s">
        <v>20575</v>
      </c>
      <c r="G2439" t="s">
        <v>20576</v>
      </c>
      <c r="H2439" s="4" t="s">
        <v>20577</v>
      </c>
    </row>
    <row r="2440" spans="1:11" ht="316.8" x14ac:dyDescent="0.3">
      <c r="A2440" s="4" t="s">
        <v>5641</v>
      </c>
      <c r="B2440">
        <v>3</v>
      </c>
      <c r="C2440">
        <v>2021</v>
      </c>
      <c r="D2440" t="s">
        <v>329</v>
      </c>
      <c r="E2440">
        <v>27</v>
      </c>
      <c r="F2440" t="s">
        <v>20578</v>
      </c>
      <c r="G2440" t="s">
        <v>20579</v>
      </c>
      <c r="H2440" s="4" t="s">
        <v>20580</v>
      </c>
      <c r="I2440" t="s">
        <v>71</v>
      </c>
      <c r="J2440" t="s">
        <v>10782</v>
      </c>
      <c r="K2440" t="s">
        <v>20581</v>
      </c>
    </row>
    <row r="2441" spans="1:11" ht="158.4" x14ac:dyDescent="0.3">
      <c r="A2441" s="4" t="s">
        <v>5642</v>
      </c>
      <c r="B2441">
        <v>3</v>
      </c>
      <c r="C2441">
        <v>2021</v>
      </c>
      <c r="D2441" t="s">
        <v>2819</v>
      </c>
      <c r="E2441">
        <v>3</v>
      </c>
      <c r="F2441" t="s">
        <v>20582</v>
      </c>
      <c r="G2441" t="s">
        <v>20583</v>
      </c>
      <c r="H2441" s="4" t="s">
        <v>20584</v>
      </c>
      <c r="I2441" t="s">
        <v>71</v>
      </c>
      <c r="J2441" t="s">
        <v>10782</v>
      </c>
      <c r="K2441" t="s">
        <v>20585</v>
      </c>
    </row>
    <row r="2442" spans="1:11" ht="187.2" x14ac:dyDescent="0.3">
      <c r="A2442" s="4" t="s">
        <v>5643</v>
      </c>
      <c r="B2442">
        <v>3</v>
      </c>
      <c r="C2442">
        <v>2021</v>
      </c>
      <c r="D2442" t="s">
        <v>1525</v>
      </c>
      <c r="E2442">
        <v>5</v>
      </c>
      <c r="F2442" t="s">
        <v>20586</v>
      </c>
      <c r="G2442" t="s">
        <v>20587</v>
      </c>
      <c r="H2442" s="4" t="s">
        <v>20588</v>
      </c>
      <c r="I2442" t="s">
        <v>71</v>
      </c>
      <c r="J2442" t="s">
        <v>10782</v>
      </c>
      <c r="K2442" t="s">
        <v>20589</v>
      </c>
    </row>
    <row r="2443" spans="1:11" ht="187.2" x14ac:dyDescent="0.3">
      <c r="A2443" s="4" t="s">
        <v>5644</v>
      </c>
      <c r="B2443">
        <v>3</v>
      </c>
      <c r="C2443">
        <v>2021</v>
      </c>
      <c r="D2443" t="s">
        <v>318</v>
      </c>
      <c r="E2443">
        <v>74</v>
      </c>
      <c r="F2443" t="s">
        <v>20590</v>
      </c>
      <c r="G2443" t="s">
        <v>20591</v>
      </c>
      <c r="H2443" s="4" t="s">
        <v>20592</v>
      </c>
      <c r="I2443" t="s">
        <v>71</v>
      </c>
      <c r="J2443" t="s">
        <v>10782</v>
      </c>
      <c r="K2443" t="s">
        <v>20593</v>
      </c>
    </row>
    <row r="2444" spans="1:11" ht="259.2" x14ac:dyDescent="0.3">
      <c r="A2444" s="4" t="s">
        <v>5645</v>
      </c>
      <c r="B2444">
        <v>3</v>
      </c>
      <c r="C2444">
        <v>2021</v>
      </c>
      <c r="D2444" t="s">
        <v>15112</v>
      </c>
      <c r="E2444">
        <v>9</v>
      </c>
      <c r="F2444" t="s">
        <v>20594</v>
      </c>
      <c r="G2444" t="s">
        <v>20595</v>
      </c>
      <c r="H2444" s="4" t="s">
        <v>20596</v>
      </c>
    </row>
    <row r="2445" spans="1:11" ht="187.2" x14ac:dyDescent="0.3">
      <c r="A2445" s="4" t="s">
        <v>5646</v>
      </c>
      <c r="B2445">
        <v>3</v>
      </c>
      <c r="C2445">
        <v>2021</v>
      </c>
      <c r="D2445" t="s">
        <v>1912</v>
      </c>
      <c r="E2445">
        <v>2</v>
      </c>
      <c r="F2445" t="s">
        <v>20597</v>
      </c>
      <c r="G2445" t="s">
        <v>20598</v>
      </c>
      <c r="H2445" s="4" t="s">
        <v>20599</v>
      </c>
      <c r="I2445" t="s">
        <v>71</v>
      </c>
      <c r="J2445" t="s">
        <v>10782</v>
      </c>
      <c r="K2445" t="s">
        <v>20600</v>
      </c>
    </row>
    <row r="2446" spans="1:11" ht="216" x14ac:dyDescent="0.3">
      <c r="A2446" s="4" t="s">
        <v>5647</v>
      </c>
      <c r="B2446">
        <v>3</v>
      </c>
      <c r="C2446">
        <v>2021</v>
      </c>
      <c r="D2446" t="s">
        <v>13816</v>
      </c>
      <c r="E2446">
        <v>1</v>
      </c>
      <c r="F2446" t="s">
        <v>20601</v>
      </c>
      <c r="G2446" t="s">
        <v>20602</v>
      </c>
      <c r="H2446" s="4" t="s">
        <v>20603</v>
      </c>
      <c r="I2446" t="s">
        <v>71</v>
      </c>
      <c r="J2446" t="s">
        <v>10782</v>
      </c>
      <c r="K2446" t="s">
        <v>20604</v>
      </c>
    </row>
    <row r="2447" spans="1:11" ht="187.2" x14ac:dyDescent="0.3">
      <c r="A2447" s="4" t="s">
        <v>5648</v>
      </c>
      <c r="B2447">
        <v>3</v>
      </c>
      <c r="C2447">
        <v>2021</v>
      </c>
      <c r="D2447" t="s">
        <v>227</v>
      </c>
      <c r="E2447">
        <v>5</v>
      </c>
      <c r="F2447" t="s">
        <v>20605</v>
      </c>
      <c r="G2447" t="s">
        <v>20606</v>
      </c>
      <c r="H2447" s="4" t="s">
        <v>20607</v>
      </c>
      <c r="I2447" t="s">
        <v>71</v>
      </c>
      <c r="J2447" t="s">
        <v>10782</v>
      </c>
      <c r="K2447" t="s">
        <v>20608</v>
      </c>
    </row>
    <row r="2448" spans="1:11" ht="129.6" x14ac:dyDescent="0.3">
      <c r="A2448" s="4" t="s">
        <v>5649</v>
      </c>
      <c r="B2448">
        <v>3</v>
      </c>
      <c r="C2448">
        <v>2021</v>
      </c>
      <c r="D2448" t="s">
        <v>11617</v>
      </c>
      <c r="E2448">
        <v>4</v>
      </c>
      <c r="F2448" t="s">
        <v>20609</v>
      </c>
      <c r="G2448" t="s">
        <v>20610</v>
      </c>
      <c r="H2448" s="4" t="s">
        <v>20611</v>
      </c>
      <c r="I2448" t="s">
        <v>10945</v>
      </c>
      <c r="J2448" t="s">
        <v>10782</v>
      </c>
      <c r="K2448" t="s">
        <v>20612</v>
      </c>
    </row>
    <row r="2449" spans="1:11" ht="216" x14ac:dyDescent="0.3">
      <c r="A2449" s="4" t="s">
        <v>1135</v>
      </c>
      <c r="B2449">
        <v>1</v>
      </c>
      <c r="C2449">
        <v>2021</v>
      </c>
      <c r="D2449" t="s">
        <v>637</v>
      </c>
      <c r="E2449">
        <v>8</v>
      </c>
      <c r="F2449" t="s">
        <v>20613</v>
      </c>
      <c r="G2449" t="s">
        <v>20614</v>
      </c>
      <c r="H2449" s="4" t="s">
        <v>20615</v>
      </c>
      <c r="I2449" t="s">
        <v>71</v>
      </c>
      <c r="J2449" t="s">
        <v>10782</v>
      </c>
      <c r="K2449" t="s">
        <v>20616</v>
      </c>
    </row>
    <row r="2450" spans="1:11" ht="129.6" x14ac:dyDescent="0.3">
      <c r="A2450" s="4" t="s">
        <v>3317</v>
      </c>
      <c r="B2450">
        <v>1</v>
      </c>
      <c r="C2450">
        <v>2021</v>
      </c>
      <c r="D2450" t="s">
        <v>1175</v>
      </c>
      <c r="E2450">
        <v>2</v>
      </c>
      <c r="F2450" t="s">
        <v>20617</v>
      </c>
      <c r="G2450" t="s">
        <v>20618</v>
      </c>
      <c r="H2450" s="4" t="s">
        <v>20619</v>
      </c>
      <c r="I2450" t="s">
        <v>71</v>
      </c>
      <c r="J2450" t="s">
        <v>10782</v>
      </c>
      <c r="K2450" t="s">
        <v>20620</v>
      </c>
    </row>
    <row r="2451" spans="1:11" ht="187.2" x14ac:dyDescent="0.3">
      <c r="A2451" s="4" t="s">
        <v>5650</v>
      </c>
      <c r="B2451">
        <v>3</v>
      </c>
      <c r="C2451">
        <v>2021</v>
      </c>
      <c r="D2451" t="s">
        <v>1570</v>
      </c>
      <c r="E2451">
        <v>0</v>
      </c>
      <c r="F2451" t="s">
        <v>20621</v>
      </c>
      <c r="G2451" t="s">
        <v>20622</v>
      </c>
      <c r="H2451" s="4" t="s">
        <v>20623</v>
      </c>
      <c r="I2451" t="s">
        <v>71</v>
      </c>
      <c r="J2451" t="s">
        <v>10782</v>
      </c>
      <c r="K2451" t="s">
        <v>20624</v>
      </c>
    </row>
    <row r="2452" spans="1:11" ht="273.60000000000002" x14ac:dyDescent="0.3">
      <c r="A2452" s="4" t="s">
        <v>2663</v>
      </c>
      <c r="B2452">
        <v>2</v>
      </c>
      <c r="C2452">
        <v>2021</v>
      </c>
      <c r="D2452" t="s">
        <v>217</v>
      </c>
      <c r="E2452">
        <v>13</v>
      </c>
      <c r="F2452" t="s">
        <v>20625</v>
      </c>
      <c r="G2452" t="s">
        <v>20626</v>
      </c>
      <c r="H2452" s="4" t="s">
        <v>20627</v>
      </c>
      <c r="I2452" t="s">
        <v>71</v>
      </c>
      <c r="J2452" t="s">
        <v>10782</v>
      </c>
      <c r="K2452" t="s">
        <v>20628</v>
      </c>
    </row>
    <row r="2453" spans="1:11" ht="230.4" x14ac:dyDescent="0.3">
      <c r="A2453" s="4" t="s">
        <v>5651</v>
      </c>
      <c r="B2453">
        <v>3</v>
      </c>
      <c r="C2453">
        <v>2021</v>
      </c>
      <c r="D2453" t="s">
        <v>1849</v>
      </c>
      <c r="E2453">
        <v>8</v>
      </c>
      <c r="F2453" t="s">
        <v>20629</v>
      </c>
      <c r="G2453" t="s">
        <v>20630</v>
      </c>
      <c r="H2453" s="4" t="s">
        <v>20631</v>
      </c>
      <c r="I2453" t="s">
        <v>71</v>
      </c>
      <c r="J2453" t="s">
        <v>10782</v>
      </c>
      <c r="K2453" t="s">
        <v>20632</v>
      </c>
    </row>
    <row r="2454" spans="1:11" ht="187.2" x14ac:dyDescent="0.3">
      <c r="A2454" s="4" t="s">
        <v>5652</v>
      </c>
      <c r="B2454">
        <v>3</v>
      </c>
      <c r="C2454">
        <v>2021</v>
      </c>
      <c r="D2454" t="s">
        <v>217</v>
      </c>
      <c r="E2454">
        <v>31</v>
      </c>
      <c r="F2454" t="s">
        <v>20633</v>
      </c>
      <c r="G2454" t="s">
        <v>20634</v>
      </c>
      <c r="H2454" s="4" t="s">
        <v>20635</v>
      </c>
      <c r="I2454" t="s">
        <v>71</v>
      </c>
      <c r="J2454" t="s">
        <v>10782</v>
      </c>
      <c r="K2454" t="s">
        <v>20636</v>
      </c>
    </row>
    <row r="2455" spans="1:11" ht="230.4" x14ac:dyDescent="0.3">
      <c r="A2455" s="4" t="s">
        <v>5653</v>
      </c>
      <c r="B2455">
        <v>3</v>
      </c>
      <c r="C2455">
        <v>2021</v>
      </c>
      <c r="D2455" t="s">
        <v>80</v>
      </c>
      <c r="E2455">
        <v>56</v>
      </c>
      <c r="F2455" t="s">
        <v>20637</v>
      </c>
      <c r="G2455" t="s">
        <v>20638</v>
      </c>
      <c r="H2455" s="4" t="s">
        <v>20639</v>
      </c>
      <c r="I2455" t="s">
        <v>71</v>
      </c>
      <c r="J2455" t="s">
        <v>10782</v>
      </c>
      <c r="K2455" t="s">
        <v>20640</v>
      </c>
    </row>
    <row r="2456" spans="1:11" ht="172.8" x14ac:dyDescent="0.3">
      <c r="A2456" s="4" t="s">
        <v>1136</v>
      </c>
      <c r="B2456">
        <v>1</v>
      </c>
      <c r="C2456">
        <v>2021</v>
      </c>
      <c r="D2456" t="s">
        <v>1175</v>
      </c>
      <c r="E2456">
        <v>24</v>
      </c>
      <c r="F2456" t="s">
        <v>20641</v>
      </c>
      <c r="G2456" t="s">
        <v>20642</v>
      </c>
      <c r="H2456" s="4" t="s">
        <v>20643</v>
      </c>
    </row>
    <row r="2457" spans="1:11" ht="360" x14ac:dyDescent="0.3">
      <c r="A2457" s="4" t="s">
        <v>5654</v>
      </c>
      <c r="B2457">
        <v>3</v>
      </c>
      <c r="C2457">
        <v>2021</v>
      </c>
      <c r="D2457" t="s">
        <v>16189</v>
      </c>
      <c r="E2457">
        <v>33</v>
      </c>
      <c r="F2457" t="s">
        <v>20644</v>
      </c>
      <c r="G2457" t="s">
        <v>20645</v>
      </c>
      <c r="H2457" s="4" t="s">
        <v>20646</v>
      </c>
      <c r="I2457" t="s">
        <v>71</v>
      </c>
      <c r="J2457" t="s">
        <v>10782</v>
      </c>
      <c r="K2457" t="s">
        <v>20647</v>
      </c>
    </row>
    <row r="2458" spans="1:11" ht="129.6" x14ac:dyDescent="0.3">
      <c r="A2458" s="4" t="s">
        <v>1137</v>
      </c>
      <c r="B2458">
        <v>1</v>
      </c>
      <c r="C2458">
        <v>2021</v>
      </c>
      <c r="D2458" t="s">
        <v>329</v>
      </c>
      <c r="E2458">
        <v>20</v>
      </c>
      <c r="F2458" t="s">
        <v>20648</v>
      </c>
      <c r="G2458" t="s">
        <v>20649</v>
      </c>
      <c r="H2458" s="4" t="s">
        <v>20650</v>
      </c>
      <c r="I2458" t="s">
        <v>71</v>
      </c>
      <c r="J2458" t="s">
        <v>10782</v>
      </c>
      <c r="K2458" t="s">
        <v>20651</v>
      </c>
    </row>
    <row r="2459" spans="1:11" ht="230.4" x14ac:dyDescent="0.3">
      <c r="A2459" s="4" t="s">
        <v>5655</v>
      </c>
      <c r="B2459">
        <v>3</v>
      </c>
      <c r="C2459">
        <v>2021</v>
      </c>
      <c r="D2459" t="s">
        <v>10924</v>
      </c>
      <c r="E2459">
        <v>14</v>
      </c>
      <c r="F2459" t="s">
        <v>20652</v>
      </c>
      <c r="G2459" t="s">
        <v>20653</v>
      </c>
      <c r="H2459" s="4" t="s">
        <v>20654</v>
      </c>
      <c r="I2459" t="s">
        <v>71</v>
      </c>
      <c r="J2459" t="s">
        <v>10782</v>
      </c>
      <c r="K2459" t="s">
        <v>20655</v>
      </c>
    </row>
    <row r="2460" spans="1:11" ht="43.2" x14ac:dyDescent="0.3">
      <c r="A2460" s="4" t="s">
        <v>5656</v>
      </c>
      <c r="B2460">
        <v>3</v>
      </c>
      <c r="C2460">
        <v>2021</v>
      </c>
      <c r="D2460" t="s">
        <v>16189</v>
      </c>
      <c r="E2460">
        <v>46</v>
      </c>
      <c r="F2460" t="s">
        <v>20656</v>
      </c>
      <c r="G2460" t="s">
        <v>20657</v>
      </c>
      <c r="H2460" s="4" t="s">
        <v>20658</v>
      </c>
    </row>
    <row r="2461" spans="1:11" ht="158.4" x14ac:dyDescent="0.3">
      <c r="A2461" s="4" t="s">
        <v>5657</v>
      </c>
      <c r="B2461">
        <v>3</v>
      </c>
      <c r="C2461">
        <v>2021</v>
      </c>
      <c r="D2461" t="s">
        <v>12486</v>
      </c>
      <c r="E2461">
        <v>2</v>
      </c>
      <c r="F2461" t="s">
        <v>20659</v>
      </c>
      <c r="G2461" t="s">
        <v>20660</v>
      </c>
      <c r="H2461" s="4" t="s">
        <v>20661</v>
      </c>
      <c r="I2461" t="s">
        <v>71</v>
      </c>
      <c r="J2461" t="s">
        <v>10782</v>
      </c>
      <c r="K2461" t="s">
        <v>20662</v>
      </c>
    </row>
    <row r="2462" spans="1:11" ht="172.8" x14ac:dyDescent="0.3">
      <c r="A2462" s="4" t="s">
        <v>5658</v>
      </c>
      <c r="B2462">
        <v>3</v>
      </c>
      <c r="C2462">
        <v>2021</v>
      </c>
      <c r="D2462" t="s">
        <v>799</v>
      </c>
      <c r="E2462">
        <v>4</v>
      </c>
      <c r="F2462" t="s">
        <v>20663</v>
      </c>
      <c r="G2462" t="s">
        <v>20664</v>
      </c>
      <c r="H2462" s="4" t="s">
        <v>20665</v>
      </c>
      <c r="I2462" t="s">
        <v>71</v>
      </c>
      <c r="J2462" t="s">
        <v>10782</v>
      </c>
      <c r="K2462" t="s">
        <v>20666</v>
      </c>
    </row>
    <row r="2463" spans="1:11" ht="100.8" x14ac:dyDescent="0.3">
      <c r="A2463" s="4" t="s">
        <v>5659</v>
      </c>
      <c r="B2463">
        <v>3</v>
      </c>
      <c r="C2463">
        <v>2021</v>
      </c>
      <c r="D2463" t="s">
        <v>13951</v>
      </c>
      <c r="E2463">
        <v>1</v>
      </c>
      <c r="F2463" t="s">
        <v>20667</v>
      </c>
      <c r="G2463" t="s">
        <v>20668</v>
      </c>
      <c r="H2463" s="4" t="s">
        <v>20669</v>
      </c>
    </row>
    <row r="2464" spans="1:11" ht="158.4" x14ac:dyDescent="0.3">
      <c r="A2464" s="4" t="s">
        <v>5660</v>
      </c>
      <c r="B2464">
        <v>3</v>
      </c>
      <c r="C2464">
        <v>2021</v>
      </c>
      <c r="D2464" t="s">
        <v>637</v>
      </c>
      <c r="E2464">
        <v>3</v>
      </c>
      <c r="F2464" t="s">
        <v>20670</v>
      </c>
      <c r="G2464" t="s">
        <v>20671</v>
      </c>
      <c r="H2464" s="4" t="s">
        <v>20672</v>
      </c>
      <c r="I2464" t="s">
        <v>71</v>
      </c>
      <c r="J2464" t="s">
        <v>10782</v>
      </c>
      <c r="K2464" t="s">
        <v>20673</v>
      </c>
    </row>
    <row r="2465" spans="1:11" ht="72" x14ac:dyDescent="0.3">
      <c r="A2465" s="4" t="s">
        <v>5661</v>
      </c>
      <c r="B2465">
        <v>3</v>
      </c>
      <c r="C2465">
        <v>2021</v>
      </c>
      <c r="D2465" t="s">
        <v>2893</v>
      </c>
      <c r="E2465">
        <v>7</v>
      </c>
      <c r="F2465" t="s">
        <v>20674</v>
      </c>
      <c r="G2465" t="s">
        <v>20675</v>
      </c>
      <c r="H2465" s="4" t="s">
        <v>20676</v>
      </c>
    </row>
    <row r="2466" spans="1:11" ht="172.8" x14ac:dyDescent="0.3">
      <c r="A2466" s="4" t="s">
        <v>5662</v>
      </c>
      <c r="B2466">
        <v>3</v>
      </c>
      <c r="C2466">
        <v>2021</v>
      </c>
      <c r="D2466" t="s">
        <v>217</v>
      </c>
      <c r="E2466">
        <v>11</v>
      </c>
      <c r="F2466" t="s">
        <v>20677</v>
      </c>
      <c r="G2466" t="s">
        <v>20678</v>
      </c>
      <c r="H2466" s="4" t="s">
        <v>20679</v>
      </c>
      <c r="I2466" t="s">
        <v>71</v>
      </c>
      <c r="J2466" t="s">
        <v>10782</v>
      </c>
      <c r="K2466" t="s">
        <v>20680</v>
      </c>
    </row>
    <row r="2467" spans="1:11" ht="201.6" x14ac:dyDescent="0.3">
      <c r="A2467" s="4" t="s">
        <v>5663</v>
      </c>
      <c r="B2467">
        <v>3</v>
      </c>
      <c r="C2467">
        <v>2021</v>
      </c>
      <c r="D2467" t="s">
        <v>1746</v>
      </c>
      <c r="E2467">
        <v>1</v>
      </c>
      <c r="F2467" t="s">
        <v>20681</v>
      </c>
      <c r="G2467" t="s">
        <v>20682</v>
      </c>
      <c r="H2467" s="4" t="s">
        <v>20683</v>
      </c>
      <c r="I2467" t="s">
        <v>71</v>
      </c>
      <c r="J2467" t="s">
        <v>10782</v>
      </c>
      <c r="K2467" t="s">
        <v>20684</v>
      </c>
    </row>
    <row r="2468" spans="1:11" ht="158.4" x14ac:dyDescent="0.3">
      <c r="A2468" s="4" t="s">
        <v>5664</v>
      </c>
      <c r="B2468">
        <v>3</v>
      </c>
      <c r="C2468">
        <v>2021</v>
      </c>
      <c r="D2468" t="s">
        <v>217</v>
      </c>
      <c r="E2468">
        <v>6</v>
      </c>
      <c r="F2468" t="s">
        <v>20685</v>
      </c>
      <c r="G2468" t="s">
        <v>20686</v>
      </c>
      <c r="H2468" s="4" t="s">
        <v>20687</v>
      </c>
    </row>
    <row r="2469" spans="1:11" ht="230.4" x14ac:dyDescent="0.3">
      <c r="A2469" s="4" t="s">
        <v>5665</v>
      </c>
      <c r="B2469">
        <v>3</v>
      </c>
      <c r="C2469">
        <v>2021</v>
      </c>
      <c r="D2469" t="s">
        <v>80</v>
      </c>
      <c r="E2469">
        <v>8</v>
      </c>
      <c r="F2469" t="s">
        <v>20688</v>
      </c>
      <c r="G2469" t="s">
        <v>20689</v>
      </c>
      <c r="H2469" s="4" t="s">
        <v>20690</v>
      </c>
      <c r="I2469" t="s">
        <v>71</v>
      </c>
      <c r="J2469" t="s">
        <v>10782</v>
      </c>
      <c r="K2469" t="s">
        <v>20691</v>
      </c>
    </row>
    <row r="2470" spans="1:11" ht="172.8" x14ac:dyDescent="0.3">
      <c r="A2470" s="4" t="s">
        <v>5666</v>
      </c>
      <c r="B2470">
        <v>3</v>
      </c>
      <c r="C2470">
        <v>2021</v>
      </c>
      <c r="D2470" t="s">
        <v>1570</v>
      </c>
      <c r="E2470">
        <v>2</v>
      </c>
      <c r="F2470" t="s">
        <v>20692</v>
      </c>
      <c r="G2470" t="s">
        <v>20693</v>
      </c>
      <c r="H2470" s="4" t="s">
        <v>20694</v>
      </c>
      <c r="I2470" t="s">
        <v>71</v>
      </c>
      <c r="J2470" t="s">
        <v>10782</v>
      </c>
      <c r="K2470" t="s">
        <v>20695</v>
      </c>
    </row>
    <row r="2471" spans="1:11" ht="216" x14ac:dyDescent="0.3">
      <c r="A2471" s="4" t="s">
        <v>5667</v>
      </c>
      <c r="B2471">
        <v>3</v>
      </c>
      <c r="C2471">
        <v>2021</v>
      </c>
      <c r="D2471" t="s">
        <v>217</v>
      </c>
      <c r="E2471">
        <v>10</v>
      </c>
      <c r="F2471" t="s">
        <v>20696</v>
      </c>
      <c r="G2471" t="s">
        <v>20697</v>
      </c>
      <c r="H2471" s="4" t="s">
        <v>20698</v>
      </c>
      <c r="I2471" t="s">
        <v>71</v>
      </c>
      <c r="J2471" t="s">
        <v>10782</v>
      </c>
      <c r="K2471" t="s">
        <v>20699</v>
      </c>
    </row>
    <row r="2472" spans="1:11" ht="216" x14ac:dyDescent="0.3">
      <c r="A2472" s="4" t="s">
        <v>5668</v>
      </c>
      <c r="B2472">
        <v>3</v>
      </c>
      <c r="C2472">
        <v>2021</v>
      </c>
      <c r="D2472" t="s">
        <v>550</v>
      </c>
      <c r="E2472">
        <v>3</v>
      </c>
      <c r="F2472" t="s">
        <v>20700</v>
      </c>
      <c r="G2472" t="s">
        <v>20701</v>
      </c>
      <c r="H2472" s="4" t="s">
        <v>20702</v>
      </c>
      <c r="I2472" t="s">
        <v>71</v>
      </c>
      <c r="J2472" t="s">
        <v>10782</v>
      </c>
      <c r="K2472" t="s">
        <v>20703</v>
      </c>
    </row>
    <row r="2473" spans="1:11" ht="216" x14ac:dyDescent="0.3">
      <c r="A2473" s="4" t="s">
        <v>1139</v>
      </c>
      <c r="B2473">
        <v>1</v>
      </c>
      <c r="C2473">
        <v>2021</v>
      </c>
      <c r="D2473" t="s">
        <v>704</v>
      </c>
      <c r="E2473">
        <v>111</v>
      </c>
      <c r="F2473" t="s">
        <v>20704</v>
      </c>
      <c r="G2473" t="s">
        <v>20705</v>
      </c>
      <c r="H2473" s="4" t="s">
        <v>20706</v>
      </c>
      <c r="I2473" t="s">
        <v>71</v>
      </c>
      <c r="J2473" t="s">
        <v>10782</v>
      </c>
      <c r="K2473" t="s">
        <v>20707</v>
      </c>
    </row>
    <row r="2474" spans="1:11" ht="288" x14ac:dyDescent="0.3">
      <c r="A2474" s="4" t="s">
        <v>1142</v>
      </c>
      <c r="B2474">
        <v>1</v>
      </c>
      <c r="C2474">
        <v>2021</v>
      </c>
      <c r="D2474" t="s">
        <v>1197</v>
      </c>
      <c r="E2474">
        <v>19</v>
      </c>
      <c r="F2474" t="s">
        <v>20708</v>
      </c>
      <c r="G2474" t="s">
        <v>20709</v>
      </c>
      <c r="H2474" s="4" t="s">
        <v>20710</v>
      </c>
      <c r="I2474" t="s">
        <v>10823</v>
      </c>
      <c r="J2474" t="s">
        <v>10782</v>
      </c>
      <c r="K2474" t="s">
        <v>20711</v>
      </c>
    </row>
    <row r="2475" spans="1:11" ht="216" x14ac:dyDescent="0.3">
      <c r="A2475" s="4" t="s">
        <v>5669</v>
      </c>
      <c r="B2475">
        <v>3</v>
      </c>
      <c r="C2475">
        <v>2021</v>
      </c>
      <c r="D2475" t="s">
        <v>217</v>
      </c>
      <c r="E2475">
        <v>8</v>
      </c>
      <c r="F2475" t="s">
        <v>20712</v>
      </c>
      <c r="G2475" t="s">
        <v>20713</v>
      </c>
      <c r="H2475" s="4" t="s">
        <v>20714</v>
      </c>
    </row>
    <row r="2476" spans="1:11" ht="172.8" x14ac:dyDescent="0.3">
      <c r="A2476" s="4" t="s">
        <v>2664</v>
      </c>
      <c r="B2476">
        <v>2</v>
      </c>
      <c r="C2476">
        <v>2021</v>
      </c>
      <c r="D2476" t="s">
        <v>217</v>
      </c>
      <c r="E2476">
        <v>9</v>
      </c>
      <c r="F2476" t="s">
        <v>20715</v>
      </c>
      <c r="G2476" t="s">
        <v>20716</v>
      </c>
      <c r="H2476" s="4" t="s">
        <v>20717</v>
      </c>
      <c r="I2476" t="s">
        <v>71</v>
      </c>
      <c r="J2476" t="s">
        <v>10782</v>
      </c>
      <c r="K2476" t="s">
        <v>20718</v>
      </c>
    </row>
    <row r="2477" spans="1:11" ht="57.6" x14ac:dyDescent="0.3">
      <c r="A2477" s="4" t="s">
        <v>5670</v>
      </c>
      <c r="B2477">
        <v>3</v>
      </c>
      <c r="C2477">
        <v>2021</v>
      </c>
      <c r="D2477" t="s">
        <v>1175</v>
      </c>
      <c r="E2477">
        <v>6</v>
      </c>
      <c r="F2477" t="s">
        <v>20719</v>
      </c>
      <c r="G2477" t="s">
        <v>20720</v>
      </c>
      <c r="H2477" s="4" t="s">
        <v>20721</v>
      </c>
    </row>
    <row r="2478" spans="1:11" ht="230.4" x14ac:dyDescent="0.3">
      <c r="A2478" s="4" t="s">
        <v>5671</v>
      </c>
      <c r="B2478">
        <v>3</v>
      </c>
      <c r="C2478">
        <v>2021</v>
      </c>
      <c r="D2478" t="s">
        <v>10924</v>
      </c>
      <c r="E2478">
        <v>15</v>
      </c>
      <c r="F2478" t="s">
        <v>20722</v>
      </c>
      <c r="G2478" t="s">
        <v>20723</v>
      </c>
      <c r="H2478" s="4" t="s">
        <v>20724</v>
      </c>
      <c r="I2478" t="s">
        <v>71</v>
      </c>
      <c r="J2478" t="s">
        <v>10782</v>
      </c>
      <c r="K2478" t="s">
        <v>20725</v>
      </c>
    </row>
    <row r="2479" spans="1:11" ht="172.8" x14ac:dyDescent="0.3">
      <c r="A2479" s="4" t="s">
        <v>5672</v>
      </c>
      <c r="B2479">
        <v>3</v>
      </c>
      <c r="C2479">
        <v>2021</v>
      </c>
      <c r="D2479" t="s">
        <v>20513</v>
      </c>
      <c r="E2479">
        <v>14</v>
      </c>
      <c r="F2479" t="s">
        <v>20726</v>
      </c>
      <c r="G2479" t="s">
        <v>20727</v>
      </c>
      <c r="H2479" s="4" t="s">
        <v>20728</v>
      </c>
      <c r="I2479" t="s">
        <v>71</v>
      </c>
      <c r="J2479" t="s">
        <v>10782</v>
      </c>
      <c r="K2479" t="s">
        <v>20729</v>
      </c>
    </row>
    <row r="2480" spans="1:11" ht="187.2" x14ac:dyDescent="0.3">
      <c r="A2480" s="4" t="s">
        <v>5673</v>
      </c>
      <c r="B2480">
        <v>3</v>
      </c>
      <c r="C2480">
        <v>2021</v>
      </c>
      <c r="D2480" t="s">
        <v>2819</v>
      </c>
      <c r="E2480">
        <v>8</v>
      </c>
      <c r="F2480" t="s">
        <v>20730</v>
      </c>
      <c r="G2480" t="s">
        <v>20731</v>
      </c>
      <c r="H2480" s="4" t="s">
        <v>20732</v>
      </c>
      <c r="I2480" t="s">
        <v>71</v>
      </c>
      <c r="J2480" t="s">
        <v>10782</v>
      </c>
      <c r="K2480" t="s">
        <v>20733</v>
      </c>
    </row>
    <row r="2481" spans="1:11" ht="187.2" x14ac:dyDescent="0.3">
      <c r="A2481" s="4" t="s">
        <v>3318</v>
      </c>
      <c r="B2481">
        <v>1</v>
      </c>
      <c r="C2481">
        <v>2021</v>
      </c>
      <c r="D2481" t="s">
        <v>704</v>
      </c>
      <c r="E2481">
        <v>11</v>
      </c>
      <c r="F2481" t="s">
        <v>20734</v>
      </c>
      <c r="G2481" t="s">
        <v>20735</v>
      </c>
      <c r="H2481" s="4" t="s">
        <v>20736</v>
      </c>
      <c r="I2481" t="s">
        <v>71</v>
      </c>
      <c r="J2481" t="s">
        <v>10782</v>
      </c>
      <c r="K2481" t="s">
        <v>20737</v>
      </c>
    </row>
    <row r="2482" spans="1:11" ht="259.2" x14ac:dyDescent="0.3">
      <c r="A2482" s="4" t="s">
        <v>5674</v>
      </c>
      <c r="B2482">
        <v>3</v>
      </c>
      <c r="C2482">
        <v>2021</v>
      </c>
      <c r="D2482" t="s">
        <v>10924</v>
      </c>
      <c r="E2482">
        <v>4</v>
      </c>
      <c r="F2482" t="s">
        <v>20738</v>
      </c>
      <c r="G2482" t="s">
        <v>20739</v>
      </c>
      <c r="H2482" s="4" t="s">
        <v>20740</v>
      </c>
    </row>
    <row r="2483" spans="1:11" ht="216" x14ac:dyDescent="0.3">
      <c r="A2483" s="4" t="s">
        <v>5675</v>
      </c>
      <c r="B2483">
        <v>3</v>
      </c>
      <c r="C2483">
        <v>2021</v>
      </c>
      <c r="D2483" t="s">
        <v>1175</v>
      </c>
      <c r="E2483">
        <v>5</v>
      </c>
      <c r="F2483" t="s">
        <v>20741</v>
      </c>
      <c r="G2483" t="s">
        <v>20742</v>
      </c>
      <c r="H2483" s="4" t="s">
        <v>20743</v>
      </c>
    </row>
    <row r="2484" spans="1:11" ht="216" x14ac:dyDescent="0.3">
      <c r="A2484" s="4" t="s">
        <v>5676</v>
      </c>
      <c r="B2484">
        <v>3</v>
      </c>
      <c r="C2484">
        <v>2021</v>
      </c>
      <c r="D2484" t="s">
        <v>20744</v>
      </c>
      <c r="E2484">
        <v>1</v>
      </c>
      <c r="F2484" t="s">
        <v>20745</v>
      </c>
      <c r="G2484" t="s">
        <v>20746</v>
      </c>
      <c r="H2484" s="4" t="s">
        <v>20747</v>
      </c>
    </row>
    <row r="2485" spans="1:11" ht="144" x14ac:dyDescent="0.3">
      <c r="A2485" s="4" t="s">
        <v>3319</v>
      </c>
      <c r="B2485">
        <v>1</v>
      </c>
      <c r="C2485">
        <v>2021</v>
      </c>
      <c r="D2485" t="s">
        <v>11337</v>
      </c>
      <c r="E2485">
        <v>11</v>
      </c>
      <c r="F2485" t="s">
        <v>20748</v>
      </c>
      <c r="G2485" t="s">
        <v>20749</v>
      </c>
      <c r="H2485" s="4" t="s">
        <v>20750</v>
      </c>
    </row>
    <row r="2486" spans="1:11" ht="216" x14ac:dyDescent="0.3">
      <c r="A2486" s="4" t="s">
        <v>5677</v>
      </c>
      <c r="B2486">
        <v>3</v>
      </c>
      <c r="C2486">
        <v>2021</v>
      </c>
      <c r="D2486" t="s">
        <v>318</v>
      </c>
      <c r="E2486">
        <v>35</v>
      </c>
      <c r="F2486" t="s">
        <v>20751</v>
      </c>
      <c r="G2486" t="s">
        <v>20752</v>
      </c>
      <c r="H2486" s="4" t="s">
        <v>20753</v>
      </c>
      <c r="I2486" t="s">
        <v>71</v>
      </c>
      <c r="J2486" t="s">
        <v>10782</v>
      </c>
      <c r="K2486" t="s">
        <v>20754</v>
      </c>
    </row>
    <row r="2487" spans="1:11" ht="144" x14ac:dyDescent="0.3">
      <c r="A2487" s="4" t="s">
        <v>5678</v>
      </c>
      <c r="B2487">
        <v>3</v>
      </c>
      <c r="C2487">
        <v>2021</v>
      </c>
      <c r="D2487" t="s">
        <v>817</v>
      </c>
      <c r="E2487">
        <v>10</v>
      </c>
      <c r="F2487" t="s">
        <v>20755</v>
      </c>
      <c r="G2487" t="s">
        <v>20756</v>
      </c>
      <c r="H2487" s="4" t="s">
        <v>20757</v>
      </c>
      <c r="I2487" t="s">
        <v>71</v>
      </c>
      <c r="J2487" t="s">
        <v>10782</v>
      </c>
      <c r="K2487" t="s">
        <v>20758</v>
      </c>
    </row>
    <row r="2488" spans="1:11" ht="244.8" x14ac:dyDescent="0.3">
      <c r="A2488" s="4" t="s">
        <v>5679</v>
      </c>
      <c r="B2488">
        <v>3</v>
      </c>
      <c r="C2488">
        <v>2021</v>
      </c>
      <c r="D2488" t="s">
        <v>1525</v>
      </c>
      <c r="E2488">
        <v>7</v>
      </c>
      <c r="F2488" t="s">
        <v>20759</v>
      </c>
      <c r="G2488" t="s">
        <v>20760</v>
      </c>
      <c r="H2488" s="4" t="s">
        <v>20761</v>
      </c>
      <c r="I2488" t="s">
        <v>71</v>
      </c>
      <c r="J2488" t="s">
        <v>10782</v>
      </c>
      <c r="K2488" t="s">
        <v>20762</v>
      </c>
    </row>
    <row r="2489" spans="1:11" ht="201.6" x14ac:dyDescent="0.3">
      <c r="A2489" s="4" t="s">
        <v>5680</v>
      </c>
      <c r="B2489">
        <v>3</v>
      </c>
      <c r="C2489">
        <v>2021</v>
      </c>
      <c r="D2489" t="s">
        <v>15071</v>
      </c>
      <c r="E2489">
        <v>0</v>
      </c>
      <c r="F2489" t="s">
        <v>20763</v>
      </c>
      <c r="G2489" t="s">
        <v>20764</v>
      </c>
      <c r="H2489" s="4" t="s">
        <v>20765</v>
      </c>
      <c r="I2489" t="s">
        <v>71</v>
      </c>
      <c r="J2489" t="s">
        <v>10782</v>
      </c>
      <c r="K2489" t="s">
        <v>20766</v>
      </c>
    </row>
    <row r="2490" spans="1:11" ht="172.8" x14ac:dyDescent="0.3">
      <c r="A2490" s="4" t="s">
        <v>5681</v>
      </c>
      <c r="B2490">
        <v>3</v>
      </c>
      <c r="C2490">
        <v>2021</v>
      </c>
      <c r="D2490" t="s">
        <v>1570</v>
      </c>
      <c r="E2490">
        <v>2</v>
      </c>
      <c r="F2490" t="s">
        <v>20767</v>
      </c>
      <c r="G2490" t="s">
        <v>20768</v>
      </c>
      <c r="H2490" s="4" t="s">
        <v>20769</v>
      </c>
    </row>
    <row r="2491" spans="1:11" ht="72" x14ac:dyDescent="0.3">
      <c r="A2491" s="4" t="s">
        <v>5682</v>
      </c>
      <c r="B2491">
        <v>3</v>
      </c>
      <c r="C2491">
        <v>2021</v>
      </c>
      <c r="D2491" t="s">
        <v>1175</v>
      </c>
      <c r="E2491">
        <v>1</v>
      </c>
      <c r="F2491" t="s">
        <v>20770</v>
      </c>
      <c r="G2491" t="s">
        <v>20771</v>
      </c>
      <c r="H2491" s="4" t="s">
        <v>20772</v>
      </c>
    </row>
    <row r="2492" spans="1:11" ht="216" x14ac:dyDescent="0.3">
      <c r="A2492" s="4" t="s">
        <v>5683</v>
      </c>
      <c r="B2492">
        <v>3</v>
      </c>
      <c r="C2492">
        <v>2021</v>
      </c>
      <c r="D2492" t="s">
        <v>15954</v>
      </c>
      <c r="E2492">
        <v>13</v>
      </c>
      <c r="F2492" t="s">
        <v>20773</v>
      </c>
      <c r="G2492" t="s">
        <v>20774</v>
      </c>
      <c r="H2492" s="4" t="s">
        <v>20775</v>
      </c>
      <c r="I2492" t="s">
        <v>71</v>
      </c>
      <c r="J2492" t="s">
        <v>10782</v>
      </c>
      <c r="K2492" t="s">
        <v>20776</v>
      </c>
    </row>
    <row r="2493" spans="1:11" ht="216" x14ac:dyDescent="0.3">
      <c r="A2493" s="4" t="s">
        <v>3320</v>
      </c>
      <c r="B2493">
        <v>1</v>
      </c>
      <c r="C2493">
        <v>2021</v>
      </c>
      <c r="D2493" t="s">
        <v>10057</v>
      </c>
      <c r="E2493">
        <v>70</v>
      </c>
      <c r="F2493" t="s">
        <v>20777</v>
      </c>
      <c r="G2493" t="s">
        <v>20778</v>
      </c>
      <c r="H2493" s="4" t="s">
        <v>20779</v>
      </c>
      <c r="I2493" t="s">
        <v>71</v>
      </c>
      <c r="J2493" t="s">
        <v>10782</v>
      </c>
      <c r="K2493" t="s">
        <v>20780</v>
      </c>
    </row>
    <row r="2494" spans="1:11" ht="86.4" x14ac:dyDescent="0.3">
      <c r="A2494" s="4" t="s">
        <v>5684</v>
      </c>
      <c r="B2494">
        <v>3</v>
      </c>
      <c r="C2494">
        <v>2021</v>
      </c>
      <c r="D2494" t="s">
        <v>18010</v>
      </c>
      <c r="E2494">
        <v>7</v>
      </c>
      <c r="F2494" t="s">
        <v>20781</v>
      </c>
      <c r="G2494" t="s">
        <v>20782</v>
      </c>
      <c r="H2494" s="4" t="s">
        <v>20783</v>
      </c>
      <c r="I2494" t="s">
        <v>71</v>
      </c>
      <c r="J2494" t="s">
        <v>10782</v>
      </c>
      <c r="K2494" t="s">
        <v>20784</v>
      </c>
    </row>
    <row r="2495" spans="1:11" ht="158.4" x14ac:dyDescent="0.3">
      <c r="A2495" s="4" t="s">
        <v>5685</v>
      </c>
      <c r="B2495">
        <v>3</v>
      </c>
      <c r="C2495">
        <v>2021</v>
      </c>
      <c r="D2495" t="s">
        <v>1570</v>
      </c>
      <c r="E2495">
        <v>5</v>
      </c>
      <c r="F2495" t="s">
        <v>20785</v>
      </c>
      <c r="G2495" t="s">
        <v>20786</v>
      </c>
      <c r="H2495" s="4" t="s">
        <v>20787</v>
      </c>
    </row>
    <row r="2496" spans="1:11" ht="172.8" x14ac:dyDescent="0.3">
      <c r="A2496" s="4" t="s">
        <v>5686</v>
      </c>
      <c r="B2496">
        <v>3</v>
      </c>
      <c r="C2496">
        <v>2021</v>
      </c>
      <c r="D2496" t="s">
        <v>10924</v>
      </c>
      <c r="E2496">
        <v>24</v>
      </c>
      <c r="F2496" t="s">
        <v>20788</v>
      </c>
      <c r="G2496" t="s">
        <v>20789</v>
      </c>
      <c r="H2496" s="4" t="s">
        <v>20790</v>
      </c>
      <c r="I2496" t="s">
        <v>71</v>
      </c>
      <c r="J2496" t="s">
        <v>10782</v>
      </c>
      <c r="K2496" t="s">
        <v>20791</v>
      </c>
    </row>
    <row r="2497" spans="1:11" ht="172.8" x14ac:dyDescent="0.3">
      <c r="A2497" s="4" t="s">
        <v>5687</v>
      </c>
      <c r="B2497">
        <v>3</v>
      </c>
      <c r="C2497">
        <v>2021</v>
      </c>
      <c r="D2497" t="s">
        <v>1175</v>
      </c>
      <c r="E2497">
        <v>0</v>
      </c>
      <c r="F2497" t="s">
        <v>20792</v>
      </c>
      <c r="G2497" t="s">
        <v>20793</v>
      </c>
      <c r="H2497" s="4" t="s">
        <v>20794</v>
      </c>
      <c r="I2497" t="s">
        <v>71</v>
      </c>
      <c r="J2497" t="s">
        <v>10782</v>
      </c>
      <c r="K2497" t="s">
        <v>20795</v>
      </c>
    </row>
    <row r="2498" spans="1:11" ht="129.6" x14ac:dyDescent="0.3">
      <c r="A2498" s="4" t="s">
        <v>3321</v>
      </c>
      <c r="B2498">
        <v>1</v>
      </c>
      <c r="C2498">
        <v>2021</v>
      </c>
      <c r="D2498" t="s">
        <v>1570</v>
      </c>
      <c r="E2498">
        <v>1</v>
      </c>
      <c r="F2498" t="s">
        <v>20796</v>
      </c>
      <c r="G2498" t="s">
        <v>20797</v>
      </c>
      <c r="H2498" s="4" t="s">
        <v>20798</v>
      </c>
      <c r="I2498" t="s">
        <v>71</v>
      </c>
      <c r="J2498" t="s">
        <v>10782</v>
      </c>
      <c r="K2498" t="s">
        <v>20799</v>
      </c>
    </row>
    <row r="2499" spans="1:11" ht="144" x14ac:dyDescent="0.3">
      <c r="A2499" s="4" t="s">
        <v>5688</v>
      </c>
      <c r="B2499">
        <v>3</v>
      </c>
      <c r="C2499">
        <v>2021</v>
      </c>
      <c r="D2499" t="s">
        <v>528</v>
      </c>
      <c r="E2499">
        <v>10</v>
      </c>
      <c r="F2499" t="s">
        <v>20800</v>
      </c>
      <c r="G2499" t="s">
        <v>20801</v>
      </c>
      <c r="H2499" s="4" t="s">
        <v>20802</v>
      </c>
      <c r="I2499" t="s">
        <v>71</v>
      </c>
      <c r="J2499" t="s">
        <v>10782</v>
      </c>
      <c r="K2499" t="s">
        <v>20803</v>
      </c>
    </row>
    <row r="2500" spans="1:11" ht="100.8" x14ac:dyDescent="0.3">
      <c r="A2500" s="4" t="s">
        <v>5689</v>
      </c>
      <c r="B2500">
        <v>3</v>
      </c>
      <c r="C2500">
        <v>2021</v>
      </c>
      <c r="D2500" t="s">
        <v>1175</v>
      </c>
      <c r="E2500">
        <v>7</v>
      </c>
      <c r="F2500" t="s">
        <v>20804</v>
      </c>
      <c r="G2500" t="s">
        <v>20805</v>
      </c>
      <c r="H2500" s="4" t="s">
        <v>20806</v>
      </c>
    </row>
    <row r="2501" spans="1:11" ht="230.4" x14ac:dyDescent="0.3">
      <c r="A2501" s="4" t="s">
        <v>5690</v>
      </c>
      <c r="B2501">
        <v>3</v>
      </c>
      <c r="C2501">
        <v>2021</v>
      </c>
      <c r="D2501" t="s">
        <v>19494</v>
      </c>
      <c r="E2501">
        <v>8</v>
      </c>
      <c r="F2501" t="s">
        <v>20807</v>
      </c>
      <c r="G2501" t="s">
        <v>20808</v>
      </c>
      <c r="H2501" s="4" t="s">
        <v>20809</v>
      </c>
      <c r="I2501" t="s">
        <v>71</v>
      </c>
      <c r="J2501" t="s">
        <v>10782</v>
      </c>
      <c r="K2501" t="s">
        <v>20810</v>
      </c>
    </row>
    <row r="2502" spans="1:11" ht="158.4" x14ac:dyDescent="0.3">
      <c r="A2502" s="4" t="s">
        <v>5691</v>
      </c>
      <c r="B2502">
        <v>3</v>
      </c>
      <c r="C2502">
        <v>2021</v>
      </c>
      <c r="D2502" t="s">
        <v>11839</v>
      </c>
      <c r="E2502">
        <v>7</v>
      </c>
      <c r="F2502" t="s">
        <v>20811</v>
      </c>
      <c r="G2502" t="s">
        <v>20812</v>
      </c>
      <c r="H2502" s="4" t="s">
        <v>20813</v>
      </c>
      <c r="I2502" t="s">
        <v>71</v>
      </c>
      <c r="J2502" t="s">
        <v>10782</v>
      </c>
      <c r="K2502" t="s">
        <v>20814</v>
      </c>
    </row>
    <row r="2503" spans="1:11" ht="86.4" x14ac:dyDescent="0.3">
      <c r="A2503" s="4" t="s">
        <v>5692</v>
      </c>
      <c r="B2503">
        <v>3</v>
      </c>
      <c r="C2503">
        <v>2021</v>
      </c>
      <c r="D2503" t="s">
        <v>234</v>
      </c>
      <c r="E2503">
        <v>12</v>
      </c>
      <c r="F2503" t="s">
        <v>20815</v>
      </c>
      <c r="G2503" t="s">
        <v>20816</v>
      </c>
      <c r="H2503" s="4" t="s">
        <v>20817</v>
      </c>
    </row>
    <row r="2504" spans="1:11" ht="216" x14ac:dyDescent="0.3">
      <c r="A2504" s="4" t="s">
        <v>5693</v>
      </c>
      <c r="B2504">
        <v>3</v>
      </c>
      <c r="C2504">
        <v>2021</v>
      </c>
      <c r="D2504" t="s">
        <v>14909</v>
      </c>
      <c r="E2504">
        <v>15</v>
      </c>
      <c r="F2504" t="s">
        <v>20818</v>
      </c>
      <c r="G2504" t="s">
        <v>20819</v>
      </c>
      <c r="H2504" s="4" t="s">
        <v>20820</v>
      </c>
      <c r="I2504" t="s">
        <v>71</v>
      </c>
      <c r="J2504" t="s">
        <v>10782</v>
      </c>
      <c r="K2504" t="s">
        <v>20821</v>
      </c>
    </row>
    <row r="2505" spans="1:11" ht="201.6" x14ac:dyDescent="0.3">
      <c r="A2505" s="4" t="s">
        <v>5694</v>
      </c>
      <c r="B2505">
        <v>3</v>
      </c>
      <c r="C2505">
        <v>2021</v>
      </c>
      <c r="D2505" t="s">
        <v>10072</v>
      </c>
      <c r="E2505">
        <v>6</v>
      </c>
      <c r="F2505" t="s">
        <v>20822</v>
      </c>
      <c r="G2505" t="s">
        <v>20823</v>
      </c>
      <c r="H2505" s="4" t="s">
        <v>20824</v>
      </c>
      <c r="I2505" t="s">
        <v>71</v>
      </c>
      <c r="J2505" t="s">
        <v>10782</v>
      </c>
      <c r="K2505" t="s">
        <v>20825</v>
      </c>
    </row>
    <row r="2506" spans="1:11" ht="216" x14ac:dyDescent="0.3">
      <c r="A2506" s="4" t="s">
        <v>5695</v>
      </c>
      <c r="B2506">
        <v>3</v>
      </c>
      <c r="C2506">
        <v>2021</v>
      </c>
      <c r="D2506" t="s">
        <v>80</v>
      </c>
      <c r="E2506">
        <v>10</v>
      </c>
      <c r="F2506" t="s">
        <v>20826</v>
      </c>
      <c r="G2506" t="s">
        <v>20827</v>
      </c>
      <c r="H2506" s="4" t="s">
        <v>20828</v>
      </c>
      <c r="I2506" t="s">
        <v>71</v>
      </c>
      <c r="J2506" t="s">
        <v>10782</v>
      </c>
      <c r="K2506" t="s">
        <v>20829</v>
      </c>
    </row>
    <row r="2507" spans="1:11" ht="86.4" x14ac:dyDescent="0.3">
      <c r="A2507" s="4" t="s">
        <v>5696</v>
      </c>
      <c r="B2507">
        <v>3</v>
      </c>
      <c r="C2507">
        <v>2021</v>
      </c>
      <c r="D2507" t="s">
        <v>12593</v>
      </c>
      <c r="E2507">
        <v>3</v>
      </c>
      <c r="F2507" t="s">
        <v>20830</v>
      </c>
      <c r="G2507" t="s">
        <v>20831</v>
      </c>
      <c r="H2507" s="4" t="s">
        <v>20832</v>
      </c>
    </row>
    <row r="2508" spans="1:11" ht="187.2" x14ac:dyDescent="0.3">
      <c r="A2508" s="4" t="s">
        <v>5697</v>
      </c>
      <c r="B2508">
        <v>3</v>
      </c>
      <c r="C2508">
        <v>2021</v>
      </c>
      <c r="D2508" t="s">
        <v>10825</v>
      </c>
      <c r="E2508">
        <v>13</v>
      </c>
      <c r="F2508" t="s">
        <v>20833</v>
      </c>
      <c r="G2508" t="s">
        <v>20834</v>
      </c>
      <c r="H2508" s="4" t="s">
        <v>20835</v>
      </c>
      <c r="I2508" t="s">
        <v>71</v>
      </c>
      <c r="J2508" t="s">
        <v>10782</v>
      </c>
      <c r="K2508" t="s">
        <v>20836</v>
      </c>
    </row>
    <row r="2509" spans="1:11" ht="172.8" x14ac:dyDescent="0.3">
      <c r="A2509" s="4" t="s">
        <v>5698</v>
      </c>
      <c r="B2509">
        <v>3</v>
      </c>
      <c r="C2509">
        <v>2021</v>
      </c>
      <c r="D2509" t="s">
        <v>11159</v>
      </c>
      <c r="E2509">
        <v>8</v>
      </c>
      <c r="F2509" t="s">
        <v>20837</v>
      </c>
      <c r="G2509" t="s">
        <v>20838</v>
      </c>
      <c r="H2509" s="4" t="s">
        <v>20839</v>
      </c>
      <c r="I2509" t="s">
        <v>71</v>
      </c>
      <c r="J2509" t="s">
        <v>10782</v>
      </c>
      <c r="K2509" t="s">
        <v>20840</v>
      </c>
    </row>
    <row r="2510" spans="1:11" ht="43.2" x14ac:dyDescent="0.3">
      <c r="A2510" s="4" t="s">
        <v>1143</v>
      </c>
      <c r="B2510">
        <v>1</v>
      </c>
      <c r="C2510">
        <v>2021</v>
      </c>
      <c r="D2510" t="s">
        <v>1245</v>
      </c>
      <c r="E2510">
        <v>67</v>
      </c>
      <c r="F2510" t="s">
        <v>20841</v>
      </c>
      <c r="G2510" t="s">
        <v>20842</v>
      </c>
      <c r="H2510" s="4" t="s">
        <v>20843</v>
      </c>
    </row>
    <row r="2511" spans="1:11" ht="216" x14ac:dyDescent="0.3">
      <c r="A2511" s="4" t="s">
        <v>1148</v>
      </c>
      <c r="B2511">
        <v>1</v>
      </c>
      <c r="C2511">
        <v>2021</v>
      </c>
      <c r="D2511" t="s">
        <v>704</v>
      </c>
      <c r="E2511">
        <v>26</v>
      </c>
      <c r="F2511" t="s">
        <v>20844</v>
      </c>
      <c r="G2511" t="s">
        <v>20845</v>
      </c>
      <c r="H2511" s="4" t="s">
        <v>20846</v>
      </c>
      <c r="I2511" t="s">
        <v>71</v>
      </c>
      <c r="J2511" t="s">
        <v>10782</v>
      </c>
      <c r="K2511" t="s">
        <v>20847</v>
      </c>
    </row>
    <row r="2512" spans="1:11" ht="230.4" x14ac:dyDescent="0.3">
      <c r="A2512" s="4" t="s">
        <v>5699</v>
      </c>
      <c r="B2512">
        <v>3</v>
      </c>
      <c r="C2512">
        <v>2021</v>
      </c>
      <c r="D2512" t="s">
        <v>12072</v>
      </c>
      <c r="E2512">
        <v>11</v>
      </c>
      <c r="F2512" t="s">
        <v>20848</v>
      </c>
      <c r="G2512" t="s">
        <v>20849</v>
      </c>
      <c r="H2512" s="4" t="s">
        <v>20850</v>
      </c>
      <c r="I2512" t="s">
        <v>71</v>
      </c>
      <c r="J2512" t="s">
        <v>10782</v>
      </c>
      <c r="K2512" t="s">
        <v>20851</v>
      </c>
    </row>
    <row r="2513" spans="1:11" ht="57.6" x14ac:dyDescent="0.3">
      <c r="A2513" s="4" t="s">
        <v>5700</v>
      </c>
      <c r="B2513">
        <v>3</v>
      </c>
      <c r="C2513">
        <v>2021</v>
      </c>
      <c r="D2513" t="s">
        <v>20852</v>
      </c>
      <c r="E2513">
        <v>57</v>
      </c>
      <c r="F2513" t="s">
        <v>20853</v>
      </c>
      <c r="G2513" t="s">
        <v>20854</v>
      </c>
      <c r="H2513" s="4" t="s">
        <v>20855</v>
      </c>
    </row>
    <row r="2514" spans="1:11" ht="187.2" x14ac:dyDescent="0.3">
      <c r="A2514" s="4" t="s">
        <v>5701</v>
      </c>
      <c r="B2514">
        <v>3</v>
      </c>
      <c r="C2514">
        <v>2021</v>
      </c>
      <c r="D2514" t="s">
        <v>1248</v>
      </c>
      <c r="E2514">
        <v>44</v>
      </c>
      <c r="F2514" t="s">
        <v>20856</v>
      </c>
      <c r="G2514" t="s">
        <v>20857</v>
      </c>
      <c r="H2514" s="4" t="s">
        <v>20858</v>
      </c>
      <c r="I2514" t="s">
        <v>71</v>
      </c>
      <c r="J2514" t="s">
        <v>10782</v>
      </c>
      <c r="K2514" t="s">
        <v>20859</v>
      </c>
    </row>
    <row r="2515" spans="1:11" ht="244.8" x14ac:dyDescent="0.3">
      <c r="A2515" s="4" t="s">
        <v>5702</v>
      </c>
      <c r="B2515">
        <v>3</v>
      </c>
      <c r="C2515">
        <v>2021</v>
      </c>
      <c r="D2515" t="s">
        <v>1841</v>
      </c>
      <c r="E2515">
        <v>11</v>
      </c>
      <c r="F2515" t="s">
        <v>20860</v>
      </c>
      <c r="G2515" t="s">
        <v>20861</v>
      </c>
      <c r="H2515" s="4" t="s">
        <v>20862</v>
      </c>
      <c r="I2515" t="s">
        <v>71</v>
      </c>
      <c r="J2515" t="s">
        <v>10782</v>
      </c>
      <c r="K2515" t="s">
        <v>20863</v>
      </c>
    </row>
    <row r="2516" spans="1:11" ht="172.8" x14ac:dyDescent="0.3">
      <c r="A2516" s="4" t="s">
        <v>5703</v>
      </c>
      <c r="B2516">
        <v>3</v>
      </c>
      <c r="C2516">
        <v>2021</v>
      </c>
      <c r="D2516" t="s">
        <v>11466</v>
      </c>
      <c r="E2516">
        <v>9</v>
      </c>
      <c r="F2516" t="s">
        <v>20864</v>
      </c>
      <c r="G2516" t="s">
        <v>20865</v>
      </c>
      <c r="H2516" s="4" t="s">
        <v>20866</v>
      </c>
      <c r="I2516" t="s">
        <v>71</v>
      </c>
      <c r="J2516" t="s">
        <v>10782</v>
      </c>
      <c r="K2516" t="s">
        <v>20867</v>
      </c>
    </row>
    <row r="2517" spans="1:11" ht="129.6" x14ac:dyDescent="0.3">
      <c r="A2517" s="4" t="s">
        <v>5704</v>
      </c>
      <c r="B2517">
        <v>3</v>
      </c>
      <c r="C2517">
        <v>2021</v>
      </c>
      <c r="D2517" t="s">
        <v>1175</v>
      </c>
      <c r="E2517">
        <v>5</v>
      </c>
      <c r="F2517" t="s">
        <v>20868</v>
      </c>
      <c r="G2517" t="s">
        <v>20869</v>
      </c>
      <c r="H2517" s="4" t="s">
        <v>20870</v>
      </c>
      <c r="I2517" t="s">
        <v>71</v>
      </c>
      <c r="J2517" t="s">
        <v>10782</v>
      </c>
      <c r="K2517" t="s">
        <v>20871</v>
      </c>
    </row>
    <row r="2518" spans="1:11" ht="187.2" x14ac:dyDescent="0.3">
      <c r="A2518" s="4" t="s">
        <v>5705</v>
      </c>
      <c r="B2518">
        <v>3</v>
      </c>
      <c r="C2518">
        <v>2021</v>
      </c>
      <c r="D2518" t="s">
        <v>1125</v>
      </c>
      <c r="E2518">
        <v>14</v>
      </c>
      <c r="F2518" t="s">
        <v>20872</v>
      </c>
      <c r="G2518" t="s">
        <v>20873</v>
      </c>
      <c r="H2518" s="4" t="s">
        <v>20874</v>
      </c>
      <c r="I2518" t="s">
        <v>10945</v>
      </c>
      <c r="J2518" t="s">
        <v>10782</v>
      </c>
      <c r="K2518" t="s">
        <v>20875</v>
      </c>
    </row>
    <row r="2519" spans="1:11" ht="57.6" x14ac:dyDescent="0.3">
      <c r="A2519" s="4" t="s">
        <v>5706</v>
      </c>
      <c r="B2519">
        <v>3</v>
      </c>
      <c r="C2519">
        <v>2021</v>
      </c>
      <c r="D2519" t="s">
        <v>83</v>
      </c>
      <c r="E2519">
        <v>12</v>
      </c>
      <c r="F2519" t="s">
        <v>20876</v>
      </c>
      <c r="G2519" t="s">
        <v>20877</v>
      </c>
      <c r="H2519" s="4" t="s">
        <v>20878</v>
      </c>
    </row>
    <row r="2520" spans="1:11" ht="115.2" x14ac:dyDescent="0.3">
      <c r="A2520" s="4" t="s">
        <v>5707</v>
      </c>
      <c r="B2520">
        <v>3</v>
      </c>
      <c r="C2520">
        <v>2021</v>
      </c>
      <c r="D2520" t="s">
        <v>20879</v>
      </c>
      <c r="E2520">
        <v>6</v>
      </c>
      <c r="F2520" t="s">
        <v>20880</v>
      </c>
      <c r="G2520" t="s">
        <v>20881</v>
      </c>
      <c r="H2520" s="4" t="s">
        <v>20882</v>
      </c>
      <c r="I2520" t="s">
        <v>71</v>
      </c>
      <c r="J2520" t="s">
        <v>10782</v>
      </c>
      <c r="K2520" t="s">
        <v>20883</v>
      </c>
    </row>
    <row r="2521" spans="1:11" ht="216" x14ac:dyDescent="0.3">
      <c r="A2521" s="4" t="s">
        <v>5708</v>
      </c>
      <c r="B2521">
        <v>3</v>
      </c>
      <c r="C2521">
        <v>2021</v>
      </c>
      <c r="D2521" t="s">
        <v>11783</v>
      </c>
      <c r="E2521">
        <v>60</v>
      </c>
      <c r="F2521" t="s">
        <v>20884</v>
      </c>
      <c r="G2521" t="s">
        <v>20885</v>
      </c>
      <c r="H2521" s="4" t="s">
        <v>20886</v>
      </c>
      <c r="I2521" t="s">
        <v>71</v>
      </c>
      <c r="J2521" t="s">
        <v>10782</v>
      </c>
      <c r="K2521" t="s">
        <v>20887</v>
      </c>
    </row>
    <row r="2522" spans="1:11" ht="201.6" x14ac:dyDescent="0.3">
      <c r="A2522" s="4" t="s">
        <v>1149</v>
      </c>
      <c r="B2522">
        <v>1</v>
      </c>
      <c r="C2522">
        <v>2021</v>
      </c>
      <c r="D2522" t="s">
        <v>622</v>
      </c>
      <c r="E2522">
        <v>70</v>
      </c>
      <c r="F2522" t="s">
        <v>20888</v>
      </c>
      <c r="G2522" t="s">
        <v>20889</v>
      </c>
      <c r="H2522" s="4" t="s">
        <v>20890</v>
      </c>
      <c r="I2522" t="s">
        <v>71</v>
      </c>
      <c r="J2522" t="s">
        <v>10782</v>
      </c>
      <c r="K2522" t="s">
        <v>20891</v>
      </c>
    </row>
    <row r="2523" spans="1:11" ht="187.2" x14ac:dyDescent="0.3">
      <c r="A2523" s="4" t="s">
        <v>5709</v>
      </c>
      <c r="B2523">
        <v>3</v>
      </c>
      <c r="C2523">
        <v>2021</v>
      </c>
      <c r="D2523" t="s">
        <v>80</v>
      </c>
      <c r="E2523">
        <v>16</v>
      </c>
      <c r="F2523" t="s">
        <v>20892</v>
      </c>
      <c r="G2523" t="s">
        <v>20893</v>
      </c>
      <c r="H2523" s="4" t="s">
        <v>20894</v>
      </c>
      <c r="I2523" t="s">
        <v>71</v>
      </c>
      <c r="J2523" t="s">
        <v>10782</v>
      </c>
      <c r="K2523" t="s">
        <v>20895</v>
      </c>
    </row>
    <row r="2524" spans="1:11" ht="216" x14ac:dyDescent="0.3">
      <c r="A2524" s="4" t="s">
        <v>5710</v>
      </c>
      <c r="B2524">
        <v>3</v>
      </c>
      <c r="C2524">
        <v>2021</v>
      </c>
      <c r="D2524" t="s">
        <v>627</v>
      </c>
      <c r="E2524">
        <v>50</v>
      </c>
      <c r="F2524" t="s">
        <v>20896</v>
      </c>
      <c r="G2524" t="s">
        <v>20897</v>
      </c>
      <c r="H2524" s="4" t="s">
        <v>20898</v>
      </c>
    </row>
    <row r="2525" spans="1:11" ht="244.8" x14ac:dyDescent="0.3">
      <c r="A2525" s="4" t="s">
        <v>5711</v>
      </c>
      <c r="B2525">
        <v>3</v>
      </c>
      <c r="C2525">
        <v>2021</v>
      </c>
      <c r="D2525" t="s">
        <v>83</v>
      </c>
      <c r="E2525">
        <v>15</v>
      </c>
      <c r="F2525" t="s">
        <v>20899</v>
      </c>
      <c r="G2525" t="s">
        <v>20900</v>
      </c>
      <c r="H2525" s="4" t="s">
        <v>20901</v>
      </c>
      <c r="I2525" t="s">
        <v>71</v>
      </c>
      <c r="J2525" t="s">
        <v>10782</v>
      </c>
      <c r="K2525" t="s">
        <v>20902</v>
      </c>
    </row>
    <row r="2526" spans="1:11" ht="172.8" x14ac:dyDescent="0.3">
      <c r="A2526" s="4" t="s">
        <v>3322</v>
      </c>
      <c r="B2526">
        <v>1</v>
      </c>
      <c r="C2526">
        <v>2021</v>
      </c>
      <c r="D2526" t="s">
        <v>1802</v>
      </c>
      <c r="E2526">
        <v>7</v>
      </c>
      <c r="F2526" t="s">
        <v>20903</v>
      </c>
      <c r="G2526" t="s">
        <v>20904</v>
      </c>
      <c r="H2526" s="4" t="s">
        <v>20905</v>
      </c>
      <c r="I2526" t="s">
        <v>71</v>
      </c>
      <c r="J2526" t="s">
        <v>10782</v>
      </c>
      <c r="K2526" t="s">
        <v>20906</v>
      </c>
    </row>
    <row r="2527" spans="1:11" ht="172.8" x14ac:dyDescent="0.3">
      <c r="A2527" s="4" t="s">
        <v>5712</v>
      </c>
      <c r="B2527">
        <v>3</v>
      </c>
      <c r="C2527">
        <v>2021</v>
      </c>
      <c r="D2527" t="s">
        <v>20907</v>
      </c>
      <c r="E2527">
        <v>4</v>
      </c>
      <c r="F2527" t="s">
        <v>20908</v>
      </c>
      <c r="G2527" t="s">
        <v>20909</v>
      </c>
      <c r="H2527" s="4" t="s">
        <v>20910</v>
      </c>
    </row>
    <row r="2528" spans="1:11" ht="158.4" x14ac:dyDescent="0.3">
      <c r="A2528" s="4" t="s">
        <v>5713</v>
      </c>
      <c r="B2528">
        <v>3</v>
      </c>
      <c r="C2528">
        <v>2021</v>
      </c>
      <c r="D2528" t="s">
        <v>1836</v>
      </c>
      <c r="E2528">
        <v>6</v>
      </c>
      <c r="F2528" t="s">
        <v>20911</v>
      </c>
      <c r="G2528" t="s">
        <v>20912</v>
      </c>
      <c r="H2528" s="4" t="s">
        <v>20913</v>
      </c>
      <c r="I2528" t="s">
        <v>71</v>
      </c>
      <c r="J2528" t="s">
        <v>10782</v>
      </c>
      <c r="K2528" t="s">
        <v>20914</v>
      </c>
    </row>
    <row r="2529" spans="1:11" ht="129.6" x14ac:dyDescent="0.3">
      <c r="A2529" s="4" t="s">
        <v>5714</v>
      </c>
      <c r="B2529">
        <v>3</v>
      </c>
      <c r="C2529">
        <v>2021</v>
      </c>
      <c r="D2529" t="s">
        <v>147</v>
      </c>
      <c r="E2529">
        <v>4</v>
      </c>
      <c r="F2529" t="s">
        <v>20915</v>
      </c>
      <c r="G2529" t="s">
        <v>20916</v>
      </c>
      <c r="H2529" s="4" t="s">
        <v>20917</v>
      </c>
      <c r="I2529" t="s">
        <v>71</v>
      </c>
      <c r="J2529" t="s">
        <v>10782</v>
      </c>
      <c r="K2529" t="s">
        <v>20918</v>
      </c>
    </row>
    <row r="2530" spans="1:11" ht="100.8" x14ac:dyDescent="0.3">
      <c r="A2530" s="4" t="s">
        <v>5715</v>
      </c>
      <c r="B2530">
        <v>3</v>
      </c>
      <c r="C2530">
        <v>2021</v>
      </c>
      <c r="D2530" t="s">
        <v>11310</v>
      </c>
      <c r="E2530">
        <v>33</v>
      </c>
      <c r="F2530" t="s">
        <v>20919</v>
      </c>
      <c r="G2530" t="s">
        <v>20920</v>
      </c>
      <c r="H2530" s="4" t="s">
        <v>20921</v>
      </c>
    </row>
    <row r="2531" spans="1:11" ht="187.2" x14ac:dyDescent="0.3">
      <c r="A2531" s="4" t="s">
        <v>3323</v>
      </c>
      <c r="B2531">
        <v>1</v>
      </c>
      <c r="C2531">
        <v>2021</v>
      </c>
      <c r="D2531" t="s">
        <v>405</v>
      </c>
      <c r="E2531">
        <v>52</v>
      </c>
      <c r="F2531" t="s">
        <v>20922</v>
      </c>
      <c r="G2531" t="s">
        <v>20923</v>
      </c>
      <c r="H2531" s="4" t="s">
        <v>20924</v>
      </c>
      <c r="I2531" t="s">
        <v>71</v>
      </c>
      <c r="J2531" t="s">
        <v>10782</v>
      </c>
      <c r="K2531" t="s">
        <v>20925</v>
      </c>
    </row>
    <row r="2532" spans="1:11" ht="259.2" x14ac:dyDescent="0.3">
      <c r="A2532" s="4" t="s">
        <v>5716</v>
      </c>
      <c r="B2532">
        <v>3</v>
      </c>
      <c r="C2532">
        <v>2021</v>
      </c>
      <c r="D2532" t="s">
        <v>1912</v>
      </c>
      <c r="E2532">
        <v>15</v>
      </c>
      <c r="F2532" t="s">
        <v>20926</v>
      </c>
      <c r="G2532" t="s">
        <v>20927</v>
      </c>
      <c r="H2532" s="4" t="s">
        <v>20928</v>
      </c>
      <c r="I2532" t="s">
        <v>71</v>
      </c>
      <c r="J2532" t="s">
        <v>10782</v>
      </c>
      <c r="K2532" t="s">
        <v>20929</v>
      </c>
    </row>
    <row r="2533" spans="1:11" ht="172.8" x14ac:dyDescent="0.3">
      <c r="A2533" s="4" t="s">
        <v>3548</v>
      </c>
      <c r="B2533">
        <v>2</v>
      </c>
      <c r="C2533">
        <v>2021</v>
      </c>
      <c r="D2533" t="s">
        <v>478</v>
      </c>
      <c r="E2533">
        <v>7</v>
      </c>
      <c r="F2533" t="s">
        <v>20930</v>
      </c>
      <c r="G2533" t="s">
        <v>20931</v>
      </c>
      <c r="H2533" s="4" t="s">
        <v>20932</v>
      </c>
      <c r="I2533" t="s">
        <v>71</v>
      </c>
      <c r="J2533" t="s">
        <v>10782</v>
      </c>
      <c r="K2533" t="s">
        <v>20933</v>
      </c>
    </row>
    <row r="2534" spans="1:11" ht="144" x14ac:dyDescent="0.3">
      <c r="A2534" s="4" t="s">
        <v>5717</v>
      </c>
      <c r="B2534">
        <v>3</v>
      </c>
      <c r="C2534">
        <v>2021</v>
      </c>
      <c r="D2534" t="s">
        <v>637</v>
      </c>
      <c r="E2534">
        <v>16</v>
      </c>
      <c r="F2534" t="s">
        <v>20934</v>
      </c>
      <c r="G2534" t="s">
        <v>20935</v>
      </c>
      <c r="H2534" s="4" t="s">
        <v>20936</v>
      </c>
      <c r="I2534" t="s">
        <v>71</v>
      </c>
      <c r="J2534" t="s">
        <v>10782</v>
      </c>
      <c r="K2534" t="s">
        <v>20937</v>
      </c>
    </row>
    <row r="2535" spans="1:11" ht="244.8" x14ac:dyDescent="0.3">
      <c r="A2535" s="4" t="s">
        <v>5718</v>
      </c>
      <c r="B2535">
        <v>3</v>
      </c>
      <c r="C2535">
        <v>2021</v>
      </c>
      <c r="D2535" t="s">
        <v>10924</v>
      </c>
      <c r="E2535">
        <v>14</v>
      </c>
      <c r="F2535" t="s">
        <v>20938</v>
      </c>
      <c r="G2535" t="s">
        <v>20939</v>
      </c>
      <c r="H2535" s="4" t="s">
        <v>20940</v>
      </c>
      <c r="I2535" t="s">
        <v>71</v>
      </c>
      <c r="J2535" t="s">
        <v>10782</v>
      </c>
      <c r="K2535" t="s">
        <v>20941</v>
      </c>
    </row>
    <row r="2536" spans="1:11" ht="172.8" x14ac:dyDescent="0.3">
      <c r="A2536" s="4" t="s">
        <v>3549</v>
      </c>
      <c r="B2536">
        <v>2</v>
      </c>
      <c r="C2536">
        <v>2021</v>
      </c>
      <c r="D2536" t="s">
        <v>2361</v>
      </c>
      <c r="E2536">
        <v>27</v>
      </c>
      <c r="F2536" t="s">
        <v>20942</v>
      </c>
      <c r="G2536" t="s">
        <v>20943</v>
      </c>
      <c r="H2536" s="4" t="s">
        <v>20944</v>
      </c>
    </row>
    <row r="2537" spans="1:11" ht="172.8" x14ac:dyDescent="0.3">
      <c r="A2537" s="4" t="s">
        <v>2665</v>
      </c>
      <c r="B2537">
        <v>2</v>
      </c>
      <c r="C2537">
        <v>2021</v>
      </c>
      <c r="D2537" t="s">
        <v>147</v>
      </c>
      <c r="E2537">
        <v>86</v>
      </c>
      <c r="F2537" t="s">
        <v>20945</v>
      </c>
      <c r="G2537" t="s">
        <v>20946</v>
      </c>
      <c r="H2537" s="4" t="s">
        <v>20947</v>
      </c>
      <c r="I2537" t="s">
        <v>71</v>
      </c>
      <c r="J2537" t="s">
        <v>10782</v>
      </c>
      <c r="K2537" t="s">
        <v>20948</v>
      </c>
    </row>
    <row r="2538" spans="1:11" ht="158.4" x14ac:dyDescent="0.3">
      <c r="A2538" s="4" t="s">
        <v>5719</v>
      </c>
      <c r="B2538">
        <v>3</v>
      </c>
      <c r="C2538">
        <v>2021</v>
      </c>
      <c r="D2538" t="s">
        <v>11159</v>
      </c>
      <c r="E2538">
        <v>32</v>
      </c>
      <c r="F2538" t="s">
        <v>20949</v>
      </c>
      <c r="G2538" t="s">
        <v>20950</v>
      </c>
      <c r="H2538" s="4" t="s">
        <v>20951</v>
      </c>
      <c r="I2538" t="s">
        <v>71</v>
      </c>
      <c r="J2538" t="s">
        <v>10782</v>
      </c>
      <c r="K2538" t="s">
        <v>20952</v>
      </c>
    </row>
    <row r="2539" spans="1:11" ht="43.2" x14ac:dyDescent="0.3">
      <c r="A2539" s="4" t="s">
        <v>5720</v>
      </c>
      <c r="B2539">
        <v>3</v>
      </c>
      <c r="C2539">
        <v>2021</v>
      </c>
      <c r="D2539" t="s">
        <v>482</v>
      </c>
      <c r="E2539">
        <v>17</v>
      </c>
      <c r="F2539" t="s">
        <v>20953</v>
      </c>
      <c r="G2539" t="s">
        <v>20954</v>
      </c>
      <c r="H2539" s="4" t="s">
        <v>20955</v>
      </c>
    </row>
    <row r="2540" spans="1:11" ht="158.4" x14ac:dyDescent="0.3">
      <c r="A2540" s="4" t="s">
        <v>3550</v>
      </c>
      <c r="B2540">
        <v>2</v>
      </c>
      <c r="C2540">
        <v>2021</v>
      </c>
      <c r="D2540" t="s">
        <v>398</v>
      </c>
      <c r="E2540">
        <v>13</v>
      </c>
      <c r="F2540" t="s">
        <v>20956</v>
      </c>
      <c r="G2540" t="s">
        <v>20957</v>
      </c>
      <c r="H2540" s="4" t="s">
        <v>20958</v>
      </c>
      <c r="I2540" t="s">
        <v>71</v>
      </c>
      <c r="J2540" t="s">
        <v>10782</v>
      </c>
      <c r="K2540" t="s">
        <v>20959</v>
      </c>
    </row>
    <row r="2541" spans="1:11" ht="158.4" x14ac:dyDescent="0.3">
      <c r="A2541" s="4" t="s">
        <v>5721</v>
      </c>
      <c r="B2541">
        <v>3</v>
      </c>
      <c r="C2541">
        <v>2021</v>
      </c>
      <c r="D2541" t="s">
        <v>14736</v>
      </c>
      <c r="E2541">
        <v>29</v>
      </c>
      <c r="F2541" t="s">
        <v>20960</v>
      </c>
      <c r="G2541" t="s">
        <v>20961</v>
      </c>
      <c r="H2541" s="4" t="s">
        <v>20962</v>
      </c>
      <c r="I2541" t="s">
        <v>71</v>
      </c>
      <c r="J2541" t="s">
        <v>10782</v>
      </c>
      <c r="K2541" t="s">
        <v>20963</v>
      </c>
    </row>
    <row r="2542" spans="1:11" ht="288" x14ac:dyDescent="0.3">
      <c r="A2542" s="4" t="s">
        <v>5722</v>
      </c>
      <c r="B2542">
        <v>3</v>
      </c>
      <c r="C2542">
        <v>2021</v>
      </c>
      <c r="D2542" t="s">
        <v>10057</v>
      </c>
      <c r="E2542">
        <v>29</v>
      </c>
      <c r="F2542" t="s">
        <v>20964</v>
      </c>
      <c r="G2542" t="s">
        <v>20965</v>
      </c>
      <c r="H2542" s="4" t="s">
        <v>20966</v>
      </c>
      <c r="I2542" t="s">
        <v>71</v>
      </c>
      <c r="J2542" t="s">
        <v>10782</v>
      </c>
      <c r="K2542" t="s">
        <v>20967</v>
      </c>
    </row>
    <row r="2543" spans="1:11" ht="129.6" x14ac:dyDescent="0.3">
      <c r="A2543" s="4" t="s">
        <v>5723</v>
      </c>
      <c r="B2543">
        <v>3</v>
      </c>
      <c r="C2543">
        <v>2021</v>
      </c>
      <c r="D2543" t="s">
        <v>1426</v>
      </c>
      <c r="E2543">
        <v>57</v>
      </c>
      <c r="F2543" t="s">
        <v>20968</v>
      </c>
      <c r="G2543" t="s">
        <v>20969</v>
      </c>
      <c r="H2543" s="4" t="s">
        <v>20970</v>
      </c>
      <c r="I2543" t="s">
        <v>71</v>
      </c>
      <c r="J2543" t="s">
        <v>10782</v>
      </c>
      <c r="K2543" t="s">
        <v>20971</v>
      </c>
    </row>
    <row r="2544" spans="1:11" ht="216" x14ac:dyDescent="0.3">
      <c r="A2544" s="4" t="s">
        <v>5724</v>
      </c>
      <c r="B2544">
        <v>3</v>
      </c>
      <c r="C2544">
        <v>2021</v>
      </c>
      <c r="D2544" t="s">
        <v>637</v>
      </c>
      <c r="E2544">
        <v>6</v>
      </c>
      <c r="F2544" t="s">
        <v>20972</v>
      </c>
      <c r="G2544" t="s">
        <v>20973</v>
      </c>
      <c r="H2544" s="4" t="s">
        <v>20974</v>
      </c>
      <c r="I2544" t="s">
        <v>71</v>
      </c>
      <c r="J2544" t="s">
        <v>10782</v>
      </c>
      <c r="K2544" t="s">
        <v>20975</v>
      </c>
    </row>
    <row r="2545" spans="1:11" ht="216" x14ac:dyDescent="0.3">
      <c r="A2545" s="4" t="s">
        <v>1150</v>
      </c>
      <c r="B2545">
        <v>1</v>
      </c>
      <c r="C2545">
        <v>2021</v>
      </c>
      <c r="D2545" t="s">
        <v>318</v>
      </c>
      <c r="E2545">
        <v>52</v>
      </c>
      <c r="F2545" t="s">
        <v>20976</v>
      </c>
      <c r="G2545" t="s">
        <v>20977</v>
      </c>
      <c r="H2545" s="4" t="s">
        <v>20978</v>
      </c>
      <c r="I2545" t="s">
        <v>71</v>
      </c>
      <c r="J2545" t="s">
        <v>10782</v>
      </c>
      <c r="K2545" t="s">
        <v>20979</v>
      </c>
    </row>
    <row r="2546" spans="1:11" ht="187.2" x14ac:dyDescent="0.3">
      <c r="A2546" s="4" t="s">
        <v>5725</v>
      </c>
      <c r="B2546">
        <v>3</v>
      </c>
      <c r="C2546">
        <v>2021</v>
      </c>
      <c r="D2546" t="s">
        <v>363</v>
      </c>
      <c r="E2546">
        <v>14</v>
      </c>
      <c r="F2546" t="s">
        <v>20980</v>
      </c>
      <c r="G2546" t="s">
        <v>20981</v>
      </c>
      <c r="H2546" s="4" t="s">
        <v>20982</v>
      </c>
      <c r="I2546" t="s">
        <v>71</v>
      </c>
      <c r="J2546" t="s">
        <v>10782</v>
      </c>
      <c r="K2546" t="s">
        <v>20983</v>
      </c>
    </row>
    <row r="2547" spans="1:11" ht="259.2" x14ac:dyDescent="0.3">
      <c r="A2547" s="4" t="s">
        <v>5726</v>
      </c>
      <c r="B2547">
        <v>3</v>
      </c>
      <c r="C2547">
        <v>2021</v>
      </c>
      <c r="D2547" t="s">
        <v>637</v>
      </c>
      <c r="E2547">
        <v>14</v>
      </c>
      <c r="F2547" t="s">
        <v>20984</v>
      </c>
      <c r="G2547" t="s">
        <v>20985</v>
      </c>
      <c r="H2547" s="4" t="s">
        <v>20986</v>
      </c>
      <c r="I2547" t="s">
        <v>71</v>
      </c>
      <c r="J2547" t="s">
        <v>10782</v>
      </c>
      <c r="K2547" t="s">
        <v>20987</v>
      </c>
    </row>
    <row r="2548" spans="1:11" ht="172.8" x14ac:dyDescent="0.3">
      <c r="A2548" s="4" t="s">
        <v>5727</v>
      </c>
      <c r="B2548">
        <v>3</v>
      </c>
      <c r="C2548">
        <v>2021</v>
      </c>
      <c r="D2548" t="s">
        <v>11310</v>
      </c>
      <c r="E2548">
        <v>12</v>
      </c>
      <c r="F2548" t="s">
        <v>20988</v>
      </c>
      <c r="G2548" t="s">
        <v>20989</v>
      </c>
      <c r="H2548" s="4" t="s">
        <v>20990</v>
      </c>
      <c r="I2548" t="s">
        <v>71</v>
      </c>
      <c r="J2548" t="s">
        <v>10782</v>
      </c>
      <c r="K2548" t="s">
        <v>20991</v>
      </c>
    </row>
    <row r="2549" spans="1:11" ht="144" x14ac:dyDescent="0.3">
      <c r="A2549" s="4" t="s">
        <v>5728</v>
      </c>
      <c r="B2549">
        <v>3</v>
      </c>
      <c r="C2549">
        <v>2021</v>
      </c>
      <c r="D2549" t="s">
        <v>528</v>
      </c>
      <c r="E2549">
        <v>80</v>
      </c>
      <c r="F2549" t="s">
        <v>20992</v>
      </c>
      <c r="G2549" t="s">
        <v>20993</v>
      </c>
      <c r="H2549" s="4" t="s">
        <v>20994</v>
      </c>
      <c r="I2549" t="s">
        <v>10823</v>
      </c>
      <c r="J2549" t="s">
        <v>10782</v>
      </c>
      <c r="K2549" t="s">
        <v>20995</v>
      </c>
    </row>
    <row r="2550" spans="1:11" ht="115.2" x14ac:dyDescent="0.3">
      <c r="A2550" s="4" t="s">
        <v>5729</v>
      </c>
      <c r="B2550">
        <v>3</v>
      </c>
      <c r="C2550">
        <v>2021</v>
      </c>
      <c r="D2550" t="s">
        <v>1426</v>
      </c>
      <c r="E2550">
        <v>90</v>
      </c>
      <c r="F2550" t="s">
        <v>20996</v>
      </c>
      <c r="G2550" t="s">
        <v>20997</v>
      </c>
      <c r="H2550" s="4" t="s">
        <v>20998</v>
      </c>
      <c r="I2550" t="s">
        <v>71</v>
      </c>
      <c r="J2550" t="s">
        <v>10782</v>
      </c>
      <c r="K2550" t="s">
        <v>20999</v>
      </c>
    </row>
    <row r="2551" spans="1:11" ht="172.8" x14ac:dyDescent="0.3">
      <c r="A2551" s="4" t="s">
        <v>5730</v>
      </c>
      <c r="B2551">
        <v>3</v>
      </c>
      <c r="C2551">
        <v>2021</v>
      </c>
      <c r="D2551" t="s">
        <v>724</v>
      </c>
      <c r="E2551">
        <v>6</v>
      </c>
      <c r="F2551" t="s">
        <v>21000</v>
      </c>
      <c r="G2551" t="s">
        <v>21001</v>
      </c>
      <c r="H2551" s="4" t="s">
        <v>21002</v>
      </c>
      <c r="I2551" t="s">
        <v>71</v>
      </c>
      <c r="J2551" t="s">
        <v>10782</v>
      </c>
      <c r="K2551" t="s">
        <v>21003</v>
      </c>
    </row>
    <row r="2552" spans="1:11" ht="172.8" x14ac:dyDescent="0.3">
      <c r="A2552" s="4" t="s">
        <v>5731</v>
      </c>
      <c r="B2552">
        <v>3</v>
      </c>
      <c r="C2552">
        <v>2021</v>
      </c>
      <c r="D2552" t="s">
        <v>1002</v>
      </c>
      <c r="E2552">
        <v>10</v>
      </c>
      <c r="F2552" t="s">
        <v>21004</v>
      </c>
      <c r="G2552" t="s">
        <v>21005</v>
      </c>
      <c r="H2552" s="4" t="s">
        <v>21006</v>
      </c>
      <c r="I2552" t="s">
        <v>71</v>
      </c>
      <c r="J2552" t="s">
        <v>10782</v>
      </c>
      <c r="K2552" t="s">
        <v>21007</v>
      </c>
    </row>
    <row r="2553" spans="1:11" ht="187.2" x14ac:dyDescent="0.3">
      <c r="A2553" s="4" t="s">
        <v>5732</v>
      </c>
      <c r="B2553">
        <v>3</v>
      </c>
      <c r="C2553">
        <v>2021</v>
      </c>
      <c r="D2553" t="s">
        <v>21008</v>
      </c>
      <c r="E2553">
        <v>13</v>
      </c>
      <c r="F2553" t="s">
        <v>21009</v>
      </c>
      <c r="G2553" t="s">
        <v>21010</v>
      </c>
      <c r="H2553" s="4" t="s">
        <v>21011</v>
      </c>
      <c r="I2553" t="s">
        <v>10823</v>
      </c>
      <c r="J2553" t="s">
        <v>10782</v>
      </c>
      <c r="K2553" t="s">
        <v>21012</v>
      </c>
    </row>
    <row r="2554" spans="1:11" ht="216" x14ac:dyDescent="0.3">
      <c r="A2554" s="4" t="s">
        <v>3324</v>
      </c>
      <c r="B2554">
        <v>1</v>
      </c>
      <c r="C2554">
        <v>2021</v>
      </c>
      <c r="D2554" t="s">
        <v>14052</v>
      </c>
      <c r="E2554">
        <v>23</v>
      </c>
      <c r="F2554" t="s">
        <v>21013</v>
      </c>
      <c r="G2554" t="s">
        <v>21014</v>
      </c>
      <c r="H2554" s="4" t="s">
        <v>21015</v>
      </c>
    </row>
    <row r="2555" spans="1:11" ht="244.8" x14ac:dyDescent="0.3">
      <c r="A2555" s="4" t="s">
        <v>5733</v>
      </c>
      <c r="B2555">
        <v>3</v>
      </c>
      <c r="C2555">
        <v>2021</v>
      </c>
      <c r="D2555" t="s">
        <v>14909</v>
      </c>
      <c r="E2555">
        <v>18</v>
      </c>
      <c r="F2555" t="s">
        <v>21016</v>
      </c>
      <c r="G2555" t="s">
        <v>21017</v>
      </c>
      <c r="H2555" s="4" t="s">
        <v>21018</v>
      </c>
      <c r="I2555" t="s">
        <v>71</v>
      </c>
      <c r="J2555" t="s">
        <v>10782</v>
      </c>
      <c r="K2555" t="s">
        <v>21019</v>
      </c>
    </row>
    <row r="2556" spans="1:11" ht="172.8" x14ac:dyDescent="0.3">
      <c r="A2556" s="4" t="s">
        <v>5734</v>
      </c>
      <c r="B2556">
        <v>3</v>
      </c>
      <c r="C2556">
        <v>2021</v>
      </c>
      <c r="D2556" t="s">
        <v>10825</v>
      </c>
      <c r="E2556">
        <v>14</v>
      </c>
      <c r="F2556" t="s">
        <v>21020</v>
      </c>
      <c r="G2556" t="s">
        <v>21021</v>
      </c>
      <c r="H2556" s="4" t="s">
        <v>21022</v>
      </c>
      <c r="I2556" t="s">
        <v>71</v>
      </c>
      <c r="J2556" t="s">
        <v>10782</v>
      </c>
      <c r="K2556" t="s">
        <v>21023</v>
      </c>
    </row>
    <row r="2557" spans="1:11" ht="43.2" x14ac:dyDescent="0.3">
      <c r="A2557" s="4" t="s">
        <v>5735</v>
      </c>
      <c r="B2557">
        <v>3</v>
      </c>
      <c r="C2557">
        <v>2021</v>
      </c>
      <c r="D2557" t="s">
        <v>1770</v>
      </c>
      <c r="E2557">
        <v>12</v>
      </c>
      <c r="F2557" t="s">
        <v>21024</v>
      </c>
      <c r="G2557" t="s">
        <v>21025</v>
      </c>
      <c r="H2557" s="4" t="s">
        <v>21026</v>
      </c>
    </row>
    <row r="2558" spans="1:11" ht="43.2" x14ac:dyDescent="0.3">
      <c r="A2558" s="4" t="s">
        <v>5736</v>
      </c>
      <c r="B2558">
        <v>3</v>
      </c>
      <c r="C2558">
        <v>2021</v>
      </c>
      <c r="D2558" t="s">
        <v>21027</v>
      </c>
      <c r="E2558">
        <v>23</v>
      </c>
      <c r="F2558" t="s">
        <v>21028</v>
      </c>
      <c r="G2558" t="s">
        <v>21029</v>
      </c>
      <c r="H2558" s="4" t="s">
        <v>21030</v>
      </c>
    </row>
    <row r="2559" spans="1:11" ht="129.6" x14ac:dyDescent="0.3">
      <c r="A2559" s="4" t="s">
        <v>3551</v>
      </c>
      <c r="B2559">
        <v>2</v>
      </c>
      <c r="C2559">
        <v>2021</v>
      </c>
      <c r="D2559" t="s">
        <v>2416</v>
      </c>
      <c r="E2559">
        <v>7</v>
      </c>
      <c r="F2559" t="s">
        <v>21031</v>
      </c>
      <c r="G2559" t="s">
        <v>21032</v>
      </c>
      <c r="H2559" s="4" t="s">
        <v>21033</v>
      </c>
      <c r="I2559" t="s">
        <v>71</v>
      </c>
      <c r="J2559" t="s">
        <v>10782</v>
      </c>
      <c r="K2559" t="s">
        <v>21034</v>
      </c>
    </row>
    <row r="2560" spans="1:11" ht="129.6" x14ac:dyDescent="0.3">
      <c r="A2560" s="4" t="s">
        <v>5737</v>
      </c>
      <c r="B2560">
        <v>3</v>
      </c>
      <c r="C2560">
        <v>2021</v>
      </c>
      <c r="D2560" t="s">
        <v>329</v>
      </c>
      <c r="E2560">
        <v>4</v>
      </c>
      <c r="F2560" t="s">
        <v>21035</v>
      </c>
      <c r="G2560" t="s">
        <v>21036</v>
      </c>
      <c r="H2560" s="4" t="s">
        <v>21037</v>
      </c>
      <c r="I2560" t="s">
        <v>71</v>
      </c>
      <c r="J2560" t="s">
        <v>10782</v>
      </c>
      <c r="K2560" t="s">
        <v>21038</v>
      </c>
    </row>
    <row r="2561" spans="1:11" ht="302.39999999999998" x14ac:dyDescent="0.3">
      <c r="A2561" s="4" t="s">
        <v>5738</v>
      </c>
      <c r="B2561">
        <v>3</v>
      </c>
      <c r="C2561">
        <v>2021</v>
      </c>
      <c r="D2561" t="s">
        <v>11159</v>
      </c>
      <c r="E2561">
        <v>7</v>
      </c>
      <c r="F2561" t="s">
        <v>21039</v>
      </c>
      <c r="G2561" t="s">
        <v>21040</v>
      </c>
      <c r="H2561" s="4" t="s">
        <v>21041</v>
      </c>
      <c r="I2561" t="s">
        <v>71</v>
      </c>
      <c r="J2561" t="s">
        <v>10782</v>
      </c>
      <c r="K2561" t="s">
        <v>21042</v>
      </c>
    </row>
    <row r="2562" spans="1:11" ht="201.6" x14ac:dyDescent="0.3">
      <c r="A2562" s="4" t="s">
        <v>5739</v>
      </c>
      <c r="B2562">
        <v>3</v>
      </c>
      <c r="C2562">
        <v>2021</v>
      </c>
      <c r="D2562" t="s">
        <v>21043</v>
      </c>
      <c r="E2562">
        <v>11</v>
      </c>
      <c r="F2562" t="s">
        <v>21044</v>
      </c>
      <c r="G2562" t="s">
        <v>21045</v>
      </c>
      <c r="H2562" s="4" t="s">
        <v>21046</v>
      </c>
    </row>
    <row r="2563" spans="1:11" ht="86.4" x14ac:dyDescent="0.3">
      <c r="A2563" s="4" t="s">
        <v>5740</v>
      </c>
      <c r="B2563">
        <v>3</v>
      </c>
      <c r="C2563">
        <v>2021</v>
      </c>
      <c r="D2563" t="s">
        <v>1438</v>
      </c>
      <c r="E2563">
        <v>1</v>
      </c>
      <c r="F2563" t="s">
        <v>21047</v>
      </c>
      <c r="G2563" t="s">
        <v>21048</v>
      </c>
      <c r="H2563" s="4" t="s">
        <v>21049</v>
      </c>
    </row>
    <row r="2564" spans="1:11" ht="187.2" x14ac:dyDescent="0.3">
      <c r="A2564" s="4" t="s">
        <v>5741</v>
      </c>
      <c r="B2564">
        <v>3</v>
      </c>
      <c r="C2564">
        <v>2021</v>
      </c>
      <c r="D2564" t="s">
        <v>405</v>
      </c>
      <c r="E2564">
        <v>41</v>
      </c>
      <c r="F2564" t="s">
        <v>21050</v>
      </c>
      <c r="G2564" t="s">
        <v>21051</v>
      </c>
      <c r="H2564" s="4" t="s">
        <v>21052</v>
      </c>
      <c r="I2564" t="s">
        <v>71</v>
      </c>
      <c r="J2564" t="s">
        <v>10782</v>
      </c>
      <c r="K2564" t="s">
        <v>21053</v>
      </c>
    </row>
    <row r="2565" spans="1:11" ht="158.4" x14ac:dyDescent="0.3">
      <c r="A2565" s="4" t="s">
        <v>5742</v>
      </c>
      <c r="B2565">
        <v>3</v>
      </c>
      <c r="C2565">
        <v>2021</v>
      </c>
      <c r="D2565" t="s">
        <v>202</v>
      </c>
      <c r="E2565">
        <v>71</v>
      </c>
      <c r="F2565" t="s">
        <v>21054</v>
      </c>
      <c r="G2565" t="s">
        <v>21055</v>
      </c>
      <c r="H2565" s="4" t="s">
        <v>21056</v>
      </c>
      <c r="I2565" t="s">
        <v>71</v>
      </c>
      <c r="J2565" t="s">
        <v>10782</v>
      </c>
      <c r="K2565" t="s">
        <v>21057</v>
      </c>
    </row>
    <row r="2566" spans="1:11" ht="115.2" x14ac:dyDescent="0.3">
      <c r="A2566" s="4" t="s">
        <v>5743</v>
      </c>
      <c r="B2566">
        <v>3</v>
      </c>
      <c r="C2566">
        <v>2021</v>
      </c>
      <c r="D2566" t="s">
        <v>1836</v>
      </c>
      <c r="E2566">
        <v>13</v>
      </c>
      <c r="F2566" t="s">
        <v>21058</v>
      </c>
      <c r="G2566" t="s">
        <v>21059</v>
      </c>
      <c r="H2566" s="4" t="s">
        <v>21060</v>
      </c>
      <c r="I2566" t="s">
        <v>71</v>
      </c>
      <c r="J2566" t="s">
        <v>10782</v>
      </c>
      <c r="K2566" t="s">
        <v>21061</v>
      </c>
    </row>
    <row r="2567" spans="1:11" ht="187.2" x14ac:dyDescent="0.3">
      <c r="A2567" s="4" t="s">
        <v>5744</v>
      </c>
      <c r="B2567">
        <v>3</v>
      </c>
      <c r="C2567">
        <v>2021</v>
      </c>
      <c r="D2567" t="s">
        <v>2819</v>
      </c>
      <c r="E2567">
        <v>9</v>
      </c>
      <c r="F2567" t="s">
        <v>21062</v>
      </c>
      <c r="G2567" t="s">
        <v>21063</v>
      </c>
      <c r="H2567" s="4" t="s">
        <v>21064</v>
      </c>
      <c r="I2567" t="s">
        <v>71</v>
      </c>
      <c r="J2567" t="s">
        <v>10782</v>
      </c>
      <c r="K2567" t="s">
        <v>21065</v>
      </c>
    </row>
    <row r="2568" spans="1:11" ht="187.2" x14ac:dyDescent="0.3">
      <c r="A2568" s="4" t="s">
        <v>5745</v>
      </c>
      <c r="B2568">
        <v>3</v>
      </c>
      <c r="C2568">
        <v>2021</v>
      </c>
      <c r="D2568" t="s">
        <v>318</v>
      </c>
      <c r="E2568">
        <v>179</v>
      </c>
      <c r="F2568" t="s">
        <v>21066</v>
      </c>
      <c r="G2568" t="s">
        <v>21067</v>
      </c>
      <c r="H2568" s="4" t="s">
        <v>21068</v>
      </c>
      <c r="I2568" t="s">
        <v>71</v>
      </c>
      <c r="J2568" t="s">
        <v>10782</v>
      </c>
      <c r="K2568" t="s">
        <v>21069</v>
      </c>
    </row>
    <row r="2569" spans="1:11" ht="259.2" x14ac:dyDescent="0.3">
      <c r="A2569" s="4" t="s">
        <v>5746</v>
      </c>
      <c r="B2569">
        <v>3</v>
      </c>
      <c r="C2569">
        <v>2021</v>
      </c>
      <c r="D2569" t="s">
        <v>892</v>
      </c>
      <c r="E2569">
        <v>6</v>
      </c>
      <c r="F2569" t="s">
        <v>21070</v>
      </c>
      <c r="G2569" t="s">
        <v>21071</v>
      </c>
      <c r="H2569" s="4" t="s">
        <v>21072</v>
      </c>
      <c r="I2569" t="s">
        <v>71</v>
      </c>
      <c r="J2569" t="s">
        <v>10782</v>
      </c>
      <c r="K2569" t="s">
        <v>21073</v>
      </c>
    </row>
    <row r="2570" spans="1:11" ht="230.4" x14ac:dyDescent="0.3">
      <c r="A2570" s="4" t="s">
        <v>5747</v>
      </c>
      <c r="B2570">
        <v>3</v>
      </c>
      <c r="C2570">
        <v>2021</v>
      </c>
      <c r="D2570" t="s">
        <v>1849</v>
      </c>
      <c r="E2570">
        <v>21</v>
      </c>
      <c r="F2570" t="s">
        <v>21074</v>
      </c>
      <c r="G2570" t="s">
        <v>21075</v>
      </c>
      <c r="H2570" s="4" t="s">
        <v>21076</v>
      </c>
      <c r="I2570" t="s">
        <v>71</v>
      </c>
      <c r="J2570" t="s">
        <v>10782</v>
      </c>
      <c r="K2570" t="s">
        <v>21077</v>
      </c>
    </row>
    <row r="2571" spans="1:11" ht="201.6" x14ac:dyDescent="0.3">
      <c r="A2571" s="4" t="s">
        <v>3325</v>
      </c>
      <c r="B2571">
        <v>1</v>
      </c>
      <c r="C2571">
        <v>2021</v>
      </c>
      <c r="D2571" t="s">
        <v>1438</v>
      </c>
      <c r="E2571">
        <v>15</v>
      </c>
      <c r="F2571" t="s">
        <v>21078</v>
      </c>
      <c r="G2571" t="s">
        <v>21079</v>
      </c>
      <c r="H2571" s="4" t="s">
        <v>21080</v>
      </c>
      <c r="I2571" t="s">
        <v>71</v>
      </c>
      <c r="J2571" t="s">
        <v>10782</v>
      </c>
      <c r="K2571" t="s">
        <v>21081</v>
      </c>
    </row>
    <row r="2572" spans="1:11" ht="302.39999999999998" x14ac:dyDescent="0.3">
      <c r="A2572" s="4" t="s">
        <v>5748</v>
      </c>
      <c r="B2572">
        <v>3</v>
      </c>
      <c r="C2572">
        <v>2021</v>
      </c>
      <c r="D2572" t="s">
        <v>329</v>
      </c>
      <c r="E2572">
        <v>3</v>
      </c>
      <c r="F2572" t="s">
        <v>21082</v>
      </c>
      <c r="G2572" t="s">
        <v>21083</v>
      </c>
      <c r="H2572" s="4" t="s">
        <v>21084</v>
      </c>
      <c r="I2572" t="s">
        <v>71</v>
      </c>
      <c r="J2572" t="s">
        <v>10782</v>
      </c>
      <c r="K2572" t="s">
        <v>21085</v>
      </c>
    </row>
    <row r="2573" spans="1:11" ht="216" x14ac:dyDescent="0.3">
      <c r="A2573" s="4" t="s">
        <v>5749</v>
      </c>
      <c r="B2573">
        <v>3</v>
      </c>
      <c r="C2573">
        <v>2021</v>
      </c>
      <c r="D2573" t="s">
        <v>637</v>
      </c>
      <c r="E2573">
        <v>29</v>
      </c>
      <c r="F2573" t="s">
        <v>21086</v>
      </c>
      <c r="G2573" t="s">
        <v>21087</v>
      </c>
      <c r="H2573" s="4" t="s">
        <v>21088</v>
      </c>
      <c r="I2573" t="s">
        <v>71</v>
      </c>
      <c r="J2573" t="s">
        <v>10782</v>
      </c>
      <c r="K2573" t="s">
        <v>21089</v>
      </c>
    </row>
    <row r="2574" spans="1:11" ht="115.2" x14ac:dyDescent="0.3">
      <c r="A2574" s="4" t="s">
        <v>2666</v>
      </c>
      <c r="B2574">
        <v>2</v>
      </c>
      <c r="C2574">
        <v>2021</v>
      </c>
      <c r="D2574" t="s">
        <v>1175</v>
      </c>
      <c r="E2574">
        <v>17</v>
      </c>
      <c r="F2574" t="s">
        <v>21090</v>
      </c>
      <c r="G2574" t="s">
        <v>21091</v>
      </c>
      <c r="H2574" s="4" t="s">
        <v>21092</v>
      </c>
      <c r="I2574" t="s">
        <v>71</v>
      </c>
      <c r="J2574" t="s">
        <v>10782</v>
      </c>
      <c r="K2574" t="s">
        <v>21093</v>
      </c>
    </row>
    <row r="2575" spans="1:11" ht="158.4" x14ac:dyDescent="0.3">
      <c r="A2575" s="4" t="s">
        <v>5750</v>
      </c>
      <c r="B2575">
        <v>3</v>
      </c>
      <c r="C2575">
        <v>2021</v>
      </c>
      <c r="D2575" t="s">
        <v>202</v>
      </c>
      <c r="E2575">
        <v>20</v>
      </c>
      <c r="F2575" t="s">
        <v>21094</v>
      </c>
      <c r="G2575" t="s">
        <v>21095</v>
      </c>
      <c r="H2575" s="4" t="s">
        <v>21096</v>
      </c>
      <c r="I2575" t="s">
        <v>71</v>
      </c>
      <c r="J2575" t="s">
        <v>10782</v>
      </c>
      <c r="K2575" t="s">
        <v>21097</v>
      </c>
    </row>
    <row r="2576" spans="1:11" ht="273.60000000000002" x14ac:dyDescent="0.3">
      <c r="A2576" s="4" t="s">
        <v>5751</v>
      </c>
      <c r="B2576">
        <v>3</v>
      </c>
      <c r="C2576">
        <v>2021</v>
      </c>
      <c r="D2576" t="s">
        <v>21098</v>
      </c>
      <c r="E2576">
        <v>24</v>
      </c>
      <c r="F2576" t="s">
        <v>21099</v>
      </c>
      <c r="G2576" t="s">
        <v>21100</v>
      </c>
      <c r="H2576" s="4" t="s">
        <v>21101</v>
      </c>
      <c r="I2576" t="s">
        <v>71</v>
      </c>
      <c r="J2576" t="s">
        <v>10782</v>
      </c>
      <c r="K2576" t="s">
        <v>21102</v>
      </c>
    </row>
    <row r="2577" spans="1:11" ht="129.6" x14ac:dyDescent="0.3">
      <c r="A2577" s="4" t="s">
        <v>5752</v>
      </c>
      <c r="B2577">
        <v>3</v>
      </c>
      <c r="C2577">
        <v>2021</v>
      </c>
      <c r="D2577" t="s">
        <v>21103</v>
      </c>
      <c r="E2577">
        <v>10</v>
      </c>
      <c r="F2577" t="s">
        <v>21104</v>
      </c>
      <c r="G2577" t="s">
        <v>21105</v>
      </c>
      <c r="H2577" s="4" t="s">
        <v>21106</v>
      </c>
      <c r="I2577" t="s">
        <v>71</v>
      </c>
      <c r="J2577" t="s">
        <v>10782</v>
      </c>
      <c r="K2577" t="s">
        <v>21107</v>
      </c>
    </row>
    <row r="2578" spans="1:11" ht="158.4" x14ac:dyDescent="0.3">
      <c r="A2578" s="4" t="s">
        <v>5753</v>
      </c>
      <c r="B2578">
        <v>3</v>
      </c>
      <c r="C2578">
        <v>2021</v>
      </c>
      <c r="D2578" t="s">
        <v>11741</v>
      </c>
      <c r="E2578">
        <v>25</v>
      </c>
      <c r="F2578" t="s">
        <v>21108</v>
      </c>
      <c r="G2578" t="s">
        <v>21109</v>
      </c>
      <c r="H2578" s="4" t="s">
        <v>21110</v>
      </c>
      <c r="I2578" t="s">
        <v>71</v>
      </c>
      <c r="J2578" t="s">
        <v>10782</v>
      </c>
      <c r="K2578" t="s">
        <v>21111</v>
      </c>
    </row>
    <row r="2579" spans="1:11" ht="129.6" x14ac:dyDescent="0.3">
      <c r="A2579" s="4" t="s">
        <v>5754</v>
      </c>
      <c r="B2579">
        <v>3</v>
      </c>
      <c r="C2579">
        <v>2021</v>
      </c>
      <c r="D2579" t="s">
        <v>147</v>
      </c>
      <c r="E2579">
        <v>5</v>
      </c>
      <c r="F2579" t="s">
        <v>21112</v>
      </c>
      <c r="G2579" t="s">
        <v>21113</v>
      </c>
      <c r="H2579" s="4" t="s">
        <v>21114</v>
      </c>
    </row>
    <row r="2580" spans="1:11" ht="144" x14ac:dyDescent="0.3">
      <c r="A2580" s="4" t="s">
        <v>5755</v>
      </c>
      <c r="B2580">
        <v>3</v>
      </c>
      <c r="C2580">
        <v>2021</v>
      </c>
      <c r="D2580" t="s">
        <v>12000</v>
      </c>
      <c r="E2580">
        <v>2</v>
      </c>
      <c r="F2580" t="s">
        <v>21115</v>
      </c>
      <c r="G2580" t="s">
        <v>21116</v>
      </c>
      <c r="H2580" s="4" t="s">
        <v>21117</v>
      </c>
      <c r="I2580" t="s">
        <v>71</v>
      </c>
      <c r="J2580" t="s">
        <v>10782</v>
      </c>
      <c r="K2580" t="s">
        <v>21118</v>
      </c>
    </row>
    <row r="2581" spans="1:11" ht="187.2" x14ac:dyDescent="0.3">
      <c r="A2581" s="4" t="s">
        <v>5756</v>
      </c>
      <c r="B2581">
        <v>3</v>
      </c>
      <c r="C2581">
        <v>2021</v>
      </c>
      <c r="D2581" t="s">
        <v>11159</v>
      </c>
      <c r="E2581">
        <v>20</v>
      </c>
      <c r="F2581" t="s">
        <v>21119</v>
      </c>
      <c r="G2581" t="s">
        <v>21120</v>
      </c>
      <c r="H2581" s="4" t="s">
        <v>21121</v>
      </c>
      <c r="I2581" t="s">
        <v>71</v>
      </c>
      <c r="J2581" t="s">
        <v>10782</v>
      </c>
      <c r="K2581" t="s">
        <v>21122</v>
      </c>
    </row>
    <row r="2582" spans="1:11" ht="144" x14ac:dyDescent="0.3">
      <c r="A2582" s="4" t="s">
        <v>5757</v>
      </c>
      <c r="B2582">
        <v>3</v>
      </c>
      <c r="C2582">
        <v>2021</v>
      </c>
      <c r="D2582" t="s">
        <v>21123</v>
      </c>
      <c r="E2582">
        <v>3</v>
      </c>
      <c r="F2582" t="s">
        <v>21124</v>
      </c>
      <c r="G2582" t="s">
        <v>21125</v>
      </c>
      <c r="H2582" s="4" t="s">
        <v>21126</v>
      </c>
      <c r="I2582" t="s">
        <v>71</v>
      </c>
      <c r="J2582" t="s">
        <v>10782</v>
      </c>
      <c r="K2582" t="s">
        <v>21127</v>
      </c>
    </row>
    <row r="2583" spans="1:11" ht="172.8" x14ac:dyDescent="0.3">
      <c r="A2583" s="4" t="s">
        <v>5758</v>
      </c>
      <c r="B2583">
        <v>3</v>
      </c>
      <c r="C2583">
        <v>2021</v>
      </c>
      <c r="D2583" t="s">
        <v>817</v>
      </c>
      <c r="E2583">
        <v>3</v>
      </c>
      <c r="F2583" t="s">
        <v>21128</v>
      </c>
      <c r="G2583" t="s">
        <v>21129</v>
      </c>
      <c r="H2583" s="4" t="s">
        <v>21130</v>
      </c>
      <c r="I2583" t="s">
        <v>71</v>
      </c>
      <c r="J2583" t="s">
        <v>10782</v>
      </c>
      <c r="K2583" t="s">
        <v>21131</v>
      </c>
    </row>
    <row r="2584" spans="1:11" ht="187.2" x14ac:dyDescent="0.3">
      <c r="A2584" s="4" t="s">
        <v>5759</v>
      </c>
      <c r="B2584">
        <v>3</v>
      </c>
      <c r="C2584">
        <v>2021</v>
      </c>
      <c r="D2584" t="s">
        <v>17524</v>
      </c>
      <c r="E2584">
        <v>1</v>
      </c>
      <c r="F2584" t="s">
        <v>21132</v>
      </c>
      <c r="G2584" t="s">
        <v>21133</v>
      </c>
      <c r="H2584" s="4" t="s">
        <v>21134</v>
      </c>
      <c r="I2584" t="s">
        <v>71</v>
      </c>
      <c r="J2584" t="s">
        <v>10782</v>
      </c>
      <c r="K2584" t="s">
        <v>21135</v>
      </c>
    </row>
    <row r="2585" spans="1:11" ht="230.4" x14ac:dyDescent="0.3">
      <c r="A2585" s="4" t="s">
        <v>5760</v>
      </c>
      <c r="B2585">
        <v>3</v>
      </c>
      <c r="C2585">
        <v>2021</v>
      </c>
      <c r="D2585" t="s">
        <v>1125</v>
      </c>
      <c r="E2585">
        <v>11</v>
      </c>
      <c r="F2585" t="s">
        <v>21136</v>
      </c>
      <c r="G2585" t="s">
        <v>21137</v>
      </c>
      <c r="H2585" s="4" t="s">
        <v>21138</v>
      </c>
      <c r="I2585" t="s">
        <v>10945</v>
      </c>
      <c r="J2585" t="s">
        <v>10782</v>
      </c>
      <c r="K2585" t="s">
        <v>21139</v>
      </c>
    </row>
    <row r="2586" spans="1:11" ht="187.2" x14ac:dyDescent="0.3">
      <c r="A2586" s="4" t="s">
        <v>3552</v>
      </c>
      <c r="B2586">
        <v>2</v>
      </c>
      <c r="C2586">
        <v>2021</v>
      </c>
      <c r="D2586" t="s">
        <v>21140</v>
      </c>
      <c r="E2586">
        <v>60</v>
      </c>
      <c r="F2586" t="s">
        <v>21141</v>
      </c>
      <c r="G2586" t="s">
        <v>21142</v>
      </c>
      <c r="H2586" s="4" t="s">
        <v>21143</v>
      </c>
      <c r="I2586" t="s">
        <v>71</v>
      </c>
      <c r="J2586" t="s">
        <v>10782</v>
      </c>
      <c r="K2586" t="s">
        <v>21144</v>
      </c>
    </row>
    <row r="2587" spans="1:11" ht="216" x14ac:dyDescent="0.3">
      <c r="A2587" s="4" t="s">
        <v>1155</v>
      </c>
      <c r="B2587">
        <v>1</v>
      </c>
      <c r="C2587">
        <v>2021</v>
      </c>
      <c r="D2587" t="s">
        <v>1248</v>
      </c>
      <c r="E2587">
        <v>13</v>
      </c>
      <c r="F2587" t="s">
        <v>21145</v>
      </c>
      <c r="G2587" t="s">
        <v>21146</v>
      </c>
      <c r="H2587" s="4" t="s">
        <v>21147</v>
      </c>
      <c r="I2587" t="s">
        <v>71</v>
      </c>
      <c r="J2587" t="s">
        <v>10782</v>
      </c>
      <c r="K2587" t="s">
        <v>21148</v>
      </c>
    </row>
    <row r="2588" spans="1:11" ht="158.4" x14ac:dyDescent="0.3">
      <c r="A2588" s="4" t="s">
        <v>2667</v>
      </c>
      <c r="B2588">
        <v>2</v>
      </c>
      <c r="C2588">
        <v>2021</v>
      </c>
      <c r="D2588" t="s">
        <v>329</v>
      </c>
      <c r="E2588">
        <v>39</v>
      </c>
      <c r="F2588" t="s">
        <v>21149</v>
      </c>
      <c r="G2588" t="s">
        <v>21150</v>
      </c>
      <c r="H2588" s="4" t="s">
        <v>21151</v>
      </c>
      <c r="I2588" t="s">
        <v>71</v>
      </c>
      <c r="J2588" t="s">
        <v>10782</v>
      </c>
      <c r="K2588" t="s">
        <v>21152</v>
      </c>
    </row>
    <row r="2589" spans="1:11" ht="100.8" x14ac:dyDescent="0.3">
      <c r="A2589" s="4" t="s">
        <v>5761</v>
      </c>
      <c r="B2589">
        <v>3</v>
      </c>
      <c r="C2589">
        <v>2021</v>
      </c>
      <c r="D2589" t="s">
        <v>1570</v>
      </c>
      <c r="E2589">
        <v>1</v>
      </c>
      <c r="F2589" t="s">
        <v>21153</v>
      </c>
      <c r="G2589" t="s">
        <v>21154</v>
      </c>
      <c r="H2589" s="4" t="s">
        <v>21155</v>
      </c>
      <c r="I2589" t="s">
        <v>71</v>
      </c>
      <c r="J2589" t="s">
        <v>10782</v>
      </c>
      <c r="K2589" t="s">
        <v>21156</v>
      </c>
    </row>
    <row r="2590" spans="1:11" ht="259.2" x14ac:dyDescent="0.3">
      <c r="A2590" s="4" t="s">
        <v>5762</v>
      </c>
      <c r="B2590">
        <v>3</v>
      </c>
      <c r="C2590">
        <v>2021</v>
      </c>
      <c r="D2590" t="s">
        <v>1912</v>
      </c>
      <c r="E2590">
        <v>8</v>
      </c>
      <c r="F2590" t="s">
        <v>21157</v>
      </c>
      <c r="G2590" t="s">
        <v>21158</v>
      </c>
      <c r="H2590" s="4" t="s">
        <v>21159</v>
      </c>
      <c r="I2590" t="s">
        <v>71</v>
      </c>
      <c r="J2590" t="s">
        <v>10782</v>
      </c>
      <c r="K2590" t="s">
        <v>21160</v>
      </c>
    </row>
    <row r="2591" spans="1:11" ht="100.8" x14ac:dyDescent="0.3">
      <c r="A2591" s="4" t="s">
        <v>5763</v>
      </c>
      <c r="B2591">
        <v>3</v>
      </c>
      <c r="C2591">
        <v>2021</v>
      </c>
      <c r="D2591" t="s">
        <v>1125</v>
      </c>
      <c r="E2591">
        <v>6</v>
      </c>
      <c r="F2591" t="s">
        <v>21161</v>
      </c>
      <c r="G2591" t="s">
        <v>21162</v>
      </c>
      <c r="H2591" s="4" t="s">
        <v>21163</v>
      </c>
    </row>
    <row r="2592" spans="1:11" ht="244.8" x14ac:dyDescent="0.3">
      <c r="A2592" s="4" t="s">
        <v>5764</v>
      </c>
      <c r="B2592">
        <v>3</v>
      </c>
      <c r="C2592">
        <v>2021</v>
      </c>
      <c r="D2592" t="s">
        <v>637</v>
      </c>
      <c r="E2592">
        <v>10</v>
      </c>
      <c r="F2592" t="s">
        <v>21164</v>
      </c>
      <c r="G2592" t="s">
        <v>21165</v>
      </c>
      <c r="H2592" s="4" t="s">
        <v>21166</v>
      </c>
      <c r="I2592" t="s">
        <v>71</v>
      </c>
      <c r="J2592" t="s">
        <v>10782</v>
      </c>
      <c r="K2592" t="s">
        <v>21167</v>
      </c>
    </row>
    <row r="2593" spans="1:11" ht="201.6" x14ac:dyDescent="0.3">
      <c r="A2593" s="4" t="s">
        <v>5765</v>
      </c>
      <c r="B2593">
        <v>3</v>
      </c>
      <c r="C2593">
        <v>2021</v>
      </c>
      <c r="D2593" t="s">
        <v>811</v>
      </c>
      <c r="E2593">
        <v>10</v>
      </c>
      <c r="F2593" t="s">
        <v>21168</v>
      </c>
      <c r="G2593" t="s">
        <v>21169</v>
      </c>
      <c r="H2593" s="4" t="s">
        <v>21170</v>
      </c>
      <c r="I2593" t="s">
        <v>71</v>
      </c>
      <c r="J2593" t="s">
        <v>10782</v>
      </c>
      <c r="K2593" t="s">
        <v>21171</v>
      </c>
    </row>
    <row r="2594" spans="1:11" ht="158.4" x14ac:dyDescent="0.3">
      <c r="A2594" s="4" t="s">
        <v>5766</v>
      </c>
      <c r="B2594">
        <v>3</v>
      </c>
      <c r="C2594">
        <v>2021</v>
      </c>
      <c r="D2594" t="s">
        <v>363</v>
      </c>
      <c r="E2594">
        <v>3</v>
      </c>
      <c r="F2594" t="s">
        <v>21172</v>
      </c>
      <c r="G2594" t="s">
        <v>21173</v>
      </c>
      <c r="H2594" s="4" t="s">
        <v>21174</v>
      </c>
      <c r="I2594" t="s">
        <v>71</v>
      </c>
      <c r="J2594" t="s">
        <v>10782</v>
      </c>
      <c r="K2594" t="s">
        <v>21175</v>
      </c>
    </row>
    <row r="2595" spans="1:11" ht="86.4" x14ac:dyDescent="0.3">
      <c r="A2595" s="4" t="s">
        <v>3326</v>
      </c>
      <c r="B2595">
        <v>1</v>
      </c>
      <c r="C2595">
        <v>2021</v>
      </c>
      <c r="D2595" t="s">
        <v>329</v>
      </c>
      <c r="E2595">
        <v>37</v>
      </c>
      <c r="F2595" t="s">
        <v>21176</v>
      </c>
      <c r="G2595" t="s">
        <v>21177</v>
      </c>
      <c r="H2595" s="4" t="s">
        <v>21178</v>
      </c>
    </row>
    <row r="2596" spans="1:11" ht="187.2" x14ac:dyDescent="0.3">
      <c r="A2596" s="4" t="s">
        <v>1156</v>
      </c>
      <c r="B2596">
        <v>1</v>
      </c>
      <c r="C2596">
        <v>2021</v>
      </c>
      <c r="D2596" t="s">
        <v>1231</v>
      </c>
      <c r="E2596">
        <v>2</v>
      </c>
      <c r="F2596" t="s">
        <v>21179</v>
      </c>
      <c r="G2596" t="s">
        <v>21180</v>
      </c>
      <c r="H2596" s="4" t="s">
        <v>21181</v>
      </c>
      <c r="I2596" t="s">
        <v>71</v>
      </c>
      <c r="J2596" t="s">
        <v>10782</v>
      </c>
      <c r="K2596" t="s">
        <v>21182</v>
      </c>
    </row>
    <row r="2597" spans="1:11" ht="187.2" x14ac:dyDescent="0.3">
      <c r="A2597" s="4" t="s">
        <v>5767</v>
      </c>
      <c r="B2597">
        <v>3</v>
      </c>
      <c r="C2597">
        <v>2021</v>
      </c>
      <c r="D2597" t="s">
        <v>11556</v>
      </c>
      <c r="E2597">
        <v>34</v>
      </c>
      <c r="F2597" t="s">
        <v>21183</v>
      </c>
      <c r="G2597" t="s">
        <v>21184</v>
      </c>
      <c r="H2597" s="4" t="s">
        <v>21185</v>
      </c>
      <c r="I2597" t="s">
        <v>71</v>
      </c>
      <c r="J2597" t="s">
        <v>10782</v>
      </c>
      <c r="K2597" t="s">
        <v>21186</v>
      </c>
    </row>
    <row r="2598" spans="1:11" ht="187.2" x14ac:dyDescent="0.3">
      <c r="A2598" s="4" t="s">
        <v>3327</v>
      </c>
      <c r="B2598">
        <v>1</v>
      </c>
      <c r="C2598">
        <v>2021</v>
      </c>
      <c r="D2598" t="s">
        <v>14346</v>
      </c>
      <c r="E2598">
        <v>41</v>
      </c>
      <c r="F2598" t="s">
        <v>21187</v>
      </c>
      <c r="G2598" t="s">
        <v>21188</v>
      </c>
      <c r="H2598" s="4" t="s">
        <v>21189</v>
      </c>
      <c r="I2598" t="s">
        <v>71</v>
      </c>
      <c r="J2598" t="s">
        <v>10782</v>
      </c>
      <c r="K2598" t="s">
        <v>21190</v>
      </c>
    </row>
    <row r="2599" spans="1:11" ht="187.2" x14ac:dyDescent="0.3">
      <c r="A2599" s="4" t="s">
        <v>5768</v>
      </c>
      <c r="B2599">
        <v>3</v>
      </c>
      <c r="C2599">
        <v>2021</v>
      </c>
      <c r="D2599" t="s">
        <v>1912</v>
      </c>
      <c r="E2599">
        <v>13</v>
      </c>
      <c r="F2599" t="s">
        <v>21191</v>
      </c>
      <c r="G2599" t="s">
        <v>21192</v>
      </c>
      <c r="H2599" s="4" t="s">
        <v>21193</v>
      </c>
      <c r="I2599" t="s">
        <v>71</v>
      </c>
      <c r="J2599" t="s">
        <v>10782</v>
      </c>
      <c r="K2599" t="s">
        <v>21194</v>
      </c>
    </row>
    <row r="2600" spans="1:11" ht="288" x14ac:dyDescent="0.3">
      <c r="A2600" s="4" t="s">
        <v>5769</v>
      </c>
      <c r="B2600">
        <v>3</v>
      </c>
      <c r="C2600">
        <v>2021</v>
      </c>
      <c r="D2600" t="s">
        <v>11711</v>
      </c>
      <c r="E2600">
        <v>1</v>
      </c>
      <c r="F2600" t="s">
        <v>21195</v>
      </c>
      <c r="G2600" t="s">
        <v>21196</v>
      </c>
      <c r="H2600" s="4" t="s">
        <v>21197</v>
      </c>
      <c r="I2600" t="s">
        <v>71</v>
      </c>
      <c r="J2600" t="s">
        <v>10782</v>
      </c>
      <c r="K2600" t="s">
        <v>21198</v>
      </c>
    </row>
    <row r="2601" spans="1:11" ht="86.4" x14ac:dyDescent="0.3">
      <c r="A2601" s="4" t="s">
        <v>5770</v>
      </c>
      <c r="B2601">
        <v>3</v>
      </c>
      <c r="C2601">
        <v>2021</v>
      </c>
      <c r="D2601" t="s">
        <v>21199</v>
      </c>
      <c r="E2601">
        <v>8</v>
      </c>
      <c r="F2601" t="s">
        <v>21200</v>
      </c>
      <c r="G2601" t="s">
        <v>21201</v>
      </c>
      <c r="H2601" s="4" t="s">
        <v>21202</v>
      </c>
      <c r="I2601" t="s">
        <v>10823</v>
      </c>
      <c r="J2601" t="s">
        <v>10782</v>
      </c>
      <c r="K2601" t="s">
        <v>21203</v>
      </c>
    </row>
    <row r="2602" spans="1:11" ht="57.6" x14ac:dyDescent="0.3">
      <c r="A2602" s="4" t="s">
        <v>5771</v>
      </c>
      <c r="B2602">
        <v>3</v>
      </c>
      <c r="C2602">
        <v>2021</v>
      </c>
      <c r="D2602" t="s">
        <v>21204</v>
      </c>
      <c r="E2602">
        <v>1</v>
      </c>
      <c r="F2602" t="s">
        <v>21205</v>
      </c>
      <c r="G2602" t="s">
        <v>21206</v>
      </c>
      <c r="H2602" s="4" t="s">
        <v>21207</v>
      </c>
      <c r="I2602" t="s">
        <v>71</v>
      </c>
      <c r="J2602" t="s">
        <v>10782</v>
      </c>
      <c r="K2602" t="s">
        <v>21208</v>
      </c>
    </row>
    <row r="2603" spans="1:11" ht="201.6" x14ac:dyDescent="0.3">
      <c r="A2603" s="4" t="s">
        <v>5772</v>
      </c>
      <c r="B2603">
        <v>3</v>
      </c>
      <c r="C2603">
        <v>2021</v>
      </c>
      <c r="D2603" t="s">
        <v>19715</v>
      </c>
      <c r="E2603">
        <v>46</v>
      </c>
      <c r="F2603" t="s">
        <v>21209</v>
      </c>
      <c r="G2603" t="s">
        <v>21210</v>
      </c>
      <c r="H2603" s="4" t="s">
        <v>21211</v>
      </c>
      <c r="I2603" t="s">
        <v>71</v>
      </c>
      <c r="J2603" t="s">
        <v>10782</v>
      </c>
      <c r="K2603" t="s">
        <v>21212</v>
      </c>
    </row>
    <row r="2604" spans="1:11" ht="129.6" x14ac:dyDescent="0.3">
      <c r="A2604" s="4" t="s">
        <v>3328</v>
      </c>
      <c r="B2604">
        <v>1</v>
      </c>
      <c r="C2604">
        <v>2021</v>
      </c>
      <c r="D2604" t="s">
        <v>217</v>
      </c>
      <c r="E2604">
        <v>10</v>
      </c>
      <c r="F2604" t="s">
        <v>21213</v>
      </c>
      <c r="G2604" t="s">
        <v>21214</v>
      </c>
      <c r="H2604" s="4" t="s">
        <v>21215</v>
      </c>
      <c r="I2604" t="s">
        <v>71</v>
      </c>
      <c r="J2604" t="s">
        <v>10782</v>
      </c>
      <c r="K2604" t="s">
        <v>21216</v>
      </c>
    </row>
    <row r="2605" spans="1:11" ht="144" x14ac:dyDescent="0.3">
      <c r="A2605" s="4" t="s">
        <v>3329</v>
      </c>
      <c r="B2605">
        <v>1</v>
      </c>
      <c r="C2605">
        <v>2021</v>
      </c>
      <c r="D2605" t="s">
        <v>637</v>
      </c>
      <c r="E2605">
        <v>11</v>
      </c>
      <c r="F2605" t="s">
        <v>21217</v>
      </c>
      <c r="G2605" t="s">
        <v>21218</v>
      </c>
      <c r="H2605" s="4" t="s">
        <v>21219</v>
      </c>
      <c r="I2605" t="s">
        <v>71</v>
      </c>
      <c r="J2605" t="s">
        <v>10782</v>
      </c>
      <c r="K2605" t="s">
        <v>21220</v>
      </c>
    </row>
    <row r="2606" spans="1:11" ht="259.2" x14ac:dyDescent="0.3">
      <c r="A2606" s="4" t="s">
        <v>5773</v>
      </c>
      <c r="B2606">
        <v>3</v>
      </c>
      <c r="C2606">
        <v>2021</v>
      </c>
      <c r="D2606" t="s">
        <v>11263</v>
      </c>
      <c r="E2606">
        <v>24</v>
      </c>
      <c r="F2606" t="s">
        <v>21221</v>
      </c>
      <c r="G2606" t="s">
        <v>21222</v>
      </c>
      <c r="H2606" s="4" t="s">
        <v>21223</v>
      </c>
      <c r="I2606" t="s">
        <v>71</v>
      </c>
      <c r="J2606" t="s">
        <v>10782</v>
      </c>
      <c r="K2606" t="s">
        <v>21224</v>
      </c>
    </row>
    <row r="2607" spans="1:11" ht="244.8" x14ac:dyDescent="0.3">
      <c r="A2607" s="4" t="s">
        <v>5774</v>
      </c>
      <c r="B2607">
        <v>3</v>
      </c>
      <c r="C2607">
        <v>2021</v>
      </c>
      <c r="D2607" t="s">
        <v>2030</v>
      </c>
      <c r="E2607">
        <v>11</v>
      </c>
      <c r="F2607" t="s">
        <v>21225</v>
      </c>
      <c r="G2607" t="s">
        <v>21226</v>
      </c>
      <c r="H2607" s="4" t="s">
        <v>21227</v>
      </c>
      <c r="I2607" t="s">
        <v>71</v>
      </c>
      <c r="J2607" t="s">
        <v>10782</v>
      </c>
      <c r="K2607" t="s">
        <v>21228</v>
      </c>
    </row>
    <row r="2608" spans="1:11" ht="172.8" x14ac:dyDescent="0.3">
      <c r="A2608" s="4" t="s">
        <v>5775</v>
      </c>
      <c r="B2608">
        <v>3</v>
      </c>
      <c r="C2608">
        <v>2021</v>
      </c>
      <c r="D2608" t="s">
        <v>11164</v>
      </c>
      <c r="E2608">
        <v>89</v>
      </c>
      <c r="F2608" t="s">
        <v>21229</v>
      </c>
      <c r="G2608" t="s">
        <v>21230</v>
      </c>
      <c r="H2608" s="4" t="s">
        <v>21231</v>
      </c>
      <c r="I2608" t="s">
        <v>71</v>
      </c>
      <c r="J2608" t="s">
        <v>10782</v>
      </c>
      <c r="K2608" t="s">
        <v>21232</v>
      </c>
    </row>
    <row r="2609" spans="1:11" ht="172.8" x14ac:dyDescent="0.3">
      <c r="A2609" s="4" t="s">
        <v>5776</v>
      </c>
      <c r="B2609">
        <v>3</v>
      </c>
      <c r="C2609">
        <v>2021</v>
      </c>
      <c r="D2609" t="s">
        <v>637</v>
      </c>
      <c r="E2609">
        <v>25</v>
      </c>
      <c r="F2609" t="s">
        <v>21233</v>
      </c>
      <c r="G2609" t="s">
        <v>21234</v>
      </c>
      <c r="H2609" s="4" t="s">
        <v>21235</v>
      </c>
      <c r="I2609" t="s">
        <v>71</v>
      </c>
      <c r="J2609" t="s">
        <v>10782</v>
      </c>
      <c r="K2609" t="s">
        <v>21236</v>
      </c>
    </row>
    <row r="2610" spans="1:11" ht="187.2" x14ac:dyDescent="0.3">
      <c r="A2610" s="4" t="s">
        <v>5777</v>
      </c>
      <c r="B2610">
        <v>3</v>
      </c>
      <c r="C2610">
        <v>2021</v>
      </c>
      <c r="D2610" t="s">
        <v>799</v>
      </c>
      <c r="E2610">
        <v>3</v>
      </c>
      <c r="F2610" t="s">
        <v>21237</v>
      </c>
      <c r="G2610" t="s">
        <v>21238</v>
      </c>
      <c r="H2610" s="4" t="s">
        <v>21239</v>
      </c>
      <c r="I2610" t="s">
        <v>71</v>
      </c>
      <c r="J2610" t="s">
        <v>10782</v>
      </c>
      <c r="K2610" t="s">
        <v>21240</v>
      </c>
    </row>
    <row r="2611" spans="1:11" ht="201.6" x14ac:dyDescent="0.3">
      <c r="A2611" s="4" t="s">
        <v>5778</v>
      </c>
      <c r="B2611">
        <v>3</v>
      </c>
      <c r="C2611">
        <v>2021</v>
      </c>
      <c r="D2611" t="s">
        <v>405</v>
      </c>
      <c r="E2611">
        <v>15</v>
      </c>
      <c r="F2611" t="s">
        <v>21241</v>
      </c>
      <c r="G2611" t="s">
        <v>21242</v>
      </c>
      <c r="H2611" s="4" t="s">
        <v>21243</v>
      </c>
      <c r="I2611" t="s">
        <v>71</v>
      </c>
      <c r="J2611" t="s">
        <v>10782</v>
      </c>
      <c r="K2611" t="s">
        <v>21244</v>
      </c>
    </row>
    <row r="2612" spans="1:11" ht="158.4" x14ac:dyDescent="0.3">
      <c r="A2612" s="4" t="s">
        <v>5779</v>
      </c>
      <c r="B2612">
        <v>3</v>
      </c>
      <c r="C2612">
        <v>2021</v>
      </c>
      <c r="D2612" t="s">
        <v>1849</v>
      </c>
      <c r="E2612">
        <v>19</v>
      </c>
      <c r="F2612" t="s">
        <v>21245</v>
      </c>
      <c r="G2612" t="s">
        <v>21246</v>
      </c>
      <c r="H2612" s="4" t="s">
        <v>21247</v>
      </c>
      <c r="I2612" t="s">
        <v>71</v>
      </c>
      <c r="J2612" t="s">
        <v>10782</v>
      </c>
      <c r="K2612" t="s">
        <v>21248</v>
      </c>
    </row>
    <row r="2613" spans="1:11" ht="230.4" x14ac:dyDescent="0.3">
      <c r="A2613" s="4" t="s">
        <v>5780</v>
      </c>
      <c r="B2613">
        <v>3</v>
      </c>
      <c r="C2613">
        <v>2021</v>
      </c>
      <c r="D2613" t="s">
        <v>10924</v>
      </c>
      <c r="E2613">
        <v>10</v>
      </c>
      <c r="F2613" t="s">
        <v>21249</v>
      </c>
      <c r="G2613" t="s">
        <v>21250</v>
      </c>
      <c r="H2613" s="4" t="s">
        <v>21251</v>
      </c>
      <c r="I2613" t="s">
        <v>71</v>
      </c>
      <c r="J2613" t="s">
        <v>10782</v>
      </c>
      <c r="K2613" t="s">
        <v>21252</v>
      </c>
    </row>
    <row r="2614" spans="1:11" ht="129.6" x14ac:dyDescent="0.3">
      <c r="A2614" s="4" t="s">
        <v>5781</v>
      </c>
      <c r="B2614">
        <v>3</v>
      </c>
      <c r="C2614">
        <v>2021</v>
      </c>
      <c r="D2614" t="s">
        <v>11164</v>
      </c>
      <c r="E2614">
        <v>40</v>
      </c>
      <c r="F2614" t="s">
        <v>21253</v>
      </c>
      <c r="G2614" t="s">
        <v>21254</v>
      </c>
      <c r="H2614" s="4" t="s">
        <v>21255</v>
      </c>
      <c r="I2614" t="s">
        <v>71</v>
      </c>
      <c r="J2614" t="s">
        <v>10782</v>
      </c>
      <c r="K2614" t="s">
        <v>21256</v>
      </c>
    </row>
    <row r="2615" spans="1:11" ht="273.60000000000002" x14ac:dyDescent="0.3">
      <c r="A2615" s="4" t="s">
        <v>5782</v>
      </c>
      <c r="B2615">
        <v>3</v>
      </c>
      <c r="C2615">
        <v>2021</v>
      </c>
      <c r="D2615" t="s">
        <v>637</v>
      </c>
      <c r="E2615">
        <v>21</v>
      </c>
      <c r="F2615" t="s">
        <v>21257</v>
      </c>
      <c r="G2615" t="s">
        <v>21258</v>
      </c>
      <c r="H2615" s="4" t="s">
        <v>21259</v>
      </c>
      <c r="I2615" t="s">
        <v>71</v>
      </c>
      <c r="J2615" t="s">
        <v>10782</v>
      </c>
      <c r="K2615" t="s">
        <v>21260</v>
      </c>
    </row>
    <row r="2616" spans="1:11" ht="86.4" x14ac:dyDescent="0.3">
      <c r="A2616" s="4" t="s">
        <v>5783</v>
      </c>
      <c r="B2616">
        <v>3</v>
      </c>
      <c r="C2616">
        <v>2021</v>
      </c>
      <c r="D2616" t="s">
        <v>1245</v>
      </c>
      <c r="E2616">
        <v>129</v>
      </c>
      <c r="F2616" t="s">
        <v>21261</v>
      </c>
      <c r="G2616" t="s">
        <v>21262</v>
      </c>
      <c r="H2616" s="4" t="s">
        <v>21263</v>
      </c>
    </row>
    <row r="2617" spans="1:11" ht="144" x14ac:dyDescent="0.3">
      <c r="A2617" s="4" t="s">
        <v>5784</v>
      </c>
      <c r="B2617">
        <v>3</v>
      </c>
      <c r="C2617">
        <v>2021</v>
      </c>
      <c r="D2617" t="s">
        <v>637</v>
      </c>
      <c r="E2617">
        <v>14</v>
      </c>
      <c r="F2617" t="s">
        <v>21264</v>
      </c>
      <c r="G2617" t="s">
        <v>21265</v>
      </c>
      <c r="H2617" s="4" t="s">
        <v>21266</v>
      </c>
    </row>
    <row r="2618" spans="1:11" ht="158.4" x14ac:dyDescent="0.3">
      <c r="A2618" s="4" t="s">
        <v>5785</v>
      </c>
      <c r="B2618">
        <v>3</v>
      </c>
      <c r="C2618">
        <v>2021</v>
      </c>
      <c r="D2618" t="s">
        <v>217</v>
      </c>
      <c r="E2618">
        <v>3</v>
      </c>
      <c r="F2618" t="s">
        <v>21267</v>
      </c>
      <c r="G2618" t="s">
        <v>21268</v>
      </c>
      <c r="H2618" s="4" t="s">
        <v>21269</v>
      </c>
      <c r="I2618" t="s">
        <v>71</v>
      </c>
      <c r="J2618" t="s">
        <v>10782</v>
      </c>
      <c r="K2618" t="s">
        <v>21270</v>
      </c>
    </row>
    <row r="2619" spans="1:11" ht="144" x14ac:dyDescent="0.3">
      <c r="A2619" s="4" t="s">
        <v>5786</v>
      </c>
      <c r="B2619">
        <v>3</v>
      </c>
      <c r="C2619">
        <v>2021</v>
      </c>
      <c r="D2619" t="s">
        <v>637</v>
      </c>
      <c r="E2619">
        <v>6</v>
      </c>
      <c r="F2619" t="s">
        <v>21271</v>
      </c>
      <c r="G2619" t="s">
        <v>21272</v>
      </c>
      <c r="H2619" s="4" t="s">
        <v>21273</v>
      </c>
      <c r="I2619" t="s">
        <v>71</v>
      </c>
      <c r="J2619" t="s">
        <v>10782</v>
      </c>
      <c r="K2619" t="s">
        <v>21274</v>
      </c>
    </row>
    <row r="2620" spans="1:11" ht="201.6" x14ac:dyDescent="0.3">
      <c r="A2620" s="4" t="s">
        <v>1251</v>
      </c>
      <c r="B2620">
        <v>1</v>
      </c>
      <c r="C2620">
        <v>2021</v>
      </c>
      <c r="D2620" t="s">
        <v>318</v>
      </c>
      <c r="E2620">
        <v>119</v>
      </c>
      <c r="F2620" t="s">
        <v>21275</v>
      </c>
      <c r="G2620" t="s">
        <v>21276</v>
      </c>
      <c r="H2620" s="4" t="s">
        <v>21277</v>
      </c>
      <c r="I2620" t="s">
        <v>71</v>
      </c>
      <c r="J2620" t="s">
        <v>10782</v>
      </c>
      <c r="K2620" t="s">
        <v>21278</v>
      </c>
    </row>
    <row r="2621" spans="1:11" ht="201.6" x14ac:dyDescent="0.3">
      <c r="A2621" s="4" t="s">
        <v>5787</v>
      </c>
      <c r="B2621">
        <v>3</v>
      </c>
      <c r="C2621">
        <v>2021</v>
      </c>
      <c r="D2621" t="s">
        <v>329</v>
      </c>
      <c r="E2621">
        <v>3</v>
      </c>
      <c r="F2621" t="s">
        <v>21279</v>
      </c>
      <c r="G2621" t="s">
        <v>21280</v>
      </c>
      <c r="H2621" s="4" t="s">
        <v>21281</v>
      </c>
      <c r="I2621" t="s">
        <v>71</v>
      </c>
      <c r="J2621" t="s">
        <v>10782</v>
      </c>
      <c r="K2621" t="s">
        <v>21282</v>
      </c>
    </row>
    <row r="2622" spans="1:11" ht="144" x14ac:dyDescent="0.3">
      <c r="A2622" s="4" t="s">
        <v>5788</v>
      </c>
      <c r="B2622">
        <v>3</v>
      </c>
      <c r="C2622">
        <v>2021</v>
      </c>
      <c r="D2622" t="s">
        <v>434</v>
      </c>
      <c r="E2622">
        <v>35</v>
      </c>
      <c r="F2622" t="s">
        <v>21283</v>
      </c>
      <c r="G2622" t="s">
        <v>21284</v>
      </c>
      <c r="H2622" s="4" t="s">
        <v>21285</v>
      </c>
      <c r="I2622" t="s">
        <v>71</v>
      </c>
      <c r="J2622" t="s">
        <v>10782</v>
      </c>
      <c r="K2622" t="s">
        <v>21286</v>
      </c>
    </row>
    <row r="2623" spans="1:11" ht="172.8" x14ac:dyDescent="0.3">
      <c r="A2623" s="4" t="s">
        <v>5789</v>
      </c>
      <c r="B2623">
        <v>3</v>
      </c>
      <c r="C2623">
        <v>2021</v>
      </c>
      <c r="D2623" t="s">
        <v>11159</v>
      </c>
      <c r="E2623">
        <v>6</v>
      </c>
      <c r="F2623" t="s">
        <v>21287</v>
      </c>
      <c r="G2623" t="s">
        <v>21288</v>
      </c>
      <c r="H2623" s="4" t="s">
        <v>21289</v>
      </c>
      <c r="I2623" t="s">
        <v>71</v>
      </c>
      <c r="J2623" t="s">
        <v>10782</v>
      </c>
      <c r="K2623" t="s">
        <v>21290</v>
      </c>
    </row>
    <row r="2624" spans="1:11" ht="187.2" x14ac:dyDescent="0.3">
      <c r="A2624" s="4" t="s">
        <v>5790</v>
      </c>
      <c r="B2624">
        <v>3</v>
      </c>
      <c r="C2624">
        <v>2021</v>
      </c>
      <c r="D2624" t="s">
        <v>2708</v>
      </c>
      <c r="E2624">
        <v>25</v>
      </c>
      <c r="F2624" t="s">
        <v>21291</v>
      </c>
      <c r="G2624" t="s">
        <v>21292</v>
      </c>
      <c r="H2624" s="4" t="s">
        <v>21293</v>
      </c>
      <c r="I2624" t="s">
        <v>71</v>
      </c>
      <c r="J2624" t="s">
        <v>10782</v>
      </c>
      <c r="K2624" t="s">
        <v>21294</v>
      </c>
    </row>
    <row r="2625" spans="1:11" ht="187.2" x14ac:dyDescent="0.3">
      <c r="A2625" s="4" t="s">
        <v>5791</v>
      </c>
      <c r="B2625">
        <v>3</v>
      </c>
      <c r="C2625">
        <v>2021</v>
      </c>
      <c r="D2625" t="s">
        <v>217</v>
      </c>
      <c r="E2625">
        <v>3</v>
      </c>
      <c r="F2625" t="s">
        <v>21295</v>
      </c>
      <c r="G2625" t="s">
        <v>21296</v>
      </c>
      <c r="H2625" s="4" t="s">
        <v>21297</v>
      </c>
      <c r="I2625" t="s">
        <v>71</v>
      </c>
      <c r="J2625" t="s">
        <v>10782</v>
      </c>
      <c r="K2625" t="s">
        <v>21298</v>
      </c>
    </row>
    <row r="2626" spans="1:11" ht="172.8" x14ac:dyDescent="0.3">
      <c r="A2626" s="4" t="s">
        <v>5792</v>
      </c>
      <c r="B2626">
        <v>3</v>
      </c>
      <c r="C2626">
        <v>2021</v>
      </c>
      <c r="D2626" t="s">
        <v>14815</v>
      </c>
      <c r="E2626">
        <v>27</v>
      </c>
      <c r="F2626" t="s">
        <v>21299</v>
      </c>
      <c r="G2626" t="s">
        <v>21300</v>
      </c>
      <c r="H2626" s="4" t="s">
        <v>21301</v>
      </c>
      <c r="I2626" t="s">
        <v>71</v>
      </c>
      <c r="J2626" t="s">
        <v>10782</v>
      </c>
      <c r="K2626" t="s">
        <v>21302</v>
      </c>
    </row>
    <row r="2627" spans="1:11" ht="216" x14ac:dyDescent="0.3">
      <c r="A2627" s="4" t="s">
        <v>5793</v>
      </c>
      <c r="B2627">
        <v>3</v>
      </c>
      <c r="C2627">
        <v>2021</v>
      </c>
      <c r="D2627" t="s">
        <v>329</v>
      </c>
      <c r="E2627">
        <v>34</v>
      </c>
      <c r="F2627" t="s">
        <v>21303</v>
      </c>
      <c r="G2627" t="s">
        <v>21304</v>
      </c>
      <c r="H2627" s="4" t="s">
        <v>21305</v>
      </c>
      <c r="I2627" t="s">
        <v>71</v>
      </c>
      <c r="J2627" t="s">
        <v>10782</v>
      </c>
      <c r="K2627" t="s">
        <v>21306</v>
      </c>
    </row>
    <row r="2628" spans="1:11" ht="144" x14ac:dyDescent="0.3">
      <c r="A2628" s="4" t="s">
        <v>5794</v>
      </c>
      <c r="B2628">
        <v>3</v>
      </c>
      <c r="C2628">
        <v>2021</v>
      </c>
      <c r="D2628" t="s">
        <v>13644</v>
      </c>
      <c r="E2628">
        <v>6</v>
      </c>
      <c r="F2628" t="s">
        <v>21307</v>
      </c>
      <c r="G2628" t="s">
        <v>21308</v>
      </c>
      <c r="H2628" s="4" t="s">
        <v>21309</v>
      </c>
      <c r="I2628" t="s">
        <v>71</v>
      </c>
      <c r="J2628" t="s">
        <v>10782</v>
      </c>
      <c r="K2628" t="s">
        <v>21310</v>
      </c>
    </row>
    <row r="2629" spans="1:11" ht="129.6" x14ac:dyDescent="0.3">
      <c r="A2629" s="4" t="s">
        <v>5795</v>
      </c>
      <c r="B2629">
        <v>3</v>
      </c>
      <c r="C2629">
        <v>2021</v>
      </c>
      <c r="D2629" t="s">
        <v>385</v>
      </c>
      <c r="E2629">
        <v>93</v>
      </c>
      <c r="F2629" t="s">
        <v>21311</v>
      </c>
      <c r="G2629" t="s">
        <v>21312</v>
      </c>
      <c r="H2629" s="4" t="s">
        <v>21313</v>
      </c>
      <c r="I2629" t="s">
        <v>71</v>
      </c>
      <c r="J2629" t="s">
        <v>10782</v>
      </c>
      <c r="K2629" t="s">
        <v>21314</v>
      </c>
    </row>
    <row r="2630" spans="1:11" ht="158.4" x14ac:dyDescent="0.3">
      <c r="A2630" s="4" t="s">
        <v>5796</v>
      </c>
      <c r="B2630">
        <v>3</v>
      </c>
      <c r="C2630">
        <v>2021</v>
      </c>
      <c r="D2630" t="s">
        <v>318</v>
      </c>
      <c r="E2630">
        <v>51</v>
      </c>
      <c r="F2630" t="s">
        <v>21315</v>
      </c>
      <c r="G2630" t="s">
        <v>21316</v>
      </c>
      <c r="H2630" s="4" t="s">
        <v>21317</v>
      </c>
    </row>
    <row r="2631" spans="1:11" ht="144" x14ac:dyDescent="0.3">
      <c r="A2631" s="4" t="s">
        <v>5797</v>
      </c>
      <c r="B2631">
        <v>3</v>
      </c>
      <c r="C2631">
        <v>2021</v>
      </c>
      <c r="D2631" t="s">
        <v>11598</v>
      </c>
      <c r="E2631">
        <v>51</v>
      </c>
      <c r="F2631" t="s">
        <v>21318</v>
      </c>
      <c r="G2631" t="s">
        <v>21319</v>
      </c>
      <c r="H2631" s="4" t="s">
        <v>21320</v>
      </c>
      <c r="I2631" t="s">
        <v>71</v>
      </c>
      <c r="J2631" t="s">
        <v>10782</v>
      </c>
      <c r="K2631" t="s">
        <v>21321</v>
      </c>
    </row>
    <row r="2632" spans="1:11" ht="100.8" x14ac:dyDescent="0.3">
      <c r="A2632" s="4" t="s">
        <v>5798</v>
      </c>
      <c r="B2632">
        <v>3</v>
      </c>
      <c r="C2632">
        <v>2021</v>
      </c>
      <c r="D2632" t="s">
        <v>21322</v>
      </c>
      <c r="E2632">
        <v>3</v>
      </c>
      <c r="F2632" t="s">
        <v>21323</v>
      </c>
      <c r="G2632" t="s">
        <v>21324</v>
      </c>
      <c r="H2632" s="4" t="s">
        <v>21325</v>
      </c>
      <c r="I2632" t="s">
        <v>71</v>
      </c>
      <c r="J2632" t="s">
        <v>10782</v>
      </c>
      <c r="K2632" t="s">
        <v>21326</v>
      </c>
    </row>
    <row r="2633" spans="1:11" ht="201.6" x14ac:dyDescent="0.3">
      <c r="A2633" s="4" t="s">
        <v>5799</v>
      </c>
      <c r="B2633">
        <v>3</v>
      </c>
      <c r="C2633">
        <v>2021</v>
      </c>
      <c r="D2633" t="s">
        <v>892</v>
      </c>
      <c r="E2633">
        <v>9</v>
      </c>
      <c r="F2633" t="s">
        <v>21327</v>
      </c>
      <c r="G2633" t="s">
        <v>21328</v>
      </c>
      <c r="H2633" s="4" t="s">
        <v>21329</v>
      </c>
      <c r="I2633" t="s">
        <v>71</v>
      </c>
      <c r="J2633" t="s">
        <v>10782</v>
      </c>
      <c r="K2633" t="s">
        <v>21330</v>
      </c>
    </row>
    <row r="2634" spans="1:11" ht="144" x14ac:dyDescent="0.3">
      <c r="A2634" s="4" t="s">
        <v>5800</v>
      </c>
      <c r="B2634">
        <v>3</v>
      </c>
      <c r="C2634">
        <v>2021</v>
      </c>
      <c r="D2634" t="s">
        <v>10057</v>
      </c>
      <c r="E2634">
        <v>31</v>
      </c>
      <c r="F2634" t="s">
        <v>21331</v>
      </c>
      <c r="G2634" t="s">
        <v>21332</v>
      </c>
      <c r="H2634" s="4" t="s">
        <v>21333</v>
      </c>
      <c r="I2634" t="s">
        <v>71</v>
      </c>
      <c r="J2634" t="s">
        <v>10782</v>
      </c>
      <c r="K2634" t="s">
        <v>21334</v>
      </c>
    </row>
    <row r="2635" spans="1:11" ht="187.2" x14ac:dyDescent="0.3">
      <c r="A2635" s="4" t="s">
        <v>5801</v>
      </c>
      <c r="B2635">
        <v>3</v>
      </c>
      <c r="C2635">
        <v>2021</v>
      </c>
      <c r="D2635" t="s">
        <v>637</v>
      </c>
      <c r="E2635">
        <v>10</v>
      </c>
      <c r="F2635" t="s">
        <v>21335</v>
      </c>
      <c r="G2635" t="s">
        <v>21336</v>
      </c>
      <c r="H2635" s="4" t="s">
        <v>21337</v>
      </c>
      <c r="I2635" t="s">
        <v>71</v>
      </c>
      <c r="J2635" t="s">
        <v>10782</v>
      </c>
      <c r="K2635" t="s">
        <v>21338</v>
      </c>
    </row>
    <row r="2636" spans="1:11" ht="129.6" x14ac:dyDescent="0.3">
      <c r="A2636" s="4" t="s">
        <v>5802</v>
      </c>
      <c r="B2636">
        <v>3</v>
      </c>
      <c r="C2636">
        <v>2021</v>
      </c>
      <c r="D2636" t="s">
        <v>217</v>
      </c>
      <c r="E2636">
        <v>6</v>
      </c>
      <c r="F2636" t="s">
        <v>21339</v>
      </c>
      <c r="G2636" t="s">
        <v>21340</v>
      </c>
      <c r="H2636" s="4" t="s">
        <v>21341</v>
      </c>
      <c r="I2636" t="s">
        <v>71</v>
      </c>
      <c r="J2636" t="s">
        <v>10782</v>
      </c>
      <c r="K2636" t="s">
        <v>21342</v>
      </c>
    </row>
    <row r="2637" spans="1:11" ht="129.6" x14ac:dyDescent="0.3">
      <c r="A2637" s="4" t="s">
        <v>1252</v>
      </c>
      <c r="B2637">
        <v>1</v>
      </c>
      <c r="C2637">
        <v>2021</v>
      </c>
      <c r="D2637" t="s">
        <v>329</v>
      </c>
      <c r="E2637">
        <v>17</v>
      </c>
      <c r="F2637" t="s">
        <v>21343</v>
      </c>
      <c r="G2637" t="s">
        <v>21344</v>
      </c>
      <c r="H2637" s="4" t="s">
        <v>21345</v>
      </c>
      <c r="I2637" t="s">
        <v>71</v>
      </c>
      <c r="J2637" t="s">
        <v>10782</v>
      </c>
      <c r="K2637" t="s">
        <v>21346</v>
      </c>
    </row>
    <row r="2638" spans="1:11" ht="187.2" x14ac:dyDescent="0.3">
      <c r="A2638" s="4" t="s">
        <v>3330</v>
      </c>
      <c r="B2638">
        <v>1</v>
      </c>
      <c r="C2638">
        <v>2021</v>
      </c>
      <c r="D2638" t="s">
        <v>12593</v>
      </c>
      <c r="E2638">
        <v>11</v>
      </c>
      <c r="F2638" t="s">
        <v>21347</v>
      </c>
      <c r="G2638" t="s">
        <v>21348</v>
      </c>
      <c r="H2638" s="4" t="s">
        <v>21349</v>
      </c>
      <c r="I2638" t="s">
        <v>71</v>
      </c>
      <c r="J2638" t="s">
        <v>10782</v>
      </c>
      <c r="K2638" t="s">
        <v>21350</v>
      </c>
    </row>
    <row r="2639" spans="1:11" ht="158.4" x14ac:dyDescent="0.3">
      <c r="A2639" s="4" t="s">
        <v>5803</v>
      </c>
      <c r="B2639">
        <v>3</v>
      </c>
      <c r="C2639">
        <v>2021</v>
      </c>
      <c r="D2639" t="s">
        <v>637</v>
      </c>
      <c r="E2639">
        <v>15</v>
      </c>
      <c r="F2639" t="s">
        <v>21351</v>
      </c>
      <c r="G2639" t="s">
        <v>21352</v>
      </c>
      <c r="H2639" s="4" t="s">
        <v>21353</v>
      </c>
      <c r="I2639" t="s">
        <v>71</v>
      </c>
      <c r="J2639" t="s">
        <v>10782</v>
      </c>
      <c r="K2639" t="s">
        <v>21354</v>
      </c>
    </row>
    <row r="2640" spans="1:11" ht="172.8" x14ac:dyDescent="0.3">
      <c r="A2640" s="4" t="s">
        <v>5804</v>
      </c>
      <c r="B2640">
        <v>3</v>
      </c>
      <c r="C2640">
        <v>2021</v>
      </c>
      <c r="D2640" t="s">
        <v>1849</v>
      </c>
      <c r="E2640">
        <v>6</v>
      </c>
      <c r="F2640" t="s">
        <v>21355</v>
      </c>
      <c r="G2640" t="s">
        <v>21356</v>
      </c>
      <c r="H2640" s="4" t="s">
        <v>21357</v>
      </c>
      <c r="I2640" t="s">
        <v>71</v>
      </c>
      <c r="J2640" t="s">
        <v>10782</v>
      </c>
      <c r="K2640" t="s">
        <v>21358</v>
      </c>
    </row>
    <row r="2641" spans="1:11" ht="144" x14ac:dyDescent="0.3">
      <c r="A2641" s="4" t="s">
        <v>5805</v>
      </c>
      <c r="B2641">
        <v>3</v>
      </c>
      <c r="C2641">
        <v>2021</v>
      </c>
      <c r="D2641" t="s">
        <v>1570</v>
      </c>
      <c r="E2641">
        <v>3</v>
      </c>
      <c r="F2641" t="s">
        <v>21359</v>
      </c>
      <c r="G2641" t="s">
        <v>21360</v>
      </c>
      <c r="H2641" s="4" t="s">
        <v>21361</v>
      </c>
      <c r="I2641" t="s">
        <v>71</v>
      </c>
      <c r="J2641" t="s">
        <v>10782</v>
      </c>
      <c r="K2641" t="s">
        <v>21362</v>
      </c>
    </row>
    <row r="2642" spans="1:11" ht="187.2" x14ac:dyDescent="0.3">
      <c r="A2642" s="4" t="s">
        <v>5806</v>
      </c>
      <c r="B2642">
        <v>3</v>
      </c>
      <c r="C2642">
        <v>2021</v>
      </c>
      <c r="D2642" t="s">
        <v>10971</v>
      </c>
      <c r="E2642">
        <v>11</v>
      </c>
      <c r="F2642" t="s">
        <v>21363</v>
      </c>
      <c r="G2642" t="s">
        <v>21364</v>
      </c>
      <c r="H2642" s="4" t="s">
        <v>21365</v>
      </c>
      <c r="I2642" t="s">
        <v>71</v>
      </c>
      <c r="J2642" t="s">
        <v>10782</v>
      </c>
      <c r="K2642" t="s">
        <v>21366</v>
      </c>
    </row>
    <row r="2643" spans="1:11" ht="144" x14ac:dyDescent="0.3">
      <c r="A2643" s="4" t="s">
        <v>5807</v>
      </c>
      <c r="B2643">
        <v>3</v>
      </c>
      <c r="C2643">
        <v>2021</v>
      </c>
      <c r="D2643" t="s">
        <v>80</v>
      </c>
      <c r="E2643">
        <v>26</v>
      </c>
      <c r="F2643" t="s">
        <v>21367</v>
      </c>
      <c r="G2643" t="s">
        <v>21368</v>
      </c>
      <c r="H2643" s="4" t="s">
        <v>21369</v>
      </c>
      <c r="I2643" t="s">
        <v>71</v>
      </c>
      <c r="J2643" t="s">
        <v>10782</v>
      </c>
      <c r="K2643" t="s">
        <v>21370</v>
      </c>
    </row>
    <row r="2644" spans="1:11" ht="201.6" x14ac:dyDescent="0.3">
      <c r="A2644" s="4" t="s">
        <v>5808</v>
      </c>
      <c r="B2644">
        <v>3</v>
      </c>
      <c r="C2644">
        <v>2021</v>
      </c>
      <c r="D2644" t="s">
        <v>217</v>
      </c>
      <c r="E2644">
        <v>2</v>
      </c>
      <c r="F2644" t="s">
        <v>21371</v>
      </c>
      <c r="G2644" t="s">
        <v>21372</v>
      </c>
      <c r="H2644" s="4" t="s">
        <v>21373</v>
      </c>
      <c r="I2644" t="s">
        <v>71</v>
      </c>
      <c r="J2644" t="s">
        <v>10782</v>
      </c>
      <c r="K2644" t="s">
        <v>21374</v>
      </c>
    </row>
    <row r="2645" spans="1:11" ht="230.4" x14ac:dyDescent="0.3">
      <c r="A2645" s="4" t="s">
        <v>5809</v>
      </c>
      <c r="B2645">
        <v>3</v>
      </c>
      <c r="C2645">
        <v>2021</v>
      </c>
      <c r="D2645" t="s">
        <v>11774</v>
      </c>
      <c r="E2645">
        <v>2</v>
      </c>
      <c r="F2645" t="s">
        <v>21375</v>
      </c>
      <c r="G2645" t="s">
        <v>21376</v>
      </c>
      <c r="H2645" s="4" t="s">
        <v>21377</v>
      </c>
      <c r="I2645" t="s">
        <v>71</v>
      </c>
      <c r="J2645" t="s">
        <v>10782</v>
      </c>
      <c r="K2645" t="s">
        <v>21378</v>
      </c>
    </row>
    <row r="2646" spans="1:11" ht="172.8" x14ac:dyDescent="0.3">
      <c r="A2646" s="4" t="s">
        <v>5810</v>
      </c>
      <c r="B2646">
        <v>3</v>
      </c>
      <c r="C2646">
        <v>2021</v>
      </c>
      <c r="D2646" t="s">
        <v>2628</v>
      </c>
      <c r="E2646">
        <v>2</v>
      </c>
      <c r="F2646" t="s">
        <v>21379</v>
      </c>
      <c r="G2646" t="s">
        <v>21380</v>
      </c>
      <c r="H2646" s="4" t="s">
        <v>21381</v>
      </c>
      <c r="I2646" t="s">
        <v>71</v>
      </c>
      <c r="J2646" t="s">
        <v>10782</v>
      </c>
      <c r="K2646" t="s">
        <v>21382</v>
      </c>
    </row>
    <row r="2647" spans="1:11" ht="172.8" x14ac:dyDescent="0.3">
      <c r="A2647" s="4" t="s">
        <v>5811</v>
      </c>
      <c r="B2647">
        <v>3</v>
      </c>
      <c r="C2647">
        <v>2021</v>
      </c>
      <c r="D2647" t="s">
        <v>11064</v>
      </c>
      <c r="E2647">
        <v>6</v>
      </c>
      <c r="F2647" t="s">
        <v>21383</v>
      </c>
      <c r="G2647" t="s">
        <v>21384</v>
      </c>
      <c r="H2647" s="4" t="s">
        <v>21385</v>
      </c>
      <c r="I2647" t="s">
        <v>71</v>
      </c>
      <c r="J2647" t="s">
        <v>10782</v>
      </c>
      <c r="K2647" t="s">
        <v>21386</v>
      </c>
    </row>
    <row r="2648" spans="1:11" ht="187.2" x14ac:dyDescent="0.3">
      <c r="A2648" s="4" t="s">
        <v>5812</v>
      </c>
      <c r="B2648">
        <v>3</v>
      </c>
      <c r="C2648">
        <v>2021</v>
      </c>
      <c r="D2648" t="s">
        <v>21387</v>
      </c>
      <c r="E2648">
        <v>3</v>
      </c>
      <c r="F2648" t="s">
        <v>21388</v>
      </c>
      <c r="G2648" t="s">
        <v>21389</v>
      </c>
      <c r="H2648" s="4" t="s">
        <v>21390</v>
      </c>
      <c r="I2648" t="s">
        <v>71</v>
      </c>
      <c r="J2648" t="s">
        <v>10782</v>
      </c>
      <c r="K2648" t="s">
        <v>21391</v>
      </c>
    </row>
    <row r="2649" spans="1:11" ht="72" x14ac:dyDescent="0.3">
      <c r="A2649" s="4" t="s">
        <v>5813</v>
      </c>
      <c r="B2649">
        <v>3</v>
      </c>
      <c r="C2649">
        <v>2021</v>
      </c>
      <c r="D2649" t="s">
        <v>14820</v>
      </c>
      <c r="E2649">
        <v>24</v>
      </c>
      <c r="F2649" t="s">
        <v>21392</v>
      </c>
      <c r="G2649" t="s">
        <v>21393</v>
      </c>
      <c r="H2649" s="4" t="s">
        <v>21394</v>
      </c>
    </row>
    <row r="2650" spans="1:11" ht="86.4" x14ac:dyDescent="0.3">
      <c r="A2650" s="4" t="s">
        <v>2669</v>
      </c>
      <c r="B2650">
        <v>2</v>
      </c>
      <c r="C2650">
        <v>2021</v>
      </c>
      <c r="D2650" t="s">
        <v>2742</v>
      </c>
      <c r="E2650">
        <v>2</v>
      </c>
      <c r="F2650" t="s">
        <v>21395</v>
      </c>
      <c r="G2650" t="s">
        <v>21396</v>
      </c>
      <c r="H2650" s="4" t="s">
        <v>21397</v>
      </c>
      <c r="I2650" t="s">
        <v>71</v>
      </c>
      <c r="J2650" t="s">
        <v>10782</v>
      </c>
      <c r="K2650" t="s">
        <v>21398</v>
      </c>
    </row>
    <row r="2651" spans="1:11" ht="172.8" x14ac:dyDescent="0.3">
      <c r="A2651" s="4" t="s">
        <v>5814</v>
      </c>
      <c r="B2651">
        <v>3</v>
      </c>
      <c r="C2651">
        <v>2021</v>
      </c>
      <c r="D2651" t="s">
        <v>217</v>
      </c>
      <c r="E2651">
        <v>9</v>
      </c>
      <c r="F2651" t="s">
        <v>21399</v>
      </c>
      <c r="G2651" t="s">
        <v>21400</v>
      </c>
      <c r="H2651" s="4" t="s">
        <v>21401</v>
      </c>
    </row>
    <row r="2652" spans="1:11" ht="144" x14ac:dyDescent="0.3">
      <c r="A2652" s="4" t="s">
        <v>5815</v>
      </c>
      <c r="B2652">
        <v>3</v>
      </c>
      <c r="C2652">
        <v>2021</v>
      </c>
      <c r="D2652" t="s">
        <v>17401</v>
      </c>
      <c r="E2652">
        <v>5</v>
      </c>
      <c r="F2652" t="s">
        <v>21402</v>
      </c>
      <c r="G2652" t="s">
        <v>21403</v>
      </c>
      <c r="H2652" s="4" t="s">
        <v>21404</v>
      </c>
      <c r="I2652" t="s">
        <v>71</v>
      </c>
      <c r="J2652" t="s">
        <v>10782</v>
      </c>
      <c r="K2652" t="s">
        <v>21405</v>
      </c>
    </row>
    <row r="2653" spans="1:11" ht="187.2" x14ac:dyDescent="0.3">
      <c r="A2653" s="4" t="s">
        <v>5816</v>
      </c>
      <c r="B2653">
        <v>3</v>
      </c>
      <c r="C2653">
        <v>2021</v>
      </c>
      <c r="D2653" t="s">
        <v>637</v>
      </c>
      <c r="E2653">
        <v>12</v>
      </c>
      <c r="F2653" t="s">
        <v>21406</v>
      </c>
      <c r="G2653" t="s">
        <v>21407</v>
      </c>
      <c r="H2653" s="4" t="s">
        <v>21408</v>
      </c>
      <c r="I2653" t="s">
        <v>71</v>
      </c>
      <c r="J2653" t="s">
        <v>10782</v>
      </c>
      <c r="K2653" t="s">
        <v>21409</v>
      </c>
    </row>
    <row r="2654" spans="1:11" ht="144" x14ac:dyDescent="0.3">
      <c r="A2654" s="4" t="s">
        <v>1253</v>
      </c>
      <c r="B2654">
        <v>1</v>
      </c>
      <c r="C2654">
        <v>2021</v>
      </c>
      <c r="D2654" t="s">
        <v>405</v>
      </c>
      <c r="E2654">
        <v>14</v>
      </c>
      <c r="F2654" t="s">
        <v>21410</v>
      </c>
      <c r="G2654" t="s">
        <v>21411</v>
      </c>
      <c r="H2654" s="4" t="s">
        <v>21412</v>
      </c>
      <c r="I2654" t="s">
        <v>71</v>
      </c>
      <c r="J2654" t="s">
        <v>10782</v>
      </c>
      <c r="K2654" t="s">
        <v>21413</v>
      </c>
    </row>
    <row r="2655" spans="1:11" ht="115.2" x14ac:dyDescent="0.3">
      <c r="A2655" s="4" t="s">
        <v>5817</v>
      </c>
      <c r="B2655">
        <v>3</v>
      </c>
      <c r="C2655">
        <v>2021</v>
      </c>
      <c r="D2655" t="s">
        <v>12253</v>
      </c>
      <c r="E2655">
        <v>7</v>
      </c>
      <c r="F2655" t="s">
        <v>21414</v>
      </c>
      <c r="G2655" t="s">
        <v>21415</v>
      </c>
      <c r="H2655" s="4" t="s">
        <v>21416</v>
      </c>
      <c r="I2655" t="s">
        <v>71</v>
      </c>
      <c r="J2655" t="s">
        <v>10782</v>
      </c>
      <c r="K2655" t="s">
        <v>21417</v>
      </c>
    </row>
    <row r="2656" spans="1:11" ht="201.6" x14ac:dyDescent="0.3">
      <c r="A2656" s="4" t="s">
        <v>5818</v>
      </c>
      <c r="B2656">
        <v>3</v>
      </c>
      <c r="C2656">
        <v>2021</v>
      </c>
      <c r="D2656" t="s">
        <v>13821</v>
      </c>
      <c r="E2656">
        <v>11</v>
      </c>
      <c r="F2656" t="s">
        <v>21418</v>
      </c>
      <c r="G2656" t="s">
        <v>21419</v>
      </c>
      <c r="H2656" s="4" t="s">
        <v>21420</v>
      </c>
      <c r="I2656" t="s">
        <v>71</v>
      </c>
      <c r="J2656" t="s">
        <v>10782</v>
      </c>
      <c r="K2656" t="s">
        <v>21421</v>
      </c>
    </row>
    <row r="2657" spans="1:11" ht="115.2" x14ac:dyDescent="0.3">
      <c r="A2657" s="4" t="s">
        <v>5819</v>
      </c>
      <c r="B2657">
        <v>3</v>
      </c>
      <c r="C2657">
        <v>2021</v>
      </c>
      <c r="D2657" t="s">
        <v>892</v>
      </c>
      <c r="E2657">
        <v>24</v>
      </c>
      <c r="F2657" t="s">
        <v>21422</v>
      </c>
      <c r="G2657" t="s">
        <v>21423</v>
      </c>
      <c r="H2657" s="4" t="s">
        <v>21424</v>
      </c>
    </row>
    <row r="2658" spans="1:11" ht="187.2" x14ac:dyDescent="0.3">
      <c r="A2658" s="4" t="s">
        <v>5820</v>
      </c>
      <c r="B2658">
        <v>3</v>
      </c>
      <c r="C2658">
        <v>2021</v>
      </c>
      <c r="D2658" t="s">
        <v>405</v>
      </c>
      <c r="E2658">
        <v>31</v>
      </c>
      <c r="F2658" t="s">
        <v>21425</v>
      </c>
      <c r="G2658" t="s">
        <v>21426</v>
      </c>
      <c r="H2658" s="4" t="s">
        <v>21427</v>
      </c>
      <c r="I2658" t="s">
        <v>71</v>
      </c>
      <c r="J2658" t="s">
        <v>10782</v>
      </c>
      <c r="K2658" t="s">
        <v>21428</v>
      </c>
    </row>
    <row r="2659" spans="1:11" ht="158.4" x14ac:dyDescent="0.3">
      <c r="A2659" s="4" t="s">
        <v>5821</v>
      </c>
      <c r="B2659">
        <v>3</v>
      </c>
      <c r="C2659">
        <v>2021</v>
      </c>
      <c r="D2659" t="s">
        <v>1530</v>
      </c>
      <c r="E2659">
        <v>7</v>
      </c>
      <c r="F2659" t="s">
        <v>21429</v>
      </c>
      <c r="G2659" t="s">
        <v>21430</v>
      </c>
      <c r="H2659" s="4" t="s">
        <v>21431</v>
      </c>
      <c r="I2659" t="s">
        <v>71</v>
      </c>
      <c r="J2659" t="s">
        <v>10782</v>
      </c>
      <c r="K2659" t="s">
        <v>21432</v>
      </c>
    </row>
    <row r="2660" spans="1:11" ht="187.2" x14ac:dyDescent="0.3">
      <c r="A2660" s="4" t="s">
        <v>5822</v>
      </c>
      <c r="B2660">
        <v>3</v>
      </c>
      <c r="C2660">
        <v>2021</v>
      </c>
      <c r="D2660" t="s">
        <v>217</v>
      </c>
      <c r="E2660">
        <v>3</v>
      </c>
      <c r="F2660" t="s">
        <v>21433</v>
      </c>
      <c r="G2660" t="s">
        <v>21434</v>
      </c>
      <c r="H2660" s="4" t="s">
        <v>21435</v>
      </c>
      <c r="I2660" t="s">
        <v>71</v>
      </c>
      <c r="J2660" t="s">
        <v>10782</v>
      </c>
      <c r="K2660" t="s">
        <v>21436</v>
      </c>
    </row>
    <row r="2661" spans="1:11" ht="187.2" x14ac:dyDescent="0.3">
      <c r="A2661" s="4" t="s">
        <v>5823</v>
      </c>
      <c r="B2661">
        <v>3</v>
      </c>
      <c r="C2661">
        <v>2021</v>
      </c>
      <c r="D2661" t="s">
        <v>817</v>
      </c>
      <c r="E2661">
        <v>19</v>
      </c>
      <c r="F2661" t="s">
        <v>21437</v>
      </c>
      <c r="G2661" t="s">
        <v>21438</v>
      </c>
      <c r="H2661" s="4" t="s">
        <v>21439</v>
      </c>
      <c r="I2661" t="s">
        <v>71</v>
      </c>
      <c r="J2661" t="s">
        <v>10782</v>
      </c>
      <c r="K2661" t="s">
        <v>21440</v>
      </c>
    </row>
    <row r="2662" spans="1:11" ht="187.2" x14ac:dyDescent="0.3">
      <c r="A2662" s="4" t="s">
        <v>5824</v>
      </c>
      <c r="B2662">
        <v>3</v>
      </c>
      <c r="C2662">
        <v>2021</v>
      </c>
      <c r="D2662" t="s">
        <v>15343</v>
      </c>
      <c r="E2662">
        <v>4</v>
      </c>
      <c r="F2662" t="s">
        <v>21441</v>
      </c>
      <c r="G2662" t="s">
        <v>21442</v>
      </c>
      <c r="H2662" s="4" t="s">
        <v>21443</v>
      </c>
      <c r="I2662" t="s">
        <v>71</v>
      </c>
      <c r="J2662" t="s">
        <v>10782</v>
      </c>
      <c r="K2662" t="s">
        <v>21444</v>
      </c>
    </row>
    <row r="2663" spans="1:11" ht="144" x14ac:dyDescent="0.3">
      <c r="A2663" s="4" t="s">
        <v>5825</v>
      </c>
      <c r="B2663">
        <v>3</v>
      </c>
      <c r="C2663">
        <v>2021</v>
      </c>
      <c r="D2663" t="s">
        <v>14346</v>
      </c>
      <c r="E2663">
        <v>21</v>
      </c>
      <c r="F2663" t="s">
        <v>21445</v>
      </c>
      <c r="G2663" t="s">
        <v>21446</v>
      </c>
      <c r="H2663" s="4" t="s">
        <v>21447</v>
      </c>
      <c r="I2663" t="s">
        <v>71</v>
      </c>
      <c r="J2663" t="s">
        <v>10782</v>
      </c>
      <c r="K2663" t="s">
        <v>21448</v>
      </c>
    </row>
    <row r="2664" spans="1:11" ht="244.8" x14ac:dyDescent="0.3">
      <c r="A2664" s="4" t="s">
        <v>5826</v>
      </c>
      <c r="B2664">
        <v>3</v>
      </c>
      <c r="C2664">
        <v>2021</v>
      </c>
      <c r="D2664" t="s">
        <v>318</v>
      </c>
      <c r="E2664">
        <v>33</v>
      </c>
      <c r="F2664" t="s">
        <v>21449</v>
      </c>
      <c r="G2664" t="s">
        <v>21450</v>
      </c>
      <c r="H2664" s="4" t="s">
        <v>21451</v>
      </c>
    </row>
    <row r="2665" spans="1:11" ht="187.2" x14ac:dyDescent="0.3">
      <c r="A2665" s="4" t="s">
        <v>5827</v>
      </c>
      <c r="B2665">
        <v>3</v>
      </c>
      <c r="C2665">
        <v>2021</v>
      </c>
      <c r="D2665" t="s">
        <v>11064</v>
      </c>
      <c r="E2665">
        <v>25</v>
      </c>
      <c r="F2665" t="s">
        <v>21452</v>
      </c>
      <c r="G2665" t="s">
        <v>21453</v>
      </c>
      <c r="H2665" s="4" t="s">
        <v>21454</v>
      </c>
      <c r="I2665" t="s">
        <v>71</v>
      </c>
      <c r="J2665" t="s">
        <v>10782</v>
      </c>
      <c r="K2665" t="s">
        <v>21455</v>
      </c>
    </row>
    <row r="2666" spans="1:11" ht="244.8" x14ac:dyDescent="0.3">
      <c r="A2666" s="4" t="s">
        <v>5828</v>
      </c>
      <c r="B2666">
        <v>3</v>
      </c>
      <c r="C2666">
        <v>2021</v>
      </c>
      <c r="D2666" t="s">
        <v>11310</v>
      </c>
      <c r="E2666">
        <v>10</v>
      </c>
      <c r="F2666" t="s">
        <v>21456</v>
      </c>
      <c r="G2666" t="s">
        <v>21457</v>
      </c>
      <c r="H2666" s="4" t="s">
        <v>21458</v>
      </c>
      <c r="I2666" t="s">
        <v>71</v>
      </c>
      <c r="J2666" t="s">
        <v>10782</v>
      </c>
      <c r="K2666" t="s">
        <v>21459</v>
      </c>
    </row>
    <row r="2667" spans="1:11" ht="129.6" x14ac:dyDescent="0.3">
      <c r="A2667" s="4" t="s">
        <v>1254</v>
      </c>
      <c r="B2667">
        <v>1</v>
      </c>
      <c r="C2667">
        <v>2021</v>
      </c>
      <c r="D2667" t="s">
        <v>1426</v>
      </c>
      <c r="E2667">
        <v>281</v>
      </c>
      <c r="F2667" t="s">
        <v>21460</v>
      </c>
      <c r="G2667" t="s">
        <v>21461</v>
      </c>
      <c r="H2667" s="4" t="s">
        <v>21462</v>
      </c>
      <c r="I2667" t="s">
        <v>71</v>
      </c>
      <c r="J2667" t="s">
        <v>10782</v>
      </c>
      <c r="K2667" t="s">
        <v>21463</v>
      </c>
    </row>
    <row r="2668" spans="1:11" ht="187.2" x14ac:dyDescent="0.3">
      <c r="A2668" s="4" t="s">
        <v>5829</v>
      </c>
      <c r="B2668">
        <v>3</v>
      </c>
      <c r="C2668">
        <v>2021</v>
      </c>
      <c r="D2668" t="s">
        <v>21043</v>
      </c>
      <c r="E2668">
        <v>9</v>
      </c>
      <c r="F2668" t="s">
        <v>21464</v>
      </c>
      <c r="G2668" t="s">
        <v>21465</v>
      </c>
      <c r="H2668" s="4" t="s">
        <v>21466</v>
      </c>
      <c r="I2668" t="s">
        <v>71</v>
      </c>
      <c r="J2668" t="s">
        <v>10782</v>
      </c>
      <c r="K2668" t="s">
        <v>21467</v>
      </c>
    </row>
    <row r="2669" spans="1:11" ht="158.4" x14ac:dyDescent="0.3">
      <c r="A2669" s="4" t="s">
        <v>5830</v>
      </c>
      <c r="B2669">
        <v>3</v>
      </c>
      <c r="C2669">
        <v>2021</v>
      </c>
      <c r="D2669" t="s">
        <v>724</v>
      </c>
      <c r="E2669">
        <v>5</v>
      </c>
      <c r="F2669" t="s">
        <v>21468</v>
      </c>
      <c r="G2669" t="s">
        <v>21469</v>
      </c>
      <c r="H2669" s="4" t="s">
        <v>21470</v>
      </c>
      <c r="I2669" t="s">
        <v>71</v>
      </c>
      <c r="J2669" t="s">
        <v>10782</v>
      </c>
      <c r="K2669" t="s">
        <v>21471</v>
      </c>
    </row>
    <row r="2670" spans="1:11" ht="172.8" x14ac:dyDescent="0.3">
      <c r="A2670" s="4" t="s">
        <v>5831</v>
      </c>
      <c r="B2670">
        <v>3</v>
      </c>
      <c r="C2670">
        <v>2021</v>
      </c>
      <c r="D2670" t="s">
        <v>1770</v>
      </c>
      <c r="E2670">
        <v>34</v>
      </c>
      <c r="F2670" t="s">
        <v>21472</v>
      </c>
      <c r="G2670" t="s">
        <v>21473</v>
      </c>
      <c r="H2670" s="4" t="s">
        <v>21474</v>
      </c>
      <c r="I2670" t="s">
        <v>71</v>
      </c>
      <c r="J2670" t="s">
        <v>10782</v>
      </c>
      <c r="K2670" t="s">
        <v>21475</v>
      </c>
    </row>
    <row r="2671" spans="1:11" ht="115.2" x14ac:dyDescent="0.3">
      <c r="A2671" s="4" t="s">
        <v>3553</v>
      </c>
      <c r="B2671">
        <v>2</v>
      </c>
      <c r="C2671">
        <v>2021</v>
      </c>
      <c r="D2671" t="s">
        <v>217</v>
      </c>
      <c r="E2671">
        <v>22</v>
      </c>
      <c r="F2671" t="s">
        <v>21476</v>
      </c>
      <c r="G2671" t="s">
        <v>21477</v>
      </c>
      <c r="H2671" s="4" t="s">
        <v>21478</v>
      </c>
      <c r="I2671" t="s">
        <v>71</v>
      </c>
      <c r="J2671" t="s">
        <v>10782</v>
      </c>
      <c r="K2671" t="s">
        <v>21479</v>
      </c>
    </row>
    <row r="2672" spans="1:11" ht="172.8" x14ac:dyDescent="0.3">
      <c r="A2672" s="4" t="s">
        <v>1258</v>
      </c>
      <c r="B2672">
        <v>1</v>
      </c>
      <c r="C2672">
        <v>2021</v>
      </c>
      <c r="D2672" t="s">
        <v>405</v>
      </c>
      <c r="E2672">
        <v>49</v>
      </c>
      <c r="F2672" t="s">
        <v>21480</v>
      </c>
      <c r="G2672" t="s">
        <v>21481</v>
      </c>
      <c r="H2672" s="4" t="s">
        <v>21482</v>
      </c>
      <c r="I2672" t="s">
        <v>71</v>
      </c>
      <c r="J2672" t="s">
        <v>10782</v>
      </c>
      <c r="K2672" t="s">
        <v>21483</v>
      </c>
    </row>
    <row r="2673" spans="1:11" ht="172.8" x14ac:dyDescent="0.3">
      <c r="A2673" s="4" t="s">
        <v>5832</v>
      </c>
      <c r="B2673">
        <v>3</v>
      </c>
      <c r="C2673">
        <v>2021</v>
      </c>
      <c r="D2673" t="s">
        <v>1125</v>
      </c>
      <c r="E2673">
        <v>17</v>
      </c>
      <c r="F2673" t="s">
        <v>21484</v>
      </c>
      <c r="G2673" t="s">
        <v>21485</v>
      </c>
      <c r="H2673" s="4" t="s">
        <v>21486</v>
      </c>
      <c r="I2673" t="s">
        <v>10945</v>
      </c>
      <c r="J2673" t="s">
        <v>10782</v>
      </c>
      <c r="K2673" t="s">
        <v>21487</v>
      </c>
    </row>
    <row r="2674" spans="1:11" ht="201.6" x14ac:dyDescent="0.3">
      <c r="A2674" s="4" t="s">
        <v>5833</v>
      </c>
      <c r="B2674">
        <v>3</v>
      </c>
      <c r="C2674">
        <v>2021</v>
      </c>
      <c r="D2674" t="s">
        <v>405</v>
      </c>
      <c r="E2674">
        <v>99</v>
      </c>
      <c r="F2674" t="s">
        <v>21488</v>
      </c>
      <c r="G2674" t="s">
        <v>21489</v>
      </c>
      <c r="H2674" s="4" t="s">
        <v>21490</v>
      </c>
      <c r="I2674" t="s">
        <v>71</v>
      </c>
      <c r="J2674" t="s">
        <v>10782</v>
      </c>
      <c r="K2674" t="s">
        <v>21491</v>
      </c>
    </row>
    <row r="2675" spans="1:11" ht="216" x14ac:dyDescent="0.3">
      <c r="A2675" s="4" t="s">
        <v>5834</v>
      </c>
      <c r="B2675">
        <v>3</v>
      </c>
      <c r="C2675">
        <v>2021</v>
      </c>
      <c r="D2675" t="s">
        <v>637</v>
      </c>
      <c r="E2675">
        <v>17</v>
      </c>
      <c r="F2675" t="s">
        <v>21492</v>
      </c>
      <c r="G2675" t="s">
        <v>21493</v>
      </c>
      <c r="H2675" s="4" t="s">
        <v>21494</v>
      </c>
      <c r="I2675" t="s">
        <v>71</v>
      </c>
      <c r="J2675" t="s">
        <v>10782</v>
      </c>
      <c r="K2675" t="s">
        <v>21495</v>
      </c>
    </row>
    <row r="2676" spans="1:11" ht="216" x14ac:dyDescent="0.3">
      <c r="A2676" s="4" t="s">
        <v>5835</v>
      </c>
      <c r="B2676">
        <v>3</v>
      </c>
      <c r="C2676">
        <v>2021</v>
      </c>
      <c r="D2676" t="s">
        <v>217</v>
      </c>
      <c r="E2676">
        <v>3</v>
      </c>
      <c r="F2676" t="s">
        <v>21496</v>
      </c>
      <c r="G2676" t="s">
        <v>21497</v>
      </c>
      <c r="H2676" s="4" t="s">
        <v>21498</v>
      </c>
      <c r="I2676" t="s">
        <v>71</v>
      </c>
      <c r="J2676" t="s">
        <v>10782</v>
      </c>
      <c r="K2676" t="s">
        <v>21499</v>
      </c>
    </row>
    <row r="2677" spans="1:11" ht="230.4" x14ac:dyDescent="0.3">
      <c r="A2677" s="4" t="s">
        <v>5836</v>
      </c>
      <c r="B2677">
        <v>3</v>
      </c>
      <c r="C2677">
        <v>2021</v>
      </c>
      <c r="D2677" t="s">
        <v>10924</v>
      </c>
      <c r="E2677">
        <v>44</v>
      </c>
      <c r="F2677" t="s">
        <v>21500</v>
      </c>
      <c r="G2677" t="s">
        <v>21501</v>
      </c>
      <c r="H2677" s="4" t="s">
        <v>21502</v>
      </c>
      <c r="I2677" t="s">
        <v>71</v>
      </c>
      <c r="J2677" t="s">
        <v>10782</v>
      </c>
      <c r="K2677" t="s">
        <v>21503</v>
      </c>
    </row>
    <row r="2678" spans="1:11" ht="158.4" x14ac:dyDescent="0.3">
      <c r="A2678" s="4" t="s">
        <v>5837</v>
      </c>
      <c r="B2678">
        <v>3</v>
      </c>
      <c r="C2678">
        <v>2021</v>
      </c>
      <c r="D2678" t="s">
        <v>21140</v>
      </c>
      <c r="E2678">
        <v>37</v>
      </c>
      <c r="F2678" t="s">
        <v>21504</v>
      </c>
      <c r="G2678" t="s">
        <v>21505</v>
      </c>
      <c r="H2678" s="4" t="s">
        <v>21506</v>
      </c>
      <c r="I2678" t="s">
        <v>71</v>
      </c>
      <c r="J2678" t="s">
        <v>10782</v>
      </c>
      <c r="K2678" t="s">
        <v>21507</v>
      </c>
    </row>
    <row r="2679" spans="1:11" ht="28.8" x14ac:dyDescent="0.3">
      <c r="A2679" s="4" t="s">
        <v>5838</v>
      </c>
      <c r="B2679">
        <v>3</v>
      </c>
      <c r="C2679">
        <v>2021</v>
      </c>
      <c r="D2679" t="s">
        <v>21508</v>
      </c>
      <c r="E2679">
        <v>2</v>
      </c>
      <c r="F2679" t="s">
        <v>21509</v>
      </c>
      <c r="G2679" t="s">
        <v>21510</v>
      </c>
      <c r="H2679" s="4" t="s">
        <v>71</v>
      </c>
      <c r="I2679" t="s">
        <v>10782</v>
      </c>
      <c r="J2679" t="s">
        <v>21511</v>
      </c>
    </row>
    <row r="2680" spans="1:11" ht="216" x14ac:dyDescent="0.3">
      <c r="A2680" s="4" t="s">
        <v>5839</v>
      </c>
      <c r="B2680">
        <v>3</v>
      </c>
      <c r="C2680">
        <v>2021</v>
      </c>
      <c r="D2680" t="s">
        <v>11788</v>
      </c>
      <c r="E2680">
        <v>19</v>
      </c>
      <c r="F2680" t="s">
        <v>21512</v>
      </c>
      <c r="G2680" t="s">
        <v>21513</v>
      </c>
      <c r="H2680" s="4" t="s">
        <v>21514</v>
      </c>
      <c r="I2680" t="s">
        <v>71</v>
      </c>
      <c r="J2680" t="s">
        <v>10782</v>
      </c>
      <c r="K2680" t="s">
        <v>21515</v>
      </c>
    </row>
    <row r="2681" spans="1:11" ht="115.2" x14ac:dyDescent="0.3">
      <c r="A2681" s="4" t="s">
        <v>5840</v>
      </c>
      <c r="B2681">
        <v>3</v>
      </c>
      <c r="C2681">
        <v>2021</v>
      </c>
      <c r="D2681" t="s">
        <v>13382</v>
      </c>
      <c r="E2681">
        <v>33</v>
      </c>
      <c r="F2681" t="s">
        <v>21516</v>
      </c>
      <c r="G2681" t="s">
        <v>21517</v>
      </c>
      <c r="H2681" s="4" t="s">
        <v>21518</v>
      </c>
    </row>
    <row r="2682" spans="1:11" ht="273.60000000000002" x14ac:dyDescent="0.3">
      <c r="A2682" s="4" t="s">
        <v>5841</v>
      </c>
      <c r="B2682">
        <v>3</v>
      </c>
      <c r="C2682">
        <v>2021</v>
      </c>
      <c r="D2682" t="s">
        <v>264</v>
      </c>
      <c r="E2682">
        <v>29</v>
      </c>
      <c r="F2682" t="s">
        <v>21519</v>
      </c>
      <c r="G2682" t="s">
        <v>21520</v>
      </c>
      <c r="H2682" s="4" t="s">
        <v>21521</v>
      </c>
      <c r="I2682" t="s">
        <v>71</v>
      </c>
      <c r="J2682" t="s">
        <v>10782</v>
      </c>
      <c r="K2682" t="s">
        <v>21522</v>
      </c>
    </row>
    <row r="2683" spans="1:11" ht="187.2" x14ac:dyDescent="0.3">
      <c r="A2683" s="4" t="s">
        <v>3331</v>
      </c>
      <c r="B2683">
        <v>1</v>
      </c>
      <c r="C2683">
        <v>2021</v>
      </c>
      <c r="D2683" t="s">
        <v>724</v>
      </c>
      <c r="E2683">
        <v>27</v>
      </c>
      <c r="F2683" t="s">
        <v>21523</v>
      </c>
      <c r="G2683" t="s">
        <v>21524</v>
      </c>
      <c r="H2683" s="4" t="s">
        <v>21525</v>
      </c>
      <c r="I2683" t="s">
        <v>71</v>
      </c>
      <c r="J2683" t="s">
        <v>10782</v>
      </c>
      <c r="K2683" t="s">
        <v>21526</v>
      </c>
    </row>
    <row r="2684" spans="1:11" ht="129.6" x14ac:dyDescent="0.3">
      <c r="A2684" s="4" t="s">
        <v>3554</v>
      </c>
      <c r="B2684">
        <v>2</v>
      </c>
      <c r="C2684">
        <v>2021</v>
      </c>
      <c r="D2684" t="s">
        <v>217</v>
      </c>
      <c r="E2684">
        <v>16</v>
      </c>
      <c r="F2684" t="s">
        <v>21527</v>
      </c>
      <c r="G2684" t="s">
        <v>21528</v>
      </c>
      <c r="H2684" s="4" t="s">
        <v>21529</v>
      </c>
    </row>
    <row r="2685" spans="1:11" ht="244.8" x14ac:dyDescent="0.3">
      <c r="A2685" s="4" t="s">
        <v>5842</v>
      </c>
      <c r="B2685">
        <v>3</v>
      </c>
      <c r="C2685">
        <v>2021</v>
      </c>
      <c r="D2685" t="s">
        <v>892</v>
      </c>
      <c r="E2685">
        <v>19</v>
      </c>
      <c r="F2685" t="s">
        <v>21530</v>
      </c>
      <c r="G2685" t="s">
        <v>21531</v>
      </c>
      <c r="H2685" s="4" t="s">
        <v>21532</v>
      </c>
      <c r="I2685" t="s">
        <v>71</v>
      </c>
      <c r="J2685" t="s">
        <v>10782</v>
      </c>
      <c r="K2685" t="s">
        <v>21533</v>
      </c>
    </row>
    <row r="2686" spans="1:11" ht="129.6" x14ac:dyDescent="0.3">
      <c r="A2686" s="4" t="s">
        <v>5843</v>
      </c>
      <c r="B2686">
        <v>3</v>
      </c>
      <c r="C2686">
        <v>2021</v>
      </c>
      <c r="D2686" t="s">
        <v>1865</v>
      </c>
      <c r="E2686">
        <v>7</v>
      </c>
      <c r="F2686" t="s">
        <v>21534</v>
      </c>
      <c r="G2686" t="s">
        <v>21535</v>
      </c>
      <c r="H2686" s="4" t="s">
        <v>21536</v>
      </c>
      <c r="I2686" t="s">
        <v>71</v>
      </c>
      <c r="J2686" t="s">
        <v>10782</v>
      </c>
      <c r="K2686" t="s">
        <v>21537</v>
      </c>
    </row>
    <row r="2687" spans="1:11" ht="187.2" x14ac:dyDescent="0.3">
      <c r="A2687" s="4" t="s">
        <v>5844</v>
      </c>
      <c r="B2687">
        <v>3</v>
      </c>
      <c r="C2687">
        <v>2021</v>
      </c>
      <c r="D2687" t="s">
        <v>2416</v>
      </c>
      <c r="E2687">
        <v>15</v>
      </c>
      <c r="F2687" t="s">
        <v>21538</v>
      </c>
      <c r="G2687" t="s">
        <v>21539</v>
      </c>
      <c r="H2687" s="4" t="s">
        <v>21540</v>
      </c>
      <c r="I2687" t="s">
        <v>71</v>
      </c>
      <c r="J2687" t="s">
        <v>10782</v>
      </c>
      <c r="K2687" t="s">
        <v>21541</v>
      </c>
    </row>
    <row r="2688" spans="1:11" ht="187.2" x14ac:dyDescent="0.3">
      <c r="A2688" s="4" t="s">
        <v>5845</v>
      </c>
      <c r="B2688">
        <v>3</v>
      </c>
      <c r="C2688">
        <v>2021</v>
      </c>
      <c r="D2688" t="s">
        <v>21542</v>
      </c>
      <c r="E2688">
        <v>16</v>
      </c>
      <c r="F2688" t="s">
        <v>21543</v>
      </c>
      <c r="G2688" t="s">
        <v>21544</v>
      </c>
      <c r="H2688" s="4" t="s">
        <v>21545</v>
      </c>
      <c r="I2688" t="s">
        <v>71</v>
      </c>
      <c r="J2688" t="s">
        <v>10782</v>
      </c>
      <c r="K2688" t="s">
        <v>21546</v>
      </c>
    </row>
    <row r="2689" spans="1:11" ht="144" x14ac:dyDescent="0.3">
      <c r="A2689" s="4" t="s">
        <v>5846</v>
      </c>
      <c r="B2689">
        <v>3</v>
      </c>
      <c r="C2689">
        <v>2021</v>
      </c>
      <c r="D2689" t="s">
        <v>19186</v>
      </c>
      <c r="E2689">
        <v>18</v>
      </c>
      <c r="F2689" t="s">
        <v>21547</v>
      </c>
      <c r="G2689" t="s">
        <v>21548</v>
      </c>
      <c r="H2689" s="4" t="s">
        <v>21549</v>
      </c>
    </row>
    <row r="2690" spans="1:11" ht="129.6" x14ac:dyDescent="0.3">
      <c r="A2690" s="4" t="s">
        <v>3555</v>
      </c>
      <c r="B2690">
        <v>2</v>
      </c>
      <c r="C2690">
        <v>2021</v>
      </c>
      <c r="D2690" t="s">
        <v>2893</v>
      </c>
      <c r="E2690">
        <v>53</v>
      </c>
      <c r="F2690" t="s">
        <v>21550</v>
      </c>
      <c r="G2690" t="s">
        <v>21551</v>
      </c>
      <c r="H2690" s="4" t="s">
        <v>21552</v>
      </c>
      <c r="I2690" t="s">
        <v>10823</v>
      </c>
      <c r="J2690" t="s">
        <v>10782</v>
      </c>
      <c r="K2690" t="s">
        <v>21553</v>
      </c>
    </row>
    <row r="2691" spans="1:11" ht="172.8" x14ac:dyDescent="0.3">
      <c r="A2691" s="4" t="s">
        <v>5847</v>
      </c>
      <c r="B2691">
        <v>3</v>
      </c>
      <c r="C2691">
        <v>2021</v>
      </c>
      <c r="D2691" t="s">
        <v>724</v>
      </c>
      <c r="E2691">
        <v>18</v>
      </c>
      <c r="F2691" t="s">
        <v>21554</v>
      </c>
      <c r="G2691" t="s">
        <v>21555</v>
      </c>
      <c r="H2691" s="4" t="s">
        <v>21556</v>
      </c>
    </row>
    <row r="2692" spans="1:11" ht="115.2" x14ac:dyDescent="0.3">
      <c r="A2692" s="4" t="s">
        <v>5848</v>
      </c>
      <c r="B2692">
        <v>3</v>
      </c>
      <c r="C2692">
        <v>2021</v>
      </c>
      <c r="D2692" t="s">
        <v>17273</v>
      </c>
      <c r="E2692">
        <v>6</v>
      </c>
      <c r="F2692" t="s">
        <v>21557</v>
      </c>
      <c r="G2692" t="s">
        <v>21558</v>
      </c>
      <c r="H2692" s="4" t="s">
        <v>21559</v>
      </c>
      <c r="I2692" t="s">
        <v>71</v>
      </c>
      <c r="J2692" t="s">
        <v>10782</v>
      </c>
      <c r="K2692" t="s">
        <v>21560</v>
      </c>
    </row>
    <row r="2693" spans="1:11" ht="100.8" x14ac:dyDescent="0.3">
      <c r="A2693" s="4" t="s">
        <v>5849</v>
      </c>
      <c r="B2693">
        <v>3</v>
      </c>
      <c r="C2693">
        <v>2021</v>
      </c>
      <c r="D2693" t="s">
        <v>679</v>
      </c>
      <c r="E2693">
        <v>11</v>
      </c>
      <c r="F2693" t="s">
        <v>21561</v>
      </c>
      <c r="G2693" t="s">
        <v>21562</v>
      </c>
      <c r="H2693" s="4" t="s">
        <v>21563</v>
      </c>
    </row>
    <row r="2694" spans="1:11" ht="244.8" x14ac:dyDescent="0.3">
      <c r="A2694" s="4" t="s">
        <v>5850</v>
      </c>
      <c r="B2694">
        <v>3</v>
      </c>
      <c r="C2694">
        <v>2021</v>
      </c>
      <c r="D2694" t="s">
        <v>264</v>
      </c>
      <c r="E2694">
        <v>33</v>
      </c>
      <c r="F2694" t="s">
        <v>21564</v>
      </c>
      <c r="G2694" t="s">
        <v>21565</v>
      </c>
      <c r="H2694" s="4" t="s">
        <v>21566</v>
      </c>
      <c r="I2694" t="s">
        <v>71</v>
      </c>
      <c r="J2694" t="s">
        <v>10782</v>
      </c>
      <c r="K2694" t="s">
        <v>21567</v>
      </c>
    </row>
    <row r="2695" spans="1:11" ht="72" x14ac:dyDescent="0.3">
      <c r="A2695" s="4" t="s">
        <v>5851</v>
      </c>
      <c r="B2695">
        <v>3</v>
      </c>
      <c r="C2695">
        <v>2021</v>
      </c>
      <c r="D2695" t="s">
        <v>1570</v>
      </c>
      <c r="E2695">
        <v>1</v>
      </c>
      <c r="F2695" t="s">
        <v>21568</v>
      </c>
      <c r="G2695" t="s">
        <v>21569</v>
      </c>
      <c r="H2695" s="4" t="s">
        <v>21570</v>
      </c>
    </row>
    <row r="2696" spans="1:11" ht="172.8" x14ac:dyDescent="0.3">
      <c r="A2696" s="4" t="s">
        <v>5852</v>
      </c>
      <c r="B2696">
        <v>3</v>
      </c>
      <c r="C2696">
        <v>2021</v>
      </c>
      <c r="D2696" t="s">
        <v>1525</v>
      </c>
      <c r="E2696">
        <v>11</v>
      </c>
      <c r="F2696" t="s">
        <v>21571</v>
      </c>
      <c r="G2696" t="s">
        <v>21572</v>
      </c>
      <c r="H2696" s="4" t="s">
        <v>21573</v>
      </c>
      <c r="I2696" t="s">
        <v>71</v>
      </c>
      <c r="J2696" t="s">
        <v>10782</v>
      </c>
      <c r="K2696" t="s">
        <v>21574</v>
      </c>
    </row>
    <row r="2697" spans="1:11" ht="172.8" x14ac:dyDescent="0.3">
      <c r="A2697" s="4" t="s">
        <v>5853</v>
      </c>
      <c r="B2697">
        <v>3</v>
      </c>
      <c r="C2697">
        <v>2021</v>
      </c>
      <c r="D2697" t="s">
        <v>318</v>
      </c>
      <c r="E2697">
        <v>19</v>
      </c>
      <c r="F2697" t="s">
        <v>21575</v>
      </c>
      <c r="G2697" t="s">
        <v>21576</v>
      </c>
      <c r="H2697" s="4" t="s">
        <v>21577</v>
      </c>
    </row>
    <row r="2698" spans="1:11" ht="216" x14ac:dyDescent="0.3">
      <c r="A2698" s="4" t="s">
        <v>5854</v>
      </c>
      <c r="B2698">
        <v>3</v>
      </c>
      <c r="C2698">
        <v>2021</v>
      </c>
      <c r="D2698" t="s">
        <v>21578</v>
      </c>
      <c r="E2698">
        <v>6</v>
      </c>
      <c r="F2698" t="s">
        <v>21579</v>
      </c>
      <c r="G2698" t="s">
        <v>21580</v>
      </c>
      <c r="H2698" s="4" t="s">
        <v>21581</v>
      </c>
      <c r="I2698" t="s">
        <v>10823</v>
      </c>
      <c r="J2698" t="s">
        <v>10782</v>
      </c>
      <c r="K2698" t="s">
        <v>21582</v>
      </c>
    </row>
    <row r="2699" spans="1:11" ht="201.6" x14ac:dyDescent="0.3">
      <c r="A2699" s="4" t="s">
        <v>5855</v>
      </c>
      <c r="B2699">
        <v>3</v>
      </c>
      <c r="C2699">
        <v>2021</v>
      </c>
      <c r="D2699" t="s">
        <v>21583</v>
      </c>
      <c r="E2699">
        <v>20</v>
      </c>
      <c r="F2699" t="s">
        <v>21584</v>
      </c>
      <c r="G2699" t="s">
        <v>21585</v>
      </c>
      <c r="H2699" s="4" t="s">
        <v>21586</v>
      </c>
      <c r="I2699" t="s">
        <v>10823</v>
      </c>
      <c r="J2699" t="s">
        <v>10782</v>
      </c>
      <c r="K2699" t="s">
        <v>21587</v>
      </c>
    </row>
    <row r="2700" spans="1:11" ht="100.8" x14ac:dyDescent="0.3">
      <c r="A2700" s="4" t="s">
        <v>5856</v>
      </c>
      <c r="B2700">
        <v>3</v>
      </c>
      <c r="C2700">
        <v>2021</v>
      </c>
      <c r="D2700" t="s">
        <v>1245</v>
      </c>
      <c r="E2700">
        <v>73</v>
      </c>
      <c r="F2700" t="s">
        <v>21588</v>
      </c>
      <c r="G2700" t="s">
        <v>21589</v>
      </c>
      <c r="H2700" s="4" t="s">
        <v>21590</v>
      </c>
      <c r="I2700" t="s">
        <v>10823</v>
      </c>
      <c r="J2700" t="s">
        <v>10782</v>
      </c>
      <c r="K2700" t="s">
        <v>21591</v>
      </c>
    </row>
    <row r="2701" spans="1:11" ht="216" x14ac:dyDescent="0.3">
      <c r="A2701" s="4" t="s">
        <v>5857</v>
      </c>
      <c r="B2701">
        <v>3</v>
      </c>
      <c r="C2701">
        <v>2021</v>
      </c>
      <c r="D2701" t="s">
        <v>892</v>
      </c>
      <c r="E2701">
        <v>14</v>
      </c>
      <c r="F2701" t="s">
        <v>21592</v>
      </c>
      <c r="G2701" t="s">
        <v>21593</v>
      </c>
      <c r="H2701" s="4" t="s">
        <v>21594</v>
      </c>
      <c r="I2701" t="s">
        <v>71</v>
      </c>
      <c r="J2701" t="s">
        <v>10782</v>
      </c>
      <c r="K2701" t="s">
        <v>21595</v>
      </c>
    </row>
    <row r="2702" spans="1:11" ht="187.2" x14ac:dyDescent="0.3">
      <c r="A2702" s="4" t="s">
        <v>1259</v>
      </c>
      <c r="B2702">
        <v>1</v>
      </c>
      <c r="C2702">
        <v>2021</v>
      </c>
      <c r="D2702" t="s">
        <v>1316</v>
      </c>
      <c r="E2702">
        <v>50</v>
      </c>
      <c r="F2702" t="s">
        <v>21596</v>
      </c>
      <c r="G2702" t="s">
        <v>21597</v>
      </c>
      <c r="H2702" s="4" t="s">
        <v>21598</v>
      </c>
      <c r="I2702" t="s">
        <v>71</v>
      </c>
      <c r="J2702" t="s">
        <v>10782</v>
      </c>
      <c r="K2702" t="s">
        <v>21599</v>
      </c>
    </row>
    <row r="2703" spans="1:11" ht="115.2" x14ac:dyDescent="0.3">
      <c r="A2703" s="4" t="s">
        <v>5858</v>
      </c>
      <c r="B2703">
        <v>3</v>
      </c>
      <c r="C2703">
        <v>2021</v>
      </c>
      <c r="D2703" t="s">
        <v>21600</v>
      </c>
      <c r="E2703">
        <v>1</v>
      </c>
      <c r="F2703" t="s">
        <v>21601</v>
      </c>
      <c r="G2703" t="s">
        <v>21602</v>
      </c>
      <c r="H2703" s="4" t="s">
        <v>21603</v>
      </c>
      <c r="I2703" t="s">
        <v>71</v>
      </c>
      <c r="J2703" t="s">
        <v>10782</v>
      </c>
      <c r="K2703" t="s">
        <v>21604</v>
      </c>
    </row>
    <row r="2704" spans="1:11" ht="144" x14ac:dyDescent="0.3">
      <c r="A2704" s="4" t="s">
        <v>5859</v>
      </c>
      <c r="B2704">
        <v>3</v>
      </c>
      <c r="C2704">
        <v>2021</v>
      </c>
      <c r="D2704" t="s">
        <v>363</v>
      </c>
      <c r="E2704">
        <v>42</v>
      </c>
      <c r="F2704" t="s">
        <v>21605</v>
      </c>
      <c r="G2704" t="s">
        <v>21606</v>
      </c>
      <c r="H2704" s="4" t="s">
        <v>21607</v>
      </c>
      <c r="I2704" t="s">
        <v>71</v>
      </c>
      <c r="J2704" t="s">
        <v>10782</v>
      </c>
      <c r="K2704" t="s">
        <v>21608</v>
      </c>
    </row>
    <row r="2705" spans="1:11" ht="187.2" x14ac:dyDescent="0.3">
      <c r="A2705" s="4" t="s">
        <v>5860</v>
      </c>
      <c r="B2705">
        <v>3</v>
      </c>
      <c r="C2705">
        <v>2021</v>
      </c>
      <c r="D2705" t="s">
        <v>1002</v>
      </c>
      <c r="E2705">
        <v>41</v>
      </c>
      <c r="F2705" t="s">
        <v>21609</v>
      </c>
      <c r="G2705" t="s">
        <v>21610</v>
      </c>
      <c r="H2705" s="4" t="s">
        <v>21611</v>
      </c>
      <c r="I2705" t="s">
        <v>71</v>
      </c>
      <c r="J2705" t="s">
        <v>10782</v>
      </c>
      <c r="K2705" t="s">
        <v>21612</v>
      </c>
    </row>
    <row r="2706" spans="1:11" ht="187.2" x14ac:dyDescent="0.3">
      <c r="A2706" s="4" t="s">
        <v>5861</v>
      </c>
      <c r="B2706">
        <v>3</v>
      </c>
      <c r="C2706">
        <v>2021</v>
      </c>
      <c r="D2706" t="s">
        <v>147</v>
      </c>
      <c r="E2706">
        <v>15</v>
      </c>
      <c r="F2706" t="s">
        <v>21613</v>
      </c>
      <c r="G2706" t="s">
        <v>21614</v>
      </c>
      <c r="H2706" s="4" t="s">
        <v>21615</v>
      </c>
      <c r="I2706" t="s">
        <v>71</v>
      </c>
      <c r="J2706" t="s">
        <v>10782</v>
      </c>
      <c r="K2706" t="s">
        <v>21616</v>
      </c>
    </row>
    <row r="2707" spans="1:11" ht="158.4" x14ac:dyDescent="0.3">
      <c r="A2707" s="4" t="s">
        <v>5862</v>
      </c>
      <c r="B2707">
        <v>3</v>
      </c>
      <c r="C2707">
        <v>2021</v>
      </c>
      <c r="D2707" t="s">
        <v>15507</v>
      </c>
      <c r="E2707">
        <v>4</v>
      </c>
      <c r="F2707" t="s">
        <v>21617</v>
      </c>
      <c r="G2707" t="s">
        <v>21618</v>
      </c>
      <c r="H2707" s="4" t="s">
        <v>21619</v>
      </c>
      <c r="I2707" t="s">
        <v>71</v>
      </c>
      <c r="J2707" t="s">
        <v>10782</v>
      </c>
      <c r="K2707" t="s">
        <v>21620</v>
      </c>
    </row>
    <row r="2708" spans="1:11" ht="172.8" x14ac:dyDescent="0.3">
      <c r="A2708" s="4" t="s">
        <v>1260</v>
      </c>
      <c r="B2708">
        <v>1</v>
      </c>
      <c r="C2708">
        <v>2021</v>
      </c>
      <c r="D2708" t="s">
        <v>550</v>
      </c>
      <c r="E2708">
        <v>5</v>
      </c>
      <c r="F2708" t="s">
        <v>21621</v>
      </c>
      <c r="G2708" t="s">
        <v>21622</v>
      </c>
      <c r="H2708" s="4" t="s">
        <v>21623</v>
      </c>
      <c r="I2708" t="s">
        <v>71</v>
      </c>
      <c r="J2708" t="s">
        <v>10782</v>
      </c>
      <c r="K2708" t="s">
        <v>21624</v>
      </c>
    </row>
    <row r="2709" spans="1:11" ht="288" x14ac:dyDescent="0.3">
      <c r="A2709" s="4" t="s">
        <v>3332</v>
      </c>
      <c r="B2709">
        <v>1</v>
      </c>
      <c r="C2709">
        <v>2021</v>
      </c>
      <c r="D2709" t="s">
        <v>329</v>
      </c>
      <c r="E2709">
        <v>22</v>
      </c>
      <c r="F2709" t="s">
        <v>21625</v>
      </c>
      <c r="G2709" t="s">
        <v>21626</v>
      </c>
      <c r="H2709" s="4" t="s">
        <v>21627</v>
      </c>
      <c r="I2709" t="s">
        <v>71</v>
      </c>
      <c r="J2709" t="s">
        <v>10782</v>
      </c>
      <c r="K2709" t="s">
        <v>21628</v>
      </c>
    </row>
    <row r="2710" spans="1:11" ht="100.8" x14ac:dyDescent="0.3">
      <c r="A2710" s="4" t="s">
        <v>5863</v>
      </c>
      <c r="B2710">
        <v>3</v>
      </c>
      <c r="C2710">
        <v>2021</v>
      </c>
      <c r="D2710" t="s">
        <v>1175</v>
      </c>
      <c r="E2710">
        <v>6</v>
      </c>
      <c r="F2710" t="s">
        <v>21629</v>
      </c>
      <c r="G2710" t="s">
        <v>21630</v>
      </c>
      <c r="H2710" s="4" t="s">
        <v>21631</v>
      </c>
    </row>
    <row r="2711" spans="1:11" ht="129.6" x14ac:dyDescent="0.3">
      <c r="A2711" s="4" t="s">
        <v>5864</v>
      </c>
      <c r="B2711">
        <v>3</v>
      </c>
      <c r="C2711">
        <v>2021</v>
      </c>
      <c r="D2711" t="s">
        <v>21632</v>
      </c>
      <c r="E2711">
        <v>2</v>
      </c>
      <c r="F2711" t="s">
        <v>21633</v>
      </c>
      <c r="G2711" t="s">
        <v>21634</v>
      </c>
      <c r="H2711" s="4" t="s">
        <v>21635</v>
      </c>
    </row>
    <row r="2712" spans="1:11" ht="273.60000000000002" x14ac:dyDescent="0.3">
      <c r="A2712" s="4" t="s">
        <v>5865</v>
      </c>
      <c r="B2712">
        <v>3</v>
      </c>
      <c r="C2712">
        <v>2021</v>
      </c>
      <c r="D2712" t="s">
        <v>17273</v>
      </c>
      <c r="E2712">
        <v>93</v>
      </c>
      <c r="F2712" t="s">
        <v>21636</v>
      </c>
      <c r="G2712" t="s">
        <v>21637</v>
      </c>
      <c r="H2712" s="4" t="s">
        <v>21638</v>
      </c>
      <c r="I2712" t="s">
        <v>71</v>
      </c>
      <c r="J2712" t="s">
        <v>10782</v>
      </c>
      <c r="K2712" t="s">
        <v>21639</v>
      </c>
    </row>
    <row r="2713" spans="1:11" ht="144" x14ac:dyDescent="0.3">
      <c r="A2713" s="4" t="s">
        <v>5866</v>
      </c>
      <c r="B2713">
        <v>3</v>
      </c>
      <c r="C2713">
        <v>2021</v>
      </c>
      <c r="D2713" t="s">
        <v>21640</v>
      </c>
      <c r="E2713">
        <v>30</v>
      </c>
      <c r="F2713" t="s">
        <v>21641</v>
      </c>
      <c r="G2713" t="s">
        <v>21642</v>
      </c>
      <c r="H2713" s="4" t="s">
        <v>21643</v>
      </c>
      <c r="I2713" t="s">
        <v>71</v>
      </c>
      <c r="J2713" t="s">
        <v>10782</v>
      </c>
      <c r="K2713" t="s">
        <v>21644</v>
      </c>
    </row>
    <row r="2714" spans="1:11" ht="172.8" x14ac:dyDescent="0.3">
      <c r="A2714" s="4" t="s">
        <v>5867</v>
      </c>
      <c r="B2714">
        <v>3</v>
      </c>
      <c r="C2714">
        <v>2021</v>
      </c>
      <c r="D2714" t="s">
        <v>2853</v>
      </c>
      <c r="E2714">
        <v>6</v>
      </c>
      <c r="F2714" t="s">
        <v>21645</v>
      </c>
      <c r="G2714" t="s">
        <v>21646</v>
      </c>
      <c r="H2714" s="4" t="s">
        <v>21647</v>
      </c>
      <c r="I2714" t="s">
        <v>71</v>
      </c>
      <c r="J2714" t="s">
        <v>10782</v>
      </c>
      <c r="K2714" t="s">
        <v>21648</v>
      </c>
    </row>
    <row r="2715" spans="1:11" ht="129.6" x14ac:dyDescent="0.3">
      <c r="A2715" s="4" t="s">
        <v>5868</v>
      </c>
      <c r="B2715">
        <v>3</v>
      </c>
      <c r="C2715">
        <v>2021</v>
      </c>
      <c r="D2715" t="s">
        <v>10924</v>
      </c>
      <c r="E2715">
        <v>6</v>
      </c>
      <c r="F2715" t="s">
        <v>21649</v>
      </c>
      <c r="G2715" t="s">
        <v>21650</v>
      </c>
      <c r="H2715" s="4" t="s">
        <v>21651</v>
      </c>
      <c r="I2715" t="s">
        <v>71</v>
      </c>
      <c r="J2715" t="s">
        <v>10782</v>
      </c>
      <c r="K2715" t="s">
        <v>21652</v>
      </c>
    </row>
    <row r="2716" spans="1:11" ht="158.4" x14ac:dyDescent="0.3">
      <c r="A2716" s="4" t="s">
        <v>5869</v>
      </c>
      <c r="B2716">
        <v>3</v>
      </c>
      <c r="C2716">
        <v>2021</v>
      </c>
      <c r="D2716" t="s">
        <v>724</v>
      </c>
      <c r="E2716">
        <v>24</v>
      </c>
      <c r="F2716" t="s">
        <v>21653</v>
      </c>
      <c r="G2716" t="s">
        <v>21654</v>
      </c>
      <c r="H2716" s="4" t="s">
        <v>21655</v>
      </c>
    </row>
    <row r="2717" spans="1:11" ht="244.8" x14ac:dyDescent="0.3">
      <c r="A2717" s="4" t="s">
        <v>5870</v>
      </c>
      <c r="B2717">
        <v>3</v>
      </c>
      <c r="C2717">
        <v>2021</v>
      </c>
      <c r="D2717" t="s">
        <v>724</v>
      </c>
      <c r="E2717">
        <v>1</v>
      </c>
      <c r="F2717" t="s">
        <v>21656</v>
      </c>
      <c r="G2717" t="s">
        <v>21657</v>
      </c>
      <c r="H2717" s="4" t="s">
        <v>21658</v>
      </c>
      <c r="I2717" t="s">
        <v>71</v>
      </c>
      <c r="J2717" t="s">
        <v>10782</v>
      </c>
      <c r="K2717" t="s">
        <v>21659</v>
      </c>
    </row>
    <row r="2718" spans="1:11" ht="187.2" x14ac:dyDescent="0.3">
      <c r="A2718" s="4" t="s">
        <v>5871</v>
      </c>
      <c r="B2718">
        <v>3</v>
      </c>
      <c r="C2718">
        <v>2021</v>
      </c>
      <c r="D2718" t="s">
        <v>190</v>
      </c>
      <c r="E2718">
        <v>54</v>
      </c>
      <c r="F2718" t="s">
        <v>21660</v>
      </c>
      <c r="G2718" t="s">
        <v>21661</v>
      </c>
      <c r="H2718" s="4" t="s">
        <v>21662</v>
      </c>
      <c r="I2718" t="s">
        <v>71</v>
      </c>
      <c r="J2718" t="s">
        <v>10782</v>
      </c>
      <c r="K2718" t="s">
        <v>21663</v>
      </c>
    </row>
    <row r="2719" spans="1:11" ht="158.4" x14ac:dyDescent="0.3">
      <c r="A2719" s="4" t="s">
        <v>5872</v>
      </c>
      <c r="B2719">
        <v>3</v>
      </c>
      <c r="C2719">
        <v>2021</v>
      </c>
      <c r="D2719" t="s">
        <v>11337</v>
      </c>
      <c r="E2719">
        <v>29</v>
      </c>
      <c r="F2719" t="s">
        <v>21664</v>
      </c>
      <c r="G2719" t="s">
        <v>21665</v>
      </c>
      <c r="H2719" s="4" t="s">
        <v>21666</v>
      </c>
      <c r="I2719" t="s">
        <v>71</v>
      </c>
      <c r="J2719" t="s">
        <v>10782</v>
      </c>
      <c r="K2719" t="s">
        <v>21667</v>
      </c>
    </row>
    <row r="2720" spans="1:11" ht="57.6" x14ac:dyDescent="0.3">
      <c r="A2720" s="4" t="s">
        <v>5873</v>
      </c>
      <c r="B2720">
        <v>3</v>
      </c>
      <c r="C2720">
        <v>2021</v>
      </c>
      <c r="D2720" t="s">
        <v>14216</v>
      </c>
      <c r="E2720">
        <v>4</v>
      </c>
      <c r="F2720" t="s">
        <v>21668</v>
      </c>
      <c r="G2720" t="s">
        <v>21669</v>
      </c>
      <c r="H2720" s="4" t="s">
        <v>21670</v>
      </c>
    </row>
    <row r="2721" spans="1:11" ht="115.2" x14ac:dyDescent="0.3">
      <c r="A2721" s="4" t="s">
        <v>5874</v>
      </c>
      <c r="B2721">
        <v>3</v>
      </c>
      <c r="C2721">
        <v>2021</v>
      </c>
      <c r="D2721" t="s">
        <v>21671</v>
      </c>
      <c r="E2721">
        <v>58</v>
      </c>
      <c r="F2721" t="s">
        <v>21672</v>
      </c>
      <c r="G2721" t="s">
        <v>21673</v>
      </c>
      <c r="H2721" s="4" t="s">
        <v>21674</v>
      </c>
      <c r="I2721" t="s">
        <v>71</v>
      </c>
      <c r="J2721" t="s">
        <v>10782</v>
      </c>
      <c r="K2721" t="s">
        <v>21675</v>
      </c>
    </row>
    <row r="2722" spans="1:11" ht="144" x14ac:dyDescent="0.3">
      <c r="A2722" s="4" t="s">
        <v>5875</v>
      </c>
      <c r="B2722">
        <v>3</v>
      </c>
      <c r="C2722">
        <v>2021</v>
      </c>
      <c r="D2722" t="s">
        <v>217</v>
      </c>
      <c r="E2722">
        <v>1</v>
      </c>
      <c r="F2722" t="s">
        <v>21676</v>
      </c>
      <c r="G2722" t="s">
        <v>21677</v>
      </c>
      <c r="H2722" s="4" t="s">
        <v>21678</v>
      </c>
      <c r="I2722" t="s">
        <v>71</v>
      </c>
      <c r="J2722" t="s">
        <v>10782</v>
      </c>
      <c r="K2722" t="s">
        <v>21679</v>
      </c>
    </row>
    <row r="2723" spans="1:11" ht="172.8" x14ac:dyDescent="0.3">
      <c r="A2723" s="4" t="s">
        <v>5876</v>
      </c>
      <c r="B2723">
        <v>3</v>
      </c>
      <c r="C2723">
        <v>2021</v>
      </c>
      <c r="D2723" t="s">
        <v>2819</v>
      </c>
      <c r="E2723">
        <v>7</v>
      </c>
      <c r="F2723" t="s">
        <v>21680</v>
      </c>
      <c r="G2723" t="s">
        <v>21681</v>
      </c>
      <c r="H2723" s="4" t="s">
        <v>21682</v>
      </c>
      <c r="I2723" t="s">
        <v>71</v>
      </c>
      <c r="J2723" t="s">
        <v>10782</v>
      </c>
      <c r="K2723" t="s">
        <v>21683</v>
      </c>
    </row>
    <row r="2724" spans="1:11" ht="259.2" x14ac:dyDescent="0.3">
      <c r="A2724" s="4" t="s">
        <v>5877</v>
      </c>
      <c r="B2724">
        <v>3</v>
      </c>
      <c r="C2724">
        <v>2021</v>
      </c>
      <c r="D2724" t="s">
        <v>217</v>
      </c>
      <c r="E2724">
        <v>31</v>
      </c>
      <c r="F2724" t="s">
        <v>21684</v>
      </c>
      <c r="G2724" t="s">
        <v>21685</v>
      </c>
      <c r="H2724" s="4" t="s">
        <v>21686</v>
      </c>
    </row>
    <row r="2725" spans="1:11" ht="172.8" x14ac:dyDescent="0.3">
      <c r="A2725" s="4" t="s">
        <v>1261</v>
      </c>
      <c r="B2725">
        <v>1</v>
      </c>
      <c r="C2725">
        <v>2021</v>
      </c>
      <c r="D2725" t="s">
        <v>363</v>
      </c>
      <c r="E2725">
        <v>22</v>
      </c>
      <c r="F2725" t="s">
        <v>21687</v>
      </c>
      <c r="G2725" t="s">
        <v>21688</v>
      </c>
      <c r="H2725" s="4" t="s">
        <v>21689</v>
      </c>
      <c r="I2725" t="s">
        <v>71</v>
      </c>
      <c r="J2725" t="s">
        <v>10782</v>
      </c>
      <c r="K2725" t="s">
        <v>21690</v>
      </c>
    </row>
    <row r="2726" spans="1:11" ht="158.4" x14ac:dyDescent="0.3">
      <c r="A2726" s="4" t="s">
        <v>5878</v>
      </c>
      <c r="B2726">
        <v>3</v>
      </c>
      <c r="C2726">
        <v>2021</v>
      </c>
      <c r="D2726" t="s">
        <v>10796</v>
      </c>
      <c r="E2726">
        <v>23</v>
      </c>
      <c r="F2726" t="s">
        <v>21691</v>
      </c>
      <c r="G2726" t="s">
        <v>21692</v>
      </c>
      <c r="H2726" s="4" t="s">
        <v>21693</v>
      </c>
      <c r="I2726" t="s">
        <v>71</v>
      </c>
      <c r="J2726" t="s">
        <v>10782</v>
      </c>
      <c r="K2726" t="s">
        <v>21694</v>
      </c>
    </row>
    <row r="2727" spans="1:11" ht="172.8" x14ac:dyDescent="0.3">
      <c r="A2727" s="4" t="s">
        <v>5879</v>
      </c>
      <c r="B2727">
        <v>3</v>
      </c>
      <c r="C2727">
        <v>2021</v>
      </c>
      <c r="D2727" t="s">
        <v>622</v>
      </c>
      <c r="E2727">
        <v>4</v>
      </c>
      <c r="F2727" t="s">
        <v>21695</v>
      </c>
      <c r="G2727" t="s">
        <v>21696</v>
      </c>
      <c r="H2727" s="4" t="s">
        <v>21697</v>
      </c>
      <c r="I2727" t="s">
        <v>71</v>
      </c>
      <c r="J2727" t="s">
        <v>10782</v>
      </c>
      <c r="K2727" t="s">
        <v>21698</v>
      </c>
    </row>
    <row r="2728" spans="1:11" ht="201.6" x14ac:dyDescent="0.3">
      <c r="A2728" s="4" t="s">
        <v>5880</v>
      </c>
      <c r="B2728">
        <v>3</v>
      </c>
      <c r="C2728">
        <v>2021</v>
      </c>
      <c r="D2728" t="s">
        <v>80</v>
      </c>
      <c r="E2728">
        <v>4</v>
      </c>
      <c r="F2728" t="s">
        <v>21699</v>
      </c>
      <c r="G2728" t="s">
        <v>21700</v>
      </c>
      <c r="H2728" s="4" t="s">
        <v>21701</v>
      </c>
      <c r="I2728" t="s">
        <v>71</v>
      </c>
      <c r="J2728" t="s">
        <v>10782</v>
      </c>
      <c r="K2728" t="s">
        <v>21702</v>
      </c>
    </row>
    <row r="2729" spans="1:11" ht="187.2" x14ac:dyDescent="0.3">
      <c r="A2729" s="4" t="s">
        <v>5881</v>
      </c>
      <c r="B2729">
        <v>3</v>
      </c>
      <c r="C2729">
        <v>2021</v>
      </c>
      <c r="D2729" t="s">
        <v>11658</v>
      </c>
      <c r="E2729">
        <v>14</v>
      </c>
      <c r="F2729" t="s">
        <v>21703</v>
      </c>
      <c r="G2729" t="s">
        <v>21704</v>
      </c>
      <c r="H2729" s="4" t="s">
        <v>21705</v>
      </c>
      <c r="I2729" t="s">
        <v>71</v>
      </c>
      <c r="J2729" t="s">
        <v>10782</v>
      </c>
      <c r="K2729" t="s">
        <v>21706</v>
      </c>
    </row>
    <row r="2730" spans="1:11" ht="187.2" x14ac:dyDescent="0.3">
      <c r="A2730" s="4" t="s">
        <v>1262</v>
      </c>
      <c r="B2730">
        <v>1</v>
      </c>
      <c r="C2730">
        <v>2021</v>
      </c>
      <c r="D2730" t="s">
        <v>1175</v>
      </c>
      <c r="E2730">
        <v>5</v>
      </c>
      <c r="F2730" t="s">
        <v>21707</v>
      </c>
      <c r="G2730" t="s">
        <v>21708</v>
      </c>
      <c r="H2730" s="4" t="s">
        <v>21709</v>
      </c>
      <c r="I2730" t="s">
        <v>71</v>
      </c>
      <c r="J2730" t="s">
        <v>10782</v>
      </c>
      <c r="K2730" t="s">
        <v>21710</v>
      </c>
    </row>
    <row r="2731" spans="1:11" ht="144" x14ac:dyDescent="0.3">
      <c r="A2731" s="4" t="s">
        <v>5882</v>
      </c>
      <c r="B2731">
        <v>3</v>
      </c>
      <c r="C2731">
        <v>2021</v>
      </c>
      <c r="D2731" t="s">
        <v>21711</v>
      </c>
      <c r="E2731">
        <v>12</v>
      </c>
      <c r="F2731" t="s">
        <v>21712</v>
      </c>
      <c r="G2731" t="s">
        <v>21713</v>
      </c>
      <c r="H2731" s="4" t="s">
        <v>21714</v>
      </c>
      <c r="I2731" t="s">
        <v>71</v>
      </c>
      <c r="J2731" t="s">
        <v>10782</v>
      </c>
      <c r="K2731" t="s">
        <v>21715</v>
      </c>
    </row>
    <row r="2732" spans="1:11" ht="172.8" x14ac:dyDescent="0.3">
      <c r="A2732" s="4" t="s">
        <v>5883</v>
      </c>
      <c r="B2732">
        <v>3</v>
      </c>
      <c r="C2732">
        <v>2021</v>
      </c>
      <c r="D2732" t="s">
        <v>1770</v>
      </c>
      <c r="E2732">
        <v>211</v>
      </c>
      <c r="F2732" t="s">
        <v>21716</v>
      </c>
      <c r="G2732" t="s">
        <v>21717</v>
      </c>
      <c r="H2732" s="4" t="s">
        <v>21718</v>
      </c>
      <c r="I2732" t="s">
        <v>71</v>
      </c>
      <c r="J2732" t="s">
        <v>10782</v>
      </c>
      <c r="K2732" t="s">
        <v>21719</v>
      </c>
    </row>
    <row r="2733" spans="1:11" ht="259.2" x14ac:dyDescent="0.3">
      <c r="A2733" s="4" t="s">
        <v>5884</v>
      </c>
      <c r="B2733">
        <v>3</v>
      </c>
      <c r="C2733">
        <v>2021</v>
      </c>
      <c r="D2733" t="s">
        <v>2819</v>
      </c>
      <c r="E2733">
        <v>23</v>
      </c>
      <c r="F2733" t="s">
        <v>21720</v>
      </c>
      <c r="G2733" t="s">
        <v>21721</v>
      </c>
      <c r="H2733" s="4" t="s">
        <v>21722</v>
      </c>
      <c r="I2733" t="s">
        <v>71</v>
      </c>
      <c r="J2733" t="s">
        <v>10782</v>
      </c>
      <c r="K2733" t="s">
        <v>21723</v>
      </c>
    </row>
    <row r="2734" spans="1:11" ht="28.8" x14ac:dyDescent="0.3">
      <c r="A2734" s="4" t="s">
        <v>5885</v>
      </c>
      <c r="B2734">
        <v>3</v>
      </c>
      <c r="C2734">
        <v>2021</v>
      </c>
      <c r="D2734" t="s">
        <v>11310</v>
      </c>
      <c r="E2734">
        <v>18</v>
      </c>
      <c r="F2734" t="s">
        <v>21724</v>
      </c>
      <c r="G2734" t="s">
        <v>21725</v>
      </c>
      <c r="H2734" s="4" t="s">
        <v>17311</v>
      </c>
      <c r="I2734" t="s">
        <v>71</v>
      </c>
      <c r="J2734" t="s">
        <v>10782</v>
      </c>
      <c r="K2734" t="s">
        <v>21726</v>
      </c>
    </row>
    <row r="2735" spans="1:11" ht="28.8" x14ac:dyDescent="0.3">
      <c r="A2735" s="4" t="s">
        <v>5886</v>
      </c>
      <c r="B2735">
        <v>3</v>
      </c>
      <c r="C2735">
        <v>2021</v>
      </c>
      <c r="D2735" t="s">
        <v>17247</v>
      </c>
      <c r="E2735">
        <v>5</v>
      </c>
      <c r="F2735" t="s">
        <v>21727</v>
      </c>
      <c r="G2735" t="s">
        <v>21728</v>
      </c>
      <c r="H2735" s="4" t="s">
        <v>71</v>
      </c>
      <c r="I2735" t="s">
        <v>10782</v>
      </c>
      <c r="J2735" t="s">
        <v>21729</v>
      </c>
    </row>
    <row r="2736" spans="1:11" ht="43.2" x14ac:dyDescent="0.3">
      <c r="A2736" s="4" t="s">
        <v>5887</v>
      </c>
      <c r="B2736">
        <v>3</v>
      </c>
      <c r="C2736">
        <v>2021</v>
      </c>
      <c r="D2736" t="s">
        <v>21730</v>
      </c>
      <c r="E2736">
        <v>0</v>
      </c>
      <c r="F2736" t="s">
        <v>21731</v>
      </c>
      <c r="G2736" t="s">
        <v>21732</v>
      </c>
      <c r="H2736" s="4" t="s">
        <v>21733</v>
      </c>
    </row>
    <row r="2737" spans="1:11" ht="129.6" x14ac:dyDescent="0.3">
      <c r="A2737" s="4" t="s">
        <v>5888</v>
      </c>
      <c r="B2737">
        <v>3</v>
      </c>
      <c r="C2737">
        <v>2021</v>
      </c>
      <c r="D2737" t="s">
        <v>21734</v>
      </c>
      <c r="E2737">
        <v>69</v>
      </c>
      <c r="F2737" t="s">
        <v>21735</v>
      </c>
      <c r="G2737" t="s">
        <v>21736</v>
      </c>
      <c r="H2737" s="4" t="s">
        <v>21737</v>
      </c>
      <c r="I2737" t="s">
        <v>71</v>
      </c>
      <c r="J2737" t="s">
        <v>10782</v>
      </c>
      <c r="K2737" t="s">
        <v>21738</v>
      </c>
    </row>
    <row r="2738" spans="1:11" ht="115.2" x14ac:dyDescent="0.3">
      <c r="A2738" s="4" t="s">
        <v>5889</v>
      </c>
      <c r="B2738">
        <v>3</v>
      </c>
      <c r="C2738">
        <v>2021</v>
      </c>
      <c r="D2738" t="s">
        <v>817</v>
      </c>
      <c r="E2738">
        <v>2</v>
      </c>
      <c r="F2738" t="s">
        <v>21739</v>
      </c>
      <c r="G2738" t="s">
        <v>21740</v>
      </c>
      <c r="H2738" s="4" t="s">
        <v>21741</v>
      </c>
      <c r="I2738" t="s">
        <v>71</v>
      </c>
      <c r="J2738" t="s">
        <v>10782</v>
      </c>
      <c r="K2738" t="s">
        <v>21742</v>
      </c>
    </row>
    <row r="2739" spans="1:11" ht="201.6" x14ac:dyDescent="0.3">
      <c r="A2739" s="4" t="s">
        <v>5890</v>
      </c>
      <c r="B2739">
        <v>3</v>
      </c>
      <c r="C2739">
        <v>2021</v>
      </c>
      <c r="D2739" t="s">
        <v>147</v>
      </c>
      <c r="E2739">
        <v>13</v>
      </c>
      <c r="F2739" t="s">
        <v>21743</v>
      </c>
      <c r="G2739" t="s">
        <v>21744</v>
      </c>
      <c r="H2739" s="4" t="s">
        <v>21745</v>
      </c>
      <c r="I2739" t="s">
        <v>71</v>
      </c>
      <c r="J2739" t="s">
        <v>10782</v>
      </c>
      <c r="K2739" t="s">
        <v>21746</v>
      </c>
    </row>
    <row r="2740" spans="1:11" ht="172.8" x14ac:dyDescent="0.3">
      <c r="A2740" s="4" t="s">
        <v>5891</v>
      </c>
      <c r="B2740">
        <v>3</v>
      </c>
      <c r="C2740">
        <v>2021</v>
      </c>
      <c r="D2740" t="s">
        <v>329</v>
      </c>
      <c r="E2740">
        <v>11</v>
      </c>
      <c r="F2740" t="s">
        <v>21747</v>
      </c>
      <c r="G2740" t="s">
        <v>21748</v>
      </c>
      <c r="H2740" s="4" t="s">
        <v>21749</v>
      </c>
      <c r="I2740" t="s">
        <v>71</v>
      </c>
      <c r="J2740" t="s">
        <v>10782</v>
      </c>
      <c r="K2740" t="s">
        <v>21750</v>
      </c>
    </row>
    <row r="2741" spans="1:11" ht="115.2" x14ac:dyDescent="0.3">
      <c r="A2741" s="4" t="s">
        <v>3556</v>
      </c>
      <c r="B2741">
        <v>2</v>
      </c>
      <c r="C2741">
        <v>2021</v>
      </c>
      <c r="D2741" t="s">
        <v>16771</v>
      </c>
      <c r="E2741">
        <v>48</v>
      </c>
      <c r="F2741" t="s">
        <v>21751</v>
      </c>
      <c r="G2741" t="s">
        <v>21752</v>
      </c>
      <c r="H2741" s="4" t="s">
        <v>21753</v>
      </c>
    </row>
    <row r="2742" spans="1:11" ht="316.8" x14ac:dyDescent="0.3">
      <c r="A2742" s="4" t="s">
        <v>5892</v>
      </c>
      <c r="B2742">
        <v>3</v>
      </c>
      <c r="C2742">
        <v>2021</v>
      </c>
      <c r="D2742" t="s">
        <v>21754</v>
      </c>
      <c r="E2742">
        <v>62</v>
      </c>
      <c r="F2742" t="s">
        <v>21755</v>
      </c>
      <c r="G2742" t="s">
        <v>21756</v>
      </c>
      <c r="H2742" s="4" t="s">
        <v>21757</v>
      </c>
      <c r="I2742" t="s">
        <v>71</v>
      </c>
      <c r="J2742" t="s">
        <v>10782</v>
      </c>
      <c r="K2742" t="s">
        <v>21758</v>
      </c>
    </row>
    <row r="2743" spans="1:11" ht="216" x14ac:dyDescent="0.3">
      <c r="A2743" s="4" t="s">
        <v>1263</v>
      </c>
      <c r="B2743">
        <v>1</v>
      </c>
      <c r="C2743">
        <v>2021</v>
      </c>
      <c r="D2743" t="s">
        <v>1345</v>
      </c>
      <c r="E2743">
        <v>12</v>
      </c>
      <c r="F2743" t="s">
        <v>21759</v>
      </c>
      <c r="G2743" t="s">
        <v>21760</v>
      </c>
      <c r="H2743" s="4" t="s">
        <v>21761</v>
      </c>
      <c r="I2743" t="s">
        <v>71</v>
      </c>
      <c r="J2743" t="s">
        <v>10782</v>
      </c>
      <c r="K2743" t="s">
        <v>21762</v>
      </c>
    </row>
    <row r="2744" spans="1:11" ht="172.8" x14ac:dyDescent="0.3">
      <c r="A2744" s="4" t="s">
        <v>1264</v>
      </c>
      <c r="B2744">
        <v>1</v>
      </c>
      <c r="C2744">
        <v>2021</v>
      </c>
      <c r="D2744" t="s">
        <v>550</v>
      </c>
      <c r="E2744">
        <v>10</v>
      </c>
      <c r="F2744" t="s">
        <v>21763</v>
      </c>
      <c r="G2744" t="s">
        <v>21764</v>
      </c>
      <c r="H2744" s="4" t="s">
        <v>21765</v>
      </c>
      <c r="I2744" t="s">
        <v>71</v>
      </c>
      <c r="J2744" t="s">
        <v>10782</v>
      </c>
      <c r="K2744" t="s">
        <v>21766</v>
      </c>
    </row>
    <row r="2745" spans="1:11" ht="158.4" x14ac:dyDescent="0.3">
      <c r="A2745" s="4" t="s">
        <v>5893</v>
      </c>
      <c r="B2745">
        <v>3</v>
      </c>
      <c r="C2745">
        <v>2021</v>
      </c>
      <c r="D2745" t="s">
        <v>1570</v>
      </c>
      <c r="E2745">
        <v>4</v>
      </c>
      <c r="F2745" t="s">
        <v>21767</v>
      </c>
      <c r="G2745" t="s">
        <v>21768</v>
      </c>
      <c r="H2745" s="4" t="s">
        <v>21769</v>
      </c>
      <c r="I2745" t="s">
        <v>71</v>
      </c>
      <c r="J2745" t="s">
        <v>10782</v>
      </c>
      <c r="K2745" t="s">
        <v>21770</v>
      </c>
    </row>
    <row r="2746" spans="1:11" ht="230.4" x14ac:dyDescent="0.3">
      <c r="A2746" s="4" t="s">
        <v>5894</v>
      </c>
      <c r="B2746">
        <v>3</v>
      </c>
      <c r="C2746">
        <v>2021</v>
      </c>
      <c r="D2746" t="s">
        <v>811</v>
      </c>
      <c r="E2746">
        <v>7</v>
      </c>
      <c r="F2746" t="s">
        <v>21771</v>
      </c>
      <c r="G2746" t="s">
        <v>21772</v>
      </c>
      <c r="H2746" s="4" t="s">
        <v>21773</v>
      </c>
      <c r="I2746" t="s">
        <v>71</v>
      </c>
      <c r="J2746" t="s">
        <v>10782</v>
      </c>
      <c r="K2746" t="s">
        <v>21774</v>
      </c>
    </row>
    <row r="2747" spans="1:11" ht="144" x14ac:dyDescent="0.3">
      <c r="A2747" s="4" t="s">
        <v>5895</v>
      </c>
      <c r="B2747">
        <v>3</v>
      </c>
      <c r="C2747">
        <v>2021</v>
      </c>
      <c r="D2747" t="s">
        <v>19376</v>
      </c>
      <c r="E2747">
        <v>10</v>
      </c>
      <c r="F2747" t="s">
        <v>21775</v>
      </c>
      <c r="G2747" t="s">
        <v>21776</v>
      </c>
      <c r="H2747" s="4" t="s">
        <v>21777</v>
      </c>
    </row>
    <row r="2748" spans="1:11" ht="230.4" x14ac:dyDescent="0.3">
      <c r="A2748" s="4" t="s">
        <v>5896</v>
      </c>
      <c r="B2748">
        <v>3</v>
      </c>
      <c r="C2748">
        <v>2021</v>
      </c>
      <c r="D2748" t="s">
        <v>2375</v>
      </c>
      <c r="E2748">
        <v>5</v>
      </c>
      <c r="F2748" t="s">
        <v>21778</v>
      </c>
      <c r="G2748" t="s">
        <v>21779</v>
      </c>
      <c r="H2748" s="4" t="s">
        <v>21780</v>
      </c>
      <c r="I2748" t="s">
        <v>71</v>
      </c>
      <c r="J2748" t="s">
        <v>10782</v>
      </c>
      <c r="K2748" t="s">
        <v>21781</v>
      </c>
    </row>
    <row r="2749" spans="1:11" ht="216" x14ac:dyDescent="0.3">
      <c r="A2749" s="4" t="s">
        <v>5897</v>
      </c>
      <c r="B2749">
        <v>3</v>
      </c>
      <c r="C2749">
        <v>2021</v>
      </c>
      <c r="D2749" t="s">
        <v>1175</v>
      </c>
      <c r="E2749">
        <v>6</v>
      </c>
      <c r="F2749" t="s">
        <v>21782</v>
      </c>
      <c r="G2749" t="s">
        <v>21783</v>
      </c>
      <c r="H2749" s="4" t="s">
        <v>21784</v>
      </c>
      <c r="I2749" t="s">
        <v>71</v>
      </c>
      <c r="J2749" t="s">
        <v>10782</v>
      </c>
      <c r="K2749" t="s">
        <v>21785</v>
      </c>
    </row>
    <row r="2750" spans="1:11" ht="187.2" x14ac:dyDescent="0.3">
      <c r="A2750" s="4" t="s">
        <v>5898</v>
      </c>
      <c r="B2750">
        <v>3</v>
      </c>
      <c r="C2750">
        <v>2021</v>
      </c>
      <c r="D2750" t="s">
        <v>19376</v>
      </c>
      <c r="E2750">
        <v>7</v>
      </c>
      <c r="F2750" t="s">
        <v>21786</v>
      </c>
      <c r="G2750" t="s">
        <v>21787</v>
      </c>
      <c r="H2750" s="4" t="s">
        <v>21788</v>
      </c>
      <c r="I2750" t="s">
        <v>71</v>
      </c>
      <c r="J2750" t="s">
        <v>10782</v>
      </c>
      <c r="K2750" t="s">
        <v>21789</v>
      </c>
    </row>
    <row r="2751" spans="1:11" ht="187.2" x14ac:dyDescent="0.3">
      <c r="A2751" s="4" t="s">
        <v>3557</v>
      </c>
      <c r="B2751">
        <v>2</v>
      </c>
      <c r="C2751">
        <v>2021</v>
      </c>
      <c r="D2751" t="s">
        <v>637</v>
      </c>
      <c r="E2751">
        <v>26</v>
      </c>
      <c r="F2751" t="s">
        <v>21790</v>
      </c>
      <c r="G2751" t="s">
        <v>21791</v>
      </c>
      <c r="H2751" s="4" t="s">
        <v>21792</v>
      </c>
      <c r="I2751" t="s">
        <v>71</v>
      </c>
      <c r="J2751" t="s">
        <v>10782</v>
      </c>
      <c r="K2751" t="s">
        <v>21793</v>
      </c>
    </row>
    <row r="2752" spans="1:11" ht="115.2" x14ac:dyDescent="0.3">
      <c r="A2752" s="4" t="s">
        <v>5899</v>
      </c>
      <c r="B2752">
        <v>3</v>
      </c>
      <c r="C2752">
        <v>2021</v>
      </c>
      <c r="D2752" t="s">
        <v>11617</v>
      </c>
      <c r="E2752">
        <v>1</v>
      </c>
      <c r="F2752" t="s">
        <v>21794</v>
      </c>
      <c r="G2752" t="s">
        <v>21795</v>
      </c>
      <c r="H2752" s="4" t="s">
        <v>21796</v>
      </c>
    </row>
    <row r="2753" spans="1:11" ht="144" x14ac:dyDescent="0.3">
      <c r="A2753" s="4" t="s">
        <v>5900</v>
      </c>
      <c r="B2753">
        <v>3</v>
      </c>
      <c r="C2753">
        <v>2021</v>
      </c>
      <c r="D2753" t="s">
        <v>10796</v>
      </c>
      <c r="E2753">
        <v>9</v>
      </c>
      <c r="F2753" t="s">
        <v>21797</v>
      </c>
      <c r="G2753" t="s">
        <v>21798</v>
      </c>
      <c r="H2753" s="4" t="s">
        <v>21799</v>
      </c>
      <c r="I2753" t="s">
        <v>71</v>
      </c>
      <c r="J2753" t="s">
        <v>10782</v>
      </c>
      <c r="K2753" t="s">
        <v>21800</v>
      </c>
    </row>
    <row r="2754" spans="1:11" ht="187.2" x14ac:dyDescent="0.3">
      <c r="A2754" s="4" t="s">
        <v>5901</v>
      </c>
      <c r="B2754">
        <v>3</v>
      </c>
      <c r="C2754">
        <v>2021</v>
      </c>
      <c r="D2754" t="s">
        <v>637</v>
      </c>
      <c r="E2754">
        <v>16</v>
      </c>
      <c r="F2754" t="s">
        <v>21801</v>
      </c>
      <c r="G2754" t="s">
        <v>21802</v>
      </c>
      <c r="H2754" s="4" t="s">
        <v>21803</v>
      </c>
      <c r="I2754" t="s">
        <v>71</v>
      </c>
      <c r="J2754" t="s">
        <v>10782</v>
      </c>
      <c r="K2754" t="s">
        <v>21804</v>
      </c>
    </row>
    <row r="2755" spans="1:11" ht="273.60000000000002" x14ac:dyDescent="0.3">
      <c r="A2755" s="4" t="s">
        <v>5902</v>
      </c>
      <c r="B2755">
        <v>3</v>
      </c>
      <c r="C2755">
        <v>2021</v>
      </c>
      <c r="D2755" t="s">
        <v>11728</v>
      </c>
      <c r="E2755">
        <v>18</v>
      </c>
      <c r="F2755" t="s">
        <v>21805</v>
      </c>
      <c r="G2755" t="s">
        <v>21806</v>
      </c>
      <c r="H2755" s="4" t="s">
        <v>21807</v>
      </c>
      <c r="I2755" t="s">
        <v>71</v>
      </c>
      <c r="J2755" t="s">
        <v>10782</v>
      </c>
      <c r="K2755" t="s">
        <v>21808</v>
      </c>
    </row>
    <row r="2756" spans="1:11" ht="158.4" x14ac:dyDescent="0.3">
      <c r="A2756" s="4" t="s">
        <v>5903</v>
      </c>
      <c r="B2756">
        <v>3</v>
      </c>
      <c r="C2756">
        <v>2021</v>
      </c>
      <c r="D2756" t="s">
        <v>10796</v>
      </c>
      <c r="E2756">
        <v>4</v>
      </c>
      <c r="F2756" t="s">
        <v>21809</v>
      </c>
      <c r="G2756" t="s">
        <v>21810</v>
      </c>
      <c r="H2756" s="4" t="s">
        <v>21811</v>
      </c>
      <c r="I2756" t="s">
        <v>71</v>
      </c>
      <c r="J2756" t="s">
        <v>10782</v>
      </c>
      <c r="K2756" t="s">
        <v>21812</v>
      </c>
    </row>
    <row r="2757" spans="1:11" ht="201.6" x14ac:dyDescent="0.3">
      <c r="A2757" s="4" t="s">
        <v>5904</v>
      </c>
      <c r="B2757">
        <v>3</v>
      </c>
      <c r="C2757">
        <v>2021</v>
      </c>
      <c r="D2757" t="s">
        <v>11276</v>
      </c>
      <c r="E2757">
        <v>7</v>
      </c>
      <c r="F2757" t="s">
        <v>21813</v>
      </c>
      <c r="G2757" t="s">
        <v>21814</v>
      </c>
      <c r="H2757" s="4" t="s">
        <v>21815</v>
      </c>
      <c r="I2757" t="s">
        <v>71</v>
      </c>
      <c r="J2757" t="s">
        <v>10782</v>
      </c>
      <c r="K2757" t="s">
        <v>21816</v>
      </c>
    </row>
    <row r="2758" spans="1:11" ht="216" x14ac:dyDescent="0.3">
      <c r="A2758" s="4" t="s">
        <v>5905</v>
      </c>
      <c r="B2758">
        <v>3</v>
      </c>
      <c r="C2758">
        <v>2021</v>
      </c>
      <c r="D2758" t="s">
        <v>19376</v>
      </c>
      <c r="E2758">
        <v>8</v>
      </c>
      <c r="F2758" t="s">
        <v>21817</v>
      </c>
      <c r="G2758" t="s">
        <v>21818</v>
      </c>
      <c r="H2758" s="4" t="s">
        <v>21819</v>
      </c>
      <c r="I2758" t="s">
        <v>71</v>
      </c>
      <c r="J2758" t="s">
        <v>10782</v>
      </c>
      <c r="K2758" t="s">
        <v>21820</v>
      </c>
    </row>
    <row r="2759" spans="1:11" ht="273.60000000000002" x14ac:dyDescent="0.3">
      <c r="A2759" s="4" t="s">
        <v>5906</v>
      </c>
      <c r="B2759">
        <v>3</v>
      </c>
      <c r="C2759">
        <v>2021</v>
      </c>
      <c r="D2759" t="s">
        <v>234</v>
      </c>
      <c r="E2759">
        <v>18</v>
      </c>
      <c r="F2759" t="s">
        <v>21821</v>
      </c>
      <c r="G2759" t="s">
        <v>21822</v>
      </c>
      <c r="H2759" s="4" t="s">
        <v>21823</v>
      </c>
      <c r="I2759" t="s">
        <v>71</v>
      </c>
      <c r="J2759" t="s">
        <v>10782</v>
      </c>
      <c r="K2759" t="s">
        <v>21824</v>
      </c>
    </row>
    <row r="2760" spans="1:11" ht="172.8" x14ac:dyDescent="0.3">
      <c r="A2760" s="4" t="s">
        <v>5907</v>
      </c>
      <c r="B2760">
        <v>3</v>
      </c>
      <c r="C2760">
        <v>2021</v>
      </c>
      <c r="D2760" t="s">
        <v>1570</v>
      </c>
      <c r="E2760">
        <v>10</v>
      </c>
      <c r="F2760" t="s">
        <v>21825</v>
      </c>
      <c r="G2760" t="s">
        <v>21826</v>
      </c>
      <c r="H2760" s="4" t="s">
        <v>21827</v>
      </c>
      <c r="I2760" t="s">
        <v>71</v>
      </c>
      <c r="J2760" t="s">
        <v>10782</v>
      </c>
      <c r="K2760" t="s">
        <v>21828</v>
      </c>
    </row>
    <row r="2761" spans="1:11" ht="201.6" x14ac:dyDescent="0.3">
      <c r="A2761" s="4" t="s">
        <v>1266</v>
      </c>
      <c r="B2761">
        <v>1</v>
      </c>
      <c r="C2761">
        <v>2021</v>
      </c>
      <c r="D2761" t="s">
        <v>1357</v>
      </c>
      <c r="E2761">
        <v>32</v>
      </c>
      <c r="F2761" t="s">
        <v>21829</v>
      </c>
      <c r="G2761" t="s">
        <v>21830</v>
      </c>
      <c r="H2761" s="4" t="s">
        <v>21831</v>
      </c>
      <c r="I2761" t="s">
        <v>71</v>
      </c>
      <c r="J2761" t="s">
        <v>10782</v>
      </c>
      <c r="K2761" t="s">
        <v>21832</v>
      </c>
    </row>
    <row r="2762" spans="1:11" ht="259.2" x14ac:dyDescent="0.3">
      <c r="A2762" s="4" t="s">
        <v>5908</v>
      </c>
      <c r="B2762">
        <v>3</v>
      </c>
      <c r="C2762">
        <v>2021</v>
      </c>
      <c r="D2762" t="s">
        <v>17273</v>
      </c>
      <c r="E2762">
        <v>4</v>
      </c>
      <c r="F2762" t="s">
        <v>21833</v>
      </c>
      <c r="G2762" t="s">
        <v>21834</v>
      </c>
      <c r="H2762" s="4" t="s">
        <v>21835</v>
      </c>
      <c r="I2762" t="s">
        <v>71</v>
      </c>
      <c r="J2762" t="s">
        <v>10782</v>
      </c>
      <c r="K2762" t="s">
        <v>21836</v>
      </c>
    </row>
    <row r="2763" spans="1:11" ht="201.6" x14ac:dyDescent="0.3">
      <c r="A2763" s="4" t="s">
        <v>5909</v>
      </c>
      <c r="B2763">
        <v>3</v>
      </c>
      <c r="C2763">
        <v>2021</v>
      </c>
      <c r="D2763" t="s">
        <v>1175</v>
      </c>
      <c r="E2763">
        <v>5</v>
      </c>
      <c r="F2763" t="s">
        <v>21837</v>
      </c>
      <c r="G2763" t="s">
        <v>21838</v>
      </c>
      <c r="H2763" s="4" t="s">
        <v>21839</v>
      </c>
      <c r="I2763" t="s">
        <v>71</v>
      </c>
      <c r="J2763" t="s">
        <v>10782</v>
      </c>
      <c r="K2763" t="s">
        <v>21840</v>
      </c>
    </row>
    <row r="2764" spans="1:11" ht="244.8" x14ac:dyDescent="0.3">
      <c r="A2764" s="4" t="s">
        <v>5910</v>
      </c>
      <c r="B2764">
        <v>3</v>
      </c>
      <c r="C2764">
        <v>2021</v>
      </c>
      <c r="D2764" t="s">
        <v>363</v>
      </c>
      <c r="E2764">
        <v>12</v>
      </c>
      <c r="F2764" t="s">
        <v>21841</v>
      </c>
      <c r="G2764" t="s">
        <v>21842</v>
      </c>
      <c r="H2764" s="4" t="s">
        <v>21843</v>
      </c>
      <c r="I2764" t="s">
        <v>71</v>
      </c>
      <c r="J2764" t="s">
        <v>10782</v>
      </c>
      <c r="K2764" t="s">
        <v>21844</v>
      </c>
    </row>
    <row r="2765" spans="1:11" ht="187.2" x14ac:dyDescent="0.3">
      <c r="A2765" s="4" t="s">
        <v>5911</v>
      </c>
      <c r="B2765">
        <v>3</v>
      </c>
      <c r="C2765">
        <v>2021</v>
      </c>
      <c r="D2765" t="s">
        <v>550</v>
      </c>
      <c r="E2765">
        <v>6</v>
      </c>
      <c r="F2765" t="s">
        <v>21845</v>
      </c>
      <c r="G2765" t="s">
        <v>21846</v>
      </c>
      <c r="H2765" s="4" t="s">
        <v>21847</v>
      </c>
      <c r="I2765" t="s">
        <v>71</v>
      </c>
      <c r="J2765" t="s">
        <v>10782</v>
      </c>
      <c r="K2765" t="s">
        <v>21848</v>
      </c>
    </row>
    <row r="2766" spans="1:11" ht="172.8" x14ac:dyDescent="0.3">
      <c r="A2766" s="4" t="s">
        <v>5912</v>
      </c>
      <c r="B2766">
        <v>3</v>
      </c>
      <c r="C2766">
        <v>2021</v>
      </c>
      <c r="D2766" t="s">
        <v>318</v>
      </c>
      <c r="E2766">
        <v>38</v>
      </c>
      <c r="F2766" t="s">
        <v>21849</v>
      </c>
      <c r="G2766" t="s">
        <v>21850</v>
      </c>
      <c r="H2766" s="4" t="s">
        <v>21851</v>
      </c>
      <c r="I2766" t="s">
        <v>71</v>
      </c>
      <c r="J2766" t="s">
        <v>10782</v>
      </c>
      <c r="K2766" t="s">
        <v>21852</v>
      </c>
    </row>
    <row r="2767" spans="1:11" ht="100.8" x14ac:dyDescent="0.3">
      <c r="A2767" s="4" t="s">
        <v>3333</v>
      </c>
      <c r="B2767">
        <v>1</v>
      </c>
      <c r="C2767">
        <v>2021</v>
      </c>
      <c r="D2767" t="s">
        <v>329</v>
      </c>
      <c r="E2767">
        <v>14</v>
      </c>
      <c r="F2767" t="s">
        <v>21853</v>
      </c>
      <c r="G2767" t="s">
        <v>21854</v>
      </c>
      <c r="H2767" s="4" t="s">
        <v>21855</v>
      </c>
    </row>
    <row r="2768" spans="1:11" ht="172.8" x14ac:dyDescent="0.3">
      <c r="A2768" s="4" t="s">
        <v>5913</v>
      </c>
      <c r="B2768">
        <v>3</v>
      </c>
      <c r="C2768">
        <v>2021</v>
      </c>
      <c r="D2768" t="s">
        <v>724</v>
      </c>
      <c r="E2768">
        <v>15</v>
      </c>
      <c r="F2768" t="s">
        <v>21856</v>
      </c>
      <c r="G2768" t="s">
        <v>21857</v>
      </c>
      <c r="H2768" s="4" t="s">
        <v>21858</v>
      </c>
      <c r="I2768" t="s">
        <v>71</v>
      </c>
      <c r="J2768" t="s">
        <v>10782</v>
      </c>
      <c r="K2768" t="s">
        <v>21859</v>
      </c>
    </row>
    <row r="2769" spans="1:11" ht="216" x14ac:dyDescent="0.3">
      <c r="A2769" s="4" t="s">
        <v>5914</v>
      </c>
      <c r="B2769">
        <v>3</v>
      </c>
      <c r="C2769">
        <v>2021</v>
      </c>
      <c r="D2769" t="s">
        <v>318</v>
      </c>
      <c r="E2769">
        <v>51</v>
      </c>
      <c r="F2769" t="s">
        <v>21860</v>
      </c>
      <c r="G2769" t="s">
        <v>21861</v>
      </c>
      <c r="H2769" s="4" t="s">
        <v>21862</v>
      </c>
      <c r="I2769" t="s">
        <v>71</v>
      </c>
      <c r="J2769" t="s">
        <v>10782</v>
      </c>
      <c r="K2769" t="s">
        <v>21863</v>
      </c>
    </row>
    <row r="2770" spans="1:11" ht="244.8" x14ac:dyDescent="0.3">
      <c r="A2770" s="4" t="s">
        <v>5915</v>
      </c>
      <c r="B2770">
        <v>3</v>
      </c>
      <c r="C2770">
        <v>2021</v>
      </c>
      <c r="D2770" t="s">
        <v>21864</v>
      </c>
      <c r="E2770">
        <v>6</v>
      </c>
      <c r="G2770" t="s">
        <v>21865</v>
      </c>
      <c r="H2770" s="4" t="s">
        <v>21866</v>
      </c>
      <c r="I2770" s="4" t="s">
        <v>71</v>
      </c>
      <c r="J2770" t="s">
        <v>10782</v>
      </c>
      <c r="K2770" t="s">
        <v>21867</v>
      </c>
    </row>
    <row r="2771" spans="1:11" ht="144" x14ac:dyDescent="0.3">
      <c r="A2771" s="4" t="s">
        <v>5916</v>
      </c>
      <c r="B2771">
        <v>3</v>
      </c>
      <c r="C2771">
        <v>2021</v>
      </c>
      <c r="D2771" t="s">
        <v>17519</v>
      </c>
      <c r="E2771">
        <v>1</v>
      </c>
      <c r="F2771" t="s">
        <v>21868</v>
      </c>
      <c r="G2771" t="s">
        <v>21869</v>
      </c>
      <c r="H2771" s="4" t="s">
        <v>21870</v>
      </c>
    </row>
    <row r="2772" spans="1:11" ht="129.6" x14ac:dyDescent="0.3">
      <c r="A2772" s="4" t="s">
        <v>1267</v>
      </c>
      <c r="B2772">
        <v>1</v>
      </c>
      <c r="C2772">
        <v>2021</v>
      </c>
      <c r="D2772" t="s">
        <v>622</v>
      </c>
      <c r="E2772">
        <v>3</v>
      </c>
      <c r="F2772" t="s">
        <v>21871</v>
      </c>
      <c r="G2772" t="s">
        <v>21872</v>
      </c>
      <c r="H2772" s="4" t="s">
        <v>21873</v>
      </c>
      <c r="I2772" t="s">
        <v>71</v>
      </c>
      <c r="J2772" t="s">
        <v>10782</v>
      </c>
      <c r="K2772" t="s">
        <v>21874</v>
      </c>
    </row>
    <row r="2773" spans="1:11" ht="144" x14ac:dyDescent="0.3">
      <c r="A2773" s="4" t="s">
        <v>5917</v>
      </c>
      <c r="B2773">
        <v>3</v>
      </c>
      <c r="C2773">
        <v>2021</v>
      </c>
      <c r="D2773" t="s">
        <v>217</v>
      </c>
      <c r="E2773">
        <v>3</v>
      </c>
      <c r="F2773" t="s">
        <v>21875</v>
      </c>
      <c r="G2773" t="s">
        <v>21876</v>
      </c>
      <c r="H2773" s="4" t="s">
        <v>21877</v>
      </c>
      <c r="I2773" t="s">
        <v>71</v>
      </c>
      <c r="J2773" t="s">
        <v>10782</v>
      </c>
      <c r="K2773" t="s">
        <v>21878</v>
      </c>
    </row>
    <row r="2774" spans="1:11" ht="172.8" x14ac:dyDescent="0.3">
      <c r="A2774" s="4" t="s">
        <v>5918</v>
      </c>
      <c r="B2774">
        <v>3</v>
      </c>
      <c r="C2774">
        <v>2021</v>
      </c>
      <c r="D2774" t="s">
        <v>550</v>
      </c>
      <c r="E2774">
        <v>9</v>
      </c>
      <c r="F2774" t="s">
        <v>21879</v>
      </c>
      <c r="G2774" t="s">
        <v>21880</v>
      </c>
      <c r="H2774" s="4" t="s">
        <v>21881</v>
      </c>
      <c r="I2774" t="s">
        <v>71</v>
      </c>
      <c r="J2774" t="s">
        <v>10782</v>
      </c>
      <c r="K2774" t="s">
        <v>21882</v>
      </c>
    </row>
    <row r="2775" spans="1:11" ht="302.39999999999998" x14ac:dyDescent="0.3">
      <c r="A2775" s="4" t="s">
        <v>5919</v>
      </c>
      <c r="B2775">
        <v>3</v>
      </c>
      <c r="C2775">
        <v>2021</v>
      </c>
      <c r="D2775" t="s">
        <v>637</v>
      </c>
      <c r="E2775">
        <v>29</v>
      </c>
      <c r="F2775" t="s">
        <v>21883</v>
      </c>
      <c r="G2775" t="s">
        <v>21884</v>
      </c>
      <c r="H2775" s="4" t="s">
        <v>21885</v>
      </c>
      <c r="I2775" t="s">
        <v>71</v>
      </c>
      <c r="J2775" t="s">
        <v>10782</v>
      </c>
      <c r="K2775" t="s">
        <v>21886</v>
      </c>
    </row>
    <row r="2776" spans="1:11" ht="158.4" x14ac:dyDescent="0.3">
      <c r="A2776" s="4" t="s">
        <v>5920</v>
      </c>
      <c r="B2776">
        <v>3</v>
      </c>
      <c r="C2776">
        <v>2021</v>
      </c>
      <c r="D2776" t="s">
        <v>217</v>
      </c>
      <c r="E2776">
        <v>15</v>
      </c>
      <c r="F2776" t="s">
        <v>21887</v>
      </c>
      <c r="G2776" t="s">
        <v>21888</v>
      </c>
      <c r="H2776" s="4" t="s">
        <v>21889</v>
      </c>
      <c r="I2776" t="s">
        <v>71</v>
      </c>
      <c r="J2776" t="s">
        <v>10782</v>
      </c>
      <c r="K2776" t="s">
        <v>21890</v>
      </c>
    </row>
    <row r="2777" spans="1:11" ht="172.8" x14ac:dyDescent="0.3">
      <c r="A2777" s="4" t="s">
        <v>2670</v>
      </c>
      <c r="B2777">
        <v>2</v>
      </c>
      <c r="C2777">
        <v>2021</v>
      </c>
      <c r="D2777" t="s">
        <v>1746</v>
      </c>
      <c r="E2777">
        <v>26</v>
      </c>
      <c r="F2777" t="s">
        <v>21891</v>
      </c>
      <c r="G2777" t="s">
        <v>21892</v>
      </c>
      <c r="H2777" s="4" t="s">
        <v>21893</v>
      </c>
      <c r="I2777" t="s">
        <v>71</v>
      </c>
      <c r="J2777" t="s">
        <v>10782</v>
      </c>
      <c r="K2777" t="s">
        <v>21894</v>
      </c>
    </row>
    <row r="2778" spans="1:11" ht="201.6" x14ac:dyDescent="0.3">
      <c r="A2778" s="4" t="s">
        <v>5921</v>
      </c>
      <c r="B2778">
        <v>3</v>
      </c>
      <c r="C2778">
        <v>2021</v>
      </c>
      <c r="D2778" t="s">
        <v>11064</v>
      </c>
      <c r="E2778">
        <v>10</v>
      </c>
      <c r="F2778" t="s">
        <v>21895</v>
      </c>
      <c r="G2778" t="s">
        <v>21896</v>
      </c>
      <c r="H2778" s="4" t="s">
        <v>21897</v>
      </c>
      <c r="I2778" t="s">
        <v>71</v>
      </c>
      <c r="J2778" t="s">
        <v>10782</v>
      </c>
      <c r="K2778" t="s">
        <v>21898</v>
      </c>
    </row>
    <row r="2779" spans="1:11" ht="187.2" x14ac:dyDescent="0.3">
      <c r="A2779" s="4" t="s">
        <v>5922</v>
      </c>
      <c r="B2779">
        <v>3</v>
      </c>
      <c r="C2779">
        <v>2021</v>
      </c>
      <c r="D2779" t="s">
        <v>550</v>
      </c>
      <c r="E2779">
        <v>0</v>
      </c>
      <c r="F2779" t="s">
        <v>21899</v>
      </c>
      <c r="G2779" t="s">
        <v>21900</v>
      </c>
      <c r="H2779" s="4" t="s">
        <v>21901</v>
      </c>
      <c r="I2779" t="s">
        <v>71</v>
      </c>
      <c r="J2779" t="s">
        <v>10782</v>
      </c>
      <c r="K2779" t="s">
        <v>21902</v>
      </c>
    </row>
    <row r="2780" spans="1:11" ht="288" x14ac:dyDescent="0.3">
      <c r="A2780" s="4" t="s">
        <v>3334</v>
      </c>
      <c r="B2780">
        <v>1</v>
      </c>
      <c r="C2780">
        <v>2021</v>
      </c>
      <c r="D2780" t="s">
        <v>1912</v>
      </c>
      <c r="E2780">
        <v>27</v>
      </c>
      <c r="F2780" t="s">
        <v>21903</v>
      </c>
      <c r="G2780" t="s">
        <v>21904</v>
      </c>
      <c r="H2780" s="4" t="s">
        <v>21905</v>
      </c>
      <c r="I2780" t="s">
        <v>71</v>
      </c>
      <c r="J2780" t="s">
        <v>10782</v>
      </c>
      <c r="K2780" t="s">
        <v>21906</v>
      </c>
    </row>
    <row r="2781" spans="1:11" ht="100.8" x14ac:dyDescent="0.3">
      <c r="A2781" s="4" t="s">
        <v>5923</v>
      </c>
      <c r="B2781">
        <v>3</v>
      </c>
      <c r="C2781">
        <v>2021</v>
      </c>
      <c r="D2781" t="s">
        <v>14805</v>
      </c>
      <c r="E2781">
        <v>4</v>
      </c>
      <c r="F2781" t="s">
        <v>21907</v>
      </c>
      <c r="G2781" t="s">
        <v>21908</v>
      </c>
      <c r="H2781" s="4" t="s">
        <v>21909</v>
      </c>
    </row>
    <row r="2782" spans="1:11" ht="115.2" x14ac:dyDescent="0.3">
      <c r="A2782" s="4" t="s">
        <v>5924</v>
      </c>
      <c r="B2782">
        <v>3</v>
      </c>
      <c r="C2782">
        <v>2021</v>
      </c>
      <c r="D2782" t="s">
        <v>11617</v>
      </c>
      <c r="E2782">
        <v>4</v>
      </c>
      <c r="F2782" t="s">
        <v>21910</v>
      </c>
      <c r="G2782" t="s">
        <v>21911</v>
      </c>
      <c r="H2782" s="4" t="s">
        <v>21912</v>
      </c>
    </row>
    <row r="2783" spans="1:11" ht="172.8" x14ac:dyDescent="0.3">
      <c r="A2783" s="4" t="s">
        <v>5925</v>
      </c>
      <c r="B2783">
        <v>3</v>
      </c>
      <c r="C2783">
        <v>2021</v>
      </c>
      <c r="D2783" t="s">
        <v>830</v>
      </c>
      <c r="E2783">
        <v>33</v>
      </c>
      <c r="F2783" t="s">
        <v>21913</v>
      </c>
      <c r="G2783" t="s">
        <v>21914</v>
      </c>
      <c r="H2783" s="4" t="s">
        <v>21915</v>
      </c>
      <c r="I2783" t="s">
        <v>71</v>
      </c>
      <c r="J2783" t="s">
        <v>10782</v>
      </c>
      <c r="K2783" t="s">
        <v>21916</v>
      </c>
    </row>
    <row r="2784" spans="1:11" ht="230.4" x14ac:dyDescent="0.3">
      <c r="A2784" s="4" t="s">
        <v>5926</v>
      </c>
      <c r="B2784">
        <v>3</v>
      </c>
      <c r="C2784">
        <v>2021</v>
      </c>
      <c r="D2784" t="s">
        <v>11327</v>
      </c>
      <c r="E2784">
        <v>6</v>
      </c>
      <c r="F2784" t="s">
        <v>21917</v>
      </c>
      <c r="G2784" t="s">
        <v>21918</v>
      </c>
      <c r="H2784" s="4" t="s">
        <v>21919</v>
      </c>
      <c r="I2784" t="s">
        <v>71</v>
      </c>
      <c r="J2784" t="s">
        <v>10782</v>
      </c>
      <c r="K2784" t="s">
        <v>21920</v>
      </c>
    </row>
    <row r="2785" spans="1:11" ht="115.2" x14ac:dyDescent="0.3">
      <c r="A2785" s="4" t="s">
        <v>5927</v>
      </c>
      <c r="B2785">
        <v>3</v>
      </c>
      <c r="C2785">
        <v>2021</v>
      </c>
      <c r="D2785" t="s">
        <v>724</v>
      </c>
      <c r="E2785">
        <v>11</v>
      </c>
      <c r="F2785" t="s">
        <v>21921</v>
      </c>
      <c r="G2785" t="s">
        <v>21922</v>
      </c>
      <c r="H2785" s="4" t="s">
        <v>21923</v>
      </c>
    </row>
    <row r="2786" spans="1:11" ht="244.8" x14ac:dyDescent="0.3">
      <c r="A2786" s="4" t="s">
        <v>5928</v>
      </c>
      <c r="B2786">
        <v>3</v>
      </c>
      <c r="C2786">
        <v>2021</v>
      </c>
      <c r="D2786" t="s">
        <v>217</v>
      </c>
      <c r="E2786">
        <v>13</v>
      </c>
      <c r="F2786" t="s">
        <v>21924</v>
      </c>
      <c r="G2786" t="s">
        <v>21925</v>
      </c>
      <c r="H2786" s="4" t="s">
        <v>21926</v>
      </c>
      <c r="I2786" t="s">
        <v>71</v>
      </c>
      <c r="J2786" t="s">
        <v>10782</v>
      </c>
      <c r="K2786" t="s">
        <v>21927</v>
      </c>
    </row>
    <row r="2787" spans="1:11" ht="201.6" x14ac:dyDescent="0.3">
      <c r="A2787" s="4" t="s">
        <v>5929</v>
      </c>
      <c r="B2787">
        <v>3</v>
      </c>
      <c r="C2787">
        <v>2021</v>
      </c>
      <c r="D2787" t="s">
        <v>2375</v>
      </c>
      <c r="E2787">
        <v>2</v>
      </c>
      <c r="F2787" t="s">
        <v>21928</v>
      </c>
      <c r="G2787" t="s">
        <v>21929</v>
      </c>
      <c r="H2787" s="4" t="s">
        <v>21930</v>
      </c>
      <c r="I2787" t="s">
        <v>71</v>
      </c>
      <c r="J2787" t="s">
        <v>10782</v>
      </c>
      <c r="K2787" t="s">
        <v>21931</v>
      </c>
    </row>
    <row r="2788" spans="1:11" x14ac:dyDescent="0.3">
      <c r="A2788" s="4" t="s">
        <v>5930</v>
      </c>
      <c r="B2788">
        <v>3</v>
      </c>
      <c r="C2788">
        <v>2021</v>
      </c>
      <c r="D2788" t="s">
        <v>2986</v>
      </c>
      <c r="E2788">
        <v>27</v>
      </c>
      <c r="F2788" t="s">
        <v>21932</v>
      </c>
      <c r="G2788" t="s">
        <v>21933</v>
      </c>
      <c r="H2788" s="4" t="s">
        <v>17311</v>
      </c>
      <c r="I2788" t="s">
        <v>71</v>
      </c>
      <c r="J2788" t="s">
        <v>10782</v>
      </c>
      <c r="K2788" t="s">
        <v>21934</v>
      </c>
    </row>
    <row r="2789" spans="1:11" ht="230.4" x14ac:dyDescent="0.3">
      <c r="A2789" s="4" t="s">
        <v>5931</v>
      </c>
      <c r="B2789">
        <v>3</v>
      </c>
      <c r="C2789">
        <v>2021</v>
      </c>
      <c r="D2789" t="s">
        <v>329</v>
      </c>
      <c r="E2789">
        <v>34</v>
      </c>
      <c r="F2789" t="s">
        <v>21935</v>
      </c>
      <c r="G2789" t="s">
        <v>21936</v>
      </c>
      <c r="H2789" s="4" t="s">
        <v>21937</v>
      </c>
      <c r="I2789" t="s">
        <v>71</v>
      </c>
      <c r="J2789" t="s">
        <v>10782</v>
      </c>
      <c r="K2789" t="s">
        <v>21938</v>
      </c>
    </row>
    <row r="2790" spans="1:11" ht="172.8" x14ac:dyDescent="0.3">
      <c r="A2790" s="4" t="s">
        <v>5932</v>
      </c>
      <c r="B2790">
        <v>3</v>
      </c>
      <c r="C2790">
        <v>2021</v>
      </c>
      <c r="D2790" t="s">
        <v>2416</v>
      </c>
      <c r="E2790">
        <v>54</v>
      </c>
      <c r="F2790" t="s">
        <v>21939</v>
      </c>
      <c r="G2790" t="s">
        <v>21940</v>
      </c>
      <c r="H2790" s="4" t="s">
        <v>21941</v>
      </c>
    </row>
    <row r="2791" spans="1:11" ht="172.8" x14ac:dyDescent="0.3">
      <c r="A2791" s="4" t="s">
        <v>5933</v>
      </c>
      <c r="B2791">
        <v>3</v>
      </c>
      <c r="C2791">
        <v>2021</v>
      </c>
      <c r="D2791" t="s">
        <v>318</v>
      </c>
      <c r="E2791">
        <v>10</v>
      </c>
      <c r="F2791" t="s">
        <v>21942</v>
      </c>
      <c r="G2791" t="s">
        <v>21943</v>
      </c>
      <c r="H2791" s="4" t="s">
        <v>21944</v>
      </c>
      <c r="I2791" t="s">
        <v>71</v>
      </c>
      <c r="J2791" t="s">
        <v>10782</v>
      </c>
      <c r="K2791" t="s">
        <v>21945</v>
      </c>
    </row>
    <row r="2792" spans="1:11" ht="187.2" x14ac:dyDescent="0.3">
      <c r="A2792" s="4" t="s">
        <v>5934</v>
      </c>
      <c r="B2792">
        <v>3</v>
      </c>
      <c r="C2792">
        <v>2021</v>
      </c>
      <c r="D2792" t="s">
        <v>11041</v>
      </c>
      <c r="E2792">
        <v>13</v>
      </c>
      <c r="F2792" t="s">
        <v>21946</v>
      </c>
      <c r="G2792" t="s">
        <v>21947</v>
      </c>
      <c r="H2792" s="4" t="s">
        <v>21948</v>
      </c>
      <c r="I2792" t="s">
        <v>71</v>
      </c>
      <c r="J2792" t="s">
        <v>10782</v>
      </c>
      <c r="K2792" t="s">
        <v>21949</v>
      </c>
    </row>
    <row r="2793" spans="1:11" ht="187.2" x14ac:dyDescent="0.3">
      <c r="A2793" s="4" t="s">
        <v>5935</v>
      </c>
      <c r="B2793">
        <v>3</v>
      </c>
      <c r="C2793">
        <v>2021</v>
      </c>
      <c r="D2793" t="s">
        <v>2853</v>
      </c>
      <c r="E2793">
        <v>11</v>
      </c>
      <c r="F2793" t="s">
        <v>21950</v>
      </c>
      <c r="G2793" t="s">
        <v>21951</v>
      </c>
      <c r="H2793" s="4" t="s">
        <v>21952</v>
      </c>
      <c r="I2793" t="s">
        <v>71</v>
      </c>
      <c r="J2793" t="s">
        <v>10782</v>
      </c>
      <c r="K2793" t="s">
        <v>21953</v>
      </c>
    </row>
    <row r="2794" spans="1:11" ht="201.6" x14ac:dyDescent="0.3">
      <c r="A2794" s="4" t="s">
        <v>5936</v>
      </c>
      <c r="B2794">
        <v>3</v>
      </c>
      <c r="C2794">
        <v>2021</v>
      </c>
      <c r="D2794" t="s">
        <v>11064</v>
      </c>
      <c r="E2794">
        <v>13</v>
      </c>
      <c r="F2794" t="s">
        <v>21954</v>
      </c>
      <c r="G2794" t="s">
        <v>21955</v>
      </c>
      <c r="H2794" s="4" t="s">
        <v>21956</v>
      </c>
      <c r="I2794" t="s">
        <v>71</v>
      </c>
      <c r="J2794" t="s">
        <v>10782</v>
      </c>
      <c r="K2794" t="s">
        <v>21957</v>
      </c>
    </row>
    <row r="2795" spans="1:11" ht="244.8" x14ac:dyDescent="0.3">
      <c r="A2795" s="4" t="s">
        <v>5937</v>
      </c>
      <c r="B2795">
        <v>3</v>
      </c>
      <c r="C2795">
        <v>2021</v>
      </c>
      <c r="D2795" t="s">
        <v>892</v>
      </c>
      <c r="E2795">
        <v>10</v>
      </c>
      <c r="F2795" t="s">
        <v>21958</v>
      </c>
      <c r="G2795" t="s">
        <v>21959</v>
      </c>
      <c r="H2795" s="4" t="s">
        <v>21960</v>
      </c>
      <c r="I2795" t="s">
        <v>71</v>
      </c>
      <c r="J2795" t="s">
        <v>10782</v>
      </c>
      <c r="K2795" t="s">
        <v>21961</v>
      </c>
    </row>
    <row r="2796" spans="1:11" ht="230.4" x14ac:dyDescent="0.3">
      <c r="A2796" s="4" t="s">
        <v>5938</v>
      </c>
      <c r="B2796">
        <v>3</v>
      </c>
      <c r="C2796">
        <v>2021</v>
      </c>
      <c r="D2796" t="s">
        <v>1248</v>
      </c>
      <c r="E2796">
        <v>17</v>
      </c>
      <c r="F2796" t="s">
        <v>21962</v>
      </c>
      <c r="G2796" t="s">
        <v>21963</v>
      </c>
      <c r="H2796" s="4" t="s">
        <v>21964</v>
      </c>
      <c r="I2796" t="s">
        <v>71</v>
      </c>
      <c r="J2796" t="s">
        <v>10782</v>
      </c>
      <c r="K2796" t="s">
        <v>21965</v>
      </c>
    </row>
    <row r="2797" spans="1:11" ht="158.4" x14ac:dyDescent="0.3">
      <c r="A2797" s="4" t="s">
        <v>2671</v>
      </c>
      <c r="B2797">
        <v>2</v>
      </c>
      <c r="C2797">
        <v>2021</v>
      </c>
      <c r="D2797" t="s">
        <v>217</v>
      </c>
      <c r="E2797">
        <v>6</v>
      </c>
      <c r="F2797" t="s">
        <v>21966</v>
      </c>
      <c r="G2797" t="s">
        <v>21967</v>
      </c>
      <c r="H2797" s="4" t="s">
        <v>21968</v>
      </c>
    </row>
    <row r="2798" spans="1:11" ht="216" x14ac:dyDescent="0.3">
      <c r="A2798" s="4" t="s">
        <v>5939</v>
      </c>
      <c r="B2798">
        <v>3</v>
      </c>
      <c r="C2798">
        <v>2021</v>
      </c>
      <c r="D2798" t="s">
        <v>21969</v>
      </c>
      <c r="E2798">
        <v>2</v>
      </c>
      <c r="F2798" t="s">
        <v>21970</v>
      </c>
      <c r="G2798" t="s">
        <v>21971</v>
      </c>
      <c r="H2798" s="4" t="s">
        <v>21972</v>
      </c>
      <c r="I2798" t="s">
        <v>71</v>
      </c>
      <c r="J2798" t="s">
        <v>10782</v>
      </c>
      <c r="K2798" t="s">
        <v>21973</v>
      </c>
    </row>
    <row r="2799" spans="1:11" ht="201.6" x14ac:dyDescent="0.3">
      <c r="A2799" s="4" t="s">
        <v>5940</v>
      </c>
      <c r="B2799">
        <v>3</v>
      </c>
      <c r="C2799">
        <v>2021</v>
      </c>
      <c r="D2799" t="s">
        <v>10924</v>
      </c>
      <c r="E2799">
        <v>15</v>
      </c>
      <c r="F2799" t="s">
        <v>21974</v>
      </c>
      <c r="G2799" t="s">
        <v>21975</v>
      </c>
      <c r="H2799" s="4" t="s">
        <v>21976</v>
      </c>
      <c r="I2799" t="s">
        <v>71</v>
      </c>
      <c r="J2799" t="s">
        <v>10782</v>
      </c>
      <c r="K2799" t="s">
        <v>21977</v>
      </c>
    </row>
    <row r="2800" spans="1:11" ht="201.6" x14ac:dyDescent="0.3">
      <c r="A2800" s="4" t="s">
        <v>5941</v>
      </c>
      <c r="B2800">
        <v>3</v>
      </c>
      <c r="C2800">
        <v>2021</v>
      </c>
      <c r="D2800" t="s">
        <v>1912</v>
      </c>
      <c r="E2800">
        <v>7</v>
      </c>
      <c r="F2800" t="s">
        <v>21978</v>
      </c>
      <c r="G2800" t="s">
        <v>21979</v>
      </c>
      <c r="H2800" s="4" t="s">
        <v>21980</v>
      </c>
      <c r="I2800" t="s">
        <v>71</v>
      </c>
      <c r="J2800" t="s">
        <v>10782</v>
      </c>
      <c r="K2800" t="s">
        <v>21981</v>
      </c>
    </row>
    <row r="2801" spans="1:11" ht="187.2" x14ac:dyDescent="0.3">
      <c r="A2801" s="4" t="s">
        <v>5942</v>
      </c>
      <c r="B2801">
        <v>3</v>
      </c>
      <c r="C2801">
        <v>2021</v>
      </c>
      <c r="D2801" t="s">
        <v>147</v>
      </c>
      <c r="E2801">
        <v>34</v>
      </c>
      <c r="F2801" t="s">
        <v>21982</v>
      </c>
      <c r="G2801" t="s">
        <v>21983</v>
      </c>
      <c r="H2801" s="4" t="s">
        <v>21984</v>
      </c>
      <c r="I2801" t="s">
        <v>71</v>
      </c>
      <c r="J2801" t="s">
        <v>10782</v>
      </c>
      <c r="K2801" t="s">
        <v>21985</v>
      </c>
    </row>
    <row r="2802" spans="1:11" ht="43.2" x14ac:dyDescent="0.3">
      <c r="A2802" s="4" t="s">
        <v>5943</v>
      </c>
      <c r="B2802">
        <v>3</v>
      </c>
      <c r="C2802">
        <v>2021</v>
      </c>
      <c r="D2802" t="s">
        <v>21986</v>
      </c>
      <c r="E2802">
        <v>1</v>
      </c>
      <c r="F2802" t="s">
        <v>21987</v>
      </c>
      <c r="G2802" t="s">
        <v>21988</v>
      </c>
      <c r="H2802" s="4" t="s">
        <v>71</v>
      </c>
      <c r="I2802" t="s">
        <v>10782</v>
      </c>
      <c r="J2802" t="s">
        <v>21989</v>
      </c>
    </row>
    <row r="2803" spans="1:11" ht="259.2" x14ac:dyDescent="0.3">
      <c r="A2803" s="4" t="s">
        <v>3558</v>
      </c>
      <c r="B2803">
        <v>2</v>
      </c>
      <c r="C2803">
        <v>2021</v>
      </c>
      <c r="D2803" t="s">
        <v>964</v>
      </c>
      <c r="E2803">
        <v>13</v>
      </c>
      <c r="F2803" t="s">
        <v>21990</v>
      </c>
      <c r="G2803" t="s">
        <v>21991</v>
      </c>
      <c r="H2803" s="4" t="s">
        <v>21992</v>
      </c>
      <c r="I2803" t="s">
        <v>71</v>
      </c>
      <c r="J2803" t="s">
        <v>10782</v>
      </c>
      <c r="K2803" t="s">
        <v>21993</v>
      </c>
    </row>
    <row r="2804" spans="1:11" ht="115.2" x14ac:dyDescent="0.3">
      <c r="A2804" s="4" t="s">
        <v>5944</v>
      </c>
      <c r="B2804">
        <v>3</v>
      </c>
      <c r="C2804">
        <v>2021</v>
      </c>
      <c r="D2804" t="s">
        <v>21994</v>
      </c>
      <c r="E2804">
        <v>16</v>
      </c>
      <c r="F2804" t="s">
        <v>21995</v>
      </c>
      <c r="G2804" t="s">
        <v>21996</v>
      </c>
      <c r="H2804" s="4" t="s">
        <v>21997</v>
      </c>
      <c r="I2804" t="s">
        <v>71</v>
      </c>
      <c r="J2804" t="s">
        <v>10782</v>
      </c>
      <c r="K2804" t="s">
        <v>21998</v>
      </c>
    </row>
    <row r="2805" spans="1:11" ht="187.2" x14ac:dyDescent="0.3">
      <c r="A2805" s="4" t="s">
        <v>5945</v>
      </c>
      <c r="B2805">
        <v>3</v>
      </c>
      <c r="C2805">
        <v>2021</v>
      </c>
      <c r="D2805" t="s">
        <v>11500</v>
      </c>
      <c r="E2805">
        <v>2</v>
      </c>
      <c r="F2805" t="s">
        <v>21999</v>
      </c>
      <c r="G2805" t="s">
        <v>22000</v>
      </c>
      <c r="H2805" s="4" t="s">
        <v>22001</v>
      </c>
      <c r="I2805" t="s">
        <v>71</v>
      </c>
      <c r="J2805" t="s">
        <v>10782</v>
      </c>
      <c r="K2805" t="s">
        <v>22002</v>
      </c>
    </row>
    <row r="2806" spans="1:11" ht="172.8" x14ac:dyDescent="0.3">
      <c r="A2806" s="4" t="s">
        <v>5946</v>
      </c>
      <c r="B2806">
        <v>3</v>
      </c>
      <c r="C2806">
        <v>2021</v>
      </c>
      <c r="D2806" t="s">
        <v>918</v>
      </c>
      <c r="E2806">
        <v>11</v>
      </c>
      <c r="F2806" t="s">
        <v>22003</v>
      </c>
      <c r="G2806" t="s">
        <v>22004</v>
      </c>
      <c r="H2806" s="4" t="s">
        <v>22005</v>
      </c>
      <c r="I2806" t="s">
        <v>71</v>
      </c>
      <c r="J2806" t="s">
        <v>10782</v>
      </c>
      <c r="K2806" t="s">
        <v>22006</v>
      </c>
    </row>
    <row r="2807" spans="1:11" ht="288" x14ac:dyDescent="0.3">
      <c r="A2807" s="4" t="s">
        <v>5947</v>
      </c>
      <c r="B2807">
        <v>3</v>
      </c>
      <c r="C2807">
        <v>2021</v>
      </c>
      <c r="D2807" t="s">
        <v>234</v>
      </c>
      <c r="E2807">
        <v>2</v>
      </c>
      <c r="F2807" t="s">
        <v>22007</v>
      </c>
      <c r="G2807" t="s">
        <v>22008</v>
      </c>
      <c r="H2807" s="4" t="s">
        <v>22009</v>
      </c>
      <c r="I2807" t="s">
        <v>71</v>
      </c>
      <c r="J2807" t="s">
        <v>10782</v>
      </c>
      <c r="K2807" t="s">
        <v>22010</v>
      </c>
    </row>
    <row r="2808" spans="1:11" ht="187.2" x14ac:dyDescent="0.3">
      <c r="A2808" s="4" t="s">
        <v>1268</v>
      </c>
      <c r="B2808">
        <v>1</v>
      </c>
      <c r="C2808">
        <v>2021</v>
      </c>
      <c r="D2808" t="s">
        <v>1366</v>
      </c>
      <c r="E2808">
        <v>91</v>
      </c>
      <c r="F2808" t="s">
        <v>22011</v>
      </c>
      <c r="G2808" t="s">
        <v>22012</v>
      </c>
      <c r="H2808" s="4" t="s">
        <v>22013</v>
      </c>
      <c r="I2808" t="s">
        <v>71</v>
      </c>
      <c r="J2808" t="s">
        <v>10782</v>
      </c>
      <c r="K2808" t="s">
        <v>22014</v>
      </c>
    </row>
    <row r="2809" spans="1:11" ht="144" x14ac:dyDescent="0.3">
      <c r="A2809" s="4" t="s">
        <v>5948</v>
      </c>
      <c r="B2809">
        <v>3</v>
      </c>
      <c r="C2809">
        <v>2021</v>
      </c>
      <c r="D2809" t="s">
        <v>11702</v>
      </c>
      <c r="E2809">
        <v>160</v>
      </c>
      <c r="F2809" t="s">
        <v>22015</v>
      </c>
      <c r="G2809" t="s">
        <v>22016</v>
      </c>
      <c r="H2809" s="4" t="s">
        <v>22017</v>
      </c>
      <c r="I2809" t="s">
        <v>10823</v>
      </c>
      <c r="J2809" t="s">
        <v>10782</v>
      </c>
      <c r="K2809" t="s">
        <v>22018</v>
      </c>
    </row>
    <row r="2810" spans="1:11" ht="144" x14ac:dyDescent="0.3">
      <c r="A2810" s="4" t="s">
        <v>5949</v>
      </c>
      <c r="B2810">
        <v>3</v>
      </c>
      <c r="C2810">
        <v>2021</v>
      </c>
      <c r="D2810" t="s">
        <v>14061</v>
      </c>
      <c r="E2810">
        <v>11</v>
      </c>
      <c r="F2810" t="s">
        <v>22019</v>
      </c>
      <c r="G2810" t="s">
        <v>22020</v>
      </c>
      <c r="H2810" s="4" t="s">
        <v>22021</v>
      </c>
    </row>
    <row r="2811" spans="1:11" ht="187.2" x14ac:dyDescent="0.3">
      <c r="A2811" s="4" t="s">
        <v>5950</v>
      </c>
      <c r="B2811">
        <v>3</v>
      </c>
      <c r="C2811">
        <v>2021</v>
      </c>
      <c r="D2811" t="s">
        <v>2853</v>
      </c>
      <c r="E2811">
        <v>14</v>
      </c>
      <c r="F2811" t="s">
        <v>22022</v>
      </c>
      <c r="G2811" t="s">
        <v>22023</v>
      </c>
      <c r="H2811" s="4" t="s">
        <v>22024</v>
      </c>
      <c r="I2811" t="s">
        <v>71</v>
      </c>
      <c r="J2811" t="s">
        <v>10782</v>
      </c>
      <c r="K2811" t="s">
        <v>22025</v>
      </c>
    </row>
    <row r="2812" spans="1:11" ht="158.4" x14ac:dyDescent="0.3">
      <c r="A2812" s="4" t="s">
        <v>5951</v>
      </c>
      <c r="B2812">
        <v>3</v>
      </c>
      <c r="C2812">
        <v>2021</v>
      </c>
      <c r="D2812" t="s">
        <v>11500</v>
      </c>
      <c r="E2812">
        <v>8</v>
      </c>
      <c r="F2812" t="s">
        <v>22026</v>
      </c>
      <c r="G2812" t="s">
        <v>22027</v>
      </c>
      <c r="H2812" s="4" t="s">
        <v>22028</v>
      </c>
      <c r="I2812" t="s">
        <v>71</v>
      </c>
      <c r="J2812" t="s">
        <v>10782</v>
      </c>
      <c r="K2812" t="s">
        <v>22029</v>
      </c>
    </row>
    <row r="2813" spans="1:11" ht="129.6" x14ac:dyDescent="0.3">
      <c r="A2813" s="4" t="s">
        <v>5952</v>
      </c>
      <c r="B2813">
        <v>3</v>
      </c>
      <c r="C2813">
        <v>2021</v>
      </c>
      <c r="D2813" t="s">
        <v>22030</v>
      </c>
      <c r="E2813">
        <v>4</v>
      </c>
      <c r="F2813" t="s">
        <v>22031</v>
      </c>
      <c r="G2813" t="s">
        <v>22032</v>
      </c>
      <c r="H2813" s="4" t="s">
        <v>22033</v>
      </c>
    </row>
    <row r="2814" spans="1:11" ht="144" x14ac:dyDescent="0.3">
      <c r="A2814" s="4" t="s">
        <v>3559</v>
      </c>
      <c r="B2814">
        <v>2</v>
      </c>
      <c r="C2814">
        <v>2021</v>
      </c>
      <c r="D2814" t="s">
        <v>14061</v>
      </c>
      <c r="E2814">
        <v>3</v>
      </c>
      <c r="F2814" t="s">
        <v>22034</v>
      </c>
      <c r="G2814" t="s">
        <v>22035</v>
      </c>
      <c r="H2814" s="4" t="s">
        <v>22036</v>
      </c>
      <c r="I2814" t="s">
        <v>71</v>
      </c>
      <c r="J2814" t="s">
        <v>10782</v>
      </c>
      <c r="K2814" t="s">
        <v>22037</v>
      </c>
    </row>
    <row r="2815" spans="1:11" ht="115.2" x14ac:dyDescent="0.3">
      <c r="A2815" s="4" t="s">
        <v>5953</v>
      </c>
      <c r="B2815">
        <v>3</v>
      </c>
      <c r="C2815">
        <v>2021</v>
      </c>
      <c r="D2815" t="s">
        <v>12802</v>
      </c>
      <c r="E2815">
        <v>3</v>
      </c>
      <c r="F2815" t="s">
        <v>22038</v>
      </c>
      <c r="G2815" t="s">
        <v>22039</v>
      </c>
      <c r="H2815" s="4" t="s">
        <v>22040</v>
      </c>
      <c r="I2815" t="s">
        <v>71</v>
      </c>
      <c r="J2815" t="s">
        <v>10782</v>
      </c>
      <c r="K2815" t="s">
        <v>22041</v>
      </c>
    </row>
    <row r="2816" spans="1:11" ht="302.39999999999998" x14ac:dyDescent="0.3">
      <c r="A2816" s="4" t="s">
        <v>5954</v>
      </c>
      <c r="B2816">
        <v>3</v>
      </c>
      <c r="C2816">
        <v>2021</v>
      </c>
      <c r="D2816" t="s">
        <v>19527</v>
      </c>
      <c r="E2816">
        <v>2</v>
      </c>
      <c r="F2816" t="s">
        <v>22042</v>
      </c>
      <c r="G2816" t="s">
        <v>22043</v>
      </c>
      <c r="H2816" s="4" t="s">
        <v>22044</v>
      </c>
      <c r="I2816" t="s">
        <v>71</v>
      </c>
      <c r="J2816" t="s">
        <v>10782</v>
      </c>
      <c r="K2816" t="s">
        <v>22045</v>
      </c>
    </row>
    <row r="2817" spans="1:11" ht="172.8" x14ac:dyDescent="0.3">
      <c r="A2817" s="4" t="s">
        <v>5955</v>
      </c>
      <c r="B2817">
        <v>3</v>
      </c>
      <c r="C2817">
        <v>2021</v>
      </c>
      <c r="D2817" t="s">
        <v>202</v>
      </c>
      <c r="E2817">
        <v>16</v>
      </c>
      <c r="F2817" t="s">
        <v>22046</v>
      </c>
      <c r="G2817" t="s">
        <v>22047</v>
      </c>
      <c r="H2817" s="4" t="s">
        <v>22048</v>
      </c>
      <c r="I2817" t="s">
        <v>71</v>
      </c>
      <c r="J2817" t="s">
        <v>10782</v>
      </c>
      <c r="K2817" t="s">
        <v>22049</v>
      </c>
    </row>
    <row r="2818" spans="1:11" ht="230.4" x14ac:dyDescent="0.3">
      <c r="A2818" s="4" t="s">
        <v>5956</v>
      </c>
      <c r="B2818">
        <v>3</v>
      </c>
      <c r="C2818">
        <v>2021</v>
      </c>
      <c r="D2818" t="s">
        <v>1088</v>
      </c>
      <c r="E2818">
        <v>1</v>
      </c>
      <c r="F2818" t="s">
        <v>22050</v>
      </c>
      <c r="G2818" t="s">
        <v>22051</v>
      </c>
      <c r="H2818" s="4" t="s">
        <v>22052</v>
      </c>
      <c r="I2818" t="s">
        <v>71</v>
      </c>
      <c r="J2818" t="s">
        <v>10782</v>
      </c>
      <c r="K2818" t="s">
        <v>22053</v>
      </c>
    </row>
    <row r="2819" spans="1:11" ht="72" x14ac:dyDescent="0.3">
      <c r="A2819" s="4" t="s">
        <v>1269</v>
      </c>
      <c r="B2819">
        <v>1</v>
      </c>
      <c r="C2819">
        <v>2021</v>
      </c>
      <c r="D2819" t="s">
        <v>1375</v>
      </c>
      <c r="E2819">
        <v>10</v>
      </c>
      <c r="F2819" t="s">
        <v>22054</v>
      </c>
      <c r="G2819" t="s">
        <v>22055</v>
      </c>
      <c r="H2819" s="4" t="s">
        <v>22056</v>
      </c>
      <c r="I2819" t="s">
        <v>71</v>
      </c>
      <c r="J2819" t="s">
        <v>10782</v>
      </c>
      <c r="K2819" t="s">
        <v>22057</v>
      </c>
    </row>
    <row r="2820" spans="1:11" ht="158.4" x14ac:dyDescent="0.3">
      <c r="A2820" s="4" t="s">
        <v>1270</v>
      </c>
      <c r="B2820">
        <v>1</v>
      </c>
      <c r="C2820">
        <v>2021</v>
      </c>
      <c r="D2820" t="s">
        <v>1381</v>
      </c>
      <c r="E2820">
        <v>3</v>
      </c>
      <c r="F2820" t="s">
        <v>22058</v>
      </c>
      <c r="G2820" t="s">
        <v>22059</v>
      </c>
      <c r="H2820" s="4" t="s">
        <v>22060</v>
      </c>
      <c r="I2820" t="s">
        <v>71</v>
      </c>
      <c r="J2820" t="s">
        <v>10782</v>
      </c>
      <c r="K2820" t="s">
        <v>22061</v>
      </c>
    </row>
    <row r="2821" spans="1:11" ht="172.8" x14ac:dyDescent="0.3">
      <c r="A2821" s="4" t="s">
        <v>3560</v>
      </c>
      <c r="B2821">
        <v>2</v>
      </c>
      <c r="C2821">
        <v>2021</v>
      </c>
      <c r="D2821" t="s">
        <v>14320</v>
      </c>
      <c r="E2821">
        <v>22</v>
      </c>
      <c r="F2821" t="s">
        <v>22062</v>
      </c>
      <c r="G2821" t="s">
        <v>22063</v>
      </c>
      <c r="H2821" s="4" t="s">
        <v>22064</v>
      </c>
      <c r="I2821" t="s">
        <v>71</v>
      </c>
      <c r="J2821" t="s">
        <v>10782</v>
      </c>
      <c r="K2821" t="s">
        <v>22065</v>
      </c>
    </row>
    <row r="2822" spans="1:11" ht="86.4" x14ac:dyDescent="0.3">
      <c r="A2822" s="4" t="s">
        <v>5957</v>
      </c>
      <c r="B2822">
        <v>3</v>
      </c>
      <c r="C2822">
        <v>2021</v>
      </c>
      <c r="D2822" t="s">
        <v>958</v>
      </c>
      <c r="E2822">
        <v>14</v>
      </c>
      <c r="F2822" t="s">
        <v>22066</v>
      </c>
      <c r="G2822" t="s">
        <v>22067</v>
      </c>
      <c r="H2822" s="4" t="s">
        <v>22068</v>
      </c>
    </row>
    <row r="2823" spans="1:11" ht="201.6" x14ac:dyDescent="0.3">
      <c r="A2823" s="4" t="s">
        <v>5958</v>
      </c>
      <c r="B2823">
        <v>3</v>
      </c>
      <c r="C2823">
        <v>2021</v>
      </c>
      <c r="D2823" t="s">
        <v>811</v>
      </c>
      <c r="E2823">
        <v>7</v>
      </c>
      <c r="F2823" t="s">
        <v>22069</v>
      </c>
      <c r="G2823" t="s">
        <v>22070</v>
      </c>
      <c r="H2823" s="4" t="s">
        <v>22071</v>
      </c>
      <c r="I2823" t="s">
        <v>71</v>
      </c>
      <c r="J2823" t="s">
        <v>10782</v>
      </c>
      <c r="K2823" t="s">
        <v>22072</v>
      </c>
    </row>
    <row r="2824" spans="1:11" ht="187.2" x14ac:dyDescent="0.3">
      <c r="A2824" s="4" t="s">
        <v>5959</v>
      </c>
      <c r="B2824">
        <v>3</v>
      </c>
      <c r="C2824">
        <v>2021</v>
      </c>
      <c r="D2824" t="s">
        <v>482</v>
      </c>
      <c r="E2824">
        <v>4</v>
      </c>
      <c r="F2824" t="s">
        <v>22073</v>
      </c>
      <c r="G2824" t="s">
        <v>22074</v>
      </c>
      <c r="H2824" s="4" t="s">
        <v>22075</v>
      </c>
      <c r="I2824" t="s">
        <v>71</v>
      </c>
      <c r="J2824" t="s">
        <v>10782</v>
      </c>
      <c r="K2824" t="s">
        <v>22076</v>
      </c>
    </row>
    <row r="2825" spans="1:11" ht="187.2" x14ac:dyDescent="0.3">
      <c r="A2825" s="4" t="s">
        <v>5960</v>
      </c>
      <c r="B2825">
        <v>3</v>
      </c>
      <c r="C2825">
        <v>2021</v>
      </c>
      <c r="D2825" t="s">
        <v>22077</v>
      </c>
      <c r="E2825">
        <v>11</v>
      </c>
      <c r="F2825" t="s">
        <v>22078</v>
      </c>
      <c r="G2825" t="s">
        <v>22079</v>
      </c>
      <c r="H2825" s="4" t="s">
        <v>22080</v>
      </c>
      <c r="I2825" t="s">
        <v>71</v>
      </c>
      <c r="J2825" t="s">
        <v>10782</v>
      </c>
      <c r="K2825" t="s">
        <v>22081</v>
      </c>
    </row>
    <row r="2826" spans="1:11" ht="187.2" x14ac:dyDescent="0.3">
      <c r="A2826" s="4" t="s">
        <v>5961</v>
      </c>
      <c r="B2826">
        <v>3</v>
      </c>
      <c r="C2826">
        <v>2021</v>
      </c>
      <c r="D2826" t="s">
        <v>22082</v>
      </c>
      <c r="E2826">
        <v>1</v>
      </c>
      <c r="F2826" t="s">
        <v>22083</v>
      </c>
      <c r="G2826" t="s">
        <v>22084</v>
      </c>
      <c r="H2826" s="4" t="s">
        <v>22085</v>
      </c>
      <c r="I2826" t="s">
        <v>71</v>
      </c>
      <c r="J2826" t="s">
        <v>10782</v>
      </c>
      <c r="K2826" t="s">
        <v>22086</v>
      </c>
    </row>
    <row r="2827" spans="1:11" ht="230.4" x14ac:dyDescent="0.3">
      <c r="A2827" s="4" t="s">
        <v>5962</v>
      </c>
      <c r="B2827">
        <v>3</v>
      </c>
      <c r="C2827">
        <v>2021</v>
      </c>
      <c r="D2827" t="s">
        <v>22087</v>
      </c>
      <c r="E2827">
        <v>2</v>
      </c>
      <c r="F2827" t="s">
        <v>22088</v>
      </c>
      <c r="G2827" t="s">
        <v>22089</v>
      </c>
      <c r="H2827" s="4" t="s">
        <v>22090</v>
      </c>
      <c r="I2827" t="s">
        <v>71</v>
      </c>
      <c r="J2827" t="s">
        <v>10782</v>
      </c>
      <c r="K2827" t="s">
        <v>22091</v>
      </c>
    </row>
    <row r="2828" spans="1:11" ht="230.4" x14ac:dyDescent="0.3">
      <c r="A2828" s="4" t="s">
        <v>5963</v>
      </c>
      <c r="B2828">
        <v>3</v>
      </c>
      <c r="C2828">
        <v>2021</v>
      </c>
      <c r="D2828" t="s">
        <v>958</v>
      </c>
      <c r="E2828">
        <v>30</v>
      </c>
      <c r="F2828" t="s">
        <v>22092</v>
      </c>
      <c r="G2828" t="s">
        <v>22093</v>
      </c>
      <c r="H2828" s="4" t="s">
        <v>22094</v>
      </c>
      <c r="I2828" t="s">
        <v>71</v>
      </c>
      <c r="J2828" t="s">
        <v>10782</v>
      </c>
      <c r="K2828" t="s">
        <v>22095</v>
      </c>
    </row>
    <row r="2829" spans="1:11" ht="144" x14ac:dyDescent="0.3">
      <c r="A2829" s="4" t="s">
        <v>1271</v>
      </c>
      <c r="B2829">
        <v>1</v>
      </c>
      <c r="C2829">
        <v>2021</v>
      </c>
      <c r="D2829" t="s">
        <v>1384</v>
      </c>
      <c r="E2829">
        <v>2</v>
      </c>
      <c r="F2829" t="s">
        <v>22096</v>
      </c>
      <c r="G2829" t="s">
        <v>22097</v>
      </c>
      <c r="H2829" s="4" t="s">
        <v>22098</v>
      </c>
      <c r="I2829" t="s">
        <v>71</v>
      </c>
      <c r="J2829" t="s">
        <v>10782</v>
      </c>
      <c r="K2829" t="s">
        <v>22099</v>
      </c>
    </row>
    <row r="2830" spans="1:11" ht="129.6" x14ac:dyDescent="0.3">
      <c r="A2830" s="4" t="s">
        <v>5964</v>
      </c>
      <c r="B2830">
        <v>3</v>
      </c>
      <c r="C2830">
        <v>2021</v>
      </c>
      <c r="D2830" t="s">
        <v>14394</v>
      </c>
      <c r="E2830">
        <v>74</v>
      </c>
      <c r="F2830" t="s">
        <v>22100</v>
      </c>
      <c r="G2830" t="s">
        <v>22101</v>
      </c>
      <c r="H2830" s="4" t="s">
        <v>22102</v>
      </c>
      <c r="I2830" t="s">
        <v>10823</v>
      </c>
      <c r="J2830" t="s">
        <v>10782</v>
      </c>
      <c r="K2830" t="s">
        <v>22103</v>
      </c>
    </row>
    <row r="2831" spans="1:11" ht="57.6" x14ac:dyDescent="0.3">
      <c r="A2831" s="4" t="s">
        <v>5965</v>
      </c>
      <c r="B2831">
        <v>3</v>
      </c>
      <c r="C2831">
        <v>2021</v>
      </c>
      <c r="D2831" t="s">
        <v>18806</v>
      </c>
      <c r="E2831">
        <v>1</v>
      </c>
      <c r="F2831" t="s">
        <v>22104</v>
      </c>
      <c r="G2831" t="s">
        <v>22105</v>
      </c>
      <c r="H2831" s="4" t="s">
        <v>22106</v>
      </c>
    </row>
    <row r="2832" spans="1:11" ht="201.6" x14ac:dyDescent="0.3">
      <c r="A2832" s="4" t="s">
        <v>1278</v>
      </c>
      <c r="B2832">
        <v>1</v>
      </c>
      <c r="C2832">
        <v>2021</v>
      </c>
      <c r="D2832" t="s">
        <v>958</v>
      </c>
      <c r="E2832">
        <v>34</v>
      </c>
      <c r="F2832" t="s">
        <v>22107</v>
      </c>
      <c r="G2832" t="s">
        <v>22108</v>
      </c>
      <c r="H2832" s="4" t="s">
        <v>22109</v>
      </c>
      <c r="I2832" t="s">
        <v>71</v>
      </c>
      <c r="J2832" t="s">
        <v>10782</v>
      </c>
      <c r="K2832" t="s">
        <v>22110</v>
      </c>
    </row>
    <row r="2833" spans="1:11" ht="244.8" x14ac:dyDescent="0.3">
      <c r="A2833" s="4" t="s">
        <v>5966</v>
      </c>
      <c r="B2833">
        <v>3</v>
      </c>
      <c r="C2833">
        <v>2021</v>
      </c>
      <c r="D2833" t="s">
        <v>22111</v>
      </c>
      <c r="E2833">
        <v>2</v>
      </c>
      <c r="F2833" t="s">
        <v>22112</v>
      </c>
      <c r="G2833" t="s">
        <v>22113</v>
      </c>
      <c r="H2833" s="4" t="s">
        <v>22114</v>
      </c>
      <c r="I2833" t="s">
        <v>71</v>
      </c>
      <c r="J2833" t="s">
        <v>10782</v>
      </c>
      <c r="K2833" t="s">
        <v>22115</v>
      </c>
    </row>
    <row r="2834" spans="1:11" ht="172.8" x14ac:dyDescent="0.3">
      <c r="A2834" s="4" t="s">
        <v>5967</v>
      </c>
      <c r="B2834">
        <v>3</v>
      </c>
      <c r="C2834">
        <v>2021</v>
      </c>
      <c r="D2834" t="s">
        <v>22116</v>
      </c>
      <c r="E2834">
        <v>22</v>
      </c>
      <c r="F2834" t="s">
        <v>22117</v>
      </c>
      <c r="G2834" t="s">
        <v>22118</v>
      </c>
      <c r="H2834" s="4" t="s">
        <v>22119</v>
      </c>
    </row>
    <row r="2835" spans="1:11" ht="201.6" x14ac:dyDescent="0.3">
      <c r="A2835" s="4" t="s">
        <v>5968</v>
      </c>
      <c r="B2835">
        <v>3</v>
      </c>
      <c r="C2835">
        <v>2021</v>
      </c>
      <c r="D2835" t="s">
        <v>14553</v>
      </c>
      <c r="E2835">
        <v>29</v>
      </c>
      <c r="F2835" t="s">
        <v>22120</v>
      </c>
      <c r="G2835" t="s">
        <v>22121</v>
      </c>
      <c r="H2835" s="4" t="s">
        <v>22122</v>
      </c>
      <c r="I2835" t="s">
        <v>71</v>
      </c>
      <c r="J2835" t="s">
        <v>10782</v>
      </c>
      <c r="K2835" t="s">
        <v>22123</v>
      </c>
    </row>
    <row r="2836" spans="1:11" ht="100.8" x14ac:dyDescent="0.3">
      <c r="A2836" s="4" t="s">
        <v>5969</v>
      </c>
      <c r="B2836">
        <v>3</v>
      </c>
      <c r="C2836">
        <v>2021</v>
      </c>
      <c r="D2836" t="s">
        <v>19414</v>
      </c>
      <c r="E2836">
        <v>33</v>
      </c>
      <c r="F2836" t="s">
        <v>22124</v>
      </c>
      <c r="G2836" t="s">
        <v>22125</v>
      </c>
      <c r="H2836" s="4" t="s">
        <v>22126</v>
      </c>
    </row>
    <row r="2837" spans="1:11" ht="187.2" x14ac:dyDescent="0.3">
      <c r="A2837" s="4" t="s">
        <v>5970</v>
      </c>
      <c r="B2837">
        <v>3</v>
      </c>
      <c r="C2837">
        <v>2021</v>
      </c>
      <c r="D2837" t="s">
        <v>217</v>
      </c>
      <c r="E2837">
        <v>21</v>
      </c>
      <c r="F2837" t="s">
        <v>22127</v>
      </c>
      <c r="G2837" t="s">
        <v>22128</v>
      </c>
      <c r="H2837" s="4" t="s">
        <v>22129</v>
      </c>
      <c r="I2837" t="s">
        <v>71</v>
      </c>
      <c r="J2837" t="s">
        <v>10782</v>
      </c>
      <c r="K2837" t="s">
        <v>22130</v>
      </c>
    </row>
    <row r="2838" spans="1:11" ht="172.8" x14ac:dyDescent="0.3">
      <c r="A2838" s="4" t="s">
        <v>5971</v>
      </c>
      <c r="B2838">
        <v>3</v>
      </c>
      <c r="C2838">
        <v>2021</v>
      </c>
      <c r="D2838" t="s">
        <v>217</v>
      </c>
      <c r="E2838">
        <v>22</v>
      </c>
      <c r="F2838" t="s">
        <v>22131</v>
      </c>
      <c r="G2838" t="s">
        <v>22132</v>
      </c>
      <c r="H2838" s="4" t="s">
        <v>22133</v>
      </c>
      <c r="I2838" t="s">
        <v>71</v>
      </c>
      <c r="J2838" t="s">
        <v>10782</v>
      </c>
      <c r="K2838" t="s">
        <v>22134</v>
      </c>
    </row>
    <row r="2839" spans="1:11" ht="115.2" x14ac:dyDescent="0.3">
      <c r="A2839" s="4" t="s">
        <v>5972</v>
      </c>
      <c r="B2839">
        <v>3</v>
      </c>
      <c r="C2839">
        <v>2021</v>
      </c>
      <c r="D2839" t="s">
        <v>918</v>
      </c>
      <c r="E2839">
        <v>5</v>
      </c>
      <c r="F2839" t="s">
        <v>22135</v>
      </c>
      <c r="G2839" t="s">
        <v>22136</v>
      </c>
      <c r="H2839" s="4" t="s">
        <v>22137</v>
      </c>
      <c r="I2839" t="s">
        <v>71</v>
      </c>
      <c r="J2839" t="s">
        <v>10782</v>
      </c>
      <c r="K2839" t="s">
        <v>22138</v>
      </c>
    </row>
    <row r="2840" spans="1:11" ht="72" x14ac:dyDescent="0.3">
      <c r="A2840" s="4" t="s">
        <v>5973</v>
      </c>
      <c r="B2840">
        <v>3</v>
      </c>
      <c r="C2840">
        <v>2021</v>
      </c>
      <c r="D2840" t="s">
        <v>22139</v>
      </c>
      <c r="E2840">
        <v>2</v>
      </c>
      <c r="F2840" t="s">
        <v>22140</v>
      </c>
      <c r="G2840" t="s">
        <v>22141</v>
      </c>
      <c r="H2840" s="4" t="s">
        <v>22142</v>
      </c>
    </row>
    <row r="2841" spans="1:11" ht="172.8" x14ac:dyDescent="0.3">
      <c r="A2841" s="4" t="s">
        <v>5974</v>
      </c>
      <c r="B2841">
        <v>3</v>
      </c>
      <c r="C2841">
        <v>2021</v>
      </c>
      <c r="D2841" t="s">
        <v>918</v>
      </c>
      <c r="E2841">
        <v>14</v>
      </c>
      <c r="F2841" t="s">
        <v>22143</v>
      </c>
      <c r="G2841" t="s">
        <v>22144</v>
      </c>
      <c r="H2841" s="4" t="s">
        <v>22145</v>
      </c>
      <c r="I2841" t="s">
        <v>10823</v>
      </c>
      <c r="J2841" t="s">
        <v>10782</v>
      </c>
      <c r="K2841" t="s">
        <v>22146</v>
      </c>
    </row>
    <row r="2842" spans="1:11" ht="158.4" x14ac:dyDescent="0.3">
      <c r="A2842" s="4" t="s">
        <v>5975</v>
      </c>
      <c r="B2842">
        <v>3</v>
      </c>
      <c r="C2842">
        <v>2021</v>
      </c>
      <c r="D2842" t="s">
        <v>1381</v>
      </c>
      <c r="E2842">
        <v>5</v>
      </c>
      <c r="F2842" t="s">
        <v>22147</v>
      </c>
      <c r="G2842" t="s">
        <v>22148</v>
      </c>
      <c r="H2842" s="4" t="s">
        <v>22149</v>
      </c>
      <c r="I2842" t="s">
        <v>71</v>
      </c>
      <c r="J2842" t="s">
        <v>10782</v>
      </c>
      <c r="K2842" t="s">
        <v>22150</v>
      </c>
    </row>
    <row r="2843" spans="1:11" ht="129.6" x14ac:dyDescent="0.3">
      <c r="A2843" s="4" t="s">
        <v>5976</v>
      </c>
      <c r="B2843">
        <v>3</v>
      </c>
      <c r="C2843">
        <v>2021</v>
      </c>
      <c r="D2843" t="s">
        <v>11521</v>
      </c>
      <c r="E2843">
        <v>18</v>
      </c>
      <c r="F2843" t="s">
        <v>22151</v>
      </c>
      <c r="G2843" t="s">
        <v>22152</v>
      </c>
      <c r="H2843" s="4" t="s">
        <v>22153</v>
      </c>
      <c r="I2843" t="s">
        <v>71</v>
      </c>
      <c r="J2843" t="s">
        <v>10782</v>
      </c>
      <c r="K2843" t="s">
        <v>22154</v>
      </c>
    </row>
    <row r="2844" spans="1:11" ht="158.4" x14ac:dyDescent="0.3">
      <c r="A2844" s="4" t="s">
        <v>5977</v>
      </c>
      <c r="B2844">
        <v>3</v>
      </c>
      <c r="C2844">
        <v>2021</v>
      </c>
      <c r="D2844" t="s">
        <v>13883</v>
      </c>
      <c r="E2844">
        <v>0</v>
      </c>
      <c r="F2844" t="s">
        <v>22155</v>
      </c>
      <c r="G2844" t="s">
        <v>22156</v>
      </c>
      <c r="H2844" s="4" t="s">
        <v>22157</v>
      </c>
    </row>
    <row r="2845" spans="1:11" ht="129.6" x14ac:dyDescent="0.3">
      <c r="A2845" s="4" t="s">
        <v>5978</v>
      </c>
      <c r="B2845">
        <v>3</v>
      </c>
      <c r="C2845">
        <v>2021</v>
      </c>
      <c r="D2845" t="s">
        <v>14147</v>
      </c>
      <c r="E2845">
        <v>11</v>
      </c>
      <c r="F2845" t="s">
        <v>22158</v>
      </c>
      <c r="G2845" t="s">
        <v>22159</v>
      </c>
      <c r="H2845" s="4" t="s">
        <v>22160</v>
      </c>
    </row>
    <row r="2846" spans="1:11" ht="172.8" x14ac:dyDescent="0.3">
      <c r="A2846" s="4" t="s">
        <v>5979</v>
      </c>
      <c r="B2846">
        <v>3</v>
      </c>
      <c r="C2846">
        <v>2021</v>
      </c>
      <c r="D2846" t="s">
        <v>22161</v>
      </c>
      <c r="E2846">
        <v>4</v>
      </c>
      <c r="F2846" t="s">
        <v>22162</v>
      </c>
      <c r="G2846" t="s">
        <v>22163</v>
      </c>
      <c r="H2846" s="4" t="s">
        <v>22164</v>
      </c>
      <c r="I2846" t="s">
        <v>71</v>
      </c>
      <c r="J2846" t="s">
        <v>10782</v>
      </c>
      <c r="K2846" t="s">
        <v>22165</v>
      </c>
    </row>
    <row r="2847" spans="1:11" ht="244.8" x14ac:dyDescent="0.3">
      <c r="A2847" s="4" t="s">
        <v>5980</v>
      </c>
      <c r="B2847">
        <v>3</v>
      </c>
      <c r="C2847">
        <v>2021</v>
      </c>
      <c r="D2847" t="s">
        <v>14863</v>
      </c>
      <c r="E2847">
        <v>11</v>
      </c>
      <c r="F2847" t="s">
        <v>22166</v>
      </c>
      <c r="G2847" t="s">
        <v>22167</v>
      </c>
      <c r="H2847" s="4" t="s">
        <v>22168</v>
      </c>
      <c r="I2847" t="s">
        <v>71</v>
      </c>
      <c r="J2847" t="s">
        <v>10782</v>
      </c>
      <c r="K2847" t="s">
        <v>22169</v>
      </c>
    </row>
    <row r="2848" spans="1:11" ht="187.2" x14ac:dyDescent="0.3">
      <c r="A2848" s="4" t="s">
        <v>5981</v>
      </c>
      <c r="B2848">
        <v>3</v>
      </c>
      <c r="C2848">
        <v>2021</v>
      </c>
      <c r="D2848" t="s">
        <v>1794</v>
      </c>
      <c r="E2848">
        <v>7</v>
      </c>
      <c r="F2848" t="s">
        <v>22170</v>
      </c>
      <c r="G2848" t="s">
        <v>22171</v>
      </c>
      <c r="H2848" s="4" t="s">
        <v>22172</v>
      </c>
      <c r="I2848" t="s">
        <v>71</v>
      </c>
      <c r="J2848" t="s">
        <v>10782</v>
      </c>
      <c r="K2848" t="s">
        <v>22173</v>
      </c>
    </row>
    <row r="2849" spans="1:11" ht="187.2" x14ac:dyDescent="0.3">
      <c r="A2849" s="4" t="s">
        <v>5982</v>
      </c>
      <c r="B2849">
        <v>3</v>
      </c>
      <c r="C2849">
        <v>2021</v>
      </c>
      <c r="D2849" t="s">
        <v>11007</v>
      </c>
      <c r="E2849">
        <v>20</v>
      </c>
      <c r="F2849" t="s">
        <v>22174</v>
      </c>
      <c r="G2849" t="s">
        <v>22175</v>
      </c>
      <c r="H2849" s="4" t="s">
        <v>22176</v>
      </c>
      <c r="I2849" t="s">
        <v>71</v>
      </c>
      <c r="J2849" t="s">
        <v>10782</v>
      </c>
      <c r="K2849" t="s">
        <v>22177</v>
      </c>
    </row>
    <row r="2850" spans="1:11" ht="144" x14ac:dyDescent="0.3">
      <c r="A2850" s="4" t="s">
        <v>5983</v>
      </c>
      <c r="B2850">
        <v>3</v>
      </c>
      <c r="C2850">
        <v>2021</v>
      </c>
      <c r="D2850" t="s">
        <v>918</v>
      </c>
      <c r="E2850">
        <v>70</v>
      </c>
      <c r="F2850" t="s">
        <v>22178</v>
      </c>
      <c r="G2850" t="s">
        <v>22179</v>
      </c>
      <c r="H2850" s="4" t="s">
        <v>22180</v>
      </c>
      <c r="I2850" t="s">
        <v>71</v>
      </c>
      <c r="J2850" t="s">
        <v>10782</v>
      </c>
      <c r="K2850" t="s">
        <v>22181</v>
      </c>
    </row>
    <row r="2851" spans="1:11" ht="230.4" x14ac:dyDescent="0.3">
      <c r="A2851" s="4" t="s">
        <v>5984</v>
      </c>
      <c r="B2851">
        <v>3</v>
      </c>
      <c r="C2851">
        <v>2021</v>
      </c>
      <c r="D2851" t="s">
        <v>14173</v>
      </c>
      <c r="E2851">
        <v>2</v>
      </c>
      <c r="F2851" t="s">
        <v>22182</v>
      </c>
      <c r="G2851" t="s">
        <v>22183</v>
      </c>
      <c r="H2851" s="4" t="s">
        <v>22184</v>
      </c>
      <c r="I2851" t="s">
        <v>71</v>
      </c>
      <c r="J2851" t="s">
        <v>10782</v>
      </c>
      <c r="K2851" t="s">
        <v>22185</v>
      </c>
    </row>
    <row r="2852" spans="1:11" ht="259.2" x14ac:dyDescent="0.3">
      <c r="A2852" s="4" t="s">
        <v>5985</v>
      </c>
      <c r="B2852">
        <v>3</v>
      </c>
      <c r="C2852">
        <v>2021</v>
      </c>
      <c r="D2852" t="s">
        <v>19376</v>
      </c>
      <c r="E2852">
        <v>5</v>
      </c>
      <c r="F2852" t="s">
        <v>22186</v>
      </c>
      <c r="G2852" t="s">
        <v>22187</v>
      </c>
      <c r="H2852" s="4" t="s">
        <v>22188</v>
      </c>
      <c r="I2852" t="s">
        <v>71</v>
      </c>
      <c r="J2852" t="s">
        <v>10782</v>
      </c>
      <c r="K2852" t="s">
        <v>22189</v>
      </c>
    </row>
    <row r="2853" spans="1:11" ht="230.4" x14ac:dyDescent="0.3">
      <c r="A2853" s="4" t="s">
        <v>5986</v>
      </c>
      <c r="B2853">
        <v>3</v>
      </c>
      <c r="C2853">
        <v>2021</v>
      </c>
      <c r="D2853" t="s">
        <v>482</v>
      </c>
      <c r="E2853">
        <v>9</v>
      </c>
      <c r="F2853" t="s">
        <v>22190</v>
      </c>
      <c r="G2853" t="s">
        <v>22191</v>
      </c>
      <c r="H2853" s="4" t="s">
        <v>22192</v>
      </c>
      <c r="I2853" t="s">
        <v>71</v>
      </c>
      <c r="J2853" t="s">
        <v>10782</v>
      </c>
      <c r="K2853" t="s">
        <v>22193</v>
      </c>
    </row>
    <row r="2854" spans="1:11" ht="158.4" x14ac:dyDescent="0.3">
      <c r="A2854" s="4" t="s">
        <v>5987</v>
      </c>
      <c r="B2854">
        <v>3</v>
      </c>
      <c r="C2854">
        <v>2021</v>
      </c>
      <c r="D2854" t="s">
        <v>217</v>
      </c>
      <c r="E2854">
        <v>3</v>
      </c>
      <c r="F2854" t="s">
        <v>22194</v>
      </c>
      <c r="G2854" t="s">
        <v>22195</v>
      </c>
      <c r="H2854" s="4" t="s">
        <v>22196</v>
      </c>
      <c r="I2854" t="s">
        <v>71</v>
      </c>
      <c r="J2854" t="s">
        <v>10782</v>
      </c>
      <c r="K2854" t="s">
        <v>22197</v>
      </c>
    </row>
    <row r="2855" spans="1:11" ht="129.6" x14ac:dyDescent="0.3">
      <c r="A2855" s="4" t="s">
        <v>5988</v>
      </c>
      <c r="B2855">
        <v>3</v>
      </c>
      <c r="C2855">
        <v>2021</v>
      </c>
      <c r="D2855" t="s">
        <v>217</v>
      </c>
      <c r="E2855">
        <v>7</v>
      </c>
      <c r="F2855" t="s">
        <v>22198</v>
      </c>
      <c r="G2855" t="s">
        <v>22199</v>
      </c>
      <c r="H2855" s="4" t="s">
        <v>22200</v>
      </c>
      <c r="I2855" t="s">
        <v>71</v>
      </c>
      <c r="J2855" t="s">
        <v>10782</v>
      </c>
      <c r="K2855" t="s">
        <v>22201</v>
      </c>
    </row>
    <row r="2856" spans="1:11" ht="201.6" x14ac:dyDescent="0.3">
      <c r="A2856" s="4" t="s">
        <v>5989</v>
      </c>
      <c r="B2856">
        <v>3</v>
      </c>
      <c r="C2856">
        <v>2021</v>
      </c>
      <c r="D2856" t="s">
        <v>22202</v>
      </c>
      <c r="E2856">
        <v>0</v>
      </c>
      <c r="F2856" t="s">
        <v>22203</v>
      </c>
      <c r="G2856" t="s">
        <v>22204</v>
      </c>
      <c r="H2856" s="4" t="s">
        <v>22205</v>
      </c>
      <c r="I2856" t="s">
        <v>71</v>
      </c>
      <c r="J2856" t="s">
        <v>10782</v>
      </c>
      <c r="K2856" t="s">
        <v>22206</v>
      </c>
    </row>
    <row r="2857" spans="1:11" ht="172.8" x14ac:dyDescent="0.3">
      <c r="A2857" s="4" t="s">
        <v>5990</v>
      </c>
      <c r="B2857">
        <v>3</v>
      </c>
      <c r="C2857">
        <v>2021</v>
      </c>
      <c r="D2857" t="s">
        <v>217</v>
      </c>
      <c r="E2857">
        <v>1</v>
      </c>
      <c r="F2857" t="s">
        <v>22207</v>
      </c>
      <c r="G2857" t="s">
        <v>22208</v>
      </c>
      <c r="H2857" s="4" t="s">
        <v>22209</v>
      </c>
      <c r="I2857" t="s">
        <v>71</v>
      </c>
      <c r="J2857" t="s">
        <v>10782</v>
      </c>
      <c r="K2857" t="s">
        <v>22210</v>
      </c>
    </row>
    <row r="2858" spans="1:11" ht="259.2" x14ac:dyDescent="0.3">
      <c r="A2858" s="4" t="s">
        <v>5991</v>
      </c>
      <c r="B2858">
        <v>3</v>
      </c>
      <c r="C2858">
        <v>2021</v>
      </c>
      <c r="D2858" t="s">
        <v>11525</v>
      </c>
      <c r="E2858">
        <v>21</v>
      </c>
      <c r="F2858" t="s">
        <v>22211</v>
      </c>
      <c r="G2858" t="s">
        <v>22212</v>
      </c>
      <c r="H2858" s="4" t="s">
        <v>22213</v>
      </c>
      <c r="I2858" t="s">
        <v>71</v>
      </c>
      <c r="J2858" t="s">
        <v>10782</v>
      </c>
      <c r="K2858" t="s">
        <v>22214</v>
      </c>
    </row>
    <row r="2859" spans="1:11" ht="187.2" x14ac:dyDescent="0.3">
      <c r="A2859" s="4" t="s">
        <v>1279</v>
      </c>
      <c r="B2859">
        <v>1</v>
      </c>
      <c r="C2859">
        <v>2021</v>
      </c>
      <c r="D2859" t="s">
        <v>1401</v>
      </c>
      <c r="E2859">
        <v>0</v>
      </c>
      <c r="F2859" t="s">
        <v>22215</v>
      </c>
      <c r="G2859" t="s">
        <v>22216</v>
      </c>
      <c r="H2859" s="4" t="s">
        <v>22217</v>
      </c>
      <c r="I2859" t="s">
        <v>71</v>
      </c>
      <c r="J2859" t="s">
        <v>10782</v>
      </c>
      <c r="K2859" t="s">
        <v>22218</v>
      </c>
    </row>
    <row r="2860" spans="1:11" ht="100.8" x14ac:dyDescent="0.3">
      <c r="A2860" s="4" t="s">
        <v>5992</v>
      </c>
      <c r="B2860">
        <v>3</v>
      </c>
      <c r="C2860">
        <v>2021</v>
      </c>
      <c r="D2860" t="s">
        <v>22219</v>
      </c>
      <c r="E2860">
        <v>0</v>
      </c>
      <c r="F2860" t="s">
        <v>22220</v>
      </c>
      <c r="G2860" t="s">
        <v>22221</v>
      </c>
      <c r="H2860" s="4" t="s">
        <v>22222</v>
      </c>
      <c r="I2860" t="s">
        <v>71</v>
      </c>
      <c r="J2860" t="s">
        <v>10782</v>
      </c>
      <c r="K2860" t="s">
        <v>22223</v>
      </c>
    </row>
    <row r="2861" spans="1:11" ht="172.8" x14ac:dyDescent="0.3">
      <c r="A2861" s="4" t="s">
        <v>3561</v>
      </c>
      <c r="B2861">
        <v>2</v>
      </c>
      <c r="C2861">
        <v>2021</v>
      </c>
      <c r="D2861" t="s">
        <v>1770</v>
      </c>
      <c r="E2861">
        <v>19</v>
      </c>
      <c r="F2861" t="s">
        <v>22224</v>
      </c>
      <c r="G2861" t="s">
        <v>22225</v>
      </c>
      <c r="H2861" s="4" t="s">
        <v>22226</v>
      </c>
      <c r="I2861" t="s">
        <v>71</v>
      </c>
      <c r="J2861" t="s">
        <v>10782</v>
      </c>
      <c r="K2861" t="s">
        <v>22227</v>
      </c>
    </row>
    <row r="2862" spans="1:11" ht="158.4" x14ac:dyDescent="0.3">
      <c r="A2862" s="4" t="s">
        <v>5993</v>
      </c>
      <c r="B2862">
        <v>3</v>
      </c>
      <c r="C2862">
        <v>2021</v>
      </c>
      <c r="D2862" t="s">
        <v>17127</v>
      </c>
      <c r="E2862">
        <v>8</v>
      </c>
      <c r="F2862" t="s">
        <v>22228</v>
      </c>
      <c r="G2862" t="s">
        <v>22229</v>
      </c>
      <c r="H2862" s="4" t="s">
        <v>22230</v>
      </c>
    </row>
    <row r="2863" spans="1:11" ht="201.6" x14ac:dyDescent="0.3">
      <c r="A2863" s="4" t="s">
        <v>5994</v>
      </c>
      <c r="B2863">
        <v>3</v>
      </c>
      <c r="C2863">
        <v>2021</v>
      </c>
      <c r="D2863" t="s">
        <v>2267</v>
      </c>
      <c r="E2863">
        <v>7</v>
      </c>
      <c r="F2863" t="s">
        <v>22231</v>
      </c>
      <c r="G2863" t="s">
        <v>22232</v>
      </c>
      <c r="H2863" s="4" t="s">
        <v>22233</v>
      </c>
      <c r="I2863" t="s">
        <v>71</v>
      </c>
      <c r="J2863" t="s">
        <v>10782</v>
      </c>
      <c r="K2863" t="s">
        <v>22234</v>
      </c>
    </row>
    <row r="2864" spans="1:11" ht="129.6" x14ac:dyDescent="0.3">
      <c r="A2864" s="4" t="s">
        <v>5995</v>
      </c>
      <c r="B2864">
        <v>3</v>
      </c>
      <c r="C2864">
        <v>2021</v>
      </c>
      <c r="D2864" t="s">
        <v>22235</v>
      </c>
      <c r="E2864">
        <v>7</v>
      </c>
      <c r="F2864" t="s">
        <v>22236</v>
      </c>
      <c r="G2864" t="s">
        <v>22237</v>
      </c>
      <c r="H2864" s="4" t="s">
        <v>22238</v>
      </c>
      <c r="I2864" t="s">
        <v>71</v>
      </c>
      <c r="J2864" t="s">
        <v>10782</v>
      </c>
      <c r="K2864" t="s">
        <v>22239</v>
      </c>
    </row>
    <row r="2865" spans="1:11" ht="201.6" x14ac:dyDescent="0.3">
      <c r="A2865" s="4" t="s">
        <v>5996</v>
      </c>
      <c r="B2865">
        <v>3</v>
      </c>
      <c r="C2865">
        <v>2021</v>
      </c>
      <c r="D2865" t="s">
        <v>18220</v>
      </c>
      <c r="E2865">
        <v>2</v>
      </c>
      <c r="F2865" t="s">
        <v>22240</v>
      </c>
      <c r="G2865" t="s">
        <v>22241</v>
      </c>
      <c r="H2865" s="4" t="s">
        <v>22242</v>
      </c>
      <c r="I2865" t="s">
        <v>71</v>
      </c>
      <c r="J2865" t="s">
        <v>10782</v>
      </c>
      <c r="K2865" t="s">
        <v>22243</v>
      </c>
    </row>
    <row r="2866" spans="1:11" ht="259.2" x14ac:dyDescent="0.3">
      <c r="A2866" s="4" t="s">
        <v>5997</v>
      </c>
      <c r="B2866">
        <v>3</v>
      </c>
      <c r="C2866">
        <v>2021</v>
      </c>
      <c r="D2866" t="s">
        <v>22244</v>
      </c>
      <c r="E2866">
        <v>4</v>
      </c>
      <c r="F2866" t="s">
        <v>22245</v>
      </c>
      <c r="G2866" t="s">
        <v>22246</v>
      </c>
      <c r="H2866" s="4" t="s">
        <v>22247</v>
      </c>
      <c r="I2866" t="s">
        <v>10823</v>
      </c>
      <c r="J2866" t="s">
        <v>10782</v>
      </c>
      <c r="K2866" t="s">
        <v>22248</v>
      </c>
    </row>
    <row r="2867" spans="1:11" ht="115.2" x14ac:dyDescent="0.3">
      <c r="A2867" s="4" t="s">
        <v>5998</v>
      </c>
      <c r="B2867">
        <v>3</v>
      </c>
      <c r="C2867">
        <v>2021</v>
      </c>
      <c r="D2867" t="s">
        <v>1794</v>
      </c>
      <c r="E2867">
        <v>2</v>
      </c>
      <c r="F2867" t="s">
        <v>22249</v>
      </c>
      <c r="G2867" t="s">
        <v>22250</v>
      </c>
      <c r="H2867" s="4" t="s">
        <v>22251</v>
      </c>
      <c r="I2867" t="s">
        <v>71</v>
      </c>
      <c r="J2867" t="s">
        <v>10782</v>
      </c>
      <c r="K2867" t="s">
        <v>22252</v>
      </c>
    </row>
    <row r="2868" spans="1:11" ht="115.2" x14ac:dyDescent="0.3">
      <c r="A2868" s="4" t="s">
        <v>5999</v>
      </c>
      <c r="B2868">
        <v>3</v>
      </c>
      <c r="C2868">
        <v>2021</v>
      </c>
      <c r="D2868" t="s">
        <v>17111</v>
      </c>
      <c r="E2868">
        <v>5</v>
      </c>
      <c r="F2868" t="s">
        <v>22253</v>
      </c>
      <c r="G2868" t="s">
        <v>22254</v>
      </c>
      <c r="H2868" s="4" t="s">
        <v>22255</v>
      </c>
      <c r="I2868" t="s">
        <v>71</v>
      </c>
      <c r="J2868" t="s">
        <v>10782</v>
      </c>
      <c r="K2868" t="s">
        <v>22256</v>
      </c>
    </row>
    <row r="2869" spans="1:11" ht="201.6" x14ac:dyDescent="0.3">
      <c r="A2869" s="4" t="s">
        <v>2672</v>
      </c>
      <c r="B2869">
        <v>2</v>
      </c>
      <c r="C2869">
        <v>2021</v>
      </c>
      <c r="D2869" t="s">
        <v>2763</v>
      </c>
      <c r="E2869">
        <v>10</v>
      </c>
      <c r="F2869" t="s">
        <v>22257</v>
      </c>
      <c r="G2869" t="s">
        <v>22258</v>
      </c>
      <c r="H2869" s="4" t="s">
        <v>22259</v>
      </c>
      <c r="I2869" t="s">
        <v>71</v>
      </c>
      <c r="J2869" t="s">
        <v>10782</v>
      </c>
      <c r="K2869" t="s">
        <v>22260</v>
      </c>
    </row>
    <row r="2870" spans="1:11" ht="187.2" x14ac:dyDescent="0.3">
      <c r="A2870" s="4" t="s">
        <v>3562</v>
      </c>
      <c r="B2870">
        <v>2</v>
      </c>
      <c r="C2870">
        <v>2021</v>
      </c>
      <c r="D2870" t="s">
        <v>217</v>
      </c>
      <c r="E2870">
        <v>19</v>
      </c>
      <c r="F2870" t="s">
        <v>22261</v>
      </c>
      <c r="G2870" t="s">
        <v>22262</v>
      </c>
      <c r="H2870" s="4" t="s">
        <v>22263</v>
      </c>
      <c r="I2870" t="s">
        <v>71</v>
      </c>
      <c r="J2870" t="s">
        <v>10782</v>
      </c>
      <c r="K2870" t="s">
        <v>22264</v>
      </c>
    </row>
    <row r="2871" spans="1:11" ht="144" x14ac:dyDescent="0.3">
      <c r="A2871" s="4" t="s">
        <v>6000</v>
      </c>
      <c r="B2871">
        <v>3</v>
      </c>
      <c r="C2871">
        <v>2021</v>
      </c>
      <c r="D2871" t="s">
        <v>22265</v>
      </c>
      <c r="E2871">
        <v>0</v>
      </c>
      <c r="F2871" t="s">
        <v>22266</v>
      </c>
      <c r="G2871" t="s">
        <v>22267</v>
      </c>
      <c r="H2871" s="4" t="s">
        <v>22268</v>
      </c>
      <c r="I2871" t="s">
        <v>71</v>
      </c>
      <c r="J2871" t="s">
        <v>10782</v>
      </c>
      <c r="K2871" t="s">
        <v>22269</v>
      </c>
    </row>
    <row r="2872" spans="1:11" ht="129.6" x14ac:dyDescent="0.3">
      <c r="A2872" s="4" t="s">
        <v>6001</v>
      </c>
      <c r="B2872">
        <v>3</v>
      </c>
      <c r="C2872">
        <v>2021</v>
      </c>
      <c r="D2872" t="s">
        <v>22270</v>
      </c>
      <c r="E2872">
        <v>8</v>
      </c>
      <c r="F2872" t="s">
        <v>22271</v>
      </c>
      <c r="G2872" t="s">
        <v>22272</v>
      </c>
      <c r="H2872" s="4" t="s">
        <v>22273</v>
      </c>
      <c r="I2872" t="s">
        <v>71</v>
      </c>
      <c r="J2872" t="s">
        <v>10782</v>
      </c>
      <c r="K2872" t="s">
        <v>22274</v>
      </c>
    </row>
    <row r="2873" spans="1:11" ht="57.6" x14ac:dyDescent="0.3">
      <c r="A2873" s="4" t="s">
        <v>6002</v>
      </c>
      <c r="B2873">
        <v>3</v>
      </c>
      <c r="C2873">
        <v>2021</v>
      </c>
      <c r="D2873" t="s">
        <v>11521</v>
      </c>
      <c r="E2873">
        <v>20</v>
      </c>
      <c r="F2873" t="s">
        <v>22275</v>
      </c>
      <c r="G2873" t="s">
        <v>22276</v>
      </c>
      <c r="H2873" s="4" t="s">
        <v>22277</v>
      </c>
    </row>
    <row r="2874" spans="1:11" ht="158.4" x14ac:dyDescent="0.3">
      <c r="A2874" s="4" t="s">
        <v>6003</v>
      </c>
      <c r="B2874">
        <v>3</v>
      </c>
      <c r="C2874">
        <v>2021</v>
      </c>
      <c r="D2874" t="s">
        <v>14061</v>
      </c>
      <c r="E2874">
        <v>5</v>
      </c>
      <c r="F2874" t="s">
        <v>22278</v>
      </c>
      <c r="G2874" t="s">
        <v>22279</v>
      </c>
      <c r="H2874" s="4" t="s">
        <v>22280</v>
      </c>
      <c r="I2874" t="s">
        <v>71</v>
      </c>
      <c r="J2874" t="s">
        <v>10782</v>
      </c>
      <c r="K2874" t="s">
        <v>22281</v>
      </c>
    </row>
    <row r="2875" spans="1:11" ht="129.6" x14ac:dyDescent="0.3">
      <c r="A2875" s="4" t="s">
        <v>6004</v>
      </c>
      <c r="B2875">
        <v>3</v>
      </c>
      <c r="C2875">
        <v>2021</v>
      </c>
      <c r="D2875" t="s">
        <v>22282</v>
      </c>
      <c r="E2875">
        <v>6</v>
      </c>
      <c r="F2875" t="s">
        <v>22283</v>
      </c>
      <c r="G2875" t="s">
        <v>22284</v>
      </c>
      <c r="H2875" s="4" t="s">
        <v>22285</v>
      </c>
      <c r="I2875" t="s">
        <v>71</v>
      </c>
      <c r="J2875" t="s">
        <v>10782</v>
      </c>
      <c r="K2875" t="s">
        <v>22286</v>
      </c>
    </row>
    <row r="2876" spans="1:11" ht="230.4" x14ac:dyDescent="0.3">
      <c r="A2876" s="4" t="s">
        <v>6005</v>
      </c>
      <c r="B2876">
        <v>3</v>
      </c>
      <c r="C2876">
        <v>2021</v>
      </c>
      <c r="D2876" t="s">
        <v>11432</v>
      </c>
      <c r="E2876">
        <v>23</v>
      </c>
      <c r="F2876" t="s">
        <v>22287</v>
      </c>
      <c r="G2876" t="s">
        <v>22288</v>
      </c>
      <c r="H2876" s="4" t="s">
        <v>22289</v>
      </c>
      <c r="I2876" t="s">
        <v>71</v>
      </c>
      <c r="J2876" t="s">
        <v>10782</v>
      </c>
      <c r="K2876" t="s">
        <v>22290</v>
      </c>
    </row>
    <row r="2877" spans="1:11" ht="144" x14ac:dyDescent="0.3">
      <c r="A2877" s="4" t="s">
        <v>6006</v>
      </c>
      <c r="B2877">
        <v>3</v>
      </c>
      <c r="C2877">
        <v>2021</v>
      </c>
      <c r="D2877" t="s">
        <v>918</v>
      </c>
      <c r="E2877">
        <v>13</v>
      </c>
      <c r="F2877" t="s">
        <v>22291</v>
      </c>
      <c r="G2877" t="s">
        <v>22292</v>
      </c>
      <c r="H2877" s="4" t="s">
        <v>22293</v>
      </c>
      <c r="I2877" t="s">
        <v>71</v>
      </c>
      <c r="J2877" t="s">
        <v>10782</v>
      </c>
      <c r="K2877" t="s">
        <v>22294</v>
      </c>
    </row>
    <row r="2878" spans="1:11" ht="273.60000000000002" x14ac:dyDescent="0.3">
      <c r="A2878" s="4" t="s">
        <v>6007</v>
      </c>
      <c r="B2878">
        <v>3</v>
      </c>
      <c r="C2878">
        <v>2021</v>
      </c>
      <c r="D2878" t="s">
        <v>22295</v>
      </c>
      <c r="E2878">
        <v>1</v>
      </c>
      <c r="F2878" t="s">
        <v>22296</v>
      </c>
      <c r="G2878" t="s">
        <v>22297</v>
      </c>
      <c r="H2878" s="4" t="s">
        <v>22298</v>
      </c>
      <c r="I2878" t="s">
        <v>71</v>
      </c>
      <c r="J2878" t="s">
        <v>10782</v>
      </c>
      <c r="K2878" t="s">
        <v>22299</v>
      </c>
    </row>
    <row r="2879" spans="1:11" ht="158.4" x14ac:dyDescent="0.3">
      <c r="A2879" s="4" t="s">
        <v>6008</v>
      </c>
      <c r="B2879">
        <v>3</v>
      </c>
      <c r="C2879">
        <v>2021</v>
      </c>
      <c r="D2879" t="s">
        <v>147</v>
      </c>
      <c r="E2879">
        <v>24</v>
      </c>
      <c r="F2879" t="s">
        <v>22300</v>
      </c>
      <c r="G2879" t="s">
        <v>22301</v>
      </c>
      <c r="H2879" s="4" t="s">
        <v>22302</v>
      </c>
      <c r="I2879" t="s">
        <v>71</v>
      </c>
      <c r="J2879" t="s">
        <v>10782</v>
      </c>
      <c r="K2879" t="s">
        <v>22303</v>
      </c>
    </row>
    <row r="2880" spans="1:11" ht="187.2" x14ac:dyDescent="0.3">
      <c r="A2880" s="4" t="s">
        <v>6009</v>
      </c>
      <c r="B2880">
        <v>3</v>
      </c>
      <c r="C2880">
        <v>2021</v>
      </c>
      <c r="D2880" t="s">
        <v>11409</v>
      </c>
      <c r="E2880">
        <v>3</v>
      </c>
      <c r="F2880" t="s">
        <v>22304</v>
      </c>
      <c r="G2880" t="s">
        <v>22305</v>
      </c>
      <c r="H2880" s="4" t="s">
        <v>22306</v>
      </c>
      <c r="I2880" t="s">
        <v>71</v>
      </c>
      <c r="J2880" t="s">
        <v>10782</v>
      </c>
      <c r="K2880" t="s">
        <v>22307</v>
      </c>
    </row>
    <row r="2881" spans="1:11" ht="172.8" x14ac:dyDescent="0.3">
      <c r="A2881" s="4" t="s">
        <v>6010</v>
      </c>
      <c r="B2881">
        <v>3</v>
      </c>
      <c r="C2881">
        <v>2021</v>
      </c>
      <c r="D2881" t="s">
        <v>22308</v>
      </c>
      <c r="E2881">
        <v>1</v>
      </c>
      <c r="F2881" t="s">
        <v>22309</v>
      </c>
      <c r="G2881" t="s">
        <v>22310</v>
      </c>
      <c r="H2881" s="4" t="s">
        <v>22311</v>
      </c>
    </row>
    <row r="2882" spans="1:11" ht="144" x14ac:dyDescent="0.3">
      <c r="A2882" s="4" t="s">
        <v>3335</v>
      </c>
      <c r="B2882">
        <v>1</v>
      </c>
      <c r="C2882">
        <v>2021</v>
      </c>
      <c r="D2882" t="s">
        <v>217</v>
      </c>
      <c r="E2882">
        <v>9</v>
      </c>
      <c r="F2882" t="s">
        <v>22312</v>
      </c>
      <c r="G2882" t="s">
        <v>22313</v>
      </c>
      <c r="H2882" s="4" t="s">
        <v>22314</v>
      </c>
      <c r="I2882" t="s">
        <v>71</v>
      </c>
      <c r="J2882" t="s">
        <v>10782</v>
      </c>
      <c r="K2882" t="s">
        <v>22315</v>
      </c>
    </row>
    <row r="2883" spans="1:11" ht="187.2" x14ac:dyDescent="0.3">
      <c r="A2883" s="4" t="s">
        <v>3336</v>
      </c>
      <c r="B2883">
        <v>1</v>
      </c>
      <c r="C2883">
        <v>2021</v>
      </c>
      <c r="D2883" t="s">
        <v>2375</v>
      </c>
      <c r="E2883">
        <v>5</v>
      </c>
      <c r="F2883" t="s">
        <v>22316</v>
      </c>
      <c r="G2883" t="s">
        <v>22317</v>
      </c>
      <c r="H2883" s="4" t="s">
        <v>22318</v>
      </c>
      <c r="I2883" t="s">
        <v>71</v>
      </c>
      <c r="J2883" t="s">
        <v>10782</v>
      </c>
      <c r="K2883" t="s">
        <v>22319</v>
      </c>
    </row>
    <row r="2884" spans="1:11" ht="201.6" x14ac:dyDescent="0.3">
      <c r="A2884" s="4" t="s">
        <v>3563</v>
      </c>
      <c r="B2884">
        <v>2</v>
      </c>
      <c r="C2884">
        <v>2021</v>
      </c>
      <c r="D2884" t="s">
        <v>22320</v>
      </c>
      <c r="E2884">
        <v>0</v>
      </c>
      <c r="F2884" t="s">
        <v>22321</v>
      </c>
      <c r="G2884" t="s">
        <v>22322</v>
      </c>
      <c r="H2884" s="4" t="s">
        <v>22323</v>
      </c>
      <c r="I2884" t="s">
        <v>71</v>
      </c>
      <c r="J2884" t="s">
        <v>10782</v>
      </c>
      <c r="K2884" t="s">
        <v>22324</v>
      </c>
    </row>
    <row r="2885" spans="1:11" ht="144" x14ac:dyDescent="0.3">
      <c r="A2885" s="4" t="s">
        <v>6011</v>
      </c>
      <c r="B2885">
        <v>3</v>
      </c>
      <c r="C2885">
        <v>2021</v>
      </c>
      <c r="D2885" t="s">
        <v>964</v>
      </c>
      <c r="E2885">
        <v>65</v>
      </c>
      <c r="F2885" t="s">
        <v>22325</v>
      </c>
      <c r="G2885" t="s">
        <v>22326</v>
      </c>
      <c r="H2885" s="4" t="s">
        <v>22327</v>
      </c>
      <c r="I2885" t="s">
        <v>71</v>
      </c>
      <c r="J2885" t="s">
        <v>10782</v>
      </c>
      <c r="K2885" t="s">
        <v>22328</v>
      </c>
    </row>
    <row r="2886" spans="1:11" ht="129.6" x14ac:dyDescent="0.3">
      <c r="A2886" s="4" t="s">
        <v>6012</v>
      </c>
      <c r="B2886">
        <v>3</v>
      </c>
      <c r="C2886">
        <v>2021</v>
      </c>
      <c r="D2886" t="s">
        <v>17127</v>
      </c>
      <c r="E2886">
        <v>6</v>
      </c>
      <c r="F2886" t="s">
        <v>22329</v>
      </c>
      <c r="G2886" t="s">
        <v>22330</v>
      </c>
      <c r="H2886" s="4" t="s">
        <v>22331</v>
      </c>
    </row>
    <row r="2887" spans="1:11" ht="230.4" x14ac:dyDescent="0.3">
      <c r="A2887" s="4" t="s">
        <v>1288</v>
      </c>
      <c r="B2887">
        <v>1</v>
      </c>
      <c r="C2887">
        <v>2021</v>
      </c>
      <c r="D2887" t="s">
        <v>958</v>
      </c>
      <c r="E2887">
        <v>12</v>
      </c>
      <c r="F2887" t="s">
        <v>22332</v>
      </c>
      <c r="G2887" t="s">
        <v>22333</v>
      </c>
      <c r="H2887" s="4" t="s">
        <v>22334</v>
      </c>
      <c r="I2887" t="s">
        <v>71</v>
      </c>
      <c r="J2887" t="s">
        <v>10782</v>
      </c>
      <c r="K2887" t="s">
        <v>22335</v>
      </c>
    </row>
    <row r="2888" spans="1:11" ht="144" x14ac:dyDescent="0.3">
      <c r="A2888" s="4" t="s">
        <v>3337</v>
      </c>
      <c r="B2888">
        <v>1</v>
      </c>
      <c r="C2888">
        <v>2021</v>
      </c>
      <c r="D2888" t="s">
        <v>958</v>
      </c>
      <c r="E2888">
        <v>10</v>
      </c>
      <c r="F2888" t="s">
        <v>22336</v>
      </c>
      <c r="G2888" t="s">
        <v>22337</v>
      </c>
      <c r="H2888" s="4" t="s">
        <v>22338</v>
      </c>
      <c r="I2888" t="s">
        <v>71</v>
      </c>
      <c r="J2888" t="s">
        <v>10782</v>
      </c>
      <c r="K2888" t="s">
        <v>22339</v>
      </c>
    </row>
    <row r="2889" spans="1:11" ht="172.8" x14ac:dyDescent="0.3">
      <c r="A2889" s="4" t="s">
        <v>3338</v>
      </c>
      <c r="B2889">
        <v>1</v>
      </c>
      <c r="C2889">
        <v>2021</v>
      </c>
      <c r="D2889" t="s">
        <v>964</v>
      </c>
      <c r="E2889">
        <v>19</v>
      </c>
      <c r="F2889" t="s">
        <v>22340</v>
      </c>
      <c r="G2889" t="s">
        <v>22341</v>
      </c>
      <c r="H2889" s="4" t="s">
        <v>22342</v>
      </c>
      <c r="I2889" t="s">
        <v>71</v>
      </c>
      <c r="J2889" t="s">
        <v>10782</v>
      </c>
      <c r="K2889" t="s">
        <v>22343</v>
      </c>
    </row>
    <row r="2890" spans="1:11" ht="158.4" x14ac:dyDescent="0.3">
      <c r="A2890" s="4" t="s">
        <v>6013</v>
      </c>
      <c r="B2890">
        <v>3</v>
      </c>
      <c r="C2890">
        <v>2021</v>
      </c>
      <c r="D2890" t="s">
        <v>1088</v>
      </c>
      <c r="E2890">
        <v>3</v>
      </c>
      <c r="F2890" t="s">
        <v>22344</v>
      </c>
      <c r="G2890" t="s">
        <v>22345</v>
      </c>
      <c r="H2890" s="4" t="s">
        <v>22346</v>
      </c>
      <c r="I2890" t="s">
        <v>71</v>
      </c>
      <c r="J2890" t="s">
        <v>10782</v>
      </c>
      <c r="K2890" t="s">
        <v>22347</v>
      </c>
    </row>
    <row r="2891" spans="1:11" ht="201.6" x14ac:dyDescent="0.3">
      <c r="A2891" s="4" t="s">
        <v>6014</v>
      </c>
      <c r="B2891">
        <v>3</v>
      </c>
      <c r="C2891">
        <v>2021</v>
      </c>
      <c r="D2891" t="s">
        <v>13696</v>
      </c>
      <c r="E2891">
        <v>2</v>
      </c>
      <c r="F2891" t="s">
        <v>22348</v>
      </c>
      <c r="G2891" t="s">
        <v>22349</v>
      </c>
      <c r="H2891" s="4" t="s">
        <v>22350</v>
      </c>
      <c r="I2891" t="s">
        <v>71</v>
      </c>
      <c r="J2891" t="s">
        <v>10782</v>
      </c>
      <c r="K2891" t="s">
        <v>22351</v>
      </c>
    </row>
    <row r="2892" spans="1:11" ht="158.4" x14ac:dyDescent="0.3">
      <c r="A2892" s="4" t="s">
        <v>6015</v>
      </c>
      <c r="B2892">
        <v>3</v>
      </c>
      <c r="C2892">
        <v>2021</v>
      </c>
      <c r="D2892" t="s">
        <v>22352</v>
      </c>
      <c r="E2892">
        <v>1</v>
      </c>
      <c r="F2892" t="s">
        <v>22353</v>
      </c>
      <c r="G2892" t="s">
        <v>22354</v>
      </c>
      <c r="H2892" s="4" t="s">
        <v>22355</v>
      </c>
    </row>
    <row r="2893" spans="1:11" ht="129.6" x14ac:dyDescent="0.3">
      <c r="A2893" s="4" t="s">
        <v>6016</v>
      </c>
      <c r="B2893">
        <v>3</v>
      </c>
      <c r="C2893">
        <v>2021</v>
      </c>
      <c r="D2893" t="s">
        <v>12802</v>
      </c>
      <c r="E2893">
        <v>2</v>
      </c>
      <c r="F2893" t="s">
        <v>22356</v>
      </c>
      <c r="G2893" t="s">
        <v>22357</v>
      </c>
      <c r="H2893" s="4" t="s">
        <v>22358</v>
      </c>
      <c r="I2893" t="s">
        <v>71</v>
      </c>
      <c r="J2893" t="s">
        <v>10782</v>
      </c>
      <c r="K2893" t="s">
        <v>22359</v>
      </c>
    </row>
    <row r="2894" spans="1:11" ht="144" x14ac:dyDescent="0.3">
      <c r="A2894" s="4" t="s">
        <v>6017</v>
      </c>
      <c r="B2894">
        <v>3</v>
      </c>
      <c r="C2894">
        <v>2021</v>
      </c>
      <c r="D2894" t="s">
        <v>22360</v>
      </c>
      <c r="E2894">
        <v>1</v>
      </c>
      <c r="F2894" t="s">
        <v>22361</v>
      </c>
      <c r="G2894" t="s">
        <v>22362</v>
      </c>
      <c r="H2894" s="4" t="s">
        <v>22363</v>
      </c>
      <c r="I2894" t="s">
        <v>71</v>
      </c>
      <c r="J2894" t="s">
        <v>10782</v>
      </c>
      <c r="K2894" t="s">
        <v>22364</v>
      </c>
    </row>
    <row r="2895" spans="1:11" ht="259.2" x14ac:dyDescent="0.3">
      <c r="A2895" s="4" t="s">
        <v>6018</v>
      </c>
      <c r="B2895">
        <v>3</v>
      </c>
      <c r="C2895">
        <v>2020</v>
      </c>
      <c r="D2895" t="s">
        <v>329</v>
      </c>
      <c r="E2895">
        <v>2</v>
      </c>
      <c r="F2895" t="s">
        <v>22365</v>
      </c>
      <c r="G2895" t="s">
        <v>22366</v>
      </c>
      <c r="H2895" s="4" t="s">
        <v>22367</v>
      </c>
      <c r="I2895" t="s">
        <v>71</v>
      </c>
      <c r="J2895" t="s">
        <v>10782</v>
      </c>
      <c r="K2895" t="s">
        <v>22368</v>
      </c>
    </row>
    <row r="2896" spans="1:11" ht="230.4" x14ac:dyDescent="0.3">
      <c r="A2896" s="4" t="s">
        <v>6019</v>
      </c>
      <c r="B2896">
        <v>3</v>
      </c>
      <c r="C2896">
        <v>2020</v>
      </c>
      <c r="D2896" t="s">
        <v>11728</v>
      </c>
      <c r="E2896">
        <v>5</v>
      </c>
      <c r="F2896" t="s">
        <v>22369</v>
      </c>
      <c r="G2896" t="s">
        <v>22370</v>
      </c>
      <c r="H2896" s="4" t="s">
        <v>22371</v>
      </c>
      <c r="I2896" t="s">
        <v>71</v>
      </c>
      <c r="J2896" t="s">
        <v>10782</v>
      </c>
      <c r="K2896" t="s">
        <v>22372</v>
      </c>
    </row>
    <row r="2897" spans="1:11" ht="57.6" x14ac:dyDescent="0.3">
      <c r="A2897" s="4" t="s">
        <v>6020</v>
      </c>
      <c r="B2897">
        <v>3</v>
      </c>
      <c r="C2897">
        <v>2020</v>
      </c>
      <c r="D2897" t="s">
        <v>11598</v>
      </c>
      <c r="E2897">
        <v>14</v>
      </c>
      <c r="F2897" t="s">
        <v>22373</v>
      </c>
      <c r="G2897" t="s">
        <v>22374</v>
      </c>
      <c r="H2897" s="4" t="s">
        <v>22375</v>
      </c>
    </row>
    <row r="2898" spans="1:11" ht="129.6" x14ac:dyDescent="0.3">
      <c r="A2898" s="4" t="s">
        <v>6021</v>
      </c>
      <c r="B2898">
        <v>3</v>
      </c>
      <c r="C2898">
        <v>2020</v>
      </c>
      <c r="D2898" t="s">
        <v>1438</v>
      </c>
      <c r="E2898">
        <v>11</v>
      </c>
      <c r="F2898" t="s">
        <v>22376</v>
      </c>
      <c r="G2898" t="s">
        <v>22377</v>
      </c>
      <c r="H2898" s="4" t="s">
        <v>22378</v>
      </c>
      <c r="I2898" t="s">
        <v>10823</v>
      </c>
      <c r="J2898" t="s">
        <v>10782</v>
      </c>
      <c r="K2898" t="s">
        <v>22379</v>
      </c>
    </row>
    <row r="2899" spans="1:11" ht="288" x14ac:dyDescent="0.3">
      <c r="A2899" s="4" t="s">
        <v>6022</v>
      </c>
      <c r="B2899">
        <v>3</v>
      </c>
      <c r="C2899">
        <v>2020</v>
      </c>
      <c r="D2899" t="s">
        <v>11598</v>
      </c>
      <c r="E2899">
        <v>15</v>
      </c>
      <c r="F2899" t="s">
        <v>22380</v>
      </c>
      <c r="G2899" t="s">
        <v>22381</v>
      </c>
      <c r="H2899" s="4" t="s">
        <v>22382</v>
      </c>
      <c r="I2899" t="s">
        <v>71</v>
      </c>
      <c r="J2899" t="s">
        <v>10782</v>
      </c>
      <c r="K2899" t="s">
        <v>22383</v>
      </c>
    </row>
    <row r="2900" spans="1:11" ht="129.6" x14ac:dyDescent="0.3">
      <c r="A2900" s="4" t="s">
        <v>6023</v>
      </c>
      <c r="B2900">
        <v>3</v>
      </c>
      <c r="C2900">
        <v>2020</v>
      </c>
      <c r="D2900" t="s">
        <v>11521</v>
      </c>
      <c r="E2900">
        <v>5</v>
      </c>
      <c r="F2900" t="s">
        <v>22384</v>
      </c>
      <c r="G2900" t="s">
        <v>22385</v>
      </c>
      <c r="H2900" s="4" t="s">
        <v>22386</v>
      </c>
      <c r="I2900" t="s">
        <v>71</v>
      </c>
      <c r="J2900" t="s">
        <v>10782</v>
      </c>
      <c r="K2900" t="s">
        <v>22387</v>
      </c>
    </row>
    <row r="2901" spans="1:11" ht="115.2" x14ac:dyDescent="0.3">
      <c r="A2901" s="4" t="s">
        <v>6024</v>
      </c>
      <c r="B2901">
        <v>3</v>
      </c>
      <c r="C2901">
        <v>2020</v>
      </c>
      <c r="D2901" t="s">
        <v>22388</v>
      </c>
      <c r="E2901">
        <v>3</v>
      </c>
      <c r="F2901" t="s">
        <v>22389</v>
      </c>
      <c r="G2901" t="s">
        <v>22390</v>
      </c>
      <c r="H2901" s="4" t="s">
        <v>22391</v>
      </c>
      <c r="I2901" t="s">
        <v>71</v>
      </c>
      <c r="J2901" t="s">
        <v>10782</v>
      </c>
      <c r="K2901" t="s">
        <v>22392</v>
      </c>
    </row>
    <row r="2902" spans="1:11" ht="201.6" x14ac:dyDescent="0.3">
      <c r="A2902" s="4" t="s">
        <v>6025</v>
      </c>
      <c r="B2902">
        <v>3</v>
      </c>
      <c r="C2902">
        <v>2020</v>
      </c>
      <c r="D2902" t="s">
        <v>12593</v>
      </c>
      <c r="E2902">
        <v>19</v>
      </c>
      <c r="F2902" t="s">
        <v>22393</v>
      </c>
      <c r="G2902" t="s">
        <v>22394</v>
      </c>
      <c r="H2902" s="4" t="s">
        <v>22395</v>
      </c>
      <c r="I2902" t="s">
        <v>10823</v>
      </c>
      <c r="J2902" t="s">
        <v>10782</v>
      </c>
      <c r="K2902" t="s">
        <v>22396</v>
      </c>
    </row>
    <row r="2903" spans="1:11" ht="158.4" x14ac:dyDescent="0.3">
      <c r="A2903" s="4" t="s">
        <v>6026</v>
      </c>
      <c r="B2903">
        <v>3</v>
      </c>
      <c r="C2903">
        <v>2020</v>
      </c>
      <c r="D2903" t="s">
        <v>277</v>
      </c>
      <c r="E2903">
        <v>21</v>
      </c>
      <c r="F2903" t="s">
        <v>22397</v>
      </c>
      <c r="G2903" t="s">
        <v>22398</v>
      </c>
      <c r="H2903" s="4" t="s">
        <v>22399</v>
      </c>
      <c r="I2903" t="s">
        <v>71</v>
      </c>
      <c r="J2903" t="s">
        <v>10782</v>
      </c>
      <c r="K2903" t="s">
        <v>22400</v>
      </c>
    </row>
    <row r="2904" spans="1:11" ht="158.4" x14ac:dyDescent="0.3">
      <c r="A2904" s="4" t="s">
        <v>6027</v>
      </c>
      <c r="B2904">
        <v>3</v>
      </c>
      <c r="C2904">
        <v>2020</v>
      </c>
      <c r="D2904" t="s">
        <v>1088</v>
      </c>
      <c r="E2904">
        <v>27</v>
      </c>
      <c r="F2904" t="s">
        <v>22401</v>
      </c>
      <c r="G2904" t="s">
        <v>22402</v>
      </c>
      <c r="H2904" s="4" t="s">
        <v>22403</v>
      </c>
      <c r="I2904" t="s">
        <v>71</v>
      </c>
      <c r="J2904" t="s">
        <v>10782</v>
      </c>
      <c r="K2904" t="s">
        <v>22404</v>
      </c>
    </row>
    <row r="2905" spans="1:11" ht="158.4" x14ac:dyDescent="0.3">
      <c r="A2905" s="4" t="s">
        <v>6028</v>
      </c>
      <c r="B2905">
        <v>3</v>
      </c>
      <c r="C2905">
        <v>2020</v>
      </c>
      <c r="D2905" t="s">
        <v>622</v>
      </c>
      <c r="E2905">
        <v>7</v>
      </c>
      <c r="F2905" t="s">
        <v>22405</v>
      </c>
      <c r="G2905" t="s">
        <v>22406</v>
      </c>
      <c r="H2905" s="4" t="s">
        <v>22407</v>
      </c>
      <c r="I2905" t="s">
        <v>71</v>
      </c>
      <c r="J2905" t="s">
        <v>10782</v>
      </c>
      <c r="K2905" t="s">
        <v>22408</v>
      </c>
    </row>
    <row r="2906" spans="1:11" ht="230.4" x14ac:dyDescent="0.3">
      <c r="A2906" s="4" t="s">
        <v>6029</v>
      </c>
      <c r="B2906">
        <v>3</v>
      </c>
      <c r="C2906">
        <v>2020</v>
      </c>
      <c r="D2906" t="s">
        <v>10924</v>
      </c>
      <c r="E2906">
        <v>20</v>
      </c>
      <c r="F2906" t="s">
        <v>22409</v>
      </c>
      <c r="G2906" t="s">
        <v>22410</v>
      </c>
      <c r="H2906" s="4" t="s">
        <v>22411</v>
      </c>
      <c r="I2906" t="s">
        <v>71</v>
      </c>
      <c r="J2906" t="s">
        <v>10782</v>
      </c>
      <c r="K2906" t="s">
        <v>22412</v>
      </c>
    </row>
    <row r="2907" spans="1:11" ht="172.8" x14ac:dyDescent="0.3">
      <c r="A2907" s="4" t="s">
        <v>6030</v>
      </c>
      <c r="B2907">
        <v>3</v>
      </c>
      <c r="C2907">
        <v>2020</v>
      </c>
      <c r="D2907" t="s">
        <v>318</v>
      </c>
      <c r="E2907">
        <v>38</v>
      </c>
      <c r="F2907" t="s">
        <v>22413</v>
      </c>
      <c r="G2907" t="s">
        <v>22414</v>
      </c>
      <c r="H2907" s="4" t="s">
        <v>22415</v>
      </c>
      <c r="I2907" t="s">
        <v>71</v>
      </c>
      <c r="J2907" t="s">
        <v>10782</v>
      </c>
      <c r="K2907" t="s">
        <v>22416</v>
      </c>
    </row>
    <row r="2908" spans="1:11" ht="187.2" x14ac:dyDescent="0.3">
      <c r="A2908" s="4" t="s">
        <v>3339</v>
      </c>
      <c r="B2908">
        <v>1</v>
      </c>
      <c r="C2908">
        <v>2020</v>
      </c>
      <c r="D2908" t="s">
        <v>2328</v>
      </c>
      <c r="E2908">
        <v>7</v>
      </c>
      <c r="F2908" t="s">
        <v>22417</v>
      </c>
      <c r="G2908" t="s">
        <v>22418</v>
      </c>
      <c r="H2908" s="4" t="s">
        <v>22419</v>
      </c>
      <c r="I2908" t="s">
        <v>71</v>
      </c>
      <c r="J2908" t="s">
        <v>10782</v>
      </c>
      <c r="K2908" t="s">
        <v>22420</v>
      </c>
    </row>
    <row r="2909" spans="1:11" ht="144" x14ac:dyDescent="0.3">
      <c r="A2909" s="4" t="s">
        <v>6031</v>
      </c>
      <c r="B2909">
        <v>3</v>
      </c>
      <c r="C2909">
        <v>2020</v>
      </c>
      <c r="D2909" t="s">
        <v>817</v>
      </c>
      <c r="E2909">
        <v>17</v>
      </c>
      <c r="F2909" t="s">
        <v>22421</v>
      </c>
      <c r="G2909" t="s">
        <v>22422</v>
      </c>
      <c r="H2909" s="4" t="s">
        <v>22423</v>
      </c>
      <c r="I2909" t="s">
        <v>71</v>
      </c>
      <c r="J2909" t="s">
        <v>10782</v>
      </c>
      <c r="K2909" t="s">
        <v>22424</v>
      </c>
    </row>
    <row r="2910" spans="1:11" ht="216" x14ac:dyDescent="0.3">
      <c r="A2910" s="4" t="s">
        <v>6032</v>
      </c>
      <c r="B2910">
        <v>3</v>
      </c>
      <c r="C2910">
        <v>2020</v>
      </c>
      <c r="D2910" t="s">
        <v>2763</v>
      </c>
      <c r="E2910">
        <v>21</v>
      </c>
      <c r="F2910" t="s">
        <v>22425</v>
      </c>
      <c r="G2910" t="s">
        <v>22426</v>
      </c>
      <c r="H2910" s="4" t="s">
        <v>22427</v>
      </c>
      <c r="I2910" t="s">
        <v>71</v>
      </c>
      <c r="J2910" t="s">
        <v>10782</v>
      </c>
      <c r="K2910" t="s">
        <v>22428</v>
      </c>
    </row>
    <row r="2911" spans="1:11" ht="158.4" x14ac:dyDescent="0.3">
      <c r="A2911" s="4" t="s">
        <v>6033</v>
      </c>
      <c r="B2911">
        <v>3</v>
      </c>
      <c r="C2911">
        <v>2020</v>
      </c>
      <c r="D2911" t="s">
        <v>12373</v>
      </c>
      <c r="E2911">
        <v>9</v>
      </c>
      <c r="F2911" t="s">
        <v>22429</v>
      </c>
      <c r="G2911" t="s">
        <v>22430</v>
      </c>
      <c r="H2911" s="4" t="s">
        <v>22431</v>
      </c>
      <c r="I2911" t="s">
        <v>71</v>
      </c>
      <c r="J2911" t="s">
        <v>10782</v>
      </c>
      <c r="K2911" t="s">
        <v>22432</v>
      </c>
    </row>
    <row r="2912" spans="1:11" ht="172.8" x14ac:dyDescent="0.3">
      <c r="A2912" s="4" t="s">
        <v>6034</v>
      </c>
      <c r="B2912">
        <v>3</v>
      </c>
      <c r="C2912">
        <v>2020</v>
      </c>
      <c r="D2912" t="s">
        <v>147</v>
      </c>
      <c r="E2912">
        <v>56</v>
      </c>
      <c r="F2912" t="s">
        <v>22433</v>
      </c>
      <c r="G2912" t="s">
        <v>22434</v>
      </c>
      <c r="H2912" s="4" t="s">
        <v>22435</v>
      </c>
      <c r="I2912" t="s">
        <v>71</v>
      </c>
      <c r="J2912" t="s">
        <v>10782</v>
      </c>
      <c r="K2912" t="s">
        <v>22436</v>
      </c>
    </row>
    <row r="2913" spans="1:11" ht="158.4" x14ac:dyDescent="0.3">
      <c r="A2913" s="4" t="s">
        <v>1289</v>
      </c>
      <c r="B2913">
        <v>1</v>
      </c>
      <c r="C2913">
        <v>2020</v>
      </c>
      <c r="D2913" t="s">
        <v>550</v>
      </c>
      <c r="E2913">
        <v>13</v>
      </c>
      <c r="F2913" t="s">
        <v>22437</v>
      </c>
      <c r="G2913" t="s">
        <v>22438</v>
      </c>
      <c r="H2913" s="4" t="s">
        <v>22439</v>
      </c>
      <c r="I2913" t="s">
        <v>71</v>
      </c>
      <c r="J2913" t="s">
        <v>10782</v>
      </c>
      <c r="K2913" t="s">
        <v>22440</v>
      </c>
    </row>
    <row r="2914" spans="1:11" ht="201.6" x14ac:dyDescent="0.3">
      <c r="A2914" s="4" t="s">
        <v>6035</v>
      </c>
      <c r="B2914">
        <v>3</v>
      </c>
      <c r="C2914">
        <v>2020</v>
      </c>
      <c r="D2914" t="s">
        <v>147</v>
      </c>
      <c r="E2914">
        <v>27</v>
      </c>
      <c r="F2914" t="s">
        <v>22441</v>
      </c>
      <c r="G2914" t="s">
        <v>22442</v>
      </c>
      <c r="H2914" s="4" t="s">
        <v>22443</v>
      </c>
      <c r="I2914" t="s">
        <v>71</v>
      </c>
      <c r="J2914" t="s">
        <v>10782</v>
      </c>
      <c r="K2914" t="s">
        <v>22444</v>
      </c>
    </row>
    <row r="2915" spans="1:11" ht="187.2" x14ac:dyDescent="0.3">
      <c r="A2915" s="4" t="s">
        <v>6036</v>
      </c>
      <c r="B2915">
        <v>3</v>
      </c>
      <c r="C2915">
        <v>2020</v>
      </c>
      <c r="D2915" t="s">
        <v>277</v>
      </c>
      <c r="E2915">
        <v>22</v>
      </c>
      <c r="F2915" t="s">
        <v>22445</v>
      </c>
      <c r="G2915" t="s">
        <v>22446</v>
      </c>
      <c r="H2915" s="4" t="s">
        <v>22447</v>
      </c>
      <c r="I2915" t="s">
        <v>71</v>
      </c>
      <c r="J2915" t="s">
        <v>10782</v>
      </c>
      <c r="K2915" t="s">
        <v>22448</v>
      </c>
    </row>
    <row r="2916" spans="1:11" ht="201.6" x14ac:dyDescent="0.3">
      <c r="A2916" s="4" t="s">
        <v>6037</v>
      </c>
      <c r="B2916">
        <v>3</v>
      </c>
      <c r="C2916">
        <v>2020</v>
      </c>
      <c r="D2916" t="s">
        <v>277</v>
      </c>
      <c r="E2916">
        <v>33</v>
      </c>
      <c r="F2916" t="s">
        <v>22449</v>
      </c>
      <c r="G2916" t="s">
        <v>22450</v>
      </c>
      <c r="H2916" s="4" t="s">
        <v>22451</v>
      </c>
      <c r="I2916" t="s">
        <v>71</v>
      </c>
      <c r="J2916" t="s">
        <v>10782</v>
      </c>
      <c r="K2916" t="s">
        <v>22452</v>
      </c>
    </row>
    <row r="2917" spans="1:11" ht="201.6" x14ac:dyDescent="0.3">
      <c r="A2917" s="4" t="s">
        <v>6038</v>
      </c>
      <c r="B2917">
        <v>3</v>
      </c>
      <c r="C2917">
        <v>2020</v>
      </c>
      <c r="D2917" t="s">
        <v>12364</v>
      </c>
      <c r="E2917">
        <v>20</v>
      </c>
      <c r="F2917" t="s">
        <v>22453</v>
      </c>
      <c r="G2917" t="s">
        <v>22454</v>
      </c>
      <c r="H2917" s="4" t="s">
        <v>22455</v>
      </c>
      <c r="I2917" t="s">
        <v>71</v>
      </c>
      <c r="J2917" t="s">
        <v>10782</v>
      </c>
      <c r="K2917" t="s">
        <v>22456</v>
      </c>
    </row>
    <row r="2918" spans="1:11" ht="144" x14ac:dyDescent="0.3">
      <c r="A2918" s="4" t="s">
        <v>6039</v>
      </c>
      <c r="B2918">
        <v>3</v>
      </c>
      <c r="C2918">
        <v>2020</v>
      </c>
      <c r="D2918" t="s">
        <v>277</v>
      </c>
      <c r="E2918">
        <v>76</v>
      </c>
      <c r="F2918" t="s">
        <v>22457</v>
      </c>
      <c r="G2918" t="s">
        <v>22458</v>
      </c>
      <c r="H2918" s="4" t="s">
        <v>22459</v>
      </c>
    </row>
    <row r="2919" spans="1:11" ht="172.8" x14ac:dyDescent="0.3">
      <c r="A2919" s="4" t="s">
        <v>6040</v>
      </c>
      <c r="B2919">
        <v>3</v>
      </c>
      <c r="C2919">
        <v>2020</v>
      </c>
      <c r="D2919" t="s">
        <v>627</v>
      </c>
      <c r="E2919">
        <v>11</v>
      </c>
      <c r="F2919" t="s">
        <v>22460</v>
      </c>
      <c r="G2919" t="s">
        <v>22461</v>
      </c>
      <c r="H2919" s="4" t="s">
        <v>22462</v>
      </c>
      <c r="I2919" t="s">
        <v>71</v>
      </c>
      <c r="J2919" t="s">
        <v>10782</v>
      </c>
      <c r="K2919" t="s">
        <v>22463</v>
      </c>
    </row>
    <row r="2920" spans="1:11" ht="43.2" x14ac:dyDescent="0.3">
      <c r="A2920" s="4" t="s">
        <v>6041</v>
      </c>
      <c r="B2920">
        <v>3</v>
      </c>
      <c r="C2920">
        <v>2020</v>
      </c>
      <c r="D2920" t="s">
        <v>22464</v>
      </c>
      <c r="E2920">
        <v>8</v>
      </c>
      <c r="F2920" t="s">
        <v>22465</v>
      </c>
      <c r="G2920" t="s">
        <v>22466</v>
      </c>
      <c r="H2920" s="4" t="s">
        <v>17311</v>
      </c>
      <c r="I2920" t="s">
        <v>71</v>
      </c>
      <c r="J2920" t="s">
        <v>10782</v>
      </c>
      <c r="K2920" t="s">
        <v>22467</v>
      </c>
    </row>
    <row r="2921" spans="1:11" ht="115.2" x14ac:dyDescent="0.3">
      <c r="A2921" s="4" t="s">
        <v>6042</v>
      </c>
      <c r="B2921">
        <v>3</v>
      </c>
      <c r="C2921">
        <v>2020</v>
      </c>
      <c r="D2921" t="s">
        <v>637</v>
      </c>
      <c r="E2921">
        <v>19</v>
      </c>
      <c r="F2921" t="s">
        <v>22468</v>
      </c>
      <c r="G2921" t="s">
        <v>22469</v>
      </c>
      <c r="H2921" s="4" t="s">
        <v>22470</v>
      </c>
    </row>
    <row r="2922" spans="1:11" ht="187.2" x14ac:dyDescent="0.3">
      <c r="A2922" s="4" t="s">
        <v>6043</v>
      </c>
      <c r="B2922">
        <v>3</v>
      </c>
      <c r="C2922">
        <v>2020</v>
      </c>
      <c r="D2922" t="s">
        <v>22471</v>
      </c>
      <c r="E2922">
        <v>11</v>
      </c>
      <c r="F2922" t="s">
        <v>22472</v>
      </c>
      <c r="G2922" t="s">
        <v>22473</v>
      </c>
      <c r="H2922" s="4" t="s">
        <v>22474</v>
      </c>
      <c r="I2922" t="s">
        <v>71</v>
      </c>
      <c r="J2922" t="s">
        <v>10782</v>
      </c>
      <c r="K2922" t="s">
        <v>22475</v>
      </c>
    </row>
    <row r="2923" spans="1:11" ht="172.8" x14ac:dyDescent="0.3">
      <c r="A2923" s="4" t="s">
        <v>6044</v>
      </c>
      <c r="B2923">
        <v>3</v>
      </c>
      <c r="C2923">
        <v>2020</v>
      </c>
      <c r="D2923" t="s">
        <v>22476</v>
      </c>
      <c r="E2923">
        <v>0</v>
      </c>
      <c r="F2923" t="s">
        <v>22477</v>
      </c>
      <c r="G2923" t="s">
        <v>22478</v>
      </c>
      <c r="H2923" s="4" t="s">
        <v>22479</v>
      </c>
      <c r="I2923" t="s">
        <v>71</v>
      </c>
      <c r="J2923" t="s">
        <v>10782</v>
      </c>
      <c r="K2923" t="s">
        <v>22480</v>
      </c>
    </row>
    <row r="2924" spans="1:11" ht="129.6" x14ac:dyDescent="0.3">
      <c r="A2924" s="4" t="s">
        <v>6045</v>
      </c>
      <c r="B2924">
        <v>3</v>
      </c>
      <c r="C2924">
        <v>2020</v>
      </c>
      <c r="D2924" t="s">
        <v>277</v>
      </c>
      <c r="E2924">
        <v>17</v>
      </c>
      <c r="F2924" t="s">
        <v>22481</v>
      </c>
      <c r="G2924" t="s">
        <v>22482</v>
      </c>
      <c r="H2924" s="4" t="s">
        <v>22483</v>
      </c>
      <c r="I2924" t="s">
        <v>71</v>
      </c>
      <c r="J2924" t="s">
        <v>10782</v>
      </c>
      <c r="K2924" t="s">
        <v>22484</v>
      </c>
    </row>
    <row r="2925" spans="1:11" ht="273.60000000000002" x14ac:dyDescent="0.3">
      <c r="A2925" s="4" t="s">
        <v>6046</v>
      </c>
      <c r="B2925">
        <v>3</v>
      </c>
      <c r="C2925">
        <v>2020</v>
      </c>
      <c r="D2925" t="s">
        <v>12672</v>
      </c>
      <c r="E2925">
        <v>8</v>
      </c>
      <c r="F2925" t="s">
        <v>22485</v>
      </c>
      <c r="G2925" t="s">
        <v>22486</v>
      </c>
      <c r="H2925" s="4" t="s">
        <v>22487</v>
      </c>
      <c r="I2925" t="s">
        <v>71</v>
      </c>
      <c r="J2925" t="s">
        <v>10782</v>
      </c>
      <c r="K2925" t="s">
        <v>22488</v>
      </c>
    </row>
    <row r="2926" spans="1:11" ht="129.6" x14ac:dyDescent="0.3">
      <c r="A2926" s="4" t="s">
        <v>6047</v>
      </c>
      <c r="B2926">
        <v>3</v>
      </c>
      <c r="C2926">
        <v>2020</v>
      </c>
      <c r="D2926" t="s">
        <v>1129</v>
      </c>
      <c r="E2926">
        <v>59</v>
      </c>
      <c r="F2926" t="s">
        <v>22489</v>
      </c>
      <c r="G2926" t="s">
        <v>22490</v>
      </c>
      <c r="H2926" s="4" t="s">
        <v>22491</v>
      </c>
      <c r="I2926" t="s">
        <v>71</v>
      </c>
      <c r="J2926" t="s">
        <v>10782</v>
      </c>
      <c r="K2926" t="s">
        <v>22492</v>
      </c>
    </row>
    <row r="2927" spans="1:11" ht="115.2" x14ac:dyDescent="0.3">
      <c r="A2927" s="4" t="s">
        <v>6048</v>
      </c>
      <c r="B2927">
        <v>3</v>
      </c>
      <c r="C2927">
        <v>2020</v>
      </c>
      <c r="D2927" t="s">
        <v>2853</v>
      </c>
      <c r="E2927">
        <v>21</v>
      </c>
      <c r="F2927" t="s">
        <v>22493</v>
      </c>
      <c r="G2927" t="s">
        <v>22494</v>
      </c>
      <c r="H2927" s="4" t="s">
        <v>22495</v>
      </c>
      <c r="I2927" t="s">
        <v>71</v>
      </c>
      <c r="J2927" t="s">
        <v>10782</v>
      </c>
      <c r="K2927" t="s">
        <v>22496</v>
      </c>
    </row>
    <row r="2928" spans="1:11" ht="144" x14ac:dyDescent="0.3">
      <c r="A2928" s="4" t="s">
        <v>6049</v>
      </c>
      <c r="B2928">
        <v>3</v>
      </c>
      <c r="C2928">
        <v>2020</v>
      </c>
      <c r="D2928" t="s">
        <v>277</v>
      </c>
      <c r="E2928">
        <v>55</v>
      </c>
      <c r="F2928" t="s">
        <v>22497</v>
      </c>
      <c r="G2928" t="s">
        <v>22498</v>
      </c>
      <c r="H2928" s="4" t="s">
        <v>22499</v>
      </c>
      <c r="I2928" t="s">
        <v>71</v>
      </c>
      <c r="J2928" t="s">
        <v>10782</v>
      </c>
      <c r="K2928" t="s">
        <v>22500</v>
      </c>
    </row>
    <row r="2929" spans="1:11" ht="158.4" x14ac:dyDescent="0.3">
      <c r="A2929" s="4" t="s">
        <v>6050</v>
      </c>
      <c r="B2929">
        <v>3</v>
      </c>
      <c r="C2929">
        <v>2020</v>
      </c>
      <c r="D2929" t="s">
        <v>12234</v>
      </c>
      <c r="E2929">
        <v>4</v>
      </c>
      <c r="F2929" t="s">
        <v>22501</v>
      </c>
      <c r="G2929" t="s">
        <v>22502</v>
      </c>
      <c r="H2929" s="4" t="s">
        <v>22503</v>
      </c>
      <c r="I2929" t="s">
        <v>10945</v>
      </c>
      <c r="J2929" t="s">
        <v>10782</v>
      </c>
      <c r="K2929" t="s">
        <v>22504</v>
      </c>
    </row>
    <row r="2930" spans="1:11" ht="172.8" x14ac:dyDescent="0.3">
      <c r="A2930" s="4" t="s">
        <v>6051</v>
      </c>
      <c r="B2930">
        <v>3</v>
      </c>
      <c r="C2930">
        <v>2020</v>
      </c>
      <c r="D2930" t="s">
        <v>2819</v>
      </c>
      <c r="E2930">
        <v>4</v>
      </c>
      <c r="F2930" t="s">
        <v>22505</v>
      </c>
      <c r="G2930" t="s">
        <v>22506</v>
      </c>
      <c r="H2930" s="4" t="s">
        <v>22507</v>
      </c>
      <c r="I2930" t="s">
        <v>71</v>
      </c>
      <c r="J2930" t="s">
        <v>10782</v>
      </c>
      <c r="K2930" t="s">
        <v>22508</v>
      </c>
    </row>
    <row r="2931" spans="1:11" ht="144" x14ac:dyDescent="0.3">
      <c r="A2931" s="4" t="s">
        <v>6052</v>
      </c>
      <c r="B2931">
        <v>3</v>
      </c>
      <c r="C2931">
        <v>2020</v>
      </c>
      <c r="D2931" t="s">
        <v>432</v>
      </c>
      <c r="E2931">
        <v>4</v>
      </c>
      <c r="F2931" t="s">
        <v>22509</v>
      </c>
      <c r="G2931" t="s">
        <v>22510</v>
      </c>
      <c r="H2931" s="4" t="s">
        <v>22511</v>
      </c>
      <c r="I2931" t="s">
        <v>71</v>
      </c>
      <c r="J2931" t="s">
        <v>10782</v>
      </c>
      <c r="K2931" t="s">
        <v>22512</v>
      </c>
    </row>
    <row r="2932" spans="1:11" ht="172.8" x14ac:dyDescent="0.3">
      <c r="A2932" s="4" t="s">
        <v>3564</v>
      </c>
      <c r="B2932">
        <v>2</v>
      </c>
      <c r="C2932">
        <v>2020</v>
      </c>
      <c r="D2932" t="s">
        <v>329</v>
      </c>
      <c r="E2932">
        <v>13</v>
      </c>
      <c r="F2932" t="s">
        <v>22513</v>
      </c>
      <c r="G2932" t="s">
        <v>22514</v>
      </c>
      <c r="H2932" s="4" t="s">
        <v>22515</v>
      </c>
      <c r="I2932" t="s">
        <v>71</v>
      </c>
      <c r="J2932" t="s">
        <v>10782</v>
      </c>
      <c r="K2932" t="s">
        <v>22516</v>
      </c>
    </row>
    <row r="2933" spans="1:11" ht="100.8" x14ac:dyDescent="0.3">
      <c r="A2933" s="4" t="s">
        <v>6053</v>
      </c>
      <c r="B2933">
        <v>3</v>
      </c>
      <c r="C2933">
        <v>2020</v>
      </c>
      <c r="D2933" t="s">
        <v>1570</v>
      </c>
      <c r="E2933">
        <v>3</v>
      </c>
      <c r="F2933" t="s">
        <v>22517</v>
      </c>
      <c r="G2933" t="s">
        <v>22518</v>
      </c>
      <c r="H2933" s="4" t="s">
        <v>22519</v>
      </c>
    </row>
    <row r="2934" spans="1:11" ht="201.6" x14ac:dyDescent="0.3">
      <c r="A2934" s="4" t="s">
        <v>6054</v>
      </c>
      <c r="B2934">
        <v>3</v>
      </c>
      <c r="C2934">
        <v>2020</v>
      </c>
      <c r="D2934" t="s">
        <v>11466</v>
      </c>
      <c r="E2934">
        <v>22</v>
      </c>
      <c r="F2934" t="s">
        <v>22520</v>
      </c>
      <c r="G2934" t="s">
        <v>22521</v>
      </c>
      <c r="H2934" s="4" t="s">
        <v>22522</v>
      </c>
      <c r="I2934" t="s">
        <v>71</v>
      </c>
      <c r="J2934" t="s">
        <v>10782</v>
      </c>
      <c r="K2934" t="s">
        <v>22523</v>
      </c>
    </row>
    <row r="2935" spans="1:11" ht="187.2" x14ac:dyDescent="0.3">
      <c r="A2935" s="4" t="s">
        <v>6055</v>
      </c>
      <c r="B2935">
        <v>3</v>
      </c>
      <c r="C2935">
        <v>2020</v>
      </c>
      <c r="D2935" t="s">
        <v>2853</v>
      </c>
      <c r="E2935">
        <v>13</v>
      </c>
      <c r="F2935" t="s">
        <v>22524</v>
      </c>
      <c r="G2935" t="s">
        <v>22525</v>
      </c>
      <c r="H2935" s="4" t="s">
        <v>22526</v>
      </c>
      <c r="I2935" t="s">
        <v>71</v>
      </c>
      <c r="J2935" t="s">
        <v>10782</v>
      </c>
      <c r="K2935" t="s">
        <v>22527</v>
      </c>
    </row>
    <row r="2936" spans="1:11" ht="144" x14ac:dyDescent="0.3">
      <c r="A2936" s="4" t="s">
        <v>6056</v>
      </c>
      <c r="B2936">
        <v>3</v>
      </c>
      <c r="C2936">
        <v>2020</v>
      </c>
      <c r="D2936" t="s">
        <v>1525</v>
      </c>
      <c r="E2936">
        <v>19</v>
      </c>
      <c r="F2936" t="s">
        <v>22528</v>
      </c>
      <c r="G2936" t="s">
        <v>22529</v>
      </c>
      <c r="H2936" s="4" t="s">
        <v>22530</v>
      </c>
    </row>
    <row r="2937" spans="1:11" ht="57.6" x14ac:dyDescent="0.3">
      <c r="A2937" s="4" t="s">
        <v>6057</v>
      </c>
      <c r="B2937">
        <v>3</v>
      </c>
      <c r="C2937">
        <v>2020</v>
      </c>
      <c r="D2937" t="s">
        <v>12364</v>
      </c>
      <c r="E2937">
        <v>9</v>
      </c>
      <c r="F2937" t="s">
        <v>22531</v>
      </c>
      <c r="G2937" t="s">
        <v>22532</v>
      </c>
      <c r="H2937" s="4" t="s">
        <v>22533</v>
      </c>
    </row>
    <row r="2938" spans="1:11" ht="201.6" x14ac:dyDescent="0.3">
      <c r="A2938" s="4" t="s">
        <v>6058</v>
      </c>
      <c r="B2938">
        <v>3</v>
      </c>
      <c r="C2938">
        <v>2020</v>
      </c>
      <c r="D2938" t="s">
        <v>799</v>
      </c>
      <c r="E2938">
        <v>17</v>
      </c>
      <c r="F2938" t="s">
        <v>22534</v>
      </c>
      <c r="G2938" t="s">
        <v>22535</v>
      </c>
      <c r="H2938" s="4" t="s">
        <v>22536</v>
      </c>
      <c r="I2938" t="s">
        <v>71</v>
      </c>
      <c r="J2938" t="s">
        <v>10782</v>
      </c>
      <c r="K2938" t="s">
        <v>22537</v>
      </c>
    </row>
    <row r="2939" spans="1:11" ht="216" x14ac:dyDescent="0.3">
      <c r="A2939" s="4" t="s">
        <v>6059</v>
      </c>
      <c r="B2939">
        <v>3</v>
      </c>
      <c r="C2939">
        <v>2020</v>
      </c>
      <c r="D2939" t="s">
        <v>11574</v>
      </c>
      <c r="E2939">
        <v>73</v>
      </c>
      <c r="F2939" t="s">
        <v>22538</v>
      </c>
      <c r="G2939" t="s">
        <v>22539</v>
      </c>
      <c r="H2939" s="4" t="s">
        <v>22540</v>
      </c>
      <c r="I2939" t="s">
        <v>10823</v>
      </c>
      <c r="J2939" t="s">
        <v>10782</v>
      </c>
      <c r="K2939" t="s">
        <v>22541</v>
      </c>
    </row>
    <row r="2940" spans="1:11" ht="158.4" x14ac:dyDescent="0.3">
      <c r="A2940" s="4" t="s">
        <v>6060</v>
      </c>
      <c r="B2940">
        <v>3</v>
      </c>
      <c r="C2940">
        <v>2020</v>
      </c>
      <c r="D2940" t="s">
        <v>318</v>
      </c>
      <c r="E2940">
        <v>29</v>
      </c>
      <c r="F2940" t="s">
        <v>22542</v>
      </c>
      <c r="G2940" t="s">
        <v>22543</v>
      </c>
      <c r="H2940" s="4" t="s">
        <v>22544</v>
      </c>
      <c r="I2940" t="s">
        <v>71</v>
      </c>
      <c r="J2940" t="s">
        <v>10782</v>
      </c>
      <c r="K2940" t="s">
        <v>22545</v>
      </c>
    </row>
    <row r="2941" spans="1:11" ht="244.8" x14ac:dyDescent="0.3">
      <c r="A2941" s="4" t="s">
        <v>6061</v>
      </c>
      <c r="B2941">
        <v>3</v>
      </c>
      <c r="C2941">
        <v>2020</v>
      </c>
      <c r="D2941" t="s">
        <v>10456</v>
      </c>
      <c r="E2941">
        <v>1</v>
      </c>
      <c r="F2941" t="s">
        <v>22546</v>
      </c>
      <c r="G2941" t="s">
        <v>22547</v>
      </c>
      <c r="H2941" s="4" t="s">
        <v>22548</v>
      </c>
      <c r="I2941" t="s">
        <v>71</v>
      </c>
      <c r="J2941" t="s">
        <v>10782</v>
      </c>
      <c r="K2941" t="s">
        <v>22549</v>
      </c>
    </row>
    <row r="2942" spans="1:11" ht="129.6" x14ac:dyDescent="0.3">
      <c r="A2942" s="4" t="s">
        <v>6062</v>
      </c>
      <c r="B2942">
        <v>3</v>
      </c>
      <c r="C2942">
        <v>2020</v>
      </c>
      <c r="D2942" t="s">
        <v>277</v>
      </c>
      <c r="E2942">
        <v>10</v>
      </c>
      <c r="F2942" t="s">
        <v>22550</v>
      </c>
      <c r="G2942" t="s">
        <v>22551</v>
      </c>
      <c r="H2942" s="4" t="s">
        <v>22552</v>
      </c>
      <c r="I2942" t="s">
        <v>71</v>
      </c>
      <c r="J2942" t="s">
        <v>10782</v>
      </c>
      <c r="K2942" t="s">
        <v>22553</v>
      </c>
    </row>
    <row r="2943" spans="1:11" ht="216" x14ac:dyDescent="0.3">
      <c r="A2943" s="4" t="s">
        <v>6063</v>
      </c>
      <c r="B2943">
        <v>3</v>
      </c>
      <c r="C2943">
        <v>2020</v>
      </c>
      <c r="D2943" t="s">
        <v>277</v>
      </c>
      <c r="E2943">
        <v>25</v>
      </c>
      <c r="F2943" t="s">
        <v>22554</v>
      </c>
      <c r="G2943" t="s">
        <v>22555</v>
      </c>
      <c r="H2943" s="4" t="s">
        <v>22556</v>
      </c>
      <c r="I2943" t="s">
        <v>71</v>
      </c>
      <c r="J2943" t="s">
        <v>10782</v>
      </c>
      <c r="K2943" t="s">
        <v>22557</v>
      </c>
    </row>
    <row r="2944" spans="1:11" ht="86.4" x14ac:dyDescent="0.3">
      <c r="A2944" s="4" t="s">
        <v>6064</v>
      </c>
      <c r="B2944">
        <v>3</v>
      </c>
      <c r="C2944">
        <v>2020</v>
      </c>
      <c r="D2944" t="s">
        <v>329</v>
      </c>
      <c r="E2944">
        <v>18</v>
      </c>
      <c r="F2944" t="s">
        <v>22558</v>
      </c>
      <c r="G2944" t="s">
        <v>22559</v>
      </c>
      <c r="H2944" s="4" t="s">
        <v>22560</v>
      </c>
    </row>
    <row r="2945" spans="1:11" ht="216" x14ac:dyDescent="0.3">
      <c r="A2945" s="4" t="s">
        <v>6065</v>
      </c>
      <c r="B2945">
        <v>3</v>
      </c>
      <c r="C2945">
        <v>2020</v>
      </c>
      <c r="D2945" t="s">
        <v>724</v>
      </c>
      <c r="E2945">
        <v>51</v>
      </c>
      <c r="F2945" t="s">
        <v>22561</v>
      </c>
      <c r="G2945" t="s">
        <v>22562</v>
      </c>
      <c r="H2945" s="4" t="s">
        <v>22563</v>
      </c>
      <c r="I2945" t="s">
        <v>71</v>
      </c>
      <c r="J2945" t="s">
        <v>10782</v>
      </c>
      <c r="K2945" t="s">
        <v>22564</v>
      </c>
    </row>
    <row r="2946" spans="1:11" ht="187.2" x14ac:dyDescent="0.3">
      <c r="A2946" s="4" t="s">
        <v>6066</v>
      </c>
      <c r="B2946">
        <v>3</v>
      </c>
      <c r="C2946">
        <v>2020</v>
      </c>
      <c r="D2946" t="s">
        <v>1175</v>
      </c>
      <c r="E2946">
        <v>11</v>
      </c>
      <c r="F2946" t="s">
        <v>22565</v>
      </c>
      <c r="G2946" t="s">
        <v>22566</v>
      </c>
      <c r="H2946" s="4" t="s">
        <v>22567</v>
      </c>
      <c r="I2946" t="s">
        <v>71</v>
      </c>
      <c r="J2946" t="s">
        <v>10782</v>
      </c>
      <c r="K2946" t="s">
        <v>22568</v>
      </c>
    </row>
    <row r="2947" spans="1:11" ht="259.2" x14ac:dyDescent="0.3">
      <c r="A2947" s="4" t="s">
        <v>6067</v>
      </c>
      <c r="B2947">
        <v>3</v>
      </c>
      <c r="C2947">
        <v>2020</v>
      </c>
      <c r="D2947" t="s">
        <v>11674</v>
      </c>
      <c r="E2947">
        <v>2</v>
      </c>
      <c r="F2947" t="s">
        <v>22569</v>
      </c>
      <c r="G2947" t="s">
        <v>22570</v>
      </c>
      <c r="H2947" s="4" t="s">
        <v>22571</v>
      </c>
      <c r="I2947" t="s">
        <v>71</v>
      </c>
      <c r="J2947" t="s">
        <v>10782</v>
      </c>
      <c r="K2947" t="s">
        <v>22572</v>
      </c>
    </row>
    <row r="2948" spans="1:11" ht="144" x14ac:dyDescent="0.3">
      <c r="A2948" s="4" t="s">
        <v>2673</v>
      </c>
      <c r="B2948">
        <v>2</v>
      </c>
      <c r="C2948">
        <v>2020</v>
      </c>
      <c r="D2948" t="s">
        <v>227</v>
      </c>
      <c r="E2948">
        <v>12</v>
      </c>
      <c r="F2948" t="s">
        <v>22573</v>
      </c>
      <c r="G2948" t="s">
        <v>22574</v>
      </c>
      <c r="H2948" s="4" t="s">
        <v>22575</v>
      </c>
      <c r="I2948" t="s">
        <v>71</v>
      </c>
      <c r="J2948" t="s">
        <v>10782</v>
      </c>
      <c r="K2948" t="s">
        <v>22576</v>
      </c>
    </row>
    <row r="2949" spans="1:11" ht="172.8" x14ac:dyDescent="0.3">
      <c r="A2949" s="4" t="s">
        <v>6068</v>
      </c>
      <c r="B2949">
        <v>3</v>
      </c>
      <c r="C2949">
        <v>2020</v>
      </c>
      <c r="D2949" t="s">
        <v>1002</v>
      </c>
      <c r="E2949">
        <v>85</v>
      </c>
      <c r="F2949" t="s">
        <v>22577</v>
      </c>
      <c r="G2949" t="s">
        <v>22578</v>
      </c>
      <c r="H2949" s="4" t="s">
        <v>22579</v>
      </c>
      <c r="I2949" t="s">
        <v>71</v>
      </c>
      <c r="J2949" t="s">
        <v>10782</v>
      </c>
      <c r="K2949" t="s">
        <v>22580</v>
      </c>
    </row>
    <row r="2950" spans="1:11" ht="158.4" x14ac:dyDescent="0.3">
      <c r="A2950" s="4" t="s">
        <v>6069</v>
      </c>
      <c r="B2950">
        <v>3</v>
      </c>
      <c r="C2950">
        <v>2020</v>
      </c>
      <c r="D2950" t="s">
        <v>12593</v>
      </c>
      <c r="E2950">
        <v>2</v>
      </c>
      <c r="F2950" t="s">
        <v>22581</v>
      </c>
      <c r="G2950" t="s">
        <v>22582</v>
      </c>
      <c r="H2950" s="4" t="s">
        <v>22583</v>
      </c>
      <c r="I2950" t="s">
        <v>71</v>
      </c>
      <c r="J2950" t="s">
        <v>10782</v>
      </c>
      <c r="K2950" t="s">
        <v>22584</v>
      </c>
    </row>
    <row r="2951" spans="1:11" ht="100.8" x14ac:dyDescent="0.3">
      <c r="A2951" s="4" t="s">
        <v>6070</v>
      </c>
      <c r="B2951">
        <v>3</v>
      </c>
      <c r="C2951">
        <v>2020</v>
      </c>
      <c r="D2951" t="s">
        <v>1125</v>
      </c>
      <c r="E2951">
        <v>26</v>
      </c>
      <c r="F2951" t="s">
        <v>22585</v>
      </c>
      <c r="G2951" t="s">
        <v>22586</v>
      </c>
      <c r="H2951" s="4" t="s">
        <v>22587</v>
      </c>
    </row>
    <row r="2952" spans="1:11" ht="187.2" x14ac:dyDescent="0.3">
      <c r="A2952" s="4" t="s">
        <v>6071</v>
      </c>
      <c r="B2952">
        <v>3</v>
      </c>
      <c r="C2952">
        <v>2020</v>
      </c>
      <c r="D2952" t="s">
        <v>14909</v>
      </c>
      <c r="E2952">
        <v>13</v>
      </c>
      <c r="F2952" t="s">
        <v>22588</v>
      </c>
      <c r="G2952" t="s">
        <v>22589</v>
      </c>
      <c r="H2952" s="4" t="s">
        <v>22590</v>
      </c>
      <c r="I2952" t="s">
        <v>71</v>
      </c>
      <c r="J2952" t="s">
        <v>10782</v>
      </c>
      <c r="K2952" t="s">
        <v>22591</v>
      </c>
    </row>
    <row r="2953" spans="1:11" ht="144" x14ac:dyDescent="0.3">
      <c r="A2953" s="4" t="s">
        <v>6072</v>
      </c>
      <c r="B2953">
        <v>3</v>
      </c>
      <c r="C2953">
        <v>2020</v>
      </c>
      <c r="D2953" t="s">
        <v>277</v>
      </c>
      <c r="E2953">
        <v>49</v>
      </c>
      <c r="F2953" t="s">
        <v>22592</v>
      </c>
      <c r="G2953" t="s">
        <v>22593</v>
      </c>
      <c r="H2953" s="4" t="s">
        <v>22594</v>
      </c>
      <c r="I2953" t="s">
        <v>71</v>
      </c>
      <c r="J2953" t="s">
        <v>10782</v>
      </c>
      <c r="K2953" t="s">
        <v>22595</v>
      </c>
    </row>
    <row r="2954" spans="1:11" ht="172.8" x14ac:dyDescent="0.3">
      <c r="A2954" s="4" t="s">
        <v>6073</v>
      </c>
      <c r="B2954">
        <v>3</v>
      </c>
      <c r="C2954">
        <v>2020</v>
      </c>
      <c r="D2954" t="s">
        <v>637</v>
      </c>
      <c r="E2954">
        <v>21</v>
      </c>
      <c r="F2954" t="s">
        <v>22596</v>
      </c>
      <c r="G2954" t="s">
        <v>22597</v>
      </c>
      <c r="H2954" s="4" t="s">
        <v>22598</v>
      </c>
      <c r="I2954" t="s">
        <v>71</v>
      </c>
      <c r="J2954" t="s">
        <v>10782</v>
      </c>
      <c r="K2954" t="s">
        <v>22599</v>
      </c>
    </row>
    <row r="2955" spans="1:11" ht="115.2" x14ac:dyDescent="0.3">
      <c r="A2955" s="4" t="s">
        <v>1290</v>
      </c>
      <c r="B2955">
        <v>1</v>
      </c>
      <c r="C2955">
        <v>2020</v>
      </c>
      <c r="D2955" t="s">
        <v>1412</v>
      </c>
      <c r="E2955">
        <v>1</v>
      </c>
      <c r="F2955" t="s">
        <v>22600</v>
      </c>
      <c r="G2955" t="s">
        <v>22601</v>
      </c>
      <c r="H2955" s="4" t="s">
        <v>22602</v>
      </c>
    </row>
    <row r="2956" spans="1:11" ht="158.4" x14ac:dyDescent="0.3">
      <c r="A2956" s="4" t="s">
        <v>6074</v>
      </c>
      <c r="B2956">
        <v>3</v>
      </c>
      <c r="C2956">
        <v>2020</v>
      </c>
      <c r="D2956" t="s">
        <v>277</v>
      </c>
      <c r="E2956">
        <v>4</v>
      </c>
      <c r="F2956" t="s">
        <v>22603</v>
      </c>
      <c r="G2956" t="s">
        <v>22604</v>
      </c>
      <c r="H2956" s="4" t="s">
        <v>22605</v>
      </c>
      <c r="I2956" t="s">
        <v>71</v>
      </c>
      <c r="J2956" t="s">
        <v>10782</v>
      </c>
      <c r="K2956" t="s">
        <v>22606</v>
      </c>
    </row>
    <row r="2957" spans="1:11" ht="129.6" x14ac:dyDescent="0.3">
      <c r="A2957" s="4" t="s">
        <v>6075</v>
      </c>
      <c r="B2957">
        <v>3</v>
      </c>
      <c r="C2957">
        <v>2020</v>
      </c>
      <c r="D2957" t="s">
        <v>1129</v>
      </c>
      <c r="E2957">
        <v>133</v>
      </c>
      <c r="F2957" t="s">
        <v>22607</v>
      </c>
      <c r="G2957" t="s">
        <v>22608</v>
      </c>
      <c r="H2957" s="4" t="s">
        <v>22609</v>
      </c>
      <c r="I2957" t="s">
        <v>71</v>
      </c>
      <c r="J2957" t="s">
        <v>10782</v>
      </c>
      <c r="K2957" t="s">
        <v>22610</v>
      </c>
    </row>
    <row r="2958" spans="1:11" ht="86.4" x14ac:dyDescent="0.3">
      <c r="A2958" s="4" t="s">
        <v>6076</v>
      </c>
      <c r="B2958">
        <v>3</v>
      </c>
      <c r="C2958">
        <v>2020</v>
      </c>
      <c r="D2958" t="s">
        <v>2819</v>
      </c>
      <c r="E2958">
        <v>14</v>
      </c>
      <c r="F2958" t="s">
        <v>22611</v>
      </c>
      <c r="G2958" t="s">
        <v>22612</v>
      </c>
      <c r="H2958" s="4" t="s">
        <v>22613</v>
      </c>
    </row>
    <row r="2959" spans="1:11" ht="144" x14ac:dyDescent="0.3">
      <c r="A2959" s="4" t="s">
        <v>6077</v>
      </c>
      <c r="B2959">
        <v>3</v>
      </c>
      <c r="C2959">
        <v>2020</v>
      </c>
      <c r="D2959" t="s">
        <v>277</v>
      </c>
      <c r="E2959">
        <v>74</v>
      </c>
      <c r="F2959" t="s">
        <v>22614</v>
      </c>
      <c r="G2959" t="s">
        <v>22615</v>
      </c>
      <c r="H2959" s="4" t="s">
        <v>22616</v>
      </c>
    </row>
    <row r="2960" spans="1:11" ht="144" x14ac:dyDescent="0.3">
      <c r="A2960" s="4" t="s">
        <v>6078</v>
      </c>
      <c r="B2960">
        <v>3</v>
      </c>
      <c r="C2960">
        <v>2020</v>
      </c>
      <c r="D2960" t="s">
        <v>2763</v>
      </c>
      <c r="E2960">
        <v>10</v>
      </c>
      <c r="F2960" t="s">
        <v>22617</v>
      </c>
      <c r="G2960" t="s">
        <v>22618</v>
      </c>
      <c r="H2960" s="4" t="s">
        <v>22619</v>
      </c>
      <c r="I2960" t="s">
        <v>71</v>
      </c>
      <c r="J2960" t="s">
        <v>10782</v>
      </c>
      <c r="K2960" t="s">
        <v>22620</v>
      </c>
    </row>
    <row r="2961" spans="1:11" ht="129.6" x14ac:dyDescent="0.3">
      <c r="A2961" s="4" t="s">
        <v>6079</v>
      </c>
      <c r="B2961">
        <v>3</v>
      </c>
      <c r="C2961">
        <v>2020</v>
      </c>
      <c r="D2961" t="s">
        <v>22621</v>
      </c>
      <c r="E2961">
        <v>9</v>
      </c>
      <c r="F2961" t="s">
        <v>22622</v>
      </c>
      <c r="G2961" t="s">
        <v>22623</v>
      </c>
      <c r="H2961" s="4" t="s">
        <v>22624</v>
      </c>
    </row>
    <row r="2962" spans="1:11" ht="144" x14ac:dyDescent="0.3">
      <c r="A2962" s="4" t="s">
        <v>6080</v>
      </c>
      <c r="B2962">
        <v>3</v>
      </c>
      <c r="C2962">
        <v>2020</v>
      </c>
      <c r="D2962" t="s">
        <v>13914</v>
      </c>
      <c r="E2962">
        <v>20</v>
      </c>
      <c r="F2962" t="s">
        <v>22625</v>
      </c>
      <c r="G2962" t="s">
        <v>22626</v>
      </c>
      <c r="H2962" s="4" t="s">
        <v>22627</v>
      </c>
      <c r="I2962" t="s">
        <v>71</v>
      </c>
      <c r="J2962" t="s">
        <v>10782</v>
      </c>
      <c r="K2962" t="s">
        <v>22628</v>
      </c>
    </row>
    <row r="2963" spans="1:11" ht="158.4" x14ac:dyDescent="0.3">
      <c r="A2963" s="4" t="s">
        <v>6081</v>
      </c>
      <c r="B2963">
        <v>3</v>
      </c>
      <c r="C2963">
        <v>2020</v>
      </c>
      <c r="D2963" t="s">
        <v>277</v>
      </c>
      <c r="E2963">
        <v>55</v>
      </c>
      <c r="F2963" t="s">
        <v>22629</v>
      </c>
      <c r="G2963" t="s">
        <v>22630</v>
      </c>
      <c r="H2963" s="4" t="s">
        <v>22631</v>
      </c>
      <c r="I2963" t="s">
        <v>71</v>
      </c>
      <c r="J2963" t="s">
        <v>10782</v>
      </c>
      <c r="K2963" t="s">
        <v>22632</v>
      </c>
    </row>
    <row r="2964" spans="1:11" ht="57.6" x14ac:dyDescent="0.3">
      <c r="A2964" s="4" t="s">
        <v>6082</v>
      </c>
      <c r="B2964">
        <v>3</v>
      </c>
      <c r="C2964">
        <v>2020</v>
      </c>
      <c r="D2964" t="s">
        <v>12593</v>
      </c>
      <c r="E2964">
        <v>23</v>
      </c>
      <c r="F2964" t="s">
        <v>22633</v>
      </c>
      <c r="G2964" t="s">
        <v>22634</v>
      </c>
      <c r="H2964" s="4" t="s">
        <v>22635</v>
      </c>
    </row>
    <row r="2965" spans="1:11" ht="144" x14ac:dyDescent="0.3">
      <c r="A2965" s="4" t="s">
        <v>6083</v>
      </c>
      <c r="B2965">
        <v>3</v>
      </c>
      <c r="C2965">
        <v>2020</v>
      </c>
      <c r="D2965" t="s">
        <v>277</v>
      </c>
      <c r="E2965">
        <v>67</v>
      </c>
      <c r="F2965" t="s">
        <v>22636</v>
      </c>
      <c r="G2965" t="s">
        <v>22637</v>
      </c>
      <c r="H2965" s="4" t="s">
        <v>22638</v>
      </c>
      <c r="I2965" t="s">
        <v>71</v>
      </c>
      <c r="J2965" t="s">
        <v>10782</v>
      </c>
      <c r="K2965" t="s">
        <v>22639</v>
      </c>
    </row>
    <row r="2966" spans="1:11" ht="158.4" x14ac:dyDescent="0.3">
      <c r="A2966" s="4" t="s">
        <v>6084</v>
      </c>
      <c r="B2966">
        <v>3</v>
      </c>
      <c r="C2966">
        <v>2020</v>
      </c>
      <c r="D2966" t="s">
        <v>892</v>
      </c>
      <c r="E2966">
        <v>13</v>
      </c>
      <c r="F2966" t="s">
        <v>22640</v>
      </c>
      <c r="G2966" t="s">
        <v>22641</v>
      </c>
      <c r="H2966" s="4" t="s">
        <v>22642</v>
      </c>
      <c r="I2966" t="s">
        <v>71</v>
      </c>
      <c r="J2966" t="s">
        <v>10782</v>
      </c>
      <c r="K2966" t="s">
        <v>22643</v>
      </c>
    </row>
    <row r="2967" spans="1:11" ht="187.2" x14ac:dyDescent="0.3">
      <c r="A2967" s="4" t="s">
        <v>6085</v>
      </c>
      <c r="B2967">
        <v>3</v>
      </c>
      <c r="C2967">
        <v>2020</v>
      </c>
      <c r="D2967" t="s">
        <v>227</v>
      </c>
      <c r="E2967">
        <v>46</v>
      </c>
      <c r="F2967" t="s">
        <v>22644</v>
      </c>
      <c r="G2967" t="s">
        <v>22645</v>
      </c>
      <c r="H2967" s="4" t="s">
        <v>22646</v>
      </c>
      <c r="I2967" t="s">
        <v>71</v>
      </c>
      <c r="J2967" t="s">
        <v>10782</v>
      </c>
      <c r="K2967" t="s">
        <v>22647</v>
      </c>
    </row>
    <row r="2968" spans="1:11" ht="115.2" x14ac:dyDescent="0.3">
      <c r="A2968" s="4" t="s">
        <v>6086</v>
      </c>
      <c r="B2968">
        <v>3</v>
      </c>
      <c r="C2968">
        <v>2020</v>
      </c>
      <c r="D2968" t="s">
        <v>679</v>
      </c>
      <c r="E2968">
        <v>8</v>
      </c>
      <c r="F2968" t="s">
        <v>22648</v>
      </c>
      <c r="G2968" t="s">
        <v>22649</v>
      </c>
      <c r="H2968" s="4" t="s">
        <v>22650</v>
      </c>
      <c r="I2968" t="s">
        <v>71</v>
      </c>
      <c r="J2968" t="s">
        <v>10782</v>
      </c>
      <c r="K2968" t="s">
        <v>22651</v>
      </c>
    </row>
    <row r="2969" spans="1:11" ht="187.2" x14ac:dyDescent="0.3">
      <c r="A2969" s="4" t="s">
        <v>6087</v>
      </c>
      <c r="B2969">
        <v>3</v>
      </c>
      <c r="C2969">
        <v>2020</v>
      </c>
      <c r="D2969" t="s">
        <v>2853</v>
      </c>
      <c r="E2969">
        <v>6</v>
      </c>
      <c r="F2969" t="s">
        <v>22652</v>
      </c>
      <c r="G2969" t="s">
        <v>22653</v>
      </c>
      <c r="H2969" s="4" t="s">
        <v>22654</v>
      </c>
      <c r="I2969" t="s">
        <v>71</v>
      </c>
      <c r="J2969" t="s">
        <v>10782</v>
      </c>
      <c r="K2969" t="s">
        <v>22655</v>
      </c>
    </row>
    <row r="2970" spans="1:11" ht="158.4" x14ac:dyDescent="0.3">
      <c r="A2970" s="4" t="s">
        <v>6088</v>
      </c>
      <c r="B2970">
        <v>3</v>
      </c>
      <c r="C2970">
        <v>2020</v>
      </c>
      <c r="D2970" t="s">
        <v>12593</v>
      </c>
      <c r="E2970">
        <v>15</v>
      </c>
      <c r="F2970" t="s">
        <v>22656</v>
      </c>
      <c r="G2970" t="s">
        <v>22657</v>
      </c>
      <c r="H2970" s="4" t="s">
        <v>22658</v>
      </c>
      <c r="I2970" t="s">
        <v>71</v>
      </c>
      <c r="J2970" t="s">
        <v>10782</v>
      </c>
      <c r="K2970" t="s">
        <v>22659</v>
      </c>
    </row>
    <row r="2971" spans="1:11" ht="230.4" x14ac:dyDescent="0.3">
      <c r="A2971" s="4" t="s">
        <v>6089</v>
      </c>
      <c r="B2971">
        <v>3</v>
      </c>
      <c r="C2971">
        <v>2020</v>
      </c>
      <c r="D2971" t="s">
        <v>1936</v>
      </c>
      <c r="E2971">
        <v>37</v>
      </c>
      <c r="F2971" t="s">
        <v>22660</v>
      </c>
      <c r="G2971" t="s">
        <v>22661</v>
      </c>
      <c r="H2971" s="4" t="s">
        <v>22662</v>
      </c>
      <c r="I2971" t="s">
        <v>71</v>
      </c>
      <c r="J2971" t="s">
        <v>10782</v>
      </c>
      <c r="K2971" t="s">
        <v>22663</v>
      </c>
    </row>
    <row r="2972" spans="1:11" ht="201.6" x14ac:dyDescent="0.3">
      <c r="A2972" s="4" t="s">
        <v>6090</v>
      </c>
      <c r="B2972">
        <v>3</v>
      </c>
      <c r="C2972">
        <v>2020</v>
      </c>
      <c r="D2972" t="s">
        <v>15343</v>
      </c>
      <c r="E2972">
        <v>0</v>
      </c>
      <c r="F2972" t="s">
        <v>22664</v>
      </c>
      <c r="G2972" t="s">
        <v>22665</v>
      </c>
      <c r="H2972" s="4" t="s">
        <v>22666</v>
      </c>
      <c r="I2972" t="s">
        <v>71</v>
      </c>
      <c r="J2972" t="s">
        <v>10782</v>
      </c>
      <c r="K2972" t="s">
        <v>22667</v>
      </c>
    </row>
    <row r="2973" spans="1:11" ht="43.2" x14ac:dyDescent="0.3">
      <c r="A2973" s="4" t="s">
        <v>1291</v>
      </c>
      <c r="B2973">
        <v>1</v>
      </c>
      <c r="C2973">
        <v>2020</v>
      </c>
      <c r="D2973" t="s">
        <v>1438</v>
      </c>
      <c r="E2973">
        <v>5</v>
      </c>
      <c r="F2973" t="s">
        <v>22668</v>
      </c>
      <c r="G2973" t="s">
        <v>22669</v>
      </c>
      <c r="H2973" s="4" t="s">
        <v>22670</v>
      </c>
    </row>
    <row r="2974" spans="1:11" ht="28.8" x14ac:dyDescent="0.3">
      <c r="A2974" s="4" t="s">
        <v>6091</v>
      </c>
      <c r="B2974">
        <v>3</v>
      </c>
      <c r="C2974">
        <v>2020</v>
      </c>
      <c r="D2974" t="s">
        <v>2819</v>
      </c>
      <c r="E2974">
        <v>14</v>
      </c>
      <c r="F2974" t="s">
        <v>22671</v>
      </c>
      <c r="G2974" t="s">
        <v>22672</v>
      </c>
      <c r="H2974" s="4" t="s">
        <v>22673</v>
      </c>
    </row>
    <row r="2975" spans="1:11" ht="172.8" x14ac:dyDescent="0.3">
      <c r="A2975" s="4" t="s">
        <v>6092</v>
      </c>
      <c r="B2975">
        <v>3</v>
      </c>
      <c r="C2975">
        <v>2020</v>
      </c>
      <c r="D2975" t="s">
        <v>10825</v>
      </c>
      <c r="E2975">
        <v>10</v>
      </c>
      <c r="F2975" t="s">
        <v>22674</v>
      </c>
      <c r="G2975" t="s">
        <v>22675</v>
      </c>
      <c r="H2975" s="4" t="s">
        <v>22676</v>
      </c>
      <c r="I2975" t="s">
        <v>71</v>
      </c>
      <c r="J2975" t="s">
        <v>10782</v>
      </c>
      <c r="K2975" t="s">
        <v>22677</v>
      </c>
    </row>
    <row r="2976" spans="1:11" ht="187.2" x14ac:dyDescent="0.3">
      <c r="A2976" s="4" t="s">
        <v>3340</v>
      </c>
      <c r="B2976">
        <v>1</v>
      </c>
      <c r="C2976">
        <v>2020</v>
      </c>
      <c r="D2976" t="s">
        <v>318</v>
      </c>
      <c r="E2976">
        <v>65</v>
      </c>
      <c r="F2976" t="s">
        <v>22678</v>
      </c>
      <c r="G2976" t="s">
        <v>22679</v>
      </c>
      <c r="H2976" s="4" t="s">
        <v>22680</v>
      </c>
      <c r="I2976" t="s">
        <v>71</v>
      </c>
      <c r="J2976" t="s">
        <v>10782</v>
      </c>
      <c r="K2976" t="s">
        <v>22681</v>
      </c>
    </row>
    <row r="2977" spans="1:11" ht="201.6" x14ac:dyDescent="0.3">
      <c r="A2977" s="4" t="s">
        <v>6093</v>
      </c>
      <c r="B2977">
        <v>3</v>
      </c>
      <c r="C2977">
        <v>2020</v>
      </c>
      <c r="D2977" t="s">
        <v>1770</v>
      </c>
      <c r="E2977">
        <v>32</v>
      </c>
      <c r="F2977" t="s">
        <v>22682</v>
      </c>
      <c r="G2977" t="s">
        <v>22683</v>
      </c>
      <c r="H2977" s="4" t="s">
        <v>22684</v>
      </c>
      <c r="I2977" t="s">
        <v>71</v>
      </c>
      <c r="J2977" t="s">
        <v>10782</v>
      </c>
      <c r="K2977" t="s">
        <v>22685</v>
      </c>
    </row>
    <row r="2978" spans="1:11" ht="273.60000000000002" x14ac:dyDescent="0.3">
      <c r="A2978" s="4" t="s">
        <v>6094</v>
      </c>
      <c r="B2978">
        <v>3</v>
      </c>
      <c r="C2978">
        <v>2020</v>
      </c>
      <c r="D2978" t="s">
        <v>627</v>
      </c>
      <c r="E2978">
        <v>13</v>
      </c>
      <c r="F2978" t="s">
        <v>22686</v>
      </c>
      <c r="G2978" t="s">
        <v>22687</v>
      </c>
      <c r="H2978" s="4" t="s">
        <v>22688</v>
      </c>
      <c r="I2978" t="s">
        <v>71</v>
      </c>
      <c r="J2978" t="s">
        <v>10782</v>
      </c>
      <c r="K2978" t="s">
        <v>22689</v>
      </c>
    </row>
    <row r="2979" spans="1:11" ht="115.2" x14ac:dyDescent="0.3">
      <c r="A2979" s="4" t="s">
        <v>6095</v>
      </c>
      <c r="B2979">
        <v>3</v>
      </c>
      <c r="C2979">
        <v>2020</v>
      </c>
      <c r="D2979" t="s">
        <v>22690</v>
      </c>
      <c r="E2979">
        <v>2</v>
      </c>
      <c r="F2979" t="s">
        <v>22691</v>
      </c>
      <c r="G2979" t="s">
        <v>22692</v>
      </c>
      <c r="H2979" s="4" t="s">
        <v>22693</v>
      </c>
      <c r="I2979" t="s">
        <v>71</v>
      </c>
      <c r="J2979" t="s">
        <v>10782</v>
      </c>
      <c r="K2979" t="s">
        <v>22694</v>
      </c>
    </row>
    <row r="2980" spans="1:11" ht="201.6" x14ac:dyDescent="0.3">
      <c r="A2980" s="4" t="s">
        <v>6096</v>
      </c>
      <c r="B2980">
        <v>3</v>
      </c>
      <c r="C2980">
        <v>2020</v>
      </c>
      <c r="D2980" t="s">
        <v>2585</v>
      </c>
      <c r="E2980">
        <v>20</v>
      </c>
      <c r="F2980" t="s">
        <v>22695</v>
      </c>
      <c r="G2980" t="s">
        <v>22696</v>
      </c>
      <c r="H2980" s="4" t="s">
        <v>22697</v>
      </c>
      <c r="I2980" t="s">
        <v>71</v>
      </c>
      <c r="J2980" t="s">
        <v>10782</v>
      </c>
      <c r="K2980" t="s">
        <v>22698</v>
      </c>
    </row>
    <row r="2981" spans="1:11" ht="144" x14ac:dyDescent="0.3">
      <c r="A2981" s="4" t="s">
        <v>6097</v>
      </c>
      <c r="B2981">
        <v>3</v>
      </c>
      <c r="C2981">
        <v>2020</v>
      </c>
      <c r="D2981" t="s">
        <v>329</v>
      </c>
      <c r="E2981">
        <v>15</v>
      </c>
      <c r="F2981" t="s">
        <v>22699</v>
      </c>
      <c r="G2981" t="s">
        <v>22700</v>
      </c>
      <c r="H2981" s="4" t="s">
        <v>22701</v>
      </c>
      <c r="I2981" t="s">
        <v>71</v>
      </c>
      <c r="J2981" t="s">
        <v>10782</v>
      </c>
      <c r="K2981" t="s">
        <v>22702</v>
      </c>
    </row>
    <row r="2982" spans="1:11" ht="216" x14ac:dyDescent="0.3">
      <c r="A2982" s="4" t="s">
        <v>6098</v>
      </c>
      <c r="B2982">
        <v>3</v>
      </c>
      <c r="C2982">
        <v>2020</v>
      </c>
      <c r="D2982" t="s">
        <v>11064</v>
      </c>
      <c r="E2982">
        <v>26</v>
      </c>
      <c r="F2982" t="s">
        <v>22703</v>
      </c>
      <c r="G2982" t="s">
        <v>22704</v>
      </c>
      <c r="H2982" s="4" t="s">
        <v>22705</v>
      </c>
      <c r="I2982" t="s">
        <v>71</v>
      </c>
      <c r="J2982" t="s">
        <v>10782</v>
      </c>
      <c r="K2982" t="s">
        <v>22706</v>
      </c>
    </row>
    <row r="2983" spans="1:11" ht="187.2" x14ac:dyDescent="0.3">
      <c r="A2983" s="4" t="s">
        <v>6099</v>
      </c>
      <c r="B2983">
        <v>3</v>
      </c>
      <c r="C2983">
        <v>2020</v>
      </c>
      <c r="D2983" t="s">
        <v>22707</v>
      </c>
      <c r="E2983">
        <v>20</v>
      </c>
      <c r="F2983" t="s">
        <v>22708</v>
      </c>
      <c r="G2983" t="s">
        <v>22709</v>
      </c>
      <c r="H2983" s="4" t="s">
        <v>22710</v>
      </c>
      <c r="I2983" t="s">
        <v>71</v>
      </c>
      <c r="J2983" t="s">
        <v>10782</v>
      </c>
      <c r="K2983" t="s">
        <v>22711</v>
      </c>
    </row>
    <row r="2984" spans="1:11" ht="216" x14ac:dyDescent="0.3">
      <c r="A2984" s="4" t="s">
        <v>6100</v>
      </c>
      <c r="B2984">
        <v>3</v>
      </c>
      <c r="C2984">
        <v>2020</v>
      </c>
      <c r="D2984" t="s">
        <v>637</v>
      </c>
      <c r="E2984">
        <v>24</v>
      </c>
      <c r="F2984" t="s">
        <v>22712</v>
      </c>
      <c r="G2984" t="s">
        <v>22713</v>
      </c>
      <c r="H2984" s="4" t="s">
        <v>22714</v>
      </c>
      <c r="I2984" t="s">
        <v>71</v>
      </c>
      <c r="J2984" t="s">
        <v>10782</v>
      </c>
      <c r="K2984" t="s">
        <v>22715</v>
      </c>
    </row>
    <row r="2985" spans="1:11" ht="158.4" x14ac:dyDescent="0.3">
      <c r="A2985" s="4" t="s">
        <v>6101</v>
      </c>
      <c r="B2985">
        <v>3</v>
      </c>
      <c r="C2985">
        <v>2020</v>
      </c>
      <c r="D2985" t="s">
        <v>637</v>
      </c>
      <c r="E2985">
        <v>15</v>
      </c>
      <c r="F2985" t="s">
        <v>22716</v>
      </c>
      <c r="G2985" t="s">
        <v>22717</v>
      </c>
      <c r="H2985" s="4" t="s">
        <v>22718</v>
      </c>
      <c r="I2985" t="s">
        <v>71</v>
      </c>
      <c r="J2985" t="s">
        <v>10782</v>
      </c>
      <c r="K2985" t="s">
        <v>22719</v>
      </c>
    </row>
    <row r="2986" spans="1:11" ht="172.8" x14ac:dyDescent="0.3">
      <c r="A2986" s="4" t="s">
        <v>6102</v>
      </c>
      <c r="B2986">
        <v>3</v>
      </c>
      <c r="C2986">
        <v>2020</v>
      </c>
      <c r="D2986" t="s">
        <v>10178</v>
      </c>
      <c r="E2986">
        <v>114</v>
      </c>
      <c r="F2986" t="s">
        <v>22720</v>
      </c>
      <c r="G2986" t="s">
        <v>22721</v>
      </c>
      <c r="H2986" s="4" t="s">
        <v>22722</v>
      </c>
      <c r="I2986" t="s">
        <v>71</v>
      </c>
      <c r="J2986" t="s">
        <v>10782</v>
      </c>
      <c r="K2986" t="s">
        <v>22723</v>
      </c>
    </row>
    <row r="2987" spans="1:11" ht="201.6" x14ac:dyDescent="0.3">
      <c r="A2987" s="4" t="s">
        <v>6103</v>
      </c>
      <c r="B2987">
        <v>3</v>
      </c>
      <c r="C2987">
        <v>2020</v>
      </c>
      <c r="D2987" t="s">
        <v>1770</v>
      </c>
      <c r="E2987">
        <v>17</v>
      </c>
      <c r="F2987" t="s">
        <v>22724</v>
      </c>
      <c r="G2987" t="s">
        <v>22725</v>
      </c>
      <c r="H2987" s="4" t="s">
        <v>22726</v>
      </c>
      <c r="I2987" t="s">
        <v>71</v>
      </c>
      <c r="J2987" t="s">
        <v>10782</v>
      </c>
      <c r="K2987" t="s">
        <v>22727</v>
      </c>
    </row>
    <row r="2988" spans="1:11" ht="201.6" x14ac:dyDescent="0.3">
      <c r="A2988" s="4" t="s">
        <v>3565</v>
      </c>
      <c r="B2988">
        <v>2</v>
      </c>
      <c r="C2988">
        <v>2020</v>
      </c>
      <c r="D2988" t="s">
        <v>22728</v>
      </c>
      <c r="E2988">
        <v>3</v>
      </c>
      <c r="F2988" t="s">
        <v>22729</v>
      </c>
      <c r="G2988" t="s">
        <v>22730</v>
      </c>
      <c r="H2988" s="4" t="s">
        <v>22731</v>
      </c>
      <c r="I2988" t="s">
        <v>71</v>
      </c>
      <c r="J2988" t="s">
        <v>10782</v>
      </c>
      <c r="K2988" t="s">
        <v>22732</v>
      </c>
    </row>
    <row r="2989" spans="1:11" ht="144" x14ac:dyDescent="0.3">
      <c r="A2989" s="4" t="s">
        <v>6104</v>
      </c>
      <c r="B2989">
        <v>3</v>
      </c>
      <c r="C2989">
        <v>2020</v>
      </c>
      <c r="D2989" t="s">
        <v>12593</v>
      </c>
      <c r="E2989">
        <v>5</v>
      </c>
      <c r="F2989" t="s">
        <v>22733</v>
      </c>
      <c r="G2989" t="s">
        <v>22734</v>
      </c>
      <c r="H2989" s="4" t="s">
        <v>22735</v>
      </c>
      <c r="I2989" t="s">
        <v>71</v>
      </c>
      <c r="J2989" t="s">
        <v>10782</v>
      </c>
      <c r="K2989" t="s">
        <v>22736</v>
      </c>
    </row>
    <row r="2990" spans="1:11" ht="230.4" x14ac:dyDescent="0.3">
      <c r="A2990" s="4" t="s">
        <v>6105</v>
      </c>
      <c r="B2990">
        <v>3</v>
      </c>
      <c r="C2990">
        <v>2020</v>
      </c>
      <c r="D2990" t="s">
        <v>234</v>
      </c>
      <c r="E2990">
        <v>4</v>
      </c>
      <c r="F2990" t="s">
        <v>22737</v>
      </c>
      <c r="G2990" t="s">
        <v>22738</v>
      </c>
      <c r="H2990" s="4" t="s">
        <v>22739</v>
      </c>
      <c r="I2990" t="s">
        <v>71</v>
      </c>
      <c r="J2990" t="s">
        <v>10782</v>
      </c>
      <c r="K2990" t="s">
        <v>22740</v>
      </c>
    </row>
    <row r="2991" spans="1:11" ht="158.4" x14ac:dyDescent="0.3">
      <c r="A2991" s="4" t="s">
        <v>6106</v>
      </c>
      <c r="B2991">
        <v>3</v>
      </c>
      <c r="C2991">
        <v>2020</v>
      </c>
      <c r="D2991" t="s">
        <v>22741</v>
      </c>
      <c r="E2991">
        <v>2</v>
      </c>
      <c r="F2991" t="s">
        <v>22742</v>
      </c>
      <c r="G2991" t="s">
        <v>22743</v>
      </c>
      <c r="H2991" s="4" t="s">
        <v>22744</v>
      </c>
      <c r="I2991" t="s">
        <v>71</v>
      </c>
      <c r="J2991" t="s">
        <v>10782</v>
      </c>
      <c r="K2991" t="s">
        <v>22745</v>
      </c>
    </row>
    <row r="2992" spans="1:11" ht="216" x14ac:dyDescent="0.3">
      <c r="A2992" s="4" t="s">
        <v>6107</v>
      </c>
      <c r="B2992">
        <v>3</v>
      </c>
      <c r="C2992">
        <v>2020</v>
      </c>
      <c r="D2992" t="s">
        <v>177</v>
      </c>
      <c r="E2992">
        <v>6</v>
      </c>
      <c r="F2992" t="s">
        <v>22746</v>
      </c>
      <c r="G2992" t="s">
        <v>22747</v>
      </c>
      <c r="H2992" s="4" t="s">
        <v>22748</v>
      </c>
      <c r="I2992" t="s">
        <v>71</v>
      </c>
      <c r="J2992" t="s">
        <v>10782</v>
      </c>
      <c r="K2992" t="s">
        <v>22749</v>
      </c>
    </row>
    <row r="2993" spans="1:11" ht="144" x14ac:dyDescent="0.3">
      <c r="A2993" s="4" t="s">
        <v>6108</v>
      </c>
      <c r="B2993">
        <v>3</v>
      </c>
      <c r="C2993">
        <v>2020</v>
      </c>
      <c r="D2993" t="s">
        <v>637</v>
      </c>
      <c r="E2993">
        <v>28</v>
      </c>
      <c r="F2993" t="s">
        <v>22750</v>
      </c>
      <c r="G2993" t="s">
        <v>22751</v>
      </c>
      <c r="H2993" s="4" t="s">
        <v>22752</v>
      </c>
      <c r="I2993" t="s">
        <v>71</v>
      </c>
      <c r="J2993" t="s">
        <v>10782</v>
      </c>
      <c r="K2993" t="s">
        <v>22753</v>
      </c>
    </row>
    <row r="2994" spans="1:11" ht="100.8" x14ac:dyDescent="0.3">
      <c r="A2994" s="4" t="s">
        <v>1295</v>
      </c>
      <c r="B2994">
        <v>1</v>
      </c>
      <c r="C2994">
        <v>2020</v>
      </c>
      <c r="D2994" t="s">
        <v>277</v>
      </c>
      <c r="E2994">
        <v>357</v>
      </c>
      <c r="F2994" t="s">
        <v>22754</v>
      </c>
      <c r="G2994" t="s">
        <v>22755</v>
      </c>
      <c r="H2994" s="4" t="s">
        <v>22756</v>
      </c>
      <c r="I2994" t="s">
        <v>71</v>
      </c>
      <c r="J2994" t="s">
        <v>10782</v>
      </c>
      <c r="K2994" t="s">
        <v>22757</v>
      </c>
    </row>
    <row r="2995" spans="1:11" ht="216" x14ac:dyDescent="0.3">
      <c r="A2995" s="4" t="s">
        <v>6109</v>
      </c>
      <c r="B2995">
        <v>3</v>
      </c>
      <c r="C2995">
        <v>2020</v>
      </c>
      <c r="D2995" t="s">
        <v>10924</v>
      </c>
      <c r="E2995">
        <v>34</v>
      </c>
      <c r="F2995" t="s">
        <v>22758</v>
      </c>
      <c r="G2995" t="s">
        <v>22759</v>
      </c>
      <c r="H2995" s="4" t="s">
        <v>22760</v>
      </c>
    </row>
    <row r="2996" spans="1:11" ht="172.8" x14ac:dyDescent="0.3">
      <c r="A2996" s="4" t="s">
        <v>6110</v>
      </c>
      <c r="B2996">
        <v>3</v>
      </c>
      <c r="C2996">
        <v>2020</v>
      </c>
      <c r="D2996" t="s">
        <v>2416</v>
      </c>
      <c r="E2996">
        <v>24</v>
      </c>
      <c r="F2996" t="s">
        <v>22761</v>
      </c>
      <c r="G2996" t="s">
        <v>22762</v>
      </c>
      <c r="H2996" s="4" t="s">
        <v>22763</v>
      </c>
      <c r="I2996" t="s">
        <v>71</v>
      </c>
      <c r="J2996" t="s">
        <v>10782</v>
      </c>
      <c r="K2996" t="s">
        <v>22764</v>
      </c>
    </row>
    <row r="2997" spans="1:11" ht="216" x14ac:dyDescent="0.3">
      <c r="A2997" s="4" t="s">
        <v>6111</v>
      </c>
      <c r="B2997">
        <v>3</v>
      </c>
      <c r="C2997">
        <v>2020</v>
      </c>
      <c r="D2997" t="s">
        <v>80</v>
      </c>
      <c r="E2997">
        <v>20</v>
      </c>
      <c r="F2997" t="s">
        <v>22765</v>
      </c>
      <c r="G2997" t="s">
        <v>22766</v>
      </c>
      <c r="H2997" s="4" t="s">
        <v>22767</v>
      </c>
      <c r="I2997" t="s">
        <v>71</v>
      </c>
      <c r="J2997" t="s">
        <v>10782</v>
      </c>
      <c r="K2997" t="s">
        <v>22768</v>
      </c>
    </row>
    <row r="2998" spans="1:11" ht="100.8" x14ac:dyDescent="0.3">
      <c r="A2998" s="4" t="s">
        <v>6112</v>
      </c>
      <c r="B2998">
        <v>3</v>
      </c>
      <c r="C2998">
        <v>2020</v>
      </c>
      <c r="D2998" t="s">
        <v>318</v>
      </c>
      <c r="E2998">
        <v>16</v>
      </c>
      <c r="F2998" t="s">
        <v>22769</v>
      </c>
      <c r="G2998" t="s">
        <v>22770</v>
      </c>
      <c r="H2998" s="4" t="s">
        <v>22771</v>
      </c>
    </row>
    <row r="2999" spans="1:11" ht="259.2" x14ac:dyDescent="0.3">
      <c r="A2999" s="4" t="s">
        <v>6113</v>
      </c>
      <c r="B2999">
        <v>3</v>
      </c>
      <c r="C2999">
        <v>2020</v>
      </c>
      <c r="D2999" t="s">
        <v>11041</v>
      </c>
      <c r="E2999">
        <v>16</v>
      </c>
      <c r="F2999" t="s">
        <v>22772</v>
      </c>
      <c r="G2999" t="s">
        <v>22773</v>
      </c>
      <c r="H2999" s="4" t="s">
        <v>22774</v>
      </c>
      <c r="I2999" t="s">
        <v>71</v>
      </c>
      <c r="J2999" t="s">
        <v>10782</v>
      </c>
      <c r="K2999" t="s">
        <v>22775</v>
      </c>
    </row>
    <row r="3000" spans="1:11" ht="201.6" x14ac:dyDescent="0.3">
      <c r="A3000" s="4" t="s">
        <v>6114</v>
      </c>
      <c r="B3000">
        <v>3</v>
      </c>
      <c r="C3000">
        <v>2020</v>
      </c>
      <c r="D3000" t="s">
        <v>637</v>
      </c>
      <c r="E3000">
        <v>6</v>
      </c>
      <c r="F3000" t="s">
        <v>22776</v>
      </c>
      <c r="G3000" t="s">
        <v>22777</v>
      </c>
      <c r="H3000" s="4" t="s">
        <v>22778</v>
      </c>
      <c r="I3000" t="s">
        <v>71</v>
      </c>
      <c r="J3000" t="s">
        <v>10782</v>
      </c>
      <c r="K3000" t="s">
        <v>22779</v>
      </c>
    </row>
    <row r="3001" spans="1:11" ht="100.8" x14ac:dyDescent="0.3">
      <c r="A3001" s="4" t="s">
        <v>6115</v>
      </c>
      <c r="B3001">
        <v>3</v>
      </c>
      <c r="C3001">
        <v>2020</v>
      </c>
      <c r="D3001" t="s">
        <v>22780</v>
      </c>
      <c r="E3001">
        <v>0</v>
      </c>
      <c r="F3001" t="s">
        <v>22781</v>
      </c>
      <c r="G3001" t="s">
        <v>22782</v>
      </c>
      <c r="H3001" s="4" t="s">
        <v>22783</v>
      </c>
      <c r="I3001" t="s">
        <v>71</v>
      </c>
      <c r="J3001" t="s">
        <v>10782</v>
      </c>
      <c r="K3001" t="s">
        <v>22784</v>
      </c>
    </row>
    <row r="3002" spans="1:11" ht="172.8" x14ac:dyDescent="0.3">
      <c r="A3002" s="4" t="s">
        <v>6116</v>
      </c>
      <c r="B3002">
        <v>3</v>
      </c>
      <c r="C3002">
        <v>2020</v>
      </c>
      <c r="D3002" t="s">
        <v>817</v>
      </c>
      <c r="E3002">
        <v>11</v>
      </c>
      <c r="F3002" t="s">
        <v>22785</v>
      </c>
      <c r="G3002" t="s">
        <v>22786</v>
      </c>
      <c r="H3002" s="4" t="s">
        <v>22787</v>
      </c>
    </row>
    <row r="3003" spans="1:11" ht="230.4" x14ac:dyDescent="0.3">
      <c r="A3003" s="4" t="s">
        <v>6117</v>
      </c>
      <c r="B3003">
        <v>3</v>
      </c>
      <c r="C3003">
        <v>2020</v>
      </c>
      <c r="D3003" t="s">
        <v>1794</v>
      </c>
      <c r="E3003">
        <v>18</v>
      </c>
      <c r="F3003" t="s">
        <v>22788</v>
      </c>
      <c r="G3003" t="s">
        <v>22789</v>
      </c>
      <c r="H3003" s="4" t="s">
        <v>22790</v>
      </c>
      <c r="I3003" t="s">
        <v>71</v>
      </c>
      <c r="J3003" t="s">
        <v>10782</v>
      </c>
      <c r="K3003" t="s">
        <v>22791</v>
      </c>
    </row>
    <row r="3004" spans="1:11" ht="273.60000000000002" x14ac:dyDescent="0.3">
      <c r="A3004" s="4" t="s">
        <v>6118</v>
      </c>
      <c r="B3004">
        <v>3</v>
      </c>
      <c r="C3004">
        <v>2020</v>
      </c>
      <c r="D3004" t="s">
        <v>637</v>
      </c>
      <c r="E3004">
        <v>11</v>
      </c>
      <c r="F3004" t="s">
        <v>22792</v>
      </c>
      <c r="G3004" t="s">
        <v>22793</v>
      </c>
      <c r="H3004" s="4" t="s">
        <v>22794</v>
      </c>
      <c r="I3004" t="s">
        <v>71</v>
      </c>
      <c r="J3004" t="s">
        <v>10782</v>
      </c>
      <c r="K3004" t="s">
        <v>22795</v>
      </c>
    </row>
    <row r="3005" spans="1:11" ht="201.6" x14ac:dyDescent="0.3">
      <c r="A3005" s="4" t="s">
        <v>6119</v>
      </c>
      <c r="B3005">
        <v>3</v>
      </c>
      <c r="C3005">
        <v>2020</v>
      </c>
      <c r="D3005" t="s">
        <v>22796</v>
      </c>
      <c r="E3005">
        <v>4</v>
      </c>
      <c r="F3005" t="s">
        <v>22797</v>
      </c>
      <c r="G3005" t="s">
        <v>22798</v>
      </c>
      <c r="H3005" s="4" t="s">
        <v>22799</v>
      </c>
      <c r="I3005" t="s">
        <v>71</v>
      </c>
      <c r="J3005" t="s">
        <v>10782</v>
      </c>
      <c r="K3005" t="s">
        <v>22800</v>
      </c>
    </row>
    <row r="3006" spans="1:11" ht="216" x14ac:dyDescent="0.3">
      <c r="A3006" s="4" t="s">
        <v>6120</v>
      </c>
      <c r="B3006">
        <v>3</v>
      </c>
      <c r="C3006">
        <v>2020</v>
      </c>
      <c r="D3006" t="s">
        <v>217</v>
      </c>
      <c r="E3006">
        <v>44</v>
      </c>
      <c r="F3006" t="s">
        <v>22801</v>
      </c>
      <c r="G3006" t="s">
        <v>22802</v>
      </c>
      <c r="H3006" s="4" t="s">
        <v>22803</v>
      </c>
    </row>
    <row r="3007" spans="1:11" ht="273.60000000000002" x14ac:dyDescent="0.3">
      <c r="A3007" s="4" t="s">
        <v>6121</v>
      </c>
      <c r="B3007">
        <v>3</v>
      </c>
      <c r="C3007">
        <v>2020</v>
      </c>
      <c r="D3007" t="s">
        <v>217</v>
      </c>
      <c r="E3007">
        <v>11</v>
      </c>
      <c r="F3007" t="s">
        <v>22804</v>
      </c>
      <c r="G3007" t="s">
        <v>22805</v>
      </c>
      <c r="H3007" s="4" t="s">
        <v>22806</v>
      </c>
      <c r="I3007" t="s">
        <v>71</v>
      </c>
      <c r="J3007" t="s">
        <v>10782</v>
      </c>
      <c r="K3007" t="s">
        <v>22807</v>
      </c>
    </row>
    <row r="3008" spans="1:11" ht="144" x14ac:dyDescent="0.3">
      <c r="A3008" s="4" t="s">
        <v>6122</v>
      </c>
      <c r="B3008">
        <v>3</v>
      </c>
      <c r="C3008">
        <v>2020</v>
      </c>
      <c r="D3008" t="s">
        <v>16933</v>
      </c>
      <c r="E3008">
        <v>14</v>
      </c>
      <c r="F3008" t="s">
        <v>22808</v>
      </c>
      <c r="G3008" t="s">
        <v>22809</v>
      </c>
      <c r="H3008" s="4" t="s">
        <v>22810</v>
      </c>
      <c r="I3008" t="s">
        <v>71</v>
      </c>
      <c r="J3008" t="s">
        <v>10782</v>
      </c>
      <c r="K3008" t="s">
        <v>22811</v>
      </c>
    </row>
    <row r="3009" spans="1:11" ht="172.8" x14ac:dyDescent="0.3">
      <c r="A3009" s="4" t="s">
        <v>6123</v>
      </c>
      <c r="B3009">
        <v>3</v>
      </c>
      <c r="C3009">
        <v>2020</v>
      </c>
      <c r="D3009" t="s">
        <v>637</v>
      </c>
      <c r="E3009">
        <v>6</v>
      </c>
      <c r="F3009" t="s">
        <v>22812</v>
      </c>
      <c r="G3009" t="s">
        <v>22813</v>
      </c>
      <c r="H3009" s="4" t="s">
        <v>22814</v>
      </c>
      <c r="I3009" t="s">
        <v>71</v>
      </c>
      <c r="J3009" t="s">
        <v>10782</v>
      </c>
      <c r="K3009" t="s">
        <v>22815</v>
      </c>
    </row>
    <row r="3010" spans="1:11" ht="172.8" x14ac:dyDescent="0.3">
      <c r="A3010" s="4" t="s">
        <v>3341</v>
      </c>
      <c r="B3010">
        <v>1</v>
      </c>
      <c r="C3010">
        <v>2020</v>
      </c>
      <c r="D3010" t="s">
        <v>12642</v>
      </c>
      <c r="E3010">
        <v>18</v>
      </c>
      <c r="F3010" t="s">
        <v>22816</v>
      </c>
      <c r="G3010" t="s">
        <v>22817</v>
      </c>
      <c r="H3010" s="4" t="s">
        <v>22818</v>
      </c>
      <c r="I3010" t="s">
        <v>71</v>
      </c>
      <c r="J3010" t="s">
        <v>10782</v>
      </c>
      <c r="K3010" t="s">
        <v>22819</v>
      </c>
    </row>
    <row r="3011" spans="1:11" ht="172.8" x14ac:dyDescent="0.3">
      <c r="A3011" s="4" t="s">
        <v>3342</v>
      </c>
      <c r="B3011">
        <v>1</v>
      </c>
      <c r="C3011">
        <v>2020</v>
      </c>
      <c r="D3011" t="s">
        <v>17900</v>
      </c>
      <c r="E3011">
        <v>22</v>
      </c>
      <c r="F3011" t="s">
        <v>22820</v>
      </c>
      <c r="G3011" t="s">
        <v>22821</v>
      </c>
      <c r="H3011" s="4" t="s">
        <v>22822</v>
      </c>
    </row>
    <row r="3012" spans="1:11" ht="115.2" x14ac:dyDescent="0.3">
      <c r="A3012" s="4" t="s">
        <v>6124</v>
      </c>
      <c r="B3012">
        <v>3</v>
      </c>
      <c r="C3012">
        <v>2020</v>
      </c>
      <c r="D3012" t="s">
        <v>679</v>
      </c>
      <c r="E3012">
        <v>25</v>
      </c>
      <c r="F3012" t="s">
        <v>22823</v>
      </c>
      <c r="G3012" t="s">
        <v>22824</v>
      </c>
      <c r="H3012" s="4" t="s">
        <v>22825</v>
      </c>
      <c r="I3012" t="s">
        <v>71</v>
      </c>
      <c r="J3012" t="s">
        <v>10782</v>
      </c>
      <c r="K3012" t="s">
        <v>22826</v>
      </c>
    </row>
    <row r="3013" spans="1:11" ht="187.2" x14ac:dyDescent="0.3">
      <c r="A3013" s="4" t="s">
        <v>6125</v>
      </c>
      <c r="B3013">
        <v>3</v>
      </c>
      <c r="C3013">
        <v>2020</v>
      </c>
      <c r="D3013" t="s">
        <v>13914</v>
      </c>
      <c r="E3013">
        <v>30</v>
      </c>
      <c r="F3013" t="s">
        <v>22827</v>
      </c>
      <c r="G3013" t="s">
        <v>22828</v>
      </c>
      <c r="H3013" s="4" t="s">
        <v>22829</v>
      </c>
      <c r="I3013" t="s">
        <v>71</v>
      </c>
      <c r="J3013" t="s">
        <v>10782</v>
      </c>
      <c r="K3013" t="s">
        <v>22830</v>
      </c>
    </row>
    <row r="3014" spans="1:11" ht="172.8" x14ac:dyDescent="0.3">
      <c r="A3014" s="4" t="s">
        <v>3343</v>
      </c>
      <c r="B3014">
        <v>1</v>
      </c>
      <c r="C3014">
        <v>2020</v>
      </c>
      <c r="D3014" t="s">
        <v>1570</v>
      </c>
      <c r="E3014">
        <v>6</v>
      </c>
      <c r="F3014" t="s">
        <v>22831</v>
      </c>
      <c r="G3014" t="s">
        <v>22832</v>
      </c>
      <c r="H3014" s="4" t="s">
        <v>22833</v>
      </c>
      <c r="I3014" t="s">
        <v>10823</v>
      </c>
      <c r="J3014" t="s">
        <v>10782</v>
      </c>
      <c r="K3014" t="s">
        <v>22834</v>
      </c>
    </row>
    <row r="3015" spans="1:11" ht="172.8" x14ac:dyDescent="0.3">
      <c r="A3015" s="4" t="s">
        <v>6126</v>
      </c>
      <c r="B3015">
        <v>3</v>
      </c>
      <c r="C3015">
        <v>2020</v>
      </c>
      <c r="D3015" t="s">
        <v>1770</v>
      </c>
      <c r="E3015">
        <v>13</v>
      </c>
      <c r="F3015" t="s">
        <v>22835</v>
      </c>
      <c r="G3015" t="s">
        <v>22836</v>
      </c>
      <c r="H3015" s="4" t="s">
        <v>22837</v>
      </c>
      <c r="I3015" t="s">
        <v>71</v>
      </c>
      <c r="J3015" t="s">
        <v>10782</v>
      </c>
      <c r="K3015" t="s">
        <v>22838</v>
      </c>
    </row>
    <row r="3016" spans="1:11" ht="115.2" x14ac:dyDescent="0.3">
      <c r="A3016" s="4" t="s">
        <v>6127</v>
      </c>
      <c r="B3016">
        <v>3</v>
      </c>
      <c r="C3016">
        <v>2020</v>
      </c>
      <c r="D3016" t="s">
        <v>679</v>
      </c>
      <c r="E3016">
        <v>5</v>
      </c>
      <c r="F3016" t="s">
        <v>22839</v>
      </c>
      <c r="G3016" t="s">
        <v>22840</v>
      </c>
      <c r="H3016" s="4" t="s">
        <v>22841</v>
      </c>
      <c r="I3016" t="s">
        <v>71</v>
      </c>
      <c r="J3016" t="s">
        <v>10782</v>
      </c>
      <c r="K3016" t="s">
        <v>22842</v>
      </c>
    </row>
    <row r="3017" spans="1:11" ht="144" x14ac:dyDescent="0.3">
      <c r="A3017" s="4" t="s">
        <v>3344</v>
      </c>
      <c r="B3017">
        <v>1</v>
      </c>
      <c r="C3017">
        <v>2020</v>
      </c>
      <c r="D3017" t="s">
        <v>329</v>
      </c>
      <c r="E3017">
        <v>15</v>
      </c>
      <c r="F3017" t="s">
        <v>22843</v>
      </c>
      <c r="G3017" t="s">
        <v>22844</v>
      </c>
      <c r="H3017" s="4" t="s">
        <v>22845</v>
      </c>
      <c r="I3017" t="s">
        <v>71</v>
      </c>
      <c r="J3017" t="s">
        <v>10782</v>
      </c>
      <c r="K3017" t="s">
        <v>22846</v>
      </c>
    </row>
    <row r="3018" spans="1:11" ht="172.8" x14ac:dyDescent="0.3">
      <c r="A3018" s="4" t="s">
        <v>6128</v>
      </c>
      <c r="B3018">
        <v>3</v>
      </c>
      <c r="C3018">
        <v>2020</v>
      </c>
      <c r="D3018" t="s">
        <v>637</v>
      </c>
      <c r="E3018">
        <v>6</v>
      </c>
      <c r="F3018" t="s">
        <v>22847</v>
      </c>
      <c r="G3018" t="s">
        <v>22848</v>
      </c>
      <c r="H3018" s="4" t="s">
        <v>22849</v>
      </c>
      <c r="I3018" t="s">
        <v>71</v>
      </c>
      <c r="J3018" t="s">
        <v>10782</v>
      </c>
      <c r="K3018" t="s">
        <v>22850</v>
      </c>
    </row>
    <row r="3019" spans="1:11" ht="144" x14ac:dyDescent="0.3">
      <c r="A3019" s="4" t="s">
        <v>6129</v>
      </c>
      <c r="B3019">
        <v>3</v>
      </c>
      <c r="C3019">
        <v>2020</v>
      </c>
      <c r="D3019" t="s">
        <v>398</v>
      </c>
      <c r="E3019">
        <v>14</v>
      </c>
      <c r="F3019" t="s">
        <v>22851</v>
      </c>
      <c r="G3019" t="s">
        <v>22852</v>
      </c>
      <c r="H3019" s="4" t="s">
        <v>22853</v>
      </c>
      <c r="I3019" t="s">
        <v>71</v>
      </c>
      <c r="J3019" t="s">
        <v>10782</v>
      </c>
      <c r="K3019" t="s">
        <v>22854</v>
      </c>
    </row>
    <row r="3020" spans="1:11" ht="158.4" x14ac:dyDescent="0.3">
      <c r="A3020" s="4" t="s">
        <v>6130</v>
      </c>
      <c r="B3020">
        <v>3</v>
      </c>
      <c r="C3020">
        <v>2020</v>
      </c>
      <c r="D3020" t="s">
        <v>217</v>
      </c>
      <c r="E3020">
        <v>2</v>
      </c>
      <c r="F3020" t="s">
        <v>22855</v>
      </c>
      <c r="G3020" t="s">
        <v>22856</v>
      </c>
      <c r="H3020" s="4" t="s">
        <v>22857</v>
      </c>
      <c r="I3020" t="s">
        <v>71</v>
      </c>
      <c r="J3020" t="s">
        <v>10782</v>
      </c>
      <c r="K3020" t="s">
        <v>22858</v>
      </c>
    </row>
    <row r="3021" spans="1:11" ht="158.4" x14ac:dyDescent="0.3">
      <c r="A3021" s="4" t="s">
        <v>3566</v>
      </c>
      <c r="B3021">
        <v>2</v>
      </c>
      <c r="C3021">
        <v>2020</v>
      </c>
      <c r="D3021" t="s">
        <v>405</v>
      </c>
      <c r="E3021">
        <v>35</v>
      </c>
      <c r="F3021" t="s">
        <v>22859</v>
      </c>
      <c r="G3021" t="s">
        <v>22860</v>
      </c>
      <c r="H3021" s="4" t="s">
        <v>22861</v>
      </c>
      <c r="I3021" t="s">
        <v>71</v>
      </c>
      <c r="J3021" t="s">
        <v>10782</v>
      </c>
      <c r="K3021" t="s">
        <v>22862</v>
      </c>
    </row>
    <row r="3022" spans="1:11" ht="172.8" x14ac:dyDescent="0.3">
      <c r="A3022" s="4" t="s">
        <v>6131</v>
      </c>
      <c r="B3022">
        <v>3</v>
      </c>
      <c r="C3022">
        <v>2020</v>
      </c>
      <c r="D3022" t="s">
        <v>11159</v>
      </c>
      <c r="E3022">
        <v>26</v>
      </c>
      <c r="F3022" t="s">
        <v>22863</v>
      </c>
      <c r="G3022" t="s">
        <v>22864</v>
      </c>
      <c r="H3022" s="4" t="s">
        <v>22865</v>
      </c>
      <c r="I3022" t="s">
        <v>71</v>
      </c>
      <c r="J3022" t="s">
        <v>10782</v>
      </c>
      <c r="K3022" t="s">
        <v>22866</v>
      </c>
    </row>
    <row r="3023" spans="1:11" ht="115.2" x14ac:dyDescent="0.3">
      <c r="A3023" s="4" t="s">
        <v>6132</v>
      </c>
      <c r="B3023">
        <v>3</v>
      </c>
      <c r="C3023">
        <v>2020</v>
      </c>
      <c r="D3023" t="s">
        <v>19885</v>
      </c>
      <c r="E3023">
        <v>9</v>
      </c>
      <c r="F3023" t="s">
        <v>22867</v>
      </c>
      <c r="G3023" t="s">
        <v>22868</v>
      </c>
      <c r="H3023" s="4" t="s">
        <v>22869</v>
      </c>
      <c r="I3023" t="s">
        <v>71</v>
      </c>
      <c r="J3023" t="s">
        <v>10782</v>
      </c>
      <c r="K3023" t="s">
        <v>22870</v>
      </c>
    </row>
    <row r="3024" spans="1:11" ht="172.8" x14ac:dyDescent="0.3">
      <c r="A3024" s="4" t="s">
        <v>6133</v>
      </c>
      <c r="B3024">
        <v>3</v>
      </c>
      <c r="C3024">
        <v>2020</v>
      </c>
      <c r="D3024" t="s">
        <v>217</v>
      </c>
      <c r="E3024">
        <v>22</v>
      </c>
      <c r="F3024" t="s">
        <v>22871</v>
      </c>
      <c r="G3024" t="s">
        <v>22872</v>
      </c>
      <c r="H3024" s="4" t="s">
        <v>22873</v>
      </c>
      <c r="I3024" t="s">
        <v>71</v>
      </c>
      <c r="J3024" t="s">
        <v>10782</v>
      </c>
      <c r="K3024" t="s">
        <v>22874</v>
      </c>
    </row>
    <row r="3025" spans="1:11" ht="129.6" x14ac:dyDescent="0.3">
      <c r="A3025" s="4" t="s">
        <v>6134</v>
      </c>
      <c r="B3025">
        <v>3</v>
      </c>
      <c r="C3025">
        <v>2020</v>
      </c>
      <c r="D3025" t="s">
        <v>2853</v>
      </c>
      <c r="E3025">
        <v>23</v>
      </c>
      <c r="F3025" t="s">
        <v>22875</v>
      </c>
      <c r="G3025" t="s">
        <v>22876</v>
      </c>
      <c r="H3025" s="4" t="s">
        <v>22877</v>
      </c>
      <c r="I3025" t="s">
        <v>71</v>
      </c>
      <c r="J3025" t="s">
        <v>10782</v>
      </c>
      <c r="K3025" t="s">
        <v>22878</v>
      </c>
    </row>
    <row r="3026" spans="1:11" ht="187.2" x14ac:dyDescent="0.3">
      <c r="A3026" s="4" t="s">
        <v>6135</v>
      </c>
      <c r="B3026">
        <v>3</v>
      </c>
      <c r="C3026">
        <v>2020</v>
      </c>
      <c r="D3026" t="s">
        <v>724</v>
      </c>
      <c r="E3026">
        <v>19</v>
      </c>
      <c r="F3026" t="s">
        <v>22879</v>
      </c>
      <c r="G3026" t="s">
        <v>22880</v>
      </c>
      <c r="H3026" s="4" t="s">
        <v>22881</v>
      </c>
      <c r="I3026" t="s">
        <v>71</v>
      </c>
      <c r="J3026" t="s">
        <v>10782</v>
      </c>
      <c r="K3026" t="s">
        <v>22882</v>
      </c>
    </row>
    <row r="3027" spans="1:11" ht="172.8" x14ac:dyDescent="0.3">
      <c r="A3027" s="4" t="s">
        <v>6136</v>
      </c>
      <c r="B3027">
        <v>3</v>
      </c>
      <c r="C3027">
        <v>2020</v>
      </c>
      <c r="D3027" t="s">
        <v>22883</v>
      </c>
      <c r="E3027">
        <v>7</v>
      </c>
      <c r="F3027" t="s">
        <v>22884</v>
      </c>
      <c r="G3027" t="s">
        <v>22885</v>
      </c>
      <c r="H3027" s="4" t="s">
        <v>22886</v>
      </c>
      <c r="I3027" t="s">
        <v>71</v>
      </c>
      <c r="J3027" t="s">
        <v>10782</v>
      </c>
      <c r="K3027" t="s">
        <v>22887</v>
      </c>
    </row>
    <row r="3028" spans="1:11" ht="144" x14ac:dyDescent="0.3">
      <c r="A3028" s="4" t="s">
        <v>6137</v>
      </c>
      <c r="B3028">
        <v>3</v>
      </c>
      <c r="C3028">
        <v>2020</v>
      </c>
      <c r="D3028" t="s">
        <v>12593</v>
      </c>
      <c r="E3028">
        <v>23</v>
      </c>
      <c r="F3028" t="s">
        <v>22888</v>
      </c>
      <c r="G3028" t="s">
        <v>22889</v>
      </c>
      <c r="H3028" s="4" t="s">
        <v>22890</v>
      </c>
      <c r="I3028" t="s">
        <v>71</v>
      </c>
      <c r="J3028" t="s">
        <v>10782</v>
      </c>
      <c r="K3028" t="s">
        <v>22891</v>
      </c>
    </row>
    <row r="3029" spans="1:11" ht="230.4" x14ac:dyDescent="0.3">
      <c r="A3029" s="4" t="s">
        <v>6138</v>
      </c>
      <c r="B3029">
        <v>3</v>
      </c>
      <c r="C3029">
        <v>2020</v>
      </c>
      <c r="D3029" t="s">
        <v>1570</v>
      </c>
      <c r="E3029">
        <v>16</v>
      </c>
      <c r="F3029" t="s">
        <v>22892</v>
      </c>
      <c r="G3029" t="s">
        <v>22893</v>
      </c>
      <c r="H3029" s="4" t="s">
        <v>22894</v>
      </c>
      <c r="I3029" t="s">
        <v>71</v>
      </c>
      <c r="J3029" t="s">
        <v>10782</v>
      </c>
      <c r="K3029" t="s">
        <v>22895</v>
      </c>
    </row>
    <row r="3030" spans="1:11" ht="43.2" x14ac:dyDescent="0.3">
      <c r="A3030" s="4" t="s">
        <v>1299</v>
      </c>
      <c r="B3030">
        <v>1</v>
      </c>
      <c r="C3030">
        <v>2020</v>
      </c>
      <c r="D3030" t="s">
        <v>217</v>
      </c>
      <c r="E3030">
        <v>14</v>
      </c>
      <c r="F3030" t="s">
        <v>22896</v>
      </c>
      <c r="G3030" t="s">
        <v>22897</v>
      </c>
      <c r="H3030" s="4" t="s">
        <v>22898</v>
      </c>
    </row>
    <row r="3031" spans="1:11" ht="158.4" x14ac:dyDescent="0.3">
      <c r="A3031" s="4" t="s">
        <v>6139</v>
      </c>
      <c r="B3031">
        <v>3</v>
      </c>
      <c r="C3031">
        <v>2020</v>
      </c>
      <c r="D3031" t="s">
        <v>329</v>
      </c>
      <c r="E3031">
        <v>17</v>
      </c>
      <c r="F3031" t="s">
        <v>22899</v>
      </c>
      <c r="G3031" t="s">
        <v>22900</v>
      </c>
      <c r="H3031" s="4" t="s">
        <v>22901</v>
      </c>
      <c r="I3031" t="s">
        <v>71</v>
      </c>
      <c r="J3031" t="s">
        <v>10782</v>
      </c>
      <c r="K3031" t="s">
        <v>22902</v>
      </c>
    </row>
    <row r="3032" spans="1:11" ht="201.6" x14ac:dyDescent="0.3">
      <c r="A3032" s="4" t="s">
        <v>6140</v>
      </c>
      <c r="B3032">
        <v>3</v>
      </c>
      <c r="C3032">
        <v>2020</v>
      </c>
      <c r="D3032" t="s">
        <v>1912</v>
      </c>
      <c r="E3032">
        <v>3</v>
      </c>
      <c r="F3032" t="s">
        <v>22903</v>
      </c>
      <c r="G3032" t="s">
        <v>22904</v>
      </c>
      <c r="H3032" s="4" t="s">
        <v>22905</v>
      </c>
      <c r="I3032" t="s">
        <v>71</v>
      </c>
      <c r="J3032" t="s">
        <v>10782</v>
      </c>
      <c r="K3032" t="s">
        <v>22906</v>
      </c>
    </row>
    <row r="3033" spans="1:11" ht="216" x14ac:dyDescent="0.3">
      <c r="A3033" s="4" t="s">
        <v>6141</v>
      </c>
      <c r="B3033">
        <v>3</v>
      </c>
      <c r="C3033">
        <v>2020</v>
      </c>
      <c r="D3033" t="s">
        <v>164</v>
      </c>
      <c r="E3033">
        <v>16</v>
      </c>
      <c r="F3033" t="s">
        <v>22907</v>
      </c>
      <c r="G3033" t="s">
        <v>22908</v>
      </c>
      <c r="H3033" s="4" t="s">
        <v>22909</v>
      </c>
      <c r="I3033" t="s">
        <v>71</v>
      </c>
      <c r="J3033" t="s">
        <v>10782</v>
      </c>
      <c r="K3033" t="s">
        <v>22910</v>
      </c>
    </row>
    <row r="3034" spans="1:11" ht="187.2" x14ac:dyDescent="0.3">
      <c r="A3034" s="4" t="s">
        <v>6142</v>
      </c>
      <c r="B3034">
        <v>3</v>
      </c>
      <c r="C3034">
        <v>2020</v>
      </c>
      <c r="D3034" t="s">
        <v>637</v>
      </c>
      <c r="E3034">
        <v>10</v>
      </c>
      <c r="F3034" t="s">
        <v>22911</v>
      </c>
      <c r="G3034" t="s">
        <v>22912</v>
      </c>
      <c r="H3034" s="4" t="s">
        <v>22913</v>
      </c>
      <c r="I3034" t="s">
        <v>71</v>
      </c>
      <c r="J3034" t="s">
        <v>10782</v>
      </c>
      <c r="K3034" t="s">
        <v>22914</v>
      </c>
    </row>
    <row r="3035" spans="1:11" ht="172.8" x14ac:dyDescent="0.3">
      <c r="A3035" s="4" t="s">
        <v>6143</v>
      </c>
      <c r="B3035">
        <v>3</v>
      </c>
      <c r="C3035">
        <v>2020</v>
      </c>
      <c r="D3035" t="s">
        <v>1570</v>
      </c>
      <c r="E3035">
        <v>3</v>
      </c>
      <c r="F3035" t="s">
        <v>22915</v>
      </c>
      <c r="G3035" t="s">
        <v>22916</v>
      </c>
      <c r="H3035" s="4" t="s">
        <v>22917</v>
      </c>
    </row>
    <row r="3036" spans="1:11" ht="172.8" x14ac:dyDescent="0.3">
      <c r="A3036" s="4" t="s">
        <v>3345</v>
      </c>
      <c r="B3036">
        <v>1</v>
      </c>
      <c r="C3036">
        <v>2020</v>
      </c>
      <c r="D3036" t="s">
        <v>217</v>
      </c>
      <c r="E3036">
        <v>34</v>
      </c>
      <c r="F3036" t="s">
        <v>22918</v>
      </c>
      <c r="G3036" t="s">
        <v>22919</v>
      </c>
      <c r="H3036" s="4" t="s">
        <v>22920</v>
      </c>
      <c r="I3036" t="s">
        <v>71</v>
      </c>
      <c r="J3036" t="s">
        <v>10782</v>
      </c>
      <c r="K3036" t="s">
        <v>22921</v>
      </c>
    </row>
    <row r="3037" spans="1:11" ht="100.8" x14ac:dyDescent="0.3">
      <c r="A3037" s="4" t="s">
        <v>3346</v>
      </c>
      <c r="B3037">
        <v>1</v>
      </c>
      <c r="C3037">
        <v>2020</v>
      </c>
      <c r="D3037" t="s">
        <v>18415</v>
      </c>
      <c r="E3037">
        <v>2</v>
      </c>
      <c r="G3037" t="s">
        <v>22922</v>
      </c>
      <c r="H3037" s="4" t="s">
        <v>22923</v>
      </c>
      <c r="I3037" s="4"/>
    </row>
    <row r="3038" spans="1:11" ht="172.8" x14ac:dyDescent="0.3">
      <c r="A3038" s="4" t="s">
        <v>6144</v>
      </c>
      <c r="B3038">
        <v>3</v>
      </c>
      <c r="C3038">
        <v>2020</v>
      </c>
      <c r="D3038" t="s">
        <v>10796</v>
      </c>
      <c r="E3038">
        <v>21</v>
      </c>
      <c r="F3038" t="s">
        <v>22924</v>
      </c>
      <c r="G3038" t="s">
        <v>22925</v>
      </c>
      <c r="H3038" s="4" t="s">
        <v>22926</v>
      </c>
      <c r="I3038" t="s">
        <v>71</v>
      </c>
      <c r="J3038" t="s">
        <v>10782</v>
      </c>
      <c r="K3038" t="s">
        <v>22927</v>
      </c>
    </row>
    <row r="3039" spans="1:11" ht="172.8" x14ac:dyDescent="0.3">
      <c r="A3039" s="4" t="s">
        <v>3347</v>
      </c>
      <c r="B3039">
        <v>1</v>
      </c>
      <c r="C3039">
        <v>2020</v>
      </c>
      <c r="D3039" t="s">
        <v>1570</v>
      </c>
      <c r="E3039">
        <v>20</v>
      </c>
      <c r="F3039" t="s">
        <v>22928</v>
      </c>
      <c r="G3039" t="s">
        <v>22929</v>
      </c>
      <c r="H3039" s="4" t="s">
        <v>22930</v>
      </c>
      <c r="I3039" t="s">
        <v>71</v>
      </c>
      <c r="J3039" t="s">
        <v>10782</v>
      </c>
      <c r="K3039" t="s">
        <v>22931</v>
      </c>
    </row>
    <row r="3040" spans="1:11" ht="288" x14ac:dyDescent="0.3">
      <c r="A3040" s="4" t="s">
        <v>6145</v>
      </c>
      <c r="B3040">
        <v>3</v>
      </c>
      <c r="C3040">
        <v>2020</v>
      </c>
      <c r="D3040" t="s">
        <v>2416</v>
      </c>
      <c r="E3040">
        <v>5</v>
      </c>
      <c r="F3040" t="s">
        <v>22932</v>
      </c>
      <c r="G3040" t="s">
        <v>22933</v>
      </c>
      <c r="H3040" s="4" t="s">
        <v>22934</v>
      </c>
      <c r="I3040" t="s">
        <v>71</v>
      </c>
      <c r="J3040" t="s">
        <v>10782</v>
      </c>
      <c r="K3040" t="s">
        <v>22935</v>
      </c>
    </row>
    <row r="3041" spans="1:11" ht="172.8" x14ac:dyDescent="0.3">
      <c r="A3041" s="4" t="s">
        <v>6146</v>
      </c>
      <c r="B3041">
        <v>3</v>
      </c>
      <c r="C3041">
        <v>2020</v>
      </c>
      <c r="D3041" t="s">
        <v>12373</v>
      </c>
      <c r="E3041">
        <v>11</v>
      </c>
      <c r="F3041" t="s">
        <v>22936</v>
      </c>
      <c r="G3041" t="s">
        <v>22937</v>
      </c>
      <c r="H3041" s="4" t="s">
        <v>22938</v>
      </c>
    </row>
    <row r="3042" spans="1:11" ht="100.8" x14ac:dyDescent="0.3">
      <c r="A3042" s="4" t="s">
        <v>6147</v>
      </c>
      <c r="B3042">
        <v>3</v>
      </c>
      <c r="C3042">
        <v>2020</v>
      </c>
      <c r="D3042" t="s">
        <v>637</v>
      </c>
      <c r="E3042">
        <v>25</v>
      </c>
      <c r="F3042" t="s">
        <v>22939</v>
      </c>
      <c r="G3042" t="s">
        <v>22940</v>
      </c>
      <c r="H3042" s="4" t="s">
        <v>22941</v>
      </c>
    </row>
    <row r="3043" spans="1:11" ht="187.2" x14ac:dyDescent="0.3">
      <c r="A3043" s="4" t="s">
        <v>6148</v>
      </c>
      <c r="B3043">
        <v>3</v>
      </c>
      <c r="C3043">
        <v>2020</v>
      </c>
      <c r="D3043" t="s">
        <v>217</v>
      </c>
      <c r="E3043">
        <v>22</v>
      </c>
      <c r="F3043" t="s">
        <v>22942</v>
      </c>
      <c r="G3043" t="s">
        <v>22943</v>
      </c>
      <c r="H3043" s="4" t="s">
        <v>22944</v>
      </c>
      <c r="I3043" t="s">
        <v>71</v>
      </c>
      <c r="J3043" t="s">
        <v>10782</v>
      </c>
      <c r="K3043" t="s">
        <v>22945</v>
      </c>
    </row>
    <row r="3044" spans="1:11" ht="201.6" x14ac:dyDescent="0.3">
      <c r="A3044" s="4" t="s">
        <v>6149</v>
      </c>
      <c r="B3044">
        <v>3</v>
      </c>
      <c r="C3044">
        <v>2020</v>
      </c>
      <c r="D3044" t="s">
        <v>10971</v>
      </c>
      <c r="E3044">
        <v>61</v>
      </c>
      <c r="F3044" t="s">
        <v>22946</v>
      </c>
      <c r="G3044" t="s">
        <v>22947</v>
      </c>
      <c r="H3044" s="4" t="s">
        <v>22948</v>
      </c>
      <c r="I3044" t="s">
        <v>71</v>
      </c>
      <c r="J3044" t="s">
        <v>10782</v>
      </c>
      <c r="K3044" t="s">
        <v>22949</v>
      </c>
    </row>
    <row r="3045" spans="1:11" ht="144" x14ac:dyDescent="0.3">
      <c r="A3045" s="4" t="s">
        <v>3567</v>
      </c>
      <c r="B3045">
        <v>2</v>
      </c>
      <c r="C3045">
        <v>2020</v>
      </c>
      <c r="D3045" t="s">
        <v>432</v>
      </c>
      <c r="E3045">
        <v>2</v>
      </c>
      <c r="F3045" t="s">
        <v>22950</v>
      </c>
      <c r="G3045" t="s">
        <v>22951</v>
      </c>
      <c r="H3045" s="4" t="s">
        <v>22952</v>
      </c>
      <c r="I3045" t="s">
        <v>71</v>
      </c>
      <c r="J3045" t="s">
        <v>10782</v>
      </c>
      <c r="K3045" t="s">
        <v>22953</v>
      </c>
    </row>
    <row r="3046" spans="1:11" ht="158.4" x14ac:dyDescent="0.3">
      <c r="A3046" s="4" t="s">
        <v>6150</v>
      </c>
      <c r="B3046">
        <v>3</v>
      </c>
      <c r="C3046">
        <v>2020</v>
      </c>
      <c r="D3046" t="s">
        <v>830</v>
      </c>
      <c r="E3046">
        <v>9</v>
      </c>
      <c r="F3046" t="s">
        <v>22954</v>
      </c>
      <c r="G3046" t="s">
        <v>22955</v>
      </c>
      <c r="H3046" s="4" t="s">
        <v>22956</v>
      </c>
      <c r="I3046" t="s">
        <v>71</v>
      </c>
      <c r="J3046" t="s">
        <v>10782</v>
      </c>
      <c r="K3046" t="s">
        <v>22957</v>
      </c>
    </row>
    <row r="3047" spans="1:11" ht="144" x14ac:dyDescent="0.3">
      <c r="A3047" s="4" t="s">
        <v>6151</v>
      </c>
      <c r="B3047">
        <v>3</v>
      </c>
      <c r="C3047">
        <v>2020</v>
      </c>
      <c r="D3047" t="s">
        <v>329</v>
      </c>
      <c r="E3047">
        <v>11</v>
      </c>
      <c r="F3047" t="s">
        <v>22958</v>
      </c>
      <c r="G3047" t="s">
        <v>22959</v>
      </c>
      <c r="H3047" s="4" t="s">
        <v>22960</v>
      </c>
      <c r="I3047" t="s">
        <v>71</v>
      </c>
      <c r="J3047" t="s">
        <v>10782</v>
      </c>
      <c r="K3047" t="s">
        <v>22961</v>
      </c>
    </row>
    <row r="3048" spans="1:11" ht="172.8" x14ac:dyDescent="0.3">
      <c r="A3048" s="4" t="s">
        <v>6152</v>
      </c>
      <c r="B3048">
        <v>3</v>
      </c>
      <c r="C3048">
        <v>2020</v>
      </c>
      <c r="D3048" t="s">
        <v>11276</v>
      </c>
      <c r="E3048">
        <v>3</v>
      </c>
      <c r="F3048" t="s">
        <v>22962</v>
      </c>
      <c r="G3048" t="s">
        <v>22963</v>
      </c>
      <c r="H3048" s="4" t="s">
        <v>22964</v>
      </c>
      <c r="I3048" t="s">
        <v>71</v>
      </c>
      <c r="J3048" t="s">
        <v>10782</v>
      </c>
      <c r="K3048" t="s">
        <v>22965</v>
      </c>
    </row>
    <row r="3049" spans="1:11" ht="172.8" x14ac:dyDescent="0.3">
      <c r="A3049" s="4" t="s">
        <v>6153</v>
      </c>
      <c r="B3049">
        <v>3</v>
      </c>
      <c r="C3049">
        <v>2020</v>
      </c>
      <c r="D3049" t="s">
        <v>10825</v>
      </c>
      <c r="E3049">
        <v>22</v>
      </c>
      <c r="F3049" t="s">
        <v>22966</v>
      </c>
      <c r="G3049" t="s">
        <v>22967</v>
      </c>
      <c r="H3049" s="4" t="s">
        <v>22968</v>
      </c>
      <c r="I3049" t="s">
        <v>71</v>
      </c>
      <c r="J3049" t="s">
        <v>10782</v>
      </c>
      <c r="K3049" t="s">
        <v>22969</v>
      </c>
    </row>
    <row r="3050" spans="1:11" ht="216" x14ac:dyDescent="0.3">
      <c r="A3050" s="4" t="s">
        <v>6154</v>
      </c>
      <c r="B3050">
        <v>3</v>
      </c>
      <c r="C3050">
        <v>2020</v>
      </c>
      <c r="D3050" t="s">
        <v>724</v>
      </c>
      <c r="E3050">
        <v>8</v>
      </c>
      <c r="F3050" t="s">
        <v>22970</v>
      </c>
      <c r="G3050" t="s">
        <v>22971</v>
      </c>
      <c r="H3050" s="4" t="s">
        <v>22972</v>
      </c>
      <c r="I3050" t="s">
        <v>71</v>
      </c>
      <c r="J3050" t="s">
        <v>10782</v>
      </c>
      <c r="K3050" t="s">
        <v>22973</v>
      </c>
    </row>
    <row r="3051" spans="1:11" ht="273.60000000000002" x14ac:dyDescent="0.3">
      <c r="A3051" s="4" t="s">
        <v>6155</v>
      </c>
      <c r="B3051">
        <v>3</v>
      </c>
      <c r="C3051">
        <v>2020</v>
      </c>
      <c r="D3051" t="s">
        <v>1912</v>
      </c>
      <c r="E3051">
        <v>2</v>
      </c>
      <c r="F3051" t="s">
        <v>22974</v>
      </c>
      <c r="G3051" t="s">
        <v>22975</v>
      </c>
      <c r="H3051" s="4" t="s">
        <v>22976</v>
      </c>
      <c r="I3051" t="s">
        <v>71</v>
      </c>
      <c r="J3051" t="s">
        <v>10782</v>
      </c>
      <c r="K3051" t="s">
        <v>22977</v>
      </c>
    </row>
    <row r="3052" spans="1:11" ht="43.2" x14ac:dyDescent="0.3">
      <c r="A3052" s="4" t="s">
        <v>6156</v>
      </c>
      <c r="B3052">
        <v>3</v>
      </c>
      <c r="C3052">
        <v>2020</v>
      </c>
      <c r="D3052" t="s">
        <v>811</v>
      </c>
      <c r="E3052">
        <v>12</v>
      </c>
      <c r="F3052" t="s">
        <v>22978</v>
      </c>
      <c r="G3052" t="s">
        <v>22979</v>
      </c>
      <c r="H3052" s="4" t="s">
        <v>22980</v>
      </c>
    </row>
    <row r="3053" spans="1:11" ht="230.4" x14ac:dyDescent="0.3">
      <c r="A3053" s="4" t="s">
        <v>6157</v>
      </c>
      <c r="B3053">
        <v>3</v>
      </c>
      <c r="C3053">
        <v>2020</v>
      </c>
      <c r="D3053" t="s">
        <v>2819</v>
      </c>
      <c r="E3053">
        <v>16</v>
      </c>
      <c r="F3053" t="s">
        <v>22981</v>
      </c>
      <c r="G3053" t="s">
        <v>22982</v>
      </c>
      <c r="H3053" s="4" t="s">
        <v>22983</v>
      </c>
      <c r="I3053" t="s">
        <v>71</v>
      </c>
      <c r="J3053" t="s">
        <v>10782</v>
      </c>
      <c r="K3053" t="s">
        <v>22984</v>
      </c>
    </row>
    <row r="3054" spans="1:11" ht="216" x14ac:dyDescent="0.3">
      <c r="A3054" s="4" t="s">
        <v>6158</v>
      </c>
      <c r="B3054">
        <v>3</v>
      </c>
      <c r="C3054">
        <v>2020</v>
      </c>
      <c r="D3054" t="s">
        <v>318</v>
      </c>
      <c r="E3054">
        <v>20</v>
      </c>
      <c r="F3054" t="s">
        <v>22985</v>
      </c>
      <c r="G3054" t="s">
        <v>22986</v>
      </c>
      <c r="H3054" s="4" t="s">
        <v>22987</v>
      </c>
      <c r="I3054" t="s">
        <v>71</v>
      </c>
      <c r="J3054" t="s">
        <v>10782</v>
      </c>
      <c r="K3054" t="s">
        <v>22988</v>
      </c>
    </row>
    <row r="3055" spans="1:11" ht="216" x14ac:dyDescent="0.3">
      <c r="A3055" s="4" t="s">
        <v>1447</v>
      </c>
      <c r="B3055">
        <v>1</v>
      </c>
      <c r="C3055">
        <v>2020</v>
      </c>
      <c r="D3055" t="s">
        <v>217</v>
      </c>
      <c r="E3055">
        <v>14</v>
      </c>
      <c r="F3055" t="s">
        <v>22989</v>
      </c>
      <c r="G3055" t="s">
        <v>22990</v>
      </c>
      <c r="H3055" s="4" t="s">
        <v>22991</v>
      </c>
      <c r="I3055" t="s">
        <v>71</v>
      </c>
      <c r="J3055" t="s">
        <v>10782</v>
      </c>
      <c r="K3055" t="s">
        <v>22992</v>
      </c>
    </row>
    <row r="3056" spans="1:11" ht="28.8" x14ac:dyDescent="0.3">
      <c r="A3056" s="4" t="s">
        <v>6159</v>
      </c>
      <c r="B3056">
        <v>3</v>
      </c>
      <c r="C3056">
        <v>2020</v>
      </c>
      <c r="D3056" t="s">
        <v>1175</v>
      </c>
      <c r="E3056">
        <v>8</v>
      </c>
      <c r="F3056" t="s">
        <v>22993</v>
      </c>
      <c r="G3056" t="s">
        <v>22994</v>
      </c>
      <c r="H3056" s="4" t="s">
        <v>22995</v>
      </c>
    </row>
    <row r="3057" spans="1:11" ht="187.2" x14ac:dyDescent="0.3">
      <c r="A3057" s="4" t="s">
        <v>6160</v>
      </c>
      <c r="B3057">
        <v>3</v>
      </c>
      <c r="C3057">
        <v>2020</v>
      </c>
      <c r="D3057" t="s">
        <v>202</v>
      </c>
      <c r="E3057">
        <v>20</v>
      </c>
      <c r="F3057" t="s">
        <v>22996</v>
      </c>
      <c r="G3057" t="s">
        <v>22997</v>
      </c>
      <c r="H3057" s="4" t="s">
        <v>22998</v>
      </c>
      <c r="I3057" t="s">
        <v>71</v>
      </c>
      <c r="J3057" t="s">
        <v>10782</v>
      </c>
      <c r="K3057" t="s">
        <v>22999</v>
      </c>
    </row>
    <row r="3058" spans="1:11" ht="172.8" x14ac:dyDescent="0.3">
      <c r="A3058" s="4" t="s">
        <v>6161</v>
      </c>
      <c r="B3058">
        <v>3</v>
      </c>
      <c r="C3058">
        <v>2020</v>
      </c>
      <c r="D3058" t="s">
        <v>13170</v>
      </c>
      <c r="E3058">
        <v>11</v>
      </c>
      <c r="F3058" t="s">
        <v>23000</v>
      </c>
      <c r="G3058" t="s">
        <v>23001</v>
      </c>
      <c r="H3058" s="4" t="s">
        <v>23002</v>
      </c>
      <c r="I3058" t="s">
        <v>71</v>
      </c>
      <c r="J3058" t="s">
        <v>10782</v>
      </c>
      <c r="K3058" t="s">
        <v>23003</v>
      </c>
    </row>
    <row r="3059" spans="1:11" ht="129.6" x14ac:dyDescent="0.3">
      <c r="A3059" s="4" t="s">
        <v>3348</v>
      </c>
      <c r="B3059">
        <v>1</v>
      </c>
      <c r="C3059">
        <v>2020</v>
      </c>
      <c r="D3059" t="s">
        <v>1175</v>
      </c>
      <c r="E3059">
        <v>12</v>
      </c>
      <c r="F3059" t="s">
        <v>23004</v>
      </c>
      <c r="G3059" t="s">
        <v>23005</v>
      </c>
      <c r="H3059" s="4" t="s">
        <v>23006</v>
      </c>
      <c r="I3059" t="s">
        <v>71</v>
      </c>
      <c r="J3059" t="s">
        <v>10782</v>
      </c>
      <c r="K3059" t="s">
        <v>23007</v>
      </c>
    </row>
    <row r="3060" spans="1:11" ht="187.2" x14ac:dyDescent="0.3">
      <c r="A3060" s="4" t="s">
        <v>1448</v>
      </c>
      <c r="B3060">
        <v>1</v>
      </c>
      <c r="C3060">
        <v>2020</v>
      </c>
      <c r="D3060" t="s">
        <v>329</v>
      </c>
      <c r="E3060">
        <v>22</v>
      </c>
      <c r="F3060" t="s">
        <v>23008</v>
      </c>
      <c r="G3060" t="s">
        <v>23009</v>
      </c>
      <c r="H3060" s="4" t="s">
        <v>23010</v>
      </c>
      <c r="I3060" t="s">
        <v>71</v>
      </c>
      <c r="J3060" t="s">
        <v>10782</v>
      </c>
      <c r="K3060" t="s">
        <v>23011</v>
      </c>
    </row>
    <row r="3061" spans="1:11" ht="86.4" x14ac:dyDescent="0.3">
      <c r="A3061" s="4" t="s">
        <v>6162</v>
      </c>
      <c r="B3061">
        <v>3</v>
      </c>
      <c r="C3061">
        <v>2020</v>
      </c>
      <c r="D3061" t="s">
        <v>817</v>
      </c>
      <c r="E3061">
        <v>11</v>
      </c>
      <c r="F3061" t="s">
        <v>23012</v>
      </c>
      <c r="G3061" t="s">
        <v>23013</v>
      </c>
      <c r="H3061" s="4" t="s">
        <v>23014</v>
      </c>
    </row>
    <row r="3062" spans="1:11" ht="158.4" x14ac:dyDescent="0.3">
      <c r="A3062" s="4" t="s">
        <v>2771</v>
      </c>
      <c r="B3062">
        <v>2</v>
      </c>
      <c r="C3062">
        <v>2020</v>
      </c>
      <c r="D3062" t="s">
        <v>1525</v>
      </c>
      <c r="E3062">
        <v>29</v>
      </c>
      <c r="F3062" t="s">
        <v>23015</v>
      </c>
      <c r="G3062" t="s">
        <v>23016</v>
      </c>
      <c r="H3062" s="4" t="s">
        <v>23017</v>
      </c>
    </row>
    <row r="3063" spans="1:11" ht="273.60000000000002" x14ac:dyDescent="0.3">
      <c r="A3063" s="4" t="s">
        <v>6163</v>
      </c>
      <c r="B3063">
        <v>3</v>
      </c>
      <c r="C3063">
        <v>2020</v>
      </c>
      <c r="D3063" t="s">
        <v>637</v>
      </c>
      <c r="E3063">
        <v>28</v>
      </c>
      <c r="F3063" t="s">
        <v>23018</v>
      </c>
      <c r="G3063" t="s">
        <v>23019</v>
      </c>
      <c r="H3063" s="4" t="s">
        <v>23020</v>
      </c>
      <c r="I3063" t="s">
        <v>71</v>
      </c>
      <c r="J3063" t="s">
        <v>10782</v>
      </c>
      <c r="K3063" t="s">
        <v>23021</v>
      </c>
    </row>
    <row r="3064" spans="1:11" ht="129.6" x14ac:dyDescent="0.3">
      <c r="A3064" s="4" t="s">
        <v>6164</v>
      </c>
      <c r="B3064">
        <v>3</v>
      </c>
      <c r="C3064">
        <v>2020</v>
      </c>
      <c r="D3064" t="s">
        <v>23022</v>
      </c>
      <c r="E3064">
        <v>10</v>
      </c>
      <c r="F3064" t="s">
        <v>23023</v>
      </c>
      <c r="G3064" t="s">
        <v>23024</v>
      </c>
      <c r="H3064" s="4" t="s">
        <v>23025</v>
      </c>
      <c r="I3064" t="s">
        <v>71</v>
      </c>
      <c r="J3064" t="s">
        <v>10782</v>
      </c>
      <c r="K3064" t="s">
        <v>23026</v>
      </c>
    </row>
    <row r="3065" spans="1:11" ht="201.6" x14ac:dyDescent="0.3">
      <c r="A3065" s="4" t="s">
        <v>6165</v>
      </c>
      <c r="B3065">
        <v>3</v>
      </c>
      <c r="C3065">
        <v>2020</v>
      </c>
      <c r="D3065" t="s">
        <v>1570</v>
      </c>
      <c r="E3065">
        <v>13</v>
      </c>
      <c r="F3065" t="s">
        <v>23027</v>
      </c>
      <c r="G3065" t="s">
        <v>23028</v>
      </c>
      <c r="H3065" s="4" t="s">
        <v>23029</v>
      </c>
      <c r="I3065" t="s">
        <v>71</v>
      </c>
      <c r="J3065" t="s">
        <v>10782</v>
      </c>
      <c r="K3065" t="s">
        <v>23030</v>
      </c>
    </row>
    <row r="3066" spans="1:11" ht="100.8" x14ac:dyDescent="0.3">
      <c r="A3066" s="4" t="s">
        <v>6166</v>
      </c>
      <c r="B3066">
        <v>3</v>
      </c>
      <c r="C3066">
        <v>2020</v>
      </c>
      <c r="D3066" t="s">
        <v>23031</v>
      </c>
      <c r="E3066">
        <v>5</v>
      </c>
      <c r="F3066" t="s">
        <v>23032</v>
      </c>
      <c r="G3066" t="s">
        <v>23033</v>
      </c>
      <c r="H3066" s="4" t="s">
        <v>23034</v>
      </c>
      <c r="I3066" t="s">
        <v>71</v>
      </c>
      <c r="J3066" t="s">
        <v>10782</v>
      </c>
      <c r="K3066" t="s">
        <v>23035</v>
      </c>
    </row>
    <row r="3067" spans="1:11" ht="230.4" x14ac:dyDescent="0.3">
      <c r="A3067" s="4" t="s">
        <v>6167</v>
      </c>
      <c r="B3067">
        <v>3</v>
      </c>
      <c r="C3067">
        <v>2020</v>
      </c>
      <c r="D3067" t="s">
        <v>637</v>
      </c>
      <c r="E3067">
        <v>58</v>
      </c>
      <c r="F3067" t="s">
        <v>23036</v>
      </c>
      <c r="G3067" t="s">
        <v>23037</v>
      </c>
      <c r="H3067" s="4" t="s">
        <v>23038</v>
      </c>
      <c r="I3067" t="s">
        <v>71</v>
      </c>
      <c r="J3067" t="s">
        <v>10782</v>
      </c>
      <c r="K3067" t="s">
        <v>23039</v>
      </c>
    </row>
    <row r="3068" spans="1:11" ht="172.8" x14ac:dyDescent="0.3">
      <c r="A3068" s="4" t="s">
        <v>6168</v>
      </c>
      <c r="B3068">
        <v>3</v>
      </c>
      <c r="C3068">
        <v>2020</v>
      </c>
      <c r="D3068" t="s">
        <v>724</v>
      </c>
      <c r="E3068">
        <v>11</v>
      </c>
      <c r="F3068" t="s">
        <v>23040</v>
      </c>
      <c r="G3068" t="s">
        <v>23041</v>
      </c>
      <c r="H3068" s="4" t="s">
        <v>23042</v>
      </c>
      <c r="I3068" t="s">
        <v>71</v>
      </c>
      <c r="J3068" t="s">
        <v>10782</v>
      </c>
      <c r="K3068" t="s">
        <v>23043</v>
      </c>
    </row>
    <row r="3069" spans="1:11" ht="288" x14ac:dyDescent="0.3">
      <c r="A3069" s="4" t="s">
        <v>6169</v>
      </c>
      <c r="B3069">
        <v>3</v>
      </c>
      <c r="C3069">
        <v>2020</v>
      </c>
      <c r="D3069" t="s">
        <v>14909</v>
      </c>
      <c r="E3069">
        <v>11</v>
      </c>
      <c r="F3069" t="s">
        <v>23044</v>
      </c>
      <c r="G3069" t="s">
        <v>23045</v>
      </c>
      <c r="H3069" s="4" t="s">
        <v>23046</v>
      </c>
      <c r="I3069" t="s">
        <v>10823</v>
      </c>
      <c r="J3069" t="s">
        <v>10782</v>
      </c>
      <c r="K3069" t="s">
        <v>23047</v>
      </c>
    </row>
    <row r="3070" spans="1:11" ht="158.4" x14ac:dyDescent="0.3">
      <c r="A3070" s="4" t="s">
        <v>6170</v>
      </c>
      <c r="B3070">
        <v>3</v>
      </c>
      <c r="C3070">
        <v>2020</v>
      </c>
      <c r="D3070" t="s">
        <v>282</v>
      </c>
      <c r="E3070">
        <v>6</v>
      </c>
      <c r="F3070" t="s">
        <v>23048</v>
      </c>
      <c r="G3070" t="s">
        <v>23049</v>
      </c>
      <c r="H3070" s="4" t="s">
        <v>23050</v>
      </c>
      <c r="I3070" t="s">
        <v>71</v>
      </c>
      <c r="J3070" t="s">
        <v>10782</v>
      </c>
      <c r="K3070" t="s">
        <v>23051</v>
      </c>
    </row>
    <row r="3071" spans="1:11" ht="187.2" x14ac:dyDescent="0.3">
      <c r="A3071" s="4" t="s">
        <v>6171</v>
      </c>
      <c r="B3071">
        <v>3</v>
      </c>
      <c r="C3071">
        <v>2020</v>
      </c>
      <c r="D3071" t="s">
        <v>637</v>
      </c>
      <c r="E3071">
        <v>10</v>
      </c>
      <c r="F3071" t="s">
        <v>23052</v>
      </c>
      <c r="G3071" t="s">
        <v>23053</v>
      </c>
      <c r="H3071" s="4" t="s">
        <v>23054</v>
      </c>
      <c r="I3071" t="s">
        <v>71</v>
      </c>
      <c r="J3071" t="s">
        <v>10782</v>
      </c>
      <c r="K3071" t="s">
        <v>23055</v>
      </c>
    </row>
    <row r="3072" spans="1:11" ht="187.2" x14ac:dyDescent="0.3">
      <c r="A3072" s="4" t="s">
        <v>6172</v>
      </c>
      <c r="B3072">
        <v>3</v>
      </c>
      <c r="C3072">
        <v>2020</v>
      </c>
      <c r="D3072" t="s">
        <v>1770</v>
      </c>
      <c r="E3072">
        <v>20</v>
      </c>
      <c r="F3072" t="s">
        <v>23056</v>
      </c>
      <c r="G3072" t="s">
        <v>23057</v>
      </c>
      <c r="H3072" s="4" t="s">
        <v>23058</v>
      </c>
      <c r="I3072" t="s">
        <v>71</v>
      </c>
      <c r="J3072" t="s">
        <v>10782</v>
      </c>
      <c r="K3072" t="s">
        <v>23059</v>
      </c>
    </row>
    <row r="3073" spans="1:11" ht="259.2" x14ac:dyDescent="0.3">
      <c r="A3073" s="4" t="s">
        <v>6173</v>
      </c>
      <c r="B3073">
        <v>3</v>
      </c>
      <c r="C3073">
        <v>2020</v>
      </c>
      <c r="D3073" t="s">
        <v>1912</v>
      </c>
      <c r="E3073">
        <v>16</v>
      </c>
      <c r="F3073" t="s">
        <v>23060</v>
      </c>
      <c r="G3073" t="s">
        <v>23061</v>
      </c>
      <c r="H3073" s="4" t="s">
        <v>23062</v>
      </c>
      <c r="I3073" t="s">
        <v>71</v>
      </c>
      <c r="J3073" t="s">
        <v>10782</v>
      </c>
      <c r="K3073" t="s">
        <v>23063</v>
      </c>
    </row>
    <row r="3074" spans="1:11" ht="86.4" x14ac:dyDescent="0.3">
      <c r="A3074" s="4" t="s">
        <v>6174</v>
      </c>
      <c r="B3074">
        <v>3</v>
      </c>
      <c r="C3074">
        <v>2020</v>
      </c>
      <c r="D3074" t="s">
        <v>1770</v>
      </c>
      <c r="E3074">
        <v>50</v>
      </c>
      <c r="F3074" t="s">
        <v>23064</v>
      </c>
      <c r="G3074" t="s">
        <v>23065</v>
      </c>
      <c r="H3074" s="4" t="s">
        <v>23066</v>
      </c>
    </row>
    <row r="3075" spans="1:11" ht="201.6" x14ac:dyDescent="0.3">
      <c r="A3075" s="4" t="s">
        <v>6175</v>
      </c>
      <c r="B3075">
        <v>3</v>
      </c>
      <c r="C3075">
        <v>2020</v>
      </c>
      <c r="D3075" t="s">
        <v>11235</v>
      </c>
      <c r="E3075">
        <v>2</v>
      </c>
      <c r="F3075" t="s">
        <v>23067</v>
      </c>
      <c r="G3075" t="s">
        <v>23068</v>
      </c>
      <c r="H3075" s="4" t="s">
        <v>23069</v>
      </c>
      <c r="I3075" t="s">
        <v>71</v>
      </c>
      <c r="J3075" t="s">
        <v>10782</v>
      </c>
      <c r="K3075" t="s">
        <v>23070</v>
      </c>
    </row>
    <row r="3076" spans="1:11" ht="288" x14ac:dyDescent="0.3">
      <c r="A3076" s="4" t="s">
        <v>6176</v>
      </c>
      <c r="B3076">
        <v>3</v>
      </c>
      <c r="C3076">
        <v>2020</v>
      </c>
      <c r="D3076" t="s">
        <v>23071</v>
      </c>
      <c r="E3076">
        <v>24</v>
      </c>
      <c r="F3076" t="s">
        <v>23072</v>
      </c>
      <c r="G3076" t="s">
        <v>23073</v>
      </c>
      <c r="H3076" s="4" t="s">
        <v>23074</v>
      </c>
      <c r="I3076" t="s">
        <v>71</v>
      </c>
      <c r="J3076" t="s">
        <v>10782</v>
      </c>
      <c r="K3076" t="s">
        <v>23075</v>
      </c>
    </row>
    <row r="3077" spans="1:11" ht="201.6" x14ac:dyDescent="0.3">
      <c r="A3077" s="4" t="s">
        <v>1449</v>
      </c>
      <c r="B3077">
        <v>1</v>
      </c>
      <c r="C3077">
        <v>2020</v>
      </c>
      <c r="D3077" t="s">
        <v>1503</v>
      </c>
      <c r="E3077">
        <v>6</v>
      </c>
      <c r="F3077" t="s">
        <v>23076</v>
      </c>
      <c r="G3077" t="s">
        <v>23077</v>
      </c>
      <c r="H3077" s="4" t="s">
        <v>23078</v>
      </c>
      <c r="I3077" t="s">
        <v>71</v>
      </c>
      <c r="J3077" t="s">
        <v>10782</v>
      </c>
      <c r="K3077" t="s">
        <v>23079</v>
      </c>
    </row>
    <row r="3078" spans="1:11" ht="187.2" x14ac:dyDescent="0.3">
      <c r="A3078" s="4" t="s">
        <v>6177</v>
      </c>
      <c r="B3078">
        <v>3</v>
      </c>
      <c r="C3078">
        <v>2020</v>
      </c>
      <c r="D3078" t="s">
        <v>147</v>
      </c>
      <c r="E3078">
        <v>43</v>
      </c>
      <c r="F3078" t="s">
        <v>23080</v>
      </c>
      <c r="G3078" t="s">
        <v>23081</v>
      </c>
      <c r="H3078" s="4" t="s">
        <v>23082</v>
      </c>
      <c r="I3078" t="s">
        <v>71</v>
      </c>
      <c r="J3078" t="s">
        <v>10782</v>
      </c>
      <c r="K3078" t="s">
        <v>23083</v>
      </c>
    </row>
    <row r="3079" spans="1:11" ht="172.8" x14ac:dyDescent="0.3">
      <c r="A3079" s="4" t="s">
        <v>6178</v>
      </c>
      <c r="B3079">
        <v>3</v>
      </c>
      <c r="C3079">
        <v>2020</v>
      </c>
      <c r="D3079" t="s">
        <v>1175</v>
      </c>
      <c r="E3079">
        <v>29</v>
      </c>
      <c r="F3079" t="s">
        <v>23084</v>
      </c>
      <c r="G3079" t="s">
        <v>23085</v>
      </c>
      <c r="H3079" s="4" t="s">
        <v>23086</v>
      </c>
      <c r="I3079" t="s">
        <v>71</v>
      </c>
      <c r="J3079" t="s">
        <v>10782</v>
      </c>
      <c r="K3079" t="s">
        <v>23087</v>
      </c>
    </row>
    <row r="3080" spans="1:11" ht="158.4" x14ac:dyDescent="0.3">
      <c r="A3080" s="4" t="s">
        <v>6179</v>
      </c>
      <c r="B3080">
        <v>3</v>
      </c>
      <c r="C3080">
        <v>2020</v>
      </c>
      <c r="D3080" t="s">
        <v>147</v>
      </c>
      <c r="E3080">
        <v>18</v>
      </c>
      <c r="F3080" t="s">
        <v>23088</v>
      </c>
      <c r="G3080" t="s">
        <v>23089</v>
      </c>
      <c r="H3080" s="4" t="s">
        <v>23090</v>
      </c>
    </row>
    <row r="3081" spans="1:11" ht="129.6" x14ac:dyDescent="0.3">
      <c r="A3081" s="4" t="s">
        <v>6180</v>
      </c>
      <c r="B3081">
        <v>3</v>
      </c>
      <c r="C3081">
        <v>2020</v>
      </c>
      <c r="D3081" t="s">
        <v>1175</v>
      </c>
      <c r="E3081">
        <v>9</v>
      </c>
      <c r="F3081" t="s">
        <v>23091</v>
      </c>
      <c r="G3081" t="s">
        <v>23092</v>
      </c>
      <c r="H3081" s="4" t="s">
        <v>23093</v>
      </c>
      <c r="I3081" t="s">
        <v>71</v>
      </c>
      <c r="J3081" t="s">
        <v>10782</v>
      </c>
      <c r="K3081" t="s">
        <v>23094</v>
      </c>
    </row>
    <row r="3082" spans="1:11" ht="172.8" x14ac:dyDescent="0.3">
      <c r="A3082" s="4" t="s">
        <v>6181</v>
      </c>
      <c r="B3082">
        <v>3</v>
      </c>
      <c r="C3082">
        <v>2020</v>
      </c>
      <c r="D3082" t="s">
        <v>1746</v>
      </c>
      <c r="E3082">
        <v>9</v>
      </c>
      <c r="F3082" t="s">
        <v>23095</v>
      </c>
      <c r="G3082" t="s">
        <v>23096</v>
      </c>
      <c r="H3082" s="4" t="s">
        <v>23097</v>
      </c>
      <c r="I3082" t="s">
        <v>71</v>
      </c>
      <c r="J3082" t="s">
        <v>10782</v>
      </c>
      <c r="K3082" t="s">
        <v>23098</v>
      </c>
    </row>
    <row r="3083" spans="1:11" ht="115.2" x14ac:dyDescent="0.3">
      <c r="A3083" s="4" t="s">
        <v>6182</v>
      </c>
      <c r="B3083">
        <v>3</v>
      </c>
      <c r="C3083">
        <v>2020</v>
      </c>
      <c r="D3083" t="s">
        <v>590</v>
      </c>
      <c r="E3083">
        <v>3</v>
      </c>
      <c r="F3083" t="s">
        <v>23099</v>
      </c>
      <c r="G3083" t="s">
        <v>23100</v>
      </c>
      <c r="H3083" s="4" t="s">
        <v>23101</v>
      </c>
      <c r="I3083" t="s">
        <v>71</v>
      </c>
      <c r="J3083" t="s">
        <v>10782</v>
      </c>
      <c r="K3083" t="s">
        <v>23102</v>
      </c>
    </row>
    <row r="3084" spans="1:11" ht="115.2" x14ac:dyDescent="0.3">
      <c r="A3084" s="4" t="s">
        <v>6183</v>
      </c>
      <c r="B3084">
        <v>3</v>
      </c>
      <c r="C3084">
        <v>2020</v>
      </c>
      <c r="D3084" t="s">
        <v>2853</v>
      </c>
      <c r="E3084">
        <v>22</v>
      </c>
      <c r="F3084" t="s">
        <v>23103</v>
      </c>
      <c r="G3084" t="s">
        <v>23104</v>
      </c>
      <c r="H3084" s="4" t="s">
        <v>23105</v>
      </c>
    </row>
    <row r="3085" spans="1:11" ht="230.4" x14ac:dyDescent="0.3">
      <c r="A3085" s="4" t="s">
        <v>6184</v>
      </c>
      <c r="B3085">
        <v>3</v>
      </c>
      <c r="C3085">
        <v>2020</v>
      </c>
      <c r="D3085" t="s">
        <v>234</v>
      </c>
      <c r="E3085">
        <v>12</v>
      </c>
      <c r="F3085" t="s">
        <v>23106</v>
      </c>
      <c r="G3085" t="s">
        <v>23107</v>
      </c>
      <c r="H3085" s="4" t="s">
        <v>23108</v>
      </c>
      <c r="I3085" t="s">
        <v>71</v>
      </c>
      <c r="J3085" t="s">
        <v>10782</v>
      </c>
      <c r="K3085" t="s">
        <v>23109</v>
      </c>
    </row>
    <row r="3086" spans="1:11" ht="216" x14ac:dyDescent="0.3">
      <c r="A3086" s="4" t="s">
        <v>6185</v>
      </c>
      <c r="B3086">
        <v>3</v>
      </c>
      <c r="C3086">
        <v>2020</v>
      </c>
      <c r="D3086" t="s">
        <v>11041</v>
      </c>
      <c r="E3086">
        <v>27</v>
      </c>
      <c r="F3086" t="s">
        <v>23110</v>
      </c>
      <c r="G3086" t="s">
        <v>23111</v>
      </c>
      <c r="H3086" s="4" t="s">
        <v>23112</v>
      </c>
      <c r="I3086" t="s">
        <v>71</v>
      </c>
      <c r="J3086" t="s">
        <v>10782</v>
      </c>
      <c r="K3086" t="s">
        <v>23113</v>
      </c>
    </row>
    <row r="3087" spans="1:11" ht="115.2" x14ac:dyDescent="0.3">
      <c r="A3087" s="4" t="s">
        <v>6186</v>
      </c>
      <c r="B3087">
        <v>3</v>
      </c>
      <c r="C3087">
        <v>2020</v>
      </c>
      <c r="D3087" t="s">
        <v>1197</v>
      </c>
      <c r="E3087">
        <v>10</v>
      </c>
      <c r="F3087" t="s">
        <v>23114</v>
      </c>
      <c r="G3087" t="s">
        <v>23115</v>
      </c>
      <c r="H3087" s="4" t="s">
        <v>23116</v>
      </c>
      <c r="I3087" t="s">
        <v>10823</v>
      </c>
      <c r="J3087" t="s">
        <v>10782</v>
      </c>
      <c r="K3087" t="s">
        <v>23117</v>
      </c>
    </row>
    <row r="3088" spans="1:11" ht="115.2" x14ac:dyDescent="0.3">
      <c r="A3088" s="4" t="s">
        <v>6187</v>
      </c>
      <c r="B3088">
        <v>3</v>
      </c>
      <c r="C3088">
        <v>2020</v>
      </c>
      <c r="D3088" t="s">
        <v>679</v>
      </c>
      <c r="E3088">
        <v>10</v>
      </c>
      <c r="F3088" t="s">
        <v>23118</v>
      </c>
      <c r="G3088" t="s">
        <v>23119</v>
      </c>
      <c r="H3088" s="4" t="s">
        <v>23120</v>
      </c>
      <c r="I3088" t="s">
        <v>71</v>
      </c>
      <c r="J3088" t="s">
        <v>10782</v>
      </c>
      <c r="K3088" t="s">
        <v>23121</v>
      </c>
    </row>
    <row r="3089" spans="1:11" ht="230.4" x14ac:dyDescent="0.3">
      <c r="A3089" s="4" t="s">
        <v>6188</v>
      </c>
      <c r="B3089">
        <v>3</v>
      </c>
      <c r="C3089">
        <v>2020</v>
      </c>
      <c r="D3089" t="s">
        <v>217</v>
      </c>
      <c r="E3089">
        <v>24</v>
      </c>
      <c r="F3089" t="s">
        <v>23122</v>
      </c>
      <c r="G3089" t="s">
        <v>23123</v>
      </c>
      <c r="H3089" s="4" t="s">
        <v>23124</v>
      </c>
      <c r="I3089" t="s">
        <v>71</v>
      </c>
      <c r="J3089" t="s">
        <v>10782</v>
      </c>
      <c r="K3089" t="s">
        <v>23125</v>
      </c>
    </row>
    <row r="3090" spans="1:11" ht="201.6" x14ac:dyDescent="0.3">
      <c r="A3090" s="4" t="s">
        <v>6189</v>
      </c>
      <c r="B3090">
        <v>3</v>
      </c>
      <c r="C3090">
        <v>2020</v>
      </c>
      <c r="D3090" t="s">
        <v>318</v>
      </c>
      <c r="E3090">
        <v>75</v>
      </c>
      <c r="F3090" t="s">
        <v>23126</v>
      </c>
      <c r="G3090" t="s">
        <v>23127</v>
      </c>
      <c r="H3090" s="4" t="s">
        <v>23128</v>
      </c>
      <c r="I3090" t="s">
        <v>71</v>
      </c>
      <c r="J3090" t="s">
        <v>10782</v>
      </c>
      <c r="K3090" t="s">
        <v>23129</v>
      </c>
    </row>
    <row r="3091" spans="1:11" ht="201.6" x14ac:dyDescent="0.3">
      <c r="A3091" s="4" t="s">
        <v>6190</v>
      </c>
      <c r="B3091">
        <v>3</v>
      </c>
      <c r="C3091">
        <v>2020</v>
      </c>
      <c r="D3091" t="s">
        <v>2853</v>
      </c>
      <c r="E3091">
        <v>43</v>
      </c>
      <c r="F3091" t="s">
        <v>23130</v>
      </c>
      <c r="G3091" t="s">
        <v>23131</v>
      </c>
      <c r="H3091" s="4" t="s">
        <v>23132</v>
      </c>
      <c r="I3091" t="s">
        <v>71</v>
      </c>
      <c r="J3091" t="s">
        <v>10782</v>
      </c>
      <c r="K3091" t="s">
        <v>23133</v>
      </c>
    </row>
    <row r="3092" spans="1:11" ht="144" x14ac:dyDescent="0.3">
      <c r="A3092" s="4" t="s">
        <v>6191</v>
      </c>
      <c r="B3092">
        <v>3</v>
      </c>
      <c r="C3092">
        <v>2020</v>
      </c>
      <c r="D3092" t="s">
        <v>147</v>
      </c>
      <c r="E3092">
        <v>15</v>
      </c>
      <c r="F3092" t="s">
        <v>23134</v>
      </c>
      <c r="G3092" t="s">
        <v>23135</v>
      </c>
      <c r="H3092" s="4" t="s">
        <v>23136</v>
      </c>
      <c r="I3092" t="s">
        <v>71</v>
      </c>
      <c r="J3092" t="s">
        <v>10782</v>
      </c>
      <c r="K3092" t="s">
        <v>23137</v>
      </c>
    </row>
    <row r="3093" spans="1:11" ht="158.4" x14ac:dyDescent="0.3">
      <c r="A3093" s="4" t="s">
        <v>2772</v>
      </c>
      <c r="B3093">
        <v>2</v>
      </c>
      <c r="C3093">
        <v>2020</v>
      </c>
      <c r="D3093" t="s">
        <v>217</v>
      </c>
      <c r="E3093">
        <v>17</v>
      </c>
      <c r="F3093" t="s">
        <v>23138</v>
      </c>
      <c r="G3093" t="s">
        <v>23139</v>
      </c>
      <c r="H3093" s="4" t="s">
        <v>23140</v>
      </c>
      <c r="I3093" t="s">
        <v>71</v>
      </c>
      <c r="J3093" t="s">
        <v>10782</v>
      </c>
      <c r="K3093" t="s">
        <v>23141</v>
      </c>
    </row>
    <row r="3094" spans="1:11" ht="144" x14ac:dyDescent="0.3">
      <c r="A3094" s="4" t="s">
        <v>6192</v>
      </c>
      <c r="B3094">
        <v>3</v>
      </c>
      <c r="C3094">
        <v>2020</v>
      </c>
      <c r="D3094" t="s">
        <v>11310</v>
      </c>
      <c r="E3094">
        <v>2</v>
      </c>
      <c r="F3094" t="s">
        <v>23142</v>
      </c>
      <c r="G3094" t="s">
        <v>23143</v>
      </c>
      <c r="H3094" s="4" t="s">
        <v>23144</v>
      </c>
      <c r="I3094" t="s">
        <v>71</v>
      </c>
      <c r="J3094" t="s">
        <v>10782</v>
      </c>
      <c r="K3094" t="s">
        <v>23145</v>
      </c>
    </row>
    <row r="3095" spans="1:11" ht="172.8" x14ac:dyDescent="0.3">
      <c r="A3095" s="4" t="s">
        <v>6193</v>
      </c>
      <c r="B3095">
        <v>3</v>
      </c>
      <c r="C3095">
        <v>2020</v>
      </c>
      <c r="D3095" t="s">
        <v>23146</v>
      </c>
      <c r="E3095">
        <v>9</v>
      </c>
      <c r="F3095" t="s">
        <v>23147</v>
      </c>
      <c r="G3095" t="s">
        <v>23148</v>
      </c>
      <c r="H3095" s="4" t="s">
        <v>23149</v>
      </c>
      <c r="I3095" t="s">
        <v>71</v>
      </c>
      <c r="J3095" t="s">
        <v>10782</v>
      </c>
      <c r="K3095" t="s">
        <v>23150</v>
      </c>
    </row>
    <row r="3096" spans="1:11" ht="115.2" x14ac:dyDescent="0.3">
      <c r="A3096" s="4" t="s">
        <v>6194</v>
      </c>
      <c r="B3096">
        <v>3</v>
      </c>
      <c r="C3096">
        <v>2020</v>
      </c>
      <c r="D3096" t="s">
        <v>2628</v>
      </c>
      <c r="E3096">
        <v>14</v>
      </c>
      <c r="F3096" t="s">
        <v>23151</v>
      </c>
      <c r="G3096" t="s">
        <v>23152</v>
      </c>
      <c r="H3096" s="4" t="s">
        <v>23153</v>
      </c>
    </row>
    <row r="3097" spans="1:11" ht="244.8" x14ac:dyDescent="0.3">
      <c r="A3097" s="4" t="s">
        <v>6195</v>
      </c>
      <c r="B3097">
        <v>3</v>
      </c>
      <c r="C3097">
        <v>2020</v>
      </c>
      <c r="D3097" t="s">
        <v>11159</v>
      </c>
      <c r="E3097">
        <v>7</v>
      </c>
      <c r="F3097" t="s">
        <v>23154</v>
      </c>
      <c r="G3097" t="s">
        <v>23155</v>
      </c>
      <c r="H3097" s="4" t="s">
        <v>23156</v>
      </c>
      <c r="I3097" t="s">
        <v>71</v>
      </c>
      <c r="J3097" t="s">
        <v>10782</v>
      </c>
      <c r="K3097" t="s">
        <v>23157</v>
      </c>
    </row>
    <row r="3098" spans="1:11" ht="273.60000000000002" x14ac:dyDescent="0.3">
      <c r="A3098" s="4" t="s">
        <v>6196</v>
      </c>
      <c r="B3098">
        <v>3</v>
      </c>
      <c r="C3098">
        <v>2020</v>
      </c>
      <c r="D3098" t="s">
        <v>637</v>
      </c>
      <c r="E3098">
        <v>25</v>
      </c>
      <c r="F3098" t="s">
        <v>23158</v>
      </c>
      <c r="G3098" t="s">
        <v>23159</v>
      </c>
      <c r="H3098" s="4" t="s">
        <v>23160</v>
      </c>
      <c r="I3098" t="s">
        <v>71</v>
      </c>
      <c r="J3098" t="s">
        <v>10782</v>
      </c>
      <c r="K3098" t="s">
        <v>23161</v>
      </c>
    </row>
    <row r="3099" spans="1:11" ht="100.8" x14ac:dyDescent="0.3">
      <c r="A3099" s="4" t="s">
        <v>6197</v>
      </c>
      <c r="B3099">
        <v>3</v>
      </c>
      <c r="C3099">
        <v>2020</v>
      </c>
      <c r="D3099" t="s">
        <v>2416</v>
      </c>
      <c r="E3099">
        <v>15</v>
      </c>
      <c r="F3099" t="s">
        <v>23162</v>
      </c>
      <c r="G3099" t="s">
        <v>23163</v>
      </c>
      <c r="H3099" s="4" t="s">
        <v>23164</v>
      </c>
      <c r="I3099" t="s">
        <v>71</v>
      </c>
      <c r="J3099" t="s">
        <v>10782</v>
      </c>
      <c r="K3099" t="s">
        <v>23165</v>
      </c>
    </row>
    <row r="3100" spans="1:11" ht="230.4" x14ac:dyDescent="0.3">
      <c r="A3100" s="4" t="s">
        <v>6198</v>
      </c>
      <c r="B3100">
        <v>3</v>
      </c>
      <c r="C3100">
        <v>2020</v>
      </c>
      <c r="D3100" t="s">
        <v>318</v>
      </c>
      <c r="E3100">
        <v>191</v>
      </c>
      <c r="F3100" t="s">
        <v>23166</v>
      </c>
      <c r="G3100" t="s">
        <v>23167</v>
      </c>
      <c r="H3100" s="4" t="s">
        <v>23168</v>
      </c>
      <c r="I3100" t="s">
        <v>71</v>
      </c>
      <c r="J3100" t="s">
        <v>10782</v>
      </c>
      <c r="K3100" t="s">
        <v>23169</v>
      </c>
    </row>
    <row r="3101" spans="1:11" ht="216" x14ac:dyDescent="0.3">
      <c r="A3101" s="4" t="s">
        <v>1450</v>
      </c>
      <c r="B3101">
        <v>1</v>
      </c>
      <c r="C3101">
        <v>2020</v>
      </c>
      <c r="D3101" t="s">
        <v>637</v>
      </c>
      <c r="E3101">
        <v>23</v>
      </c>
      <c r="F3101" t="s">
        <v>23170</v>
      </c>
      <c r="G3101" t="s">
        <v>23171</v>
      </c>
      <c r="H3101" s="4" t="s">
        <v>23172</v>
      </c>
      <c r="I3101" t="s">
        <v>71</v>
      </c>
      <c r="J3101" t="s">
        <v>10782</v>
      </c>
      <c r="K3101" t="s">
        <v>23173</v>
      </c>
    </row>
    <row r="3102" spans="1:11" ht="201.6" x14ac:dyDescent="0.3">
      <c r="A3102" s="4" t="s">
        <v>6199</v>
      </c>
      <c r="B3102">
        <v>3</v>
      </c>
      <c r="C3102">
        <v>2020</v>
      </c>
      <c r="D3102" t="s">
        <v>550</v>
      </c>
      <c r="E3102">
        <v>95</v>
      </c>
      <c r="F3102" t="s">
        <v>23174</v>
      </c>
      <c r="G3102" t="s">
        <v>23175</v>
      </c>
      <c r="H3102" s="4" t="s">
        <v>23176</v>
      </c>
      <c r="I3102" t="s">
        <v>10823</v>
      </c>
      <c r="J3102" t="s">
        <v>10782</v>
      </c>
      <c r="K3102" t="s">
        <v>23177</v>
      </c>
    </row>
    <row r="3103" spans="1:11" ht="144" x14ac:dyDescent="0.3">
      <c r="A3103" s="4" t="s">
        <v>6200</v>
      </c>
      <c r="B3103">
        <v>3</v>
      </c>
      <c r="C3103">
        <v>2020</v>
      </c>
      <c r="D3103" t="s">
        <v>14623</v>
      </c>
      <c r="E3103">
        <v>12</v>
      </c>
      <c r="F3103" t="s">
        <v>23178</v>
      </c>
      <c r="G3103" t="s">
        <v>23179</v>
      </c>
      <c r="H3103" s="4" t="s">
        <v>23180</v>
      </c>
      <c r="I3103" t="s">
        <v>71</v>
      </c>
      <c r="J3103" t="s">
        <v>10782</v>
      </c>
      <c r="K3103" t="s">
        <v>23181</v>
      </c>
    </row>
    <row r="3104" spans="1:11" ht="201.6" x14ac:dyDescent="0.3">
      <c r="A3104" s="4" t="s">
        <v>6201</v>
      </c>
      <c r="B3104">
        <v>3</v>
      </c>
      <c r="C3104">
        <v>2020</v>
      </c>
      <c r="D3104" t="s">
        <v>2819</v>
      </c>
      <c r="E3104">
        <v>5</v>
      </c>
      <c r="F3104" t="s">
        <v>23182</v>
      </c>
      <c r="G3104" t="s">
        <v>23183</v>
      </c>
      <c r="H3104" s="4" t="s">
        <v>23184</v>
      </c>
      <c r="I3104" t="s">
        <v>71</v>
      </c>
      <c r="J3104" t="s">
        <v>10782</v>
      </c>
      <c r="K3104" t="s">
        <v>23185</v>
      </c>
    </row>
    <row r="3105" spans="1:11" ht="216" x14ac:dyDescent="0.3">
      <c r="A3105" s="4" t="s">
        <v>6202</v>
      </c>
      <c r="B3105">
        <v>3</v>
      </c>
      <c r="C3105">
        <v>2020</v>
      </c>
      <c r="D3105" t="s">
        <v>799</v>
      </c>
      <c r="E3105">
        <v>34</v>
      </c>
      <c r="F3105" t="s">
        <v>23186</v>
      </c>
      <c r="G3105" t="s">
        <v>23187</v>
      </c>
      <c r="H3105" s="4" t="s">
        <v>23188</v>
      </c>
      <c r="I3105" t="s">
        <v>71</v>
      </c>
      <c r="J3105" t="s">
        <v>10782</v>
      </c>
      <c r="K3105" t="s">
        <v>23189</v>
      </c>
    </row>
    <row r="3106" spans="1:11" ht="115.2" x14ac:dyDescent="0.3">
      <c r="A3106" s="4" t="s">
        <v>6203</v>
      </c>
      <c r="B3106">
        <v>3</v>
      </c>
      <c r="C3106">
        <v>2020</v>
      </c>
      <c r="D3106" t="s">
        <v>23190</v>
      </c>
      <c r="E3106">
        <v>20</v>
      </c>
      <c r="F3106" t="s">
        <v>23191</v>
      </c>
      <c r="G3106" t="s">
        <v>23192</v>
      </c>
      <c r="H3106" s="4" t="s">
        <v>23193</v>
      </c>
    </row>
    <row r="3107" spans="1:11" ht="216" x14ac:dyDescent="0.3">
      <c r="A3107" s="4" t="s">
        <v>6204</v>
      </c>
      <c r="B3107">
        <v>3</v>
      </c>
      <c r="C3107">
        <v>2020</v>
      </c>
      <c r="D3107" t="s">
        <v>23194</v>
      </c>
      <c r="E3107">
        <v>12</v>
      </c>
      <c r="F3107" t="s">
        <v>23195</v>
      </c>
      <c r="G3107" t="s">
        <v>23196</v>
      </c>
      <c r="H3107" s="4" t="s">
        <v>23197</v>
      </c>
      <c r="I3107" t="s">
        <v>71</v>
      </c>
      <c r="J3107" t="s">
        <v>10782</v>
      </c>
      <c r="K3107" t="s">
        <v>23198</v>
      </c>
    </row>
    <row r="3108" spans="1:11" ht="129.6" x14ac:dyDescent="0.3">
      <c r="A3108" s="4" t="s">
        <v>2773</v>
      </c>
      <c r="B3108">
        <v>2</v>
      </c>
      <c r="C3108">
        <v>2020</v>
      </c>
      <c r="D3108" t="s">
        <v>2806</v>
      </c>
      <c r="E3108">
        <v>3</v>
      </c>
      <c r="F3108" t="s">
        <v>23199</v>
      </c>
      <c r="G3108" t="s">
        <v>23200</v>
      </c>
      <c r="H3108" s="4" t="s">
        <v>23201</v>
      </c>
      <c r="I3108" t="s">
        <v>71</v>
      </c>
      <c r="J3108" t="s">
        <v>10782</v>
      </c>
      <c r="K3108" t="s">
        <v>23202</v>
      </c>
    </row>
    <row r="3109" spans="1:11" ht="201.6" x14ac:dyDescent="0.3">
      <c r="A3109" s="4" t="s">
        <v>6205</v>
      </c>
      <c r="B3109">
        <v>3</v>
      </c>
      <c r="C3109">
        <v>2020</v>
      </c>
      <c r="D3109" t="s">
        <v>318</v>
      </c>
      <c r="E3109">
        <v>100</v>
      </c>
      <c r="F3109" t="s">
        <v>23203</v>
      </c>
      <c r="G3109" t="s">
        <v>23204</v>
      </c>
      <c r="H3109" s="4" t="s">
        <v>23205</v>
      </c>
      <c r="I3109" t="s">
        <v>71</v>
      </c>
      <c r="J3109" t="s">
        <v>10782</v>
      </c>
      <c r="K3109" t="s">
        <v>23206</v>
      </c>
    </row>
    <row r="3110" spans="1:11" ht="115.2" x14ac:dyDescent="0.3">
      <c r="A3110" s="4" t="s">
        <v>6206</v>
      </c>
      <c r="B3110">
        <v>3</v>
      </c>
      <c r="C3110">
        <v>2020</v>
      </c>
      <c r="D3110" t="s">
        <v>11617</v>
      </c>
      <c r="E3110">
        <v>4</v>
      </c>
      <c r="F3110" t="s">
        <v>23207</v>
      </c>
      <c r="G3110" t="s">
        <v>23208</v>
      </c>
      <c r="H3110" s="4" t="s">
        <v>23209</v>
      </c>
      <c r="I3110" t="s">
        <v>10945</v>
      </c>
      <c r="J3110" t="s">
        <v>10782</v>
      </c>
      <c r="K3110" t="s">
        <v>23210</v>
      </c>
    </row>
    <row r="3111" spans="1:11" ht="244.8" x14ac:dyDescent="0.3">
      <c r="A3111" s="4" t="s">
        <v>6207</v>
      </c>
      <c r="B3111">
        <v>3</v>
      </c>
      <c r="C3111">
        <v>2020</v>
      </c>
      <c r="D3111" t="s">
        <v>704</v>
      </c>
      <c r="E3111">
        <v>67</v>
      </c>
      <c r="F3111" t="s">
        <v>23211</v>
      </c>
      <c r="G3111" t="s">
        <v>23212</v>
      </c>
      <c r="H3111" s="4" t="s">
        <v>23213</v>
      </c>
      <c r="I3111" t="s">
        <v>71</v>
      </c>
      <c r="J3111" t="s">
        <v>10782</v>
      </c>
      <c r="K3111" t="s">
        <v>23214</v>
      </c>
    </row>
    <row r="3112" spans="1:11" ht="144" x14ac:dyDescent="0.3">
      <c r="A3112" s="4" t="s">
        <v>6208</v>
      </c>
      <c r="B3112">
        <v>3</v>
      </c>
      <c r="C3112">
        <v>2020</v>
      </c>
      <c r="D3112" t="s">
        <v>128</v>
      </c>
      <c r="E3112">
        <v>29</v>
      </c>
      <c r="F3112" t="s">
        <v>23215</v>
      </c>
      <c r="G3112" t="s">
        <v>23216</v>
      </c>
      <c r="H3112" s="4" t="s">
        <v>23217</v>
      </c>
      <c r="I3112" t="s">
        <v>71</v>
      </c>
      <c r="J3112" t="s">
        <v>10782</v>
      </c>
      <c r="K3112" t="s">
        <v>23218</v>
      </c>
    </row>
    <row r="3113" spans="1:11" ht="187.2" x14ac:dyDescent="0.3">
      <c r="A3113" s="4" t="s">
        <v>1459</v>
      </c>
      <c r="B3113">
        <v>1</v>
      </c>
      <c r="C3113">
        <v>2020</v>
      </c>
      <c r="D3113" t="s">
        <v>1175</v>
      </c>
      <c r="E3113">
        <v>20</v>
      </c>
      <c r="F3113" t="s">
        <v>23219</v>
      </c>
      <c r="G3113" t="s">
        <v>23220</v>
      </c>
      <c r="H3113" s="4" t="s">
        <v>23221</v>
      </c>
    </row>
    <row r="3114" spans="1:11" ht="244.8" x14ac:dyDescent="0.3">
      <c r="A3114" s="4" t="s">
        <v>6209</v>
      </c>
      <c r="B3114">
        <v>3</v>
      </c>
      <c r="C3114">
        <v>2020</v>
      </c>
      <c r="D3114" t="s">
        <v>704</v>
      </c>
      <c r="E3114">
        <v>5</v>
      </c>
      <c r="F3114" t="s">
        <v>23222</v>
      </c>
      <c r="G3114" t="s">
        <v>23223</v>
      </c>
      <c r="H3114" s="4" t="s">
        <v>23224</v>
      </c>
      <c r="I3114" t="s">
        <v>71</v>
      </c>
      <c r="J3114" t="s">
        <v>10782</v>
      </c>
      <c r="K3114" t="s">
        <v>23225</v>
      </c>
    </row>
    <row r="3115" spans="1:11" ht="158.4" x14ac:dyDescent="0.3">
      <c r="A3115" s="4" t="s">
        <v>6210</v>
      </c>
      <c r="B3115">
        <v>3</v>
      </c>
      <c r="C3115">
        <v>2020</v>
      </c>
      <c r="D3115" t="s">
        <v>2859</v>
      </c>
      <c r="E3115">
        <v>25</v>
      </c>
      <c r="F3115" t="s">
        <v>23226</v>
      </c>
      <c r="G3115" t="s">
        <v>23227</v>
      </c>
      <c r="H3115" s="4" t="s">
        <v>23228</v>
      </c>
      <c r="I3115" t="s">
        <v>71</v>
      </c>
      <c r="J3115" t="s">
        <v>10782</v>
      </c>
      <c r="K3115" t="s">
        <v>23229</v>
      </c>
    </row>
    <row r="3116" spans="1:11" ht="172.8" x14ac:dyDescent="0.3">
      <c r="A3116" s="4" t="s">
        <v>6211</v>
      </c>
      <c r="B3116">
        <v>3</v>
      </c>
      <c r="C3116">
        <v>2020</v>
      </c>
      <c r="D3116" t="s">
        <v>704</v>
      </c>
      <c r="E3116">
        <v>32</v>
      </c>
      <c r="F3116" t="s">
        <v>23230</v>
      </c>
      <c r="G3116" t="s">
        <v>23231</v>
      </c>
      <c r="H3116" s="4" t="s">
        <v>23232</v>
      </c>
      <c r="I3116" t="s">
        <v>71</v>
      </c>
      <c r="J3116" t="s">
        <v>10782</v>
      </c>
      <c r="K3116" t="s">
        <v>23233</v>
      </c>
    </row>
    <row r="3117" spans="1:11" ht="230.4" x14ac:dyDescent="0.3">
      <c r="A3117" s="4" t="s">
        <v>6212</v>
      </c>
      <c r="B3117">
        <v>3</v>
      </c>
      <c r="C3117">
        <v>2020</v>
      </c>
      <c r="D3117" t="s">
        <v>637</v>
      </c>
      <c r="E3117">
        <v>13</v>
      </c>
      <c r="F3117" t="s">
        <v>23234</v>
      </c>
      <c r="G3117" t="s">
        <v>23235</v>
      </c>
      <c r="H3117" s="4" t="s">
        <v>23236</v>
      </c>
      <c r="I3117" t="s">
        <v>71</v>
      </c>
      <c r="J3117" t="s">
        <v>10782</v>
      </c>
      <c r="K3117" t="s">
        <v>23237</v>
      </c>
    </row>
    <row r="3118" spans="1:11" ht="187.2" x14ac:dyDescent="0.3">
      <c r="A3118" s="4" t="s">
        <v>6213</v>
      </c>
      <c r="B3118">
        <v>3</v>
      </c>
      <c r="C3118">
        <v>2020</v>
      </c>
      <c r="D3118" t="s">
        <v>472</v>
      </c>
      <c r="E3118">
        <v>9</v>
      </c>
      <c r="F3118" t="s">
        <v>23238</v>
      </c>
      <c r="G3118" t="s">
        <v>23239</v>
      </c>
      <c r="H3118" s="4" t="s">
        <v>23240</v>
      </c>
      <c r="I3118" t="s">
        <v>71</v>
      </c>
      <c r="J3118" t="s">
        <v>10782</v>
      </c>
      <c r="K3118" t="s">
        <v>23241</v>
      </c>
    </row>
    <row r="3119" spans="1:11" ht="115.2" x14ac:dyDescent="0.3">
      <c r="A3119" s="4" t="s">
        <v>6214</v>
      </c>
      <c r="B3119">
        <v>3</v>
      </c>
      <c r="C3119">
        <v>2020</v>
      </c>
      <c r="D3119" t="s">
        <v>23242</v>
      </c>
      <c r="E3119">
        <v>3</v>
      </c>
      <c r="F3119" t="s">
        <v>23243</v>
      </c>
      <c r="G3119" t="s">
        <v>23244</v>
      </c>
      <c r="H3119" s="4" t="s">
        <v>23245</v>
      </c>
      <c r="I3119" t="s">
        <v>71</v>
      </c>
      <c r="J3119" t="s">
        <v>10782</v>
      </c>
      <c r="K3119" t="s">
        <v>23246</v>
      </c>
    </row>
    <row r="3120" spans="1:11" ht="158.4" x14ac:dyDescent="0.3">
      <c r="A3120" s="4" t="s">
        <v>6215</v>
      </c>
      <c r="B3120">
        <v>3</v>
      </c>
      <c r="C3120">
        <v>2020</v>
      </c>
      <c r="D3120" t="s">
        <v>23247</v>
      </c>
      <c r="E3120">
        <v>3</v>
      </c>
      <c r="F3120" t="s">
        <v>23248</v>
      </c>
      <c r="G3120" t="s">
        <v>23249</v>
      </c>
      <c r="H3120" s="4" t="s">
        <v>23250</v>
      </c>
      <c r="I3120" t="s">
        <v>71</v>
      </c>
      <c r="J3120" t="s">
        <v>10782</v>
      </c>
      <c r="K3120" t="s">
        <v>23251</v>
      </c>
    </row>
    <row r="3121" spans="1:11" ht="172.8" x14ac:dyDescent="0.3">
      <c r="A3121" s="4" t="s">
        <v>6216</v>
      </c>
      <c r="B3121">
        <v>3</v>
      </c>
      <c r="C3121">
        <v>2020</v>
      </c>
      <c r="D3121" t="s">
        <v>14623</v>
      </c>
      <c r="E3121">
        <v>21</v>
      </c>
      <c r="F3121" t="s">
        <v>23252</v>
      </c>
      <c r="G3121" t="s">
        <v>23253</v>
      </c>
      <c r="H3121" s="4" t="s">
        <v>23254</v>
      </c>
      <c r="I3121" t="s">
        <v>71</v>
      </c>
      <c r="J3121" t="s">
        <v>10782</v>
      </c>
      <c r="K3121" t="s">
        <v>23255</v>
      </c>
    </row>
    <row r="3122" spans="1:11" ht="100.8" x14ac:dyDescent="0.3">
      <c r="A3122" s="4" t="s">
        <v>6217</v>
      </c>
      <c r="B3122">
        <v>3</v>
      </c>
      <c r="C3122">
        <v>2020</v>
      </c>
      <c r="D3122" t="s">
        <v>23256</v>
      </c>
      <c r="E3122">
        <v>7</v>
      </c>
      <c r="F3122" t="s">
        <v>23257</v>
      </c>
      <c r="G3122" t="s">
        <v>23258</v>
      </c>
      <c r="H3122" s="4" t="s">
        <v>23259</v>
      </c>
    </row>
    <row r="3123" spans="1:11" ht="172.8" x14ac:dyDescent="0.3">
      <c r="A3123" s="4" t="s">
        <v>6218</v>
      </c>
      <c r="B3123">
        <v>3</v>
      </c>
      <c r="C3123">
        <v>2020</v>
      </c>
      <c r="D3123" t="s">
        <v>17273</v>
      </c>
      <c r="E3123">
        <v>6</v>
      </c>
      <c r="F3123" t="s">
        <v>23260</v>
      </c>
      <c r="G3123" t="s">
        <v>23261</v>
      </c>
      <c r="H3123" s="4" t="s">
        <v>23262</v>
      </c>
      <c r="I3123" t="s">
        <v>71</v>
      </c>
      <c r="J3123" t="s">
        <v>10782</v>
      </c>
      <c r="K3123" t="s">
        <v>23263</v>
      </c>
    </row>
    <row r="3124" spans="1:11" ht="72" x14ac:dyDescent="0.3">
      <c r="A3124" s="4" t="s">
        <v>6219</v>
      </c>
      <c r="B3124">
        <v>3</v>
      </c>
      <c r="C3124">
        <v>2020</v>
      </c>
      <c r="D3124" t="s">
        <v>318</v>
      </c>
      <c r="E3124">
        <v>81</v>
      </c>
      <c r="F3124" t="s">
        <v>23264</v>
      </c>
      <c r="G3124" t="s">
        <v>23265</v>
      </c>
      <c r="H3124" s="4" t="s">
        <v>23266</v>
      </c>
    </row>
    <row r="3125" spans="1:11" ht="158.4" x14ac:dyDescent="0.3">
      <c r="A3125" s="4" t="s">
        <v>6220</v>
      </c>
      <c r="B3125">
        <v>3</v>
      </c>
      <c r="C3125">
        <v>2020</v>
      </c>
      <c r="D3125" t="s">
        <v>1794</v>
      </c>
      <c r="E3125">
        <v>8</v>
      </c>
      <c r="F3125" t="s">
        <v>23267</v>
      </c>
      <c r="G3125" t="s">
        <v>23268</v>
      </c>
      <c r="H3125" s="4" t="s">
        <v>23269</v>
      </c>
      <c r="I3125" t="s">
        <v>71</v>
      </c>
      <c r="J3125" t="s">
        <v>10782</v>
      </c>
      <c r="K3125" t="s">
        <v>23270</v>
      </c>
    </row>
    <row r="3126" spans="1:11" ht="187.2" x14ac:dyDescent="0.3">
      <c r="A3126" s="4" t="s">
        <v>6221</v>
      </c>
      <c r="B3126">
        <v>3</v>
      </c>
      <c r="C3126">
        <v>2020</v>
      </c>
      <c r="D3126" t="s">
        <v>217</v>
      </c>
      <c r="E3126">
        <v>12</v>
      </c>
      <c r="F3126" t="s">
        <v>23271</v>
      </c>
      <c r="G3126" t="s">
        <v>23272</v>
      </c>
      <c r="H3126" s="4" t="s">
        <v>23273</v>
      </c>
      <c r="I3126" t="s">
        <v>71</v>
      </c>
      <c r="J3126" t="s">
        <v>10782</v>
      </c>
      <c r="K3126" t="s">
        <v>23274</v>
      </c>
    </row>
    <row r="3127" spans="1:11" ht="129.6" x14ac:dyDescent="0.3">
      <c r="A3127" s="4" t="s">
        <v>6222</v>
      </c>
      <c r="B3127">
        <v>3</v>
      </c>
      <c r="C3127">
        <v>2020</v>
      </c>
      <c r="D3127" t="s">
        <v>11414</v>
      </c>
      <c r="E3127">
        <v>23</v>
      </c>
      <c r="F3127" t="s">
        <v>23275</v>
      </c>
      <c r="G3127" t="s">
        <v>23276</v>
      </c>
      <c r="H3127" s="4" t="s">
        <v>23277</v>
      </c>
    </row>
    <row r="3128" spans="1:11" ht="115.2" x14ac:dyDescent="0.3">
      <c r="A3128" s="4" t="s">
        <v>6223</v>
      </c>
      <c r="B3128">
        <v>3</v>
      </c>
      <c r="C3128">
        <v>2020</v>
      </c>
      <c r="D3128" t="s">
        <v>12593</v>
      </c>
      <c r="E3128">
        <v>5</v>
      </c>
      <c r="F3128" t="s">
        <v>23278</v>
      </c>
      <c r="G3128" t="s">
        <v>23279</v>
      </c>
      <c r="H3128" s="4" t="s">
        <v>23280</v>
      </c>
    </row>
    <row r="3129" spans="1:11" ht="201.6" x14ac:dyDescent="0.3">
      <c r="A3129" s="4" t="s">
        <v>6224</v>
      </c>
      <c r="B3129">
        <v>3</v>
      </c>
      <c r="C3129">
        <v>2020</v>
      </c>
      <c r="D3129" t="s">
        <v>811</v>
      </c>
      <c r="E3129">
        <v>4</v>
      </c>
      <c r="F3129" t="s">
        <v>23281</v>
      </c>
      <c r="G3129" t="s">
        <v>23282</v>
      </c>
      <c r="H3129" s="4" t="s">
        <v>23283</v>
      </c>
      <c r="I3129" t="s">
        <v>71</v>
      </c>
      <c r="J3129" t="s">
        <v>10782</v>
      </c>
      <c r="K3129" t="s">
        <v>23284</v>
      </c>
    </row>
    <row r="3130" spans="1:11" ht="187.2" x14ac:dyDescent="0.3">
      <c r="A3130" s="4" t="s">
        <v>6225</v>
      </c>
      <c r="B3130">
        <v>3</v>
      </c>
      <c r="C3130">
        <v>2020</v>
      </c>
      <c r="D3130" t="s">
        <v>217</v>
      </c>
      <c r="E3130">
        <v>18</v>
      </c>
      <c r="F3130" t="s">
        <v>23285</v>
      </c>
      <c r="G3130" t="s">
        <v>23286</v>
      </c>
      <c r="H3130" s="4" t="s">
        <v>23287</v>
      </c>
      <c r="I3130" t="s">
        <v>71</v>
      </c>
      <c r="J3130" t="s">
        <v>10782</v>
      </c>
      <c r="K3130" t="s">
        <v>23288</v>
      </c>
    </row>
    <row r="3131" spans="1:11" ht="115.2" x14ac:dyDescent="0.3">
      <c r="A3131" s="4" t="s">
        <v>6226</v>
      </c>
      <c r="B3131">
        <v>3</v>
      </c>
      <c r="C3131">
        <v>2020</v>
      </c>
      <c r="D3131" t="s">
        <v>21508</v>
      </c>
      <c r="E3131">
        <v>2</v>
      </c>
      <c r="G3131" t="s">
        <v>23289</v>
      </c>
      <c r="H3131" s="4" t="s">
        <v>23290</v>
      </c>
      <c r="I3131" s="4" t="s">
        <v>71</v>
      </c>
      <c r="J3131" t="s">
        <v>10782</v>
      </c>
      <c r="K3131" t="s">
        <v>23291</v>
      </c>
    </row>
    <row r="3132" spans="1:11" ht="28.8" x14ac:dyDescent="0.3">
      <c r="A3132" s="4" t="s">
        <v>6227</v>
      </c>
      <c r="B3132">
        <v>3</v>
      </c>
      <c r="C3132">
        <v>2020</v>
      </c>
      <c r="D3132" t="s">
        <v>23292</v>
      </c>
      <c r="E3132">
        <v>0</v>
      </c>
      <c r="F3132" t="s">
        <v>23293</v>
      </c>
      <c r="G3132" t="s">
        <v>23294</v>
      </c>
      <c r="H3132" s="4" t="s">
        <v>71</v>
      </c>
      <c r="I3132" t="s">
        <v>10782</v>
      </c>
      <c r="J3132" t="s">
        <v>23295</v>
      </c>
    </row>
    <row r="3133" spans="1:11" ht="158.4" x14ac:dyDescent="0.3">
      <c r="A3133" s="4" t="s">
        <v>6228</v>
      </c>
      <c r="B3133">
        <v>3</v>
      </c>
      <c r="C3133">
        <v>2020</v>
      </c>
      <c r="D3133" t="s">
        <v>10971</v>
      </c>
      <c r="E3133">
        <v>7</v>
      </c>
      <c r="F3133" t="s">
        <v>23296</v>
      </c>
      <c r="G3133" t="s">
        <v>23297</v>
      </c>
      <c r="H3133" s="4" t="s">
        <v>23298</v>
      </c>
      <c r="I3133" t="s">
        <v>71</v>
      </c>
      <c r="J3133" t="s">
        <v>10782</v>
      </c>
      <c r="K3133" t="s">
        <v>23299</v>
      </c>
    </row>
    <row r="3134" spans="1:11" ht="115.2" x14ac:dyDescent="0.3">
      <c r="A3134" s="4" t="s">
        <v>6229</v>
      </c>
      <c r="B3134">
        <v>3</v>
      </c>
      <c r="C3134">
        <v>2020</v>
      </c>
      <c r="D3134" t="s">
        <v>16771</v>
      </c>
      <c r="E3134">
        <v>78</v>
      </c>
      <c r="F3134" t="s">
        <v>23300</v>
      </c>
      <c r="G3134" t="s">
        <v>23301</v>
      </c>
      <c r="H3134" s="4" t="s">
        <v>23302</v>
      </c>
      <c r="I3134" t="s">
        <v>71</v>
      </c>
      <c r="J3134" t="s">
        <v>10782</v>
      </c>
      <c r="K3134" t="s">
        <v>23303</v>
      </c>
    </row>
    <row r="3135" spans="1:11" ht="144" x14ac:dyDescent="0.3">
      <c r="A3135" s="4" t="s">
        <v>6230</v>
      </c>
      <c r="B3135">
        <v>3</v>
      </c>
      <c r="C3135">
        <v>2020</v>
      </c>
      <c r="D3135" t="s">
        <v>329</v>
      </c>
      <c r="E3135">
        <v>88</v>
      </c>
      <c r="F3135" t="s">
        <v>23304</v>
      </c>
      <c r="G3135" t="s">
        <v>23305</v>
      </c>
      <c r="H3135" s="4" t="s">
        <v>23306</v>
      </c>
    </row>
    <row r="3136" spans="1:11" ht="28.8" x14ac:dyDescent="0.3">
      <c r="A3136" s="4" t="s">
        <v>6231</v>
      </c>
      <c r="B3136">
        <v>3</v>
      </c>
      <c r="C3136">
        <v>2020</v>
      </c>
      <c r="D3136" t="s">
        <v>14715</v>
      </c>
      <c r="E3136">
        <v>2</v>
      </c>
      <c r="F3136" t="s">
        <v>23307</v>
      </c>
      <c r="G3136" t="s">
        <v>23308</v>
      </c>
      <c r="H3136" s="4" t="s">
        <v>23309</v>
      </c>
    </row>
    <row r="3137" spans="1:11" x14ac:dyDescent="0.3">
      <c r="A3137" s="4" t="s">
        <v>6232</v>
      </c>
      <c r="B3137">
        <v>3</v>
      </c>
      <c r="C3137">
        <v>2020</v>
      </c>
      <c r="D3137" t="s">
        <v>637</v>
      </c>
      <c r="E3137">
        <v>107</v>
      </c>
      <c r="F3137" t="s">
        <v>23310</v>
      </c>
      <c r="G3137" t="s">
        <v>23311</v>
      </c>
      <c r="H3137" s="4" t="s">
        <v>23312</v>
      </c>
    </row>
    <row r="3138" spans="1:11" ht="144" x14ac:dyDescent="0.3">
      <c r="A3138" s="4" t="s">
        <v>1460</v>
      </c>
      <c r="B3138">
        <v>1</v>
      </c>
      <c r="C3138">
        <v>2020</v>
      </c>
      <c r="D3138" t="s">
        <v>637</v>
      </c>
      <c r="E3138">
        <v>17</v>
      </c>
      <c r="F3138" t="s">
        <v>23313</v>
      </c>
      <c r="G3138" t="s">
        <v>23314</v>
      </c>
      <c r="H3138" s="4" t="s">
        <v>23315</v>
      </c>
      <c r="I3138" t="s">
        <v>71</v>
      </c>
      <c r="J3138" t="s">
        <v>10782</v>
      </c>
      <c r="K3138" t="s">
        <v>23316</v>
      </c>
    </row>
    <row r="3139" spans="1:11" ht="144" x14ac:dyDescent="0.3">
      <c r="A3139" s="4" t="s">
        <v>6233</v>
      </c>
      <c r="B3139">
        <v>3</v>
      </c>
      <c r="C3139">
        <v>2020</v>
      </c>
      <c r="D3139" t="s">
        <v>147</v>
      </c>
      <c r="E3139">
        <v>25</v>
      </c>
      <c r="F3139" t="s">
        <v>23317</v>
      </c>
      <c r="G3139" t="s">
        <v>23318</v>
      </c>
      <c r="H3139" s="4" t="s">
        <v>23319</v>
      </c>
      <c r="I3139" t="s">
        <v>71</v>
      </c>
      <c r="J3139" t="s">
        <v>10782</v>
      </c>
      <c r="K3139" t="s">
        <v>23320</v>
      </c>
    </row>
    <row r="3140" spans="1:11" ht="158.4" x14ac:dyDescent="0.3">
      <c r="A3140" s="4" t="s">
        <v>6234</v>
      </c>
      <c r="B3140">
        <v>3</v>
      </c>
      <c r="C3140">
        <v>2020</v>
      </c>
      <c r="D3140" t="s">
        <v>12593</v>
      </c>
      <c r="E3140">
        <v>9</v>
      </c>
      <c r="F3140" t="s">
        <v>23321</v>
      </c>
      <c r="G3140" t="s">
        <v>23322</v>
      </c>
      <c r="H3140" s="4" t="s">
        <v>23323</v>
      </c>
      <c r="I3140" t="s">
        <v>71</v>
      </c>
      <c r="J3140" t="s">
        <v>10782</v>
      </c>
      <c r="K3140" t="s">
        <v>23324</v>
      </c>
    </row>
    <row r="3141" spans="1:11" ht="187.2" x14ac:dyDescent="0.3">
      <c r="A3141" s="4" t="s">
        <v>6235</v>
      </c>
      <c r="B3141">
        <v>3</v>
      </c>
      <c r="C3141">
        <v>2020</v>
      </c>
      <c r="D3141" t="s">
        <v>11457</v>
      </c>
      <c r="E3141">
        <v>63</v>
      </c>
      <c r="F3141" t="s">
        <v>23325</v>
      </c>
      <c r="G3141" t="s">
        <v>23326</v>
      </c>
      <c r="H3141" s="4" t="s">
        <v>23327</v>
      </c>
      <c r="I3141" t="s">
        <v>71</v>
      </c>
      <c r="J3141" t="s">
        <v>10782</v>
      </c>
      <c r="K3141" t="s">
        <v>23328</v>
      </c>
    </row>
    <row r="3142" spans="1:11" ht="100.8" x14ac:dyDescent="0.3">
      <c r="A3142" s="4" t="s">
        <v>6236</v>
      </c>
      <c r="B3142">
        <v>3</v>
      </c>
      <c r="C3142">
        <v>2020</v>
      </c>
      <c r="D3142" t="s">
        <v>1088</v>
      </c>
      <c r="E3142">
        <v>0</v>
      </c>
      <c r="F3142" t="s">
        <v>23329</v>
      </c>
      <c r="G3142" t="s">
        <v>23330</v>
      </c>
      <c r="H3142" s="4" t="s">
        <v>23331</v>
      </c>
      <c r="I3142" t="s">
        <v>71</v>
      </c>
      <c r="J3142" t="s">
        <v>10782</v>
      </c>
      <c r="K3142" t="s">
        <v>23332</v>
      </c>
    </row>
    <row r="3143" spans="1:11" ht="187.2" x14ac:dyDescent="0.3">
      <c r="A3143" s="4" t="s">
        <v>6237</v>
      </c>
      <c r="B3143">
        <v>3</v>
      </c>
      <c r="C3143">
        <v>2020</v>
      </c>
      <c r="D3143" t="s">
        <v>10924</v>
      </c>
      <c r="E3143">
        <v>16</v>
      </c>
      <c r="F3143" t="s">
        <v>23333</v>
      </c>
      <c r="G3143" t="s">
        <v>23334</v>
      </c>
      <c r="H3143" s="4" t="s">
        <v>23335</v>
      </c>
      <c r="I3143" t="s">
        <v>71</v>
      </c>
      <c r="J3143" t="s">
        <v>10782</v>
      </c>
      <c r="K3143" t="s">
        <v>23336</v>
      </c>
    </row>
    <row r="3144" spans="1:11" ht="172.8" x14ac:dyDescent="0.3">
      <c r="A3144" s="4" t="s">
        <v>6238</v>
      </c>
      <c r="B3144">
        <v>3</v>
      </c>
      <c r="C3144">
        <v>2020</v>
      </c>
      <c r="D3144" t="s">
        <v>164</v>
      </c>
      <c r="E3144">
        <v>16</v>
      </c>
      <c r="F3144" t="s">
        <v>23337</v>
      </c>
      <c r="G3144" t="s">
        <v>23338</v>
      </c>
      <c r="H3144" s="4" t="s">
        <v>23339</v>
      </c>
      <c r="I3144" t="s">
        <v>71</v>
      </c>
      <c r="J3144" t="s">
        <v>10782</v>
      </c>
      <c r="K3144" t="s">
        <v>23340</v>
      </c>
    </row>
    <row r="3145" spans="1:11" ht="86.4" x14ac:dyDescent="0.3">
      <c r="A3145" s="4" t="s">
        <v>6239</v>
      </c>
      <c r="B3145">
        <v>3</v>
      </c>
      <c r="C3145">
        <v>2020</v>
      </c>
      <c r="D3145" t="s">
        <v>13394</v>
      </c>
      <c r="E3145">
        <v>0</v>
      </c>
      <c r="F3145" t="s">
        <v>23341</v>
      </c>
      <c r="G3145" t="s">
        <v>23342</v>
      </c>
      <c r="H3145" s="4" t="s">
        <v>23343</v>
      </c>
    </row>
    <row r="3146" spans="1:11" ht="172.8" x14ac:dyDescent="0.3">
      <c r="A3146" s="4" t="s">
        <v>6240</v>
      </c>
      <c r="B3146">
        <v>3</v>
      </c>
      <c r="C3146">
        <v>2020</v>
      </c>
      <c r="D3146" t="s">
        <v>80</v>
      </c>
      <c r="E3146">
        <v>26</v>
      </c>
      <c r="F3146" t="s">
        <v>23344</v>
      </c>
      <c r="G3146" t="s">
        <v>23345</v>
      </c>
      <c r="H3146" s="4" t="s">
        <v>23346</v>
      </c>
      <c r="I3146" t="s">
        <v>71</v>
      </c>
      <c r="J3146" t="s">
        <v>10782</v>
      </c>
      <c r="K3146" t="s">
        <v>23347</v>
      </c>
    </row>
    <row r="3147" spans="1:11" ht="144" x14ac:dyDescent="0.3">
      <c r="A3147" s="4" t="s">
        <v>6241</v>
      </c>
      <c r="B3147">
        <v>3</v>
      </c>
      <c r="C3147">
        <v>2020</v>
      </c>
      <c r="D3147" t="s">
        <v>405</v>
      </c>
      <c r="E3147">
        <v>9</v>
      </c>
      <c r="F3147" t="s">
        <v>23348</v>
      </c>
      <c r="G3147" t="s">
        <v>23349</v>
      </c>
      <c r="H3147" s="4" t="s">
        <v>23350</v>
      </c>
      <c r="I3147" t="s">
        <v>71</v>
      </c>
      <c r="J3147" t="s">
        <v>10782</v>
      </c>
      <c r="K3147" t="s">
        <v>23351</v>
      </c>
    </row>
    <row r="3148" spans="1:11" ht="172.8" x14ac:dyDescent="0.3">
      <c r="A3148" s="4" t="s">
        <v>6242</v>
      </c>
      <c r="B3148">
        <v>3</v>
      </c>
      <c r="C3148">
        <v>2020</v>
      </c>
      <c r="D3148" t="s">
        <v>10825</v>
      </c>
      <c r="E3148">
        <v>7</v>
      </c>
      <c r="F3148" t="s">
        <v>23352</v>
      </c>
      <c r="G3148" t="s">
        <v>23353</v>
      </c>
      <c r="H3148" s="4" t="s">
        <v>23354</v>
      </c>
      <c r="I3148" t="s">
        <v>71</v>
      </c>
      <c r="J3148" t="s">
        <v>10782</v>
      </c>
      <c r="K3148" t="s">
        <v>23355</v>
      </c>
    </row>
    <row r="3149" spans="1:11" ht="172.8" x14ac:dyDescent="0.3">
      <c r="A3149" s="4" t="s">
        <v>6243</v>
      </c>
      <c r="B3149">
        <v>3</v>
      </c>
      <c r="C3149">
        <v>2020</v>
      </c>
      <c r="D3149" t="s">
        <v>23356</v>
      </c>
      <c r="E3149">
        <v>8</v>
      </c>
      <c r="F3149" t="s">
        <v>23357</v>
      </c>
      <c r="G3149" t="s">
        <v>23358</v>
      </c>
      <c r="H3149" s="4" t="s">
        <v>23359</v>
      </c>
      <c r="I3149" t="s">
        <v>71</v>
      </c>
      <c r="J3149" t="s">
        <v>10782</v>
      </c>
      <c r="K3149" t="s">
        <v>23360</v>
      </c>
    </row>
    <row r="3150" spans="1:11" ht="187.2" x14ac:dyDescent="0.3">
      <c r="A3150" s="4" t="s">
        <v>6244</v>
      </c>
      <c r="B3150">
        <v>3</v>
      </c>
      <c r="C3150">
        <v>2020</v>
      </c>
      <c r="D3150" t="s">
        <v>2853</v>
      </c>
      <c r="E3150">
        <v>54</v>
      </c>
      <c r="F3150" t="s">
        <v>23361</v>
      </c>
      <c r="G3150" t="s">
        <v>23362</v>
      </c>
      <c r="H3150" s="4" t="s">
        <v>23363</v>
      </c>
      <c r="I3150" t="s">
        <v>71</v>
      </c>
      <c r="J3150" t="s">
        <v>10782</v>
      </c>
      <c r="K3150" t="s">
        <v>23364</v>
      </c>
    </row>
    <row r="3151" spans="1:11" ht="288" x14ac:dyDescent="0.3">
      <c r="A3151" s="4" t="s">
        <v>6245</v>
      </c>
      <c r="B3151">
        <v>3</v>
      </c>
      <c r="C3151">
        <v>2020</v>
      </c>
      <c r="D3151" t="s">
        <v>23365</v>
      </c>
      <c r="E3151">
        <v>25</v>
      </c>
      <c r="F3151" t="s">
        <v>23366</v>
      </c>
      <c r="G3151" t="s">
        <v>23367</v>
      </c>
      <c r="H3151" s="4" t="s">
        <v>23368</v>
      </c>
      <c r="I3151" t="s">
        <v>71</v>
      </c>
      <c r="J3151" t="s">
        <v>10782</v>
      </c>
      <c r="K3151" t="s">
        <v>23369</v>
      </c>
    </row>
    <row r="3152" spans="1:11" ht="187.2" x14ac:dyDescent="0.3">
      <c r="A3152" s="4" t="s">
        <v>6246</v>
      </c>
      <c r="B3152">
        <v>3</v>
      </c>
      <c r="C3152">
        <v>2020</v>
      </c>
      <c r="D3152" t="s">
        <v>10825</v>
      </c>
      <c r="E3152">
        <v>12</v>
      </c>
      <c r="F3152" t="s">
        <v>23370</v>
      </c>
      <c r="G3152" t="s">
        <v>23371</v>
      </c>
      <c r="H3152" s="4" t="s">
        <v>23372</v>
      </c>
      <c r="I3152" t="s">
        <v>71</v>
      </c>
      <c r="J3152" t="s">
        <v>10782</v>
      </c>
      <c r="K3152" t="s">
        <v>23373</v>
      </c>
    </row>
    <row r="3153" spans="1:11" ht="273.60000000000002" x14ac:dyDescent="0.3">
      <c r="A3153" s="4" t="s">
        <v>6247</v>
      </c>
      <c r="B3153">
        <v>3</v>
      </c>
      <c r="C3153">
        <v>2020</v>
      </c>
      <c r="D3153" t="s">
        <v>637</v>
      </c>
      <c r="E3153">
        <v>25</v>
      </c>
      <c r="F3153" t="s">
        <v>23374</v>
      </c>
      <c r="G3153" t="s">
        <v>23375</v>
      </c>
      <c r="H3153" s="4" t="s">
        <v>23376</v>
      </c>
      <c r="I3153" t="s">
        <v>71</v>
      </c>
      <c r="J3153" t="s">
        <v>10782</v>
      </c>
      <c r="K3153" t="s">
        <v>23377</v>
      </c>
    </row>
    <row r="3154" spans="1:11" ht="144" x14ac:dyDescent="0.3">
      <c r="A3154" s="4" t="s">
        <v>3568</v>
      </c>
      <c r="B3154">
        <v>2</v>
      </c>
      <c r="C3154">
        <v>2020</v>
      </c>
      <c r="D3154" t="s">
        <v>18333</v>
      </c>
      <c r="E3154">
        <v>6</v>
      </c>
      <c r="F3154" t="s">
        <v>23378</v>
      </c>
      <c r="G3154" t="s">
        <v>23379</v>
      </c>
      <c r="H3154" s="4" t="s">
        <v>23380</v>
      </c>
      <c r="I3154" t="s">
        <v>71</v>
      </c>
      <c r="J3154" t="s">
        <v>10782</v>
      </c>
      <c r="K3154" t="s">
        <v>23381</v>
      </c>
    </row>
    <row r="3155" spans="1:11" ht="201.6" x14ac:dyDescent="0.3">
      <c r="A3155" s="4" t="s">
        <v>6248</v>
      </c>
      <c r="B3155">
        <v>3</v>
      </c>
      <c r="C3155">
        <v>2020</v>
      </c>
      <c r="D3155" t="s">
        <v>217</v>
      </c>
      <c r="E3155">
        <v>56</v>
      </c>
      <c r="F3155" t="s">
        <v>23382</v>
      </c>
      <c r="G3155" t="s">
        <v>23383</v>
      </c>
      <c r="H3155" s="4" t="s">
        <v>23384</v>
      </c>
      <c r="I3155" t="s">
        <v>10823</v>
      </c>
      <c r="J3155" t="s">
        <v>10782</v>
      </c>
      <c r="K3155" t="s">
        <v>23385</v>
      </c>
    </row>
    <row r="3156" spans="1:11" ht="72" x14ac:dyDescent="0.3">
      <c r="A3156" s="4" t="s">
        <v>6249</v>
      </c>
      <c r="B3156">
        <v>3</v>
      </c>
      <c r="C3156">
        <v>2020</v>
      </c>
      <c r="D3156" t="s">
        <v>1175</v>
      </c>
      <c r="E3156">
        <v>3</v>
      </c>
      <c r="F3156" t="s">
        <v>23386</v>
      </c>
      <c r="G3156" t="s">
        <v>23387</v>
      </c>
      <c r="H3156" s="4" t="s">
        <v>23388</v>
      </c>
    </row>
    <row r="3157" spans="1:11" ht="144" x14ac:dyDescent="0.3">
      <c r="A3157" s="4" t="s">
        <v>6250</v>
      </c>
      <c r="B3157">
        <v>3</v>
      </c>
      <c r="C3157">
        <v>2020</v>
      </c>
      <c r="D3157" t="s">
        <v>1915</v>
      </c>
      <c r="E3157">
        <v>17</v>
      </c>
      <c r="F3157" t="s">
        <v>23389</v>
      </c>
      <c r="G3157" t="s">
        <v>23390</v>
      </c>
      <c r="H3157" s="4" t="s">
        <v>23391</v>
      </c>
      <c r="I3157" t="s">
        <v>71</v>
      </c>
      <c r="J3157" t="s">
        <v>10782</v>
      </c>
      <c r="K3157" t="s">
        <v>23392</v>
      </c>
    </row>
    <row r="3158" spans="1:11" ht="201.6" x14ac:dyDescent="0.3">
      <c r="A3158" s="4" t="s">
        <v>6251</v>
      </c>
      <c r="B3158">
        <v>3</v>
      </c>
      <c r="C3158">
        <v>2020</v>
      </c>
      <c r="D3158" t="s">
        <v>811</v>
      </c>
      <c r="E3158">
        <v>6</v>
      </c>
      <c r="F3158" t="s">
        <v>23393</v>
      </c>
      <c r="G3158" t="s">
        <v>23394</v>
      </c>
      <c r="H3158" s="4" t="s">
        <v>23395</v>
      </c>
      <c r="I3158" t="s">
        <v>71</v>
      </c>
      <c r="J3158" t="s">
        <v>10782</v>
      </c>
      <c r="K3158" t="s">
        <v>23396</v>
      </c>
    </row>
    <row r="3159" spans="1:11" ht="201.6" x14ac:dyDescent="0.3">
      <c r="A3159" s="4" t="s">
        <v>6252</v>
      </c>
      <c r="B3159">
        <v>3</v>
      </c>
      <c r="C3159">
        <v>2020</v>
      </c>
      <c r="D3159" t="s">
        <v>318</v>
      </c>
      <c r="E3159">
        <v>10</v>
      </c>
      <c r="F3159" t="s">
        <v>23397</v>
      </c>
      <c r="G3159" t="s">
        <v>23398</v>
      </c>
      <c r="H3159" s="4" t="s">
        <v>23399</v>
      </c>
      <c r="I3159" t="s">
        <v>71</v>
      </c>
      <c r="J3159" t="s">
        <v>10782</v>
      </c>
      <c r="K3159" t="s">
        <v>23400</v>
      </c>
    </row>
    <row r="3160" spans="1:11" ht="187.2" x14ac:dyDescent="0.3">
      <c r="A3160" s="4" t="s">
        <v>6253</v>
      </c>
      <c r="B3160">
        <v>3</v>
      </c>
      <c r="C3160">
        <v>2020</v>
      </c>
      <c r="D3160" t="s">
        <v>10796</v>
      </c>
      <c r="E3160">
        <v>4</v>
      </c>
      <c r="F3160" t="s">
        <v>23401</v>
      </c>
      <c r="G3160" t="s">
        <v>23402</v>
      </c>
      <c r="H3160" s="4" t="s">
        <v>23403</v>
      </c>
      <c r="I3160" t="s">
        <v>71</v>
      </c>
      <c r="J3160" t="s">
        <v>10782</v>
      </c>
      <c r="K3160" t="s">
        <v>23404</v>
      </c>
    </row>
    <row r="3161" spans="1:11" ht="115.2" x14ac:dyDescent="0.3">
      <c r="A3161" s="4" t="s">
        <v>6254</v>
      </c>
      <c r="B3161">
        <v>3</v>
      </c>
      <c r="C3161">
        <v>2020</v>
      </c>
      <c r="D3161" t="s">
        <v>528</v>
      </c>
      <c r="E3161">
        <v>23</v>
      </c>
      <c r="F3161" t="s">
        <v>23405</v>
      </c>
      <c r="G3161" t="s">
        <v>23406</v>
      </c>
      <c r="H3161" s="4" t="s">
        <v>23407</v>
      </c>
      <c r="I3161" t="s">
        <v>71</v>
      </c>
      <c r="J3161" t="s">
        <v>10782</v>
      </c>
      <c r="K3161" t="s">
        <v>23408</v>
      </c>
    </row>
    <row r="3162" spans="1:11" ht="172.8" x14ac:dyDescent="0.3">
      <c r="A3162" s="4" t="s">
        <v>6255</v>
      </c>
      <c r="B3162">
        <v>3</v>
      </c>
      <c r="C3162">
        <v>2020</v>
      </c>
      <c r="D3162" t="s">
        <v>528</v>
      </c>
      <c r="E3162">
        <v>15</v>
      </c>
      <c r="F3162" t="s">
        <v>23409</v>
      </c>
      <c r="G3162" t="s">
        <v>23410</v>
      </c>
      <c r="H3162" s="4" t="s">
        <v>23411</v>
      </c>
      <c r="I3162" t="s">
        <v>71</v>
      </c>
      <c r="J3162" t="s">
        <v>10782</v>
      </c>
      <c r="K3162" t="s">
        <v>23412</v>
      </c>
    </row>
    <row r="3163" spans="1:11" ht="172.8" x14ac:dyDescent="0.3">
      <c r="A3163" s="4" t="s">
        <v>6256</v>
      </c>
      <c r="B3163">
        <v>3</v>
      </c>
      <c r="C3163">
        <v>2020</v>
      </c>
      <c r="D3163" t="s">
        <v>10971</v>
      </c>
      <c r="E3163">
        <v>130</v>
      </c>
      <c r="F3163" t="s">
        <v>23413</v>
      </c>
      <c r="G3163" t="s">
        <v>23414</v>
      </c>
      <c r="H3163" s="4" t="s">
        <v>23415</v>
      </c>
      <c r="I3163" t="s">
        <v>71</v>
      </c>
      <c r="J3163" t="s">
        <v>10782</v>
      </c>
      <c r="K3163" t="s">
        <v>23416</v>
      </c>
    </row>
    <row r="3164" spans="1:11" ht="158.4" x14ac:dyDescent="0.3">
      <c r="A3164" s="4" t="s">
        <v>6257</v>
      </c>
      <c r="B3164">
        <v>3</v>
      </c>
      <c r="C3164">
        <v>2020</v>
      </c>
      <c r="D3164" t="s">
        <v>637</v>
      </c>
      <c r="E3164">
        <v>33</v>
      </c>
      <c r="F3164" t="s">
        <v>23417</v>
      </c>
      <c r="G3164" t="s">
        <v>23418</v>
      </c>
      <c r="H3164" s="4" t="s">
        <v>23419</v>
      </c>
      <c r="I3164" t="s">
        <v>71</v>
      </c>
      <c r="J3164" t="s">
        <v>10782</v>
      </c>
      <c r="K3164" t="s">
        <v>23420</v>
      </c>
    </row>
    <row r="3165" spans="1:11" ht="172.8" x14ac:dyDescent="0.3">
      <c r="A3165" s="4" t="s">
        <v>6258</v>
      </c>
      <c r="B3165">
        <v>3</v>
      </c>
      <c r="C3165">
        <v>2020</v>
      </c>
      <c r="D3165" t="s">
        <v>637</v>
      </c>
      <c r="E3165">
        <v>61</v>
      </c>
      <c r="F3165" t="s">
        <v>23421</v>
      </c>
      <c r="G3165" t="s">
        <v>23422</v>
      </c>
      <c r="H3165" s="4" t="s">
        <v>23423</v>
      </c>
      <c r="I3165" t="s">
        <v>71</v>
      </c>
      <c r="J3165" t="s">
        <v>10782</v>
      </c>
      <c r="K3165" t="s">
        <v>23424</v>
      </c>
    </row>
    <row r="3166" spans="1:11" ht="187.2" x14ac:dyDescent="0.3">
      <c r="A3166" s="4" t="s">
        <v>6259</v>
      </c>
      <c r="B3166">
        <v>3</v>
      </c>
      <c r="C3166">
        <v>2020</v>
      </c>
      <c r="D3166" t="s">
        <v>12875</v>
      </c>
      <c r="E3166">
        <v>9</v>
      </c>
      <c r="F3166" t="s">
        <v>23425</v>
      </c>
      <c r="G3166" t="s">
        <v>23426</v>
      </c>
      <c r="H3166" s="4" t="s">
        <v>23427</v>
      </c>
      <c r="I3166" t="s">
        <v>71</v>
      </c>
      <c r="J3166" t="s">
        <v>10782</v>
      </c>
      <c r="K3166" t="s">
        <v>23428</v>
      </c>
    </row>
    <row r="3167" spans="1:11" ht="187.2" x14ac:dyDescent="0.3">
      <c r="A3167" s="4" t="s">
        <v>6260</v>
      </c>
      <c r="B3167">
        <v>3</v>
      </c>
      <c r="C3167">
        <v>2020</v>
      </c>
      <c r="D3167" t="s">
        <v>1770</v>
      </c>
      <c r="E3167">
        <v>20</v>
      </c>
      <c r="F3167" t="s">
        <v>23429</v>
      </c>
      <c r="G3167" t="s">
        <v>23430</v>
      </c>
      <c r="H3167" s="4" t="s">
        <v>23431</v>
      </c>
      <c r="I3167" t="s">
        <v>71</v>
      </c>
      <c r="J3167" t="s">
        <v>10782</v>
      </c>
      <c r="K3167" t="s">
        <v>23432</v>
      </c>
    </row>
    <row r="3168" spans="1:11" ht="230.4" x14ac:dyDescent="0.3">
      <c r="A3168" s="4" t="s">
        <v>6261</v>
      </c>
      <c r="B3168">
        <v>3</v>
      </c>
      <c r="C3168">
        <v>2020</v>
      </c>
      <c r="D3168" t="s">
        <v>23433</v>
      </c>
      <c r="E3168">
        <v>24</v>
      </c>
      <c r="F3168" t="s">
        <v>23434</v>
      </c>
      <c r="G3168" t="s">
        <v>23435</v>
      </c>
      <c r="H3168" s="4" t="s">
        <v>23436</v>
      </c>
      <c r="I3168" t="s">
        <v>71</v>
      </c>
      <c r="J3168" t="s">
        <v>10782</v>
      </c>
      <c r="K3168" t="s">
        <v>23437</v>
      </c>
    </row>
    <row r="3169" spans="1:11" ht="115.2" x14ac:dyDescent="0.3">
      <c r="A3169" s="4" t="s">
        <v>6262</v>
      </c>
      <c r="B3169">
        <v>3</v>
      </c>
      <c r="C3169">
        <v>2020</v>
      </c>
      <c r="D3169" t="s">
        <v>14013</v>
      </c>
      <c r="E3169">
        <v>52</v>
      </c>
      <c r="F3169" t="s">
        <v>23438</v>
      </c>
      <c r="G3169" t="s">
        <v>23439</v>
      </c>
      <c r="H3169" s="4" t="s">
        <v>23440</v>
      </c>
      <c r="I3169" t="s">
        <v>71</v>
      </c>
      <c r="J3169" t="s">
        <v>10782</v>
      </c>
      <c r="K3169" t="s">
        <v>23441</v>
      </c>
    </row>
    <row r="3170" spans="1:11" ht="158.4" x14ac:dyDescent="0.3">
      <c r="A3170" s="4" t="s">
        <v>2774</v>
      </c>
      <c r="B3170">
        <v>2</v>
      </c>
      <c r="C3170">
        <v>2020</v>
      </c>
      <c r="D3170" t="s">
        <v>1002</v>
      </c>
      <c r="E3170">
        <v>11</v>
      </c>
      <c r="F3170" t="s">
        <v>23442</v>
      </c>
      <c r="G3170" t="s">
        <v>23443</v>
      </c>
      <c r="H3170" s="4" t="s">
        <v>23444</v>
      </c>
      <c r="I3170" t="s">
        <v>71</v>
      </c>
      <c r="J3170" t="s">
        <v>10782</v>
      </c>
      <c r="K3170" t="s">
        <v>23445</v>
      </c>
    </row>
    <row r="3171" spans="1:11" ht="129.6" x14ac:dyDescent="0.3">
      <c r="A3171" s="4" t="s">
        <v>6263</v>
      </c>
      <c r="B3171">
        <v>3</v>
      </c>
      <c r="C3171">
        <v>2020</v>
      </c>
      <c r="D3171" t="s">
        <v>637</v>
      </c>
      <c r="E3171">
        <v>54</v>
      </c>
      <c r="F3171" t="s">
        <v>23446</v>
      </c>
      <c r="G3171" t="s">
        <v>23447</v>
      </c>
      <c r="H3171" s="4" t="s">
        <v>23448</v>
      </c>
    </row>
    <row r="3172" spans="1:11" ht="144" x14ac:dyDescent="0.3">
      <c r="A3172" s="4" t="s">
        <v>6264</v>
      </c>
      <c r="B3172">
        <v>3</v>
      </c>
      <c r="C3172">
        <v>2020</v>
      </c>
      <c r="D3172" t="s">
        <v>318</v>
      </c>
      <c r="E3172">
        <v>14</v>
      </c>
      <c r="F3172" t="s">
        <v>23449</v>
      </c>
      <c r="G3172" t="s">
        <v>23450</v>
      </c>
      <c r="H3172" s="4" t="s">
        <v>23451</v>
      </c>
      <c r="I3172" t="s">
        <v>71</v>
      </c>
      <c r="J3172" t="s">
        <v>10782</v>
      </c>
      <c r="K3172" t="s">
        <v>23452</v>
      </c>
    </row>
    <row r="3173" spans="1:11" ht="158.4" x14ac:dyDescent="0.3">
      <c r="A3173" s="4" t="s">
        <v>6265</v>
      </c>
      <c r="B3173">
        <v>3</v>
      </c>
      <c r="C3173">
        <v>2020</v>
      </c>
      <c r="D3173" t="s">
        <v>15516</v>
      </c>
      <c r="E3173">
        <v>12</v>
      </c>
      <c r="F3173" t="s">
        <v>23453</v>
      </c>
      <c r="G3173" t="s">
        <v>23454</v>
      </c>
      <c r="H3173" s="4" t="s">
        <v>23455</v>
      </c>
      <c r="I3173" t="s">
        <v>10823</v>
      </c>
      <c r="J3173" t="s">
        <v>10782</v>
      </c>
      <c r="K3173" t="s">
        <v>23456</v>
      </c>
    </row>
    <row r="3174" spans="1:11" ht="72" x14ac:dyDescent="0.3">
      <c r="A3174" s="4" t="s">
        <v>6266</v>
      </c>
      <c r="B3174">
        <v>3</v>
      </c>
      <c r="C3174">
        <v>2020</v>
      </c>
      <c r="D3174" t="s">
        <v>23457</v>
      </c>
      <c r="E3174">
        <v>2</v>
      </c>
      <c r="F3174" t="s">
        <v>23458</v>
      </c>
      <c r="G3174" t="s">
        <v>23459</v>
      </c>
      <c r="H3174" s="4" t="s">
        <v>23460</v>
      </c>
    </row>
    <row r="3175" spans="1:11" ht="158.4" x14ac:dyDescent="0.3">
      <c r="A3175" s="4" t="s">
        <v>6267</v>
      </c>
      <c r="B3175">
        <v>3</v>
      </c>
      <c r="C3175">
        <v>2020</v>
      </c>
      <c r="D3175" t="s">
        <v>637</v>
      </c>
      <c r="E3175">
        <v>13</v>
      </c>
      <c r="F3175" t="s">
        <v>23461</v>
      </c>
      <c r="G3175" t="s">
        <v>23462</v>
      </c>
      <c r="H3175" s="4" t="s">
        <v>23463</v>
      </c>
      <c r="I3175" t="s">
        <v>71</v>
      </c>
      <c r="J3175" t="s">
        <v>10782</v>
      </c>
      <c r="K3175" t="s">
        <v>23464</v>
      </c>
    </row>
    <row r="3176" spans="1:11" ht="345.6" x14ac:dyDescent="0.3">
      <c r="A3176" s="4" t="s">
        <v>6268</v>
      </c>
      <c r="B3176">
        <v>3</v>
      </c>
      <c r="C3176">
        <v>2020</v>
      </c>
      <c r="D3176" t="s">
        <v>13969</v>
      </c>
      <c r="E3176">
        <v>11</v>
      </c>
      <c r="F3176" t="s">
        <v>23465</v>
      </c>
      <c r="G3176" t="s">
        <v>23466</v>
      </c>
      <c r="H3176" s="4" t="s">
        <v>23467</v>
      </c>
    </row>
    <row r="3177" spans="1:11" ht="57.6" x14ac:dyDescent="0.3">
      <c r="A3177" s="4" t="s">
        <v>6269</v>
      </c>
      <c r="B3177">
        <v>3</v>
      </c>
      <c r="C3177">
        <v>2020</v>
      </c>
      <c r="D3177" t="s">
        <v>23468</v>
      </c>
      <c r="E3177">
        <v>6</v>
      </c>
      <c r="F3177" t="s">
        <v>23469</v>
      </c>
      <c r="G3177" t="s">
        <v>23470</v>
      </c>
      <c r="H3177" s="4" t="s">
        <v>23471</v>
      </c>
    </row>
    <row r="3178" spans="1:11" ht="187.2" x14ac:dyDescent="0.3">
      <c r="A3178" s="4" t="s">
        <v>6270</v>
      </c>
      <c r="B3178">
        <v>3</v>
      </c>
      <c r="C3178">
        <v>2020</v>
      </c>
      <c r="D3178" t="s">
        <v>11007</v>
      </c>
      <c r="E3178">
        <v>17</v>
      </c>
      <c r="F3178" t="s">
        <v>23472</v>
      </c>
      <c r="G3178" t="s">
        <v>23473</v>
      </c>
      <c r="H3178" s="4" t="s">
        <v>23474</v>
      </c>
      <c r="I3178" t="s">
        <v>71</v>
      </c>
      <c r="J3178" t="s">
        <v>10782</v>
      </c>
      <c r="K3178" t="s">
        <v>23475</v>
      </c>
    </row>
    <row r="3179" spans="1:11" ht="172.8" x14ac:dyDescent="0.3">
      <c r="A3179" s="4" t="s">
        <v>6271</v>
      </c>
      <c r="B3179">
        <v>3</v>
      </c>
      <c r="C3179">
        <v>2020</v>
      </c>
      <c r="D3179" t="s">
        <v>1570</v>
      </c>
      <c r="E3179">
        <v>10</v>
      </c>
      <c r="F3179" t="s">
        <v>23476</v>
      </c>
      <c r="G3179" t="s">
        <v>23477</v>
      </c>
      <c r="H3179" s="4" t="s">
        <v>23478</v>
      </c>
      <c r="I3179" t="s">
        <v>71</v>
      </c>
      <c r="J3179" t="s">
        <v>10782</v>
      </c>
      <c r="K3179" t="s">
        <v>23479</v>
      </c>
    </row>
    <row r="3180" spans="1:11" ht="158.4" x14ac:dyDescent="0.3">
      <c r="A3180" s="4" t="s">
        <v>6272</v>
      </c>
      <c r="B3180">
        <v>3</v>
      </c>
      <c r="C3180">
        <v>2020</v>
      </c>
      <c r="D3180" t="s">
        <v>11050</v>
      </c>
      <c r="E3180">
        <v>16</v>
      </c>
      <c r="F3180" t="s">
        <v>23480</v>
      </c>
      <c r="G3180" t="s">
        <v>23481</v>
      </c>
      <c r="H3180" s="4" t="s">
        <v>23482</v>
      </c>
      <c r="I3180" t="s">
        <v>71</v>
      </c>
      <c r="J3180" t="s">
        <v>10782</v>
      </c>
      <c r="K3180" t="s">
        <v>23483</v>
      </c>
    </row>
    <row r="3181" spans="1:11" ht="230.4" x14ac:dyDescent="0.3">
      <c r="A3181" s="4" t="s">
        <v>6273</v>
      </c>
      <c r="B3181">
        <v>3</v>
      </c>
      <c r="C3181">
        <v>2020</v>
      </c>
      <c r="D3181" t="s">
        <v>11310</v>
      </c>
      <c r="E3181">
        <v>10</v>
      </c>
      <c r="F3181" t="s">
        <v>23484</v>
      </c>
      <c r="G3181" t="s">
        <v>23485</v>
      </c>
      <c r="H3181" s="4" t="s">
        <v>23486</v>
      </c>
      <c r="I3181" t="s">
        <v>71</v>
      </c>
      <c r="J3181" t="s">
        <v>10782</v>
      </c>
      <c r="K3181" t="s">
        <v>23487</v>
      </c>
    </row>
    <row r="3182" spans="1:11" ht="201.6" x14ac:dyDescent="0.3">
      <c r="A3182" s="4" t="s">
        <v>6274</v>
      </c>
      <c r="B3182">
        <v>3</v>
      </c>
      <c r="C3182">
        <v>2020</v>
      </c>
      <c r="D3182" t="s">
        <v>21322</v>
      </c>
      <c r="E3182">
        <v>26</v>
      </c>
      <c r="F3182" t="s">
        <v>23488</v>
      </c>
      <c r="G3182" t="s">
        <v>23489</v>
      </c>
      <c r="H3182" s="4" t="s">
        <v>23490</v>
      </c>
      <c r="I3182" t="s">
        <v>71</v>
      </c>
      <c r="J3182" t="s">
        <v>10782</v>
      </c>
      <c r="K3182" t="s">
        <v>23491</v>
      </c>
    </row>
    <row r="3183" spans="1:11" ht="158.4" x14ac:dyDescent="0.3">
      <c r="A3183" s="4" t="s">
        <v>6275</v>
      </c>
      <c r="B3183">
        <v>3</v>
      </c>
      <c r="C3183">
        <v>2020</v>
      </c>
      <c r="D3183" t="s">
        <v>11779</v>
      </c>
      <c r="E3183">
        <v>45</v>
      </c>
      <c r="F3183" t="s">
        <v>23492</v>
      </c>
      <c r="G3183" t="s">
        <v>23493</v>
      </c>
      <c r="H3183" s="4" t="s">
        <v>23494</v>
      </c>
      <c r="I3183" t="s">
        <v>71</v>
      </c>
      <c r="J3183" t="s">
        <v>10782</v>
      </c>
      <c r="K3183" t="s">
        <v>23495</v>
      </c>
    </row>
    <row r="3184" spans="1:11" ht="129.6" x14ac:dyDescent="0.3">
      <c r="A3184" s="4" t="s">
        <v>6276</v>
      </c>
      <c r="B3184">
        <v>3</v>
      </c>
      <c r="C3184">
        <v>2020</v>
      </c>
      <c r="D3184" t="s">
        <v>817</v>
      </c>
      <c r="E3184">
        <v>9</v>
      </c>
      <c r="F3184" t="s">
        <v>23496</v>
      </c>
      <c r="G3184" t="s">
        <v>23497</v>
      </c>
      <c r="H3184" s="4" t="s">
        <v>23498</v>
      </c>
      <c r="I3184" t="s">
        <v>71</v>
      </c>
      <c r="J3184" t="s">
        <v>10782</v>
      </c>
      <c r="K3184" t="s">
        <v>23499</v>
      </c>
    </row>
    <row r="3185" spans="1:11" ht="115.2" x14ac:dyDescent="0.3">
      <c r="A3185" s="4" t="s">
        <v>6277</v>
      </c>
      <c r="B3185">
        <v>3</v>
      </c>
      <c r="C3185">
        <v>2020</v>
      </c>
      <c r="D3185" t="s">
        <v>22707</v>
      </c>
      <c r="E3185">
        <v>16</v>
      </c>
      <c r="F3185" t="s">
        <v>23500</v>
      </c>
      <c r="G3185" t="s">
        <v>23501</v>
      </c>
      <c r="H3185" s="4" t="s">
        <v>23502</v>
      </c>
      <c r="I3185" t="s">
        <v>71</v>
      </c>
      <c r="J3185" t="s">
        <v>10782</v>
      </c>
      <c r="K3185" t="s">
        <v>23503</v>
      </c>
    </row>
    <row r="3186" spans="1:11" ht="43.2" x14ac:dyDescent="0.3">
      <c r="A3186" s="4" t="s">
        <v>6278</v>
      </c>
      <c r="B3186">
        <v>3</v>
      </c>
      <c r="C3186">
        <v>2020</v>
      </c>
      <c r="D3186" t="s">
        <v>799</v>
      </c>
      <c r="E3186">
        <v>35</v>
      </c>
      <c r="F3186" t="s">
        <v>23504</v>
      </c>
      <c r="G3186" t="s">
        <v>23505</v>
      </c>
      <c r="H3186" s="4" t="s">
        <v>23506</v>
      </c>
    </row>
    <row r="3187" spans="1:11" ht="187.2" x14ac:dyDescent="0.3">
      <c r="A3187" s="4" t="s">
        <v>6279</v>
      </c>
      <c r="B3187">
        <v>3</v>
      </c>
      <c r="C3187">
        <v>2020</v>
      </c>
      <c r="D3187" t="s">
        <v>1770</v>
      </c>
      <c r="E3187">
        <v>39</v>
      </c>
      <c r="F3187" t="s">
        <v>23507</v>
      </c>
      <c r="G3187" t="s">
        <v>23508</v>
      </c>
      <c r="H3187" s="4" t="s">
        <v>23509</v>
      </c>
      <c r="I3187" t="s">
        <v>71</v>
      </c>
      <c r="J3187" t="s">
        <v>10782</v>
      </c>
      <c r="K3187" t="s">
        <v>23510</v>
      </c>
    </row>
    <row r="3188" spans="1:11" ht="115.2" x14ac:dyDescent="0.3">
      <c r="A3188" s="4" t="s">
        <v>6280</v>
      </c>
      <c r="B3188">
        <v>3</v>
      </c>
      <c r="C3188">
        <v>2020</v>
      </c>
      <c r="D3188" t="s">
        <v>23457</v>
      </c>
      <c r="E3188">
        <v>0</v>
      </c>
      <c r="F3188" t="s">
        <v>23511</v>
      </c>
      <c r="G3188" t="s">
        <v>23512</v>
      </c>
      <c r="H3188" s="4" t="s">
        <v>23513</v>
      </c>
      <c r="I3188" t="s">
        <v>71</v>
      </c>
      <c r="J3188" t="s">
        <v>10782</v>
      </c>
      <c r="K3188" t="s">
        <v>23514</v>
      </c>
    </row>
    <row r="3189" spans="1:11" ht="72" x14ac:dyDescent="0.3">
      <c r="A3189" s="4" t="s">
        <v>6281</v>
      </c>
      <c r="B3189">
        <v>3</v>
      </c>
      <c r="C3189">
        <v>2020</v>
      </c>
      <c r="D3189" t="s">
        <v>637</v>
      </c>
      <c r="E3189">
        <v>11</v>
      </c>
      <c r="F3189" t="s">
        <v>23515</v>
      </c>
      <c r="G3189" t="s">
        <v>23516</v>
      </c>
      <c r="H3189" s="4" t="s">
        <v>23517</v>
      </c>
      <c r="I3189" t="s">
        <v>71</v>
      </c>
      <c r="J3189" t="s">
        <v>10782</v>
      </c>
      <c r="K3189" t="s">
        <v>23518</v>
      </c>
    </row>
    <row r="3190" spans="1:11" ht="115.2" x14ac:dyDescent="0.3">
      <c r="A3190" s="4" t="s">
        <v>6282</v>
      </c>
      <c r="B3190">
        <v>3</v>
      </c>
      <c r="C3190">
        <v>2020</v>
      </c>
      <c r="D3190" t="s">
        <v>385</v>
      </c>
      <c r="E3190">
        <v>4</v>
      </c>
      <c r="F3190" t="s">
        <v>23519</v>
      </c>
      <c r="G3190" t="s">
        <v>23520</v>
      </c>
      <c r="H3190" s="4" t="s">
        <v>23521</v>
      </c>
      <c r="I3190" t="s">
        <v>71</v>
      </c>
      <c r="J3190" t="s">
        <v>10782</v>
      </c>
      <c r="K3190" t="s">
        <v>23522</v>
      </c>
    </row>
    <row r="3191" spans="1:11" ht="28.8" x14ac:dyDescent="0.3">
      <c r="A3191" s="4" t="s">
        <v>6283</v>
      </c>
      <c r="B3191">
        <v>3</v>
      </c>
      <c r="C3191">
        <v>2020</v>
      </c>
      <c r="D3191" t="s">
        <v>1570</v>
      </c>
      <c r="E3191">
        <v>10</v>
      </c>
      <c r="F3191" t="s">
        <v>23523</v>
      </c>
      <c r="G3191" t="s">
        <v>23524</v>
      </c>
      <c r="H3191" s="4" t="s">
        <v>23525</v>
      </c>
    </row>
    <row r="3192" spans="1:11" ht="388.8" x14ac:dyDescent="0.3">
      <c r="A3192" s="4" t="s">
        <v>6284</v>
      </c>
      <c r="B3192">
        <v>3</v>
      </c>
      <c r="C3192">
        <v>2020</v>
      </c>
      <c r="D3192" t="s">
        <v>16937</v>
      </c>
      <c r="E3192">
        <v>36</v>
      </c>
      <c r="F3192" t="s">
        <v>23526</v>
      </c>
      <c r="G3192" t="s">
        <v>23527</v>
      </c>
      <c r="H3192" s="4" t="s">
        <v>23528</v>
      </c>
      <c r="I3192" t="s">
        <v>71</v>
      </c>
      <c r="J3192" t="s">
        <v>10782</v>
      </c>
      <c r="K3192" t="s">
        <v>23529</v>
      </c>
    </row>
    <row r="3193" spans="1:11" ht="244.8" x14ac:dyDescent="0.3">
      <c r="A3193" s="4" t="s">
        <v>6285</v>
      </c>
      <c r="B3193">
        <v>3</v>
      </c>
      <c r="C3193">
        <v>2020</v>
      </c>
      <c r="D3193" t="s">
        <v>329</v>
      </c>
      <c r="E3193">
        <v>7</v>
      </c>
      <c r="F3193" t="s">
        <v>23530</v>
      </c>
      <c r="G3193" t="s">
        <v>23531</v>
      </c>
      <c r="H3193" s="4" t="s">
        <v>23532</v>
      </c>
      <c r="I3193" t="s">
        <v>71</v>
      </c>
      <c r="J3193" t="s">
        <v>10782</v>
      </c>
      <c r="K3193" t="s">
        <v>23533</v>
      </c>
    </row>
    <row r="3194" spans="1:11" ht="187.2" x14ac:dyDescent="0.3">
      <c r="A3194" s="4" t="s">
        <v>6286</v>
      </c>
      <c r="B3194">
        <v>3</v>
      </c>
      <c r="C3194">
        <v>2020</v>
      </c>
      <c r="D3194" t="s">
        <v>13254</v>
      </c>
      <c r="E3194">
        <v>11</v>
      </c>
      <c r="F3194" t="s">
        <v>23534</v>
      </c>
      <c r="G3194" t="s">
        <v>23535</v>
      </c>
      <c r="H3194" s="4" t="s">
        <v>23536</v>
      </c>
    </row>
    <row r="3195" spans="1:11" ht="100.8" x14ac:dyDescent="0.3">
      <c r="A3195" s="4" t="s">
        <v>3349</v>
      </c>
      <c r="B3195">
        <v>1</v>
      </c>
      <c r="C3195">
        <v>2020</v>
      </c>
      <c r="D3195" t="s">
        <v>23537</v>
      </c>
      <c r="E3195">
        <v>15</v>
      </c>
      <c r="F3195" t="s">
        <v>23538</v>
      </c>
      <c r="G3195" t="s">
        <v>23539</v>
      </c>
      <c r="H3195" s="4" t="s">
        <v>23540</v>
      </c>
      <c r="I3195" t="s">
        <v>71</v>
      </c>
      <c r="J3195" t="s">
        <v>10782</v>
      </c>
      <c r="K3195" t="s">
        <v>23541</v>
      </c>
    </row>
    <row r="3196" spans="1:11" ht="144" x14ac:dyDescent="0.3">
      <c r="A3196" s="4" t="s">
        <v>6287</v>
      </c>
      <c r="B3196">
        <v>3</v>
      </c>
      <c r="C3196">
        <v>2020</v>
      </c>
      <c r="D3196" t="s">
        <v>12593</v>
      </c>
      <c r="E3196">
        <v>6</v>
      </c>
      <c r="F3196" t="s">
        <v>23542</v>
      </c>
      <c r="G3196" t="s">
        <v>23543</v>
      </c>
      <c r="H3196" s="4" t="s">
        <v>23544</v>
      </c>
    </row>
    <row r="3197" spans="1:11" ht="172.8" x14ac:dyDescent="0.3">
      <c r="A3197" s="4" t="s">
        <v>1461</v>
      </c>
      <c r="B3197">
        <v>1</v>
      </c>
      <c r="C3197">
        <v>2020</v>
      </c>
      <c r="D3197" t="s">
        <v>1525</v>
      </c>
      <c r="E3197">
        <v>18</v>
      </c>
      <c r="F3197" t="s">
        <v>23545</v>
      </c>
      <c r="G3197" t="s">
        <v>23546</v>
      </c>
      <c r="H3197" s="4" t="s">
        <v>23547</v>
      </c>
      <c r="I3197" t="s">
        <v>71</v>
      </c>
      <c r="J3197" t="s">
        <v>10782</v>
      </c>
      <c r="K3197" t="s">
        <v>23548</v>
      </c>
    </row>
    <row r="3198" spans="1:11" ht="158.4" x14ac:dyDescent="0.3">
      <c r="A3198" s="4" t="s">
        <v>6288</v>
      </c>
      <c r="B3198">
        <v>3</v>
      </c>
      <c r="C3198">
        <v>2020</v>
      </c>
      <c r="D3198" t="s">
        <v>550</v>
      </c>
      <c r="E3198">
        <v>4</v>
      </c>
      <c r="F3198" t="s">
        <v>23549</v>
      </c>
      <c r="G3198" t="s">
        <v>23550</v>
      </c>
      <c r="H3198" s="4" t="s">
        <v>23551</v>
      </c>
      <c r="I3198" t="s">
        <v>71</v>
      </c>
      <c r="J3198" t="s">
        <v>10782</v>
      </c>
      <c r="K3198" t="s">
        <v>23552</v>
      </c>
    </row>
    <row r="3199" spans="1:11" ht="172.8" x14ac:dyDescent="0.3">
      <c r="A3199" s="4" t="s">
        <v>6289</v>
      </c>
      <c r="B3199">
        <v>3</v>
      </c>
      <c r="C3199">
        <v>2020</v>
      </c>
      <c r="D3199" t="s">
        <v>21508</v>
      </c>
      <c r="E3199">
        <v>2</v>
      </c>
      <c r="G3199" t="s">
        <v>23553</v>
      </c>
      <c r="H3199" s="4" t="s">
        <v>23554</v>
      </c>
      <c r="I3199" s="4" t="s">
        <v>71</v>
      </c>
      <c r="J3199" t="s">
        <v>10782</v>
      </c>
      <c r="K3199" t="s">
        <v>23555</v>
      </c>
    </row>
    <row r="3200" spans="1:11" ht="115.2" x14ac:dyDescent="0.3">
      <c r="A3200" s="4" t="s">
        <v>3350</v>
      </c>
      <c r="B3200">
        <v>1</v>
      </c>
      <c r="C3200">
        <v>2020</v>
      </c>
      <c r="D3200" t="s">
        <v>405</v>
      </c>
      <c r="E3200">
        <v>43</v>
      </c>
      <c r="F3200" t="s">
        <v>23556</v>
      </c>
      <c r="G3200" t="s">
        <v>23557</v>
      </c>
      <c r="H3200" s="4" t="s">
        <v>23558</v>
      </c>
      <c r="I3200" t="s">
        <v>71</v>
      </c>
      <c r="J3200" t="s">
        <v>10782</v>
      </c>
      <c r="K3200" t="s">
        <v>23559</v>
      </c>
    </row>
    <row r="3201" spans="1:11" ht="158.4" x14ac:dyDescent="0.3">
      <c r="A3201" s="4" t="s">
        <v>6290</v>
      </c>
      <c r="B3201">
        <v>3</v>
      </c>
      <c r="C3201">
        <v>2020</v>
      </c>
      <c r="D3201" t="s">
        <v>177</v>
      </c>
      <c r="E3201">
        <v>19</v>
      </c>
      <c r="F3201" t="s">
        <v>23560</v>
      </c>
      <c r="G3201" t="s">
        <v>23561</v>
      </c>
      <c r="H3201" s="4" t="s">
        <v>23562</v>
      </c>
      <c r="I3201" t="s">
        <v>71</v>
      </c>
      <c r="J3201" t="s">
        <v>10782</v>
      </c>
      <c r="K3201" t="s">
        <v>23563</v>
      </c>
    </row>
    <row r="3202" spans="1:11" ht="86.4" x14ac:dyDescent="0.3">
      <c r="A3202" s="4" t="s">
        <v>1462</v>
      </c>
      <c r="B3202">
        <v>1</v>
      </c>
      <c r="C3202">
        <v>2020</v>
      </c>
      <c r="D3202" t="s">
        <v>1530</v>
      </c>
      <c r="E3202">
        <v>15</v>
      </c>
      <c r="F3202" t="s">
        <v>23564</v>
      </c>
      <c r="G3202" t="s">
        <v>23565</v>
      </c>
      <c r="H3202" s="4" t="s">
        <v>23566</v>
      </c>
    </row>
    <row r="3203" spans="1:11" ht="201.6" x14ac:dyDescent="0.3">
      <c r="A3203" s="4" t="s">
        <v>6291</v>
      </c>
      <c r="B3203">
        <v>3</v>
      </c>
      <c r="C3203">
        <v>2020</v>
      </c>
      <c r="D3203" t="s">
        <v>799</v>
      </c>
      <c r="E3203">
        <v>17</v>
      </c>
      <c r="F3203" t="s">
        <v>23567</v>
      </c>
      <c r="G3203" t="s">
        <v>23568</v>
      </c>
      <c r="H3203" s="4" t="s">
        <v>23569</v>
      </c>
      <c r="I3203" t="s">
        <v>71</v>
      </c>
      <c r="J3203" t="s">
        <v>10782</v>
      </c>
      <c r="K3203" t="s">
        <v>23570</v>
      </c>
    </row>
    <row r="3204" spans="1:11" ht="187.2" x14ac:dyDescent="0.3">
      <c r="A3204" s="4" t="s">
        <v>3351</v>
      </c>
      <c r="B3204">
        <v>1</v>
      </c>
      <c r="C3204">
        <v>2020</v>
      </c>
      <c r="D3204" t="s">
        <v>550</v>
      </c>
      <c r="E3204">
        <v>55</v>
      </c>
      <c r="F3204" t="s">
        <v>23571</v>
      </c>
      <c r="G3204" t="s">
        <v>23572</v>
      </c>
      <c r="H3204" s="4" t="s">
        <v>23573</v>
      </c>
      <c r="I3204" t="s">
        <v>71</v>
      </c>
      <c r="J3204" t="s">
        <v>10782</v>
      </c>
      <c r="K3204" t="s">
        <v>23574</v>
      </c>
    </row>
    <row r="3205" spans="1:11" ht="158.4" x14ac:dyDescent="0.3">
      <c r="A3205" s="4" t="s">
        <v>6292</v>
      </c>
      <c r="B3205">
        <v>3</v>
      </c>
      <c r="C3205">
        <v>2020</v>
      </c>
      <c r="D3205" t="s">
        <v>23468</v>
      </c>
      <c r="E3205">
        <v>26</v>
      </c>
      <c r="F3205" t="s">
        <v>23575</v>
      </c>
      <c r="G3205" t="s">
        <v>23576</v>
      </c>
      <c r="H3205" s="4" t="s">
        <v>23577</v>
      </c>
      <c r="I3205" t="s">
        <v>71</v>
      </c>
      <c r="J3205" t="s">
        <v>10782</v>
      </c>
      <c r="K3205" t="s">
        <v>23578</v>
      </c>
    </row>
    <row r="3206" spans="1:11" ht="100.8" x14ac:dyDescent="0.3">
      <c r="A3206" s="4" t="s">
        <v>6293</v>
      </c>
      <c r="B3206">
        <v>3</v>
      </c>
      <c r="C3206">
        <v>2020</v>
      </c>
      <c r="D3206" t="s">
        <v>23579</v>
      </c>
      <c r="E3206">
        <v>21</v>
      </c>
      <c r="F3206" t="s">
        <v>23580</v>
      </c>
      <c r="G3206" t="s">
        <v>23581</v>
      </c>
      <c r="H3206" s="4" t="s">
        <v>23582</v>
      </c>
    </row>
    <row r="3207" spans="1:11" ht="28.8" x14ac:dyDescent="0.3">
      <c r="A3207" s="4" t="s">
        <v>6294</v>
      </c>
      <c r="B3207">
        <v>3</v>
      </c>
      <c r="C3207">
        <v>2020</v>
      </c>
      <c r="D3207" t="s">
        <v>1570</v>
      </c>
      <c r="E3207">
        <v>0</v>
      </c>
      <c r="F3207" t="s">
        <v>23583</v>
      </c>
      <c r="G3207" t="s">
        <v>23584</v>
      </c>
      <c r="H3207" s="4" t="s">
        <v>23585</v>
      </c>
    </row>
    <row r="3208" spans="1:11" ht="172.8" x14ac:dyDescent="0.3">
      <c r="A3208" s="4" t="s">
        <v>6295</v>
      </c>
      <c r="B3208">
        <v>3</v>
      </c>
      <c r="C3208">
        <v>2020</v>
      </c>
      <c r="D3208" t="s">
        <v>13254</v>
      </c>
      <c r="E3208">
        <v>1</v>
      </c>
      <c r="F3208" t="s">
        <v>23586</v>
      </c>
      <c r="G3208" t="s">
        <v>23587</v>
      </c>
      <c r="H3208" s="4" t="s">
        <v>23588</v>
      </c>
      <c r="I3208" t="s">
        <v>71</v>
      </c>
      <c r="J3208" t="s">
        <v>10782</v>
      </c>
      <c r="K3208" t="s">
        <v>23589</v>
      </c>
    </row>
    <row r="3209" spans="1:11" ht="158.4" x14ac:dyDescent="0.3">
      <c r="A3209" s="4" t="s">
        <v>6296</v>
      </c>
      <c r="B3209">
        <v>3</v>
      </c>
      <c r="C3209">
        <v>2020</v>
      </c>
      <c r="D3209" t="s">
        <v>1794</v>
      </c>
      <c r="E3209">
        <v>1</v>
      </c>
      <c r="F3209" t="s">
        <v>23590</v>
      </c>
      <c r="G3209" t="s">
        <v>23591</v>
      </c>
      <c r="H3209" s="4" t="s">
        <v>23592</v>
      </c>
      <c r="I3209" t="s">
        <v>71</v>
      </c>
      <c r="J3209" t="s">
        <v>10782</v>
      </c>
      <c r="K3209" t="s">
        <v>23593</v>
      </c>
    </row>
    <row r="3210" spans="1:11" ht="187.2" x14ac:dyDescent="0.3">
      <c r="A3210" s="4" t="s">
        <v>6297</v>
      </c>
      <c r="B3210">
        <v>3</v>
      </c>
      <c r="C3210">
        <v>2020</v>
      </c>
      <c r="D3210" t="s">
        <v>2853</v>
      </c>
      <c r="E3210">
        <v>11</v>
      </c>
      <c r="F3210" t="s">
        <v>23594</v>
      </c>
      <c r="G3210" t="s">
        <v>23595</v>
      </c>
      <c r="H3210" s="4" t="s">
        <v>23596</v>
      </c>
      <c r="I3210" t="s">
        <v>71</v>
      </c>
      <c r="J3210" t="s">
        <v>10782</v>
      </c>
      <c r="K3210" t="s">
        <v>23597</v>
      </c>
    </row>
    <row r="3211" spans="1:11" ht="187.2" x14ac:dyDescent="0.3">
      <c r="A3211" s="4" t="s">
        <v>6298</v>
      </c>
      <c r="B3211">
        <v>3</v>
      </c>
      <c r="C3211">
        <v>2020</v>
      </c>
      <c r="D3211" t="s">
        <v>23579</v>
      </c>
      <c r="E3211">
        <v>26</v>
      </c>
      <c r="F3211" t="s">
        <v>23598</v>
      </c>
      <c r="G3211" t="s">
        <v>23599</v>
      </c>
      <c r="H3211" s="4" t="s">
        <v>23600</v>
      </c>
    </row>
    <row r="3212" spans="1:11" ht="129.6" x14ac:dyDescent="0.3">
      <c r="A3212" s="4" t="s">
        <v>6299</v>
      </c>
      <c r="B3212">
        <v>3</v>
      </c>
      <c r="C3212">
        <v>2020</v>
      </c>
      <c r="D3212" t="s">
        <v>14623</v>
      </c>
      <c r="E3212">
        <v>16</v>
      </c>
      <c r="F3212" t="s">
        <v>23601</v>
      </c>
      <c r="G3212" t="s">
        <v>23602</v>
      </c>
      <c r="H3212" s="4" t="s">
        <v>23603</v>
      </c>
      <c r="I3212" t="s">
        <v>71</v>
      </c>
      <c r="J3212" t="s">
        <v>10782</v>
      </c>
      <c r="K3212" t="s">
        <v>23604</v>
      </c>
    </row>
    <row r="3213" spans="1:11" ht="100.8" x14ac:dyDescent="0.3">
      <c r="A3213" s="4" t="s">
        <v>6300</v>
      </c>
      <c r="B3213">
        <v>3</v>
      </c>
      <c r="C3213">
        <v>2020</v>
      </c>
      <c r="D3213" t="s">
        <v>23605</v>
      </c>
      <c r="E3213">
        <v>3</v>
      </c>
      <c r="F3213" t="s">
        <v>23606</v>
      </c>
      <c r="G3213" t="s">
        <v>23607</v>
      </c>
      <c r="H3213" s="4" t="s">
        <v>23608</v>
      </c>
      <c r="I3213" t="s">
        <v>71</v>
      </c>
      <c r="J3213" t="s">
        <v>10782</v>
      </c>
      <c r="K3213" t="s">
        <v>23609</v>
      </c>
    </row>
    <row r="3214" spans="1:11" ht="115.2" x14ac:dyDescent="0.3">
      <c r="A3214" s="4" t="s">
        <v>6301</v>
      </c>
      <c r="B3214">
        <v>3</v>
      </c>
      <c r="C3214">
        <v>2020</v>
      </c>
      <c r="D3214" t="s">
        <v>15254</v>
      </c>
      <c r="E3214">
        <v>4</v>
      </c>
      <c r="F3214" t="s">
        <v>23610</v>
      </c>
      <c r="G3214" t="s">
        <v>23611</v>
      </c>
      <c r="H3214" s="4" t="s">
        <v>23612</v>
      </c>
      <c r="I3214" t="s">
        <v>71</v>
      </c>
      <c r="J3214" t="s">
        <v>10782</v>
      </c>
      <c r="K3214" t="s">
        <v>23613</v>
      </c>
    </row>
    <row r="3215" spans="1:11" ht="244.8" x14ac:dyDescent="0.3">
      <c r="A3215" s="4" t="s">
        <v>6302</v>
      </c>
      <c r="B3215">
        <v>3</v>
      </c>
      <c r="C3215">
        <v>2020</v>
      </c>
      <c r="D3215" t="s">
        <v>704</v>
      </c>
      <c r="E3215">
        <v>14</v>
      </c>
      <c r="F3215" t="s">
        <v>23614</v>
      </c>
      <c r="G3215" t="s">
        <v>23615</v>
      </c>
      <c r="H3215" s="4" t="s">
        <v>23616</v>
      </c>
      <c r="I3215" t="s">
        <v>71</v>
      </c>
      <c r="J3215" t="s">
        <v>10782</v>
      </c>
      <c r="K3215" t="s">
        <v>23617</v>
      </c>
    </row>
    <row r="3216" spans="1:11" ht="158.4" x14ac:dyDescent="0.3">
      <c r="A3216" s="4" t="s">
        <v>6303</v>
      </c>
      <c r="B3216">
        <v>3</v>
      </c>
      <c r="C3216">
        <v>2020</v>
      </c>
      <c r="D3216" t="s">
        <v>10924</v>
      </c>
      <c r="E3216">
        <v>7</v>
      </c>
      <c r="F3216" t="s">
        <v>23618</v>
      </c>
      <c r="G3216" t="s">
        <v>23619</v>
      </c>
      <c r="H3216" s="4" t="s">
        <v>23620</v>
      </c>
      <c r="I3216" t="s">
        <v>71</v>
      </c>
      <c r="J3216" t="s">
        <v>10782</v>
      </c>
      <c r="K3216" t="s">
        <v>23621</v>
      </c>
    </row>
    <row r="3217" spans="1:11" ht="144" x14ac:dyDescent="0.3">
      <c r="A3217" s="4" t="s">
        <v>6304</v>
      </c>
      <c r="B3217">
        <v>3</v>
      </c>
      <c r="C3217">
        <v>2020</v>
      </c>
      <c r="D3217" t="s">
        <v>22707</v>
      </c>
      <c r="E3217">
        <v>15</v>
      </c>
      <c r="F3217" t="s">
        <v>23622</v>
      </c>
      <c r="G3217" t="s">
        <v>23623</v>
      </c>
      <c r="H3217" s="4" t="s">
        <v>23624</v>
      </c>
    </row>
    <row r="3218" spans="1:11" ht="345.6" x14ac:dyDescent="0.3">
      <c r="A3218" s="4" t="s">
        <v>6305</v>
      </c>
      <c r="B3218">
        <v>3</v>
      </c>
      <c r="C3218">
        <v>2020</v>
      </c>
      <c r="D3218" t="s">
        <v>10924</v>
      </c>
      <c r="E3218">
        <v>17</v>
      </c>
      <c r="F3218" t="s">
        <v>23625</v>
      </c>
      <c r="G3218" t="s">
        <v>23626</v>
      </c>
      <c r="H3218" s="4" t="s">
        <v>23627</v>
      </c>
      <c r="I3218" t="s">
        <v>71</v>
      </c>
      <c r="J3218" t="s">
        <v>10782</v>
      </c>
      <c r="K3218" t="s">
        <v>23628</v>
      </c>
    </row>
    <row r="3219" spans="1:11" ht="216" x14ac:dyDescent="0.3">
      <c r="A3219" s="4" t="s">
        <v>6306</v>
      </c>
      <c r="B3219">
        <v>3</v>
      </c>
      <c r="C3219">
        <v>2020</v>
      </c>
      <c r="D3219" t="s">
        <v>1530</v>
      </c>
      <c r="E3219">
        <v>3</v>
      </c>
      <c r="F3219" t="s">
        <v>23629</v>
      </c>
      <c r="G3219" t="s">
        <v>23630</v>
      </c>
      <c r="H3219" s="4" t="s">
        <v>23631</v>
      </c>
      <c r="I3219" t="s">
        <v>71</v>
      </c>
      <c r="J3219" t="s">
        <v>10782</v>
      </c>
      <c r="K3219" t="s">
        <v>23632</v>
      </c>
    </row>
    <row r="3220" spans="1:11" ht="158.4" x14ac:dyDescent="0.3">
      <c r="A3220" s="4" t="s">
        <v>6307</v>
      </c>
      <c r="B3220">
        <v>3</v>
      </c>
      <c r="C3220">
        <v>2020</v>
      </c>
      <c r="D3220" t="s">
        <v>704</v>
      </c>
      <c r="E3220">
        <v>4</v>
      </c>
      <c r="F3220" t="s">
        <v>23633</v>
      </c>
      <c r="G3220" t="s">
        <v>23634</v>
      </c>
      <c r="H3220" s="4" t="s">
        <v>23635</v>
      </c>
      <c r="I3220" t="s">
        <v>71</v>
      </c>
      <c r="J3220" t="s">
        <v>10782</v>
      </c>
      <c r="K3220" t="s">
        <v>23636</v>
      </c>
    </row>
    <row r="3221" spans="1:11" ht="172.8" x14ac:dyDescent="0.3">
      <c r="A3221" s="4" t="s">
        <v>6308</v>
      </c>
      <c r="B3221">
        <v>3</v>
      </c>
      <c r="C3221">
        <v>2020</v>
      </c>
      <c r="D3221" t="s">
        <v>782</v>
      </c>
      <c r="E3221">
        <v>20</v>
      </c>
      <c r="F3221" t="s">
        <v>23637</v>
      </c>
      <c r="G3221" t="s">
        <v>23638</v>
      </c>
      <c r="H3221" s="4" t="s">
        <v>23639</v>
      </c>
      <c r="I3221" t="s">
        <v>71</v>
      </c>
      <c r="J3221" t="s">
        <v>10782</v>
      </c>
      <c r="K3221" t="s">
        <v>23640</v>
      </c>
    </row>
    <row r="3222" spans="1:11" ht="273.60000000000002" x14ac:dyDescent="0.3">
      <c r="A3222" s="4" t="s">
        <v>6309</v>
      </c>
      <c r="B3222">
        <v>3</v>
      </c>
      <c r="C3222">
        <v>2020</v>
      </c>
      <c r="D3222" t="s">
        <v>637</v>
      </c>
      <c r="E3222">
        <v>20</v>
      </c>
      <c r="F3222" t="s">
        <v>23641</v>
      </c>
      <c r="G3222" t="s">
        <v>23642</v>
      </c>
      <c r="H3222" s="4" t="s">
        <v>23643</v>
      </c>
      <c r="I3222" t="s">
        <v>71</v>
      </c>
      <c r="J3222" t="s">
        <v>10782</v>
      </c>
      <c r="K3222" t="s">
        <v>23644</v>
      </c>
    </row>
    <row r="3223" spans="1:11" ht="187.2" x14ac:dyDescent="0.3">
      <c r="A3223" s="4" t="s">
        <v>6310</v>
      </c>
      <c r="B3223">
        <v>3</v>
      </c>
      <c r="C3223">
        <v>2020</v>
      </c>
      <c r="D3223" t="s">
        <v>2853</v>
      </c>
      <c r="E3223">
        <v>29</v>
      </c>
      <c r="F3223" t="s">
        <v>23645</v>
      </c>
      <c r="G3223" t="s">
        <v>23646</v>
      </c>
      <c r="H3223" s="4" t="s">
        <v>23647</v>
      </c>
      <c r="I3223" t="s">
        <v>71</v>
      </c>
      <c r="J3223" t="s">
        <v>10782</v>
      </c>
      <c r="K3223" t="s">
        <v>23648</v>
      </c>
    </row>
    <row r="3224" spans="1:11" ht="172.8" x14ac:dyDescent="0.3">
      <c r="A3224" s="4" t="s">
        <v>6311</v>
      </c>
      <c r="B3224">
        <v>3</v>
      </c>
      <c r="C3224">
        <v>2020</v>
      </c>
      <c r="D3224" t="s">
        <v>637</v>
      </c>
      <c r="E3224">
        <v>46</v>
      </c>
      <c r="F3224" t="s">
        <v>23649</v>
      </c>
      <c r="G3224" t="s">
        <v>23650</v>
      </c>
      <c r="H3224" s="4" t="s">
        <v>23651</v>
      </c>
      <c r="I3224" t="s">
        <v>71</v>
      </c>
      <c r="J3224" t="s">
        <v>10782</v>
      </c>
      <c r="K3224" t="s">
        <v>23652</v>
      </c>
    </row>
    <row r="3225" spans="1:11" ht="115.2" x14ac:dyDescent="0.3">
      <c r="A3225" s="4" t="s">
        <v>3569</v>
      </c>
      <c r="B3225">
        <v>2</v>
      </c>
      <c r="C3225">
        <v>2020</v>
      </c>
      <c r="D3225" t="s">
        <v>1530</v>
      </c>
      <c r="E3225">
        <v>11</v>
      </c>
      <c r="F3225" t="s">
        <v>23653</v>
      </c>
      <c r="G3225" t="s">
        <v>23654</v>
      </c>
      <c r="H3225" s="4" t="s">
        <v>23655</v>
      </c>
    </row>
    <row r="3226" spans="1:11" ht="172.8" x14ac:dyDescent="0.3">
      <c r="A3226" s="4" t="s">
        <v>6312</v>
      </c>
      <c r="B3226">
        <v>3</v>
      </c>
      <c r="C3226">
        <v>2020</v>
      </c>
      <c r="D3226" t="s">
        <v>217</v>
      </c>
      <c r="E3226">
        <v>73</v>
      </c>
      <c r="F3226" t="s">
        <v>23656</v>
      </c>
      <c r="G3226" t="s">
        <v>23657</v>
      </c>
      <c r="H3226" s="4" t="s">
        <v>23658</v>
      </c>
      <c r="I3226" t="s">
        <v>71</v>
      </c>
      <c r="J3226" t="s">
        <v>10782</v>
      </c>
      <c r="K3226" t="s">
        <v>23659</v>
      </c>
    </row>
    <row r="3227" spans="1:11" ht="187.2" x14ac:dyDescent="0.3">
      <c r="A3227" s="4" t="s">
        <v>6313</v>
      </c>
      <c r="B3227">
        <v>3</v>
      </c>
      <c r="C3227">
        <v>2020</v>
      </c>
      <c r="D3227" t="s">
        <v>13394</v>
      </c>
      <c r="E3227">
        <v>12</v>
      </c>
      <c r="F3227" t="s">
        <v>23660</v>
      </c>
      <c r="G3227" t="s">
        <v>23661</v>
      </c>
      <c r="H3227" s="4" t="s">
        <v>23662</v>
      </c>
      <c r="I3227" t="s">
        <v>71</v>
      </c>
      <c r="J3227" t="s">
        <v>10782</v>
      </c>
      <c r="K3227" t="s">
        <v>23663</v>
      </c>
    </row>
    <row r="3228" spans="1:11" ht="172.8" x14ac:dyDescent="0.3">
      <c r="A3228" s="4" t="s">
        <v>3570</v>
      </c>
      <c r="B3228">
        <v>2</v>
      </c>
      <c r="C3228">
        <v>2020</v>
      </c>
      <c r="D3228" t="s">
        <v>23664</v>
      </c>
      <c r="E3228">
        <v>2</v>
      </c>
      <c r="F3228" t="s">
        <v>23665</v>
      </c>
      <c r="G3228" t="s">
        <v>23666</v>
      </c>
      <c r="H3228" s="4" t="s">
        <v>23667</v>
      </c>
      <c r="I3228" t="s">
        <v>71</v>
      </c>
      <c r="J3228" t="s">
        <v>10782</v>
      </c>
      <c r="K3228" t="s">
        <v>23668</v>
      </c>
    </row>
    <row r="3229" spans="1:11" ht="201.6" x14ac:dyDescent="0.3">
      <c r="A3229" s="4" t="s">
        <v>3571</v>
      </c>
      <c r="B3229">
        <v>2</v>
      </c>
      <c r="C3229">
        <v>2020</v>
      </c>
      <c r="D3229" t="s">
        <v>1570</v>
      </c>
      <c r="E3229">
        <v>2</v>
      </c>
      <c r="F3229" t="s">
        <v>23669</v>
      </c>
      <c r="G3229" t="s">
        <v>23670</v>
      </c>
      <c r="H3229" s="4" t="s">
        <v>23671</v>
      </c>
    </row>
    <row r="3230" spans="1:11" ht="115.2" x14ac:dyDescent="0.3">
      <c r="A3230" s="4" t="s">
        <v>6314</v>
      </c>
      <c r="B3230">
        <v>3</v>
      </c>
      <c r="C3230">
        <v>2020</v>
      </c>
      <c r="D3230" t="s">
        <v>482</v>
      </c>
      <c r="E3230">
        <v>48</v>
      </c>
      <c r="F3230" t="s">
        <v>23672</v>
      </c>
      <c r="G3230" t="s">
        <v>23673</v>
      </c>
      <c r="H3230" s="4" t="s">
        <v>23674</v>
      </c>
      <c r="I3230" t="s">
        <v>71</v>
      </c>
      <c r="J3230" t="s">
        <v>10782</v>
      </c>
      <c r="K3230" t="s">
        <v>23675</v>
      </c>
    </row>
    <row r="3231" spans="1:11" ht="230.4" x14ac:dyDescent="0.3">
      <c r="A3231" s="4" t="s">
        <v>6315</v>
      </c>
      <c r="B3231">
        <v>3</v>
      </c>
      <c r="C3231">
        <v>2020</v>
      </c>
      <c r="D3231" t="s">
        <v>16189</v>
      </c>
      <c r="E3231">
        <v>23</v>
      </c>
      <c r="F3231" t="s">
        <v>23676</v>
      </c>
      <c r="G3231" t="s">
        <v>23677</v>
      </c>
      <c r="H3231" s="4" t="s">
        <v>23678</v>
      </c>
      <c r="I3231" t="s">
        <v>71</v>
      </c>
      <c r="J3231" t="s">
        <v>10782</v>
      </c>
      <c r="K3231" t="s">
        <v>23679</v>
      </c>
    </row>
    <row r="3232" spans="1:11" ht="72" x14ac:dyDescent="0.3">
      <c r="A3232" s="4" t="s">
        <v>6316</v>
      </c>
      <c r="B3232">
        <v>3</v>
      </c>
      <c r="C3232">
        <v>2020</v>
      </c>
      <c r="D3232" t="s">
        <v>10924</v>
      </c>
      <c r="E3232">
        <v>31</v>
      </c>
      <c r="F3232" t="s">
        <v>23680</v>
      </c>
      <c r="G3232" t="s">
        <v>23681</v>
      </c>
      <c r="H3232" s="4" t="s">
        <v>23682</v>
      </c>
    </row>
    <row r="3233" spans="1:11" ht="244.8" x14ac:dyDescent="0.3">
      <c r="A3233" s="4" t="s">
        <v>6317</v>
      </c>
      <c r="B3233">
        <v>3</v>
      </c>
      <c r="C3233">
        <v>2020</v>
      </c>
      <c r="D3233" t="s">
        <v>1570</v>
      </c>
      <c r="E3233">
        <v>5</v>
      </c>
      <c r="F3233" t="s">
        <v>23683</v>
      </c>
      <c r="G3233" t="s">
        <v>23684</v>
      </c>
      <c r="H3233" s="4" t="s">
        <v>23685</v>
      </c>
      <c r="I3233" t="s">
        <v>71</v>
      </c>
      <c r="J3233" t="s">
        <v>10782</v>
      </c>
      <c r="K3233" t="s">
        <v>23686</v>
      </c>
    </row>
    <row r="3234" spans="1:11" ht="86.4" x14ac:dyDescent="0.3">
      <c r="A3234" s="4" t="s">
        <v>6318</v>
      </c>
      <c r="B3234">
        <v>3</v>
      </c>
      <c r="C3234">
        <v>2020</v>
      </c>
      <c r="D3234" t="s">
        <v>318</v>
      </c>
      <c r="E3234">
        <v>43</v>
      </c>
      <c r="F3234" t="s">
        <v>23687</v>
      </c>
      <c r="G3234" t="s">
        <v>23688</v>
      </c>
      <c r="H3234" s="4" t="s">
        <v>23689</v>
      </c>
    </row>
    <row r="3235" spans="1:11" ht="144" x14ac:dyDescent="0.3">
      <c r="A3235" s="4" t="s">
        <v>3352</v>
      </c>
      <c r="B3235">
        <v>1</v>
      </c>
      <c r="C3235">
        <v>2020</v>
      </c>
      <c r="D3235" t="s">
        <v>1570</v>
      </c>
      <c r="E3235">
        <v>2</v>
      </c>
      <c r="F3235" t="s">
        <v>23690</v>
      </c>
      <c r="G3235" t="s">
        <v>23691</v>
      </c>
      <c r="H3235" s="4" t="s">
        <v>23692</v>
      </c>
    </row>
    <row r="3236" spans="1:11" ht="172.8" x14ac:dyDescent="0.3">
      <c r="A3236" s="4" t="s">
        <v>6319</v>
      </c>
      <c r="B3236">
        <v>3</v>
      </c>
      <c r="C3236">
        <v>2020</v>
      </c>
      <c r="D3236" t="s">
        <v>1175</v>
      </c>
      <c r="E3236">
        <v>0</v>
      </c>
      <c r="F3236" t="s">
        <v>23693</v>
      </c>
      <c r="G3236" t="s">
        <v>23694</v>
      </c>
      <c r="H3236" s="4" t="s">
        <v>23695</v>
      </c>
    </row>
    <row r="3237" spans="1:11" ht="187.2" x14ac:dyDescent="0.3">
      <c r="A3237" s="4" t="s">
        <v>6320</v>
      </c>
      <c r="B3237">
        <v>3</v>
      </c>
      <c r="C3237">
        <v>2020</v>
      </c>
      <c r="D3237" t="s">
        <v>2853</v>
      </c>
      <c r="E3237">
        <v>14</v>
      </c>
      <c r="F3237" t="s">
        <v>23696</v>
      </c>
      <c r="G3237" t="s">
        <v>23697</v>
      </c>
      <c r="H3237" s="4" t="s">
        <v>23698</v>
      </c>
      <c r="I3237" t="s">
        <v>71</v>
      </c>
      <c r="J3237" t="s">
        <v>10782</v>
      </c>
      <c r="K3237" t="s">
        <v>23699</v>
      </c>
    </row>
    <row r="3238" spans="1:11" ht="129.6" x14ac:dyDescent="0.3">
      <c r="A3238" s="4" t="s">
        <v>6321</v>
      </c>
      <c r="B3238">
        <v>3</v>
      </c>
      <c r="C3238">
        <v>2020</v>
      </c>
      <c r="D3238" t="s">
        <v>10796</v>
      </c>
      <c r="E3238">
        <v>4</v>
      </c>
      <c r="F3238" t="s">
        <v>23700</v>
      </c>
      <c r="G3238" t="s">
        <v>23701</v>
      </c>
      <c r="H3238" s="4" t="s">
        <v>23702</v>
      </c>
      <c r="I3238" t="s">
        <v>71</v>
      </c>
      <c r="J3238" t="s">
        <v>10782</v>
      </c>
      <c r="K3238" t="s">
        <v>23703</v>
      </c>
    </row>
    <row r="3239" spans="1:11" ht="187.2" x14ac:dyDescent="0.3">
      <c r="A3239" s="4" t="s">
        <v>6322</v>
      </c>
      <c r="B3239">
        <v>3</v>
      </c>
      <c r="C3239">
        <v>2020</v>
      </c>
      <c r="D3239" t="s">
        <v>782</v>
      </c>
      <c r="E3239">
        <v>25</v>
      </c>
      <c r="F3239" t="s">
        <v>23704</v>
      </c>
      <c r="G3239" t="s">
        <v>23705</v>
      </c>
      <c r="H3239" s="4" t="s">
        <v>23706</v>
      </c>
      <c r="I3239" t="s">
        <v>71</v>
      </c>
      <c r="J3239" t="s">
        <v>10782</v>
      </c>
      <c r="K3239" t="s">
        <v>23707</v>
      </c>
    </row>
    <row r="3240" spans="1:11" ht="187.2" x14ac:dyDescent="0.3">
      <c r="A3240" s="4" t="s">
        <v>6323</v>
      </c>
      <c r="B3240">
        <v>3</v>
      </c>
      <c r="C3240">
        <v>2020</v>
      </c>
      <c r="D3240" t="s">
        <v>13049</v>
      </c>
      <c r="E3240">
        <v>7</v>
      </c>
      <c r="F3240" t="s">
        <v>23708</v>
      </c>
      <c r="G3240" t="s">
        <v>23709</v>
      </c>
      <c r="H3240" s="4" t="s">
        <v>23710</v>
      </c>
      <c r="I3240" t="s">
        <v>71</v>
      </c>
      <c r="J3240" t="s">
        <v>10782</v>
      </c>
      <c r="K3240" t="s">
        <v>23711</v>
      </c>
    </row>
    <row r="3241" spans="1:11" ht="216" x14ac:dyDescent="0.3">
      <c r="A3241" s="4" t="s">
        <v>3572</v>
      </c>
      <c r="B3241">
        <v>2</v>
      </c>
      <c r="C3241">
        <v>2020</v>
      </c>
      <c r="D3241" t="s">
        <v>2375</v>
      </c>
      <c r="E3241">
        <v>49</v>
      </c>
      <c r="F3241" t="s">
        <v>23712</v>
      </c>
      <c r="G3241" t="s">
        <v>23713</v>
      </c>
      <c r="H3241" s="4" t="s">
        <v>23714</v>
      </c>
      <c r="I3241" t="s">
        <v>71</v>
      </c>
      <c r="J3241" t="s">
        <v>10782</v>
      </c>
      <c r="K3241" t="s">
        <v>23715</v>
      </c>
    </row>
    <row r="3242" spans="1:11" ht="100.8" x14ac:dyDescent="0.3">
      <c r="A3242" s="4" t="s">
        <v>6324</v>
      </c>
      <c r="B3242">
        <v>3</v>
      </c>
      <c r="C3242">
        <v>2020</v>
      </c>
      <c r="D3242" t="s">
        <v>318</v>
      </c>
      <c r="E3242">
        <v>215</v>
      </c>
      <c r="F3242" t="s">
        <v>23716</v>
      </c>
      <c r="G3242" t="s">
        <v>23717</v>
      </c>
      <c r="H3242" s="4" t="s">
        <v>23718</v>
      </c>
      <c r="I3242" t="s">
        <v>10823</v>
      </c>
      <c r="J3242" t="s">
        <v>10782</v>
      </c>
      <c r="K3242" t="s">
        <v>23719</v>
      </c>
    </row>
    <row r="3243" spans="1:11" ht="144" x14ac:dyDescent="0.3">
      <c r="A3243" s="4" t="s">
        <v>6325</v>
      </c>
      <c r="B3243">
        <v>3</v>
      </c>
      <c r="C3243">
        <v>2020</v>
      </c>
      <c r="D3243" t="s">
        <v>23720</v>
      </c>
      <c r="E3243">
        <v>20</v>
      </c>
      <c r="F3243" t="s">
        <v>23721</v>
      </c>
      <c r="G3243" t="s">
        <v>23722</v>
      </c>
      <c r="H3243" s="4" t="s">
        <v>23723</v>
      </c>
      <c r="I3243" t="s">
        <v>71</v>
      </c>
      <c r="J3243" t="s">
        <v>10782</v>
      </c>
      <c r="K3243" t="s">
        <v>23724</v>
      </c>
    </row>
    <row r="3244" spans="1:11" ht="43.2" x14ac:dyDescent="0.3">
      <c r="A3244" s="4" t="s">
        <v>6326</v>
      </c>
      <c r="B3244">
        <v>3</v>
      </c>
      <c r="C3244">
        <v>2020</v>
      </c>
      <c r="D3244" t="s">
        <v>1570</v>
      </c>
      <c r="E3244">
        <v>2</v>
      </c>
      <c r="F3244" t="s">
        <v>23725</v>
      </c>
      <c r="G3244" t="s">
        <v>23726</v>
      </c>
      <c r="H3244" s="4" t="s">
        <v>23727</v>
      </c>
    </row>
    <row r="3245" spans="1:11" ht="86.4" x14ac:dyDescent="0.3">
      <c r="A3245" s="4" t="s">
        <v>6327</v>
      </c>
      <c r="B3245">
        <v>3</v>
      </c>
      <c r="C3245">
        <v>2020</v>
      </c>
      <c r="D3245" t="s">
        <v>637</v>
      </c>
      <c r="E3245">
        <v>6</v>
      </c>
      <c r="F3245" t="s">
        <v>23728</v>
      </c>
      <c r="G3245" t="s">
        <v>23729</v>
      </c>
      <c r="H3245" s="4" t="s">
        <v>23730</v>
      </c>
    </row>
    <row r="3246" spans="1:11" ht="158.4" x14ac:dyDescent="0.3">
      <c r="A3246" s="4" t="s">
        <v>6328</v>
      </c>
      <c r="B3246">
        <v>3</v>
      </c>
      <c r="C3246">
        <v>2020</v>
      </c>
      <c r="D3246" t="s">
        <v>13914</v>
      </c>
      <c r="E3246">
        <v>22</v>
      </c>
      <c r="F3246" t="s">
        <v>23731</v>
      </c>
      <c r="G3246" t="s">
        <v>23732</v>
      </c>
      <c r="H3246" s="4" t="s">
        <v>23733</v>
      </c>
    </row>
    <row r="3247" spans="1:11" ht="144" x14ac:dyDescent="0.3">
      <c r="A3247" s="4" t="s">
        <v>6329</v>
      </c>
      <c r="B3247">
        <v>3</v>
      </c>
      <c r="C3247">
        <v>2020</v>
      </c>
      <c r="D3247" t="s">
        <v>2416</v>
      </c>
      <c r="E3247">
        <v>11</v>
      </c>
      <c r="F3247" t="s">
        <v>23734</v>
      </c>
      <c r="G3247" t="s">
        <v>23735</v>
      </c>
      <c r="H3247" s="4" t="s">
        <v>23736</v>
      </c>
    </row>
    <row r="3248" spans="1:11" ht="115.2" x14ac:dyDescent="0.3">
      <c r="A3248" s="4" t="s">
        <v>6330</v>
      </c>
      <c r="B3248">
        <v>3</v>
      </c>
      <c r="C3248">
        <v>2020</v>
      </c>
      <c r="D3248" t="s">
        <v>1570</v>
      </c>
      <c r="E3248">
        <v>2</v>
      </c>
      <c r="F3248" t="s">
        <v>23737</v>
      </c>
      <c r="G3248" t="s">
        <v>23738</v>
      </c>
      <c r="H3248" s="4" t="s">
        <v>23739</v>
      </c>
    </row>
    <row r="3249" spans="1:11" ht="201.6" x14ac:dyDescent="0.3">
      <c r="A3249" s="4" t="s">
        <v>3573</v>
      </c>
      <c r="B3249">
        <v>2</v>
      </c>
      <c r="C3249">
        <v>2020</v>
      </c>
      <c r="D3249" t="s">
        <v>217</v>
      </c>
      <c r="E3249">
        <v>57</v>
      </c>
      <c r="F3249" t="s">
        <v>23740</v>
      </c>
      <c r="G3249" t="s">
        <v>23741</v>
      </c>
      <c r="H3249" s="4" t="s">
        <v>23742</v>
      </c>
      <c r="I3249" t="s">
        <v>71</v>
      </c>
      <c r="J3249" t="s">
        <v>10782</v>
      </c>
      <c r="K3249" t="s">
        <v>23743</v>
      </c>
    </row>
    <row r="3250" spans="1:11" ht="158.4" x14ac:dyDescent="0.3">
      <c r="A3250" s="4" t="s">
        <v>6331</v>
      </c>
      <c r="B3250">
        <v>3</v>
      </c>
      <c r="C3250">
        <v>2020</v>
      </c>
      <c r="D3250" t="s">
        <v>1865</v>
      </c>
      <c r="E3250">
        <v>15</v>
      </c>
      <c r="F3250" t="s">
        <v>23744</v>
      </c>
      <c r="G3250" t="s">
        <v>23745</v>
      </c>
      <c r="H3250" s="4" t="s">
        <v>23746</v>
      </c>
      <c r="I3250" t="s">
        <v>71</v>
      </c>
      <c r="J3250" t="s">
        <v>10782</v>
      </c>
      <c r="K3250" t="s">
        <v>23747</v>
      </c>
    </row>
    <row r="3251" spans="1:11" ht="216" x14ac:dyDescent="0.3">
      <c r="A3251" s="4" t="s">
        <v>6332</v>
      </c>
      <c r="B3251">
        <v>3</v>
      </c>
      <c r="C3251">
        <v>2020</v>
      </c>
      <c r="D3251" t="s">
        <v>329</v>
      </c>
      <c r="E3251">
        <v>42</v>
      </c>
      <c r="F3251" t="s">
        <v>23748</v>
      </c>
      <c r="G3251" t="s">
        <v>23749</v>
      </c>
      <c r="H3251" s="4" t="s">
        <v>23750</v>
      </c>
      <c r="I3251" t="s">
        <v>71</v>
      </c>
      <c r="J3251" t="s">
        <v>10782</v>
      </c>
      <c r="K3251" t="s">
        <v>23751</v>
      </c>
    </row>
    <row r="3252" spans="1:11" ht="158.4" x14ac:dyDescent="0.3">
      <c r="A3252" s="4" t="s">
        <v>3574</v>
      </c>
      <c r="B3252">
        <v>2</v>
      </c>
      <c r="C3252">
        <v>2020</v>
      </c>
      <c r="D3252" t="s">
        <v>1570</v>
      </c>
      <c r="E3252">
        <v>1</v>
      </c>
      <c r="F3252" t="s">
        <v>23752</v>
      </c>
      <c r="G3252" t="s">
        <v>23753</v>
      </c>
      <c r="H3252" s="4" t="s">
        <v>23754</v>
      </c>
    </row>
    <row r="3253" spans="1:11" ht="129.6" x14ac:dyDescent="0.3">
      <c r="A3253" s="4" t="s">
        <v>6333</v>
      </c>
      <c r="B3253">
        <v>3</v>
      </c>
      <c r="C3253">
        <v>2020</v>
      </c>
      <c r="D3253" t="s">
        <v>11064</v>
      </c>
      <c r="E3253">
        <v>32</v>
      </c>
      <c r="F3253" t="s">
        <v>23755</v>
      </c>
      <c r="G3253" t="s">
        <v>23756</v>
      </c>
      <c r="H3253" s="4" t="s">
        <v>23757</v>
      </c>
    </row>
    <row r="3254" spans="1:11" ht="172.8" x14ac:dyDescent="0.3">
      <c r="A3254" s="4" t="s">
        <v>6334</v>
      </c>
      <c r="B3254">
        <v>3</v>
      </c>
      <c r="C3254">
        <v>2020</v>
      </c>
      <c r="D3254" t="s">
        <v>724</v>
      </c>
      <c r="E3254">
        <v>14</v>
      </c>
      <c r="F3254" t="s">
        <v>23758</v>
      </c>
      <c r="G3254" t="s">
        <v>23759</v>
      </c>
      <c r="H3254" s="4" t="s">
        <v>23760</v>
      </c>
    </row>
    <row r="3255" spans="1:11" ht="144" x14ac:dyDescent="0.3">
      <c r="A3255" s="4" t="s">
        <v>6335</v>
      </c>
      <c r="B3255">
        <v>3</v>
      </c>
      <c r="C3255">
        <v>2020</v>
      </c>
      <c r="D3255" t="s">
        <v>80</v>
      </c>
      <c r="E3255">
        <v>58</v>
      </c>
      <c r="F3255" t="s">
        <v>23761</v>
      </c>
      <c r="G3255" t="s">
        <v>23762</v>
      </c>
      <c r="H3255" s="4" t="s">
        <v>23763</v>
      </c>
      <c r="I3255" t="s">
        <v>71</v>
      </c>
      <c r="J3255" t="s">
        <v>10782</v>
      </c>
      <c r="K3255" t="s">
        <v>23764</v>
      </c>
    </row>
    <row r="3256" spans="1:11" ht="288" x14ac:dyDescent="0.3">
      <c r="A3256" s="4" t="s">
        <v>6336</v>
      </c>
      <c r="B3256">
        <v>3</v>
      </c>
      <c r="C3256">
        <v>2020</v>
      </c>
      <c r="D3256" t="s">
        <v>637</v>
      </c>
      <c r="E3256">
        <v>43</v>
      </c>
      <c r="F3256" t="s">
        <v>23765</v>
      </c>
      <c r="G3256" t="s">
        <v>23766</v>
      </c>
      <c r="H3256" s="4" t="s">
        <v>23767</v>
      </c>
      <c r="I3256" t="s">
        <v>71</v>
      </c>
      <c r="J3256" t="s">
        <v>10782</v>
      </c>
      <c r="K3256" t="s">
        <v>23768</v>
      </c>
    </row>
    <row r="3257" spans="1:11" ht="201.6" x14ac:dyDescent="0.3">
      <c r="A3257" s="4" t="s">
        <v>6337</v>
      </c>
      <c r="B3257">
        <v>3</v>
      </c>
      <c r="C3257">
        <v>2020</v>
      </c>
      <c r="D3257" t="s">
        <v>2853</v>
      </c>
      <c r="E3257">
        <v>6</v>
      </c>
      <c r="F3257" t="s">
        <v>23769</v>
      </c>
      <c r="G3257" t="s">
        <v>23770</v>
      </c>
      <c r="H3257" s="4" t="s">
        <v>23771</v>
      </c>
      <c r="I3257" t="s">
        <v>71</v>
      </c>
      <c r="J3257" t="s">
        <v>10782</v>
      </c>
      <c r="K3257" t="s">
        <v>23772</v>
      </c>
    </row>
    <row r="3258" spans="1:11" ht="187.2" x14ac:dyDescent="0.3">
      <c r="A3258" s="4" t="s">
        <v>6338</v>
      </c>
      <c r="B3258">
        <v>3</v>
      </c>
      <c r="C3258">
        <v>2020</v>
      </c>
      <c r="D3258" t="s">
        <v>637</v>
      </c>
      <c r="E3258">
        <v>45</v>
      </c>
      <c r="F3258" t="s">
        <v>23773</v>
      </c>
      <c r="G3258" t="s">
        <v>23774</v>
      </c>
      <c r="H3258" s="4" t="s">
        <v>23775</v>
      </c>
    </row>
    <row r="3259" spans="1:11" ht="28.8" x14ac:dyDescent="0.3">
      <c r="A3259" s="4" t="s">
        <v>6339</v>
      </c>
      <c r="B3259">
        <v>3</v>
      </c>
      <c r="C3259">
        <v>2020</v>
      </c>
      <c r="D3259" t="s">
        <v>23776</v>
      </c>
      <c r="E3259">
        <v>70</v>
      </c>
      <c r="F3259" t="s">
        <v>23777</v>
      </c>
      <c r="G3259" t="s">
        <v>23778</v>
      </c>
      <c r="H3259" s="4" t="s">
        <v>23779</v>
      </c>
    </row>
    <row r="3260" spans="1:11" ht="86.4" x14ac:dyDescent="0.3">
      <c r="A3260" s="4" t="s">
        <v>6340</v>
      </c>
      <c r="B3260">
        <v>3</v>
      </c>
      <c r="C3260">
        <v>2020</v>
      </c>
      <c r="D3260" t="s">
        <v>1375</v>
      </c>
      <c r="E3260">
        <v>21</v>
      </c>
      <c r="F3260" t="s">
        <v>23780</v>
      </c>
      <c r="G3260" t="s">
        <v>23781</v>
      </c>
      <c r="H3260" s="4" t="s">
        <v>23782</v>
      </c>
      <c r="I3260" t="s">
        <v>71</v>
      </c>
      <c r="J3260" t="s">
        <v>10782</v>
      </c>
      <c r="K3260" t="s">
        <v>23783</v>
      </c>
    </row>
    <row r="3261" spans="1:11" ht="57.6" x14ac:dyDescent="0.3">
      <c r="A3261" s="4" t="s">
        <v>6341</v>
      </c>
      <c r="B3261">
        <v>3</v>
      </c>
      <c r="C3261">
        <v>2020</v>
      </c>
      <c r="D3261" t="s">
        <v>1570</v>
      </c>
      <c r="E3261">
        <v>5</v>
      </c>
      <c r="F3261" t="s">
        <v>23784</v>
      </c>
      <c r="G3261" t="s">
        <v>23785</v>
      </c>
      <c r="H3261" s="4" t="s">
        <v>23786</v>
      </c>
    </row>
    <row r="3262" spans="1:11" ht="100.8" x14ac:dyDescent="0.3">
      <c r="A3262" s="4" t="s">
        <v>6342</v>
      </c>
      <c r="B3262">
        <v>3</v>
      </c>
      <c r="C3262">
        <v>2020</v>
      </c>
      <c r="D3262" t="s">
        <v>1570</v>
      </c>
      <c r="E3262">
        <v>0</v>
      </c>
      <c r="F3262" t="s">
        <v>23787</v>
      </c>
      <c r="G3262" t="s">
        <v>23788</v>
      </c>
      <c r="H3262" s="4" t="s">
        <v>23789</v>
      </c>
    </row>
    <row r="3263" spans="1:11" ht="201.6" x14ac:dyDescent="0.3">
      <c r="A3263" s="4" t="s">
        <v>6343</v>
      </c>
      <c r="B3263">
        <v>3</v>
      </c>
      <c r="C3263">
        <v>2020</v>
      </c>
      <c r="D3263" t="s">
        <v>11310</v>
      </c>
      <c r="E3263">
        <v>20</v>
      </c>
      <c r="F3263" t="s">
        <v>23790</v>
      </c>
      <c r="G3263" t="s">
        <v>23791</v>
      </c>
      <c r="H3263" s="4" t="s">
        <v>23792</v>
      </c>
    </row>
    <row r="3264" spans="1:11" ht="201.6" x14ac:dyDescent="0.3">
      <c r="A3264" s="4" t="s">
        <v>6344</v>
      </c>
      <c r="B3264">
        <v>3</v>
      </c>
      <c r="C3264">
        <v>2020</v>
      </c>
      <c r="D3264" t="s">
        <v>16189</v>
      </c>
      <c r="E3264">
        <v>62</v>
      </c>
      <c r="F3264" t="s">
        <v>23793</v>
      </c>
      <c r="G3264" t="s">
        <v>23794</v>
      </c>
      <c r="H3264" s="4" t="s">
        <v>23795</v>
      </c>
      <c r="I3264" t="s">
        <v>71</v>
      </c>
      <c r="J3264" t="s">
        <v>10782</v>
      </c>
      <c r="K3264" t="s">
        <v>23796</v>
      </c>
    </row>
    <row r="3265" spans="1:11" ht="230.4" x14ac:dyDescent="0.3">
      <c r="A3265" s="4" t="s">
        <v>6345</v>
      </c>
      <c r="B3265">
        <v>3</v>
      </c>
      <c r="C3265">
        <v>2020</v>
      </c>
      <c r="D3265" t="s">
        <v>1570</v>
      </c>
      <c r="E3265">
        <v>7</v>
      </c>
      <c r="F3265" t="s">
        <v>23797</v>
      </c>
      <c r="G3265" t="s">
        <v>23798</v>
      </c>
      <c r="H3265" s="4" t="s">
        <v>23799</v>
      </c>
    </row>
    <row r="3266" spans="1:11" ht="172.8" x14ac:dyDescent="0.3">
      <c r="A3266" s="4" t="s">
        <v>2775</v>
      </c>
      <c r="B3266">
        <v>2</v>
      </c>
      <c r="C3266">
        <v>2020</v>
      </c>
      <c r="D3266" t="s">
        <v>2819</v>
      </c>
      <c r="E3266">
        <v>9</v>
      </c>
      <c r="F3266" t="s">
        <v>23800</v>
      </c>
      <c r="G3266" t="s">
        <v>23801</v>
      </c>
      <c r="H3266" s="4" t="s">
        <v>23802</v>
      </c>
      <c r="I3266" t="s">
        <v>71</v>
      </c>
      <c r="J3266" t="s">
        <v>10782</v>
      </c>
      <c r="K3266" t="s">
        <v>23803</v>
      </c>
    </row>
    <row r="3267" spans="1:11" ht="244.8" x14ac:dyDescent="0.3">
      <c r="A3267" s="4" t="s">
        <v>1463</v>
      </c>
      <c r="B3267">
        <v>1</v>
      </c>
      <c r="C3267">
        <v>2020</v>
      </c>
      <c r="D3267" t="s">
        <v>637</v>
      </c>
      <c r="E3267">
        <v>25</v>
      </c>
      <c r="F3267" t="s">
        <v>23804</v>
      </c>
      <c r="G3267" t="s">
        <v>23805</v>
      </c>
      <c r="H3267" s="4" t="s">
        <v>23806</v>
      </c>
      <c r="I3267" t="s">
        <v>71</v>
      </c>
      <c r="J3267" t="s">
        <v>10782</v>
      </c>
      <c r="K3267" t="s">
        <v>23807</v>
      </c>
    </row>
    <row r="3268" spans="1:11" ht="172.8" x14ac:dyDescent="0.3">
      <c r="A3268" s="4" t="s">
        <v>6346</v>
      </c>
      <c r="B3268">
        <v>3</v>
      </c>
      <c r="C3268">
        <v>2020</v>
      </c>
      <c r="D3268" t="s">
        <v>811</v>
      </c>
      <c r="E3268">
        <v>39</v>
      </c>
      <c r="F3268" t="s">
        <v>23808</v>
      </c>
      <c r="G3268" t="s">
        <v>23809</v>
      </c>
      <c r="H3268" s="4" t="s">
        <v>23810</v>
      </c>
      <c r="I3268" t="s">
        <v>71</v>
      </c>
      <c r="J3268" t="s">
        <v>10782</v>
      </c>
      <c r="K3268" t="s">
        <v>23811</v>
      </c>
    </row>
    <row r="3269" spans="1:11" ht="158.4" x14ac:dyDescent="0.3">
      <c r="A3269" s="4" t="s">
        <v>6347</v>
      </c>
      <c r="B3269">
        <v>3</v>
      </c>
      <c r="C3269">
        <v>2020</v>
      </c>
      <c r="D3269" t="s">
        <v>724</v>
      </c>
      <c r="E3269">
        <v>13</v>
      </c>
      <c r="F3269" t="s">
        <v>23812</v>
      </c>
      <c r="G3269" t="s">
        <v>23813</v>
      </c>
      <c r="H3269" s="4" t="s">
        <v>23814</v>
      </c>
      <c r="I3269" t="s">
        <v>71</v>
      </c>
      <c r="J3269" t="s">
        <v>10782</v>
      </c>
      <c r="K3269" t="s">
        <v>23815</v>
      </c>
    </row>
    <row r="3270" spans="1:11" ht="158.4" x14ac:dyDescent="0.3">
      <c r="A3270" s="4" t="s">
        <v>6348</v>
      </c>
      <c r="B3270">
        <v>3</v>
      </c>
      <c r="C3270">
        <v>2020</v>
      </c>
      <c r="D3270" t="s">
        <v>12677</v>
      </c>
      <c r="E3270">
        <v>18</v>
      </c>
      <c r="F3270" t="s">
        <v>23816</v>
      </c>
      <c r="G3270" t="s">
        <v>23817</v>
      </c>
      <c r="H3270" s="4" t="s">
        <v>23818</v>
      </c>
      <c r="I3270" t="s">
        <v>71</v>
      </c>
      <c r="J3270" t="s">
        <v>10782</v>
      </c>
      <c r="K3270" t="s">
        <v>23819</v>
      </c>
    </row>
    <row r="3271" spans="1:11" ht="115.2" x14ac:dyDescent="0.3">
      <c r="A3271" s="4" t="s">
        <v>6349</v>
      </c>
      <c r="B3271">
        <v>3</v>
      </c>
      <c r="C3271">
        <v>2020</v>
      </c>
      <c r="D3271" t="s">
        <v>2361</v>
      </c>
      <c r="E3271">
        <v>62</v>
      </c>
      <c r="F3271" t="s">
        <v>23820</v>
      </c>
      <c r="G3271" t="s">
        <v>23821</v>
      </c>
      <c r="H3271" s="4" t="s">
        <v>23822</v>
      </c>
      <c r="I3271" t="s">
        <v>71</v>
      </c>
      <c r="J3271" t="s">
        <v>10782</v>
      </c>
      <c r="K3271" t="s">
        <v>23823</v>
      </c>
    </row>
    <row r="3272" spans="1:11" ht="144" x14ac:dyDescent="0.3">
      <c r="A3272" s="4" t="s">
        <v>6350</v>
      </c>
      <c r="B3272">
        <v>3</v>
      </c>
      <c r="C3272">
        <v>2020</v>
      </c>
      <c r="D3272" t="s">
        <v>2859</v>
      </c>
      <c r="E3272">
        <v>63</v>
      </c>
      <c r="F3272" t="s">
        <v>23824</v>
      </c>
      <c r="G3272" t="s">
        <v>23825</v>
      </c>
      <c r="H3272" s="4" t="s">
        <v>23826</v>
      </c>
      <c r="I3272" t="s">
        <v>71</v>
      </c>
      <c r="J3272" t="s">
        <v>10782</v>
      </c>
      <c r="K3272" t="s">
        <v>23827</v>
      </c>
    </row>
    <row r="3273" spans="1:11" ht="129.6" x14ac:dyDescent="0.3">
      <c r="A3273" s="4" t="s">
        <v>6351</v>
      </c>
      <c r="B3273">
        <v>3</v>
      </c>
      <c r="C3273">
        <v>2020</v>
      </c>
      <c r="D3273" t="s">
        <v>1570</v>
      </c>
      <c r="E3273">
        <v>2</v>
      </c>
      <c r="F3273" t="s">
        <v>23828</v>
      </c>
      <c r="G3273" t="s">
        <v>23829</v>
      </c>
      <c r="H3273" s="4" t="s">
        <v>23830</v>
      </c>
    </row>
    <row r="3274" spans="1:11" ht="201.6" x14ac:dyDescent="0.3">
      <c r="A3274" s="4" t="s">
        <v>6352</v>
      </c>
      <c r="B3274">
        <v>3</v>
      </c>
      <c r="C3274">
        <v>2020</v>
      </c>
      <c r="D3274" t="s">
        <v>318</v>
      </c>
      <c r="E3274">
        <v>15</v>
      </c>
      <c r="F3274" t="s">
        <v>23831</v>
      </c>
      <c r="G3274" t="s">
        <v>23832</v>
      </c>
      <c r="H3274" s="4" t="s">
        <v>23833</v>
      </c>
      <c r="I3274" t="s">
        <v>71</v>
      </c>
      <c r="J3274" t="s">
        <v>10782</v>
      </c>
      <c r="K3274" t="s">
        <v>23834</v>
      </c>
    </row>
    <row r="3275" spans="1:11" ht="259.2" x14ac:dyDescent="0.3">
      <c r="A3275" s="4" t="s">
        <v>6353</v>
      </c>
      <c r="B3275">
        <v>3</v>
      </c>
      <c r="C3275">
        <v>2020</v>
      </c>
      <c r="D3275" t="s">
        <v>329</v>
      </c>
      <c r="E3275">
        <v>11</v>
      </c>
      <c r="F3275" t="s">
        <v>23835</v>
      </c>
      <c r="G3275" t="s">
        <v>23836</v>
      </c>
      <c r="H3275" s="4" t="s">
        <v>23837</v>
      </c>
      <c r="I3275" t="s">
        <v>71</v>
      </c>
      <c r="J3275" t="s">
        <v>10782</v>
      </c>
      <c r="K3275" t="s">
        <v>23838</v>
      </c>
    </row>
    <row r="3276" spans="1:11" ht="158.4" x14ac:dyDescent="0.3">
      <c r="A3276" s="4" t="s">
        <v>6354</v>
      </c>
      <c r="B3276">
        <v>3</v>
      </c>
      <c r="C3276">
        <v>2020</v>
      </c>
      <c r="D3276" t="s">
        <v>164</v>
      </c>
      <c r="E3276">
        <v>20</v>
      </c>
      <c r="F3276" t="s">
        <v>23839</v>
      </c>
      <c r="G3276" t="s">
        <v>23840</v>
      </c>
      <c r="H3276" s="4" t="s">
        <v>23841</v>
      </c>
      <c r="I3276" t="s">
        <v>71</v>
      </c>
      <c r="J3276" t="s">
        <v>10782</v>
      </c>
      <c r="K3276" t="s">
        <v>23842</v>
      </c>
    </row>
    <row r="3277" spans="1:11" ht="172.8" x14ac:dyDescent="0.3">
      <c r="A3277" s="4" t="s">
        <v>6355</v>
      </c>
      <c r="B3277">
        <v>3</v>
      </c>
      <c r="C3277">
        <v>2020</v>
      </c>
      <c r="D3277" t="s">
        <v>18415</v>
      </c>
      <c r="E3277">
        <v>5</v>
      </c>
      <c r="G3277" t="s">
        <v>23843</v>
      </c>
      <c r="H3277" s="4" t="s">
        <v>23844</v>
      </c>
      <c r="I3277" s="4" t="s">
        <v>71</v>
      </c>
      <c r="J3277" t="s">
        <v>10782</v>
      </c>
      <c r="K3277" t="s">
        <v>23845</v>
      </c>
    </row>
    <row r="3278" spans="1:11" ht="172.8" x14ac:dyDescent="0.3">
      <c r="A3278" s="4" t="s">
        <v>6356</v>
      </c>
      <c r="B3278">
        <v>3</v>
      </c>
      <c r="C3278">
        <v>2020</v>
      </c>
      <c r="D3278" t="s">
        <v>83</v>
      </c>
      <c r="E3278">
        <v>8</v>
      </c>
      <c r="F3278" t="s">
        <v>23846</v>
      </c>
      <c r="G3278" t="s">
        <v>23847</v>
      </c>
      <c r="H3278" s="4" t="s">
        <v>23848</v>
      </c>
      <c r="I3278" t="s">
        <v>71</v>
      </c>
      <c r="J3278" t="s">
        <v>10782</v>
      </c>
      <c r="K3278" t="s">
        <v>23849</v>
      </c>
    </row>
    <row r="3279" spans="1:11" ht="187.2" x14ac:dyDescent="0.3">
      <c r="A3279" s="4" t="s">
        <v>6357</v>
      </c>
      <c r="B3279">
        <v>3</v>
      </c>
      <c r="C3279">
        <v>2020</v>
      </c>
      <c r="D3279" t="s">
        <v>1570</v>
      </c>
      <c r="E3279">
        <v>2</v>
      </c>
      <c r="F3279" t="s">
        <v>23850</v>
      </c>
      <c r="G3279" t="s">
        <v>23851</v>
      </c>
      <c r="H3279" s="4" t="s">
        <v>23852</v>
      </c>
    </row>
    <row r="3280" spans="1:11" ht="244.8" x14ac:dyDescent="0.3">
      <c r="A3280" s="4" t="s">
        <v>6358</v>
      </c>
      <c r="B3280">
        <v>3</v>
      </c>
      <c r="C3280">
        <v>2020</v>
      </c>
      <c r="D3280" t="s">
        <v>637</v>
      </c>
      <c r="E3280">
        <v>34</v>
      </c>
      <c r="F3280" t="s">
        <v>23853</v>
      </c>
      <c r="G3280" t="s">
        <v>23854</v>
      </c>
      <c r="H3280" s="4" t="s">
        <v>23855</v>
      </c>
      <c r="I3280" t="s">
        <v>71</v>
      </c>
      <c r="J3280" t="s">
        <v>10782</v>
      </c>
      <c r="K3280" t="s">
        <v>23856</v>
      </c>
    </row>
    <row r="3281" spans="1:11" ht="201.6" x14ac:dyDescent="0.3">
      <c r="A3281" s="4" t="s">
        <v>6359</v>
      </c>
      <c r="B3281">
        <v>3</v>
      </c>
      <c r="C3281">
        <v>2020</v>
      </c>
      <c r="D3281" t="s">
        <v>637</v>
      </c>
      <c r="E3281">
        <v>24</v>
      </c>
      <c r="F3281" t="s">
        <v>23857</v>
      </c>
      <c r="G3281" t="s">
        <v>23858</v>
      </c>
      <c r="H3281" s="4" t="s">
        <v>23859</v>
      </c>
      <c r="I3281" t="s">
        <v>71</v>
      </c>
      <c r="J3281" t="s">
        <v>10782</v>
      </c>
      <c r="K3281" t="s">
        <v>23860</v>
      </c>
    </row>
    <row r="3282" spans="1:11" ht="115.2" x14ac:dyDescent="0.3">
      <c r="A3282" s="4" t="s">
        <v>6360</v>
      </c>
      <c r="B3282">
        <v>3</v>
      </c>
      <c r="C3282">
        <v>2020</v>
      </c>
      <c r="D3282" t="s">
        <v>528</v>
      </c>
      <c r="E3282">
        <v>27</v>
      </c>
      <c r="F3282" t="s">
        <v>23861</v>
      </c>
      <c r="G3282" t="s">
        <v>23862</v>
      </c>
      <c r="H3282" s="4" t="s">
        <v>23863</v>
      </c>
      <c r="I3282" t="s">
        <v>71</v>
      </c>
      <c r="J3282" t="s">
        <v>10782</v>
      </c>
      <c r="K3282" t="s">
        <v>23864</v>
      </c>
    </row>
    <row r="3283" spans="1:11" ht="345.6" x14ac:dyDescent="0.3">
      <c r="A3283" s="4" t="s">
        <v>6361</v>
      </c>
      <c r="B3283">
        <v>3</v>
      </c>
      <c r="C3283">
        <v>2020</v>
      </c>
      <c r="D3283" t="s">
        <v>1175</v>
      </c>
      <c r="E3283">
        <v>16</v>
      </c>
      <c r="F3283" t="s">
        <v>23865</v>
      </c>
      <c r="G3283" t="s">
        <v>23866</v>
      </c>
      <c r="H3283" s="4" t="s">
        <v>23867</v>
      </c>
      <c r="I3283" t="s">
        <v>71</v>
      </c>
      <c r="J3283" t="s">
        <v>10782</v>
      </c>
      <c r="K3283" t="s">
        <v>23868</v>
      </c>
    </row>
    <row r="3284" spans="1:11" ht="172.8" x14ac:dyDescent="0.3">
      <c r="A3284" s="4" t="s">
        <v>6362</v>
      </c>
      <c r="B3284">
        <v>3</v>
      </c>
      <c r="C3284">
        <v>2020</v>
      </c>
      <c r="D3284" t="s">
        <v>12841</v>
      </c>
      <c r="E3284">
        <v>15</v>
      </c>
      <c r="F3284" t="s">
        <v>23869</v>
      </c>
      <c r="G3284" t="s">
        <v>23870</v>
      </c>
      <c r="H3284" s="4" t="s">
        <v>23871</v>
      </c>
      <c r="I3284" t="s">
        <v>71</v>
      </c>
      <c r="J3284" t="s">
        <v>10782</v>
      </c>
      <c r="K3284" t="s">
        <v>23872</v>
      </c>
    </row>
    <row r="3285" spans="1:11" ht="129.6" x14ac:dyDescent="0.3">
      <c r="A3285" s="4" t="s">
        <v>6363</v>
      </c>
      <c r="B3285">
        <v>3</v>
      </c>
      <c r="C3285">
        <v>2020</v>
      </c>
      <c r="D3285" t="s">
        <v>16771</v>
      </c>
      <c r="E3285">
        <v>104</v>
      </c>
      <c r="F3285" t="s">
        <v>23873</v>
      </c>
      <c r="G3285" t="s">
        <v>23874</v>
      </c>
      <c r="H3285" s="4" t="s">
        <v>23875</v>
      </c>
      <c r="I3285" t="s">
        <v>71</v>
      </c>
      <c r="J3285" t="s">
        <v>10782</v>
      </c>
      <c r="K3285" t="s">
        <v>23876</v>
      </c>
    </row>
    <row r="3286" spans="1:11" ht="86.4" x14ac:dyDescent="0.3">
      <c r="A3286" s="4" t="s">
        <v>1470</v>
      </c>
      <c r="B3286">
        <v>1</v>
      </c>
      <c r="C3286">
        <v>2020</v>
      </c>
      <c r="D3286" t="s">
        <v>1539</v>
      </c>
      <c r="E3286">
        <v>5</v>
      </c>
      <c r="F3286" t="s">
        <v>23877</v>
      </c>
      <c r="G3286" t="s">
        <v>23878</v>
      </c>
      <c r="H3286" s="4" t="s">
        <v>23879</v>
      </c>
      <c r="I3286" t="s">
        <v>71</v>
      </c>
      <c r="J3286" t="s">
        <v>10782</v>
      </c>
      <c r="K3286" t="s">
        <v>23880</v>
      </c>
    </row>
    <row r="3287" spans="1:11" ht="216" x14ac:dyDescent="0.3">
      <c r="A3287" s="4" t="s">
        <v>3353</v>
      </c>
      <c r="B3287">
        <v>1</v>
      </c>
      <c r="C3287">
        <v>2020</v>
      </c>
      <c r="D3287" t="s">
        <v>318</v>
      </c>
      <c r="E3287">
        <v>43</v>
      </c>
      <c r="F3287" t="s">
        <v>23881</v>
      </c>
      <c r="G3287" t="s">
        <v>23882</v>
      </c>
      <c r="H3287" s="4" t="s">
        <v>23883</v>
      </c>
      <c r="I3287" t="s">
        <v>71</v>
      </c>
      <c r="J3287" t="s">
        <v>10782</v>
      </c>
      <c r="K3287" t="s">
        <v>23884</v>
      </c>
    </row>
    <row r="3288" spans="1:11" ht="172.8" x14ac:dyDescent="0.3">
      <c r="A3288" s="4" t="s">
        <v>6364</v>
      </c>
      <c r="B3288">
        <v>3</v>
      </c>
      <c r="C3288">
        <v>2020</v>
      </c>
      <c r="D3288" t="s">
        <v>11007</v>
      </c>
      <c r="E3288">
        <v>65</v>
      </c>
      <c r="F3288" t="s">
        <v>23885</v>
      </c>
      <c r="G3288" t="s">
        <v>23886</v>
      </c>
      <c r="H3288" s="4" t="s">
        <v>23887</v>
      </c>
      <c r="I3288" t="s">
        <v>71</v>
      </c>
      <c r="J3288" t="s">
        <v>10782</v>
      </c>
      <c r="K3288" t="s">
        <v>23888</v>
      </c>
    </row>
    <row r="3289" spans="1:11" ht="158.4" x14ac:dyDescent="0.3">
      <c r="A3289" s="4" t="s">
        <v>3575</v>
      </c>
      <c r="B3289">
        <v>2</v>
      </c>
      <c r="C3289">
        <v>2020</v>
      </c>
      <c r="D3289" t="s">
        <v>23889</v>
      </c>
      <c r="E3289">
        <v>8</v>
      </c>
      <c r="F3289" t="s">
        <v>23890</v>
      </c>
      <c r="G3289" t="s">
        <v>23891</v>
      </c>
      <c r="H3289" s="4" t="s">
        <v>23892</v>
      </c>
      <c r="I3289" t="s">
        <v>71</v>
      </c>
      <c r="J3289" t="s">
        <v>10782</v>
      </c>
      <c r="K3289" t="s">
        <v>23893</v>
      </c>
    </row>
    <row r="3290" spans="1:11" ht="100.8" x14ac:dyDescent="0.3">
      <c r="A3290" s="4" t="s">
        <v>6365</v>
      </c>
      <c r="B3290">
        <v>3</v>
      </c>
      <c r="C3290">
        <v>2020</v>
      </c>
      <c r="D3290" t="s">
        <v>19186</v>
      </c>
      <c r="E3290">
        <v>11</v>
      </c>
      <c r="F3290" t="s">
        <v>23894</v>
      </c>
      <c r="G3290" t="s">
        <v>23895</v>
      </c>
      <c r="H3290" s="4" t="s">
        <v>23896</v>
      </c>
    </row>
    <row r="3291" spans="1:11" ht="216" x14ac:dyDescent="0.3">
      <c r="A3291" s="4" t="s">
        <v>3354</v>
      </c>
      <c r="B3291">
        <v>1</v>
      </c>
      <c r="C3291">
        <v>2020</v>
      </c>
      <c r="D3291" t="s">
        <v>1570</v>
      </c>
      <c r="E3291">
        <v>0</v>
      </c>
      <c r="F3291" t="s">
        <v>23897</v>
      </c>
      <c r="G3291" t="s">
        <v>23898</v>
      </c>
      <c r="H3291" s="4" t="s">
        <v>23899</v>
      </c>
    </row>
    <row r="3292" spans="1:11" ht="144" x14ac:dyDescent="0.3">
      <c r="A3292" s="4" t="s">
        <v>6366</v>
      </c>
      <c r="B3292">
        <v>3</v>
      </c>
      <c r="C3292">
        <v>2020</v>
      </c>
      <c r="D3292" t="s">
        <v>23292</v>
      </c>
      <c r="E3292">
        <v>0</v>
      </c>
      <c r="G3292" t="s">
        <v>23900</v>
      </c>
      <c r="H3292" s="4" t="s">
        <v>23901</v>
      </c>
      <c r="I3292" s="4" t="s">
        <v>71</v>
      </c>
      <c r="J3292" t="s">
        <v>10782</v>
      </c>
      <c r="K3292" t="s">
        <v>23902</v>
      </c>
    </row>
    <row r="3293" spans="1:11" ht="129.6" x14ac:dyDescent="0.3">
      <c r="A3293" s="4" t="s">
        <v>6367</v>
      </c>
      <c r="B3293">
        <v>3</v>
      </c>
      <c r="C3293">
        <v>2020</v>
      </c>
      <c r="D3293" t="s">
        <v>23903</v>
      </c>
      <c r="E3293">
        <v>7</v>
      </c>
      <c r="F3293" t="s">
        <v>23904</v>
      </c>
      <c r="G3293" t="s">
        <v>23905</v>
      </c>
      <c r="H3293" s="4" t="s">
        <v>23906</v>
      </c>
      <c r="I3293" t="s">
        <v>71</v>
      </c>
      <c r="J3293" t="s">
        <v>10782</v>
      </c>
      <c r="K3293" t="s">
        <v>23907</v>
      </c>
    </row>
    <row r="3294" spans="1:11" ht="244.8" x14ac:dyDescent="0.3">
      <c r="A3294" s="4" t="s">
        <v>6368</v>
      </c>
      <c r="B3294">
        <v>3</v>
      </c>
      <c r="C3294">
        <v>2020</v>
      </c>
      <c r="D3294" t="s">
        <v>10924</v>
      </c>
      <c r="E3294">
        <v>31</v>
      </c>
      <c r="F3294" t="s">
        <v>23908</v>
      </c>
      <c r="G3294" t="s">
        <v>23909</v>
      </c>
      <c r="H3294" s="4" t="s">
        <v>23910</v>
      </c>
    </row>
    <row r="3295" spans="1:11" ht="187.2" x14ac:dyDescent="0.3">
      <c r="A3295" s="4" t="s">
        <v>6369</v>
      </c>
      <c r="B3295">
        <v>3</v>
      </c>
      <c r="C3295">
        <v>2020</v>
      </c>
      <c r="D3295" t="s">
        <v>2763</v>
      </c>
      <c r="E3295">
        <v>10</v>
      </c>
      <c r="F3295" t="s">
        <v>23911</v>
      </c>
      <c r="G3295" t="s">
        <v>23912</v>
      </c>
      <c r="H3295" s="4" t="s">
        <v>23913</v>
      </c>
      <c r="I3295" t="s">
        <v>71</v>
      </c>
      <c r="J3295" t="s">
        <v>10782</v>
      </c>
      <c r="K3295" t="s">
        <v>23914</v>
      </c>
    </row>
    <row r="3296" spans="1:11" ht="230.4" x14ac:dyDescent="0.3">
      <c r="A3296" s="4" t="s">
        <v>6370</v>
      </c>
      <c r="B3296">
        <v>3</v>
      </c>
      <c r="C3296">
        <v>2020</v>
      </c>
      <c r="D3296" t="s">
        <v>637</v>
      </c>
      <c r="E3296">
        <v>9</v>
      </c>
      <c r="F3296" t="s">
        <v>23915</v>
      </c>
      <c r="G3296" t="s">
        <v>23916</v>
      </c>
      <c r="H3296" s="4" t="s">
        <v>23917</v>
      </c>
      <c r="I3296" t="s">
        <v>71</v>
      </c>
      <c r="J3296" t="s">
        <v>10782</v>
      </c>
      <c r="K3296" t="s">
        <v>23918</v>
      </c>
    </row>
    <row r="3297" spans="1:11" ht="201.6" x14ac:dyDescent="0.3">
      <c r="A3297" s="4" t="s">
        <v>6371</v>
      </c>
      <c r="B3297">
        <v>3</v>
      </c>
      <c r="C3297">
        <v>2020</v>
      </c>
      <c r="D3297" t="s">
        <v>1570</v>
      </c>
      <c r="E3297">
        <v>8</v>
      </c>
      <c r="F3297" t="s">
        <v>23919</v>
      </c>
      <c r="G3297" t="s">
        <v>23920</v>
      </c>
      <c r="H3297" s="4" t="s">
        <v>23921</v>
      </c>
    </row>
    <row r="3298" spans="1:11" ht="115.2" x14ac:dyDescent="0.3">
      <c r="A3298" s="4" t="s">
        <v>6372</v>
      </c>
      <c r="B3298">
        <v>3</v>
      </c>
      <c r="C3298">
        <v>2020</v>
      </c>
      <c r="D3298" t="s">
        <v>14533</v>
      </c>
      <c r="E3298">
        <v>4</v>
      </c>
      <c r="F3298" t="s">
        <v>23922</v>
      </c>
      <c r="G3298" t="s">
        <v>23923</v>
      </c>
      <c r="H3298" s="4" t="s">
        <v>23924</v>
      </c>
      <c r="I3298" t="s">
        <v>71</v>
      </c>
      <c r="J3298" t="s">
        <v>10782</v>
      </c>
      <c r="K3298" t="s">
        <v>23925</v>
      </c>
    </row>
    <row r="3299" spans="1:11" ht="172.8" x14ac:dyDescent="0.3">
      <c r="A3299" s="4" t="s">
        <v>6373</v>
      </c>
      <c r="B3299">
        <v>3</v>
      </c>
      <c r="C3299">
        <v>2020</v>
      </c>
      <c r="D3299" t="s">
        <v>1088</v>
      </c>
      <c r="E3299">
        <v>24</v>
      </c>
      <c r="F3299" t="s">
        <v>23926</v>
      </c>
      <c r="G3299" t="s">
        <v>23927</v>
      </c>
      <c r="H3299" s="4" t="s">
        <v>23928</v>
      </c>
      <c r="I3299" t="s">
        <v>71</v>
      </c>
      <c r="J3299" t="s">
        <v>10782</v>
      </c>
      <c r="K3299" t="s">
        <v>23929</v>
      </c>
    </row>
    <row r="3300" spans="1:11" ht="201.6" x14ac:dyDescent="0.3">
      <c r="A3300" s="4" t="s">
        <v>6374</v>
      </c>
      <c r="B3300">
        <v>3</v>
      </c>
      <c r="C3300">
        <v>2020</v>
      </c>
      <c r="D3300" t="s">
        <v>1936</v>
      </c>
      <c r="E3300">
        <v>13</v>
      </c>
      <c r="F3300" t="s">
        <v>23930</v>
      </c>
      <c r="G3300" t="s">
        <v>23931</v>
      </c>
      <c r="H3300" s="4" t="s">
        <v>23932</v>
      </c>
      <c r="I3300" t="s">
        <v>71</v>
      </c>
      <c r="J3300" t="s">
        <v>10782</v>
      </c>
      <c r="K3300" t="s">
        <v>23933</v>
      </c>
    </row>
    <row r="3301" spans="1:11" ht="144" x14ac:dyDescent="0.3">
      <c r="A3301" s="4" t="s">
        <v>6375</v>
      </c>
      <c r="B3301">
        <v>3</v>
      </c>
      <c r="C3301">
        <v>2020</v>
      </c>
      <c r="D3301" t="s">
        <v>23934</v>
      </c>
      <c r="E3301">
        <v>2</v>
      </c>
      <c r="F3301" t="s">
        <v>23935</v>
      </c>
      <c r="G3301" t="s">
        <v>23936</v>
      </c>
      <c r="H3301" s="4" t="s">
        <v>23937</v>
      </c>
      <c r="I3301" t="s">
        <v>71</v>
      </c>
      <c r="J3301" t="s">
        <v>10782</v>
      </c>
      <c r="K3301" t="s">
        <v>23938</v>
      </c>
    </row>
    <row r="3302" spans="1:11" ht="172.8" x14ac:dyDescent="0.3">
      <c r="A3302" s="4" t="s">
        <v>6376</v>
      </c>
      <c r="B3302">
        <v>3</v>
      </c>
      <c r="C3302">
        <v>2020</v>
      </c>
      <c r="D3302" t="s">
        <v>1570</v>
      </c>
      <c r="E3302">
        <v>8</v>
      </c>
      <c r="F3302" t="s">
        <v>23939</v>
      </c>
      <c r="G3302" t="s">
        <v>23940</v>
      </c>
      <c r="H3302" s="4" t="s">
        <v>23941</v>
      </c>
    </row>
    <row r="3303" spans="1:11" ht="158.4" x14ac:dyDescent="0.3">
      <c r="A3303" s="4" t="s">
        <v>6377</v>
      </c>
      <c r="B3303">
        <v>3</v>
      </c>
      <c r="C3303">
        <v>2020</v>
      </c>
      <c r="D3303" t="s">
        <v>1570</v>
      </c>
      <c r="E3303">
        <v>9</v>
      </c>
      <c r="F3303" t="s">
        <v>23942</v>
      </c>
      <c r="G3303" t="s">
        <v>23943</v>
      </c>
      <c r="H3303" s="4" t="s">
        <v>23944</v>
      </c>
    </row>
    <row r="3304" spans="1:11" ht="129.6" x14ac:dyDescent="0.3">
      <c r="A3304" s="4" t="s">
        <v>6378</v>
      </c>
      <c r="B3304">
        <v>3</v>
      </c>
      <c r="C3304">
        <v>2020</v>
      </c>
      <c r="D3304" t="s">
        <v>14116</v>
      </c>
      <c r="E3304">
        <v>2</v>
      </c>
      <c r="F3304" t="s">
        <v>23945</v>
      </c>
      <c r="G3304" t="s">
        <v>23946</v>
      </c>
      <c r="H3304" s="4" t="s">
        <v>23947</v>
      </c>
      <c r="I3304" t="s">
        <v>71</v>
      </c>
      <c r="J3304" t="s">
        <v>10782</v>
      </c>
      <c r="K3304" t="s">
        <v>23948</v>
      </c>
    </row>
    <row r="3305" spans="1:11" ht="172.8" x14ac:dyDescent="0.3">
      <c r="A3305" s="4" t="s">
        <v>6379</v>
      </c>
      <c r="B3305">
        <v>3</v>
      </c>
      <c r="C3305">
        <v>2020</v>
      </c>
      <c r="D3305" t="s">
        <v>23949</v>
      </c>
      <c r="E3305">
        <v>31</v>
      </c>
      <c r="F3305" t="s">
        <v>23950</v>
      </c>
      <c r="G3305" t="s">
        <v>23951</v>
      </c>
      <c r="H3305" s="4" t="s">
        <v>23952</v>
      </c>
      <c r="I3305" t="s">
        <v>71</v>
      </c>
      <c r="J3305" t="s">
        <v>10782</v>
      </c>
      <c r="K3305" t="s">
        <v>23953</v>
      </c>
    </row>
    <row r="3306" spans="1:11" ht="158.4" x14ac:dyDescent="0.3">
      <c r="A3306" s="4" t="s">
        <v>6380</v>
      </c>
      <c r="B3306">
        <v>3</v>
      </c>
      <c r="C3306">
        <v>2020</v>
      </c>
      <c r="D3306" t="s">
        <v>217</v>
      </c>
      <c r="E3306">
        <v>1</v>
      </c>
      <c r="F3306" t="s">
        <v>23954</v>
      </c>
      <c r="G3306" t="s">
        <v>23955</v>
      </c>
      <c r="H3306" s="4" t="s">
        <v>23956</v>
      </c>
      <c r="I3306" t="s">
        <v>71</v>
      </c>
      <c r="J3306" t="s">
        <v>10782</v>
      </c>
      <c r="K3306" t="s">
        <v>23957</v>
      </c>
    </row>
    <row r="3307" spans="1:11" ht="100.8" x14ac:dyDescent="0.3">
      <c r="A3307" s="4" t="s">
        <v>6381</v>
      </c>
      <c r="B3307">
        <v>3</v>
      </c>
      <c r="C3307">
        <v>2020</v>
      </c>
      <c r="D3307" t="s">
        <v>2361</v>
      </c>
      <c r="E3307">
        <v>54</v>
      </c>
      <c r="F3307" t="s">
        <v>23958</v>
      </c>
      <c r="G3307" t="s">
        <v>23959</v>
      </c>
      <c r="H3307" s="4" t="s">
        <v>23960</v>
      </c>
      <c r="I3307" t="s">
        <v>71</v>
      </c>
      <c r="J3307" t="s">
        <v>10782</v>
      </c>
      <c r="K3307" t="s">
        <v>23961</v>
      </c>
    </row>
    <row r="3308" spans="1:11" ht="216" x14ac:dyDescent="0.3">
      <c r="A3308" s="4" t="s">
        <v>6382</v>
      </c>
      <c r="B3308">
        <v>3</v>
      </c>
      <c r="C3308">
        <v>2020</v>
      </c>
      <c r="D3308" t="s">
        <v>23962</v>
      </c>
      <c r="E3308">
        <v>3</v>
      </c>
      <c r="F3308" t="s">
        <v>23963</v>
      </c>
      <c r="G3308" t="s">
        <v>23964</v>
      </c>
      <c r="H3308" s="4" t="s">
        <v>23965</v>
      </c>
      <c r="I3308" t="s">
        <v>71</v>
      </c>
      <c r="J3308" t="s">
        <v>10782</v>
      </c>
      <c r="K3308" t="s">
        <v>23966</v>
      </c>
    </row>
    <row r="3309" spans="1:11" ht="172.8" x14ac:dyDescent="0.3">
      <c r="A3309" s="4" t="s">
        <v>2776</v>
      </c>
      <c r="B3309">
        <v>2</v>
      </c>
      <c r="C3309">
        <v>2020</v>
      </c>
      <c r="D3309" t="s">
        <v>264</v>
      </c>
      <c r="E3309">
        <v>14</v>
      </c>
      <c r="F3309" t="s">
        <v>23967</v>
      </c>
      <c r="G3309" t="s">
        <v>23968</v>
      </c>
      <c r="H3309" s="4" t="s">
        <v>23969</v>
      </c>
      <c r="I3309" t="s">
        <v>71</v>
      </c>
      <c r="J3309" t="s">
        <v>10782</v>
      </c>
      <c r="K3309" t="s">
        <v>23970</v>
      </c>
    </row>
    <row r="3310" spans="1:11" ht="43.2" x14ac:dyDescent="0.3">
      <c r="A3310" s="4" t="s">
        <v>6383</v>
      </c>
      <c r="B3310">
        <v>3</v>
      </c>
      <c r="C3310">
        <v>2020</v>
      </c>
      <c r="D3310" t="s">
        <v>1570</v>
      </c>
      <c r="E3310">
        <v>0</v>
      </c>
      <c r="F3310" t="s">
        <v>23971</v>
      </c>
      <c r="G3310" t="s">
        <v>23972</v>
      </c>
      <c r="H3310" s="4" t="s">
        <v>23973</v>
      </c>
    </row>
    <row r="3311" spans="1:11" ht="100.8" x14ac:dyDescent="0.3">
      <c r="A3311" s="4" t="s">
        <v>3355</v>
      </c>
      <c r="B3311">
        <v>1</v>
      </c>
      <c r="C3311">
        <v>2020</v>
      </c>
      <c r="D3311" t="s">
        <v>318</v>
      </c>
      <c r="E3311">
        <v>17</v>
      </c>
      <c r="F3311" t="s">
        <v>23974</v>
      </c>
      <c r="G3311" t="s">
        <v>23975</v>
      </c>
      <c r="H3311" s="4" t="s">
        <v>23976</v>
      </c>
    </row>
    <row r="3312" spans="1:11" ht="187.2" x14ac:dyDescent="0.3">
      <c r="A3312" s="4" t="s">
        <v>6384</v>
      </c>
      <c r="B3312">
        <v>3</v>
      </c>
      <c r="C3312">
        <v>2020</v>
      </c>
      <c r="D3312" t="s">
        <v>528</v>
      </c>
      <c r="E3312">
        <v>23</v>
      </c>
      <c r="F3312" t="s">
        <v>23977</v>
      </c>
      <c r="G3312" t="s">
        <v>23978</v>
      </c>
      <c r="H3312" s="4" t="s">
        <v>23979</v>
      </c>
      <c r="I3312" t="s">
        <v>71</v>
      </c>
      <c r="J3312" t="s">
        <v>10782</v>
      </c>
      <c r="K3312" t="s">
        <v>23980</v>
      </c>
    </row>
    <row r="3313" spans="1:11" ht="187.2" x14ac:dyDescent="0.3">
      <c r="A3313" s="4" t="s">
        <v>6385</v>
      </c>
      <c r="B3313">
        <v>3</v>
      </c>
      <c r="C3313">
        <v>2020</v>
      </c>
      <c r="D3313" t="s">
        <v>19510</v>
      </c>
      <c r="E3313">
        <v>0</v>
      </c>
      <c r="F3313" t="s">
        <v>23981</v>
      </c>
      <c r="G3313" t="s">
        <v>23982</v>
      </c>
      <c r="H3313" s="4" t="s">
        <v>23983</v>
      </c>
      <c r="I3313" t="s">
        <v>71</v>
      </c>
      <c r="J3313" t="s">
        <v>10782</v>
      </c>
      <c r="K3313" t="s">
        <v>23984</v>
      </c>
    </row>
    <row r="3314" spans="1:11" ht="158.4" x14ac:dyDescent="0.3">
      <c r="A3314" s="4" t="s">
        <v>6386</v>
      </c>
      <c r="B3314">
        <v>3</v>
      </c>
      <c r="C3314">
        <v>2020</v>
      </c>
      <c r="D3314" t="s">
        <v>1688</v>
      </c>
      <c r="E3314">
        <v>18</v>
      </c>
      <c r="F3314" t="s">
        <v>23985</v>
      </c>
      <c r="G3314" t="s">
        <v>23986</v>
      </c>
      <c r="H3314" s="4" t="s">
        <v>23987</v>
      </c>
      <c r="I3314" t="s">
        <v>71</v>
      </c>
      <c r="J3314" t="s">
        <v>10782</v>
      </c>
      <c r="K3314" t="s">
        <v>23988</v>
      </c>
    </row>
    <row r="3315" spans="1:11" ht="187.2" x14ac:dyDescent="0.3">
      <c r="A3315" s="4" t="s">
        <v>6387</v>
      </c>
      <c r="B3315">
        <v>3</v>
      </c>
      <c r="C3315">
        <v>2020</v>
      </c>
      <c r="D3315" t="s">
        <v>10924</v>
      </c>
      <c r="E3315">
        <v>17</v>
      </c>
      <c r="F3315" t="s">
        <v>23989</v>
      </c>
      <c r="G3315" t="s">
        <v>23990</v>
      </c>
      <c r="H3315" s="4" t="s">
        <v>23991</v>
      </c>
      <c r="I3315" t="s">
        <v>71</v>
      </c>
      <c r="J3315" t="s">
        <v>10782</v>
      </c>
      <c r="K3315" t="s">
        <v>23992</v>
      </c>
    </row>
    <row r="3316" spans="1:11" ht="115.2" x14ac:dyDescent="0.3">
      <c r="A3316" s="4" t="s">
        <v>6388</v>
      </c>
      <c r="B3316">
        <v>3</v>
      </c>
      <c r="C3316">
        <v>2020</v>
      </c>
      <c r="D3316" t="s">
        <v>2500</v>
      </c>
      <c r="E3316">
        <v>54</v>
      </c>
      <c r="F3316" t="s">
        <v>23993</v>
      </c>
      <c r="G3316" t="s">
        <v>23994</v>
      </c>
      <c r="H3316" s="4" t="s">
        <v>23995</v>
      </c>
      <c r="I3316" t="s">
        <v>10823</v>
      </c>
      <c r="J3316" t="s">
        <v>10782</v>
      </c>
      <c r="K3316" t="s">
        <v>23996</v>
      </c>
    </row>
    <row r="3317" spans="1:11" ht="216" x14ac:dyDescent="0.3">
      <c r="A3317" s="4" t="s">
        <v>1471</v>
      </c>
      <c r="B3317">
        <v>1</v>
      </c>
      <c r="C3317">
        <v>2020</v>
      </c>
      <c r="D3317" t="s">
        <v>1547</v>
      </c>
      <c r="E3317">
        <v>1</v>
      </c>
      <c r="F3317" t="s">
        <v>23997</v>
      </c>
      <c r="G3317" t="s">
        <v>23998</v>
      </c>
      <c r="H3317" s="4" t="s">
        <v>23999</v>
      </c>
      <c r="I3317" t="s">
        <v>71</v>
      </c>
      <c r="J3317" t="s">
        <v>10782</v>
      </c>
      <c r="K3317" t="s">
        <v>24000</v>
      </c>
    </row>
    <row r="3318" spans="1:11" ht="172.8" x14ac:dyDescent="0.3">
      <c r="A3318" s="4" t="s">
        <v>6389</v>
      </c>
      <c r="B3318">
        <v>3</v>
      </c>
      <c r="C3318">
        <v>2020</v>
      </c>
      <c r="D3318" t="s">
        <v>2853</v>
      </c>
      <c r="E3318">
        <v>5</v>
      </c>
      <c r="F3318" t="s">
        <v>24001</v>
      </c>
      <c r="G3318" t="s">
        <v>24002</v>
      </c>
      <c r="H3318" s="4" t="s">
        <v>24003</v>
      </c>
      <c r="I3318" t="s">
        <v>71</v>
      </c>
      <c r="J3318" t="s">
        <v>10782</v>
      </c>
      <c r="K3318" t="s">
        <v>24004</v>
      </c>
    </row>
    <row r="3319" spans="1:11" ht="172.8" x14ac:dyDescent="0.3">
      <c r="A3319" s="4" t="s">
        <v>6390</v>
      </c>
      <c r="B3319">
        <v>3</v>
      </c>
      <c r="C3319">
        <v>2020</v>
      </c>
      <c r="D3319" t="s">
        <v>80</v>
      </c>
      <c r="E3319">
        <v>181</v>
      </c>
      <c r="F3319" t="s">
        <v>24005</v>
      </c>
      <c r="G3319" t="s">
        <v>24006</v>
      </c>
      <c r="H3319" s="4" t="s">
        <v>24007</v>
      </c>
      <c r="I3319" t="s">
        <v>71</v>
      </c>
      <c r="J3319" t="s">
        <v>10782</v>
      </c>
      <c r="K3319" t="s">
        <v>24008</v>
      </c>
    </row>
    <row r="3320" spans="1:11" ht="201.6" x14ac:dyDescent="0.3">
      <c r="A3320" s="4" t="s">
        <v>6391</v>
      </c>
      <c r="B3320">
        <v>3</v>
      </c>
      <c r="C3320">
        <v>2020</v>
      </c>
      <c r="D3320" t="s">
        <v>11310</v>
      </c>
      <c r="E3320">
        <v>32</v>
      </c>
      <c r="F3320" t="s">
        <v>24009</v>
      </c>
      <c r="G3320" t="s">
        <v>24010</v>
      </c>
      <c r="H3320" s="4" t="s">
        <v>24011</v>
      </c>
      <c r="I3320" t="s">
        <v>71</v>
      </c>
      <c r="J3320" t="s">
        <v>10782</v>
      </c>
      <c r="K3320" t="s">
        <v>24012</v>
      </c>
    </row>
    <row r="3321" spans="1:11" ht="201.6" x14ac:dyDescent="0.3">
      <c r="A3321" s="4" t="s">
        <v>6392</v>
      </c>
      <c r="B3321">
        <v>3</v>
      </c>
      <c r="C3321">
        <v>2020</v>
      </c>
      <c r="D3321" t="s">
        <v>24013</v>
      </c>
      <c r="E3321">
        <v>6</v>
      </c>
      <c r="F3321" t="s">
        <v>24014</v>
      </c>
      <c r="G3321" t="s">
        <v>24015</v>
      </c>
      <c r="H3321" s="4" t="s">
        <v>24016</v>
      </c>
      <c r="I3321" t="s">
        <v>71</v>
      </c>
      <c r="J3321" t="s">
        <v>10782</v>
      </c>
      <c r="K3321" t="s">
        <v>24017</v>
      </c>
    </row>
    <row r="3322" spans="1:11" ht="230.4" x14ac:dyDescent="0.3">
      <c r="A3322" s="4" t="s">
        <v>6393</v>
      </c>
      <c r="B3322">
        <v>3</v>
      </c>
      <c r="C3322">
        <v>2020</v>
      </c>
      <c r="D3322" t="s">
        <v>637</v>
      </c>
      <c r="E3322">
        <v>26</v>
      </c>
      <c r="F3322" t="s">
        <v>24018</v>
      </c>
      <c r="G3322" t="s">
        <v>24019</v>
      </c>
      <c r="H3322" s="4" t="s">
        <v>24020</v>
      </c>
      <c r="I3322" t="s">
        <v>71</v>
      </c>
      <c r="J3322" t="s">
        <v>10782</v>
      </c>
      <c r="K3322" t="s">
        <v>24021</v>
      </c>
    </row>
    <row r="3323" spans="1:11" ht="259.2" x14ac:dyDescent="0.3">
      <c r="A3323" s="4" t="s">
        <v>3356</v>
      </c>
      <c r="B3323">
        <v>1</v>
      </c>
      <c r="C3323">
        <v>2020</v>
      </c>
      <c r="D3323" t="s">
        <v>1570</v>
      </c>
      <c r="E3323">
        <v>4</v>
      </c>
      <c r="F3323" t="s">
        <v>24022</v>
      </c>
      <c r="G3323" t="s">
        <v>24023</v>
      </c>
      <c r="H3323" s="4" t="s">
        <v>24024</v>
      </c>
      <c r="I3323" t="s">
        <v>71</v>
      </c>
      <c r="J3323" t="s">
        <v>10782</v>
      </c>
      <c r="K3323" t="s">
        <v>24025</v>
      </c>
    </row>
    <row r="3324" spans="1:11" ht="158.4" x14ac:dyDescent="0.3">
      <c r="A3324" s="4" t="s">
        <v>3576</v>
      </c>
      <c r="B3324">
        <v>2</v>
      </c>
      <c r="C3324">
        <v>2020</v>
      </c>
      <c r="D3324" t="s">
        <v>1175</v>
      </c>
      <c r="E3324">
        <v>4</v>
      </c>
      <c r="F3324" t="s">
        <v>24026</v>
      </c>
      <c r="G3324" t="s">
        <v>24027</v>
      </c>
      <c r="H3324" s="4" t="s">
        <v>24028</v>
      </c>
      <c r="I3324" t="s">
        <v>71</v>
      </c>
      <c r="J3324" t="s">
        <v>10782</v>
      </c>
      <c r="K3324" t="s">
        <v>24029</v>
      </c>
    </row>
    <row r="3325" spans="1:11" x14ac:dyDescent="0.3">
      <c r="A3325" s="4" t="s">
        <v>6394</v>
      </c>
      <c r="B3325">
        <v>3</v>
      </c>
      <c r="C3325">
        <v>2020</v>
      </c>
      <c r="D3325" t="s">
        <v>1570</v>
      </c>
      <c r="E3325">
        <v>1</v>
      </c>
      <c r="F3325" t="s">
        <v>24030</v>
      </c>
      <c r="G3325" t="s">
        <v>24031</v>
      </c>
      <c r="H3325" s="4" t="s">
        <v>24032</v>
      </c>
    </row>
    <row r="3326" spans="1:11" ht="158.4" x14ac:dyDescent="0.3">
      <c r="A3326" s="4" t="s">
        <v>1472</v>
      </c>
      <c r="B3326">
        <v>1</v>
      </c>
      <c r="C3326">
        <v>2020</v>
      </c>
      <c r="D3326" t="s">
        <v>1530</v>
      </c>
      <c r="E3326">
        <v>30</v>
      </c>
      <c r="F3326" t="s">
        <v>24033</v>
      </c>
      <c r="G3326" t="s">
        <v>24034</v>
      </c>
      <c r="H3326" s="4" t="s">
        <v>24035</v>
      </c>
      <c r="I3326" t="s">
        <v>71</v>
      </c>
      <c r="J3326" t="s">
        <v>10782</v>
      </c>
      <c r="K3326" t="s">
        <v>24036</v>
      </c>
    </row>
    <row r="3327" spans="1:11" ht="172.8" x14ac:dyDescent="0.3">
      <c r="A3327" s="4" t="s">
        <v>6395</v>
      </c>
      <c r="B3327">
        <v>3</v>
      </c>
      <c r="C3327">
        <v>2020</v>
      </c>
      <c r="D3327" t="s">
        <v>83</v>
      </c>
      <c r="E3327">
        <v>13</v>
      </c>
      <c r="F3327" t="s">
        <v>24037</v>
      </c>
      <c r="G3327" t="s">
        <v>24038</v>
      </c>
      <c r="H3327" s="4" t="s">
        <v>24039</v>
      </c>
      <c r="I3327" t="s">
        <v>71</v>
      </c>
      <c r="J3327" t="s">
        <v>10782</v>
      </c>
      <c r="K3327" t="s">
        <v>24040</v>
      </c>
    </row>
    <row r="3328" spans="1:11" ht="187.2" x14ac:dyDescent="0.3">
      <c r="A3328" s="4" t="s">
        <v>6396</v>
      </c>
      <c r="B3328">
        <v>3</v>
      </c>
      <c r="C3328">
        <v>2020</v>
      </c>
      <c r="D3328" t="s">
        <v>1570</v>
      </c>
      <c r="E3328">
        <v>3</v>
      </c>
      <c r="F3328" t="s">
        <v>24041</v>
      </c>
      <c r="G3328" t="s">
        <v>24042</v>
      </c>
      <c r="H3328" s="4" t="s">
        <v>24043</v>
      </c>
      <c r="I3328" t="s">
        <v>71</v>
      </c>
      <c r="J3328" t="s">
        <v>10782</v>
      </c>
      <c r="K3328" t="s">
        <v>24044</v>
      </c>
    </row>
    <row r="3329" spans="1:11" ht="216" x14ac:dyDescent="0.3">
      <c r="A3329" s="4" t="s">
        <v>6397</v>
      </c>
      <c r="B3329">
        <v>3</v>
      </c>
      <c r="C3329">
        <v>2020</v>
      </c>
      <c r="D3329" t="s">
        <v>482</v>
      </c>
      <c r="E3329">
        <v>7</v>
      </c>
      <c r="F3329" t="s">
        <v>24045</v>
      </c>
      <c r="G3329" t="s">
        <v>24046</v>
      </c>
      <c r="H3329" s="4" t="s">
        <v>24047</v>
      </c>
      <c r="I3329" t="s">
        <v>71</v>
      </c>
      <c r="J3329" t="s">
        <v>10782</v>
      </c>
      <c r="K3329" t="s">
        <v>24048</v>
      </c>
    </row>
    <row r="3330" spans="1:11" ht="100.8" x14ac:dyDescent="0.3">
      <c r="A3330" s="4" t="s">
        <v>1474</v>
      </c>
      <c r="B3330">
        <v>1</v>
      </c>
      <c r="C3330">
        <v>2020</v>
      </c>
      <c r="D3330" t="s">
        <v>217</v>
      </c>
      <c r="E3330">
        <v>24</v>
      </c>
      <c r="F3330" t="s">
        <v>24049</v>
      </c>
      <c r="G3330" t="s">
        <v>24050</v>
      </c>
      <c r="H3330" s="4" t="s">
        <v>24051</v>
      </c>
    </row>
    <row r="3331" spans="1:11" ht="187.2" x14ac:dyDescent="0.3">
      <c r="A3331" s="4" t="s">
        <v>6398</v>
      </c>
      <c r="B3331">
        <v>3</v>
      </c>
      <c r="C3331">
        <v>2020</v>
      </c>
      <c r="D3331" t="s">
        <v>637</v>
      </c>
      <c r="E3331">
        <v>18</v>
      </c>
      <c r="F3331" t="s">
        <v>24052</v>
      </c>
      <c r="G3331" t="s">
        <v>24053</v>
      </c>
      <c r="H3331" s="4" t="s">
        <v>24054</v>
      </c>
      <c r="I3331" t="s">
        <v>71</v>
      </c>
      <c r="J3331" t="s">
        <v>10782</v>
      </c>
      <c r="K3331" t="s">
        <v>24055</v>
      </c>
    </row>
    <row r="3332" spans="1:11" ht="86.4" x14ac:dyDescent="0.3">
      <c r="A3332" s="4" t="s">
        <v>6399</v>
      </c>
      <c r="B3332">
        <v>3</v>
      </c>
      <c r="C3332">
        <v>2020</v>
      </c>
      <c r="D3332" t="s">
        <v>24056</v>
      </c>
      <c r="E3332">
        <v>13</v>
      </c>
      <c r="F3332" t="s">
        <v>24057</v>
      </c>
      <c r="G3332" t="s">
        <v>24058</v>
      </c>
      <c r="H3332" s="4" t="s">
        <v>24059</v>
      </c>
      <c r="I3332" t="s">
        <v>71</v>
      </c>
      <c r="J3332" t="s">
        <v>10782</v>
      </c>
      <c r="K3332" t="s">
        <v>24060</v>
      </c>
    </row>
    <row r="3333" spans="1:11" ht="201.6" x14ac:dyDescent="0.3">
      <c r="A3333" s="4" t="s">
        <v>6400</v>
      </c>
      <c r="B3333">
        <v>3</v>
      </c>
      <c r="C3333">
        <v>2020</v>
      </c>
      <c r="D3333" t="s">
        <v>363</v>
      </c>
      <c r="E3333">
        <v>14</v>
      </c>
      <c r="F3333" t="s">
        <v>24061</v>
      </c>
      <c r="G3333" t="s">
        <v>24062</v>
      </c>
      <c r="H3333" s="4" t="s">
        <v>24063</v>
      </c>
      <c r="I3333" t="s">
        <v>71</v>
      </c>
      <c r="J3333" t="s">
        <v>10782</v>
      </c>
      <c r="K3333" t="s">
        <v>24064</v>
      </c>
    </row>
    <row r="3334" spans="1:11" ht="158.4" x14ac:dyDescent="0.3">
      <c r="A3334" s="4" t="s">
        <v>6401</v>
      </c>
      <c r="B3334">
        <v>3</v>
      </c>
      <c r="C3334">
        <v>2020</v>
      </c>
      <c r="D3334" t="s">
        <v>264</v>
      </c>
      <c r="E3334">
        <v>15</v>
      </c>
      <c r="F3334" t="s">
        <v>24065</v>
      </c>
      <c r="G3334" t="s">
        <v>24066</v>
      </c>
      <c r="H3334" s="4" t="s">
        <v>24067</v>
      </c>
      <c r="I3334" t="s">
        <v>71</v>
      </c>
      <c r="J3334" t="s">
        <v>10782</v>
      </c>
      <c r="K3334" t="s">
        <v>24068</v>
      </c>
    </row>
    <row r="3335" spans="1:11" ht="115.2" x14ac:dyDescent="0.3">
      <c r="A3335" s="4" t="s">
        <v>6402</v>
      </c>
      <c r="B3335">
        <v>3</v>
      </c>
      <c r="C3335">
        <v>2020</v>
      </c>
      <c r="D3335" t="s">
        <v>1570</v>
      </c>
      <c r="E3335">
        <v>0</v>
      </c>
      <c r="F3335" t="s">
        <v>24069</v>
      </c>
      <c r="G3335" t="s">
        <v>24070</v>
      </c>
      <c r="H3335" s="4" t="s">
        <v>24071</v>
      </c>
    </row>
    <row r="3336" spans="1:11" ht="144" x14ac:dyDescent="0.3">
      <c r="A3336" s="4" t="s">
        <v>6403</v>
      </c>
      <c r="B3336">
        <v>3</v>
      </c>
      <c r="C3336">
        <v>2020</v>
      </c>
      <c r="D3336" t="s">
        <v>12612</v>
      </c>
      <c r="E3336">
        <v>12</v>
      </c>
      <c r="F3336" t="s">
        <v>24072</v>
      </c>
      <c r="G3336" t="s">
        <v>24073</v>
      </c>
      <c r="H3336" s="4" t="s">
        <v>24074</v>
      </c>
      <c r="I3336" t="s">
        <v>71</v>
      </c>
      <c r="J3336" t="s">
        <v>10782</v>
      </c>
      <c r="K3336" t="s">
        <v>24075</v>
      </c>
    </row>
    <row r="3337" spans="1:11" ht="28.8" x14ac:dyDescent="0.3">
      <c r="A3337" s="4" t="s">
        <v>6404</v>
      </c>
      <c r="B3337">
        <v>3</v>
      </c>
      <c r="C3337">
        <v>2020</v>
      </c>
      <c r="D3337" t="s">
        <v>1570</v>
      </c>
      <c r="E3337">
        <v>12</v>
      </c>
      <c r="F3337" t="s">
        <v>24076</v>
      </c>
      <c r="G3337" t="s">
        <v>24077</v>
      </c>
      <c r="H3337" s="4" t="s">
        <v>24078</v>
      </c>
    </row>
    <row r="3338" spans="1:11" ht="187.2" x14ac:dyDescent="0.3">
      <c r="A3338" s="4" t="s">
        <v>6405</v>
      </c>
      <c r="B3338">
        <v>3</v>
      </c>
      <c r="C3338">
        <v>2020</v>
      </c>
      <c r="D3338" t="s">
        <v>177</v>
      </c>
      <c r="E3338">
        <v>4</v>
      </c>
      <c r="F3338" t="s">
        <v>24079</v>
      </c>
      <c r="G3338" t="s">
        <v>24080</v>
      </c>
      <c r="H3338" s="4" t="s">
        <v>24081</v>
      </c>
      <c r="I3338" t="s">
        <v>71</v>
      </c>
      <c r="J3338" t="s">
        <v>10782</v>
      </c>
      <c r="K3338" t="s">
        <v>24082</v>
      </c>
    </row>
    <row r="3339" spans="1:11" ht="144" x14ac:dyDescent="0.3">
      <c r="A3339" s="4" t="s">
        <v>6406</v>
      </c>
      <c r="B3339">
        <v>3</v>
      </c>
      <c r="C3339">
        <v>2020</v>
      </c>
      <c r="D3339" t="s">
        <v>1570</v>
      </c>
      <c r="E3339">
        <v>3</v>
      </c>
      <c r="F3339" t="s">
        <v>24083</v>
      </c>
      <c r="G3339" t="s">
        <v>24084</v>
      </c>
      <c r="H3339" s="4" t="s">
        <v>24085</v>
      </c>
    </row>
    <row r="3340" spans="1:11" ht="86.4" x14ac:dyDescent="0.3">
      <c r="A3340" s="4" t="s">
        <v>6407</v>
      </c>
      <c r="B3340">
        <v>3</v>
      </c>
      <c r="C3340">
        <v>2020</v>
      </c>
      <c r="D3340" t="s">
        <v>2585</v>
      </c>
      <c r="E3340">
        <v>183</v>
      </c>
      <c r="F3340" t="s">
        <v>24086</v>
      </c>
      <c r="G3340" t="s">
        <v>24087</v>
      </c>
      <c r="H3340" s="4" t="s">
        <v>24088</v>
      </c>
    </row>
    <row r="3341" spans="1:11" ht="28.8" x14ac:dyDescent="0.3">
      <c r="A3341" s="4" t="s">
        <v>6408</v>
      </c>
      <c r="B3341">
        <v>3</v>
      </c>
      <c r="C3341">
        <v>2020</v>
      </c>
      <c r="D3341" t="s">
        <v>1570</v>
      </c>
      <c r="E3341">
        <v>1</v>
      </c>
      <c r="F3341" t="s">
        <v>24089</v>
      </c>
      <c r="G3341" t="s">
        <v>24090</v>
      </c>
      <c r="H3341" s="4" t="s">
        <v>24091</v>
      </c>
    </row>
    <row r="3342" spans="1:11" ht="28.8" x14ac:dyDescent="0.3">
      <c r="A3342" s="4" t="s">
        <v>6409</v>
      </c>
      <c r="B3342">
        <v>3</v>
      </c>
      <c r="C3342">
        <v>2020</v>
      </c>
      <c r="D3342" t="s">
        <v>1570</v>
      </c>
      <c r="E3342">
        <v>10</v>
      </c>
      <c r="F3342" t="s">
        <v>24092</v>
      </c>
      <c r="G3342" t="s">
        <v>24093</v>
      </c>
      <c r="H3342" s="4" t="s">
        <v>24094</v>
      </c>
    </row>
    <row r="3343" spans="1:11" ht="201.6" x14ac:dyDescent="0.3">
      <c r="A3343" s="4" t="s">
        <v>6410</v>
      </c>
      <c r="B3343">
        <v>3</v>
      </c>
      <c r="C3343">
        <v>2020</v>
      </c>
      <c r="D3343" t="s">
        <v>10924</v>
      </c>
      <c r="E3343">
        <v>35</v>
      </c>
      <c r="F3343" t="s">
        <v>24095</v>
      </c>
      <c r="G3343" t="s">
        <v>24096</v>
      </c>
      <c r="H3343" s="4" t="s">
        <v>24097</v>
      </c>
      <c r="I3343" t="s">
        <v>71</v>
      </c>
      <c r="J3343" t="s">
        <v>10782</v>
      </c>
      <c r="K3343" t="s">
        <v>24098</v>
      </c>
    </row>
    <row r="3344" spans="1:11" ht="144" x14ac:dyDescent="0.3">
      <c r="A3344" s="4" t="s">
        <v>6411</v>
      </c>
      <c r="B3344">
        <v>3</v>
      </c>
      <c r="C3344">
        <v>2020</v>
      </c>
      <c r="D3344" t="s">
        <v>1570</v>
      </c>
      <c r="E3344">
        <v>3</v>
      </c>
      <c r="F3344" t="s">
        <v>24099</v>
      </c>
      <c r="G3344" t="s">
        <v>24100</v>
      </c>
      <c r="H3344" s="4" t="s">
        <v>24101</v>
      </c>
    </row>
    <row r="3345" spans="1:11" ht="158.4" x14ac:dyDescent="0.3">
      <c r="A3345" s="4" t="s">
        <v>6412</v>
      </c>
      <c r="B3345">
        <v>3</v>
      </c>
      <c r="C3345">
        <v>2020</v>
      </c>
      <c r="D3345" t="s">
        <v>12677</v>
      </c>
      <c r="E3345">
        <v>10</v>
      </c>
      <c r="F3345" t="s">
        <v>24102</v>
      </c>
      <c r="G3345" t="s">
        <v>24103</v>
      </c>
      <c r="H3345" s="4" t="s">
        <v>24104</v>
      </c>
      <c r="I3345" t="s">
        <v>71</v>
      </c>
      <c r="J3345" t="s">
        <v>10782</v>
      </c>
      <c r="K3345" t="s">
        <v>24105</v>
      </c>
    </row>
    <row r="3346" spans="1:11" ht="129.6" x14ac:dyDescent="0.3">
      <c r="A3346" s="4" t="s">
        <v>6413</v>
      </c>
      <c r="B3346">
        <v>3</v>
      </c>
      <c r="C3346">
        <v>2020</v>
      </c>
      <c r="D3346" t="s">
        <v>14623</v>
      </c>
      <c r="E3346">
        <v>9</v>
      </c>
      <c r="F3346" t="s">
        <v>24106</v>
      </c>
      <c r="G3346" t="s">
        <v>24107</v>
      </c>
      <c r="H3346" s="4" t="s">
        <v>24108</v>
      </c>
      <c r="I3346" t="s">
        <v>71</v>
      </c>
      <c r="J3346" t="s">
        <v>10782</v>
      </c>
      <c r="K3346" t="s">
        <v>24109</v>
      </c>
    </row>
    <row r="3347" spans="1:11" ht="216" x14ac:dyDescent="0.3">
      <c r="A3347" s="4" t="s">
        <v>3577</v>
      </c>
      <c r="B3347">
        <v>2</v>
      </c>
      <c r="C3347">
        <v>2020</v>
      </c>
      <c r="D3347" t="s">
        <v>329</v>
      </c>
      <c r="E3347">
        <v>34</v>
      </c>
      <c r="F3347" t="s">
        <v>24110</v>
      </c>
      <c r="G3347" t="s">
        <v>24111</v>
      </c>
      <c r="H3347" s="4" t="s">
        <v>24112</v>
      </c>
      <c r="I3347" t="s">
        <v>71</v>
      </c>
      <c r="J3347" t="s">
        <v>10782</v>
      </c>
      <c r="K3347" t="s">
        <v>24113</v>
      </c>
    </row>
    <row r="3348" spans="1:11" ht="129.6" x14ac:dyDescent="0.3">
      <c r="A3348" s="4" t="s">
        <v>3578</v>
      </c>
      <c r="B3348">
        <v>2</v>
      </c>
      <c r="C3348">
        <v>2020</v>
      </c>
      <c r="D3348" t="s">
        <v>1570</v>
      </c>
      <c r="E3348">
        <v>4</v>
      </c>
      <c r="F3348" t="s">
        <v>24114</v>
      </c>
      <c r="G3348" t="s">
        <v>24115</v>
      </c>
      <c r="H3348" s="4" t="s">
        <v>24116</v>
      </c>
    </row>
    <row r="3349" spans="1:11" ht="158.4" x14ac:dyDescent="0.3">
      <c r="A3349" s="4" t="s">
        <v>6414</v>
      </c>
      <c r="B3349">
        <v>3</v>
      </c>
      <c r="C3349">
        <v>2020</v>
      </c>
      <c r="D3349" t="s">
        <v>177</v>
      </c>
      <c r="E3349">
        <v>4</v>
      </c>
      <c r="F3349" t="s">
        <v>24117</v>
      </c>
      <c r="G3349" t="s">
        <v>24118</v>
      </c>
      <c r="H3349" s="4" t="s">
        <v>24119</v>
      </c>
      <c r="I3349" t="s">
        <v>71</v>
      </c>
      <c r="J3349" t="s">
        <v>10782</v>
      </c>
      <c r="K3349" t="s">
        <v>24120</v>
      </c>
    </row>
    <row r="3350" spans="1:11" ht="158.4" x14ac:dyDescent="0.3">
      <c r="A3350" s="4" t="s">
        <v>6415</v>
      </c>
      <c r="B3350">
        <v>3</v>
      </c>
      <c r="C3350">
        <v>2020</v>
      </c>
      <c r="D3350" t="s">
        <v>1570</v>
      </c>
      <c r="E3350">
        <v>5</v>
      </c>
      <c r="F3350" t="s">
        <v>24121</v>
      </c>
      <c r="G3350" t="s">
        <v>24122</v>
      </c>
      <c r="H3350" s="4" t="s">
        <v>24123</v>
      </c>
      <c r="I3350" t="s">
        <v>71</v>
      </c>
      <c r="J3350" t="s">
        <v>10782</v>
      </c>
      <c r="K3350" t="s">
        <v>24124</v>
      </c>
    </row>
    <row r="3351" spans="1:11" ht="129.6" x14ac:dyDescent="0.3">
      <c r="A3351" s="4" t="s">
        <v>6416</v>
      </c>
      <c r="B3351">
        <v>3</v>
      </c>
      <c r="C3351">
        <v>2020</v>
      </c>
      <c r="D3351" t="s">
        <v>17140</v>
      </c>
      <c r="E3351">
        <v>20</v>
      </c>
      <c r="F3351" t="s">
        <v>24125</v>
      </c>
      <c r="G3351" t="s">
        <v>24126</v>
      </c>
      <c r="H3351" s="4" t="s">
        <v>24127</v>
      </c>
      <c r="I3351" t="s">
        <v>71</v>
      </c>
      <c r="J3351" t="s">
        <v>10782</v>
      </c>
      <c r="K3351" t="s">
        <v>24128</v>
      </c>
    </row>
    <row r="3352" spans="1:11" ht="187.2" x14ac:dyDescent="0.3">
      <c r="A3352" s="4" t="s">
        <v>6417</v>
      </c>
      <c r="B3352">
        <v>3</v>
      </c>
      <c r="C3352">
        <v>2020</v>
      </c>
      <c r="D3352" t="s">
        <v>1570</v>
      </c>
      <c r="E3352">
        <v>5</v>
      </c>
      <c r="F3352" t="s">
        <v>24129</v>
      </c>
      <c r="G3352" t="s">
        <v>24130</v>
      </c>
      <c r="H3352" s="4" t="s">
        <v>24131</v>
      </c>
    </row>
    <row r="3353" spans="1:11" ht="172.8" x14ac:dyDescent="0.3">
      <c r="A3353" s="4" t="s">
        <v>6418</v>
      </c>
      <c r="B3353">
        <v>3</v>
      </c>
      <c r="C3353">
        <v>2020</v>
      </c>
      <c r="D3353" t="s">
        <v>1570</v>
      </c>
      <c r="E3353">
        <v>9</v>
      </c>
      <c r="F3353" t="s">
        <v>24132</v>
      </c>
      <c r="G3353" t="s">
        <v>24133</v>
      </c>
      <c r="H3353" s="4" t="s">
        <v>24134</v>
      </c>
    </row>
    <row r="3354" spans="1:11" ht="100.8" x14ac:dyDescent="0.3">
      <c r="A3354" s="4" t="s">
        <v>6419</v>
      </c>
      <c r="B3354">
        <v>3</v>
      </c>
      <c r="C3354">
        <v>2020</v>
      </c>
      <c r="D3354" t="s">
        <v>385</v>
      </c>
      <c r="E3354">
        <v>48</v>
      </c>
      <c r="F3354" t="s">
        <v>24135</v>
      </c>
      <c r="G3354" t="s">
        <v>24136</v>
      </c>
      <c r="H3354" s="4" t="s">
        <v>24137</v>
      </c>
    </row>
    <row r="3355" spans="1:11" ht="144" x14ac:dyDescent="0.3">
      <c r="A3355" s="4" t="s">
        <v>3357</v>
      </c>
      <c r="B3355">
        <v>1</v>
      </c>
      <c r="C3355">
        <v>2020</v>
      </c>
      <c r="D3355" t="s">
        <v>1530</v>
      </c>
      <c r="E3355">
        <v>3</v>
      </c>
      <c r="F3355" t="s">
        <v>24138</v>
      </c>
      <c r="G3355" t="s">
        <v>24139</v>
      </c>
      <c r="H3355" s="4" t="s">
        <v>24140</v>
      </c>
      <c r="I3355" t="s">
        <v>71</v>
      </c>
      <c r="J3355" t="s">
        <v>10782</v>
      </c>
      <c r="K3355" t="s">
        <v>24141</v>
      </c>
    </row>
    <row r="3356" spans="1:11" ht="115.2" x14ac:dyDescent="0.3">
      <c r="A3356" s="4" t="s">
        <v>6420</v>
      </c>
      <c r="B3356">
        <v>3</v>
      </c>
      <c r="C3356">
        <v>2020</v>
      </c>
      <c r="D3356" t="s">
        <v>12612</v>
      </c>
      <c r="E3356">
        <v>3</v>
      </c>
      <c r="F3356" t="s">
        <v>24142</v>
      </c>
      <c r="G3356" t="s">
        <v>24143</v>
      </c>
      <c r="H3356" s="4" t="s">
        <v>24144</v>
      </c>
      <c r="I3356" t="s">
        <v>71</v>
      </c>
      <c r="J3356" t="s">
        <v>10782</v>
      </c>
      <c r="K3356" t="s">
        <v>24145</v>
      </c>
    </row>
    <row r="3357" spans="1:11" ht="144" x14ac:dyDescent="0.3">
      <c r="A3357" s="4" t="s">
        <v>1475</v>
      </c>
      <c r="B3357">
        <v>1</v>
      </c>
      <c r="C3357">
        <v>2020</v>
      </c>
      <c r="D3357" t="s">
        <v>1570</v>
      </c>
      <c r="E3357">
        <v>2</v>
      </c>
      <c r="F3357" t="s">
        <v>24146</v>
      </c>
      <c r="G3357" t="s">
        <v>24147</v>
      </c>
      <c r="H3357" s="4" t="s">
        <v>24148</v>
      </c>
    </row>
    <row r="3358" spans="1:11" ht="201.6" x14ac:dyDescent="0.3">
      <c r="A3358" s="4" t="s">
        <v>6421</v>
      </c>
      <c r="B3358">
        <v>3</v>
      </c>
      <c r="C3358">
        <v>2020</v>
      </c>
      <c r="D3358" t="s">
        <v>10924</v>
      </c>
      <c r="E3358">
        <v>69</v>
      </c>
      <c r="F3358" t="s">
        <v>24149</v>
      </c>
      <c r="G3358" t="s">
        <v>24150</v>
      </c>
      <c r="H3358" s="4" t="s">
        <v>24151</v>
      </c>
      <c r="I3358" t="s">
        <v>71</v>
      </c>
      <c r="J3358" t="s">
        <v>10782</v>
      </c>
      <c r="K3358" t="s">
        <v>24152</v>
      </c>
    </row>
    <row r="3359" spans="1:11" ht="158.4" x14ac:dyDescent="0.3">
      <c r="A3359" s="4" t="s">
        <v>6422</v>
      </c>
      <c r="B3359">
        <v>3</v>
      </c>
      <c r="C3359">
        <v>2020</v>
      </c>
      <c r="D3359" t="s">
        <v>24153</v>
      </c>
      <c r="E3359">
        <v>23</v>
      </c>
      <c r="F3359" t="s">
        <v>24154</v>
      </c>
      <c r="G3359" t="s">
        <v>24155</v>
      </c>
      <c r="H3359" s="4" t="s">
        <v>24156</v>
      </c>
      <c r="I3359" t="s">
        <v>71</v>
      </c>
      <c r="J3359" t="s">
        <v>10782</v>
      </c>
      <c r="K3359" t="s">
        <v>24157</v>
      </c>
    </row>
    <row r="3360" spans="1:11" ht="86.4" x14ac:dyDescent="0.3">
      <c r="A3360" s="4" t="s">
        <v>6423</v>
      </c>
      <c r="B3360">
        <v>3</v>
      </c>
      <c r="C3360">
        <v>2020</v>
      </c>
      <c r="D3360" t="s">
        <v>22883</v>
      </c>
      <c r="E3360">
        <v>13</v>
      </c>
      <c r="F3360" t="s">
        <v>24158</v>
      </c>
      <c r="G3360" t="s">
        <v>24159</v>
      </c>
      <c r="H3360" s="4" t="s">
        <v>24160</v>
      </c>
    </row>
    <row r="3361" spans="1:11" ht="201.6" x14ac:dyDescent="0.3">
      <c r="A3361" s="4" t="s">
        <v>6424</v>
      </c>
      <c r="B3361">
        <v>3</v>
      </c>
      <c r="C3361">
        <v>2020</v>
      </c>
      <c r="D3361" t="s">
        <v>1570</v>
      </c>
      <c r="E3361">
        <v>3</v>
      </c>
      <c r="F3361" t="s">
        <v>24161</v>
      </c>
      <c r="G3361" t="s">
        <v>24162</v>
      </c>
      <c r="H3361" s="4" t="s">
        <v>24163</v>
      </c>
      <c r="I3361" t="s">
        <v>71</v>
      </c>
      <c r="J3361" t="s">
        <v>10782</v>
      </c>
      <c r="K3361" t="s">
        <v>24164</v>
      </c>
    </row>
    <row r="3362" spans="1:11" ht="216" x14ac:dyDescent="0.3">
      <c r="A3362" s="4" t="s">
        <v>6425</v>
      </c>
      <c r="B3362">
        <v>3</v>
      </c>
      <c r="C3362">
        <v>2020</v>
      </c>
      <c r="D3362" t="s">
        <v>10924</v>
      </c>
      <c r="E3362">
        <v>37</v>
      </c>
      <c r="F3362" t="s">
        <v>24165</v>
      </c>
      <c r="G3362" t="s">
        <v>24166</v>
      </c>
      <c r="H3362" s="4" t="s">
        <v>24167</v>
      </c>
      <c r="I3362" t="s">
        <v>10823</v>
      </c>
      <c r="J3362" t="s">
        <v>10782</v>
      </c>
      <c r="K3362" t="s">
        <v>24168</v>
      </c>
    </row>
    <row r="3363" spans="1:11" ht="187.2" x14ac:dyDescent="0.3">
      <c r="A3363" s="4" t="s">
        <v>6426</v>
      </c>
      <c r="B3363">
        <v>3</v>
      </c>
      <c r="C3363">
        <v>2020</v>
      </c>
      <c r="D3363" t="s">
        <v>24169</v>
      </c>
      <c r="E3363">
        <v>12</v>
      </c>
      <c r="F3363" t="s">
        <v>24170</v>
      </c>
      <c r="G3363" t="s">
        <v>24171</v>
      </c>
      <c r="H3363" s="4" t="s">
        <v>24172</v>
      </c>
      <c r="I3363" t="s">
        <v>71</v>
      </c>
      <c r="J3363" t="s">
        <v>10782</v>
      </c>
      <c r="K3363" t="s">
        <v>24173</v>
      </c>
    </row>
    <row r="3364" spans="1:11" ht="187.2" x14ac:dyDescent="0.3">
      <c r="A3364" s="4" t="s">
        <v>6427</v>
      </c>
      <c r="B3364">
        <v>3</v>
      </c>
      <c r="C3364">
        <v>2020</v>
      </c>
      <c r="D3364" t="s">
        <v>177</v>
      </c>
      <c r="E3364">
        <v>10</v>
      </c>
      <c r="F3364" t="s">
        <v>24174</v>
      </c>
      <c r="G3364" t="s">
        <v>24175</v>
      </c>
      <c r="H3364" s="4" t="s">
        <v>24176</v>
      </c>
      <c r="I3364" t="s">
        <v>71</v>
      </c>
      <c r="J3364" t="s">
        <v>10782</v>
      </c>
      <c r="K3364" t="s">
        <v>24177</v>
      </c>
    </row>
    <row r="3365" spans="1:11" ht="144" x14ac:dyDescent="0.3">
      <c r="A3365" s="4" t="s">
        <v>6428</v>
      </c>
      <c r="B3365">
        <v>3</v>
      </c>
      <c r="C3365">
        <v>2020</v>
      </c>
      <c r="D3365" t="s">
        <v>14588</v>
      </c>
      <c r="E3365">
        <v>9</v>
      </c>
      <c r="F3365" t="s">
        <v>24178</v>
      </c>
      <c r="G3365" t="s">
        <v>24179</v>
      </c>
      <c r="H3365" s="4" t="s">
        <v>24180</v>
      </c>
      <c r="I3365" t="s">
        <v>71</v>
      </c>
      <c r="J3365" t="s">
        <v>10782</v>
      </c>
      <c r="K3365" t="s">
        <v>24181</v>
      </c>
    </row>
    <row r="3366" spans="1:11" ht="230.4" x14ac:dyDescent="0.3">
      <c r="A3366" s="4" t="s">
        <v>1476</v>
      </c>
      <c r="B3366">
        <v>1</v>
      </c>
      <c r="C3366">
        <v>2020</v>
      </c>
      <c r="D3366" t="s">
        <v>318</v>
      </c>
      <c r="E3366">
        <v>74</v>
      </c>
      <c r="F3366" t="s">
        <v>24182</v>
      </c>
      <c r="G3366" t="s">
        <v>24183</v>
      </c>
      <c r="H3366" s="4" t="s">
        <v>24184</v>
      </c>
      <c r="I3366" t="s">
        <v>71</v>
      </c>
      <c r="J3366" t="s">
        <v>10782</v>
      </c>
      <c r="K3366" t="s">
        <v>24185</v>
      </c>
    </row>
    <row r="3367" spans="1:11" ht="259.2" x14ac:dyDescent="0.3">
      <c r="A3367" s="4" t="s">
        <v>6429</v>
      </c>
      <c r="B3367">
        <v>3</v>
      </c>
      <c r="C3367">
        <v>2020</v>
      </c>
      <c r="D3367" t="s">
        <v>10924</v>
      </c>
      <c r="E3367">
        <v>12</v>
      </c>
      <c r="F3367" t="s">
        <v>24186</v>
      </c>
      <c r="G3367" t="s">
        <v>24187</v>
      </c>
      <c r="H3367" s="4" t="s">
        <v>24188</v>
      </c>
      <c r="I3367" t="s">
        <v>71</v>
      </c>
      <c r="J3367" t="s">
        <v>10782</v>
      </c>
      <c r="K3367" t="s">
        <v>24189</v>
      </c>
    </row>
    <row r="3368" spans="1:11" ht="115.2" x14ac:dyDescent="0.3">
      <c r="A3368" s="4" t="s">
        <v>6430</v>
      </c>
      <c r="B3368">
        <v>3</v>
      </c>
      <c r="C3368">
        <v>2020</v>
      </c>
      <c r="D3368" t="s">
        <v>12612</v>
      </c>
      <c r="E3368">
        <v>5</v>
      </c>
      <c r="F3368" t="s">
        <v>24190</v>
      </c>
      <c r="G3368" t="s">
        <v>24191</v>
      </c>
      <c r="H3368" s="4" t="s">
        <v>24192</v>
      </c>
      <c r="I3368" t="s">
        <v>71</v>
      </c>
      <c r="J3368" t="s">
        <v>10782</v>
      </c>
      <c r="K3368" t="s">
        <v>24193</v>
      </c>
    </row>
    <row r="3369" spans="1:11" ht="216" x14ac:dyDescent="0.3">
      <c r="A3369" s="4" t="s">
        <v>6431</v>
      </c>
      <c r="B3369">
        <v>3</v>
      </c>
      <c r="C3369">
        <v>2020</v>
      </c>
      <c r="D3369" t="s">
        <v>637</v>
      </c>
      <c r="E3369">
        <v>16</v>
      </c>
      <c r="F3369" t="s">
        <v>24194</v>
      </c>
      <c r="G3369" t="s">
        <v>24195</v>
      </c>
      <c r="H3369" s="4" t="s">
        <v>24196</v>
      </c>
      <c r="I3369" t="s">
        <v>71</v>
      </c>
      <c r="J3369" t="s">
        <v>10782</v>
      </c>
      <c r="K3369" t="s">
        <v>24197</v>
      </c>
    </row>
    <row r="3370" spans="1:11" ht="187.2" x14ac:dyDescent="0.3">
      <c r="A3370" s="4" t="s">
        <v>6432</v>
      </c>
      <c r="B3370">
        <v>3</v>
      </c>
      <c r="C3370">
        <v>2020</v>
      </c>
      <c r="D3370" t="s">
        <v>2361</v>
      </c>
      <c r="E3370">
        <v>101</v>
      </c>
      <c r="F3370" t="s">
        <v>24198</v>
      </c>
      <c r="G3370" t="s">
        <v>24199</v>
      </c>
      <c r="H3370" s="4" t="s">
        <v>24200</v>
      </c>
      <c r="I3370" t="s">
        <v>71</v>
      </c>
      <c r="J3370" t="s">
        <v>10782</v>
      </c>
      <c r="K3370" t="s">
        <v>24201</v>
      </c>
    </row>
    <row r="3371" spans="1:11" ht="216" x14ac:dyDescent="0.3">
      <c r="A3371" s="4" t="s">
        <v>6433</v>
      </c>
      <c r="B3371">
        <v>3</v>
      </c>
      <c r="C3371">
        <v>2020</v>
      </c>
      <c r="D3371" t="s">
        <v>1570</v>
      </c>
      <c r="E3371">
        <v>0</v>
      </c>
      <c r="F3371" t="s">
        <v>24202</v>
      </c>
      <c r="G3371" t="s">
        <v>24203</v>
      </c>
      <c r="H3371" s="4" t="s">
        <v>24204</v>
      </c>
    </row>
    <row r="3372" spans="1:11" ht="144" x14ac:dyDescent="0.3">
      <c r="A3372" s="4" t="s">
        <v>6434</v>
      </c>
      <c r="B3372">
        <v>3</v>
      </c>
      <c r="C3372">
        <v>2020</v>
      </c>
      <c r="D3372" t="s">
        <v>21640</v>
      </c>
      <c r="E3372">
        <v>22</v>
      </c>
      <c r="F3372" t="s">
        <v>24205</v>
      </c>
      <c r="G3372" t="s">
        <v>24206</v>
      </c>
      <c r="H3372" s="4" t="s">
        <v>24207</v>
      </c>
      <c r="I3372" t="s">
        <v>71</v>
      </c>
      <c r="J3372" t="s">
        <v>10782</v>
      </c>
      <c r="K3372" t="s">
        <v>24208</v>
      </c>
    </row>
    <row r="3373" spans="1:11" ht="115.2" x14ac:dyDescent="0.3">
      <c r="A3373" s="4" t="s">
        <v>6435</v>
      </c>
      <c r="B3373">
        <v>3</v>
      </c>
      <c r="C3373">
        <v>2020</v>
      </c>
      <c r="D3373" t="s">
        <v>11649</v>
      </c>
      <c r="E3373">
        <v>1</v>
      </c>
      <c r="F3373" t="s">
        <v>24209</v>
      </c>
      <c r="G3373" t="s">
        <v>24210</v>
      </c>
      <c r="H3373" s="4" t="s">
        <v>24211</v>
      </c>
      <c r="I3373" t="s">
        <v>71</v>
      </c>
      <c r="J3373" t="s">
        <v>10782</v>
      </c>
      <c r="K3373" t="s">
        <v>24212</v>
      </c>
    </row>
    <row r="3374" spans="1:11" ht="201.6" x14ac:dyDescent="0.3">
      <c r="A3374" s="4" t="s">
        <v>6436</v>
      </c>
      <c r="B3374">
        <v>3</v>
      </c>
      <c r="C3374">
        <v>2020</v>
      </c>
      <c r="D3374" t="s">
        <v>10057</v>
      </c>
      <c r="E3374">
        <v>21</v>
      </c>
      <c r="F3374" t="s">
        <v>24213</v>
      </c>
      <c r="G3374" t="s">
        <v>24214</v>
      </c>
      <c r="H3374" s="4" t="s">
        <v>24215</v>
      </c>
      <c r="I3374" t="s">
        <v>71</v>
      </c>
      <c r="J3374" t="s">
        <v>10782</v>
      </c>
      <c r="K3374" t="s">
        <v>24216</v>
      </c>
    </row>
    <row r="3375" spans="1:11" ht="187.2" x14ac:dyDescent="0.3">
      <c r="A3375" s="4" t="s">
        <v>3579</v>
      </c>
      <c r="B3375">
        <v>2</v>
      </c>
      <c r="C3375">
        <v>2020</v>
      </c>
      <c r="D3375" t="s">
        <v>1570</v>
      </c>
      <c r="E3375">
        <v>3</v>
      </c>
      <c r="F3375" t="s">
        <v>24217</v>
      </c>
      <c r="G3375" t="s">
        <v>24218</v>
      </c>
      <c r="H3375" s="4" t="s">
        <v>24219</v>
      </c>
      <c r="I3375" t="s">
        <v>71</v>
      </c>
      <c r="J3375" t="s">
        <v>10782</v>
      </c>
      <c r="K3375" t="s">
        <v>24220</v>
      </c>
    </row>
    <row r="3376" spans="1:11" ht="144" x14ac:dyDescent="0.3">
      <c r="A3376" s="4" t="s">
        <v>3580</v>
      </c>
      <c r="B3376">
        <v>2</v>
      </c>
      <c r="C3376">
        <v>2020</v>
      </c>
      <c r="D3376" t="s">
        <v>1570</v>
      </c>
      <c r="E3376">
        <v>3</v>
      </c>
      <c r="F3376" t="s">
        <v>24221</v>
      </c>
      <c r="G3376" t="s">
        <v>24222</v>
      </c>
      <c r="H3376" s="4" t="s">
        <v>24223</v>
      </c>
    </row>
    <row r="3377" spans="1:11" ht="201.6" x14ac:dyDescent="0.3">
      <c r="A3377" s="4" t="s">
        <v>6437</v>
      </c>
      <c r="B3377">
        <v>3</v>
      </c>
      <c r="C3377">
        <v>2020</v>
      </c>
      <c r="D3377" t="s">
        <v>11327</v>
      </c>
      <c r="E3377">
        <v>11</v>
      </c>
      <c r="F3377" t="s">
        <v>24224</v>
      </c>
      <c r="G3377" t="s">
        <v>24225</v>
      </c>
      <c r="H3377" s="4" t="s">
        <v>24226</v>
      </c>
      <c r="I3377" t="s">
        <v>71</v>
      </c>
      <c r="J3377" t="s">
        <v>10782</v>
      </c>
      <c r="K3377" t="s">
        <v>24227</v>
      </c>
    </row>
    <row r="3378" spans="1:11" ht="230.4" x14ac:dyDescent="0.3">
      <c r="A3378" s="4" t="s">
        <v>6438</v>
      </c>
      <c r="B3378">
        <v>3</v>
      </c>
      <c r="C3378">
        <v>2020</v>
      </c>
      <c r="D3378" t="s">
        <v>217</v>
      </c>
      <c r="E3378">
        <v>15</v>
      </c>
      <c r="F3378" t="s">
        <v>24228</v>
      </c>
      <c r="G3378" t="s">
        <v>24229</v>
      </c>
      <c r="H3378" s="4" t="s">
        <v>24230</v>
      </c>
      <c r="I3378" t="s">
        <v>71</v>
      </c>
      <c r="J3378" t="s">
        <v>10782</v>
      </c>
      <c r="K3378" t="s">
        <v>24231</v>
      </c>
    </row>
    <row r="3379" spans="1:11" ht="144" x14ac:dyDescent="0.3">
      <c r="A3379" s="4" t="s">
        <v>6439</v>
      </c>
      <c r="B3379">
        <v>3</v>
      </c>
      <c r="C3379">
        <v>2020</v>
      </c>
      <c r="D3379" t="s">
        <v>1570</v>
      </c>
      <c r="E3379">
        <v>0</v>
      </c>
      <c r="F3379" t="s">
        <v>24232</v>
      </c>
      <c r="G3379" t="s">
        <v>24233</v>
      </c>
      <c r="H3379" s="4" t="s">
        <v>24234</v>
      </c>
      <c r="I3379" t="s">
        <v>71</v>
      </c>
      <c r="J3379" t="s">
        <v>10782</v>
      </c>
      <c r="K3379" t="s">
        <v>24235</v>
      </c>
    </row>
    <row r="3380" spans="1:11" ht="144" x14ac:dyDescent="0.3">
      <c r="A3380" s="4" t="s">
        <v>6440</v>
      </c>
      <c r="B3380">
        <v>3</v>
      </c>
      <c r="C3380">
        <v>2020</v>
      </c>
      <c r="D3380" t="s">
        <v>12580</v>
      </c>
      <c r="E3380">
        <v>5</v>
      </c>
      <c r="F3380" t="s">
        <v>24236</v>
      </c>
      <c r="G3380" t="s">
        <v>24237</v>
      </c>
      <c r="H3380" s="4" t="s">
        <v>24238</v>
      </c>
      <c r="I3380" t="s">
        <v>71</v>
      </c>
      <c r="J3380" t="s">
        <v>10782</v>
      </c>
      <c r="K3380" t="s">
        <v>24239</v>
      </c>
    </row>
    <row r="3381" spans="1:11" ht="172.8" x14ac:dyDescent="0.3">
      <c r="A3381" s="4" t="s">
        <v>6441</v>
      </c>
      <c r="B3381">
        <v>3</v>
      </c>
      <c r="C3381">
        <v>2020</v>
      </c>
      <c r="D3381" t="s">
        <v>1570</v>
      </c>
      <c r="E3381">
        <v>8</v>
      </c>
      <c r="F3381" t="s">
        <v>24240</v>
      </c>
      <c r="G3381" t="s">
        <v>24241</v>
      </c>
      <c r="H3381" s="4" t="s">
        <v>24242</v>
      </c>
    </row>
    <row r="3382" spans="1:11" ht="144" x14ac:dyDescent="0.3">
      <c r="A3382" s="4" t="s">
        <v>6442</v>
      </c>
      <c r="B3382">
        <v>3</v>
      </c>
      <c r="C3382">
        <v>2020</v>
      </c>
      <c r="D3382" t="s">
        <v>1802</v>
      </c>
      <c r="E3382">
        <v>5</v>
      </c>
      <c r="F3382" t="s">
        <v>24243</v>
      </c>
      <c r="G3382" t="s">
        <v>24244</v>
      </c>
      <c r="H3382" s="4" t="s">
        <v>24245</v>
      </c>
      <c r="I3382" t="s">
        <v>71</v>
      </c>
      <c r="J3382" t="s">
        <v>10782</v>
      </c>
      <c r="K3382" t="s">
        <v>24246</v>
      </c>
    </row>
    <row r="3383" spans="1:11" ht="216" x14ac:dyDescent="0.3">
      <c r="A3383" s="4" t="s">
        <v>6443</v>
      </c>
      <c r="B3383">
        <v>3</v>
      </c>
      <c r="C3383">
        <v>2020</v>
      </c>
      <c r="D3383" t="s">
        <v>24247</v>
      </c>
      <c r="E3383">
        <v>5</v>
      </c>
      <c r="F3383" t="s">
        <v>24248</v>
      </c>
      <c r="G3383" t="s">
        <v>24249</v>
      </c>
      <c r="H3383" s="4" t="s">
        <v>24250</v>
      </c>
      <c r="I3383" t="s">
        <v>71</v>
      </c>
      <c r="J3383" t="s">
        <v>10782</v>
      </c>
      <c r="K3383" t="s">
        <v>24251</v>
      </c>
    </row>
    <row r="3384" spans="1:11" ht="172.8" x14ac:dyDescent="0.3">
      <c r="A3384" s="4" t="s">
        <v>6444</v>
      </c>
      <c r="B3384">
        <v>3</v>
      </c>
      <c r="C3384">
        <v>2020</v>
      </c>
      <c r="D3384" t="s">
        <v>10924</v>
      </c>
      <c r="E3384">
        <v>57</v>
      </c>
      <c r="F3384" t="s">
        <v>24252</v>
      </c>
      <c r="G3384" t="s">
        <v>24253</v>
      </c>
      <c r="H3384" s="4" t="s">
        <v>24254</v>
      </c>
      <c r="I3384" t="s">
        <v>71</v>
      </c>
      <c r="J3384" t="s">
        <v>10782</v>
      </c>
      <c r="K3384" t="s">
        <v>24255</v>
      </c>
    </row>
    <row r="3385" spans="1:11" ht="86.4" x14ac:dyDescent="0.3">
      <c r="A3385" s="4" t="s">
        <v>6445</v>
      </c>
      <c r="B3385">
        <v>3</v>
      </c>
      <c r="C3385">
        <v>2020</v>
      </c>
      <c r="D3385" t="s">
        <v>24256</v>
      </c>
      <c r="E3385">
        <v>103</v>
      </c>
      <c r="F3385" t="s">
        <v>24257</v>
      </c>
      <c r="G3385" t="s">
        <v>24258</v>
      </c>
      <c r="H3385" s="4" t="s">
        <v>24259</v>
      </c>
    </row>
    <row r="3386" spans="1:11" ht="144" x14ac:dyDescent="0.3">
      <c r="A3386" s="4" t="s">
        <v>6446</v>
      </c>
      <c r="B3386">
        <v>3</v>
      </c>
      <c r="C3386">
        <v>2020</v>
      </c>
      <c r="D3386" t="s">
        <v>24260</v>
      </c>
      <c r="E3386">
        <v>8</v>
      </c>
      <c r="F3386" t="s">
        <v>24261</v>
      </c>
      <c r="G3386" t="s">
        <v>24262</v>
      </c>
      <c r="H3386" s="4" t="s">
        <v>24263</v>
      </c>
      <c r="I3386" t="s">
        <v>71</v>
      </c>
      <c r="J3386" t="s">
        <v>10782</v>
      </c>
      <c r="K3386" t="s">
        <v>24264</v>
      </c>
    </row>
    <row r="3387" spans="1:11" ht="172.8" x14ac:dyDescent="0.3">
      <c r="A3387" s="4" t="s">
        <v>6447</v>
      </c>
      <c r="B3387">
        <v>3</v>
      </c>
      <c r="C3387">
        <v>2020</v>
      </c>
      <c r="D3387" t="s">
        <v>318</v>
      </c>
      <c r="E3387">
        <v>3</v>
      </c>
      <c r="F3387" t="s">
        <v>24265</v>
      </c>
      <c r="G3387" t="s">
        <v>24266</v>
      </c>
      <c r="H3387" s="4" t="s">
        <v>24267</v>
      </c>
      <c r="I3387" t="s">
        <v>71</v>
      </c>
      <c r="J3387" t="s">
        <v>10782</v>
      </c>
      <c r="K3387" t="s">
        <v>24268</v>
      </c>
    </row>
    <row r="3388" spans="1:11" ht="115.2" x14ac:dyDescent="0.3">
      <c r="A3388" s="4" t="s">
        <v>6448</v>
      </c>
      <c r="B3388">
        <v>3</v>
      </c>
      <c r="C3388">
        <v>2020</v>
      </c>
      <c r="D3388" t="s">
        <v>19376</v>
      </c>
      <c r="E3388">
        <v>5</v>
      </c>
      <c r="F3388" t="s">
        <v>24269</v>
      </c>
      <c r="G3388" t="s">
        <v>24270</v>
      </c>
      <c r="H3388" s="4" t="s">
        <v>24271</v>
      </c>
    </row>
    <row r="3389" spans="1:11" ht="57.6" x14ac:dyDescent="0.3">
      <c r="A3389" s="4" t="s">
        <v>6449</v>
      </c>
      <c r="B3389">
        <v>3</v>
      </c>
      <c r="C3389">
        <v>2020</v>
      </c>
      <c r="D3389" t="s">
        <v>1570</v>
      </c>
      <c r="E3389">
        <v>2</v>
      </c>
      <c r="F3389" t="s">
        <v>24272</v>
      </c>
      <c r="G3389" t="s">
        <v>24273</v>
      </c>
      <c r="H3389" s="4" t="s">
        <v>24274</v>
      </c>
    </row>
    <row r="3390" spans="1:11" ht="201.6" x14ac:dyDescent="0.3">
      <c r="A3390" s="4" t="s">
        <v>6450</v>
      </c>
      <c r="B3390">
        <v>3</v>
      </c>
      <c r="C3390">
        <v>2020</v>
      </c>
      <c r="D3390" t="s">
        <v>24275</v>
      </c>
      <c r="E3390">
        <v>3</v>
      </c>
      <c r="F3390" t="s">
        <v>24276</v>
      </c>
      <c r="G3390" t="s">
        <v>24277</v>
      </c>
      <c r="H3390" s="4" t="s">
        <v>24278</v>
      </c>
      <c r="I3390" t="s">
        <v>71</v>
      </c>
      <c r="J3390" t="s">
        <v>10782</v>
      </c>
      <c r="K3390" t="s">
        <v>24279</v>
      </c>
    </row>
    <row r="3391" spans="1:11" ht="158.4" x14ac:dyDescent="0.3">
      <c r="A3391" s="4" t="s">
        <v>6451</v>
      </c>
      <c r="B3391">
        <v>3</v>
      </c>
      <c r="C3391">
        <v>2020</v>
      </c>
      <c r="D3391" t="s">
        <v>14052</v>
      </c>
      <c r="E3391">
        <v>46</v>
      </c>
      <c r="F3391" t="s">
        <v>24280</v>
      </c>
      <c r="G3391" t="s">
        <v>24281</v>
      </c>
      <c r="H3391" s="4" t="s">
        <v>24282</v>
      </c>
      <c r="I3391" t="s">
        <v>71</v>
      </c>
      <c r="J3391" t="s">
        <v>10782</v>
      </c>
      <c r="K3391" t="s">
        <v>24283</v>
      </c>
    </row>
    <row r="3392" spans="1:11" ht="201.6" x14ac:dyDescent="0.3">
      <c r="A3392" s="4" t="s">
        <v>6452</v>
      </c>
      <c r="B3392">
        <v>3</v>
      </c>
      <c r="C3392">
        <v>2020</v>
      </c>
      <c r="D3392" t="s">
        <v>164</v>
      </c>
      <c r="E3392">
        <v>27</v>
      </c>
      <c r="F3392" t="s">
        <v>24284</v>
      </c>
      <c r="G3392" t="s">
        <v>24285</v>
      </c>
      <c r="H3392" s="4" t="s">
        <v>24286</v>
      </c>
      <c r="I3392" t="s">
        <v>71</v>
      </c>
      <c r="J3392" t="s">
        <v>10782</v>
      </c>
      <c r="K3392" t="s">
        <v>24287</v>
      </c>
    </row>
    <row r="3393" spans="1:11" ht="216" x14ac:dyDescent="0.3">
      <c r="A3393" s="4" t="s">
        <v>6453</v>
      </c>
      <c r="B3393">
        <v>3</v>
      </c>
      <c r="C3393">
        <v>2020</v>
      </c>
      <c r="D3393" t="s">
        <v>1912</v>
      </c>
      <c r="E3393">
        <v>20</v>
      </c>
      <c r="F3393" t="s">
        <v>24288</v>
      </c>
      <c r="G3393" t="s">
        <v>24289</v>
      </c>
      <c r="H3393" s="4" t="s">
        <v>24290</v>
      </c>
      <c r="I3393" t="s">
        <v>71</v>
      </c>
      <c r="J3393" t="s">
        <v>10782</v>
      </c>
      <c r="K3393" t="s">
        <v>24291</v>
      </c>
    </row>
    <row r="3394" spans="1:11" ht="187.2" x14ac:dyDescent="0.3">
      <c r="A3394" s="4" t="s">
        <v>6454</v>
      </c>
      <c r="B3394">
        <v>3</v>
      </c>
      <c r="C3394">
        <v>2020</v>
      </c>
      <c r="D3394" t="s">
        <v>1570</v>
      </c>
      <c r="E3394">
        <v>0</v>
      </c>
      <c r="F3394" t="s">
        <v>24292</v>
      </c>
      <c r="G3394" t="s">
        <v>24293</v>
      </c>
      <c r="H3394" s="4" t="s">
        <v>24294</v>
      </c>
    </row>
    <row r="3395" spans="1:11" ht="100.8" x14ac:dyDescent="0.3">
      <c r="A3395" s="4" t="s">
        <v>6455</v>
      </c>
      <c r="B3395">
        <v>3</v>
      </c>
      <c r="C3395">
        <v>2020</v>
      </c>
      <c r="D3395" t="s">
        <v>1570</v>
      </c>
      <c r="E3395">
        <v>0</v>
      </c>
      <c r="F3395" t="s">
        <v>24295</v>
      </c>
      <c r="G3395" t="s">
        <v>24296</v>
      </c>
      <c r="H3395" s="4" t="s">
        <v>24297</v>
      </c>
    </row>
    <row r="3396" spans="1:11" ht="115.2" x14ac:dyDescent="0.3">
      <c r="A3396" s="4" t="s">
        <v>6456</v>
      </c>
      <c r="B3396">
        <v>3</v>
      </c>
      <c r="C3396">
        <v>2020</v>
      </c>
      <c r="D3396" t="s">
        <v>24298</v>
      </c>
      <c r="E3396">
        <v>1</v>
      </c>
      <c r="F3396" t="s">
        <v>24299</v>
      </c>
      <c r="G3396" t="s">
        <v>24300</v>
      </c>
      <c r="H3396" s="4" t="s">
        <v>24301</v>
      </c>
      <c r="I3396" t="s">
        <v>71</v>
      </c>
      <c r="J3396" t="s">
        <v>10782</v>
      </c>
      <c r="K3396" t="s">
        <v>24302</v>
      </c>
    </row>
    <row r="3397" spans="1:11" ht="144" x14ac:dyDescent="0.3">
      <c r="A3397" s="4" t="s">
        <v>6457</v>
      </c>
      <c r="B3397">
        <v>3</v>
      </c>
      <c r="C3397">
        <v>2020</v>
      </c>
      <c r="D3397" t="s">
        <v>24303</v>
      </c>
      <c r="E3397">
        <v>6</v>
      </c>
      <c r="F3397" t="s">
        <v>24304</v>
      </c>
      <c r="G3397" t="s">
        <v>24305</v>
      </c>
      <c r="H3397" s="4" t="s">
        <v>24306</v>
      </c>
      <c r="I3397" t="s">
        <v>10823</v>
      </c>
      <c r="J3397" t="s">
        <v>10782</v>
      </c>
      <c r="K3397" t="s">
        <v>24307</v>
      </c>
    </row>
    <row r="3398" spans="1:11" ht="172.8" x14ac:dyDescent="0.3">
      <c r="A3398" s="4" t="s">
        <v>6458</v>
      </c>
      <c r="B3398">
        <v>3</v>
      </c>
      <c r="C3398">
        <v>2020</v>
      </c>
      <c r="D3398" t="s">
        <v>329</v>
      </c>
      <c r="E3398">
        <v>14</v>
      </c>
      <c r="F3398" t="s">
        <v>24308</v>
      </c>
      <c r="G3398" t="s">
        <v>24309</v>
      </c>
      <c r="H3398" s="4" t="s">
        <v>24310</v>
      </c>
      <c r="I3398" t="s">
        <v>71</v>
      </c>
      <c r="J3398" t="s">
        <v>10782</v>
      </c>
      <c r="K3398" t="s">
        <v>24311</v>
      </c>
    </row>
    <row r="3399" spans="1:11" ht="230.4" x14ac:dyDescent="0.3">
      <c r="A3399" s="4" t="s">
        <v>6459</v>
      </c>
      <c r="B3399">
        <v>3</v>
      </c>
      <c r="C3399">
        <v>2020</v>
      </c>
      <c r="D3399" t="s">
        <v>24312</v>
      </c>
      <c r="E3399">
        <v>4</v>
      </c>
      <c r="F3399" t="s">
        <v>24313</v>
      </c>
      <c r="G3399" t="s">
        <v>24314</v>
      </c>
      <c r="H3399" s="4" t="s">
        <v>24315</v>
      </c>
      <c r="I3399" t="s">
        <v>71</v>
      </c>
      <c r="J3399" t="s">
        <v>10782</v>
      </c>
      <c r="K3399" t="s">
        <v>24316</v>
      </c>
    </row>
    <row r="3400" spans="1:11" ht="216" x14ac:dyDescent="0.3">
      <c r="A3400" s="4" t="s">
        <v>6460</v>
      </c>
      <c r="B3400">
        <v>3</v>
      </c>
      <c r="C3400">
        <v>2020</v>
      </c>
      <c r="D3400" t="s">
        <v>19494</v>
      </c>
      <c r="E3400">
        <v>26</v>
      </c>
      <c r="F3400" t="s">
        <v>24317</v>
      </c>
      <c r="G3400" t="s">
        <v>24318</v>
      </c>
      <c r="H3400" s="4" t="s">
        <v>24319</v>
      </c>
      <c r="I3400" t="s">
        <v>71</v>
      </c>
      <c r="J3400" t="s">
        <v>10782</v>
      </c>
      <c r="K3400" t="s">
        <v>24320</v>
      </c>
    </row>
    <row r="3401" spans="1:11" ht="216" x14ac:dyDescent="0.3">
      <c r="A3401" s="4" t="s">
        <v>6461</v>
      </c>
      <c r="B3401">
        <v>3</v>
      </c>
      <c r="C3401">
        <v>2020</v>
      </c>
      <c r="D3401" t="s">
        <v>637</v>
      </c>
      <c r="E3401">
        <v>12</v>
      </c>
      <c r="F3401" t="s">
        <v>24321</v>
      </c>
      <c r="G3401" t="s">
        <v>24322</v>
      </c>
      <c r="H3401" s="4" t="s">
        <v>24323</v>
      </c>
      <c r="I3401" t="s">
        <v>71</v>
      </c>
      <c r="J3401" t="s">
        <v>10782</v>
      </c>
      <c r="K3401" t="s">
        <v>24324</v>
      </c>
    </row>
    <row r="3402" spans="1:11" ht="187.2" x14ac:dyDescent="0.3">
      <c r="A3402" s="4" t="s">
        <v>6462</v>
      </c>
      <c r="B3402">
        <v>3</v>
      </c>
      <c r="C3402">
        <v>2020</v>
      </c>
      <c r="D3402" t="s">
        <v>918</v>
      </c>
      <c r="E3402">
        <v>33</v>
      </c>
      <c r="F3402" t="s">
        <v>24325</v>
      </c>
      <c r="G3402" t="s">
        <v>24326</v>
      </c>
      <c r="H3402" s="4" t="s">
        <v>24327</v>
      </c>
      <c r="I3402" t="s">
        <v>71</v>
      </c>
      <c r="J3402" t="s">
        <v>10782</v>
      </c>
      <c r="K3402" t="s">
        <v>24328</v>
      </c>
    </row>
    <row r="3403" spans="1:11" ht="158.4" x14ac:dyDescent="0.3">
      <c r="A3403" s="4" t="s">
        <v>6463</v>
      </c>
      <c r="B3403">
        <v>3</v>
      </c>
      <c r="C3403">
        <v>2020</v>
      </c>
      <c r="D3403" t="s">
        <v>24329</v>
      </c>
      <c r="E3403">
        <v>5</v>
      </c>
      <c r="F3403" t="s">
        <v>24330</v>
      </c>
      <c r="G3403" t="s">
        <v>24331</v>
      </c>
      <c r="H3403" s="4" t="s">
        <v>24332</v>
      </c>
      <c r="I3403" t="s">
        <v>71</v>
      </c>
      <c r="J3403" t="s">
        <v>10782</v>
      </c>
      <c r="K3403" t="s">
        <v>24333</v>
      </c>
    </row>
    <row r="3404" spans="1:11" ht="201.6" x14ac:dyDescent="0.3">
      <c r="A3404" s="4" t="s">
        <v>6464</v>
      </c>
      <c r="B3404">
        <v>3</v>
      </c>
      <c r="C3404">
        <v>2020</v>
      </c>
      <c r="D3404" t="s">
        <v>217</v>
      </c>
      <c r="E3404">
        <v>20</v>
      </c>
      <c r="F3404" t="s">
        <v>24334</v>
      </c>
      <c r="G3404" t="s">
        <v>24335</v>
      </c>
      <c r="H3404" s="4" t="s">
        <v>24336</v>
      </c>
      <c r="I3404" t="s">
        <v>71</v>
      </c>
      <c r="J3404" t="s">
        <v>10782</v>
      </c>
      <c r="K3404" t="s">
        <v>24337</v>
      </c>
    </row>
    <row r="3405" spans="1:11" ht="187.2" x14ac:dyDescent="0.3">
      <c r="A3405" s="4" t="s">
        <v>6465</v>
      </c>
      <c r="B3405">
        <v>3</v>
      </c>
      <c r="C3405">
        <v>2020</v>
      </c>
      <c r="D3405" t="s">
        <v>12339</v>
      </c>
      <c r="E3405">
        <v>13</v>
      </c>
      <c r="F3405" t="s">
        <v>24338</v>
      </c>
      <c r="G3405" t="s">
        <v>24339</v>
      </c>
      <c r="H3405" s="4" t="s">
        <v>24340</v>
      </c>
      <c r="I3405" t="s">
        <v>71</v>
      </c>
      <c r="J3405" t="s">
        <v>10782</v>
      </c>
      <c r="K3405" t="s">
        <v>24341</v>
      </c>
    </row>
    <row r="3406" spans="1:11" ht="187.2" x14ac:dyDescent="0.3">
      <c r="A3406" s="4" t="s">
        <v>6466</v>
      </c>
      <c r="B3406">
        <v>3</v>
      </c>
      <c r="C3406">
        <v>2020</v>
      </c>
      <c r="D3406" t="s">
        <v>724</v>
      </c>
      <c r="E3406">
        <v>3</v>
      </c>
      <c r="F3406" t="s">
        <v>24342</v>
      </c>
      <c r="G3406" t="s">
        <v>24343</v>
      </c>
      <c r="H3406" s="4" t="s">
        <v>24344</v>
      </c>
      <c r="I3406" t="s">
        <v>71</v>
      </c>
      <c r="J3406" t="s">
        <v>10782</v>
      </c>
      <c r="K3406" t="s">
        <v>24345</v>
      </c>
    </row>
    <row r="3407" spans="1:11" ht="244.8" x14ac:dyDescent="0.3">
      <c r="A3407" s="4" t="s">
        <v>6467</v>
      </c>
      <c r="B3407">
        <v>3</v>
      </c>
      <c r="C3407">
        <v>2020</v>
      </c>
      <c r="D3407" t="s">
        <v>24346</v>
      </c>
      <c r="E3407">
        <v>19</v>
      </c>
      <c r="F3407" t="s">
        <v>24347</v>
      </c>
      <c r="G3407" t="s">
        <v>24348</v>
      </c>
      <c r="H3407" s="4" t="s">
        <v>24349</v>
      </c>
      <c r="I3407" t="s">
        <v>71</v>
      </c>
      <c r="J3407" t="s">
        <v>10782</v>
      </c>
      <c r="K3407" t="s">
        <v>24350</v>
      </c>
    </row>
    <row r="3408" spans="1:11" ht="201.6" x14ac:dyDescent="0.3">
      <c r="A3408" s="4" t="s">
        <v>6468</v>
      </c>
      <c r="B3408">
        <v>3</v>
      </c>
      <c r="C3408">
        <v>2020</v>
      </c>
      <c r="D3408" t="s">
        <v>1530</v>
      </c>
      <c r="E3408">
        <v>34</v>
      </c>
      <c r="F3408" t="s">
        <v>24351</v>
      </c>
      <c r="G3408" t="s">
        <v>24352</v>
      </c>
      <c r="H3408" s="4" t="s">
        <v>24353</v>
      </c>
      <c r="I3408" t="s">
        <v>71</v>
      </c>
      <c r="J3408" t="s">
        <v>10782</v>
      </c>
      <c r="K3408" t="s">
        <v>24354</v>
      </c>
    </row>
    <row r="3409" spans="1:11" ht="216" x14ac:dyDescent="0.3">
      <c r="A3409" s="4" t="s">
        <v>6469</v>
      </c>
      <c r="B3409">
        <v>3</v>
      </c>
      <c r="C3409">
        <v>2020</v>
      </c>
      <c r="D3409" t="s">
        <v>1570</v>
      </c>
      <c r="E3409">
        <v>23</v>
      </c>
      <c r="F3409" t="s">
        <v>24355</v>
      </c>
      <c r="G3409" t="s">
        <v>24356</v>
      </c>
      <c r="H3409" s="4" t="s">
        <v>24357</v>
      </c>
    </row>
    <row r="3410" spans="1:11" ht="172.8" x14ac:dyDescent="0.3">
      <c r="A3410" s="4" t="s">
        <v>6470</v>
      </c>
      <c r="B3410">
        <v>3</v>
      </c>
      <c r="C3410">
        <v>2020</v>
      </c>
      <c r="D3410" t="s">
        <v>2853</v>
      </c>
      <c r="E3410">
        <v>12</v>
      </c>
      <c r="F3410" t="s">
        <v>24358</v>
      </c>
      <c r="G3410" t="s">
        <v>24359</v>
      </c>
      <c r="H3410" s="4" t="s">
        <v>24360</v>
      </c>
      <c r="I3410" t="s">
        <v>71</v>
      </c>
      <c r="J3410" t="s">
        <v>10782</v>
      </c>
      <c r="K3410" t="s">
        <v>24361</v>
      </c>
    </row>
    <row r="3411" spans="1:11" ht="172.8" x14ac:dyDescent="0.3">
      <c r="A3411" s="4" t="s">
        <v>6471</v>
      </c>
      <c r="B3411">
        <v>3</v>
      </c>
      <c r="C3411">
        <v>2020</v>
      </c>
      <c r="D3411" t="s">
        <v>11231</v>
      </c>
      <c r="E3411">
        <v>9</v>
      </c>
      <c r="F3411" t="s">
        <v>24362</v>
      </c>
      <c r="G3411" t="s">
        <v>24363</v>
      </c>
      <c r="H3411" s="4" t="s">
        <v>24364</v>
      </c>
      <c r="I3411" t="s">
        <v>71</v>
      </c>
      <c r="J3411" t="s">
        <v>10782</v>
      </c>
      <c r="K3411" t="s">
        <v>24365</v>
      </c>
    </row>
    <row r="3412" spans="1:11" ht="115.2" x14ac:dyDescent="0.3">
      <c r="A3412" s="4" t="s">
        <v>6472</v>
      </c>
      <c r="B3412">
        <v>3</v>
      </c>
      <c r="C3412">
        <v>2020</v>
      </c>
      <c r="D3412" t="s">
        <v>799</v>
      </c>
      <c r="E3412">
        <v>1</v>
      </c>
      <c r="F3412" t="s">
        <v>24366</v>
      </c>
      <c r="G3412" t="s">
        <v>24367</v>
      </c>
      <c r="H3412" s="4" t="s">
        <v>24368</v>
      </c>
      <c r="I3412" t="s">
        <v>71</v>
      </c>
      <c r="J3412" t="s">
        <v>10782</v>
      </c>
      <c r="K3412" t="s">
        <v>24369</v>
      </c>
    </row>
    <row r="3413" spans="1:11" ht="158.4" x14ac:dyDescent="0.3">
      <c r="A3413" s="4" t="s">
        <v>3358</v>
      </c>
      <c r="B3413">
        <v>1</v>
      </c>
      <c r="C3413">
        <v>2020</v>
      </c>
      <c r="D3413" t="s">
        <v>637</v>
      </c>
      <c r="E3413">
        <v>41</v>
      </c>
      <c r="F3413" t="s">
        <v>24370</v>
      </c>
      <c r="G3413" t="s">
        <v>24371</v>
      </c>
      <c r="H3413" s="4" t="s">
        <v>24372</v>
      </c>
      <c r="I3413" t="s">
        <v>71</v>
      </c>
      <c r="J3413" t="s">
        <v>10782</v>
      </c>
      <c r="K3413" t="s">
        <v>24373</v>
      </c>
    </row>
    <row r="3414" spans="1:11" ht="273.60000000000002" x14ac:dyDescent="0.3">
      <c r="A3414" s="4" t="s">
        <v>6473</v>
      </c>
      <c r="B3414">
        <v>3</v>
      </c>
      <c r="C3414">
        <v>2020</v>
      </c>
      <c r="D3414" t="s">
        <v>24374</v>
      </c>
      <c r="E3414">
        <v>7</v>
      </c>
      <c r="F3414" t="s">
        <v>24375</v>
      </c>
      <c r="G3414" t="s">
        <v>24376</v>
      </c>
      <c r="H3414" s="4" t="s">
        <v>24377</v>
      </c>
      <c r="I3414" t="s">
        <v>71</v>
      </c>
      <c r="J3414" t="s">
        <v>10782</v>
      </c>
      <c r="K3414" t="s">
        <v>24378</v>
      </c>
    </row>
    <row r="3415" spans="1:11" ht="230.4" x14ac:dyDescent="0.3">
      <c r="A3415" s="4" t="s">
        <v>6474</v>
      </c>
      <c r="B3415">
        <v>3</v>
      </c>
      <c r="C3415">
        <v>2020</v>
      </c>
      <c r="D3415" t="s">
        <v>80</v>
      </c>
      <c r="E3415">
        <v>20</v>
      </c>
      <c r="F3415" t="s">
        <v>24379</v>
      </c>
      <c r="G3415" t="s">
        <v>24380</v>
      </c>
      <c r="H3415" s="4" t="s">
        <v>24381</v>
      </c>
      <c r="I3415" t="s">
        <v>71</v>
      </c>
      <c r="J3415" t="s">
        <v>10782</v>
      </c>
      <c r="K3415" t="s">
        <v>24382</v>
      </c>
    </row>
    <row r="3416" spans="1:11" ht="158.4" x14ac:dyDescent="0.3">
      <c r="A3416" s="4" t="s">
        <v>6475</v>
      </c>
      <c r="B3416">
        <v>3</v>
      </c>
      <c r="C3416">
        <v>2020</v>
      </c>
      <c r="D3416" t="s">
        <v>964</v>
      </c>
      <c r="E3416">
        <v>44</v>
      </c>
      <c r="F3416" t="s">
        <v>24383</v>
      </c>
      <c r="G3416" t="s">
        <v>24384</v>
      </c>
      <c r="H3416" s="4" t="s">
        <v>24385</v>
      </c>
      <c r="I3416" t="s">
        <v>71</v>
      </c>
      <c r="J3416" t="s">
        <v>10782</v>
      </c>
      <c r="K3416" t="s">
        <v>24386</v>
      </c>
    </row>
    <row r="3417" spans="1:11" ht="115.2" x14ac:dyDescent="0.3">
      <c r="A3417" s="4" t="s">
        <v>6476</v>
      </c>
      <c r="B3417">
        <v>3</v>
      </c>
      <c r="C3417">
        <v>2020</v>
      </c>
      <c r="D3417" t="s">
        <v>24387</v>
      </c>
      <c r="E3417">
        <v>21</v>
      </c>
      <c r="F3417" t="s">
        <v>24388</v>
      </c>
      <c r="G3417" t="s">
        <v>24389</v>
      </c>
      <c r="H3417" s="4" t="s">
        <v>24390</v>
      </c>
      <c r="I3417" t="s">
        <v>10823</v>
      </c>
      <c r="J3417" t="s">
        <v>10782</v>
      </c>
      <c r="K3417" t="s">
        <v>24391</v>
      </c>
    </row>
    <row r="3418" spans="1:11" ht="115.2" x14ac:dyDescent="0.3">
      <c r="A3418" s="4" t="s">
        <v>6477</v>
      </c>
      <c r="B3418">
        <v>3</v>
      </c>
      <c r="C3418">
        <v>2020</v>
      </c>
      <c r="D3418" t="s">
        <v>24392</v>
      </c>
      <c r="E3418">
        <v>12</v>
      </c>
      <c r="G3418" t="s">
        <v>24393</v>
      </c>
      <c r="H3418" s="4" t="s">
        <v>24394</v>
      </c>
      <c r="I3418" s="4" t="s">
        <v>71</v>
      </c>
      <c r="J3418" t="s">
        <v>10782</v>
      </c>
      <c r="K3418" t="s">
        <v>24395</v>
      </c>
    </row>
    <row r="3419" spans="1:11" ht="129.6" x14ac:dyDescent="0.3">
      <c r="A3419" s="4" t="s">
        <v>6478</v>
      </c>
      <c r="B3419">
        <v>3</v>
      </c>
      <c r="C3419">
        <v>2020</v>
      </c>
      <c r="D3419" t="s">
        <v>24396</v>
      </c>
      <c r="E3419">
        <v>5</v>
      </c>
      <c r="F3419" t="s">
        <v>24397</v>
      </c>
      <c r="G3419" t="s">
        <v>24398</v>
      </c>
      <c r="H3419" s="4" t="s">
        <v>24399</v>
      </c>
      <c r="I3419" t="s">
        <v>71</v>
      </c>
      <c r="J3419" t="s">
        <v>10782</v>
      </c>
      <c r="K3419" t="s">
        <v>24400</v>
      </c>
    </row>
    <row r="3420" spans="1:11" ht="158.4" x14ac:dyDescent="0.3">
      <c r="A3420" s="4" t="s">
        <v>6479</v>
      </c>
      <c r="B3420">
        <v>3</v>
      </c>
      <c r="C3420">
        <v>2020</v>
      </c>
      <c r="D3420" t="s">
        <v>11574</v>
      </c>
      <c r="E3420">
        <v>9</v>
      </c>
      <c r="F3420" t="s">
        <v>24401</v>
      </c>
      <c r="G3420" t="s">
        <v>24402</v>
      </c>
      <c r="H3420" s="4" t="s">
        <v>24403</v>
      </c>
      <c r="I3420" t="s">
        <v>10823</v>
      </c>
      <c r="J3420" t="s">
        <v>10782</v>
      </c>
      <c r="K3420" t="s">
        <v>24404</v>
      </c>
    </row>
    <row r="3421" spans="1:11" ht="187.2" x14ac:dyDescent="0.3">
      <c r="A3421" s="4" t="s">
        <v>6480</v>
      </c>
      <c r="B3421">
        <v>3</v>
      </c>
      <c r="C3421">
        <v>2020</v>
      </c>
      <c r="D3421" t="s">
        <v>19894</v>
      </c>
      <c r="E3421">
        <v>9</v>
      </c>
      <c r="F3421" t="s">
        <v>24405</v>
      </c>
      <c r="G3421" t="s">
        <v>24406</v>
      </c>
      <c r="H3421" s="4" t="s">
        <v>24407</v>
      </c>
      <c r="I3421" t="s">
        <v>71</v>
      </c>
      <c r="J3421" t="s">
        <v>10782</v>
      </c>
      <c r="K3421" t="s">
        <v>24408</v>
      </c>
    </row>
    <row r="3422" spans="1:11" ht="129.6" x14ac:dyDescent="0.3">
      <c r="A3422" s="4" t="s">
        <v>3359</v>
      </c>
      <c r="B3422">
        <v>1</v>
      </c>
      <c r="C3422">
        <v>2020</v>
      </c>
      <c r="D3422" t="s">
        <v>1849</v>
      </c>
      <c r="E3422">
        <v>62</v>
      </c>
      <c r="F3422" t="s">
        <v>24409</v>
      </c>
      <c r="G3422" t="s">
        <v>24410</v>
      </c>
      <c r="H3422" s="4" t="s">
        <v>24411</v>
      </c>
      <c r="I3422" t="s">
        <v>71</v>
      </c>
      <c r="J3422" t="s">
        <v>10782</v>
      </c>
      <c r="K3422" t="s">
        <v>24412</v>
      </c>
    </row>
    <row r="3423" spans="1:11" ht="216" x14ac:dyDescent="0.3">
      <c r="A3423" s="4" t="s">
        <v>6481</v>
      </c>
      <c r="B3423">
        <v>3</v>
      </c>
      <c r="C3423">
        <v>2020</v>
      </c>
      <c r="D3423" t="s">
        <v>1849</v>
      </c>
      <c r="E3423">
        <v>26</v>
      </c>
      <c r="F3423" t="s">
        <v>24413</v>
      </c>
      <c r="G3423" t="s">
        <v>24414</v>
      </c>
      <c r="H3423" s="4" t="s">
        <v>24415</v>
      </c>
      <c r="I3423" t="s">
        <v>71</v>
      </c>
      <c r="J3423" t="s">
        <v>10782</v>
      </c>
      <c r="K3423" t="s">
        <v>24416</v>
      </c>
    </row>
    <row r="3424" spans="1:11" ht="201.6" x14ac:dyDescent="0.3">
      <c r="A3424" s="4" t="s">
        <v>6482</v>
      </c>
      <c r="B3424">
        <v>3</v>
      </c>
      <c r="C3424">
        <v>2020</v>
      </c>
      <c r="D3424" t="s">
        <v>24417</v>
      </c>
      <c r="E3424">
        <v>5</v>
      </c>
      <c r="F3424" t="s">
        <v>24418</v>
      </c>
      <c r="G3424" t="s">
        <v>24419</v>
      </c>
      <c r="H3424" s="4" t="s">
        <v>24420</v>
      </c>
      <c r="I3424" t="s">
        <v>71</v>
      </c>
      <c r="J3424" t="s">
        <v>10782</v>
      </c>
      <c r="K3424" t="s">
        <v>24421</v>
      </c>
    </row>
    <row r="3425" spans="1:11" ht="144" x14ac:dyDescent="0.3">
      <c r="A3425" s="4" t="s">
        <v>6483</v>
      </c>
      <c r="B3425">
        <v>3</v>
      </c>
      <c r="C3425">
        <v>2020</v>
      </c>
      <c r="D3425" t="s">
        <v>13914</v>
      </c>
      <c r="E3425">
        <v>24</v>
      </c>
      <c r="F3425" t="s">
        <v>24422</v>
      </c>
      <c r="G3425" t="s">
        <v>24423</v>
      </c>
      <c r="H3425" s="4" t="s">
        <v>24424</v>
      </c>
      <c r="I3425" t="s">
        <v>71</v>
      </c>
      <c r="J3425" t="s">
        <v>10782</v>
      </c>
      <c r="K3425" t="s">
        <v>24425</v>
      </c>
    </row>
    <row r="3426" spans="1:11" ht="201.6" x14ac:dyDescent="0.3">
      <c r="A3426" s="4" t="s">
        <v>6484</v>
      </c>
      <c r="B3426">
        <v>3</v>
      </c>
      <c r="C3426">
        <v>2020</v>
      </c>
      <c r="D3426" t="s">
        <v>637</v>
      </c>
      <c r="E3426">
        <v>32</v>
      </c>
      <c r="F3426" t="s">
        <v>24426</v>
      </c>
      <c r="G3426" t="s">
        <v>24427</v>
      </c>
      <c r="H3426" s="4" t="s">
        <v>24428</v>
      </c>
      <c r="I3426" t="s">
        <v>71</v>
      </c>
      <c r="J3426" t="s">
        <v>10782</v>
      </c>
      <c r="K3426" t="s">
        <v>24429</v>
      </c>
    </row>
    <row r="3427" spans="1:11" ht="216" x14ac:dyDescent="0.3">
      <c r="A3427" s="4" t="s">
        <v>6485</v>
      </c>
      <c r="B3427">
        <v>3</v>
      </c>
      <c r="C3427">
        <v>2020</v>
      </c>
      <c r="D3427" t="s">
        <v>12466</v>
      </c>
      <c r="E3427">
        <v>22</v>
      </c>
      <c r="F3427" t="s">
        <v>24430</v>
      </c>
      <c r="G3427" t="s">
        <v>24431</v>
      </c>
      <c r="H3427" s="4" t="s">
        <v>24432</v>
      </c>
      <c r="I3427" t="s">
        <v>71</v>
      </c>
      <c r="J3427" t="s">
        <v>10782</v>
      </c>
      <c r="K3427" t="s">
        <v>24433</v>
      </c>
    </row>
    <row r="3428" spans="1:11" ht="115.2" x14ac:dyDescent="0.3">
      <c r="A3428" s="4" t="s">
        <v>6486</v>
      </c>
      <c r="B3428">
        <v>3</v>
      </c>
      <c r="C3428">
        <v>2020</v>
      </c>
      <c r="D3428" t="s">
        <v>679</v>
      </c>
      <c r="E3428">
        <v>10</v>
      </c>
      <c r="F3428" t="s">
        <v>24434</v>
      </c>
      <c r="G3428" t="s">
        <v>24435</v>
      </c>
      <c r="H3428" s="4" t="s">
        <v>24436</v>
      </c>
      <c r="I3428" t="s">
        <v>71</v>
      </c>
      <c r="J3428" t="s">
        <v>10782</v>
      </c>
      <c r="K3428" t="s">
        <v>24437</v>
      </c>
    </row>
    <row r="3429" spans="1:11" ht="172.8" x14ac:dyDescent="0.3">
      <c r="A3429" s="4" t="s">
        <v>2777</v>
      </c>
      <c r="B3429">
        <v>2</v>
      </c>
      <c r="C3429">
        <v>2020</v>
      </c>
      <c r="D3429" t="s">
        <v>637</v>
      </c>
      <c r="E3429">
        <v>10</v>
      </c>
      <c r="F3429" t="s">
        <v>24438</v>
      </c>
      <c r="G3429" t="s">
        <v>24439</v>
      </c>
      <c r="H3429" s="4" t="s">
        <v>24440</v>
      </c>
      <c r="I3429" t="s">
        <v>71</v>
      </c>
      <c r="J3429" t="s">
        <v>10782</v>
      </c>
      <c r="K3429" t="s">
        <v>24441</v>
      </c>
    </row>
    <row r="3430" spans="1:11" ht="259.2" x14ac:dyDescent="0.3">
      <c r="A3430" s="4" t="s">
        <v>6487</v>
      </c>
      <c r="B3430">
        <v>3</v>
      </c>
      <c r="C3430">
        <v>2020</v>
      </c>
      <c r="D3430" t="s">
        <v>282</v>
      </c>
      <c r="E3430">
        <v>15</v>
      </c>
      <c r="F3430" t="s">
        <v>24442</v>
      </c>
      <c r="G3430" t="s">
        <v>24443</v>
      </c>
      <c r="H3430" s="4" t="s">
        <v>24444</v>
      </c>
      <c r="I3430" t="s">
        <v>71</v>
      </c>
      <c r="J3430" t="s">
        <v>10782</v>
      </c>
      <c r="K3430" t="s">
        <v>24445</v>
      </c>
    </row>
    <row r="3431" spans="1:11" ht="129.6" x14ac:dyDescent="0.3">
      <c r="A3431" s="4" t="s">
        <v>6488</v>
      </c>
      <c r="B3431">
        <v>3</v>
      </c>
      <c r="C3431">
        <v>2020</v>
      </c>
      <c r="D3431" t="s">
        <v>19715</v>
      </c>
      <c r="E3431">
        <v>22</v>
      </c>
      <c r="F3431" t="s">
        <v>24446</v>
      </c>
      <c r="G3431" t="s">
        <v>24447</v>
      </c>
      <c r="H3431" s="4" t="s">
        <v>24448</v>
      </c>
      <c r="I3431" t="s">
        <v>10823</v>
      </c>
      <c r="J3431" t="s">
        <v>10782</v>
      </c>
      <c r="K3431" t="s">
        <v>24449</v>
      </c>
    </row>
    <row r="3432" spans="1:11" ht="158.4" x14ac:dyDescent="0.3">
      <c r="A3432" s="4" t="s">
        <v>6489</v>
      </c>
      <c r="B3432">
        <v>3</v>
      </c>
      <c r="C3432">
        <v>2020</v>
      </c>
      <c r="D3432" t="s">
        <v>2210</v>
      </c>
      <c r="E3432">
        <v>4</v>
      </c>
      <c r="F3432" t="s">
        <v>24450</v>
      </c>
      <c r="G3432" t="s">
        <v>24451</v>
      </c>
      <c r="H3432" s="4" t="s">
        <v>24452</v>
      </c>
      <c r="I3432" t="s">
        <v>71</v>
      </c>
      <c r="J3432" t="s">
        <v>10782</v>
      </c>
      <c r="K3432" t="s">
        <v>24453</v>
      </c>
    </row>
    <row r="3433" spans="1:11" ht="144" x14ac:dyDescent="0.3">
      <c r="A3433" s="4" t="s">
        <v>6490</v>
      </c>
      <c r="B3433">
        <v>3</v>
      </c>
      <c r="C3433">
        <v>2020</v>
      </c>
      <c r="D3433" t="s">
        <v>202</v>
      </c>
      <c r="E3433">
        <v>13</v>
      </c>
      <c r="F3433" t="s">
        <v>24454</v>
      </c>
      <c r="G3433" t="s">
        <v>24455</v>
      </c>
      <c r="H3433" s="4" t="s">
        <v>24456</v>
      </c>
      <c r="I3433" t="s">
        <v>71</v>
      </c>
      <c r="J3433" t="s">
        <v>10782</v>
      </c>
      <c r="K3433" t="s">
        <v>24457</v>
      </c>
    </row>
    <row r="3434" spans="1:11" ht="216" x14ac:dyDescent="0.3">
      <c r="A3434" s="4" t="s">
        <v>6491</v>
      </c>
      <c r="B3434">
        <v>3</v>
      </c>
      <c r="C3434">
        <v>2020</v>
      </c>
      <c r="D3434" t="s">
        <v>1849</v>
      </c>
      <c r="E3434">
        <v>52</v>
      </c>
      <c r="F3434" t="s">
        <v>24458</v>
      </c>
      <c r="G3434" t="s">
        <v>24459</v>
      </c>
      <c r="H3434" s="4" t="s">
        <v>24460</v>
      </c>
      <c r="I3434" t="s">
        <v>71</v>
      </c>
      <c r="J3434" t="s">
        <v>10782</v>
      </c>
      <c r="K3434" t="s">
        <v>24461</v>
      </c>
    </row>
    <row r="3435" spans="1:11" ht="244.8" x14ac:dyDescent="0.3">
      <c r="A3435" s="4" t="s">
        <v>6492</v>
      </c>
      <c r="B3435">
        <v>3</v>
      </c>
      <c r="C3435">
        <v>2020</v>
      </c>
      <c r="D3435" t="s">
        <v>1849</v>
      </c>
      <c r="E3435">
        <v>41</v>
      </c>
      <c r="F3435" t="s">
        <v>24462</v>
      </c>
      <c r="G3435" t="s">
        <v>24463</v>
      </c>
      <c r="H3435" s="4" t="s">
        <v>24464</v>
      </c>
      <c r="I3435" t="s">
        <v>71</v>
      </c>
      <c r="J3435" t="s">
        <v>10782</v>
      </c>
      <c r="K3435" t="s">
        <v>24465</v>
      </c>
    </row>
    <row r="3436" spans="1:11" ht="115.2" x14ac:dyDescent="0.3">
      <c r="A3436" s="4" t="s">
        <v>6493</v>
      </c>
      <c r="B3436">
        <v>3</v>
      </c>
      <c r="C3436">
        <v>2020</v>
      </c>
      <c r="D3436" t="s">
        <v>105</v>
      </c>
      <c r="E3436">
        <v>6</v>
      </c>
      <c r="G3436" t="s">
        <v>24466</v>
      </c>
      <c r="H3436" s="4" t="s">
        <v>24467</v>
      </c>
      <c r="I3436" s="4" t="s">
        <v>71</v>
      </c>
      <c r="J3436" t="s">
        <v>10782</v>
      </c>
      <c r="K3436" t="s">
        <v>24468</v>
      </c>
    </row>
    <row r="3437" spans="1:11" ht="187.2" x14ac:dyDescent="0.3">
      <c r="A3437" s="4" t="s">
        <v>6494</v>
      </c>
      <c r="B3437">
        <v>3</v>
      </c>
      <c r="C3437">
        <v>2020</v>
      </c>
      <c r="D3437" t="s">
        <v>24469</v>
      </c>
      <c r="E3437">
        <v>6</v>
      </c>
      <c r="F3437" t="s">
        <v>24470</v>
      </c>
      <c r="G3437" t="s">
        <v>24471</v>
      </c>
      <c r="H3437" s="4" t="s">
        <v>24472</v>
      </c>
    </row>
    <row r="3438" spans="1:11" ht="129.6" x14ac:dyDescent="0.3">
      <c r="A3438" s="4" t="s">
        <v>6495</v>
      </c>
      <c r="B3438">
        <v>3</v>
      </c>
      <c r="C3438">
        <v>2020</v>
      </c>
      <c r="D3438" t="s">
        <v>24473</v>
      </c>
      <c r="E3438">
        <v>2</v>
      </c>
      <c r="F3438" t="s">
        <v>24474</v>
      </c>
      <c r="G3438" t="s">
        <v>24475</v>
      </c>
      <c r="H3438" s="4" t="s">
        <v>24476</v>
      </c>
      <c r="I3438" t="s">
        <v>71</v>
      </c>
      <c r="J3438" t="s">
        <v>10782</v>
      </c>
      <c r="K3438" t="s">
        <v>24477</v>
      </c>
    </row>
    <row r="3439" spans="1:11" ht="230.4" x14ac:dyDescent="0.3">
      <c r="A3439" s="4" t="s">
        <v>6496</v>
      </c>
      <c r="B3439">
        <v>3</v>
      </c>
      <c r="C3439">
        <v>2020</v>
      </c>
      <c r="D3439" t="s">
        <v>217</v>
      </c>
      <c r="E3439">
        <v>14</v>
      </c>
      <c r="F3439" t="s">
        <v>24478</v>
      </c>
      <c r="G3439" t="s">
        <v>24479</v>
      </c>
      <c r="H3439" s="4" t="s">
        <v>24480</v>
      </c>
      <c r="I3439" t="s">
        <v>71</v>
      </c>
      <c r="J3439" t="s">
        <v>10782</v>
      </c>
      <c r="K3439" t="s">
        <v>24481</v>
      </c>
    </row>
    <row r="3440" spans="1:11" ht="230.4" x14ac:dyDescent="0.3">
      <c r="A3440" s="4" t="s">
        <v>6497</v>
      </c>
      <c r="B3440">
        <v>3</v>
      </c>
      <c r="C3440">
        <v>2020</v>
      </c>
      <c r="D3440" t="s">
        <v>22728</v>
      </c>
      <c r="E3440">
        <v>0</v>
      </c>
      <c r="F3440" t="s">
        <v>24482</v>
      </c>
      <c r="G3440" t="s">
        <v>24483</v>
      </c>
      <c r="H3440" s="4" t="s">
        <v>24484</v>
      </c>
      <c r="I3440" t="s">
        <v>71</v>
      </c>
      <c r="J3440" t="s">
        <v>10782</v>
      </c>
      <c r="K3440" t="s">
        <v>24485</v>
      </c>
    </row>
    <row r="3441" spans="1:11" ht="158.4" x14ac:dyDescent="0.3">
      <c r="A3441" s="4" t="s">
        <v>6498</v>
      </c>
      <c r="B3441">
        <v>3</v>
      </c>
      <c r="C3441">
        <v>2020</v>
      </c>
      <c r="D3441" t="s">
        <v>1794</v>
      </c>
      <c r="E3441">
        <v>8</v>
      </c>
      <c r="F3441" t="s">
        <v>24486</v>
      </c>
      <c r="G3441" t="s">
        <v>24487</v>
      </c>
      <c r="H3441" s="4" t="s">
        <v>24488</v>
      </c>
      <c r="I3441" t="s">
        <v>71</v>
      </c>
      <c r="J3441" t="s">
        <v>10782</v>
      </c>
      <c r="K3441" t="s">
        <v>24489</v>
      </c>
    </row>
    <row r="3442" spans="1:11" ht="172.8" x14ac:dyDescent="0.3">
      <c r="A3442" s="4" t="s">
        <v>6499</v>
      </c>
      <c r="B3442">
        <v>3</v>
      </c>
      <c r="C3442">
        <v>2020</v>
      </c>
      <c r="D3442" t="s">
        <v>11164</v>
      </c>
      <c r="E3442">
        <v>15</v>
      </c>
      <c r="F3442" t="s">
        <v>24490</v>
      </c>
      <c r="G3442" t="s">
        <v>24491</v>
      </c>
      <c r="H3442" s="4" t="s">
        <v>24492</v>
      </c>
      <c r="I3442" t="s">
        <v>71</v>
      </c>
      <c r="J3442" t="s">
        <v>10782</v>
      </c>
      <c r="K3442" t="s">
        <v>24493</v>
      </c>
    </row>
    <row r="3443" spans="1:11" ht="158.4" x14ac:dyDescent="0.3">
      <c r="A3443" s="4" t="s">
        <v>6500</v>
      </c>
      <c r="B3443">
        <v>3</v>
      </c>
      <c r="C3443">
        <v>2020</v>
      </c>
      <c r="D3443" t="s">
        <v>918</v>
      </c>
      <c r="E3443">
        <v>13</v>
      </c>
      <c r="F3443" t="s">
        <v>24494</v>
      </c>
      <c r="G3443" t="s">
        <v>24495</v>
      </c>
      <c r="H3443" s="4" t="s">
        <v>24496</v>
      </c>
      <c r="I3443" t="s">
        <v>71</v>
      </c>
      <c r="J3443" t="s">
        <v>10782</v>
      </c>
      <c r="K3443" t="s">
        <v>24497</v>
      </c>
    </row>
    <row r="3444" spans="1:11" ht="172.8" x14ac:dyDescent="0.3">
      <c r="A3444" s="4" t="s">
        <v>6501</v>
      </c>
      <c r="B3444">
        <v>3</v>
      </c>
      <c r="C3444">
        <v>2020</v>
      </c>
      <c r="D3444" t="s">
        <v>14692</v>
      </c>
      <c r="E3444">
        <v>1</v>
      </c>
      <c r="G3444" t="s">
        <v>24498</v>
      </c>
      <c r="H3444" s="4" t="s">
        <v>24499</v>
      </c>
      <c r="I3444" s="4" t="s">
        <v>71</v>
      </c>
      <c r="J3444" t="s">
        <v>10782</v>
      </c>
      <c r="K3444" t="s">
        <v>24500</v>
      </c>
    </row>
    <row r="3445" spans="1:11" ht="43.2" x14ac:dyDescent="0.3">
      <c r="A3445" s="4" t="s">
        <v>6502</v>
      </c>
      <c r="B3445">
        <v>3</v>
      </c>
      <c r="C3445">
        <v>2020</v>
      </c>
      <c r="D3445" t="s">
        <v>16299</v>
      </c>
      <c r="E3445">
        <v>0</v>
      </c>
      <c r="F3445" t="s">
        <v>24501</v>
      </c>
      <c r="G3445" t="s">
        <v>24502</v>
      </c>
      <c r="H3445" s="4" t="s">
        <v>24503</v>
      </c>
    </row>
    <row r="3446" spans="1:11" ht="187.2" x14ac:dyDescent="0.3">
      <c r="A3446" s="4" t="s">
        <v>6503</v>
      </c>
      <c r="B3446">
        <v>3</v>
      </c>
      <c r="C3446">
        <v>2020</v>
      </c>
      <c r="D3446" t="s">
        <v>10825</v>
      </c>
      <c r="E3446">
        <v>35</v>
      </c>
      <c r="F3446" t="s">
        <v>24504</v>
      </c>
      <c r="G3446" t="s">
        <v>24505</v>
      </c>
      <c r="H3446" s="4" t="s">
        <v>24506</v>
      </c>
      <c r="I3446" t="s">
        <v>71</v>
      </c>
      <c r="J3446" t="s">
        <v>10782</v>
      </c>
      <c r="K3446" t="s">
        <v>24507</v>
      </c>
    </row>
    <row r="3447" spans="1:11" ht="144" x14ac:dyDescent="0.3">
      <c r="A3447" s="4" t="s">
        <v>6504</v>
      </c>
      <c r="B3447">
        <v>3</v>
      </c>
      <c r="C3447">
        <v>2020</v>
      </c>
      <c r="D3447" t="s">
        <v>704</v>
      </c>
      <c r="E3447">
        <v>41</v>
      </c>
      <c r="F3447" t="s">
        <v>24508</v>
      </c>
      <c r="G3447" t="s">
        <v>24509</v>
      </c>
      <c r="H3447" s="4" t="s">
        <v>24510</v>
      </c>
      <c r="I3447" t="s">
        <v>71</v>
      </c>
      <c r="J3447" t="s">
        <v>10782</v>
      </c>
      <c r="K3447" t="s">
        <v>24511</v>
      </c>
    </row>
    <row r="3448" spans="1:11" ht="259.2" x14ac:dyDescent="0.3">
      <c r="A3448" s="4" t="s">
        <v>6505</v>
      </c>
      <c r="B3448">
        <v>3</v>
      </c>
      <c r="C3448">
        <v>2020</v>
      </c>
      <c r="D3448" t="s">
        <v>24512</v>
      </c>
      <c r="E3448">
        <v>11</v>
      </c>
      <c r="F3448" t="s">
        <v>24513</v>
      </c>
      <c r="G3448" t="s">
        <v>24514</v>
      </c>
      <c r="H3448" s="4" t="s">
        <v>24515</v>
      </c>
      <c r="I3448" t="s">
        <v>71</v>
      </c>
      <c r="J3448" t="s">
        <v>10782</v>
      </c>
      <c r="K3448" t="s">
        <v>24516</v>
      </c>
    </row>
    <row r="3449" spans="1:11" ht="158.4" x14ac:dyDescent="0.3">
      <c r="A3449" s="4" t="s">
        <v>6506</v>
      </c>
      <c r="B3449">
        <v>3</v>
      </c>
      <c r="C3449">
        <v>2020</v>
      </c>
      <c r="D3449" t="s">
        <v>24517</v>
      </c>
      <c r="E3449">
        <v>4</v>
      </c>
      <c r="F3449" t="s">
        <v>24518</v>
      </c>
      <c r="G3449" t="s">
        <v>24519</v>
      </c>
      <c r="H3449" s="4" t="s">
        <v>24520</v>
      </c>
      <c r="I3449" t="s">
        <v>71</v>
      </c>
      <c r="J3449" t="s">
        <v>10782</v>
      </c>
      <c r="K3449" t="s">
        <v>24521</v>
      </c>
    </row>
    <row r="3450" spans="1:11" ht="144" x14ac:dyDescent="0.3">
      <c r="A3450" s="4" t="s">
        <v>3581</v>
      </c>
      <c r="B3450">
        <v>2</v>
      </c>
      <c r="C3450">
        <v>2020</v>
      </c>
      <c r="D3450" t="s">
        <v>432</v>
      </c>
      <c r="E3450">
        <v>6</v>
      </c>
      <c r="F3450" t="s">
        <v>24522</v>
      </c>
      <c r="G3450" t="s">
        <v>24523</v>
      </c>
      <c r="H3450" s="4" t="s">
        <v>24524</v>
      </c>
      <c r="I3450" t="s">
        <v>71</v>
      </c>
      <c r="J3450" t="s">
        <v>10782</v>
      </c>
      <c r="K3450" t="s">
        <v>24525</v>
      </c>
    </row>
    <row r="3451" spans="1:11" ht="86.4" x14ac:dyDescent="0.3">
      <c r="A3451" s="4" t="s">
        <v>6507</v>
      </c>
      <c r="B3451">
        <v>3</v>
      </c>
      <c r="C3451">
        <v>2020</v>
      </c>
      <c r="D3451" t="s">
        <v>22728</v>
      </c>
      <c r="E3451">
        <v>3</v>
      </c>
      <c r="F3451" t="s">
        <v>24526</v>
      </c>
      <c r="G3451" t="s">
        <v>24527</v>
      </c>
      <c r="H3451" s="4" t="s">
        <v>24528</v>
      </c>
      <c r="I3451" t="s">
        <v>71</v>
      </c>
      <c r="J3451" t="s">
        <v>10782</v>
      </c>
      <c r="K3451" t="s">
        <v>24529</v>
      </c>
    </row>
    <row r="3452" spans="1:11" ht="144" x14ac:dyDescent="0.3">
      <c r="A3452" s="4" t="s">
        <v>6508</v>
      </c>
      <c r="B3452">
        <v>3</v>
      </c>
      <c r="C3452">
        <v>2020</v>
      </c>
      <c r="D3452" t="s">
        <v>432</v>
      </c>
      <c r="E3452">
        <v>7</v>
      </c>
      <c r="F3452" t="s">
        <v>24530</v>
      </c>
      <c r="G3452" t="s">
        <v>24531</v>
      </c>
      <c r="H3452" s="4" t="s">
        <v>24532</v>
      </c>
      <c r="I3452" t="s">
        <v>71</v>
      </c>
      <c r="J3452" t="s">
        <v>10782</v>
      </c>
      <c r="K3452" t="s">
        <v>24533</v>
      </c>
    </row>
    <row r="3453" spans="1:11" ht="129.6" x14ac:dyDescent="0.3">
      <c r="A3453" s="4" t="s">
        <v>6509</v>
      </c>
      <c r="B3453">
        <v>3</v>
      </c>
      <c r="C3453">
        <v>2020</v>
      </c>
      <c r="D3453" t="s">
        <v>17140</v>
      </c>
      <c r="E3453">
        <v>16</v>
      </c>
      <c r="F3453" t="s">
        <v>24534</v>
      </c>
      <c r="G3453" t="s">
        <v>24535</v>
      </c>
      <c r="H3453" s="4" t="s">
        <v>24536</v>
      </c>
      <c r="I3453" t="s">
        <v>71</v>
      </c>
      <c r="J3453" t="s">
        <v>10782</v>
      </c>
      <c r="K3453" t="s">
        <v>24537</v>
      </c>
    </row>
    <row r="3454" spans="1:11" ht="144" x14ac:dyDescent="0.3">
      <c r="A3454" s="4" t="s">
        <v>6510</v>
      </c>
      <c r="B3454">
        <v>3</v>
      </c>
      <c r="C3454">
        <v>2020</v>
      </c>
      <c r="D3454" t="s">
        <v>24538</v>
      </c>
      <c r="E3454">
        <v>16</v>
      </c>
      <c r="F3454" t="s">
        <v>24539</v>
      </c>
      <c r="G3454" t="s">
        <v>24540</v>
      </c>
      <c r="H3454" s="4" t="s">
        <v>24541</v>
      </c>
      <c r="I3454" t="s">
        <v>10823</v>
      </c>
      <c r="J3454" t="s">
        <v>10782</v>
      </c>
      <c r="K3454" t="s">
        <v>24542</v>
      </c>
    </row>
    <row r="3455" spans="1:11" ht="187.2" x14ac:dyDescent="0.3">
      <c r="A3455" s="4" t="s">
        <v>6511</v>
      </c>
      <c r="B3455">
        <v>3</v>
      </c>
      <c r="C3455">
        <v>2020</v>
      </c>
      <c r="D3455" t="s">
        <v>11159</v>
      </c>
      <c r="E3455">
        <v>33</v>
      </c>
      <c r="F3455" t="s">
        <v>24543</v>
      </c>
      <c r="G3455" t="s">
        <v>24544</v>
      </c>
      <c r="H3455" s="4" t="s">
        <v>24545</v>
      </c>
      <c r="I3455" t="s">
        <v>71</v>
      </c>
      <c r="J3455" t="s">
        <v>10782</v>
      </c>
      <c r="K3455" t="s">
        <v>24546</v>
      </c>
    </row>
    <row r="3456" spans="1:11" ht="230.4" x14ac:dyDescent="0.3">
      <c r="A3456" s="4" t="s">
        <v>6512</v>
      </c>
      <c r="B3456">
        <v>3</v>
      </c>
      <c r="C3456">
        <v>2020</v>
      </c>
      <c r="D3456" t="s">
        <v>80</v>
      </c>
      <c r="E3456">
        <v>57</v>
      </c>
      <c r="F3456" t="s">
        <v>24547</v>
      </c>
      <c r="G3456" t="s">
        <v>24548</v>
      </c>
      <c r="H3456" s="4" t="s">
        <v>24549</v>
      </c>
      <c r="I3456" t="s">
        <v>71</v>
      </c>
      <c r="J3456" t="s">
        <v>10782</v>
      </c>
      <c r="K3456" t="s">
        <v>24550</v>
      </c>
    </row>
    <row r="3457" spans="1:11" ht="144" x14ac:dyDescent="0.3">
      <c r="A3457" s="4" t="s">
        <v>6513</v>
      </c>
      <c r="B3457">
        <v>3</v>
      </c>
      <c r="C3457">
        <v>2020</v>
      </c>
      <c r="D3457" t="s">
        <v>11574</v>
      </c>
      <c r="E3457">
        <v>50</v>
      </c>
      <c r="F3457" t="s">
        <v>24551</v>
      </c>
      <c r="G3457" t="s">
        <v>24552</v>
      </c>
      <c r="H3457" s="4" t="s">
        <v>24553</v>
      </c>
    </row>
    <row r="3458" spans="1:11" ht="187.2" x14ac:dyDescent="0.3">
      <c r="A3458" s="4" t="s">
        <v>6514</v>
      </c>
      <c r="B3458">
        <v>3</v>
      </c>
      <c r="C3458">
        <v>2020</v>
      </c>
      <c r="D3458" t="s">
        <v>724</v>
      </c>
      <c r="E3458">
        <v>51</v>
      </c>
      <c r="F3458" t="s">
        <v>24554</v>
      </c>
      <c r="G3458" t="s">
        <v>24555</v>
      </c>
      <c r="H3458" s="4" t="s">
        <v>24556</v>
      </c>
      <c r="I3458" t="s">
        <v>71</v>
      </c>
      <c r="J3458" t="s">
        <v>10782</v>
      </c>
      <c r="K3458" t="s">
        <v>24557</v>
      </c>
    </row>
    <row r="3459" spans="1:11" ht="216" x14ac:dyDescent="0.3">
      <c r="A3459" s="4" t="s">
        <v>6515</v>
      </c>
      <c r="B3459">
        <v>3</v>
      </c>
      <c r="C3459">
        <v>2020</v>
      </c>
      <c r="D3459" t="s">
        <v>2067</v>
      </c>
      <c r="E3459">
        <v>2</v>
      </c>
      <c r="F3459" t="s">
        <v>24558</v>
      </c>
      <c r="G3459" t="s">
        <v>24559</v>
      </c>
      <c r="H3459" s="4" t="s">
        <v>24560</v>
      </c>
      <c r="I3459" t="s">
        <v>71</v>
      </c>
      <c r="J3459" t="s">
        <v>10782</v>
      </c>
      <c r="K3459" t="s">
        <v>24561</v>
      </c>
    </row>
    <row r="3460" spans="1:11" ht="259.2" x14ac:dyDescent="0.3">
      <c r="A3460" s="4" t="s">
        <v>6516</v>
      </c>
      <c r="B3460">
        <v>3</v>
      </c>
      <c r="C3460">
        <v>2020</v>
      </c>
      <c r="D3460" t="s">
        <v>24562</v>
      </c>
      <c r="E3460">
        <v>2</v>
      </c>
      <c r="F3460" t="s">
        <v>24563</v>
      </c>
      <c r="G3460" t="s">
        <v>24564</v>
      </c>
      <c r="H3460" s="4" t="s">
        <v>24565</v>
      </c>
    </row>
    <row r="3461" spans="1:11" ht="129.6" x14ac:dyDescent="0.3">
      <c r="A3461" s="4" t="s">
        <v>3360</v>
      </c>
      <c r="B3461">
        <v>1</v>
      </c>
      <c r="C3461">
        <v>2020</v>
      </c>
      <c r="D3461" t="s">
        <v>217</v>
      </c>
      <c r="E3461">
        <v>37</v>
      </c>
      <c r="F3461" t="s">
        <v>24566</v>
      </c>
      <c r="G3461" t="s">
        <v>24567</v>
      </c>
      <c r="H3461" s="4" t="s">
        <v>24568</v>
      </c>
      <c r="I3461" t="s">
        <v>71</v>
      </c>
      <c r="J3461" t="s">
        <v>10782</v>
      </c>
      <c r="K3461" t="s">
        <v>24569</v>
      </c>
    </row>
    <row r="3462" spans="1:11" ht="115.2" x14ac:dyDescent="0.3">
      <c r="A3462" s="4" t="s">
        <v>3582</v>
      </c>
      <c r="B3462">
        <v>2</v>
      </c>
      <c r="C3462">
        <v>2020</v>
      </c>
      <c r="D3462" t="s">
        <v>14285</v>
      </c>
      <c r="E3462">
        <v>21</v>
      </c>
      <c r="F3462" t="s">
        <v>24570</v>
      </c>
      <c r="G3462" t="s">
        <v>24571</v>
      </c>
      <c r="H3462" s="4" t="s">
        <v>24572</v>
      </c>
      <c r="I3462" t="s">
        <v>71</v>
      </c>
      <c r="J3462" t="s">
        <v>10782</v>
      </c>
      <c r="K3462" t="s">
        <v>24573</v>
      </c>
    </row>
    <row r="3463" spans="1:11" ht="129.6" x14ac:dyDescent="0.3">
      <c r="A3463" s="4" t="s">
        <v>6517</v>
      </c>
      <c r="B3463">
        <v>3</v>
      </c>
      <c r="C3463">
        <v>2020</v>
      </c>
      <c r="D3463" t="s">
        <v>24417</v>
      </c>
      <c r="E3463">
        <v>11</v>
      </c>
      <c r="F3463" t="s">
        <v>24574</v>
      </c>
      <c r="G3463" t="s">
        <v>24575</v>
      </c>
      <c r="H3463" s="4" t="s">
        <v>24576</v>
      </c>
    </row>
    <row r="3464" spans="1:11" ht="187.2" x14ac:dyDescent="0.3">
      <c r="A3464" s="4" t="s">
        <v>3583</v>
      </c>
      <c r="B3464">
        <v>2</v>
      </c>
      <c r="C3464">
        <v>2020</v>
      </c>
      <c r="D3464" t="s">
        <v>24577</v>
      </c>
      <c r="E3464">
        <v>2</v>
      </c>
      <c r="F3464" t="s">
        <v>24578</v>
      </c>
      <c r="G3464" t="s">
        <v>24579</v>
      </c>
      <c r="H3464" s="4" t="s">
        <v>24580</v>
      </c>
      <c r="I3464" t="s">
        <v>71</v>
      </c>
      <c r="J3464" t="s">
        <v>10782</v>
      </c>
      <c r="K3464" t="s">
        <v>24581</v>
      </c>
    </row>
    <row r="3465" spans="1:11" ht="129.6" x14ac:dyDescent="0.3">
      <c r="A3465" s="4" t="s">
        <v>1575</v>
      </c>
      <c r="B3465">
        <v>1</v>
      </c>
      <c r="C3465">
        <v>2020</v>
      </c>
      <c r="D3465" t="s">
        <v>958</v>
      </c>
      <c r="E3465">
        <v>22</v>
      </c>
      <c r="F3465" t="s">
        <v>24582</v>
      </c>
      <c r="G3465" t="s">
        <v>24583</v>
      </c>
      <c r="H3465" s="4" t="s">
        <v>24584</v>
      </c>
      <c r="I3465" t="s">
        <v>71</v>
      </c>
      <c r="J3465" t="s">
        <v>10782</v>
      </c>
      <c r="K3465" t="s">
        <v>24585</v>
      </c>
    </row>
    <row r="3466" spans="1:11" ht="72" x14ac:dyDescent="0.3">
      <c r="A3466" s="4" t="s">
        <v>6518</v>
      </c>
      <c r="B3466">
        <v>3</v>
      </c>
      <c r="C3466">
        <v>2020</v>
      </c>
      <c r="D3466" t="s">
        <v>24586</v>
      </c>
      <c r="E3466">
        <v>13</v>
      </c>
      <c r="G3466" t="s">
        <v>24587</v>
      </c>
      <c r="H3466" s="4" t="s">
        <v>24588</v>
      </c>
      <c r="I3466" s="4" t="s">
        <v>71</v>
      </c>
      <c r="J3466" t="s">
        <v>10782</v>
      </c>
      <c r="K3466" t="s">
        <v>24589</v>
      </c>
    </row>
    <row r="3467" spans="1:11" ht="115.2" x14ac:dyDescent="0.3">
      <c r="A3467" s="4" t="s">
        <v>6519</v>
      </c>
      <c r="B3467">
        <v>3</v>
      </c>
      <c r="C3467">
        <v>2019</v>
      </c>
      <c r="D3467" t="s">
        <v>13696</v>
      </c>
      <c r="E3467">
        <v>1</v>
      </c>
      <c r="F3467" t="s">
        <v>24590</v>
      </c>
      <c r="G3467" t="s">
        <v>24591</v>
      </c>
      <c r="H3467" s="4" t="s">
        <v>24592</v>
      </c>
      <c r="I3467" t="s">
        <v>71</v>
      </c>
      <c r="J3467" t="s">
        <v>10782</v>
      </c>
      <c r="K3467" t="s">
        <v>24593</v>
      </c>
    </row>
    <row r="3468" spans="1:11" ht="187.2" x14ac:dyDescent="0.3">
      <c r="A3468" s="4" t="s">
        <v>6520</v>
      </c>
      <c r="B3468">
        <v>3</v>
      </c>
      <c r="C3468">
        <v>2019</v>
      </c>
      <c r="D3468" t="s">
        <v>1770</v>
      </c>
      <c r="E3468">
        <v>52</v>
      </c>
      <c r="F3468" t="s">
        <v>24594</v>
      </c>
      <c r="G3468" t="s">
        <v>24595</v>
      </c>
      <c r="H3468" s="4" t="s">
        <v>24596</v>
      </c>
      <c r="I3468" t="s">
        <v>71</v>
      </c>
      <c r="J3468" t="s">
        <v>10782</v>
      </c>
      <c r="K3468" t="s">
        <v>24597</v>
      </c>
    </row>
    <row r="3469" spans="1:11" ht="259.2" x14ac:dyDescent="0.3">
      <c r="A3469" s="4" t="s">
        <v>6521</v>
      </c>
      <c r="B3469">
        <v>3</v>
      </c>
      <c r="C3469">
        <v>2019</v>
      </c>
      <c r="D3469" t="s">
        <v>24598</v>
      </c>
      <c r="E3469">
        <v>1</v>
      </c>
      <c r="G3469" t="s">
        <v>24599</v>
      </c>
      <c r="H3469" s="4" t="s">
        <v>24600</v>
      </c>
      <c r="I3469" s="4" t="s">
        <v>71</v>
      </c>
      <c r="J3469" t="s">
        <v>10782</v>
      </c>
      <c r="K3469" t="s">
        <v>24601</v>
      </c>
    </row>
    <row r="3470" spans="1:11" ht="144" x14ac:dyDescent="0.3">
      <c r="A3470" s="4" t="s">
        <v>6522</v>
      </c>
      <c r="B3470">
        <v>3</v>
      </c>
      <c r="C3470">
        <v>2019</v>
      </c>
      <c r="D3470" t="s">
        <v>11871</v>
      </c>
      <c r="E3470">
        <v>2</v>
      </c>
      <c r="F3470" t="s">
        <v>24602</v>
      </c>
      <c r="G3470" t="s">
        <v>24603</v>
      </c>
      <c r="H3470" s="4" t="s">
        <v>24604</v>
      </c>
      <c r="I3470" t="s">
        <v>71</v>
      </c>
      <c r="J3470" t="s">
        <v>10782</v>
      </c>
      <c r="K3470" t="s">
        <v>24605</v>
      </c>
    </row>
    <row r="3471" spans="1:11" ht="244.8" x14ac:dyDescent="0.3">
      <c r="A3471" s="4" t="s">
        <v>6523</v>
      </c>
      <c r="B3471">
        <v>3</v>
      </c>
      <c r="C3471">
        <v>2019</v>
      </c>
      <c r="D3471" t="s">
        <v>24598</v>
      </c>
      <c r="E3471">
        <v>0</v>
      </c>
      <c r="G3471" t="s">
        <v>24606</v>
      </c>
      <c r="H3471" s="4" t="s">
        <v>24607</v>
      </c>
      <c r="I3471" s="4" t="s">
        <v>71</v>
      </c>
      <c r="J3471" t="s">
        <v>10782</v>
      </c>
      <c r="K3471" t="s">
        <v>24608</v>
      </c>
    </row>
    <row r="3472" spans="1:11" ht="100.8" x14ac:dyDescent="0.3">
      <c r="A3472" s="4" t="s">
        <v>6524</v>
      </c>
      <c r="B3472">
        <v>3</v>
      </c>
      <c r="C3472">
        <v>2019</v>
      </c>
      <c r="D3472" t="s">
        <v>277</v>
      </c>
      <c r="E3472">
        <v>117</v>
      </c>
      <c r="F3472" t="s">
        <v>24609</v>
      </c>
      <c r="G3472" t="s">
        <v>24610</v>
      </c>
      <c r="H3472" s="4" t="s">
        <v>24611</v>
      </c>
    </row>
    <row r="3473" spans="1:11" ht="144" x14ac:dyDescent="0.3">
      <c r="A3473" s="4" t="s">
        <v>6525</v>
      </c>
      <c r="B3473">
        <v>3</v>
      </c>
      <c r="C3473">
        <v>2019</v>
      </c>
      <c r="D3473" t="s">
        <v>22308</v>
      </c>
      <c r="E3473">
        <v>0</v>
      </c>
      <c r="F3473" t="s">
        <v>24612</v>
      </c>
      <c r="G3473" t="s">
        <v>24613</v>
      </c>
      <c r="H3473" s="4" t="s">
        <v>24614</v>
      </c>
      <c r="I3473" t="s">
        <v>71</v>
      </c>
      <c r="J3473" t="s">
        <v>10782</v>
      </c>
      <c r="K3473" t="s">
        <v>24615</v>
      </c>
    </row>
    <row r="3474" spans="1:11" ht="172.8" x14ac:dyDescent="0.3">
      <c r="A3474" s="4" t="s">
        <v>6526</v>
      </c>
      <c r="B3474">
        <v>3</v>
      </c>
      <c r="C3474">
        <v>2019</v>
      </c>
      <c r="D3474" t="s">
        <v>799</v>
      </c>
      <c r="E3474">
        <v>16</v>
      </c>
      <c r="F3474" t="s">
        <v>24616</v>
      </c>
      <c r="G3474" t="s">
        <v>24617</v>
      </c>
      <c r="H3474" s="4" t="s">
        <v>24618</v>
      </c>
      <c r="I3474" t="s">
        <v>71</v>
      </c>
      <c r="J3474" t="s">
        <v>10782</v>
      </c>
      <c r="K3474" t="s">
        <v>24619</v>
      </c>
    </row>
    <row r="3475" spans="1:11" ht="158.4" x14ac:dyDescent="0.3">
      <c r="A3475" s="4" t="s">
        <v>6527</v>
      </c>
      <c r="B3475">
        <v>3</v>
      </c>
      <c r="C3475">
        <v>2019</v>
      </c>
      <c r="D3475" t="s">
        <v>277</v>
      </c>
      <c r="E3475">
        <v>28</v>
      </c>
      <c r="F3475" t="s">
        <v>24620</v>
      </c>
      <c r="G3475" t="s">
        <v>24621</v>
      </c>
      <c r="H3475" s="4" t="s">
        <v>24622</v>
      </c>
      <c r="I3475" t="s">
        <v>71</v>
      </c>
      <c r="J3475" t="s">
        <v>10782</v>
      </c>
      <c r="K3475" t="s">
        <v>24623</v>
      </c>
    </row>
    <row r="3476" spans="1:11" ht="129.6" x14ac:dyDescent="0.3">
      <c r="A3476" s="4" t="s">
        <v>6528</v>
      </c>
      <c r="B3476">
        <v>3</v>
      </c>
      <c r="C3476">
        <v>2019</v>
      </c>
      <c r="D3476" t="s">
        <v>24624</v>
      </c>
      <c r="E3476">
        <v>3</v>
      </c>
      <c r="G3476" t="s">
        <v>24625</v>
      </c>
      <c r="H3476" s="4" t="s">
        <v>24626</v>
      </c>
      <c r="I3476" s="4" t="s">
        <v>71</v>
      </c>
      <c r="J3476" t="s">
        <v>10782</v>
      </c>
      <c r="K3476" t="s">
        <v>24627</v>
      </c>
    </row>
    <row r="3477" spans="1:11" ht="43.2" x14ac:dyDescent="0.3">
      <c r="A3477" s="4" t="s">
        <v>6529</v>
      </c>
      <c r="B3477">
        <v>3</v>
      </c>
      <c r="C3477">
        <v>2019</v>
      </c>
      <c r="D3477" t="s">
        <v>277</v>
      </c>
      <c r="E3477">
        <v>17</v>
      </c>
      <c r="F3477" t="s">
        <v>24628</v>
      </c>
      <c r="G3477" t="s">
        <v>24629</v>
      </c>
      <c r="H3477" s="4" t="s">
        <v>24630</v>
      </c>
    </row>
    <row r="3478" spans="1:11" ht="201.6" x14ac:dyDescent="0.3">
      <c r="A3478" s="4" t="s">
        <v>6530</v>
      </c>
      <c r="B3478">
        <v>3</v>
      </c>
      <c r="C3478">
        <v>2019</v>
      </c>
      <c r="D3478" t="s">
        <v>550</v>
      </c>
      <c r="E3478">
        <v>24</v>
      </c>
      <c r="F3478" t="s">
        <v>24631</v>
      </c>
      <c r="G3478" t="s">
        <v>24632</v>
      </c>
      <c r="H3478" s="4" t="s">
        <v>24633</v>
      </c>
      <c r="I3478" t="s">
        <v>71</v>
      </c>
      <c r="J3478" t="s">
        <v>10782</v>
      </c>
      <c r="K3478" t="s">
        <v>24634</v>
      </c>
    </row>
    <row r="3479" spans="1:11" ht="115.2" x14ac:dyDescent="0.3">
      <c r="A3479" s="4" t="s">
        <v>6531</v>
      </c>
      <c r="B3479">
        <v>3</v>
      </c>
      <c r="C3479">
        <v>2019</v>
      </c>
      <c r="D3479" t="s">
        <v>2328</v>
      </c>
      <c r="E3479">
        <v>8</v>
      </c>
      <c r="F3479" t="s">
        <v>24635</v>
      </c>
      <c r="G3479" t="s">
        <v>24636</v>
      </c>
      <c r="H3479" s="4" t="s">
        <v>24637</v>
      </c>
      <c r="I3479" t="s">
        <v>71</v>
      </c>
      <c r="J3479" t="s">
        <v>10782</v>
      </c>
      <c r="K3479" t="s">
        <v>24638</v>
      </c>
    </row>
    <row r="3480" spans="1:11" ht="259.2" x14ac:dyDescent="0.3">
      <c r="A3480" s="4" t="s">
        <v>6532</v>
      </c>
      <c r="B3480">
        <v>3</v>
      </c>
      <c r="C3480">
        <v>2019</v>
      </c>
      <c r="D3480" t="s">
        <v>24598</v>
      </c>
      <c r="E3480">
        <v>0</v>
      </c>
      <c r="G3480" t="s">
        <v>24639</v>
      </c>
      <c r="H3480" s="4" t="s">
        <v>24640</v>
      </c>
      <c r="I3480" s="4" t="s">
        <v>71</v>
      </c>
      <c r="J3480" t="s">
        <v>10782</v>
      </c>
      <c r="K3480" t="s">
        <v>24641</v>
      </c>
    </row>
    <row r="3481" spans="1:11" ht="57.6" x14ac:dyDescent="0.3">
      <c r="A3481" s="4" t="s">
        <v>6533</v>
      </c>
      <c r="B3481">
        <v>3</v>
      </c>
      <c r="C3481">
        <v>2019</v>
      </c>
      <c r="D3481" t="s">
        <v>1175</v>
      </c>
      <c r="E3481">
        <v>2</v>
      </c>
      <c r="F3481" t="s">
        <v>24642</v>
      </c>
      <c r="G3481" t="s">
        <v>24643</v>
      </c>
      <c r="H3481" s="4" t="s">
        <v>24644</v>
      </c>
    </row>
    <row r="3482" spans="1:11" ht="201.6" x14ac:dyDescent="0.3">
      <c r="A3482" s="4" t="s">
        <v>6534</v>
      </c>
      <c r="B3482">
        <v>3</v>
      </c>
      <c r="C3482">
        <v>2019</v>
      </c>
      <c r="D3482" t="s">
        <v>1401</v>
      </c>
      <c r="E3482">
        <v>31</v>
      </c>
      <c r="F3482" t="s">
        <v>24645</v>
      </c>
      <c r="G3482" t="s">
        <v>24646</v>
      </c>
      <c r="H3482" s="4" t="s">
        <v>24647</v>
      </c>
      <c r="I3482" t="s">
        <v>71</v>
      </c>
      <c r="J3482" t="s">
        <v>10782</v>
      </c>
      <c r="K3482" t="s">
        <v>24648</v>
      </c>
    </row>
    <row r="3483" spans="1:11" ht="216" x14ac:dyDescent="0.3">
      <c r="A3483" s="4" t="s">
        <v>6535</v>
      </c>
      <c r="B3483">
        <v>3</v>
      </c>
      <c r="C3483">
        <v>2019</v>
      </c>
      <c r="D3483" t="s">
        <v>83</v>
      </c>
      <c r="E3483">
        <v>4</v>
      </c>
      <c r="F3483" t="s">
        <v>24649</v>
      </c>
      <c r="G3483" t="s">
        <v>24650</v>
      </c>
      <c r="H3483" s="4" t="s">
        <v>24651</v>
      </c>
      <c r="I3483" t="s">
        <v>71</v>
      </c>
      <c r="J3483" t="s">
        <v>10782</v>
      </c>
      <c r="K3483" t="s">
        <v>24652</v>
      </c>
    </row>
    <row r="3484" spans="1:11" ht="187.2" x14ac:dyDescent="0.3">
      <c r="A3484" s="4" t="s">
        <v>6536</v>
      </c>
      <c r="B3484">
        <v>3</v>
      </c>
      <c r="C3484">
        <v>2019</v>
      </c>
      <c r="D3484" t="s">
        <v>13170</v>
      </c>
      <c r="E3484">
        <v>10</v>
      </c>
      <c r="F3484" t="s">
        <v>24653</v>
      </c>
      <c r="G3484" t="s">
        <v>24654</v>
      </c>
      <c r="H3484" s="4" t="s">
        <v>24655</v>
      </c>
      <c r="I3484" t="s">
        <v>71</v>
      </c>
      <c r="J3484" t="s">
        <v>10782</v>
      </c>
      <c r="K3484" t="s">
        <v>24656</v>
      </c>
    </row>
    <row r="3485" spans="1:11" ht="158.4" x14ac:dyDescent="0.3">
      <c r="A3485" s="4" t="s">
        <v>2778</v>
      </c>
      <c r="B3485">
        <v>2</v>
      </c>
      <c r="C3485">
        <v>2019</v>
      </c>
      <c r="D3485" t="s">
        <v>2853</v>
      </c>
      <c r="E3485">
        <v>83</v>
      </c>
      <c r="F3485" t="s">
        <v>24657</v>
      </c>
      <c r="G3485" t="s">
        <v>24658</v>
      </c>
      <c r="H3485" s="4" t="s">
        <v>24659</v>
      </c>
      <c r="I3485" t="s">
        <v>71</v>
      </c>
      <c r="J3485" t="s">
        <v>10782</v>
      </c>
      <c r="K3485" t="s">
        <v>24660</v>
      </c>
    </row>
    <row r="3486" spans="1:11" ht="158.4" x14ac:dyDescent="0.3">
      <c r="A3486" s="4" t="s">
        <v>6537</v>
      </c>
      <c r="B3486">
        <v>3</v>
      </c>
      <c r="C3486">
        <v>2019</v>
      </c>
      <c r="D3486" t="s">
        <v>11585</v>
      </c>
      <c r="E3486">
        <v>3</v>
      </c>
      <c r="F3486" t="s">
        <v>24661</v>
      </c>
      <c r="G3486" t="s">
        <v>24662</v>
      </c>
      <c r="H3486" s="4" t="s">
        <v>24663</v>
      </c>
      <c r="I3486" t="s">
        <v>71</v>
      </c>
      <c r="J3486" t="s">
        <v>10782</v>
      </c>
      <c r="K3486" t="s">
        <v>24664</v>
      </c>
    </row>
    <row r="3487" spans="1:11" ht="201.6" x14ac:dyDescent="0.3">
      <c r="A3487" s="4" t="s">
        <v>3584</v>
      </c>
      <c r="B3487">
        <v>2</v>
      </c>
      <c r="C3487">
        <v>2019</v>
      </c>
      <c r="D3487" t="s">
        <v>704</v>
      </c>
      <c r="E3487">
        <v>59</v>
      </c>
      <c r="F3487" t="s">
        <v>24665</v>
      </c>
      <c r="G3487" t="s">
        <v>24666</v>
      </c>
      <c r="H3487" s="4" t="s">
        <v>24667</v>
      </c>
      <c r="I3487" t="s">
        <v>71</v>
      </c>
      <c r="J3487" t="s">
        <v>10782</v>
      </c>
      <c r="K3487" t="s">
        <v>24668</v>
      </c>
    </row>
    <row r="3488" spans="1:11" ht="201.6" x14ac:dyDescent="0.3">
      <c r="A3488" s="4" t="s">
        <v>6538</v>
      </c>
      <c r="B3488">
        <v>3</v>
      </c>
      <c r="C3488">
        <v>2019</v>
      </c>
      <c r="D3488" t="s">
        <v>11104</v>
      </c>
      <c r="E3488">
        <v>19</v>
      </c>
      <c r="F3488" t="s">
        <v>24669</v>
      </c>
      <c r="G3488" t="s">
        <v>24670</v>
      </c>
      <c r="H3488" s="4" t="s">
        <v>24671</v>
      </c>
      <c r="I3488" t="s">
        <v>71</v>
      </c>
      <c r="J3488" t="s">
        <v>10782</v>
      </c>
      <c r="K3488" t="s">
        <v>24672</v>
      </c>
    </row>
    <row r="3489" spans="1:11" ht="144" x14ac:dyDescent="0.3">
      <c r="A3489" s="4" t="s">
        <v>6539</v>
      </c>
      <c r="B3489">
        <v>3</v>
      </c>
      <c r="C3489">
        <v>2019</v>
      </c>
      <c r="D3489" t="s">
        <v>2853</v>
      </c>
      <c r="E3489">
        <v>36</v>
      </c>
      <c r="F3489" t="s">
        <v>24673</v>
      </c>
      <c r="G3489" t="s">
        <v>24674</v>
      </c>
      <c r="H3489" s="4" t="s">
        <v>24675</v>
      </c>
      <c r="I3489" t="s">
        <v>71</v>
      </c>
      <c r="J3489" t="s">
        <v>10782</v>
      </c>
      <c r="K3489" t="s">
        <v>24676</v>
      </c>
    </row>
    <row r="3490" spans="1:11" ht="201.6" x14ac:dyDescent="0.3">
      <c r="A3490" s="4" t="s">
        <v>6540</v>
      </c>
      <c r="B3490">
        <v>3</v>
      </c>
      <c r="C3490">
        <v>2019</v>
      </c>
      <c r="D3490" t="s">
        <v>11741</v>
      </c>
      <c r="E3490">
        <v>13</v>
      </c>
      <c r="F3490" t="s">
        <v>24677</v>
      </c>
      <c r="G3490" t="s">
        <v>24678</v>
      </c>
      <c r="H3490" s="4" t="s">
        <v>24679</v>
      </c>
      <c r="I3490" t="s">
        <v>71</v>
      </c>
      <c r="J3490" t="s">
        <v>10782</v>
      </c>
      <c r="K3490" t="s">
        <v>24680</v>
      </c>
    </row>
    <row r="3491" spans="1:11" ht="187.2" x14ac:dyDescent="0.3">
      <c r="A3491" s="4" t="s">
        <v>3585</v>
      </c>
      <c r="B3491">
        <v>2</v>
      </c>
      <c r="C3491">
        <v>2019</v>
      </c>
      <c r="D3491" t="s">
        <v>1412</v>
      </c>
      <c r="E3491">
        <v>28</v>
      </c>
      <c r="F3491" t="s">
        <v>24681</v>
      </c>
      <c r="G3491" t="s">
        <v>24682</v>
      </c>
      <c r="H3491" s="4" t="s">
        <v>24683</v>
      </c>
      <c r="I3491" t="s">
        <v>71</v>
      </c>
      <c r="J3491" t="s">
        <v>10782</v>
      </c>
      <c r="K3491" t="s">
        <v>24684</v>
      </c>
    </row>
    <row r="3492" spans="1:11" ht="172.8" x14ac:dyDescent="0.3">
      <c r="A3492" s="4" t="s">
        <v>6541</v>
      </c>
      <c r="B3492">
        <v>3</v>
      </c>
      <c r="C3492">
        <v>2019</v>
      </c>
      <c r="D3492" t="s">
        <v>1802</v>
      </c>
      <c r="E3492">
        <v>2</v>
      </c>
      <c r="F3492" t="s">
        <v>24685</v>
      </c>
      <c r="G3492" t="s">
        <v>24686</v>
      </c>
      <c r="H3492" s="4" t="s">
        <v>24687</v>
      </c>
      <c r="I3492" t="s">
        <v>71</v>
      </c>
      <c r="J3492" t="s">
        <v>10782</v>
      </c>
      <c r="K3492" t="s">
        <v>24688</v>
      </c>
    </row>
    <row r="3493" spans="1:11" ht="115.2" x14ac:dyDescent="0.3">
      <c r="A3493" s="4" t="s">
        <v>6542</v>
      </c>
      <c r="B3493">
        <v>3</v>
      </c>
      <c r="C3493">
        <v>2019</v>
      </c>
      <c r="D3493" t="s">
        <v>385</v>
      </c>
      <c r="E3493">
        <v>6</v>
      </c>
      <c r="F3493" t="s">
        <v>24689</v>
      </c>
      <c r="G3493" t="s">
        <v>24690</v>
      </c>
      <c r="H3493" s="4" t="s">
        <v>24691</v>
      </c>
      <c r="I3493" t="s">
        <v>71</v>
      </c>
      <c r="J3493" t="s">
        <v>10782</v>
      </c>
      <c r="K3493" t="s">
        <v>24692</v>
      </c>
    </row>
    <row r="3494" spans="1:11" ht="187.2" x14ac:dyDescent="0.3">
      <c r="A3494" s="4" t="s">
        <v>6543</v>
      </c>
      <c r="B3494">
        <v>3</v>
      </c>
      <c r="C3494">
        <v>2019</v>
      </c>
      <c r="D3494" t="s">
        <v>2853</v>
      </c>
      <c r="E3494">
        <v>23</v>
      </c>
      <c r="F3494" t="s">
        <v>24693</v>
      </c>
      <c r="G3494" t="s">
        <v>24694</v>
      </c>
      <c r="H3494" s="4" t="s">
        <v>24695</v>
      </c>
      <c r="I3494" t="s">
        <v>71</v>
      </c>
      <c r="J3494" t="s">
        <v>10782</v>
      </c>
      <c r="K3494" t="s">
        <v>24696</v>
      </c>
    </row>
    <row r="3495" spans="1:11" ht="43.2" x14ac:dyDescent="0.3">
      <c r="A3495" s="4" t="s">
        <v>6544</v>
      </c>
      <c r="B3495">
        <v>3</v>
      </c>
      <c r="C3495">
        <v>2019</v>
      </c>
      <c r="D3495" t="s">
        <v>622</v>
      </c>
      <c r="E3495">
        <v>8</v>
      </c>
      <c r="F3495" t="s">
        <v>24697</v>
      </c>
      <c r="G3495" t="s">
        <v>24698</v>
      </c>
      <c r="H3495" s="4" t="s">
        <v>24699</v>
      </c>
    </row>
    <row r="3496" spans="1:11" ht="115.2" x14ac:dyDescent="0.3">
      <c r="A3496" s="4" t="s">
        <v>6545</v>
      </c>
      <c r="B3496">
        <v>3</v>
      </c>
      <c r="C3496">
        <v>2019</v>
      </c>
      <c r="D3496" t="s">
        <v>385</v>
      </c>
      <c r="E3496">
        <v>25</v>
      </c>
      <c r="F3496" t="s">
        <v>24700</v>
      </c>
      <c r="G3496" t="s">
        <v>24701</v>
      </c>
      <c r="H3496" s="4" t="s">
        <v>24702</v>
      </c>
      <c r="I3496" t="s">
        <v>71</v>
      </c>
      <c r="J3496" t="s">
        <v>10782</v>
      </c>
      <c r="K3496" t="s">
        <v>24703</v>
      </c>
    </row>
    <row r="3497" spans="1:11" ht="187.2" x14ac:dyDescent="0.3">
      <c r="A3497" s="4" t="s">
        <v>6546</v>
      </c>
      <c r="B3497">
        <v>3</v>
      </c>
      <c r="C3497">
        <v>2019</v>
      </c>
      <c r="D3497" t="s">
        <v>22707</v>
      </c>
      <c r="E3497">
        <v>28</v>
      </c>
      <c r="F3497" t="s">
        <v>24704</v>
      </c>
      <c r="G3497" t="s">
        <v>24705</v>
      </c>
      <c r="H3497" s="4" t="s">
        <v>24706</v>
      </c>
      <c r="I3497" t="s">
        <v>71</v>
      </c>
      <c r="J3497" t="s">
        <v>10782</v>
      </c>
      <c r="K3497" t="s">
        <v>24707</v>
      </c>
    </row>
    <row r="3498" spans="1:11" ht="158.4" x14ac:dyDescent="0.3">
      <c r="A3498" s="4" t="s">
        <v>6547</v>
      </c>
      <c r="B3498">
        <v>3</v>
      </c>
      <c r="C3498">
        <v>2019</v>
      </c>
      <c r="D3498" t="s">
        <v>15897</v>
      </c>
      <c r="E3498">
        <v>0</v>
      </c>
      <c r="F3498" t="s">
        <v>24708</v>
      </c>
      <c r="G3498" t="s">
        <v>24709</v>
      </c>
      <c r="H3498" s="4" t="s">
        <v>24710</v>
      </c>
      <c r="I3498" t="s">
        <v>71</v>
      </c>
      <c r="J3498" t="s">
        <v>10782</v>
      </c>
      <c r="K3498" t="s">
        <v>24711</v>
      </c>
    </row>
    <row r="3499" spans="1:11" ht="201.6" x14ac:dyDescent="0.3">
      <c r="A3499" s="4" t="s">
        <v>6548</v>
      </c>
      <c r="B3499">
        <v>3</v>
      </c>
      <c r="C3499">
        <v>2019</v>
      </c>
      <c r="D3499" t="s">
        <v>2853</v>
      </c>
      <c r="E3499">
        <v>29</v>
      </c>
      <c r="F3499" t="s">
        <v>24712</v>
      </c>
      <c r="G3499" t="s">
        <v>24713</v>
      </c>
      <c r="H3499" s="4" t="s">
        <v>24714</v>
      </c>
      <c r="I3499" t="s">
        <v>71</v>
      </c>
      <c r="J3499" t="s">
        <v>10782</v>
      </c>
      <c r="K3499" t="s">
        <v>24715</v>
      </c>
    </row>
    <row r="3500" spans="1:11" ht="129.6" x14ac:dyDescent="0.3">
      <c r="A3500" s="4" t="s">
        <v>6549</v>
      </c>
      <c r="B3500">
        <v>3</v>
      </c>
      <c r="C3500">
        <v>2019</v>
      </c>
      <c r="D3500" t="s">
        <v>1426</v>
      </c>
      <c r="E3500">
        <v>99</v>
      </c>
      <c r="F3500" t="s">
        <v>24716</v>
      </c>
      <c r="G3500" t="s">
        <v>24717</v>
      </c>
      <c r="H3500" s="4" t="s">
        <v>24718</v>
      </c>
      <c r="I3500" t="s">
        <v>71</v>
      </c>
      <c r="J3500" t="s">
        <v>10782</v>
      </c>
      <c r="K3500" t="s">
        <v>24719</v>
      </c>
    </row>
    <row r="3501" spans="1:11" ht="57.6" x14ac:dyDescent="0.3">
      <c r="A3501" s="4" t="s">
        <v>6550</v>
      </c>
      <c r="B3501">
        <v>3</v>
      </c>
      <c r="C3501">
        <v>2019</v>
      </c>
      <c r="D3501" t="s">
        <v>1849</v>
      </c>
      <c r="E3501">
        <v>5</v>
      </c>
      <c r="F3501" t="s">
        <v>24720</v>
      </c>
      <c r="G3501" t="s">
        <v>24721</v>
      </c>
      <c r="H3501" s="4" t="s">
        <v>24722</v>
      </c>
    </row>
    <row r="3502" spans="1:11" ht="129.6" x14ac:dyDescent="0.3">
      <c r="A3502" s="4" t="s">
        <v>6551</v>
      </c>
      <c r="B3502">
        <v>3</v>
      </c>
      <c r="C3502">
        <v>2019</v>
      </c>
      <c r="D3502" t="s">
        <v>1197</v>
      </c>
      <c r="E3502">
        <v>120</v>
      </c>
      <c r="F3502" t="s">
        <v>24723</v>
      </c>
      <c r="G3502" t="s">
        <v>24724</v>
      </c>
      <c r="H3502" s="4" t="s">
        <v>24725</v>
      </c>
      <c r="I3502" t="s">
        <v>10823</v>
      </c>
      <c r="J3502" t="s">
        <v>10782</v>
      </c>
      <c r="K3502" t="s">
        <v>24726</v>
      </c>
    </row>
    <row r="3503" spans="1:11" ht="187.2" x14ac:dyDescent="0.3">
      <c r="A3503" s="4" t="s">
        <v>6552</v>
      </c>
      <c r="B3503">
        <v>3</v>
      </c>
      <c r="C3503">
        <v>2019</v>
      </c>
      <c r="D3503" t="s">
        <v>637</v>
      </c>
      <c r="E3503">
        <v>48</v>
      </c>
      <c r="F3503" t="s">
        <v>24727</v>
      </c>
      <c r="G3503" t="s">
        <v>24728</v>
      </c>
      <c r="H3503" s="4" t="s">
        <v>24729</v>
      </c>
      <c r="I3503" t="s">
        <v>71</v>
      </c>
      <c r="J3503" t="s">
        <v>10782</v>
      </c>
      <c r="K3503" t="s">
        <v>24730</v>
      </c>
    </row>
    <row r="3504" spans="1:11" ht="172.8" x14ac:dyDescent="0.3">
      <c r="A3504" s="4" t="s">
        <v>1576</v>
      </c>
      <c r="B3504">
        <v>1</v>
      </c>
      <c r="C3504">
        <v>2019</v>
      </c>
      <c r="D3504" t="s">
        <v>147</v>
      </c>
      <c r="E3504">
        <v>33</v>
      </c>
      <c r="F3504" t="s">
        <v>24731</v>
      </c>
      <c r="G3504" t="s">
        <v>24732</v>
      </c>
      <c r="H3504" s="4" t="s">
        <v>24733</v>
      </c>
      <c r="I3504" t="s">
        <v>71</v>
      </c>
      <c r="J3504" t="s">
        <v>10782</v>
      </c>
      <c r="K3504" t="s">
        <v>24734</v>
      </c>
    </row>
    <row r="3505" spans="1:11" ht="129.6" x14ac:dyDescent="0.3">
      <c r="A3505" s="4" t="s">
        <v>6553</v>
      </c>
      <c r="B3505">
        <v>3</v>
      </c>
      <c r="C3505">
        <v>2019</v>
      </c>
      <c r="D3505" t="s">
        <v>24387</v>
      </c>
      <c r="E3505">
        <v>4</v>
      </c>
      <c r="F3505" t="s">
        <v>24735</v>
      </c>
      <c r="G3505" t="s">
        <v>24736</v>
      </c>
      <c r="H3505" s="4" t="s">
        <v>24737</v>
      </c>
      <c r="I3505" t="s">
        <v>71</v>
      </c>
      <c r="J3505" t="s">
        <v>10782</v>
      </c>
      <c r="K3505" t="s">
        <v>24738</v>
      </c>
    </row>
    <row r="3506" spans="1:11" ht="216" x14ac:dyDescent="0.3">
      <c r="A3506" s="4" t="s">
        <v>6554</v>
      </c>
      <c r="B3506">
        <v>3</v>
      </c>
      <c r="C3506">
        <v>2019</v>
      </c>
      <c r="D3506" t="s">
        <v>637</v>
      </c>
      <c r="E3506">
        <v>9</v>
      </c>
      <c r="F3506" t="s">
        <v>24739</v>
      </c>
      <c r="G3506" t="s">
        <v>24740</v>
      </c>
      <c r="H3506" s="4" t="s">
        <v>24741</v>
      </c>
      <c r="I3506" t="s">
        <v>71</v>
      </c>
      <c r="J3506" t="s">
        <v>10782</v>
      </c>
      <c r="K3506" t="s">
        <v>24742</v>
      </c>
    </row>
    <row r="3507" spans="1:11" ht="187.2" x14ac:dyDescent="0.3">
      <c r="A3507" s="4" t="s">
        <v>6555</v>
      </c>
      <c r="B3507">
        <v>3</v>
      </c>
      <c r="C3507">
        <v>2019</v>
      </c>
      <c r="D3507" t="s">
        <v>24743</v>
      </c>
      <c r="E3507">
        <v>4</v>
      </c>
      <c r="F3507" t="s">
        <v>24744</v>
      </c>
      <c r="G3507" t="s">
        <v>24745</v>
      </c>
      <c r="H3507" s="4" t="s">
        <v>24746</v>
      </c>
      <c r="I3507" t="s">
        <v>71</v>
      </c>
      <c r="J3507" t="s">
        <v>10782</v>
      </c>
      <c r="K3507" t="s">
        <v>24747</v>
      </c>
    </row>
    <row r="3508" spans="1:11" ht="201.6" x14ac:dyDescent="0.3">
      <c r="A3508" s="4" t="s">
        <v>6556</v>
      </c>
      <c r="B3508">
        <v>3</v>
      </c>
      <c r="C3508">
        <v>2019</v>
      </c>
      <c r="D3508" t="s">
        <v>13394</v>
      </c>
      <c r="E3508">
        <v>25</v>
      </c>
      <c r="F3508" t="s">
        <v>24748</v>
      </c>
      <c r="G3508" t="s">
        <v>24749</v>
      </c>
      <c r="H3508" s="4" t="s">
        <v>24750</v>
      </c>
      <c r="I3508" t="s">
        <v>71</v>
      </c>
      <c r="J3508" t="s">
        <v>10782</v>
      </c>
      <c r="K3508" t="s">
        <v>24751</v>
      </c>
    </row>
    <row r="3509" spans="1:11" ht="172.8" x14ac:dyDescent="0.3">
      <c r="A3509" s="4" t="s">
        <v>6557</v>
      </c>
      <c r="B3509">
        <v>3</v>
      </c>
      <c r="C3509">
        <v>2019</v>
      </c>
      <c r="D3509" t="s">
        <v>217</v>
      </c>
      <c r="E3509">
        <v>3</v>
      </c>
      <c r="F3509" t="s">
        <v>24752</v>
      </c>
      <c r="G3509" t="s">
        <v>24753</v>
      </c>
      <c r="H3509" s="4" t="s">
        <v>24754</v>
      </c>
      <c r="I3509" t="s">
        <v>71</v>
      </c>
      <c r="J3509" t="s">
        <v>10782</v>
      </c>
      <c r="K3509" t="s">
        <v>24755</v>
      </c>
    </row>
    <row r="3510" spans="1:11" ht="144" x14ac:dyDescent="0.3">
      <c r="A3510" s="4" t="s">
        <v>6558</v>
      </c>
      <c r="B3510">
        <v>3</v>
      </c>
      <c r="C3510">
        <v>2019</v>
      </c>
      <c r="D3510" t="s">
        <v>918</v>
      </c>
      <c r="E3510">
        <v>3</v>
      </c>
      <c r="F3510" t="s">
        <v>24756</v>
      </c>
      <c r="G3510" t="s">
        <v>24757</v>
      </c>
      <c r="H3510" s="4" t="s">
        <v>24758</v>
      </c>
      <c r="I3510" t="s">
        <v>71</v>
      </c>
      <c r="J3510" t="s">
        <v>10782</v>
      </c>
      <c r="K3510" t="s">
        <v>24759</v>
      </c>
    </row>
    <row r="3511" spans="1:11" ht="187.2" x14ac:dyDescent="0.3">
      <c r="A3511" s="4" t="s">
        <v>6559</v>
      </c>
      <c r="B3511">
        <v>3</v>
      </c>
      <c r="C3511">
        <v>2019</v>
      </c>
      <c r="D3511" t="s">
        <v>11276</v>
      </c>
      <c r="E3511">
        <v>28</v>
      </c>
      <c r="F3511" t="s">
        <v>24760</v>
      </c>
      <c r="G3511" t="s">
        <v>24761</v>
      </c>
      <c r="H3511" s="4" t="s">
        <v>24762</v>
      </c>
      <c r="I3511" t="s">
        <v>71</v>
      </c>
      <c r="J3511" t="s">
        <v>10782</v>
      </c>
      <c r="K3511" t="s">
        <v>24763</v>
      </c>
    </row>
    <row r="3512" spans="1:11" ht="187.2" x14ac:dyDescent="0.3">
      <c r="A3512" s="4" t="s">
        <v>6560</v>
      </c>
      <c r="B3512">
        <v>3</v>
      </c>
      <c r="C3512">
        <v>2019</v>
      </c>
      <c r="D3512" t="s">
        <v>11231</v>
      </c>
      <c r="E3512">
        <v>22</v>
      </c>
      <c r="F3512" t="s">
        <v>24764</v>
      </c>
      <c r="G3512" t="s">
        <v>24765</v>
      </c>
      <c r="H3512" s="4" t="s">
        <v>24766</v>
      </c>
      <c r="I3512" t="s">
        <v>71</v>
      </c>
      <c r="J3512" t="s">
        <v>10782</v>
      </c>
      <c r="K3512" t="s">
        <v>24767</v>
      </c>
    </row>
    <row r="3513" spans="1:11" ht="129.6" x14ac:dyDescent="0.3">
      <c r="A3513" s="4" t="s">
        <v>6561</v>
      </c>
      <c r="B3513">
        <v>3</v>
      </c>
      <c r="C3513">
        <v>2019</v>
      </c>
      <c r="D3513" t="s">
        <v>147</v>
      </c>
      <c r="E3513">
        <v>79</v>
      </c>
      <c r="F3513" t="s">
        <v>24768</v>
      </c>
      <c r="G3513" t="s">
        <v>24769</v>
      </c>
      <c r="H3513" s="4" t="s">
        <v>24770</v>
      </c>
      <c r="I3513" t="s">
        <v>71</v>
      </c>
      <c r="J3513" t="s">
        <v>10782</v>
      </c>
      <c r="K3513" t="s">
        <v>24771</v>
      </c>
    </row>
    <row r="3514" spans="1:11" ht="158.4" x14ac:dyDescent="0.3">
      <c r="A3514" s="4" t="s">
        <v>6562</v>
      </c>
      <c r="B3514">
        <v>3</v>
      </c>
      <c r="C3514">
        <v>2019</v>
      </c>
      <c r="D3514" t="s">
        <v>12593</v>
      </c>
      <c r="E3514">
        <v>20</v>
      </c>
      <c r="F3514" t="s">
        <v>24772</v>
      </c>
      <c r="G3514" t="s">
        <v>24773</v>
      </c>
      <c r="H3514" s="4" t="s">
        <v>24774</v>
      </c>
      <c r="I3514" t="s">
        <v>71</v>
      </c>
      <c r="J3514" t="s">
        <v>10782</v>
      </c>
      <c r="K3514" t="s">
        <v>24775</v>
      </c>
    </row>
    <row r="3515" spans="1:11" ht="158.4" x14ac:dyDescent="0.3">
      <c r="A3515" s="4" t="s">
        <v>6563</v>
      </c>
      <c r="B3515">
        <v>3</v>
      </c>
      <c r="C3515">
        <v>2019</v>
      </c>
      <c r="D3515" t="s">
        <v>277</v>
      </c>
      <c r="E3515">
        <v>22</v>
      </c>
      <c r="F3515" t="s">
        <v>24776</v>
      </c>
      <c r="G3515" t="s">
        <v>24777</v>
      </c>
      <c r="H3515" s="4" t="s">
        <v>24778</v>
      </c>
      <c r="I3515" t="s">
        <v>71</v>
      </c>
      <c r="J3515" t="s">
        <v>10782</v>
      </c>
      <c r="K3515" t="s">
        <v>24779</v>
      </c>
    </row>
    <row r="3516" spans="1:11" ht="230.4" x14ac:dyDescent="0.3">
      <c r="A3516" s="4" t="s">
        <v>6564</v>
      </c>
      <c r="B3516">
        <v>3</v>
      </c>
      <c r="C3516">
        <v>2019</v>
      </c>
      <c r="D3516" t="s">
        <v>80</v>
      </c>
      <c r="E3516">
        <v>36</v>
      </c>
      <c r="F3516" t="s">
        <v>24780</v>
      </c>
      <c r="G3516" t="s">
        <v>24781</v>
      </c>
      <c r="H3516" s="4" t="s">
        <v>24782</v>
      </c>
      <c r="I3516" t="s">
        <v>71</v>
      </c>
      <c r="J3516" t="s">
        <v>10782</v>
      </c>
      <c r="K3516" t="s">
        <v>24783</v>
      </c>
    </row>
    <row r="3517" spans="1:11" ht="201.6" x14ac:dyDescent="0.3">
      <c r="A3517" s="4" t="s">
        <v>6565</v>
      </c>
      <c r="B3517">
        <v>3</v>
      </c>
      <c r="C3517">
        <v>2019</v>
      </c>
      <c r="D3517" t="s">
        <v>799</v>
      </c>
      <c r="E3517">
        <v>37</v>
      </c>
      <c r="F3517" t="s">
        <v>24784</v>
      </c>
      <c r="G3517" t="s">
        <v>24785</v>
      </c>
      <c r="H3517" s="4" t="s">
        <v>24786</v>
      </c>
      <c r="I3517" t="s">
        <v>71</v>
      </c>
      <c r="J3517" t="s">
        <v>10782</v>
      </c>
      <c r="K3517" t="s">
        <v>24787</v>
      </c>
    </row>
    <row r="3518" spans="1:11" ht="144" x14ac:dyDescent="0.3">
      <c r="A3518" s="4" t="s">
        <v>6566</v>
      </c>
      <c r="B3518">
        <v>3</v>
      </c>
      <c r="C3518">
        <v>2019</v>
      </c>
      <c r="D3518" t="s">
        <v>11041</v>
      </c>
      <c r="E3518">
        <v>16</v>
      </c>
      <c r="F3518" t="s">
        <v>24788</v>
      </c>
      <c r="G3518" t="s">
        <v>24789</v>
      </c>
      <c r="H3518" s="4" t="s">
        <v>24790</v>
      </c>
      <c r="I3518" t="s">
        <v>71</v>
      </c>
      <c r="J3518" t="s">
        <v>10782</v>
      </c>
      <c r="K3518" t="s">
        <v>24791</v>
      </c>
    </row>
    <row r="3519" spans="1:11" ht="144" x14ac:dyDescent="0.3">
      <c r="A3519" s="4" t="s">
        <v>6567</v>
      </c>
      <c r="B3519">
        <v>3</v>
      </c>
      <c r="C3519">
        <v>2019</v>
      </c>
      <c r="D3519" t="s">
        <v>13914</v>
      </c>
      <c r="E3519">
        <v>43</v>
      </c>
      <c r="F3519" t="s">
        <v>24792</v>
      </c>
      <c r="G3519" t="s">
        <v>24793</v>
      </c>
      <c r="H3519" s="4" t="s">
        <v>24794</v>
      </c>
    </row>
    <row r="3520" spans="1:11" ht="172.8" x14ac:dyDescent="0.3">
      <c r="A3520" s="4" t="s">
        <v>6568</v>
      </c>
      <c r="B3520">
        <v>3</v>
      </c>
      <c r="C3520">
        <v>2019</v>
      </c>
      <c r="D3520" t="s">
        <v>724</v>
      </c>
      <c r="E3520">
        <v>8</v>
      </c>
      <c r="F3520" t="s">
        <v>24795</v>
      </c>
      <c r="G3520" t="s">
        <v>24796</v>
      </c>
      <c r="H3520" s="4" t="s">
        <v>24797</v>
      </c>
      <c r="I3520" t="s">
        <v>71</v>
      </c>
      <c r="J3520" t="s">
        <v>10782</v>
      </c>
      <c r="K3520" t="s">
        <v>24798</v>
      </c>
    </row>
    <row r="3521" spans="1:11" ht="172.8" x14ac:dyDescent="0.3">
      <c r="A3521" s="4" t="s">
        <v>6569</v>
      </c>
      <c r="B3521">
        <v>3</v>
      </c>
      <c r="C3521">
        <v>2019</v>
      </c>
      <c r="D3521" t="s">
        <v>1688</v>
      </c>
      <c r="E3521">
        <v>46</v>
      </c>
      <c r="F3521" t="s">
        <v>24799</v>
      </c>
      <c r="G3521" t="s">
        <v>24800</v>
      </c>
      <c r="H3521" s="4" t="s">
        <v>24801</v>
      </c>
      <c r="I3521" t="s">
        <v>71</v>
      </c>
      <c r="J3521" t="s">
        <v>10782</v>
      </c>
      <c r="K3521" t="s">
        <v>24802</v>
      </c>
    </row>
    <row r="3522" spans="1:11" ht="158.4" x14ac:dyDescent="0.3">
      <c r="A3522" s="4" t="s">
        <v>6570</v>
      </c>
      <c r="B3522">
        <v>3</v>
      </c>
      <c r="C3522">
        <v>2019</v>
      </c>
      <c r="D3522" t="s">
        <v>528</v>
      </c>
      <c r="E3522">
        <v>10</v>
      </c>
      <c r="F3522" t="s">
        <v>24803</v>
      </c>
      <c r="G3522" t="s">
        <v>24804</v>
      </c>
      <c r="H3522" s="4" t="s">
        <v>24805</v>
      </c>
    </row>
    <row r="3523" spans="1:11" ht="216" x14ac:dyDescent="0.3">
      <c r="A3523" s="4" t="s">
        <v>6571</v>
      </c>
      <c r="B3523">
        <v>3</v>
      </c>
      <c r="C3523">
        <v>2019</v>
      </c>
      <c r="D3523" t="s">
        <v>217</v>
      </c>
      <c r="E3523">
        <v>20</v>
      </c>
      <c r="F3523" t="s">
        <v>24806</v>
      </c>
      <c r="G3523" t="s">
        <v>24807</v>
      </c>
      <c r="H3523" s="4" t="s">
        <v>24808</v>
      </c>
      <c r="I3523" t="s">
        <v>71</v>
      </c>
      <c r="J3523" t="s">
        <v>10782</v>
      </c>
      <c r="K3523" t="s">
        <v>24809</v>
      </c>
    </row>
    <row r="3524" spans="1:11" ht="259.2" x14ac:dyDescent="0.3">
      <c r="A3524" s="4" t="s">
        <v>6572</v>
      </c>
      <c r="B3524">
        <v>3</v>
      </c>
      <c r="C3524">
        <v>2019</v>
      </c>
      <c r="D3524" t="s">
        <v>10456</v>
      </c>
      <c r="E3524">
        <v>3</v>
      </c>
      <c r="F3524" t="s">
        <v>24810</v>
      </c>
      <c r="G3524" t="s">
        <v>24811</v>
      </c>
      <c r="H3524" s="4" t="s">
        <v>24812</v>
      </c>
    </row>
    <row r="3525" spans="1:11" ht="273.60000000000002" x14ac:dyDescent="0.3">
      <c r="A3525" s="4" t="s">
        <v>6573</v>
      </c>
      <c r="B3525">
        <v>3</v>
      </c>
      <c r="C3525">
        <v>2019</v>
      </c>
      <c r="D3525" t="s">
        <v>11007</v>
      </c>
      <c r="E3525">
        <v>45</v>
      </c>
      <c r="F3525" t="s">
        <v>24813</v>
      </c>
      <c r="G3525" t="s">
        <v>24814</v>
      </c>
      <c r="H3525" s="4" t="s">
        <v>24815</v>
      </c>
      <c r="I3525" t="s">
        <v>71</v>
      </c>
      <c r="J3525" t="s">
        <v>10782</v>
      </c>
      <c r="K3525" t="s">
        <v>24816</v>
      </c>
    </row>
    <row r="3526" spans="1:11" ht="158.4" x14ac:dyDescent="0.3">
      <c r="A3526" s="4" t="s">
        <v>6574</v>
      </c>
      <c r="B3526">
        <v>3</v>
      </c>
      <c r="C3526">
        <v>2019</v>
      </c>
      <c r="D3526" t="s">
        <v>147</v>
      </c>
      <c r="E3526">
        <v>74</v>
      </c>
      <c r="F3526" t="s">
        <v>24817</v>
      </c>
      <c r="G3526" t="s">
        <v>24818</v>
      </c>
      <c r="H3526" s="4" t="s">
        <v>24819</v>
      </c>
      <c r="I3526" t="s">
        <v>71</v>
      </c>
      <c r="J3526" t="s">
        <v>10782</v>
      </c>
      <c r="K3526" t="s">
        <v>24820</v>
      </c>
    </row>
    <row r="3527" spans="1:11" ht="158.4" x14ac:dyDescent="0.3">
      <c r="A3527" s="4" t="s">
        <v>2779</v>
      </c>
      <c r="B3527">
        <v>2</v>
      </c>
      <c r="C3527">
        <v>2019</v>
      </c>
      <c r="D3527" t="s">
        <v>2859</v>
      </c>
      <c r="E3527">
        <v>60</v>
      </c>
      <c r="F3527" t="s">
        <v>24821</v>
      </c>
      <c r="G3527" t="s">
        <v>24822</v>
      </c>
      <c r="H3527" s="4" t="s">
        <v>24823</v>
      </c>
      <c r="I3527" t="s">
        <v>71</v>
      </c>
      <c r="J3527" t="s">
        <v>10782</v>
      </c>
      <c r="K3527" t="s">
        <v>24824</v>
      </c>
    </row>
    <row r="3528" spans="1:11" ht="230.4" x14ac:dyDescent="0.3">
      <c r="A3528" s="4" t="s">
        <v>6575</v>
      </c>
      <c r="B3528">
        <v>3</v>
      </c>
      <c r="C3528">
        <v>2019</v>
      </c>
      <c r="D3528" t="s">
        <v>1570</v>
      </c>
      <c r="E3528">
        <v>11</v>
      </c>
      <c r="F3528" t="s">
        <v>24825</v>
      </c>
      <c r="G3528" t="s">
        <v>24826</v>
      </c>
      <c r="H3528" s="4" t="s">
        <v>24827</v>
      </c>
      <c r="I3528" t="s">
        <v>71</v>
      </c>
      <c r="J3528" t="s">
        <v>10782</v>
      </c>
      <c r="K3528" t="s">
        <v>24828</v>
      </c>
    </row>
    <row r="3529" spans="1:11" ht="158.4" x14ac:dyDescent="0.3">
      <c r="A3529" s="4" t="s">
        <v>6576</v>
      </c>
      <c r="B3529">
        <v>3</v>
      </c>
      <c r="C3529">
        <v>2019</v>
      </c>
      <c r="D3529" t="s">
        <v>277</v>
      </c>
      <c r="E3529">
        <v>16</v>
      </c>
      <c r="F3529" t="s">
        <v>24829</v>
      </c>
      <c r="G3529" t="s">
        <v>24830</v>
      </c>
      <c r="H3529" s="4" t="s">
        <v>24831</v>
      </c>
      <c r="I3529" t="s">
        <v>71</v>
      </c>
      <c r="J3529" t="s">
        <v>10782</v>
      </c>
      <c r="K3529" t="s">
        <v>24832</v>
      </c>
    </row>
    <row r="3530" spans="1:11" ht="230.4" x14ac:dyDescent="0.3">
      <c r="A3530" s="4" t="s">
        <v>6577</v>
      </c>
      <c r="B3530">
        <v>3</v>
      </c>
      <c r="C3530">
        <v>2019</v>
      </c>
      <c r="D3530" t="s">
        <v>637</v>
      </c>
      <c r="E3530">
        <v>19</v>
      </c>
      <c r="F3530" t="s">
        <v>24833</v>
      </c>
      <c r="G3530" t="s">
        <v>24834</v>
      </c>
      <c r="H3530" s="4" t="s">
        <v>24835</v>
      </c>
      <c r="I3530" t="s">
        <v>71</v>
      </c>
      <c r="J3530" t="s">
        <v>10782</v>
      </c>
      <c r="K3530" t="s">
        <v>24836</v>
      </c>
    </row>
    <row r="3531" spans="1:11" ht="86.4" x14ac:dyDescent="0.3">
      <c r="A3531" s="4" t="s">
        <v>6578</v>
      </c>
      <c r="B3531">
        <v>3</v>
      </c>
      <c r="C3531">
        <v>2019</v>
      </c>
      <c r="D3531" t="s">
        <v>622</v>
      </c>
      <c r="E3531">
        <v>9</v>
      </c>
      <c r="F3531" t="s">
        <v>24837</v>
      </c>
      <c r="G3531" t="s">
        <v>24838</v>
      </c>
      <c r="H3531" s="4" t="s">
        <v>24839</v>
      </c>
    </row>
    <row r="3532" spans="1:11" ht="144" x14ac:dyDescent="0.3">
      <c r="A3532" s="4" t="s">
        <v>6579</v>
      </c>
      <c r="B3532">
        <v>3</v>
      </c>
      <c r="C3532">
        <v>2019</v>
      </c>
      <c r="D3532" t="s">
        <v>14623</v>
      </c>
      <c r="E3532">
        <v>53</v>
      </c>
      <c r="F3532" t="s">
        <v>24840</v>
      </c>
      <c r="G3532" t="s">
        <v>24841</v>
      </c>
      <c r="H3532" s="4" t="s">
        <v>24842</v>
      </c>
      <c r="I3532" t="s">
        <v>71</v>
      </c>
      <c r="J3532" t="s">
        <v>10782</v>
      </c>
      <c r="K3532" t="s">
        <v>24843</v>
      </c>
    </row>
    <row r="3533" spans="1:11" ht="158.4" x14ac:dyDescent="0.3">
      <c r="A3533" s="4" t="s">
        <v>6580</v>
      </c>
      <c r="B3533">
        <v>3</v>
      </c>
      <c r="C3533">
        <v>2019</v>
      </c>
      <c r="D3533" t="s">
        <v>1197</v>
      </c>
      <c r="E3533">
        <v>147</v>
      </c>
      <c r="F3533" t="s">
        <v>24844</v>
      </c>
      <c r="G3533" t="s">
        <v>24845</v>
      </c>
      <c r="H3533" s="4" t="s">
        <v>24846</v>
      </c>
      <c r="I3533" t="s">
        <v>10823</v>
      </c>
      <c r="J3533" t="s">
        <v>10782</v>
      </c>
      <c r="K3533" t="s">
        <v>24847</v>
      </c>
    </row>
    <row r="3534" spans="1:11" ht="158.4" x14ac:dyDescent="0.3">
      <c r="A3534" s="4" t="s">
        <v>6581</v>
      </c>
      <c r="B3534">
        <v>3</v>
      </c>
      <c r="C3534">
        <v>2019</v>
      </c>
      <c r="D3534" t="s">
        <v>14553</v>
      </c>
      <c r="E3534">
        <v>7</v>
      </c>
      <c r="F3534" t="s">
        <v>24848</v>
      </c>
      <c r="G3534" t="s">
        <v>24849</v>
      </c>
      <c r="H3534" s="4" t="s">
        <v>24850</v>
      </c>
      <c r="I3534" t="s">
        <v>71</v>
      </c>
      <c r="J3534" t="s">
        <v>10782</v>
      </c>
      <c r="K3534" t="s">
        <v>24851</v>
      </c>
    </row>
    <row r="3535" spans="1:11" ht="144" x14ac:dyDescent="0.3">
      <c r="A3535" s="4" t="s">
        <v>6582</v>
      </c>
      <c r="B3535">
        <v>3</v>
      </c>
      <c r="C3535">
        <v>2019</v>
      </c>
      <c r="D3535" t="s">
        <v>1570</v>
      </c>
      <c r="E3535">
        <v>13</v>
      </c>
      <c r="F3535" t="s">
        <v>24852</v>
      </c>
      <c r="G3535" t="s">
        <v>24853</v>
      </c>
      <c r="H3535" s="4" t="s">
        <v>24854</v>
      </c>
    </row>
    <row r="3536" spans="1:11" ht="187.2" x14ac:dyDescent="0.3">
      <c r="A3536" s="4" t="s">
        <v>6583</v>
      </c>
      <c r="B3536">
        <v>3</v>
      </c>
      <c r="C3536">
        <v>2019</v>
      </c>
      <c r="D3536" t="s">
        <v>724</v>
      </c>
      <c r="E3536">
        <v>13</v>
      </c>
      <c r="F3536" t="s">
        <v>24855</v>
      </c>
      <c r="G3536" t="s">
        <v>24856</v>
      </c>
      <c r="H3536" s="4" t="s">
        <v>24857</v>
      </c>
      <c r="I3536" t="s">
        <v>71</v>
      </c>
      <c r="J3536" t="s">
        <v>10782</v>
      </c>
      <c r="K3536" t="s">
        <v>24858</v>
      </c>
    </row>
    <row r="3537" spans="1:11" ht="172.8" x14ac:dyDescent="0.3">
      <c r="A3537" s="4" t="s">
        <v>6584</v>
      </c>
      <c r="B3537">
        <v>3</v>
      </c>
      <c r="C3537">
        <v>2019</v>
      </c>
      <c r="D3537" t="s">
        <v>19949</v>
      </c>
      <c r="E3537">
        <v>13</v>
      </c>
      <c r="F3537" t="s">
        <v>24859</v>
      </c>
      <c r="G3537" t="s">
        <v>24860</v>
      </c>
      <c r="H3537" s="4" t="s">
        <v>24861</v>
      </c>
      <c r="I3537" t="s">
        <v>71</v>
      </c>
      <c r="J3537" t="s">
        <v>10782</v>
      </c>
      <c r="K3537" t="s">
        <v>24862</v>
      </c>
    </row>
    <row r="3538" spans="1:11" ht="158.4" x14ac:dyDescent="0.3">
      <c r="A3538" s="4" t="s">
        <v>6585</v>
      </c>
      <c r="B3538">
        <v>3</v>
      </c>
      <c r="C3538">
        <v>2019</v>
      </c>
      <c r="D3538" t="s">
        <v>12593</v>
      </c>
      <c r="E3538">
        <v>5</v>
      </c>
      <c r="F3538" t="s">
        <v>24863</v>
      </c>
      <c r="G3538" t="s">
        <v>24864</v>
      </c>
      <c r="H3538" s="4" t="s">
        <v>24865</v>
      </c>
      <c r="I3538" t="s">
        <v>71</v>
      </c>
      <c r="J3538" t="s">
        <v>10782</v>
      </c>
      <c r="K3538" t="s">
        <v>24866</v>
      </c>
    </row>
    <row r="3539" spans="1:11" ht="201.6" x14ac:dyDescent="0.3">
      <c r="A3539" s="4" t="s">
        <v>6586</v>
      </c>
      <c r="B3539">
        <v>3</v>
      </c>
      <c r="C3539">
        <v>2019</v>
      </c>
      <c r="D3539" t="s">
        <v>1525</v>
      </c>
      <c r="E3539">
        <v>13</v>
      </c>
      <c r="F3539" t="s">
        <v>24867</v>
      </c>
      <c r="G3539" t="s">
        <v>24868</v>
      </c>
      <c r="H3539" s="4" t="s">
        <v>24869</v>
      </c>
      <c r="I3539" t="s">
        <v>71</v>
      </c>
      <c r="J3539" t="s">
        <v>10782</v>
      </c>
      <c r="K3539" t="s">
        <v>24870</v>
      </c>
    </row>
    <row r="3540" spans="1:11" ht="216" x14ac:dyDescent="0.3">
      <c r="A3540" s="4" t="s">
        <v>6587</v>
      </c>
      <c r="B3540">
        <v>3</v>
      </c>
      <c r="C3540">
        <v>2019</v>
      </c>
      <c r="D3540" t="s">
        <v>637</v>
      </c>
      <c r="E3540">
        <v>37</v>
      </c>
      <c r="F3540" t="s">
        <v>24871</v>
      </c>
      <c r="G3540" t="s">
        <v>24872</v>
      </c>
      <c r="H3540" s="4" t="s">
        <v>24873</v>
      </c>
      <c r="I3540" t="s">
        <v>71</v>
      </c>
      <c r="J3540" t="s">
        <v>10782</v>
      </c>
      <c r="K3540" t="s">
        <v>24874</v>
      </c>
    </row>
    <row r="3541" spans="1:11" ht="72" x14ac:dyDescent="0.3">
      <c r="A3541" s="4" t="s">
        <v>6588</v>
      </c>
      <c r="B3541">
        <v>3</v>
      </c>
      <c r="C3541">
        <v>2019</v>
      </c>
      <c r="D3541" t="s">
        <v>1197</v>
      </c>
      <c r="E3541">
        <v>24</v>
      </c>
      <c r="F3541" t="s">
        <v>24875</v>
      </c>
      <c r="G3541" t="s">
        <v>24876</v>
      </c>
      <c r="H3541" s="4" t="s">
        <v>24877</v>
      </c>
      <c r="I3541" t="s">
        <v>10823</v>
      </c>
      <c r="J3541" t="s">
        <v>10782</v>
      </c>
      <c r="K3541" t="s">
        <v>24878</v>
      </c>
    </row>
    <row r="3542" spans="1:11" ht="273.60000000000002" x14ac:dyDescent="0.3">
      <c r="A3542" s="4" t="s">
        <v>6589</v>
      </c>
      <c r="B3542">
        <v>3</v>
      </c>
      <c r="C3542">
        <v>2019</v>
      </c>
      <c r="D3542" t="s">
        <v>10971</v>
      </c>
      <c r="E3542">
        <v>12</v>
      </c>
      <c r="F3542" t="s">
        <v>24879</v>
      </c>
      <c r="G3542" t="s">
        <v>24880</v>
      </c>
      <c r="H3542" s="4" t="s">
        <v>24881</v>
      </c>
      <c r="I3542" t="s">
        <v>71</v>
      </c>
      <c r="J3542" t="s">
        <v>10782</v>
      </c>
      <c r="K3542" t="s">
        <v>24882</v>
      </c>
    </row>
    <row r="3543" spans="1:11" ht="43.2" x14ac:dyDescent="0.3">
      <c r="A3543" s="4" t="s">
        <v>6590</v>
      </c>
      <c r="B3543">
        <v>3</v>
      </c>
      <c r="C3543">
        <v>2019</v>
      </c>
      <c r="D3543" t="s">
        <v>11774</v>
      </c>
      <c r="E3543">
        <v>5</v>
      </c>
      <c r="F3543" t="s">
        <v>24883</v>
      </c>
      <c r="G3543" t="s">
        <v>24884</v>
      </c>
      <c r="H3543" s="4" t="s">
        <v>24885</v>
      </c>
    </row>
    <row r="3544" spans="1:11" ht="43.2" x14ac:dyDescent="0.3">
      <c r="A3544" s="4" t="s">
        <v>6591</v>
      </c>
      <c r="B3544">
        <v>3</v>
      </c>
      <c r="C3544">
        <v>2019</v>
      </c>
      <c r="D3544" t="s">
        <v>1525</v>
      </c>
      <c r="E3544">
        <v>32</v>
      </c>
      <c r="F3544" t="s">
        <v>24886</v>
      </c>
      <c r="G3544" t="s">
        <v>24887</v>
      </c>
      <c r="H3544" s="4" t="s">
        <v>24888</v>
      </c>
    </row>
    <row r="3545" spans="1:11" ht="158.4" x14ac:dyDescent="0.3">
      <c r="A3545" s="4" t="s">
        <v>6592</v>
      </c>
      <c r="B3545">
        <v>3</v>
      </c>
      <c r="C3545">
        <v>2019</v>
      </c>
      <c r="D3545" t="s">
        <v>277</v>
      </c>
      <c r="E3545">
        <v>69</v>
      </c>
      <c r="F3545" t="s">
        <v>24889</v>
      </c>
      <c r="G3545" t="s">
        <v>24890</v>
      </c>
      <c r="H3545" s="4" t="s">
        <v>24891</v>
      </c>
      <c r="I3545" t="s">
        <v>71</v>
      </c>
      <c r="J3545" t="s">
        <v>10782</v>
      </c>
      <c r="K3545" t="s">
        <v>24892</v>
      </c>
    </row>
    <row r="3546" spans="1:11" ht="129.6" x14ac:dyDescent="0.3">
      <c r="A3546" s="4" t="s">
        <v>6593</v>
      </c>
      <c r="B3546">
        <v>3</v>
      </c>
      <c r="C3546">
        <v>2019</v>
      </c>
      <c r="D3546" t="s">
        <v>24893</v>
      </c>
      <c r="E3546">
        <v>0</v>
      </c>
      <c r="F3546" t="s">
        <v>24894</v>
      </c>
      <c r="G3546" t="s">
        <v>24895</v>
      </c>
      <c r="H3546" s="4" t="s">
        <v>24896</v>
      </c>
      <c r="I3546" t="s">
        <v>71</v>
      </c>
      <c r="J3546" t="s">
        <v>10782</v>
      </c>
      <c r="K3546" t="s">
        <v>24897</v>
      </c>
    </row>
    <row r="3547" spans="1:11" ht="201.6" x14ac:dyDescent="0.3">
      <c r="A3547" s="4" t="s">
        <v>6594</v>
      </c>
      <c r="B3547">
        <v>3</v>
      </c>
      <c r="C3547">
        <v>2019</v>
      </c>
      <c r="D3547" t="s">
        <v>11164</v>
      </c>
      <c r="E3547">
        <v>4</v>
      </c>
      <c r="F3547" t="s">
        <v>24898</v>
      </c>
      <c r="G3547" t="s">
        <v>24899</v>
      </c>
      <c r="H3547" s="4" t="s">
        <v>24900</v>
      </c>
      <c r="I3547" t="s">
        <v>71</v>
      </c>
      <c r="J3547" t="s">
        <v>10782</v>
      </c>
      <c r="K3547" t="s">
        <v>24901</v>
      </c>
    </row>
    <row r="3548" spans="1:11" ht="72" x14ac:dyDescent="0.3">
      <c r="A3548" s="4" t="s">
        <v>6595</v>
      </c>
      <c r="B3548">
        <v>3</v>
      </c>
      <c r="C3548">
        <v>2019</v>
      </c>
      <c r="D3548" t="s">
        <v>892</v>
      </c>
      <c r="E3548">
        <v>8</v>
      </c>
      <c r="F3548" t="s">
        <v>24902</v>
      </c>
      <c r="G3548" t="s">
        <v>24903</v>
      </c>
      <c r="H3548" s="4" t="s">
        <v>24904</v>
      </c>
    </row>
    <row r="3549" spans="1:11" ht="100.8" x14ac:dyDescent="0.3">
      <c r="A3549" s="4" t="s">
        <v>6596</v>
      </c>
      <c r="B3549">
        <v>3</v>
      </c>
      <c r="C3549">
        <v>2019</v>
      </c>
      <c r="D3549" t="s">
        <v>23776</v>
      </c>
      <c r="E3549">
        <v>49</v>
      </c>
      <c r="F3549" t="s">
        <v>24905</v>
      </c>
      <c r="G3549" t="s">
        <v>24906</v>
      </c>
      <c r="H3549" s="4" t="s">
        <v>24907</v>
      </c>
    </row>
    <row r="3550" spans="1:11" ht="201.6" x14ac:dyDescent="0.3">
      <c r="A3550" s="4" t="s">
        <v>6597</v>
      </c>
      <c r="B3550">
        <v>3</v>
      </c>
      <c r="C3550">
        <v>2019</v>
      </c>
      <c r="D3550" t="s">
        <v>1525</v>
      </c>
      <c r="E3550">
        <v>19</v>
      </c>
      <c r="F3550" t="s">
        <v>24908</v>
      </c>
      <c r="G3550" t="s">
        <v>24909</v>
      </c>
      <c r="H3550" s="4" t="s">
        <v>24910</v>
      </c>
    </row>
    <row r="3551" spans="1:11" ht="259.2" x14ac:dyDescent="0.3">
      <c r="A3551" s="4" t="s">
        <v>6598</v>
      </c>
      <c r="B3551">
        <v>3</v>
      </c>
      <c r="C3551">
        <v>2019</v>
      </c>
      <c r="D3551" t="s">
        <v>24911</v>
      </c>
      <c r="E3551">
        <v>16</v>
      </c>
      <c r="F3551" t="s">
        <v>24912</v>
      </c>
      <c r="G3551" t="s">
        <v>24913</v>
      </c>
      <c r="H3551" s="4" t="s">
        <v>24914</v>
      </c>
      <c r="I3551" t="s">
        <v>71</v>
      </c>
      <c r="J3551" t="s">
        <v>10782</v>
      </c>
      <c r="K3551" t="s">
        <v>24915</v>
      </c>
    </row>
    <row r="3552" spans="1:11" ht="115.2" x14ac:dyDescent="0.3">
      <c r="A3552" s="4" t="s">
        <v>6599</v>
      </c>
      <c r="B3552">
        <v>3</v>
      </c>
      <c r="C3552">
        <v>2019</v>
      </c>
      <c r="D3552" t="s">
        <v>23776</v>
      </c>
      <c r="E3552">
        <v>4</v>
      </c>
      <c r="F3552" t="s">
        <v>24916</v>
      </c>
      <c r="G3552" t="s">
        <v>24917</v>
      </c>
      <c r="H3552" s="4" t="s">
        <v>24918</v>
      </c>
      <c r="I3552" t="s">
        <v>71</v>
      </c>
      <c r="J3552" t="s">
        <v>10782</v>
      </c>
      <c r="K3552" t="s">
        <v>24919</v>
      </c>
    </row>
    <row r="3553" spans="1:11" ht="28.8" x14ac:dyDescent="0.3">
      <c r="A3553" s="4" t="s">
        <v>6600</v>
      </c>
      <c r="B3553">
        <v>3</v>
      </c>
      <c r="C3553">
        <v>2019</v>
      </c>
      <c r="D3553" t="s">
        <v>19066</v>
      </c>
      <c r="E3553">
        <v>2</v>
      </c>
      <c r="F3553" t="s">
        <v>24920</v>
      </c>
      <c r="G3553" t="s">
        <v>24921</v>
      </c>
      <c r="H3553" s="4" t="s">
        <v>71</v>
      </c>
      <c r="I3553" t="s">
        <v>10782</v>
      </c>
      <c r="J3553" t="s">
        <v>24922</v>
      </c>
    </row>
    <row r="3554" spans="1:11" ht="86.4" x14ac:dyDescent="0.3">
      <c r="A3554" s="4" t="s">
        <v>6601</v>
      </c>
      <c r="B3554">
        <v>3</v>
      </c>
      <c r="C3554">
        <v>2019</v>
      </c>
      <c r="D3554" t="s">
        <v>11598</v>
      </c>
      <c r="E3554">
        <v>17</v>
      </c>
      <c r="F3554" t="s">
        <v>24923</v>
      </c>
      <c r="G3554" t="s">
        <v>24924</v>
      </c>
      <c r="H3554" s="4" t="s">
        <v>24925</v>
      </c>
      <c r="I3554" t="s">
        <v>71</v>
      </c>
      <c r="J3554" t="s">
        <v>10782</v>
      </c>
      <c r="K3554" t="s">
        <v>24926</v>
      </c>
    </row>
    <row r="3555" spans="1:11" ht="115.2" x14ac:dyDescent="0.3">
      <c r="A3555" s="4" t="s">
        <v>6602</v>
      </c>
      <c r="B3555">
        <v>3</v>
      </c>
      <c r="C3555">
        <v>2019</v>
      </c>
      <c r="D3555" t="s">
        <v>1197</v>
      </c>
      <c r="E3555">
        <v>63</v>
      </c>
      <c r="F3555" t="s">
        <v>24927</v>
      </c>
      <c r="G3555" t="s">
        <v>24928</v>
      </c>
      <c r="H3555" s="4" t="s">
        <v>24929</v>
      </c>
      <c r="I3555" t="s">
        <v>10823</v>
      </c>
      <c r="J3555" t="s">
        <v>10782</v>
      </c>
      <c r="K3555" t="s">
        <v>24930</v>
      </c>
    </row>
    <row r="3556" spans="1:11" ht="244.8" x14ac:dyDescent="0.3">
      <c r="A3556" s="4" t="s">
        <v>6603</v>
      </c>
      <c r="B3556">
        <v>3</v>
      </c>
      <c r="C3556">
        <v>2019</v>
      </c>
      <c r="D3556" t="s">
        <v>11598</v>
      </c>
      <c r="E3556">
        <v>50</v>
      </c>
      <c r="F3556" t="s">
        <v>24931</v>
      </c>
      <c r="G3556" t="s">
        <v>24932</v>
      </c>
      <c r="H3556" s="4" t="s">
        <v>24933</v>
      </c>
      <c r="I3556" t="s">
        <v>71</v>
      </c>
      <c r="J3556" t="s">
        <v>10782</v>
      </c>
      <c r="K3556" t="s">
        <v>24934</v>
      </c>
    </row>
    <row r="3557" spans="1:11" ht="230.4" x14ac:dyDescent="0.3">
      <c r="A3557" s="4" t="s">
        <v>3361</v>
      </c>
      <c r="B3557">
        <v>1</v>
      </c>
      <c r="C3557">
        <v>2019</v>
      </c>
      <c r="D3557" t="s">
        <v>318</v>
      </c>
      <c r="E3557">
        <v>30</v>
      </c>
      <c r="F3557" t="s">
        <v>24935</v>
      </c>
      <c r="G3557" t="s">
        <v>24936</v>
      </c>
      <c r="H3557" s="4" t="s">
        <v>24937</v>
      </c>
    </row>
    <row r="3558" spans="1:11" ht="158.4" x14ac:dyDescent="0.3">
      <c r="A3558" s="4" t="s">
        <v>6604</v>
      </c>
      <c r="B3558">
        <v>3</v>
      </c>
      <c r="C3558">
        <v>2019</v>
      </c>
      <c r="D3558" t="s">
        <v>24329</v>
      </c>
      <c r="E3558">
        <v>17</v>
      </c>
      <c r="F3558" t="s">
        <v>24938</v>
      </c>
      <c r="G3558" t="s">
        <v>24939</v>
      </c>
      <c r="H3558" s="4" t="s">
        <v>24940</v>
      </c>
      <c r="I3558" t="s">
        <v>71</v>
      </c>
      <c r="J3558" t="s">
        <v>10782</v>
      </c>
      <c r="K3558" t="s">
        <v>24941</v>
      </c>
    </row>
    <row r="3559" spans="1:11" ht="115.2" x14ac:dyDescent="0.3">
      <c r="A3559" s="4" t="s">
        <v>6605</v>
      </c>
      <c r="B3559">
        <v>3</v>
      </c>
      <c r="C3559">
        <v>2019</v>
      </c>
      <c r="D3559" t="s">
        <v>11276</v>
      </c>
      <c r="E3559">
        <v>31</v>
      </c>
      <c r="F3559" t="s">
        <v>24942</v>
      </c>
      <c r="G3559" t="s">
        <v>24943</v>
      </c>
      <c r="H3559" s="4" t="s">
        <v>24944</v>
      </c>
      <c r="I3559" t="s">
        <v>71</v>
      </c>
      <c r="J3559" t="s">
        <v>10782</v>
      </c>
      <c r="K3559" t="s">
        <v>24945</v>
      </c>
    </row>
    <row r="3560" spans="1:11" ht="100.8" x14ac:dyDescent="0.3">
      <c r="A3560" s="4" t="s">
        <v>6606</v>
      </c>
      <c r="B3560">
        <v>3</v>
      </c>
      <c r="C3560">
        <v>2019</v>
      </c>
      <c r="D3560" t="s">
        <v>16771</v>
      </c>
      <c r="E3560">
        <v>299</v>
      </c>
      <c r="F3560" t="s">
        <v>24946</v>
      </c>
      <c r="G3560" t="s">
        <v>24947</v>
      </c>
      <c r="H3560" s="4" t="s">
        <v>24948</v>
      </c>
      <c r="I3560" t="s">
        <v>71</v>
      </c>
      <c r="J3560" t="s">
        <v>10782</v>
      </c>
      <c r="K3560" t="s">
        <v>24949</v>
      </c>
    </row>
    <row r="3561" spans="1:11" ht="172.8" x14ac:dyDescent="0.3">
      <c r="A3561" s="4" t="s">
        <v>6607</v>
      </c>
      <c r="B3561">
        <v>3</v>
      </c>
      <c r="C3561">
        <v>2019</v>
      </c>
      <c r="D3561" t="s">
        <v>2853</v>
      </c>
      <c r="E3561">
        <v>21</v>
      </c>
      <c r="F3561" t="s">
        <v>24950</v>
      </c>
      <c r="G3561" t="s">
        <v>24951</v>
      </c>
      <c r="H3561" s="4" t="s">
        <v>24952</v>
      </c>
      <c r="I3561" t="s">
        <v>71</v>
      </c>
      <c r="J3561" t="s">
        <v>10782</v>
      </c>
      <c r="K3561" t="s">
        <v>24953</v>
      </c>
    </row>
    <row r="3562" spans="1:11" ht="115.2" x14ac:dyDescent="0.3">
      <c r="A3562" s="4" t="s">
        <v>6608</v>
      </c>
      <c r="B3562">
        <v>3</v>
      </c>
      <c r="C3562">
        <v>2019</v>
      </c>
      <c r="D3562" t="s">
        <v>1197</v>
      </c>
      <c r="E3562">
        <v>62</v>
      </c>
      <c r="F3562" t="s">
        <v>24954</v>
      </c>
      <c r="G3562" t="s">
        <v>24955</v>
      </c>
      <c r="H3562" s="4" t="s">
        <v>24956</v>
      </c>
      <c r="I3562" t="s">
        <v>10823</v>
      </c>
      <c r="J3562" t="s">
        <v>10782</v>
      </c>
      <c r="K3562" t="s">
        <v>24957</v>
      </c>
    </row>
    <row r="3563" spans="1:11" ht="158.4" x14ac:dyDescent="0.3">
      <c r="A3563" s="4" t="s">
        <v>6609</v>
      </c>
      <c r="B3563">
        <v>3</v>
      </c>
      <c r="C3563">
        <v>2019</v>
      </c>
      <c r="D3563" t="s">
        <v>12593</v>
      </c>
      <c r="E3563">
        <v>2</v>
      </c>
      <c r="F3563" t="s">
        <v>24958</v>
      </c>
      <c r="G3563" t="s">
        <v>24959</v>
      </c>
      <c r="H3563" s="4" t="s">
        <v>24960</v>
      </c>
      <c r="I3563" t="s">
        <v>71</v>
      </c>
      <c r="J3563" t="s">
        <v>10782</v>
      </c>
      <c r="K3563" t="s">
        <v>24961</v>
      </c>
    </row>
    <row r="3564" spans="1:11" ht="244.8" x14ac:dyDescent="0.3">
      <c r="A3564" s="4" t="s">
        <v>6610</v>
      </c>
      <c r="B3564">
        <v>3</v>
      </c>
      <c r="C3564">
        <v>2019</v>
      </c>
      <c r="D3564" t="s">
        <v>13394</v>
      </c>
      <c r="E3564">
        <v>26</v>
      </c>
      <c r="F3564" t="s">
        <v>24962</v>
      </c>
      <c r="G3564" t="s">
        <v>24963</v>
      </c>
      <c r="H3564" s="4" t="s">
        <v>24964</v>
      </c>
      <c r="I3564" t="s">
        <v>71</v>
      </c>
      <c r="J3564" t="s">
        <v>10782</v>
      </c>
      <c r="K3564" t="s">
        <v>24965</v>
      </c>
    </row>
    <row r="3565" spans="1:11" ht="201.6" x14ac:dyDescent="0.3">
      <c r="A3565" s="4" t="s">
        <v>6611</v>
      </c>
      <c r="B3565">
        <v>3</v>
      </c>
      <c r="C3565">
        <v>2019</v>
      </c>
      <c r="D3565" t="s">
        <v>10057</v>
      </c>
      <c r="E3565">
        <v>51</v>
      </c>
      <c r="F3565" t="s">
        <v>24966</v>
      </c>
      <c r="G3565" t="s">
        <v>24967</v>
      </c>
      <c r="H3565" s="4" t="s">
        <v>24968</v>
      </c>
    </row>
    <row r="3566" spans="1:11" ht="72" x14ac:dyDescent="0.3">
      <c r="A3566" s="4" t="s">
        <v>6612</v>
      </c>
      <c r="B3566">
        <v>3</v>
      </c>
      <c r="C3566">
        <v>2019</v>
      </c>
      <c r="D3566" t="s">
        <v>12072</v>
      </c>
      <c r="E3566">
        <v>8</v>
      </c>
      <c r="F3566" t="s">
        <v>24969</v>
      </c>
      <c r="G3566" t="s">
        <v>24970</v>
      </c>
      <c r="H3566" s="4" t="s">
        <v>24971</v>
      </c>
    </row>
    <row r="3567" spans="1:11" ht="172.8" x14ac:dyDescent="0.3">
      <c r="A3567" s="4" t="s">
        <v>6613</v>
      </c>
      <c r="B3567">
        <v>3</v>
      </c>
      <c r="C3567">
        <v>2019</v>
      </c>
      <c r="D3567" t="s">
        <v>15454</v>
      </c>
      <c r="E3567">
        <v>19</v>
      </c>
      <c r="F3567" t="s">
        <v>24972</v>
      </c>
      <c r="G3567" t="s">
        <v>24973</v>
      </c>
      <c r="H3567" s="4" t="s">
        <v>24974</v>
      </c>
    </row>
    <row r="3568" spans="1:11" ht="172.8" x14ac:dyDescent="0.3">
      <c r="A3568" s="4" t="s">
        <v>6614</v>
      </c>
      <c r="B3568">
        <v>3</v>
      </c>
      <c r="C3568">
        <v>2019</v>
      </c>
      <c r="D3568" t="s">
        <v>17454</v>
      </c>
      <c r="E3568">
        <v>4</v>
      </c>
      <c r="F3568" t="s">
        <v>24975</v>
      </c>
      <c r="G3568" t="s">
        <v>24976</v>
      </c>
      <c r="H3568" s="4" t="s">
        <v>24977</v>
      </c>
      <c r="I3568" t="s">
        <v>71</v>
      </c>
      <c r="J3568" t="s">
        <v>10782</v>
      </c>
      <c r="K3568" t="s">
        <v>24978</v>
      </c>
    </row>
    <row r="3569" spans="1:11" ht="115.2" x14ac:dyDescent="0.3">
      <c r="A3569" s="4" t="s">
        <v>6615</v>
      </c>
      <c r="B3569">
        <v>3</v>
      </c>
      <c r="C3569">
        <v>2019</v>
      </c>
      <c r="D3569" t="s">
        <v>19885</v>
      </c>
      <c r="E3569">
        <v>10</v>
      </c>
      <c r="F3569" t="s">
        <v>24979</v>
      </c>
      <c r="G3569" t="s">
        <v>24980</v>
      </c>
      <c r="H3569" s="4" t="s">
        <v>24981</v>
      </c>
      <c r="I3569" t="s">
        <v>71</v>
      </c>
      <c r="J3569" t="s">
        <v>10782</v>
      </c>
      <c r="K3569" t="s">
        <v>24982</v>
      </c>
    </row>
    <row r="3570" spans="1:11" ht="216" x14ac:dyDescent="0.3">
      <c r="A3570" s="4" t="s">
        <v>6616</v>
      </c>
      <c r="B3570">
        <v>3</v>
      </c>
      <c r="C3570">
        <v>2019</v>
      </c>
      <c r="D3570" t="s">
        <v>318</v>
      </c>
      <c r="E3570">
        <v>24</v>
      </c>
      <c r="F3570" t="s">
        <v>24983</v>
      </c>
      <c r="G3570" t="s">
        <v>24984</v>
      </c>
      <c r="H3570" s="4" t="s">
        <v>24985</v>
      </c>
      <c r="I3570" t="s">
        <v>71</v>
      </c>
      <c r="J3570" t="s">
        <v>10782</v>
      </c>
      <c r="K3570" t="s">
        <v>24986</v>
      </c>
    </row>
    <row r="3571" spans="1:11" ht="172.8" x14ac:dyDescent="0.3">
      <c r="A3571" s="4" t="s">
        <v>6617</v>
      </c>
      <c r="B3571">
        <v>3</v>
      </c>
      <c r="C3571">
        <v>2019</v>
      </c>
      <c r="D3571" t="s">
        <v>1197</v>
      </c>
      <c r="E3571">
        <v>82</v>
      </c>
      <c r="F3571" t="s">
        <v>24987</v>
      </c>
      <c r="G3571" t="s">
        <v>24988</v>
      </c>
      <c r="H3571" s="4" t="s">
        <v>24989</v>
      </c>
      <c r="I3571" t="s">
        <v>10823</v>
      </c>
      <c r="J3571" t="s">
        <v>10782</v>
      </c>
      <c r="K3571" t="s">
        <v>24990</v>
      </c>
    </row>
    <row r="3572" spans="1:11" ht="172.8" x14ac:dyDescent="0.3">
      <c r="A3572" s="4" t="s">
        <v>6618</v>
      </c>
      <c r="B3572">
        <v>3</v>
      </c>
      <c r="C3572">
        <v>2019</v>
      </c>
      <c r="D3572" t="s">
        <v>2763</v>
      </c>
      <c r="E3572">
        <v>17</v>
      </c>
      <c r="F3572" t="s">
        <v>24991</v>
      </c>
      <c r="G3572" t="s">
        <v>24992</v>
      </c>
      <c r="H3572" s="4" t="s">
        <v>24993</v>
      </c>
      <c r="I3572" t="s">
        <v>71</v>
      </c>
      <c r="J3572" t="s">
        <v>10782</v>
      </c>
      <c r="K3572" t="s">
        <v>24994</v>
      </c>
    </row>
    <row r="3573" spans="1:11" ht="115.2" x14ac:dyDescent="0.3">
      <c r="A3573" s="4" t="s">
        <v>6619</v>
      </c>
      <c r="B3573">
        <v>3</v>
      </c>
      <c r="C3573">
        <v>2019</v>
      </c>
      <c r="D3573" t="s">
        <v>528</v>
      </c>
      <c r="E3573">
        <v>14</v>
      </c>
      <c r="F3573" t="s">
        <v>24995</v>
      </c>
      <c r="G3573" t="s">
        <v>24996</v>
      </c>
      <c r="H3573" s="4" t="s">
        <v>24997</v>
      </c>
      <c r="I3573" t="s">
        <v>71</v>
      </c>
      <c r="J3573" t="s">
        <v>10782</v>
      </c>
      <c r="K3573" t="s">
        <v>24998</v>
      </c>
    </row>
    <row r="3574" spans="1:11" ht="259.2" x14ac:dyDescent="0.3">
      <c r="A3574" s="4" t="s">
        <v>6620</v>
      </c>
      <c r="B3574">
        <v>3</v>
      </c>
      <c r="C3574">
        <v>2019</v>
      </c>
      <c r="D3574" t="s">
        <v>892</v>
      </c>
      <c r="E3574">
        <v>11</v>
      </c>
      <c r="F3574" t="s">
        <v>24999</v>
      </c>
      <c r="G3574" t="s">
        <v>25000</v>
      </c>
      <c r="H3574" s="4" t="s">
        <v>25001</v>
      </c>
      <c r="I3574" t="s">
        <v>71</v>
      </c>
      <c r="J3574" t="s">
        <v>10782</v>
      </c>
      <c r="K3574" t="s">
        <v>25002</v>
      </c>
    </row>
    <row r="3575" spans="1:11" ht="187.2" x14ac:dyDescent="0.3">
      <c r="A3575" s="4" t="s">
        <v>6621</v>
      </c>
      <c r="B3575">
        <v>3</v>
      </c>
      <c r="C3575">
        <v>2019</v>
      </c>
      <c r="D3575" t="s">
        <v>550</v>
      </c>
      <c r="E3575">
        <v>12</v>
      </c>
      <c r="F3575" t="s">
        <v>25003</v>
      </c>
      <c r="G3575" t="s">
        <v>25004</v>
      </c>
      <c r="H3575" s="4" t="s">
        <v>25005</v>
      </c>
      <c r="I3575" t="s">
        <v>71</v>
      </c>
      <c r="J3575" t="s">
        <v>10782</v>
      </c>
      <c r="K3575" t="s">
        <v>25006</v>
      </c>
    </row>
    <row r="3576" spans="1:11" ht="158.4" x14ac:dyDescent="0.3">
      <c r="A3576" s="4" t="s">
        <v>6622</v>
      </c>
      <c r="B3576">
        <v>3</v>
      </c>
      <c r="C3576">
        <v>2019</v>
      </c>
      <c r="D3576" t="s">
        <v>25007</v>
      </c>
      <c r="E3576">
        <v>17</v>
      </c>
      <c r="F3576" t="s">
        <v>25008</v>
      </c>
      <c r="G3576" t="s">
        <v>25009</v>
      </c>
      <c r="H3576" s="4" t="s">
        <v>25010</v>
      </c>
      <c r="I3576" t="s">
        <v>71</v>
      </c>
      <c r="J3576" t="s">
        <v>10782</v>
      </c>
      <c r="K3576" t="s">
        <v>25011</v>
      </c>
    </row>
    <row r="3577" spans="1:11" ht="86.4" x14ac:dyDescent="0.3">
      <c r="A3577" s="4" t="s">
        <v>6623</v>
      </c>
      <c r="B3577">
        <v>3</v>
      </c>
      <c r="C3577">
        <v>2019</v>
      </c>
      <c r="D3577" t="s">
        <v>318</v>
      </c>
      <c r="E3577">
        <v>23</v>
      </c>
      <c r="F3577" t="s">
        <v>25012</v>
      </c>
      <c r="G3577" t="s">
        <v>25013</v>
      </c>
      <c r="H3577" s="4" t="s">
        <v>25014</v>
      </c>
    </row>
    <row r="3578" spans="1:11" ht="144" x14ac:dyDescent="0.3">
      <c r="A3578" s="4" t="s">
        <v>6624</v>
      </c>
      <c r="B3578">
        <v>3</v>
      </c>
      <c r="C3578">
        <v>2019</v>
      </c>
      <c r="D3578" t="s">
        <v>1794</v>
      </c>
      <c r="E3578">
        <v>4</v>
      </c>
      <c r="F3578" t="s">
        <v>25015</v>
      </c>
      <c r="G3578" t="s">
        <v>25016</v>
      </c>
      <c r="H3578" s="4" t="s">
        <v>25017</v>
      </c>
      <c r="I3578" t="s">
        <v>71</v>
      </c>
      <c r="J3578" t="s">
        <v>10782</v>
      </c>
      <c r="K3578" t="s">
        <v>25018</v>
      </c>
    </row>
    <row r="3579" spans="1:11" ht="115.2" x14ac:dyDescent="0.3">
      <c r="A3579" s="4" t="s">
        <v>6625</v>
      </c>
      <c r="B3579">
        <v>3</v>
      </c>
      <c r="C3579">
        <v>2019</v>
      </c>
      <c r="D3579" t="s">
        <v>11649</v>
      </c>
      <c r="E3579">
        <v>116</v>
      </c>
      <c r="F3579" t="s">
        <v>25019</v>
      </c>
      <c r="G3579" t="s">
        <v>25020</v>
      </c>
      <c r="H3579" s="4" t="s">
        <v>25021</v>
      </c>
      <c r="I3579" t="s">
        <v>71</v>
      </c>
      <c r="J3579" t="s">
        <v>10782</v>
      </c>
      <c r="K3579" t="s">
        <v>25022</v>
      </c>
    </row>
    <row r="3580" spans="1:11" ht="172.8" x14ac:dyDescent="0.3">
      <c r="A3580" s="4" t="s">
        <v>6626</v>
      </c>
      <c r="B3580">
        <v>3</v>
      </c>
      <c r="C3580">
        <v>2019</v>
      </c>
      <c r="D3580" t="s">
        <v>277</v>
      </c>
      <c r="E3580">
        <v>31</v>
      </c>
      <c r="F3580" t="s">
        <v>25023</v>
      </c>
      <c r="G3580" t="s">
        <v>25024</v>
      </c>
      <c r="H3580" s="4" t="s">
        <v>25025</v>
      </c>
      <c r="I3580" t="s">
        <v>71</v>
      </c>
      <c r="J3580" t="s">
        <v>10782</v>
      </c>
      <c r="K3580" t="s">
        <v>25026</v>
      </c>
    </row>
    <row r="3581" spans="1:11" ht="172.8" x14ac:dyDescent="0.3">
      <c r="A3581" s="4" t="s">
        <v>6627</v>
      </c>
      <c r="B3581">
        <v>3</v>
      </c>
      <c r="C3581">
        <v>2019</v>
      </c>
      <c r="D3581" t="s">
        <v>2384</v>
      </c>
      <c r="E3581">
        <v>233</v>
      </c>
      <c r="F3581" t="s">
        <v>25027</v>
      </c>
      <c r="G3581" t="s">
        <v>25028</v>
      </c>
      <c r="H3581" s="4" t="s">
        <v>25029</v>
      </c>
      <c r="I3581" t="s">
        <v>71</v>
      </c>
      <c r="J3581" t="s">
        <v>10782</v>
      </c>
      <c r="K3581" t="s">
        <v>25030</v>
      </c>
    </row>
    <row r="3582" spans="1:11" ht="201.6" x14ac:dyDescent="0.3">
      <c r="A3582" s="4" t="s">
        <v>6628</v>
      </c>
      <c r="B3582">
        <v>3</v>
      </c>
      <c r="C3582">
        <v>2019</v>
      </c>
      <c r="D3582" t="s">
        <v>80</v>
      </c>
      <c r="E3582">
        <v>21</v>
      </c>
      <c r="F3582" t="s">
        <v>25031</v>
      </c>
      <c r="G3582" t="s">
        <v>25032</v>
      </c>
      <c r="H3582" s="4" t="s">
        <v>25033</v>
      </c>
      <c r="I3582" t="s">
        <v>71</v>
      </c>
      <c r="J3582" t="s">
        <v>10782</v>
      </c>
      <c r="K3582" t="s">
        <v>25034</v>
      </c>
    </row>
    <row r="3583" spans="1:11" ht="244.8" x14ac:dyDescent="0.3">
      <c r="A3583" s="4" t="s">
        <v>6629</v>
      </c>
      <c r="B3583">
        <v>3</v>
      </c>
      <c r="C3583">
        <v>2019</v>
      </c>
      <c r="D3583" t="s">
        <v>21542</v>
      </c>
      <c r="E3583">
        <v>23</v>
      </c>
      <c r="F3583" t="s">
        <v>25035</v>
      </c>
      <c r="G3583" t="s">
        <v>25036</v>
      </c>
      <c r="H3583" s="4" t="s">
        <v>25037</v>
      </c>
      <c r="I3583" t="s">
        <v>71</v>
      </c>
      <c r="J3583" t="s">
        <v>10782</v>
      </c>
      <c r="K3583" t="s">
        <v>25038</v>
      </c>
    </row>
    <row r="3584" spans="1:11" ht="201.6" x14ac:dyDescent="0.3">
      <c r="A3584" s="4" t="s">
        <v>6630</v>
      </c>
      <c r="B3584">
        <v>3</v>
      </c>
      <c r="C3584">
        <v>2019</v>
      </c>
      <c r="D3584" t="s">
        <v>25039</v>
      </c>
      <c r="E3584">
        <v>10</v>
      </c>
      <c r="G3584" t="s">
        <v>25040</v>
      </c>
      <c r="H3584" s="4" t="s">
        <v>25041</v>
      </c>
      <c r="I3584" s="4" t="s">
        <v>71</v>
      </c>
      <c r="J3584" t="s">
        <v>10782</v>
      </c>
      <c r="K3584" t="s">
        <v>25042</v>
      </c>
    </row>
    <row r="3585" spans="1:11" ht="144" x14ac:dyDescent="0.3">
      <c r="A3585" s="4" t="s">
        <v>6631</v>
      </c>
      <c r="B3585">
        <v>3</v>
      </c>
      <c r="C3585">
        <v>2019</v>
      </c>
      <c r="D3585" t="s">
        <v>528</v>
      </c>
      <c r="E3585">
        <v>9</v>
      </c>
      <c r="F3585" t="s">
        <v>25043</v>
      </c>
      <c r="G3585" t="s">
        <v>25044</v>
      </c>
      <c r="H3585" s="4" t="s">
        <v>25045</v>
      </c>
      <c r="I3585" t="s">
        <v>71</v>
      </c>
      <c r="J3585" t="s">
        <v>10782</v>
      </c>
      <c r="K3585" t="s">
        <v>25046</v>
      </c>
    </row>
    <row r="3586" spans="1:11" ht="259.2" x14ac:dyDescent="0.3">
      <c r="A3586" s="4" t="s">
        <v>6632</v>
      </c>
      <c r="B3586">
        <v>3</v>
      </c>
      <c r="C3586">
        <v>2019</v>
      </c>
      <c r="D3586" t="s">
        <v>11041</v>
      </c>
      <c r="E3586">
        <v>23</v>
      </c>
      <c r="F3586" t="s">
        <v>25047</v>
      </c>
      <c r="G3586" t="s">
        <v>25048</v>
      </c>
      <c r="H3586" s="4" t="s">
        <v>25049</v>
      </c>
      <c r="I3586" t="s">
        <v>71</v>
      </c>
      <c r="J3586" t="s">
        <v>10782</v>
      </c>
      <c r="K3586" t="s">
        <v>25050</v>
      </c>
    </row>
    <row r="3587" spans="1:11" ht="158.4" x14ac:dyDescent="0.3">
      <c r="A3587" s="4" t="s">
        <v>6633</v>
      </c>
      <c r="B3587">
        <v>3</v>
      </c>
      <c r="C3587">
        <v>2019</v>
      </c>
      <c r="D3587" t="s">
        <v>10456</v>
      </c>
      <c r="E3587">
        <v>3</v>
      </c>
      <c r="F3587" t="s">
        <v>25051</v>
      </c>
      <c r="G3587" t="s">
        <v>25052</v>
      </c>
      <c r="H3587" s="4" t="s">
        <v>25053</v>
      </c>
      <c r="I3587" t="s">
        <v>71</v>
      </c>
      <c r="J3587" t="s">
        <v>10782</v>
      </c>
      <c r="K3587" t="s">
        <v>25054</v>
      </c>
    </row>
    <row r="3588" spans="1:11" ht="172.8" x14ac:dyDescent="0.3">
      <c r="A3588" s="4" t="s">
        <v>6634</v>
      </c>
      <c r="B3588">
        <v>3</v>
      </c>
      <c r="C3588">
        <v>2019</v>
      </c>
      <c r="D3588" t="s">
        <v>329</v>
      </c>
      <c r="E3588">
        <v>30</v>
      </c>
      <c r="F3588" t="s">
        <v>25055</v>
      </c>
      <c r="G3588" t="s">
        <v>25056</v>
      </c>
      <c r="H3588" s="4" t="s">
        <v>25057</v>
      </c>
      <c r="I3588" t="s">
        <v>71</v>
      </c>
      <c r="J3588" t="s">
        <v>10782</v>
      </c>
      <c r="K3588" t="s">
        <v>25058</v>
      </c>
    </row>
    <row r="3589" spans="1:11" ht="187.2" x14ac:dyDescent="0.3">
      <c r="A3589" s="4" t="s">
        <v>6635</v>
      </c>
      <c r="B3589">
        <v>3</v>
      </c>
      <c r="C3589">
        <v>2019</v>
      </c>
      <c r="D3589" t="s">
        <v>318</v>
      </c>
      <c r="E3589">
        <v>120</v>
      </c>
      <c r="F3589" t="s">
        <v>25059</v>
      </c>
      <c r="G3589" t="s">
        <v>25060</v>
      </c>
      <c r="H3589" s="4" t="s">
        <v>25061</v>
      </c>
      <c r="I3589" t="s">
        <v>71</v>
      </c>
      <c r="J3589" t="s">
        <v>10782</v>
      </c>
      <c r="K3589" t="s">
        <v>25062</v>
      </c>
    </row>
    <row r="3590" spans="1:11" ht="172.8" x14ac:dyDescent="0.3">
      <c r="A3590" s="4" t="s">
        <v>6636</v>
      </c>
      <c r="B3590">
        <v>3</v>
      </c>
      <c r="C3590">
        <v>2019</v>
      </c>
      <c r="D3590" t="s">
        <v>11556</v>
      </c>
      <c r="E3590">
        <v>22</v>
      </c>
      <c r="F3590" t="s">
        <v>25063</v>
      </c>
      <c r="G3590" t="s">
        <v>25064</v>
      </c>
      <c r="H3590" s="4" t="s">
        <v>25065</v>
      </c>
      <c r="I3590" t="s">
        <v>71</v>
      </c>
      <c r="J3590" t="s">
        <v>10782</v>
      </c>
      <c r="K3590" t="s">
        <v>25066</v>
      </c>
    </row>
    <row r="3591" spans="1:11" ht="158.4" x14ac:dyDescent="0.3">
      <c r="A3591" s="4" t="s">
        <v>6637</v>
      </c>
      <c r="B3591">
        <v>3</v>
      </c>
      <c r="C3591">
        <v>2019</v>
      </c>
      <c r="D3591" t="s">
        <v>12677</v>
      </c>
      <c r="E3591">
        <v>13</v>
      </c>
      <c r="F3591" t="s">
        <v>25067</v>
      </c>
      <c r="G3591" t="s">
        <v>25068</v>
      </c>
      <c r="H3591" s="4" t="s">
        <v>25069</v>
      </c>
      <c r="I3591" t="s">
        <v>71</v>
      </c>
      <c r="J3591" t="s">
        <v>10782</v>
      </c>
      <c r="K3591" t="s">
        <v>25070</v>
      </c>
    </row>
    <row r="3592" spans="1:11" ht="172.8" x14ac:dyDescent="0.3">
      <c r="A3592" s="4" t="s">
        <v>6638</v>
      </c>
      <c r="B3592">
        <v>3</v>
      </c>
      <c r="C3592">
        <v>2019</v>
      </c>
      <c r="D3592" t="s">
        <v>1936</v>
      </c>
      <c r="E3592">
        <v>30</v>
      </c>
      <c r="F3592" t="s">
        <v>25071</v>
      </c>
      <c r="G3592" t="s">
        <v>25072</v>
      </c>
      <c r="H3592" s="4" t="s">
        <v>25073</v>
      </c>
      <c r="I3592" t="s">
        <v>71</v>
      </c>
      <c r="J3592" t="s">
        <v>10782</v>
      </c>
      <c r="K3592" t="s">
        <v>25074</v>
      </c>
    </row>
    <row r="3593" spans="1:11" ht="216" x14ac:dyDescent="0.3">
      <c r="A3593" s="4" t="s">
        <v>6639</v>
      </c>
      <c r="B3593">
        <v>3</v>
      </c>
      <c r="C3593">
        <v>2019</v>
      </c>
      <c r="D3593" t="s">
        <v>329</v>
      </c>
      <c r="E3593">
        <v>61</v>
      </c>
      <c r="F3593" t="s">
        <v>25075</v>
      </c>
      <c r="G3593" t="s">
        <v>25076</v>
      </c>
      <c r="H3593" s="4" t="s">
        <v>25077</v>
      </c>
      <c r="I3593" t="s">
        <v>71</v>
      </c>
      <c r="J3593" t="s">
        <v>10782</v>
      </c>
      <c r="K3593" t="s">
        <v>25078</v>
      </c>
    </row>
    <row r="3594" spans="1:11" ht="144" x14ac:dyDescent="0.3">
      <c r="A3594" s="4" t="s">
        <v>6640</v>
      </c>
      <c r="B3594">
        <v>3</v>
      </c>
      <c r="C3594">
        <v>2019</v>
      </c>
      <c r="D3594" t="s">
        <v>637</v>
      </c>
      <c r="E3594">
        <v>118</v>
      </c>
      <c r="F3594" t="s">
        <v>25079</v>
      </c>
      <c r="G3594" t="s">
        <v>25080</v>
      </c>
      <c r="H3594" s="4" t="s">
        <v>25081</v>
      </c>
      <c r="I3594" t="s">
        <v>71</v>
      </c>
      <c r="J3594" t="s">
        <v>10782</v>
      </c>
      <c r="K3594" t="s">
        <v>25082</v>
      </c>
    </row>
    <row r="3595" spans="1:11" ht="172.8" x14ac:dyDescent="0.3">
      <c r="A3595" s="4" t="s">
        <v>6641</v>
      </c>
      <c r="B3595">
        <v>3</v>
      </c>
      <c r="C3595">
        <v>2019</v>
      </c>
      <c r="D3595" t="s">
        <v>2416</v>
      </c>
      <c r="E3595">
        <v>9</v>
      </c>
      <c r="F3595" t="s">
        <v>25083</v>
      </c>
      <c r="G3595" t="s">
        <v>25084</v>
      </c>
      <c r="H3595" s="4" t="s">
        <v>25085</v>
      </c>
      <c r="I3595" t="s">
        <v>71</v>
      </c>
      <c r="J3595" t="s">
        <v>10782</v>
      </c>
      <c r="K3595" t="s">
        <v>25086</v>
      </c>
    </row>
    <row r="3596" spans="1:11" ht="158.4" x14ac:dyDescent="0.3">
      <c r="A3596" s="4" t="s">
        <v>6642</v>
      </c>
      <c r="B3596">
        <v>3</v>
      </c>
      <c r="C3596">
        <v>2019</v>
      </c>
      <c r="D3596" t="s">
        <v>277</v>
      </c>
      <c r="E3596">
        <v>6</v>
      </c>
      <c r="F3596" t="s">
        <v>25087</v>
      </c>
      <c r="G3596" t="s">
        <v>25088</v>
      </c>
      <c r="H3596" s="4" t="s">
        <v>25089</v>
      </c>
      <c r="I3596" t="s">
        <v>71</v>
      </c>
      <c r="J3596" t="s">
        <v>10782</v>
      </c>
      <c r="K3596" t="s">
        <v>25090</v>
      </c>
    </row>
    <row r="3597" spans="1:11" ht="201.6" x14ac:dyDescent="0.3">
      <c r="A3597" s="4" t="s">
        <v>6643</v>
      </c>
      <c r="B3597">
        <v>3</v>
      </c>
      <c r="C3597">
        <v>2019</v>
      </c>
      <c r="D3597" t="s">
        <v>528</v>
      </c>
      <c r="E3597">
        <v>9</v>
      </c>
      <c r="F3597" t="s">
        <v>25091</v>
      </c>
      <c r="G3597" t="s">
        <v>25092</v>
      </c>
      <c r="H3597" s="4" t="s">
        <v>25093</v>
      </c>
      <c r="I3597" t="s">
        <v>71</v>
      </c>
      <c r="J3597" t="s">
        <v>10782</v>
      </c>
      <c r="K3597" t="s">
        <v>25094</v>
      </c>
    </row>
    <row r="3598" spans="1:11" ht="115.2" x14ac:dyDescent="0.3">
      <c r="A3598" s="4" t="s">
        <v>6644</v>
      </c>
      <c r="B3598">
        <v>3</v>
      </c>
      <c r="C3598">
        <v>2019</v>
      </c>
      <c r="D3598" t="s">
        <v>1865</v>
      </c>
      <c r="E3598">
        <v>13</v>
      </c>
      <c r="F3598" t="s">
        <v>25095</v>
      </c>
      <c r="G3598" t="s">
        <v>25096</v>
      </c>
      <c r="H3598" s="4" t="s">
        <v>25097</v>
      </c>
      <c r="I3598" t="s">
        <v>71</v>
      </c>
      <c r="J3598" t="s">
        <v>10782</v>
      </c>
      <c r="K3598" t="s">
        <v>25098</v>
      </c>
    </row>
    <row r="3599" spans="1:11" ht="158.4" x14ac:dyDescent="0.3">
      <c r="A3599" s="4" t="s">
        <v>6645</v>
      </c>
      <c r="B3599">
        <v>3</v>
      </c>
      <c r="C3599">
        <v>2019</v>
      </c>
      <c r="D3599" t="s">
        <v>23605</v>
      </c>
      <c r="E3599">
        <v>18</v>
      </c>
      <c r="F3599" t="s">
        <v>25099</v>
      </c>
      <c r="G3599" t="s">
        <v>25100</v>
      </c>
      <c r="H3599" s="4" t="s">
        <v>25101</v>
      </c>
      <c r="I3599" t="s">
        <v>71</v>
      </c>
      <c r="J3599" t="s">
        <v>10782</v>
      </c>
      <c r="K3599" t="s">
        <v>25102</v>
      </c>
    </row>
    <row r="3600" spans="1:11" ht="187.2" x14ac:dyDescent="0.3">
      <c r="A3600" s="4" t="s">
        <v>6646</v>
      </c>
      <c r="B3600">
        <v>3</v>
      </c>
      <c r="C3600">
        <v>2019</v>
      </c>
      <c r="D3600" t="s">
        <v>637</v>
      </c>
      <c r="E3600">
        <v>110</v>
      </c>
      <c r="F3600" t="s">
        <v>25103</v>
      </c>
      <c r="G3600" t="s">
        <v>25104</v>
      </c>
      <c r="H3600" s="4" t="s">
        <v>25105</v>
      </c>
      <c r="I3600" t="s">
        <v>71</v>
      </c>
      <c r="J3600" t="s">
        <v>10782</v>
      </c>
      <c r="K3600" t="s">
        <v>25106</v>
      </c>
    </row>
    <row r="3601" spans="1:11" ht="216" x14ac:dyDescent="0.3">
      <c r="A3601" s="4" t="s">
        <v>6647</v>
      </c>
      <c r="B3601">
        <v>3</v>
      </c>
      <c r="C3601">
        <v>2019</v>
      </c>
      <c r="D3601" t="s">
        <v>11728</v>
      </c>
      <c r="E3601">
        <v>8</v>
      </c>
      <c r="F3601" t="s">
        <v>25107</v>
      </c>
      <c r="G3601" t="s">
        <v>25108</v>
      </c>
      <c r="H3601" s="4" t="s">
        <v>25109</v>
      </c>
      <c r="I3601" t="s">
        <v>71</v>
      </c>
      <c r="J3601" t="s">
        <v>10782</v>
      </c>
      <c r="K3601" t="s">
        <v>25110</v>
      </c>
    </row>
    <row r="3602" spans="1:11" ht="144" x14ac:dyDescent="0.3">
      <c r="A3602" s="4" t="s">
        <v>6648</v>
      </c>
      <c r="B3602">
        <v>3</v>
      </c>
      <c r="C3602">
        <v>2019</v>
      </c>
      <c r="D3602" t="s">
        <v>1570</v>
      </c>
      <c r="E3602">
        <v>2</v>
      </c>
      <c r="F3602" t="s">
        <v>25111</v>
      </c>
      <c r="G3602" t="s">
        <v>25112</v>
      </c>
      <c r="H3602" s="4" t="s">
        <v>25113</v>
      </c>
    </row>
    <row r="3603" spans="1:11" ht="100.8" x14ac:dyDescent="0.3">
      <c r="A3603" s="4" t="s">
        <v>6649</v>
      </c>
      <c r="B3603">
        <v>3</v>
      </c>
      <c r="C3603">
        <v>2019</v>
      </c>
      <c r="D3603" t="s">
        <v>1570</v>
      </c>
      <c r="E3603">
        <v>1</v>
      </c>
      <c r="F3603" t="s">
        <v>25114</v>
      </c>
      <c r="G3603" t="s">
        <v>25115</v>
      </c>
      <c r="H3603" s="4" t="s">
        <v>25116</v>
      </c>
      <c r="I3603" t="s">
        <v>71</v>
      </c>
      <c r="J3603" t="s">
        <v>10782</v>
      </c>
      <c r="K3603" t="s">
        <v>25117</v>
      </c>
    </row>
    <row r="3604" spans="1:11" ht="230.4" x14ac:dyDescent="0.3">
      <c r="A3604" s="4" t="s">
        <v>6650</v>
      </c>
      <c r="B3604">
        <v>3</v>
      </c>
      <c r="C3604">
        <v>2019</v>
      </c>
      <c r="D3604" t="s">
        <v>2893</v>
      </c>
      <c r="E3604">
        <v>3</v>
      </c>
      <c r="F3604" t="s">
        <v>25118</v>
      </c>
      <c r="G3604" t="s">
        <v>25119</v>
      </c>
      <c r="H3604" s="4" t="s">
        <v>25120</v>
      </c>
      <c r="I3604" t="s">
        <v>71</v>
      </c>
      <c r="J3604" t="s">
        <v>10782</v>
      </c>
      <c r="K3604" t="s">
        <v>25121</v>
      </c>
    </row>
    <row r="3605" spans="1:11" ht="115.2" x14ac:dyDescent="0.3">
      <c r="A3605" s="4" t="s">
        <v>6651</v>
      </c>
      <c r="B3605">
        <v>3</v>
      </c>
      <c r="C3605">
        <v>2019</v>
      </c>
      <c r="D3605" t="s">
        <v>550</v>
      </c>
      <c r="E3605">
        <v>3</v>
      </c>
      <c r="F3605" t="s">
        <v>25122</v>
      </c>
      <c r="G3605" t="s">
        <v>25123</v>
      </c>
      <c r="H3605" s="4" t="s">
        <v>25124</v>
      </c>
    </row>
    <row r="3606" spans="1:11" ht="86.4" x14ac:dyDescent="0.3">
      <c r="A3606" s="4" t="s">
        <v>6652</v>
      </c>
      <c r="B3606">
        <v>3</v>
      </c>
      <c r="C3606">
        <v>2019</v>
      </c>
      <c r="D3606" t="s">
        <v>830</v>
      </c>
      <c r="E3606">
        <v>2</v>
      </c>
      <c r="F3606" t="s">
        <v>25125</v>
      </c>
      <c r="G3606" t="s">
        <v>25126</v>
      </c>
      <c r="H3606" s="4" t="s">
        <v>25127</v>
      </c>
    </row>
    <row r="3607" spans="1:11" ht="187.2" x14ac:dyDescent="0.3">
      <c r="A3607" s="4" t="s">
        <v>6653</v>
      </c>
      <c r="B3607">
        <v>3</v>
      </c>
      <c r="C3607">
        <v>2019</v>
      </c>
      <c r="D3607" t="s">
        <v>1570</v>
      </c>
      <c r="E3607">
        <v>4</v>
      </c>
      <c r="F3607" t="s">
        <v>25128</v>
      </c>
      <c r="G3607" t="s">
        <v>25129</v>
      </c>
      <c r="H3607" s="4" t="s">
        <v>25130</v>
      </c>
      <c r="I3607" t="s">
        <v>71</v>
      </c>
      <c r="J3607" t="s">
        <v>10782</v>
      </c>
      <c r="K3607" t="s">
        <v>25131</v>
      </c>
    </row>
    <row r="3608" spans="1:11" ht="115.2" x14ac:dyDescent="0.3">
      <c r="A3608" s="4" t="s">
        <v>6654</v>
      </c>
      <c r="B3608">
        <v>3</v>
      </c>
      <c r="C3608">
        <v>2019</v>
      </c>
      <c r="D3608" t="s">
        <v>12318</v>
      </c>
      <c r="E3608">
        <v>16</v>
      </c>
      <c r="F3608" t="s">
        <v>25132</v>
      </c>
      <c r="G3608" t="s">
        <v>25133</v>
      </c>
      <c r="H3608" s="4" t="s">
        <v>25134</v>
      </c>
      <c r="I3608" t="s">
        <v>71</v>
      </c>
      <c r="J3608" t="s">
        <v>10782</v>
      </c>
      <c r="K3608" t="s">
        <v>25135</v>
      </c>
    </row>
    <row r="3609" spans="1:11" ht="172.8" x14ac:dyDescent="0.3">
      <c r="A3609" s="4" t="s">
        <v>6655</v>
      </c>
      <c r="B3609">
        <v>3</v>
      </c>
      <c r="C3609">
        <v>2019</v>
      </c>
      <c r="D3609" t="s">
        <v>217</v>
      </c>
      <c r="E3609">
        <v>18</v>
      </c>
      <c r="F3609" t="s">
        <v>25136</v>
      </c>
      <c r="G3609" t="s">
        <v>25137</v>
      </c>
      <c r="H3609" s="4" t="s">
        <v>25138</v>
      </c>
      <c r="I3609" t="s">
        <v>71</v>
      </c>
      <c r="J3609" t="s">
        <v>10782</v>
      </c>
      <c r="K3609" t="s">
        <v>25139</v>
      </c>
    </row>
    <row r="3610" spans="1:11" ht="129.6" x14ac:dyDescent="0.3">
      <c r="A3610" s="4" t="s">
        <v>6656</v>
      </c>
      <c r="B3610">
        <v>3</v>
      </c>
      <c r="C3610">
        <v>2019</v>
      </c>
      <c r="D3610" t="s">
        <v>177</v>
      </c>
      <c r="E3610">
        <v>62</v>
      </c>
      <c r="F3610" t="s">
        <v>25140</v>
      </c>
      <c r="G3610" t="s">
        <v>25141</v>
      </c>
      <c r="H3610" s="4" t="s">
        <v>25142</v>
      </c>
      <c r="I3610" t="s">
        <v>71</v>
      </c>
      <c r="J3610" t="s">
        <v>10782</v>
      </c>
      <c r="K3610" t="s">
        <v>25143</v>
      </c>
    </row>
    <row r="3611" spans="1:11" ht="201.6" x14ac:dyDescent="0.3">
      <c r="A3611" s="4" t="s">
        <v>2781</v>
      </c>
      <c r="B3611">
        <v>2</v>
      </c>
      <c r="C3611">
        <v>2019</v>
      </c>
      <c r="D3611" t="s">
        <v>2819</v>
      </c>
      <c r="E3611">
        <v>10</v>
      </c>
      <c r="F3611" t="s">
        <v>25144</v>
      </c>
      <c r="G3611" t="s">
        <v>25145</v>
      </c>
      <c r="H3611" s="4" t="s">
        <v>25146</v>
      </c>
      <c r="I3611" t="s">
        <v>71</v>
      </c>
      <c r="J3611" t="s">
        <v>10782</v>
      </c>
      <c r="K3611" t="s">
        <v>25147</v>
      </c>
    </row>
    <row r="3612" spans="1:11" ht="172.8" x14ac:dyDescent="0.3">
      <c r="A3612" s="4" t="s">
        <v>6657</v>
      </c>
      <c r="B3612">
        <v>3</v>
      </c>
      <c r="C3612">
        <v>2019</v>
      </c>
      <c r="D3612" t="s">
        <v>14116</v>
      </c>
      <c r="E3612">
        <v>16</v>
      </c>
      <c r="F3612" t="s">
        <v>25148</v>
      </c>
      <c r="G3612" t="s">
        <v>25149</v>
      </c>
      <c r="H3612" s="4" t="s">
        <v>25150</v>
      </c>
      <c r="I3612" t="s">
        <v>71</v>
      </c>
      <c r="J3612" t="s">
        <v>10782</v>
      </c>
      <c r="K3612" t="s">
        <v>25151</v>
      </c>
    </row>
    <row r="3613" spans="1:11" ht="158.4" x14ac:dyDescent="0.3">
      <c r="A3613" s="4" t="s">
        <v>6658</v>
      </c>
      <c r="B3613">
        <v>3</v>
      </c>
      <c r="C3613">
        <v>2019</v>
      </c>
      <c r="D3613" t="s">
        <v>1877</v>
      </c>
      <c r="E3613">
        <v>23</v>
      </c>
      <c r="F3613" t="s">
        <v>25152</v>
      </c>
      <c r="G3613" t="s">
        <v>25153</v>
      </c>
      <c r="H3613" s="4" t="s">
        <v>25154</v>
      </c>
      <c r="I3613" t="s">
        <v>71</v>
      </c>
      <c r="J3613" t="s">
        <v>10782</v>
      </c>
      <c r="K3613" t="s">
        <v>25155</v>
      </c>
    </row>
    <row r="3614" spans="1:11" ht="187.2" x14ac:dyDescent="0.3">
      <c r="A3614" s="4" t="s">
        <v>6659</v>
      </c>
      <c r="B3614">
        <v>3</v>
      </c>
      <c r="C3614">
        <v>2019</v>
      </c>
      <c r="D3614" t="s">
        <v>2859</v>
      </c>
      <c r="E3614">
        <v>20</v>
      </c>
      <c r="F3614" t="s">
        <v>25156</v>
      </c>
      <c r="G3614" t="s">
        <v>25157</v>
      </c>
      <c r="H3614" s="4" t="s">
        <v>25158</v>
      </c>
      <c r="I3614" t="s">
        <v>71</v>
      </c>
      <c r="J3614" t="s">
        <v>10782</v>
      </c>
      <c r="K3614" t="s">
        <v>25159</v>
      </c>
    </row>
    <row r="3615" spans="1:11" ht="187.2" x14ac:dyDescent="0.3">
      <c r="A3615" s="4" t="s">
        <v>6660</v>
      </c>
      <c r="B3615">
        <v>3</v>
      </c>
      <c r="C3615">
        <v>2019</v>
      </c>
      <c r="D3615" t="s">
        <v>19186</v>
      </c>
      <c r="E3615">
        <v>9</v>
      </c>
      <c r="F3615" t="s">
        <v>25160</v>
      </c>
      <c r="G3615" t="s">
        <v>25161</v>
      </c>
      <c r="H3615" s="4" t="s">
        <v>25162</v>
      </c>
      <c r="I3615" t="s">
        <v>71</v>
      </c>
      <c r="J3615" t="s">
        <v>10782</v>
      </c>
      <c r="K3615" t="s">
        <v>25163</v>
      </c>
    </row>
    <row r="3616" spans="1:11" ht="201.6" x14ac:dyDescent="0.3">
      <c r="A3616" s="4" t="s">
        <v>6661</v>
      </c>
      <c r="B3616">
        <v>3</v>
      </c>
      <c r="C3616">
        <v>2019</v>
      </c>
      <c r="D3616" t="s">
        <v>1770</v>
      </c>
      <c r="E3616">
        <v>31</v>
      </c>
      <c r="F3616" t="s">
        <v>25164</v>
      </c>
      <c r="G3616" t="s">
        <v>25165</v>
      </c>
      <c r="H3616" s="4" t="s">
        <v>25166</v>
      </c>
      <c r="I3616" t="s">
        <v>71</v>
      </c>
      <c r="J3616" t="s">
        <v>10782</v>
      </c>
      <c r="K3616" t="s">
        <v>25167</v>
      </c>
    </row>
    <row r="3617" spans="1:11" ht="172.8" x14ac:dyDescent="0.3">
      <c r="A3617" s="4" t="s">
        <v>6662</v>
      </c>
      <c r="B3617">
        <v>3</v>
      </c>
      <c r="C3617">
        <v>2019</v>
      </c>
      <c r="D3617" t="s">
        <v>2853</v>
      </c>
      <c r="E3617">
        <v>9</v>
      </c>
      <c r="F3617" t="s">
        <v>25168</v>
      </c>
      <c r="G3617" t="s">
        <v>25169</v>
      </c>
      <c r="H3617" s="4" t="s">
        <v>25170</v>
      </c>
      <c r="I3617" t="s">
        <v>71</v>
      </c>
      <c r="J3617" t="s">
        <v>10782</v>
      </c>
      <c r="K3617" t="s">
        <v>25171</v>
      </c>
    </row>
    <row r="3618" spans="1:11" ht="158.4" x14ac:dyDescent="0.3">
      <c r="A3618" s="4" t="s">
        <v>6663</v>
      </c>
      <c r="B3618">
        <v>3</v>
      </c>
      <c r="C3618">
        <v>2019</v>
      </c>
      <c r="D3618" t="s">
        <v>550</v>
      </c>
      <c r="E3618">
        <v>10</v>
      </c>
      <c r="F3618" t="s">
        <v>25172</v>
      </c>
      <c r="G3618" t="s">
        <v>25173</v>
      </c>
      <c r="H3618" s="4" t="s">
        <v>25174</v>
      </c>
      <c r="I3618" t="s">
        <v>71</v>
      </c>
      <c r="J3618" t="s">
        <v>10782</v>
      </c>
      <c r="K3618" t="s">
        <v>25175</v>
      </c>
    </row>
    <row r="3619" spans="1:11" ht="129.6" x14ac:dyDescent="0.3">
      <c r="A3619" s="4" t="s">
        <v>6664</v>
      </c>
      <c r="B3619">
        <v>3</v>
      </c>
      <c r="C3619">
        <v>2019</v>
      </c>
      <c r="D3619" t="s">
        <v>2384</v>
      </c>
      <c r="E3619">
        <v>227</v>
      </c>
      <c r="F3619" t="s">
        <v>25176</v>
      </c>
      <c r="G3619" t="s">
        <v>25177</v>
      </c>
      <c r="H3619" s="4" t="s">
        <v>25178</v>
      </c>
      <c r="I3619" t="s">
        <v>71</v>
      </c>
      <c r="J3619" t="s">
        <v>10782</v>
      </c>
      <c r="K3619" t="s">
        <v>25179</v>
      </c>
    </row>
    <row r="3620" spans="1:11" ht="172.8" x14ac:dyDescent="0.3">
      <c r="A3620" s="4" t="s">
        <v>6665</v>
      </c>
      <c r="B3620">
        <v>3</v>
      </c>
      <c r="C3620">
        <v>2019</v>
      </c>
      <c r="D3620" t="s">
        <v>550</v>
      </c>
      <c r="E3620">
        <v>30</v>
      </c>
      <c r="F3620" t="s">
        <v>25180</v>
      </c>
      <c r="G3620" t="s">
        <v>25181</v>
      </c>
      <c r="H3620" s="4" t="s">
        <v>25182</v>
      </c>
      <c r="I3620" t="s">
        <v>71</v>
      </c>
      <c r="J3620" t="s">
        <v>10782</v>
      </c>
      <c r="K3620" t="s">
        <v>25183</v>
      </c>
    </row>
    <row r="3621" spans="1:11" ht="201.6" x14ac:dyDescent="0.3">
      <c r="A3621" s="4" t="s">
        <v>6666</v>
      </c>
      <c r="B3621">
        <v>3</v>
      </c>
      <c r="C3621">
        <v>2019</v>
      </c>
      <c r="D3621" t="s">
        <v>799</v>
      </c>
      <c r="E3621">
        <v>17</v>
      </c>
      <c r="F3621" t="s">
        <v>25184</v>
      </c>
      <c r="G3621" t="s">
        <v>25185</v>
      </c>
      <c r="H3621" s="4" t="s">
        <v>25186</v>
      </c>
      <c r="I3621" t="s">
        <v>71</v>
      </c>
      <c r="J3621" t="s">
        <v>10782</v>
      </c>
      <c r="K3621" t="s">
        <v>25187</v>
      </c>
    </row>
    <row r="3622" spans="1:11" ht="259.2" x14ac:dyDescent="0.3">
      <c r="A3622" s="4" t="s">
        <v>6667</v>
      </c>
      <c r="B3622">
        <v>3</v>
      </c>
      <c r="C3622">
        <v>2019</v>
      </c>
      <c r="D3622" t="s">
        <v>25188</v>
      </c>
      <c r="E3622">
        <v>8</v>
      </c>
      <c r="F3622" t="s">
        <v>25189</v>
      </c>
      <c r="G3622" t="s">
        <v>25190</v>
      </c>
      <c r="H3622" s="4" t="s">
        <v>25191</v>
      </c>
      <c r="I3622" t="s">
        <v>71</v>
      </c>
      <c r="J3622" t="s">
        <v>10782</v>
      </c>
      <c r="K3622" t="s">
        <v>25192</v>
      </c>
    </row>
    <row r="3623" spans="1:11" ht="144" x14ac:dyDescent="0.3">
      <c r="A3623" s="4" t="s">
        <v>6668</v>
      </c>
      <c r="B3623">
        <v>3</v>
      </c>
      <c r="C3623">
        <v>2019</v>
      </c>
      <c r="D3623" t="s">
        <v>13685</v>
      </c>
      <c r="E3623">
        <v>39</v>
      </c>
      <c r="F3623" t="s">
        <v>25193</v>
      </c>
      <c r="G3623" t="s">
        <v>25194</v>
      </c>
      <c r="H3623" s="4" t="s">
        <v>25195</v>
      </c>
      <c r="I3623" t="s">
        <v>71</v>
      </c>
      <c r="J3623" t="s">
        <v>10782</v>
      </c>
      <c r="K3623" t="s">
        <v>25196</v>
      </c>
    </row>
    <row r="3624" spans="1:11" ht="187.2" x14ac:dyDescent="0.3">
      <c r="A3624" s="4" t="s">
        <v>6669</v>
      </c>
      <c r="B3624">
        <v>3</v>
      </c>
      <c r="C3624">
        <v>2019</v>
      </c>
      <c r="D3624" t="s">
        <v>217</v>
      </c>
      <c r="E3624">
        <v>28</v>
      </c>
      <c r="F3624" t="s">
        <v>25197</v>
      </c>
      <c r="G3624" t="s">
        <v>25198</v>
      </c>
      <c r="H3624" s="4" t="s">
        <v>25199</v>
      </c>
      <c r="I3624" t="s">
        <v>71</v>
      </c>
      <c r="J3624" t="s">
        <v>10782</v>
      </c>
      <c r="K3624" t="s">
        <v>25200</v>
      </c>
    </row>
    <row r="3625" spans="1:11" ht="216" x14ac:dyDescent="0.3">
      <c r="A3625" s="4" t="s">
        <v>6670</v>
      </c>
      <c r="B3625">
        <v>3</v>
      </c>
      <c r="C3625">
        <v>2019</v>
      </c>
      <c r="D3625" t="s">
        <v>217</v>
      </c>
      <c r="E3625">
        <v>19</v>
      </c>
      <c r="F3625" t="s">
        <v>25201</v>
      </c>
      <c r="G3625" t="s">
        <v>25202</v>
      </c>
      <c r="H3625" s="4" t="s">
        <v>25203</v>
      </c>
      <c r="I3625" t="s">
        <v>71</v>
      </c>
      <c r="J3625" t="s">
        <v>10782</v>
      </c>
      <c r="K3625" t="s">
        <v>25204</v>
      </c>
    </row>
    <row r="3626" spans="1:11" ht="172.8" x14ac:dyDescent="0.3">
      <c r="A3626" s="4" t="s">
        <v>6671</v>
      </c>
      <c r="B3626">
        <v>3</v>
      </c>
      <c r="C3626">
        <v>2019</v>
      </c>
      <c r="D3626" t="s">
        <v>1570</v>
      </c>
      <c r="E3626">
        <v>1</v>
      </c>
      <c r="F3626" t="s">
        <v>25205</v>
      </c>
      <c r="G3626" t="s">
        <v>25206</v>
      </c>
      <c r="H3626" s="4" t="s">
        <v>25207</v>
      </c>
      <c r="I3626" t="s">
        <v>71</v>
      </c>
      <c r="J3626" t="s">
        <v>10782</v>
      </c>
      <c r="K3626" t="s">
        <v>25208</v>
      </c>
    </row>
    <row r="3627" spans="1:11" ht="129.6" x14ac:dyDescent="0.3">
      <c r="A3627" s="4" t="s">
        <v>6672</v>
      </c>
      <c r="B3627">
        <v>3</v>
      </c>
      <c r="C3627">
        <v>2019</v>
      </c>
      <c r="D3627" t="s">
        <v>799</v>
      </c>
      <c r="E3627">
        <v>26</v>
      </c>
      <c r="F3627" t="s">
        <v>25209</v>
      </c>
      <c r="G3627" t="s">
        <v>25210</v>
      </c>
      <c r="H3627" s="4" t="s">
        <v>25211</v>
      </c>
      <c r="I3627" t="s">
        <v>71</v>
      </c>
      <c r="J3627" t="s">
        <v>10782</v>
      </c>
      <c r="K3627" t="s">
        <v>25212</v>
      </c>
    </row>
    <row r="3628" spans="1:11" ht="216" x14ac:dyDescent="0.3">
      <c r="A3628" s="4" t="s">
        <v>6673</v>
      </c>
      <c r="B3628">
        <v>3</v>
      </c>
      <c r="C3628">
        <v>2019</v>
      </c>
      <c r="D3628" t="s">
        <v>1570</v>
      </c>
      <c r="E3628">
        <v>39</v>
      </c>
      <c r="F3628" t="s">
        <v>25213</v>
      </c>
      <c r="G3628" t="s">
        <v>25214</v>
      </c>
      <c r="H3628" s="4" t="s">
        <v>25215</v>
      </c>
      <c r="I3628" t="s">
        <v>71</v>
      </c>
      <c r="J3628" t="s">
        <v>10782</v>
      </c>
      <c r="K3628" t="s">
        <v>25216</v>
      </c>
    </row>
    <row r="3629" spans="1:11" ht="144" x14ac:dyDescent="0.3">
      <c r="A3629" s="4" t="s">
        <v>6674</v>
      </c>
      <c r="B3629">
        <v>3</v>
      </c>
      <c r="C3629">
        <v>2019</v>
      </c>
      <c r="D3629" t="s">
        <v>1688</v>
      </c>
      <c r="E3629">
        <v>42</v>
      </c>
      <c r="F3629" t="s">
        <v>25217</v>
      </c>
      <c r="G3629" t="s">
        <v>25218</v>
      </c>
      <c r="H3629" s="4" t="s">
        <v>25219</v>
      </c>
    </row>
    <row r="3630" spans="1:11" ht="216" x14ac:dyDescent="0.3">
      <c r="A3630" s="4" t="s">
        <v>3362</v>
      </c>
      <c r="B3630">
        <v>1</v>
      </c>
      <c r="C3630">
        <v>2019</v>
      </c>
      <c r="D3630" t="s">
        <v>10456</v>
      </c>
      <c r="E3630">
        <v>22</v>
      </c>
      <c r="F3630" t="s">
        <v>25220</v>
      </c>
      <c r="G3630" t="s">
        <v>25221</v>
      </c>
      <c r="H3630" s="4" t="s">
        <v>25222</v>
      </c>
      <c r="I3630" t="s">
        <v>71</v>
      </c>
      <c r="J3630" t="s">
        <v>10782</v>
      </c>
      <c r="K3630" t="s">
        <v>25223</v>
      </c>
    </row>
    <row r="3631" spans="1:11" ht="187.2" x14ac:dyDescent="0.3">
      <c r="A3631" s="4" t="s">
        <v>6675</v>
      </c>
      <c r="B3631">
        <v>3</v>
      </c>
      <c r="C3631">
        <v>2019</v>
      </c>
      <c r="D3631" t="s">
        <v>1570</v>
      </c>
      <c r="E3631">
        <v>8</v>
      </c>
      <c r="F3631" t="s">
        <v>25224</v>
      </c>
      <c r="G3631" t="s">
        <v>25225</v>
      </c>
      <c r="H3631" s="4" t="s">
        <v>25226</v>
      </c>
      <c r="I3631" t="s">
        <v>71</v>
      </c>
      <c r="J3631" t="s">
        <v>10782</v>
      </c>
      <c r="K3631" t="s">
        <v>25227</v>
      </c>
    </row>
    <row r="3632" spans="1:11" ht="100.8" x14ac:dyDescent="0.3">
      <c r="A3632" s="4" t="s">
        <v>6676</v>
      </c>
      <c r="B3632">
        <v>3</v>
      </c>
      <c r="C3632">
        <v>2019</v>
      </c>
      <c r="D3632" t="s">
        <v>1175</v>
      </c>
      <c r="E3632">
        <v>4</v>
      </c>
      <c r="F3632" t="s">
        <v>25228</v>
      </c>
      <c r="G3632" t="s">
        <v>25229</v>
      </c>
      <c r="H3632" s="4" t="s">
        <v>25230</v>
      </c>
      <c r="I3632" t="s">
        <v>71</v>
      </c>
      <c r="J3632" t="s">
        <v>10782</v>
      </c>
      <c r="K3632" t="s">
        <v>25231</v>
      </c>
    </row>
    <row r="3633" spans="1:11" ht="57.6" x14ac:dyDescent="0.3">
      <c r="A3633" s="4" t="s">
        <v>6677</v>
      </c>
      <c r="B3633">
        <v>3</v>
      </c>
      <c r="C3633">
        <v>2019</v>
      </c>
      <c r="D3633" t="s">
        <v>164</v>
      </c>
      <c r="E3633">
        <v>14</v>
      </c>
      <c r="F3633" t="s">
        <v>25232</v>
      </c>
      <c r="G3633" t="s">
        <v>25233</v>
      </c>
      <c r="H3633" s="4" t="s">
        <v>25234</v>
      </c>
    </row>
    <row r="3634" spans="1:11" ht="230.4" x14ac:dyDescent="0.3">
      <c r="A3634" s="4" t="s">
        <v>6678</v>
      </c>
      <c r="B3634">
        <v>3</v>
      </c>
      <c r="C3634">
        <v>2019</v>
      </c>
      <c r="D3634" t="s">
        <v>637</v>
      </c>
      <c r="E3634">
        <v>29</v>
      </c>
      <c r="F3634" t="s">
        <v>25235</v>
      </c>
      <c r="G3634" t="s">
        <v>25236</v>
      </c>
      <c r="H3634" s="4" t="s">
        <v>25237</v>
      </c>
      <c r="I3634" t="s">
        <v>71</v>
      </c>
      <c r="J3634" t="s">
        <v>10782</v>
      </c>
      <c r="K3634" t="s">
        <v>25238</v>
      </c>
    </row>
    <row r="3635" spans="1:11" ht="158.4" x14ac:dyDescent="0.3">
      <c r="A3635" s="4" t="s">
        <v>6679</v>
      </c>
      <c r="B3635">
        <v>3</v>
      </c>
      <c r="C3635">
        <v>2019</v>
      </c>
      <c r="D3635" t="s">
        <v>528</v>
      </c>
      <c r="E3635">
        <v>16</v>
      </c>
      <c r="F3635" t="s">
        <v>25239</v>
      </c>
      <c r="G3635" t="s">
        <v>25240</v>
      </c>
      <c r="H3635" s="4" t="s">
        <v>25241</v>
      </c>
      <c r="I3635" t="s">
        <v>71</v>
      </c>
      <c r="J3635" t="s">
        <v>10782</v>
      </c>
      <c r="K3635" t="s">
        <v>25242</v>
      </c>
    </row>
    <row r="3636" spans="1:11" ht="129.6" x14ac:dyDescent="0.3">
      <c r="A3636" s="4" t="s">
        <v>6680</v>
      </c>
      <c r="B3636">
        <v>3</v>
      </c>
      <c r="C3636">
        <v>2019</v>
      </c>
      <c r="D3636" t="s">
        <v>1794</v>
      </c>
      <c r="E3636">
        <v>8</v>
      </c>
      <c r="F3636" t="s">
        <v>25243</v>
      </c>
      <c r="G3636" t="s">
        <v>25244</v>
      </c>
      <c r="H3636" s="4" t="s">
        <v>25245</v>
      </c>
      <c r="I3636" t="s">
        <v>71</v>
      </c>
      <c r="J3636" t="s">
        <v>10782</v>
      </c>
      <c r="K3636" t="s">
        <v>25246</v>
      </c>
    </row>
    <row r="3637" spans="1:11" ht="187.2" x14ac:dyDescent="0.3">
      <c r="A3637" s="4" t="s">
        <v>6681</v>
      </c>
      <c r="B3637">
        <v>3</v>
      </c>
      <c r="C3637">
        <v>2019</v>
      </c>
      <c r="D3637" t="s">
        <v>1525</v>
      </c>
      <c r="E3637">
        <v>23</v>
      </c>
      <c r="F3637" t="s">
        <v>25247</v>
      </c>
      <c r="G3637" t="s">
        <v>25248</v>
      </c>
      <c r="H3637" s="4" t="s">
        <v>25249</v>
      </c>
      <c r="I3637" t="s">
        <v>71</v>
      </c>
      <c r="J3637" t="s">
        <v>10782</v>
      </c>
      <c r="K3637" t="s">
        <v>25250</v>
      </c>
    </row>
    <row r="3638" spans="1:11" ht="201.6" x14ac:dyDescent="0.3">
      <c r="A3638" s="4" t="s">
        <v>6682</v>
      </c>
      <c r="B3638">
        <v>3</v>
      </c>
      <c r="C3638">
        <v>2019</v>
      </c>
      <c r="D3638" t="s">
        <v>25251</v>
      </c>
      <c r="E3638">
        <v>8</v>
      </c>
      <c r="F3638" t="s">
        <v>25252</v>
      </c>
      <c r="G3638" t="s">
        <v>25253</v>
      </c>
      <c r="H3638" s="4" t="s">
        <v>25254</v>
      </c>
      <c r="I3638" t="s">
        <v>71</v>
      </c>
      <c r="J3638" t="s">
        <v>10782</v>
      </c>
      <c r="K3638" t="s">
        <v>25255</v>
      </c>
    </row>
    <row r="3639" spans="1:11" ht="187.2" x14ac:dyDescent="0.3">
      <c r="A3639" s="4" t="s">
        <v>6683</v>
      </c>
      <c r="B3639">
        <v>3</v>
      </c>
      <c r="C3639">
        <v>2019</v>
      </c>
      <c r="D3639" t="s">
        <v>80</v>
      </c>
      <c r="E3639">
        <v>25</v>
      </c>
      <c r="F3639" t="s">
        <v>25256</v>
      </c>
      <c r="G3639" t="s">
        <v>25257</v>
      </c>
      <c r="H3639" s="4" t="s">
        <v>25258</v>
      </c>
      <c r="I3639" t="s">
        <v>71</v>
      </c>
      <c r="J3639" t="s">
        <v>10782</v>
      </c>
      <c r="K3639" t="s">
        <v>25259</v>
      </c>
    </row>
    <row r="3640" spans="1:11" ht="172.8" x14ac:dyDescent="0.3">
      <c r="A3640" s="4" t="s">
        <v>6684</v>
      </c>
      <c r="B3640">
        <v>3</v>
      </c>
      <c r="C3640">
        <v>2019</v>
      </c>
      <c r="D3640" t="s">
        <v>25260</v>
      </c>
      <c r="E3640">
        <v>8</v>
      </c>
      <c r="F3640" t="s">
        <v>25261</v>
      </c>
      <c r="G3640" t="s">
        <v>25262</v>
      </c>
      <c r="H3640" s="4" t="s">
        <v>25263</v>
      </c>
      <c r="I3640" t="s">
        <v>71</v>
      </c>
      <c r="J3640" t="s">
        <v>10782</v>
      </c>
      <c r="K3640" t="s">
        <v>25264</v>
      </c>
    </row>
    <row r="3641" spans="1:11" ht="230.4" x14ac:dyDescent="0.3">
      <c r="A3641" s="4" t="s">
        <v>6685</v>
      </c>
      <c r="B3641">
        <v>3</v>
      </c>
      <c r="C3641">
        <v>2019</v>
      </c>
      <c r="D3641" t="s">
        <v>637</v>
      </c>
      <c r="E3641">
        <v>13</v>
      </c>
      <c r="F3641" t="s">
        <v>25265</v>
      </c>
      <c r="G3641" t="s">
        <v>25266</v>
      </c>
      <c r="H3641" s="4" t="s">
        <v>25267</v>
      </c>
      <c r="I3641" t="s">
        <v>71</v>
      </c>
      <c r="J3641" t="s">
        <v>10782</v>
      </c>
      <c r="K3641" t="s">
        <v>25268</v>
      </c>
    </row>
    <row r="3642" spans="1:11" ht="201.6" x14ac:dyDescent="0.3">
      <c r="A3642" s="4" t="s">
        <v>2782</v>
      </c>
      <c r="B3642">
        <v>2</v>
      </c>
      <c r="C3642">
        <v>2019</v>
      </c>
      <c r="D3642" t="s">
        <v>329</v>
      </c>
      <c r="E3642">
        <v>13</v>
      </c>
      <c r="F3642" t="s">
        <v>25269</v>
      </c>
      <c r="G3642" t="s">
        <v>25270</v>
      </c>
      <c r="H3642" s="4" t="s">
        <v>25271</v>
      </c>
      <c r="I3642" t="s">
        <v>71</v>
      </c>
      <c r="J3642" t="s">
        <v>10782</v>
      </c>
      <c r="K3642" t="s">
        <v>25272</v>
      </c>
    </row>
    <row r="3643" spans="1:11" ht="158.4" x14ac:dyDescent="0.3">
      <c r="A3643" s="4" t="s">
        <v>6686</v>
      </c>
      <c r="B3643">
        <v>3</v>
      </c>
      <c r="C3643">
        <v>2019</v>
      </c>
      <c r="D3643" t="s">
        <v>14736</v>
      </c>
      <c r="E3643">
        <v>53</v>
      </c>
      <c r="F3643" t="s">
        <v>25273</v>
      </c>
      <c r="G3643" t="s">
        <v>25274</v>
      </c>
      <c r="H3643" s="4" t="s">
        <v>25275</v>
      </c>
    </row>
    <row r="3644" spans="1:11" ht="158.4" x14ac:dyDescent="0.3">
      <c r="A3644" s="4" t="s">
        <v>6687</v>
      </c>
      <c r="B3644">
        <v>3</v>
      </c>
      <c r="C3644">
        <v>2019</v>
      </c>
      <c r="D3644" t="s">
        <v>14116</v>
      </c>
      <c r="E3644">
        <v>8</v>
      </c>
      <c r="F3644" t="s">
        <v>25276</v>
      </c>
      <c r="G3644" t="s">
        <v>25277</v>
      </c>
      <c r="H3644" s="4" t="s">
        <v>25278</v>
      </c>
      <c r="I3644" t="s">
        <v>71</v>
      </c>
      <c r="J3644" t="s">
        <v>10782</v>
      </c>
      <c r="K3644" t="s">
        <v>25279</v>
      </c>
    </row>
    <row r="3645" spans="1:11" ht="216" x14ac:dyDescent="0.3">
      <c r="A3645" s="4" t="s">
        <v>6688</v>
      </c>
      <c r="B3645">
        <v>3</v>
      </c>
      <c r="C3645">
        <v>2019</v>
      </c>
      <c r="D3645" t="s">
        <v>1175</v>
      </c>
      <c r="E3645">
        <v>5</v>
      </c>
      <c r="F3645" t="s">
        <v>25280</v>
      </c>
      <c r="G3645" t="s">
        <v>25281</v>
      </c>
      <c r="H3645" s="4" t="s">
        <v>25282</v>
      </c>
      <c r="I3645" t="s">
        <v>71</v>
      </c>
      <c r="J3645" t="s">
        <v>10782</v>
      </c>
      <c r="K3645" t="s">
        <v>25283</v>
      </c>
    </row>
    <row r="3646" spans="1:11" ht="259.2" x14ac:dyDescent="0.3">
      <c r="A3646" s="4" t="s">
        <v>6689</v>
      </c>
      <c r="B3646">
        <v>3</v>
      </c>
      <c r="C3646">
        <v>2019</v>
      </c>
      <c r="D3646" t="s">
        <v>1912</v>
      </c>
      <c r="E3646">
        <v>18</v>
      </c>
      <c r="F3646" t="s">
        <v>25284</v>
      </c>
      <c r="G3646" t="s">
        <v>25285</v>
      </c>
      <c r="H3646" s="4" t="s">
        <v>25286</v>
      </c>
      <c r="I3646" t="s">
        <v>71</v>
      </c>
      <c r="J3646" t="s">
        <v>10782</v>
      </c>
      <c r="K3646" t="s">
        <v>25287</v>
      </c>
    </row>
    <row r="3647" spans="1:11" ht="100.8" x14ac:dyDescent="0.3">
      <c r="A3647" s="4" t="s">
        <v>6690</v>
      </c>
      <c r="B3647">
        <v>3</v>
      </c>
      <c r="C3647">
        <v>2019</v>
      </c>
      <c r="D3647" t="s">
        <v>177</v>
      </c>
      <c r="E3647">
        <v>6</v>
      </c>
      <c r="F3647" t="s">
        <v>25288</v>
      </c>
      <c r="G3647" t="s">
        <v>25289</v>
      </c>
      <c r="H3647" s="4" t="s">
        <v>25290</v>
      </c>
      <c r="I3647" t="s">
        <v>71</v>
      </c>
      <c r="J3647" t="s">
        <v>10782</v>
      </c>
      <c r="K3647" t="s">
        <v>25291</v>
      </c>
    </row>
    <row r="3648" spans="1:11" ht="115.2" x14ac:dyDescent="0.3">
      <c r="A3648" s="4" t="s">
        <v>6691</v>
      </c>
      <c r="B3648">
        <v>3</v>
      </c>
      <c r="C3648">
        <v>2019</v>
      </c>
      <c r="D3648" t="s">
        <v>25292</v>
      </c>
      <c r="E3648">
        <v>15</v>
      </c>
      <c r="F3648" t="s">
        <v>25293</v>
      </c>
      <c r="G3648" t="s">
        <v>25294</v>
      </c>
      <c r="H3648" s="4" t="s">
        <v>25295</v>
      </c>
    </row>
    <row r="3649" spans="1:11" ht="201.6" x14ac:dyDescent="0.3">
      <c r="A3649" s="4" t="s">
        <v>6692</v>
      </c>
      <c r="B3649">
        <v>3</v>
      </c>
      <c r="C3649">
        <v>2019</v>
      </c>
      <c r="D3649" t="s">
        <v>19715</v>
      </c>
      <c r="E3649">
        <v>32</v>
      </c>
      <c r="F3649" t="s">
        <v>25296</v>
      </c>
      <c r="G3649" t="s">
        <v>25297</v>
      </c>
      <c r="H3649" s="4" t="s">
        <v>25298</v>
      </c>
      <c r="I3649" t="s">
        <v>71</v>
      </c>
      <c r="J3649" t="s">
        <v>10782</v>
      </c>
      <c r="K3649" t="s">
        <v>25299</v>
      </c>
    </row>
    <row r="3650" spans="1:11" ht="201.6" x14ac:dyDescent="0.3">
      <c r="A3650" s="4" t="s">
        <v>6693</v>
      </c>
      <c r="B3650">
        <v>3</v>
      </c>
      <c r="C3650">
        <v>2019</v>
      </c>
      <c r="D3650" t="s">
        <v>1570</v>
      </c>
      <c r="E3650">
        <v>2</v>
      </c>
      <c r="F3650" t="s">
        <v>25300</v>
      </c>
      <c r="G3650" t="s">
        <v>25301</v>
      </c>
      <c r="H3650" s="4" t="s">
        <v>25302</v>
      </c>
    </row>
    <row r="3651" spans="1:11" ht="115.2" x14ac:dyDescent="0.3">
      <c r="A3651" s="4" t="s">
        <v>6694</v>
      </c>
      <c r="B3651">
        <v>3</v>
      </c>
      <c r="C3651">
        <v>2019</v>
      </c>
      <c r="D3651" t="s">
        <v>11728</v>
      </c>
      <c r="E3651">
        <v>6</v>
      </c>
      <c r="F3651" t="s">
        <v>25303</v>
      </c>
      <c r="G3651" t="s">
        <v>25304</v>
      </c>
      <c r="H3651" s="4" t="s">
        <v>25305</v>
      </c>
      <c r="I3651" t="s">
        <v>71</v>
      </c>
      <c r="J3651" t="s">
        <v>10782</v>
      </c>
      <c r="K3651" t="s">
        <v>25306</v>
      </c>
    </row>
    <row r="3652" spans="1:11" ht="244.8" x14ac:dyDescent="0.3">
      <c r="A3652" s="4" t="s">
        <v>6695</v>
      </c>
      <c r="B3652">
        <v>3</v>
      </c>
      <c r="C3652">
        <v>2019</v>
      </c>
      <c r="D3652" t="s">
        <v>10924</v>
      </c>
      <c r="E3652">
        <v>10</v>
      </c>
      <c r="F3652" t="s">
        <v>25307</v>
      </c>
      <c r="G3652" t="s">
        <v>25308</v>
      </c>
      <c r="H3652" s="4" t="s">
        <v>25309</v>
      </c>
      <c r="I3652" t="s">
        <v>71</v>
      </c>
      <c r="J3652" t="s">
        <v>10782</v>
      </c>
      <c r="K3652" t="s">
        <v>25310</v>
      </c>
    </row>
    <row r="3653" spans="1:11" ht="230.4" x14ac:dyDescent="0.3">
      <c r="A3653" s="4" t="s">
        <v>6696</v>
      </c>
      <c r="B3653">
        <v>3</v>
      </c>
      <c r="C3653">
        <v>2019</v>
      </c>
      <c r="D3653" t="s">
        <v>10971</v>
      </c>
      <c r="E3653">
        <v>17</v>
      </c>
      <c r="F3653" t="s">
        <v>25311</v>
      </c>
      <c r="G3653" t="s">
        <v>25312</v>
      </c>
      <c r="H3653" s="4" t="s">
        <v>25313</v>
      </c>
      <c r="I3653" t="s">
        <v>71</v>
      </c>
      <c r="J3653" t="s">
        <v>10782</v>
      </c>
      <c r="K3653" t="s">
        <v>25314</v>
      </c>
    </row>
    <row r="3654" spans="1:11" ht="86.4" x14ac:dyDescent="0.3">
      <c r="A3654" s="4" t="s">
        <v>6697</v>
      </c>
      <c r="B3654">
        <v>3</v>
      </c>
      <c r="C3654">
        <v>2019</v>
      </c>
      <c r="D3654" t="s">
        <v>13969</v>
      </c>
      <c r="E3654">
        <v>45</v>
      </c>
      <c r="F3654" t="s">
        <v>25315</v>
      </c>
      <c r="G3654" t="s">
        <v>25316</v>
      </c>
      <c r="H3654" s="4" t="s">
        <v>25317</v>
      </c>
    </row>
    <row r="3655" spans="1:11" ht="144" x14ac:dyDescent="0.3">
      <c r="A3655" s="4" t="s">
        <v>6698</v>
      </c>
      <c r="B3655">
        <v>3</v>
      </c>
      <c r="C3655">
        <v>2019</v>
      </c>
      <c r="D3655" t="s">
        <v>12072</v>
      </c>
      <c r="E3655">
        <v>21</v>
      </c>
      <c r="F3655" t="s">
        <v>25318</v>
      </c>
      <c r="G3655" t="s">
        <v>25319</v>
      </c>
      <c r="H3655" s="4" t="s">
        <v>25320</v>
      </c>
      <c r="I3655" t="s">
        <v>71</v>
      </c>
      <c r="J3655" t="s">
        <v>10782</v>
      </c>
      <c r="K3655" t="s">
        <v>25321</v>
      </c>
    </row>
    <row r="3656" spans="1:11" ht="331.2" x14ac:dyDescent="0.3">
      <c r="A3656" s="4" t="s">
        <v>6699</v>
      </c>
      <c r="B3656">
        <v>3</v>
      </c>
      <c r="C3656">
        <v>2019</v>
      </c>
      <c r="D3656" t="s">
        <v>724</v>
      </c>
      <c r="E3656">
        <v>25</v>
      </c>
      <c r="F3656" t="s">
        <v>25322</v>
      </c>
      <c r="G3656" t="s">
        <v>25323</v>
      </c>
      <c r="H3656" s="4" t="s">
        <v>25324</v>
      </c>
      <c r="I3656" t="s">
        <v>71</v>
      </c>
      <c r="J3656" t="s">
        <v>10782</v>
      </c>
      <c r="K3656" t="s">
        <v>25325</v>
      </c>
    </row>
    <row r="3657" spans="1:11" ht="187.2" x14ac:dyDescent="0.3">
      <c r="A3657" s="4" t="s">
        <v>6700</v>
      </c>
      <c r="B3657">
        <v>3</v>
      </c>
      <c r="C3657">
        <v>2019</v>
      </c>
      <c r="D3657" t="s">
        <v>217</v>
      </c>
      <c r="E3657">
        <v>103</v>
      </c>
      <c r="F3657" t="s">
        <v>25326</v>
      </c>
      <c r="G3657" t="s">
        <v>25327</v>
      </c>
      <c r="H3657" s="4" t="s">
        <v>25328</v>
      </c>
      <c r="I3657" t="s">
        <v>71</v>
      </c>
      <c r="J3657" t="s">
        <v>10782</v>
      </c>
      <c r="K3657" t="s">
        <v>25329</v>
      </c>
    </row>
    <row r="3658" spans="1:11" ht="187.2" x14ac:dyDescent="0.3">
      <c r="A3658" s="4" t="s">
        <v>6701</v>
      </c>
      <c r="B3658">
        <v>3</v>
      </c>
      <c r="C3658">
        <v>2019</v>
      </c>
      <c r="D3658" t="s">
        <v>1570</v>
      </c>
      <c r="E3658">
        <v>2</v>
      </c>
      <c r="F3658" t="s">
        <v>25330</v>
      </c>
      <c r="G3658" t="s">
        <v>25331</v>
      </c>
      <c r="H3658" s="4" t="s">
        <v>25332</v>
      </c>
      <c r="I3658" t="s">
        <v>71</v>
      </c>
      <c r="J3658" t="s">
        <v>10782</v>
      </c>
      <c r="K3658" t="s">
        <v>25333</v>
      </c>
    </row>
    <row r="3659" spans="1:11" ht="259.2" x14ac:dyDescent="0.3">
      <c r="A3659" s="4" t="s">
        <v>6702</v>
      </c>
      <c r="B3659">
        <v>3</v>
      </c>
      <c r="C3659">
        <v>2019</v>
      </c>
      <c r="D3659" t="s">
        <v>164</v>
      </c>
      <c r="E3659">
        <v>14</v>
      </c>
      <c r="F3659" t="s">
        <v>25334</v>
      </c>
      <c r="G3659" t="s">
        <v>25335</v>
      </c>
      <c r="H3659" s="4" t="s">
        <v>25336</v>
      </c>
      <c r="I3659" t="s">
        <v>71</v>
      </c>
      <c r="J3659" t="s">
        <v>10782</v>
      </c>
      <c r="K3659" t="s">
        <v>25337</v>
      </c>
    </row>
    <row r="3660" spans="1:11" ht="129.6" x14ac:dyDescent="0.3">
      <c r="A3660" s="4" t="s">
        <v>6703</v>
      </c>
      <c r="B3660">
        <v>3</v>
      </c>
      <c r="C3660">
        <v>2019</v>
      </c>
      <c r="D3660" t="s">
        <v>21103</v>
      </c>
      <c r="E3660">
        <v>14</v>
      </c>
      <c r="F3660" t="s">
        <v>25338</v>
      </c>
      <c r="G3660" t="s">
        <v>25339</v>
      </c>
      <c r="H3660" s="4" t="s">
        <v>25340</v>
      </c>
      <c r="I3660" t="s">
        <v>71</v>
      </c>
      <c r="J3660" t="s">
        <v>10782</v>
      </c>
      <c r="K3660" t="s">
        <v>25341</v>
      </c>
    </row>
    <row r="3661" spans="1:11" ht="216" x14ac:dyDescent="0.3">
      <c r="A3661" s="4" t="s">
        <v>6704</v>
      </c>
      <c r="B3661">
        <v>3</v>
      </c>
      <c r="C3661">
        <v>2019</v>
      </c>
      <c r="D3661" t="s">
        <v>1759</v>
      </c>
      <c r="E3661">
        <v>46</v>
      </c>
      <c r="F3661" t="s">
        <v>25342</v>
      </c>
      <c r="G3661" t="s">
        <v>25343</v>
      </c>
      <c r="H3661" s="4" t="s">
        <v>25344</v>
      </c>
      <c r="I3661" t="s">
        <v>71</v>
      </c>
      <c r="J3661" t="s">
        <v>10782</v>
      </c>
      <c r="K3661" t="s">
        <v>25345</v>
      </c>
    </row>
    <row r="3662" spans="1:11" ht="187.2" x14ac:dyDescent="0.3">
      <c r="A3662" s="4" t="s">
        <v>6705</v>
      </c>
      <c r="B3662">
        <v>3</v>
      </c>
      <c r="C3662">
        <v>2019</v>
      </c>
      <c r="D3662" t="s">
        <v>329</v>
      </c>
      <c r="E3662">
        <v>46</v>
      </c>
      <c r="F3662" t="s">
        <v>25346</v>
      </c>
      <c r="G3662" t="s">
        <v>25347</v>
      </c>
      <c r="H3662" s="4" t="s">
        <v>25348</v>
      </c>
      <c r="I3662" t="s">
        <v>71</v>
      </c>
      <c r="J3662" t="s">
        <v>10782</v>
      </c>
      <c r="K3662" t="s">
        <v>25349</v>
      </c>
    </row>
    <row r="3663" spans="1:11" ht="57.6" x14ac:dyDescent="0.3">
      <c r="A3663" s="4" t="s">
        <v>3586</v>
      </c>
      <c r="B3663">
        <v>2</v>
      </c>
      <c r="C3663">
        <v>2019</v>
      </c>
      <c r="D3663" t="s">
        <v>550</v>
      </c>
      <c r="E3663">
        <v>6</v>
      </c>
      <c r="F3663" t="s">
        <v>25350</v>
      </c>
      <c r="G3663" t="s">
        <v>25351</v>
      </c>
      <c r="H3663" s="4" t="s">
        <v>25352</v>
      </c>
      <c r="I3663" t="s">
        <v>71</v>
      </c>
      <c r="J3663" t="s">
        <v>10782</v>
      </c>
      <c r="K3663" t="s">
        <v>25353</v>
      </c>
    </row>
    <row r="3664" spans="1:11" ht="115.2" x14ac:dyDescent="0.3">
      <c r="A3664" s="4" t="s">
        <v>3587</v>
      </c>
      <c r="B3664">
        <v>2</v>
      </c>
      <c r="C3664">
        <v>2019</v>
      </c>
      <c r="D3664" t="s">
        <v>1570</v>
      </c>
      <c r="E3664">
        <v>4</v>
      </c>
      <c r="F3664" t="s">
        <v>25354</v>
      </c>
      <c r="G3664" t="s">
        <v>25355</v>
      </c>
      <c r="H3664" s="4" t="s">
        <v>25356</v>
      </c>
      <c r="I3664" t="s">
        <v>71</v>
      </c>
      <c r="J3664" t="s">
        <v>10782</v>
      </c>
      <c r="K3664" t="s">
        <v>25357</v>
      </c>
    </row>
    <row r="3665" spans="1:11" ht="158.4" x14ac:dyDescent="0.3">
      <c r="A3665" s="4" t="s">
        <v>3363</v>
      </c>
      <c r="B3665">
        <v>1</v>
      </c>
      <c r="C3665">
        <v>2019</v>
      </c>
      <c r="D3665" t="s">
        <v>25358</v>
      </c>
      <c r="E3665">
        <v>3</v>
      </c>
      <c r="F3665" t="s">
        <v>25359</v>
      </c>
      <c r="G3665" t="s">
        <v>25360</v>
      </c>
      <c r="H3665" s="4" t="s">
        <v>25361</v>
      </c>
      <c r="I3665" t="s">
        <v>71</v>
      </c>
      <c r="J3665" t="s">
        <v>10782</v>
      </c>
      <c r="K3665" t="s">
        <v>25362</v>
      </c>
    </row>
    <row r="3666" spans="1:11" ht="187.2" x14ac:dyDescent="0.3">
      <c r="A3666" s="4" t="s">
        <v>6706</v>
      </c>
      <c r="B3666">
        <v>3</v>
      </c>
      <c r="C3666">
        <v>2019</v>
      </c>
      <c r="D3666" t="s">
        <v>1570</v>
      </c>
      <c r="E3666">
        <v>2</v>
      </c>
      <c r="F3666" t="s">
        <v>25363</v>
      </c>
      <c r="G3666" t="s">
        <v>25364</v>
      </c>
      <c r="H3666" s="4" t="s">
        <v>25365</v>
      </c>
      <c r="I3666" t="s">
        <v>71</v>
      </c>
      <c r="J3666" t="s">
        <v>10782</v>
      </c>
      <c r="K3666" t="s">
        <v>25366</v>
      </c>
    </row>
    <row r="3667" spans="1:11" ht="216" x14ac:dyDescent="0.3">
      <c r="A3667" s="4" t="s">
        <v>6707</v>
      </c>
      <c r="B3667">
        <v>3</v>
      </c>
      <c r="C3667">
        <v>2019</v>
      </c>
      <c r="D3667" t="s">
        <v>637</v>
      </c>
      <c r="E3667">
        <v>10</v>
      </c>
      <c r="F3667" t="s">
        <v>25367</v>
      </c>
      <c r="G3667" t="s">
        <v>25368</v>
      </c>
      <c r="H3667" s="4" t="s">
        <v>25369</v>
      </c>
      <c r="I3667" t="s">
        <v>71</v>
      </c>
      <c r="J3667" t="s">
        <v>10782</v>
      </c>
      <c r="K3667" t="s">
        <v>25370</v>
      </c>
    </row>
    <row r="3668" spans="1:11" ht="201.6" x14ac:dyDescent="0.3">
      <c r="A3668" s="4" t="s">
        <v>1577</v>
      </c>
      <c r="B3668">
        <v>1</v>
      </c>
      <c r="C3668">
        <v>2019</v>
      </c>
      <c r="D3668" t="s">
        <v>217</v>
      </c>
      <c r="E3668">
        <v>13</v>
      </c>
      <c r="F3668" t="s">
        <v>25371</v>
      </c>
      <c r="G3668" t="s">
        <v>25372</v>
      </c>
      <c r="H3668" s="4" t="s">
        <v>25373</v>
      </c>
      <c r="I3668" t="s">
        <v>71</v>
      </c>
      <c r="J3668" t="s">
        <v>10782</v>
      </c>
      <c r="K3668" t="s">
        <v>25374</v>
      </c>
    </row>
    <row r="3669" spans="1:11" ht="259.2" x14ac:dyDescent="0.3">
      <c r="A3669" s="4" t="s">
        <v>6708</v>
      </c>
      <c r="B3669">
        <v>3</v>
      </c>
      <c r="C3669">
        <v>2019</v>
      </c>
      <c r="D3669" t="s">
        <v>1936</v>
      </c>
      <c r="E3669">
        <v>44</v>
      </c>
      <c r="F3669" t="s">
        <v>25375</v>
      </c>
      <c r="G3669" t="s">
        <v>25376</v>
      </c>
      <c r="H3669" s="4" t="s">
        <v>25377</v>
      </c>
      <c r="I3669" t="s">
        <v>71</v>
      </c>
      <c r="J3669" t="s">
        <v>10782</v>
      </c>
      <c r="K3669" t="s">
        <v>25378</v>
      </c>
    </row>
    <row r="3670" spans="1:11" ht="43.2" x14ac:dyDescent="0.3">
      <c r="A3670" s="4" t="s">
        <v>6709</v>
      </c>
      <c r="B3670">
        <v>3</v>
      </c>
      <c r="C3670">
        <v>2019</v>
      </c>
      <c r="D3670" t="s">
        <v>1849</v>
      </c>
      <c r="E3670">
        <v>74</v>
      </c>
      <c r="F3670" t="s">
        <v>25379</v>
      </c>
      <c r="G3670" t="s">
        <v>25380</v>
      </c>
      <c r="H3670" s="4" t="s">
        <v>25381</v>
      </c>
    </row>
    <row r="3671" spans="1:11" ht="129.6" x14ac:dyDescent="0.3">
      <c r="A3671" s="4" t="s">
        <v>6710</v>
      </c>
      <c r="B3671">
        <v>3</v>
      </c>
      <c r="C3671">
        <v>2019</v>
      </c>
      <c r="D3671" t="s">
        <v>318</v>
      </c>
      <c r="E3671">
        <v>41</v>
      </c>
      <c r="F3671" t="s">
        <v>25382</v>
      </c>
      <c r="G3671" t="s">
        <v>25383</v>
      </c>
      <c r="H3671" s="4" t="s">
        <v>25384</v>
      </c>
      <c r="I3671" t="s">
        <v>71</v>
      </c>
      <c r="J3671" t="s">
        <v>10782</v>
      </c>
      <c r="K3671" t="s">
        <v>25385</v>
      </c>
    </row>
    <row r="3672" spans="1:11" ht="100.8" x14ac:dyDescent="0.3">
      <c r="A3672" s="4" t="s">
        <v>6711</v>
      </c>
      <c r="B3672">
        <v>3</v>
      </c>
      <c r="C3672">
        <v>2019</v>
      </c>
      <c r="D3672" t="s">
        <v>1570</v>
      </c>
      <c r="E3672">
        <v>2</v>
      </c>
      <c r="F3672" t="s">
        <v>25386</v>
      </c>
      <c r="G3672" t="s">
        <v>25387</v>
      </c>
      <c r="H3672" s="4" t="s">
        <v>25388</v>
      </c>
      <c r="I3672" t="s">
        <v>71</v>
      </c>
      <c r="J3672" t="s">
        <v>10782</v>
      </c>
      <c r="K3672" t="s">
        <v>25389</v>
      </c>
    </row>
    <row r="3673" spans="1:11" ht="115.2" x14ac:dyDescent="0.3">
      <c r="A3673" s="4" t="s">
        <v>6712</v>
      </c>
      <c r="B3673">
        <v>3</v>
      </c>
      <c r="C3673">
        <v>2019</v>
      </c>
      <c r="D3673" t="s">
        <v>679</v>
      </c>
      <c r="E3673">
        <v>10</v>
      </c>
      <c r="F3673" t="s">
        <v>25390</v>
      </c>
      <c r="G3673" t="s">
        <v>25391</v>
      </c>
      <c r="H3673" s="4" t="s">
        <v>25392</v>
      </c>
      <c r="I3673" t="s">
        <v>71</v>
      </c>
      <c r="J3673" t="s">
        <v>10782</v>
      </c>
      <c r="K3673" t="s">
        <v>25393</v>
      </c>
    </row>
    <row r="3674" spans="1:11" ht="172.8" x14ac:dyDescent="0.3">
      <c r="A3674" s="4" t="s">
        <v>6713</v>
      </c>
      <c r="B3674">
        <v>3</v>
      </c>
      <c r="C3674">
        <v>2019</v>
      </c>
      <c r="D3674" t="s">
        <v>10825</v>
      </c>
      <c r="E3674">
        <v>35</v>
      </c>
      <c r="F3674" t="s">
        <v>25394</v>
      </c>
      <c r="G3674" t="s">
        <v>25395</v>
      </c>
      <c r="H3674" s="4" t="s">
        <v>25396</v>
      </c>
      <c r="I3674" t="s">
        <v>71</v>
      </c>
      <c r="J3674" t="s">
        <v>10782</v>
      </c>
      <c r="K3674" t="s">
        <v>25397</v>
      </c>
    </row>
    <row r="3675" spans="1:11" ht="129.6" x14ac:dyDescent="0.3">
      <c r="A3675" s="4" t="s">
        <v>6714</v>
      </c>
      <c r="B3675">
        <v>3</v>
      </c>
      <c r="C3675">
        <v>2019</v>
      </c>
      <c r="D3675" t="s">
        <v>329</v>
      </c>
      <c r="E3675">
        <v>9</v>
      </c>
      <c r="F3675" t="s">
        <v>25398</v>
      </c>
      <c r="G3675" t="s">
        <v>25399</v>
      </c>
      <c r="H3675" s="4" t="s">
        <v>25400</v>
      </c>
    </row>
    <row r="3676" spans="1:11" ht="201.6" x14ac:dyDescent="0.3">
      <c r="A3676" s="4" t="s">
        <v>6715</v>
      </c>
      <c r="B3676">
        <v>3</v>
      </c>
      <c r="C3676">
        <v>2019</v>
      </c>
      <c r="D3676" t="s">
        <v>25401</v>
      </c>
      <c r="E3676">
        <v>3</v>
      </c>
      <c r="F3676" t="s">
        <v>25402</v>
      </c>
      <c r="G3676" t="s">
        <v>25403</v>
      </c>
      <c r="H3676" s="4" t="s">
        <v>25404</v>
      </c>
      <c r="I3676" t="s">
        <v>71</v>
      </c>
      <c r="J3676" t="s">
        <v>10782</v>
      </c>
      <c r="K3676" t="s">
        <v>25405</v>
      </c>
    </row>
    <row r="3677" spans="1:11" ht="172.8" x14ac:dyDescent="0.3">
      <c r="A3677" s="4" t="s">
        <v>6716</v>
      </c>
      <c r="B3677">
        <v>3</v>
      </c>
      <c r="C3677">
        <v>2019</v>
      </c>
      <c r="D3677" t="s">
        <v>2267</v>
      </c>
      <c r="E3677">
        <v>31</v>
      </c>
      <c r="F3677" t="s">
        <v>25406</v>
      </c>
      <c r="G3677" t="s">
        <v>25407</v>
      </c>
      <c r="H3677" s="4" t="s">
        <v>25408</v>
      </c>
      <c r="I3677" t="s">
        <v>71</v>
      </c>
      <c r="J3677" t="s">
        <v>10782</v>
      </c>
      <c r="K3677" t="s">
        <v>25409</v>
      </c>
    </row>
    <row r="3678" spans="1:11" ht="302.39999999999998" x14ac:dyDescent="0.3">
      <c r="A3678" s="4" t="s">
        <v>6717</v>
      </c>
      <c r="B3678">
        <v>3</v>
      </c>
      <c r="C3678">
        <v>2019</v>
      </c>
      <c r="D3678" t="s">
        <v>11164</v>
      </c>
      <c r="E3678">
        <v>5</v>
      </c>
      <c r="F3678" t="s">
        <v>25410</v>
      </c>
      <c r="G3678" t="s">
        <v>25411</v>
      </c>
      <c r="H3678" s="4" t="s">
        <v>25412</v>
      </c>
      <c r="I3678" t="s">
        <v>71</v>
      </c>
      <c r="J3678" t="s">
        <v>10782</v>
      </c>
      <c r="K3678" t="s">
        <v>25413</v>
      </c>
    </row>
    <row r="3679" spans="1:11" ht="158.4" x14ac:dyDescent="0.3">
      <c r="A3679" s="4" t="s">
        <v>3588</v>
      </c>
      <c r="B3679">
        <v>2</v>
      </c>
      <c r="C3679">
        <v>2019</v>
      </c>
      <c r="D3679" t="s">
        <v>177</v>
      </c>
      <c r="E3679">
        <v>1</v>
      </c>
      <c r="F3679" t="s">
        <v>25414</v>
      </c>
      <c r="G3679" t="s">
        <v>25415</v>
      </c>
      <c r="H3679" s="4" t="s">
        <v>25416</v>
      </c>
      <c r="I3679" t="s">
        <v>71</v>
      </c>
      <c r="J3679" t="s">
        <v>10782</v>
      </c>
      <c r="K3679" t="s">
        <v>25417</v>
      </c>
    </row>
    <row r="3680" spans="1:11" ht="129.6" x14ac:dyDescent="0.3">
      <c r="A3680" s="4" t="s">
        <v>6718</v>
      </c>
      <c r="B3680">
        <v>3</v>
      </c>
      <c r="C3680">
        <v>2019</v>
      </c>
      <c r="D3680" t="s">
        <v>1836</v>
      </c>
      <c r="E3680">
        <v>69</v>
      </c>
      <c r="F3680" t="s">
        <v>25418</v>
      </c>
      <c r="G3680" t="s">
        <v>25419</v>
      </c>
      <c r="H3680" s="4" t="s">
        <v>25420</v>
      </c>
      <c r="I3680" t="s">
        <v>71</v>
      </c>
      <c r="J3680" t="s">
        <v>10782</v>
      </c>
      <c r="K3680" t="s">
        <v>25421</v>
      </c>
    </row>
    <row r="3681" spans="1:11" ht="43.2" x14ac:dyDescent="0.3">
      <c r="A3681" s="4" t="s">
        <v>6719</v>
      </c>
      <c r="B3681">
        <v>3</v>
      </c>
      <c r="C3681">
        <v>2019</v>
      </c>
      <c r="D3681" t="s">
        <v>25422</v>
      </c>
      <c r="E3681">
        <v>5</v>
      </c>
      <c r="F3681" t="s">
        <v>25423</v>
      </c>
      <c r="G3681" t="s">
        <v>25424</v>
      </c>
      <c r="H3681" s="4" t="s">
        <v>25425</v>
      </c>
    </row>
    <row r="3682" spans="1:11" ht="144" x14ac:dyDescent="0.3">
      <c r="A3682" s="4" t="s">
        <v>6720</v>
      </c>
      <c r="B3682">
        <v>3</v>
      </c>
      <c r="C3682">
        <v>2019</v>
      </c>
      <c r="D3682" t="s">
        <v>25426</v>
      </c>
      <c r="E3682">
        <v>9</v>
      </c>
      <c r="F3682" t="s">
        <v>25427</v>
      </c>
      <c r="G3682" t="s">
        <v>25428</v>
      </c>
      <c r="H3682" s="4" t="s">
        <v>25429</v>
      </c>
      <c r="I3682" t="s">
        <v>71</v>
      </c>
      <c r="J3682" t="s">
        <v>10782</v>
      </c>
      <c r="K3682" t="s">
        <v>25430</v>
      </c>
    </row>
    <row r="3683" spans="1:11" ht="172.8" x14ac:dyDescent="0.3">
      <c r="A3683" s="4" t="s">
        <v>6721</v>
      </c>
      <c r="B3683">
        <v>3</v>
      </c>
      <c r="C3683">
        <v>2019</v>
      </c>
      <c r="D3683" t="s">
        <v>177</v>
      </c>
      <c r="E3683">
        <v>37</v>
      </c>
      <c r="F3683" t="s">
        <v>25431</v>
      </c>
      <c r="G3683" t="s">
        <v>25432</v>
      </c>
      <c r="H3683" s="4" t="s">
        <v>25433</v>
      </c>
      <c r="I3683" t="s">
        <v>71</v>
      </c>
      <c r="J3683" t="s">
        <v>10782</v>
      </c>
      <c r="K3683" t="s">
        <v>25434</v>
      </c>
    </row>
    <row r="3684" spans="1:11" ht="187.2" x14ac:dyDescent="0.3">
      <c r="A3684" s="4" t="s">
        <v>6722</v>
      </c>
      <c r="B3684">
        <v>3</v>
      </c>
      <c r="C3684">
        <v>2019</v>
      </c>
      <c r="D3684" t="s">
        <v>1570</v>
      </c>
      <c r="E3684">
        <v>4</v>
      </c>
      <c r="F3684" t="s">
        <v>25435</v>
      </c>
      <c r="G3684" t="s">
        <v>25436</v>
      </c>
      <c r="H3684" s="4" t="s">
        <v>25437</v>
      </c>
    </row>
    <row r="3685" spans="1:11" ht="244.8" x14ac:dyDescent="0.3">
      <c r="A3685" s="4" t="s">
        <v>2783</v>
      </c>
      <c r="B3685">
        <v>2</v>
      </c>
      <c r="C3685">
        <v>2019</v>
      </c>
      <c r="D3685" t="s">
        <v>177</v>
      </c>
      <c r="E3685">
        <v>65</v>
      </c>
      <c r="F3685" t="s">
        <v>25438</v>
      </c>
      <c r="G3685" t="s">
        <v>25439</v>
      </c>
      <c r="H3685" s="4" t="s">
        <v>25440</v>
      </c>
      <c r="I3685" t="s">
        <v>71</v>
      </c>
      <c r="J3685" t="s">
        <v>10782</v>
      </c>
      <c r="K3685" t="s">
        <v>25441</v>
      </c>
    </row>
    <row r="3686" spans="1:11" ht="201.6" x14ac:dyDescent="0.3">
      <c r="A3686" s="4" t="s">
        <v>6723</v>
      </c>
      <c r="B3686">
        <v>3</v>
      </c>
      <c r="C3686">
        <v>2019</v>
      </c>
      <c r="D3686" t="s">
        <v>528</v>
      </c>
      <c r="E3686">
        <v>13</v>
      </c>
      <c r="F3686" t="s">
        <v>25442</v>
      </c>
      <c r="G3686" t="s">
        <v>25443</v>
      </c>
      <c r="H3686" s="4" t="s">
        <v>25444</v>
      </c>
    </row>
    <row r="3687" spans="1:11" ht="158.4" x14ac:dyDescent="0.3">
      <c r="A3687" s="4" t="s">
        <v>6724</v>
      </c>
      <c r="B3687">
        <v>3</v>
      </c>
      <c r="C3687">
        <v>2019</v>
      </c>
      <c r="D3687" t="s">
        <v>1759</v>
      </c>
      <c r="E3687">
        <v>28</v>
      </c>
      <c r="F3687" t="s">
        <v>25445</v>
      </c>
      <c r="G3687" t="s">
        <v>25446</v>
      </c>
      <c r="H3687" s="4" t="s">
        <v>25447</v>
      </c>
      <c r="I3687" t="s">
        <v>71</v>
      </c>
      <c r="J3687" t="s">
        <v>10782</v>
      </c>
      <c r="K3687" t="s">
        <v>25448</v>
      </c>
    </row>
    <row r="3688" spans="1:11" ht="187.2" x14ac:dyDescent="0.3">
      <c r="A3688" s="4" t="s">
        <v>6725</v>
      </c>
      <c r="B3688">
        <v>3</v>
      </c>
      <c r="C3688">
        <v>2019</v>
      </c>
      <c r="D3688" t="s">
        <v>11064</v>
      </c>
      <c r="E3688">
        <v>41</v>
      </c>
      <c r="F3688" t="s">
        <v>25449</v>
      </c>
      <c r="G3688" t="s">
        <v>25450</v>
      </c>
      <c r="H3688" s="4" t="s">
        <v>25451</v>
      </c>
      <c r="I3688" t="s">
        <v>71</v>
      </c>
      <c r="J3688" t="s">
        <v>10782</v>
      </c>
      <c r="K3688" t="s">
        <v>25452</v>
      </c>
    </row>
    <row r="3689" spans="1:11" ht="144" x14ac:dyDescent="0.3">
      <c r="A3689" s="4" t="s">
        <v>6726</v>
      </c>
      <c r="B3689">
        <v>3</v>
      </c>
      <c r="C3689">
        <v>2019</v>
      </c>
      <c r="D3689" t="s">
        <v>10924</v>
      </c>
      <c r="E3689">
        <v>48</v>
      </c>
      <c r="F3689" t="s">
        <v>25453</v>
      </c>
      <c r="G3689" t="s">
        <v>25454</v>
      </c>
      <c r="H3689" s="4" t="s">
        <v>25455</v>
      </c>
    </row>
    <row r="3690" spans="1:11" ht="216" x14ac:dyDescent="0.3">
      <c r="A3690" s="4" t="s">
        <v>6727</v>
      </c>
      <c r="B3690">
        <v>3</v>
      </c>
      <c r="C3690">
        <v>2019</v>
      </c>
      <c r="D3690" t="s">
        <v>1802</v>
      </c>
      <c r="E3690">
        <v>37</v>
      </c>
      <c r="F3690" t="s">
        <v>25456</v>
      </c>
      <c r="G3690" t="s">
        <v>25457</v>
      </c>
      <c r="H3690" s="4" t="s">
        <v>25458</v>
      </c>
      <c r="I3690" t="s">
        <v>71</v>
      </c>
      <c r="J3690" t="s">
        <v>10782</v>
      </c>
      <c r="K3690" t="s">
        <v>25459</v>
      </c>
    </row>
    <row r="3691" spans="1:11" ht="144" x14ac:dyDescent="0.3">
      <c r="A3691" s="4" t="s">
        <v>6728</v>
      </c>
      <c r="B3691">
        <v>3</v>
      </c>
      <c r="C3691">
        <v>2019</v>
      </c>
      <c r="D3691" t="s">
        <v>2853</v>
      </c>
      <c r="E3691">
        <v>15</v>
      </c>
      <c r="F3691" t="s">
        <v>25460</v>
      </c>
      <c r="G3691" t="s">
        <v>25461</v>
      </c>
      <c r="H3691" s="4" t="s">
        <v>25462</v>
      </c>
      <c r="I3691" t="s">
        <v>71</v>
      </c>
      <c r="J3691" t="s">
        <v>10782</v>
      </c>
      <c r="K3691" t="s">
        <v>25463</v>
      </c>
    </row>
    <row r="3692" spans="1:11" ht="230.4" x14ac:dyDescent="0.3">
      <c r="A3692" s="4" t="s">
        <v>6729</v>
      </c>
      <c r="B3692">
        <v>3</v>
      </c>
      <c r="C3692">
        <v>2019</v>
      </c>
      <c r="D3692" t="s">
        <v>2416</v>
      </c>
      <c r="E3692">
        <v>22</v>
      </c>
      <c r="F3692" t="s">
        <v>25464</v>
      </c>
      <c r="G3692" t="s">
        <v>25465</v>
      </c>
      <c r="H3692" s="4" t="s">
        <v>25466</v>
      </c>
      <c r="I3692" t="s">
        <v>71</v>
      </c>
      <c r="J3692" t="s">
        <v>10782</v>
      </c>
      <c r="K3692" t="s">
        <v>25467</v>
      </c>
    </row>
    <row r="3693" spans="1:11" ht="244.8" x14ac:dyDescent="0.3">
      <c r="A3693" s="4" t="s">
        <v>6730</v>
      </c>
      <c r="B3693">
        <v>3</v>
      </c>
      <c r="C3693">
        <v>2019</v>
      </c>
      <c r="D3693" t="s">
        <v>2375</v>
      </c>
      <c r="E3693">
        <v>27</v>
      </c>
      <c r="F3693" t="s">
        <v>25468</v>
      </c>
      <c r="G3693" t="s">
        <v>25469</v>
      </c>
      <c r="H3693" s="4" t="s">
        <v>25470</v>
      </c>
      <c r="I3693" t="s">
        <v>71</v>
      </c>
      <c r="J3693" t="s">
        <v>10782</v>
      </c>
      <c r="K3693" t="s">
        <v>25471</v>
      </c>
    </row>
    <row r="3694" spans="1:11" ht="144" x14ac:dyDescent="0.3">
      <c r="A3694" s="4" t="s">
        <v>6731</v>
      </c>
      <c r="B3694">
        <v>3</v>
      </c>
      <c r="C3694">
        <v>2019</v>
      </c>
      <c r="D3694" t="s">
        <v>704</v>
      </c>
      <c r="E3694">
        <v>9</v>
      </c>
      <c r="F3694" t="s">
        <v>25472</v>
      </c>
      <c r="G3694" t="s">
        <v>25473</v>
      </c>
      <c r="H3694" s="4" t="s">
        <v>25474</v>
      </c>
      <c r="I3694" t="s">
        <v>71</v>
      </c>
      <c r="J3694" t="s">
        <v>10782</v>
      </c>
      <c r="K3694" t="s">
        <v>25475</v>
      </c>
    </row>
    <row r="3695" spans="1:11" ht="187.2" x14ac:dyDescent="0.3">
      <c r="A3695" s="4" t="s">
        <v>6732</v>
      </c>
      <c r="B3695">
        <v>3</v>
      </c>
      <c r="C3695">
        <v>2019</v>
      </c>
      <c r="D3695" t="s">
        <v>11574</v>
      </c>
      <c r="E3695">
        <v>61</v>
      </c>
      <c r="F3695" t="s">
        <v>25476</v>
      </c>
      <c r="G3695" t="s">
        <v>25477</v>
      </c>
      <c r="H3695" s="4" t="s">
        <v>25478</v>
      </c>
      <c r="I3695" t="s">
        <v>10823</v>
      </c>
      <c r="J3695" t="s">
        <v>10782</v>
      </c>
      <c r="K3695" t="s">
        <v>25479</v>
      </c>
    </row>
    <row r="3696" spans="1:11" ht="172.8" x14ac:dyDescent="0.3">
      <c r="A3696" s="4" t="s">
        <v>6733</v>
      </c>
      <c r="B3696">
        <v>3</v>
      </c>
      <c r="C3696">
        <v>2019</v>
      </c>
      <c r="D3696" t="s">
        <v>217</v>
      </c>
      <c r="E3696">
        <v>14</v>
      </c>
      <c r="F3696" t="s">
        <v>25480</v>
      </c>
      <c r="G3696" t="s">
        <v>25481</v>
      </c>
      <c r="H3696" s="4" t="s">
        <v>25482</v>
      </c>
      <c r="I3696" t="s">
        <v>71</v>
      </c>
      <c r="J3696" t="s">
        <v>10782</v>
      </c>
      <c r="K3696" t="s">
        <v>25483</v>
      </c>
    </row>
    <row r="3697" spans="1:11" ht="201.6" x14ac:dyDescent="0.3">
      <c r="A3697" s="4" t="s">
        <v>6734</v>
      </c>
      <c r="B3697">
        <v>3</v>
      </c>
      <c r="C3697">
        <v>2019</v>
      </c>
      <c r="D3697" t="s">
        <v>2819</v>
      </c>
      <c r="E3697">
        <v>48</v>
      </c>
      <c r="F3697" t="s">
        <v>25484</v>
      </c>
      <c r="G3697" t="s">
        <v>25485</v>
      </c>
      <c r="H3697" s="4" t="s">
        <v>25486</v>
      </c>
      <c r="I3697" t="s">
        <v>71</v>
      </c>
      <c r="J3697" t="s">
        <v>10782</v>
      </c>
      <c r="K3697" t="s">
        <v>25487</v>
      </c>
    </row>
    <row r="3698" spans="1:11" ht="144" x14ac:dyDescent="0.3">
      <c r="A3698" s="4" t="s">
        <v>6735</v>
      </c>
      <c r="B3698">
        <v>3</v>
      </c>
      <c r="C3698">
        <v>2019</v>
      </c>
      <c r="D3698" t="s">
        <v>12253</v>
      </c>
      <c r="E3698">
        <v>22</v>
      </c>
      <c r="F3698" t="s">
        <v>25488</v>
      </c>
      <c r="G3698" t="s">
        <v>25489</v>
      </c>
      <c r="H3698" s="4" t="s">
        <v>25490</v>
      </c>
      <c r="I3698" t="s">
        <v>71</v>
      </c>
      <c r="J3698" t="s">
        <v>10782</v>
      </c>
      <c r="K3698" t="s">
        <v>25491</v>
      </c>
    </row>
    <row r="3699" spans="1:11" ht="216" x14ac:dyDescent="0.3">
      <c r="A3699" s="4" t="s">
        <v>6736</v>
      </c>
      <c r="B3699">
        <v>3</v>
      </c>
      <c r="C3699">
        <v>2019</v>
      </c>
      <c r="D3699" t="s">
        <v>811</v>
      </c>
      <c r="E3699">
        <v>14</v>
      </c>
      <c r="F3699" t="s">
        <v>25492</v>
      </c>
      <c r="G3699" t="s">
        <v>25493</v>
      </c>
      <c r="H3699" s="4" t="s">
        <v>25494</v>
      </c>
      <c r="I3699" t="s">
        <v>71</v>
      </c>
      <c r="J3699" t="s">
        <v>10782</v>
      </c>
      <c r="K3699" t="s">
        <v>25495</v>
      </c>
    </row>
    <row r="3700" spans="1:11" ht="172.8" x14ac:dyDescent="0.3">
      <c r="A3700" s="4" t="s">
        <v>6737</v>
      </c>
      <c r="B3700">
        <v>3</v>
      </c>
      <c r="C3700">
        <v>2019</v>
      </c>
      <c r="D3700" t="s">
        <v>21140</v>
      </c>
      <c r="E3700">
        <v>24</v>
      </c>
      <c r="F3700" t="s">
        <v>25496</v>
      </c>
      <c r="G3700" t="s">
        <v>25497</v>
      </c>
      <c r="H3700" s="4" t="s">
        <v>25498</v>
      </c>
      <c r="I3700" t="s">
        <v>71</v>
      </c>
      <c r="J3700" t="s">
        <v>10782</v>
      </c>
      <c r="K3700" t="s">
        <v>25499</v>
      </c>
    </row>
    <row r="3701" spans="1:11" ht="86.4" x14ac:dyDescent="0.3">
      <c r="A3701" s="4" t="s">
        <v>6738</v>
      </c>
      <c r="B3701">
        <v>3</v>
      </c>
      <c r="C3701">
        <v>2019</v>
      </c>
      <c r="D3701" t="s">
        <v>329</v>
      </c>
      <c r="E3701">
        <v>18</v>
      </c>
      <c r="F3701" t="s">
        <v>25500</v>
      </c>
      <c r="G3701" t="s">
        <v>25501</v>
      </c>
      <c r="H3701" s="4" t="s">
        <v>25502</v>
      </c>
      <c r="I3701" t="s">
        <v>71</v>
      </c>
      <c r="J3701" t="s">
        <v>10782</v>
      </c>
      <c r="K3701" t="s">
        <v>25503</v>
      </c>
    </row>
    <row r="3702" spans="1:11" ht="158.4" x14ac:dyDescent="0.3">
      <c r="A3702" s="4" t="s">
        <v>6739</v>
      </c>
      <c r="B3702">
        <v>3</v>
      </c>
      <c r="C3702">
        <v>2019</v>
      </c>
      <c r="D3702" t="s">
        <v>817</v>
      </c>
      <c r="E3702">
        <v>37</v>
      </c>
      <c r="F3702" t="s">
        <v>25504</v>
      </c>
      <c r="G3702" t="s">
        <v>25505</v>
      </c>
      <c r="H3702" s="4" t="s">
        <v>25506</v>
      </c>
      <c r="I3702" t="s">
        <v>71</v>
      </c>
      <c r="J3702" t="s">
        <v>10782</v>
      </c>
      <c r="K3702" t="s">
        <v>25507</v>
      </c>
    </row>
    <row r="3703" spans="1:11" ht="100.8" x14ac:dyDescent="0.3">
      <c r="A3703" s="4" t="s">
        <v>6740</v>
      </c>
      <c r="B3703">
        <v>3</v>
      </c>
      <c r="C3703">
        <v>2019</v>
      </c>
      <c r="D3703" t="s">
        <v>227</v>
      </c>
      <c r="E3703">
        <v>97</v>
      </c>
      <c r="F3703" t="s">
        <v>25508</v>
      </c>
      <c r="G3703" t="s">
        <v>25509</v>
      </c>
      <c r="H3703" s="4" t="s">
        <v>25510</v>
      </c>
      <c r="I3703" t="s">
        <v>10823</v>
      </c>
      <c r="J3703" t="s">
        <v>10782</v>
      </c>
      <c r="K3703" t="s">
        <v>25511</v>
      </c>
    </row>
    <row r="3704" spans="1:11" ht="216" x14ac:dyDescent="0.3">
      <c r="A3704" s="4" t="s">
        <v>6741</v>
      </c>
      <c r="B3704">
        <v>3</v>
      </c>
      <c r="C3704">
        <v>2019</v>
      </c>
      <c r="D3704" t="s">
        <v>637</v>
      </c>
      <c r="E3704">
        <v>33</v>
      </c>
      <c r="F3704" t="s">
        <v>25512</v>
      </c>
      <c r="G3704" t="s">
        <v>25513</v>
      </c>
      <c r="H3704" s="4" t="s">
        <v>25514</v>
      </c>
      <c r="I3704" t="s">
        <v>71</v>
      </c>
      <c r="J3704" t="s">
        <v>10782</v>
      </c>
      <c r="K3704" t="s">
        <v>25515</v>
      </c>
    </row>
    <row r="3705" spans="1:11" ht="115.2" x14ac:dyDescent="0.3">
      <c r="A3705" s="4" t="s">
        <v>6742</v>
      </c>
      <c r="B3705">
        <v>3</v>
      </c>
      <c r="C3705">
        <v>2019</v>
      </c>
      <c r="D3705" t="s">
        <v>724</v>
      </c>
      <c r="E3705">
        <v>8</v>
      </c>
      <c r="F3705" t="s">
        <v>25516</v>
      </c>
      <c r="G3705" t="s">
        <v>25517</v>
      </c>
      <c r="H3705" s="4" t="s">
        <v>25518</v>
      </c>
      <c r="I3705" t="s">
        <v>71</v>
      </c>
      <c r="J3705" t="s">
        <v>10782</v>
      </c>
      <c r="K3705" t="s">
        <v>25519</v>
      </c>
    </row>
    <row r="3706" spans="1:11" ht="144" x14ac:dyDescent="0.3">
      <c r="A3706" s="4" t="s">
        <v>6743</v>
      </c>
      <c r="B3706">
        <v>3</v>
      </c>
      <c r="C3706">
        <v>2019</v>
      </c>
      <c r="D3706" t="s">
        <v>22082</v>
      </c>
      <c r="E3706">
        <v>2</v>
      </c>
      <c r="F3706" t="s">
        <v>25520</v>
      </c>
      <c r="G3706" t="s">
        <v>25521</v>
      </c>
      <c r="H3706" s="4" t="s">
        <v>25522</v>
      </c>
      <c r="I3706" t="s">
        <v>71</v>
      </c>
      <c r="J3706" t="s">
        <v>10782</v>
      </c>
      <c r="K3706" t="s">
        <v>25523</v>
      </c>
    </row>
    <row r="3707" spans="1:11" ht="129.6" x14ac:dyDescent="0.3">
      <c r="A3707" s="4" t="s">
        <v>6744</v>
      </c>
      <c r="B3707">
        <v>3</v>
      </c>
      <c r="C3707">
        <v>2019</v>
      </c>
      <c r="D3707" t="s">
        <v>528</v>
      </c>
      <c r="E3707">
        <v>35</v>
      </c>
      <c r="F3707" t="s">
        <v>25524</v>
      </c>
      <c r="G3707" t="s">
        <v>25525</v>
      </c>
      <c r="H3707" s="4" t="s">
        <v>25526</v>
      </c>
      <c r="I3707" t="s">
        <v>71</v>
      </c>
      <c r="J3707" t="s">
        <v>10782</v>
      </c>
      <c r="K3707" t="s">
        <v>25527</v>
      </c>
    </row>
    <row r="3708" spans="1:11" ht="144" x14ac:dyDescent="0.3">
      <c r="A3708" s="4" t="s">
        <v>6745</v>
      </c>
      <c r="B3708">
        <v>3</v>
      </c>
      <c r="C3708">
        <v>2019</v>
      </c>
      <c r="D3708" t="s">
        <v>1384</v>
      </c>
      <c r="E3708">
        <v>26</v>
      </c>
      <c r="F3708" t="s">
        <v>25528</v>
      </c>
      <c r="G3708" t="s">
        <v>25529</v>
      </c>
      <c r="H3708" s="4" t="s">
        <v>25530</v>
      </c>
      <c r="I3708" t="s">
        <v>71</v>
      </c>
      <c r="J3708" t="s">
        <v>10782</v>
      </c>
      <c r="K3708" t="s">
        <v>25531</v>
      </c>
    </row>
    <row r="3709" spans="1:11" ht="259.2" x14ac:dyDescent="0.3">
      <c r="A3709" s="4" t="s">
        <v>6746</v>
      </c>
      <c r="B3709">
        <v>3</v>
      </c>
      <c r="C3709">
        <v>2019</v>
      </c>
      <c r="D3709" t="s">
        <v>2819</v>
      </c>
      <c r="E3709">
        <v>17</v>
      </c>
      <c r="F3709" t="s">
        <v>25532</v>
      </c>
      <c r="G3709" t="s">
        <v>25533</v>
      </c>
      <c r="H3709" s="4" t="s">
        <v>25534</v>
      </c>
      <c r="I3709" t="s">
        <v>71</v>
      </c>
      <c r="J3709" t="s">
        <v>10782</v>
      </c>
      <c r="K3709" t="s">
        <v>25535</v>
      </c>
    </row>
    <row r="3710" spans="1:11" ht="230.4" x14ac:dyDescent="0.3">
      <c r="A3710" s="4" t="s">
        <v>6747</v>
      </c>
      <c r="B3710">
        <v>3</v>
      </c>
      <c r="C3710">
        <v>2019</v>
      </c>
      <c r="D3710" t="s">
        <v>217</v>
      </c>
      <c r="E3710">
        <v>6</v>
      </c>
      <c r="F3710" t="s">
        <v>25536</v>
      </c>
      <c r="G3710" t="s">
        <v>25537</v>
      </c>
      <c r="H3710" s="4" t="s">
        <v>25538</v>
      </c>
      <c r="I3710" t="s">
        <v>71</v>
      </c>
      <c r="J3710" t="s">
        <v>10782</v>
      </c>
      <c r="K3710" t="s">
        <v>25539</v>
      </c>
    </row>
    <row r="3711" spans="1:11" ht="144" x14ac:dyDescent="0.3">
      <c r="A3711" s="4" t="s">
        <v>1578</v>
      </c>
      <c r="B3711">
        <v>1</v>
      </c>
      <c r="C3711">
        <v>2019</v>
      </c>
      <c r="D3711" t="s">
        <v>550</v>
      </c>
      <c r="E3711">
        <v>6</v>
      </c>
      <c r="F3711" t="s">
        <v>25540</v>
      </c>
      <c r="G3711" t="s">
        <v>25541</v>
      </c>
      <c r="H3711" s="4" t="s">
        <v>25542</v>
      </c>
      <c r="I3711" t="s">
        <v>71</v>
      </c>
      <c r="J3711" t="s">
        <v>10782</v>
      </c>
      <c r="K3711" t="s">
        <v>25543</v>
      </c>
    </row>
    <row r="3712" spans="1:11" ht="129.6" x14ac:dyDescent="0.3">
      <c r="A3712" s="4" t="s">
        <v>6748</v>
      </c>
      <c r="B3712">
        <v>3</v>
      </c>
      <c r="C3712">
        <v>2019</v>
      </c>
      <c r="D3712" t="s">
        <v>11741</v>
      </c>
      <c r="E3712">
        <v>6</v>
      </c>
      <c r="F3712" t="s">
        <v>25544</v>
      </c>
      <c r="G3712" t="s">
        <v>25545</v>
      </c>
      <c r="H3712" s="4" t="s">
        <v>25546</v>
      </c>
      <c r="I3712" t="s">
        <v>71</v>
      </c>
      <c r="J3712" t="s">
        <v>10782</v>
      </c>
      <c r="K3712" t="s">
        <v>25547</v>
      </c>
    </row>
    <row r="3713" spans="1:11" ht="201.6" x14ac:dyDescent="0.3">
      <c r="A3713" s="4" t="s">
        <v>6749</v>
      </c>
      <c r="B3713">
        <v>3</v>
      </c>
      <c r="C3713">
        <v>2019</v>
      </c>
      <c r="D3713" t="s">
        <v>2222</v>
      </c>
      <c r="E3713">
        <v>6</v>
      </c>
      <c r="G3713" t="s">
        <v>25548</v>
      </c>
      <c r="H3713" s="4" t="s">
        <v>25549</v>
      </c>
      <c r="I3713" s="4" t="s">
        <v>71</v>
      </c>
      <c r="J3713" t="s">
        <v>10782</v>
      </c>
      <c r="K3713" t="s">
        <v>25550</v>
      </c>
    </row>
    <row r="3714" spans="1:11" ht="100.8" x14ac:dyDescent="0.3">
      <c r="A3714" s="4" t="s">
        <v>6750</v>
      </c>
      <c r="B3714">
        <v>3</v>
      </c>
      <c r="C3714">
        <v>2019</v>
      </c>
      <c r="D3714" t="s">
        <v>799</v>
      </c>
      <c r="E3714">
        <v>17</v>
      </c>
      <c r="F3714" t="s">
        <v>25551</v>
      </c>
      <c r="G3714" t="s">
        <v>25552</v>
      </c>
      <c r="H3714" s="4" t="s">
        <v>25553</v>
      </c>
    </row>
    <row r="3715" spans="1:11" ht="144" x14ac:dyDescent="0.3">
      <c r="A3715" s="4" t="s">
        <v>6751</v>
      </c>
      <c r="B3715">
        <v>3</v>
      </c>
      <c r="C3715">
        <v>2019</v>
      </c>
      <c r="D3715" t="s">
        <v>14147</v>
      </c>
      <c r="E3715">
        <v>13</v>
      </c>
      <c r="F3715" t="s">
        <v>25554</v>
      </c>
      <c r="G3715" t="s">
        <v>25555</v>
      </c>
      <c r="H3715" s="4" t="s">
        <v>25556</v>
      </c>
      <c r="I3715" t="s">
        <v>71</v>
      </c>
      <c r="J3715" t="s">
        <v>10782</v>
      </c>
      <c r="K3715" t="s">
        <v>25557</v>
      </c>
    </row>
    <row r="3716" spans="1:11" ht="43.2" x14ac:dyDescent="0.3">
      <c r="A3716" s="4" t="s">
        <v>6752</v>
      </c>
      <c r="B3716">
        <v>3</v>
      </c>
      <c r="C3716">
        <v>2019</v>
      </c>
      <c r="D3716" t="s">
        <v>15487</v>
      </c>
      <c r="E3716">
        <v>5</v>
      </c>
      <c r="F3716" t="s">
        <v>25558</v>
      </c>
      <c r="G3716" t="s">
        <v>25559</v>
      </c>
      <c r="H3716" s="4" t="s">
        <v>25560</v>
      </c>
    </row>
    <row r="3717" spans="1:11" ht="28.8" x14ac:dyDescent="0.3">
      <c r="A3717" s="4" t="s">
        <v>6753</v>
      </c>
      <c r="B3717">
        <v>3</v>
      </c>
      <c r="C3717">
        <v>2019</v>
      </c>
      <c r="D3717" t="s">
        <v>329</v>
      </c>
      <c r="E3717">
        <v>17</v>
      </c>
      <c r="F3717" t="s">
        <v>25561</v>
      </c>
      <c r="G3717" t="s">
        <v>25562</v>
      </c>
      <c r="H3717" s="4" t="s">
        <v>25563</v>
      </c>
    </row>
    <row r="3718" spans="1:11" ht="144" x14ac:dyDescent="0.3">
      <c r="A3718" s="4" t="s">
        <v>6754</v>
      </c>
      <c r="B3718">
        <v>3</v>
      </c>
      <c r="C3718">
        <v>2019</v>
      </c>
      <c r="D3718" t="s">
        <v>482</v>
      </c>
      <c r="E3718">
        <v>37</v>
      </c>
      <c r="F3718" t="s">
        <v>25564</v>
      </c>
      <c r="G3718" t="s">
        <v>25565</v>
      </c>
      <c r="H3718" s="4" t="s">
        <v>25566</v>
      </c>
      <c r="I3718" t="s">
        <v>71</v>
      </c>
      <c r="J3718" t="s">
        <v>10782</v>
      </c>
      <c r="K3718" t="s">
        <v>25567</v>
      </c>
    </row>
    <row r="3719" spans="1:11" ht="28.8" x14ac:dyDescent="0.3">
      <c r="A3719" s="4" t="s">
        <v>6755</v>
      </c>
      <c r="B3719">
        <v>3</v>
      </c>
      <c r="C3719">
        <v>2019</v>
      </c>
      <c r="D3719" t="s">
        <v>637</v>
      </c>
      <c r="E3719">
        <v>64</v>
      </c>
      <c r="F3719" t="s">
        <v>25568</v>
      </c>
      <c r="G3719" t="s">
        <v>25569</v>
      </c>
      <c r="H3719" s="4" t="s">
        <v>25570</v>
      </c>
    </row>
    <row r="3720" spans="1:11" ht="216" x14ac:dyDescent="0.3">
      <c r="A3720" s="4" t="s">
        <v>6756</v>
      </c>
      <c r="B3720">
        <v>3</v>
      </c>
      <c r="C3720">
        <v>2019</v>
      </c>
      <c r="D3720" t="s">
        <v>704</v>
      </c>
      <c r="E3720">
        <v>22</v>
      </c>
      <c r="F3720" t="s">
        <v>25571</v>
      </c>
      <c r="G3720" t="s">
        <v>25572</v>
      </c>
      <c r="H3720" s="4" t="s">
        <v>25573</v>
      </c>
      <c r="I3720" t="s">
        <v>71</v>
      </c>
      <c r="J3720" t="s">
        <v>10782</v>
      </c>
      <c r="K3720" t="s">
        <v>25574</v>
      </c>
    </row>
    <row r="3721" spans="1:11" ht="172.8" x14ac:dyDescent="0.3">
      <c r="A3721" s="4" t="s">
        <v>6757</v>
      </c>
      <c r="B3721">
        <v>3</v>
      </c>
      <c r="C3721">
        <v>2019</v>
      </c>
      <c r="D3721" t="s">
        <v>25358</v>
      </c>
      <c r="E3721">
        <v>12</v>
      </c>
      <c r="F3721" t="s">
        <v>25575</v>
      </c>
      <c r="G3721" t="s">
        <v>25576</v>
      </c>
      <c r="H3721" s="4" t="s">
        <v>25577</v>
      </c>
      <c r="I3721" t="s">
        <v>71</v>
      </c>
      <c r="J3721" t="s">
        <v>10782</v>
      </c>
      <c r="K3721" t="s">
        <v>25578</v>
      </c>
    </row>
    <row r="3722" spans="1:11" ht="172.8" x14ac:dyDescent="0.3">
      <c r="A3722" s="4" t="s">
        <v>6758</v>
      </c>
      <c r="B3722">
        <v>3</v>
      </c>
      <c r="C3722">
        <v>2019</v>
      </c>
      <c r="D3722" t="s">
        <v>2853</v>
      </c>
      <c r="E3722">
        <v>19</v>
      </c>
      <c r="F3722" t="s">
        <v>25579</v>
      </c>
      <c r="G3722" t="s">
        <v>25580</v>
      </c>
      <c r="H3722" s="4" t="s">
        <v>25581</v>
      </c>
      <c r="I3722" t="s">
        <v>71</v>
      </c>
      <c r="J3722" t="s">
        <v>10782</v>
      </c>
      <c r="K3722" t="s">
        <v>25582</v>
      </c>
    </row>
    <row r="3723" spans="1:11" ht="259.2" x14ac:dyDescent="0.3">
      <c r="A3723" s="4" t="s">
        <v>6759</v>
      </c>
      <c r="B3723">
        <v>3</v>
      </c>
      <c r="C3723">
        <v>2019</v>
      </c>
      <c r="D3723" t="s">
        <v>11617</v>
      </c>
      <c r="E3723">
        <v>7</v>
      </c>
      <c r="F3723" t="s">
        <v>25583</v>
      </c>
      <c r="G3723" t="s">
        <v>25584</v>
      </c>
      <c r="H3723" s="4" t="s">
        <v>25585</v>
      </c>
      <c r="I3723" t="s">
        <v>10945</v>
      </c>
      <c r="J3723" t="s">
        <v>10782</v>
      </c>
      <c r="K3723" t="s">
        <v>25586</v>
      </c>
    </row>
    <row r="3724" spans="1:11" ht="244.8" x14ac:dyDescent="0.3">
      <c r="A3724" s="4" t="s">
        <v>6760</v>
      </c>
      <c r="B3724">
        <v>3</v>
      </c>
      <c r="C3724">
        <v>2019</v>
      </c>
      <c r="D3724" t="s">
        <v>10924</v>
      </c>
      <c r="E3724">
        <v>18</v>
      </c>
      <c r="F3724" t="s">
        <v>25587</v>
      </c>
      <c r="G3724" t="s">
        <v>25588</v>
      </c>
      <c r="H3724" s="4" t="s">
        <v>25589</v>
      </c>
      <c r="I3724" t="s">
        <v>71</v>
      </c>
      <c r="J3724" t="s">
        <v>10782</v>
      </c>
      <c r="K3724" t="s">
        <v>25590</v>
      </c>
    </row>
    <row r="3725" spans="1:11" ht="115.2" x14ac:dyDescent="0.3">
      <c r="A3725" s="4" t="s">
        <v>6761</v>
      </c>
      <c r="B3725">
        <v>3</v>
      </c>
      <c r="C3725">
        <v>2019</v>
      </c>
      <c r="D3725" t="s">
        <v>25591</v>
      </c>
      <c r="E3725">
        <v>37</v>
      </c>
      <c r="F3725" t="s">
        <v>25592</v>
      </c>
      <c r="G3725" t="s">
        <v>25593</v>
      </c>
      <c r="H3725" s="4" t="s">
        <v>25594</v>
      </c>
      <c r="I3725" t="s">
        <v>71</v>
      </c>
      <c r="J3725" t="s">
        <v>10782</v>
      </c>
      <c r="K3725" t="s">
        <v>25595</v>
      </c>
    </row>
    <row r="3726" spans="1:11" ht="57.6" x14ac:dyDescent="0.3">
      <c r="A3726" s="4" t="s">
        <v>1579</v>
      </c>
      <c r="B3726">
        <v>1</v>
      </c>
      <c r="C3726">
        <v>2019</v>
      </c>
      <c r="D3726" t="s">
        <v>329</v>
      </c>
      <c r="E3726">
        <v>50</v>
      </c>
      <c r="F3726" t="s">
        <v>25596</v>
      </c>
      <c r="G3726" t="s">
        <v>25597</v>
      </c>
      <c r="H3726" s="4" t="s">
        <v>25598</v>
      </c>
    </row>
    <row r="3727" spans="1:11" ht="201.6" x14ac:dyDescent="0.3">
      <c r="A3727" s="4" t="s">
        <v>6762</v>
      </c>
      <c r="B3727">
        <v>3</v>
      </c>
      <c r="C3727">
        <v>2019</v>
      </c>
      <c r="D3727" t="s">
        <v>11598</v>
      </c>
      <c r="E3727">
        <v>52</v>
      </c>
      <c r="F3727" t="s">
        <v>25599</v>
      </c>
      <c r="G3727" t="s">
        <v>25600</v>
      </c>
      <c r="H3727" s="4" t="s">
        <v>25601</v>
      </c>
      <c r="I3727" t="s">
        <v>71</v>
      </c>
      <c r="J3727" t="s">
        <v>10782</v>
      </c>
      <c r="K3727" t="s">
        <v>25602</v>
      </c>
    </row>
    <row r="3728" spans="1:11" ht="172.8" x14ac:dyDescent="0.3">
      <c r="A3728" s="4" t="s">
        <v>6763</v>
      </c>
      <c r="B3728">
        <v>3</v>
      </c>
      <c r="C3728">
        <v>2019</v>
      </c>
      <c r="D3728" t="s">
        <v>637</v>
      </c>
      <c r="E3728">
        <v>17</v>
      </c>
      <c r="F3728" t="s">
        <v>25603</v>
      </c>
      <c r="G3728" t="s">
        <v>25604</v>
      </c>
      <c r="H3728" s="4" t="s">
        <v>25605</v>
      </c>
      <c r="I3728" t="s">
        <v>71</v>
      </c>
      <c r="J3728" t="s">
        <v>10782</v>
      </c>
      <c r="K3728" t="s">
        <v>25606</v>
      </c>
    </row>
    <row r="3729" spans="1:11" ht="115.2" x14ac:dyDescent="0.3">
      <c r="A3729" s="4" t="s">
        <v>6764</v>
      </c>
      <c r="B3729">
        <v>3</v>
      </c>
      <c r="C3729">
        <v>2019</v>
      </c>
      <c r="D3729" t="s">
        <v>10456</v>
      </c>
      <c r="E3729">
        <v>8</v>
      </c>
      <c r="F3729" t="s">
        <v>25607</v>
      </c>
      <c r="G3729" t="s">
        <v>25608</v>
      </c>
      <c r="H3729" s="4" t="s">
        <v>25609</v>
      </c>
      <c r="I3729" t="s">
        <v>71</v>
      </c>
      <c r="J3729" t="s">
        <v>10782</v>
      </c>
      <c r="K3729" t="s">
        <v>25610</v>
      </c>
    </row>
    <row r="3730" spans="1:11" ht="115.2" x14ac:dyDescent="0.3">
      <c r="A3730" s="4" t="s">
        <v>6765</v>
      </c>
      <c r="B3730">
        <v>3</v>
      </c>
      <c r="C3730">
        <v>2019</v>
      </c>
      <c r="D3730" t="s">
        <v>385</v>
      </c>
      <c r="E3730">
        <v>42</v>
      </c>
      <c r="F3730" t="s">
        <v>25611</v>
      </c>
      <c r="G3730" t="s">
        <v>25612</v>
      </c>
      <c r="H3730" s="4" t="s">
        <v>25613</v>
      </c>
      <c r="I3730" t="s">
        <v>71</v>
      </c>
      <c r="J3730" t="s">
        <v>10782</v>
      </c>
      <c r="K3730" t="s">
        <v>25614</v>
      </c>
    </row>
    <row r="3731" spans="1:11" ht="158.4" x14ac:dyDescent="0.3">
      <c r="A3731" s="4" t="s">
        <v>6766</v>
      </c>
      <c r="B3731">
        <v>3</v>
      </c>
      <c r="C3731">
        <v>2019</v>
      </c>
      <c r="D3731" t="s">
        <v>1794</v>
      </c>
      <c r="E3731">
        <v>3</v>
      </c>
      <c r="F3731" t="s">
        <v>25615</v>
      </c>
      <c r="G3731" t="s">
        <v>25616</v>
      </c>
      <c r="H3731" s="4" t="s">
        <v>25617</v>
      </c>
      <c r="I3731" t="s">
        <v>71</v>
      </c>
      <c r="J3731" t="s">
        <v>10782</v>
      </c>
      <c r="K3731" t="s">
        <v>25618</v>
      </c>
    </row>
    <row r="3732" spans="1:11" ht="158.4" x14ac:dyDescent="0.3">
      <c r="A3732" s="4" t="s">
        <v>6767</v>
      </c>
      <c r="B3732">
        <v>3</v>
      </c>
      <c r="C3732">
        <v>2019</v>
      </c>
      <c r="D3732" t="s">
        <v>2328</v>
      </c>
      <c r="E3732">
        <v>20</v>
      </c>
      <c r="F3732" t="s">
        <v>25619</v>
      </c>
      <c r="G3732" t="s">
        <v>25620</v>
      </c>
      <c r="H3732" s="4" t="s">
        <v>25621</v>
      </c>
      <c r="I3732" t="s">
        <v>71</v>
      </c>
      <c r="J3732" t="s">
        <v>10782</v>
      </c>
      <c r="K3732" t="s">
        <v>25622</v>
      </c>
    </row>
    <row r="3733" spans="1:11" ht="302.39999999999998" x14ac:dyDescent="0.3">
      <c r="A3733" s="4" t="s">
        <v>6768</v>
      </c>
      <c r="B3733">
        <v>3</v>
      </c>
      <c r="C3733">
        <v>2019</v>
      </c>
      <c r="D3733" t="s">
        <v>11327</v>
      </c>
      <c r="E3733">
        <v>21</v>
      </c>
      <c r="F3733" t="s">
        <v>25623</v>
      </c>
      <c r="G3733" t="s">
        <v>25624</v>
      </c>
      <c r="H3733" s="4" t="s">
        <v>25625</v>
      </c>
      <c r="I3733" t="s">
        <v>71</v>
      </c>
      <c r="J3733" t="s">
        <v>10782</v>
      </c>
      <c r="K3733" t="s">
        <v>25626</v>
      </c>
    </row>
    <row r="3734" spans="1:11" ht="100.8" x14ac:dyDescent="0.3">
      <c r="A3734" s="4" t="s">
        <v>6769</v>
      </c>
      <c r="B3734">
        <v>3</v>
      </c>
      <c r="C3734">
        <v>2019</v>
      </c>
      <c r="D3734" t="s">
        <v>1570</v>
      </c>
      <c r="E3734">
        <v>9</v>
      </c>
      <c r="F3734" t="s">
        <v>25627</v>
      </c>
      <c r="G3734" t="s">
        <v>25628</v>
      </c>
      <c r="H3734" s="4" t="s">
        <v>25629</v>
      </c>
    </row>
    <row r="3735" spans="1:11" ht="129.6" x14ac:dyDescent="0.3">
      <c r="A3735" s="4" t="s">
        <v>6770</v>
      </c>
      <c r="B3735">
        <v>3</v>
      </c>
      <c r="C3735">
        <v>2019</v>
      </c>
      <c r="D3735" t="s">
        <v>217</v>
      </c>
      <c r="E3735">
        <v>8</v>
      </c>
      <c r="F3735" t="s">
        <v>25630</v>
      </c>
      <c r="G3735" t="s">
        <v>25631</v>
      </c>
      <c r="H3735" s="4" t="s">
        <v>25632</v>
      </c>
      <c r="I3735" t="s">
        <v>71</v>
      </c>
      <c r="J3735" t="s">
        <v>10782</v>
      </c>
      <c r="K3735" t="s">
        <v>25633</v>
      </c>
    </row>
    <row r="3736" spans="1:11" ht="144" x14ac:dyDescent="0.3">
      <c r="A3736" s="4" t="s">
        <v>6771</v>
      </c>
      <c r="B3736">
        <v>3</v>
      </c>
      <c r="C3736">
        <v>2019</v>
      </c>
      <c r="D3736" t="s">
        <v>217</v>
      </c>
      <c r="E3736">
        <v>17</v>
      </c>
      <c r="F3736" t="s">
        <v>25634</v>
      </c>
      <c r="G3736" t="s">
        <v>25635</v>
      </c>
      <c r="H3736" s="4" t="s">
        <v>25636</v>
      </c>
      <c r="I3736" t="s">
        <v>71</v>
      </c>
      <c r="J3736" t="s">
        <v>10782</v>
      </c>
      <c r="K3736" t="s">
        <v>25637</v>
      </c>
    </row>
    <row r="3737" spans="1:11" ht="129.6" x14ac:dyDescent="0.3">
      <c r="A3737" s="4" t="s">
        <v>6772</v>
      </c>
      <c r="B3737">
        <v>3</v>
      </c>
      <c r="C3737">
        <v>2019</v>
      </c>
      <c r="D3737" t="s">
        <v>10057</v>
      </c>
      <c r="E3737">
        <v>5</v>
      </c>
      <c r="F3737" t="s">
        <v>25638</v>
      </c>
      <c r="G3737" t="s">
        <v>25639</v>
      </c>
      <c r="H3737" s="4" t="s">
        <v>25640</v>
      </c>
    </row>
    <row r="3738" spans="1:11" ht="43.2" x14ac:dyDescent="0.3">
      <c r="A3738" s="4" t="s">
        <v>6773</v>
      </c>
      <c r="B3738">
        <v>3</v>
      </c>
      <c r="C3738">
        <v>2019</v>
      </c>
      <c r="D3738" t="s">
        <v>11159</v>
      </c>
      <c r="E3738">
        <v>24</v>
      </c>
      <c r="F3738" t="s">
        <v>25641</v>
      </c>
      <c r="G3738" t="s">
        <v>25642</v>
      </c>
      <c r="H3738" s="4" t="s">
        <v>25643</v>
      </c>
    </row>
    <row r="3739" spans="1:11" ht="216" x14ac:dyDescent="0.3">
      <c r="A3739" s="4" t="s">
        <v>6774</v>
      </c>
      <c r="B3739">
        <v>3</v>
      </c>
      <c r="C3739">
        <v>2019</v>
      </c>
      <c r="D3739" t="s">
        <v>164</v>
      </c>
      <c r="E3739">
        <v>17</v>
      </c>
      <c r="F3739" t="s">
        <v>25644</v>
      </c>
      <c r="G3739" t="s">
        <v>25645</v>
      </c>
      <c r="H3739" s="4" t="s">
        <v>25646</v>
      </c>
      <c r="I3739" t="s">
        <v>71</v>
      </c>
      <c r="J3739" t="s">
        <v>10782</v>
      </c>
      <c r="K3739" t="s">
        <v>25647</v>
      </c>
    </row>
    <row r="3740" spans="1:11" ht="158.4" x14ac:dyDescent="0.3">
      <c r="A3740" s="4" t="s">
        <v>6775</v>
      </c>
      <c r="B3740">
        <v>3</v>
      </c>
      <c r="C3740">
        <v>2019</v>
      </c>
      <c r="D3740" t="s">
        <v>12593</v>
      </c>
      <c r="E3740">
        <v>3</v>
      </c>
      <c r="F3740" t="s">
        <v>25648</v>
      </c>
      <c r="G3740" t="s">
        <v>25649</v>
      </c>
      <c r="H3740" s="4" t="s">
        <v>25650</v>
      </c>
      <c r="I3740" t="s">
        <v>71</v>
      </c>
      <c r="J3740" t="s">
        <v>10782</v>
      </c>
      <c r="K3740" t="s">
        <v>25651</v>
      </c>
    </row>
    <row r="3741" spans="1:11" ht="187.2" x14ac:dyDescent="0.3">
      <c r="A3741" s="4" t="s">
        <v>6776</v>
      </c>
      <c r="B3741">
        <v>3</v>
      </c>
      <c r="C3741">
        <v>2019</v>
      </c>
      <c r="D3741" t="s">
        <v>2416</v>
      </c>
      <c r="E3741">
        <v>74</v>
      </c>
      <c r="F3741" t="s">
        <v>25652</v>
      </c>
      <c r="G3741" t="s">
        <v>25653</v>
      </c>
      <c r="H3741" s="4" t="s">
        <v>25654</v>
      </c>
      <c r="I3741" t="s">
        <v>71</v>
      </c>
      <c r="J3741" t="s">
        <v>10782</v>
      </c>
      <c r="K3741" t="s">
        <v>25655</v>
      </c>
    </row>
    <row r="3742" spans="1:11" ht="273.60000000000002" x14ac:dyDescent="0.3">
      <c r="A3742" s="4" t="s">
        <v>6777</v>
      </c>
      <c r="B3742">
        <v>3</v>
      </c>
      <c r="C3742">
        <v>2019</v>
      </c>
      <c r="D3742" t="s">
        <v>21542</v>
      </c>
      <c r="E3742">
        <v>29</v>
      </c>
      <c r="F3742" t="s">
        <v>25656</v>
      </c>
      <c r="G3742" t="s">
        <v>25657</v>
      </c>
      <c r="H3742" s="4" t="s">
        <v>25658</v>
      </c>
      <c r="I3742" t="s">
        <v>71</v>
      </c>
      <c r="J3742" t="s">
        <v>10782</v>
      </c>
      <c r="K3742" t="s">
        <v>25659</v>
      </c>
    </row>
    <row r="3743" spans="1:11" ht="172.8" x14ac:dyDescent="0.3">
      <c r="A3743" s="4" t="s">
        <v>6778</v>
      </c>
      <c r="B3743">
        <v>3</v>
      </c>
      <c r="C3743">
        <v>2019</v>
      </c>
      <c r="D3743" t="s">
        <v>217</v>
      </c>
      <c r="E3743">
        <v>14</v>
      </c>
      <c r="F3743" t="s">
        <v>25660</v>
      </c>
      <c r="G3743" t="s">
        <v>25661</v>
      </c>
      <c r="H3743" s="4" t="s">
        <v>25662</v>
      </c>
      <c r="I3743" t="s">
        <v>71</v>
      </c>
      <c r="J3743" t="s">
        <v>10782</v>
      </c>
      <c r="K3743" t="s">
        <v>25663</v>
      </c>
    </row>
    <row r="3744" spans="1:11" ht="216" x14ac:dyDescent="0.3">
      <c r="A3744" s="4" t="s">
        <v>6779</v>
      </c>
      <c r="B3744">
        <v>3</v>
      </c>
      <c r="C3744">
        <v>2019</v>
      </c>
      <c r="D3744" t="s">
        <v>637</v>
      </c>
      <c r="E3744">
        <v>12</v>
      </c>
      <c r="F3744" t="s">
        <v>25664</v>
      </c>
      <c r="G3744" t="s">
        <v>25665</v>
      </c>
      <c r="H3744" s="4" t="s">
        <v>25666</v>
      </c>
      <c r="I3744" t="s">
        <v>71</v>
      </c>
      <c r="J3744" t="s">
        <v>10782</v>
      </c>
      <c r="K3744" t="s">
        <v>25667</v>
      </c>
    </row>
    <row r="3745" spans="1:11" ht="201.6" x14ac:dyDescent="0.3">
      <c r="A3745" s="4" t="s">
        <v>6780</v>
      </c>
      <c r="B3745">
        <v>3</v>
      </c>
      <c r="C3745">
        <v>2019</v>
      </c>
      <c r="D3745" t="s">
        <v>550</v>
      </c>
      <c r="E3745">
        <v>4</v>
      </c>
      <c r="F3745" t="s">
        <v>25668</v>
      </c>
      <c r="G3745" t="s">
        <v>25669</v>
      </c>
      <c r="H3745" s="4" t="s">
        <v>25670</v>
      </c>
      <c r="I3745" t="s">
        <v>71</v>
      </c>
      <c r="J3745" t="s">
        <v>10782</v>
      </c>
      <c r="K3745" t="s">
        <v>25671</v>
      </c>
    </row>
    <row r="3746" spans="1:11" ht="144" x14ac:dyDescent="0.3">
      <c r="A3746" s="4" t="s">
        <v>6781</v>
      </c>
      <c r="B3746">
        <v>3</v>
      </c>
      <c r="C3746">
        <v>2019</v>
      </c>
      <c r="D3746" t="s">
        <v>18774</v>
      </c>
      <c r="E3746">
        <v>18</v>
      </c>
      <c r="F3746" t="s">
        <v>25672</v>
      </c>
      <c r="G3746" t="s">
        <v>25673</v>
      </c>
      <c r="H3746" s="4" t="s">
        <v>25674</v>
      </c>
      <c r="I3746" t="s">
        <v>71</v>
      </c>
      <c r="J3746" t="s">
        <v>10782</v>
      </c>
      <c r="K3746" t="s">
        <v>25675</v>
      </c>
    </row>
    <row r="3747" spans="1:11" ht="129.6" x14ac:dyDescent="0.3">
      <c r="A3747" s="4" t="s">
        <v>6782</v>
      </c>
      <c r="B3747">
        <v>3</v>
      </c>
      <c r="C3747">
        <v>2019</v>
      </c>
      <c r="D3747" t="s">
        <v>1570</v>
      </c>
      <c r="E3747">
        <v>5</v>
      </c>
      <c r="F3747" t="s">
        <v>25676</v>
      </c>
      <c r="G3747" t="s">
        <v>25677</v>
      </c>
      <c r="H3747" s="4" t="s">
        <v>25678</v>
      </c>
    </row>
    <row r="3748" spans="1:11" ht="158.4" x14ac:dyDescent="0.3">
      <c r="A3748" s="4" t="s">
        <v>6783</v>
      </c>
      <c r="B3748">
        <v>3</v>
      </c>
      <c r="C3748">
        <v>2019</v>
      </c>
      <c r="D3748" t="s">
        <v>10825</v>
      </c>
      <c r="E3748">
        <v>9</v>
      </c>
      <c r="F3748" t="s">
        <v>25679</v>
      </c>
      <c r="G3748" t="s">
        <v>25680</v>
      </c>
      <c r="H3748" s="4" t="s">
        <v>25681</v>
      </c>
      <c r="I3748" t="s">
        <v>71</v>
      </c>
      <c r="J3748" t="s">
        <v>10782</v>
      </c>
      <c r="K3748" t="s">
        <v>25682</v>
      </c>
    </row>
    <row r="3749" spans="1:11" ht="187.2" x14ac:dyDescent="0.3">
      <c r="A3749" s="4" t="s">
        <v>6784</v>
      </c>
      <c r="B3749">
        <v>3</v>
      </c>
      <c r="C3749">
        <v>2019</v>
      </c>
      <c r="D3749" t="s">
        <v>1746</v>
      </c>
      <c r="E3749">
        <v>21</v>
      </c>
      <c r="F3749" t="s">
        <v>25683</v>
      </c>
      <c r="G3749" t="s">
        <v>25684</v>
      </c>
      <c r="H3749" s="4" t="s">
        <v>25685</v>
      </c>
      <c r="I3749" t="s">
        <v>71</v>
      </c>
      <c r="J3749" t="s">
        <v>10782</v>
      </c>
      <c r="K3749" t="s">
        <v>25686</v>
      </c>
    </row>
    <row r="3750" spans="1:11" ht="100.8" x14ac:dyDescent="0.3">
      <c r="A3750" s="4" t="s">
        <v>6785</v>
      </c>
      <c r="B3750">
        <v>3</v>
      </c>
      <c r="C3750">
        <v>2019</v>
      </c>
      <c r="D3750" t="s">
        <v>12593</v>
      </c>
      <c r="E3750">
        <v>15</v>
      </c>
      <c r="F3750" t="s">
        <v>25687</v>
      </c>
      <c r="G3750" t="s">
        <v>25688</v>
      </c>
      <c r="H3750" s="4" t="s">
        <v>25689</v>
      </c>
      <c r="I3750" t="s">
        <v>71</v>
      </c>
      <c r="J3750" t="s">
        <v>10782</v>
      </c>
      <c r="K3750" t="s">
        <v>25690</v>
      </c>
    </row>
    <row r="3751" spans="1:11" ht="158.4" x14ac:dyDescent="0.3">
      <c r="A3751" s="4" t="s">
        <v>6786</v>
      </c>
      <c r="B3751">
        <v>3</v>
      </c>
      <c r="C3751">
        <v>2019</v>
      </c>
      <c r="D3751" t="s">
        <v>2859</v>
      </c>
      <c r="E3751">
        <v>13</v>
      </c>
      <c r="F3751" t="s">
        <v>25691</v>
      </c>
      <c r="G3751" t="s">
        <v>25692</v>
      </c>
      <c r="H3751" s="4" t="s">
        <v>25693</v>
      </c>
      <c r="I3751" t="s">
        <v>71</v>
      </c>
      <c r="J3751" t="s">
        <v>10782</v>
      </c>
      <c r="K3751" t="s">
        <v>25694</v>
      </c>
    </row>
    <row r="3752" spans="1:11" ht="144" x14ac:dyDescent="0.3">
      <c r="A3752" s="4" t="s">
        <v>6787</v>
      </c>
      <c r="B3752">
        <v>3</v>
      </c>
      <c r="C3752">
        <v>2019</v>
      </c>
      <c r="D3752" t="s">
        <v>1401</v>
      </c>
      <c r="E3752">
        <v>20</v>
      </c>
      <c r="F3752" t="s">
        <v>25695</v>
      </c>
      <c r="G3752" t="s">
        <v>25696</v>
      </c>
      <c r="H3752" s="4" t="s">
        <v>25697</v>
      </c>
      <c r="I3752" t="s">
        <v>71</v>
      </c>
      <c r="J3752" t="s">
        <v>10782</v>
      </c>
      <c r="K3752" t="s">
        <v>25698</v>
      </c>
    </row>
    <row r="3753" spans="1:11" ht="158.4" x14ac:dyDescent="0.3">
      <c r="A3753" s="4" t="s">
        <v>6788</v>
      </c>
      <c r="B3753">
        <v>3</v>
      </c>
      <c r="C3753">
        <v>2019</v>
      </c>
      <c r="D3753" t="s">
        <v>18825</v>
      </c>
      <c r="E3753">
        <v>1</v>
      </c>
      <c r="F3753" t="s">
        <v>25699</v>
      </c>
      <c r="G3753" t="s">
        <v>25700</v>
      </c>
      <c r="H3753" s="4" t="s">
        <v>25701</v>
      </c>
      <c r="I3753" t="s">
        <v>71</v>
      </c>
      <c r="J3753" t="s">
        <v>10782</v>
      </c>
      <c r="K3753" t="s">
        <v>25702</v>
      </c>
    </row>
    <row r="3754" spans="1:11" ht="201.6" x14ac:dyDescent="0.3">
      <c r="A3754" s="4" t="s">
        <v>6789</v>
      </c>
      <c r="B3754">
        <v>3</v>
      </c>
      <c r="C3754">
        <v>2019</v>
      </c>
      <c r="D3754" t="s">
        <v>637</v>
      </c>
      <c r="E3754">
        <v>17</v>
      </c>
      <c r="F3754" t="s">
        <v>25703</v>
      </c>
      <c r="G3754" t="s">
        <v>25704</v>
      </c>
      <c r="H3754" s="4" t="s">
        <v>25705</v>
      </c>
      <c r="I3754" t="s">
        <v>71</v>
      </c>
      <c r="J3754" t="s">
        <v>10782</v>
      </c>
      <c r="K3754" t="s">
        <v>25706</v>
      </c>
    </row>
    <row r="3755" spans="1:11" ht="201.6" x14ac:dyDescent="0.3">
      <c r="A3755" s="4" t="s">
        <v>6790</v>
      </c>
      <c r="B3755">
        <v>3</v>
      </c>
      <c r="C3755">
        <v>2019</v>
      </c>
      <c r="D3755" t="s">
        <v>2585</v>
      </c>
      <c r="E3755">
        <v>16</v>
      </c>
      <c r="F3755" t="s">
        <v>25707</v>
      </c>
      <c r="G3755" t="s">
        <v>25708</v>
      </c>
      <c r="H3755" s="4" t="s">
        <v>25709</v>
      </c>
      <c r="I3755" t="s">
        <v>71</v>
      </c>
      <c r="J3755" t="s">
        <v>10782</v>
      </c>
      <c r="K3755" t="s">
        <v>25710</v>
      </c>
    </row>
    <row r="3756" spans="1:11" ht="72" x14ac:dyDescent="0.3">
      <c r="A3756" s="4" t="s">
        <v>6791</v>
      </c>
      <c r="B3756">
        <v>3</v>
      </c>
      <c r="C3756">
        <v>2019</v>
      </c>
      <c r="D3756" t="s">
        <v>679</v>
      </c>
      <c r="E3756">
        <v>19</v>
      </c>
      <c r="F3756" t="s">
        <v>25711</v>
      </c>
      <c r="G3756" t="s">
        <v>25712</v>
      </c>
      <c r="H3756" s="4" t="s">
        <v>25713</v>
      </c>
    </row>
    <row r="3757" spans="1:11" ht="259.2" x14ac:dyDescent="0.3">
      <c r="A3757" s="4" t="s">
        <v>6792</v>
      </c>
      <c r="B3757">
        <v>3</v>
      </c>
      <c r="C3757">
        <v>2019</v>
      </c>
      <c r="D3757" t="s">
        <v>497</v>
      </c>
      <c r="E3757">
        <v>44</v>
      </c>
      <c r="F3757" t="s">
        <v>25714</v>
      </c>
      <c r="G3757" t="s">
        <v>25715</v>
      </c>
      <c r="H3757" s="4" t="s">
        <v>25716</v>
      </c>
      <c r="I3757" t="s">
        <v>71</v>
      </c>
      <c r="J3757" t="s">
        <v>10782</v>
      </c>
      <c r="K3757" t="s">
        <v>25717</v>
      </c>
    </row>
    <row r="3758" spans="1:11" ht="86.4" x14ac:dyDescent="0.3">
      <c r="A3758" s="4" t="s">
        <v>6793</v>
      </c>
      <c r="B3758">
        <v>3</v>
      </c>
      <c r="C3758">
        <v>2019</v>
      </c>
      <c r="D3758" t="s">
        <v>550</v>
      </c>
      <c r="E3758">
        <v>14</v>
      </c>
      <c r="F3758" t="s">
        <v>25718</v>
      </c>
      <c r="G3758" t="s">
        <v>25719</v>
      </c>
      <c r="H3758" s="4" t="s">
        <v>25720</v>
      </c>
    </row>
    <row r="3759" spans="1:11" ht="129.6" x14ac:dyDescent="0.3">
      <c r="A3759" s="4" t="s">
        <v>6794</v>
      </c>
      <c r="B3759">
        <v>3</v>
      </c>
      <c r="C3759">
        <v>2019</v>
      </c>
      <c r="D3759" t="s">
        <v>15454</v>
      </c>
      <c r="E3759">
        <v>21</v>
      </c>
      <c r="F3759" t="s">
        <v>25721</v>
      </c>
      <c r="G3759" t="s">
        <v>25722</v>
      </c>
      <c r="H3759" s="4" t="s">
        <v>25723</v>
      </c>
      <c r="I3759" t="s">
        <v>71</v>
      </c>
      <c r="J3759" t="s">
        <v>10782</v>
      </c>
      <c r="K3759" t="s">
        <v>25724</v>
      </c>
    </row>
    <row r="3760" spans="1:11" ht="144" x14ac:dyDescent="0.3">
      <c r="A3760" s="4" t="s">
        <v>6795</v>
      </c>
      <c r="B3760">
        <v>3</v>
      </c>
      <c r="C3760">
        <v>2019</v>
      </c>
      <c r="D3760" t="s">
        <v>637</v>
      </c>
      <c r="E3760">
        <v>33</v>
      </c>
      <c r="F3760" t="s">
        <v>25725</v>
      </c>
      <c r="G3760" t="s">
        <v>25726</v>
      </c>
      <c r="H3760" s="4" t="s">
        <v>25727</v>
      </c>
      <c r="I3760" t="s">
        <v>71</v>
      </c>
      <c r="J3760" t="s">
        <v>10782</v>
      </c>
      <c r="K3760" t="s">
        <v>25728</v>
      </c>
    </row>
    <row r="3761" spans="1:11" ht="216" x14ac:dyDescent="0.3">
      <c r="A3761" s="4" t="s">
        <v>6796</v>
      </c>
      <c r="B3761">
        <v>3</v>
      </c>
      <c r="C3761">
        <v>2019</v>
      </c>
      <c r="D3761" t="s">
        <v>817</v>
      </c>
      <c r="E3761">
        <v>7</v>
      </c>
      <c r="F3761" t="s">
        <v>25729</v>
      </c>
      <c r="G3761" t="s">
        <v>25730</v>
      </c>
      <c r="H3761" s="4" t="s">
        <v>25731</v>
      </c>
      <c r="I3761" t="s">
        <v>71</v>
      </c>
      <c r="J3761" t="s">
        <v>10782</v>
      </c>
      <c r="K3761" t="s">
        <v>25732</v>
      </c>
    </row>
    <row r="3762" spans="1:11" ht="129.6" x14ac:dyDescent="0.3">
      <c r="A3762" s="4" t="s">
        <v>6797</v>
      </c>
      <c r="B3762">
        <v>3</v>
      </c>
      <c r="C3762">
        <v>2019</v>
      </c>
      <c r="D3762" t="s">
        <v>12318</v>
      </c>
      <c r="E3762">
        <v>125</v>
      </c>
      <c r="F3762" t="s">
        <v>25733</v>
      </c>
      <c r="G3762" t="s">
        <v>25734</v>
      </c>
      <c r="H3762" s="4" t="s">
        <v>25735</v>
      </c>
      <c r="I3762" t="s">
        <v>71</v>
      </c>
      <c r="J3762" t="s">
        <v>10782</v>
      </c>
      <c r="K3762" t="s">
        <v>25736</v>
      </c>
    </row>
    <row r="3763" spans="1:11" ht="187.2" x14ac:dyDescent="0.3">
      <c r="A3763" s="4" t="s">
        <v>6798</v>
      </c>
      <c r="B3763">
        <v>3</v>
      </c>
      <c r="C3763">
        <v>2019</v>
      </c>
      <c r="D3763" t="s">
        <v>217</v>
      </c>
      <c r="E3763">
        <v>45</v>
      </c>
      <c r="F3763" t="s">
        <v>25737</v>
      </c>
      <c r="G3763" t="s">
        <v>25738</v>
      </c>
      <c r="H3763" s="4" t="s">
        <v>25739</v>
      </c>
    </row>
    <row r="3764" spans="1:11" ht="187.2" x14ac:dyDescent="0.3">
      <c r="A3764" s="4" t="s">
        <v>6799</v>
      </c>
      <c r="B3764">
        <v>3</v>
      </c>
      <c r="C3764">
        <v>2019</v>
      </c>
      <c r="D3764" t="s">
        <v>724</v>
      </c>
      <c r="E3764">
        <v>81</v>
      </c>
      <c r="F3764" t="s">
        <v>25740</v>
      </c>
      <c r="G3764" t="s">
        <v>25741</v>
      </c>
      <c r="H3764" s="4" t="s">
        <v>25742</v>
      </c>
      <c r="I3764" t="s">
        <v>71</v>
      </c>
      <c r="J3764" t="s">
        <v>10782</v>
      </c>
      <c r="K3764" t="s">
        <v>25743</v>
      </c>
    </row>
    <row r="3765" spans="1:11" ht="129.6" x14ac:dyDescent="0.3">
      <c r="A3765" s="4" t="s">
        <v>6800</v>
      </c>
      <c r="B3765">
        <v>3</v>
      </c>
      <c r="C3765">
        <v>2019</v>
      </c>
      <c r="D3765" t="s">
        <v>17273</v>
      </c>
      <c r="E3765">
        <v>14</v>
      </c>
      <c r="F3765" t="s">
        <v>25744</v>
      </c>
      <c r="G3765" t="s">
        <v>25745</v>
      </c>
      <c r="H3765" s="4" t="s">
        <v>25746</v>
      </c>
      <c r="I3765" t="s">
        <v>71</v>
      </c>
      <c r="J3765" t="s">
        <v>10782</v>
      </c>
      <c r="K3765" t="s">
        <v>25747</v>
      </c>
    </row>
    <row r="3766" spans="1:11" ht="172.8" x14ac:dyDescent="0.3">
      <c r="A3766" s="4" t="s">
        <v>6801</v>
      </c>
      <c r="B3766">
        <v>3</v>
      </c>
      <c r="C3766">
        <v>2019</v>
      </c>
      <c r="D3766" t="s">
        <v>637</v>
      </c>
      <c r="E3766">
        <v>69</v>
      </c>
      <c r="F3766" t="s">
        <v>25748</v>
      </c>
      <c r="G3766" t="s">
        <v>25749</v>
      </c>
      <c r="H3766" s="4" t="s">
        <v>25750</v>
      </c>
      <c r="I3766" t="s">
        <v>71</v>
      </c>
      <c r="J3766" t="s">
        <v>10782</v>
      </c>
      <c r="K3766" t="s">
        <v>25751</v>
      </c>
    </row>
    <row r="3767" spans="1:11" ht="187.2" x14ac:dyDescent="0.3">
      <c r="A3767" s="4" t="s">
        <v>6802</v>
      </c>
      <c r="B3767">
        <v>3</v>
      </c>
      <c r="C3767">
        <v>2019</v>
      </c>
      <c r="D3767" t="s">
        <v>2375</v>
      </c>
      <c r="E3767">
        <v>23</v>
      </c>
      <c r="F3767" t="s">
        <v>25752</v>
      </c>
      <c r="G3767" t="s">
        <v>25753</v>
      </c>
      <c r="H3767" s="4" t="s">
        <v>25754</v>
      </c>
      <c r="I3767" t="s">
        <v>71</v>
      </c>
      <c r="J3767" t="s">
        <v>10782</v>
      </c>
      <c r="K3767" t="s">
        <v>25755</v>
      </c>
    </row>
    <row r="3768" spans="1:11" ht="172.8" x14ac:dyDescent="0.3">
      <c r="A3768" s="4" t="s">
        <v>6803</v>
      </c>
      <c r="B3768">
        <v>3</v>
      </c>
      <c r="C3768">
        <v>2019</v>
      </c>
      <c r="D3768" t="s">
        <v>217</v>
      </c>
      <c r="E3768">
        <v>22</v>
      </c>
      <c r="F3768" t="s">
        <v>25756</v>
      </c>
      <c r="G3768" t="s">
        <v>25757</v>
      </c>
      <c r="H3768" s="4" t="s">
        <v>25758</v>
      </c>
      <c r="I3768" t="s">
        <v>71</v>
      </c>
      <c r="J3768" t="s">
        <v>10782</v>
      </c>
      <c r="K3768" t="s">
        <v>25759</v>
      </c>
    </row>
    <row r="3769" spans="1:11" ht="216" x14ac:dyDescent="0.3">
      <c r="A3769" s="4" t="s">
        <v>6804</v>
      </c>
      <c r="B3769">
        <v>3</v>
      </c>
      <c r="C3769">
        <v>2019</v>
      </c>
      <c r="D3769" t="s">
        <v>11164</v>
      </c>
      <c r="E3769">
        <v>14</v>
      </c>
      <c r="F3769" t="s">
        <v>25760</v>
      </c>
      <c r="G3769" t="s">
        <v>25761</v>
      </c>
      <c r="H3769" s="4" t="s">
        <v>25762</v>
      </c>
      <c r="I3769" t="s">
        <v>71</v>
      </c>
      <c r="J3769" t="s">
        <v>10782</v>
      </c>
      <c r="K3769" t="s">
        <v>25763</v>
      </c>
    </row>
    <row r="3770" spans="1:11" ht="86.4" x14ac:dyDescent="0.3">
      <c r="A3770" s="4" t="s">
        <v>6805</v>
      </c>
      <c r="B3770">
        <v>3</v>
      </c>
      <c r="C3770">
        <v>2019</v>
      </c>
      <c r="D3770" t="s">
        <v>14061</v>
      </c>
      <c r="E3770">
        <v>7</v>
      </c>
      <c r="F3770" t="s">
        <v>25764</v>
      </c>
      <c r="G3770" t="s">
        <v>25765</v>
      </c>
      <c r="H3770" s="4" t="s">
        <v>25766</v>
      </c>
    </row>
    <row r="3771" spans="1:11" ht="216" x14ac:dyDescent="0.3">
      <c r="A3771" s="4" t="s">
        <v>6806</v>
      </c>
      <c r="B3771">
        <v>3</v>
      </c>
      <c r="C3771">
        <v>2019</v>
      </c>
      <c r="D3771" t="s">
        <v>704</v>
      </c>
      <c r="E3771">
        <v>76</v>
      </c>
      <c r="F3771" t="s">
        <v>25767</v>
      </c>
      <c r="G3771" t="s">
        <v>25768</v>
      </c>
      <c r="H3771" s="4" t="s">
        <v>25769</v>
      </c>
      <c r="I3771" t="s">
        <v>71</v>
      </c>
      <c r="J3771" t="s">
        <v>10782</v>
      </c>
      <c r="K3771" t="s">
        <v>25770</v>
      </c>
    </row>
    <row r="3772" spans="1:11" ht="172.8" x14ac:dyDescent="0.3">
      <c r="A3772" s="4" t="s">
        <v>6807</v>
      </c>
      <c r="B3772">
        <v>3</v>
      </c>
      <c r="C3772">
        <v>2019</v>
      </c>
      <c r="D3772" t="s">
        <v>2853</v>
      </c>
      <c r="E3772">
        <v>20</v>
      </c>
      <c r="F3772" t="s">
        <v>25771</v>
      </c>
      <c r="G3772" t="s">
        <v>25772</v>
      </c>
      <c r="H3772" s="4" t="s">
        <v>25773</v>
      </c>
      <c r="I3772" t="s">
        <v>71</v>
      </c>
      <c r="J3772" t="s">
        <v>10782</v>
      </c>
      <c r="K3772" t="s">
        <v>25774</v>
      </c>
    </row>
    <row r="3773" spans="1:11" ht="172.8" x14ac:dyDescent="0.3">
      <c r="A3773" s="4" t="s">
        <v>6808</v>
      </c>
      <c r="B3773">
        <v>3</v>
      </c>
      <c r="C3773">
        <v>2019</v>
      </c>
      <c r="D3773" t="s">
        <v>11574</v>
      </c>
      <c r="E3773">
        <v>8</v>
      </c>
      <c r="F3773" t="s">
        <v>25775</v>
      </c>
      <c r="G3773" t="s">
        <v>25776</v>
      </c>
      <c r="H3773" s="4" t="s">
        <v>25777</v>
      </c>
      <c r="I3773" t="s">
        <v>10823</v>
      </c>
      <c r="J3773" t="s">
        <v>10782</v>
      </c>
      <c r="K3773" t="s">
        <v>25778</v>
      </c>
    </row>
    <row r="3774" spans="1:11" ht="158.4" x14ac:dyDescent="0.3">
      <c r="A3774" s="4" t="s">
        <v>6809</v>
      </c>
      <c r="B3774">
        <v>3</v>
      </c>
      <c r="C3774">
        <v>2019</v>
      </c>
      <c r="D3774" t="s">
        <v>14588</v>
      </c>
      <c r="E3774">
        <v>3</v>
      </c>
      <c r="F3774" t="s">
        <v>25779</v>
      </c>
      <c r="G3774" t="s">
        <v>25780</v>
      </c>
      <c r="H3774" s="4" t="s">
        <v>25781</v>
      </c>
      <c r="I3774" t="s">
        <v>71</v>
      </c>
      <c r="J3774" t="s">
        <v>10782</v>
      </c>
      <c r="K3774" t="s">
        <v>25782</v>
      </c>
    </row>
    <row r="3775" spans="1:11" ht="230.4" x14ac:dyDescent="0.3">
      <c r="A3775" s="4" t="s">
        <v>6810</v>
      </c>
      <c r="B3775">
        <v>3</v>
      </c>
      <c r="C3775">
        <v>2019</v>
      </c>
      <c r="D3775" t="s">
        <v>10456</v>
      </c>
      <c r="E3775">
        <v>28</v>
      </c>
      <c r="F3775" t="s">
        <v>25783</v>
      </c>
      <c r="G3775" t="s">
        <v>25784</v>
      </c>
      <c r="H3775" s="4" t="s">
        <v>25785</v>
      </c>
      <c r="I3775" t="s">
        <v>71</v>
      </c>
      <c r="J3775" t="s">
        <v>10782</v>
      </c>
      <c r="K3775" t="s">
        <v>25786</v>
      </c>
    </row>
    <row r="3776" spans="1:11" ht="158.4" x14ac:dyDescent="0.3">
      <c r="A3776" s="4" t="s">
        <v>6811</v>
      </c>
      <c r="B3776">
        <v>3</v>
      </c>
      <c r="C3776">
        <v>2019</v>
      </c>
      <c r="D3776" t="s">
        <v>14310</v>
      </c>
      <c r="E3776">
        <v>46</v>
      </c>
      <c r="F3776" t="s">
        <v>25787</v>
      </c>
      <c r="G3776" t="s">
        <v>25788</v>
      </c>
      <c r="H3776" s="4" t="s">
        <v>25789</v>
      </c>
      <c r="I3776" t="s">
        <v>71</v>
      </c>
      <c r="J3776" t="s">
        <v>10782</v>
      </c>
      <c r="K3776" t="s">
        <v>25790</v>
      </c>
    </row>
    <row r="3777" spans="1:11" ht="158.4" x14ac:dyDescent="0.3">
      <c r="A3777" s="4" t="s">
        <v>6812</v>
      </c>
      <c r="B3777">
        <v>3</v>
      </c>
      <c r="C3777">
        <v>2019</v>
      </c>
      <c r="D3777" t="s">
        <v>398</v>
      </c>
      <c r="E3777">
        <v>38</v>
      </c>
      <c r="F3777" t="s">
        <v>25791</v>
      </c>
      <c r="G3777" t="s">
        <v>25792</v>
      </c>
      <c r="H3777" s="4" t="s">
        <v>25793</v>
      </c>
      <c r="I3777" t="s">
        <v>71</v>
      </c>
      <c r="J3777" t="s">
        <v>10782</v>
      </c>
      <c r="K3777" t="s">
        <v>25794</v>
      </c>
    </row>
    <row r="3778" spans="1:11" ht="144" x14ac:dyDescent="0.3">
      <c r="A3778" s="4" t="s">
        <v>1580</v>
      </c>
      <c r="B3778">
        <v>1</v>
      </c>
      <c r="C3778">
        <v>2019</v>
      </c>
      <c r="D3778" t="s">
        <v>1621</v>
      </c>
      <c r="E3778">
        <v>13</v>
      </c>
      <c r="F3778" t="s">
        <v>25795</v>
      </c>
      <c r="G3778" t="s">
        <v>25796</v>
      </c>
      <c r="H3778" s="4" t="s">
        <v>25797</v>
      </c>
      <c r="I3778" t="s">
        <v>71</v>
      </c>
      <c r="J3778" t="s">
        <v>10782</v>
      </c>
      <c r="K3778" t="s">
        <v>25798</v>
      </c>
    </row>
    <row r="3779" spans="1:11" ht="158.4" x14ac:dyDescent="0.3">
      <c r="A3779" s="4" t="s">
        <v>6813</v>
      </c>
      <c r="B3779">
        <v>3</v>
      </c>
      <c r="C3779">
        <v>2019</v>
      </c>
      <c r="D3779" t="s">
        <v>1836</v>
      </c>
      <c r="E3779">
        <v>17</v>
      </c>
      <c r="F3779" t="s">
        <v>25799</v>
      </c>
      <c r="G3779" t="s">
        <v>25800</v>
      </c>
      <c r="H3779" s="4" t="s">
        <v>25801</v>
      </c>
      <c r="I3779" t="s">
        <v>71</v>
      </c>
      <c r="J3779" t="s">
        <v>10782</v>
      </c>
      <c r="K3779" t="s">
        <v>25802</v>
      </c>
    </row>
    <row r="3780" spans="1:11" ht="158.4" x14ac:dyDescent="0.3">
      <c r="A3780" s="4" t="s">
        <v>6814</v>
      </c>
      <c r="B3780">
        <v>3</v>
      </c>
      <c r="C3780">
        <v>2019</v>
      </c>
      <c r="D3780" t="s">
        <v>2853</v>
      </c>
      <c r="E3780">
        <v>32</v>
      </c>
      <c r="F3780" t="s">
        <v>25803</v>
      </c>
      <c r="G3780" t="s">
        <v>25804</v>
      </c>
      <c r="H3780" s="4" t="s">
        <v>25805</v>
      </c>
      <c r="I3780" t="s">
        <v>71</v>
      </c>
      <c r="J3780" t="s">
        <v>10782</v>
      </c>
      <c r="K3780" t="s">
        <v>25806</v>
      </c>
    </row>
    <row r="3781" spans="1:11" ht="86.4" x14ac:dyDescent="0.3">
      <c r="A3781" s="4" t="s">
        <v>6815</v>
      </c>
      <c r="B3781">
        <v>3</v>
      </c>
      <c r="C3781">
        <v>2019</v>
      </c>
      <c r="D3781" t="s">
        <v>217</v>
      </c>
      <c r="E3781">
        <v>27</v>
      </c>
      <c r="F3781" t="s">
        <v>25807</v>
      </c>
      <c r="G3781" t="s">
        <v>25808</v>
      </c>
      <c r="H3781" s="4" t="s">
        <v>25809</v>
      </c>
      <c r="I3781" t="s">
        <v>71</v>
      </c>
      <c r="J3781" t="s">
        <v>10782</v>
      </c>
      <c r="K3781" t="s">
        <v>25810</v>
      </c>
    </row>
    <row r="3782" spans="1:11" ht="302.39999999999998" x14ac:dyDescent="0.3">
      <c r="A3782" s="4" t="s">
        <v>6816</v>
      </c>
      <c r="B3782">
        <v>3</v>
      </c>
      <c r="C3782">
        <v>2019</v>
      </c>
      <c r="D3782" t="s">
        <v>16189</v>
      </c>
      <c r="E3782">
        <v>46</v>
      </c>
      <c r="F3782" t="s">
        <v>25811</v>
      </c>
      <c r="G3782" t="s">
        <v>25812</v>
      </c>
      <c r="H3782" s="4" t="s">
        <v>25813</v>
      </c>
      <c r="I3782" t="s">
        <v>71</v>
      </c>
      <c r="J3782" t="s">
        <v>10782</v>
      </c>
      <c r="K3782" t="s">
        <v>25814</v>
      </c>
    </row>
    <row r="3783" spans="1:11" ht="158.4" x14ac:dyDescent="0.3">
      <c r="A3783" s="4" t="s">
        <v>3364</v>
      </c>
      <c r="B3783">
        <v>1</v>
      </c>
      <c r="C3783">
        <v>2019</v>
      </c>
      <c r="D3783" t="s">
        <v>2819</v>
      </c>
      <c r="E3783">
        <v>34</v>
      </c>
      <c r="F3783" t="s">
        <v>25815</v>
      </c>
      <c r="G3783" t="s">
        <v>25816</v>
      </c>
      <c r="H3783" s="4" t="s">
        <v>25817</v>
      </c>
      <c r="I3783" t="s">
        <v>71</v>
      </c>
      <c r="J3783" t="s">
        <v>10782</v>
      </c>
      <c r="K3783" t="s">
        <v>25818</v>
      </c>
    </row>
    <row r="3784" spans="1:11" ht="129.6" x14ac:dyDescent="0.3">
      <c r="A3784" s="4" t="s">
        <v>6817</v>
      </c>
      <c r="B3784">
        <v>3</v>
      </c>
      <c r="C3784">
        <v>2019</v>
      </c>
      <c r="D3784" t="s">
        <v>17273</v>
      </c>
      <c r="E3784">
        <v>4</v>
      </c>
      <c r="F3784" t="s">
        <v>25819</v>
      </c>
      <c r="G3784" t="s">
        <v>25820</v>
      </c>
      <c r="H3784" s="4" t="s">
        <v>25821</v>
      </c>
      <c r="I3784" t="s">
        <v>71</v>
      </c>
      <c r="J3784" t="s">
        <v>10782</v>
      </c>
      <c r="K3784" t="s">
        <v>25822</v>
      </c>
    </row>
    <row r="3785" spans="1:11" ht="172.8" x14ac:dyDescent="0.3">
      <c r="A3785" s="4" t="s">
        <v>6818</v>
      </c>
      <c r="B3785">
        <v>3</v>
      </c>
      <c r="C3785">
        <v>2019</v>
      </c>
      <c r="D3785" t="s">
        <v>1912</v>
      </c>
      <c r="E3785">
        <v>13</v>
      </c>
      <c r="F3785" t="s">
        <v>25823</v>
      </c>
      <c r="G3785" t="s">
        <v>25824</v>
      </c>
      <c r="H3785" s="4" t="s">
        <v>25825</v>
      </c>
      <c r="I3785" t="s">
        <v>71</v>
      </c>
      <c r="J3785" t="s">
        <v>10782</v>
      </c>
      <c r="K3785" t="s">
        <v>25826</v>
      </c>
    </row>
    <row r="3786" spans="1:11" ht="302.39999999999998" x14ac:dyDescent="0.3">
      <c r="A3786" s="4" t="s">
        <v>6819</v>
      </c>
      <c r="B3786">
        <v>3</v>
      </c>
      <c r="C3786">
        <v>2019</v>
      </c>
      <c r="D3786" t="s">
        <v>234</v>
      </c>
      <c r="E3786">
        <v>17</v>
      </c>
      <c r="F3786" t="s">
        <v>25827</v>
      </c>
      <c r="G3786" t="s">
        <v>25828</v>
      </c>
      <c r="H3786" s="4" t="s">
        <v>25829</v>
      </c>
      <c r="I3786" t="s">
        <v>71</v>
      </c>
      <c r="J3786" t="s">
        <v>10782</v>
      </c>
      <c r="K3786" t="s">
        <v>25830</v>
      </c>
    </row>
    <row r="3787" spans="1:11" ht="172.8" x14ac:dyDescent="0.3">
      <c r="A3787" s="4" t="s">
        <v>6820</v>
      </c>
      <c r="B3787">
        <v>3</v>
      </c>
      <c r="C3787">
        <v>2019</v>
      </c>
      <c r="D3787" t="s">
        <v>724</v>
      </c>
      <c r="E3787">
        <v>5</v>
      </c>
      <c r="F3787" t="s">
        <v>25831</v>
      </c>
      <c r="G3787" t="s">
        <v>25832</v>
      </c>
      <c r="H3787" s="4" t="s">
        <v>25833</v>
      </c>
      <c r="I3787" t="s">
        <v>71</v>
      </c>
      <c r="J3787" t="s">
        <v>10782</v>
      </c>
      <c r="K3787" t="s">
        <v>25834</v>
      </c>
    </row>
    <row r="3788" spans="1:11" ht="100.8" x14ac:dyDescent="0.3">
      <c r="A3788" s="4" t="s">
        <v>6821</v>
      </c>
      <c r="B3788">
        <v>3</v>
      </c>
      <c r="C3788">
        <v>2019</v>
      </c>
      <c r="D3788" t="s">
        <v>550</v>
      </c>
      <c r="E3788">
        <v>4</v>
      </c>
      <c r="F3788" t="s">
        <v>25835</v>
      </c>
      <c r="G3788" t="s">
        <v>25836</v>
      </c>
      <c r="H3788" s="4" t="s">
        <v>25837</v>
      </c>
      <c r="I3788" t="s">
        <v>10823</v>
      </c>
      <c r="J3788" t="s">
        <v>10782</v>
      </c>
      <c r="K3788" t="s">
        <v>25838</v>
      </c>
    </row>
    <row r="3789" spans="1:11" ht="158.4" x14ac:dyDescent="0.3">
      <c r="A3789" s="4" t="s">
        <v>6822</v>
      </c>
      <c r="B3789">
        <v>3</v>
      </c>
      <c r="C3789">
        <v>2019</v>
      </c>
      <c r="D3789" t="s">
        <v>11649</v>
      </c>
      <c r="E3789">
        <v>42</v>
      </c>
      <c r="F3789" t="s">
        <v>25839</v>
      </c>
      <c r="G3789" t="s">
        <v>25840</v>
      </c>
      <c r="H3789" s="4" t="s">
        <v>25841</v>
      </c>
      <c r="I3789" t="s">
        <v>71</v>
      </c>
      <c r="J3789" t="s">
        <v>10782</v>
      </c>
      <c r="K3789" t="s">
        <v>25842</v>
      </c>
    </row>
    <row r="3790" spans="1:11" ht="129.6" x14ac:dyDescent="0.3">
      <c r="A3790" s="4" t="s">
        <v>6823</v>
      </c>
      <c r="B3790">
        <v>3</v>
      </c>
      <c r="C3790">
        <v>2019</v>
      </c>
      <c r="D3790" t="s">
        <v>2030</v>
      </c>
      <c r="E3790">
        <v>23</v>
      </c>
      <c r="F3790" t="s">
        <v>25843</v>
      </c>
      <c r="G3790" t="s">
        <v>25844</v>
      </c>
      <c r="H3790" s="4" t="s">
        <v>25845</v>
      </c>
      <c r="I3790" t="s">
        <v>71</v>
      </c>
      <c r="J3790" t="s">
        <v>10782</v>
      </c>
      <c r="K3790" t="s">
        <v>25846</v>
      </c>
    </row>
    <row r="3791" spans="1:11" ht="86.4" x14ac:dyDescent="0.3">
      <c r="A3791" s="4" t="s">
        <v>6824</v>
      </c>
      <c r="B3791">
        <v>3</v>
      </c>
      <c r="C3791">
        <v>2019</v>
      </c>
      <c r="D3791" t="s">
        <v>1570</v>
      </c>
      <c r="E3791">
        <v>1</v>
      </c>
      <c r="F3791" t="s">
        <v>25847</v>
      </c>
      <c r="G3791" t="s">
        <v>25848</v>
      </c>
      <c r="H3791" s="4" t="s">
        <v>25849</v>
      </c>
      <c r="I3791" t="s">
        <v>71</v>
      </c>
      <c r="J3791" t="s">
        <v>10782</v>
      </c>
      <c r="K3791" t="s">
        <v>25850</v>
      </c>
    </row>
    <row r="3792" spans="1:11" ht="187.2" x14ac:dyDescent="0.3">
      <c r="A3792" s="4" t="s">
        <v>6825</v>
      </c>
      <c r="B3792">
        <v>3</v>
      </c>
      <c r="C3792">
        <v>2019</v>
      </c>
      <c r="D3792" t="s">
        <v>13914</v>
      </c>
      <c r="E3792">
        <v>72</v>
      </c>
      <c r="F3792" t="s">
        <v>25851</v>
      </c>
      <c r="G3792" t="s">
        <v>25852</v>
      </c>
      <c r="H3792" s="4" t="s">
        <v>25853</v>
      </c>
      <c r="I3792" t="s">
        <v>71</v>
      </c>
      <c r="J3792" t="s">
        <v>10782</v>
      </c>
      <c r="K3792" t="s">
        <v>25854</v>
      </c>
    </row>
    <row r="3793" spans="1:11" ht="201.6" x14ac:dyDescent="0.3">
      <c r="A3793" s="4" t="s">
        <v>6826</v>
      </c>
      <c r="B3793">
        <v>3</v>
      </c>
      <c r="C3793">
        <v>2019</v>
      </c>
      <c r="D3793" t="s">
        <v>2819</v>
      </c>
      <c r="E3793">
        <v>9</v>
      </c>
      <c r="F3793" t="s">
        <v>25855</v>
      </c>
      <c r="G3793" t="s">
        <v>25856</v>
      </c>
      <c r="H3793" s="4" t="s">
        <v>25857</v>
      </c>
      <c r="I3793" t="s">
        <v>71</v>
      </c>
      <c r="J3793" t="s">
        <v>10782</v>
      </c>
      <c r="K3793" t="s">
        <v>25858</v>
      </c>
    </row>
    <row r="3794" spans="1:11" ht="172.8" x14ac:dyDescent="0.3">
      <c r="A3794" s="4" t="s">
        <v>6827</v>
      </c>
      <c r="B3794">
        <v>3</v>
      </c>
      <c r="C3794">
        <v>2019</v>
      </c>
      <c r="D3794" t="s">
        <v>164</v>
      </c>
      <c r="E3794">
        <v>15</v>
      </c>
      <c r="F3794" t="s">
        <v>25859</v>
      </c>
      <c r="G3794" t="s">
        <v>25860</v>
      </c>
      <c r="H3794" s="4" t="s">
        <v>25861</v>
      </c>
      <c r="I3794" t="s">
        <v>71</v>
      </c>
      <c r="J3794" t="s">
        <v>10782</v>
      </c>
      <c r="K3794" t="s">
        <v>25862</v>
      </c>
    </row>
    <row r="3795" spans="1:11" ht="57.6" x14ac:dyDescent="0.3">
      <c r="A3795" s="4" t="s">
        <v>6828</v>
      </c>
      <c r="B3795">
        <v>3</v>
      </c>
      <c r="C3795">
        <v>2019</v>
      </c>
      <c r="D3795" t="s">
        <v>637</v>
      </c>
      <c r="E3795">
        <v>14</v>
      </c>
      <c r="F3795" t="s">
        <v>25863</v>
      </c>
      <c r="G3795" t="s">
        <v>25864</v>
      </c>
      <c r="H3795" s="4" t="s">
        <v>25865</v>
      </c>
    </row>
    <row r="3796" spans="1:11" ht="158.4" x14ac:dyDescent="0.3">
      <c r="A3796" s="4" t="s">
        <v>6829</v>
      </c>
      <c r="B3796">
        <v>3</v>
      </c>
      <c r="C3796">
        <v>2019</v>
      </c>
      <c r="D3796" t="s">
        <v>12318</v>
      </c>
      <c r="E3796">
        <v>28</v>
      </c>
      <c r="F3796" t="s">
        <v>25866</v>
      </c>
      <c r="G3796" t="s">
        <v>25867</v>
      </c>
      <c r="H3796" s="4" t="s">
        <v>25868</v>
      </c>
      <c r="I3796" t="s">
        <v>71</v>
      </c>
      <c r="J3796" t="s">
        <v>10782</v>
      </c>
      <c r="K3796" t="s">
        <v>25869</v>
      </c>
    </row>
    <row r="3797" spans="1:11" ht="115.2" x14ac:dyDescent="0.3">
      <c r="A3797" s="4" t="s">
        <v>6830</v>
      </c>
      <c r="B3797">
        <v>3</v>
      </c>
      <c r="C3797">
        <v>2019</v>
      </c>
      <c r="D3797" t="s">
        <v>1175</v>
      </c>
      <c r="E3797">
        <v>6</v>
      </c>
      <c r="F3797" t="s">
        <v>25870</v>
      </c>
      <c r="G3797" t="s">
        <v>25871</v>
      </c>
      <c r="H3797" s="4" t="s">
        <v>25872</v>
      </c>
    </row>
    <row r="3798" spans="1:11" ht="129.6" x14ac:dyDescent="0.3">
      <c r="A3798" s="4" t="s">
        <v>6831</v>
      </c>
      <c r="B3798">
        <v>3</v>
      </c>
      <c r="C3798">
        <v>2019</v>
      </c>
      <c r="D3798" t="s">
        <v>21542</v>
      </c>
      <c r="E3798">
        <v>44</v>
      </c>
      <c r="F3798" t="s">
        <v>25873</v>
      </c>
      <c r="G3798" t="s">
        <v>25874</v>
      </c>
      <c r="H3798" s="4" t="s">
        <v>25875</v>
      </c>
      <c r="I3798" t="s">
        <v>71</v>
      </c>
      <c r="J3798" t="s">
        <v>10782</v>
      </c>
      <c r="K3798" t="s">
        <v>25876</v>
      </c>
    </row>
    <row r="3799" spans="1:11" ht="244.8" x14ac:dyDescent="0.3">
      <c r="A3799" s="4" t="s">
        <v>6832</v>
      </c>
      <c r="B3799">
        <v>3</v>
      </c>
      <c r="C3799">
        <v>2019</v>
      </c>
      <c r="D3799" t="s">
        <v>1912</v>
      </c>
      <c r="E3799">
        <v>17</v>
      </c>
      <c r="F3799" t="s">
        <v>25877</v>
      </c>
      <c r="G3799" t="s">
        <v>25878</v>
      </c>
      <c r="H3799" s="4" t="s">
        <v>25879</v>
      </c>
      <c r="I3799" t="s">
        <v>71</v>
      </c>
      <c r="J3799" t="s">
        <v>10782</v>
      </c>
      <c r="K3799" t="s">
        <v>25880</v>
      </c>
    </row>
    <row r="3800" spans="1:11" ht="158.4" x14ac:dyDescent="0.3">
      <c r="A3800" s="4" t="s">
        <v>6833</v>
      </c>
      <c r="B3800">
        <v>3</v>
      </c>
      <c r="C3800">
        <v>2019</v>
      </c>
      <c r="D3800" t="s">
        <v>2914</v>
      </c>
      <c r="E3800">
        <v>19</v>
      </c>
      <c r="F3800" t="s">
        <v>25881</v>
      </c>
      <c r="G3800" t="s">
        <v>25882</v>
      </c>
      <c r="H3800" s="4" t="s">
        <v>25883</v>
      </c>
      <c r="I3800" t="s">
        <v>71</v>
      </c>
      <c r="J3800" t="s">
        <v>10782</v>
      </c>
      <c r="K3800" t="s">
        <v>25884</v>
      </c>
    </row>
    <row r="3801" spans="1:11" ht="187.2" x14ac:dyDescent="0.3">
      <c r="A3801" s="4" t="s">
        <v>6834</v>
      </c>
      <c r="B3801">
        <v>3</v>
      </c>
      <c r="C3801">
        <v>2019</v>
      </c>
      <c r="D3801" t="s">
        <v>11327</v>
      </c>
      <c r="E3801">
        <v>28</v>
      </c>
      <c r="F3801" t="s">
        <v>25885</v>
      </c>
      <c r="G3801" t="s">
        <v>25886</v>
      </c>
      <c r="H3801" s="4" t="s">
        <v>25887</v>
      </c>
      <c r="I3801" t="s">
        <v>71</v>
      </c>
      <c r="J3801" t="s">
        <v>10782</v>
      </c>
      <c r="K3801" t="s">
        <v>25888</v>
      </c>
    </row>
    <row r="3802" spans="1:11" ht="129.6" x14ac:dyDescent="0.3">
      <c r="A3802" s="4" t="s">
        <v>6835</v>
      </c>
      <c r="B3802">
        <v>3</v>
      </c>
      <c r="C3802">
        <v>2019</v>
      </c>
      <c r="D3802" t="s">
        <v>147</v>
      </c>
      <c r="E3802">
        <v>2</v>
      </c>
      <c r="F3802" t="s">
        <v>25889</v>
      </c>
      <c r="G3802" t="s">
        <v>25890</v>
      </c>
      <c r="H3802" s="4" t="s">
        <v>25891</v>
      </c>
      <c r="I3802" t="s">
        <v>71</v>
      </c>
      <c r="J3802" t="s">
        <v>10782</v>
      </c>
      <c r="K3802" t="s">
        <v>25892</v>
      </c>
    </row>
    <row r="3803" spans="1:11" ht="144" x14ac:dyDescent="0.3">
      <c r="A3803" s="4" t="s">
        <v>1581</v>
      </c>
      <c r="B3803">
        <v>1</v>
      </c>
      <c r="C3803">
        <v>2019</v>
      </c>
      <c r="D3803" t="s">
        <v>217</v>
      </c>
      <c r="E3803">
        <v>26</v>
      </c>
      <c r="F3803" t="s">
        <v>25893</v>
      </c>
      <c r="G3803" t="s">
        <v>25894</v>
      </c>
      <c r="H3803" s="4" t="s">
        <v>25895</v>
      </c>
      <c r="I3803" t="s">
        <v>71</v>
      </c>
      <c r="J3803" t="s">
        <v>10782</v>
      </c>
      <c r="K3803" t="s">
        <v>25896</v>
      </c>
    </row>
    <row r="3804" spans="1:11" ht="115.2" x14ac:dyDescent="0.3">
      <c r="A3804" s="4" t="s">
        <v>1591</v>
      </c>
      <c r="B3804">
        <v>1</v>
      </c>
      <c r="C3804">
        <v>2019</v>
      </c>
      <c r="D3804" t="s">
        <v>799</v>
      </c>
      <c r="E3804">
        <v>36</v>
      </c>
      <c r="F3804" t="s">
        <v>25897</v>
      </c>
      <c r="G3804" t="s">
        <v>25898</v>
      </c>
      <c r="H3804" s="4" t="s">
        <v>25899</v>
      </c>
      <c r="I3804" t="s">
        <v>71</v>
      </c>
      <c r="J3804" t="s">
        <v>10782</v>
      </c>
      <c r="K3804" t="s">
        <v>25900</v>
      </c>
    </row>
    <row r="3805" spans="1:11" ht="129.6" x14ac:dyDescent="0.3">
      <c r="A3805" s="4" t="s">
        <v>6836</v>
      </c>
      <c r="B3805">
        <v>3</v>
      </c>
      <c r="C3805">
        <v>2019</v>
      </c>
      <c r="D3805" t="s">
        <v>3026</v>
      </c>
      <c r="E3805">
        <v>23</v>
      </c>
      <c r="F3805" t="s">
        <v>25901</v>
      </c>
      <c r="G3805" t="s">
        <v>25902</v>
      </c>
      <c r="H3805" s="4" t="s">
        <v>25903</v>
      </c>
      <c r="I3805" t="s">
        <v>71</v>
      </c>
      <c r="J3805" t="s">
        <v>10782</v>
      </c>
      <c r="K3805" t="s">
        <v>25904</v>
      </c>
    </row>
    <row r="3806" spans="1:11" ht="144" x14ac:dyDescent="0.3">
      <c r="A3806" s="4" t="s">
        <v>6837</v>
      </c>
      <c r="B3806">
        <v>3</v>
      </c>
      <c r="C3806">
        <v>2019</v>
      </c>
      <c r="D3806" t="s">
        <v>1936</v>
      </c>
      <c r="E3806">
        <v>62</v>
      </c>
      <c r="F3806" t="s">
        <v>25905</v>
      </c>
      <c r="G3806" t="s">
        <v>25906</v>
      </c>
      <c r="H3806" s="4" t="s">
        <v>25907</v>
      </c>
      <c r="I3806" t="s">
        <v>71</v>
      </c>
      <c r="J3806" t="s">
        <v>10782</v>
      </c>
      <c r="K3806" t="s">
        <v>25908</v>
      </c>
    </row>
    <row r="3807" spans="1:11" ht="187.2" x14ac:dyDescent="0.3">
      <c r="A3807" s="4" t="s">
        <v>6838</v>
      </c>
      <c r="B3807">
        <v>3</v>
      </c>
      <c r="C3807">
        <v>2019</v>
      </c>
      <c r="D3807" t="s">
        <v>405</v>
      </c>
      <c r="E3807">
        <v>115</v>
      </c>
      <c r="F3807" t="s">
        <v>25909</v>
      </c>
      <c r="G3807" t="s">
        <v>25910</v>
      </c>
      <c r="H3807" s="4" t="s">
        <v>25911</v>
      </c>
    </row>
    <row r="3808" spans="1:11" ht="144" x14ac:dyDescent="0.3">
      <c r="A3808" s="4" t="s">
        <v>6839</v>
      </c>
      <c r="B3808">
        <v>3</v>
      </c>
      <c r="C3808">
        <v>2019</v>
      </c>
      <c r="D3808" t="s">
        <v>12593</v>
      </c>
      <c r="E3808">
        <v>34</v>
      </c>
      <c r="F3808" t="s">
        <v>25912</v>
      </c>
      <c r="G3808" t="s">
        <v>25913</v>
      </c>
      <c r="H3808" s="4" t="s">
        <v>25914</v>
      </c>
      <c r="I3808" t="s">
        <v>71</v>
      </c>
      <c r="J3808" t="s">
        <v>10782</v>
      </c>
      <c r="K3808" t="s">
        <v>25915</v>
      </c>
    </row>
    <row r="3809" spans="1:11" ht="187.2" x14ac:dyDescent="0.3">
      <c r="A3809" s="4" t="s">
        <v>1592</v>
      </c>
      <c r="B3809">
        <v>1</v>
      </c>
      <c r="C3809">
        <v>2019</v>
      </c>
      <c r="D3809" t="s">
        <v>80</v>
      </c>
      <c r="E3809">
        <v>31</v>
      </c>
      <c r="F3809" t="s">
        <v>25916</v>
      </c>
      <c r="G3809" t="s">
        <v>25917</v>
      </c>
      <c r="H3809" s="4" t="s">
        <v>25918</v>
      </c>
      <c r="I3809" t="s">
        <v>71</v>
      </c>
      <c r="J3809" t="s">
        <v>10782</v>
      </c>
      <c r="K3809" t="s">
        <v>25919</v>
      </c>
    </row>
    <row r="3810" spans="1:11" ht="230.4" x14ac:dyDescent="0.3">
      <c r="A3810" s="4" t="s">
        <v>6840</v>
      </c>
      <c r="B3810">
        <v>3</v>
      </c>
      <c r="C3810">
        <v>2019</v>
      </c>
      <c r="D3810" t="s">
        <v>80</v>
      </c>
      <c r="E3810">
        <v>35</v>
      </c>
      <c r="F3810" t="s">
        <v>25920</v>
      </c>
      <c r="G3810" t="s">
        <v>25921</v>
      </c>
      <c r="H3810" s="4" t="s">
        <v>25922</v>
      </c>
      <c r="I3810" t="s">
        <v>71</v>
      </c>
      <c r="J3810" t="s">
        <v>10782</v>
      </c>
      <c r="K3810" t="s">
        <v>25923</v>
      </c>
    </row>
    <row r="3811" spans="1:11" ht="244.8" x14ac:dyDescent="0.3">
      <c r="A3811" s="4" t="s">
        <v>3365</v>
      </c>
      <c r="B3811">
        <v>1</v>
      </c>
      <c r="C3811">
        <v>2019</v>
      </c>
      <c r="D3811" t="s">
        <v>514</v>
      </c>
      <c r="E3811">
        <v>22</v>
      </c>
      <c r="F3811" t="s">
        <v>25924</v>
      </c>
      <c r="G3811" t="s">
        <v>25925</v>
      </c>
      <c r="H3811" s="4" t="s">
        <v>25926</v>
      </c>
      <c r="I3811" t="s">
        <v>71</v>
      </c>
      <c r="J3811" t="s">
        <v>10782</v>
      </c>
      <c r="K3811" t="s">
        <v>25927</v>
      </c>
    </row>
    <row r="3812" spans="1:11" ht="187.2" x14ac:dyDescent="0.3">
      <c r="A3812" s="4" t="s">
        <v>6841</v>
      </c>
      <c r="B3812">
        <v>3</v>
      </c>
      <c r="C3812">
        <v>2019</v>
      </c>
      <c r="D3812" t="s">
        <v>405</v>
      </c>
      <c r="E3812">
        <v>52</v>
      </c>
      <c r="F3812" t="s">
        <v>25928</v>
      </c>
      <c r="G3812" t="s">
        <v>25929</v>
      </c>
      <c r="H3812" s="4" t="s">
        <v>25930</v>
      </c>
      <c r="I3812" t="s">
        <v>71</v>
      </c>
      <c r="J3812" t="s">
        <v>10782</v>
      </c>
      <c r="K3812" t="s">
        <v>25931</v>
      </c>
    </row>
    <row r="3813" spans="1:11" ht="230.4" x14ac:dyDescent="0.3">
      <c r="A3813" s="4" t="s">
        <v>6842</v>
      </c>
      <c r="B3813">
        <v>3</v>
      </c>
      <c r="C3813">
        <v>2019</v>
      </c>
      <c r="D3813" t="s">
        <v>11159</v>
      </c>
      <c r="E3813">
        <v>8</v>
      </c>
      <c r="F3813" t="s">
        <v>25932</v>
      </c>
      <c r="G3813" t="s">
        <v>25933</v>
      </c>
      <c r="H3813" s="4" t="s">
        <v>25934</v>
      </c>
      <c r="I3813" t="s">
        <v>71</v>
      </c>
      <c r="J3813" t="s">
        <v>10782</v>
      </c>
      <c r="K3813" t="s">
        <v>25935</v>
      </c>
    </row>
    <row r="3814" spans="1:11" ht="187.2" x14ac:dyDescent="0.3">
      <c r="A3814" s="4" t="s">
        <v>6843</v>
      </c>
      <c r="B3814">
        <v>3</v>
      </c>
      <c r="C3814">
        <v>2019</v>
      </c>
      <c r="D3814" t="s">
        <v>1688</v>
      </c>
      <c r="E3814">
        <v>40</v>
      </c>
      <c r="F3814" t="s">
        <v>25936</v>
      </c>
      <c r="G3814" t="s">
        <v>25937</v>
      </c>
      <c r="H3814" s="4" t="s">
        <v>25938</v>
      </c>
      <c r="I3814" t="s">
        <v>71</v>
      </c>
      <c r="J3814" t="s">
        <v>10782</v>
      </c>
      <c r="K3814" t="s">
        <v>25939</v>
      </c>
    </row>
    <row r="3815" spans="1:11" ht="115.2" x14ac:dyDescent="0.3">
      <c r="A3815" s="4" t="s">
        <v>6844</v>
      </c>
      <c r="B3815">
        <v>3</v>
      </c>
      <c r="C3815">
        <v>2019</v>
      </c>
      <c r="D3815" t="s">
        <v>385</v>
      </c>
      <c r="E3815">
        <v>45</v>
      </c>
      <c r="F3815" t="s">
        <v>25940</v>
      </c>
      <c r="G3815" t="s">
        <v>25941</v>
      </c>
      <c r="H3815" s="4" t="s">
        <v>25942</v>
      </c>
      <c r="I3815" t="s">
        <v>71</v>
      </c>
      <c r="J3815" t="s">
        <v>10782</v>
      </c>
      <c r="K3815" t="s">
        <v>25943</v>
      </c>
    </row>
    <row r="3816" spans="1:11" ht="172.8" x14ac:dyDescent="0.3">
      <c r="A3816" s="4" t="s">
        <v>6845</v>
      </c>
      <c r="B3816">
        <v>3</v>
      </c>
      <c r="C3816">
        <v>2019</v>
      </c>
      <c r="D3816" t="s">
        <v>637</v>
      </c>
      <c r="E3816">
        <v>23</v>
      </c>
      <c r="F3816" t="s">
        <v>25944</v>
      </c>
      <c r="G3816" t="s">
        <v>25945</v>
      </c>
      <c r="H3816" s="4" t="s">
        <v>25946</v>
      </c>
      <c r="I3816" t="s">
        <v>71</v>
      </c>
      <c r="J3816" t="s">
        <v>10782</v>
      </c>
      <c r="K3816" t="s">
        <v>25947</v>
      </c>
    </row>
    <row r="3817" spans="1:11" ht="86.4" x14ac:dyDescent="0.3">
      <c r="A3817" s="4" t="s">
        <v>6846</v>
      </c>
      <c r="B3817">
        <v>3</v>
      </c>
      <c r="C3817">
        <v>2019</v>
      </c>
      <c r="D3817" t="s">
        <v>637</v>
      </c>
      <c r="E3817">
        <v>58</v>
      </c>
      <c r="F3817" t="s">
        <v>25948</v>
      </c>
      <c r="G3817" t="s">
        <v>25949</v>
      </c>
      <c r="H3817" s="4" t="s">
        <v>25950</v>
      </c>
    </row>
    <row r="3818" spans="1:11" ht="158.4" x14ac:dyDescent="0.3">
      <c r="A3818" s="4" t="s">
        <v>6847</v>
      </c>
      <c r="B3818">
        <v>3</v>
      </c>
      <c r="C3818">
        <v>2019</v>
      </c>
      <c r="D3818" t="s">
        <v>1175</v>
      </c>
      <c r="E3818">
        <v>2</v>
      </c>
      <c r="F3818" t="s">
        <v>25951</v>
      </c>
      <c r="G3818" t="s">
        <v>25952</v>
      </c>
      <c r="H3818" s="4" t="s">
        <v>25953</v>
      </c>
    </row>
    <row r="3819" spans="1:11" ht="230.4" x14ac:dyDescent="0.3">
      <c r="A3819" s="4" t="s">
        <v>6848</v>
      </c>
      <c r="B3819">
        <v>3</v>
      </c>
      <c r="C3819">
        <v>2019</v>
      </c>
      <c r="D3819" t="s">
        <v>2201</v>
      </c>
      <c r="E3819">
        <v>72</v>
      </c>
      <c r="F3819" t="s">
        <v>25954</v>
      </c>
      <c r="G3819" t="s">
        <v>25955</v>
      </c>
      <c r="H3819" s="4" t="s">
        <v>25956</v>
      </c>
      <c r="I3819" t="s">
        <v>71</v>
      </c>
      <c r="J3819" t="s">
        <v>10782</v>
      </c>
      <c r="K3819" t="s">
        <v>25957</v>
      </c>
    </row>
    <row r="3820" spans="1:11" ht="115.2" x14ac:dyDescent="0.3">
      <c r="A3820" s="4" t="s">
        <v>6849</v>
      </c>
      <c r="B3820">
        <v>3</v>
      </c>
      <c r="C3820">
        <v>2019</v>
      </c>
      <c r="D3820" t="s">
        <v>817</v>
      </c>
      <c r="E3820">
        <v>5</v>
      </c>
      <c r="F3820" t="s">
        <v>25958</v>
      </c>
      <c r="G3820" t="s">
        <v>25959</v>
      </c>
      <c r="H3820" s="4" t="s">
        <v>25960</v>
      </c>
      <c r="I3820" t="s">
        <v>71</v>
      </c>
      <c r="J3820" t="s">
        <v>10782</v>
      </c>
      <c r="K3820" t="s">
        <v>25961</v>
      </c>
    </row>
    <row r="3821" spans="1:11" ht="316.8" x14ac:dyDescent="0.3">
      <c r="A3821" s="4" t="s">
        <v>3366</v>
      </c>
      <c r="B3821">
        <v>1</v>
      </c>
      <c r="C3821">
        <v>2019</v>
      </c>
      <c r="D3821" t="s">
        <v>329</v>
      </c>
      <c r="E3821">
        <v>24</v>
      </c>
      <c r="F3821" t="s">
        <v>25962</v>
      </c>
      <c r="G3821" t="s">
        <v>25963</v>
      </c>
      <c r="H3821" s="4" t="s">
        <v>25964</v>
      </c>
      <c r="I3821" t="s">
        <v>71</v>
      </c>
      <c r="J3821" t="s">
        <v>10782</v>
      </c>
      <c r="K3821" t="s">
        <v>25965</v>
      </c>
    </row>
    <row r="3822" spans="1:11" ht="115.2" x14ac:dyDescent="0.3">
      <c r="A3822" s="4" t="s">
        <v>6850</v>
      </c>
      <c r="B3822">
        <v>3</v>
      </c>
      <c r="C3822">
        <v>2019</v>
      </c>
      <c r="D3822" t="s">
        <v>679</v>
      </c>
      <c r="E3822">
        <v>28</v>
      </c>
      <c r="F3822" t="s">
        <v>25966</v>
      </c>
      <c r="G3822" t="s">
        <v>25967</v>
      </c>
      <c r="H3822" s="4" t="s">
        <v>25968</v>
      </c>
      <c r="I3822" t="s">
        <v>71</v>
      </c>
      <c r="J3822" t="s">
        <v>10782</v>
      </c>
      <c r="K3822" t="s">
        <v>25969</v>
      </c>
    </row>
    <row r="3823" spans="1:11" ht="115.2" x14ac:dyDescent="0.3">
      <c r="A3823" s="4" t="s">
        <v>6851</v>
      </c>
      <c r="B3823">
        <v>3</v>
      </c>
      <c r="C3823">
        <v>2019</v>
      </c>
      <c r="D3823" t="s">
        <v>25970</v>
      </c>
      <c r="E3823">
        <v>5</v>
      </c>
      <c r="F3823" t="s">
        <v>25971</v>
      </c>
      <c r="G3823" t="s">
        <v>25972</v>
      </c>
      <c r="H3823" s="4" t="s">
        <v>25973</v>
      </c>
      <c r="I3823" t="s">
        <v>71</v>
      </c>
      <c r="J3823" t="s">
        <v>10782</v>
      </c>
      <c r="K3823" t="s">
        <v>25974</v>
      </c>
    </row>
    <row r="3824" spans="1:11" ht="201.6" x14ac:dyDescent="0.3">
      <c r="A3824" s="4" t="s">
        <v>6852</v>
      </c>
      <c r="B3824">
        <v>3</v>
      </c>
      <c r="C3824">
        <v>2019</v>
      </c>
      <c r="D3824" t="s">
        <v>550</v>
      </c>
      <c r="E3824">
        <v>52</v>
      </c>
      <c r="F3824" t="s">
        <v>25975</v>
      </c>
      <c r="G3824" t="s">
        <v>25976</v>
      </c>
      <c r="H3824" s="4" t="s">
        <v>25977</v>
      </c>
      <c r="I3824" t="s">
        <v>71</v>
      </c>
      <c r="J3824" t="s">
        <v>10782</v>
      </c>
      <c r="K3824" t="s">
        <v>25978</v>
      </c>
    </row>
    <row r="3825" spans="1:11" ht="216" x14ac:dyDescent="0.3">
      <c r="A3825" s="4" t="s">
        <v>6853</v>
      </c>
      <c r="B3825">
        <v>3</v>
      </c>
      <c r="C3825">
        <v>2019</v>
      </c>
      <c r="D3825" t="s">
        <v>2819</v>
      </c>
      <c r="E3825">
        <v>71</v>
      </c>
      <c r="F3825" t="s">
        <v>25979</v>
      </c>
      <c r="G3825" t="s">
        <v>25980</v>
      </c>
      <c r="H3825" s="4" t="s">
        <v>25981</v>
      </c>
    </row>
    <row r="3826" spans="1:11" ht="100.8" x14ac:dyDescent="0.3">
      <c r="A3826" s="4" t="s">
        <v>6854</v>
      </c>
      <c r="B3826">
        <v>3</v>
      </c>
      <c r="C3826">
        <v>2019</v>
      </c>
      <c r="D3826" t="s">
        <v>704</v>
      </c>
      <c r="E3826">
        <v>35</v>
      </c>
      <c r="F3826" t="s">
        <v>25982</v>
      </c>
      <c r="G3826" t="s">
        <v>25983</v>
      </c>
      <c r="H3826" s="4" t="s">
        <v>25984</v>
      </c>
      <c r="I3826" t="s">
        <v>71</v>
      </c>
      <c r="J3826" t="s">
        <v>10782</v>
      </c>
      <c r="K3826" t="s">
        <v>25985</v>
      </c>
    </row>
    <row r="3827" spans="1:11" ht="86.4" x14ac:dyDescent="0.3">
      <c r="A3827" s="4" t="s">
        <v>6855</v>
      </c>
      <c r="B3827">
        <v>3</v>
      </c>
      <c r="C3827">
        <v>2019</v>
      </c>
      <c r="D3827" t="s">
        <v>24056</v>
      </c>
      <c r="E3827">
        <v>29</v>
      </c>
      <c r="F3827" t="s">
        <v>25986</v>
      </c>
      <c r="G3827" t="s">
        <v>25987</v>
      </c>
      <c r="H3827" s="4" t="s">
        <v>25988</v>
      </c>
      <c r="I3827" t="s">
        <v>71</v>
      </c>
      <c r="J3827" t="s">
        <v>10782</v>
      </c>
      <c r="K3827" t="s">
        <v>25989</v>
      </c>
    </row>
    <row r="3828" spans="1:11" ht="158.4" x14ac:dyDescent="0.3">
      <c r="A3828" s="4" t="s">
        <v>6856</v>
      </c>
      <c r="B3828">
        <v>3</v>
      </c>
      <c r="C3828">
        <v>2019</v>
      </c>
      <c r="D3828" t="s">
        <v>10971</v>
      </c>
      <c r="E3828">
        <v>5</v>
      </c>
      <c r="F3828" t="s">
        <v>25990</v>
      </c>
      <c r="G3828" t="s">
        <v>25991</v>
      </c>
      <c r="H3828" s="4" t="s">
        <v>25992</v>
      </c>
      <c r="I3828" t="s">
        <v>71</v>
      </c>
      <c r="J3828" t="s">
        <v>10782</v>
      </c>
      <c r="K3828" t="s">
        <v>25993</v>
      </c>
    </row>
    <row r="3829" spans="1:11" ht="144" x14ac:dyDescent="0.3">
      <c r="A3829" s="4" t="s">
        <v>6857</v>
      </c>
      <c r="B3829">
        <v>3</v>
      </c>
      <c r="C3829">
        <v>2019</v>
      </c>
      <c r="D3829" t="s">
        <v>17273</v>
      </c>
      <c r="E3829">
        <v>13</v>
      </c>
      <c r="F3829" t="s">
        <v>25994</v>
      </c>
      <c r="G3829" t="s">
        <v>25995</v>
      </c>
      <c r="H3829" s="4" t="s">
        <v>25996</v>
      </c>
      <c r="I3829" t="s">
        <v>71</v>
      </c>
      <c r="J3829" t="s">
        <v>10782</v>
      </c>
      <c r="K3829" t="s">
        <v>25997</v>
      </c>
    </row>
    <row r="3830" spans="1:11" ht="216" x14ac:dyDescent="0.3">
      <c r="A3830" s="4" t="s">
        <v>6858</v>
      </c>
      <c r="B3830">
        <v>3</v>
      </c>
      <c r="C3830">
        <v>2019</v>
      </c>
      <c r="D3830" t="s">
        <v>12000</v>
      </c>
      <c r="E3830">
        <v>13</v>
      </c>
      <c r="F3830" t="s">
        <v>25998</v>
      </c>
      <c r="G3830" t="s">
        <v>25999</v>
      </c>
      <c r="H3830" s="4" t="s">
        <v>26000</v>
      </c>
      <c r="I3830" t="s">
        <v>71</v>
      </c>
      <c r="J3830" t="s">
        <v>10782</v>
      </c>
      <c r="K3830" t="s">
        <v>26001</v>
      </c>
    </row>
    <row r="3831" spans="1:11" ht="216" x14ac:dyDescent="0.3">
      <c r="A3831" s="4" t="s">
        <v>6859</v>
      </c>
      <c r="B3831">
        <v>3</v>
      </c>
      <c r="C3831">
        <v>2019</v>
      </c>
      <c r="D3831" t="s">
        <v>13951</v>
      </c>
      <c r="E3831">
        <v>101</v>
      </c>
      <c r="F3831" t="s">
        <v>26002</v>
      </c>
      <c r="G3831" t="s">
        <v>26003</v>
      </c>
      <c r="H3831" s="4" t="s">
        <v>26004</v>
      </c>
      <c r="I3831" t="s">
        <v>71</v>
      </c>
      <c r="J3831" t="s">
        <v>10782</v>
      </c>
      <c r="K3831" t="s">
        <v>26005</v>
      </c>
    </row>
    <row r="3832" spans="1:11" ht="201.6" x14ac:dyDescent="0.3">
      <c r="A3832" s="4" t="s">
        <v>6860</v>
      </c>
      <c r="B3832">
        <v>3</v>
      </c>
      <c r="C3832">
        <v>2019</v>
      </c>
      <c r="D3832" t="s">
        <v>1530</v>
      </c>
      <c r="E3832">
        <v>17</v>
      </c>
      <c r="F3832" t="s">
        <v>26006</v>
      </c>
      <c r="G3832" t="s">
        <v>26007</v>
      </c>
      <c r="H3832" s="4" t="s">
        <v>26008</v>
      </c>
      <c r="I3832" t="s">
        <v>71</v>
      </c>
      <c r="J3832" t="s">
        <v>10782</v>
      </c>
      <c r="K3832" t="s">
        <v>26009</v>
      </c>
    </row>
    <row r="3833" spans="1:11" ht="100.8" x14ac:dyDescent="0.3">
      <c r="A3833" s="4" t="s">
        <v>6861</v>
      </c>
      <c r="B3833">
        <v>3</v>
      </c>
      <c r="C3833">
        <v>2019</v>
      </c>
      <c r="D3833" t="s">
        <v>14805</v>
      </c>
      <c r="E3833">
        <v>0</v>
      </c>
      <c r="F3833" t="s">
        <v>26010</v>
      </c>
      <c r="G3833" t="s">
        <v>26011</v>
      </c>
      <c r="H3833" s="4" t="s">
        <v>26012</v>
      </c>
      <c r="I3833" t="s">
        <v>71</v>
      </c>
      <c r="J3833" t="s">
        <v>10782</v>
      </c>
      <c r="K3833" t="s">
        <v>26013</v>
      </c>
    </row>
    <row r="3834" spans="1:11" ht="158.4" x14ac:dyDescent="0.3">
      <c r="A3834" s="4" t="s">
        <v>6862</v>
      </c>
      <c r="B3834">
        <v>3</v>
      </c>
      <c r="C3834">
        <v>2019</v>
      </c>
      <c r="D3834" t="s">
        <v>2853</v>
      </c>
      <c r="E3834">
        <v>25</v>
      </c>
      <c r="F3834" t="s">
        <v>26014</v>
      </c>
      <c r="G3834" t="s">
        <v>26015</v>
      </c>
      <c r="H3834" s="4" t="s">
        <v>26016</v>
      </c>
      <c r="I3834" t="s">
        <v>71</v>
      </c>
      <c r="J3834" t="s">
        <v>10782</v>
      </c>
      <c r="K3834" t="s">
        <v>26017</v>
      </c>
    </row>
    <row r="3835" spans="1:11" ht="244.8" x14ac:dyDescent="0.3">
      <c r="A3835" s="4" t="s">
        <v>2784</v>
      </c>
      <c r="B3835">
        <v>2</v>
      </c>
      <c r="C3835">
        <v>2019</v>
      </c>
      <c r="D3835" t="s">
        <v>2886</v>
      </c>
      <c r="E3835">
        <v>41</v>
      </c>
      <c r="F3835" t="s">
        <v>26018</v>
      </c>
      <c r="G3835" t="s">
        <v>26019</v>
      </c>
      <c r="H3835" s="4" t="s">
        <v>26020</v>
      </c>
      <c r="I3835" t="s">
        <v>71</v>
      </c>
      <c r="J3835" t="s">
        <v>10782</v>
      </c>
      <c r="K3835" t="s">
        <v>26021</v>
      </c>
    </row>
    <row r="3836" spans="1:11" ht="158.4" x14ac:dyDescent="0.3">
      <c r="A3836" s="4" t="s">
        <v>6863</v>
      </c>
      <c r="B3836">
        <v>3</v>
      </c>
      <c r="C3836">
        <v>2019</v>
      </c>
      <c r="D3836" t="s">
        <v>26022</v>
      </c>
      <c r="E3836">
        <v>29</v>
      </c>
      <c r="F3836" t="s">
        <v>26023</v>
      </c>
      <c r="G3836" t="s">
        <v>26024</v>
      </c>
      <c r="H3836" s="4" t="s">
        <v>26025</v>
      </c>
    </row>
    <row r="3837" spans="1:11" ht="172.8" x14ac:dyDescent="0.3">
      <c r="A3837" s="4" t="s">
        <v>6864</v>
      </c>
      <c r="B3837">
        <v>3</v>
      </c>
      <c r="C3837">
        <v>2019</v>
      </c>
      <c r="D3837" t="s">
        <v>10815</v>
      </c>
      <c r="E3837">
        <v>19</v>
      </c>
      <c r="F3837" t="s">
        <v>26026</v>
      </c>
      <c r="G3837" t="s">
        <v>26027</v>
      </c>
      <c r="H3837" s="4" t="s">
        <v>26028</v>
      </c>
      <c r="I3837" t="s">
        <v>71</v>
      </c>
      <c r="J3837" t="s">
        <v>10782</v>
      </c>
      <c r="K3837" t="s">
        <v>26029</v>
      </c>
    </row>
    <row r="3838" spans="1:11" ht="144" x14ac:dyDescent="0.3">
      <c r="A3838" s="4" t="s">
        <v>6865</v>
      </c>
      <c r="B3838">
        <v>3</v>
      </c>
      <c r="C3838">
        <v>2019</v>
      </c>
      <c r="D3838" t="s">
        <v>799</v>
      </c>
      <c r="E3838">
        <v>29</v>
      </c>
      <c r="F3838" t="s">
        <v>26030</v>
      </c>
      <c r="G3838" t="s">
        <v>26031</v>
      </c>
      <c r="H3838" s="4" t="s">
        <v>26032</v>
      </c>
      <c r="I3838" t="s">
        <v>71</v>
      </c>
      <c r="J3838" t="s">
        <v>10782</v>
      </c>
      <c r="K3838" t="s">
        <v>26033</v>
      </c>
    </row>
    <row r="3839" spans="1:11" ht="129.6" x14ac:dyDescent="0.3">
      <c r="A3839" s="4" t="s">
        <v>6866</v>
      </c>
      <c r="B3839">
        <v>3</v>
      </c>
      <c r="C3839">
        <v>2019</v>
      </c>
      <c r="D3839" t="s">
        <v>482</v>
      </c>
      <c r="E3839">
        <v>13</v>
      </c>
      <c r="F3839" t="s">
        <v>26034</v>
      </c>
      <c r="G3839" t="s">
        <v>26035</v>
      </c>
      <c r="H3839" s="4" t="s">
        <v>26036</v>
      </c>
      <c r="I3839" t="s">
        <v>71</v>
      </c>
      <c r="J3839" t="s">
        <v>10782</v>
      </c>
      <c r="K3839" t="s">
        <v>26037</v>
      </c>
    </row>
    <row r="3840" spans="1:11" ht="172.8" x14ac:dyDescent="0.3">
      <c r="A3840" s="4" t="s">
        <v>6867</v>
      </c>
      <c r="B3840">
        <v>3</v>
      </c>
      <c r="C3840">
        <v>2019</v>
      </c>
      <c r="D3840" t="s">
        <v>637</v>
      </c>
      <c r="E3840">
        <v>12</v>
      </c>
      <c r="F3840" t="s">
        <v>26038</v>
      </c>
      <c r="G3840" t="s">
        <v>26039</v>
      </c>
      <c r="H3840" s="4" t="s">
        <v>26040</v>
      </c>
      <c r="I3840" t="s">
        <v>71</v>
      </c>
      <c r="J3840" t="s">
        <v>10782</v>
      </c>
      <c r="K3840" t="s">
        <v>26041</v>
      </c>
    </row>
    <row r="3841" spans="1:11" ht="201.6" x14ac:dyDescent="0.3">
      <c r="A3841" s="4" t="s">
        <v>6868</v>
      </c>
      <c r="B3841">
        <v>3</v>
      </c>
      <c r="C3841">
        <v>2019</v>
      </c>
      <c r="D3841" t="s">
        <v>318</v>
      </c>
      <c r="E3841">
        <v>62</v>
      </c>
      <c r="F3841" t="s">
        <v>26042</v>
      </c>
      <c r="G3841" t="s">
        <v>26043</v>
      </c>
      <c r="H3841" s="4" t="s">
        <v>26044</v>
      </c>
      <c r="I3841" t="s">
        <v>71</v>
      </c>
      <c r="J3841" t="s">
        <v>10782</v>
      </c>
      <c r="K3841" t="s">
        <v>26045</v>
      </c>
    </row>
    <row r="3842" spans="1:11" ht="129.6" x14ac:dyDescent="0.3">
      <c r="A3842" s="4" t="s">
        <v>6869</v>
      </c>
      <c r="B3842">
        <v>3</v>
      </c>
      <c r="C3842">
        <v>2019</v>
      </c>
      <c r="D3842" t="s">
        <v>10825</v>
      </c>
      <c r="E3842">
        <v>11</v>
      </c>
      <c r="F3842" t="s">
        <v>26046</v>
      </c>
      <c r="G3842" t="s">
        <v>26047</v>
      </c>
      <c r="H3842" s="4" t="s">
        <v>26048</v>
      </c>
    </row>
    <row r="3843" spans="1:11" ht="172.8" x14ac:dyDescent="0.3">
      <c r="A3843" s="4" t="s">
        <v>6870</v>
      </c>
      <c r="B3843">
        <v>3</v>
      </c>
      <c r="C3843">
        <v>2019</v>
      </c>
      <c r="D3843" t="s">
        <v>147</v>
      </c>
      <c r="E3843">
        <v>101</v>
      </c>
      <c r="F3843" t="s">
        <v>26049</v>
      </c>
      <c r="G3843" t="s">
        <v>26050</v>
      </c>
      <c r="H3843" s="4" t="s">
        <v>26051</v>
      </c>
      <c r="I3843" t="s">
        <v>71</v>
      </c>
      <c r="J3843" t="s">
        <v>10782</v>
      </c>
      <c r="K3843" t="s">
        <v>26052</v>
      </c>
    </row>
    <row r="3844" spans="1:11" ht="187.2" x14ac:dyDescent="0.3">
      <c r="A3844" s="4" t="s">
        <v>6871</v>
      </c>
      <c r="B3844">
        <v>3</v>
      </c>
      <c r="C3844">
        <v>2019</v>
      </c>
      <c r="D3844" t="s">
        <v>704</v>
      </c>
      <c r="E3844">
        <v>88</v>
      </c>
      <c r="F3844" t="s">
        <v>26053</v>
      </c>
      <c r="G3844" t="s">
        <v>26054</v>
      </c>
      <c r="H3844" s="4" t="s">
        <v>26055</v>
      </c>
      <c r="I3844" t="s">
        <v>71</v>
      </c>
      <c r="J3844" t="s">
        <v>10782</v>
      </c>
      <c r="K3844" t="s">
        <v>26056</v>
      </c>
    </row>
    <row r="3845" spans="1:11" ht="100.8" x14ac:dyDescent="0.3">
      <c r="A3845" s="4" t="s">
        <v>6872</v>
      </c>
      <c r="B3845">
        <v>3</v>
      </c>
      <c r="C3845">
        <v>2019</v>
      </c>
      <c r="D3845" t="s">
        <v>17688</v>
      </c>
      <c r="E3845">
        <v>5</v>
      </c>
      <c r="F3845" t="s">
        <v>26057</v>
      </c>
      <c r="G3845" t="s">
        <v>26058</v>
      </c>
      <c r="H3845" s="4" t="s">
        <v>26059</v>
      </c>
    </row>
    <row r="3846" spans="1:11" ht="187.2" x14ac:dyDescent="0.3">
      <c r="A3846" s="4" t="s">
        <v>3367</v>
      </c>
      <c r="B3846">
        <v>1</v>
      </c>
      <c r="C3846">
        <v>2019</v>
      </c>
      <c r="D3846" t="s">
        <v>11337</v>
      </c>
      <c r="E3846">
        <v>101</v>
      </c>
      <c r="F3846" t="s">
        <v>26060</v>
      </c>
      <c r="G3846" t="s">
        <v>26061</v>
      </c>
      <c r="H3846" s="4" t="s">
        <v>26062</v>
      </c>
      <c r="I3846" t="s">
        <v>10823</v>
      </c>
      <c r="J3846" t="s">
        <v>10782</v>
      </c>
      <c r="K3846" t="s">
        <v>26063</v>
      </c>
    </row>
    <row r="3847" spans="1:11" ht="158.4" x14ac:dyDescent="0.3">
      <c r="A3847" s="4" t="s">
        <v>6873</v>
      </c>
      <c r="B3847">
        <v>3</v>
      </c>
      <c r="C3847">
        <v>2019</v>
      </c>
      <c r="D3847" t="s">
        <v>11569</v>
      </c>
      <c r="E3847">
        <v>55</v>
      </c>
      <c r="F3847" t="s">
        <v>26064</v>
      </c>
      <c r="G3847" t="s">
        <v>26065</v>
      </c>
      <c r="H3847" s="4" t="s">
        <v>26066</v>
      </c>
      <c r="I3847" t="s">
        <v>71</v>
      </c>
      <c r="J3847" t="s">
        <v>10782</v>
      </c>
      <c r="K3847" t="s">
        <v>26067</v>
      </c>
    </row>
    <row r="3848" spans="1:11" ht="201.6" x14ac:dyDescent="0.3">
      <c r="A3848" s="4" t="s">
        <v>6874</v>
      </c>
      <c r="B3848">
        <v>3</v>
      </c>
      <c r="C3848">
        <v>2019</v>
      </c>
      <c r="D3848" t="s">
        <v>830</v>
      </c>
      <c r="E3848">
        <v>15</v>
      </c>
      <c r="F3848" t="s">
        <v>26068</v>
      </c>
      <c r="G3848" t="s">
        <v>26069</v>
      </c>
      <c r="H3848" s="4" t="s">
        <v>26070</v>
      </c>
      <c r="I3848" t="s">
        <v>71</v>
      </c>
      <c r="J3848" t="s">
        <v>10782</v>
      </c>
      <c r="K3848" t="s">
        <v>26071</v>
      </c>
    </row>
    <row r="3849" spans="1:11" ht="86.4" x14ac:dyDescent="0.3">
      <c r="A3849" s="4" t="s">
        <v>6875</v>
      </c>
      <c r="B3849">
        <v>3</v>
      </c>
      <c r="C3849">
        <v>2019</v>
      </c>
      <c r="D3849" t="s">
        <v>14636</v>
      </c>
      <c r="E3849">
        <v>34</v>
      </c>
      <c r="F3849" t="s">
        <v>26072</v>
      </c>
      <c r="G3849" t="s">
        <v>26073</v>
      </c>
      <c r="H3849" s="4" t="s">
        <v>26074</v>
      </c>
      <c r="I3849" t="s">
        <v>71</v>
      </c>
      <c r="J3849" t="s">
        <v>10782</v>
      </c>
      <c r="K3849" t="s">
        <v>26075</v>
      </c>
    </row>
    <row r="3850" spans="1:11" ht="187.2" x14ac:dyDescent="0.3">
      <c r="A3850" s="4" t="s">
        <v>6876</v>
      </c>
      <c r="B3850">
        <v>3</v>
      </c>
      <c r="C3850">
        <v>2019</v>
      </c>
      <c r="D3850" t="s">
        <v>318</v>
      </c>
      <c r="E3850">
        <v>33</v>
      </c>
      <c r="F3850" t="s">
        <v>26076</v>
      </c>
      <c r="G3850" t="s">
        <v>26077</v>
      </c>
      <c r="H3850" s="4" t="s">
        <v>26078</v>
      </c>
    </row>
    <row r="3851" spans="1:11" ht="201.6" x14ac:dyDescent="0.3">
      <c r="A3851" s="4" t="s">
        <v>6877</v>
      </c>
      <c r="B3851">
        <v>3</v>
      </c>
      <c r="C3851">
        <v>2019</v>
      </c>
      <c r="D3851" t="s">
        <v>329</v>
      </c>
      <c r="E3851">
        <v>27</v>
      </c>
      <c r="F3851" t="s">
        <v>26079</v>
      </c>
      <c r="G3851" t="s">
        <v>26080</v>
      </c>
      <c r="H3851" s="4" t="s">
        <v>26081</v>
      </c>
      <c r="I3851" t="s">
        <v>71</v>
      </c>
      <c r="J3851" t="s">
        <v>10782</v>
      </c>
      <c r="K3851" t="s">
        <v>26082</v>
      </c>
    </row>
    <row r="3852" spans="1:11" ht="129.6" x14ac:dyDescent="0.3">
      <c r="A3852" s="4" t="s">
        <v>6878</v>
      </c>
      <c r="B3852">
        <v>3</v>
      </c>
      <c r="C3852">
        <v>2019</v>
      </c>
      <c r="D3852" t="s">
        <v>13066</v>
      </c>
      <c r="E3852">
        <v>26</v>
      </c>
      <c r="F3852" t="s">
        <v>26083</v>
      </c>
      <c r="G3852" t="s">
        <v>26084</v>
      </c>
      <c r="H3852" s="4" t="s">
        <v>26085</v>
      </c>
      <c r="I3852" t="s">
        <v>71</v>
      </c>
      <c r="J3852" t="s">
        <v>10782</v>
      </c>
      <c r="K3852" t="s">
        <v>26086</v>
      </c>
    </row>
    <row r="3853" spans="1:11" ht="86.4" x14ac:dyDescent="0.3">
      <c r="A3853" s="4" t="s">
        <v>6879</v>
      </c>
      <c r="B3853">
        <v>3</v>
      </c>
      <c r="C3853">
        <v>2019</v>
      </c>
      <c r="D3853" t="s">
        <v>1794</v>
      </c>
      <c r="E3853">
        <v>29</v>
      </c>
      <c r="F3853" t="s">
        <v>26087</v>
      </c>
      <c r="G3853" t="s">
        <v>26088</v>
      </c>
      <c r="H3853" s="4" t="s">
        <v>26089</v>
      </c>
    </row>
    <row r="3854" spans="1:11" ht="230.4" x14ac:dyDescent="0.3">
      <c r="A3854" s="4" t="s">
        <v>6880</v>
      </c>
      <c r="B3854">
        <v>3</v>
      </c>
      <c r="C3854">
        <v>2019</v>
      </c>
      <c r="D3854" t="s">
        <v>217</v>
      </c>
      <c r="E3854">
        <v>18</v>
      </c>
      <c r="F3854" t="s">
        <v>26090</v>
      </c>
      <c r="G3854" t="s">
        <v>26091</v>
      </c>
      <c r="H3854" s="4" t="s">
        <v>26092</v>
      </c>
      <c r="I3854" t="s">
        <v>71</v>
      </c>
      <c r="J3854" t="s">
        <v>10782</v>
      </c>
      <c r="K3854" t="s">
        <v>26093</v>
      </c>
    </row>
    <row r="3855" spans="1:11" ht="187.2" x14ac:dyDescent="0.3">
      <c r="A3855" s="4" t="s">
        <v>6881</v>
      </c>
      <c r="B3855">
        <v>3</v>
      </c>
      <c r="C3855">
        <v>2019</v>
      </c>
      <c r="D3855" t="s">
        <v>405</v>
      </c>
      <c r="E3855">
        <v>62</v>
      </c>
      <c r="F3855" t="s">
        <v>26094</v>
      </c>
      <c r="G3855" t="s">
        <v>26095</v>
      </c>
      <c r="H3855" s="4" t="s">
        <v>26096</v>
      </c>
      <c r="I3855" t="s">
        <v>71</v>
      </c>
      <c r="J3855" t="s">
        <v>10782</v>
      </c>
      <c r="K3855" t="s">
        <v>26097</v>
      </c>
    </row>
    <row r="3856" spans="1:11" ht="230.4" x14ac:dyDescent="0.3">
      <c r="A3856" s="4" t="s">
        <v>6882</v>
      </c>
      <c r="B3856">
        <v>3</v>
      </c>
      <c r="C3856">
        <v>2019</v>
      </c>
      <c r="D3856" t="s">
        <v>17362</v>
      </c>
      <c r="E3856">
        <v>18</v>
      </c>
      <c r="F3856" t="s">
        <v>26098</v>
      </c>
      <c r="G3856" t="s">
        <v>26099</v>
      </c>
      <c r="H3856" s="4" t="s">
        <v>26100</v>
      </c>
      <c r="I3856" t="s">
        <v>71</v>
      </c>
      <c r="J3856" t="s">
        <v>10782</v>
      </c>
      <c r="K3856" t="s">
        <v>26101</v>
      </c>
    </row>
    <row r="3857" spans="1:11" ht="244.8" x14ac:dyDescent="0.3">
      <c r="A3857" s="4" t="s">
        <v>6883</v>
      </c>
      <c r="B3857">
        <v>3</v>
      </c>
      <c r="C3857">
        <v>2019</v>
      </c>
      <c r="D3857" t="s">
        <v>12318</v>
      </c>
      <c r="E3857">
        <v>93</v>
      </c>
      <c r="F3857" t="s">
        <v>26102</v>
      </c>
      <c r="G3857" t="s">
        <v>26103</v>
      </c>
      <c r="H3857" s="4" t="s">
        <v>26104</v>
      </c>
      <c r="I3857" t="s">
        <v>71</v>
      </c>
      <c r="J3857" t="s">
        <v>10782</v>
      </c>
      <c r="K3857" t="s">
        <v>26105</v>
      </c>
    </row>
    <row r="3858" spans="1:11" ht="172.8" x14ac:dyDescent="0.3">
      <c r="A3858" s="4" t="s">
        <v>6884</v>
      </c>
      <c r="B3858">
        <v>3</v>
      </c>
      <c r="C3858">
        <v>2019</v>
      </c>
      <c r="D3858" t="s">
        <v>10825</v>
      </c>
      <c r="E3858">
        <v>17</v>
      </c>
      <c r="F3858" t="s">
        <v>26106</v>
      </c>
      <c r="G3858" t="s">
        <v>26107</v>
      </c>
      <c r="H3858" s="4" t="s">
        <v>26108</v>
      </c>
      <c r="I3858" t="s">
        <v>71</v>
      </c>
      <c r="J3858" t="s">
        <v>10782</v>
      </c>
      <c r="K3858" t="s">
        <v>26109</v>
      </c>
    </row>
    <row r="3859" spans="1:11" ht="158.4" x14ac:dyDescent="0.3">
      <c r="A3859" s="4" t="s">
        <v>6885</v>
      </c>
      <c r="B3859">
        <v>3</v>
      </c>
      <c r="C3859">
        <v>2019</v>
      </c>
      <c r="D3859" t="s">
        <v>817</v>
      </c>
      <c r="E3859">
        <v>8</v>
      </c>
      <c r="F3859" t="s">
        <v>26110</v>
      </c>
      <c r="G3859" t="s">
        <v>26111</v>
      </c>
      <c r="H3859" s="4" t="s">
        <v>26112</v>
      </c>
      <c r="I3859" t="s">
        <v>71</v>
      </c>
      <c r="J3859" t="s">
        <v>10782</v>
      </c>
      <c r="K3859" t="s">
        <v>26113</v>
      </c>
    </row>
    <row r="3860" spans="1:11" ht="158.4" x14ac:dyDescent="0.3">
      <c r="A3860" s="4" t="s">
        <v>6886</v>
      </c>
      <c r="B3860">
        <v>3</v>
      </c>
      <c r="C3860">
        <v>2019</v>
      </c>
      <c r="D3860" t="s">
        <v>10971</v>
      </c>
      <c r="E3860">
        <v>35</v>
      </c>
      <c r="F3860" t="s">
        <v>26114</v>
      </c>
      <c r="G3860" t="s">
        <v>26115</v>
      </c>
      <c r="H3860" s="4" t="s">
        <v>26116</v>
      </c>
    </row>
    <row r="3861" spans="1:11" ht="144" x14ac:dyDescent="0.3">
      <c r="A3861" s="4" t="s">
        <v>6887</v>
      </c>
      <c r="B3861">
        <v>3</v>
      </c>
      <c r="C3861">
        <v>2019</v>
      </c>
      <c r="D3861" t="s">
        <v>637</v>
      </c>
      <c r="E3861">
        <v>11</v>
      </c>
      <c r="F3861" t="s">
        <v>26117</v>
      </c>
      <c r="G3861" t="s">
        <v>26118</v>
      </c>
      <c r="H3861" s="4" t="s">
        <v>26119</v>
      </c>
    </row>
    <row r="3862" spans="1:11" ht="28.8" x14ac:dyDescent="0.3">
      <c r="A3862" s="4" t="s">
        <v>6888</v>
      </c>
      <c r="B3862">
        <v>3</v>
      </c>
      <c r="C3862">
        <v>2019</v>
      </c>
      <c r="D3862" t="s">
        <v>26120</v>
      </c>
      <c r="E3862">
        <v>4</v>
      </c>
      <c r="F3862" t="s">
        <v>26121</v>
      </c>
      <c r="G3862" t="s">
        <v>26122</v>
      </c>
    </row>
    <row r="3863" spans="1:11" ht="115.2" x14ac:dyDescent="0.3">
      <c r="A3863" s="4" t="s">
        <v>6889</v>
      </c>
      <c r="B3863">
        <v>3</v>
      </c>
      <c r="C3863">
        <v>2019</v>
      </c>
      <c r="D3863" t="s">
        <v>83</v>
      </c>
      <c r="E3863">
        <v>65</v>
      </c>
      <c r="F3863" t="s">
        <v>26123</v>
      </c>
      <c r="G3863" t="s">
        <v>26124</v>
      </c>
      <c r="H3863" s="4" t="s">
        <v>26125</v>
      </c>
    </row>
    <row r="3864" spans="1:11" ht="172.8" x14ac:dyDescent="0.3">
      <c r="A3864" s="4" t="s">
        <v>6890</v>
      </c>
      <c r="B3864">
        <v>3</v>
      </c>
      <c r="C3864">
        <v>2019</v>
      </c>
      <c r="D3864" t="s">
        <v>217</v>
      </c>
      <c r="E3864">
        <v>5</v>
      </c>
      <c r="F3864" t="s">
        <v>26126</v>
      </c>
      <c r="G3864" t="s">
        <v>26127</v>
      </c>
      <c r="H3864" s="4" t="s">
        <v>26128</v>
      </c>
      <c r="I3864" t="s">
        <v>71</v>
      </c>
      <c r="J3864" t="s">
        <v>10782</v>
      </c>
      <c r="K3864" t="s">
        <v>26129</v>
      </c>
    </row>
    <row r="3865" spans="1:11" ht="259.2" x14ac:dyDescent="0.3">
      <c r="A3865" s="4" t="s">
        <v>6891</v>
      </c>
      <c r="B3865">
        <v>3</v>
      </c>
      <c r="C3865">
        <v>2019</v>
      </c>
      <c r="D3865" t="s">
        <v>14052</v>
      </c>
      <c r="E3865">
        <v>11</v>
      </c>
      <c r="F3865" t="s">
        <v>26130</v>
      </c>
      <c r="G3865" t="s">
        <v>26131</v>
      </c>
      <c r="H3865" s="4" t="s">
        <v>26132</v>
      </c>
      <c r="I3865" t="s">
        <v>71</v>
      </c>
      <c r="J3865" t="s">
        <v>10782</v>
      </c>
      <c r="K3865" t="s">
        <v>26133</v>
      </c>
    </row>
    <row r="3866" spans="1:11" ht="201.6" x14ac:dyDescent="0.3">
      <c r="A3866" s="4" t="s">
        <v>6892</v>
      </c>
      <c r="B3866">
        <v>3</v>
      </c>
      <c r="C3866">
        <v>2019</v>
      </c>
      <c r="D3866" t="s">
        <v>318</v>
      </c>
      <c r="E3866">
        <v>39</v>
      </c>
      <c r="F3866" t="s">
        <v>26134</v>
      </c>
      <c r="G3866" t="s">
        <v>26135</v>
      </c>
      <c r="H3866" s="4" t="s">
        <v>26136</v>
      </c>
      <c r="I3866" t="s">
        <v>71</v>
      </c>
      <c r="J3866" t="s">
        <v>10782</v>
      </c>
      <c r="K3866" t="s">
        <v>26137</v>
      </c>
    </row>
    <row r="3867" spans="1:11" ht="144" x14ac:dyDescent="0.3">
      <c r="A3867" s="4" t="s">
        <v>6893</v>
      </c>
      <c r="B3867">
        <v>3</v>
      </c>
      <c r="C3867">
        <v>2019</v>
      </c>
      <c r="D3867" t="s">
        <v>14061</v>
      </c>
      <c r="E3867">
        <v>14</v>
      </c>
      <c r="F3867" t="s">
        <v>26138</v>
      </c>
      <c r="G3867" t="s">
        <v>26139</v>
      </c>
      <c r="H3867" s="4" t="s">
        <v>26140</v>
      </c>
      <c r="I3867" t="s">
        <v>71</v>
      </c>
      <c r="J3867" t="s">
        <v>10782</v>
      </c>
      <c r="K3867" t="s">
        <v>26141</v>
      </c>
    </row>
    <row r="3868" spans="1:11" ht="172.8" x14ac:dyDescent="0.3">
      <c r="A3868" s="4" t="s">
        <v>6894</v>
      </c>
      <c r="B3868">
        <v>3</v>
      </c>
      <c r="C3868">
        <v>2019</v>
      </c>
      <c r="D3868" t="s">
        <v>164</v>
      </c>
      <c r="E3868">
        <v>28</v>
      </c>
      <c r="F3868" t="s">
        <v>26142</v>
      </c>
      <c r="G3868" t="s">
        <v>26143</v>
      </c>
      <c r="H3868" s="4" t="s">
        <v>26144</v>
      </c>
      <c r="I3868" t="s">
        <v>71</v>
      </c>
      <c r="J3868" t="s">
        <v>10782</v>
      </c>
      <c r="K3868" t="s">
        <v>26145</v>
      </c>
    </row>
    <row r="3869" spans="1:11" ht="172.8" x14ac:dyDescent="0.3">
      <c r="A3869" s="4" t="s">
        <v>6895</v>
      </c>
      <c r="B3869">
        <v>3</v>
      </c>
      <c r="C3869">
        <v>2019</v>
      </c>
      <c r="D3869" t="s">
        <v>2819</v>
      </c>
      <c r="E3869">
        <v>16</v>
      </c>
      <c r="F3869" t="s">
        <v>26146</v>
      </c>
      <c r="G3869" t="s">
        <v>26147</v>
      </c>
      <c r="H3869" s="4" t="s">
        <v>26148</v>
      </c>
      <c r="I3869" t="s">
        <v>71</v>
      </c>
      <c r="J3869" t="s">
        <v>10782</v>
      </c>
      <c r="K3869" t="s">
        <v>26149</v>
      </c>
    </row>
    <row r="3870" spans="1:11" ht="158.4" x14ac:dyDescent="0.3">
      <c r="A3870" s="4" t="s">
        <v>6896</v>
      </c>
      <c r="B3870">
        <v>3</v>
      </c>
      <c r="C3870">
        <v>2019</v>
      </c>
      <c r="D3870" t="s">
        <v>217</v>
      </c>
      <c r="E3870">
        <v>10</v>
      </c>
      <c r="F3870" t="s">
        <v>26150</v>
      </c>
      <c r="G3870" t="s">
        <v>26151</v>
      </c>
      <c r="H3870" s="4" t="s">
        <v>26152</v>
      </c>
      <c r="I3870" t="s">
        <v>71</v>
      </c>
      <c r="J3870" t="s">
        <v>10782</v>
      </c>
      <c r="K3870" t="s">
        <v>26153</v>
      </c>
    </row>
    <row r="3871" spans="1:11" ht="57.6" x14ac:dyDescent="0.3">
      <c r="A3871" s="4" t="s">
        <v>6897</v>
      </c>
      <c r="B3871">
        <v>3</v>
      </c>
      <c r="C3871">
        <v>2019</v>
      </c>
      <c r="D3871" t="s">
        <v>11674</v>
      </c>
      <c r="E3871">
        <v>14</v>
      </c>
      <c r="F3871" t="s">
        <v>26154</v>
      </c>
      <c r="G3871" t="s">
        <v>26155</v>
      </c>
      <c r="H3871" s="4" t="s">
        <v>26156</v>
      </c>
    </row>
    <row r="3872" spans="1:11" ht="158.4" x14ac:dyDescent="0.3">
      <c r="A3872" s="4" t="s">
        <v>6898</v>
      </c>
      <c r="B3872">
        <v>3</v>
      </c>
      <c r="C3872">
        <v>2019</v>
      </c>
      <c r="D3872" t="s">
        <v>11432</v>
      </c>
      <c r="E3872">
        <v>28</v>
      </c>
      <c r="F3872" t="s">
        <v>26157</v>
      </c>
      <c r="G3872" t="s">
        <v>26158</v>
      </c>
      <c r="H3872" s="4" t="s">
        <v>26159</v>
      </c>
      <c r="I3872" t="s">
        <v>71</v>
      </c>
      <c r="J3872" t="s">
        <v>10782</v>
      </c>
      <c r="K3872" t="s">
        <v>26160</v>
      </c>
    </row>
    <row r="3873" spans="1:11" ht="129.6" x14ac:dyDescent="0.3">
      <c r="A3873" s="4" t="s">
        <v>6899</v>
      </c>
      <c r="B3873">
        <v>3</v>
      </c>
      <c r="C3873">
        <v>2019</v>
      </c>
      <c r="D3873" t="s">
        <v>217</v>
      </c>
      <c r="E3873">
        <v>24</v>
      </c>
      <c r="F3873" t="s">
        <v>26161</v>
      </c>
      <c r="G3873" t="s">
        <v>26162</v>
      </c>
      <c r="H3873" s="4" t="s">
        <v>26163</v>
      </c>
    </row>
    <row r="3874" spans="1:11" ht="172.8" x14ac:dyDescent="0.3">
      <c r="A3874" s="4" t="s">
        <v>6900</v>
      </c>
      <c r="B3874">
        <v>3</v>
      </c>
      <c r="C3874">
        <v>2019</v>
      </c>
      <c r="D3874" t="s">
        <v>1002</v>
      </c>
      <c r="E3874">
        <v>25</v>
      </c>
      <c r="F3874" t="s">
        <v>26164</v>
      </c>
      <c r="G3874" t="s">
        <v>26165</v>
      </c>
      <c r="H3874" s="4" t="s">
        <v>26166</v>
      </c>
      <c r="I3874" t="s">
        <v>71</v>
      </c>
      <c r="J3874" t="s">
        <v>10782</v>
      </c>
      <c r="K3874" t="s">
        <v>26167</v>
      </c>
    </row>
    <row r="3875" spans="1:11" ht="172.8" x14ac:dyDescent="0.3">
      <c r="A3875" s="4" t="s">
        <v>6901</v>
      </c>
      <c r="B3875">
        <v>3</v>
      </c>
      <c r="C3875">
        <v>2019</v>
      </c>
      <c r="D3875" t="s">
        <v>1002</v>
      </c>
      <c r="E3875">
        <v>53</v>
      </c>
      <c r="F3875" t="s">
        <v>26168</v>
      </c>
      <c r="G3875" t="s">
        <v>26169</v>
      </c>
      <c r="H3875" s="4" t="s">
        <v>26170</v>
      </c>
      <c r="I3875" t="s">
        <v>71</v>
      </c>
      <c r="J3875" t="s">
        <v>10782</v>
      </c>
      <c r="K3875" t="s">
        <v>26171</v>
      </c>
    </row>
    <row r="3876" spans="1:11" ht="201.6" x14ac:dyDescent="0.3">
      <c r="A3876" s="4" t="s">
        <v>6902</v>
      </c>
      <c r="B3876">
        <v>3</v>
      </c>
      <c r="C3876">
        <v>2019</v>
      </c>
      <c r="D3876" t="s">
        <v>637</v>
      </c>
      <c r="E3876">
        <v>51</v>
      </c>
      <c r="F3876" t="s">
        <v>26172</v>
      </c>
      <c r="G3876" t="s">
        <v>26173</v>
      </c>
      <c r="H3876" s="4" t="s">
        <v>26174</v>
      </c>
      <c r="I3876" t="s">
        <v>71</v>
      </c>
      <c r="J3876" t="s">
        <v>10782</v>
      </c>
      <c r="K3876" t="s">
        <v>26175</v>
      </c>
    </row>
    <row r="3877" spans="1:11" ht="201.6" x14ac:dyDescent="0.3">
      <c r="A3877" s="4" t="s">
        <v>2786</v>
      </c>
      <c r="B3877">
        <v>2</v>
      </c>
      <c r="C3877">
        <v>2019</v>
      </c>
      <c r="D3877" t="s">
        <v>2893</v>
      </c>
      <c r="E3877">
        <v>50</v>
      </c>
      <c r="F3877" t="s">
        <v>26176</v>
      </c>
      <c r="G3877" t="s">
        <v>26177</v>
      </c>
      <c r="H3877" s="4" t="s">
        <v>26178</v>
      </c>
      <c r="I3877" t="s">
        <v>71</v>
      </c>
      <c r="J3877" t="s">
        <v>10782</v>
      </c>
      <c r="K3877" t="s">
        <v>26179</v>
      </c>
    </row>
    <row r="3878" spans="1:11" ht="115.2" x14ac:dyDescent="0.3">
      <c r="A3878" s="4" t="s">
        <v>6903</v>
      </c>
      <c r="B3878">
        <v>3</v>
      </c>
      <c r="C3878">
        <v>2019</v>
      </c>
      <c r="D3878" t="s">
        <v>21043</v>
      </c>
      <c r="E3878">
        <v>68</v>
      </c>
      <c r="F3878" t="s">
        <v>26180</v>
      </c>
      <c r="G3878" t="s">
        <v>26181</v>
      </c>
      <c r="H3878" s="4" t="s">
        <v>26182</v>
      </c>
      <c r="I3878" t="s">
        <v>10823</v>
      </c>
      <c r="J3878" t="s">
        <v>10782</v>
      </c>
      <c r="K3878" t="s">
        <v>26183</v>
      </c>
    </row>
    <row r="3879" spans="1:11" ht="201.6" x14ac:dyDescent="0.3">
      <c r="A3879" s="4" t="s">
        <v>6904</v>
      </c>
      <c r="B3879">
        <v>3</v>
      </c>
      <c r="C3879">
        <v>2019</v>
      </c>
      <c r="D3879" t="s">
        <v>21640</v>
      </c>
      <c r="E3879">
        <v>175</v>
      </c>
      <c r="F3879" t="s">
        <v>26184</v>
      </c>
      <c r="G3879" t="s">
        <v>26185</v>
      </c>
      <c r="H3879" s="4" t="s">
        <v>26186</v>
      </c>
      <c r="I3879" t="s">
        <v>71</v>
      </c>
      <c r="J3879" t="s">
        <v>10782</v>
      </c>
      <c r="K3879" t="s">
        <v>26187</v>
      </c>
    </row>
    <row r="3880" spans="1:11" ht="158.4" x14ac:dyDescent="0.3">
      <c r="A3880" s="4" t="s">
        <v>6905</v>
      </c>
      <c r="B3880">
        <v>3</v>
      </c>
      <c r="C3880">
        <v>2019</v>
      </c>
      <c r="D3880" t="s">
        <v>704</v>
      </c>
      <c r="E3880">
        <v>5</v>
      </c>
      <c r="F3880" t="s">
        <v>26188</v>
      </c>
      <c r="G3880" t="s">
        <v>26189</v>
      </c>
      <c r="H3880" s="4" t="s">
        <v>26190</v>
      </c>
      <c r="I3880" t="s">
        <v>71</v>
      </c>
      <c r="J3880" t="s">
        <v>10782</v>
      </c>
      <c r="K3880" t="s">
        <v>26191</v>
      </c>
    </row>
    <row r="3881" spans="1:11" ht="115.2" x14ac:dyDescent="0.3">
      <c r="A3881" s="4" t="s">
        <v>6906</v>
      </c>
      <c r="B3881">
        <v>3</v>
      </c>
      <c r="C3881">
        <v>2019</v>
      </c>
      <c r="D3881" t="s">
        <v>318</v>
      </c>
      <c r="E3881">
        <v>41</v>
      </c>
      <c r="F3881" t="s">
        <v>26192</v>
      </c>
      <c r="G3881" t="s">
        <v>26193</v>
      </c>
      <c r="H3881" s="4" t="s">
        <v>26194</v>
      </c>
      <c r="I3881" t="s">
        <v>71</v>
      </c>
      <c r="J3881" t="s">
        <v>10782</v>
      </c>
      <c r="K3881" t="s">
        <v>26195</v>
      </c>
    </row>
    <row r="3882" spans="1:11" ht="201.6" x14ac:dyDescent="0.3">
      <c r="A3882" s="4" t="s">
        <v>6907</v>
      </c>
      <c r="B3882">
        <v>3</v>
      </c>
      <c r="C3882">
        <v>2019</v>
      </c>
      <c r="D3882" t="s">
        <v>17273</v>
      </c>
      <c r="E3882">
        <v>7</v>
      </c>
      <c r="F3882" t="s">
        <v>26196</v>
      </c>
      <c r="G3882" t="s">
        <v>26197</v>
      </c>
      <c r="H3882" s="4" t="s">
        <v>26198</v>
      </c>
      <c r="I3882" t="s">
        <v>71</v>
      </c>
      <c r="J3882" t="s">
        <v>10782</v>
      </c>
      <c r="K3882" t="s">
        <v>26199</v>
      </c>
    </row>
    <row r="3883" spans="1:11" ht="86.4" x14ac:dyDescent="0.3">
      <c r="A3883" s="4" t="s">
        <v>6908</v>
      </c>
      <c r="B3883">
        <v>3</v>
      </c>
      <c r="C3883">
        <v>2019</v>
      </c>
      <c r="D3883" t="s">
        <v>88</v>
      </c>
      <c r="E3883">
        <v>3</v>
      </c>
      <c r="F3883" t="s">
        <v>26200</v>
      </c>
      <c r="G3883" t="s">
        <v>26201</v>
      </c>
      <c r="H3883" s="4" t="s">
        <v>26202</v>
      </c>
      <c r="I3883" t="s">
        <v>71</v>
      </c>
      <c r="J3883" t="s">
        <v>10782</v>
      </c>
      <c r="K3883" t="s">
        <v>26203</v>
      </c>
    </row>
    <row r="3884" spans="1:11" ht="144" x14ac:dyDescent="0.3">
      <c r="A3884" s="4" t="s">
        <v>6909</v>
      </c>
      <c r="B3884">
        <v>3</v>
      </c>
      <c r="C3884">
        <v>2019</v>
      </c>
      <c r="D3884" t="s">
        <v>380</v>
      </c>
      <c r="E3884">
        <v>16</v>
      </c>
      <c r="F3884" t="s">
        <v>26204</v>
      </c>
      <c r="G3884" t="s">
        <v>26205</v>
      </c>
      <c r="H3884" s="4" t="s">
        <v>26206</v>
      </c>
      <c r="I3884" t="s">
        <v>71</v>
      </c>
      <c r="J3884" t="s">
        <v>10782</v>
      </c>
      <c r="K3884" t="s">
        <v>26207</v>
      </c>
    </row>
    <row r="3885" spans="1:11" ht="115.2" x14ac:dyDescent="0.3">
      <c r="A3885" s="4" t="s">
        <v>6910</v>
      </c>
      <c r="B3885">
        <v>3</v>
      </c>
      <c r="C3885">
        <v>2019</v>
      </c>
      <c r="D3885" t="s">
        <v>177</v>
      </c>
      <c r="E3885">
        <v>129</v>
      </c>
      <c r="F3885" t="s">
        <v>26208</v>
      </c>
      <c r="G3885" t="s">
        <v>26209</v>
      </c>
      <c r="H3885" s="4" t="s">
        <v>26210</v>
      </c>
      <c r="I3885" t="s">
        <v>71</v>
      </c>
      <c r="J3885" t="s">
        <v>10782</v>
      </c>
      <c r="K3885" t="s">
        <v>26211</v>
      </c>
    </row>
    <row r="3886" spans="1:11" ht="144" x14ac:dyDescent="0.3">
      <c r="A3886" s="4" t="s">
        <v>6911</v>
      </c>
      <c r="B3886">
        <v>3</v>
      </c>
      <c r="C3886">
        <v>2019</v>
      </c>
      <c r="D3886" t="s">
        <v>1794</v>
      </c>
      <c r="E3886">
        <v>25</v>
      </c>
      <c r="F3886" t="s">
        <v>26212</v>
      </c>
      <c r="G3886" t="s">
        <v>26213</v>
      </c>
      <c r="H3886" s="4" t="s">
        <v>26214</v>
      </c>
    </row>
    <row r="3887" spans="1:11" ht="216" x14ac:dyDescent="0.3">
      <c r="A3887" s="4" t="s">
        <v>6912</v>
      </c>
      <c r="B3887">
        <v>3</v>
      </c>
      <c r="C3887">
        <v>2019</v>
      </c>
      <c r="D3887" t="s">
        <v>637</v>
      </c>
      <c r="E3887">
        <v>70</v>
      </c>
      <c r="F3887" t="s">
        <v>26215</v>
      </c>
      <c r="G3887" t="s">
        <v>26216</v>
      </c>
      <c r="H3887" s="4" t="s">
        <v>26217</v>
      </c>
      <c r="I3887" t="s">
        <v>71</v>
      </c>
      <c r="J3887" t="s">
        <v>10782</v>
      </c>
      <c r="K3887" t="s">
        <v>26218</v>
      </c>
    </row>
    <row r="3888" spans="1:11" ht="115.2" x14ac:dyDescent="0.3">
      <c r="A3888" s="4" t="s">
        <v>6913</v>
      </c>
      <c r="B3888">
        <v>3</v>
      </c>
      <c r="C3888">
        <v>2019</v>
      </c>
      <c r="D3888" t="s">
        <v>679</v>
      </c>
      <c r="E3888">
        <v>31</v>
      </c>
      <c r="F3888" t="s">
        <v>26219</v>
      </c>
      <c r="G3888" t="s">
        <v>26220</v>
      </c>
      <c r="H3888" s="4" t="s">
        <v>26221</v>
      </c>
      <c r="I3888" t="s">
        <v>71</v>
      </c>
      <c r="J3888" t="s">
        <v>10782</v>
      </c>
      <c r="K3888" t="s">
        <v>26222</v>
      </c>
    </row>
    <row r="3889" spans="1:11" ht="172.8" x14ac:dyDescent="0.3">
      <c r="A3889" s="4" t="s">
        <v>6914</v>
      </c>
      <c r="B3889">
        <v>3</v>
      </c>
      <c r="C3889">
        <v>2019</v>
      </c>
      <c r="D3889" t="s">
        <v>26022</v>
      </c>
      <c r="E3889">
        <v>37</v>
      </c>
      <c r="F3889" t="s">
        <v>26223</v>
      </c>
      <c r="G3889" t="s">
        <v>26224</v>
      </c>
      <c r="H3889" s="4" t="s">
        <v>26225</v>
      </c>
      <c r="I3889" t="s">
        <v>71</v>
      </c>
      <c r="J3889" t="s">
        <v>10782</v>
      </c>
      <c r="K3889" t="s">
        <v>26226</v>
      </c>
    </row>
    <row r="3890" spans="1:11" ht="158.4" x14ac:dyDescent="0.3">
      <c r="A3890" s="4" t="s">
        <v>6915</v>
      </c>
      <c r="B3890">
        <v>3</v>
      </c>
      <c r="C3890">
        <v>2019</v>
      </c>
      <c r="D3890" t="s">
        <v>10924</v>
      </c>
      <c r="E3890">
        <v>2</v>
      </c>
      <c r="F3890" t="s">
        <v>26227</v>
      </c>
      <c r="G3890" t="s">
        <v>26228</v>
      </c>
      <c r="H3890" s="4" t="s">
        <v>26229</v>
      </c>
      <c r="I3890" t="s">
        <v>71</v>
      </c>
      <c r="J3890" t="s">
        <v>10782</v>
      </c>
      <c r="K3890" t="s">
        <v>26230</v>
      </c>
    </row>
    <row r="3891" spans="1:11" ht="187.2" x14ac:dyDescent="0.3">
      <c r="A3891" s="4" t="s">
        <v>6916</v>
      </c>
      <c r="B3891">
        <v>3</v>
      </c>
      <c r="C3891">
        <v>2019</v>
      </c>
      <c r="D3891" t="s">
        <v>18094</v>
      </c>
      <c r="E3891">
        <v>30</v>
      </c>
      <c r="F3891" t="s">
        <v>26231</v>
      </c>
      <c r="G3891" t="s">
        <v>26232</v>
      </c>
      <c r="H3891" s="4" t="s">
        <v>26233</v>
      </c>
      <c r="I3891" t="s">
        <v>71</v>
      </c>
      <c r="J3891" t="s">
        <v>10782</v>
      </c>
      <c r="K3891" t="s">
        <v>26234</v>
      </c>
    </row>
    <row r="3892" spans="1:11" ht="100.8" x14ac:dyDescent="0.3">
      <c r="A3892" s="4" t="s">
        <v>6917</v>
      </c>
      <c r="B3892">
        <v>3</v>
      </c>
      <c r="C3892">
        <v>2019</v>
      </c>
      <c r="D3892" t="s">
        <v>550</v>
      </c>
      <c r="E3892">
        <v>34</v>
      </c>
      <c r="F3892" t="s">
        <v>26235</v>
      </c>
      <c r="G3892" t="s">
        <v>26236</v>
      </c>
      <c r="H3892" s="4" t="s">
        <v>26237</v>
      </c>
    </row>
    <row r="3893" spans="1:11" ht="216" x14ac:dyDescent="0.3">
      <c r="A3893" s="4" t="s">
        <v>6918</v>
      </c>
      <c r="B3893">
        <v>3</v>
      </c>
      <c r="C3893">
        <v>2019</v>
      </c>
      <c r="D3893" t="s">
        <v>10971</v>
      </c>
      <c r="E3893">
        <v>76</v>
      </c>
      <c r="F3893" t="s">
        <v>26238</v>
      </c>
      <c r="G3893" t="s">
        <v>26239</v>
      </c>
      <c r="H3893" s="4" t="s">
        <v>26240</v>
      </c>
      <c r="I3893" t="s">
        <v>71</v>
      </c>
      <c r="J3893" t="s">
        <v>10782</v>
      </c>
      <c r="K3893" t="s">
        <v>26241</v>
      </c>
    </row>
    <row r="3894" spans="1:11" ht="158.4" x14ac:dyDescent="0.3">
      <c r="A3894" s="4" t="s">
        <v>6919</v>
      </c>
      <c r="B3894">
        <v>3</v>
      </c>
      <c r="C3894">
        <v>2019</v>
      </c>
      <c r="D3894" t="s">
        <v>1936</v>
      </c>
      <c r="E3894">
        <v>9</v>
      </c>
      <c r="F3894" t="s">
        <v>26242</v>
      </c>
      <c r="G3894" t="s">
        <v>26243</v>
      </c>
      <c r="H3894" s="4" t="s">
        <v>26244</v>
      </c>
      <c r="I3894" t="s">
        <v>71</v>
      </c>
      <c r="J3894" t="s">
        <v>10782</v>
      </c>
      <c r="K3894" t="s">
        <v>26245</v>
      </c>
    </row>
    <row r="3895" spans="1:11" ht="172.8" x14ac:dyDescent="0.3">
      <c r="A3895" s="4" t="s">
        <v>6920</v>
      </c>
      <c r="B3895">
        <v>3</v>
      </c>
      <c r="C3895">
        <v>2019</v>
      </c>
      <c r="D3895" t="s">
        <v>1231</v>
      </c>
      <c r="E3895">
        <v>3</v>
      </c>
      <c r="F3895" t="s">
        <v>26246</v>
      </c>
      <c r="G3895" t="s">
        <v>26247</v>
      </c>
      <c r="H3895" s="4" t="s">
        <v>26248</v>
      </c>
      <c r="I3895" t="s">
        <v>71</v>
      </c>
      <c r="J3895" t="s">
        <v>10782</v>
      </c>
      <c r="K3895" t="s">
        <v>26249</v>
      </c>
    </row>
    <row r="3896" spans="1:11" ht="187.2" x14ac:dyDescent="0.3">
      <c r="A3896" s="4" t="s">
        <v>6921</v>
      </c>
      <c r="B3896">
        <v>3</v>
      </c>
      <c r="C3896">
        <v>2019</v>
      </c>
      <c r="D3896" t="s">
        <v>799</v>
      </c>
      <c r="E3896">
        <v>107</v>
      </c>
      <c r="F3896" t="s">
        <v>26250</v>
      </c>
      <c r="G3896" t="s">
        <v>26251</v>
      </c>
      <c r="H3896" s="4" t="s">
        <v>26252</v>
      </c>
      <c r="I3896" t="s">
        <v>71</v>
      </c>
      <c r="J3896" t="s">
        <v>10782</v>
      </c>
      <c r="K3896" t="s">
        <v>26253</v>
      </c>
    </row>
    <row r="3897" spans="1:11" ht="273.60000000000002" x14ac:dyDescent="0.3">
      <c r="A3897" s="4" t="s">
        <v>6922</v>
      </c>
      <c r="B3897">
        <v>3</v>
      </c>
      <c r="C3897">
        <v>2019</v>
      </c>
      <c r="D3897" t="s">
        <v>550</v>
      </c>
      <c r="E3897">
        <v>14</v>
      </c>
      <c r="F3897" t="s">
        <v>26254</v>
      </c>
      <c r="G3897" t="s">
        <v>26255</v>
      </c>
      <c r="H3897" s="4" t="s">
        <v>26256</v>
      </c>
      <c r="I3897" t="s">
        <v>71</v>
      </c>
      <c r="J3897" t="s">
        <v>10782</v>
      </c>
      <c r="K3897" t="s">
        <v>26257</v>
      </c>
    </row>
    <row r="3898" spans="1:11" ht="230.4" x14ac:dyDescent="0.3">
      <c r="A3898" s="4" t="s">
        <v>6923</v>
      </c>
      <c r="B3898">
        <v>3</v>
      </c>
      <c r="C3898">
        <v>2019</v>
      </c>
      <c r="D3898" t="s">
        <v>2416</v>
      </c>
      <c r="E3898">
        <v>12</v>
      </c>
      <c r="F3898" t="s">
        <v>26258</v>
      </c>
      <c r="G3898" t="s">
        <v>26259</v>
      </c>
      <c r="H3898" s="4" t="s">
        <v>26260</v>
      </c>
      <c r="I3898" t="s">
        <v>71</v>
      </c>
      <c r="J3898" t="s">
        <v>10782</v>
      </c>
      <c r="K3898" t="s">
        <v>26261</v>
      </c>
    </row>
    <row r="3899" spans="1:11" ht="129.6" x14ac:dyDescent="0.3">
      <c r="A3899" s="4" t="s">
        <v>6924</v>
      </c>
      <c r="B3899">
        <v>3</v>
      </c>
      <c r="C3899">
        <v>2019</v>
      </c>
      <c r="D3899" t="s">
        <v>11041</v>
      </c>
      <c r="E3899">
        <v>20</v>
      </c>
      <c r="F3899" t="s">
        <v>26262</v>
      </c>
      <c r="G3899" t="s">
        <v>26263</v>
      </c>
      <c r="H3899" s="4" t="s">
        <v>26264</v>
      </c>
      <c r="I3899" t="s">
        <v>71</v>
      </c>
      <c r="J3899" t="s">
        <v>10782</v>
      </c>
      <c r="K3899" t="s">
        <v>26265</v>
      </c>
    </row>
    <row r="3900" spans="1:11" ht="244.8" x14ac:dyDescent="0.3">
      <c r="A3900" s="4" t="s">
        <v>6925</v>
      </c>
      <c r="B3900">
        <v>3</v>
      </c>
      <c r="C3900">
        <v>2019</v>
      </c>
      <c r="D3900" t="s">
        <v>637</v>
      </c>
      <c r="E3900">
        <v>19</v>
      </c>
      <c r="F3900" t="s">
        <v>26266</v>
      </c>
      <c r="G3900" t="s">
        <v>26267</v>
      </c>
      <c r="H3900" s="4" t="s">
        <v>26268</v>
      </c>
      <c r="I3900" t="s">
        <v>71</v>
      </c>
      <c r="J3900" t="s">
        <v>10782</v>
      </c>
      <c r="K3900" t="s">
        <v>26269</v>
      </c>
    </row>
    <row r="3901" spans="1:11" ht="129.6" x14ac:dyDescent="0.3">
      <c r="A3901" s="4" t="s">
        <v>1593</v>
      </c>
      <c r="B3901">
        <v>1</v>
      </c>
      <c r="C3901">
        <v>2019</v>
      </c>
      <c r="D3901" t="s">
        <v>80</v>
      </c>
      <c r="E3901">
        <v>33</v>
      </c>
      <c r="F3901" t="s">
        <v>26270</v>
      </c>
      <c r="G3901" t="s">
        <v>26271</v>
      </c>
      <c r="H3901" s="4" t="s">
        <v>26272</v>
      </c>
      <c r="I3901" t="s">
        <v>71</v>
      </c>
      <c r="J3901" t="s">
        <v>10782</v>
      </c>
      <c r="K3901" t="s">
        <v>26273</v>
      </c>
    </row>
    <row r="3902" spans="1:11" ht="172.8" x14ac:dyDescent="0.3">
      <c r="A3902" s="4" t="s">
        <v>6926</v>
      </c>
      <c r="B3902">
        <v>3</v>
      </c>
      <c r="C3902">
        <v>2019</v>
      </c>
      <c r="D3902" t="s">
        <v>637</v>
      </c>
      <c r="E3902">
        <v>29</v>
      </c>
      <c r="F3902" t="s">
        <v>26274</v>
      </c>
      <c r="G3902" t="s">
        <v>26275</v>
      </c>
      <c r="H3902" s="4" t="s">
        <v>26276</v>
      </c>
      <c r="I3902" t="s">
        <v>10823</v>
      </c>
      <c r="J3902" t="s">
        <v>10782</v>
      </c>
      <c r="K3902" t="s">
        <v>26277</v>
      </c>
    </row>
    <row r="3903" spans="1:11" ht="187.2" x14ac:dyDescent="0.3">
      <c r="A3903" s="4" t="s">
        <v>6927</v>
      </c>
      <c r="B3903">
        <v>3</v>
      </c>
      <c r="C3903">
        <v>2019</v>
      </c>
      <c r="D3903" t="s">
        <v>2853</v>
      </c>
      <c r="E3903">
        <v>20</v>
      </c>
      <c r="F3903" t="s">
        <v>26278</v>
      </c>
      <c r="G3903" t="s">
        <v>26279</v>
      </c>
      <c r="H3903" s="4" t="s">
        <v>26280</v>
      </c>
      <c r="I3903" t="s">
        <v>71</v>
      </c>
      <c r="J3903" t="s">
        <v>10782</v>
      </c>
      <c r="K3903" t="s">
        <v>26281</v>
      </c>
    </row>
    <row r="3904" spans="1:11" ht="158.4" x14ac:dyDescent="0.3">
      <c r="A3904" s="4" t="s">
        <v>6928</v>
      </c>
      <c r="B3904">
        <v>3</v>
      </c>
      <c r="C3904">
        <v>2019</v>
      </c>
      <c r="D3904" t="s">
        <v>23292</v>
      </c>
      <c r="E3904">
        <v>7</v>
      </c>
      <c r="G3904" t="s">
        <v>26282</v>
      </c>
      <c r="H3904" s="4" t="s">
        <v>26283</v>
      </c>
      <c r="I3904" s="4" t="s">
        <v>71</v>
      </c>
      <c r="J3904" t="s">
        <v>10782</v>
      </c>
      <c r="K3904" t="s">
        <v>26284</v>
      </c>
    </row>
    <row r="3905" spans="1:11" ht="187.2" x14ac:dyDescent="0.3">
      <c r="A3905" s="4" t="s">
        <v>6929</v>
      </c>
      <c r="B3905">
        <v>3</v>
      </c>
      <c r="C3905">
        <v>2019</v>
      </c>
      <c r="D3905" t="s">
        <v>637</v>
      </c>
      <c r="E3905">
        <v>58</v>
      </c>
      <c r="F3905" t="s">
        <v>26285</v>
      </c>
      <c r="G3905" t="s">
        <v>26286</v>
      </c>
      <c r="H3905" s="4" t="s">
        <v>26287</v>
      </c>
      <c r="I3905" t="s">
        <v>71</v>
      </c>
      <c r="J3905" t="s">
        <v>10782</v>
      </c>
      <c r="K3905" t="s">
        <v>26288</v>
      </c>
    </row>
    <row r="3906" spans="1:11" ht="28.8" x14ac:dyDescent="0.3">
      <c r="A3906" s="4" t="s">
        <v>6930</v>
      </c>
      <c r="B3906">
        <v>3</v>
      </c>
      <c r="C3906">
        <v>2019</v>
      </c>
      <c r="D3906" t="s">
        <v>26289</v>
      </c>
      <c r="E3906">
        <v>3</v>
      </c>
      <c r="F3906" t="s">
        <v>26290</v>
      </c>
      <c r="G3906" t="s">
        <v>26291</v>
      </c>
      <c r="H3906" s="4" t="s">
        <v>71</v>
      </c>
      <c r="I3906" t="s">
        <v>10782</v>
      </c>
      <c r="J3906" t="s">
        <v>26292</v>
      </c>
    </row>
    <row r="3907" spans="1:11" ht="216" x14ac:dyDescent="0.3">
      <c r="A3907" s="4" t="s">
        <v>6931</v>
      </c>
      <c r="B3907">
        <v>3</v>
      </c>
      <c r="C3907">
        <v>2019</v>
      </c>
      <c r="D3907" t="s">
        <v>13914</v>
      </c>
      <c r="E3907">
        <v>59</v>
      </c>
      <c r="F3907" t="s">
        <v>26293</v>
      </c>
      <c r="G3907" t="s">
        <v>26294</v>
      </c>
      <c r="H3907" s="4" t="s">
        <v>26295</v>
      </c>
      <c r="I3907" t="s">
        <v>71</v>
      </c>
      <c r="J3907" t="s">
        <v>10782</v>
      </c>
      <c r="K3907" t="s">
        <v>26296</v>
      </c>
    </row>
    <row r="3908" spans="1:11" ht="57.6" x14ac:dyDescent="0.3">
      <c r="A3908" s="4" t="s">
        <v>6932</v>
      </c>
      <c r="B3908">
        <v>3</v>
      </c>
      <c r="C3908">
        <v>2019</v>
      </c>
      <c r="D3908" t="s">
        <v>26297</v>
      </c>
      <c r="E3908">
        <v>18</v>
      </c>
      <c r="F3908" t="s">
        <v>26298</v>
      </c>
      <c r="G3908" t="s">
        <v>26299</v>
      </c>
      <c r="H3908" s="4" t="s">
        <v>26300</v>
      </c>
    </row>
    <row r="3909" spans="1:11" ht="216" x14ac:dyDescent="0.3">
      <c r="A3909" s="4" t="s">
        <v>6933</v>
      </c>
      <c r="B3909">
        <v>3</v>
      </c>
      <c r="C3909">
        <v>2019</v>
      </c>
      <c r="D3909" t="s">
        <v>14102</v>
      </c>
      <c r="E3909">
        <v>0</v>
      </c>
      <c r="F3909" t="s">
        <v>26301</v>
      </c>
      <c r="G3909" t="s">
        <v>26302</v>
      </c>
      <c r="H3909" s="4" t="s">
        <v>26303</v>
      </c>
    </row>
    <row r="3910" spans="1:11" ht="115.2" x14ac:dyDescent="0.3">
      <c r="A3910" s="4" t="s">
        <v>6934</v>
      </c>
      <c r="B3910">
        <v>3</v>
      </c>
      <c r="C3910">
        <v>2019</v>
      </c>
      <c r="D3910" t="s">
        <v>385</v>
      </c>
      <c r="E3910">
        <v>69</v>
      </c>
      <c r="F3910" t="s">
        <v>26304</v>
      </c>
      <c r="G3910" t="s">
        <v>26305</v>
      </c>
      <c r="H3910" s="4" t="s">
        <v>26306</v>
      </c>
      <c r="I3910" t="s">
        <v>71</v>
      </c>
      <c r="J3910" t="s">
        <v>10782</v>
      </c>
      <c r="K3910" t="s">
        <v>26307</v>
      </c>
    </row>
    <row r="3911" spans="1:11" ht="158.4" x14ac:dyDescent="0.3">
      <c r="A3911" s="4" t="s">
        <v>6935</v>
      </c>
      <c r="B3911">
        <v>3</v>
      </c>
      <c r="C3911">
        <v>2019</v>
      </c>
      <c r="D3911" t="s">
        <v>14588</v>
      </c>
      <c r="E3911">
        <v>5</v>
      </c>
      <c r="F3911" t="s">
        <v>26308</v>
      </c>
      <c r="G3911" t="s">
        <v>26309</v>
      </c>
      <c r="H3911" s="4" t="s">
        <v>26310</v>
      </c>
      <c r="I3911" t="s">
        <v>71</v>
      </c>
      <c r="J3911" t="s">
        <v>10782</v>
      </c>
      <c r="K3911" t="s">
        <v>26311</v>
      </c>
    </row>
    <row r="3912" spans="1:11" ht="86.4" x14ac:dyDescent="0.3">
      <c r="A3912" s="4" t="s">
        <v>6936</v>
      </c>
      <c r="B3912">
        <v>3</v>
      </c>
      <c r="C3912">
        <v>2019</v>
      </c>
      <c r="D3912" t="s">
        <v>1570</v>
      </c>
      <c r="E3912">
        <v>1</v>
      </c>
      <c r="F3912" t="s">
        <v>26312</v>
      </c>
      <c r="G3912" t="s">
        <v>26313</v>
      </c>
      <c r="H3912" s="4" t="s">
        <v>26314</v>
      </c>
    </row>
    <row r="3913" spans="1:11" ht="28.8" x14ac:dyDescent="0.3">
      <c r="A3913" s="4" t="s">
        <v>6937</v>
      </c>
      <c r="B3913">
        <v>3</v>
      </c>
      <c r="C3913">
        <v>2019</v>
      </c>
      <c r="D3913" t="s">
        <v>1770</v>
      </c>
      <c r="E3913">
        <v>83</v>
      </c>
      <c r="F3913" t="s">
        <v>26315</v>
      </c>
      <c r="G3913" t="s">
        <v>26316</v>
      </c>
      <c r="H3913" s="4" t="s">
        <v>26317</v>
      </c>
    </row>
    <row r="3914" spans="1:11" ht="43.2" x14ac:dyDescent="0.3">
      <c r="A3914" s="4" t="s">
        <v>6938</v>
      </c>
      <c r="B3914">
        <v>3</v>
      </c>
      <c r="C3914">
        <v>2019</v>
      </c>
      <c r="D3914" t="s">
        <v>26318</v>
      </c>
      <c r="E3914">
        <v>4</v>
      </c>
      <c r="F3914" t="s">
        <v>26319</v>
      </c>
      <c r="G3914" t="s">
        <v>26320</v>
      </c>
      <c r="H3914" s="4" t="s">
        <v>71</v>
      </c>
      <c r="I3914" t="s">
        <v>10782</v>
      </c>
      <c r="J3914" t="s">
        <v>26321</v>
      </c>
    </row>
    <row r="3915" spans="1:11" ht="158.4" x14ac:dyDescent="0.3">
      <c r="A3915" s="4" t="s">
        <v>6939</v>
      </c>
      <c r="B3915">
        <v>3</v>
      </c>
      <c r="C3915">
        <v>2019</v>
      </c>
      <c r="D3915" t="s">
        <v>964</v>
      </c>
      <c r="E3915">
        <v>19</v>
      </c>
      <c r="F3915" t="s">
        <v>26322</v>
      </c>
      <c r="G3915" t="s">
        <v>26323</v>
      </c>
      <c r="H3915" s="4" t="s">
        <v>26324</v>
      </c>
      <c r="I3915" t="s">
        <v>10823</v>
      </c>
      <c r="J3915" t="s">
        <v>10782</v>
      </c>
      <c r="K3915" t="s">
        <v>26325</v>
      </c>
    </row>
    <row r="3916" spans="1:11" ht="158.4" x14ac:dyDescent="0.3">
      <c r="A3916" s="4" t="s">
        <v>6940</v>
      </c>
      <c r="B3916">
        <v>3</v>
      </c>
      <c r="C3916">
        <v>2019</v>
      </c>
      <c r="D3916" t="s">
        <v>2210</v>
      </c>
      <c r="E3916">
        <v>7</v>
      </c>
      <c r="F3916" t="s">
        <v>26326</v>
      </c>
      <c r="G3916" t="s">
        <v>26327</v>
      </c>
      <c r="H3916" s="4" t="s">
        <v>26328</v>
      </c>
      <c r="I3916" t="s">
        <v>71</v>
      </c>
      <c r="J3916" t="s">
        <v>10782</v>
      </c>
      <c r="K3916" t="s">
        <v>26329</v>
      </c>
    </row>
    <row r="3917" spans="1:11" ht="28.8" x14ac:dyDescent="0.3">
      <c r="A3917" s="4" t="s">
        <v>6941</v>
      </c>
      <c r="B3917">
        <v>3</v>
      </c>
      <c r="C3917">
        <v>2019</v>
      </c>
      <c r="D3917" t="s">
        <v>26330</v>
      </c>
      <c r="E3917">
        <v>8</v>
      </c>
      <c r="F3917" t="s">
        <v>26331</v>
      </c>
      <c r="G3917" t="s">
        <v>26332</v>
      </c>
      <c r="H3917" s="4" t="s">
        <v>26333</v>
      </c>
    </row>
    <row r="3918" spans="1:11" ht="216" x14ac:dyDescent="0.3">
      <c r="A3918" s="4" t="s">
        <v>6942</v>
      </c>
      <c r="B3918">
        <v>3</v>
      </c>
      <c r="C3918">
        <v>2019</v>
      </c>
      <c r="D3918" t="s">
        <v>2267</v>
      </c>
      <c r="E3918">
        <v>10</v>
      </c>
      <c r="F3918" t="s">
        <v>26334</v>
      </c>
      <c r="G3918" t="s">
        <v>26335</v>
      </c>
      <c r="H3918" s="4" t="s">
        <v>26336</v>
      </c>
      <c r="I3918" t="s">
        <v>71</v>
      </c>
      <c r="J3918" t="s">
        <v>10782</v>
      </c>
      <c r="K3918" t="s">
        <v>26337</v>
      </c>
    </row>
    <row r="3919" spans="1:11" ht="158.4" x14ac:dyDescent="0.3">
      <c r="A3919" s="4" t="s">
        <v>6943</v>
      </c>
      <c r="B3919">
        <v>3</v>
      </c>
      <c r="C3919">
        <v>2019</v>
      </c>
      <c r="D3919" t="s">
        <v>14394</v>
      </c>
      <c r="E3919">
        <v>15</v>
      </c>
      <c r="F3919" t="s">
        <v>26338</v>
      </c>
      <c r="G3919" t="s">
        <v>26339</v>
      </c>
      <c r="H3919" s="4" t="s">
        <v>26340</v>
      </c>
      <c r="I3919" t="s">
        <v>71</v>
      </c>
      <c r="J3919" t="s">
        <v>10782</v>
      </c>
      <c r="K3919" t="s">
        <v>26341</v>
      </c>
    </row>
    <row r="3920" spans="1:11" ht="129.6" x14ac:dyDescent="0.3">
      <c r="A3920" s="4" t="s">
        <v>6944</v>
      </c>
      <c r="B3920">
        <v>3</v>
      </c>
      <c r="C3920">
        <v>2019</v>
      </c>
      <c r="D3920" t="s">
        <v>14410</v>
      </c>
      <c r="E3920">
        <v>0</v>
      </c>
      <c r="F3920" t="s">
        <v>26342</v>
      </c>
      <c r="G3920" t="s">
        <v>26343</v>
      </c>
      <c r="H3920" s="4" t="s">
        <v>26344</v>
      </c>
      <c r="I3920" t="s">
        <v>71</v>
      </c>
      <c r="J3920" t="s">
        <v>10782</v>
      </c>
      <c r="K3920" t="s">
        <v>26345</v>
      </c>
    </row>
    <row r="3921" spans="1:11" ht="172.8" x14ac:dyDescent="0.3">
      <c r="A3921" s="4" t="s">
        <v>6945</v>
      </c>
      <c r="B3921">
        <v>3</v>
      </c>
      <c r="C3921">
        <v>2019</v>
      </c>
      <c r="D3921" t="s">
        <v>405</v>
      </c>
      <c r="E3921">
        <v>9</v>
      </c>
      <c r="F3921" t="s">
        <v>26346</v>
      </c>
      <c r="G3921" t="s">
        <v>26347</v>
      </c>
      <c r="H3921" s="4" t="s">
        <v>26348</v>
      </c>
      <c r="I3921" t="s">
        <v>71</v>
      </c>
      <c r="J3921" t="s">
        <v>10782</v>
      </c>
      <c r="K3921" t="s">
        <v>26349</v>
      </c>
    </row>
    <row r="3922" spans="1:11" ht="201.6" x14ac:dyDescent="0.3">
      <c r="A3922" s="4" t="s">
        <v>6946</v>
      </c>
      <c r="B3922">
        <v>3</v>
      </c>
      <c r="C3922">
        <v>2019</v>
      </c>
      <c r="D3922" t="s">
        <v>26350</v>
      </c>
      <c r="E3922">
        <v>0</v>
      </c>
      <c r="F3922" t="s">
        <v>26351</v>
      </c>
      <c r="G3922" t="s">
        <v>26352</v>
      </c>
      <c r="H3922" s="4" t="s">
        <v>26353</v>
      </c>
      <c r="I3922" t="s">
        <v>71</v>
      </c>
      <c r="J3922" t="s">
        <v>10782</v>
      </c>
      <c r="K3922" t="s">
        <v>26354</v>
      </c>
    </row>
    <row r="3923" spans="1:11" ht="43.2" x14ac:dyDescent="0.3">
      <c r="A3923" s="4" t="s">
        <v>6947</v>
      </c>
      <c r="B3923">
        <v>3</v>
      </c>
      <c r="C3923">
        <v>2019</v>
      </c>
      <c r="D3923" t="s">
        <v>637</v>
      </c>
      <c r="E3923">
        <v>65</v>
      </c>
      <c r="F3923" t="s">
        <v>26355</v>
      </c>
      <c r="G3923" t="s">
        <v>26356</v>
      </c>
      <c r="H3923" s="4" t="s">
        <v>26357</v>
      </c>
    </row>
    <row r="3924" spans="1:11" ht="86.4" x14ac:dyDescent="0.3">
      <c r="A3924" s="4" t="s">
        <v>6948</v>
      </c>
      <c r="B3924">
        <v>3</v>
      </c>
      <c r="C3924">
        <v>2019</v>
      </c>
      <c r="D3924" t="s">
        <v>26358</v>
      </c>
      <c r="E3924">
        <v>15</v>
      </c>
      <c r="F3924" t="s">
        <v>26359</v>
      </c>
      <c r="G3924" t="s">
        <v>26360</v>
      </c>
      <c r="H3924" s="4" t="s">
        <v>26361</v>
      </c>
      <c r="I3924" t="s">
        <v>71</v>
      </c>
      <c r="J3924" t="s">
        <v>10782</v>
      </c>
      <c r="K3924" t="s">
        <v>26362</v>
      </c>
    </row>
    <row r="3925" spans="1:11" ht="172.8" x14ac:dyDescent="0.3">
      <c r="A3925" s="4" t="s">
        <v>6949</v>
      </c>
      <c r="B3925">
        <v>3</v>
      </c>
      <c r="C3925">
        <v>2019</v>
      </c>
      <c r="D3925" t="s">
        <v>26363</v>
      </c>
      <c r="E3925">
        <v>12</v>
      </c>
      <c r="F3925" t="s">
        <v>26364</v>
      </c>
      <c r="G3925" t="s">
        <v>26365</v>
      </c>
      <c r="H3925" s="4" t="s">
        <v>26366</v>
      </c>
      <c r="I3925" t="s">
        <v>71</v>
      </c>
      <c r="J3925" t="s">
        <v>10782</v>
      </c>
      <c r="K3925" t="s">
        <v>26367</v>
      </c>
    </row>
    <row r="3926" spans="1:11" ht="244.8" x14ac:dyDescent="0.3">
      <c r="A3926" s="4" t="s">
        <v>6950</v>
      </c>
      <c r="B3926">
        <v>3</v>
      </c>
      <c r="C3926">
        <v>2019</v>
      </c>
      <c r="D3926" t="s">
        <v>21600</v>
      </c>
      <c r="E3926">
        <v>1</v>
      </c>
      <c r="F3926" t="s">
        <v>26368</v>
      </c>
      <c r="G3926" t="s">
        <v>26369</v>
      </c>
      <c r="H3926" s="4" t="s">
        <v>26370</v>
      </c>
      <c r="I3926" t="s">
        <v>71</v>
      </c>
      <c r="J3926" t="s">
        <v>10782</v>
      </c>
      <c r="K3926" t="s">
        <v>26371</v>
      </c>
    </row>
    <row r="3927" spans="1:11" ht="129.6" x14ac:dyDescent="0.3">
      <c r="A3927" s="4" t="s">
        <v>6951</v>
      </c>
      <c r="B3927">
        <v>3</v>
      </c>
      <c r="C3927">
        <v>2019</v>
      </c>
      <c r="D3927" t="s">
        <v>26372</v>
      </c>
      <c r="E3927">
        <v>55</v>
      </c>
      <c r="F3927" t="s">
        <v>26373</v>
      </c>
      <c r="G3927" t="s">
        <v>26374</v>
      </c>
      <c r="H3927" s="4" t="s">
        <v>26375</v>
      </c>
      <c r="I3927" t="s">
        <v>71</v>
      </c>
      <c r="J3927" t="s">
        <v>10782</v>
      </c>
      <c r="K3927" t="s">
        <v>26376</v>
      </c>
    </row>
    <row r="3928" spans="1:11" ht="86.4" x14ac:dyDescent="0.3">
      <c r="A3928" s="4" t="s">
        <v>6952</v>
      </c>
      <c r="B3928">
        <v>3</v>
      </c>
      <c r="C3928">
        <v>2019</v>
      </c>
      <c r="D3928" t="s">
        <v>799</v>
      </c>
      <c r="E3928">
        <v>43</v>
      </c>
      <c r="F3928" t="s">
        <v>26377</v>
      </c>
      <c r="G3928" t="s">
        <v>26378</v>
      </c>
      <c r="H3928" s="4" t="s">
        <v>26379</v>
      </c>
    </row>
    <row r="3929" spans="1:11" ht="201.6" x14ac:dyDescent="0.3">
      <c r="A3929" s="4" t="s">
        <v>6953</v>
      </c>
      <c r="B3929">
        <v>3</v>
      </c>
      <c r="C3929">
        <v>2019</v>
      </c>
      <c r="D3929" t="s">
        <v>17273</v>
      </c>
      <c r="E3929">
        <v>21</v>
      </c>
      <c r="F3929" t="s">
        <v>26380</v>
      </c>
      <c r="G3929" t="s">
        <v>26381</v>
      </c>
      <c r="H3929" s="4" t="s">
        <v>26382</v>
      </c>
      <c r="I3929" t="s">
        <v>71</v>
      </c>
      <c r="J3929" t="s">
        <v>10782</v>
      </c>
      <c r="K3929" t="s">
        <v>26383</v>
      </c>
    </row>
    <row r="3930" spans="1:11" ht="115.2" x14ac:dyDescent="0.3">
      <c r="A3930" s="4" t="s">
        <v>6954</v>
      </c>
      <c r="B3930">
        <v>3</v>
      </c>
      <c r="C3930">
        <v>2019</v>
      </c>
      <c r="D3930" t="s">
        <v>12234</v>
      </c>
      <c r="E3930">
        <v>106</v>
      </c>
      <c r="F3930" t="s">
        <v>26384</v>
      </c>
      <c r="G3930" t="s">
        <v>26385</v>
      </c>
      <c r="H3930" s="4" t="s">
        <v>26386</v>
      </c>
      <c r="I3930" t="s">
        <v>71</v>
      </c>
      <c r="J3930" t="s">
        <v>10782</v>
      </c>
      <c r="K3930" t="s">
        <v>26387</v>
      </c>
    </row>
    <row r="3931" spans="1:11" ht="144" x14ac:dyDescent="0.3">
      <c r="A3931" s="4" t="s">
        <v>6955</v>
      </c>
      <c r="B3931">
        <v>3</v>
      </c>
      <c r="C3931">
        <v>2019</v>
      </c>
      <c r="D3931" t="s">
        <v>329</v>
      </c>
      <c r="E3931">
        <v>23</v>
      </c>
      <c r="F3931" t="s">
        <v>26388</v>
      </c>
      <c r="G3931" t="s">
        <v>26389</v>
      </c>
      <c r="H3931" s="4" t="s">
        <v>26390</v>
      </c>
    </row>
    <row r="3932" spans="1:11" ht="244.8" x14ac:dyDescent="0.3">
      <c r="A3932" s="4" t="s">
        <v>6956</v>
      </c>
      <c r="B3932">
        <v>3</v>
      </c>
      <c r="C3932">
        <v>2019</v>
      </c>
      <c r="D3932" t="s">
        <v>2819</v>
      </c>
      <c r="E3932">
        <v>1</v>
      </c>
      <c r="F3932" t="s">
        <v>26391</v>
      </c>
      <c r="G3932" t="s">
        <v>26392</v>
      </c>
      <c r="H3932" s="4" t="s">
        <v>26393</v>
      </c>
      <c r="I3932" t="s">
        <v>71</v>
      </c>
      <c r="J3932" t="s">
        <v>10782</v>
      </c>
      <c r="K3932" t="s">
        <v>26394</v>
      </c>
    </row>
    <row r="3933" spans="1:11" ht="259.2" x14ac:dyDescent="0.3">
      <c r="A3933" s="4" t="s">
        <v>6957</v>
      </c>
      <c r="B3933">
        <v>3</v>
      </c>
      <c r="C3933">
        <v>2019</v>
      </c>
      <c r="D3933" t="s">
        <v>14102</v>
      </c>
      <c r="E3933">
        <v>0</v>
      </c>
      <c r="F3933" t="s">
        <v>26395</v>
      </c>
      <c r="G3933" t="s">
        <v>26396</v>
      </c>
      <c r="H3933" s="4" t="s">
        <v>26397</v>
      </c>
    </row>
    <row r="3934" spans="1:11" ht="158.4" x14ac:dyDescent="0.3">
      <c r="A3934" s="4" t="s">
        <v>6958</v>
      </c>
      <c r="B3934">
        <v>3</v>
      </c>
      <c r="C3934">
        <v>2019</v>
      </c>
      <c r="D3934" t="s">
        <v>26398</v>
      </c>
      <c r="E3934">
        <v>4</v>
      </c>
      <c r="F3934" t="s">
        <v>26399</v>
      </c>
      <c r="G3934" t="s">
        <v>26400</v>
      </c>
      <c r="H3934" s="4" t="s">
        <v>26401</v>
      </c>
      <c r="I3934" t="s">
        <v>71</v>
      </c>
      <c r="J3934" t="s">
        <v>10782</v>
      </c>
      <c r="K3934" t="s">
        <v>26402</v>
      </c>
    </row>
    <row r="3935" spans="1:11" ht="187.2" x14ac:dyDescent="0.3">
      <c r="A3935" s="4" t="s">
        <v>6959</v>
      </c>
      <c r="B3935">
        <v>3</v>
      </c>
      <c r="C3935">
        <v>2019</v>
      </c>
      <c r="D3935" t="s">
        <v>19715</v>
      </c>
      <c r="E3935">
        <v>46</v>
      </c>
      <c r="F3935" t="s">
        <v>26403</v>
      </c>
      <c r="G3935" t="s">
        <v>26404</v>
      </c>
      <c r="H3935" s="4" t="s">
        <v>26405</v>
      </c>
      <c r="I3935" t="s">
        <v>10823</v>
      </c>
      <c r="J3935" t="s">
        <v>10782</v>
      </c>
      <c r="K3935" t="s">
        <v>26406</v>
      </c>
    </row>
    <row r="3936" spans="1:11" ht="187.2" x14ac:dyDescent="0.3">
      <c r="A3936" s="4" t="s">
        <v>6960</v>
      </c>
      <c r="B3936">
        <v>3</v>
      </c>
      <c r="C3936">
        <v>2019</v>
      </c>
      <c r="D3936" t="s">
        <v>385</v>
      </c>
      <c r="E3936">
        <v>67</v>
      </c>
      <c r="F3936" t="s">
        <v>26407</v>
      </c>
      <c r="G3936" t="s">
        <v>26408</v>
      </c>
      <c r="H3936" s="4" t="s">
        <v>26409</v>
      </c>
      <c r="I3936" t="s">
        <v>71</v>
      </c>
      <c r="J3936" t="s">
        <v>10782</v>
      </c>
      <c r="K3936" t="s">
        <v>26410</v>
      </c>
    </row>
    <row r="3937" spans="1:11" ht="158.4" x14ac:dyDescent="0.3">
      <c r="A3937" s="4" t="s">
        <v>6961</v>
      </c>
      <c r="B3937">
        <v>3</v>
      </c>
      <c r="C3937">
        <v>2019</v>
      </c>
      <c r="D3937" t="s">
        <v>26411</v>
      </c>
      <c r="E3937">
        <v>2</v>
      </c>
      <c r="F3937" t="s">
        <v>26412</v>
      </c>
      <c r="G3937" t="s">
        <v>26413</v>
      </c>
      <c r="H3937" s="4" t="s">
        <v>26414</v>
      </c>
      <c r="I3937" t="s">
        <v>71</v>
      </c>
      <c r="J3937" t="s">
        <v>10782</v>
      </c>
      <c r="K3937" t="s">
        <v>26415</v>
      </c>
    </row>
    <row r="3938" spans="1:11" ht="158.4" x14ac:dyDescent="0.3">
      <c r="A3938" s="4" t="s">
        <v>6962</v>
      </c>
      <c r="B3938">
        <v>3</v>
      </c>
      <c r="C3938">
        <v>2019</v>
      </c>
      <c r="D3938" t="s">
        <v>16976</v>
      </c>
      <c r="E3938">
        <v>2</v>
      </c>
      <c r="G3938" t="s">
        <v>26416</v>
      </c>
      <c r="H3938" s="4" t="s">
        <v>26417</v>
      </c>
      <c r="I3938" s="4" t="s">
        <v>71</v>
      </c>
      <c r="J3938" t="s">
        <v>10782</v>
      </c>
      <c r="K3938" t="s">
        <v>26418</v>
      </c>
    </row>
    <row r="3939" spans="1:11" ht="216" x14ac:dyDescent="0.3">
      <c r="A3939" s="4" t="s">
        <v>6963</v>
      </c>
      <c r="B3939">
        <v>3</v>
      </c>
      <c r="C3939">
        <v>2019</v>
      </c>
      <c r="D3939" t="s">
        <v>17273</v>
      </c>
      <c r="E3939">
        <v>10</v>
      </c>
      <c r="F3939" t="s">
        <v>26419</v>
      </c>
      <c r="G3939" t="s">
        <v>26420</v>
      </c>
      <c r="H3939" s="4" t="s">
        <v>26421</v>
      </c>
      <c r="I3939" t="s">
        <v>71</v>
      </c>
      <c r="J3939" t="s">
        <v>10782</v>
      </c>
      <c r="K3939" t="s">
        <v>26422</v>
      </c>
    </row>
    <row r="3940" spans="1:11" ht="144" x14ac:dyDescent="0.3">
      <c r="A3940" s="4" t="s">
        <v>6964</v>
      </c>
      <c r="B3940">
        <v>3</v>
      </c>
      <c r="C3940">
        <v>2019</v>
      </c>
      <c r="D3940" t="s">
        <v>14394</v>
      </c>
      <c r="E3940">
        <v>1</v>
      </c>
      <c r="F3940" t="s">
        <v>26423</v>
      </c>
      <c r="G3940" t="s">
        <v>26424</v>
      </c>
      <c r="H3940" s="4" t="s">
        <v>26425</v>
      </c>
      <c r="I3940" t="s">
        <v>71</v>
      </c>
      <c r="J3940" t="s">
        <v>10782</v>
      </c>
      <c r="K3940" t="s">
        <v>26426</v>
      </c>
    </row>
    <row r="3941" spans="1:11" ht="129.6" x14ac:dyDescent="0.3">
      <c r="A3941" s="4" t="s">
        <v>6965</v>
      </c>
      <c r="B3941">
        <v>3</v>
      </c>
      <c r="C3941">
        <v>2019</v>
      </c>
      <c r="D3941" t="s">
        <v>329</v>
      </c>
      <c r="E3941">
        <v>1</v>
      </c>
      <c r="F3941" t="s">
        <v>26427</v>
      </c>
      <c r="G3941" t="s">
        <v>26428</v>
      </c>
      <c r="H3941" s="4" t="s">
        <v>26429</v>
      </c>
      <c r="I3941" t="s">
        <v>71</v>
      </c>
      <c r="J3941" t="s">
        <v>10782</v>
      </c>
      <c r="K3941" t="s">
        <v>26430</v>
      </c>
    </row>
    <row r="3942" spans="1:11" ht="100.8" x14ac:dyDescent="0.3">
      <c r="A3942" s="4" t="s">
        <v>6966</v>
      </c>
      <c r="B3942">
        <v>3</v>
      </c>
      <c r="C3942">
        <v>2019</v>
      </c>
      <c r="D3942" t="s">
        <v>13696</v>
      </c>
      <c r="E3942">
        <v>2</v>
      </c>
      <c r="F3942" t="s">
        <v>26431</v>
      </c>
      <c r="G3942" t="s">
        <v>26432</v>
      </c>
      <c r="H3942" s="4" t="s">
        <v>26433</v>
      </c>
      <c r="I3942" t="s">
        <v>71</v>
      </c>
      <c r="J3942" t="s">
        <v>10782</v>
      </c>
      <c r="K3942" t="s">
        <v>26434</v>
      </c>
    </row>
    <row r="3943" spans="1:11" ht="259.2" x14ac:dyDescent="0.3">
      <c r="A3943" s="4" t="s">
        <v>6967</v>
      </c>
      <c r="B3943">
        <v>3</v>
      </c>
      <c r="C3943">
        <v>2019</v>
      </c>
      <c r="D3943" t="s">
        <v>14102</v>
      </c>
      <c r="E3943">
        <v>0</v>
      </c>
      <c r="F3943" t="s">
        <v>26435</v>
      </c>
      <c r="G3943" t="s">
        <v>26436</v>
      </c>
      <c r="H3943" s="4" t="s">
        <v>26437</v>
      </c>
      <c r="I3943" t="s">
        <v>71</v>
      </c>
      <c r="J3943" t="s">
        <v>10782</v>
      </c>
      <c r="K3943" t="s">
        <v>26438</v>
      </c>
    </row>
    <row r="3944" spans="1:11" ht="216" x14ac:dyDescent="0.3">
      <c r="A3944" s="4" t="s">
        <v>6968</v>
      </c>
      <c r="B3944">
        <v>3</v>
      </c>
      <c r="C3944">
        <v>2019</v>
      </c>
      <c r="D3944" t="s">
        <v>26439</v>
      </c>
      <c r="E3944">
        <v>27</v>
      </c>
      <c r="F3944" t="s">
        <v>26440</v>
      </c>
      <c r="G3944" t="s">
        <v>26441</v>
      </c>
      <c r="H3944" s="4" t="s">
        <v>26442</v>
      </c>
      <c r="I3944" t="s">
        <v>71</v>
      </c>
      <c r="J3944" t="s">
        <v>10782</v>
      </c>
      <c r="K3944" t="s">
        <v>26443</v>
      </c>
    </row>
    <row r="3945" spans="1:11" ht="43.2" x14ac:dyDescent="0.3">
      <c r="A3945" s="4" t="s">
        <v>6969</v>
      </c>
      <c r="B3945">
        <v>3</v>
      </c>
      <c r="C3945">
        <v>2019</v>
      </c>
      <c r="D3945" t="s">
        <v>21640</v>
      </c>
      <c r="E3945">
        <v>3</v>
      </c>
      <c r="F3945" t="s">
        <v>26444</v>
      </c>
      <c r="G3945" t="s">
        <v>26445</v>
      </c>
      <c r="H3945" s="4" t="s">
        <v>26446</v>
      </c>
    </row>
    <row r="3946" spans="1:11" ht="158.4" x14ac:dyDescent="0.3">
      <c r="A3946" s="4" t="s">
        <v>6970</v>
      </c>
      <c r="B3946">
        <v>3</v>
      </c>
      <c r="C3946">
        <v>2019</v>
      </c>
      <c r="D3946" t="s">
        <v>14254</v>
      </c>
      <c r="E3946">
        <v>1</v>
      </c>
      <c r="F3946" t="s">
        <v>26447</v>
      </c>
      <c r="G3946" t="s">
        <v>26448</v>
      </c>
      <c r="H3946" s="4" t="s">
        <v>26449</v>
      </c>
      <c r="I3946" t="s">
        <v>71</v>
      </c>
      <c r="J3946" t="s">
        <v>10782</v>
      </c>
      <c r="K3946" t="s">
        <v>26450</v>
      </c>
    </row>
    <row r="3947" spans="1:11" ht="129.6" x14ac:dyDescent="0.3">
      <c r="A3947" s="4" t="s">
        <v>6971</v>
      </c>
      <c r="B3947">
        <v>3</v>
      </c>
      <c r="C3947">
        <v>2019</v>
      </c>
      <c r="D3947" t="s">
        <v>17127</v>
      </c>
      <c r="E3947">
        <v>7</v>
      </c>
      <c r="F3947" t="s">
        <v>26451</v>
      </c>
      <c r="G3947" t="s">
        <v>26452</v>
      </c>
      <c r="H3947" s="4" t="s">
        <v>26453</v>
      </c>
    </row>
    <row r="3948" spans="1:11" ht="115.2" x14ac:dyDescent="0.3">
      <c r="A3948" s="4" t="s">
        <v>6972</v>
      </c>
      <c r="B3948">
        <v>3</v>
      </c>
      <c r="C3948">
        <v>2019</v>
      </c>
      <c r="D3948" t="s">
        <v>26454</v>
      </c>
      <c r="E3948">
        <v>10</v>
      </c>
      <c r="F3948" t="s">
        <v>26455</v>
      </c>
      <c r="G3948" t="s">
        <v>26456</v>
      </c>
      <c r="H3948" s="4" t="s">
        <v>26457</v>
      </c>
      <c r="I3948" t="s">
        <v>71</v>
      </c>
      <c r="J3948" t="s">
        <v>10782</v>
      </c>
      <c r="K3948" t="s">
        <v>26458</v>
      </c>
    </row>
    <row r="3949" spans="1:11" ht="187.2" x14ac:dyDescent="0.3">
      <c r="A3949" s="4" t="s">
        <v>6973</v>
      </c>
      <c r="B3949">
        <v>3</v>
      </c>
      <c r="C3949">
        <v>2019</v>
      </c>
      <c r="D3949" t="s">
        <v>10825</v>
      </c>
      <c r="E3949">
        <v>22</v>
      </c>
      <c r="F3949" t="s">
        <v>26459</v>
      </c>
      <c r="G3949" t="s">
        <v>26460</v>
      </c>
      <c r="H3949" s="4" t="s">
        <v>26461</v>
      </c>
      <c r="I3949" t="s">
        <v>71</v>
      </c>
      <c r="J3949" t="s">
        <v>10782</v>
      </c>
      <c r="K3949" t="s">
        <v>26462</v>
      </c>
    </row>
    <row r="3950" spans="1:11" ht="144" x14ac:dyDescent="0.3">
      <c r="A3950" s="4" t="s">
        <v>6974</v>
      </c>
      <c r="B3950">
        <v>3</v>
      </c>
      <c r="C3950">
        <v>2019</v>
      </c>
      <c r="D3950" t="s">
        <v>26463</v>
      </c>
      <c r="E3950">
        <v>10</v>
      </c>
      <c r="F3950" t="s">
        <v>26464</v>
      </c>
      <c r="G3950" t="s">
        <v>26465</v>
      </c>
      <c r="H3950" s="4" t="s">
        <v>26466</v>
      </c>
      <c r="I3950" t="s">
        <v>71</v>
      </c>
      <c r="J3950" t="s">
        <v>10782</v>
      </c>
      <c r="K3950" t="s">
        <v>26467</v>
      </c>
    </row>
    <row r="3951" spans="1:11" ht="129.6" x14ac:dyDescent="0.3">
      <c r="A3951" s="4" t="s">
        <v>6975</v>
      </c>
      <c r="B3951">
        <v>3</v>
      </c>
      <c r="C3951">
        <v>2019</v>
      </c>
      <c r="D3951" t="s">
        <v>19894</v>
      </c>
      <c r="E3951">
        <v>7</v>
      </c>
      <c r="F3951" t="s">
        <v>26468</v>
      </c>
      <c r="G3951" t="s">
        <v>26469</v>
      </c>
      <c r="H3951" s="4" t="s">
        <v>26470</v>
      </c>
      <c r="I3951" t="s">
        <v>71</v>
      </c>
      <c r="J3951" t="s">
        <v>10782</v>
      </c>
      <c r="K3951" t="s">
        <v>26471</v>
      </c>
    </row>
    <row r="3952" spans="1:11" ht="158.4" x14ac:dyDescent="0.3">
      <c r="A3952" s="4" t="s">
        <v>6976</v>
      </c>
      <c r="B3952">
        <v>3</v>
      </c>
      <c r="C3952">
        <v>2019</v>
      </c>
      <c r="D3952" t="s">
        <v>1231</v>
      </c>
      <c r="E3952">
        <v>9</v>
      </c>
      <c r="F3952" t="s">
        <v>26472</v>
      </c>
      <c r="G3952" t="s">
        <v>26473</v>
      </c>
      <c r="H3952" s="4" t="s">
        <v>26474</v>
      </c>
      <c r="I3952" t="s">
        <v>71</v>
      </c>
      <c r="J3952" t="s">
        <v>10782</v>
      </c>
      <c r="K3952" t="s">
        <v>26475</v>
      </c>
    </row>
    <row r="3953" spans="1:11" ht="144" x14ac:dyDescent="0.3">
      <c r="A3953" s="4" t="s">
        <v>6977</v>
      </c>
      <c r="B3953">
        <v>3</v>
      </c>
      <c r="C3953">
        <v>2019</v>
      </c>
      <c r="D3953" t="s">
        <v>329</v>
      </c>
      <c r="E3953">
        <v>15</v>
      </c>
      <c r="F3953" t="s">
        <v>26476</v>
      </c>
      <c r="G3953" t="s">
        <v>26477</v>
      </c>
      <c r="H3953" s="4" t="s">
        <v>26478</v>
      </c>
      <c r="I3953" t="s">
        <v>71</v>
      </c>
      <c r="J3953" t="s">
        <v>10782</v>
      </c>
      <c r="K3953" t="s">
        <v>26479</v>
      </c>
    </row>
    <row r="3954" spans="1:11" ht="187.2" x14ac:dyDescent="0.3">
      <c r="A3954" s="4" t="s">
        <v>6978</v>
      </c>
      <c r="B3954">
        <v>3</v>
      </c>
      <c r="C3954">
        <v>2019</v>
      </c>
      <c r="D3954" t="s">
        <v>799</v>
      </c>
      <c r="E3954">
        <v>71</v>
      </c>
      <c r="F3954" t="s">
        <v>26480</v>
      </c>
      <c r="G3954" t="s">
        <v>26481</v>
      </c>
      <c r="H3954" s="4" t="s">
        <v>26482</v>
      </c>
      <c r="I3954" t="s">
        <v>71</v>
      </c>
      <c r="J3954" t="s">
        <v>10782</v>
      </c>
      <c r="K3954" t="s">
        <v>26483</v>
      </c>
    </row>
    <row r="3955" spans="1:11" ht="43.2" x14ac:dyDescent="0.3">
      <c r="A3955" s="4" t="s">
        <v>6979</v>
      </c>
      <c r="B3955">
        <v>3</v>
      </c>
      <c r="C3955">
        <v>2019</v>
      </c>
      <c r="D3955" t="s">
        <v>14315</v>
      </c>
      <c r="E3955">
        <v>7</v>
      </c>
      <c r="F3955" t="s">
        <v>26484</v>
      </c>
      <c r="G3955" t="s">
        <v>26485</v>
      </c>
    </row>
    <row r="3956" spans="1:11" ht="144" x14ac:dyDescent="0.3">
      <c r="A3956" s="4" t="s">
        <v>3368</v>
      </c>
      <c r="B3956">
        <v>1</v>
      </c>
      <c r="C3956">
        <v>2019</v>
      </c>
      <c r="D3956" t="s">
        <v>1794</v>
      </c>
      <c r="E3956">
        <v>18</v>
      </c>
      <c r="F3956" t="s">
        <v>26486</v>
      </c>
      <c r="G3956" t="s">
        <v>26487</v>
      </c>
      <c r="H3956" s="4" t="s">
        <v>26488</v>
      </c>
      <c r="I3956" t="s">
        <v>71</v>
      </c>
      <c r="J3956" t="s">
        <v>10782</v>
      </c>
      <c r="K3956" t="s">
        <v>26489</v>
      </c>
    </row>
    <row r="3957" spans="1:11" ht="86.4" x14ac:dyDescent="0.3">
      <c r="A3957" s="4" t="s">
        <v>6980</v>
      </c>
      <c r="B3957">
        <v>3</v>
      </c>
      <c r="C3957">
        <v>2019</v>
      </c>
      <c r="D3957" t="s">
        <v>15982</v>
      </c>
      <c r="E3957">
        <v>0</v>
      </c>
      <c r="G3957" t="s">
        <v>26490</v>
      </c>
      <c r="H3957" s="4" t="s">
        <v>26491</v>
      </c>
      <c r="I3957" s="4" t="s">
        <v>71</v>
      </c>
      <c r="J3957" t="s">
        <v>10782</v>
      </c>
      <c r="K3957" t="s">
        <v>26492</v>
      </c>
    </row>
    <row r="3958" spans="1:11" ht="172.8" x14ac:dyDescent="0.3">
      <c r="A3958" s="4" t="s">
        <v>6981</v>
      </c>
      <c r="B3958">
        <v>3</v>
      </c>
      <c r="C3958">
        <v>2019</v>
      </c>
      <c r="D3958" t="s">
        <v>318</v>
      </c>
      <c r="E3958">
        <v>36</v>
      </c>
      <c r="F3958" t="s">
        <v>26493</v>
      </c>
      <c r="G3958" t="s">
        <v>26494</v>
      </c>
      <c r="H3958" s="4" t="s">
        <v>26495</v>
      </c>
      <c r="I3958" t="s">
        <v>71</v>
      </c>
      <c r="J3958" t="s">
        <v>10782</v>
      </c>
      <c r="K3958" t="s">
        <v>26496</v>
      </c>
    </row>
    <row r="3959" spans="1:11" ht="144" x14ac:dyDescent="0.3">
      <c r="A3959" s="4" t="s">
        <v>6982</v>
      </c>
      <c r="B3959">
        <v>3</v>
      </c>
      <c r="C3959">
        <v>2019</v>
      </c>
      <c r="D3959" t="s">
        <v>958</v>
      </c>
      <c r="E3959">
        <v>22</v>
      </c>
      <c r="F3959" t="s">
        <v>26497</v>
      </c>
      <c r="G3959" t="s">
        <v>26498</v>
      </c>
      <c r="H3959" s="4" t="s">
        <v>26499</v>
      </c>
    </row>
    <row r="3960" spans="1:11" ht="100.8" x14ac:dyDescent="0.3">
      <c r="A3960" s="4" t="s">
        <v>1595</v>
      </c>
      <c r="B3960">
        <v>1</v>
      </c>
      <c r="C3960">
        <v>2019</v>
      </c>
      <c r="D3960" t="s">
        <v>1570</v>
      </c>
      <c r="E3960">
        <v>2</v>
      </c>
      <c r="F3960" t="s">
        <v>26500</v>
      </c>
      <c r="G3960" t="s">
        <v>26501</v>
      </c>
      <c r="H3960" s="4" t="s">
        <v>26502</v>
      </c>
      <c r="I3960" t="s">
        <v>71</v>
      </c>
      <c r="J3960" t="s">
        <v>10782</v>
      </c>
      <c r="K3960" t="s">
        <v>26503</v>
      </c>
    </row>
    <row r="3961" spans="1:11" ht="201.6" x14ac:dyDescent="0.3">
      <c r="A3961" s="4" t="s">
        <v>6983</v>
      </c>
      <c r="B3961">
        <v>3</v>
      </c>
      <c r="C3961">
        <v>2019</v>
      </c>
      <c r="D3961" t="s">
        <v>26504</v>
      </c>
      <c r="E3961">
        <v>6</v>
      </c>
      <c r="F3961" t="s">
        <v>26505</v>
      </c>
      <c r="G3961" t="s">
        <v>26506</v>
      </c>
      <c r="H3961" s="4" t="s">
        <v>26507</v>
      </c>
      <c r="I3961" t="s">
        <v>71</v>
      </c>
      <c r="J3961" t="s">
        <v>10782</v>
      </c>
      <c r="K3961" t="s">
        <v>26508</v>
      </c>
    </row>
    <row r="3962" spans="1:11" ht="28.8" x14ac:dyDescent="0.3">
      <c r="A3962" s="4" t="s">
        <v>6984</v>
      </c>
      <c r="B3962">
        <v>3</v>
      </c>
      <c r="C3962">
        <v>2019</v>
      </c>
      <c r="D3962" t="s">
        <v>26509</v>
      </c>
      <c r="E3962">
        <v>5</v>
      </c>
      <c r="F3962" t="s">
        <v>26510</v>
      </c>
      <c r="G3962" t="s">
        <v>26511</v>
      </c>
      <c r="H3962" s="4" t="s">
        <v>71</v>
      </c>
      <c r="I3962" t="s">
        <v>10782</v>
      </c>
      <c r="J3962" t="s">
        <v>26512</v>
      </c>
    </row>
    <row r="3963" spans="1:11" ht="244.8" x14ac:dyDescent="0.3">
      <c r="A3963" s="4" t="s">
        <v>6985</v>
      </c>
      <c r="B3963">
        <v>3</v>
      </c>
      <c r="C3963">
        <v>2019</v>
      </c>
      <c r="D3963" t="s">
        <v>26513</v>
      </c>
      <c r="E3963">
        <v>10</v>
      </c>
      <c r="F3963" t="s">
        <v>26514</v>
      </c>
      <c r="G3963" t="s">
        <v>26515</v>
      </c>
      <c r="H3963" s="4" t="s">
        <v>26516</v>
      </c>
      <c r="I3963" t="s">
        <v>71</v>
      </c>
      <c r="J3963" t="s">
        <v>10782</v>
      </c>
      <c r="K3963" t="s">
        <v>26517</v>
      </c>
    </row>
    <row r="3964" spans="1:11" ht="158.4" x14ac:dyDescent="0.3">
      <c r="A3964" s="4" t="s">
        <v>6986</v>
      </c>
      <c r="B3964">
        <v>3</v>
      </c>
      <c r="C3964">
        <v>2019</v>
      </c>
      <c r="D3964" t="s">
        <v>26518</v>
      </c>
      <c r="E3964">
        <v>0</v>
      </c>
      <c r="F3964" t="s">
        <v>26519</v>
      </c>
      <c r="G3964" t="s">
        <v>26520</v>
      </c>
      <c r="H3964" s="4" t="s">
        <v>26521</v>
      </c>
      <c r="I3964" t="s">
        <v>71</v>
      </c>
      <c r="J3964" t="s">
        <v>10782</v>
      </c>
      <c r="K3964" t="s">
        <v>26522</v>
      </c>
    </row>
    <row r="3965" spans="1:11" ht="158.4" x14ac:dyDescent="0.3">
      <c r="A3965" s="4" t="s">
        <v>6987</v>
      </c>
      <c r="B3965">
        <v>3</v>
      </c>
      <c r="C3965">
        <v>2019</v>
      </c>
      <c r="D3965" t="s">
        <v>26523</v>
      </c>
      <c r="E3965">
        <v>8</v>
      </c>
      <c r="F3965" t="s">
        <v>26524</v>
      </c>
      <c r="G3965" t="s">
        <v>26525</v>
      </c>
      <c r="H3965" s="4" t="s">
        <v>26526</v>
      </c>
    </row>
    <row r="3966" spans="1:11" ht="115.2" x14ac:dyDescent="0.3">
      <c r="A3966" s="4" t="s">
        <v>3589</v>
      </c>
      <c r="B3966">
        <v>2</v>
      </c>
      <c r="C3966">
        <v>2019</v>
      </c>
      <c r="D3966" t="s">
        <v>16928</v>
      </c>
      <c r="E3966">
        <v>0</v>
      </c>
      <c r="F3966" t="s">
        <v>26527</v>
      </c>
      <c r="G3966" t="s">
        <v>26528</v>
      </c>
      <c r="H3966" s="4" t="s">
        <v>26529</v>
      </c>
      <c r="I3966" t="s">
        <v>71</v>
      </c>
      <c r="J3966" t="s">
        <v>10782</v>
      </c>
      <c r="K3966" t="s">
        <v>26530</v>
      </c>
    </row>
    <row r="3967" spans="1:11" ht="144" x14ac:dyDescent="0.3">
      <c r="A3967" s="4" t="s">
        <v>6988</v>
      </c>
      <c r="B3967">
        <v>3</v>
      </c>
      <c r="C3967">
        <v>2019</v>
      </c>
      <c r="D3967" t="s">
        <v>22360</v>
      </c>
      <c r="E3967">
        <v>3</v>
      </c>
      <c r="G3967" t="s">
        <v>26531</v>
      </c>
      <c r="H3967" s="4" t="s">
        <v>26532</v>
      </c>
      <c r="I3967" s="4" t="s">
        <v>71</v>
      </c>
      <c r="J3967" t="s">
        <v>10782</v>
      </c>
      <c r="K3967" t="s">
        <v>26533</v>
      </c>
    </row>
    <row r="3968" spans="1:11" ht="216" x14ac:dyDescent="0.3">
      <c r="A3968" s="4" t="s">
        <v>6989</v>
      </c>
      <c r="B3968">
        <v>3</v>
      </c>
      <c r="C3968">
        <v>2019</v>
      </c>
      <c r="D3968" t="s">
        <v>11414</v>
      </c>
      <c r="E3968">
        <v>35</v>
      </c>
      <c r="F3968" t="s">
        <v>26534</v>
      </c>
      <c r="G3968" t="s">
        <v>26535</v>
      </c>
      <c r="H3968" s="4" t="s">
        <v>26536</v>
      </c>
      <c r="I3968" t="s">
        <v>71</v>
      </c>
      <c r="J3968" t="s">
        <v>10782</v>
      </c>
      <c r="K3968" t="s">
        <v>26537</v>
      </c>
    </row>
    <row r="3969" spans="1:11" ht="115.2" x14ac:dyDescent="0.3">
      <c r="A3969" s="4" t="s">
        <v>6990</v>
      </c>
      <c r="B3969">
        <v>3</v>
      </c>
      <c r="C3969">
        <v>2019</v>
      </c>
      <c r="D3969" t="s">
        <v>11649</v>
      </c>
      <c r="E3969">
        <v>10</v>
      </c>
      <c r="F3969" t="s">
        <v>26538</v>
      </c>
      <c r="G3969" t="s">
        <v>26539</v>
      </c>
      <c r="H3969" s="4" t="s">
        <v>26540</v>
      </c>
      <c r="I3969" t="s">
        <v>71</v>
      </c>
      <c r="J3969" t="s">
        <v>10782</v>
      </c>
      <c r="K3969" t="s">
        <v>26541</v>
      </c>
    </row>
    <row r="3970" spans="1:11" ht="144" x14ac:dyDescent="0.3">
      <c r="A3970" s="4" t="s">
        <v>6991</v>
      </c>
      <c r="B3970">
        <v>3</v>
      </c>
      <c r="C3970">
        <v>2019</v>
      </c>
      <c r="D3970" t="s">
        <v>1570</v>
      </c>
      <c r="E3970">
        <v>10</v>
      </c>
      <c r="F3970" t="s">
        <v>26542</v>
      </c>
      <c r="G3970" t="s">
        <v>26543</v>
      </c>
      <c r="H3970" s="4" t="s">
        <v>26544</v>
      </c>
    </row>
    <row r="3971" spans="1:11" ht="129.6" x14ac:dyDescent="0.3">
      <c r="A3971" s="4" t="s">
        <v>6992</v>
      </c>
      <c r="B3971">
        <v>3</v>
      </c>
      <c r="C3971">
        <v>2019</v>
      </c>
      <c r="D3971" t="s">
        <v>26545</v>
      </c>
      <c r="E3971">
        <v>2</v>
      </c>
      <c r="G3971" t="s">
        <v>26546</v>
      </c>
      <c r="H3971" s="4" t="s">
        <v>26547</v>
      </c>
      <c r="I3971" s="4" t="s">
        <v>10823</v>
      </c>
      <c r="J3971" t="s">
        <v>10782</v>
      </c>
      <c r="K3971" t="s">
        <v>26548</v>
      </c>
    </row>
    <row r="3972" spans="1:11" ht="172.8" x14ac:dyDescent="0.3">
      <c r="A3972" s="4" t="s">
        <v>6993</v>
      </c>
      <c r="B3972">
        <v>3</v>
      </c>
      <c r="C3972">
        <v>2019</v>
      </c>
      <c r="D3972" t="s">
        <v>26549</v>
      </c>
      <c r="E3972">
        <v>10</v>
      </c>
      <c r="G3972" t="s">
        <v>26550</v>
      </c>
      <c r="H3972" s="4" t="s">
        <v>26551</v>
      </c>
      <c r="I3972" s="4" t="s">
        <v>71</v>
      </c>
      <c r="J3972" t="s">
        <v>10782</v>
      </c>
      <c r="K3972" t="s">
        <v>26552</v>
      </c>
    </row>
    <row r="3973" spans="1:11" ht="158.4" x14ac:dyDescent="0.3">
      <c r="A3973" s="4" t="s">
        <v>6994</v>
      </c>
      <c r="B3973">
        <v>3</v>
      </c>
      <c r="C3973">
        <v>2019</v>
      </c>
      <c r="D3973" t="s">
        <v>26518</v>
      </c>
      <c r="E3973">
        <v>1</v>
      </c>
      <c r="F3973" t="s">
        <v>26553</v>
      </c>
      <c r="G3973" t="s">
        <v>26554</v>
      </c>
      <c r="H3973" s="4" t="s">
        <v>26555</v>
      </c>
      <c r="I3973" t="s">
        <v>71</v>
      </c>
      <c r="J3973" t="s">
        <v>10782</v>
      </c>
      <c r="K3973" t="s">
        <v>26556</v>
      </c>
    </row>
    <row r="3974" spans="1:11" ht="86.4" x14ac:dyDescent="0.3">
      <c r="A3974" s="4" t="s">
        <v>6995</v>
      </c>
      <c r="B3974">
        <v>3</v>
      </c>
      <c r="C3974">
        <v>2019</v>
      </c>
      <c r="D3974" t="s">
        <v>14143</v>
      </c>
      <c r="E3974">
        <v>16</v>
      </c>
      <c r="F3974" t="s">
        <v>26557</v>
      </c>
      <c r="G3974" t="s">
        <v>26558</v>
      </c>
      <c r="H3974" s="4" t="s">
        <v>26559</v>
      </c>
    </row>
    <row r="3975" spans="1:11" ht="216" x14ac:dyDescent="0.3">
      <c r="A3975" s="4" t="s">
        <v>6996</v>
      </c>
      <c r="B3975">
        <v>3</v>
      </c>
      <c r="C3975">
        <v>2019</v>
      </c>
      <c r="D3975" t="s">
        <v>24598</v>
      </c>
      <c r="E3975">
        <v>0</v>
      </c>
      <c r="G3975" t="s">
        <v>26560</v>
      </c>
      <c r="H3975" s="4" t="s">
        <v>26561</v>
      </c>
      <c r="I3975" s="4" t="s">
        <v>71</v>
      </c>
      <c r="J3975" t="s">
        <v>10782</v>
      </c>
      <c r="K3975" t="s">
        <v>26562</v>
      </c>
    </row>
    <row r="3976" spans="1:11" ht="158.4" x14ac:dyDescent="0.3">
      <c r="A3976" s="4" t="s">
        <v>6997</v>
      </c>
      <c r="B3976">
        <v>3</v>
      </c>
      <c r="C3976">
        <v>2019</v>
      </c>
      <c r="D3976" t="s">
        <v>26563</v>
      </c>
      <c r="E3976">
        <v>5</v>
      </c>
      <c r="F3976" t="s">
        <v>26564</v>
      </c>
      <c r="G3976" t="s">
        <v>26565</v>
      </c>
      <c r="H3976" s="4" t="s">
        <v>26566</v>
      </c>
      <c r="I3976" t="s">
        <v>71</v>
      </c>
      <c r="J3976" t="s">
        <v>10782</v>
      </c>
      <c r="K3976" t="s">
        <v>26567</v>
      </c>
    </row>
    <row r="3977" spans="1:11" ht="187.2" x14ac:dyDescent="0.3">
      <c r="A3977" s="4" t="s">
        <v>6998</v>
      </c>
      <c r="B3977">
        <v>3</v>
      </c>
      <c r="C3977">
        <v>2019</v>
      </c>
      <c r="D3977" t="s">
        <v>19625</v>
      </c>
      <c r="E3977">
        <v>7</v>
      </c>
      <c r="F3977" t="s">
        <v>26568</v>
      </c>
      <c r="G3977" t="s">
        <v>26569</v>
      </c>
      <c r="H3977" s="4" t="s">
        <v>26570</v>
      </c>
      <c r="I3977" t="s">
        <v>71</v>
      </c>
      <c r="J3977" t="s">
        <v>10782</v>
      </c>
      <c r="K3977" t="s">
        <v>26571</v>
      </c>
    </row>
    <row r="3978" spans="1:11" ht="172.8" x14ac:dyDescent="0.3">
      <c r="A3978" s="4" t="s">
        <v>6999</v>
      </c>
      <c r="B3978">
        <v>3</v>
      </c>
      <c r="C3978">
        <v>2019</v>
      </c>
      <c r="D3978" t="s">
        <v>26572</v>
      </c>
      <c r="E3978">
        <v>10</v>
      </c>
      <c r="F3978" t="s">
        <v>26573</v>
      </c>
      <c r="G3978" t="s">
        <v>26574</v>
      </c>
      <c r="H3978" s="4" t="s">
        <v>26575</v>
      </c>
      <c r="I3978" t="s">
        <v>71</v>
      </c>
      <c r="J3978" t="s">
        <v>10782</v>
      </c>
      <c r="K3978" t="s">
        <v>26576</v>
      </c>
    </row>
    <row r="3979" spans="1:11" ht="158.4" x14ac:dyDescent="0.3">
      <c r="A3979" s="4" t="s">
        <v>7000</v>
      </c>
      <c r="B3979">
        <v>3</v>
      </c>
      <c r="C3979">
        <v>2019</v>
      </c>
      <c r="D3979" t="s">
        <v>964</v>
      </c>
      <c r="E3979">
        <v>39</v>
      </c>
      <c r="F3979" t="s">
        <v>26577</v>
      </c>
      <c r="G3979" t="s">
        <v>26578</v>
      </c>
      <c r="H3979" s="4" t="s">
        <v>26579</v>
      </c>
      <c r="I3979" t="s">
        <v>71</v>
      </c>
      <c r="J3979" t="s">
        <v>10782</v>
      </c>
      <c r="K3979" t="s">
        <v>26580</v>
      </c>
    </row>
    <row r="3980" spans="1:11" ht="187.2" x14ac:dyDescent="0.3">
      <c r="A3980" s="4" t="s">
        <v>7001</v>
      </c>
      <c r="B3980">
        <v>3</v>
      </c>
      <c r="C3980">
        <v>2019</v>
      </c>
      <c r="D3980" t="s">
        <v>637</v>
      </c>
      <c r="E3980">
        <v>13</v>
      </c>
      <c r="F3980" t="s">
        <v>26581</v>
      </c>
      <c r="G3980" t="s">
        <v>26582</v>
      </c>
      <c r="H3980" s="4" t="s">
        <v>26583</v>
      </c>
      <c r="I3980" t="s">
        <v>71</v>
      </c>
      <c r="J3980" t="s">
        <v>10782</v>
      </c>
      <c r="K3980" t="s">
        <v>26584</v>
      </c>
    </row>
    <row r="3981" spans="1:11" ht="187.2" x14ac:dyDescent="0.3">
      <c r="A3981" s="4" t="s">
        <v>7002</v>
      </c>
      <c r="B3981">
        <v>3</v>
      </c>
      <c r="C3981">
        <v>2019</v>
      </c>
      <c r="D3981" t="s">
        <v>2853</v>
      </c>
      <c r="E3981">
        <v>68</v>
      </c>
      <c r="F3981" t="s">
        <v>26585</v>
      </c>
      <c r="G3981" t="s">
        <v>26586</v>
      </c>
      <c r="H3981" s="4" t="s">
        <v>26587</v>
      </c>
      <c r="I3981" t="s">
        <v>71</v>
      </c>
      <c r="J3981" t="s">
        <v>10782</v>
      </c>
      <c r="K3981" t="s">
        <v>26588</v>
      </c>
    </row>
    <row r="3982" spans="1:11" ht="172.8" x14ac:dyDescent="0.3">
      <c r="A3982" s="4" t="s">
        <v>7003</v>
      </c>
      <c r="B3982">
        <v>3</v>
      </c>
      <c r="C3982">
        <v>2019</v>
      </c>
      <c r="D3982" t="s">
        <v>1384</v>
      </c>
      <c r="E3982">
        <v>7</v>
      </c>
      <c r="F3982" t="s">
        <v>26589</v>
      </c>
      <c r="G3982" t="s">
        <v>26590</v>
      </c>
      <c r="H3982" s="4" t="s">
        <v>26591</v>
      </c>
      <c r="I3982" t="s">
        <v>71</v>
      </c>
      <c r="J3982" t="s">
        <v>10782</v>
      </c>
      <c r="K3982" t="s">
        <v>26592</v>
      </c>
    </row>
    <row r="3983" spans="1:11" ht="28.8" x14ac:dyDescent="0.3">
      <c r="A3983" s="4" t="s">
        <v>7004</v>
      </c>
      <c r="B3983">
        <v>3</v>
      </c>
      <c r="C3983">
        <v>2019</v>
      </c>
      <c r="D3983" t="s">
        <v>1384</v>
      </c>
      <c r="E3983">
        <v>6</v>
      </c>
      <c r="F3983" t="s">
        <v>26593</v>
      </c>
      <c r="G3983" t="s">
        <v>26594</v>
      </c>
      <c r="H3983" s="4" t="s">
        <v>26595</v>
      </c>
    </row>
    <row r="3984" spans="1:11" ht="230.4" x14ac:dyDescent="0.3">
      <c r="A3984" s="4" t="s">
        <v>7005</v>
      </c>
      <c r="B3984">
        <v>3</v>
      </c>
      <c r="C3984">
        <v>2019</v>
      </c>
      <c r="D3984" t="s">
        <v>637</v>
      </c>
      <c r="E3984">
        <v>23</v>
      </c>
      <c r="F3984" t="s">
        <v>26596</v>
      </c>
      <c r="G3984" t="s">
        <v>26597</v>
      </c>
      <c r="H3984" s="4" t="s">
        <v>26598</v>
      </c>
      <c r="I3984" t="s">
        <v>71</v>
      </c>
      <c r="J3984" t="s">
        <v>10782</v>
      </c>
      <c r="K3984" t="s">
        <v>26599</v>
      </c>
    </row>
    <row r="3985" spans="1:11" ht="144" x14ac:dyDescent="0.3">
      <c r="A3985" s="4" t="s">
        <v>7006</v>
      </c>
      <c r="B3985">
        <v>3</v>
      </c>
      <c r="C3985">
        <v>2019</v>
      </c>
      <c r="D3985" t="s">
        <v>637</v>
      </c>
      <c r="E3985">
        <v>118</v>
      </c>
      <c r="F3985" t="s">
        <v>26600</v>
      </c>
      <c r="G3985" t="s">
        <v>26601</v>
      </c>
      <c r="H3985" s="4" t="s">
        <v>26602</v>
      </c>
    </row>
    <row r="3986" spans="1:11" ht="187.2" x14ac:dyDescent="0.3">
      <c r="A3986" s="4" t="s">
        <v>7007</v>
      </c>
      <c r="B3986">
        <v>3</v>
      </c>
      <c r="C3986">
        <v>2019</v>
      </c>
      <c r="D3986" t="s">
        <v>1570</v>
      </c>
      <c r="E3986">
        <v>8</v>
      </c>
      <c r="F3986" t="s">
        <v>26603</v>
      </c>
      <c r="G3986" t="s">
        <v>26604</v>
      </c>
      <c r="H3986" s="4" t="s">
        <v>26605</v>
      </c>
      <c r="I3986" t="s">
        <v>71</v>
      </c>
      <c r="J3986" t="s">
        <v>10782</v>
      </c>
      <c r="K3986" t="s">
        <v>26606</v>
      </c>
    </row>
    <row r="3987" spans="1:11" ht="129.6" x14ac:dyDescent="0.3">
      <c r="A3987" s="4" t="s">
        <v>7008</v>
      </c>
      <c r="B3987">
        <v>3</v>
      </c>
      <c r="C3987">
        <v>2019</v>
      </c>
      <c r="D3987" t="s">
        <v>14320</v>
      </c>
      <c r="E3987">
        <v>2</v>
      </c>
      <c r="F3987" t="s">
        <v>26607</v>
      </c>
      <c r="G3987" t="s">
        <v>26608</v>
      </c>
      <c r="H3987" s="4" t="s">
        <v>26609</v>
      </c>
      <c r="I3987" t="s">
        <v>71</v>
      </c>
      <c r="J3987" t="s">
        <v>10782</v>
      </c>
      <c r="K3987" t="s">
        <v>26610</v>
      </c>
    </row>
    <row r="3988" spans="1:11" ht="158.4" x14ac:dyDescent="0.3">
      <c r="A3988" s="4" t="s">
        <v>7009</v>
      </c>
      <c r="B3988">
        <v>3</v>
      </c>
      <c r="C3988">
        <v>2019</v>
      </c>
      <c r="D3988" t="s">
        <v>2853</v>
      </c>
      <c r="E3988">
        <v>57</v>
      </c>
      <c r="F3988" t="s">
        <v>26611</v>
      </c>
      <c r="G3988" t="s">
        <v>26612</v>
      </c>
      <c r="H3988" s="4" t="s">
        <v>26613</v>
      </c>
      <c r="I3988" t="s">
        <v>71</v>
      </c>
      <c r="J3988" t="s">
        <v>10782</v>
      </c>
      <c r="K3988" t="s">
        <v>26614</v>
      </c>
    </row>
    <row r="3989" spans="1:11" ht="115.2" x14ac:dyDescent="0.3">
      <c r="A3989" s="4" t="s">
        <v>7010</v>
      </c>
      <c r="B3989">
        <v>3</v>
      </c>
      <c r="C3989">
        <v>2019</v>
      </c>
      <c r="D3989" t="s">
        <v>11521</v>
      </c>
      <c r="E3989">
        <v>9</v>
      </c>
      <c r="F3989" t="s">
        <v>26615</v>
      </c>
      <c r="G3989" t="s">
        <v>26616</v>
      </c>
      <c r="H3989" s="4" t="s">
        <v>26617</v>
      </c>
      <c r="I3989" t="s">
        <v>71</v>
      </c>
      <c r="J3989" t="s">
        <v>10782</v>
      </c>
      <c r="K3989" t="s">
        <v>26618</v>
      </c>
    </row>
    <row r="3990" spans="1:11" ht="172.8" x14ac:dyDescent="0.3">
      <c r="A3990" s="4" t="s">
        <v>7011</v>
      </c>
      <c r="B3990">
        <v>3</v>
      </c>
      <c r="C3990">
        <v>2019</v>
      </c>
      <c r="D3990" t="s">
        <v>799</v>
      </c>
      <c r="E3990">
        <v>33</v>
      </c>
      <c r="F3990" t="s">
        <v>26619</v>
      </c>
      <c r="G3990" t="s">
        <v>26620</v>
      </c>
      <c r="H3990" s="4" t="s">
        <v>26621</v>
      </c>
      <c r="I3990" t="s">
        <v>71</v>
      </c>
      <c r="J3990" t="s">
        <v>10782</v>
      </c>
      <c r="K3990" t="s">
        <v>26622</v>
      </c>
    </row>
    <row r="3991" spans="1:11" ht="144" x14ac:dyDescent="0.3">
      <c r="A3991" s="4" t="s">
        <v>7012</v>
      </c>
      <c r="B3991">
        <v>3</v>
      </c>
      <c r="C3991">
        <v>2019</v>
      </c>
      <c r="D3991" t="s">
        <v>724</v>
      </c>
      <c r="E3991">
        <v>6</v>
      </c>
      <c r="F3991" t="s">
        <v>26623</v>
      </c>
      <c r="G3991" t="s">
        <v>26624</v>
      </c>
      <c r="H3991" s="4" t="s">
        <v>26625</v>
      </c>
      <c r="I3991" t="s">
        <v>71</v>
      </c>
      <c r="J3991" t="s">
        <v>10782</v>
      </c>
      <c r="K3991" t="s">
        <v>26626</v>
      </c>
    </row>
    <row r="3992" spans="1:11" ht="230.4" x14ac:dyDescent="0.3">
      <c r="A3992" s="4" t="s">
        <v>7013</v>
      </c>
      <c r="B3992">
        <v>3</v>
      </c>
      <c r="C3992">
        <v>2019</v>
      </c>
      <c r="D3992" t="s">
        <v>14102</v>
      </c>
      <c r="E3992">
        <v>2</v>
      </c>
      <c r="F3992" t="s">
        <v>26627</v>
      </c>
      <c r="G3992" t="s">
        <v>26628</v>
      </c>
      <c r="H3992" s="4" t="s">
        <v>26629</v>
      </c>
    </row>
    <row r="3993" spans="1:11" ht="72" x14ac:dyDescent="0.3">
      <c r="A3993" s="4" t="s">
        <v>7014</v>
      </c>
      <c r="B3993">
        <v>3</v>
      </c>
      <c r="C3993">
        <v>2019</v>
      </c>
      <c r="D3993" t="s">
        <v>164</v>
      </c>
      <c r="E3993">
        <v>49</v>
      </c>
      <c r="F3993" t="s">
        <v>26630</v>
      </c>
      <c r="G3993" t="s">
        <v>26631</v>
      </c>
      <c r="H3993" s="4" t="s">
        <v>26632</v>
      </c>
    </row>
    <row r="3994" spans="1:11" ht="201.6" x14ac:dyDescent="0.3">
      <c r="A3994" s="4" t="s">
        <v>7015</v>
      </c>
      <c r="B3994">
        <v>3</v>
      </c>
      <c r="C3994">
        <v>2019</v>
      </c>
      <c r="D3994" t="s">
        <v>637</v>
      </c>
      <c r="E3994">
        <v>26</v>
      </c>
      <c r="F3994" t="s">
        <v>26633</v>
      </c>
      <c r="G3994" t="s">
        <v>26634</v>
      </c>
      <c r="H3994" s="4" t="s">
        <v>26635</v>
      </c>
      <c r="I3994" t="s">
        <v>71</v>
      </c>
      <c r="J3994" t="s">
        <v>10782</v>
      </c>
      <c r="K3994" t="s">
        <v>26636</v>
      </c>
    </row>
    <row r="3995" spans="1:11" ht="72" x14ac:dyDescent="0.3">
      <c r="A3995" s="4" t="s">
        <v>7016</v>
      </c>
      <c r="B3995">
        <v>3</v>
      </c>
      <c r="C3995">
        <v>2019</v>
      </c>
      <c r="D3995" t="s">
        <v>2819</v>
      </c>
      <c r="E3995">
        <v>37</v>
      </c>
      <c r="F3995" t="s">
        <v>26637</v>
      </c>
      <c r="G3995" t="s">
        <v>26638</v>
      </c>
      <c r="H3995" s="4" t="s">
        <v>26639</v>
      </c>
    </row>
    <row r="3996" spans="1:11" ht="100.8" x14ac:dyDescent="0.3">
      <c r="A3996" s="4" t="s">
        <v>7017</v>
      </c>
      <c r="B3996">
        <v>3</v>
      </c>
      <c r="C3996">
        <v>2019</v>
      </c>
      <c r="D3996" t="s">
        <v>11310</v>
      </c>
      <c r="E3996">
        <v>9</v>
      </c>
      <c r="F3996" t="s">
        <v>26640</v>
      </c>
      <c r="G3996" t="s">
        <v>26641</v>
      </c>
      <c r="H3996" s="4" t="s">
        <v>26642</v>
      </c>
    </row>
    <row r="3997" spans="1:11" ht="216" x14ac:dyDescent="0.3">
      <c r="A3997" s="4" t="s">
        <v>7018</v>
      </c>
      <c r="B3997">
        <v>3</v>
      </c>
      <c r="C3997">
        <v>2019</v>
      </c>
      <c r="D3997" t="s">
        <v>318</v>
      </c>
      <c r="E3997">
        <v>101</v>
      </c>
      <c r="F3997" t="s">
        <v>26643</v>
      </c>
      <c r="G3997" t="s">
        <v>26644</v>
      </c>
      <c r="H3997" s="4" t="s">
        <v>26645</v>
      </c>
      <c r="I3997" t="s">
        <v>71</v>
      </c>
      <c r="J3997" t="s">
        <v>10782</v>
      </c>
      <c r="K3997" t="s">
        <v>26646</v>
      </c>
    </row>
    <row r="3998" spans="1:11" ht="100.8" x14ac:dyDescent="0.3">
      <c r="A3998" s="4" t="s">
        <v>7019</v>
      </c>
      <c r="B3998">
        <v>3</v>
      </c>
      <c r="C3998">
        <v>2019</v>
      </c>
      <c r="D3998" t="s">
        <v>26647</v>
      </c>
      <c r="E3998">
        <v>1</v>
      </c>
      <c r="F3998" t="s">
        <v>26648</v>
      </c>
      <c r="G3998" t="s">
        <v>26649</v>
      </c>
      <c r="H3998" s="4" t="s">
        <v>26650</v>
      </c>
      <c r="I3998" t="s">
        <v>71</v>
      </c>
      <c r="J3998" t="s">
        <v>10782</v>
      </c>
      <c r="K3998" t="s">
        <v>26651</v>
      </c>
    </row>
    <row r="3999" spans="1:11" ht="115.2" x14ac:dyDescent="0.3">
      <c r="A3999" s="4" t="s">
        <v>7020</v>
      </c>
      <c r="B3999">
        <v>3</v>
      </c>
      <c r="C3999">
        <v>2019</v>
      </c>
      <c r="D3999" t="s">
        <v>329</v>
      </c>
      <c r="E3999">
        <v>36</v>
      </c>
      <c r="F3999" t="s">
        <v>26652</v>
      </c>
      <c r="G3999" t="s">
        <v>26653</v>
      </c>
      <c r="H3999" s="4" t="s">
        <v>26654</v>
      </c>
    </row>
    <row r="4000" spans="1:11" ht="100.8" x14ac:dyDescent="0.3">
      <c r="A4000" s="4" t="s">
        <v>7021</v>
      </c>
      <c r="B4000">
        <v>3</v>
      </c>
      <c r="C4000">
        <v>2019</v>
      </c>
      <c r="D4000" t="s">
        <v>26655</v>
      </c>
      <c r="E4000">
        <v>2</v>
      </c>
      <c r="F4000" t="s">
        <v>26656</v>
      </c>
      <c r="G4000" t="s">
        <v>26657</v>
      </c>
      <c r="H4000" s="4" t="s">
        <v>26658</v>
      </c>
      <c r="I4000" t="s">
        <v>71</v>
      </c>
      <c r="J4000" t="s">
        <v>10782</v>
      </c>
      <c r="K4000" t="s">
        <v>26659</v>
      </c>
    </row>
    <row r="4001" spans="1:11" ht="144" x14ac:dyDescent="0.3">
      <c r="A4001" s="4" t="s">
        <v>7022</v>
      </c>
      <c r="B4001">
        <v>3</v>
      </c>
      <c r="C4001">
        <v>2019</v>
      </c>
      <c r="D4001" t="s">
        <v>1366</v>
      </c>
      <c r="E4001">
        <v>37</v>
      </c>
      <c r="F4001" t="s">
        <v>26660</v>
      </c>
      <c r="G4001" t="s">
        <v>26661</v>
      </c>
      <c r="H4001" s="4" t="s">
        <v>26662</v>
      </c>
      <c r="I4001" t="s">
        <v>71</v>
      </c>
      <c r="J4001" t="s">
        <v>10782</v>
      </c>
      <c r="K4001" t="s">
        <v>26663</v>
      </c>
    </row>
    <row r="4002" spans="1:11" ht="216" x14ac:dyDescent="0.3">
      <c r="A4002" s="4" t="s">
        <v>7023</v>
      </c>
      <c r="B4002">
        <v>3</v>
      </c>
      <c r="C4002">
        <v>2019</v>
      </c>
      <c r="D4002" t="s">
        <v>17224</v>
      </c>
      <c r="E4002">
        <v>1</v>
      </c>
      <c r="F4002" t="s">
        <v>26664</v>
      </c>
      <c r="G4002" t="s">
        <v>26665</v>
      </c>
      <c r="H4002" s="4" t="s">
        <v>26666</v>
      </c>
      <c r="I4002" t="s">
        <v>71</v>
      </c>
      <c r="J4002" t="s">
        <v>10782</v>
      </c>
      <c r="K4002" t="s">
        <v>26667</v>
      </c>
    </row>
    <row r="4003" spans="1:11" ht="302.39999999999998" x14ac:dyDescent="0.3">
      <c r="A4003" s="4" t="s">
        <v>7024</v>
      </c>
      <c r="B4003">
        <v>3</v>
      </c>
      <c r="C4003">
        <v>2019</v>
      </c>
      <c r="D4003" t="s">
        <v>1836</v>
      </c>
      <c r="E4003">
        <v>154</v>
      </c>
      <c r="F4003" t="s">
        <v>26668</v>
      </c>
      <c r="G4003" t="s">
        <v>26669</v>
      </c>
      <c r="H4003" s="4" t="s">
        <v>26670</v>
      </c>
      <c r="I4003" t="s">
        <v>71</v>
      </c>
      <c r="J4003" t="s">
        <v>10782</v>
      </c>
      <c r="K4003" t="s">
        <v>26671</v>
      </c>
    </row>
    <row r="4004" spans="1:11" ht="115.2" x14ac:dyDescent="0.3">
      <c r="A4004" s="4" t="s">
        <v>7025</v>
      </c>
      <c r="B4004">
        <v>3</v>
      </c>
      <c r="C4004">
        <v>2019</v>
      </c>
      <c r="D4004" t="s">
        <v>26672</v>
      </c>
      <c r="E4004">
        <v>6</v>
      </c>
      <c r="F4004" t="s">
        <v>26673</v>
      </c>
      <c r="G4004" t="s">
        <v>26674</v>
      </c>
      <c r="H4004" s="4" t="s">
        <v>26675</v>
      </c>
      <c r="I4004" t="s">
        <v>71</v>
      </c>
      <c r="J4004" t="s">
        <v>10782</v>
      </c>
      <c r="K4004" t="s">
        <v>26676</v>
      </c>
    </row>
    <row r="4005" spans="1:11" ht="187.2" x14ac:dyDescent="0.3">
      <c r="A4005" s="4" t="s">
        <v>3590</v>
      </c>
      <c r="B4005">
        <v>2</v>
      </c>
      <c r="C4005">
        <v>2019</v>
      </c>
      <c r="D4005" t="s">
        <v>10825</v>
      </c>
      <c r="E4005">
        <v>30</v>
      </c>
      <c r="F4005" t="s">
        <v>26677</v>
      </c>
      <c r="G4005" t="s">
        <v>26678</v>
      </c>
      <c r="H4005" s="4" t="s">
        <v>26679</v>
      </c>
      <c r="I4005" t="s">
        <v>71</v>
      </c>
      <c r="J4005" t="s">
        <v>10782</v>
      </c>
      <c r="K4005" t="s">
        <v>26680</v>
      </c>
    </row>
    <row r="4006" spans="1:11" ht="187.2" x14ac:dyDescent="0.3">
      <c r="A4006" s="4" t="s">
        <v>7026</v>
      </c>
      <c r="B4006">
        <v>3</v>
      </c>
      <c r="C4006">
        <v>2019</v>
      </c>
      <c r="D4006" t="s">
        <v>1175</v>
      </c>
      <c r="E4006">
        <v>22</v>
      </c>
      <c r="F4006" t="s">
        <v>26681</v>
      </c>
      <c r="G4006" t="s">
        <v>26682</v>
      </c>
      <c r="H4006" s="4" t="s">
        <v>26683</v>
      </c>
      <c r="I4006" t="s">
        <v>71</v>
      </c>
      <c r="J4006" t="s">
        <v>10782</v>
      </c>
      <c r="K4006" t="s">
        <v>26684</v>
      </c>
    </row>
    <row r="4007" spans="1:11" ht="172.8" x14ac:dyDescent="0.3">
      <c r="A4007" s="4" t="s">
        <v>7027</v>
      </c>
      <c r="B4007">
        <v>3</v>
      </c>
      <c r="C4007">
        <v>2019</v>
      </c>
      <c r="D4007" t="s">
        <v>2416</v>
      </c>
      <c r="E4007">
        <v>46</v>
      </c>
      <c r="F4007" t="s">
        <v>26685</v>
      </c>
      <c r="G4007" t="s">
        <v>26686</v>
      </c>
      <c r="H4007" s="4" t="s">
        <v>26687</v>
      </c>
      <c r="I4007" t="s">
        <v>71</v>
      </c>
      <c r="J4007" t="s">
        <v>10782</v>
      </c>
      <c r="K4007" t="s">
        <v>26688</v>
      </c>
    </row>
    <row r="4008" spans="1:11" ht="172.8" x14ac:dyDescent="0.3">
      <c r="A4008" s="4" t="s">
        <v>7028</v>
      </c>
      <c r="B4008">
        <v>3</v>
      </c>
      <c r="C4008">
        <v>2019</v>
      </c>
      <c r="D4008" t="s">
        <v>1836</v>
      </c>
      <c r="E4008">
        <v>53</v>
      </c>
      <c r="F4008" t="s">
        <v>26689</v>
      </c>
      <c r="G4008" t="s">
        <v>26690</v>
      </c>
      <c r="H4008" s="4" t="s">
        <v>26691</v>
      </c>
      <c r="I4008" t="s">
        <v>71</v>
      </c>
      <c r="J4008" t="s">
        <v>10782</v>
      </c>
      <c r="K4008" t="s">
        <v>26692</v>
      </c>
    </row>
    <row r="4009" spans="1:11" ht="144" x14ac:dyDescent="0.3">
      <c r="A4009" s="4" t="s">
        <v>7029</v>
      </c>
      <c r="B4009">
        <v>3</v>
      </c>
      <c r="C4009">
        <v>2019</v>
      </c>
      <c r="D4009" t="s">
        <v>26693</v>
      </c>
      <c r="E4009">
        <v>13</v>
      </c>
      <c r="F4009" t="s">
        <v>26694</v>
      </c>
      <c r="G4009" t="s">
        <v>26695</v>
      </c>
      <c r="H4009" s="4" t="s">
        <v>26696</v>
      </c>
    </row>
    <row r="4010" spans="1:11" ht="86.4" x14ac:dyDescent="0.3">
      <c r="A4010" s="4" t="s">
        <v>7030</v>
      </c>
      <c r="B4010">
        <v>3</v>
      </c>
      <c r="C4010">
        <v>2019</v>
      </c>
      <c r="D4010" t="s">
        <v>1375</v>
      </c>
      <c r="E4010">
        <v>7</v>
      </c>
      <c r="F4010" t="s">
        <v>26697</v>
      </c>
      <c r="G4010" t="s">
        <v>26698</v>
      </c>
      <c r="H4010" s="4" t="s">
        <v>26699</v>
      </c>
      <c r="I4010" t="s">
        <v>71</v>
      </c>
      <c r="J4010" t="s">
        <v>10782</v>
      </c>
      <c r="K4010" t="s">
        <v>26700</v>
      </c>
    </row>
    <row r="4011" spans="1:11" ht="129.6" x14ac:dyDescent="0.3">
      <c r="A4011" s="4" t="s">
        <v>7031</v>
      </c>
      <c r="B4011">
        <v>3</v>
      </c>
      <c r="C4011">
        <v>2019</v>
      </c>
      <c r="D4011" t="s">
        <v>830</v>
      </c>
      <c r="E4011">
        <v>23</v>
      </c>
      <c r="F4011" t="s">
        <v>26701</v>
      </c>
      <c r="G4011" t="s">
        <v>26702</v>
      </c>
      <c r="H4011" s="4" t="s">
        <v>26703</v>
      </c>
    </row>
    <row r="4012" spans="1:11" ht="158.4" x14ac:dyDescent="0.3">
      <c r="A4012" s="4" t="s">
        <v>7032</v>
      </c>
      <c r="B4012">
        <v>3</v>
      </c>
      <c r="C4012">
        <v>2019</v>
      </c>
      <c r="D4012" t="s">
        <v>958</v>
      </c>
      <c r="E4012">
        <v>51</v>
      </c>
      <c r="F4012" t="s">
        <v>26704</v>
      </c>
      <c r="G4012" t="s">
        <v>26705</v>
      </c>
      <c r="H4012" s="4" t="s">
        <v>26706</v>
      </c>
    </row>
    <row r="4013" spans="1:11" ht="158.4" x14ac:dyDescent="0.3">
      <c r="A4013" s="4" t="s">
        <v>7033</v>
      </c>
      <c r="B4013">
        <v>3</v>
      </c>
      <c r="C4013">
        <v>2019</v>
      </c>
      <c r="D4013" t="s">
        <v>26707</v>
      </c>
      <c r="E4013">
        <v>23</v>
      </c>
      <c r="F4013" t="s">
        <v>26708</v>
      </c>
      <c r="G4013" t="s">
        <v>26709</v>
      </c>
      <c r="H4013" s="4" t="s">
        <v>26710</v>
      </c>
      <c r="I4013" t="s">
        <v>71</v>
      </c>
      <c r="J4013" t="s">
        <v>10782</v>
      </c>
      <c r="K4013" t="s">
        <v>26711</v>
      </c>
    </row>
    <row r="4014" spans="1:11" ht="216" x14ac:dyDescent="0.3">
      <c r="A4014" s="4" t="s">
        <v>7034</v>
      </c>
      <c r="B4014">
        <v>3</v>
      </c>
      <c r="C4014">
        <v>2019</v>
      </c>
      <c r="D4014" t="s">
        <v>202</v>
      </c>
      <c r="E4014">
        <v>15</v>
      </c>
      <c r="F4014" t="s">
        <v>26712</v>
      </c>
      <c r="G4014" t="s">
        <v>26713</v>
      </c>
      <c r="H4014" s="4" t="s">
        <v>26714</v>
      </c>
      <c r="I4014" t="s">
        <v>71</v>
      </c>
      <c r="J4014" t="s">
        <v>10782</v>
      </c>
      <c r="K4014" t="s">
        <v>26715</v>
      </c>
    </row>
    <row r="4015" spans="1:11" ht="187.2" x14ac:dyDescent="0.3">
      <c r="A4015" s="4" t="s">
        <v>7035</v>
      </c>
      <c r="B4015">
        <v>3</v>
      </c>
      <c r="C4015">
        <v>2019</v>
      </c>
      <c r="D4015" t="s">
        <v>2853</v>
      </c>
      <c r="E4015">
        <v>115</v>
      </c>
      <c r="F4015" t="s">
        <v>26716</v>
      </c>
      <c r="G4015" t="s">
        <v>26717</v>
      </c>
      <c r="H4015" s="4" t="s">
        <v>26718</v>
      </c>
      <c r="I4015" t="s">
        <v>71</v>
      </c>
      <c r="J4015" t="s">
        <v>10782</v>
      </c>
      <c r="K4015" t="s">
        <v>26719</v>
      </c>
    </row>
    <row r="4016" spans="1:11" ht="129.6" x14ac:dyDescent="0.3">
      <c r="A4016" s="4" t="s">
        <v>7036</v>
      </c>
      <c r="B4016">
        <v>3</v>
      </c>
      <c r="C4016">
        <v>2019</v>
      </c>
      <c r="D4016" t="s">
        <v>24387</v>
      </c>
      <c r="E4016">
        <v>27</v>
      </c>
      <c r="F4016" t="s">
        <v>26720</v>
      </c>
      <c r="G4016" t="s">
        <v>26721</v>
      </c>
      <c r="H4016" s="4" t="s">
        <v>26722</v>
      </c>
      <c r="I4016" t="s">
        <v>71</v>
      </c>
      <c r="J4016" t="s">
        <v>10782</v>
      </c>
      <c r="K4016" t="s">
        <v>26723</v>
      </c>
    </row>
    <row r="4017" spans="1:11" ht="158.4" x14ac:dyDescent="0.3">
      <c r="A4017" s="4" t="s">
        <v>7037</v>
      </c>
      <c r="B4017">
        <v>3</v>
      </c>
      <c r="C4017">
        <v>2019</v>
      </c>
      <c r="D4017" t="s">
        <v>637</v>
      </c>
      <c r="E4017">
        <v>9</v>
      </c>
      <c r="F4017" t="s">
        <v>26724</v>
      </c>
      <c r="G4017" t="s">
        <v>26725</v>
      </c>
      <c r="H4017" s="4" t="s">
        <v>26726</v>
      </c>
      <c r="I4017" t="s">
        <v>71</v>
      </c>
      <c r="J4017" t="s">
        <v>10782</v>
      </c>
      <c r="K4017" t="s">
        <v>26727</v>
      </c>
    </row>
    <row r="4018" spans="1:11" ht="187.2" x14ac:dyDescent="0.3">
      <c r="A4018" s="4" t="s">
        <v>7038</v>
      </c>
      <c r="B4018">
        <v>3</v>
      </c>
      <c r="C4018">
        <v>2019</v>
      </c>
      <c r="D4018" t="s">
        <v>10924</v>
      </c>
      <c r="E4018">
        <v>20</v>
      </c>
      <c r="F4018" t="s">
        <v>26728</v>
      </c>
      <c r="G4018" t="s">
        <v>26729</v>
      </c>
      <c r="H4018" s="4" t="s">
        <v>26730</v>
      </c>
      <c r="I4018" t="s">
        <v>71</v>
      </c>
      <c r="J4018" t="s">
        <v>10782</v>
      </c>
      <c r="K4018" t="s">
        <v>26731</v>
      </c>
    </row>
    <row r="4019" spans="1:11" ht="144" x14ac:dyDescent="0.3">
      <c r="A4019" s="4" t="s">
        <v>7039</v>
      </c>
      <c r="B4019">
        <v>3</v>
      </c>
      <c r="C4019">
        <v>2019</v>
      </c>
      <c r="D4019" t="s">
        <v>21103</v>
      </c>
      <c r="E4019">
        <v>46</v>
      </c>
      <c r="F4019" t="s">
        <v>26732</v>
      </c>
      <c r="G4019" t="s">
        <v>26733</v>
      </c>
      <c r="H4019" s="4" t="s">
        <v>26734</v>
      </c>
      <c r="I4019" t="s">
        <v>71</v>
      </c>
      <c r="J4019" t="s">
        <v>10782</v>
      </c>
      <c r="K4019" t="s">
        <v>26735</v>
      </c>
    </row>
    <row r="4020" spans="1:11" ht="216" x14ac:dyDescent="0.3">
      <c r="A4020" s="4" t="s">
        <v>7040</v>
      </c>
      <c r="B4020">
        <v>3</v>
      </c>
      <c r="C4020">
        <v>2019</v>
      </c>
      <c r="D4020" t="s">
        <v>2201</v>
      </c>
      <c r="E4020">
        <v>24</v>
      </c>
      <c r="F4020" t="s">
        <v>26736</v>
      </c>
      <c r="G4020" t="s">
        <v>26737</v>
      </c>
      <c r="H4020" s="4" t="s">
        <v>26738</v>
      </c>
      <c r="I4020" t="s">
        <v>71</v>
      </c>
      <c r="J4020" t="s">
        <v>10782</v>
      </c>
      <c r="K4020" t="s">
        <v>26739</v>
      </c>
    </row>
    <row r="4021" spans="1:11" ht="115.2" x14ac:dyDescent="0.3">
      <c r="A4021" s="4" t="s">
        <v>7041</v>
      </c>
      <c r="B4021">
        <v>3</v>
      </c>
      <c r="C4021">
        <v>2018</v>
      </c>
      <c r="D4021" t="s">
        <v>497</v>
      </c>
      <c r="E4021">
        <v>21</v>
      </c>
      <c r="F4021" t="s">
        <v>26740</v>
      </c>
      <c r="G4021" t="s">
        <v>26741</v>
      </c>
      <c r="H4021" s="4" t="s">
        <v>26742</v>
      </c>
    </row>
    <row r="4022" spans="1:11" ht="100.8" x14ac:dyDescent="0.3">
      <c r="A4022" s="4" t="s">
        <v>7042</v>
      </c>
      <c r="B4022">
        <v>3</v>
      </c>
      <c r="C4022">
        <v>2018</v>
      </c>
      <c r="D4022" t="s">
        <v>277</v>
      </c>
      <c r="E4022">
        <v>32</v>
      </c>
      <c r="F4022" t="s">
        <v>26743</v>
      </c>
      <c r="G4022" t="s">
        <v>26744</v>
      </c>
      <c r="H4022" s="4" t="s">
        <v>26745</v>
      </c>
      <c r="I4022" t="s">
        <v>71</v>
      </c>
      <c r="J4022" t="s">
        <v>10782</v>
      </c>
      <c r="K4022" t="s">
        <v>26746</v>
      </c>
    </row>
    <row r="4023" spans="1:11" ht="172.8" x14ac:dyDescent="0.3">
      <c r="A4023" s="4" t="s">
        <v>7043</v>
      </c>
      <c r="B4023">
        <v>3</v>
      </c>
      <c r="C4023">
        <v>2018</v>
      </c>
      <c r="D4023" t="s">
        <v>11598</v>
      </c>
      <c r="E4023">
        <v>49</v>
      </c>
      <c r="F4023" t="s">
        <v>26747</v>
      </c>
      <c r="G4023" t="s">
        <v>26748</v>
      </c>
      <c r="H4023" s="4" t="s">
        <v>26749</v>
      </c>
      <c r="I4023" t="s">
        <v>71</v>
      </c>
      <c r="J4023" t="s">
        <v>10782</v>
      </c>
      <c r="K4023" t="s">
        <v>26750</v>
      </c>
    </row>
    <row r="4024" spans="1:11" ht="216" x14ac:dyDescent="0.3">
      <c r="A4024" s="4" t="s">
        <v>3591</v>
      </c>
      <c r="B4024">
        <v>2</v>
      </c>
      <c r="C4024">
        <v>2018</v>
      </c>
      <c r="D4024" t="s">
        <v>217</v>
      </c>
      <c r="E4024">
        <v>19</v>
      </c>
      <c r="F4024" t="s">
        <v>26751</v>
      </c>
      <c r="G4024" t="s">
        <v>26752</v>
      </c>
      <c r="H4024" s="4" t="s">
        <v>26753</v>
      </c>
      <c r="I4024" t="s">
        <v>71</v>
      </c>
      <c r="J4024" t="s">
        <v>10782</v>
      </c>
      <c r="K4024" t="s">
        <v>26754</v>
      </c>
    </row>
    <row r="4025" spans="1:11" ht="230.4" x14ac:dyDescent="0.3">
      <c r="A4025" s="4" t="s">
        <v>7044</v>
      </c>
      <c r="B4025">
        <v>3</v>
      </c>
      <c r="C4025">
        <v>2018</v>
      </c>
      <c r="D4025" t="s">
        <v>329</v>
      </c>
      <c r="E4025">
        <v>23</v>
      </c>
      <c r="F4025" t="s">
        <v>26755</v>
      </c>
      <c r="G4025" t="s">
        <v>26756</v>
      </c>
      <c r="H4025" s="4" t="s">
        <v>26757</v>
      </c>
      <c r="I4025" t="s">
        <v>71</v>
      </c>
      <c r="J4025" t="s">
        <v>10782</v>
      </c>
      <c r="K4025" t="s">
        <v>26758</v>
      </c>
    </row>
    <row r="4026" spans="1:11" ht="201.6" x14ac:dyDescent="0.3">
      <c r="A4026" s="4" t="s">
        <v>7045</v>
      </c>
      <c r="B4026">
        <v>3</v>
      </c>
      <c r="C4026">
        <v>2018</v>
      </c>
      <c r="D4026" t="s">
        <v>329</v>
      </c>
      <c r="E4026">
        <v>44</v>
      </c>
      <c r="F4026" t="s">
        <v>26759</v>
      </c>
      <c r="G4026" t="s">
        <v>26760</v>
      </c>
      <c r="H4026" s="4" t="s">
        <v>26761</v>
      </c>
      <c r="I4026" t="s">
        <v>71</v>
      </c>
      <c r="J4026" t="s">
        <v>10782</v>
      </c>
      <c r="K4026" t="s">
        <v>26762</v>
      </c>
    </row>
    <row r="4027" spans="1:11" ht="144" x14ac:dyDescent="0.3">
      <c r="A4027" s="4" t="s">
        <v>2788</v>
      </c>
      <c r="B4027">
        <v>2</v>
      </c>
      <c r="C4027">
        <v>2018</v>
      </c>
      <c r="D4027" t="s">
        <v>1802</v>
      </c>
      <c r="E4027">
        <v>0</v>
      </c>
      <c r="F4027" t="s">
        <v>26763</v>
      </c>
      <c r="G4027" t="s">
        <v>26764</v>
      </c>
      <c r="H4027" s="4" t="s">
        <v>26765</v>
      </c>
      <c r="I4027" t="s">
        <v>71</v>
      </c>
      <c r="J4027" t="s">
        <v>10782</v>
      </c>
      <c r="K4027" t="s">
        <v>26766</v>
      </c>
    </row>
    <row r="4028" spans="1:11" ht="187.2" x14ac:dyDescent="0.3">
      <c r="A4028" s="4" t="s">
        <v>7046</v>
      </c>
      <c r="B4028">
        <v>3</v>
      </c>
      <c r="C4028">
        <v>2018</v>
      </c>
      <c r="D4028" t="s">
        <v>550</v>
      </c>
      <c r="E4028">
        <v>3</v>
      </c>
      <c r="F4028" t="s">
        <v>26767</v>
      </c>
      <c r="G4028" t="s">
        <v>26768</v>
      </c>
      <c r="H4028" s="4" t="s">
        <v>26769</v>
      </c>
      <c r="I4028" t="s">
        <v>71</v>
      </c>
      <c r="J4028" t="s">
        <v>10782</v>
      </c>
      <c r="K4028" t="s">
        <v>26770</v>
      </c>
    </row>
    <row r="4029" spans="1:11" ht="187.2" x14ac:dyDescent="0.3">
      <c r="A4029" s="4" t="s">
        <v>7047</v>
      </c>
      <c r="B4029">
        <v>3</v>
      </c>
      <c r="C4029">
        <v>2018</v>
      </c>
      <c r="D4029" t="s">
        <v>10825</v>
      </c>
      <c r="E4029">
        <v>32</v>
      </c>
      <c r="F4029" t="s">
        <v>26771</v>
      </c>
      <c r="G4029" t="s">
        <v>26772</v>
      </c>
      <c r="H4029" s="4" t="s">
        <v>26773</v>
      </c>
      <c r="I4029" t="s">
        <v>71</v>
      </c>
      <c r="J4029" t="s">
        <v>10782</v>
      </c>
      <c r="K4029" t="s">
        <v>26774</v>
      </c>
    </row>
    <row r="4030" spans="1:11" ht="187.2" x14ac:dyDescent="0.3">
      <c r="A4030" s="4" t="s">
        <v>7048</v>
      </c>
      <c r="B4030">
        <v>3</v>
      </c>
      <c r="C4030">
        <v>2018</v>
      </c>
      <c r="D4030" t="s">
        <v>147</v>
      </c>
      <c r="E4030">
        <v>40</v>
      </c>
      <c r="F4030" t="s">
        <v>26775</v>
      </c>
      <c r="G4030" t="s">
        <v>26776</v>
      </c>
      <c r="H4030" s="4" t="s">
        <v>26777</v>
      </c>
      <c r="I4030" t="s">
        <v>10823</v>
      </c>
      <c r="J4030" t="s">
        <v>10782</v>
      </c>
      <c r="K4030" t="s">
        <v>26778</v>
      </c>
    </row>
    <row r="4031" spans="1:11" ht="129.6" x14ac:dyDescent="0.3">
      <c r="A4031" s="4" t="s">
        <v>7049</v>
      </c>
      <c r="B4031">
        <v>3</v>
      </c>
      <c r="C4031">
        <v>2018</v>
      </c>
      <c r="D4031" t="s">
        <v>637</v>
      </c>
      <c r="E4031">
        <v>20</v>
      </c>
      <c r="F4031" t="s">
        <v>26779</v>
      </c>
      <c r="G4031" t="s">
        <v>26780</v>
      </c>
      <c r="H4031" s="4" t="s">
        <v>26781</v>
      </c>
    </row>
    <row r="4032" spans="1:11" ht="187.2" x14ac:dyDescent="0.3">
      <c r="A4032" s="4" t="s">
        <v>7050</v>
      </c>
      <c r="B4032">
        <v>3</v>
      </c>
      <c r="C4032">
        <v>2018</v>
      </c>
      <c r="D4032" t="s">
        <v>20744</v>
      </c>
      <c r="E4032">
        <v>13</v>
      </c>
      <c r="F4032" t="s">
        <v>26782</v>
      </c>
      <c r="G4032" t="s">
        <v>26783</v>
      </c>
      <c r="H4032" s="4" t="s">
        <v>26784</v>
      </c>
    </row>
    <row r="4033" spans="1:11" ht="129.6" x14ac:dyDescent="0.3">
      <c r="A4033" s="4" t="s">
        <v>7051</v>
      </c>
      <c r="B4033">
        <v>3</v>
      </c>
      <c r="C4033">
        <v>2018</v>
      </c>
      <c r="D4033" t="s">
        <v>17476</v>
      </c>
      <c r="E4033">
        <v>11</v>
      </c>
      <c r="F4033" t="s">
        <v>26785</v>
      </c>
      <c r="G4033" t="s">
        <v>26786</v>
      </c>
      <c r="H4033" s="4" t="s">
        <v>26787</v>
      </c>
      <c r="I4033" t="s">
        <v>71</v>
      </c>
      <c r="J4033" t="s">
        <v>10782</v>
      </c>
      <c r="K4033" t="s">
        <v>26788</v>
      </c>
    </row>
    <row r="4034" spans="1:11" ht="158.4" x14ac:dyDescent="0.3">
      <c r="A4034" s="4" t="s">
        <v>3592</v>
      </c>
      <c r="B4034">
        <v>2</v>
      </c>
      <c r="C4034">
        <v>2018</v>
      </c>
      <c r="D4034" t="s">
        <v>1525</v>
      </c>
      <c r="E4034">
        <v>6</v>
      </c>
      <c r="F4034" t="s">
        <v>26789</v>
      </c>
      <c r="G4034" t="s">
        <v>26790</v>
      </c>
      <c r="H4034" s="4" t="s">
        <v>26791</v>
      </c>
      <c r="I4034" t="s">
        <v>71</v>
      </c>
      <c r="J4034" t="s">
        <v>10782</v>
      </c>
      <c r="K4034" t="s">
        <v>26792</v>
      </c>
    </row>
    <row r="4035" spans="1:11" ht="302.39999999999998" x14ac:dyDescent="0.3">
      <c r="A4035" s="4" t="s">
        <v>7052</v>
      </c>
      <c r="B4035">
        <v>3</v>
      </c>
      <c r="C4035">
        <v>2018</v>
      </c>
      <c r="D4035" t="s">
        <v>16937</v>
      </c>
      <c r="E4035">
        <v>9</v>
      </c>
      <c r="F4035" t="s">
        <v>26793</v>
      </c>
      <c r="G4035" t="s">
        <v>26794</v>
      </c>
      <c r="H4035" s="4" t="s">
        <v>26795</v>
      </c>
      <c r="I4035" t="s">
        <v>71</v>
      </c>
      <c r="J4035" t="s">
        <v>10782</v>
      </c>
      <c r="K4035" t="s">
        <v>26796</v>
      </c>
    </row>
    <row r="4036" spans="1:11" ht="201.6" x14ac:dyDescent="0.3">
      <c r="A4036" s="4" t="s">
        <v>7053</v>
      </c>
      <c r="B4036">
        <v>3</v>
      </c>
      <c r="C4036">
        <v>2018</v>
      </c>
      <c r="D4036" t="s">
        <v>1175</v>
      </c>
      <c r="E4036">
        <v>23</v>
      </c>
      <c r="F4036" t="s">
        <v>26797</v>
      </c>
      <c r="G4036" t="s">
        <v>26798</v>
      </c>
      <c r="H4036" s="4" t="s">
        <v>26799</v>
      </c>
      <c r="I4036" t="s">
        <v>71</v>
      </c>
      <c r="J4036" t="s">
        <v>10782</v>
      </c>
      <c r="K4036" t="s">
        <v>26800</v>
      </c>
    </row>
    <row r="4037" spans="1:11" ht="144" x14ac:dyDescent="0.3">
      <c r="A4037" s="4" t="s">
        <v>2789</v>
      </c>
      <c r="B4037">
        <v>2</v>
      </c>
      <c r="C4037">
        <v>2018</v>
      </c>
      <c r="D4037" t="s">
        <v>2819</v>
      </c>
      <c r="E4037">
        <v>12</v>
      </c>
      <c r="F4037" t="s">
        <v>26801</v>
      </c>
      <c r="G4037" t="s">
        <v>26802</v>
      </c>
      <c r="H4037" s="4" t="s">
        <v>26803</v>
      </c>
      <c r="I4037" t="s">
        <v>71</v>
      </c>
      <c r="J4037" t="s">
        <v>10782</v>
      </c>
      <c r="K4037" t="s">
        <v>26804</v>
      </c>
    </row>
    <row r="4038" spans="1:11" ht="144" x14ac:dyDescent="0.3">
      <c r="A4038" s="4" t="s">
        <v>7054</v>
      </c>
      <c r="B4038">
        <v>3</v>
      </c>
      <c r="C4038">
        <v>2018</v>
      </c>
      <c r="D4038" t="s">
        <v>21640</v>
      </c>
      <c r="E4038">
        <v>3</v>
      </c>
      <c r="F4038" t="s">
        <v>26805</v>
      </c>
      <c r="G4038" t="s">
        <v>26806</v>
      </c>
      <c r="H4038" s="4" t="s">
        <v>26807</v>
      </c>
      <c r="I4038" t="s">
        <v>71</v>
      </c>
      <c r="J4038" t="s">
        <v>10782</v>
      </c>
      <c r="K4038" t="s">
        <v>26808</v>
      </c>
    </row>
    <row r="4039" spans="1:11" ht="187.2" x14ac:dyDescent="0.3">
      <c r="A4039" s="4" t="s">
        <v>7055</v>
      </c>
      <c r="B4039">
        <v>3</v>
      </c>
      <c r="C4039">
        <v>2018</v>
      </c>
      <c r="D4039" t="s">
        <v>550</v>
      </c>
      <c r="E4039">
        <v>10</v>
      </c>
      <c r="F4039" t="s">
        <v>26809</v>
      </c>
      <c r="G4039" t="s">
        <v>26810</v>
      </c>
      <c r="H4039" s="4" t="s">
        <v>26811</v>
      </c>
      <c r="I4039" t="s">
        <v>71</v>
      </c>
      <c r="J4039" t="s">
        <v>10782</v>
      </c>
      <c r="K4039" t="s">
        <v>26812</v>
      </c>
    </row>
    <row r="4040" spans="1:11" ht="72" x14ac:dyDescent="0.3">
      <c r="A4040" s="4" t="s">
        <v>7056</v>
      </c>
      <c r="B4040">
        <v>3</v>
      </c>
      <c r="C4040">
        <v>2018</v>
      </c>
      <c r="D4040" t="s">
        <v>1912</v>
      </c>
      <c r="E4040">
        <v>29</v>
      </c>
      <c r="F4040" t="s">
        <v>26813</v>
      </c>
      <c r="G4040" t="s">
        <v>26814</v>
      </c>
      <c r="H4040" s="4" t="s">
        <v>26815</v>
      </c>
    </row>
    <row r="4041" spans="1:11" ht="158.4" x14ac:dyDescent="0.3">
      <c r="A4041" s="4" t="s">
        <v>7057</v>
      </c>
      <c r="B4041">
        <v>3</v>
      </c>
      <c r="C4041">
        <v>2018</v>
      </c>
      <c r="D4041" t="s">
        <v>514</v>
      </c>
      <c r="E4041">
        <v>44</v>
      </c>
      <c r="F4041" t="s">
        <v>26816</v>
      </c>
      <c r="G4041" t="s">
        <v>26817</v>
      </c>
      <c r="H4041" s="4" t="s">
        <v>26818</v>
      </c>
      <c r="I4041" t="s">
        <v>71</v>
      </c>
      <c r="J4041" t="s">
        <v>10782</v>
      </c>
      <c r="K4041" t="s">
        <v>26819</v>
      </c>
    </row>
    <row r="4042" spans="1:11" ht="259.2" x14ac:dyDescent="0.3">
      <c r="A4042" s="4" t="s">
        <v>7058</v>
      </c>
      <c r="B4042">
        <v>3</v>
      </c>
      <c r="C4042">
        <v>2018</v>
      </c>
      <c r="D4042" t="s">
        <v>11728</v>
      </c>
      <c r="E4042">
        <v>7</v>
      </c>
      <c r="F4042" t="s">
        <v>26820</v>
      </c>
      <c r="G4042" t="s">
        <v>26821</v>
      </c>
      <c r="H4042" s="4" t="s">
        <v>26822</v>
      </c>
    </row>
    <row r="4043" spans="1:11" ht="201.6" x14ac:dyDescent="0.3">
      <c r="A4043" s="4" t="s">
        <v>7059</v>
      </c>
      <c r="B4043">
        <v>3</v>
      </c>
      <c r="C4043">
        <v>2018</v>
      </c>
      <c r="D4043" t="s">
        <v>1936</v>
      </c>
      <c r="E4043">
        <v>90</v>
      </c>
      <c r="F4043" t="s">
        <v>26823</v>
      </c>
      <c r="G4043" t="s">
        <v>26824</v>
      </c>
      <c r="H4043" s="4" t="s">
        <v>26825</v>
      </c>
      <c r="I4043" t="s">
        <v>71</v>
      </c>
      <c r="J4043" t="s">
        <v>10782</v>
      </c>
      <c r="K4043" t="s">
        <v>26826</v>
      </c>
    </row>
    <row r="4044" spans="1:11" ht="144" x14ac:dyDescent="0.3">
      <c r="A4044" s="4" t="s">
        <v>7060</v>
      </c>
      <c r="B4044">
        <v>3</v>
      </c>
      <c r="C4044">
        <v>2018</v>
      </c>
      <c r="D4044" t="s">
        <v>18825</v>
      </c>
      <c r="E4044">
        <v>20</v>
      </c>
      <c r="F4044" t="s">
        <v>26827</v>
      </c>
      <c r="G4044" t="s">
        <v>26828</v>
      </c>
      <c r="H4044" s="4" t="s">
        <v>26829</v>
      </c>
      <c r="I4044" t="s">
        <v>71</v>
      </c>
      <c r="J4044" t="s">
        <v>10782</v>
      </c>
      <c r="K4044" t="s">
        <v>26830</v>
      </c>
    </row>
    <row r="4045" spans="1:11" ht="115.2" x14ac:dyDescent="0.3">
      <c r="A4045" s="4" t="s">
        <v>7061</v>
      </c>
      <c r="B4045">
        <v>3</v>
      </c>
      <c r="C4045">
        <v>2018</v>
      </c>
      <c r="D4045" t="s">
        <v>202</v>
      </c>
      <c r="E4045">
        <v>64</v>
      </c>
      <c r="F4045" t="s">
        <v>26831</v>
      </c>
      <c r="G4045" t="s">
        <v>26832</v>
      </c>
      <c r="H4045" s="4" t="s">
        <v>26833</v>
      </c>
      <c r="I4045" t="s">
        <v>71</v>
      </c>
      <c r="J4045" t="s">
        <v>10782</v>
      </c>
      <c r="K4045" t="s">
        <v>26834</v>
      </c>
    </row>
    <row r="4046" spans="1:11" ht="172.8" x14ac:dyDescent="0.3">
      <c r="A4046" s="4" t="s">
        <v>7062</v>
      </c>
      <c r="B4046">
        <v>3</v>
      </c>
      <c r="C4046">
        <v>2018</v>
      </c>
      <c r="D4046" t="s">
        <v>329</v>
      </c>
      <c r="E4046">
        <v>45</v>
      </c>
      <c r="F4046" t="s">
        <v>26835</v>
      </c>
      <c r="G4046" t="s">
        <v>26836</v>
      </c>
      <c r="H4046" s="4" t="s">
        <v>26837</v>
      </c>
      <c r="I4046" t="s">
        <v>71</v>
      </c>
      <c r="J4046" t="s">
        <v>10782</v>
      </c>
      <c r="K4046" t="s">
        <v>26838</v>
      </c>
    </row>
    <row r="4047" spans="1:11" ht="144" x14ac:dyDescent="0.3">
      <c r="A4047" s="4" t="s">
        <v>7063</v>
      </c>
      <c r="B4047">
        <v>3</v>
      </c>
      <c r="C4047">
        <v>2018</v>
      </c>
      <c r="D4047" t="s">
        <v>277</v>
      </c>
      <c r="E4047">
        <v>74</v>
      </c>
      <c r="F4047" t="s">
        <v>26839</v>
      </c>
      <c r="G4047" t="s">
        <v>26840</v>
      </c>
      <c r="H4047" s="4" t="s">
        <v>26841</v>
      </c>
      <c r="I4047" t="s">
        <v>71</v>
      </c>
      <c r="J4047" t="s">
        <v>10782</v>
      </c>
      <c r="K4047" t="s">
        <v>26842</v>
      </c>
    </row>
    <row r="4048" spans="1:11" ht="115.2" x14ac:dyDescent="0.3">
      <c r="A4048" s="4" t="s">
        <v>7064</v>
      </c>
      <c r="B4048">
        <v>3</v>
      </c>
      <c r="C4048">
        <v>2018</v>
      </c>
      <c r="D4048" t="s">
        <v>80</v>
      </c>
      <c r="E4048">
        <v>48</v>
      </c>
      <c r="F4048" t="s">
        <v>26843</v>
      </c>
      <c r="G4048" t="s">
        <v>26844</v>
      </c>
      <c r="H4048" s="4" t="s">
        <v>26845</v>
      </c>
    </row>
    <row r="4049" spans="1:11" ht="158.4" x14ac:dyDescent="0.3">
      <c r="A4049" s="4" t="s">
        <v>7065</v>
      </c>
      <c r="B4049">
        <v>3</v>
      </c>
      <c r="C4049">
        <v>2018</v>
      </c>
      <c r="D4049" t="s">
        <v>18415</v>
      </c>
      <c r="E4049">
        <v>0</v>
      </c>
      <c r="G4049" t="s">
        <v>26846</v>
      </c>
      <c r="H4049" s="4" t="s">
        <v>26847</v>
      </c>
      <c r="I4049" s="4" t="s">
        <v>71</v>
      </c>
      <c r="J4049" t="s">
        <v>10782</v>
      </c>
      <c r="K4049" t="s">
        <v>26848</v>
      </c>
    </row>
    <row r="4050" spans="1:11" ht="187.2" x14ac:dyDescent="0.3">
      <c r="A4050" s="4" t="s">
        <v>7066</v>
      </c>
      <c r="B4050">
        <v>3</v>
      </c>
      <c r="C4050">
        <v>2018</v>
      </c>
      <c r="D4050" t="s">
        <v>2585</v>
      </c>
      <c r="E4050">
        <v>7</v>
      </c>
      <c r="F4050" t="s">
        <v>26849</v>
      </c>
      <c r="G4050" t="s">
        <v>26850</v>
      </c>
      <c r="H4050" s="4" t="s">
        <v>26851</v>
      </c>
      <c r="I4050" t="s">
        <v>71</v>
      </c>
      <c r="J4050" t="s">
        <v>10782</v>
      </c>
      <c r="K4050" t="s">
        <v>26852</v>
      </c>
    </row>
    <row r="4051" spans="1:11" ht="144" x14ac:dyDescent="0.3">
      <c r="A4051" s="4" t="s">
        <v>7067</v>
      </c>
      <c r="B4051">
        <v>3</v>
      </c>
      <c r="C4051">
        <v>2018</v>
      </c>
      <c r="D4051" t="s">
        <v>2853</v>
      </c>
      <c r="E4051">
        <v>1</v>
      </c>
      <c r="F4051" t="s">
        <v>26853</v>
      </c>
      <c r="G4051" t="s">
        <v>26854</v>
      </c>
      <c r="H4051" s="4" t="s">
        <v>26855</v>
      </c>
      <c r="I4051" t="s">
        <v>71</v>
      </c>
      <c r="J4051" t="s">
        <v>10782</v>
      </c>
      <c r="K4051" t="s">
        <v>26856</v>
      </c>
    </row>
    <row r="4052" spans="1:11" ht="158.4" x14ac:dyDescent="0.3">
      <c r="A4052" s="4" t="s">
        <v>7068</v>
      </c>
      <c r="B4052">
        <v>3</v>
      </c>
      <c r="C4052">
        <v>2018</v>
      </c>
      <c r="D4052" t="s">
        <v>10057</v>
      </c>
      <c r="E4052">
        <v>18</v>
      </c>
      <c r="F4052" t="s">
        <v>26857</v>
      </c>
      <c r="G4052" t="s">
        <v>26858</v>
      </c>
      <c r="H4052" s="4" t="s">
        <v>26859</v>
      </c>
    </row>
    <row r="4053" spans="1:11" ht="187.2" x14ac:dyDescent="0.3">
      <c r="A4053" s="4" t="s">
        <v>1596</v>
      </c>
      <c r="B4053">
        <v>1</v>
      </c>
      <c r="C4053">
        <v>2018</v>
      </c>
      <c r="D4053" t="s">
        <v>1525</v>
      </c>
      <c r="E4053">
        <v>73</v>
      </c>
      <c r="F4053" t="s">
        <v>26860</v>
      </c>
      <c r="G4053" t="s">
        <v>26861</v>
      </c>
      <c r="H4053" s="4" t="s">
        <v>26862</v>
      </c>
      <c r="I4053" t="s">
        <v>71</v>
      </c>
      <c r="J4053" t="s">
        <v>10782</v>
      </c>
      <c r="K4053" t="s">
        <v>26863</v>
      </c>
    </row>
    <row r="4054" spans="1:11" ht="187.2" x14ac:dyDescent="0.3">
      <c r="A4054" s="4" t="s">
        <v>7069</v>
      </c>
      <c r="B4054">
        <v>3</v>
      </c>
      <c r="C4054">
        <v>2018</v>
      </c>
      <c r="D4054" t="s">
        <v>11164</v>
      </c>
      <c r="E4054">
        <v>35</v>
      </c>
      <c r="F4054" t="s">
        <v>26864</v>
      </c>
      <c r="G4054" t="s">
        <v>26865</v>
      </c>
      <c r="H4054" s="4" t="s">
        <v>26866</v>
      </c>
      <c r="I4054" t="s">
        <v>71</v>
      </c>
      <c r="J4054" t="s">
        <v>10782</v>
      </c>
      <c r="K4054" t="s">
        <v>26867</v>
      </c>
    </row>
    <row r="4055" spans="1:11" ht="216" x14ac:dyDescent="0.3">
      <c r="A4055" s="4" t="s">
        <v>3593</v>
      </c>
      <c r="B4055">
        <v>2</v>
      </c>
      <c r="C4055">
        <v>2018</v>
      </c>
      <c r="D4055" t="s">
        <v>1570</v>
      </c>
      <c r="E4055">
        <v>28</v>
      </c>
      <c r="F4055" t="s">
        <v>26868</v>
      </c>
      <c r="G4055" t="s">
        <v>26869</v>
      </c>
      <c r="H4055" s="4" t="s">
        <v>26870</v>
      </c>
      <c r="I4055" t="s">
        <v>71</v>
      </c>
      <c r="J4055" t="s">
        <v>10782</v>
      </c>
      <c r="K4055" t="s">
        <v>26871</v>
      </c>
    </row>
    <row r="4056" spans="1:11" ht="100.8" x14ac:dyDescent="0.3">
      <c r="A4056" s="4" t="s">
        <v>7070</v>
      </c>
      <c r="B4056">
        <v>3</v>
      </c>
      <c r="C4056">
        <v>2018</v>
      </c>
      <c r="D4056" t="s">
        <v>19527</v>
      </c>
      <c r="E4056">
        <v>33</v>
      </c>
      <c r="F4056" t="s">
        <v>26872</v>
      </c>
      <c r="G4056" t="s">
        <v>26873</v>
      </c>
      <c r="H4056" s="4" t="s">
        <v>26874</v>
      </c>
    </row>
    <row r="4057" spans="1:11" ht="158.4" x14ac:dyDescent="0.3">
      <c r="A4057" s="4" t="s">
        <v>7071</v>
      </c>
      <c r="B4057">
        <v>3</v>
      </c>
      <c r="C4057">
        <v>2018</v>
      </c>
      <c r="D4057" t="s">
        <v>550</v>
      </c>
      <c r="E4057">
        <v>3</v>
      </c>
      <c r="F4057" t="s">
        <v>26875</v>
      </c>
      <c r="G4057" t="s">
        <v>26876</v>
      </c>
      <c r="H4057" s="4" t="s">
        <v>26877</v>
      </c>
      <c r="I4057" t="s">
        <v>71</v>
      </c>
      <c r="J4057" t="s">
        <v>10782</v>
      </c>
      <c r="K4057" t="s">
        <v>26878</v>
      </c>
    </row>
    <row r="4058" spans="1:11" ht="216" x14ac:dyDescent="0.3">
      <c r="A4058" s="4" t="s">
        <v>7072</v>
      </c>
      <c r="B4058">
        <v>3</v>
      </c>
      <c r="C4058">
        <v>2018</v>
      </c>
      <c r="D4058" t="s">
        <v>1759</v>
      </c>
      <c r="E4058">
        <v>17</v>
      </c>
      <c r="F4058" t="s">
        <v>26879</v>
      </c>
      <c r="G4058" t="s">
        <v>26880</v>
      </c>
      <c r="H4058" s="4" t="s">
        <v>26881</v>
      </c>
      <c r="I4058" t="s">
        <v>71</v>
      </c>
      <c r="J4058" t="s">
        <v>10782</v>
      </c>
      <c r="K4058" t="s">
        <v>26882</v>
      </c>
    </row>
    <row r="4059" spans="1:11" ht="57.6" x14ac:dyDescent="0.3">
      <c r="A4059" s="4" t="s">
        <v>1603</v>
      </c>
      <c r="B4059">
        <v>1</v>
      </c>
      <c r="C4059">
        <v>2018</v>
      </c>
      <c r="D4059" t="s">
        <v>799</v>
      </c>
      <c r="E4059">
        <v>34</v>
      </c>
      <c r="F4059" t="s">
        <v>26883</v>
      </c>
      <c r="G4059" t="s">
        <v>26884</v>
      </c>
      <c r="H4059" s="4" t="s">
        <v>26885</v>
      </c>
    </row>
    <row r="4060" spans="1:11" ht="144" x14ac:dyDescent="0.3">
      <c r="A4060" s="4" t="s">
        <v>7073</v>
      </c>
      <c r="B4060">
        <v>3</v>
      </c>
      <c r="C4060">
        <v>2018</v>
      </c>
      <c r="D4060" t="s">
        <v>277</v>
      </c>
      <c r="E4060">
        <v>74</v>
      </c>
      <c r="F4060" t="s">
        <v>26886</v>
      </c>
      <c r="G4060" t="s">
        <v>26887</v>
      </c>
      <c r="H4060" s="4" t="s">
        <v>26888</v>
      </c>
      <c r="I4060" t="s">
        <v>71</v>
      </c>
      <c r="J4060" t="s">
        <v>10782</v>
      </c>
      <c r="K4060" t="s">
        <v>26889</v>
      </c>
    </row>
    <row r="4061" spans="1:11" ht="158.4" x14ac:dyDescent="0.3">
      <c r="A4061" s="4" t="s">
        <v>7074</v>
      </c>
      <c r="B4061">
        <v>3</v>
      </c>
      <c r="C4061">
        <v>2018</v>
      </c>
      <c r="D4061" t="s">
        <v>19186</v>
      </c>
      <c r="E4061">
        <v>22</v>
      </c>
      <c r="F4061" t="s">
        <v>26890</v>
      </c>
      <c r="G4061" t="s">
        <v>26891</v>
      </c>
      <c r="H4061" s="4" t="s">
        <v>26892</v>
      </c>
      <c r="I4061" t="s">
        <v>71</v>
      </c>
      <c r="J4061" t="s">
        <v>10782</v>
      </c>
      <c r="K4061" t="s">
        <v>26893</v>
      </c>
    </row>
    <row r="4062" spans="1:11" ht="28.8" x14ac:dyDescent="0.3">
      <c r="A4062" s="4" t="s">
        <v>7075</v>
      </c>
      <c r="B4062">
        <v>3</v>
      </c>
      <c r="C4062">
        <v>2018</v>
      </c>
      <c r="D4062" t="s">
        <v>24624</v>
      </c>
      <c r="E4062">
        <v>1</v>
      </c>
      <c r="F4062" t="s">
        <v>26894</v>
      </c>
      <c r="G4062" t="s">
        <v>26895</v>
      </c>
    </row>
    <row r="4063" spans="1:11" ht="244.8" x14ac:dyDescent="0.3">
      <c r="A4063" s="4" t="s">
        <v>7076</v>
      </c>
      <c r="B4063">
        <v>3</v>
      </c>
      <c r="C4063">
        <v>2018</v>
      </c>
      <c r="D4063" t="s">
        <v>2375</v>
      </c>
      <c r="E4063">
        <v>6</v>
      </c>
      <c r="F4063" t="s">
        <v>26896</v>
      </c>
      <c r="G4063" t="s">
        <v>26897</v>
      </c>
      <c r="H4063" s="4" t="s">
        <v>26898</v>
      </c>
      <c r="I4063" t="s">
        <v>71</v>
      </c>
      <c r="J4063" t="s">
        <v>10782</v>
      </c>
      <c r="K4063" t="s">
        <v>26899</v>
      </c>
    </row>
    <row r="4064" spans="1:11" ht="129.6" x14ac:dyDescent="0.3">
      <c r="A4064" s="4" t="s">
        <v>7077</v>
      </c>
      <c r="B4064">
        <v>3</v>
      </c>
      <c r="C4064">
        <v>2018</v>
      </c>
      <c r="D4064" t="s">
        <v>217</v>
      </c>
      <c r="E4064">
        <v>40</v>
      </c>
      <c r="F4064" t="s">
        <v>26900</v>
      </c>
      <c r="G4064" t="s">
        <v>26901</v>
      </c>
      <c r="H4064" s="4" t="s">
        <v>26902</v>
      </c>
    </row>
    <row r="4065" spans="1:11" ht="144" x14ac:dyDescent="0.3">
      <c r="A4065" s="4" t="s">
        <v>7078</v>
      </c>
      <c r="B4065">
        <v>3</v>
      </c>
      <c r="C4065">
        <v>2018</v>
      </c>
      <c r="D4065" t="s">
        <v>11235</v>
      </c>
      <c r="E4065">
        <v>22</v>
      </c>
      <c r="F4065" t="s">
        <v>26903</v>
      </c>
      <c r="G4065" t="s">
        <v>26904</v>
      </c>
      <c r="H4065" s="4" t="s">
        <v>26905</v>
      </c>
      <c r="I4065" t="s">
        <v>71</v>
      </c>
      <c r="J4065" t="s">
        <v>10782</v>
      </c>
      <c r="K4065" t="s">
        <v>26906</v>
      </c>
    </row>
    <row r="4066" spans="1:11" ht="100.8" x14ac:dyDescent="0.3">
      <c r="A4066" s="4" t="s">
        <v>7079</v>
      </c>
      <c r="B4066">
        <v>3</v>
      </c>
      <c r="C4066">
        <v>2018</v>
      </c>
      <c r="D4066" t="s">
        <v>2819</v>
      </c>
      <c r="E4066">
        <v>14</v>
      </c>
      <c r="F4066" t="s">
        <v>26907</v>
      </c>
      <c r="G4066" t="s">
        <v>26908</v>
      </c>
      <c r="H4066" s="4" t="s">
        <v>26909</v>
      </c>
      <c r="I4066" t="s">
        <v>71</v>
      </c>
      <c r="J4066" t="s">
        <v>10782</v>
      </c>
      <c r="K4066" t="s">
        <v>26910</v>
      </c>
    </row>
    <row r="4067" spans="1:11" ht="230.4" x14ac:dyDescent="0.3">
      <c r="A4067" s="4" t="s">
        <v>7080</v>
      </c>
      <c r="B4067">
        <v>3</v>
      </c>
      <c r="C4067">
        <v>2018</v>
      </c>
      <c r="D4067" t="s">
        <v>11168</v>
      </c>
      <c r="E4067">
        <v>0</v>
      </c>
      <c r="F4067" t="s">
        <v>26911</v>
      </c>
      <c r="G4067" t="s">
        <v>26912</v>
      </c>
      <c r="H4067" s="4" t="s">
        <v>26913</v>
      </c>
      <c r="I4067" t="s">
        <v>71</v>
      </c>
      <c r="J4067" t="s">
        <v>10782</v>
      </c>
      <c r="K4067" t="s">
        <v>26914</v>
      </c>
    </row>
    <row r="4068" spans="1:11" ht="115.2" x14ac:dyDescent="0.3">
      <c r="A4068" s="4" t="s">
        <v>3369</v>
      </c>
      <c r="B4068">
        <v>1</v>
      </c>
      <c r="C4068">
        <v>2018</v>
      </c>
      <c r="D4068" t="s">
        <v>550</v>
      </c>
      <c r="E4068">
        <v>13</v>
      </c>
      <c r="F4068" t="s">
        <v>26915</v>
      </c>
      <c r="G4068" t="s">
        <v>26916</v>
      </c>
      <c r="H4068" s="4" t="s">
        <v>26917</v>
      </c>
    </row>
    <row r="4069" spans="1:11" ht="201.6" x14ac:dyDescent="0.3">
      <c r="A4069" s="4" t="s">
        <v>7081</v>
      </c>
      <c r="B4069">
        <v>3</v>
      </c>
      <c r="C4069">
        <v>2018</v>
      </c>
      <c r="D4069" t="s">
        <v>2375</v>
      </c>
      <c r="E4069">
        <v>31</v>
      </c>
      <c r="F4069" t="s">
        <v>26918</v>
      </c>
      <c r="G4069" t="s">
        <v>26919</v>
      </c>
      <c r="H4069" s="4" t="s">
        <v>26920</v>
      </c>
      <c r="I4069" t="s">
        <v>71</v>
      </c>
      <c r="J4069" t="s">
        <v>10782</v>
      </c>
      <c r="K4069" t="s">
        <v>26921</v>
      </c>
    </row>
    <row r="4070" spans="1:11" ht="230.4" x14ac:dyDescent="0.3">
      <c r="A4070" s="4" t="s">
        <v>7082</v>
      </c>
      <c r="B4070">
        <v>3</v>
      </c>
      <c r="C4070">
        <v>2018</v>
      </c>
      <c r="D4070" t="s">
        <v>528</v>
      </c>
      <c r="E4070">
        <v>14</v>
      </c>
      <c r="F4070" t="s">
        <v>26922</v>
      </c>
      <c r="G4070" t="s">
        <v>26923</v>
      </c>
      <c r="H4070" s="4" t="s">
        <v>26924</v>
      </c>
      <c r="I4070" t="s">
        <v>71</v>
      </c>
      <c r="J4070" t="s">
        <v>10782</v>
      </c>
      <c r="K4070" t="s">
        <v>26925</v>
      </c>
    </row>
    <row r="4071" spans="1:11" ht="129.6" x14ac:dyDescent="0.3">
      <c r="A4071" s="4" t="s">
        <v>7083</v>
      </c>
      <c r="B4071">
        <v>3</v>
      </c>
      <c r="C4071">
        <v>2018</v>
      </c>
      <c r="D4071" t="s">
        <v>679</v>
      </c>
      <c r="E4071">
        <v>23</v>
      </c>
      <c r="F4071" t="s">
        <v>26926</v>
      </c>
      <c r="G4071" t="s">
        <v>26927</v>
      </c>
      <c r="H4071" s="4" t="s">
        <v>26928</v>
      </c>
      <c r="I4071" t="s">
        <v>71</v>
      </c>
      <c r="J4071" t="s">
        <v>10782</v>
      </c>
      <c r="K4071" t="s">
        <v>26929</v>
      </c>
    </row>
    <row r="4072" spans="1:11" ht="172.8" x14ac:dyDescent="0.3">
      <c r="A4072" s="4" t="s">
        <v>7084</v>
      </c>
      <c r="B4072">
        <v>3</v>
      </c>
      <c r="C4072">
        <v>2018</v>
      </c>
      <c r="D4072" t="s">
        <v>10924</v>
      </c>
      <c r="E4072">
        <v>13</v>
      </c>
      <c r="F4072" t="s">
        <v>26930</v>
      </c>
      <c r="G4072" t="s">
        <v>26931</v>
      </c>
      <c r="H4072" s="4" t="s">
        <v>26932</v>
      </c>
      <c r="I4072" t="s">
        <v>71</v>
      </c>
      <c r="J4072" t="s">
        <v>10782</v>
      </c>
      <c r="K4072" t="s">
        <v>26933</v>
      </c>
    </row>
    <row r="4073" spans="1:11" ht="115.2" x14ac:dyDescent="0.3">
      <c r="A4073" s="4" t="s">
        <v>7085</v>
      </c>
      <c r="B4073">
        <v>3</v>
      </c>
      <c r="C4073">
        <v>2018</v>
      </c>
      <c r="D4073" t="s">
        <v>14703</v>
      </c>
      <c r="E4073">
        <v>11</v>
      </c>
      <c r="F4073" t="s">
        <v>26934</v>
      </c>
      <c r="G4073" t="s">
        <v>26935</v>
      </c>
      <c r="H4073" s="4" t="s">
        <v>26936</v>
      </c>
    </row>
    <row r="4074" spans="1:11" ht="158.4" x14ac:dyDescent="0.3">
      <c r="A4074" s="4" t="s">
        <v>7086</v>
      </c>
      <c r="B4074">
        <v>3</v>
      </c>
      <c r="C4074">
        <v>2018</v>
      </c>
      <c r="D4074" t="s">
        <v>202</v>
      </c>
      <c r="E4074">
        <v>58</v>
      </c>
      <c r="F4074" t="s">
        <v>26937</v>
      </c>
      <c r="G4074" t="s">
        <v>26938</v>
      </c>
      <c r="H4074" s="4" t="s">
        <v>26939</v>
      </c>
      <c r="I4074" t="s">
        <v>71</v>
      </c>
      <c r="J4074" t="s">
        <v>10782</v>
      </c>
      <c r="K4074" t="s">
        <v>26940</v>
      </c>
    </row>
    <row r="4075" spans="1:11" ht="115.2" x14ac:dyDescent="0.3">
      <c r="A4075" s="4" t="s">
        <v>7087</v>
      </c>
      <c r="B4075">
        <v>3</v>
      </c>
      <c r="C4075">
        <v>2018</v>
      </c>
      <c r="D4075" t="s">
        <v>23776</v>
      </c>
      <c r="E4075">
        <v>88</v>
      </c>
      <c r="F4075" t="s">
        <v>26941</v>
      </c>
      <c r="G4075" t="s">
        <v>26942</v>
      </c>
      <c r="H4075" s="4" t="s">
        <v>26943</v>
      </c>
      <c r="I4075" t="s">
        <v>71</v>
      </c>
      <c r="J4075" t="s">
        <v>10782</v>
      </c>
      <c r="K4075" t="s">
        <v>26944</v>
      </c>
    </row>
    <row r="4076" spans="1:11" ht="115.2" x14ac:dyDescent="0.3">
      <c r="A4076" s="4" t="s">
        <v>7088</v>
      </c>
      <c r="B4076">
        <v>3</v>
      </c>
      <c r="C4076">
        <v>2018</v>
      </c>
      <c r="D4076" t="s">
        <v>1936</v>
      </c>
      <c r="E4076">
        <v>46</v>
      </c>
      <c r="F4076" t="s">
        <v>26945</v>
      </c>
      <c r="G4076" t="s">
        <v>26946</v>
      </c>
      <c r="H4076" s="4" t="s">
        <v>26947</v>
      </c>
      <c r="I4076" t="s">
        <v>71</v>
      </c>
      <c r="J4076" t="s">
        <v>10782</v>
      </c>
      <c r="K4076" t="s">
        <v>26948</v>
      </c>
    </row>
    <row r="4077" spans="1:11" ht="187.2" x14ac:dyDescent="0.3">
      <c r="A4077" s="4" t="s">
        <v>7089</v>
      </c>
      <c r="B4077">
        <v>3</v>
      </c>
      <c r="C4077">
        <v>2018</v>
      </c>
      <c r="D4077" t="s">
        <v>799</v>
      </c>
      <c r="E4077">
        <v>15</v>
      </c>
      <c r="F4077" t="s">
        <v>26949</v>
      </c>
      <c r="G4077" t="s">
        <v>26950</v>
      </c>
      <c r="H4077" s="4" t="s">
        <v>26951</v>
      </c>
    </row>
    <row r="4078" spans="1:11" ht="187.2" x14ac:dyDescent="0.3">
      <c r="A4078" s="4" t="s">
        <v>7090</v>
      </c>
      <c r="B4078">
        <v>3</v>
      </c>
      <c r="C4078">
        <v>2018</v>
      </c>
      <c r="D4078" t="s">
        <v>26952</v>
      </c>
      <c r="E4078">
        <v>16</v>
      </c>
      <c r="F4078" t="s">
        <v>26953</v>
      </c>
      <c r="G4078" t="s">
        <v>26954</v>
      </c>
      <c r="H4078" s="4" t="s">
        <v>26955</v>
      </c>
      <c r="I4078" t="s">
        <v>71</v>
      </c>
      <c r="J4078" t="s">
        <v>10782</v>
      </c>
      <c r="K4078" t="s">
        <v>26956</v>
      </c>
    </row>
    <row r="4079" spans="1:11" ht="187.2" x14ac:dyDescent="0.3">
      <c r="A4079" s="4" t="s">
        <v>7091</v>
      </c>
      <c r="B4079">
        <v>3</v>
      </c>
      <c r="C4079">
        <v>2018</v>
      </c>
      <c r="D4079" t="s">
        <v>1175</v>
      </c>
      <c r="E4079">
        <v>8</v>
      </c>
      <c r="F4079" t="s">
        <v>26957</v>
      </c>
      <c r="G4079" t="s">
        <v>26958</v>
      </c>
      <c r="H4079" s="4" t="s">
        <v>26959</v>
      </c>
    </row>
    <row r="4080" spans="1:11" ht="230.4" x14ac:dyDescent="0.3">
      <c r="A4080" s="4" t="s">
        <v>7092</v>
      </c>
      <c r="B4080">
        <v>3</v>
      </c>
      <c r="C4080">
        <v>2018</v>
      </c>
      <c r="D4080" t="s">
        <v>637</v>
      </c>
      <c r="E4080">
        <v>152</v>
      </c>
      <c r="F4080" t="s">
        <v>26960</v>
      </c>
      <c r="G4080" t="s">
        <v>26961</v>
      </c>
      <c r="H4080" s="4" t="s">
        <v>26962</v>
      </c>
      <c r="I4080" t="s">
        <v>71</v>
      </c>
      <c r="J4080" t="s">
        <v>10782</v>
      </c>
      <c r="K4080" t="s">
        <v>26963</v>
      </c>
    </row>
    <row r="4081" spans="1:11" ht="172.8" x14ac:dyDescent="0.3">
      <c r="A4081" s="4" t="s">
        <v>7093</v>
      </c>
      <c r="B4081">
        <v>3</v>
      </c>
      <c r="C4081">
        <v>2018</v>
      </c>
      <c r="D4081" t="s">
        <v>1688</v>
      </c>
      <c r="E4081">
        <v>9</v>
      </c>
      <c r="F4081" t="s">
        <v>26964</v>
      </c>
      <c r="G4081" t="s">
        <v>26965</v>
      </c>
      <c r="H4081" s="4" t="s">
        <v>26966</v>
      </c>
    </row>
    <row r="4082" spans="1:11" ht="172.8" x14ac:dyDescent="0.3">
      <c r="A4082" s="4" t="s">
        <v>7094</v>
      </c>
      <c r="B4082">
        <v>3</v>
      </c>
      <c r="C4082">
        <v>2018</v>
      </c>
      <c r="D4082" t="s">
        <v>1936</v>
      </c>
      <c r="E4082">
        <v>121</v>
      </c>
      <c r="F4082" t="s">
        <v>26967</v>
      </c>
      <c r="G4082" t="s">
        <v>26968</v>
      </c>
      <c r="H4082" s="4" t="s">
        <v>26969</v>
      </c>
      <c r="I4082" t="s">
        <v>71</v>
      </c>
      <c r="J4082" t="s">
        <v>10782</v>
      </c>
      <c r="K4082" t="s">
        <v>26970</v>
      </c>
    </row>
    <row r="4083" spans="1:11" ht="144" x14ac:dyDescent="0.3">
      <c r="A4083" s="4" t="s">
        <v>7095</v>
      </c>
      <c r="B4083">
        <v>3</v>
      </c>
      <c r="C4083">
        <v>2018</v>
      </c>
      <c r="D4083" t="s">
        <v>277</v>
      </c>
      <c r="E4083">
        <v>84</v>
      </c>
      <c r="F4083" t="s">
        <v>26971</v>
      </c>
      <c r="G4083" t="s">
        <v>26972</v>
      </c>
      <c r="H4083" s="4" t="s">
        <v>26973</v>
      </c>
      <c r="I4083" t="s">
        <v>71</v>
      </c>
      <c r="J4083" t="s">
        <v>10782</v>
      </c>
      <c r="K4083" t="s">
        <v>26974</v>
      </c>
    </row>
    <row r="4084" spans="1:11" ht="129.6" x14ac:dyDescent="0.3">
      <c r="A4084" s="4" t="s">
        <v>7096</v>
      </c>
      <c r="B4084">
        <v>3</v>
      </c>
      <c r="C4084">
        <v>2018</v>
      </c>
      <c r="D4084" t="s">
        <v>2819</v>
      </c>
      <c r="E4084">
        <v>35</v>
      </c>
      <c r="F4084" t="s">
        <v>26975</v>
      </c>
      <c r="G4084" t="s">
        <v>26976</v>
      </c>
      <c r="H4084" s="4" t="s">
        <v>26977</v>
      </c>
      <c r="I4084" t="s">
        <v>71</v>
      </c>
      <c r="J4084" t="s">
        <v>10782</v>
      </c>
      <c r="K4084" t="s">
        <v>26978</v>
      </c>
    </row>
    <row r="4085" spans="1:11" ht="129.6" x14ac:dyDescent="0.3">
      <c r="A4085" s="4" t="s">
        <v>7097</v>
      </c>
      <c r="B4085">
        <v>3</v>
      </c>
      <c r="C4085">
        <v>2018</v>
      </c>
      <c r="D4085" t="s">
        <v>329</v>
      </c>
      <c r="E4085">
        <v>58</v>
      </c>
      <c r="F4085" t="s">
        <v>26979</v>
      </c>
      <c r="G4085" t="s">
        <v>26980</v>
      </c>
      <c r="H4085" s="4" t="s">
        <v>26981</v>
      </c>
      <c r="I4085" t="s">
        <v>71</v>
      </c>
      <c r="J4085" t="s">
        <v>10782</v>
      </c>
      <c r="K4085" t="s">
        <v>26982</v>
      </c>
    </row>
    <row r="4086" spans="1:11" ht="144" x14ac:dyDescent="0.3">
      <c r="A4086" s="4" t="s">
        <v>3594</v>
      </c>
      <c r="B4086">
        <v>2</v>
      </c>
      <c r="C4086">
        <v>2018</v>
      </c>
      <c r="D4086" t="s">
        <v>277</v>
      </c>
      <c r="E4086">
        <v>14</v>
      </c>
      <c r="F4086" t="s">
        <v>26983</v>
      </c>
      <c r="G4086" t="s">
        <v>26984</v>
      </c>
      <c r="H4086" s="4" t="s">
        <v>26985</v>
      </c>
      <c r="I4086" t="s">
        <v>71</v>
      </c>
      <c r="J4086" t="s">
        <v>10782</v>
      </c>
      <c r="K4086" t="s">
        <v>26986</v>
      </c>
    </row>
    <row r="4087" spans="1:11" ht="129.6" x14ac:dyDescent="0.3">
      <c r="A4087" s="4" t="s">
        <v>7098</v>
      </c>
      <c r="B4087">
        <v>3</v>
      </c>
      <c r="C4087">
        <v>2018</v>
      </c>
      <c r="D4087" t="s">
        <v>627</v>
      </c>
      <c r="E4087">
        <v>12</v>
      </c>
      <c r="F4087" t="s">
        <v>26987</v>
      </c>
      <c r="G4087" t="s">
        <v>26988</v>
      </c>
      <c r="H4087" s="4" t="s">
        <v>26989</v>
      </c>
      <c r="I4087" t="s">
        <v>71</v>
      </c>
      <c r="J4087" t="s">
        <v>10782</v>
      </c>
      <c r="K4087" t="s">
        <v>26990</v>
      </c>
    </row>
    <row r="4088" spans="1:11" ht="172.8" x14ac:dyDescent="0.3">
      <c r="A4088" s="4" t="s">
        <v>7099</v>
      </c>
      <c r="B4088">
        <v>3</v>
      </c>
      <c r="C4088">
        <v>2018</v>
      </c>
      <c r="D4088" t="s">
        <v>18774</v>
      </c>
      <c r="E4088">
        <v>14</v>
      </c>
      <c r="F4088" t="s">
        <v>26991</v>
      </c>
      <c r="G4088" t="s">
        <v>26992</v>
      </c>
      <c r="H4088" s="4" t="s">
        <v>26993</v>
      </c>
      <c r="I4088" t="s">
        <v>71</v>
      </c>
      <c r="J4088" t="s">
        <v>10782</v>
      </c>
      <c r="K4088" t="s">
        <v>26994</v>
      </c>
    </row>
    <row r="4089" spans="1:11" ht="129.6" x14ac:dyDescent="0.3">
      <c r="A4089" s="4" t="s">
        <v>7100</v>
      </c>
      <c r="B4089">
        <v>3</v>
      </c>
      <c r="C4089">
        <v>2018</v>
      </c>
      <c r="D4089" t="s">
        <v>11164</v>
      </c>
      <c r="E4089">
        <v>6</v>
      </c>
      <c r="F4089" t="s">
        <v>26995</v>
      </c>
      <c r="G4089" t="s">
        <v>26996</v>
      </c>
      <c r="H4089" s="4" t="s">
        <v>26997</v>
      </c>
      <c r="I4089" t="s">
        <v>71</v>
      </c>
      <c r="J4089" t="s">
        <v>10782</v>
      </c>
      <c r="K4089" t="s">
        <v>26998</v>
      </c>
    </row>
    <row r="4090" spans="1:11" ht="201.6" x14ac:dyDescent="0.3">
      <c r="A4090" s="4" t="s">
        <v>7101</v>
      </c>
      <c r="B4090">
        <v>3</v>
      </c>
      <c r="C4090">
        <v>2018</v>
      </c>
      <c r="D4090" t="s">
        <v>637</v>
      </c>
      <c r="E4090">
        <v>34</v>
      </c>
      <c r="F4090" t="s">
        <v>26999</v>
      </c>
      <c r="G4090" t="s">
        <v>27000</v>
      </c>
      <c r="H4090" s="4" t="s">
        <v>27001</v>
      </c>
      <c r="I4090" t="s">
        <v>71</v>
      </c>
      <c r="J4090" t="s">
        <v>10782</v>
      </c>
      <c r="K4090" t="s">
        <v>27002</v>
      </c>
    </row>
    <row r="4091" spans="1:11" ht="172.8" x14ac:dyDescent="0.3">
      <c r="A4091" s="4" t="s">
        <v>7102</v>
      </c>
      <c r="B4091">
        <v>3</v>
      </c>
      <c r="C4091">
        <v>2018</v>
      </c>
      <c r="D4091" t="s">
        <v>329</v>
      </c>
      <c r="E4091">
        <v>32</v>
      </c>
      <c r="F4091" t="s">
        <v>27003</v>
      </c>
      <c r="G4091" t="s">
        <v>27004</v>
      </c>
      <c r="H4091" s="4" t="s">
        <v>27005</v>
      </c>
      <c r="I4091" t="s">
        <v>71</v>
      </c>
      <c r="J4091" t="s">
        <v>10782</v>
      </c>
      <c r="K4091" t="s">
        <v>27006</v>
      </c>
    </row>
    <row r="4092" spans="1:11" ht="230.4" x14ac:dyDescent="0.3">
      <c r="A4092" s="4" t="s">
        <v>7103</v>
      </c>
      <c r="B4092">
        <v>3</v>
      </c>
      <c r="C4092">
        <v>2018</v>
      </c>
      <c r="D4092" t="s">
        <v>12072</v>
      </c>
      <c r="E4092">
        <v>7</v>
      </c>
      <c r="F4092" t="s">
        <v>27007</v>
      </c>
      <c r="G4092" t="s">
        <v>27008</v>
      </c>
      <c r="H4092" s="4" t="s">
        <v>27009</v>
      </c>
      <c r="I4092" t="s">
        <v>71</v>
      </c>
      <c r="J4092" t="s">
        <v>10782</v>
      </c>
      <c r="K4092" t="s">
        <v>27010</v>
      </c>
    </row>
    <row r="4093" spans="1:11" ht="288" x14ac:dyDescent="0.3">
      <c r="A4093" s="4" t="s">
        <v>7104</v>
      </c>
      <c r="B4093">
        <v>3</v>
      </c>
      <c r="C4093">
        <v>2018</v>
      </c>
      <c r="D4093" t="s">
        <v>329</v>
      </c>
      <c r="E4093">
        <v>11</v>
      </c>
      <c r="F4093" t="s">
        <v>27011</v>
      </c>
      <c r="G4093" t="s">
        <v>27012</v>
      </c>
      <c r="H4093" s="4" t="s">
        <v>27013</v>
      </c>
      <c r="I4093" t="s">
        <v>71</v>
      </c>
      <c r="J4093" t="s">
        <v>10782</v>
      </c>
      <c r="K4093" t="s">
        <v>27014</v>
      </c>
    </row>
    <row r="4094" spans="1:11" ht="158.4" x14ac:dyDescent="0.3">
      <c r="A4094" s="4" t="s">
        <v>7105</v>
      </c>
      <c r="B4094">
        <v>3</v>
      </c>
      <c r="C4094">
        <v>2018</v>
      </c>
      <c r="D4094" t="s">
        <v>83</v>
      </c>
      <c r="E4094">
        <v>7</v>
      </c>
      <c r="F4094" t="s">
        <v>27015</v>
      </c>
      <c r="G4094" t="s">
        <v>27016</v>
      </c>
      <c r="H4094" s="4" t="s">
        <v>27017</v>
      </c>
      <c r="I4094" t="s">
        <v>71</v>
      </c>
      <c r="J4094" t="s">
        <v>10782</v>
      </c>
      <c r="K4094" t="s">
        <v>27018</v>
      </c>
    </row>
    <row r="4095" spans="1:11" ht="158.4" x14ac:dyDescent="0.3">
      <c r="A4095" s="4" t="s">
        <v>2790</v>
      </c>
      <c r="B4095">
        <v>2</v>
      </c>
      <c r="C4095">
        <v>2018</v>
      </c>
      <c r="D4095" t="s">
        <v>1175</v>
      </c>
      <c r="E4095">
        <v>163</v>
      </c>
      <c r="F4095" t="s">
        <v>27019</v>
      </c>
      <c r="G4095" t="s">
        <v>27020</v>
      </c>
      <c r="H4095" s="4" t="s">
        <v>27021</v>
      </c>
      <c r="I4095" t="s">
        <v>71</v>
      </c>
      <c r="J4095" t="s">
        <v>10782</v>
      </c>
      <c r="K4095" t="s">
        <v>27022</v>
      </c>
    </row>
    <row r="4096" spans="1:11" ht="158.4" x14ac:dyDescent="0.3">
      <c r="A4096" s="4" t="s">
        <v>7106</v>
      </c>
      <c r="B4096">
        <v>3</v>
      </c>
      <c r="C4096">
        <v>2018</v>
      </c>
      <c r="D4096" t="s">
        <v>1877</v>
      </c>
      <c r="E4096">
        <v>8</v>
      </c>
      <c r="F4096" t="s">
        <v>27023</v>
      </c>
      <c r="G4096" t="s">
        <v>27024</v>
      </c>
      <c r="H4096" s="4" t="s">
        <v>27025</v>
      </c>
      <c r="I4096" t="s">
        <v>71</v>
      </c>
      <c r="J4096" t="s">
        <v>10782</v>
      </c>
      <c r="K4096" t="s">
        <v>27026</v>
      </c>
    </row>
    <row r="4097" spans="1:11" ht="158.4" x14ac:dyDescent="0.3">
      <c r="A4097" s="4" t="s">
        <v>7107</v>
      </c>
      <c r="B4097">
        <v>3</v>
      </c>
      <c r="C4097">
        <v>2018</v>
      </c>
      <c r="D4097" t="s">
        <v>277</v>
      </c>
      <c r="E4097">
        <v>91</v>
      </c>
      <c r="F4097" t="s">
        <v>27027</v>
      </c>
      <c r="G4097" t="s">
        <v>27028</v>
      </c>
      <c r="H4097" s="4" t="s">
        <v>27029</v>
      </c>
      <c r="I4097" t="s">
        <v>71</v>
      </c>
      <c r="J4097" t="s">
        <v>10782</v>
      </c>
      <c r="K4097" t="s">
        <v>27030</v>
      </c>
    </row>
    <row r="4098" spans="1:11" ht="100.8" x14ac:dyDescent="0.3">
      <c r="A4098" s="4" t="s">
        <v>7108</v>
      </c>
      <c r="B4098">
        <v>3</v>
      </c>
      <c r="C4098">
        <v>2018</v>
      </c>
      <c r="D4098" t="s">
        <v>1426</v>
      </c>
      <c r="E4098">
        <v>481</v>
      </c>
      <c r="F4098" t="s">
        <v>27031</v>
      </c>
      <c r="G4098" t="s">
        <v>27032</v>
      </c>
      <c r="H4098" s="4" t="s">
        <v>27033</v>
      </c>
      <c r="I4098" t="s">
        <v>10823</v>
      </c>
      <c r="J4098" t="s">
        <v>10782</v>
      </c>
      <c r="K4098" t="s">
        <v>27034</v>
      </c>
    </row>
    <row r="4099" spans="1:11" ht="201.6" x14ac:dyDescent="0.3">
      <c r="A4099" s="4" t="s">
        <v>3595</v>
      </c>
      <c r="B4099">
        <v>2</v>
      </c>
      <c r="C4099">
        <v>2018</v>
      </c>
      <c r="D4099" t="s">
        <v>11310</v>
      </c>
      <c r="E4099">
        <v>15</v>
      </c>
      <c r="F4099" t="s">
        <v>27035</v>
      </c>
      <c r="G4099" t="s">
        <v>27036</v>
      </c>
      <c r="H4099" s="4" t="s">
        <v>27037</v>
      </c>
      <c r="I4099" t="s">
        <v>71</v>
      </c>
      <c r="J4099" t="s">
        <v>10782</v>
      </c>
      <c r="K4099" t="s">
        <v>27038</v>
      </c>
    </row>
    <row r="4100" spans="1:11" ht="216" x14ac:dyDescent="0.3">
      <c r="A4100" s="4" t="s">
        <v>7109</v>
      </c>
      <c r="B4100">
        <v>3</v>
      </c>
      <c r="C4100">
        <v>2018</v>
      </c>
      <c r="D4100" t="s">
        <v>1525</v>
      </c>
      <c r="E4100">
        <v>95</v>
      </c>
      <c r="F4100" t="s">
        <v>27039</v>
      </c>
      <c r="G4100" t="s">
        <v>27040</v>
      </c>
      <c r="H4100" s="4" t="s">
        <v>27041</v>
      </c>
      <c r="I4100" t="s">
        <v>71</v>
      </c>
      <c r="J4100" t="s">
        <v>10782</v>
      </c>
      <c r="K4100" t="s">
        <v>27042</v>
      </c>
    </row>
    <row r="4101" spans="1:11" ht="86.4" x14ac:dyDescent="0.3">
      <c r="A4101" s="4" t="s">
        <v>7110</v>
      </c>
      <c r="B4101">
        <v>3</v>
      </c>
      <c r="C4101">
        <v>2018</v>
      </c>
      <c r="D4101" t="s">
        <v>25292</v>
      </c>
      <c r="E4101">
        <v>24</v>
      </c>
      <c r="F4101" t="s">
        <v>27043</v>
      </c>
      <c r="G4101" t="s">
        <v>27044</v>
      </c>
      <c r="H4101" s="4" t="s">
        <v>27045</v>
      </c>
    </row>
    <row r="4102" spans="1:11" ht="144" x14ac:dyDescent="0.3">
      <c r="A4102" s="4" t="s">
        <v>7111</v>
      </c>
      <c r="B4102">
        <v>3</v>
      </c>
      <c r="C4102">
        <v>2018</v>
      </c>
      <c r="D4102" t="s">
        <v>1125</v>
      </c>
      <c r="E4102">
        <v>29</v>
      </c>
      <c r="F4102" t="s">
        <v>27046</v>
      </c>
      <c r="G4102" t="s">
        <v>27047</v>
      </c>
      <c r="H4102" s="4" t="s">
        <v>27048</v>
      </c>
      <c r="I4102" t="s">
        <v>71</v>
      </c>
      <c r="J4102" t="s">
        <v>10782</v>
      </c>
      <c r="K4102" t="s">
        <v>27049</v>
      </c>
    </row>
    <row r="4103" spans="1:11" ht="201.6" x14ac:dyDescent="0.3">
      <c r="A4103" s="4" t="s">
        <v>7112</v>
      </c>
      <c r="B4103">
        <v>3</v>
      </c>
      <c r="C4103">
        <v>2018</v>
      </c>
      <c r="D4103" t="s">
        <v>1401</v>
      </c>
      <c r="E4103">
        <v>19</v>
      </c>
      <c r="F4103" t="s">
        <v>27050</v>
      </c>
      <c r="G4103" t="s">
        <v>27051</v>
      </c>
      <c r="H4103" s="4" t="s">
        <v>27052</v>
      </c>
      <c r="I4103" t="s">
        <v>71</v>
      </c>
      <c r="J4103" t="s">
        <v>10782</v>
      </c>
      <c r="K4103" t="s">
        <v>27053</v>
      </c>
    </row>
    <row r="4104" spans="1:11" ht="409.6" x14ac:dyDescent="0.3">
      <c r="A4104" s="4" t="s">
        <v>7113</v>
      </c>
      <c r="B4104">
        <v>3</v>
      </c>
      <c r="C4104">
        <v>2018</v>
      </c>
      <c r="D4104" t="s">
        <v>10924</v>
      </c>
      <c r="E4104">
        <v>5</v>
      </c>
      <c r="F4104" t="s">
        <v>27054</v>
      </c>
      <c r="G4104" t="s">
        <v>27055</v>
      </c>
      <c r="H4104" s="4" t="s">
        <v>27056</v>
      </c>
      <c r="I4104" t="s">
        <v>71</v>
      </c>
      <c r="J4104" t="s">
        <v>10782</v>
      </c>
      <c r="K4104" t="s">
        <v>27057</v>
      </c>
    </row>
    <row r="4105" spans="1:11" ht="129.6" x14ac:dyDescent="0.3">
      <c r="A4105" s="4" t="s">
        <v>7114</v>
      </c>
      <c r="B4105">
        <v>3</v>
      </c>
      <c r="C4105">
        <v>2018</v>
      </c>
      <c r="D4105" t="s">
        <v>147</v>
      </c>
      <c r="E4105">
        <v>71</v>
      </c>
      <c r="F4105" t="s">
        <v>27058</v>
      </c>
      <c r="G4105" t="s">
        <v>27059</v>
      </c>
      <c r="H4105" s="4" t="s">
        <v>27060</v>
      </c>
    </row>
    <row r="4106" spans="1:11" ht="144" x14ac:dyDescent="0.3">
      <c r="A4106" s="4" t="s">
        <v>7115</v>
      </c>
      <c r="B4106">
        <v>3</v>
      </c>
      <c r="C4106">
        <v>2018</v>
      </c>
      <c r="D4106" t="s">
        <v>2375</v>
      </c>
      <c r="E4106">
        <v>25</v>
      </c>
      <c r="F4106" t="s">
        <v>27061</v>
      </c>
      <c r="G4106" t="s">
        <v>27062</v>
      </c>
      <c r="H4106" s="4" t="s">
        <v>27063</v>
      </c>
      <c r="I4106" t="s">
        <v>71</v>
      </c>
      <c r="J4106" t="s">
        <v>10782</v>
      </c>
      <c r="K4106" t="s">
        <v>27064</v>
      </c>
    </row>
    <row r="4107" spans="1:11" ht="158.4" x14ac:dyDescent="0.3">
      <c r="A4107" s="4" t="s">
        <v>3370</v>
      </c>
      <c r="B4107">
        <v>1</v>
      </c>
      <c r="C4107">
        <v>2018</v>
      </c>
      <c r="D4107" t="s">
        <v>217</v>
      </c>
      <c r="E4107">
        <v>205</v>
      </c>
      <c r="F4107" t="s">
        <v>27065</v>
      </c>
      <c r="G4107" t="s">
        <v>27066</v>
      </c>
      <c r="H4107" s="4" t="s">
        <v>27067</v>
      </c>
      <c r="I4107" t="s">
        <v>71</v>
      </c>
      <c r="J4107" t="s">
        <v>10782</v>
      </c>
      <c r="K4107" t="s">
        <v>27068</v>
      </c>
    </row>
    <row r="4108" spans="1:11" ht="187.2" x14ac:dyDescent="0.3">
      <c r="A4108" s="4" t="s">
        <v>7116</v>
      </c>
      <c r="B4108">
        <v>3</v>
      </c>
      <c r="C4108">
        <v>2018</v>
      </c>
      <c r="D4108" t="s">
        <v>637</v>
      </c>
      <c r="E4108">
        <v>44</v>
      </c>
      <c r="F4108" t="s">
        <v>27069</v>
      </c>
      <c r="G4108" t="s">
        <v>27070</v>
      </c>
      <c r="H4108" s="4" t="s">
        <v>27071</v>
      </c>
      <c r="I4108" t="s">
        <v>71</v>
      </c>
      <c r="J4108" t="s">
        <v>10782</v>
      </c>
      <c r="K4108" t="s">
        <v>27072</v>
      </c>
    </row>
    <row r="4109" spans="1:11" ht="187.2" x14ac:dyDescent="0.3">
      <c r="A4109" s="4" t="s">
        <v>7117</v>
      </c>
      <c r="B4109">
        <v>3</v>
      </c>
      <c r="C4109">
        <v>2018</v>
      </c>
      <c r="D4109" t="s">
        <v>1770</v>
      </c>
      <c r="E4109">
        <v>7</v>
      </c>
      <c r="F4109" t="s">
        <v>27073</v>
      </c>
      <c r="G4109" t="s">
        <v>27074</v>
      </c>
      <c r="H4109" s="4" t="s">
        <v>27075</v>
      </c>
      <c r="I4109" t="s">
        <v>71</v>
      </c>
      <c r="J4109" t="s">
        <v>10782</v>
      </c>
      <c r="K4109" t="s">
        <v>27076</v>
      </c>
    </row>
    <row r="4110" spans="1:11" ht="158.4" x14ac:dyDescent="0.3">
      <c r="A4110" s="4" t="s">
        <v>7118</v>
      </c>
      <c r="B4110">
        <v>3</v>
      </c>
      <c r="C4110">
        <v>2018</v>
      </c>
      <c r="D4110" t="s">
        <v>1570</v>
      </c>
      <c r="E4110">
        <v>2</v>
      </c>
      <c r="F4110" t="s">
        <v>27077</v>
      </c>
      <c r="G4110" t="s">
        <v>27078</v>
      </c>
      <c r="H4110" s="4" t="s">
        <v>27079</v>
      </c>
      <c r="I4110" t="s">
        <v>71</v>
      </c>
      <c r="J4110" t="s">
        <v>10782</v>
      </c>
      <c r="K4110" t="s">
        <v>27080</v>
      </c>
    </row>
    <row r="4111" spans="1:11" ht="115.2" x14ac:dyDescent="0.3">
      <c r="A4111" s="4" t="s">
        <v>7119</v>
      </c>
      <c r="B4111">
        <v>3</v>
      </c>
      <c r="C4111">
        <v>2018</v>
      </c>
      <c r="D4111" t="s">
        <v>27081</v>
      </c>
      <c r="E4111">
        <v>11</v>
      </c>
      <c r="F4111" t="s">
        <v>27082</v>
      </c>
      <c r="G4111" t="s">
        <v>27083</v>
      </c>
      <c r="H4111" s="4" t="s">
        <v>27084</v>
      </c>
      <c r="I4111" t="s">
        <v>71</v>
      </c>
      <c r="J4111" t="s">
        <v>10782</v>
      </c>
      <c r="K4111" t="s">
        <v>27085</v>
      </c>
    </row>
    <row r="4112" spans="1:11" ht="144" x14ac:dyDescent="0.3">
      <c r="A4112" s="4" t="s">
        <v>7120</v>
      </c>
      <c r="B4112">
        <v>3</v>
      </c>
      <c r="C4112">
        <v>2018</v>
      </c>
      <c r="D4112" t="s">
        <v>10815</v>
      </c>
      <c r="E4112">
        <v>63</v>
      </c>
      <c r="F4112" t="s">
        <v>27086</v>
      </c>
      <c r="G4112" t="s">
        <v>27087</v>
      </c>
      <c r="H4112" s="4" t="s">
        <v>27088</v>
      </c>
      <c r="I4112" t="s">
        <v>71</v>
      </c>
      <c r="J4112" t="s">
        <v>10782</v>
      </c>
      <c r="K4112" t="s">
        <v>27089</v>
      </c>
    </row>
    <row r="4113" spans="1:11" ht="201.6" x14ac:dyDescent="0.3">
      <c r="A4113" s="4" t="s">
        <v>7121</v>
      </c>
      <c r="B4113">
        <v>3</v>
      </c>
      <c r="C4113">
        <v>2018</v>
      </c>
      <c r="D4113" t="s">
        <v>177</v>
      </c>
      <c r="E4113">
        <v>14</v>
      </c>
      <c r="F4113" t="s">
        <v>27090</v>
      </c>
      <c r="G4113" t="s">
        <v>27091</v>
      </c>
      <c r="H4113" s="4" t="s">
        <v>27092</v>
      </c>
    </row>
    <row r="4114" spans="1:11" ht="216" x14ac:dyDescent="0.3">
      <c r="A4114" s="4" t="s">
        <v>7122</v>
      </c>
      <c r="B4114">
        <v>3</v>
      </c>
      <c r="C4114">
        <v>2018</v>
      </c>
      <c r="D4114" t="s">
        <v>19715</v>
      </c>
      <c r="E4114">
        <v>31</v>
      </c>
      <c r="F4114" t="s">
        <v>27093</v>
      </c>
      <c r="G4114" t="s">
        <v>27094</v>
      </c>
      <c r="H4114" s="4" t="s">
        <v>27095</v>
      </c>
      <c r="I4114" t="s">
        <v>10823</v>
      </c>
      <c r="J4114" t="s">
        <v>10782</v>
      </c>
      <c r="K4114" t="s">
        <v>27096</v>
      </c>
    </row>
    <row r="4115" spans="1:11" ht="172.8" x14ac:dyDescent="0.3">
      <c r="A4115" s="4" t="s">
        <v>2791</v>
      </c>
      <c r="B4115">
        <v>2</v>
      </c>
      <c r="C4115">
        <v>2018</v>
      </c>
      <c r="D4115" t="s">
        <v>2914</v>
      </c>
      <c r="E4115">
        <v>21</v>
      </c>
      <c r="F4115" t="s">
        <v>27097</v>
      </c>
      <c r="G4115" t="s">
        <v>27098</v>
      </c>
      <c r="H4115" s="4" t="s">
        <v>27099</v>
      </c>
      <c r="I4115" t="s">
        <v>71</v>
      </c>
      <c r="J4115" t="s">
        <v>10782</v>
      </c>
      <c r="K4115" t="s">
        <v>27100</v>
      </c>
    </row>
    <row r="4116" spans="1:11" ht="230.4" x14ac:dyDescent="0.3">
      <c r="A4116" s="4" t="s">
        <v>7123</v>
      </c>
      <c r="B4116">
        <v>3</v>
      </c>
      <c r="C4116">
        <v>2018</v>
      </c>
      <c r="D4116" t="s">
        <v>2585</v>
      </c>
      <c r="E4116">
        <v>17</v>
      </c>
      <c r="F4116" t="s">
        <v>27101</v>
      </c>
      <c r="G4116" t="s">
        <v>27102</v>
      </c>
      <c r="H4116" s="4" t="s">
        <v>27103</v>
      </c>
      <c r="I4116" t="s">
        <v>71</v>
      </c>
      <c r="J4116" t="s">
        <v>10782</v>
      </c>
      <c r="K4116" t="s">
        <v>27104</v>
      </c>
    </row>
    <row r="4117" spans="1:11" ht="187.2" x14ac:dyDescent="0.3">
      <c r="A4117" s="4" t="s">
        <v>7124</v>
      </c>
      <c r="B4117">
        <v>3</v>
      </c>
      <c r="C4117">
        <v>2018</v>
      </c>
      <c r="D4117" t="s">
        <v>1802</v>
      </c>
      <c r="E4117">
        <v>31</v>
      </c>
      <c r="F4117" t="s">
        <v>27105</v>
      </c>
      <c r="G4117" t="s">
        <v>27106</v>
      </c>
      <c r="H4117" s="4" t="s">
        <v>27107</v>
      </c>
      <c r="I4117" t="s">
        <v>71</v>
      </c>
      <c r="J4117" t="s">
        <v>10782</v>
      </c>
      <c r="K4117" t="s">
        <v>27108</v>
      </c>
    </row>
    <row r="4118" spans="1:11" ht="230.4" x14ac:dyDescent="0.3">
      <c r="A4118" s="4" t="s">
        <v>7125</v>
      </c>
      <c r="B4118">
        <v>3</v>
      </c>
      <c r="C4118">
        <v>2018</v>
      </c>
      <c r="D4118" t="s">
        <v>11310</v>
      </c>
      <c r="E4118">
        <v>34</v>
      </c>
      <c r="F4118" t="s">
        <v>27109</v>
      </c>
      <c r="G4118" t="s">
        <v>27110</v>
      </c>
      <c r="H4118" s="4" t="s">
        <v>27111</v>
      </c>
      <c r="I4118" t="s">
        <v>71</v>
      </c>
      <c r="J4118" t="s">
        <v>10782</v>
      </c>
      <c r="K4118" t="s">
        <v>27112</v>
      </c>
    </row>
    <row r="4119" spans="1:11" ht="100.8" x14ac:dyDescent="0.3">
      <c r="A4119" s="4" t="s">
        <v>7126</v>
      </c>
      <c r="B4119">
        <v>3</v>
      </c>
      <c r="C4119">
        <v>2018</v>
      </c>
      <c r="D4119" t="s">
        <v>15454</v>
      </c>
      <c r="E4119">
        <v>11</v>
      </c>
      <c r="F4119" t="s">
        <v>27113</v>
      </c>
      <c r="G4119" t="s">
        <v>27114</v>
      </c>
      <c r="H4119" s="4" t="s">
        <v>27115</v>
      </c>
      <c r="I4119" t="s">
        <v>71</v>
      </c>
      <c r="J4119" t="s">
        <v>10782</v>
      </c>
      <c r="K4119" t="s">
        <v>27116</v>
      </c>
    </row>
    <row r="4120" spans="1:11" ht="172.8" x14ac:dyDescent="0.3">
      <c r="A4120" s="4" t="s">
        <v>7127</v>
      </c>
      <c r="B4120">
        <v>3</v>
      </c>
      <c r="C4120">
        <v>2018</v>
      </c>
      <c r="D4120" t="s">
        <v>1175</v>
      </c>
      <c r="E4120">
        <v>8</v>
      </c>
      <c r="F4120" t="s">
        <v>27117</v>
      </c>
      <c r="G4120" t="s">
        <v>27118</v>
      </c>
      <c r="H4120" s="4" t="s">
        <v>27119</v>
      </c>
      <c r="I4120" t="s">
        <v>71</v>
      </c>
      <c r="J4120" t="s">
        <v>10782</v>
      </c>
      <c r="K4120" t="s">
        <v>27120</v>
      </c>
    </row>
    <row r="4121" spans="1:11" ht="115.2" x14ac:dyDescent="0.3">
      <c r="A4121" s="4" t="s">
        <v>7128</v>
      </c>
      <c r="B4121">
        <v>3</v>
      </c>
      <c r="C4121">
        <v>2018</v>
      </c>
      <c r="D4121" t="s">
        <v>27121</v>
      </c>
      <c r="E4121">
        <v>25</v>
      </c>
      <c r="F4121" t="s">
        <v>27122</v>
      </c>
      <c r="G4121" t="s">
        <v>27123</v>
      </c>
      <c r="H4121" s="4" t="s">
        <v>27124</v>
      </c>
      <c r="I4121" t="s">
        <v>71</v>
      </c>
      <c r="J4121" t="s">
        <v>10782</v>
      </c>
      <c r="K4121" t="s">
        <v>27125</v>
      </c>
    </row>
    <row r="4122" spans="1:11" ht="129.6" x14ac:dyDescent="0.3">
      <c r="A4122" s="4" t="s">
        <v>7129</v>
      </c>
      <c r="B4122">
        <v>3</v>
      </c>
      <c r="C4122">
        <v>2018</v>
      </c>
      <c r="D4122" t="s">
        <v>964</v>
      </c>
      <c r="E4122">
        <v>18</v>
      </c>
      <c r="F4122" t="s">
        <v>27126</v>
      </c>
      <c r="G4122" t="s">
        <v>27127</v>
      </c>
      <c r="H4122" s="4" t="s">
        <v>27128</v>
      </c>
      <c r="I4122" t="s">
        <v>71</v>
      </c>
      <c r="J4122" t="s">
        <v>10782</v>
      </c>
      <c r="K4122" t="s">
        <v>27129</v>
      </c>
    </row>
    <row r="4123" spans="1:11" ht="216" x14ac:dyDescent="0.3">
      <c r="A4123" s="4" t="s">
        <v>7130</v>
      </c>
      <c r="B4123">
        <v>3</v>
      </c>
      <c r="C4123">
        <v>2018</v>
      </c>
      <c r="D4123" t="s">
        <v>177</v>
      </c>
      <c r="E4123">
        <v>82</v>
      </c>
      <c r="F4123" t="s">
        <v>27130</v>
      </c>
      <c r="G4123" t="s">
        <v>27131</v>
      </c>
      <c r="H4123" s="4" t="s">
        <v>27132</v>
      </c>
      <c r="I4123" t="s">
        <v>71</v>
      </c>
      <c r="J4123" t="s">
        <v>10782</v>
      </c>
      <c r="K4123" t="s">
        <v>27133</v>
      </c>
    </row>
    <row r="4124" spans="1:11" ht="129.6" x14ac:dyDescent="0.3">
      <c r="A4124" s="4" t="s">
        <v>7131</v>
      </c>
      <c r="B4124">
        <v>3</v>
      </c>
      <c r="C4124">
        <v>2018</v>
      </c>
      <c r="D4124" t="s">
        <v>550</v>
      </c>
      <c r="E4124">
        <v>21</v>
      </c>
      <c r="F4124" t="s">
        <v>27134</v>
      </c>
      <c r="G4124" t="s">
        <v>27135</v>
      </c>
      <c r="H4124" s="4" t="s">
        <v>27136</v>
      </c>
      <c r="I4124" t="s">
        <v>71</v>
      </c>
      <c r="J4124" t="s">
        <v>10782</v>
      </c>
      <c r="K4124" t="s">
        <v>27137</v>
      </c>
    </row>
    <row r="4125" spans="1:11" ht="259.2" x14ac:dyDescent="0.3">
      <c r="A4125" s="4" t="s">
        <v>7132</v>
      </c>
      <c r="B4125">
        <v>3</v>
      </c>
      <c r="C4125">
        <v>2018</v>
      </c>
      <c r="D4125" t="s">
        <v>23365</v>
      </c>
      <c r="E4125">
        <v>30</v>
      </c>
      <c r="F4125" t="s">
        <v>27138</v>
      </c>
      <c r="G4125" t="s">
        <v>27139</v>
      </c>
      <c r="H4125" s="4" t="s">
        <v>27140</v>
      </c>
      <c r="I4125" t="s">
        <v>71</v>
      </c>
      <c r="J4125" t="s">
        <v>10782</v>
      </c>
      <c r="K4125" t="s">
        <v>27141</v>
      </c>
    </row>
    <row r="4126" spans="1:11" ht="230.4" x14ac:dyDescent="0.3">
      <c r="A4126" s="4" t="s">
        <v>7133</v>
      </c>
      <c r="B4126">
        <v>3</v>
      </c>
      <c r="C4126">
        <v>2018</v>
      </c>
      <c r="D4126" t="s">
        <v>83</v>
      </c>
      <c r="E4126">
        <v>15</v>
      </c>
      <c r="F4126" t="s">
        <v>27142</v>
      </c>
      <c r="G4126" t="s">
        <v>27143</v>
      </c>
      <c r="H4126" s="4" t="s">
        <v>27144</v>
      </c>
      <c r="I4126" t="s">
        <v>71</v>
      </c>
      <c r="J4126" t="s">
        <v>10782</v>
      </c>
      <c r="K4126" t="s">
        <v>27145</v>
      </c>
    </row>
    <row r="4127" spans="1:11" ht="259.2" x14ac:dyDescent="0.3">
      <c r="A4127" s="4" t="s">
        <v>3596</v>
      </c>
      <c r="B4127">
        <v>2</v>
      </c>
      <c r="C4127">
        <v>2018</v>
      </c>
      <c r="D4127" t="s">
        <v>11658</v>
      </c>
      <c r="E4127">
        <v>33</v>
      </c>
      <c r="F4127" t="s">
        <v>27146</v>
      </c>
      <c r="G4127" t="s">
        <v>27147</v>
      </c>
      <c r="H4127" s="4" t="s">
        <v>27148</v>
      </c>
      <c r="I4127" t="s">
        <v>71</v>
      </c>
      <c r="J4127" t="s">
        <v>10782</v>
      </c>
      <c r="K4127" t="s">
        <v>27149</v>
      </c>
    </row>
    <row r="4128" spans="1:11" ht="216" x14ac:dyDescent="0.3">
      <c r="A4128" s="4" t="s">
        <v>7134</v>
      </c>
      <c r="B4128">
        <v>3</v>
      </c>
      <c r="C4128">
        <v>2018</v>
      </c>
      <c r="D4128" t="s">
        <v>12432</v>
      </c>
      <c r="E4128">
        <v>9</v>
      </c>
      <c r="F4128" t="s">
        <v>27150</v>
      </c>
      <c r="G4128" t="s">
        <v>27151</v>
      </c>
      <c r="H4128" s="4" t="s">
        <v>27152</v>
      </c>
      <c r="I4128" t="s">
        <v>71</v>
      </c>
      <c r="J4128" t="s">
        <v>10782</v>
      </c>
      <c r="K4128" t="s">
        <v>27153</v>
      </c>
    </row>
    <row r="4129" spans="1:11" ht="115.2" x14ac:dyDescent="0.3">
      <c r="A4129" s="4" t="s">
        <v>7135</v>
      </c>
      <c r="B4129">
        <v>3</v>
      </c>
      <c r="C4129">
        <v>2018</v>
      </c>
      <c r="D4129" t="s">
        <v>83</v>
      </c>
      <c r="E4129">
        <v>9</v>
      </c>
      <c r="F4129" t="s">
        <v>27154</v>
      </c>
      <c r="G4129" t="s">
        <v>27155</v>
      </c>
      <c r="H4129" s="4" t="s">
        <v>27156</v>
      </c>
      <c r="I4129" t="s">
        <v>71</v>
      </c>
      <c r="J4129" t="s">
        <v>10782</v>
      </c>
      <c r="K4129" t="s">
        <v>27157</v>
      </c>
    </row>
    <row r="4130" spans="1:11" ht="187.2" x14ac:dyDescent="0.3">
      <c r="A4130" s="4" t="s">
        <v>2792</v>
      </c>
      <c r="B4130">
        <v>2</v>
      </c>
      <c r="C4130">
        <v>2018</v>
      </c>
      <c r="D4130" t="s">
        <v>329</v>
      </c>
      <c r="E4130">
        <v>60</v>
      </c>
      <c r="F4130" t="s">
        <v>27158</v>
      </c>
      <c r="G4130" t="s">
        <v>27159</v>
      </c>
      <c r="H4130" s="4" t="s">
        <v>27160</v>
      </c>
      <c r="I4130" t="s">
        <v>71</v>
      </c>
      <c r="J4130" t="s">
        <v>10782</v>
      </c>
      <c r="K4130" t="s">
        <v>27161</v>
      </c>
    </row>
    <row r="4131" spans="1:11" ht="129.6" x14ac:dyDescent="0.3">
      <c r="A4131" s="4" t="s">
        <v>7136</v>
      </c>
      <c r="B4131">
        <v>3</v>
      </c>
      <c r="C4131">
        <v>2018</v>
      </c>
      <c r="D4131" t="s">
        <v>329</v>
      </c>
      <c r="E4131">
        <v>15</v>
      </c>
      <c r="F4131" t="s">
        <v>27162</v>
      </c>
      <c r="G4131" t="s">
        <v>27163</v>
      </c>
      <c r="H4131" s="4" t="s">
        <v>27164</v>
      </c>
      <c r="I4131" t="s">
        <v>71</v>
      </c>
      <c r="J4131" t="s">
        <v>10782</v>
      </c>
      <c r="K4131" t="s">
        <v>27165</v>
      </c>
    </row>
    <row r="4132" spans="1:11" ht="187.2" x14ac:dyDescent="0.3">
      <c r="A4132" s="4" t="s">
        <v>7137</v>
      </c>
      <c r="B4132">
        <v>3</v>
      </c>
      <c r="C4132">
        <v>2018</v>
      </c>
      <c r="D4132" t="s">
        <v>2853</v>
      </c>
      <c r="E4132">
        <v>15</v>
      </c>
      <c r="F4132" t="s">
        <v>27166</v>
      </c>
      <c r="G4132" t="s">
        <v>27167</v>
      </c>
      <c r="H4132" s="4" t="s">
        <v>27168</v>
      </c>
      <c r="I4132" t="s">
        <v>71</v>
      </c>
      <c r="J4132" t="s">
        <v>10782</v>
      </c>
      <c r="K4132" t="s">
        <v>27169</v>
      </c>
    </row>
    <row r="4133" spans="1:11" ht="144" x14ac:dyDescent="0.3">
      <c r="A4133" s="4" t="s">
        <v>7138</v>
      </c>
      <c r="B4133">
        <v>3</v>
      </c>
      <c r="C4133">
        <v>2018</v>
      </c>
      <c r="D4133" t="s">
        <v>14553</v>
      </c>
      <c r="E4133">
        <v>14</v>
      </c>
      <c r="F4133" t="s">
        <v>27170</v>
      </c>
      <c r="G4133" t="s">
        <v>27171</v>
      </c>
      <c r="H4133" s="4" t="s">
        <v>27172</v>
      </c>
      <c r="I4133" t="s">
        <v>71</v>
      </c>
      <c r="J4133" t="s">
        <v>10782</v>
      </c>
      <c r="K4133" t="s">
        <v>27173</v>
      </c>
    </row>
    <row r="4134" spans="1:11" ht="72" x14ac:dyDescent="0.3">
      <c r="A4134" s="4" t="s">
        <v>7139</v>
      </c>
      <c r="B4134">
        <v>3</v>
      </c>
      <c r="C4134">
        <v>2018</v>
      </c>
      <c r="D4134" t="s">
        <v>637</v>
      </c>
      <c r="E4134">
        <v>22</v>
      </c>
      <c r="F4134" t="s">
        <v>27174</v>
      </c>
      <c r="G4134" t="s">
        <v>27175</v>
      </c>
      <c r="H4134" s="4" t="s">
        <v>27176</v>
      </c>
    </row>
    <row r="4135" spans="1:11" ht="72" x14ac:dyDescent="0.3">
      <c r="A4135" s="4" t="s">
        <v>7140</v>
      </c>
      <c r="B4135">
        <v>3</v>
      </c>
      <c r="C4135">
        <v>2018</v>
      </c>
      <c r="D4135" t="s">
        <v>14796</v>
      </c>
      <c r="E4135">
        <v>3</v>
      </c>
      <c r="F4135" t="s">
        <v>27177</v>
      </c>
      <c r="G4135" t="s">
        <v>27178</v>
      </c>
      <c r="H4135" s="4" t="s">
        <v>27179</v>
      </c>
      <c r="I4135" t="s">
        <v>71</v>
      </c>
      <c r="J4135" t="s">
        <v>10782</v>
      </c>
      <c r="K4135" t="s">
        <v>27180</v>
      </c>
    </row>
    <row r="4136" spans="1:11" ht="187.2" x14ac:dyDescent="0.3">
      <c r="A4136" s="4" t="s">
        <v>7141</v>
      </c>
      <c r="B4136">
        <v>3</v>
      </c>
      <c r="C4136">
        <v>2018</v>
      </c>
      <c r="D4136" t="s">
        <v>10971</v>
      </c>
      <c r="E4136">
        <v>26</v>
      </c>
      <c r="F4136" t="s">
        <v>27181</v>
      </c>
      <c r="G4136" t="s">
        <v>27182</v>
      </c>
      <c r="H4136" s="4" t="s">
        <v>27183</v>
      </c>
      <c r="I4136" t="s">
        <v>71</v>
      </c>
      <c r="J4136" t="s">
        <v>10782</v>
      </c>
      <c r="K4136" t="s">
        <v>27184</v>
      </c>
    </row>
    <row r="4137" spans="1:11" ht="201.6" x14ac:dyDescent="0.3">
      <c r="A4137" s="4" t="s">
        <v>7142</v>
      </c>
      <c r="B4137">
        <v>3</v>
      </c>
      <c r="C4137">
        <v>2018</v>
      </c>
      <c r="D4137" t="s">
        <v>318</v>
      </c>
      <c r="E4137">
        <v>48</v>
      </c>
      <c r="F4137" t="s">
        <v>27185</v>
      </c>
      <c r="G4137" t="s">
        <v>27186</v>
      </c>
      <c r="H4137" s="4" t="s">
        <v>27187</v>
      </c>
      <c r="I4137" t="s">
        <v>71</v>
      </c>
      <c r="J4137" t="s">
        <v>10782</v>
      </c>
      <c r="K4137" t="s">
        <v>27188</v>
      </c>
    </row>
    <row r="4138" spans="1:11" ht="187.2" x14ac:dyDescent="0.3">
      <c r="A4138" s="4" t="s">
        <v>7143</v>
      </c>
      <c r="B4138">
        <v>3</v>
      </c>
      <c r="C4138">
        <v>2018</v>
      </c>
      <c r="D4138" t="s">
        <v>1570</v>
      </c>
      <c r="E4138">
        <v>47</v>
      </c>
      <c r="F4138" t="s">
        <v>27189</v>
      </c>
      <c r="G4138" t="s">
        <v>27190</v>
      </c>
      <c r="H4138" s="4" t="s">
        <v>27191</v>
      </c>
    </row>
    <row r="4139" spans="1:11" ht="129.6" x14ac:dyDescent="0.3">
      <c r="A4139" s="4" t="s">
        <v>3597</v>
      </c>
      <c r="B4139">
        <v>2</v>
      </c>
      <c r="C4139">
        <v>2018</v>
      </c>
      <c r="D4139" t="s">
        <v>2819</v>
      </c>
      <c r="E4139">
        <v>151</v>
      </c>
      <c r="F4139" t="s">
        <v>27192</v>
      </c>
      <c r="G4139" t="s">
        <v>27193</v>
      </c>
      <c r="H4139" s="4" t="s">
        <v>27194</v>
      </c>
    </row>
    <row r="4140" spans="1:11" ht="187.2" x14ac:dyDescent="0.3">
      <c r="A4140" s="4" t="s">
        <v>7144</v>
      </c>
      <c r="B4140">
        <v>3</v>
      </c>
      <c r="C4140">
        <v>2018</v>
      </c>
      <c r="D4140" t="s">
        <v>11064</v>
      </c>
      <c r="E4140">
        <v>13</v>
      </c>
      <c r="F4140" t="s">
        <v>27195</v>
      </c>
      <c r="G4140" t="s">
        <v>27196</v>
      </c>
      <c r="H4140" s="4" t="s">
        <v>27197</v>
      </c>
      <c r="I4140" t="s">
        <v>71</v>
      </c>
      <c r="J4140" t="s">
        <v>10782</v>
      </c>
      <c r="K4140" t="s">
        <v>27198</v>
      </c>
    </row>
    <row r="4141" spans="1:11" ht="187.2" x14ac:dyDescent="0.3">
      <c r="A4141" s="4" t="s">
        <v>7145</v>
      </c>
      <c r="B4141">
        <v>3</v>
      </c>
      <c r="C4141">
        <v>2018</v>
      </c>
      <c r="D4141" t="s">
        <v>1231</v>
      </c>
      <c r="E4141">
        <v>3</v>
      </c>
      <c r="F4141" t="s">
        <v>27199</v>
      </c>
      <c r="G4141" t="s">
        <v>27200</v>
      </c>
      <c r="H4141" s="4" t="s">
        <v>27201</v>
      </c>
      <c r="I4141" t="s">
        <v>71</v>
      </c>
      <c r="J4141" t="s">
        <v>10782</v>
      </c>
      <c r="K4141" t="s">
        <v>27202</v>
      </c>
    </row>
    <row r="4142" spans="1:11" ht="172.8" x14ac:dyDescent="0.3">
      <c r="A4142" s="4" t="s">
        <v>7146</v>
      </c>
      <c r="B4142">
        <v>3</v>
      </c>
      <c r="C4142">
        <v>2018</v>
      </c>
      <c r="D4142" t="s">
        <v>10924</v>
      </c>
      <c r="E4142">
        <v>10</v>
      </c>
      <c r="F4142" t="s">
        <v>27203</v>
      </c>
      <c r="G4142" t="s">
        <v>27204</v>
      </c>
      <c r="H4142" s="4" t="s">
        <v>27205</v>
      </c>
      <c r="I4142" t="s">
        <v>71</v>
      </c>
      <c r="J4142" t="s">
        <v>10782</v>
      </c>
      <c r="K4142" t="s">
        <v>27206</v>
      </c>
    </row>
    <row r="4143" spans="1:11" ht="115.2" x14ac:dyDescent="0.3">
      <c r="A4143" s="4" t="s">
        <v>7147</v>
      </c>
      <c r="B4143">
        <v>3</v>
      </c>
      <c r="C4143">
        <v>2018</v>
      </c>
      <c r="D4143" t="s">
        <v>1770</v>
      </c>
      <c r="E4143">
        <v>13</v>
      </c>
      <c r="F4143" t="s">
        <v>27207</v>
      </c>
      <c r="G4143" t="s">
        <v>27208</v>
      </c>
      <c r="H4143" s="4" t="s">
        <v>27209</v>
      </c>
    </row>
    <row r="4144" spans="1:11" ht="129.6" x14ac:dyDescent="0.3">
      <c r="A4144" s="4" t="s">
        <v>7148</v>
      </c>
      <c r="B4144">
        <v>3</v>
      </c>
      <c r="C4144">
        <v>2018</v>
      </c>
      <c r="D4144" t="s">
        <v>15174</v>
      </c>
      <c r="E4144">
        <v>35</v>
      </c>
      <c r="F4144" t="s">
        <v>27210</v>
      </c>
      <c r="G4144" t="s">
        <v>27211</v>
      </c>
      <c r="H4144" s="4" t="s">
        <v>27212</v>
      </c>
      <c r="I4144" t="s">
        <v>10823</v>
      </c>
      <c r="J4144" t="s">
        <v>10782</v>
      </c>
      <c r="K4144" t="s">
        <v>27213</v>
      </c>
    </row>
    <row r="4145" spans="1:11" ht="216" x14ac:dyDescent="0.3">
      <c r="A4145" s="4" t="s">
        <v>7149</v>
      </c>
      <c r="B4145">
        <v>3</v>
      </c>
      <c r="C4145">
        <v>2018</v>
      </c>
      <c r="D4145" t="s">
        <v>10971</v>
      </c>
      <c r="E4145">
        <v>14</v>
      </c>
      <c r="F4145" t="s">
        <v>27214</v>
      </c>
      <c r="G4145" t="s">
        <v>27215</v>
      </c>
      <c r="H4145" s="4" t="s">
        <v>27216</v>
      </c>
      <c r="I4145" t="s">
        <v>71</v>
      </c>
      <c r="J4145" t="s">
        <v>10782</v>
      </c>
      <c r="K4145" t="s">
        <v>27217</v>
      </c>
    </row>
    <row r="4146" spans="1:11" ht="302.39999999999998" x14ac:dyDescent="0.3">
      <c r="A4146" s="4" t="s">
        <v>7150</v>
      </c>
      <c r="B4146">
        <v>3</v>
      </c>
      <c r="C4146">
        <v>2018</v>
      </c>
      <c r="D4146" t="s">
        <v>550</v>
      </c>
      <c r="E4146">
        <v>17</v>
      </c>
      <c r="F4146" t="s">
        <v>27218</v>
      </c>
      <c r="G4146" t="s">
        <v>27219</v>
      </c>
      <c r="H4146" s="4" t="s">
        <v>27220</v>
      </c>
      <c r="I4146" t="s">
        <v>71</v>
      </c>
      <c r="J4146" t="s">
        <v>10782</v>
      </c>
      <c r="K4146" t="s">
        <v>27221</v>
      </c>
    </row>
    <row r="4147" spans="1:11" ht="172.8" x14ac:dyDescent="0.3">
      <c r="A4147" s="4" t="s">
        <v>7151</v>
      </c>
      <c r="B4147">
        <v>3</v>
      </c>
      <c r="C4147">
        <v>2018</v>
      </c>
      <c r="D4147" t="s">
        <v>25426</v>
      </c>
      <c r="E4147">
        <v>42</v>
      </c>
      <c r="F4147" t="s">
        <v>27222</v>
      </c>
      <c r="G4147" t="s">
        <v>27223</v>
      </c>
      <c r="H4147" s="4" t="s">
        <v>27224</v>
      </c>
      <c r="I4147" t="s">
        <v>71</v>
      </c>
      <c r="J4147" t="s">
        <v>10782</v>
      </c>
      <c r="K4147" t="s">
        <v>27225</v>
      </c>
    </row>
    <row r="4148" spans="1:11" ht="187.2" x14ac:dyDescent="0.3">
      <c r="A4148" s="4" t="s">
        <v>7152</v>
      </c>
      <c r="B4148">
        <v>3</v>
      </c>
      <c r="C4148">
        <v>2018</v>
      </c>
      <c r="D4148" t="s">
        <v>10815</v>
      </c>
      <c r="E4148">
        <v>88</v>
      </c>
      <c r="F4148" t="s">
        <v>27226</v>
      </c>
      <c r="G4148" t="s">
        <v>27227</v>
      </c>
      <c r="H4148" s="4" t="s">
        <v>27228</v>
      </c>
      <c r="I4148" t="s">
        <v>71</v>
      </c>
      <c r="J4148" t="s">
        <v>10782</v>
      </c>
      <c r="K4148" t="s">
        <v>27229</v>
      </c>
    </row>
    <row r="4149" spans="1:11" ht="144" x14ac:dyDescent="0.3">
      <c r="A4149" s="4" t="s">
        <v>7153</v>
      </c>
      <c r="B4149">
        <v>3</v>
      </c>
      <c r="C4149">
        <v>2018</v>
      </c>
      <c r="D4149" t="s">
        <v>637</v>
      </c>
      <c r="E4149">
        <v>85</v>
      </c>
      <c r="F4149" t="s">
        <v>27230</v>
      </c>
      <c r="G4149" t="s">
        <v>27231</v>
      </c>
      <c r="H4149" s="4" t="s">
        <v>27232</v>
      </c>
    </row>
    <row r="4150" spans="1:11" ht="115.2" x14ac:dyDescent="0.3">
      <c r="A4150" s="4" t="s">
        <v>7154</v>
      </c>
      <c r="B4150">
        <v>3</v>
      </c>
      <c r="C4150">
        <v>2018</v>
      </c>
      <c r="D4150" t="s">
        <v>15954</v>
      </c>
      <c r="E4150">
        <v>20</v>
      </c>
      <c r="F4150" t="s">
        <v>27233</v>
      </c>
      <c r="G4150" t="s">
        <v>27234</v>
      </c>
      <c r="H4150" s="4" t="s">
        <v>27235</v>
      </c>
    </row>
    <row r="4151" spans="1:11" ht="187.2" x14ac:dyDescent="0.3">
      <c r="A4151" s="4" t="s">
        <v>7155</v>
      </c>
      <c r="B4151">
        <v>3</v>
      </c>
      <c r="C4151">
        <v>2018</v>
      </c>
      <c r="D4151" t="s">
        <v>217</v>
      </c>
      <c r="E4151">
        <v>6</v>
      </c>
      <c r="F4151" t="s">
        <v>27236</v>
      </c>
      <c r="G4151" t="s">
        <v>27237</v>
      </c>
      <c r="H4151" s="4" t="s">
        <v>27238</v>
      </c>
      <c r="I4151" t="s">
        <v>71</v>
      </c>
      <c r="J4151" t="s">
        <v>10782</v>
      </c>
      <c r="K4151" t="s">
        <v>27239</v>
      </c>
    </row>
    <row r="4152" spans="1:11" ht="187.2" x14ac:dyDescent="0.3">
      <c r="A4152" s="4" t="s">
        <v>2930</v>
      </c>
      <c r="B4152">
        <v>2</v>
      </c>
      <c r="C4152">
        <v>2018</v>
      </c>
      <c r="D4152" t="s">
        <v>1175</v>
      </c>
      <c r="E4152">
        <v>137</v>
      </c>
      <c r="F4152" t="s">
        <v>27240</v>
      </c>
      <c r="G4152" t="s">
        <v>27241</v>
      </c>
      <c r="H4152" s="4" t="s">
        <v>27242</v>
      </c>
    </row>
    <row r="4153" spans="1:11" ht="187.2" x14ac:dyDescent="0.3">
      <c r="A4153" s="4" t="s">
        <v>7156</v>
      </c>
      <c r="B4153">
        <v>3</v>
      </c>
      <c r="C4153">
        <v>2018</v>
      </c>
      <c r="D4153" t="s">
        <v>17140</v>
      </c>
      <c r="E4153">
        <v>31</v>
      </c>
      <c r="F4153" t="s">
        <v>27243</v>
      </c>
      <c r="G4153" t="s">
        <v>27244</v>
      </c>
      <c r="H4153" s="4" t="s">
        <v>27245</v>
      </c>
      <c r="I4153" t="s">
        <v>71</v>
      </c>
      <c r="J4153" t="s">
        <v>10782</v>
      </c>
      <c r="K4153" t="s">
        <v>27246</v>
      </c>
    </row>
    <row r="4154" spans="1:11" ht="158.4" x14ac:dyDescent="0.3">
      <c r="A4154" s="4" t="s">
        <v>7157</v>
      </c>
      <c r="B4154">
        <v>3</v>
      </c>
      <c r="C4154">
        <v>2018</v>
      </c>
      <c r="D4154" t="s">
        <v>2819</v>
      </c>
      <c r="E4154">
        <v>10</v>
      </c>
      <c r="F4154" t="s">
        <v>27247</v>
      </c>
      <c r="G4154" t="s">
        <v>27248</v>
      </c>
      <c r="H4154" s="4" t="s">
        <v>27249</v>
      </c>
      <c r="I4154" t="s">
        <v>71</v>
      </c>
      <c r="J4154" t="s">
        <v>10782</v>
      </c>
      <c r="K4154" t="s">
        <v>27250</v>
      </c>
    </row>
    <row r="4155" spans="1:11" ht="72" x14ac:dyDescent="0.3">
      <c r="A4155" s="4" t="s">
        <v>7158</v>
      </c>
      <c r="B4155">
        <v>3</v>
      </c>
      <c r="C4155">
        <v>2018</v>
      </c>
      <c r="D4155" t="s">
        <v>83</v>
      </c>
      <c r="E4155">
        <v>10</v>
      </c>
      <c r="F4155" t="s">
        <v>27251</v>
      </c>
      <c r="G4155" t="s">
        <v>27252</v>
      </c>
      <c r="H4155" s="4" t="s">
        <v>27253</v>
      </c>
    </row>
    <row r="4156" spans="1:11" ht="374.4" x14ac:dyDescent="0.3">
      <c r="A4156" s="4" t="s">
        <v>7159</v>
      </c>
      <c r="B4156">
        <v>3</v>
      </c>
      <c r="C4156">
        <v>2018</v>
      </c>
      <c r="D4156" t="s">
        <v>550</v>
      </c>
      <c r="E4156">
        <v>12</v>
      </c>
      <c r="F4156" t="s">
        <v>27254</v>
      </c>
      <c r="G4156" t="s">
        <v>27255</v>
      </c>
      <c r="H4156" s="4" t="s">
        <v>27256</v>
      </c>
      <c r="I4156" t="s">
        <v>71</v>
      </c>
      <c r="J4156" t="s">
        <v>10782</v>
      </c>
      <c r="K4156" t="s">
        <v>27257</v>
      </c>
    </row>
    <row r="4157" spans="1:11" ht="187.2" x14ac:dyDescent="0.3">
      <c r="A4157" s="4" t="s">
        <v>7160</v>
      </c>
      <c r="B4157">
        <v>3</v>
      </c>
      <c r="C4157">
        <v>2018</v>
      </c>
      <c r="D4157" t="s">
        <v>17273</v>
      </c>
      <c r="E4157">
        <v>15</v>
      </c>
      <c r="F4157" t="s">
        <v>27258</v>
      </c>
      <c r="G4157" t="s">
        <v>27259</v>
      </c>
      <c r="H4157" s="4" t="s">
        <v>27260</v>
      </c>
      <c r="I4157" t="s">
        <v>71</v>
      </c>
      <c r="J4157" t="s">
        <v>10782</v>
      </c>
      <c r="K4157" t="s">
        <v>27261</v>
      </c>
    </row>
    <row r="4158" spans="1:11" ht="115.2" x14ac:dyDescent="0.3">
      <c r="A4158" s="4" t="s">
        <v>7161</v>
      </c>
      <c r="B4158">
        <v>3</v>
      </c>
      <c r="C4158">
        <v>2018</v>
      </c>
      <c r="D4158" t="s">
        <v>27262</v>
      </c>
      <c r="E4158">
        <v>15</v>
      </c>
      <c r="F4158" t="s">
        <v>27263</v>
      </c>
      <c r="G4158" t="s">
        <v>27264</v>
      </c>
      <c r="H4158" s="4" t="s">
        <v>27265</v>
      </c>
      <c r="I4158" t="s">
        <v>71</v>
      </c>
      <c r="J4158" t="s">
        <v>10782</v>
      </c>
      <c r="K4158" t="s">
        <v>27266</v>
      </c>
    </row>
    <row r="4159" spans="1:11" ht="244.8" x14ac:dyDescent="0.3">
      <c r="A4159" s="4" t="s">
        <v>7162</v>
      </c>
      <c r="B4159">
        <v>3</v>
      </c>
      <c r="C4159">
        <v>2018</v>
      </c>
      <c r="D4159" t="s">
        <v>10924</v>
      </c>
      <c r="E4159">
        <v>17</v>
      </c>
      <c r="F4159" t="s">
        <v>27267</v>
      </c>
      <c r="G4159" t="s">
        <v>27268</v>
      </c>
      <c r="H4159" s="4" t="s">
        <v>27269</v>
      </c>
      <c r="I4159" t="s">
        <v>71</v>
      </c>
      <c r="J4159" t="s">
        <v>10782</v>
      </c>
      <c r="K4159" t="s">
        <v>27270</v>
      </c>
    </row>
    <row r="4160" spans="1:11" ht="144" x14ac:dyDescent="0.3">
      <c r="A4160" s="4" t="s">
        <v>7163</v>
      </c>
      <c r="B4160">
        <v>3</v>
      </c>
      <c r="C4160">
        <v>2018</v>
      </c>
      <c r="D4160" t="s">
        <v>2893</v>
      </c>
      <c r="E4160">
        <v>75</v>
      </c>
      <c r="F4160" t="s">
        <v>27271</v>
      </c>
      <c r="G4160" t="s">
        <v>27272</v>
      </c>
      <c r="H4160" s="4" t="s">
        <v>27273</v>
      </c>
      <c r="I4160" t="s">
        <v>71</v>
      </c>
      <c r="J4160" t="s">
        <v>10782</v>
      </c>
      <c r="K4160" t="s">
        <v>27274</v>
      </c>
    </row>
    <row r="4161" spans="1:11" ht="288" x14ac:dyDescent="0.3">
      <c r="A4161" s="4" t="s">
        <v>7164</v>
      </c>
      <c r="B4161">
        <v>3</v>
      </c>
      <c r="C4161">
        <v>2018</v>
      </c>
      <c r="D4161" t="s">
        <v>11556</v>
      </c>
      <c r="E4161">
        <v>55</v>
      </c>
      <c r="F4161" t="s">
        <v>27275</v>
      </c>
      <c r="G4161" t="s">
        <v>27276</v>
      </c>
      <c r="H4161" s="4" t="s">
        <v>27277</v>
      </c>
      <c r="I4161" t="s">
        <v>71</v>
      </c>
      <c r="J4161" t="s">
        <v>10782</v>
      </c>
      <c r="K4161" t="s">
        <v>27278</v>
      </c>
    </row>
    <row r="4162" spans="1:11" ht="201.6" x14ac:dyDescent="0.3">
      <c r="A4162" s="4" t="s">
        <v>7165</v>
      </c>
      <c r="B4162">
        <v>3</v>
      </c>
      <c r="C4162">
        <v>2018</v>
      </c>
      <c r="D4162" t="s">
        <v>13394</v>
      </c>
      <c r="E4162">
        <v>6</v>
      </c>
      <c r="F4162" t="s">
        <v>27279</v>
      </c>
      <c r="G4162" t="s">
        <v>27280</v>
      </c>
      <c r="H4162" s="4" t="s">
        <v>27281</v>
      </c>
      <c r="I4162" t="s">
        <v>71</v>
      </c>
      <c r="J4162" t="s">
        <v>10782</v>
      </c>
      <c r="K4162" t="s">
        <v>27282</v>
      </c>
    </row>
    <row r="4163" spans="1:11" ht="86.4" x14ac:dyDescent="0.3">
      <c r="A4163" s="4" t="s">
        <v>7166</v>
      </c>
      <c r="B4163">
        <v>3</v>
      </c>
      <c r="C4163">
        <v>2018</v>
      </c>
      <c r="D4163" t="s">
        <v>10924</v>
      </c>
      <c r="E4163">
        <v>11</v>
      </c>
      <c r="F4163" t="s">
        <v>27283</v>
      </c>
      <c r="G4163" t="s">
        <v>27284</v>
      </c>
      <c r="H4163" s="4" t="s">
        <v>27285</v>
      </c>
    </row>
    <row r="4164" spans="1:11" ht="158.4" x14ac:dyDescent="0.3">
      <c r="A4164" s="4" t="s">
        <v>7167</v>
      </c>
      <c r="B4164">
        <v>3</v>
      </c>
      <c r="C4164">
        <v>2018</v>
      </c>
      <c r="D4164" t="s">
        <v>217</v>
      </c>
      <c r="E4164">
        <v>50</v>
      </c>
      <c r="F4164" t="s">
        <v>27286</v>
      </c>
      <c r="G4164" t="s">
        <v>27287</v>
      </c>
      <c r="H4164" s="4" t="s">
        <v>27288</v>
      </c>
      <c r="I4164" t="s">
        <v>71</v>
      </c>
      <c r="J4164" t="s">
        <v>10782</v>
      </c>
      <c r="K4164" t="s">
        <v>27289</v>
      </c>
    </row>
    <row r="4165" spans="1:11" ht="201.6" x14ac:dyDescent="0.3">
      <c r="A4165" s="4" t="s">
        <v>1604</v>
      </c>
      <c r="B4165">
        <v>1</v>
      </c>
      <c r="C4165">
        <v>2018</v>
      </c>
      <c r="D4165" t="s">
        <v>528</v>
      </c>
      <c r="E4165">
        <v>19</v>
      </c>
      <c r="F4165" t="s">
        <v>27290</v>
      </c>
      <c r="G4165" t="s">
        <v>27291</v>
      </c>
      <c r="H4165" s="4" t="s">
        <v>27292</v>
      </c>
    </row>
    <row r="4166" spans="1:11" ht="187.2" x14ac:dyDescent="0.3">
      <c r="A4166" s="4" t="s">
        <v>7168</v>
      </c>
      <c r="B4166">
        <v>3</v>
      </c>
      <c r="C4166">
        <v>2018</v>
      </c>
      <c r="D4166" t="s">
        <v>17140</v>
      </c>
      <c r="E4166">
        <v>41</v>
      </c>
      <c r="F4166" t="s">
        <v>27293</v>
      </c>
      <c r="G4166" t="s">
        <v>27294</v>
      </c>
      <c r="H4166" s="4" t="s">
        <v>27295</v>
      </c>
      <c r="I4166" t="s">
        <v>71</v>
      </c>
      <c r="J4166" t="s">
        <v>10782</v>
      </c>
      <c r="K4166" t="s">
        <v>27296</v>
      </c>
    </row>
    <row r="4167" spans="1:11" ht="158.4" x14ac:dyDescent="0.3">
      <c r="A4167" s="4" t="s">
        <v>7169</v>
      </c>
      <c r="B4167">
        <v>3</v>
      </c>
      <c r="C4167">
        <v>2018</v>
      </c>
      <c r="D4167" t="s">
        <v>318</v>
      </c>
      <c r="E4167">
        <v>38</v>
      </c>
      <c r="F4167" t="s">
        <v>27297</v>
      </c>
      <c r="G4167" t="s">
        <v>27298</v>
      </c>
      <c r="H4167" s="4" t="s">
        <v>27299</v>
      </c>
    </row>
    <row r="4168" spans="1:11" ht="129.6" x14ac:dyDescent="0.3">
      <c r="A4168" s="4" t="s">
        <v>7170</v>
      </c>
      <c r="B4168">
        <v>3</v>
      </c>
      <c r="C4168">
        <v>2018</v>
      </c>
      <c r="D4168" t="s">
        <v>1746</v>
      </c>
      <c r="E4168">
        <v>3</v>
      </c>
      <c r="F4168" t="s">
        <v>27300</v>
      </c>
      <c r="G4168" t="s">
        <v>27301</v>
      </c>
      <c r="H4168" s="4" t="s">
        <v>27302</v>
      </c>
      <c r="I4168" t="s">
        <v>71</v>
      </c>
      <c r="J4168" t="s">
        <v>10782</v>
      </c>
      <c r="K4168" t="s">
        <v>27303</v>
      </c>
    </row>
    <row r="4169" spans="1:11" ht="216" x14ac:dyDescent="0.3">
      <c r="A4169" s="4" t="s">
        <v>3598</v>
      </c>
      <c r="B4169">
        <v>2</v>
      </c>
      <c r="C4169">
        <v>2018</v>
      </c>
      <c r="D4169" t="s">
        <v>217</v>
      </c>
      <c r="E4169">
        <v>17</v>
      </c>
      <c r="F4169" t="s">
        <v>27304</v>
      </c>
      <c r="G4169" t="s">
        <v>27305</v>
      </c>
      <c r="H4169" s="4" t="s">
        <v>27306</v>
      </c>
      <c r="I4169" t="s">
        <v>71</v>
      </c>
      <c r="J4169" t="s">
        <v>10782</v>
      </c>
      <c r="K4169" t="s">
        <v>27307</v>
      </c>
    </row>
    <row r="4170" spans="1:11" ht="187.2" x14ac:dyDescent="0.3">
      <c r="A4170" s="4" t="s">
        <v>1605</v>
      </c>
      <c r="B4170">
        <v>1</v>
      </c>
      <c r="C4170">
        <v>2018</v>
      </c>
      <c r="D4170" t="s">
        <v>217</v>
      </c>
      <c r="E4170">
        <v>24</v>
      </c>
      <c r="F4170" t="s">
        <v>27308</v>
      </c>
      <c r="G4170" t="s">
        <v>27309</v>
      </c>
      <c r="H4170" s="4" t="s">
        <v>27310</v>
      </c>
      <c r="I4170" t="s">
        <v>71</v>
      </c>
      <c r="J4170" t="s">
        <v>10782</v>
      </c>
      <c r="K4170" t="s">
        <v>27311</v>
      </c>
    </row>
    <row r="4171" spans="1:11" ht="115.2" x14ac:dyDescent="0.3">
      <c r="A4171" s="4" t="s">
        <v>7171</v>
      </c>
      <c r="B4171">
        <v>3</v>
      </c>
      <c r="C4171">
        <v>2018</v>
      </c>
      <c r="D4171" t="s">
        <v>679</v>
      </c>
      <c r="E4171">
        <v>47</v>
      </c>
      <c r="F4171" t="s">
        <v>27312</v>
      </c>
      <c r="G4171" t="s">
        <v>27313</v>
      </c>
      <c r="H4171" s="4" t="s">
        <v>27314</v>
      </c>
    </row>
    <row r="4172" spans="1:11" ht="230.4" x14ac:dyDescent="0.3">
      <c r="A4172" s="4" t="s">
        <v>7172</v>
      </c>
      <c r="B4172">
        <v>3</v>
      </c>
      <c r="C4172">
        <v>2018</v>
      </c>
      <c r="D4172" t="s">
        <v>13914</v>
      </c>
      <c r="E4172">
        <v>29</v>
      </c>
      <c r="F4172" t="s">
        <v>27315</v>
      </c>
      <c r="G4172" t="s">
        <v>27316</v>
      </c>
      <c r="H4172" s="4" t="s">
        <v>27317</v>
      </c>
      <c r="I4172" t="s">
        <v>71</v>
      </c>
      <c r="J4172" t="s">
        <v>10782</v>
      </c>
      <c r="K4172" t="s">
        <v>27318</v>
      </c>
    </row>
    <row r="4173" spans="1:11" ht="216" x14ac:dyDescent="0.3">
      <c r="A4173" s="4" t="s">
        <v>7173</v>
      </c>
      <c r="B4173">
        <v>3</v>
      </c>
      <c r="C4173">
        <v>2018</v>
      </c>
      <c r="D4173" t="s">
        <v>234</v>
      </c>
      <c r="E4173">
        <v>3</v>
      </c>
      <c r="F4173" t="s">
        <v>27319</v>
      </c>
      <c r="G4173" t="s">
        <v>27320</v>
      </c>
      <c r="H4173" s="4" t="s">
        <v>27321</v>
      </c>
      <c r="I4173" t="s">
        <v>71</v>
      </c>
      <c r="J4173" t="s">
        <v>10782</v>
      </c>
      <c r="K4173" t="s">
        <v>27322</v>
      </c>
    </row>
    <row r="4174" spans="1:11" ht="172.8" x14ac:dyDescent="0.3">
      <c r="A4174" s="4" t="s">
        <v>7174</v>
      </c>
      <c r="B4174">
        <v>3</v>
      </c>
      <c r="C4174">
        <v>2018</v>
      </c>
      <c r="D4174" t="s">
        <v>405</v>
      </c>
      <c r="E4174">
        <v>48</v>
      </c>
      <c r="F4174" t="s">
        <v>27323</v>
      </c>
      <c r="G4174" t="s">
        <v>27324</v>
      </c>
      <c r="H4174" s="4" t="s">
        <v>27325</v>
      </c>
      <c r="I4174" t="s">
        <v>71</v>
      </c>
      <c r="J4174" t="s">
        <v>10782</v>
      </c>
      <c r="K4174" t="s">
        <v>27326</v>
      </c>
    </row>
    <row r="4175" spans="1:11" ht="216" x14ac:dyDescent="0.3">
      <c r="A4175" s="4" t="s">
        <v>7175</v>
      </c>
      <c r="B4175">
        <v>3</v>
      </c>
      <c r="C4175">
        <v>2018</v>
      </c>
      <c r="D4175" t="s">
        <v>1936</v>
      </c>
      <c r="E4175">
        <v>6</v>
      </c>
      <c r="F4175" t="s">
        <v>27327</v>
      </c>
      <c r="G4175" t="s">
        <v>27328</v>
      </c>
      <c r="H4175" s="4" t="s">
        <v>27329</v>
      </c>
      <c r="I4175" t="s">
        <v>71</v>
      </c>
      <c r="J4175" t="s">
        <v>10782</v>
      </c>
      <c r="K4175" t="s">
        <v>27330</v>
      </c>
    </row>
    <row r="4176" spans="1:11" ht="172.8" x14ac:dyDescent="0.3">
      <c r="A4176" s="4" t="s">
        <v>7176</v>
      </c>
      <c r="B4176">
        <v>3</v>
      </c>
      <c r="C4176">
        <v>2018</v>
      </c>
      <c r="D4176" t="s">
        <v>622</v>
      </c>
      <c r="E4176">
        <v>10</v>
      </c>
      <c r="F4176" t="s">
        <v>27331</v>
      </c>
      <c r="G4176" t="s">
        <v>27332</v>
      </c>
      <c r="H4176" s="4" t="s">
        <v>27333</v>
      </c>
      <c r="I4176" t="s">
        <v>71</v>
      </c>
      <c r="J4176" t="s">
        <v>10782</v>
      </c>
      <c r="K4176" t="s">
        <v>27334</v>
      </c>
    </row>
    <row r="4177" spans="1:11" ht="187.2" x14ac:dyDescent="0.3">
      <c r="A4177" s="4" t="s">
        <v>7177</v>
      </c>
      <c r="B4177">
        <v>3</v>
      </c>
      <c r="C4177">
        <v>2018</v>
      </c>
      <c r="D4177" t="s">
        <v>1849</v>
      </c>
      <c r="E4177">
        <v>25</v>
      </c>
      <c r="F4177" t="s">
        <v>27335</v>
      </c>
      <c r="G4177" t="s">
        <v>27336</v>
      </c>
      <c r="H4177" s="4" t="s">
        <v>27337</v>
      </c>
    </row>
    <row r="4178" spans="1:11" ht="129.6" x14ac:dyDescent="0.3">
      <c r="A4178" s="4" t="s">
        <v>7178</v>
      </c>
      <c r="B4178">
        <v>3</v>
      </c>
      <c r="C4178">
        <v>2018</v>
      </c>
      <c r="D4178" t="s">
        <v>83</v>
      </c>
      <c r="E4178">
        <v>24</v>
      </c>
      <c r="F4178" t="s">
        <v>27338</v>
      </c>
      <c r="G4178" t="s">
        <v>27339</v>
      </c>
      <c r="H4178" s="4" t="s">
        <v>27340</v>
      </c>
    </row>
    <row r="4179" spans="1:11" ht="172.8" x14ac:dyDescent="0.3">
      <c r="A4179" s="4" t="s">
        <v>7179</v>
      </c>
      <c r="B4179">
        <v>3</v>
      </c>
      <c r="C4179">
        <v>2018</v>
      </c>
      <c r="D4179" t="s">
        <v>637</v>
      </c>
      <c r="E4179">
        <v>16</v>
      </c>
      <c r="F4179" t="s">
        <v>27341</v>
      </c>
      <c r="G4179" t="s">
        <v>27342</v>
      </c>
      <c r="H4179" s="4" t="s">
        <v>27343</v>
      </c>
      <c r="I4179" t="s">
        <v>71</v>
      </c>
      <c r="J4179" t="s">
        <v>10782</v>
      </c>
      <c r="K4179" t="s">
        <v>27344</v>
      </c>
    </row>
    <row r="4180" spans="1:11" ht="115.2" x14ac:dyDescent="0.3">
      <c r="A4180" s="4" t="s">
        <v>7180</v>
      </c>
      <c r="B4180">
        <v>3</v>
      </c>
      <c r="C4180">
        <v>2018</v>
      </c>
      <c r="D4180" t="s">
        <v>679</v>
      </c>
      <c r="E4180">
        <v>27</v>
      </c>
      <c r="F4180" t="s">
        <v>27345</v>
      </c>
      <c r="G4180" t="s">
        <v>27346</v>
      </c>
      <c r="H4180" s="4" t="s">
        <v>27347</v>
      </c>
      <c r="I4180" t="s">
        <v>71</v>
      </c>
      <c r="J4180" t="s">
        <v>10782</v>
      </c>
      <c r="K4180" t="s">
        <v>27348</v>
      </c>
    </row>
    <row r="4181" spans="1:11" ht="201.6" x14ac:dyDescent="0.3">
      <c r="A4181" s="4" t="s">
        <v>7181</v>
      </c>
      <c r="B4181">
        <v>3</v>
      </c>
      <c r="C4181">
        <v>2018</v>
      </c>
      <c r="D4181" t="s">
        <v>318</v>
      </c>
      <c r="E4181">
        <v>10</v>
      </c>
      <c r="F4181" t="s">
        <v>27349</v>
      </c>
      <c r="G4181" t="s">
        <v>27350</v>
      </c>
      <c r="H4181" s="4" t="s">
        <v>27351</v>
      </c>
      <c r="I4181" t="s">
        <v>71</v>
      </c>
      <c r="J4181" t="s">
        <v>10782</v>
      </c>
      <c r="K4181" t="s">
        <v>27352</v>
      </c>
    </row>
    <row r="4182" spans="1:11" ht="100.8" x14ac:dyDescent="0.3">
      <c r="A4182" s="4" t="s">
        <v>7182</v>
      </c>
      <c r="B4182">
        <v>3</v>
      </c>
      <c r="C4182">
        <v>2018</v>
      </c>
      <c r="D4182" t="s">
        <v>22883</v>
      </c>
      <c r="E4182">
        <v>12</v>
      </c>
      <c r="F4182" t="s">
        <v>27353</v>
      </c>
      <c r="G4182" t="s">
        <v>27354</v>
      </c>
      <c r="H4182" s="4" t="s">
        <v>27355</v>
      </c>
      <c r="I4182" t="s">
        <v>71</v>
      </c>
      <c r="J4182" t="s">
        <v>10782</v>
      </c>
      <c r="K4182" t="s">
        <v>27356</v>
      </c>
    </row>
    <row r="4183" spans="1:11" ht="129.6" x14ac:dyDescent="0.3">
      <c r="A4183" s="4" t="s">
        <v>7183</v>
      </c>
      <c r="B4183">
        <v>3</v>
      </c>
      <c r="C4183">
        <v>2018</v>
      </c>
      <c r="D4183" t="s">
        <v>679</v>
      </c>
      <c r="E4183">
        <v>178</v>
      </c>
      <c r="F4183" t="s">
        <v>27357</v>
      </c>
      <c r="G4183" t="s">
        <v>27358</v>
      </c>
      <c r="H4183" s="4" t="s">
        <v>27359</v>
      </c>
      <c r="I4183" t="s">
        <v>71</v>
      </c>
      <c r="J4183" t="s">
        <v>10782</v>
      </c>
      <c r="K4183" t="s">
        <v>27360</v>
      </c>
    </row>
    <row r="4184" spans="1:11" ht="230.4" x14ac:dyDescent="0.3">
      <c r="A4184" s="4" t="s">
        <v>7184</v>
      </c>
      <c r="B4184">
        <v>3</v>
      </c>
      <c r="C4184">
        <v>2018</v>
      </c>
      <c r="D4184" t="s">
        <v>318</v>
      </c>
      <c r="E4184">
        <v>40</v>
      </c>
      <c r="F4184" t="s">
        <v>27361</v>
      </c>
      <c r="G4184" t="s">
        <v>27362</v>
      </c>
      <c r="H4184" s="4" t="s">
        <v>27363</v>
      </c>
      <c r="I4184" t="s">
        <v>71</v>
      </c>
      <c r="J4184" t="s">
        <v>10782</v>
      </c>
      <c r="K4184" t="s">
        <v>27364</v>
      </c>
    </row>
    <row r="4185" spans="1:11" ht="187.2" x14ac:dyDescent="0.3">
      <c r="A4185" s="4" t="s">
        <v>7185</v>
      </c>
      <c r="B4185">
        <v>3</v>
      </c>
      <c r="C4185">
        <v>2018</v>
      </c>
      <c r="D4185" t="s">
        <v>637</v>
      </c>
      <c r="E4185">
        <v>27</v>
      </c>
      <c r="F4185" t="s">
        <v>27365</v>
      </c>
      <c r="G4185" t="s">
        <v>27366</v>
      </c>
      <c r="H4185" s="4" t="s">
        <v>27367</v>
      </c>
      <c r="I4185" t="s">
        <v>71</v>
      </c>
      <c r="J4185" t="s">
        <v>10782</v>
      </c>
      <c r="K4185" t="s">
        <v>27368</v>
      </c>
    </row>
    <row r="4186" spans="1:11" ht="144" x14ac:dyDescent="0.3">
      <c r="A4186" s="4" t="s">
        <v>7186</v>
      </c>
      <c r="B4186">
        <v>3</v>
      </c>
      <c r="C4186">
        <v>2018</v>
      </c>
      <c r="D4186" t="s">
        <v>19527</v>
      </c>
      <c r="E4186">
        <v>41</v>
      </c>
      <c r="F4186" t="s">
        <v>27369</v>
      </c>
      <c r="G4186" t="s">
        <v>27370</v>
      </c>
      <c r="H4186" s="4" t="s">
        <v>27371</v>
      </c>
    </row>
    <row r="4187" spans="1:11" ht="230.4" x14ac:dyDescent="0.3">
      <c r="A4187" s="4" t="s">
        <v>7187</v>
      </c>
      <c r="B4187">
        <v>3</v>
      </c>
      <c r="C4187">
        <v>2018</v>
      </c>
      <c r="D4187" t="s">
        <v>80</v>
      </c>
      <c r="E4187">
        <v>22</v>
      </c>
      <c r="F4187" t="s">
        <v>27372</v>
      </c>
      <c r="G4187" t="s">
        <v>27373</v>
      </c>
      <c r="H4187" s="4" t="s">
        <v>27374</v>
      </c>
      <c r="I4187" t="s">
        <v>71</v>
      </c>
      <c r="J4187" t="s">
        <v>10782</v>
      </c>
      <c r="K4187" t="s">
        <v>27375</v>
      </c>
    </row>
    <row r="4188" spans="1:11" ht="144" x14ac:dyDescent="0.3">
      <c r="A4188" s="4" t="s">
        <v>7188</v>
      </c>
      <c r="B4188">
        <v>3</v>
      </c>
      <c r="C4188">
        <v>2018</v>
      </c>
      <c r="D4188" t="s">
        <v>2819</v>
      </c>
      <c r="E4188">
        <v>13</v>
      </c>
      <c r="F4188" t="s">
        <v>27376</v>
      </c>
      <c r="G4188" t="s">
        <v>27377</v>
      </c>
      <c r="H4188" s="4" t="s">
        <v>27378</v>
      </c>
    </row>
    <row r="4189" spans="1:11" ht="230.4" x14ac:dyDescent="0.3">
      <c r="A4189" s="4" t="s">
        <v>7189</v>
      </c>
      <c r="B4189">
        <v>3</v>
      </c>
      <c r="C4189">
        <v>2018</v>
      </c>
      <c r="D4189" t="s">
        <v>234</v>
      </c>
      <c r="E4189">
        <v>37</v>
      </c>
      <c r="F4189" t="s">
        <v>27379</v>
      </c>
      <c r="G4189" t="s">
        <v>27380</v>
      </c>
      <c r="H4189" s="4" t="s">
        <v>27381</v>
      </c>
      <c r="I4189" t="s">
        <v>71</v>
      </c>
      <c r="J4189" t="s">
        <v>10782</v>
      </c>
      <c r="K4189" t="s">
        <v>27382</v>
      </c>
    </row>
    <row r="4190" spans="1:11" ht="187.2" x14ac:dyDescent="0.3">
      <c r="A4190" s="4" t="s">
        <v>7190</v>
      </c>
      <c r="B4190">
        <v>3</v>
      </c>
      <c r="C4190">
        <v>2018</v>
      </c>
      <c r="D4190" t="s">
        <v>12339</v>
      </c>
      <c r="E4190">
        <v>33</v>
      </c>
      <c r="F4190" t="s">
        <v>27383</v>
      </c>
      <c r="G4190" t="s">
        <v>27384</v>
      </c>
      <c r="H4190" s="4" t="s">
        <v>27385</v>
      </c>
      <c r="I4190" t="s">
        <v>71</v>
      </c>
      <c r="J4190" t="s">
        <v>10782</v>
      </c>
      <c r="K4190" t="s">
        <v>27386</v>
      </c>
    </row>
    <row r="4191" spans="1:11" ht="172.8" x14ac:dyDescent="0.3">
      <c r="A4191" s="4" t="s">
        <v>7191</v>
      </c>
      <c r="B4191">
        <v>3</v>
      </c>
      <c r="C4191">
        <v>2018</v>
      </c>
      <c r="D4191" t="s">
        <v>2886</v>
      </c>
      <c r="E4191">
        <v>57</v>
      </c>
      <c r="F4191" t="s">
        <v>27387</v>
      </c>
      <c r="G4191" t="s">
        <v>27388</v>
      </c>
      <c r="H4191" s="4" t="s">
        <v>27389</v>
      </c>
      <c r="I4191" t="s">
        <v>71</v>
      </c>
      <c r="J4191" t="s">
        <v>10782</v>
      </c>
      <c r="K4191" t="s">
        <v>27390</v>
      </c>
    </row>
    <row r="4192" spans="1:11" ht="244.8" x14ac:dyDescent="0.3">
      <c r="A4192" s="4" t="s">
        <v>7192</v>
      </c>
      <c r="B4192">
        <v>3</v>
      </c>
      <c r="C4192">
        <v>2018</v>
      </c>
      <c r="D4192" t="s">
        <v>10924</v>
      </c>
      <c r="E4192">
        <v>36</v>
      </c>
      <c r="F4192" t="s">
        <v>27391</v>
      </c>
      <c r="G4192" t="s">
        <v>27392</v>
      </c>
      <c r="H4192" s="4" t="s">
        <v>27393</v>
      </c>
    </row>
    <row r="4193" spans="1:11" ht="187.2" x14ac:dyDescent="0.3">
      <c r="A4193" s="4" t="s">
        <v>7193</v>
      </c>
      <c r="B4193">
        <v>3</v>
      </c>
      <c r="C4193">
        <v>2018</v>
      </c>
      <c r="D4193" t="s">
        <v>27394</v>
      </c>
      <c r="E4193">
        <v>16</v>
      </c>
      <c r="F4193" t="s">
        <v>27395</v>
      </c>
      <c r="G4193" t="s">
        <v>27396</v>
      </c>
      <c r="H4193" s="4" t="s">
        <v>27397</v>
      </c>
      <c r="I4193" t="s">
        <v>71</v>
      </c>
      <c r="J4193" t="s">
        <v>10782</v>
      </c>
      <c r="K4193" t="s">
        <v>27398</v>
      </c>
    </row>
    <row r="4194" spans="1:11" ht="129.6" x14ac:dyDescent="0.3">
      <c r="A4194" s="4" t="s">
        <v>7194</v>
      </c>
      <c r="B4194">
        <v>3</v>
      </c>
      <c r="C4194">
        <v>2018</v>
      </c>
      <c r="D4194" t="s">
        <v>83</v>
      </c>
      <c r="E4194">
        <v>6</v>
      </c>
      <c r="F4194" t="s">
        <v>27399</v>
      </c>
      <c r="G4194" t="s">
        <v>27400</v>
      </c>
      <c r="H4194" s="4" t="s">
        <v>27401</v>
      </c>
      <c r="I4194" t="s">
        <v>71</v>
      </c>
      <c r="J4194" t="s">
        <v>10782</v>
      </c>
      <c r="K4194" t="s">
        <v>27402</v>
      </c>
    </row>
    <row r="4195" spans="1:11" ht="187.2" x14ac:dyDescent="0.3">
      <c r="A4195" s="4" t="s">
        <v>7195</v>
      </c>
      <c r="B4195">
        <v>3</v>
      </c>
      <c r="C4195">
        <v>2018</v>
      </c>
      <c r="D4195" t="s">
        <v>329</v>
      </c>
      <c r="E4195">
        <v>18</v>
      </c>
      <c r="F4195" t="s">
        <v>27403</v>
      </c>
      <c r="G4195" t="s">
        <v>27404</v>
      </c>
      <c r="H4195" s="4" t="s">
        <v>27405</v>
      </c>
    </row>
    <row r="4196" spans="1:11" ht="100.8" x14ac:dyDescent="0.3">
      <c r="A4196" s="4" t="s">
        <v>7196</v>
      </c>
      <c r="B4196">
        <v>3</v>
      </c>
      <c r="C4196">
        <v>2018</v>
      </c>
      <c r="D4196" t="s">
        <v>1015</v>
      </c>
      <c r="E4196">
        <v>3</v>
      </c>
      <c r="F4196" t="s">
        <v>27406</v>
      </c>
      <c r="G4196" t="s">
        <v>27407</v>
      </c>
      <c r="H4196" s="4" t="s">
        <v>27408</v>
      </c>
      <c r="I4196" t="s">
        <v>71</v>
      </c>
      <c r="J4196" t="s">
        <v>10782</v>
      </c>
      <c r="K4196" t="s">
        <v>27409</v>
      </c>
    </row>
    <row r="4197" spans="1:11" ht="187.2" x14ac:dyDescent="0.3">
      <c r="A4197" s="4" t="s">
        <v>7197</v>
      </c>
      <c r="B4197">
        <v>3</v>
      </c>
      <c r="C4197">
        <v>2018</v>
      </c>
      <c r="D4197" t="s">
        <v>15626</v>
      </c>
      <c r="E4197">
        <v>21</v>
      </c>
      <c r="F4197" t="s">
        <v>27410</v>
      </c>
      <c r="G4197" t="s">
        <v>27411</v>
      </c>
      <c r="H4197" s="4" t="s">
        <v>27412</v>
      </c>
      <c r="I4197" t="s">
        <v>71</v>
      </c>
      <c r="J4197" t="s">
        <v>10782</v>
      </c>
      <c r="K4197" t="s">
        <v>27413</v>
      </c>
    </row>
    <row r="4198" spans="1:11" ht="316.8" x14ac:dyDescent="0.3">
      <c r="A4198" s="4" t="s">
        <v>7198</v>
      </c>
      <c r="B4198">
        <v>3</v>
      </c>
      <c r="C4198">
        <v>2018</v>
      </c>
      <c r="D4198" t="s">
        <v>550</v>
      </c>
      <c r="E4198">
        <v>23</v>
      </c>
      <c r="F4198" t="s">
        <v>27414</v>
      </c>
      <c r="G4198" t="s">
        <v>27415</v>
      </c>
      <c r="H4198" s="4" t="s">
        <v>27416</v>
      </c>
      <c r="I4198" t="s">
        <v>71</v>
      </c>
      <c r="J4198" t="s">
        <v>10782</v>
      </c>
      <c r="K4198" t="s">
        <v>27417</v>
      </c>
    </row>
    <row r="4199" spans="1:11" ht="158.4" x14ac:dyDescent="0.3">
      <c r="A4199" s="4" t="s">
        <v>7199</v>
      </c>
      <c r="B4199">
        <v>3</v>
      </c>
      <c r="C4199">
        <v>2018</v>
      </c>
      <c r="D4199" t="s">
        <v>27418</v>
      </c>
      <c r="E4199">
        <v>16</v>
      </c>
      <c r="F4199" t="s">
        <v>27419</v>
      </c>
      <c r="G4199" t="s">
        <v>27420</v>
      </c>
      <c r="H4199" s="4" t="s">
        <v>27421</v>
      </c>
      <c r="I4199" t="s">
        <v>71</v>
      </c>
      <c r="J4199" t="s">
        <v>10782</v>
      </c>
      <c r="K4199" t="s">
        <v>27422</v>
      </c>
    </row>
    <row r="4200" spans="1:11" ht="129.6" x14ac:dyDescent="0.3">
      <c r="A4200" s="4" t="s">
        <v>7200</v>
      </c>
      <c r="B4200">
        <v>3</v>
      </c>
      <c r="C4200">
        <v>2018</v>
      </c>
      <c r="D4200" t="s">
        <v>1570</v>
      </c>
      <c r="E4200">
        <v>0</v>
      </c>
      <c r="F4200" t="s">
        <v>27423</v>
      </c>
      <c r="G4200" t="s">
        <v>27424</v>
      </c>
      <c r="H4200" s="4" t="s">
        <v>27425</v>
      </c>
      <c r="I4200" t="s">
        <v>71</v>
      </c>
      <c r="J4200" t="s">
        <v>10782</v>
      </c>
      <c r="K4200" t="s">
        <v>27426</v>
      </c>
    </row>
    <row r="4201" spans="1:11" ht="201.6" x14ac:dyDescent="0.3">
      <c r="A4201" s="4" t="s">
        <v>7201</v>
      </c>
      <c r="B4201">
        <v>3</v>
      </c>
      <c r="C4201">
        <v>2018</v>
      </c>
      <c r="D4201" t="s">
        <v>2585</v>
      </c>
      <c r="E4201">
        <v>34</v>
      </c>
      <c r="F4201" t="s">
        <v>27427</v>
      </c>
      <c r="G4201" t="s">
        <v>27428</v>
      </c>
      <c r="H4201" s="4" t="s">
        <v>27429</v>
      </c>
      <c r="I4201" t="s">
        <v>71</v>
      </c>
      <c r="J4201" t="s">
        <v>10782</v>
      </c>
      <c r="K4201" t="s">
        <v>27430</v>
      </c>
    </row>
    <row r="4202" spans="1:11" ht="86.4" x14ac:dyDescent="0.3">
      <c r="A4202" s="4" t="s">
        <v>7202</v>
      </c>
      <c r="B4202">
        <v>3</v>
      </c>
      <c r="C4202">
        <v>2018</v>
      </c>
      <c r="D4202" t="s">
        <v>10057</v>
      </c>
      <c r="E4202">
        <v>44</v>
      </c>
      <c r="F4202" t="s">
        <v>27431</v>
      </c>
      <c r="G4202" t="s">
        <v>27432</v>
      </c>
      <c r="H4202" s="4" t="s">
        <v>27433</v>
      </c>
    </row>
    <row r="4203" spans="1:11" ht="158.4" x14ac:dyDescent="0.3">
      <c r="A4203" s="4" t="s">
        <v>7203</v>
      </c>
      <c r="B4203">
        <v>3</v>
      </c>
      <c r="C4203">
        <v>2018</v>
      </c>
      <c r="D4203" t="s">
        <v>704</v>
      </c>
      <c r="E4203">
        <v>80</v>
      </c>
      <c r="F4203" t="s">
        <v>27434</v>
      </c>
      <c r="G4203" t="s">
        <v>27435</v>
      </c>
      <c r="H4203" s="4" t="s">
        <v>27436</v>
      </c>
      <c r="I4203" t="s">
        <v>71</v>
      </c>
      <c r="J4203" t="s">
        <v>10782</v>
      </c>
      <c r="K4203" t="s">
        <v>27437</v>
      </c>
    </row>
    <row r="4204" spans="1:11" ht="86.4" x14ac:dyDescent="0.3">
      <c r="A4204" s="4" t="s">
        <v>7204</v>
      </c>
      <c r="B4204">
        <v>3</v>
      </c>
      <c r="C4204">
        <v>2018</v>
      </c>
      <c r="D4204" t="s">
        <v>27438</v>
      </c>
      <c r="E4204">
        <v>7</v>
      </c>
      <c r="F4204" t="s">
        <v>27439</v>
      </c>
      <c r="G4204" t="s">
        <v>27440</v>
      </c>
      <c r="H4204" s="4" t="s">
        <v>27441</v>
      </c>
      <c r="I4204" t="s">
        <v>71</v>
      </c>
      <c r="J4204" t="s">
        <v>10782</v>
      </c>
      <c r="K4204" t="s">
        <v>27442</v>
      </c>
    </row>
    <row r="4205" spans="1:11" ht="187.2" x14ac:dyDescent="0.3">
      <c r="A4205" s="4" t="s">
        <v>1606</v>
      </c>
      <c r="B4205">
        <v>1</v>
      </c>
      <c r="C4205">
        <v>2018</v>
      </c>
      <c r="D4205" t="s">
        <v>1688</v>
      </c>
      <c r="E4205">
        <v>99</v>
      </c>
      <c r="F4205" t="s">
        <v>27443</v>
      </c>
      <c r="G4205" t="s">
        <v>27444</v>
      </c>
      <c r="H4205" s="4" t="s">
        <v>27445</v>
      </c>
      <c r="I4205" t="s">
        <v>71</v>
      </c>
      <c r="J4205" t="s">
        <v>10782</v>
      </c>
      <c r="K4205" t="s">
        <v>27446</v>
      </c>
    </row>
    <row r="4206" spans="1:11" ht="187.2" x14ac:dyDescent="0.3">
      <c r="A4206" s="4" t="s">
        <v>7205</v>
      </c>
      <c r="B4206">
        <v>3</v>
      </c>
      <c r="C4206">
        <v>2018</v>
      </c>
      <c r="D4206" t="s">
        <v>11041</v>
      </c>
      <c r="E4206">
        <v>8</v>
      </c>
      <c r="F4206" t="s">
        <v>27447</v>
      </c>
      <c r="G4206" t="s">
        <v>27448</v>
      </c>
      <c r="H4206" s="4" t="s">
        <v>27449</v>
      </c>
    </row>
    <row r="4207" spans="1:11" ht="172.8" x14ac:dyDescent="0.3">
      <c r="A4207" s="4" t="s">
        <v>7206</v>
      </c>
      <c r="B4207">
        <v>3</v>
      </c>
      <c r="C4207">
        <v>2018</v>
      </c>
      <c r="D4207" t="s">
        <v>1525</v>
      </c>
      <c r="E4207">
        <v>14</v>
      </c>
      <c r="F4207" t="s">
        <v>27450</v>
      </c>
      <c r="G4207" t="s">
        <v>27451</v>
      </c>
      <c r="H4207" s="4" t="s">
        <v>27452</v>
      </c>
      <c r="I4207" t="s">
        <v>71</v>
      </c>
      <c r="J4207" t="s">
        <v>10782</v>
      </c>
      <c r="K4207" t="s">
        <v>27453</v>
      </c>
    </row>
    <row r="4208" spans="1:11" ht="288" x14ac:dyDescent="0.3">
      <c r="A4208" s="4" t="s">
        <v>3599</v>
      </c>
      <c r="B4208">
        <v>2</v>
      </c>
      <c r="C4208">
        <v>2018</v>
      </c>
      <c r="D4208" t="s">
        <v>12580</v>
      </c>
      <c r="E4208">
        <v>47</v>
      </c>
      <c r="F4208" t="s">
        <v>27454</v>
      </c>
      <c r="G4208" t="s">
        <v>27455</v>
      </c>
      <c r="H4208" s="4" t="s">
        <v>27456</v>
      </c>
      <c r="I4208" t="s">
        <v>71</v>
      </c>
      <c r="J4208" t="s">
        <v>10782</v>
      </c>
      <c r="K4208" t="s">
        <v>27457</v>
      </c>
    </row>
    <row r="4209" spans="1:11" ht="144" x14ac:dyDescent="0.3">
      <c r="A4209" s="4" t="s">
        <v>7207</v>
      </c>
      <c r="B4209">
        <v>3</v>
      </c>
      <c r="C4209">
        <v>2018</v>
      </c>
      <c r="D4209" t="s">
        <v>27458</v>
      </c>
      <c r="E4209">
        <v>39</v>
      </c>
      <c r="F4209" t="s">
        <v>27459</v>
      </c>
      <c r="G4209" t="s">
        <v>27460</v>
      </c>
      <c r="H4209" s="4" t="s">
        <v>27461</v>
      </c>
      <c r="I4209" t="s">
        <v>71</v>
      </c>
      <c r="J4209" t="s">
        <v>10782</v>
      </c>
      <c r="K4209" t="s">
        <v>27462</v>
      </c>
    </row>
    <row r="4210" spans="1:11" ht="172.8" x14ac:dyDescent="0.3">
      <c r="A4210" s="4" t="s">
        <v>7208</v>
      </c>
      <c r="B4210">
        <v>3</v>
      </c>
      <c r="C4210">
        <v>2018</v>
      </c>
      <c r="D4210" t="s">
        <v>10815</v>
      </c>
      <c r="E4210">
        <v>45</v>
      </c>
      <c r="F4210" t="s">
        <v>27463</v>
      </c>
      <c r="G4210" t="s">
        <v>27464</v>
      </c>
      <c r="H4210" s="4" t="s">
        <v>27465</v>
      </c>
      <c r="I4210" t="s">
        <v>71</v>
      </c>
      <c r="J4210" t="s">
        <v>10782</v>
      </c>
      <c r="K4210" t="s">
        <v>27466</v>
      </c>
    </row>
    <row r="4211" spans="1:11" ht="201.6" x14ac:dyDescent="0.3">
      <c r="A4211" s="4" t="s">
        <v>7209</v>
      </c>
      <c r="B4211">
        <v>3</v>
      </c>
      <c r="C4211">
        <v>2018</v>
      </c>
      <c r="D4211" t="s">
        <v>1936</v>
      </c>
      <c r="E4211">
        <v>75</v>
      </c>
      <c r="F4211" t="s">
        <v>27467</v>
      </c>
      <c r="G4211" t="s">
        <v>27468</v>
      </c>
      <c r="H4211" s="4" t="s">
        <v>27469</v>
      </c>
    </row>
    <row r="4212" spans="1:11" ht="129.6" x14ac:dyDescent="0.3">
      <c r="A4212" s="4" t="s">
        <v>7210</v>
      </c>
      <c r="B4212">
        <v>3</v>
      </c>
      <c r="C4212">
        <v>2018</v>
      </c>
      <c r="D4212" t="s">
        <v>13914</v>
      </c>
      <c r="E4212">
        <v>10</v>
      </c>
      <c r="F4212" t="s">
        <v>27470</v>
      </c>
      <c r="G4212" t="s">
        <v>27471</v>
      </c>
      <c r="H4212" s="4" t="s">
        <v>27472</v>
      </c>
      <c r="I4212" t="s">
        <v>71</v>
      </c>
      <c r="J4212" t="s">
        <v>10782</v>
      </c>
      <c r="K4212" t="s">
        <v>27473</v>
      </c>
    </row>
    <row r="4213" spans="1:11" ht="201.6" x14ac:dyDescent="0.3">
      <c r="A4213" s="4" t="s">
        <v>7211</v>
      </c>
      <c r="B4213">
        <v>3</v>
      </c>
      <c r="C4213">
        <v>2018</v>
      </c>
      <c r="D4213" t="s">
        <v>14623</v>
      </c>
      <c r="E4213">
        <v>7</v>
      </c>
      <c r="F4213" t="s">
        <v>27474</v>
      </c>
      <c r="G4213" t="s">
        <v>27475</v>
      </c>
      <c r="H4213" s="4" t="s">
        <v>27476</v>
      </c>
      <c r="I4213" t="s">
        <v>71</v>
      </c>
      <c r="J4213" t="s">
        <v>10782</v>
      </c>
      <c r="K4213" t="s">
        <v>27477</v>
      </c>
    </row>
    <row r="4214" spans="1:11" ht="187.2" x14ac:dyDescent="0.3">
      <c r="A4214" s="4" t="s">
        <v>7212</v>
      </c>
      <c r="B4214">
        <v>3</v>
      </c>
      <c r="C4214">
        <v>2018</v>
      </c>
      <c r="D4214" t="s">
        <v>550</v>
      </c>
      <c r="E4214">
        <v>2</v>
      </c>
      <c r="F4214" t="s">
        <v>27478</v>
      </c>
      <c r="G4214" t="s">
        <v>27479</v>
      </c>
      <c r="H4214" s="4" t="s">
        <v>27480</v>
      </c>
    </row>
    <row r="4215" spans="1:11" ht="172.8" x14ac:dyDescent="0.3">
      <c r="A4215" s="4" t="s">
        <v>7213</v>
      </c>
      <c r="B4215">
        <v>3</v>
      </c>
      <c r="C4215">
        <v>2018</v>
      </c>
      <c r="D4215" t="s">
        <v>2763</v>
      </c>
      <c r="E4215">
        <v>12</v>
      </c>
      <c r="F4215" t="s">
        <v>27481</v>
      </c>
      <c r="G4215" t="s">
        <v>27482</v>
      </c>
      <c r="H4215" s="4" t="s">
        <v>27483</v>
      </c>
      <c r="I4215" t="s">
        <v>71</v>
      </c>
      <c r="J4215" t="s">
        <v>10782</v>
      </c>
      <c r="K4215" t="s">
        <v>27484</v>
      </c>
    </row>
    <row r="4216" spans="1:11" ht="144" x14ac:dyDescent="0.3">
      <c r="A4216" s="4" t="s">
        <v>7214</v>
      </c>
      <c r="B4216">
        <v>3</v>
      </c>
      <c r="C4216">
        <v>2018</v>
      </c>
      <c r="D4216" t="s">
        <v>12593</v>
      </c>
      <c r="E4216">
        <v>15</v>
      </c>
      <c r="F4216" t="s">
        <v>27485</v>
      </c>
      <c r="G4216" t="s">
        <v>27486</v>
      </c>
      <c r="H4216" s="4" t="s">
        <v>27487</v>
      </c>
      <c r="I4216" t="s">
        <v>71</v>
      </c>
      <c r="J4216" t="s">
        <v>10782</v>
      </c>
      <c r="K4216" t="s">
        <v>27488</v>
      </c>
    </row>
    <row r="4217" spans="1:11" ht="129.6" x14ac:dyDescent="0.3">
      <c r="A4217" s="4" t="s">
        <v>7215</v>
      </c>
      <c r="B4217">
        <v>3</v>
      </c>
      <c r="C4217">
        <v>2018</v>
      </c>
      <c r="D4217" t="s">
        <v>11649</v>
      </c>
      <c r="E4217">
        <v>31</v>
      </c>
      <c r="F4217" t="s">
        <v>27489</v>
      </c>
      <c r="G4217" t="s">
        <v>27490</v>
      </c>
      <c r="H4217" s="4" t="s">
        <v>27491</v>
      </c>
      <c r="I4217" t="s">
        <v>71</v>
      </c>
      <c r="J4217" t="s">
        <v>10782</v>
      </c>
      <c r="K4217" t="s">
        <v>27492</v>
      </c>
    </row>
    <row r="4218" spans="1:11" ht="158.4" x14ac:dyDescent="0.3">
      <c r="A4218" s="4" t="s">
        <v>7216</v>
      </c>
      <c r="B4218">
        <v>3</v>
      </c>
      <c r="C4218">
        <v>2018</v>
      </c>
      <c r="D4218" t="s">
        <v>329</v>
      </c>
      <c r="E4218">
        <v>42</v>
      </c>
      <c r="F4218" t="s">
        <v>27493</v>
      </c>
      <c r="G4218" t="s">
        <v>27494</v>
      </c>
      <c r="H4218" s="4" t="s">
        <v>27495</v>
      </c>
      <c r="I4218" t="s">
        <v>71</v>
      </c>
      <c r="J4218" t="s">
        <v>10782</v>
      </c>
      <c r="K4218" t="s">
        <v>27496</v>
      </c>
    </row>
    <row r="4219" spans="1:11" ht="86.4" x14ac:dyDescent="0.3">
      <c r="A4219" s="4" t="s">
        <v>7217</v>
      </c>
      <c r="B4219">
        <v>3</v>
      </c>
      <c r="C4219">
        <v>2018</v>
      </c>
      <c r="D4219" t="s">
        <v>14553</v>
      </c>
      <c r="E4219">
        <v>36</v>
      </c>
      <c r="F4219" t="s">
        <v>27497</v>
      </c>
      <c r="G4219" t="s">
        <v>27498</v>
      </c>
      <c r="H4219" s="4" t="s">
        <v>27499</v>
      </c>
    </row>
    <row r="4220" spans="1:11" ht="216" x14ac:dyDescent="0.3">
      <c r="A4220" s="4" t="s">
        <v>7218</v>
      </c>
      <c r="B4220">
        <v>3</v>
      </c>
      <c r="C4220">
        <v>2018</v>
      </c>
      <c r="D4220" t="s">
        <v>14553</v>
      </c>
      <c r="E4220">
        <v>5</v>
      </c>
      <c r="F4220" t="s">
        <v>27500</v>
      </c>
      <c r="G4220" t="s">
        <v>27501</v>
      </c>
      <c r="H4220" s="4" t="s">
        <v>27502</v>
      </c>
      <c r="I4220" t="s">
        <v>71</v>
      </c>
      <c r="J4220" t="s">
        <v>10782</v>
      </c>
      <c r="K4220" t="s">
        <v>27503</v>
      </c>
    </row>
    <row r="4221" spans="1:11" ht="201.6" x14ac:dyDescent="0.3">
      <c r="A4221" s="4" t="s">
        <v>7219</v>
      </c>
      <c r="B4221">
        <v>3</v>
      </c>
      <c r="C4221">
        <v>2018</v>
      </c>
      <c r="D4221" t="s">
        <v>10924</v>
      </c>
      <c r="E4221">
        <v>26</v>
      </c>
      <c r="F4221" t="s">
        <v>27504</v>
      </c>
      <c r="G4221" t="s">
        <v>27505</v>
      </c>
      <c r="H4221" s="4" t="s">
        <v>27506</v>
      </c>
      <c r="I4221" t="s">
        <v>71</v>
      </c>
      <c r="J4221" t="s">
        <v>10782</v>
      </c>
      <c r="K4221" t="s">
        <v>27507</v>
      </c>
    </row>
    <row r="4222" spans="1:11" ht="115.2" x14ac:dyDescent="0.3">
      <c r="A4222" s="4" t="s">
        <v>7220</v>
      </c>
      <c r="B4222">
        <v>3</v>
      </c>
      <c r="C4222">
        <v>2018</v>
      </c>
      <c r="D4222" t="s">
        <v>363</v>
      </c>
      <c r="E4222">
        <v>9</v>
      </c>
      <c r="F4222" t="s">
        <v>27508</v>
      </c>
      <c r="G4222" t="s">
        <v>27509</v>
      </c>
      <c r="H4222" s="4" t="s">
        <v>27510</v>
      </c>
      <c r="I4222" t="s">
        <v>71</v>
      </c>
      <c r="J4222" t="s">
        <v>10782</v>
      </c>
      <c r="K4222" t="s">
        <v>27511</v>
      </c>
    </row>
    <row r="4223" spans="1:11" ht="144" x14ac:dyDescent="0.3">
      <c r="A4223" s="4" t="s">
        <v>7221</v>
      </c>
      <c r="B4223">
        <v>3</v>
      </c>
      <c r="C4223">
        <v>2018</v>
      </c>
      <c r="D4223" t="s">
        <v>12642</v>
      </c>
      <c r="E4223">
        <v>17</v>
      </c>
      <c r="F4223" t="s">
        <v>27512</v>
      </c>
      <c r="G4223" t="s">
        <v>27513</v>
      </c>
      <c r="H4223" s="4" t="s">
        <v>27514</v>
      </c>
      <c r="I4223" t="s">
        <v>71</v>
      </c>
      <c r="J4223" t="s">
        <v>10782</v>
      </c>
      <c r="K4223" t="s">
        <v>27515</v>
      </c>
    </row>
    <row r="4224" spans="1:11" ht="129.6" x14ac:dyDescent="0.3">
      <c r="A4224" s="4" t="s">
        <v>7222</v>
      </c>
      <c r="B4224">
        <v>3</v>
      </c>
      <c r="C4224">
        <v>2018</v>
      </c>
      <c r="D4224" t="s">
        <v>1936</v>
      </c>
      <c r="E4224">
        <v>55</v>
      </c>
      <c r="F4224" t="s">
        <v>27516</v>
      </c>
      <c r="G4224" t="s">
        <v>27517</v>
      </c>
      <c r="H4224" s="4" t="s">
        <v>27518</v>
      </c>
    </row>
    <row r="4225" spans="1:11" ht="158.4" x14ac:dyDescent="0.3">
      <c r="A4225" s="4" t="s">
        <v>7223</v>
      </c>
      <c r="B4225">
        <v>3</v>
      </c>
      <c r="C4225">
        <v>2018</v>
      </c>
      <c r="D4225" t="s">
        <v>10825</v>
      </c>
      <c r="E4225">
        <v>50</v>
      </c>
      <c r="F4225" t="s">
        <v>27519</v>
      </c>
      <c r="G4225" t="s">
        <v>27520</v>
      </c>
      <c r="H4225" s="4" t="s">
        <v>27521</v>
      </c>
      <c r="I4225" t="s">
        <v>71</v>
      </c>
      <c r="J4225" t="s">
        <v>10782</v>
      </c>
      <c r="K4225" t="s">
        <v>27522</v>
      </c>
    </row>
    <row r="4226" spans="1:11" ht="158.4" x14ac:dyDescent="0.3">
      <c r="A4226" s="4" t="s">
        <v>7224</v>
      </c>
      <c r="B4226">
        <v>3</v>
      </c>
      <c r="C4226">
        <v>2018</v>
      </c>
      <c r="D4226" t="s">
        <v>13021</v>
      </c>
      <c r="E4226">
        <v>19</v>
      </c>
      <c r="F4226" t="s">
        <v>27523</v>
      </c>
      <c r="G4226" t="s">
        <v>27524</v>
      </c>
      <c r="H4226" s="4" t="s">
        <v>27525</v>
      </c>
    </row>
    <row r="4227" spans="1:11" ht="172.8" x14ac:dyDescent="0.3">
      <c r="A4227" s="4" t="s">
        <v>3371</v>
      </c>
      <c r="B4227">
        <v>1</v>
      </c>
      <c r="C4227">
        <v>2018</v>
      </c>
      <c r="D4227" t="s">
        <v>622</v>
      </c>
      <c r="E4227">
        <v>6</v>
      </c>
      <c r="F4227" t="s">
        <v>27526</v>
      </c>
      <c r="G4227" t="s">
        <v>27527</v>
      </c>
      <c r="H4227" s="4" t="s">
        <v>27528</v>
      </c>
      <c r="I4227" t="s">
        <v>71</v>
      </c>
      <c r="J4227" t="s">
        <v>10782</v>
      </c>
      <c r="K4227" t="s">
        <v>27529</v>
      </c>
    </row>
    <row r="4228" spans="1:11" ht="158.4" x14ac:dyDescent="0.3">
      <c r="A4228" s="4" t="s">
        <v>7225</v>
      </c>
      <c r="B4228">
        <v>3</v>
      </c>
      <c r="C4228">
        <v>2018</v>
      </c>
      <c r="D4228" t="s">
        <v>627</v>
      </c>
      <c r="E4228">
        <v>15</v>
      </c>
      <c r="F4228" t="s">
        <v>27530</v>
      </c>
      <c r="G4228" t="s">
        <v>27531</v>
      </c>
      <c r="H4228" s="4" t="s">
        <v>27532</v>
      </c>
      <c r="I4228" t="s">
        <v>71</v>
      </c>
      <c r="J4228" t="s">
        <v>10782</v>
      </c>
      <c r="K4228" t="s">
        <v>27533</v>
      </c>
    </row>
    <row r="4229" spans="1:11" ht="187.2" x14ac:dyDescent="0.3">
      <c r="A4229" s="4" t="s">
        <v>7226</v>
      </c>
      <c r="B4229">
        <v>3</v>
      </c>
      <c r="C4229">
        <v>2018</v>
      </c>
      <c r="D4229" t="s">
        <v>318</v>
      </c>
      <c r="E4229">
        <v>16</v>
      </c>
      <c r="F4229" t="s">
        <v>27534</v>
      </c>
      <c r="G4229" t="s">
        <v>27535</v>
      </c>
      <c r="H4229" s="4" t="s">
        <v>27536</v>
      </c>
      <c r="I4229" t="s">
        <v>71</v>
      </c>
      <c r="J4229" t="s">
        <v>10782</v>
      </c>
      <c r="K4229" t="s">
        <v>27537</v>
      </c>
    </row>
    <row r="4230" spans="1:11" ht="216" x14ac:dyDescent="0.3">
      <c r="A4230" s="4" t="s">
        <v>7227</v>
      </c>
      <c r="B4230">
        <v>3</v>
      </c>
      <c r="C4230">
        <v>2018</v>
      </c>
      <c r="D4230" t="s">
        <v>329</v>
      </c>
      <c r="E4230">
        <v>16</v>
      </c>
      <c r="F4230" t="s">
        <v>27538</v>
      </c>
      <c r="G4230" t="s">
        <v>27539</v>
      </c>
      <c r="H4230" s="4" t="s">
        <v>27540</v>
      </c>
      <c r="I4230" t="s">
        <v>71</v>
      </c>
      <c r="J4230" t="s">
        <v>10782</v>
      </c>
      <c r="K4230" t="s">
        <v>27541</v>
      </c>
    </row>
    <row r="4231" spans="1:11" ht="129.6" x14ac:dyDescent="0.3">
      <c r="A4231" s="4" t="s">
        <v>7228</v>
      </c>
      <c r="B4231">
        <v>3</v>
      </c>
      <c r="C4231">
        <v>2018</v>
      </c>
      <c r="D4231" t="s">
        <v>10057</v>
      </c>
      <c r="E4231">
        <v>35</v>
      </c>
      <c r="F4231" t="s">
        <v>27542</v>
      </c>
      <c r="G4231" t="s">
        <v>27543</v>
      </c>
      <c r="H4231" s="4" t="s">
        <v>27544</v>
      </c>
    </row>
    <row r="4232" spans="1:11" ht="144" x14ac:dyDescent="0.3">
      <c r="A4232" s="4" t="s">
        <v>7229</v>
      </c>
      <c r="B4232">
        <v>3</v>
      </c>
      <c r="C4232">
        <v>2018</v>
      </c>
      <c r="D4232" t="s">
        <v>1088</v>
      </c>
      <c r="E4232">
        <v>5</v>
      </c>
      <c r="F4232" t="s">
        <v>27545</v>
      </c>
      <c r="G4232" t="s">
        <v>27546</v>
      </c>
      <c r="H4232" s="4" t="s">
        <v>27547</v>
      </c>
      <c r="I4232" t="s">
        <v>10823</v>
      </c>
      <c r="J4232" t="s">
        <v>10782</v>
      </c>
      <c r="K4232" t="s">
        <v>27548</v>
      </c>
    </row>
    <row r="4233" spans="1:11" ht="144" x14ac:dyDescent="0.3">
      <c r="A4233" s="4" t="s">
        <v>7230</v>
      </c>
      <c r="B4233">
        <v>3</v>
      </c>
      <c r="C4233">
        <v>2018</v>
      </c>
      <c r="D4233" t="s">
        <v>544</v>
      </c>
      <c r="E4233">
        <v>5</v>
      </c>
      <c r="F4233" t="s">
        <v>27549</v>
      </c>
      <c r="G4233" t="s">
        <v>27550</v>
      </c>
      <c r="H4233" s="4" t="s">
        <v>27551</v>
      </c>
      <c r="I4233" t="s">
        <v>71</v>
      </c>
      <c r="J4233" t="s">
        <v>10782</v>
      </c>
      <c r="K4233" t="s">
        <v>27552</v>
      </c>
    </row>
    <row r="4234" spans="1:11" ht="172.8" x14ac:dyDescent="0.3">
      <c r="A4234" s="4" t="s">
        <v>7231</v>
      </c>
      <c r="B4234">
        <v>3</v>
      </c>
      <c r="C4234">
        <v>2018</v>
      </c>
      <c r="D4234" t="s">
        <v>10924</v>
      </c>
      <c r="E4234">
        <v>28</v>
      </c>
      <c r="F4234" t="s">
        <v>27553</v>
      </c>
      <c r="G4234" t="s">
        <v>27554</v>
      </c>
      <c r="H4234" s="4" t="s">
        <v>27555</v>
      </c>
      <c r="I4234" t="s">
        <v>71</v>
      </c>
      <c r="J4234" t="s">
        <v>10782</v>
      </c>
      <c r="K4234" t="s">
        <v>27556</v>
      </c>
    </row>
    <row r="4235" spans="1:11" ht="129.6" x14ac:dyDescent="0.3">
      <c r="A4235" s="4" t="s">
        <v>7232</v>
      </c>
      <c r="B4235">
        <v>3</v>
      </c>
      <c r="C4235">
        <v>2018</v>
      </c>
      <c r="D4235" t="s">
        <v>11159</v>
      </c>
      <c r="E4235">
        <v>67</v>
      </c>
      <c r="F4235" t="s">
        <v>27557</v>
      </c>
      <c r="G4235" t="s">
        <v>27558</v>
      </c>
      <c r="H4235" s="4" t="s">
        <v>27559</v>
      </c>
      <c r="I4235" t="s">
        <v>71</v>
      </c>
      <c r="J4235" t="s">
        <v>10782</v>
      </c>
      <c r="K4235" t="s">
        <v>27560</v>
      </c>
    </row>
    <row r="4236" spans="1:11" ht="316.8" x14ac:dyDescent="0.3">
      <c r="A4236" s="4" t="s">
        <v>7233</v>
      </c>
      <c r="B4236">
        <v>3</v>
      </c>
      <c r="C4236">
        <v>2018</v>
      </c>
      <c r="D4236" t="s">
        <v>25007</v>
      </c>
      <c r="E4236">
        <v>13</v>
      </c>
      <c r="F4236" t="s">
        <v>27561</v>
      </c>
      <c r="G4236" t="s">
        <v>27562</v>
      </c>
      <c r="H4236" s="4" t="s">
        <v>27563</v>
      </c>
    </row>
    <row r="4237" spans="1:11" ht="187.2" x14ac:dyDescent="0.3">
      <c r="A4237" s="4" t="s">
        <v>7234</v>
      </c>
      <c r="B4237">
        <v>3</v>
      </c>
      <c r="C4237">
        <v>2018</v>
      </c>
      <c r="D4237" t="s">
        <v>11064</v>
      </c>
      <c r="E4237">
        <v>14</v>
      </c>
      <c r="F4237" t="s">
        <v>27564</v>
      </c>
      <c r="G4237" t="s">
        <v>27565</v>
      </c>
      <c r="H4237" s="4" t="s">
        <v>27566</v>
      </c>
    </row>
    <row r="4238" spans="1:11" ht="172.8" x14ac:dyDescent="0.3">
      <c r="A4238" s="4" t="s">
        <v>7235</v>
      </c>
      <c r="B4238">
        <v>3</v>
      </c>
      <c r="C4238">
        <v>2018</v>
      </c>
      <c r="D4238" t="s">
        <v>14090</v>
      </c>
      <c r="E4238">
        <v>8</v>
      </c>
      <c r="G4238" t="s">
        <v>27567</v>
      </c>
      <c r="H4238" s="4" t="s">
        <v>27568</v>
      </c>
      <c r="I4238" s="4" t="s">
        <v>10823</v>
      </c>
      <c r="J4238" t="s">
        <v>10782</v>
      </c>
      <c r="K4238" t="s">
        <v>27569</v>
      </c>
    </row>
    <row r="4239" spans="1:11" ht="230.4" x14ac:dyDescent="0.3">
      <c r="A4239" s="4" t="s">
        <v>7236</v>
      </c>
      <c r="B4239">
        <v>3</v>
      </c>
      <c r="C4239">
        <v>2018</v>
      </c>
      <c r="D4239" t="s">
        <v>550</v>
      </c>
      <c r="E4239">
        <v>27</v>
      </c>
      <c r="F4239" t="s">
        <v>27570</v>
      </c>
      <c r="G4239" t="s">
        <v>27571</v>
      </c>
      <c r="H4239" s="4" t="s">
        <v>27572</v>
      </c>
      <c r="I4239" t="s">
        <v>71</v>
      </c>
      <c r="J4239" t="s">
        <v>10782</v>
      </c>
      <c r="K4239" t="s">
        <v>27573</v>
      </c>
    </row>
    <row r="4240" spans="1:11" ht="158.4" x14ac:dyDescent="0.3">
      <c r="A4240" s="4" t="s">
        <v>7237</v>
      </c>
      <c r="B4240">
        <v>3</v>
      </c>
      <c r="C4240">
        <v>2018</v>
      </c>
      <c r="D4240" t="s">
        <v>2628</v>
      </c>
      <c r="E4240">
        <v>12</v>
      </c>
      <c r="F4240" t="s">
        <v>27574</v>
      </c>
      <c r="G4240" t="s">
        <v>27575</v>
      </c>
      <c r="H4240" s="4" t="s">
        <v>27576</v>
      </c>
      <c r="I4240" t="s">
        <v>71</v>
      </c>
      <c r="J4240" t="s">
        <v>10782</v>
      </c>
      <c r="K4240" t="s">
        <v>27577</v>
      </c>
    </row>
    <row r="4241" spans="1:11" ht="144" x14ac:dyDescent="0.3">
      <c r="A4241" s="4" t="s">
        <v>7238</v>
      </c>
      <c r="B4241">
        <v>3</v>
      </c>
      <c r="C4241">
        <v>2018</v>
      </c>
      <c r="D4241" t="s">
        <v>964</v>
      </c>
      <c r="E4241">
        <v>13</v>
      </c>
      <c r="F4241" t="s">
        <v>27578</v>
      </c>
      <c r="G4241" t="s">
        <v>27579</v>
      </c>
      <c r="H4241" s="4" t="s">
        <v>27580</v>
      </c>
      <c r="I4241" t="s">
        <v>71</v>
      </c>
      <c r="J4241" t="s">
        <v>10782</v>
      </c>
      <c r="K4241" t="s">
        <v>27581</v>
      </c>
    </row>
    <row r="4242" spans="1:11" ht="144" x14ac:dyDescent="0.3">
      <c r="A4242" s="4" t="s">
        <v>7239</v>
      </c>
      <c r="B4242">
        <v>3</v>
      </c>
      <c r="C4242">
        <v>2018</v>
      </c>
      <c r="D4242" t="s">
        <v>1794</v>
      </c>
      <c r="E4242">
        <v>18</v>
      </c>
      <c r="F4242" t="s">
        <v>27582</v>
      </c>
      <c r="G4242" t="s">
        <v>27583</v>
      </c>
      <c r="H4242" s="4" t="s">
        <v>27584</v>
      </c>
      <c r="I4242" t="s">
        <v>71</v>
      </c>
      <c r="J4242" t="s">
        <v>10782</v>
      </c>
      <c r="K4242" t="s">
        <v>27585</v>
      </c>
    </row>
    <row r="4243" spans="1:11" ht="201.6" x14ac:dyDescent="0.3">
      <c r="A4243" s="4" t="s">
        <v>7240</v>
      </c>
      <c r="B4243">
        <v>3</v>
      </c>
      <c r="C4243">
        <v>2018</v>
      </c>
      <c r="D4243" t="s">
        <v>14553</v>
      </c>
      <c r="E4243">
        <v>3</v>
      </c>
      <c r="F4243" t="s">
        <v>27586</v>
      </c>
      <c r="G4243" t="s">
        <v>27587</v>
      </c>
      <c r="H4243" s="4" t="s">
        <v>27588</v>
      </c>
      <c r="I4243" t="s">
        <v>71</v>
      </c>
      <c r="J4243" t="s">
        <v>10782</v>
      </c>
      <c r="K4243" t="s">
        <v>27589</v>
      </c>
    </row>
    <row r="4244" spans="1:11" ht="100.8" x14ac:dyDescent="0.3">
      <c r="A4244" s="4" t="s">
        <v>7241</v>
      </c>
      <c r="B4244">
        <v>3</v>
      </c>
      <c r="C4244">
        <v>2018</v>
      </c>
      <c r="D4244" t="s">
        <v>10815</v>
      </c>
      <c r="E4244">
        <v>103</v>
      </c>
      <c r="F4244" t="s">
        <v>27590</v>
      </c>
      <c r="G4244" t="s">
        <v>27591</v>
      </c>
      <c r="H4244" s="4" t="s">
        <v>27592</v>
      </c>
    </row>
    <row r="4245" spans="1:11" ht="172.8" x14ac:dyDescent="0.3">
      <c r="A4245" s="4" t="s">
        <v>7242</v>
      </c>
      <c r="B4245">
        <v>3</v>
      </c>
      <c r="C4245">
        <v>2018</v>
      </c>
      <c r="D4245" t="s">
        <v>11327</v>
      </c>
      <c r="E4245">
        <v>17</v>
      </c>
      <c r="F4245" t="s">
        <v>27593</v>
      </c>
      <c r="G4245" t="s">
        <v>27594</v>
      </c>
      <c r="H4245" s="4" t="s">
        <v>27595</v>
      </c>
      <c r="I4245" t="s">
        <v>71</v>
      </c>
      <c r="J4245" t="s">
        <v>10782</v>
      </c>
      <c r="K4245" t="s">
        <v>27596</v>
      </c>
    </row>
    <row r="4246" spans="1:11" ht="129.6" x14ac:dyDescent="0.3">
      <c r="A4246" s="4" t="s">
        <v>7243</v>
      </c>
      <c r="B4246">
        <v>3</v>
      </c>
      <c r="C4246">
        <v>2018</v>
      </c>
      <c r="D4246" t="s">
        <v>80</v>
      </c>
      <c r="E4246">
        <v>49</v>
      </c>
      <c r="F4246" t="s">
        <v>27597</v>
      </c>
      <c r="G4246" t="s">
        <v>27598</v>
      </c>
      <c r="H4246" s="4" t="s">
        <v>27599</v>
      </c>
    </row>
    <row r="4247" spans="1:11" ht="158.4" x14ac:dyDescent="0.3">
      <c r="A4247" s="4" t="s">
        <v>7244</v>
      </c>
      <c r="B4247">
        <v>3</v>
      </c>
      <c r="C4247">
        <v>2018</v>
      </c>
      <c r="D4247" t="s">
        <v>2819</v>
      </c>
      <c r="E4247">
        <v>6</v>
      </c>
      <c r="F4247" t="s">
        <v>27600</v>
      </c>
      <c r="G4247" t="s">
        <v>27601</v>
      </c>
      <c r="H4247" s="4" t="s">
        <v>27602</v>
      </c>
      <c r="I4247" t="s">
        <v>71</v>
      </c>
      <c r="J4247" t="s">
        <v>10782</v>
      </c>
      <c r="K4247" t="s">
        <v>27603</v>
      </c>
    </row>
    <row r="4248" spans="1:11" ht="288" x14ac:dyDescent="0.3">
      <c r="A4248" s="4" t="s">
        <v>7245</v>
      </c>
      <c r="B4248">
        <v>3</v>
      </c>
      <c r="C4248">
        <v>2018</v>
      </c>
      <c r="D4248" t="s">
        <v>11574</v>
      </c>
      <c r="E4248">
        <v>43</v>
      </c>
      <c r="F4248" t="s">
        <v>27604</v>
      </c>
      <c r="G4248" t="s">
        <v>27605</v>
      </c>
      <c r="H4248" s="4" t="s">
        <v>27606</v>
      </c>
      <c r="I4248" t="s">
        <v>10823</v>
      </c>
      <c r="J4248" t="s">
        <v>10782</v>
      </c>
      <c r="K4248" t="s">
        <v>27607</v>
      </c>
    </row>
    <row r="4249" spans="1:11" ht="158.4" x14ac:dyDescent="0.3">
      <c r="A4249" s="4" t="s">
        <v>7246</v>
      </c>
      <c r="B4249">
        <v>3</v>
      </c>
      <c r="C4249">
        <v>2018</v>
      </c>
      <c r="D4249" t="s">
        <v>1936</v>
      </c>
      <c r="E4249">
        <v>20</v>
      </c>
      <c r="F4249" t="s">
        <v>27608</v>
      </c>
      <c r="G4249" t="s">
        <v>27609</v>
      </c>
      <c r="H4249" s="4" t="s">
        <v>27610</v>
      </c>
      <c r="I4249" t="s">
        <v>71</v>
      </c>
      <c r="J4249" t="s">
        <v>10782</v>
      </c>
      <c r="K4249" t="s">
        <v>27611</v>
      </c>
    </row>
    <row r="4250" spans="1:11" ht="201.6" x14ac:dyDescent="0.3">
      <c r="A4250" s="4" t="s">
        <v>7247</v>
      </c>
      <c r="B4250">
        <v>3</v>
      </c>
      <c r="C4250">
        <v>2018</v>
      </c>
      <c r="D4250" t="s">
        <v>2853</v>
      </c>
      <c r="E4250">
        <v>11</v>
      </c>
      <c r="F4250" t="s">
        <v>27612</v>
      </c>
      <c r="G4250" t="s">
        <v>27613</v>
      </c>
      <c r="H4250" s="4" t="s">
        <v>27614</v>
      </c>
      <c r="I4250" t="s">
        <v>71</v>
      </c>
      <c r="J4250" t="s">
        <v>10782</v>
      </c>
      <c r="K4250" t="s">
        <v>27615</v>
      </c>
    </row>
    <row r="4251" spans="1:11" ht="28.8" x14ac:dyDescent="0.3">
      <c r="A4251" s="4" t="s">
        <v>7248</v>
      </c>
      <c r="B4251">
        <v>3</v>
      </c>
      <c r="C4251">
        <v>2018</v>
      </c>
      <c r="D4251" t="s">
        <v>637</v>
      </c>
      <c r="E4251">
        <v>91</v>
      </c>
      <c r="F4251" t="s">
        <v>27616</v>
      </c>
      <c r="G4251" t="s">
        <v>27617</v>
      </c>
      <c r="H4251" s="4" t="s">
        <v>27618</v>
      </c>
    </row>
    <row r="4252" spans="1:11" ht="187.2" x14ac:dyDescent="0.3">
      <c r="A4252" s="4" t="s">
        <v>7249</v>
      </c>
      <c r="B4252">
        <v>3</v>
      </c>
      <c r="C4252">
        <v>2018</v>
      </c>
      <c r="D4252" t="s">
        <v>27619</v>
      </c>
      <c r="E4252">
        <v>17</v>
      </c>
      <c r="F4252" t="s">
        <v>27620</v>
      </c>
      <c r="G4252" t="s">
        <v>27621</v>
      </c>
      <c r="H4252" s="4" t="s">
        <v>27622</v>
      </c>
      <c r="I4252" t="s">
        <v>71</v>
      </c>
      <c r="J4252" t="s">
        <v>10782</v>
      </c>
      <c r="K4252" t="s">
        <v>27623</v>
      </c>
    </row>
    <row r="4253" spans="1:11" ht="100.8" x14ac:dyDescent="0.3">
      <c r="A4253" s="4" t="s">
        <v>7250</v>
      </c>
      <c r="B4253">
        <v>3</v>
      </c>
      <c r="C4253">
        <v>2018</v>
      </c>
      <c r="D4253" t="s">
        <v>318</v>
      </c>
      <c r="E4253">
        <v>35</v>
      </c>
      <c r="F4253" t="s">
        <v>27624</v>
      </c>
      <c r="G4253" t="s">
        <v>27625</v>
      </c>
      <c r="H4253" s="4" t="s">
        <v>27626</v>
      </c>
    </row>
    <row r="4254" spans="1:11" ht="158.4" x14ac:dyDescent="0.3">
      <c r="A4254" s="4" t="s">
        <v>7251</v>
      </c>
      <c r="B4254">
        <v>3</v>
      </c>
      <c r="C4254">
        <v>2018</v>
      </c>
      <c r="D4254" t="s">
        <v>24329</v>
      </c>
      <c r="E4254">
        <v>40</v>
      </c>
      <c r="F4254" t="s">
        <v>27627</v>
      </c>
      <c r="G4254" t="s">
        <v>27628</v>
      </c>
      <c r="H4254" s="4" t="s">
        <v>27629</v>
      </c>
      <c r="I4254" t="s">
        <v>71</v>
      </c>
      <c r="J4254" t="s">
        <v>10782</v>
      </c>
      <c r="K4254" t="s">
        <v>27630</v>
      </c>
    </row>
    <row r="4255" spans="1:11" ht="115.2" x14ac:dyDescent="0.3">
      <c r="A4255" s="4" t="s">
        <v>7252</v>
      </c>
      <c r="B4255">
        <v>3</v>
      </c>
      <c r="C4255">
        <v>2018</v>
      </c>
      <c r="D4255" t="s">
        <v>12000</v>
      </c>
      <c r="E4255">
        <v>1</v>
      </c>
      <c r="F4255" t="s">
        <v>27631</v>
      </c>
      <c r="G4255" t="s">
        <v>27632</v>
      </c>
      <c r="H4255" s="4" t="s">
        <v>27633</v>
      </c>
      <c r="I4255" t="s">
        <v>71</v>
      </c>
      <c r="J4255" t="s">
        <v>10782</v>
      </c>
      <c r="K4255" t="s">
        <v>27634</v>
      </c>
    </row>
    <row r="4256" spans="1:11" ht="158.4" x14ac:dyDescent="0.3">
      <c r="A4256" s="4" t="s">
        <v>7253</v>
      </c>
      <c r="B4256">
        <v>3</v>
      </c>
      <c r="C4256">
        <v>2018</v>
      </c>
      <c r="D4256" t="s">
        <v>637</v>
      </c>
      <c r="E4256">
        <v>46</v>
      </c>
      <c r="F4256" t="s">
        <v>27635</v>
      </c>
      <c r="G4256" t="s">
        <v>27636</v>
      </c>
      <c r="H4256" s="4" t="s">
        <v>27637</v>
      </c>
      <c r="I4256" t="s">
        <v>71</v>
      </c>
      <c r="J4256" t="s">
        <v>10782</v>
      </c>
      <c r="K4256" t="s">
        <v>27638</v>
      </c>
    </row>
    <row r="4257" spans="1:11" ht="144" x14ac:dyDescent="0.3">
      <c r="A4257" s="4" t="s">
        <v>7254</v>
      </c>
      <c r="B4257">
        <v>3</v>
      </c>
      <c r="C4257">
        <v>2018</v>
      </c>
      <c r="D4257" t="s">
        <v>217</v>
      </c>
      <c r="E4257">
        <v>2</v>
      </c>
      <c r="F4257" t="s">
        <v>27639</v>
      </c>
      <c r="G4257" t="s">
        <v>27640</v>
      </c>
      <c r="H4257" s="4" t="s">
        <v>27641</v>
      </c>
      <c r="I4257" t="s">
        <v>71</v>
      </c>
      <c r="J4257" t="s">
        <v>10782</v>
      </c>
      <c r="K4257" t="s">
        <v>27642</v>
      </c>
    </row>
    <row r="4258" spans="1:11" ht="201.6" x14ac:dyDescent="0.3">
      <c r="A4258" s="4" t="s">
        <v>7255</v>
      </c>
      <c r="B4258">
        <v>3</v>
      </c>
      <c r="C4258">
        <v>2018</v>
      </c>
      <c r="D4258" t="s">
        <v>26372</v>
      </c>
      <c r="E4258">
        <v>14</v>
      </c>
      <c r="F4258" t="s">
        <v>27643</v>
      </c>
      <c r="G4258" t="s">
        <v>27644</v>
      </c>
      <c r="H4258" s="4" t="s">
        <v>27645</v>
      </c>
      <c r="I4258" t="s">
        <v>71</v>
      </c>
      <c r="J4258" t="s">
        <v>10782</v>
      </c>
      <c r="K4258" t="s">
        <v>27646</v>
      </c>
    </row>
    <row r="4259" spans="1:11" ht="259.2" x14ac:dyDescent="0.3">
      <c r="A4259" s="4" t="s">
        <v>7256</v>
      </c>
      <c r="B4259">
        <v>3</v>
      </c>
      <c r="C4259">
        <v>2018</v>
      </c>
      <c r="D4259" t="s">
        <v>26372</v>
      </c>
      <c r="E4259">
        <v>19</v>
      </c>
      <c r="F4259" t="s">
        <v>27647</v>
      </c>
      <c r="G4259" t="s">
        <v>27648</v>
      </c>
      <c r="H4259" s="4" t="s">
        <v>27649</v>
      </c>
      <c r="I4259" t="s">
        <v>71</v>
      </c>
      <c r="J4259" t="s">
        <v>10782</v>
      </c>
      <c r="K4259" t="s">
        <v>27650</v>
      </c>
    </row>
    <row r="4260" spans="1:11" ht="172.8" x14ac:dyDescent="0.3">
      <c r="A4260" s="4" t="s">
        <v>7257</v>
      </c>
      <c r="B4260">
        <v>3</v>
      </c>
      <c r="C4260">
        <v>2018</v>
      </c>
      <c r="D4260" t="s">
        <v>1525</v>
      </c>
      <c r="E4260">
        <v>7</v>
      </c>
      <c r="F4260" t="s">
        <v>27651</v>
      </c>
      <c r="G4260" t="s">
        <v>27652</v>
      </c>
      <c r="H4260" s="4" t="s">
        <v>27653</v>
      </c>
      <c r="I4260" t="s">
        <v>71</v>
      </c>
      <c r="J4260" t="s">
        <v>10782</v>
      </c>
      <c r="K4260" t="s">
        <v>27654</v>
      </c>
    </row>
    <row r="4261" spans="1:11" ht="201.6" x14ac:dyDescent="0.3">
      <c r="A4261" s="4" t="s">
        <v>7258</v>
      </c>
      <c r="B4261">
        <v>3</v>
      </c>
      <c r="C4261">
        <v>2018</v>
      </c>
      <c r="D4261" t="s">
        <v>2819</v>
      </c>
      <c r="E4261">
        <v>22</v>
      </c>
      <c r="F4261" t="s">
        <v>27655</v>
      </c>
      <c r="G4261" t="s">
        <v>27656</v>
      </c>
      <c r="H4261" s="4" t="s">
        <v>27657</v>
      </c>
      <c r="I4261" t="s">
        <v>71</v>
      </c>
      <c r="J4261" t="s">
        <v>10782</v>
      </c>
      <c r="K4261" t="s">
        <v>27658</v>
      </c>
    </row>
    <row r="4262" spans="1:11" ht="144" x14ac:dyDescent="0.3">
      <c r="A4262" s="4" t="s">
        <v>7259</v>
      </c>
      <c r="B4262">
        <v>3</v>
      </c>
      <c r="C4262">
        <v>2018</v>
      </c>
      <c r="D4262" t="s">
        <v>10796</v>
      </c>
      <c r="E4262">
        <v>33</v>
      </c>
      <c r="F4262" t="s">
        <v>27659</v>
      </c>
      <c r="G4262" t="s">
        <v>27660</v>
      </c>
      <c r="H4262" s="4" t="s">
        <v>27661</v>
      </c>
      <c r="I4262" t="s">
        <v>71</v>
      </c>
      <c r="J4262" t="s">
        <v>10782</v>
      </c>
      <c r="K4262" t="s">
        <v>27662</v>
      </c>
    </row>
    <row r="4263" spans="1:11" ht="115.2" x14ac:dyDescent="0.3">
      <c r="A4263" s="4" t="s">
        <v>7260</v>
      </c>
      <c r="B4263">
        <v>3</v>
      </c>
      <c r="C4263">
        <v>2018</v>
      </c>
      <c r="D4263" t="s">
        <v>21140</v>
      </c>
      <c r="E4263">
        <v>91</v>
      </c>
      <c r="F4263" t="s">
        <v>27663</v>
      </c>
      <c r="G4263" t="s">
        <v>27664</v>
      </c>
      <c r="H4263" s="4" t="s">
        <v>27665</v>
      </c>
      <c r="I4263" t="s">
        <v>71</v>
      </c>
      <c r="J4263" t="s">
        <v>10782</v>
      </c>
      <c r="K4263" t="s">
        <v>27666</v>
      </c>
    </row>
    <row r="4264" spans="1:11" ht="216" x14ac:dyDescent="0.3">
      <c r="A4264" s="4" t="s">
        <v>7261</v>
      </c>
      <c r="B4264">
        <v>3</v>
      </c>
      <c r="C4264">
        <v>2018</v>
      </c>
      <c r="D4264" t="s">
        <v>217</v>
      </c>
      <c r="E4264">
        <v>34</v>
      </c>
      <c r="F4264" t="s">
        <v>27667</v>
      </c>
      <c r="G4264" t="s">
        <v>27668</v>
      </c>
      <c r="H4264" s="4" t="s">
        <v>27669</v>
      </c>
      <c r="I4264" t="s">
        <v>71</v>
      </c>
      <c r="J4264" t="s">
        <v>10782</v>
      </c>
      <c r="K4264" t="s">
        <v>27670</v>
      </c>
    </row>
    <row r="4265" spans="1:11" ht="201.6" x14ac:dyDescent="0.3">
      <c r="A4265" s="4" t="s">
        <v>7262</v>
      </c>
      <c r="B4265">
        <v>3</v>
      </c>
      <c r="C4265">
        <v>2018</v>
      </c>
      <c r="D4265" t="s">
        <v>1525</v>
      </c>
      <c r="E4265">
        <v>27</v>
      </c>
      <c r="F4265" t="s">
        <v>27671</v>
      </c>
      <c r="G4265" t="s">
        <v>27672</v>
      </c>
      <c r="H4265" s="4" t="s">
        <v>27673</v>
      </c>
      <c r="I4265" t="s">
        <v>71</v>
      </c>
      <c r="J4265" t="s">
        <v>10782</v>
      </c>
      <c r="K4265" t="s">
        <v>27674</v>
      </c>
    </row>
    <row r="4266" spans="1:11" ht="216" x14ac:dyDescent="0.3">
      <c r="A4266" s="4" t="s">
        <v>7263</v>
      </c>
      <c r="B4266">
        <v>3</v>
      </c>
      <c r="C4266">
        <v>2018</v>
      </c>
      <c r="D4266" t="s">
        <v>2628</v>
      </c>
      <c r="E4266">
        <v>20</v>
      </c>
      <c r="F4266" t="s">
        <v>27675</v>
      </c>
      <c r="G4266" t="s">
        <v>27676</v>
      </c>
      <c r="H4266" s="4" t="s">
        <v>27677</v>
      </c>
    </row>
    <row r="4267" spans="1:11" ht="129.6" x14ac:dyDescent="0.3">
      <c r="A4267" s="4" t="s">
        <v>7264</v>
      </c>
      <c r="B4267">
        <v>3</v>
      </c>
      <c r="C4267">
        <v>2018</v>
      </c>
      <c r="D4267" t="s">
        <v>637</v>
      </c>
      <c r="E4267">
        <v>36</v>
      </c>
      <c r="F4267" t="s">
        <v>27678</v>
      </c>
      <c r="G4267" t="s">
        <v>27679</v>
      </c>
      <c r="H4267" s="4" t="s">
        <v>27680</v>
      </c>
      <c r="I4267" t="s">
        <v>71</v>
      </c>
      <c r="J4267" t="s">
        <v>10782</v>
      </c>
      <c r="K4267" t="s">
        <v>27681</v>
      </c>
    </row>
    <row r="4268" spans="1:11" ht="115.2" x14ac:dyDescent="0.3">
      <c r="A4268" s="4" t="s">
        <v>7265</v>
      </c>
      <c r="B4268">
        <v>3</v>
      </c>
      <c r="C4268">
        <v>2018</v>
      </c>
      <c r="D4268" t="s">
        <v>550</v>
      </c>
      <c r="E4268">
        <v>21</v>
      </c>
      <c r="F4268" t="s">
        <v>27682</v>
      </c>
      <c r="G4268" t="s">
        <v>27683</v>
      </c>
      <c r="H4268" s="4" t="s">
        <v>27684</v>
      </c>
      <c r="I4268" t="s">
        <v>71</v>
      </c>
      <c r="J4268" t="s">
        <v>10782</v>
      </c>
      <c r="K4268" t="s">
        <v>27685</v>
      </c>
    </row>
    <row r="4269" spans="1:11" ht="172.8" x14ac:dyDescent="0.3">
      <c r="A4269" s="4" t="s">
        <v>7266</v>
      </c>
      <c r="B4269">
        <v>3</v>
      </c>
      <c r="C4269">
        <v>2018</v>
      </c>
      <c r="D4269" t="s">
        <v>21140</v>
      </c>
      <c r="E4269">
        <v>12</v>
      </c>
      <c r="F4269" t="s">
        <v>27686</v>
      </c>
      <c r="G4269" t="s">
        <v>27687</v>
      </c>
      <c r="H4269" s="4" t="s">
        <v>27688</v>
      </c>
      <c r="I4269" t="s">
        <v>71</v>
      </c>
      <c r="J4269" t="s">
        <v>10782</v>
      </c>
      <c r="K4269" t="s">
        <v>27689</v>
      </c>
    </row>
    <row r="4270" spans="1:11" ht="172.8" x14ac:dyDescent="0.3">
      <c r="A4270" s="4" t="s">
        <v>7267</v>
      </c>
      <c r="B4270">
        <v>3</v>
      </c>
      <c r="C4270">
        <v>2018</v>
      </c>
      <c r="D4270" t="s">
        <v>622</v>
      </c>
      <c r="E4270">
        <v>9</v>
      </c>
      <c r="F4270" t="s">
        <v>27690</v>
      </c>
      <c r="G4270" t="s">
        <v>27691</v>
      </c>
      <c r="H4270" s="4" t="s">
        <v>27692</v>
      </c>
      <c r="I4270" t="s">
        <v>71</v>
      </c>
      <c r="J4270" t="s">
        <v>10782</v>
      </c>
      <c r="K4270" t="s">
        <v>27693</v>
      </c>
    </row>
    <row r="4271" spans="1:11" ht="187.2" x14ac:dyDescent="0.3">
      <c r="A4271" s="4" t="s">
        <v>7268</v>
      </c>
      <c r="B4271">
        <v>3</v>
      </c>
      <c r="C4271">
        <v>2018</v>
      </c>
      <c r="D4271" t="s">
        <v>1936</v>
      </c>
      <c r="E4271">
        <v>41</v>
      </c>
      <c r="F4271" t="s">
        <v>27694</v>
      </c>
      <c r="G4271" t="s">
        <v>27695</v>
      </c>
      <c r="H4271" s="4" t="s">
        <v>27696</v>
      </c>
      <c r="I4271" t="s">
        <v>71</v>
      </c>
      <c r="J4271" t="s">
        <v>10782</v>
      </c>
      <c r="K4271" t="s">
        <v>27697</v>
      </c>
    </row>
    <row r="4272" spans="1:11" ht="201.6" x14ac:dyDescent="0.3">
      <c r="A4272" s="4" t="s">
        <v>7269</v>
      </c>
      <c r="B4272">
        <v>3</v>
      </c>
      <c r="C4272">
        <v>2018</v>
      </c>
      <c r="D4272" t="s">
        <v>147</v>
      </c>
      <c r="E4272">
        <v>32</v>
      </c>
      <c r="F4272" t="s">
        <v>27698</v>
      </c>
      <c r="G4272" t="s">
        <v>27699</v>
      </c>
      <c r="H4272" s="4" t="s">
        <v>27700</v>
      </c>
      <c r="I4272" t="s">
        <v>71</v>
      </c>
      <c r="J4272" t="s">
        <v>10782</v>
      </c>
      <c r="K4272" t="s">
        <v>27701</v>
      </c>
    </row>
    <row r="4273" spans="1:11" ht="187.2" x14ac:dyDescent="0.3">
      <c r="A4273" s="4" t="s">
        <v>7270</v>
      </c>
      <c r="B4273">
        <v>3</v>
      </c>
      <c r="C4273">
        <v>2018</v>
      </c>
      <c r="D4273" t="s">
        <v>1770</v>
      </c>
      <c r="E4273">
        <v>44</v>
      </c>
      <c r="F4273" t="s">
        <v>27702</v>
      </c>
      <c r="G4273" t="s">
        <v>27703</v>
      </c>
      <c r="H4273" s="4" t="s">
        <v>27704</v>
      </c>
      <c r="I4273" t="s">
        <v>71</v>
      </c>
      <c r="J4273" t="s">
        <v>10782</v>
      </c>
      <c r="K4273" t="s">
        <v>27705</v>
      </c>
    </row>
    <row r="4274" spans="1:11" ht="144" x14ac:dyDescent="0.3">
      <c r="A4274" s="4" t="s">
        <v>7271</v>
      </c>
      <c r="B4274">
        <v>3</v>
      </c>
      <c r="C4274">
        <v>2018</v>
      </c>
      <c r="D4274" t="s">
        <v>329</v>
      </c>
      <c r="E4274">
        <v>16</v>
      </c>
      <c r="F4274" t="s">
        <v>27706</v>
      </c>
      <c r="G4274" t="s">
        <v>27707</v>
      </c>
      <c r="H4274" s="4" t="s">
        <v>27708</v>
      </c>
      <c r="I4274" t="s">
        <v>71</v>
      </c>
      <c r="J4274" t="s">
        <v>10782</v>
      </c>
      <c r="K4274" t="s">
        <v>27709</v>
      </c>
    </row>
    <row r="4275" spans="1:11" ht="244.8" x14ac:dyDescent="0.3">
      <c r="A4275" s="4" t="s">
        <v>7272</v>
      </c>
      <c r="B4275">
        <v>3</v>
      </c>
      <c r="C4275">
        <v>2018</v>
      </c>
      <c r="D4275" t="s">
        <v>1836</v>
      </c>
      <c r="E4275">
        <v>45</v>
      </c>
      <c r="F4275" t="s">
        <v>27710</v>
      </c>
      <c r="G4275" t="s">
        <v>27711</v>
      </c>
      <c r="H4275" s="4" t="s">
        <v>27712</v>
      </c>
      <c r="I4275" t="s">
        <v>71</v>
      </c>
      <c r="J4275" t="s">
        <v>10782</v>
      </c>
      <c r="K4275" t="s">
        <v>27713</v>
      </c>
    </row>
    <row r="4276" spans="1:11" ht="230.4" x14ac:dyDescent="0.3">
      <c r="A4276" s="4" t="s">
        <v>7273</v>
      </c>
      <c r="B4276">
        <v>3</v>
      </c>
      <c r="C4276">
        <v>2018</v>
      </c>
      <c r="D4276" t="s">
        <v>83</v>
      </c>
      <c r="E4276">
        <v>1</v>
      </c>
      <c r="F4276" t="s">
        <v>27714</v>
      </c>
      <c r="G4276" t="s">
        <v>27715</v>
      </c>
      <c r="H4276" s="4" t="s">
        <v>27716</v>
      </c>
      <c r="I4276" t="s">
        <v>71</v>
      </c>
      <c r="J4276" t="s">
        <v>10782</v>
      </c>
      <c r="K4276" t="s">
        <v>27717</v>
      </c>
    </row>
    <row r="4277" spans="1:11" ht="244.8" x14ac:dyDescent="0.3">
      <c r="A4277" s="4" t="s">
        <v>7274</v>
      </c>
      <c r="B4277">
        <v>3</v>
      </c>
      <c r="C4277">
        <v>2018</v>
      </c>
      <c r="D4277" t="s">
        <v>10924</v>
      </c>
      <c r="E4277">
        <v>11</v>
      </c>
      <c r="F4277" t="s">
        <v>27718</v>
      </c>
      <c r="G4277" t="s">
        <v>27719</v>
      </c>
      <c r="H4277" s="4" t="s">
        <v>27720</v>
      </c>
      <c r="I4277" t="s">
        <v>71</v>
      </c>
      <c r="J4277" t="s">
        <v>10782</v>
      </c>
      <c r="K4277" t="s">
        <v>27721</v>
      </c>
    </row>
    <row r="4278" spans="1:11" ht="187.2" x14ac:dyDescent="0.3">
      <c r="A4278" s="4" t="s">
        <v>7275</v>
      </c>
      <c r="B4278">
        <v>3</v>
      </c>
      <c r="C4278">
        <v>2018</v>
      </c>
      <c r="D4278" t="s">
        <v>1125</v>
      </c>
      <c r="E4278">
        <v>12</v>
      </c>
      <c r="F4278" t="s">
        <v>27722</v>
      </c>
      <c r="G4278" t="s">
        <v>27723</v>
      </c>
      <c r="H4278" s="4" t="s">
        <v>27724</v>
      </c>
      <c r="I4278" t="s">
        <v>71</v>
      </c>
      <c r="J4278" t="s">
        <v>10782</v>
      </c>
      <c r="K4278" t="s">
        <v>27725</v>
      </c>
    </row>
    <row r="4279" spans="1:11" ht="187.2" x14ac:dyDescent="0.3">
      <c r="A4279" s="4" t="s">
        <v>7276</v>
      </c>
      <c r="B4279">
        <v>3</v>
      </c>
      <c r="C4279">
        <v>2018</v>
      </c>
      <c r="D4279" t="s">
        <v>550</v>
      </c>
      <c r="E4279">
        <v>6</v>
      </c>
      <c r="F4279" t="s">
        <v>27726</v>
      </c>
      <c r="G4279" t="s">
        <v>27727</v>
      </c>
      <c r="H4279" s="4" t="s">
        <v>27728</v>
      </c>
      <c r="I4279" t="s">
        <v>71</v>
      </c>
      <c r="J4279" t="s">
        <v>10782</v>
      </c>
      <c r="K4279" t="s">
        <v>27729</v>
      </c>
    </row>
    <row r="4280" spans="1:11" ht="43.2" x14ac:dyDescent="0.3">
      <c r="A4280" s="4" t="s">
        <v>7277</v>
      </c>
      <c r="B4280">
        <v>3</v>
      </c>
      <c r="C4280">
        <v>2018</v>
      </c>
      <c r="D4280" t="s">
        <v>1570</v>
      </c>
      <c r="E4280">
        <v>13</v>
      </c>
      <c r="F4280" t="s">
        <v>27730</v>
      </c>
      <c r="G4280" t="s">
        <v>27731</v>
      </c>
      <c r="H4280" s="4" t="s">
        <v>27732</v>
      </c>
      <c r="I4280" t="s">
        <v>27733</v>
      </c>
    </row>
    <row r="4281" spans="1:11" ht="244.8" x14ac:dyDescent="0.3">
      <c r="A4281" s="4" t="s">
        <v>7278</v>
      </c>
      <c r="B4281">
        <v>3</v>
      </c>
      <c r="C4281">
        <v>2018</v>
      </c>
      <c r="D4281" t="s">
        <v>1849</v>
      </c>
      <c r="E4281">
        <v>93</v>
      </c>
      <c r="F4281" t="s">
        <v>27734</v>
      </c>
      <c r="G4281" t="s">
        <v>27735</v>
      </c>
      <c r="H4281" s="4" t="s">
        <v>27736</v>
      </c>
      <c r="I4281" t="s">
        <v>71</v>
      </c>
      <c r="J4281" t="s">
        <v>10782</v>
      </c>
      <c r="K4281" t="s">
        <v>27737</v>
      </c>
    </row>
    <row r="4282" spans="1:11" ht="129.6" x14ac:dyDescent="0.3">
      <c r="A4282" s="4" t="s">
        <v>7279</v>
      </c>
      <c r="B4282">
        <v>3</v>
      </c>
      <c r="C4282">
        <v>2018</v>
      </c>
      <c r="D4282" t="s">
        <v>318</v>
      </c>
      <c r="E4282">
        <v>30</v>
      </c>
      <c r="F4282" t="s">
        <v>27738</v>
      </c>
      <c r="G4282" t="s">
        <v>27739</v>
      </c>
      <c r="H4282" s="4" t="s">
        <v>27740</v>
      </c>
      <c r="I4282" t="s">
        <v>71</v>
      </c>
      <c r="J4282" t="s">
        <v>10782</v>
      </c>
      <c r="K4282" t="s">
        <v>27741</v>
      </c>
    </row>
    <row r="4283" spans="1:11" ht="172.8" x14ac:dyDescent="0.3">
      <c r="A4283" s="4" t="s">
        <v>3372</v>
      </c>
      <c r="B4283">
        <v>1</v>
      </c>
      <c r="C4283">
        <v>2018</v>
      </c>
      <c r="D4283" t="s">
        <v>217</v>
      </c>
      <c r="E4283">
        <v>14</v>
      </c>
      <c r="F4283" t="s">
        <v>27742</v>
      </c>
      <c r="G4283" t="s">
        <v>27743</v>
      </c>
      <c r="H4283" s="4" t="s">
        <v>27744</v>
      </c>
      <c r="I4283" t="s">
        <v>71</v>
      </c>
      <c r="J4283" t="s">
        <v>10782</v>
      </c>
      <c r="K4283" t="s">
        <v>27745</v>
      </c>
    </row>
    <row r="4284" spans="1:11" ht="244.8" x14ac:dyDescent="0.3">
      <c r="A4284" s="4" t="s">
        <v>7280</v>
      </c>
      <c r="B4284">
        <v>3</v>
      </c>
      <c r="C4284">
        <v>2018</v>
      </c>
      <c r="D4284" t="s">
        <v>14346</v>
      </c>
      <c r="E4284">
        <v>0</v>
      </c>
      <c r="F4284" t="s">
        <v>27746</v>
      </c>
      <c r="G4284" t="s">
        <v>27747</v>
      </c>
      <c r="H4284" s="4" t="s">
        <v>27748</v>
      </c>
      <c r="I4284" t="s">
        <v>71</v>
      </c>
      <c r="J4284" t="s">
        <v>10782</v>
      </c>
      <c r="K4284" t="s">
        <v>27749</v>
      </c>
    </row>
    <row r="4285" spans="1:11" ht="158.4" x14ac:dyDescent="0.3">
      <c r="A4285" s="4" t="s">
        <v>7281</v>
      </c>
      <c r="B4285">
        <v>3</v>
      </c>
      <c r="C4285">
        <v>2018</v>
      </c>
      <c r="D4285" t="s">
        <v>14863</v>
      </c>
      <c r="E4285">
        <v>52</v>
      </c>
      <c r="F4285" t="s">
        <v>27750</v>
      </c>
      <c r="G4285" t="s">
        <v>27751</v>
      </c>
      <c r="H4285" s="4" t="s">
        <v>27752</v>
      </c>
      <c r="I4285" t="s">
        <v>71</v>
      </c>
      <c r="J4285" t="s">
        <v>10782</v>
      </c>
      <c r="K4285" t="s">
        <v>27753</v>
      </c>
    </row>
    <row r="4286" spans="1:11" ht="129.6" x14ac:dyDescent="0.3">
      <c r="A4286" s="4" t="s">
        <v>7282</v>
      </c>
      <c r="B4286">
        <v>3</v>
      </c>
      <c r="C4286">
        <v>2018</v>
      </c>
      <c r="D4286" t="s">
        <v>2819</v>
      </c>
      <c r="E4286">
        <v>9</v>
      </c>
      <c r="F4286" t="s">
        <v>27754</v>
      </c>
      <c r="G4286" t="s">
        <v>27755</v>
      </c>
      <c r="H4286" s="4" t="s">
        <v>27756</v>
      </c>
      <c r="I4286" t="s">
        <v>71</v>
      </c>
      <c r="J4286" t="s">
        <v>10782</v>
      </c>
      <c r="K4286" t="s">
        <v>27757</v>
      </c>
    </row>
    <row r="4287" spans="1:11" ht="144" x14ac:dyDescent="0.3">
      <c r="A4287" s="4" t="s">
        <v>7283</v>
      </c>
      <c r="B4287">
        <v>3</v>
      </c>
      <c r="C4287">
        <v>2018</v>
      </c>
      <c r="D4287" t="s">
        <v>329</v>
      </c>
      <c r="E4287">
        <v>17</v>
      </c>
      <c r="F4287" t="s">
        <v>27758</v>
      </c>
      <c r="G4287" t="s">
        <v>27759</v>
      </c>
      <c r="H4287" s="4" t="s">
        <v>27760</v>
      </c>
    </row>
    <row r="4288" spans="1:11" ht="129.6" x14ac:dyDescent="0.3">
      <c r="A4288" s="4" t="s">
        <v>7284</v>
      </c>
      <c r="B4288">
        <v>3</v>
      </c>
      <c r="C4288">
        <v>2018</v>
      </c>
      <c r="D4288" t="s">
        <v>18774</v>
      </c>
      <c r="E4288">
        <v>12</v>
      </c>
      <c r="F4288" t="s">
        <v>27761</v>
      </c>
      <c r="G4288" t="s">
        <v>27762</v>
      </c>
      <c r="H4288" s="4" t="s">
        <v>27763</v>
      </c>
      <c r="I4288" t="s">
        <v>71</v>
      </c>
      <c r="J4288" t="s">
        <v>10782</v>
      </c>
      <c r="K4288" t="s">
        <v>27764</v>
      </c>
    </row>
    <row r="4289" spans="1:11" ht="158.4" x14ac:dyDescent="0.3">
      <c r="A4289" s="4" t="s">
        <v>7285</v>
      </c>
      <c r="B4289">
        <v>3</v>
      </c>
      <c r="C4289">
        <v>2018</v>
      </c>
      <c r="D4289" t="s">
        <v>147</v>
      </c>
      <c r="E4289">
        <v>44</v>
      </c>
      <c r="F4289" t="s">
        <v>27765</v>
      </c>
      <c r="G4289" t="s">
        <v>27766</v>
      </c>
      <c r="H4289" s="4" t="s">
        <v>27767</v>
      </c>
      <c r="I4289" t="s">
        <v>71</v>
      </c>
      <c r="J4289" t="s">
        <v>10782</v>
      </c>
      <c r="K4289" t="s">
        <v>27768</v>
      </c>
    </row>
    <row r="4290" spans="1:11" ht="273.60000000000002" x14ac:dyDescent="0.3">
      <c r="A4290" s="4" t="s">
        <v>7286</v>
      </c>
      <c r="B4290">
        <v>3</v>
      </c>
      <c r="C4290">
        <v>2018</v>
      </c>
      <c r="D4290" t="s">
        <v>11658</v>
      </c>
      <c r="E4290">
        <v>56</v>
      </c>
      <c r="F4290" t="s">
        <v>27769</v>
      </c>
      <c r="G4290" t="s">
        <v>27770</v>
      </c>
      <c r="H4290" s="4" t="s">
        <v>27771</v>
      </c>
      <c r="I4290" t="s">
        <v>71</v>
      </c>
      <c r="J4290" t="s">
        <v>10782</v>
      </c>
      <c r="K4290" t="s">
        <v>27772</v>
      </c>
    </row>
    <row r="4291" spans="1:11" ht="129.6" x14ac:dyDescent="0.3">
      <c r="A4291" s="4" t="s">
        <v>7287</v>
      </c>
      <c r="B4291">
        <v>3</v>
      </c>
      <c r="C4291">
        <v>2018</v>
      </c>
      <c r="D4291" t="s">
        <v>1836</v>
      </c>
      <c r="E4291">
        <v>94</v>
      </c>
      <c r="F4291" t="s">
        <v>27773</v>
      </c>
      <c r="G4291" t="s">
        <v>27774</v>
      </c>
      <c r="H4291" s="4" t="s">
        <v>27775</v>
      </c>
    </row>
    <row r="4292" spans="1:11" ht="172.8" x14ac:dyDescent="0.3">
      <c r="A4292" s="4" t="s">
        <v>1689</v>
      </c>
      <c r="B4292">
        <v>1</v>
      </c>
      <c r="C4292">
        <v>2018</v>
      </c>
      <c r="D4292" t="s">
        <v>1525</v>
      </c>
      <c r="E4292">
        <v>57</v>
      </c>
      <c r="F4292" t="s">
        <v>27776</v>
      </c>
      <c r="G4292" t="s">
        <v>27777</v>
      </c>
      <c r="H4292" s="4" t="s">
        <v>27778</v>
      </c>
      <c r="I4292" t="s">
        <v>71</v>
      </c>
      <c r="J4292" t="s">
        <v>10782</v>
      </c>
      <c r="K4292" t="s">
        <v>27779</v>
      </c>
    </row>
    <row r="4293" spans="1:11" ht="144" x14ac:dyDescent="0.3">
      <c r="A4293" s="4" t="s">
        <v>7288</v>
      </c>
      <c r="B4293">
        <v>3</v>
      </c>
      <c r="C4293">
        <v>2018</v>
      </c>
      <c r="D4293" t="s">
        <v>80</v>
      </c>
      <c r="E4293">
        <v>60</v>
      </c>
      <c r="F4293" t="s">
        <v>27780</v>
      </c>
      <c r="G4293" t="s">
        <v>27781</v>
      </c>
      <c r="H4293" s="4" t="s">
        <v>27782</v>
      </c>
    </row>
    <row r="4294" spans="1:11" ht="100.8" x14ac:dyDescent="0.3">
      <c r="A4294" s="4" t="s">
        <v>7289</v>
      </c>
      <c r="B4294">
        <v>3</v>
      </c>
      <c r="C4294">
        <v>2018</v>
      </c>
      <c r="D4294" t="s">
        <v>11041</v>
      </c>
      <c r="E4294">
        <v>35</v>
      </c>
      <c r="F4294" t="s">
        <v>27783</v>
      </c>
      <c r="G4294" t="s">
        <v>27784</v>
      </c>
      <c r="H4294" s="4" t="s">
        <v>27785</v>
      </c>
    </row>
    <row r="4295" spans="1:11" ht="187.2" x14ac:dyDescent="0.3">
      <c r="A4295" s="4" t="s">
        <v>7290</v>
      </c>
      <c r="B4295">
        <v>3</v>
      </c>
      <c r="C4295">
        <v>2018</v>
      </c>
      <c r="D4295" t="s">
        <v>497</v>
      </c>
      <c r="E4295">
        <v>54</v>
      </c>
      <c r="F4295" t="s">
        <v>27786</v>
      </c>
      <c r="G4295" t="s">
        <v>27787</v>
      </c>
      <c r="H4295" s="4" t="s">
        <v>27788</v>
      </c>
      <c r="I4295" t="s">
        <v>71</v>
      </c>
      <c r="J4295" t="s">
        <v>10782</v>
      </c>
      <c r="K4295" t="s">
        <v>27789</v>
      </c>
    </row>
    <row r="4296" spans="1:11" ht="201.6" x14ac:dyDescent="0.3">
      <c r="A4296" s="4" t="s">
        <v>7291</v>
      </c>
      <c r="B4296">
        <v>3</v>
      </c>
      <c r="C4296">
        <v>2018</v>
      </c>
      <c r="D4296" t="s">
        <v>128</v>
      </c>
      <c r="E4296">
        <v>12</v>
      </c>
      <c r="F4296" t="s">
        <v>27790</v>
      </c>
      <c r="G4296" t="s">
        <v>27791</v>
      </c>
      <c r="H4296" s="4" t="s">
        <v>27792</v>
      </c>
      <c r="I4296" t="s">
        <v>71</v>
      </c>
      <c r="J4296" t="s">
        <v>10782</v>
      </c>
      <c r="K4296" t="s">
        <v>27793</v>
      </c>
    </row>
    <row r="4297" spans="1:11" ht="158.4" x14ac:dyDescent="0.3">
      <c r="A4297" s="4" t="s">
        <v>7292</v>
      </c>
      <c r="B4297">
        <v>3</v>
      </c>
      <c r="C4297">
        <v>2018</v>
      </c>
      <c r="D4297" t="s">
        <v>2853</v>
      </c>
      <c r="E4297">
        <v>96</v>
      </c>
      <c r="F4297" t="s">
        <v>27794</v>
      </c>
      <c r="G4297" t="s">
        <v>27795</v>
      </c>
      <c r="H4297" s="4" t="s">
        <v>27796</v>
      </c>
      <c r="I4297" t="s">
        <v>71</v>
      </c>
      <c r="J4297" t="s">
        <v>10782</v>
      </c>
      <c r="K4297" t="s">
        <v>27797</v>
      </c>
    </row>
    <row r="4298" spans="1:11" ht="172.8" x14ac:dyDescent="0.3">
      <c r="A4298" s="4" t="s">
        <v>7293</v>
      </c>
      <c r="B4298">
        <v>3</v>
      </c>
      <c r="C4298">
        <v>2018</v>
      </c>
      <c r="D4298" t="s">
        <v>1570</v>
      </c>
      <c r="E4298">
        <v>33</v>
      </c>
      <c r="F4298" t="s">
        <v>27798</v>
      </c>
      <c r="G4298" t="s">
        <v>27799</v>
      </c>
      <c r="H4298" s="4" t="s">
        <v>27800</v>
      </c>
    </row>
    <row r="4299" spans="1:11" ht="158.4" x14ac:dyDescent="0.3">
      <c r="A4299" s="4" t="s">
        <v>7294</v>
      </c>
      <c r="B4299">
        <v>3</v>
      </c>
      <c r="C4299">
        <v>2018</v>
      </c>
      <c r="D4299" t="s">
        <v>799</v>
      </c>
      <c r="E4299">
        <v>30</v>
      </c>
      <c r="F4299" t="s">
        <v>27801</v>
      </c>
      <c r="G4299" t="s">
        <v>27802</v>
      </c>
      <c r="H4299" s="4" t="s">
        <v>27803</v>
      </c>
      <c r="I4299" t="s">
        <v>71</v>
      </c>
      <c r="J4299" t="s">
        <v>10782</v>
      </c>
      <c r="K4299" t="s">
        <v>27804</v>
      </c>
    </row>
    <row r="4300" spans="1:11" ht="57.6" x14ac:dyDescent="0.3">
      <c r="A4300" s="4" t="s">
        <v>7295</v>
      </c>
      <c r="B4300">
        <v>3</v>
      </c>
      <c r="C4300">
        <v>2018</v>
      </c>
      <c r="D4300" t="s">
        <v>434</v>
      </c>
      <c r="E4300">
        <v>14</v>
      </c>
      <c r="F4300" t="s">
        <v>27805</v>
      </c>
      <c r="G4300" t="s">
        <v>27806</v>
      </c>
      <c r="H4300" s="4" t="s">
        <v>27807</v>
      </c>
    </row>
    <row r="4301" spans="1:11" ht="187.2" x14ac:dyDescent="0.3">
      <c r="A4301" s="4" t="s">
        <v>3600</v>
      </c>
      <c r="B4301">
        <v>2</v>
      </c>
      <c r="C4301">
        <v>2018</v>
      </c>
      <c r="D4301" t="s">
        <v>217</v>
      </c>
      <c r="E4301">
        <v>47</v>
      </c>
      <c r="F4301" t="s">
        <v>27808</v>
      </c>
      <c r="G4301" t="s">
        <v>27809</v>
      </c>
      <c r="H4301" s="4" t="s">
        <v>27810</v>
      </c>
      <c r="I4301" t="s">
        <v>71</v>
      </c>
      <c r="J4301" t="s">
        <v>10782</v>
      </c>
      <c r="K4301" t="s">
        <v>27811</v>
      </c>
    </row>
    <row r="4302" spans="1:11" ht="129.6" x14ac:dyDescent="0.3">
      <c r="A4302" s="4" t="s">
        <v>7296</v>
      </c>
      <c r="B4302">
        <v>3</v>
      </c>
      <c r="C4302">
        <v>2018</v>
      </c>
      <c r="D4302" t="s">
        <v>147</v>
      </c>
      <c r="E4302">
        <v>40</v>
      </c>
      <c r="F4302" t="s">
        <v>27812</v>
      </c>
      <c r="G4302" t="s">
        <v>27813</v>
      </c>
      <c r="H4302" s="4" t="s">
        <v>27814</v>
      </c>
      <c r="I4302" t="s">
        <v>71</v>
      </c>
      <c r="J4302" t="s">
        <v>10782</v>
      </c>
      <c r="K4302" t="s">
        <v>27815</v>
      </c>
    </row>
    <row r="4303" spans="1:11" ht="187.2" x14ac:dyDescent="0.3">
      <c r="A4303" s="4" t="s">
        <v>7297</v>
      </c>
      <c r="B4303">
        <v>3</v>
      </c>
      <c r="C4303">
        <v>2018</v>
      </c>
      <c r="D4303" t="s">
        <v>10924</v>
      </c>
      <c r="E4303">
        <v>29</v>
      </c>
      <c r="F4303" t="s">
        <v>27816</v>
      </c>
      <c r="G4303" t="s">
        <v>27817</v>
      </c>
      <c r="H4303" s="4" t="s">
        <v>27818</v>
      </c>
      <c r="I4303" t="s">
        <v>71</v>
      </c>
      <c r="J4303" t="s">
        <v>10782</v>
      </c>
      <c r="K4303" t="s">
        <v>27819</v>
      </c>
    </row>
    <row r="4304" spans="1:11" ht="86.4" x14ac:dyDescent="0.3">
      <c r="A4304" s="4" t="s">
        <v>7298</v>
      </c>
      <c r="B4304">
        <v>3</v>
      </c>
      <c r="C4304">
        <v>2018</v>
      </c>
      <c r="D4304" t="s">
        <v>21994</v>
      </c>
      <c r="E4304">
        <v>0</v>
      </c>
      <c r="F4304" t="s">
        <v>27820</v>
      </c>
      <c r="G4304" t="s">
        <v>27821</v>
      </c>
      <c r="H4304" s="4" t="s">
        <v>27822</v>
      </c>
      <c r="I4304" t="s">
        <v>71</v>
      </c>
      <c r="J4304" t="s">
        <v>10782</v>
      </c>
      <c r="K4304" t="s">
        <v>27823</v>
      </c>
    </row>
    <row r="4305" spans="1:11" ht="259.2" x14ac:dyDescent="0.3">
      <c r="A4305" s="4" t="s">
        <v>7299</v>
      </c>
      <c r="B4305">
        <v>3</v>
      </c>
      <c r="C4305">
        <v>2018</v>
      </c>
      <c r="D4305" t="s">
        <v>27824</v>
      </c>
      <c r="E4305">
        <v>5</v>
      </c>
      <c r="F4305" t="s">
        <v>27825</v>
      </c>
      <c r="G4305" t="s">
        <v>27826</v>
      </c>
      <c r="H4305" s="4" t="s">
        <v>27827</v>
      </c>
      <c r="I4305" t="s">
        <v>71</v>
      </c>
      <c r="J4305" t="s">
        <v>10782</v>
      </c>
      <c r="K4305" t="s">
        <v>27828</v>
      </c>
    </row>
    <row r="4306" spans="1:11" ht="187.2" x14ac:dyDescent="0.3">
      <c r="A4306" s="4" t="s">
        <v>7300</v>
      </c>
      <c r="B4306">
        <v>3</v>
      </c>
      <c r="C4306">
        <v>2018</v>
      </c>
      <c r="D4306" t="s">
        <v>637</v>
      </c>
      <c r="E4306">
        <v>15</v>
      </c>
      <c r="F4306" t="s">
        <v>27829</v>
      </c>
      <c r="G4306" t="s">
        <v>27830</v>
      </c>
      <c r="H4306" s="4" t="s">
        <v>27831</v>
      </c>
      <c r="I4306" t="s">
        <v>71</v>
      </c>
      <c r="J4306" t="s">
        <v>10782</v>
      </c>
      <c r="K4306" t="s">
        <v>27832</v>
      </c>
    </row>
    <row r="4307" spans="1:11" ht="244.8" x14ac:dyDescent="0.3">
      <c r="A4307" s="4" t="s">
        <v>7301</v>
      </c>
      <c r="B4307">
        <v>3</v>
      </c>
      <c r="C4307">
        <v>2018</v>
      </c>
      <c r="D4307" t="s">
        <v>830</v>
      </c>
      <c r="E4307">
        <v>30</v>
      </c>
      <c r="F4307" t="s">
        <v>27833</v>
      </c>
      <c r="G4307" t="s">
        <v>27834</v>
      </c>
      <c r="H4307" s="4" t="s">
        <v>27835</v>
      </c>
      <c r="I4307" t="s">
        <v>71</v>
      </c>
      <c r="J4307" t="s">
        <v>10782</v>
      </c>
      <c r="K4307" t="s">
        <v>27836</v>
      </c>
    </row>
    <row r="4308" spans="1:11" ht="288" x14ac:dyDescent="0.3">
      <c r="A4308" s="4" t="s">
        <v>7302</v>
      </c>
      <c r="B4308">
        <v>3</v>
      </c>
      <c r="C4308">
        <v>2018</v>
      </c>
      <c r="D4308" t="s">
        <v>12253</v>
      </c>
      <c r="E4308">
        <v>10</v>
      </c>
      <c r="F4308" t="s">
        <v>27837</v>
      </c>
      <c r="G4308" t="s">
        <v>27838</v>
      </c>
      <c r="H4308" s="4" t="s">
        <v>27839</v>
      </c>
      <c r="I4308" t="s">
        <v>71</v>
      </c>
      <c r="J4308" t="s">
        <v>10782</v>
      </c>
      <c r="K4308" t="s">
        <v>27840</v>
      </c>
    </row>
    <row r="4309" spans="1:11" ht="187.2" x14ac:dyDescent="0.3">
      <c r="A4309" s="4" t="s">
        <v>7303</v>
      </c>
      <c r="B4309">
        <v>3</v>
      </c>
      <c r="C4309">
        <v>2018</v>
      </c>
      <c r="D4309" t="s">
        <v>25007</v>
      </c>
      <c r="E4309">
        <v>9</v>
      </c>
      <c r="F4309" t="s">
        <v>27841</v>
      </c>
      <c r="G4309" t="s">
        <v>27842</v>
      </c>
      <c r="H4309" s="4" t="s">
        <v>27843</v>
      </c>
      <c r="I4309" t="s">
        <v>71</v>
      </c>
      <c r="J4309" t="s">
        <v>10782</v>
      </c>
      <c r="K4309" t="s">
        <v>27844</v>
      </c>
    </row>
    <row r="4310" spans="1:11" ht="158.4" x14ac:dyDescent="0.3">
      <c r="A4310" s="4" t="s">
        <v>7304</v>
      </c>
      <c r="B4310">
        <v>3</v>
      </c>
      <c r="C4310">
        <v>2018</v>
      </c>
      <c r="D4310" t="s">
        <v>27845</v>
      </c>
      <c r="E4310">
        <v>10</v>
      </c>
      <c r="F4310" t="s">
        <v>27846</v>
      </c>
      <c r="G4310" t="s">
        <v>27847</v>
      </c>
      <c r="H4310" s="4" t="s">
        <v>27848</v>
      </c>
      <c r="I4310" t="s">
        <v>71</v>
      </c>
      <c r="J4310" t="s">
        <v>10782</v>
      </c>
      <c r="K4310" t="s">
        <v>27849</v>
      </c>
    </row>
    <row r="4311" spans="1:11" ht="115.2" x14ac:dyDescent="0.3">
      <c r="A4311" s="4" t="s">
        <v>7305</v>
      </c>
      <c r="B4311">
        <v>3</v>
      </c>
      <c r="C4311">
        <v>2018</v>
      </c>
      <c r="D4311" t="s">
        <v>80</v>
      </c>
      <c r="E4311">
        <v>44</v>
      </c>
      <c r="F4311" t="s">
        <v>27850</v>
      </c>
      <c r="G4311" t="s">
        <v>27851</v>
      </c>
      <c r="H4311" s="4" t="s">
        <v>27852</v>
      </c>
    </row>
    <row r="4312" spans="1:11" ht="187.2" x14ac:dyDescent="0.3">
      <c r="A4312" s="4" t="s">
        <v>7306</v>
      </c>
      <c r="B4312">
        <v>3</v>
      </c>
      <c r="C4312">
        <v>2018</v>
      </c>
      <c r="D4312" t="s">
        <v>2030</v>
      </c>
      <c r="E4312">
        <v>45</v>
      </c>
      <c r="F4312" t="s">
        <v>27853</v>
      </c>
      <c r="G4312" t="s">
        <v>27854</v>
      </c>
      <c r="H4312" s="4" t="s">
        <v>27855</v>
      </c>
      <c r="I4312" t="s">
        <v>10823</v>
      </c>
      <c r="J4312" t="s">
        <v>10782</v>
      </c>
      <c r="K4312" t="s">
        <v>27856</v>
      </c>
    </row>
    <row r="4313" spans="1:11" ht="216" x14ac:dyDescent="0.3">
      <c r="A4313" s="4" t="s">
        <v>7307</v>
      </c>
      <c r="B4313">
        <v>3</v>
      </c>
      <c r="C4313">
        <v>2018</v>
      </c>
      <c r="D4313" t="s">
        <v>2416</v>
      </c>
      <c r="E4313">
        <v>51</v>
      </c>
      <c r="F4313" t="s">
        <v>27857</v>
      </c>
      <c r="G4313" t="s">
        <v>27858</v>
      </c>
      <c r="H4313" s="4" t="s">
        <v>27859</v>
      </c>
      <c r="I4313" t="s">
        <v>71</v>
      </c>
      <c r="J4313" t="s">
        <v>10782</v>
      </c>
      <c r="K4313" t="s">
        <v>27860</v>
      </c>
    </row>
    <row r="4314" spans="1:11" ht="201.6" x14ac:dyDescent="0.3">
      <c r="A4314" s="4" t="s">
        <v>7308</v>
      </c>
      <c r="B4314">
        <v>3</v>
      </c>
      <c r="C4314">
        <v>2018</v>
      </c>
      <c r="D4314" t="s">
        <v>10924</v>
      </c>
      <c r="E4314">
        <v>16</v>
      </c>
      <c r="F4314" t="s">
        <v>27861</v>
      </c>
      <c r="G4314" t="s">
        <v>27862</v>
      </c>
      <c r="H4314" s="4" t="s">
        <v>27863</v>
      </c>
      <c r="I4314" t="s">
        <v>71</v>
      </c>
      <c r="J4314" t="s">
        <v>10782</v>
      </c>
      <c r="K4314" t="s">
        <v>27864</v>
      </c>
    </row>
    <row r="4315" spans="1:11" ht="374.4" x14ac:dyDescent="0.3">
      <c r="A4315" s="4" t="s">
        <v>7309</v>
      </c>
      <c r="B4315">
        <v>3</v>
      </c>
      <c r="C4315">
        <v>2018</v>
      </c>
      <c r="D4315" t="s">
        <v>27865</v>
      </c>
      <c r="E4315">
        <v>1</v>
      </c>
      <c r="F4315" t="s">
        <v>27866</v>
      </c>
      <c r="G4315" t="s">
        <v>27867</v>
      </c>
      <c r="H4315" s="4" t="s">
        <v>27868</v>
      </c>
      <c r="I4315" t="s">
        <v>71</v>
      </c>
      <c r="J4315" t="s">
        <v>10782</v>
      </c>
      <c r="K4315" t="s">
        <v>27869</v>
      </c>
    </row>
    <row r="4316" spans="1:11" ht="158.4" x14ac:dyDescent="0.3">
      <c r="A4316" s="4" t="s">
        <v>7310</v>
      </c>
      <c r="B4316">
        <v>3</v>
      </c>
      <c r="C4316">
        <v>2018</v>
      </c>
      <c r="D4316" t="s">
        <v>11404</v>
      </c>
      <c r="E4316">
        <v>78</v>
      </c>
      <c r="F4316" t="s">
        <v>27870</v>
      </c>
      <c r="G4316" t="s">
        <v>27871</v>
      </c>
      <c r="H4316" s="4" t="s">
        <v>27872</v>
      </c>
      <c r="I4316" t="s">
        <v>71</v>
      </c>
      <c r="J4316" t="s">
        <v>10782</v>
      </c>
      <c r="K4316" t="s">
        <v>27873</v>
      </c>
    </row>
    <row r="4317" spans="1:11" ht="158.4" x14ac:dyDescent="0.3">
      <c r="A4317" s="4" t="s">
        <v>7311</v>
      </c>
      <c r="B4317">
        <v>3</v>
      </c>
      <c r="C4317">
        <v>2018</v>
      </c>
      <c r="D4317" t="s">
        <v>27874</v>
      </c>
      <c r="E4317">
        <v>53</v>
      </c>
      <c r="F4317" t="s">
        <v>27875</v>
      </c>
      <c r="G4317" t="s">
        <v>27876</v>
      </c>
      <c r="H4317" s="4" t="s">
        <v>27877</v>
      </c>
      <c r="I4317" t="s">
        <v>71</v>
      </c>
      <c r="J4317" t="s">
        <v>10782</v>
      </c>
      <c r="K4317" t="s">
        <v>27878</v>
      </c>
    </row>
    <row r="4318" spans="1:11" ht="244.8" x14ac:dyDescent="0.3">
      <c r="A4318" s="4" t="s">
        <v>7312</v>
      </c>
      <c r="B4318">
        <v>3</v>
      </c>
      <c r="C4318">
        <v>2018</v>
      </c>
      <c r="D4318" t="s">
        <v>1759</v>
      </c>
      <c r="E4318">
        <v>4</v>
      </c>
      <c r="F4318" t="s">
        <v>27879</v>
      </c>
      <c r="G4318" t="s">
        <v>27880</v>
      </c>
      <c r="H4318" s="4" t="s">
        <v>27881</v>
      </c>
      <c r="I4318" t="s">
        <v>71</v>
      </c>
      <c r="J4318" t="s">
        <v>10782</v>
      </c>
      <c r="K4318" t="s">
        <v>27882</v>
      </c>
    </row>
    <row r="4319" spans="1:11" ht="115.2" x14ac:dyDescent="0.3">
      <c r="A4319" s="4" t="s">
        <v>7313</v>
      </c>
      <c r="B4319">
        <v>3</v>
      </c>
      <c r="C4319">
        <v>2018</v>
      </c>
      <c r="D4319" t="s">
        <v>637</v>
      </c>
      <c r="E4319">
        <v>23</v>
      </c>
      <c r="F4319" t="s">
        <v>27883</v>
      </c>
      <c r="G4319" t="s">
        <v>27884</v>
      </c>
      <c r="H4319" s="4" t="s">
        <v>27885</v>
      </c>
    </row>
    <row r="4320" spans="1:11" ht="144" x14ac:dyDescent="0.3">
      <c r="A4320" s="4" t="s">
        <v>7314</v>
      </c>
      <c r="B4320">
        <v>3</v>
      </c>
      <c r="C4320">
        <v>2018</v>
      </c>
      <c r="D4320" t="s">
        <v>550</v>
      </c>
      <c r="E4320">
        <v>15</v>
      </c>
      <c r="F4320" t="s">
        <v>27886</v>
      </c>
      <c r="G4320" t="s">
        <v>27887</v>
      </c>
      <c r="H4320" s="4" t="s">
        <v>27888</v>
      </c>
      <c r="I4320" t="s">
        <v>71</v>
      </c>
      <c r="J4320" t="s">
        <v>10782</v>
      </c>
      <c r="K4320" t="s">
        <v>27889</v>
      </c>
    </row>
    <row r="4321" spans="1:11" ht="187.2" x14ac:dyDescent="0.3">
      <c r="A4321" s="4" t="s">
        <v>7315</v>
      </c>
      <c r="B4321">
        <v>3</v>
      </c>
      <c r="C4321">
        <v>2018</v>
      </c>
      <c r="D4321" t="s">
        <v>12491</v>
      </c>
      <c r="E4321">
        <v>34</v>
      </c>
      <c r="F4321" t="s">
        <v>27890</v>
      </c>
      <c r="G4321" t="s">
        <v>27891</v>
      </c>
      <c r="H4321" s="4" t="s">
        <v>27892</v>
      </c>
      <c r="I4321" t="s">
        <v>71</v>
      </c>
      <c r="J4321" t="s">
        <v>10782</v>
      </c>
      <c r="K4321" t="s">
        <v>27893</v>
      </c>
    </row>
    <row r="4322" spans="1:11" ht="100.8" x14ac:dyDescent="0.3">
      <c r="A4322" s="4" t="s">
        <v>7316</v>
      </c>
      <c r="B4322">
        <v>3</v>
      </c>
      <c r="C4322">
        <v>2018</v>
      </c>
      <c r="D4322" t="s">
        <v>329</v>
      </c>
      <c r="E4322">
        <v>24</v>
      </c>
      <c r="F4322" t="s">
        <v>27894</v>
      </c>
      <c r="G4322" t="s">
        <v>27895</v>
      </c>
      <c r="H4322" s="4" t="s">
        <v>27896</v>
      </c>
    </row>
    <row r="4323" spans="1:11" ht="187.2" x14ac:dyDescent="0.3">
      <c r="A4323" s="4" t="s">
        <v>7317</v>
      </c>
      <c r="B4323">
        <v>3</v>
      </c>
      <c r="C4323">
        <v>2018</v>
      </c>
      <c r="D4323" t="s">
        <v>83</v>
      </c>
      <c r="E4323">
        <v>12</v>
      </c>
      <c r="F4323" t="s">
        <v>27897</v>
      </c>
      <c r="G4323" t="s">
        <v>27898</v>
      </c>
      <c r="H4323" s="4" t="s">
        <v>27899</v>
      </c>
      <c r="I4323" t="s">
        <v>71</v>
      </c>
      <c r="J4323" t="s">
        <v>10782</v>
      </c>
      <c r="K4323" t="s">
        <v>27900</v>
      </c>
    </row>
    <row r="4324" spans="1:11" ht="144" x14ac:dyDescent="0.3">
      <c r="A4324" s="4" t="s">
        <v>7318</v>
      </c>
      <c r="B4324">
        <v>3</v>
      </c>
      <c r="C4324">
        <v>2018</v>
      </c>
      <c r="D4324" t="s">
        <v>637</v>
      </c>
      <c r="E4324">
        <v>65</v>
      </c>
      <c r="F4324" t="s">
        <v>27901</v>
      </c>
      <c r="G4324" t="s">
        <v>27902</v>
      </c>
      <c r="H4324" s="4" t="s">
        <v>27903</v>
      </c>
      <c r="I4324" t="s">
        <v>71</v>
      </c>
      <c r="J4324" t="s">
        <v>10782</v>
      </c>
      <c r="K4324" t="s">
        <v>27904</v>
      </c>
    </row>
    <row r="4325" spans="1:11" ht="244.8" x14ac:dyDescent="0.3">
      <c r="A4325" s="4" t="s">
        <v>7319</v>
      </c>
      <c r="B4325">
        <v>3</v>
      </c>
      <c r="C4325">
        <v>2018</v>
      </c>
      <c r="D4325" t="s">
        <v>17273</v>
      </c>
      <c r="E4325">
        <v>8</v>
      </c>
      <c r="F4325" t="s">
        <v>27905</v>
      </c>
      <c r="G4325" t="s">
        <v>27906</v>
      </c>
      <c r="H4325" s="4" t="s">
        <v>27907</v>
      </c>
      <c r="I4325" t="s">
        <v>71</v>
      </c>
      <c r="J4325" t="s">
        <v>10782</v>
      </c>
      <c r="K4325" t="s">
        <v>27908</v>
      </c>
    </row>
    <row r="4326" spans="1:11" ht="201.6" x14ac:dyDescent="0.3">
      <c r="A4326" s="4" t="s">
        <v>7320</v>
      </c>
      <c r="B4326">
        <v>3</v>
      </c>
      <c r="C4326">
        <v>2018</v>
      </c>
      <c r="D4326" t="s">
        <v>1570</v>
      </c>
      <c r="E4326">
        <v>6</v>
      </c>
      <c r="F4326" t="s">
        <v>27909</v>
      </c>
      <c r="G4326" t="s">
        <v>27910</v>
      </c>
      <c r="H4326" s="4" t="s">
        <v>27911</v>
      </c>
      <c r="I4326" t="s">
        <v>71</v>
      </c>
      <c r="J4326" t="s">
        <v>10782</v>
      </c>
      <c r="K4326" t="s">
        <v>27912</v>
      </c>
    </row>
    <row r="4327" spans="1:11" ht="187.2" x14ac:dyDescent="0.3">
      <c r="A4327" s="4" t="s">
        <v>7321</v>
      </c>
      <c r="B4327">
        <v>3</v>
      </c>
      <c r="C4327">
        <v>2018</v>
      </c>
      <c r="D4327" t="s">
        <v>10924</v>
      </c>
      <c r="E4327">
        <v>90</v>
      </c>
      <c r="F4327" t="s">
        <v>27913</v>
      </c>
      <c r="G4327" t="s">
        <v>27914</v>
      </c>
      <c r="H4327" s="4" t="s">
        <v>27915</v>
      </c>
      <c r="I4327" t="s">
        <v>71</v>
      </c>
      <c r="J4327" t="s">
        <v>10782</v>
      </c>
      <c r="K4327" t="s">
        <v>27916</v>
      </c>
    </row>
    <row r="4328" spans="1:11" ht="129.6" x14ac:dyDescent="0.3">
      <c r="A4328" s="4" t="s">
        <v>7322</v>
      </c>
      <c r="B4328">
        <v>3</v>
      </c>
      <c r="C4328">
        <v>2018</v>
      </c>
      <c r="D4328" t="s">
        <v>10057</v>
      </c>
      <c r="E4328">
        <v>17</v>
      </c>
      <c r="F4328" t="s">
        <v>27917</v>
      </c>
      <c r="G4328" t="s">
        <v>27918</v>
      </c>
      <c r="H4328" s="4" t="s">
        <v>27919</v>
      </c>
      <c r="I4328" t="s">
        <v>71</v>
      </c>
      <c r="J4328" t="s">
        <v>10782</v>
      </c>
      <c r="K4328" t="s">
        <v>27920</v>
      </c>
    </row>
    <row r="4329" spans="1:11" ht="158.4" x14ac:dyDescent="0.3">
      <c r="A4329" s="4" t="s">
        <v>7323</v>
      </c>
      <c r="B4329">
        <v>3</v>
      </c>
      <c r="C4329">
        <v>2018</v>
      </c>
      <c r="D4329" t="s">
        <v>1175</v>
      </c>
      <c r="E4329">
        <v>3</v>
      </c>
      <c r="F4329" t="s">
        <v>27921</v>
      </c>
      <c r="G4329" t="s">
        <v>27922</v>
      </c>
      <c r="H4329" s="4" t="s">
        <v>27923</v>
      </c>
    </row>
    <row r="4330" spans="1:11" ht="201.6" x14ac:dyDescent="0.3">
      <c r="A4330" s="4" t="s">
        <v>7324</v>
      </c>
      <c r="B4330">
        <v>3</v>
      </c>
      <c r="C4330">
        <v>2018</v>
      </c>
      <c r="D4330" t="s">
        <v>329</v>
      </c>
      <c r="E4330">
        <v>117</v>
      </c>
      <c r="F4330" t="s">
        <v>27924</v>
      </c>
      <c r="G4330" t="s">
        <v>27925</v>
      </c>
      <c r="H4330" s="4" t="s">
        <v>27926</v>
      </c>
      <c r="I4330" t="s">
        <v>71</v>
      </c>
      <c r="J4330" t="s">
        <v>10782</v>
      </c>
      <c r="K4330" t="s">
        <v>27927</v>
      </c>
    </row>
    <row r="4331" spans="1:11" ht="216" x14ac:dyDescent="0.3">
      <c r="A4331" s="4" t="s">
        <v>7325</v>
      </c>
      <c r="B4331">
        <v>3</v>
      </c>
      <c r="C4331">
        <v>2018</v>
      </c>
      <c r="D4331" t="s">
        <v>817</v>
      </c>
      <c r="E4331">
        <v>83</v>
      </c>
      <c r="F4331" t="s">
        <v>27928</v>
      </c>
      <c r="G4331" t="s">
        <v>27929</v>
      </c>
      <c r="H4331" s="4" t="s">
        <v>27930</v>
      </c>
      <c r="I4331" t="s">
        <v>71</v>
      </c>
      <c r="J4331" t="s">
        <v>10782</v>
      </c>
      <c r="K4331" t="s">
        <v>27931</v>
      </c>
    </row>
    <row r="4332" spans="1:11" ht="158.4" x14ac:dyDescent="0.3">
      <c r="A4332" s="4" t="s">
        <v>7326</v>
      </c>
      <c r="B4332">
        <v>3</v>
      </c>
      <c r="C4332">
        <v>2018</v>
      </c>
      <c r="D4332" t="s">
        <v>27932</v>
      </c>
      <c r="E4332">
        <v>10</v>
      </c>
      <c r="F4332" t="s">
        <v>27933</v>
      </c>
      <c r="G4332" t="s">
        <v>27934</v>
      </c>
      <c r="H4332" s="4" t="s">
        <v>27935</v>
      </c>
      <c r="I4332" t="s">
        <v>71</v>
      </c>
      <c r="J4332" t="s">
        <v>10782</v>
      </c>
      <c r="K4332" t="s">
        <v>27936</v>
      </c>
    </row>
    <row r="4333" spans="1:11" ht="201.6" x14ac:dyDescent="0.3">
      <c r="A4333" s="4" t="s">
        <v>7327</v>
      </c>
      <c r="B4333">
        <v>3</v>
      </c>
      <c r="C4333">
        <v>2018</v>
      </c>
      <c r="D4333" t="s">
        <v>10971</v>
      </c>
      <c r="E4333">
        <v>10</v>
      </c>
      <c r="F4333" t="s">
        <v>27937</v>
      </c>
      <c r="G4333" t="s">
        <v>27938</v>
      </c>
      <c r="H4333" s="4" t="s">
        <v>27939</v>
      </c>
      <c r="I4333" t="s">
        <v>71</v>
      </c>
      <c r="J4333" t="s">
        <v>10782</v>
      </c>
      <c r="K4333" t="s">
        <v>27940</v>
      </c>
    </row>
    <row r="4334" spans="1:11" ht="187.2" x14ac:dyDescent="0.3">
      <c r="A4334" s="4" t="s">
        <v>7328</v>
      </c>
      <c r="B4334">
        <v>3</v>
      </c>
      <c r="C4334">
        <v>2018</v>
      </c>
      <c r="D4334" t="s">
        <v>2416</v>
      </c>
      <c r="E4334">
        <v>17</v>
      </c>
      <c r="F4334" t="s">
        <v>27941</v>
      </c>
      <c r="G4334" t="s">
        <v>27942</v>
      </c>
      <c r="H4334" s="4" t="s">
        <v>27943</v>
      </c>
      <c r="I4334" t="s">
        <v>71</v>
      </c>
      <c r="J4334" t="s">
        <v>10782</v>
      </c>
      <c r="K4334" t="s">
        <v>27944</v>
      </c>
    </row>
    <row r="4335" spans="1:11" ht="187.2" x14ac:dyDescent="0.3">
      <c r="A4335" s="4" t="s">
        <v>7329</v>
      </c>
      <c r="B4335">
        <v>3</v>
      </c>
      <c r="C4335">
        <v>2018</v>
      </c>
      <c r="D4335" t="s">
        <v>27945</v>
      </c>
      <c r="E4335">
        <v>26</v>
      </c>
      <c r="F4335" t="s">
        <v>27946</v>
      </c>
      <c r="G4335" t="s">
        <v>27947</v>
      </c>
      <c r="H4335" s="4" t="s">
        <v>27948</v>
      </c>
      <c r="I4335" t="s">
        <v>71</v>
      </c>
      <c r="J4335" t="s">
        <v>10782</v>
      </c>
      <c r="K4335" t="s">
        <v>27949</v>
      </c>
    </row>
    <row r="4336" spans="1:11" ht="144" x14ac:dyDescent="0.3">
      <c r="A4336" s="4" t="s">
        <v>7330</v>
      </c>
      <c r="B4336">
        <v>3</v>
      </c>
      <c r="C4336">
        <v>2018</v>
      </c>
      <c r="D4336" t="s">
        <v>13721</v>
      </c>
      <c r="E4336">
        <v>11</v>
      </c>
      <c r="F4336" t="s">
        <v>27950</v>
      </c>
      <c r="G4336" t="s">
        <v>27951</v>
      </c>
      <c r="H4336" s="4" t="s">
        <v>27952</v>
      </c>
      <c r="I4336" t="s">
        <v>71</v>
      </c>
      <c r="J4336" t="s">
        <v>10782</v>
      </c>
      <c r="K4336" t="s">
        <v>27953</v>
      </c>
    </row>
    <row r="4337" spans="1:11" ht="100.8" x14ac:dyDescent="0.3">
      <c r="A4337" s="4" t="s">
        <v>7331</v>
      </c>
      <c r="B4337">
        <v>3</v>
      </c>
      <c r="C4337">
        <v>2018</v>
      </c>
      <c r="D4337" t="s">
        <v>1759</v>
      </c>
      <c r="E4337">
        <v>87</v>
      </c>
      <c r="F4337" t="s">
        <v>27954</v>
      </c>
      <c r="G4337" t="s">
        <v>27955</v>
      </c>
      <c r="H4337" s="4" t="s">
        <v>27956</v>
      </c>
      <c r="I4337" t="s">
        <v>71</v>
      </c>
      <c r="J4337" t="s">
        <v>10782</v>
      </c>
      <c r="K4337" t="s">
        <v>27957</v>
      </c>
    </row>
    <row r="4338" spans="1:11" ht="100.8" x14ac:dyDescent="0.3">
      <c r="A4338" s="4" t="s">
        <v>7332</v>
      </c>
      <c r="B4338">
        <v>3</v>
      </c>
      <c r="C4338">
        <v>2018</v>
      </c>
      <c r="D4338" t="s">
        <v>1426</v>
      </c>
      <c r="E4338">
        <v>197</v>
      </c>
      <c r="F4338" t="s">
        <v>27958</v>
      </c>
      <c r="G4338" t="s">
        <v>27959</v>
      </c>
      <c r="H4338" s="4" t="s">
        <v>27960</v>
      </c>
    </row>
    <row r="4339" spans="1:11" ht="187.2" x14ac:dyDescent="0.3">
      <c r="A4339" s="4" t="s">
        <v>7333</v>
      </c>
      <c r="B4339">
        <v>3</v>
      </c>
      <c r="C4339">
        <v>2018</v>
      </c>
      <c r="D4339" t="s">
        <v>10057</v>
      </c>
      <c r="E4339">
        <v>75</v>
      </c>
      <c r="F4339" t="s">
        <v>27961</v>
      </c>
      <c r="G4339" t="s">
        <v>27962</v>
      </c>
      <c r="H4339" s="4" t="s">
        <v>27963</v>
      </c>
      <c r="I4339" t="s">
        <v>71</v>
      </c>
      <c r="J4339" t="s">
        <v>10782</v>
      </c>
      <c r="K4339" t="s">
        <v>27964</v>
      </c>
    </row>
    <row r="4340" spans="1:11" ht="172.8" x14ac:dyDescent="0.3">
      <c r="A4340" s="4" t="s">
        <v>7334</v>
      </c>
      <c r="B4340">
        <v>3</v>
      </c>
      <c r="C4340">
        <v>2018</v>
      </c>
      <c r="D4340" t="s">
        <v>2853</v>
      </c>
      <c r="E4340">
        <v>35</v>
      </c>
      <c r="F4340" t="s">
        <v>27965</v>
      </c>
      <c r="G4340" t="s">
        <v>27966</v>
      </c>
      <c r="H4340" s="4" t="s">
        <v>27967</v>
      </c>
      <c r="I4340" t="s">
        <v>71</v>
      </c>
      <c r="J4340" t="s">
        <v>10782</v>
      </c>
      <c r="K4340" t="s">
        <v>27968</v>
      </c>
    </row>
    <row r="4341" spans="1:11" ht="86.4" x14ac:dyDescent="0.3">
      <c r="A4341" s="4" t="s">
        <v>7335</v>
      </c>
      <c r="B4341">
        <v>3</v>
      </c>
      <c r="C4341">
        <v>2018</v>
      </c>
      <c r="D4341" t="s">
        <v>329</v>
      </c>
      <c r="E4341">
        <v>11</v>
      </c>
      <c r="F4341" t="s">
        <v>27969</v>
      </c>
      <c r="G4341" t="s">
        <v>27970</v>
      </c>
      <c r="H4341" s="4" t="s">
        <v>27971</v>
      </c>
    </row>
    <row r="4342" spans="1:11" ht="28.8" x14ac:dyDescent="0.3">
      <c r="A4342" s="4" t="s">
        <v>7336</v>
      </c>
      <c r="B4342">
        <v>3</v>
      </c>
      <c r="C4342">
        <v>2018</v>
      </c>
      <c r="D4342" t="s">
        <v>10924</v>
      </c>
      <c r="E4342">
        <v>21</v>
      </c>
      <c r="F4342" t="s">
        <v>27972</v>
      </c>
      <c r="G4342" t="s">
        <v>27973</v>
      </c>
      <c r="H4342" s="4" t="s">
        <v>27974</v>
      </c>
    </row>
    <row r="4343" spans="1:11" ht="201.6" x14ac:dyDescent="0.3">
      <c r="A4343" s="4" t="s">
        <v>7337</v>
      </c>
      <c r="B4343">
        <v>3</v>
      </c>
      <c r="C4343">
        <v>2018</v>
      </c>
      <c r="D4343" t="s">
        <v>12776</v>
      </c>
      <c r="E4343">
        <v>36</v>
      </c>
      <c r="F4343" t="s">
        <v>27975</v>
      </c>
      <c r="G4343" t="s">
        <v>27976</v>
      </c>
      <c r="H4343" s="4" t="s">
        <v>27977</v>
      </c>
      <c r="I4343" t="s">
        <v>71</v>
      </c>
      <c r="J4343" t="s">
        <v>10782</v>
      </c>
      <c r="K4343" t="s">
        <v>27978</v>
      </c>
    </row>
    <row r="4344" spans="1:11" ht="273.60000000000002" x14ac:dyDescent="0.3">
      <c r="A4344" s="4" t="s">
        <v>7338</v>
      </c>
      <c r="B4344">
        <v>3</v>
      </c>
      <c r="C4344">
        <v>2018</v>
      </c>
      <c r="D4344" t="s">
        <v>11164</v>
      </c>
      <c r="E4344">
        <v>12</v>
      </c>
      <c r="F4344" t="s">
        <v>27979</v>
      </c>
      <c r="G4344" t="s">
        <v>27980</v>
      </c>
      <c r="H4344" s="4" t="s">
        <v>27981</v>
      </c>
      <c r="I4344" t="s">
        <v>71</v>
      </c>
      <c r="J4344" t="s">
        <v>10782</v>
      </c>
      <c r="K4344" t="s">
        <v>27982</v>
      </c>
    </row>
    <row r="4345" spans="1:11" ht="100.8" x14ac:dyDescent="0.3">
      <c r="A4345" s="4" t="s">
        <v>7339</v>
      </c>
      <c r="B4345">
        <v>3</v>
      </c>
      <c r="C4345">
        <v>2018</v>
      </c>
      <c r="D4345" t="s">
        <v>637</v>
      </c>
      <c r="E4345">
        <v>15</v>
      </c>
      <c r="F4345" t="s">
        <v>27983</v>
      </c>
      <c r="G4345" t="s">
        <v>27984</v>
      </c>
      <c r="H4345" s="4" t="s">
        <v>27985</v>
      </c>
    </row>
    <row r="4346" spans="1:11" ht="259.2" x14ac:dyDescent="0.3">
      <c r="A4346" s="4" t="s">
        <v>3601</v>
      </c>
      <c r="B4346">
        <v>2</v>
      </c>
      <c r="C4346">
        <v>2018</v>
      </c>
      <c r="D4346" t="s">
        <v>1849</v>
      </c>
      <c r="E4346">
        <v>160</v>
      </c>
      <c r="F4346" t="s">
        <v>27986</v>
      </c>
      <c r="G4346" t="s">
        <v>27987</v>
      </c>
      <c r="H4346" s="4" t="s">
        <v>27988</v>
      </c>
      <c r="I4346" t="s">
        <v>71</v>
      </c>
      <c r="J4346" t="s">
        <v>10782</v>
      </c>
      <c r="K4346" t="s">
        <v>27989</v>
      </c>
    </row>
    <row r="4347" spans="1:11" ht="57.6" x14ac:dyDescent="0.3">
      <c r="A4347" s="4" t="s">
        <v>7340</v>
      </c>
      <c r="B4347">
        <v>3</v>
      </c>
      <c r="C4347">
        <v>2018</v>
      </c>
      <c r="D4347" t="s">
        <v>18377</v>
      </c>
      <c r="E4347">
        <v>0</v>
      </c>
      <c r="F4347" t="s">
        <v>27990</v>
      </c>
      <c r="G4347" t="s">
        <v>27991</v>
      </c>
      <c r="H4347" s="4" t="s">
        <v>27992</v>
      </c>
    </row>
    <row r="4348" spans="1:11" ht="172.8" x14ac:dyDescent="0.3">
      <c r="A4348" s="4" t="s">
        <v>7341</v>
      </c>
      <c r="B4348">
        <v>3</v>
      </c>
      <c r="C4348">
        <v>2018</v>
      </c>
      <c r="D4348" t="s">
        <v>1525</v>
      </c>
      <c r="E4348">
        <v>26</v>
      </c>
      <c r="F4348" t="s">
        <v>27993</v>
      </c>
      <c r="G4348" t="s">
        <v>27994</v>
      </c>
      <c r="H4348" s="4" t="s">
        <v>27995</v>
      </c>
    </row>
    <row r="4349" spans="1:11" ht="244.8" x14ac:dyDescent="0.3">
      <c r="A4349" s="4" t="s">
        <v>7342</v>
      </c>
      <c r="B4349">
        <v>3</v>
      </c>
      <c r="C4349">
        <v>2018</v>
      </c>
      <c r="D4349" t="s">
        <v>83</v>
      </c>
      <c r="E4349">
        <v>25</v>
      </c>
      <c r="F4349" t="s">
        <v>27996</v>
      </c>
      <c r="G4349" t="s">
        <v>27997</v>
      </c>
      <c r="H4349" s="4" t="s">
        <v>27998</v>
      </c>
      <c r="I4349" t="s">
        <v>71</v>
      </c>
      <c r="J4349" t="s">
        <v>10782</v>
      </c>
      <c r="K4349" t="s">
        <v>27999</v>
      </c>
    </row>
    <row r="4350" spans="1:11" ht="187.2" x14ac:dyDescent="0.3">
      <c r="A4350" s="4" t="s">
        <v>1690</v>
      </c>
      <c r="B4350">
        <v>1</v>
      </c>
      <c r="C4350">
        <v>2018</v>
      </c>
      <c r="D4350" t="s">
        <v>318</v>
      </c>
      <c r="E4350">
        <v>106</v>
      </c>
      <c r="F4350" t="s">
        <v>28000</v>
      </c>
      <c r="G4350" t="s">
        <v>28001</v>
      </c>
      <c r="H4350" s="4" t="s">
        <v>28002</v>
      </c>
    </row>
    <row r="4351" spans="1:11" ht="187.2" x14ac:dyDescent="0.3">
      <c r="A4351" s="4" t="s">
        <v>7343</v>
      </c>
      <c r="B4351">
        <v>3</v>
      </c>
      <c r="C4351">
        <v>2018</v>
      </c>
      <c r="D4351" t="s">
        <v>21140</v>
      </c>
      <c r="E4351">
        <v>45</v>
      </c>
      <c r="F4351" t="s">
        <v>28003</v>
      </c>
      <c r="G4351" t="s">
        <v>28004</v>
      </c>
      <c r="H4351" s="4" t="s">
        <v>28005</v>
      </c>
      <c r="I4351" t="s">
        <v>71</v>
      </c>
      <c r="J4351" t="s">
        <v>10782</v>
      </c>
      <c r="K4351" t="s">
        <v>28006</v>
      </c>
    </row>
    <row r="4352" spans="1:11" ht="187.2" x14ac:dyDescent="0.3">
      <c r="A4352" s="4" t="s">
        <v>7344</v>
      </c>
      <c r="B4352">
        <v>3</v>
      </c>
      <c r="C4352">
        <v>2018</v>
      </c>
      <c r="D4352" t="s">
        <v>11164</v>
      </c>
      <c r="E4352">
        <v>25</v>
      </c>
      <c r="F4352" t="s">
        <v>28007</v>
      </c>
      <c r="G4352" t="s">
        <v>28008</v>
      </c>
      <c r="H4352" s="4" t="s">
        <v>28009</v>
      </c>
    </row>
    <row r="4353" spans="1:11" ht="172.8" x14ac:dyDescent="0.3">
      <c r="A4353" s="4" t="s">
        <v>2931</v>
      </c>
      <c r="B4353">
        <v>2</v>
      </c>
      <c r="C4353">
        <v>2018</v>
      </c>
      <c r="D4353" t="s">
        <v>405</v>
      </c>
      <c r="E4353">
        <v>71</v>
      </c>
      <c r="F4353" t="s">
        <v>28010</v>
      </c>
      <c r="G4353" t="s">
        <v>28011</v>
      </c>
      <c r="H4353" s="4" t="s">
        <v>28012</v>
      </c>
      <c r="I4353" t="s">
        <v>71</v>
      </c>
      <c r="J4353" t="s">
        <v>10782</v>
      </c>
      <c r="K4353" t="s">
        <v>28013</v>
      </c>
    </row>
    <row r="4354" spans="1:11" ht="158.4" x14ac:dyDescent="0.3">
      <c r="A4354" s="4" t="s">
        <v>7345</v>
      </c>
      <c r="B4354">
        <v>3</v>
      </c>
      <c r="C4354">
        <v>2018</v>
      </c>
      <c r="D4354" t="s">
        <v>80</v>
      </c>
      <c r="E4354">
        <v>52</v>
      </c>
      <c r="F4354" t="s">
        <v>28014</v>
      </c>
      <c r="G4354" t="s">
        <v>28015</v>
      </c>
      <c r="H4354" s="4" t="s">
        <v>28016</v>
      </c>
      <c r="I4354" t="s">
        <v>71</v>
      </c>
      <c r="J4354" t="s">
        <v>10782</v>
      </c>
      <c r="K4354" t="s">
        <v>28017</v>
      </c>
    </row>
    <row r="4355" spans="1:11" ht="216" x14ac:dyDescent="0.3">
      <c r="A4355" s="4" t="s">
        <v>7346</v>
      </c>
      <c r="B4355">
        <v>3</v>
      </c>
      <c r="C4355">
        <v>2018</v>
      </c>
      <c r="D4355" t="s">
        <v>724</v>
      </c>
      <c r="E4355">
        <v>29</v>
      </c>
      <c r="F4355" t="s">
        <v>28018</v>
      </c>
      <c r="G4355" t="s">
        <v>28019</v>
      </c>
      <c r="H4355" s="4" t="s">
        <v>28020</v>
      </c>
      <c r="I4355" t="s">
        <v>71</v>
      </c>
      <c r="J4355" t="s">
        <v>10782</v>
      </c>
      <c r="K4355" t="s">
        <v>28021</v>
      </c>
    </row>
    <row r="4356" spans="1:11" ht="201.6" x14ac:dyDescent="0.3">
      <c r="A4356" s="4" t="s">
        <v>7347</v>
      </c>
      <c r="B4356">
        <v>3</v>
      </c>
      <c r="C4356">
        <v>2018</v>
      </c>
      <c r="D4356" t="s">
        <v>1770</v>
      </c>
      <c r="E4356">
        <v>38</v>
      </c>
      <c r="F4356" t="s">
        <v>28022</v>
      </c>
      <c r="G4356" t="s">
        <v>28023</v>
      </c>
      <c r="H4356" s="4" t="s">
        <v>28024</v>
      </c>
      <c r="I4356" t="s">
        <v>71</v>
      </c>
      <c r="J4356" t="s">
        <v>10782</v>
      </c>
      <c r="K4356" t="s">
        <v>28025</v>
      </c>
    </row>
    <row r="4357" spans="1:11" ht="100.8" x14ac:dyDescent="0.3">
      <c r="A4357" s="4" t="s">
        <v>7348</v>
      </c>
      <c r="B4357">
        <v>3</v>
      </c>
      <c r="C4357">
        <v>2018</v>
      </c>
      <c r="D4357" t="s">
        <v>918</v>
      </c>
      <c r="E4357">
        <v>127</v>
      </c>
      <c r="F4357" t="s">
        <v>28026</v>
      </c>
      <c r="G4357" t="s">
        <v>28027</v>
      </c>
      <c r="H4357" s="4" t="s">
        <v>28028</v>
      </c>
    </row>
    <row r="4358" spans="1:11" ht="115.2" x14ac:dyDescent="0.3">
      <c r="A4358" s="4" t="s">
        <v>3602</v>
      </c>
      <c r="B4358">
        <v>2</v>
      </c>
      <c r="C4358">
        <v>2018</v>
      </c>
      <c r="D4358" t="s">
        <v>13210</v>
      </c>
      <c r="E4358">
        <v>133</v>
      </c>
      <c r="F4358" t="s">
        <v>28029</v>
      </c>
      <c r="G4358" t="s">
        <v>28030</v>
      </c>
      <c r="H4358" s="4" t="s">
        <v>28031</v>
      </c>
      <c r="I4358" t="s">
        <v>71</v>
      </c>
      <c r="J4358" t="s">
        <v>10782</v>
      </c>
      <c r="K4358" t="s">
        <v>28032</v>
      </c>
    </row>
    <row r="4359" spans="1:11" ht="144" x14ac:dyDescent="0.3">
      <c r="A4359" s="4" t="s">
        <v>7349</v>
      </c>
      <c r="B4359">
        <v>3</v>
      </c>
      <c r="C4359">
        <v>2018</v>
      </c>
      <c r="D4359" t="s">
        <v>10971</v>
      </c>
      <c r="E4359">
        <v>18</v>
      </c>
      <c r="F4359" t="s">
        <v>28033</v>
      </c>
      <c r="G4359" t="s">
        <v>28034</v>
      </c>
      <c r="H4359" s="4" t="s">
        <v>28035</v>
      </c>
      <c r="I4359" t="s">
        <v>71</v>
      </c>
      <c r="J4359" t="s">
        <v>10782</v>
      </c>
      <c r="K4359" t="s">
        <v>28036</v>
      </c>
    </row>
    <row r="4360" spans="1:11" ht="345.6" x14ac:dyDescent="0.3">
      <c r="A4360" s="4" t="s">
        <v>7350</v>
      </c>
      <c r="B4360">
        <v>3</v>
      </c>
      <c r="C4360">
        <v>2018</v>
      </c>
      <c r="D4360" t="s">
        <v>2819</v>
      </c>
      <c r="E4360">
        <v>22</v>
      </c>
      <c r="F4360" t="s">
        <v>28037</v>
      </c>
      <c r="G4360" t="s">
        <v>28038</v>
      </c>
      <c r="H4360" s="4" t="s">
        <v>28039</v>
      </c>
      <c r="I4360" t="s">
        <v>71</v>
      </c>
      <c r="J4360" t="s">
        <v>10782</v>
      </c>
      <c r="K4360" t="s">
        <v>28040</v>
      </c>
    </row>
    <row r="4361" spans="1:11" ht="115.2" x14ac:dyDescent="0.3">
      <c r="A4361" s="4" t="s">
        <v>7351</v>
      </c>
      <c r="B4361">
        <v>3</v>
      </c>
      <c r="C4361">
        <v>2018</v>
      </c>
      <c r="D4361" t="s">
        <v>329</v>
      </c>
      <c r="E4361">
        <v>7</v>
      </c>
      <c r="F4361" t="s">
        <v>28041</v>
      </c>
      <c r="G4361" t="s">
        <v>28042</v>
      </c>
      <c r="H4361" s="4" t="s">
        <v>28043</v>
      </c>
      <c r="I4361" t="s">
        <v>71</v>
      </c>
      <c r="J4361" t="s">
        <v>10782</v>
      </c>
      <c r="K4361" t="s">
        <v>28044</v>
      </c>
    </row>
    <row r="4362" spans="1:11" ht="187.2" x14ac:dyDescent="0.3">
      <c r="A4362" s="4" t="s">
        <v>7352</v>
      </c>
      <c r="B4362">
        <v>3</v>
      </c>
      <c r="C4362">
        <v>2018</v>
      </c>
      <c r="D4362" t="s">
        <v>28045</v>
      </c>
      <c r="E4362">
        <v>15</v>
      </c>
      <c r="F4362" t="s">
        <v>28046</v>
      </c>
      <c r="G4362" t="s">
        <v>28047</v>
      </c>
      <c r="H4362" s="4" t="s">
        <v>28048</v>
      </c>
      <c r="I4362" t="s">
        <v>71</v>
      </c>
      <c r="J4362" t="s">
        <v>10782</v>
      </c>
      <c r="K4362" t="s">
        <v>28049</v>
      </c>
    </row>
    <row r="4363" spans="1:11" ht="187.2" x14ac:dyDescent="0.3">
      <c r="A4363" s="4" t="s">
        <v>7353</v>
      </c>
      <c r="B4363">
        <v>3</v>
      </c>
      <c r="C4363">
        <v>2018</v>
      </c>
      <c r="D4363" t="s">
        <v>1770</v>
      </c>
      <c r="E4363">
        <v>28</v>
      </c>
      <c r="F4363" t="s">
        <v>28050</v>
      </c>
      <c r="G4363" t="s">
        <v>28051</v>
      </c>
      <c r="H4363" s="4" t="s">
        <v>28052</v>
      </c>
      <c r="I4363" t="s">
        <v>71</v>
      </c>
      <c r="J4363" t="s">
        <v>10782</v>
      </c>
      <c r="K4363" t="s">
        <v>28053</v>
      </c>
    </row>
    <row r="4364" spans="1:11" ht="115.2" x14ac:dyDescent="0.3">
      <c r="A4364" s="4" t="s">
        <v>7354</v>
      </c>
      <c r="B4364">
        <v>3</v>
      </c>
      <c r="C4364">
        <v>2018</v>
      </c>
      <c r="D4364" t="s">
        <v>1530</v>
      </c>
      <c r="E4364">
        <v>2</v>
      </c>
      <c r="F4364" t="s">
        <v>28054</v>
      </c>
      <c r="G4364" t="s">
        <v>28055</v>
      </c>
      <c r="H4364" s="4" t="s">
        <v>28056</v>
      </c>
      <c r="I4364" t="s">
        <v>71</v>
      </c>
      <c r="J4364" t="s">
        <v>10782</v>
      </c>
      <c r="K4364" t="s">
        <v>28057</v>
      </c>
    </row>
    <row r="4365" spans="1:11" ht="216" x14ac:dyDescent="0.3">
      <c r="A4365" s="4" t="s">
        <v>7355</v>
      </c>
      <c r="B4365">
        <v>3</v>
      </c>
      <c r="C4365">
        <v>2018</v>
      </c>
      <c r="D4365" t="s">
        <v>637</v>
      </c>
      <c r="E4365">
        <v>48</v>
      </c>
      <c r="F4365" t="s">
        <v>28058</v>
      </c>
      <c r="G4365" t="s">
        <v>28059</v>
      </c>
      <c r="H4365" s="4" t="s">
        <v>28060</v>
      </c>
      <c r="I4365" t="s">
        <v>71</v>
      </c>
      <c r="J4365" t="s">
        <v>10782</v>
      </c>
      <c r="K4365" t="s">
        <v>28061</v>
      </c>
    </row>
    <row r="4366" spans="1:11" ht="259.2" x14ac:dyDescent="0.3">
      <c r="A4366" s="4" t="s">
        <v>7356</v>
      </c>
      <c r="B4366">
        <v>3</v>
      </c>
      <c r="C4366">
        <v>2018</v>
      </c>
      <c r="D4366" t="s">
        <v>19186</v>
      </c>
      <c r="E4366">
        <v>48</v>
      </c>
      <c r="F4366" t="s">
        <v>28062</v>
      </c>
      <c r="G4366" t="s">
        <v>28063</v>
      </c>
      <c r="H4366" s="4" t="s">
        <v>28064</v>
      </c>
      <c r="I4366" t="s">
        <v>71</v>
      </c>
      <c r="J4366" t="s">
        <v>10782</v>
      </c>
      <c r="K4366" t="s">
        <v>28065</v>
      </c>
    </row>
    <row r="4367" spans="1:11" ht="115.2" x14ac:dyDescent="0.3">
      <c r="A4367" s="4" t="s">
        <v>7357</v>
      </c>
      <c r="B4367">
        <v>3</v>
      </c>
      <c r="C4367">
        <v>2018</v>
      </c>
      <c r="D4367" t="s">
        <v>679</v>
      </c>
      <c r="E4367">
        <v>43</v>
      </c>
      <c r="F4367" t="s">
        <v>28066</v>
      </c>
      <c r="G4367" t="s">
        <v>28067</v>
      </c>
      <c r="H4367" s="4" t="s">
        <v>28068</v>
      </c>
      <c r="I4367" t="s">
        <v>71</v>
      </c>
      <c r="J4367" t="s">
        <v>10782</v>
      </c>
      <c r="K4367" t="s">
        <v>28069</v>
      </c>
    </row>
    <row r="4368" spans="1:11" ht="172.8" x14ac:dyDescent="0.3">
      <c r="A4368" s="4" t="s">
        <v>1694</v>
      </c>
      <c r="B4368">
        <v>1</v>
      </c>
      <c r="C4368">
        <v>2018</v>
      </c>
      <c r="D4368" t="s">
        <v>1002</v>
      </c>
      <c r="E4368">
        <v>92</v>
      </c>
      <c r="F4368" t="s">
        <v>28070</v>
      </c>
      <c r="G4368" t="s">
        <v>28071</v>
      </c>
      <c r="H4368" s="4" t="s">
        <v>28072</v>
      </c>
      <c r="I4368" t="s">
        <v>71</v>
      </c>
      <c r="J4368" t="s">
        <v>10782</v>
      </c>
      <c r="K4368" t="s">
        <v>28073</v>
      </c>
    </row>
    <row r="4369" spans="1:11" ht="172.8" x14ac:dyDescent="0.3">
      <c r="A4369" s="4" t="s">
        <v>7358</v>
      </c>
      <c r="B4369">
        <v>3</v>
      </c>
      <c r="C4369">
        <v>2018</v>
      </c>
      <c r="D4369" t="s">
        <v>14623</v>
      </c>
      <c r="E4369">
        <v>37</v>
      </c>
      <c r="F4369" t="s">
        <v>28074</v>
      </c>
      <c r="G4369" t="s">
        <v>28075</v>
      </c>
      <c r="H4369" s="4" t="s">
        <v>28076</v>
      </c>
      <c r="I4369" t="s">
        <v>10823</v>
      </c>
      <c r="J4369" t="s">
        <v>10782</v>
      </c>
      <c r="K4369" t="s">
        <v>28077</v>
      </c>
    </row>
    <row r="4370" spans="1:11" ht="129.6" x14ac:dyDescent="0.3">
      <c r="A4370" s="4" t="s">
        <v>7359</v>
      </c>
      <c r="B4370">
        <v>3</v>
      </c>
      <c r="C4370">
        <v>2018</v>
      </c>
      <c r="D4370" t="s">
        <v>363</v>
      </c>
      <c r="E4370">
        <v>19</v>
      </c>
      <c r="F4370" t="s">
        <v>28078</v>
      </c>
      <c r="G4370" t="s">
        <v>28079</v>
      </c>
      <c r="H4370" s="4" t="s">
        <v>28080</v>
      </c>
    </row>
    <row r="4371" spans="1:11" ht="158.4" x14ac:dyDescent="0.3">
      <c r="A4371" s="4" t="s">
        <v>7360</v>
      </c>
      <c r="B4371">
        <v>3</v>
      </c>
      <c r="C4371">
        <v>2018</v>
      </c>
      <c r="D4371" t="s">
        <v>28081</v>
      </c>
      <c r="E4371">
        <v>8</v>
      </c>
      <c r="F4371" t="s">
        <v>28082</v>
      </c>
      <c r="G4371" t="s">
        <v>28083</v>
      </c>
      <c r="H4371" s="4" t="s">
        <v>28084</v>
      </c>
      <c r="I4371" t="s">
        <v>71</v>
      </c>
      <c r="J4371" t="s">
        <v>10782</v>
      </c>
      <c r="K4371" t="s">
        <v>28085</v>
      </c>
    </row>
    <row r="4372" spans="1:11" ht="172.8" x14ac:dyDescent="0.3">
      <c r="A4372" s="4" t="s">
        <v>7361</v>
      </c>
      <c r="B4372">
        <v>3</v>
      </c>
      <c r="C4372">
        <v>2018</v>
      </c>
      <c r="D4372" t="s">
        <v>550</v>
      </c>
      <c r="E4372">
        <v>9</v>
      </c>
      <c r="F4372" t="s">
        <v>28086</v>
      </c>
      <c r="G4372" t="s">
        <v>28087</v>
      </c>
      <c r="H4372" s="4" t="s">
        <v>28088</v>
      </c>
      <c r="I4372" t="s">
        <v>71</v>
      </c>
      <c r="J4372" t="s">
        <v>10782</v>
      </c>
      <c r="K4372" t="s">
        <v>28089</v>
      </c>
    </row>
    <row r="4373" spans="1:11" ht="216" x14ac:dyDescent="0.3">
      <c r="A4373" s="4" t="s">
        <v>7362</v>
      </c>
      <c r="B4373">
        <v>3</v>
      </c>
      <c r="C4373">
        <v>2018</v>
      </c>
      <c r="D4373" t="s">
        <v>1759</v>
      </c>
      <c r="E4373">
        <v>25</v>
      </c>
      <c r="F4373" t="s">
        <v>28090</v>
      </c>
      <c r="G4373" t="s">
        <v>28091</v>
      </c>
      <c r="H4373" s="4" t="s">
        <v>28092</v>
      </c>
      <c r="I4373" t="s">
        <v>71</v>
      </c>
      <c r="J4373" t="s">
        <v>10782</v>
      </c>
      <c r="K4373" t="s">
        <v>28093</v>
      </c>
    </row>
    <row r="4374" spans="1:11" ht="216" x14ac:dyDescent="0.3">
      <c r="A4374" s="4" t="s">
        <v>7363</v>
      </c>
      <c r="B4374">
        <v>3</v>
      </c>
      <c r="C4374">
        <v>2018</v>
      </c>
      <c r="D4374" t="s">
        <v>637</v>
      </c>
      <c r="E4374">
        <v>79</v>
      </c>
      <c r="F4374" t="s">
        <v>28094</v>
      </c>
      <c r="G4374" t="s">
        <v>28095</v>
      </c>
      <c r="H4374" s="4" t="s">
        <v>28096</v>
      </c>
      <c r="I4374" t="s">
        <v>71</v>
      </c>
      <c r="J4374" t="s">
        <v>10782</v>
      </c>
      <c r="K4374" t="s">
        <v>28097</v>
      </c>
    </row>
    <row r="4375" spans="1:11" ht="244.8" x14ac:dyDescent="0.3">
      <c r="A4375" s="4" t="s">
        <v>7364</v>
      </c>
      <c r="B4375">
        <v>3</v>
      </c>
      <c r="C4375">
        <v>2018</v>
      </c>
      <c r="D4375" t="s">
        <v>10057</v>
      </c>
      <c r="E4375">
        <v>39</v>
      </c>
      <c r="F4375" t="s">
        <v>28098</v>
      </c>
      <c r="G4375" t="s">
        <v>28099</v>
      </c>
      <c r="H4375" s="4" t="s">
        <v>28100</v>
      </c>
      <c r="I4375" t="s">
        <v>71</v>
      </c>
      <c r="J4375" t="s">
        <v>10782</v>
      </c>
      <c r="K4375" t="s">
        <v>28101</v>
      </c>
    </row>
    <row r="4376" spans="1:11" ht="216" x14ac:dyDescent="0.3">
      <c r="A4376" s="4" t="s">
        <v>7365</v>
      </c>
      <c r="B4376">
        <v>3</v>
      </c>
      <c r="C4376">
        <v>2018</v>
      </c>
      <c r="D4376" t="s">
        <v>637</v>
      </c>
      <c r="E4376">
        <v>82</v>
      </c>
      <c r="F4376" t="s">
        <v>28102</v>
      </c>
      <c r="G4376" t="s">
        <v>28103</v>
      </c>
      <c r="H4376" s="4" t="s">
        <v>28104</v>
      </c>
      <c r="I4376" t="s">
        <v>71</v>
      </c>
      <c r="J4376" t="s">
        <v>10782</v>
      </c>
      <c r="K4376" t="s">
        <v>28105</v>
      </c>
    </row>
    <row r="4377" spans="1:11" ht="129.6" x14ac:dyDescent="0.3">
      <c r="A4377" s="4" t="s">
        <v>7366</v>
      </c>
      <c r="B4377">
        <v>3</v>
      </c>
      <c r="C4377">
        <v>2018</v>
      </c>
      <c r="D4377" t="s">
        <v>12593</v>
      </c>
      <c r="E4377">
        <v>22</v>
      </c>
      <c r="F4377" t="s">
        <v>28106</v>
      </c>
      <c r="G4377" t="s">
        <v>28107</v>
      </c>
      <c r="H4377" s="4" t="s">
        <v>28108</v>
      </c>
      <c r="I4377" t="s">
        <v>71</v>
      </c>
      <c r="J4377" t="s">
        <v>10782</v>
      </c>
      <c r="K4377" t="s">
        <v>28109</v>
      </c>
    </row>
    <row r="4378" spans="1:11" ht="115.2" x14ac:dyDescent="0.3">
      <c r="A4378" s="4" t="s">
        <v>7367</v>
      </c>
      <c r="B4378">
        <v>3</v>
      </c>
      <c r="C4378">
        <v>2018</v>
      </c>
      <c r="D4378" t="s">
        <v>11164</v>
      </c>
      <c r="E4378">
        <v>44</v>
      </c>
      <c r="F4378" t="s">
        <v>28110</v>
      </c>
      <c r="G4378" t="s">
        <v>28111</v>
      </c>
      <c r="H4378" s="4" t="s">
        <v>28112</v>
      </c>
    </row>
    <row r="4379" spans="1:11" ht="244.8" x14ac:dyDescent="0.3">
      <c r="A4379" s="4" t="s">
        <v>7368</v>
      </c>
      <c r="B4379">
        <v>3</v>
      </c>
      <c r="C4379">
        <v>2018</v>
      </c>
      <c r="D4379" t="s">
        <v>10924</v>
      </c>
      <c r="E4379">
        <v>34</v>
      </c>
      <c r="F4379" t="s">
        <v>28113</v>
      </c>
      <c r="G4379" t="s">
        <v>28114</v>
      </c>
      <c r="H4379" s="4" t="s">
        <v>28115</v>
      </c>
      <c r="I4379" t="s">
        <v>71</v>
      </c>
      <c r="J4379" t="s">
        <v>10782</v>
      </c>
      <c r="K4379" t="s">
        <v>28116</v>
      </c>
    </row>
    <row r="4380" spans="1:11" ht="216" x14ac:dyDescent="0.3">
      <c r="A4380" s="4" t="s">
        <v>7369</v>
      </c>
      <c r="B4380">
        <v>3</v>
      </c>
      <c r="C4380">
        <v>2018</v>
      </c>
      <c r="D4380" t="s">
        <v>14512</v>
      </c>
      <c r="E4380">
        <v>17</v>
      </c>
      <c r="F4380" t="s">
        <v>28117</v>
      </c>
      <c r="G4380" t="s">
        <v>28118</v>
      </c>
      <c r="H4380" s="4" t="s">
        <v>28119</v>
      </c>
      <c r="I4380" t="s">
        <v>71</v>
      </c>
      <c r="J4380" t="s">
        <v>10782</v>
      </c>
      <c r="K4380" t="s">
        <v>28120</v>
      </c>
    </row>
    <row r="4381" spans="1:11" ht="158.4" x14ac:dyDescent="0.3">
      <c r="A4381" s="4" t="s">
        <v>7370</v>
      </c>
      <c r="B4381">
        <v>3</v>
      </c>
      <c r="C4381">
        <v>2018</v>
      </c>
      <c r="D4381" t="s">
        <v>16771</v>
      </c>
      <c r="E4381">
        <v>219</v>
      </c>
      <c r="F4381" t="s">
        <v>28121</v>
      </c>
      <c r="G4381" t="s">
        <v>28122</v>
      </c>
      <c r="H4381" s="4" t="s">
        <v>28123</v>
      </c>
      <c r="I4381" t="s">
        <v>71</v>
      </c>
      <c r="J4381" t="s">
        <v>10782</v>
      </c>
      <c r="K4381" t="s">
        <v>28124</v>
      </c>
    </row>
    <row r="4382" spans="1:11" ht="129.6" x14ac:dyDescent="0.3">
      <c r="A4382" s="4" t="s">
        <v>7371</v>
      </c>
      <c r="B4382">
        <v>3</v>
      </c>
      <c r="C4382">
        <v>2018</v>
      </c>
      <c r="D4382" t="s">
        <v>2819</v>
      </c>
      <c r="E4382">
        <v>11</v>
      </c>
      <c r="F4382" t="s">
        <v>28125</v>
      </c>
      <c r="G4382" t="s">
        <v>28126</v>
      </c>
      <c r="H4382" s="4" t="s">
        <v>28127</v>
      </c>
    </row>
    <row r="4383" spans="1:11" ht="158.4" x14ac:dyDescent="0.3">
      <c r="A4383" s="4" t="s">
        <v>7372</v>
      </c>
      <c r="B4383">
        <v>3</v>
      </c>
      <c r="C4383">
        <v>2018</v>
      </c>
      <c r="D4383" t="s">
        <v>1836</v>
      </c>
      <c r="E4383">
        <v>20</v>
      </c>
      <c r="F4383" t="s">
        <v>28128</v>
      </c>
      <c r="G4383" t="s">
        <v>28129</v>
      </c>
      <c r="H4383" s="4" t="s">
        <v>28130</v>
      </c>
      <c r="I4383" t="s">
        <v>71</v>
      </c>
      <c r="J4383" t="s">
        <v>10782</v>
      </c>
      <c r="K4383" t="s">
        <v>28131</v>
      </c>
    </row>
    <row r="4384" spans="1:11" ht="201.6" x14ac:dyDescent="0.3">
      <c r="A4384" s="4" t="s">
        <v>7373</v>
      </c>
      <c r="B4384">
        <v>3</v>
      </c>
      <c r="C4384">
        <v>2018</v>
      </c>
      <c r="D4384" t="s">
        <v>318</v>
      </c>
      <c r="E4384">
        <v>22</v>
      </c>
      <c r="F4384" t="s">
        <v>28132</v>
      </c>
      <c r="G4384" t="s">
        <v>28133</v>
      </c>
      <c r="H4384" s="4" t="s">
        <v>28134</v>
      </c>
      <c r="I4384" t="s">
        <v>71</v>
      </c>
      <c r="J4384" t="s">
        <v>10782</v>
      </c>
      <c r="K4384" t="s">
        <v>28135</v>
      </c>
    </row>
    <row r="4385" spans="1:11" ht="187.2" x14ac:dyDescent="0.3">
      <c r="A4385" s="4" t="s">
        <v>7374</v>
      </c>
      <c r="B4385">
        <v>3</v>
      </c>
      <c r="C4385">
        <v>2018</v>
      </c>
      <c r="D4385" t="s">
        <v>2853</v>
      </c>
      <c r="E4385">
        <v>39</v>
      </c>
      <c r="F4385" t="s">
        <v>28136</v>
      </c>
      <c r="G4385" t="s">
        <v>28137</v>
      </c>
      <c r="H4385" s="4" t="s">
        <v>28138</v>
      </c>
      <c r="I4385" t="s">
        <v>71</v>
      </c>
      <c r="J4385" t="s">
        <v>10782</v>
      </c>
      <c r="K4385" t="s">
        <v>28139</v>
      </c>
    </row>
    <row r="4386" spans="1:11" ht="86.4" x14ac:dyDescent="0.3">
      <c r="A4386" s="4" t="s">
        <v>7375</v>
      </c>
      <c r="B4386">
        <v>3</v>
      </c>
      <c r="C4386">
        <v>2018</v>
      </c>
      <c r="D4386" t="s">
        <v>1759</v>
      </c>
      <c r="E4386">
        <v>53</v>
      </c>
      <c r="F4386" t="s">
        <v>28140</v>
      </c>
      <c r="G4386" t="s">
        <v>28141</v>
      </c>
      <c r="H4386" s="4" t="s">
        <v>28142</v>
      </c>
    </row>
    <row r="4387" spans="1:11" ht="115.2" x14ac:dyDescent="0.3">
      <c r="A4387" s="4" t="s">
        <v>7376</v>
      </c>
      <c r="B4387">
        <v>3</v>
      </c>
      <c r="C4387">
        <v>2018</v>
      </c>
      <c r="D4387" t="s">
        <v>1570</v>
      </c>
      <c r="E4387">
        <v>20</v>
      </c>
      <c r="F4387" t="s">
        <v>28143</v>
      </c>
      <c r="G4387" t="s">
        <v>28144</v>
      </c>
      <c r="H4387" s="4" t="s">
        <v>28145</v>
      </c>
      <c r="I4387" t="s">
        <v>71</v>
      </c>
      <c r="J4387" t="s">
        <v>10782</v>
      </c>
      <c r="K4387" t="s">
        <v>28146</v>
      </c>
    </row>
    <row r="4388" spans="1:11" ht="144" x14ac:dyDescent="0.3">
      <c r="A4388" s="4" t="s">
        <v>7377</v>
      </c>
      <c r="B4388">
        <v>3</v>
      </c>
      <c r="C4388">
        <v>2018</v>
      </c>
      <c r="D4388" t="s">
        <v>1841</v>
      </c>
      <c r="E4388">
        <v>18</v>
      </c>
      <c r="F4388" t="s">
        <v>28147</v>
      </c>
      <c r="G4388" t="s">
        <v>28148</v>
      </c>
      <c r="H4388" s="4" t="s">
        <v>28149</v>
      </c>
      <c r="I4388" t="s">
        <v>71</v>
      </c>
      <c r="J4388" t="s">
        <v>10782</v>
      </c>
      <c r="K4388" t="s">
        <v>28150</v>
      </c>
    </row>
    <row r="4389" spans="1:11" ht="86.4" x14ac:dyDescent="0.3">
      <c r="A4389" s="4" t="s">
        <v>7378</v>
      </c>
      <c r="B4389">
        <v>3</v>
      </c>
      <c r="C4389">
        <v>2018</v>
      </c>
      <c r="D4389" t="s">
        <v>1525</v>
      </c>
      <c r="E4389">
        <v>91</v>
      </c>
      <c r="F4389" t="s">
        <v>28151</v>
      </c>
      <c r="G4389" t="s">
        <v>28152</v>
      </c>
      <c r="H4389" s="4" t="s">
        <v>28153</v>
      </c>
    </row>
    <row r="4390" spans="1:11" ht="115.2" x14ac:dyDescent="0.3">
      <c r="A4390" s="4" t="s">
        <v>7379</v>
      </c>
      <c r="B4390">
        <v>3</v>
      </c>
      <c r="C4390">
        <v>2018</v>
      </c>
      <c r="D4390" t="s">
        <v>11159</v>
      </c>
      <c r="E4390">
        <v>48</v>
      </c>
      <c r="F4390" t="s">
        <v>28154</v>
      </c>
      <c r="G4390" t="s">
        <v>28155</v>
      </c>
      <c r="H4390" s="4" t="s">
        <v>28156</v>
      </c>
    </row>
    <row r="4391" spans="1:11" ht="187.2" x14ac:dyDescent="0.3">
      <c r="A4391" s="4" t="s">
        <v>1701</v>
      </c>
      <c r="B4391">
        <v>1</v>
      </c>
      <c r="C4391">
        <v>2018</v>
      </c>
      <c r="D4391" t="s">
        <v>1746</v>
      </c>
      <c r="E4391">
        <v>67</v>
      </c>
      <c r="F4391" t="s">
        <v>28157</v>
      </c>
      <c r="G4391" t="s">
        <v>28158</v>
      </c>
      <c r="H4391" s="4" t="s">
        <v>28159</v>
      </c>
    </row>
    <row r="4392" spans="1:11" ht="172.8" x14ac:dyDescent="0.3">
      <c r="A4392" s="4" t="s">
        <v>7380</v>
      </c>
      <c r="B4392">
        <v>3</v>
      </c>
      <c r="C4392">
        <v>2018</v>
      </c>
      <c r="D4392" t="s">
        <v>1530</v>
      </c>
      <c r="E4392">
        <v>33</v>
      </c>
      <c r="F4392" t="s">
        <v>28160</v>
      </c>
      <c r="G4392" t="s">
        <v>28161</v>
      </c>
      <c r="H4392" s="4" t="s">
        <v>28162</v>
      </c>
    </row>
    <row r="4393" spans="1:11" ht="201.6" x14ac:dyDescent="0.3">
      <c r="A4393" s="4" t="s">
        <v>7381</v>
      </c>
      <c r="B4393">
        <v>3</v>
      </c>
      <c r="C4393">
        <v>2018</v>
      </c>
      <c r="D4393" t="s">
        <v>26549</v>
      </c>
      <c r="E4393">
        <v>3</v>
      </c>
      <c r="F4393" t="s">
        <v>28163</v>
      </c>
      <c r="G4393" t="s">
        <v>28164</v>
      </c>
      <c r="H4393" s="4" t="s">
        <v>28165</v>
      </c>
      <c r="I4393" t="s">
        <v>71</v>
      </c>
      <c r="J4393" t="s">
        <v>10782</v>
      </c>
      <c r="K4393" t="s">
        <v>28166</v>
      </c>
    </row>
    <row r="4394" spans="1:11" ht="158.4" x14ac:dyDescent="0.3">
      <c r="A4394" s="4" t="s">
        <v>7382</v>
      </c>
      <c r="B4394">
        <v>3</v>
      </c>
      <c r="C4394">
        <v>2018</v>
      </c>
      <c r="D4394" t="s">
        <v>11310</v>
      </c>
      <c r="E4394">
        <v>29</v>
      </c>
      <c r="F4394" t="s">
        <v>28167</v>
      </c>
      <c r="G4394" t="s">
        <v>28168</v>
      </c>
      <c r="H4394" s="4" t="s">
        <v>28169</v>
      </c>
      <c r="I4394" t="s">
        <v>71</v>
      </c>
      <c r="J4394" t="s">
        <v>10782</v>
      </c>
      <c r="K4394" t="s">
        <v>28170</v>
      </c>
    </row>
    <row r="4395" spans="1:11" ht="28.8" x14ac:dyDescent="0.3">
      <c r="A4395" s="4" t="s">
        <v>7383</v>
      </c>
      <c r="B4395">
        <v>3</v>
      </c>
      <c r="C4395">
        <v>2018</v>
      </c>
      <c r="D4395" t="s">
        <v>12593</v>
      </c>
      <c r="E4395">
        <v>5</v>
      </c>
      <c r="F4395" t="s">
        <v>28171</v>
      </c>
      <c r="G4395" t="s">
        <v>28172</v>
      </c>
      <c r="H4395" s="4" t="s">
        <v>28173</v>
      </c>
    </row>
    <row r="4396" spans="1:11" ht="172.8" x14ac:dyDescent="0.3">
      <c r="A4396" s="4" t="s">
        <v>7384</v>
      </c>
      <c r="B4396">
        <v>3</v>
      </c>
      <c r="C4396">
        <v>2018</v>
      </c>
      <c r="D4396" t="s">
        <v>2742</v>
      </c>
      <c r="E4396">
        <v>34</v>
      </c>
      <c r="F4396" t="s">
        <v>28174</v>
      </c>
      <c r="G4396" t="s">
        <v>28175</v>
      </c>
      <c r="H4396" s="4" t="s">
        <v>28176</v>
      </c>
      <c r="I4396" t="s">
        <v>71</v>
      </c>
      <c r="J4396" t="s">
        <v>10782</v>
      </c>
      <c r="K4396" t="s">
        <v>28177</v>
      </c>
    </row>
    <row r="4397" spans="1:11" ht="129.6" x14ac:dyDescent="0.3">
      <c r="A4397" s="4" t="s">
        <v>7385</v>
      </c>
      <c r="B4397">
        <v>3</v>
      </c>
      <c r="C4397">
        <v>2018</v>
      </c>
      <c r="D4397" t="s">
        <v>26504</v>
      </c>
      <c r="E4397">
        <v>5</v>
      </c>
      <c r="F4397" t="s">
        <v>28178</v>
      </c>
      <c r="G4397" t="s">
        <v>28179</v>
      </c>
      <c r="H4397" s="4" t="s">
        <v>28180</v>
      </c>
    </row>
    <row r="4398" spans="1:11" ht="129.6" x14ac:dyDescent="0.3">
      <c r="A4398" s="4" t="s">
        <v>7386</v>
      </c>
      <c r="B4398">
        <v>3</v>
      </c>
      <c r="C4398">
        <v>2018</v>
      </c>
      <c r="D4398" t="s">
        <v>11569</v>
      </c>
      <c r="E4398">
        <v>26</v>
      </c>
      <c r="F4398" t="s">
        <v>28181</v>
      </c>
      <c r="G4398" t="s">
        <v>28182</v>
      </c>
      <c r="H4398" s="4" t="s">
        <v>28183</v>
      </c>
      <c r="I4398" t="s">
        <v>71</v>
      </c>
      <c r="J4398" t="s">
        <v>10782</v>
      </c>
      <c r="K4398" t="s">
        <v>28184</v>
      </c>
    </row>
    <row r="4399" spans="1:11" ht="230.4" x14ac:dyDescent="0.3">
      <c r="A4399" s="4" t="s">
        <v>7387</v>
      </c>
      <c r="B4399">
        <v>3</v>
      </c>
      <c r="C4399">
        <v>2018</v>
      </c>
      <c r="D4399" t="s">
        <v>177</v>
      </c>
      <c r="E4399">
        <v>4</v>
      </c>
      <c r="F4399" t="s">
        <v>28185</v>
      </c>
      <c r="G4399" t="s">
        <v>28186</v>
      </c>
      <c r="H4399" s="4" t="s">
        <v>28187</v>
      </c>
      <c r="I4399" t="s">
        <v>71</v>
      </c>
      <c r="J4399" t="s">
        <v>10782</v>
      </c>
      <c r="K4399" t="s">
        <v>28188</v>
      </c>
    </row>
    <row r="4400" spans="1:11" ht="144" x14ac:dyDescent="0.3">
      <c r="A4400" s="4" t="s">
        <v>7388</v>
      </c>
      <c r="B4400">
        <v>3</v>
      </c>
      <c r="C4400">
        <v>2018</v>
      </c>
      <c r="D4400" t="s">
        <v>1082</v>
      </c>
      <c r="E4400">
        <v>22</v>
      </c>
      <c r="F4400" t="s">
        <v>28189</v>
      </c>
      <c r="G4400" t="s">
        <v>28190</v>
      </c>
      <c r="H4400" s="4" t="s">
        <v>28191</v>
      </c>
      <c r="I4400" t="s">
        <v>71</v>
      </c>
      <c r="J4400" t="s">
        <v>10782</v>
      </c>
      <c r="K4400" t="s">
        <v>28192</v>
      </c>
    </row>
    <row r="4401" spans="1:11" ht="172.8" x14ac:dyDescent="0.3">
      <c r="A4401" s="4" t="s">
        <v>7389</v>
      </c>
      <c r="B4401">
        <v>3</v>
      </c>
      <c r="C4401">
        <v>2018</v>
      </c>
      <c r="D4401" t="s">
        <v>10815</v>
      </c>
      <c r="E4401">
        <v>13</v>
      </c>
      <c r="F4401" t="s">
        <v>28193</v>
      </c>
      <c r="G4401" t="s">
        <v>28194</v>
      </c>
      <c r="H4401" s="4" t="s">
        <v>28195</v>
      </c>
      <c r="I4401" t="s">
        <v>71</v>
      </c>
      <c r="J4401" t="s">
        <v>10782</v>
      </c>
      <c r="K4401" t="s">
        <v>28196</v>
      </c>
    </row>
    <row r="4402" spans="1:11" ht="187.2" x14ac:dyDescent="0.3">
      <c r="A4402" s="4" t="s">
        <v>7390</v>
      </c>
      <c r="B4402">
        <v>3</v>
      </c>
      <c r="C4402">
        <v>2018</v>
      </c>
      <c r="D4402" t="s">
        <v>14394</v>
      </c>
      <c r="E4402">
        <v>9</v>
      </c>
      <c r="F4402" t="s">
        <v>28197</v>
      </c>
      <c r="G4402" t="s">
        <v>28198</v>
      </c>
      <c r="H4402" s="4" t="s">
        <v>28199</v>
      </c>
      <c r="I4402" t="s">
        <v>71</v>
      </c>
      <c r="J4402" t="s">
        <v>10782</v>
      </c>
      <c r="K4402" t="s">
        <v>28200</v>
      </c>
    </row>
    <row r="4403" spans="1:11" ht="115.2" x14ac:dyDescent="0.3">
      <c r="A4403" s="4" t="s">
        <v>7391</v>
      </c>
      <c r="B4403">
        <v>3</v>
      </c>
      <c r="C4403">
        <v>2018</v>
      </c>
      <c r="D4403" t="s">
        <v>26647</v>
      </c>
      <c r="E4403">
        <v>2</v>
      </c>
      <c r="F4403" t="s">
        <v>28201</v>
      </c>
      <c r="G4403" t="s">
        <v>28202</v>
      </c>
      <c r="H4403" s="4" t="s">
        <v>28203</v>
      </c>
      <c r="I4403" t="s">
        <v>71</v>
      </c>
      <c r="J4403" t="s">
        <v>10782</v>
      </c>
      <c r="K4403" t="s">
        <v>28204</v>
      </c>
    </row>
    <row r="4404" spans="1:11" ht="158.4" x14ac:dyDescent="0.3">
      <c r="A4404" s="4" t="s">
        <v>7392</v>
      </c>
      <c r="B4404">
        <v>3</v>
      </c>
      <c r="C4404">
        <v>2018</v>
      </c>
      <c r="D4404" t="s">
        <v>217</v>
      </c>
      <c r="E4404">
        <v>36</v>
      </c>
      <c r="F4404" t="s">
        <v>28205</v>
      </c>
      <c r="G4404" t="s">
        <v>28206</v>
      </c>
      <c r="H4404" s="4" t="s">
        <v>28207</v>
      </c>
      <c r="I4404" t="s">
        <v>71</v>
      </c>
      <c r="J4404" t="s">
        <v>10782</v>
      </c>
      <c r="K4404" t="s">
        <v>28208</v>
      </c>
    </row>
    <row r="4405" spans="1:11" ht="201.6" x14ac:dyDescent="0.3">
      <c r="A4405" s="4" t="s">
        <v>7393</v>
      </c>
      <c r="B4405">
        <v>3</v>
      </c>
      <c r="C4405">
        <v>2018</v>
      </c>
      <c r="D4405" t="s">
        <v>2819</v>
      </c>
      <c r="E4405">
        <v>39</v>
      </c>
      <c r="F4405" t="s">
        <v>28209</v>
      </c>
      <c r="G4405" t="s">
        <v>28210</v>
      </c>
      <c r="H4405" s="4" t="s">
        <v>28211</v>
      </c>
      <c r="I4405" t="s">
        <v>71</v>
      </c>
      <c r="J4405" t="s">
        <v>10782</v>
      </c>
      <c r="K4405" t="s">
        <v>28212</v>
      </c>
    </row>
    <row r="4406" spans="1:11" ht="259.2" x14ac:dyDescent="0.3">
      <c r="A4406" s="4" t="s">
        <v>7394</v>
      </c>
      <c r="B4406">
        <v>3</v>
      </c>
      <c r="C4406">
        <v>2018</v>
      </c>
      <c r="D4406" t="s">
        <v>28213</v>
      </c>
      <c r="E4406">
        <v>3</v>
      </c>
      <c r="F4406" t="s">
        <v>28214</v>
      </c>
      <c r="G4406" t="s">
        <v>28215</v>
      </c>
      <c r="H4406" s="4" t="s">
        <v>28216</v>
      </c>
      <c r="I4406" t="s">
        <v>71</v>
      </c>
      <c r="J4406" t="s">
        <v>10782</v>
      </c>
      <c r="K4406" t="s">
        <v>28217</v>
      </c>
    </row>
    <row r="4407" spans="1:11" ht="201.6" x14ac:dyDescent="0.3">
      <c r="A4407" s="4" t="s">
        <v>3373</v>
      </c>
      <c r="B4407">
        <v>1</v>
      </c>
      <c r="C4407">
        <v>2018</v>
      </c>
      <c r="D4407" t="s">
        <v>704</v>
      </c>
      <c r="E4407">
        <v>146</v>
      </c>
      <c r="F4407" t="s">
        <v>28218</v>
      </c>
      <c r="G4407" t="s">
        <v>28219</v>
      </c>
      <c r="H4407" s="4" t="s">
        <v>28220</v>
      </c>
      <c r="I4407" t="s">
        <v>71</v>
      </c>
      <c r="J4407" t="s">
        <v>10782</v>
      </c>
      <c r="K4407" t="s">
        <v>28221</v>
      </c>
    </row>
    <row r="4408" spans="1:11" ht="100.8" x14ac:dyDescent="0.3">
      <c r="A4408" s="4" t="s">
        <v>7395</v>
      </c>
      <c r="B4408">
        <v>3</v>
      </c>
      <c r="C4408">
        <v>2018</v>
      </c>
      <c r="D4408" t="s">
        <v>704</v>
      </c>
      <c r="E4408">
        <v>24</v>
      </c>
      <c r="F4408" t="s">
        <v>28222</v>
      </c>
      <c r="G4408" t="s">
        <v>28223</v>
      </c>
      <c r="H4408" s="4" t="s">
        <v>28224</v>
      </c>
      <c r="I4408" t="s">
        <v>71</v>
      </c>
      <c r="J4408" t="s">
        <v>10782</v>
      </c>
      <c r="K4408" t="s">
        <v>28225</v>
      </c>
    </row>
    <row r="4409" spans="1:11" ht="72" x14ac:dyDescent="0.3">
      <c r="A4409" s="4" t="s">
        <v>7396</v>
      </c>
      <c r="B4409">
        <v>3</v>
      </c>
      <c r="C4409">
        <v>2018</v>
      </c>
      <c r="D4409" t="s">
        <v>11235</v>
      </c>
      <c r="E4409">
        <v>93</v>
      </c>
      <c r="F4409" t="s">
        <v>28226</v>
      </c>
      <c r="G4409" t="s">
        <v>28227</v>
      </c>
      <c r="H4409" s="4" t="s">
        <v>28228</v>
      </c>
    </row>
    <row r="4410" spans="1:11" ht="72" x14ac:dyDescent="0.3">
      <c r="A4410" s="4" t="s">
        <v>7397</v>
      </c>
      <c r="B4410">
        <v>3</v>
      </c>
      <c r="C4410">
        <v>2018</v>
      </c>
      <c r="D4410" t="s">
        <v>16870</v>
      </c>
      <c r="E4410">
        <v>3</v>
      </c>
      <c r="F4410" t="s">
        <v>28229</v>
      </c>
      <c r="G4410" t="s">
        <v>28230</v>
      </c>
      <c r="H4410" s="4" t="s">
        <v>28231</v>
      </c>
      <c r="I4410" t="s">
        <v>71</v>
      </c>
      <c r="J4410" t="s">
        <v>10782</v>
      </c>
      <c r="K4410" t="s">
        <v>28232</v>
      </c>
    </row>
    <row r="4411" spans="1:11" ht="187.2" x14ac:dyDescent="0.3">
      <c r="A4411" s="4" t="s">
        <v>7398</v>
      </c>
      <c r="B4411">
        <v>3</v>
      </c>
      <c r="C4411">
        <v>2018</v>
      </c>
      <c r="D4411" t="s">
        <v>550</v>
      </c>
      <c r="E4411">
        <v>8</v>
      </c>
      <c r="F4411" t="s">
        <v>28233</v>
      </c>
      <c r="G4411" t="s">
        <v>28234</v>
      </c>
      <c r="H4411" s="4" t="s">
        <v>28235</v>
      </c>
      <c r="I4411" t="s">
        <v>71</v>
      </c>
      <c r="J4411" t="s">
        <v>10782</v>
      </c>
      <c r="K4411" t="s">
        <v>28236</v>
      </c>
    </row>
    <row r="4412" spans="1:11" ht="187.2" x14ac:dyDescent="0.3">
      <c r="A4412" s="4" t="s">
        <v>7399</v>
      </c>
      <c r="B4412">
        <v>3</v>
      </c>
      <c r="C4412">
        <v>2018</v>
      </c>
      <c r="D4412" t="s">
        <v>10924</v>
      </c>
      <c r="E4412">
        <v>43</v>
      </c>
      <c r="F4412" t="s">
        <v>28237</v>
      </c>
      <c r="G4412" t="s">
        <v>28238</v>
      </c>
      <c r="H4412" s="4" t="s">
        <v>28239</v>
      </c>
      <c r="I4412" t="s">
        <v>71</v>
      </c>
      <c r="J4412" t="s">
        <v>10782</v>
      </c>
      <c r="K4412" t="s">
        <v>28240</v>
      </c>
    </row>
    <row r="4413" spans="1:11" ht="43.2" x14ac:dyDescent="0.3">
      <c r="A4413" s="4" t="s">
        <v>7400</v>
      </c>
      <c r="B4413">
        <v>3</v>
      </c>
      <c r="C4413">
        <v>2018</v>
      </c>
      <c r="D4413" t="s">
        <v>17273</v>
      </c>
      <c r="E4413">
        <v>13</v>
      </c>
      <c r="F4413" t="s">
        <v>28241</v>
      </c>
      <c r="G4413" t="s">
        <v>28242</v>
      </c>
      <c r="H4413" s="4" t="s">
        <v>28243</v>
      </c>
    </row>
    <row r="4414" spans="1:11" ht="144" x14ac:dyDescent="0.3">
      <c r="A4414" s="4" t="s">
        <v>7401</v>
      </c>
      <c r="B4414">
        <v>3</v>
      </c>
      <c r="C4414">
        <v>2018</v>
      </c>
      <c r="D4414" t="s">
        <v>28244</v>
      </c>
      <c r="E4414">
        <v>1</v>
      </c>
      <c r="F4414" t="s">
        <v>28245</v>
      </c>
      <c r="G4414" t="s">
        <v>28246</v>
      </c>
      <c r="H4414" s="4" t="s">
        <v>28247</v>
      </c>
    </row>
    <row r="4415" spans="1:11" ht="129.6" x14ac:dyDescent="0.3">
      <c r="A4415" s="4" t="s">
        <v>7402</v>
      </c>
      <c r="B4415">
        <v>3</v>
      </c>
      <c r="C4415">
        <v>2018</v>
      </c>
      <c r="D4415" t="s">
        <v>17463</v>
      </c>
      <c r="E4415">
        <v>4</v>
      </c>
      <c r="F4415" t="s">
        <v>28248</v>
      </c>
      <c r="G4415" t="s">
        <v>28249</v>
      </c>
      <c r="H4415" s="4" t="s">
        <v>28250</v>
      </c>
      <c r="I4415" t="s">
        <v>71</v>
      </c>
      <c r="J4415" t="s">
        <v>10782</v>
      </c>
      <c r="K4415" t="s">
        <v>28251</v>
      </c>
    </row>
    <row r="4416" spans="1:11" ht="230.4" x14ac:dyDescent="0.3">
      <c r="A4416" s="4" t="s">
        <v>7403</v>
      </c>
      <c r="B4416">
        <v>3</v>
      </c>
      <c r="C4416">
        <v>2018</v>
      </c>
      <c r="D4416" t="s">
        <v>329</v>
      </c>
      <c r="E4416">
        <v>22</v>
      </c>
      <c r="F4416" t="s">
        <v>28252</v>
      </c>
      <c r="G4416" t="s">
        <v>28253</v>
      </c>
      <c r="H4416" s="4" t="s">
        <v>28254</v>
      </c>
      <c r="I4416" t="s">
        <v>71</v>
      </c>
      <c r="J4416" t="s">
        <v>10782</v>
      </c>
      <c r="K4416" t="s">
        <v>28255</v>
      </c>
    </row>
    <row r="4417" spans="1:11" ht="100.8" x14ac:dyDescent="0.3">
      <c r="A4417" s="4" t="s">
        <v>7404</v>
      </c>
      <c r="B4417">
        <v>3</v>
      </c>
      <c r="C4417">
        <v>2018</v>
      </c>
      <c r="D4417" t="s">
        <v>622</v>
      </c>
      <c r="E4417">
        <v>14</v>
      </c>
      <c r="F4417" t="s">
        <v>28256</v>
      </c>
      <c r="G4417" t="s">
        <v>28257</v>
      </c>
      <c r="H4417" s="4" t="s">
        <v>28258</v>
      </c>
      <c r="I4417" t="s">
        <v>71</v>
      </c>
      <c r="J4417" t="s">
        <v>10782</v>
      </c>
      <c r="K4417" t="s">
        <v>28259</v>
      </c>
    </row>
    <row r="4418" spans="1:11" ht="144" x14ac:dyDescent="0.3">
      <c r="A4418" s="4" t="s">
        <v>7405</v>
      </c>
      <c r="B4418">
        <v>3</v>
      </c>
      <c r="C4418">
        <v>2018</v>
      </c>
      <c r="D4418" t="s">
        <v>14116</v>
      </c>
      <c r="E4418">
        <v>11</v>
      </c>
      <c r="F4418" t="s">
        <v>28260</v>
      </c>
      <c r="G4418" t="s">
        <v>28261</v>
      </c>
      <c r="H4418" s="4" t="s">
        <v>28262</v>
      </c>
      <c r="I4418" t="s">
        <v>71</v>
      </c>
      <c r="J4418" t="s">
        <v>10782</v>
      </c>
      <c r="K4418" t="s">
        <v>28263</v>
      </c>
    </row>
    <row r="4419" spans="1:11" ht="100.8" x14ac:dyDescent="0.3">
      <c r="A4419" s="4" t="s">
        <v>7406</v>
      </c>
      <c r="B4419">
        <v>3</v>
      </c>
      <c r="C4419">
        <v>2018</v>
      </c>
      <c r="D4419" t="s">
        <v>2267</v>
      </c>
      <c r="E4419">
        <v>21</v>
      </c>
      <c r="F4419" t="s">
        <v>28264</v>
      </c>
      <c r="G4419" t="s">
        <v>28265</v>
      </c>
      <c r="H4419" s="4" t="s">
        <v>28266</v>
      </c>
    </row>
    <row r="4420" spans="1:11" ht="144" x14ac:dyDescent="0.3">
      <c r="A4420" s="4" t="s">
        <v>7407</v>
      </c>
      <c r="B4420">
        <v>3</v>
      </c>
      <c r="C4420">
        <v>2018</v>
      </c>
      <c r="D4420" t="s">
        <v>28267</v>
      </c>
      <c r="E4420">
        <v>34</v>
      </c>
      <c r="G4420" t="s">
        <v>28268</v>
      </c>
      <c r="H4420" s="4" t="s">
        <v>28269</v>
      </c>
      <c r="I4420" s="4" t="s">
        <v>71</v>
      </c>
      <c r="J4420" t="s">
        <v>10782</v>
      </c>
      <c r="K4420" t="s">
        <v>28270</v>
      </c>
    </row>
    <row r="4421" spans="1:11" ht="144" x14ac:dyDescent="0.3">
      <c r="A4421" s="4" t="s">
        <v>7408</v>
      </c>
      <c r="B4421">
        <v>3</v>
      </c>
      <c r="C4421">
        <v>2018</v>
      </c>
      <c r="D4421" t="s">
        <v>11164</v>
      </c>
      <c r="E4421">
        <v>30</v>
      </c>
      <c r="F4421" t="s">
        <v>28271</v>
      </c>
      <c r="G4421" t="s">
        <v>28272</v>
      </c>
      <c r="H4421" s="4" t="s">
        <v>28273</v>
      </c>
      <c r="I4421" t="s">
        <v>10823</v>
      </c>
      <c r="J4421" t="s">
        <v>10782</v>
      </c>
      <c r="K4421" t="s">
        <v>28274</v>
      </c>
    </row>
    <row r="4422" spans="1:11" ht="100.8" x14ac:dyDescent="0.3">
      <c r="A4422" s="4" t="s">
        <v>7409</v>
      </c>
      <c r="B4422">
        <v>3</v>
      </c>
      <c r="C4422">
        <v>2018</v>
      </c>
      <c r="D4422" t="s">
        <v>385</v>
      </c>
      <c r="E4422">
        <v>113</v>
      </c>
      <c r="F4422" t="s">
        <v>28275</v>
      </c>
      <c r="G4422" t="s">
        <v>28276</v>
      </c>
      <c r="H4422" s="4" t="s">
        <v>28277</v>
      </c>
      <c r="I4422" t="s">
        <v>71</v>
      </c>
      <c r="J4422" t="s">
        <v>10782</v>
      </c>
      <c r="K4422" t="s">
        <v>28278</v>
      </c>
    </row>
    <row r="4423" spans="1:11" ht="129.6" x14ac:dyDescent="0.3">
      <c r="A4423" s="4" t="s">
        <v>7410</v>
      </c>
      <c r="B4423">
        <v>3</v>
      </c>
      <c r="C4423">
        <v>2018</v>
      </c>
      <c r="D4423" t="s">
        <v>679</v>
      </c>
      <c r="E4423">
        <v>49</v>
      </c>
      <c r="F4423" t="s">
        <v>28279</v>
      </c>
      <c r="G4423" t="s">
        <v>28280</v>
      </c>
      <c r="H4423" s="4" t="s">
        <v>28281</v>
      </c>
      <c r="I4423" t="s">
        <v>71</v>
      </c>
      <c r="J4423" t="s">
        <v>10782</v>
      </c>
      <c r="K4423" t="s">
        <v>28282</v>
      </c>
    </row>
    <row r="4424" spans="1:11" ht="187.2" x14ac:dyDescent="0.3">
      <c r="A4424" s="4" t="s">
        <v>7411</v>
      </c>
      <c r="B4424">
        <v>3</v>
      </c>
      <c r="C4424">
        <v>2018</v>
      </c>
      <c r="D4424" t="s">
        <v>28283</v>
      </c>
      <c r="E4424">
        <v>9</v>
      </c>
      <c r="F4424" t="s">
        <v>28284</v>
      </c>
      <c r="G4424" t="s">
        <v>28285</v>
      </c>
      <c r="H4424" s="4" t="s">
        <v>28286</v>
      </c>
      <c r="I4424" t="s">
        <v>71</v>
      </c>
      <c r="J4424" t="s">
        <v>10782</v>
      </c>
      <c r="K4424" t="s">
        <v>28287</v>
      </c>
    </row>
    <row r="4425" spans="1:11" ht="172.8" x14ac:dyDescent="0.3">
      <c r="A4425" s="4" t="s">
        <v>7412</v>
      </c>
      <c r="B4425">
        <v>3</v>
      </c>
      <c r="C4425">
        <v>2018</v>
      </c>
      <c r="D4425" t="s">
        <v>637</v>
      </c>
      <c r="E4425">
        <v>11</v>
      </c>
      <c r="F4425" t="s">
        <v>28288</v>
      </c>
      <c r="G4425" t="s">
        <v>28289</v>
      </c>
      <c r="H4425" s="4" t="s">
        <v>28290</v>
      </c>
      <c r="I4425" t="s">
        <v>71</v>
      </c>
      <c r="J4425" t="s">
        <v>10782</v>
      </c>
      <c r="K4425" t="s">
        <v>28291</v>
      </c>
    </row>
    <row r="4426" spans="1:11" ht="144" x14ac:dyDescent="0.3">
      <c r="A4426" s="4" t="s">
        <v>7413</v>
      </c>
      <c r="B4426">
        <v>3</v>
      </c>
      <c r="C4426">
        <v>2018</v>
      </c>
      <c r="D4426" t="s">
        <v>18480</v>
      </c>
      <c r="E4426">
        <v>26</v>
      </c>
      <c r="F4426" t="s">
        <v>28292</v>
      </c>
      <c r="G4426" t="s">
        <v>28293</v>
      </c>
      <c r="H4426" s="4" t="s">
        <v>28294</v>
      </c>
      <c r="I4426" t="s">
        <v>71</v>
      </c>
      <c r="J4426" t="s">
        <v>10782</v>
      </c>
      <c r="K4426" t="s">
        <v>28295</v>
      </c>
    </row>
    <row r="4427" spans="1:11" ht="115.2" x14ac:dyDescent="0.3">
      <c r="A4427" s="4" t="s">
        <v>7414</v>
      </c>
      <c r="B4427">
        <v>3</v>
      </c>
      <c r="C4427">
        <v>2018</v>
      </c>
      <c r="D4427" t="s">
        <v>28296</v>
      </c>
      <c r="E4427">
        <v>2</v>
      </c>
      <c r="F4427" t="s">
        <v>28297</v>
      </c>
      <c r="G4427" t="s">
        <v>28298</v>
      </c>
      <c r="H4427" s="4" t="s">
        <v>28299</v>
      </c>
      <c r="I4427" t="s">
        <v>71</v>
      </c>
      <c r="J4427" t="s">
        <v>10782</v>
      </c>
      <c r="K4427" t="s">
        <v>28300</v>
      </c>
    </row>
    <row r="4428" spans="1:11" ht="201.6" x14ac:dyDescent="0.3">
      <c r="A4428" s="4" t="s">
        <v>1702</v>
      </c>
      <c r="B4428">
        <v>1</v>
      </c>
      <c r="C4428">
        <v>2018</v>
      </c>
      <c r="D4428" t="s">
        <v>217</v>
      </c>
      <c r="E4428">
        <v>7</v>
      </c>
      <c r="F4428" t="s">
        <v>28301</v>
      </c>
      <c r="G4428" t="s">
        <v>28302</v>
      </c>
      <c r="H4428" s="4" t="s">
        <v>28303</v>
      </c>
      <c r="I4428" t="s">
        <v>71</v>
      </c>
      <c r="J4428" t="s">
        <v>10782</v>
      </c>
      <c r="K4428" t="s">
        <v>28304</v>
      </c>
    </row>
    <row r="4429" spans="1:11" ht="172.8" x14ac:dyDescent="0.3">
      <c r="A4429" s="4" t="s">
        <v>7415</v>
      </c>
      <c r="B4429">
        <v>3</v>
      </c>
      <c r="C4429">
        <v>2018</v>
      </c>
      <c r="D4429" t="s">
        <v>14512</v>
      </c>
      <c r="E4429">
        <v>23</v>
      </c>
      <c r="F4429" t="s">
        <v>28305</v>
      </c>
      <c r="G4429" t="s">
        <v>28306</v>
      </c>
      <c r="H4429" s="4" t="s">
        <v>28307</v>
      </c>
    </row>
    <row r="4430" spans="1:11" ht="57.6" x14ac:dyDescent="0.3">
      <c r="A4430" s="4" t="s">
        <v>7416</v>
      </c>
      <c r="B4430">
        <v>3</v>
      </c>
      <c r="C4430">
        <v>2018</v>
      </c>
      <c r="D4430" t="s">
        <v>28308</v>
      </c>
      <c r="E4430">
        <v>1</v>
      </c>
      <c r="F4430" t="s">
        <v>28309</v>
      </c>
      <c r="G4430" t="s">
        <v>28310</v>
      </c>
      <c r="H4430" s="4" t="s">
        <v>28311</v>
      </c>
    </row>
    <row r="4431" spans="1:11" ht="43.2" x14ac:dyDescent="0.3">
      <c r="A4431" s="4" t="s">
        <v>7417</v>
      </c>
      <c r="B4431">
        <v>3</v>
      </c>
      <c r="C4431">
        <v>2018</v>
      </c>
      <c r="D4431" t="s">
        <v>23468</v>
      </c>
      <c r="E4431">
        <v>48</v>
      </c>
      <c r="F4431" t="s">
        <v>28312</v>
      </c>
      <c r="G4431" t="s">
        <v>28313</v>
      </c>
      <c r="H4431" s="4" t="s">
        <v>28314</v>
      </c>
    </row>
    <row r="4432" spans="1:11" ht="115.2" x14ac:dyDescent="0.3">
      <c r="A4432" s="4" t="s">
        <v>7418</v>
      </c>
      <c r="B4432">
        <v>3</v>
      </c>
      <c r="C4432">
        <v>2018</v>
      </c>
      <c r="D4432" t="s">
        <v>26647</v>
      </c>
      <c r="E4432">
        <v>2</v>
      </c>
      <c r="F4432" t="s">
        <v>28315</v>
      </c>
      <c r="G4432" t="s">
        <v>28316</v>
      </c>
      <c r="H4432" s="4" t="s">
        <v>28317</v>
      </c>
      <c r="I4432" t="s">
        <v>71</v>
      </c>
      <c r="J4432" t="s">
        <v>10782</v>
      </c>
      <c r="K4432" t="s">
        <v>28318</v>
      </c>
    </row>
    <row r="4433" spans="1:11" ht="259.2" x14ac:dyDescent="0.3">
      <c r="A4433" s="4" t="s">
        <v>7419</v>
      </c>
      <c r="B4433">
        <v>3</v>
      </c>
      <c r="C4433">
        <v>2018</v>
      </c>
      <c r="D4433" t="s">
        <v>958</v>
      </c>
      <c r="E4433">
        <v>26</v>
      </c>
      <c r="F4433" t="s">
        <v>28319</v>
      </c>
      <c r="G4433" t="s">
        <v>28320</v>
      </c>
      <c r="H4433" s="4" t="s">
        <v>28321</v>
      </c>
      <c r="I4433" t="s">
        <v>71</v>
      </c>
      <c r="J4433" t="s">
        <v>10782</v>
      </c>
      <c r="K4433" t="s">
        <v>28322</v>
      </c>
    </row>
    <row r="4434" spans="1:11" ht="28.8" x14ac:dyDescent="0.3">
      <c r="A4434" s="4" t="s">
        <v>7420</v>
      </c>
      <c r="B4434">
        <v>3</v>
      </c>
      <c r="C4434">
        <v>2018</v>
      </c>
      <c r="D4434" t="s">
        <v>28323</v>
      </c>
      <c r="E4434">
        <v>5</v>
      </c>
      <c r="F4434" t="s">
        <v>28324</v>
      </c>
      <c r="G4434" t="s">
        <v>28325</v>
      </c>
      <c r="H4434" s="4" t="s">
        <v>28326</v>
      </c>
    </row>
    <row r="4435" spans="1:11" ht="187.2" x14ac:dyDescent="0.3">
      <c r="A4435" s="4" t="s">
        <v>7421</v>
      </c>
      <c r="B4435">
        <v>3</v>
      </c>
      <c r="C4435">
        <v>2018</v>
      </c>
      <c r="D4435" t="s">
        <v>14380</v>
      </c>
      <c r="E4435">
        <v>1</v>
      </c>
      <c r="F4435" t="s">
        <v>28327</v>
      </c>
      <c r="G4435" t="s">
        <v>28328</v>
      </c>
      <c r="H4435" s="4" t="s">
        <v>28329</v>
      </c>
      <c r="I4435" t="s">
        <v>71</v>
      </c>
      <c r="J4435" t="s">
        <v>10782</v>
      </c>
      <c r="K4435" t="s">
        <v>28330</v>
      </c>
    </row>
    <row r="4436" spans="1:11" ht="144" x14ac:dyDescent="0.3">
      <c r="A4436" s="4" t="s">
        <v>7422</v>
      </c>
      <c r="B4436">
        <v>3</v>
      </c>
      <c r="C4436">
        <v>2018</v>
      </c>
      <c r="D4436" t="s">
        <v>28331</v>
      </c>
      <c r="E4436">
        <v>33</v>
      </c>
      <c r="F4436" t="s">
        <v>28332</v>
      </c>
      <c r="G4436" t="s">
        <v>28333</v>
      </c>
      <c r="H4436" s="4" t="s">
        <v>28334</v>
      </c>
    </row>
    <row r="4437" spans="1:11" ht="43.2" x14ac:dyDescent="0.3">
      <c r="A4437" s="4" t="s">
        <v>7423</v>
      </c>
      <c r="B4437">
        <v>3</v>
      </c>
      <c r="C4437">
        <v>2018</v>
      </c>
      <c r="D4437" t="s">
        <v>14320</v>
      </c>
      <c r="E4437">
        <v>0</v>
      </c>
      <c r="F4437" t="s">
        <v>28335</v>
      </c>
      <c r="G4437" t="s">
        <v>28336</v>
      </c>
      <c r="H4437" s="4" t="s">
        <v>28337</v>
      </c>
    </row>
    <row r="4438" spans="1:11" ht="409.6" x14ac:dyDescent="0.3">
      <c r="A4438" s="4" t="s">
        <v>7424</v>
      </c>
      <c r="B4438">
        <v>3</v>
      </c>
      <c r="C4438">
        <v>2018</v>
      </c>
      <c r="D4438" t="s">
        <v>28338</v>
      </c>
      <c r="E4438">
        <v>33</v>
      </c>
      <c r="F4438" t="s">
        <v>28339</v>
      </c>
      <c r="G4438" t="s">
        <v>28340</v>
      </c>
      <c r="H4438" s="4" t="s">
        <v>28341</v>
      </c>
      <c r="I4438" t="s">
        <v>71</v>
      </c>
      <c r="J4438" t="s">
        <v>10782</v>
      </c>
      <c r="K4438" t="s">
        <v>28342</v>
      </c>
    </row>
    <row r="4439" spans="1:11" ht="201.6" x14ac:dyDescent="0.3">
      <c r="A4439" s="4" t="s">
        <v>7425</v>
      </c>
      <c r="B4439">
        <v>3</v>
      </c>
      <c r="C4439">
        <v>2018</v>
      </c>
      <c r="D4439" t="s">
        <v>550</v>
      </c>
      <c r="E4439">
        <v>26</v>
      </c>
      <c r="F4439" t="s">
        <v>28343</v>
      </c>
      <c r="G4439" t="s">
        <v>28344</v>
      </c>
      <c r="H4439" s="4" t="s">
        <v>28345</v>
      </c>
      <c r="I4439" t="s">
        <v>71</v>
      </c>
      <c r="J4439" t="s">
        <v>10782</v>
      </c>
      <c r="K4439" t="s">
        <v>28346</v>
      </c>
    </row>
    <row r="4440" spans="1:11" ht="144" x14ac:dyDescent="0.3">
      <c r="A4440" s="4" t="s">
        <v>7426</v>
      </c>
      <c r="B4440">
        <v>3</v>
      </c>
      <c r="C4440">
        <v>2018</v>
      </c>
      <c r="D4440" t="s">
        <v>19066</v>
      </c>
      <c r="E4440">
        <v>1</v>
      </c>
      <c r="G4440" t="s">
        <v>28347</v>
      </c>
      <c r="H4440" s="4" t="s">
        <v>28348</v>
      </c>
      <c r="I4440" s="4" t="s">
        <v>71</v>
      </c>
      <c r="J4440" t="s">
        <v>10782</v>
      </c>
      <c r="K4440" t="s">
        <v>28349</v>
      </c>
    </row>
    <row r="4441" spans="1:11" ht="187.2" x14ac:dyDescent="0.3">
      <c r="A4441" s="4" t="s">
        <v>7427</v>
      </c>
      <c r="B4441">
        <v>3</v>
      </c>
      <c r="C4441">
        <v>2018</v>
      </c>
      <c r="D4441" t="s">
        <v>17208</v>
      </c>
      <c r="E4441">
        <v>1</v>
      </c>
      <c r="F4441" t="s">
        <v>28350</v>
      </c>
      <c r="G4441" t="s">
        <v>28351</v>
      </c>
      <c r="H4441" s="4" t="s">
        <v>28352</v>
      </c>
      <c r="I4441" t="s">
        <v>71</v>
      </c>
      <c r="J4441" t="s">
        <v>10782</v>
      </c>
      <c r="K4441" t="s">
        <v>28353</v>
      </c>
    </row>
    <row r="4442" spans="1:11" ht="129.6" x14ac:dyDescent="0.3">
      <c r="A4442" s="4" t="s">
        <v>7428</v>
      </c>
      <c r="B4442">
        <v>3</v>
      </c>
      <c r="C4442">
        <v>2018</v>
      </c>
      <c r="D4442" t="s">
        <v>28354</v>
      </c>
      <c r="E4442">
        <v>1</v>
      </c>
      <c r="F4442" t="s">
        <v>28355</v>
      </c>
      <c r="G4442" t="s">
        <v>28356</v>
      </c>
      <c r="H4442" s="4" t="s">
        <v>28357</v>
      </c>
      <c r="I4442" t="s">
        <v>71</v>
      </c>
      <c r="J4442" t="s">
        <v>10782</v>
      </c>
      <c r="K4442" t="s">
        <v>28358</v>
      </c>
    </row>
    <row r="4443" spans="1:11" ht="187.2" x14ac:dyDescent="0.3">
      <c r="A4443" s="4" t="s">
        <v>7429</v>
      </c>
      <c r="B4443">
        <v>3</v>
      </c>
      <c r="C4443">
        <v>2018</v>
      </c>
      <c r="D4443" t="s">
        <v>19066</v>
      </c>
      <c r="E4443">
        <v>3</v>
      </c>
      <c r="G4443" t="s">
        <v>28359</v>
      </c>
      <c r="H4443" s="4" t="s">
        <v>28360</v>
      </c>
      <c r="I4443" s="4" t="s">
        <v>71</v>
      </c>
      <c r="J4443" t="s">
        <v>10782</v>
      </c>
      <c r="K4443" t="s">
        <v>28361</v>
      </c>
    </row>
    <row r="4444" spans="1:11" ht="172.8" x14ac:dyDescent="0.3">
      <c r="A4444" s="4" t="s">
        <v>7430</v>
      </c>
      <c r="B4444">
        <v>3</v>
      </c>
      <c r="C4444">
        <v>2018</v>
      </c>
      <c r="D4444" t="s">
        <v>12024</v>
      </c>
      <c r="E4444">
        <v>19</v>
      </c>
      <c r="F4444" t="s">
        <v>28362</v>
      </c>
      <c r="G4444" t="s">
        <v>28363</v>
      </c>
      <c r="H4444" s="4" t="s">
        <v>28364</v>
      </c>
      <c r="I4444" t="s">
        <v>71</v>
      </c>
      <c r="J4444" t="s">
        <v>10782</v>
      </c>
      <c r="K4444" t="s">
        <v>28365</v>
      </c>
    </row>
    <row r="4445" spans="1:11" ht="172.8" x14ac:dyDescent="0.3">
      <c r="A4445" s="4" t="s">
        <v>7431</v>
      </c>
      <c r="B4445">
        <v>3</v>
      </c>
      <c r="C4445">
        <v>2018</v>
      </c>
      <c r="D4445" t="s">
        <v>10924</v>
      </c>
      <c r="E4445">
        <v>29</v>
      </c>
      <c r="F4445" t="s">
        <v>28366</v>
      </c>
      <c r="G4445" t="s">
        <v>28367</v>
      </c>
      <c r="H4445" s="4" t="s">
        <v>28368</v>
      </c>
      <c r="I4445" t="s">
        <v>71</v>
      </c>
      <c r="J4445" t="s">
        <v>10782</v>
      </c>
      <c r="K4445" t="s">
        <v>28369</v>
      </c>
    </row>
    <row r="4446" spans="1:11" ht="43.2" x14ac:dyDescent="0.3">
      <c r="A4446" s="4" t="s">
        <v>3374</v>
      </c>
      <c r="B4446">
        <v>1</v>
      </c>
      <c r="C4446">
        <v>2018</v>
      </c>
      <c r="D4446" t="s">
        <v>11569</v>
      </c>
      <c r="E4446">
        <v>54</v>
      </c>
      <c r="F4446" t="s">
        <v>28370</v>
      </c>
      <c r="G4446" t="s">
        <v>28371</v>
      </c>
      <c r="H4446" s="4" t="s">
        <v>28372</v>
      </c>
    </row>
    <row r="4447" spans="1:11" ht="216" x14ac:dyDescent="0.3">
      <c r="A4447" s="4" t="s">
        <v>7432</v>
      </c>
      <c r="B4447">
        <v>3</v>
      </c>
      <c r="C4447">
        <v>2018</v>
      </c>
      <c r="D4447" t="s">
        <v>2389</v>
      </c>
      <c r="E4447">
        <v>8</v>
      </c>
      <c r="F4447" t="s">
        <v>28373</v>
      </c>
      <c r="G4447" t="s">
        <v>28374</v>
      </c>
      <c r="H4447" s="4" t="s">
        <v>28375</v>
      </c>
      <c r="I4447" t="s">
        <v>71</v>
      </c>
      <c r="J4447" t="s">
        <v>10782</v>
      </c>
      <c r="K4447" t="s">
        <v>28376</v>
      </c>
    </row>
    <row r="4448" spans="1:11" ht="57.6" x14ac:dyDescent="0.3">
      <c r="A4448" s="4" t="s">
        <v>7433</v>
      </c>
      <c r="B4448">
        <v>3</v>
      </c>
      <c r="C4448">
        <v>2018</v>
      </c>
      <c r="D4448" t="s">
        <v>28308</v>
      </c>
      <c r="E4448">
        <v>7</v>
      </c>
      <c r="F4448" t="s">
        <v>28377</v>
      </c>
      <c r="G4448" t="s">
        <v>28378</v>
      </c>
      <c r="H4448" s="4" t="s">
        <v>28379</v>
      </c>
    </row>
    <row r="4449" spans="1:11" ht="129.6" x14ac:dyDescent="0.3">
      <c r="A4449" s="4" t="s">
        <v>7434</v>
      </c>
      <c r="B4449">
        <v>3</v>
      </c>
      <c r="C4449">
        <v>2018</v>
      </c>
      <c r="D4449" t="s">
        <v>11521</v>
      </c>
      <c r="E4449">
        <v>1</v>
      </c>
      <c r="F4449" t="s">
        <v>28380</v>
      </c>
      <c r="G4449" t="s">
        <v>28381</v>
      </c>
      <c r="H4449" s="4" t="s">
        <v>28382</v>
      </c>
      <c r="I4449" t="s">
        <v>71</v>
      </c>
      <c r="J4449" t="s">
        <v>10782</v>
      </c>
      <c r="K4449" t="s">
        <v>28383</v>
      </c>
    </row>
    <row r="4450" spans="1:11" ht="43.2" x14ac:dyDescent="0.3">
      <c r="A4450" s="4" t="s">
        <v>7435</v>
      </c>
      <c r="B4450">
        <v>3</v>
      </c>
      <c r="C4450">
        <v>2018</v>
      </c>
      <c r="D4450" t="s">
        <v>28384</v>
      </c>
      <c r="E4450">
        <v>10</v>
      </c>
      <c r="F4450" t="s">
        <v>28385</v>
      </c>
      <c r="G4450" t="s">
        <v>28386</v>
      </c>
      <c r="H4450" s="4" t="s">
        <v>71</v>
      </c>
      <c r="I4450" t="s">
        <v>10782</v>
      </c>
      <c r="J4450" t="s">
        <v>28387</v>
      </c>
    </row>
    <row r="4451" spans="1:11" ht="273.60000000000002" x14ac:dyDescent="0.3">
      <c r="A4451" s="4" t="s">
        <v>7436</v>
      </c>
      <c r="B4451">
        <v>3</v>
      </c>
      <c r="C4451">
        <v>2018</v>
      </c>
      <c r="D4451" t="s">
        <v>958</v>
      </c>
      <c r="E4451">
        <v>38</v>
      </c>
      <c r="F4451" t="s">
        <v>28388</v>
      </c>
      <c r="G4451" t="s">
        <v>28389</v>
      </c>
      <c r="H4451" s="4" t="s">
        <v>28390</v>
      </c>
      <c r="I4451" t="s">
        <v>71</v>
      </c>
      <c r="J4451" t="s">
        <v>10782</v>
      </c>
      <c r="K4451" t="s">
        <v>28391</v>
      </c>
    </row>
    <row r="4452" spans="1:11" ht="57.6" x14ac:dyDescent="0.3">
      <c r="A4452" s="4" t="s">
        <v>7437</v>
      </c>
      <c r="B4452">
        <v>3</v>
      </c>
      <c r="C4452">
        <v>2018</v>
      </c>
      <c r="D4452" t="s">
        <v>11041</v>
      </c>
      <c r="E4452">
        <v>23</v>
      </c>
      <c r="F4452" t="s">
        <v>28392</v>
      </c>
      <c r="G4452" t="s">
        <v>28393</v>
      </c>
      <c r="H4452" s="4" t="s">
        <v>28394</v>
      </c>
    </row>
    <row r="4453" spans="1:11" ht="216" x14ac:dyDescent="0.3">
      <c r="A4453" s="4" t="s">
        <v>1704</v>
      </c>
      <c r="B4453">
        <v>1</v>
      </c>
      <c r="C4453">
        <v>2018</v>
      </c>
      <c r="D4453" t="s">
        <v>1759</v>
      </c>
      <c r="E4453">
        <v>56</v>
      </c>
      <c r="F4453" t="s">
        <v>28395</v>
      </c>
      <c r="G4453" t="s">
        <v>28396</v>
      </c>
      <c r="H4453" s="4" t="s">
        <v>28397</v>
      </c>
      <c r="I4453" t="s">
        <v>71</v>
      </c>
      <c r="J4453" t="s">
        <v>10782</v>
      </c>
      <c r="K4453" t="s">
        <v>28398</v>
      </c>
    </row>
    <row r="4454" spans="1:11" ht="288" x14ac:dyDescent="0.3">
      <c r="A4454" s="4" t="s">
        <v>7438</v>
      </c>
      <c r="B4454">
        <v>3</v>
      </c>
      <c r="C4454">
        <v>2018</v>
      </c>
      <c r="D4454" t="s">
        <v>528</v>
      </c>
      <c r="E4454">
        <v>24</v>
      </c>
      <c r="F4454" t="s">
        <v>28399</v>
      </c>
      <c r="G4454" t="s">
        <v>28400</v>
      </c>
      <c r="H4454" s="4" t="s">
        <v>28401</v>
      </c>
      <c r="I4454" t="s">
        <v>71</v>
      </c>
      <c r="J4454" t="s">
        <v>10782</v>
      </c>
      <c r="K4454" t="s">
        <v>28402</v>
      </c>
    </row>
    <row r="4455" spans="1:11" ht="201.6" x14ac:dyDescent="0.3">
      <c r="A4455" s="4" t="s">
        <v>1703</v>
      </c>
      <c r="B4455">
        <v>1</v>
      </c>
      <c r="C4455">
        <v>2018</v>
      </c>
      <c r="D4455" t="s">
        <v>1525</v>
      </c>
      <c r="E4455">
        <v>46</v>
      </c>
      <c r="F4455" t="s">
        <v>28403</v>
      </c>
      <c r="G4455" t="s">
        <v>28404</v>
      </c>
      <c r="H4455" s="4" t="s">
        <v>28405</v>
      </c>
      <c r="I4455" t="s">
        <v>71</v>
      </c>
      <c r="J4455" t="s">
        <v>10782</v>
      </c>
      <c r="K4455" t="s">
        <v>28406</v>
      </c>
    </row>
    <row r="4456" spans="1:11" ht="216" x14ac:dyDescent="0.3">
      <c r="A4456" s="4" t="s">
        <v>7439</v>
      </c>
      <c r="B4456">
        <v>3</v>
      </c>
      <c r="C4456">
        <v>2018</v>
      </c>
      <c r="D4456" t="s">
        <v>14863</v>
      </c>
      <c r="E4456">
        <v>24</v>
      </c>
      <c r="F4456" t="s">
        <v>28407</v>
      </c>
      <c r="G4456" t="s">
        <v>28408</v>
      </c>
      <c r="H4456" s="4" t="s">
        <v>28409</v>
      </c>
      <c r="I4456" t="s">
        <v>71</v>
      </c>
      <c r="J4456" t="s">
        <v>10782</v>
      </c>
      <c r="K4456" t="s">
        <v>28410</v>
      </c>
    </row>
    <row r="4457" spans="1:11" ht="172.8" x14ac:dyDescent="0.3">
      <c r="A4457" s="4" t="s">
        <v>7440</v>
      </c>
      <c r="B4457">
        <v>3</v>
      </c>
      <c r="C4457">
        <v>2018</v>
      </c>
      <c r="D4457" t="s">
        <v>550</v>
      </c>
      <c r="E4457">
        <v>24</v>
      </c>
      <c r="F4457" t="s">
        <v>28411</v>
      </c>
      <c r="G4457" t="s">
        <v>28412</v>
      </c>
      <c r="H4457" s="4" t="s">
        <v>28413</v>
      </c>
      <c r="I4457" t="s">
        <v>71</v>
      </c>
      <c r="J4457" t="s">
        <v>10782</v>
      </c>
      <c r="K4457" t="s">
        <v>28414</v>
      </c>
    </row>
    <row r="4458" spans="1:11" ht="259.2" x14ac:dyDescent="0.3">
      <c r="A4458" s="4" t="s">
        <v>7441</v>
      </c>
      <c r="B4458">
        <v>3</v>
      </c>
      <c r="C4458">
        <v>2018</v>
      </c>
      <c r="D4458" t="s">
        <v>11432</v>
      </c>
      <c r="E4458">
        <v>17</v>
      </c>
      <c r="F4458" t="s">
        <v>28415</v>
      </c>
      <c r="G4458" t="s">
        <v>28416</v>
      </c>
      <c r="H4458" s="4" t="s">
        <v>28417</v>
      </c>
      <c r="I4458" t="s">
        <v>71</v>
      </c>
      <c r="J4458" t="s">
        <v>10782</v>
      </c>
      <c r="K4458" t="s">
        <v>28418</v>
      </c>
    </row>
    <row r="4459" spans="1:11" ht="144" x14ac:dyDescent="0.3">
      <c r="A4459" s="4" t="s">
        <v>3375</v>
      </c>
      <c r="B4459">
        <v>1</v>
      </c>
      <c r="C4459">
        <v>2018</v>
      </c>
      <c r="D4459" t="s">
        <v>2222</v>
      </c>
      <c r="E4459">
        <v>0</v>
      </c>
      <c r="G4459" t="s">
        <v>28419</v>
      </c>
      <c r="H4459" s="4" t="s">
        <v>28420</v>
      </c>
      <c r="I4459" s="4" t="s">
        <v>71</v>
      </c>
      <c r="J4459" t="s">
        <v>10782</v>
      </c>
      <c r="K4459" t="s">
        <v>28421</v>
      </c>
    </row>
    <row r="4460" spans="1:11" ht="144" x14ac:dyDescent="0.3">
      <c r="A4460" s="4" t="s">
        <v>7442</v>
      </c>
      <c r="B4460">
        <v>3</v>
      </c>
      <c r="C4460">
        <v>2018</v>
      </c>
      <c r="D4460" t="s">
        <v>1381</v>
      </c>
      <c r="E4460">
        <v>9</v>
      </c>
      <c r="F4460" t="s">
        <v>28422</v>
      </c>
      <c r="G4460" t="s">
        <v>28423</v>
      </c>
      <c r="H4460" s="4" t="s">
        <v>28424</v>
      </c>
      <c r="I4460" t="s">
        <v>71</v>
      </c>
      <c r="J4460" t="s">
        <v>10782</v>
      </c>
      <c r="K4460" t="s">
        <v>28425</v>
      </c>
    </row>
    <row r="4461" spans="1:11" ht="129.6" x14ac:dyDescent="0.3">
      <c r="A4461" s="4" t="s">
        <v>7443</v>
      </c>
      <c r="B4461">
        <v>3</v>
      </c>
      <c r="C4461">
        <v>2018</v>
      </c>
      <c r="D4461" t="s">
        <v>12672</v>
      </c>
      <c r="E4461">
        <v>47</v>
      </c>
      <c r="F4461" t="s">
        <v>28426</v>
      </c>
      <c r="G4461" t="s">
        <v>28427</v>
      </c>
      <c r="H4461" s="4" t="s">
        <v>28428</v>
      </c>
    </row>
    <row r="4462" spans="1:11" ht="216" x14ac:dyDescent="0.3">
      <c r="A4462" s="4" t="s">
        <v>7444</v>
      </c>
      <c r="B4462">
        <v>3</v>
      </c>
      <c r="C4462">
        <v>2018</v>
      </c>
      <c r="D4462" t="s">
        <v>19510</v>
      </c>
      <c r="E4462">
        <v>2</v>
      </c>
      <c r="F4462" t="s">
        <v>28429</v>
      </c>
      <c r="G4462" t="s">
        <v>28430</v>
      </c>
      <c r="H4462" s="4" t="s">
        <v>28431</v>
      </c>
      <c r="I4462" t="s">
        <v>71</v>
      </c>
      <c r="J4462" t="s">
        <v>10782</v>
      </c>
      <c r="K4462" t="s">
        <v>28432</v>
      </c>
    </row>
    <row r="4463" spans="1:11" ht="115.2" x14ac:dyDescent="0.3">
      <c r="A4463" s="4" t="s">
        <v>7445</v>
      </c>
      <c r="B4463">
        <v>3</v>
      </c>
      <c r="C4463">
        <v>2018</v>
      </c>
      <c r="D4463" t="s">
        <v>28433</v>
      </c>
      <c r="E4463">
        <v>0</v>
      </c>
      <c r="F4463" t="s">
        <v>28434</v>
      </c>
      <c r="G4463" t="s">
        <v>28435</v>
      </c>
      <c r="H4463" s="4" t="s">
        <v>28436</v>
      </c>
      <c r="I4463" t="s">
        <v>71</v>
      </c>
      <c r="J4463" t="s">
        <v>10782</v>
      </c>
      <c r="K4463" t="s">
        <v>28437</v>
      </c>
    </row>
    <row r="4464" spans="1:11" ht="57.6" x14ac:dyDescent="0.3">
      <c r="A4464" s="4" t="s">
        <v>7446</v>
      </c>
      <c r="B4464">
        <v>3</v>
      </c>
      <c r="C4464">
        <v>2018</v>
      </c>
      <c r="D4464" t="s">
        <v>23247</v>
      </c>
      <c r="E4464">
        <v>21</v>
      </c>
      <c r="F4464" t="s">
        <v>28438</v>
      </c>
      <c r="G4464" t="s">
        <v>28439</v>
      </c>
      <c r="H4464" s="4" t="s">
        <v>28440</v>
      </c>
    </row>
    <row r="4465" spans="1:11" ht="86.4" x14ac:dyDescent="0.3">
      <c r="A4465" s="4" t="s">
        <v>7447</v>
      </c>
      <c r="B4465">
        <v>3</v>
      </c>
      <c r="C4465">
        <v>2018</v>
      </c>
      <c r="D4465" t="s">
        <v>2210</v>
      </c>
      <c r="E4465">
        <v>6</v>
      </c>
      <c r="F4465" t="s">
        <v>28441</v>
      </c>
      <c r="G4465" t="s">
        <v>28442</v>
      </c>
      <c r="H4465" s="4" t="s">
        <v>28443</v>
      </c>
    </row>
    <row r="4466" spans="1:11" ht="216" x14ac:dyDescent="0.3">
      <c r="A4466" s="4" t="s">
        <v>7448</v>
      </c>
      <c r="B4466">
        <v>3</v>
      </c>
      <c r="C4466">
        <v>2018</v>
      </c>
      <c r="D4466" t="s">
        <v>27619</v>
      </c>
      <c r="E4466">
        <v>12</v>
      </c>
      <c r="F4466" t="s">
        <v>28444</v>
      </c>
      <c r="G4466" t="s">
        <v>28445</v>
      </c>
      <c r="H4466" s="4" t="s">
        <v>28446</v>
      </c>
      <c r="I4466" t="s">
        <v>71</v>
      </c>
      <c r="J4466" t="s">
        <v>10782</v>
      </c>
      <c r="K4466" t="s">
        <v>28447</v>
      </c>
    </row>
    <row r="4467" spans="1:11" ht="172.8" x14ac:dyDescent="0.3">
      <c r="A4467" s="4" t="s">
        <v>7449</v>
      </c>
      <c r="B4467">
        <v>3</v>
      </c>
      <c r="C4467">
        <v>2018</v>
      </c>
      <c r="D4467" t="s">
        <v>14553</v>
      </c>
      <c r="E4467">
        <v>8</v>
      </c>
      <c r="F4467" t="s">
        <v>28448</v>
      </c>
      <c r="G4467" t="s">
        <v>28449</v>
      </c>
      <c r="H4467" s="4" t="s">
        <v>28450</v>
      </c>
      <c r="I4467" t="s">
        <v>71</v>
      </c>
      <c r="J4467" t="s">
        <v>10782</v>
      </c>
      <c r="K4467" t="s">
        <v>28451</v>
      </c>
    </row>
    <row r="4468" spans="1:11" ht="115.2" x14ac:dyDescent="0.3">
      <c r="A4468" s="4" t="s">
        <v>7450</v>
      </c>
      <c r="B4468">
        <v>3</v>
      </c>
      <c r="C4468">
        <v>2018</v>
      </c>
      <c r="D4468" t="s">
        <v>21387</v>
      </c>
      <c r="E4468">
        <v>30</v>
      </c>
      <c r="F4468" t="s">
        <v>28452</v>
      </c>
      <c r="G4468" t="s">
        <v>28453</v>
      </c>
      <c r="H4468" s="4" t="s">
        <v>28454</v>
      </c>
      <c r="I4468" t="s">
        <v>71</v>
      </c>
      <c r="J4468" t="s">
        <v>10782</v>
      </c>
      <c r="K4468" t="s">
        <v>28455</v>
      </c>
    </row>
    <row r="4469" spans="1:11" ht="201.6" x14ac:dyDescent="0.3">
      <c r="A4469" s="4" t="s">
        <v>7451</v>
      </c>
      <c r="B4469">
        <v>3</v>
      </c>
      <c r="C4469">
        <v>2018</v>
      </c>
      <c r="D4469" t="s">
        <v>637</v>
      </c>
      <c r="E4469">
        <v>39</v>
      </c>
      <c r="F4469" t="s">
        <v>28456</v>
      </c>
      <c r="G4469" t="s">
        <v>28457</v>
      </c>
      <c r="H4469" s="4" t="s">
        <v>28458</v>
      </c>
      <c r="I4469" t="s">
        <v>71</v>
      </c>
      <c r="J4469" t="s">
        <v>10782</v>
      </c>
      <c r="K4469" t="s">
        <v>28459</v>
      </c>
    </row>
    <row r="4470" spans="1:11" ht="187.2" x14ac:dyDescent="0.3">
      <c r="A4470" s="4" t="s">
        <v>7452</v>
      </c>
      <c r="B4470">
        <v>3</v>
      </c>
      <c r="C4470">
        <v>2018</v>
      </c>
      <c r="D4470" t="s">
        <v>13021</v>
      </c>
      <c r="E4470">
        <v>59</v>
      </c>
      <c r="F4470" t="s">
        <v>28460</v>
      </c>
      <c r="G4470" t="s">
        <v>28461</v>
      </c>
      <c r="H4470" s="4" t="s">
        <v>28462</v>
      </c>
      <c r="I4470" t="s">
        <v>71</v>
      </c>
      <c r="J4470" t="s">
        <v>10782</v>
      </c>
      <c r="K4470" t="s">
        <v>28463</v>
      </c>
    </row>
    <row r="4471" spans="1:11" ht="115.2" x14ac:dyDescent="0.3">
      <c r="A4471" s="4" t="s">
        <v>7453</v>
      </c>
      <c r="B4471">
        <v>3</v>
      </c>
      <c r="C4471">
        <v>2018</v>
      </c>
      <c r="D4471" t="s">
        <v>83</v>
      </c>
      <c r="E4471">
        <v>29</v>
      </c>
      <c r="F4471" t="s">
        <v>28464</v>
      </c>
      <c r="G4471" t="s">
        <v>28465</v>
      </c>
      <c r="H4471" s="4" t="s">
        <v>28466</v>
      </c>
    </row>
    <row r="4472" spans="1:11" ht="115.2" x14ac:dyDescent="0.3">
      <c r="A4472" s="4" t="s">
        <v>7454</v>
      </c>
      <c r="B4472">
        <v>3</v>
      </c>
      <c r="C4472">
        <v>2018</v>
      </c>
      <c r="D4472" t="s">
        <v>1746</v>
      </c>
      <c r="E4472">
        <v>26</v>
      </c>
      <c r="F4472" t="s">
        <v>28467</v>
      </c>
      <c r="G4472" t="s">
        <v>28468</v>
      </c>
      <c r="H4472" s="4" t="s">
        <v>28469</v>
      </c>
    </row>
    <row r="4473" spans="1:11" ht="144" x14ac:dyDescent="0.3">
      <c r="A4473" s="4" t="s">
        <v>7455</v>
      </c>
      <c r="B4473">
        <v>3</v>
      </c>
      <c r="C4473">
        <v>2018</v>
      </c>
      <c r="D4473" t="s">
        <v>2389</v>
      </c>
      <c r="E4473">
        <v>0</v>
      </c>
      <c r="F4473" t="s">
        <v>28470</v>
      </c>
      <c r="G4473" t="s">
        <v>28471</v>
      </c>
      <c r="H4473" s="4" t="s">
        <v>28472</v>
      </c>
    </row>
    <row r="4474" spans="1:11" ht="100.8" x14ac:dyDescent="0.3">
      <c r="A4474" s="4" t="s">
        <v>7456</v>
      </c>
      <c r="B4474">
        <v>3</v>
      </c>
      <c r="C4474">
        <v>2018</v>
      </c>
      <c r="D4474" t="s">
        <v>21969</v>
      </c>
      <c r="E4474">
        <v>2</v>
      </c>
      <c r="F4474" t="s">
        <v>28473</v>
      </c>
      <c r="G4474" t="s">
        <v>28474</v>
      </c>
      <c r="H4474" s="4" t="s">
        <v>28475</v>
      </c>
      <c r="I4474" t="s">
        <v>71</v>
      </c>
      <c r="J4474" t="s">
        <v>10782</v>
      </c>
      <c r="K4474" t="s">
        <v>28476</v>
      </c>
    </row>
    <row r="4475" spans="1:11" ht="158.4" x14ac:dyDescent="0.3">
      <c r="A4475" s="4" t="s">
        <v>7457</v>
      </c>
      <c r="B4475">
        <v>3</v>
      </c>
      <c r="C4475">
        <v>2018</v>
      </c>
      <c r="D4475" t="s">
        <v>11598</v>
      </c>
      <c r="E4475">
        <v>83</v>
      </c>
      <c r="F4475" t="s">
        <v>28477</v>
      </c>
      <c r="G4475" t="s">
        <v>28478</v>
      </c>
      <c r="H4475" s="4" t="s">
        <v>28479</v>
      </c>
      <c r="I4475" t="s">
        <v>71</v>
      </c>
      <c r="J4475" t="s">
        <v>10782</v>
      </c>
      <c r="K4475" t="s">
        <v>28480</v>
      </c>
    </row>
    <row r="4476" spans="1:11" ht="115.2" x14ac:dyDescent="0.3">
      <c r="A4476" s="4" t="s">
        <v>7458</v>
      </c>
      <c r="B4476">
        <v>3</v>
      </c>
      <c r="C4476">
        <v>2018</v>
      </c>
      <c r="D4476" t="s">
        <v>28481</v>
      </c>
      <c r="E4476">
        <v>9</v>
      </c>
      <c r="G4476" t="s">
        <v>28482</v>
      </c>
      <c r="H4476" s="4" t="s">
        <v>28483</v>
      </c>
      <c r="I4476" s="4" t="s">
        <v>71</v>
      </c>
      <c r="J4476" t="s">
        <v>10782</v>
      </c>
      <c r="K4476" t="s">
        <v>28484</v>
      </c>
    </row>
    <row r="4477" spans="1:11" ht="100.8" x14ac:dyDescent="0.3">
      <c r="A4477" s="4" t="s">
        <v>7459</v>
      </c>
      <c r="B4477">
        <v>3</v>
      </c>
      <c r="C4477">
        <v>2017</v>
      </c>
      <c r="D4477" t="s">
        <v>10825</v>
      </c>
      <c r="E4477">
        <v>10</v>
      </c>
      <c r="F4477" t="s">
        <v>28485</v>
      </c>
      <c r="G4477" t="s">
        <v>28486</v>
      </c>
      <c r="H4477" s="4" t="s">
        <v>28487</v>
      </c>
    </row>
    <row r="4478" spans="1:11" ht="172.8" x14ac:dyDescent="0.3">
      <c r="A4478" s="4" t="s">
        <v>7460</v>
      </c>
      <c r="B4478">
        <v>3</v>
      </c>
      <c r="C4478">
        <v>2017</v>
      </c>
      <c r="D4478" t="s">
        <v>405</v>
      </c>
      <c r="E4478">
        <v>270</v>
      </c>
      <c r="F4478" t="s">
        <v>28488</v>
      </c>
      <c r="G4478" t="s">
        <v>28489</v>
      </c>
      <c r="H4478" s="4" t="s">
        <v>28490</v>
      </c>
      <c r="I4478" t="s">
        <v>71</v>
      </c>
      <c r="J4478" t="s">
        <v>10782</v>
      </c>
      <c r="K4478" t="s">
        <v>28491</v>
      </c>
    </row>
    <row r="4479" spans="1:11" ht="100.8" x14ac:dyDescent="0.3">
      <c r="A4479" s="4" t="s">
        <v>7461</v>
      </c>
      <c r="B4479">
        <v>3</v>
      </c>
      <c r="C4479">
        <v>2017</v>
      </c>
      <c r="D4479" t="s">
        <v>17463</v>
      </c>
      <c r="E4479">
        <v>15</v>
      </c>
      <c r="F4479" t="s">
        <v>28492</v>
      </c>
      <c r="G4479" t="s">
        <v>28493</v>
      </c>
      <c r="H4479" s="4" t="s">
        <v>28494</v>
      </c>
      <c r="I4479" t="s">
        <v>71</v>
      </c>
      <c r="J4479" t="s">
        <v>10782</v>
      </c>
      <c r="K4479" t="s">
        <v>28495</v>
      </c>
    </row>
    <row r="4480" spans="1:11" ht="360" x14ac:dyDescent="0.3">
      <c r="A4480" s="4" t="s">
        <v>7462</v>
      </c>
      <c r="B4480">
        <v>3</v>
      </c>
      <c r="C4480">
        <v>2017</v>
      </c>
      <c r="D4480" t="s">
        <v>22728</v>
      </c>
      <c r="E4480">
        <v>11</v>
      </c>
      <c r="F4480" t="s">
        <v>28496</v>
      </c>
      <c r="G4480" t="s">
        <v>28497</v>
      </c>
      <c r="H4480" s="4" t="s">
        <v>28498</v>
      </c>
      <c r="I4480" t="s">
        <v>71</v>
      </c>
      <c r="J4480" t="s">
        <v>10782</v>
      </c>
      <c r="K4480" t="s">
        <v>28499</v>
      </c>
    </row>
    <row r="4481" spans="1:11" ht="115.2" x14ac:dyDescent="0.3">
      <c r="A4481" s="4" t="s">
        <v>7463</v>
      </c>
      <c r="B4481">
        <v>3</v>
      </c>
      <c r="C4481">
        <v>2017</v>
      </c>
      <c r="D4481" t="s">
        <v>2375</v>
      </c>
      <c r="E4481">
        <v>15</v>
      </c>
      <c r="F4481" t="s">
        <v>28500</v>
      </c>
      <c r="G4481" t="s">
        <v>28501</v>
      </c>
      <c r="H4481" s="4" t="s">
        <v>28502</v>
      </c>
    </row>
    <row r="4482" spans="1:11" ht="144" x14ac:dyDescent="0.3">
      <c r="A4482" s="4" t="s">
        <v>7464</v>
      </c>
      <c r="B4482">
        <v>3</v>
      </c>
      <c r="C4482">
        <v>2017</v>
      </c>
      <c r="D4482" t="s">
        <v>637</v>
      </c>
      <c r="E4482">
        <v>52</v>
      </c>
      <c r="F4482" t="s">
        <v>28503</v>
      </c>
      <c r="G4482" t="s">
        <v>28504</v>
      </c>
      <c r="H4482" s="4" t="s">
        <v>28505</v>
      </c>
      <c r="I4482" t="s">
        <v>71</v>
      </c>
      <c r="J4482" t="s">
        <v>10782</v>
      </c>
      <c r="K4482" t="s">
        <v>28506</v>
      </c>
    </row>
    <row r="4483" spans="1:11" ht="172.8" x14ac:dyDescent="0.3">
      <c r="A4483" s="4" t="s">
        <v>7465</v>
      </c>
      <c r="B4483">
        <v>3</v>
      </c>
      <c r="C4483">
        <v>2017</v>
      </c>
      <c r="D4483" t="s">
        <v>264</v>
      </c>
      <c r="E4483">
        <v>4</v>
      </c>
      <c r="F4483" t="s">
        <v>28507</v>
      </c>
      <c r="G4483" t="s">
        <v>28508</v>
      </c>
      <c r="H4483" s="4" t="s">
        <v>28509</v>
      </c>
      <c r="I4483" t="s">
        <v>71</v>
      </c>
      <c r="J4483" t="s">
        <v>10782</v>
      </c>
      <c r="K4483" t="s">
        <v>28510</v>
      </c>
    </row>
    <row r="4484" spans="1:11" ht="230.4" x14ac:dyDescent="0.3">
      <c r="A4484" s="4" t="s">
        <v>7466</v>
      </c>
      <c r="B4484">
        <v>3</v>
      </c>
      <c r="C4484">
        <v>2017</v>
      </c>
      <c r="D4484" t="s">
        <v>2375</v>
      </c>
      <c r="E4484">
        <v>8</v>
      </c>
      <c r="F4484" t="s">
        <v>28511</v>
      </c>
      <c r="G4484" t="s">
        <v>28512</v>
      </c>
      <c r="H4484" s="4" t="s">
        <v>28513</v>
      </c>
      <c r="I4484" t="s">
        <v>71</v>
      </c>
      <c r="J4484" t="s">
        <v>10782</v>
      </c>
      <c r="K4484" t="s">
        <v>28514</v>
      </c>
    </row>
    <row r="4485" spans="1:11" ht="216" x14ac:dyDescent="0.3">
      <c r="A4485" s="4" t="s">
        <v>7467</v>
      </c>
      <c r="B4485">
        <v>3</v>
      </c>
      <c r="C4485">
        <v>2017</v>
      </c>
      <c r="D4485" t="s">
        <v>329</v>
      </c>
      <c r="E4485">
        <v>26</v>
      </c>
      <c r="F4485" t="s">
        <v>28515</v>
      </c>
      <c r="G4485" t="s">
        <v>28516</v>
      </c>
      <c r="H4485" s="4" t="s">
        <v>28517</v>
      </c>
      <c r="I4485" t="s">
        <v>71</v>
      </c>
      <c r="J4485" t="s">
        <v>10782</v>
      </c>
      <c r="K4485" t="s">
        <v>28518</v>
      </c>
    </row>
    <row r="4486" spans="1:11" ht="201.6" x14ac:dyDescent="0.3">
      <c r="A4486" s="4" t="s">
        <v>7468</v>
      </c>
      <c r="B4486">
        <v>3</v>
      </c>
      <c r="C4486">
        <v>2017</v>
      </c>
      <c r="D4486" t="s">
        <v>28519</v>
      </c>
      <c r="E4486">
        <v>4</v>
      </c>
      <c r="F4486" t="s">
        <v>28520</v>
      </c>
      <c r="G4486" t="s">
        <v>28521</v>
      </c>
      <c r="H4486" s="4" t="s">
        <v>28522</v>
      </c>
      <c r="I4486" t="s">
        <v>71</v>
      </c>
      <c r="J4486" t="s">
        <v>10782</v>
      </c>
      <c r="K4486" t="s">
        <v>28523</v>
      </c>
    </row>
    <row r="4487" spans="1:11" ht="57.6" x14ac:dyDescent="0.3">
      <c r="A4487" s="4" t="s">
        <v>7469</v>
      </c>
      <c r="B4487">
        <v>3</v>
      </c>
      <c r="C4487">
        <v>2017</v>
      </c>
      <c r="D4487" t="s">
        <v>318</v>
      </c>
      <c r="E4487">
        <v>26</v>
      </c>
      <c r="F4487" t="s">
        <v>28524</v>
      </c>
      <c r="G4487" t="s">
        <v>28525</v>
      </c>
      <c r="H4487" s="4" t="s">
        <v>28526</v>
      </c>
    </row>
    <row r="4488" spans="1:11" ht="129.6" x14ac:dyDescent="0.3">
      <c r="A4488" s="4" t="s">
        <v>7470</v>
      </c>
      <c r="B4488">
        <v>3</v>
      </c>
      <c r="C4488">
        <v>2017</v>
      </c>
      <c r="D4488" t="s">
        <v>964</v>
      </c>
      <c r="E4488">
        <v>10</v>
      </c>
      <c r="F4488" t="s">
        <v>28527</v>
      </c>
      <c r="G4488" t="s">
        <v>28528</v>
      </c>
      <c r="H4488" s="4" t="s">
        <v>28529</v>
      </c>
      <c r="I4488" t="s">
        <v>10823</v>
      </c>
      <c r="J4488" t="s">
        <v>10782</v>
      </c>
      <c r="K4488" t="s">
        <v>28530</v>
      </c>
    </row>
    <row r="4489" spans="1:11" ht="172.8" x14ac:dyDescent="0.3">
      <c r="A4489" s="4" t="s">
        <v>7471</v>
      </c>
      <c r="B4489">
        <v>3</v>
      </c>
      <c r="C4489">
        <v>2017</v>
      </c>
      <c r="D4489" t="s">
        <v>22471</v>
      </c>
      <c r="E4489">
        <v>1</v>
      </c>
      <c r="F4489" t="s">
        <v>28531</v>
      </c>
      <c r="G4489" t="s">
        <v>28532</v>
      </c>
      <c r="H4489" s="4" t="s">
        <v>28533</v>
      </c>
    </row>
    <row r="4490" spans="1:11" ht="158.4" x14ac:dyDescent="0.3">
      <c r="A4490" s="4" t="s">
        <v>7472</v>
      </c>
      <c r="B4490">
        <v>3</v>
      </c>
      <c r="C4490">
        <v>2017</v>
      </c>
      <c r="D4490" t="s">
        <v>28534</v>
      </c>
      <c r="E4490">
        <v>18</v>
      </c>
      <c r="F4490" t="s">
        <v>28535</v>
      </c>
      <c r="G4490" t="s">
        <v>28536</v>
      </c>
      <c r="H4490" s="4" t="s">
        <v>28537</v>
      </c>
      <c r="I4490" t="s">
        <v>71</v>
      </c>
      <c r="J4490" t="s">
        <v>10782</v>
      </c>
      <c r="K4490" t="s">
        <v>28538</v>
      </c>
    </row>
    <row r="4491" spans="1:11" ht="158.4" x14ac:dyDescent="0.3">
      <c r="A4491" s="4" t="s">
        <v>7473</v>
      </c>
      <c r="B4491">
        <v>3</v>
      </c>
      <c r="C4491">
        <v>2017</v>
      </c>
      <c r="D4491" t="s">
        <v>398</v>
      </c>
      <c r="E4491">
        <v>13</v>
      </c>
      <c r="F4491" t="s">
        <v>28539</v>
      </c>
      <c r="G4491" t="s">
        <v>28540</v>
      </c>
      <c r="H4491" s="4" t="s">
        <v>28541</v>
      </c>
      <c r="I4491" t="s">
        <v>71</v>
      </c>
      <c r="J4491" t="s">
        <v>10782</v>
      </c>
      <c r="K4491" t="s">
        <v>28542</v>
      </c>
    </row>
    <row r="4492" spans="1:11" ht="144" x14ac:dyDescent="0.3">
      <c r="A4492" s="4" t="s">
        <v>7474</v>
      </c>
      <c r="B4492">
        <v>3</v>
      </c>
      <c r="C4492">
        <v>2017</v>
      </c>
      <c r="D4492" t="s">
        <v>964</v>
      </c>
      <c r="E4492">
        <v>18</v>
      </c>
      <c r="F4492" t="s">
        <v>28543</v>
      </c>
      <c r="G4492" t="s">
        <v>28544</v>
      </c>
      <c r="H4492" s="4" t="s">
        <v>28545</v>
      </c>
      <c r="I4492" t="s">
        <v>71</v>
      </c>
      <c r="J4492" t="s">
        <v>10782</v>
      </c>
      <c r="K4492" t="s">
        <v>28546</v>
      </c>
    </row>
    <row r="4493" spans="1:11" ht="201.6" x14ac:dyDescent="0.3">
      <c r="A4493" s="4" t="s">
        <v>7475</v>
      </c>
      <c r="B4493">
        <v>3</v>
      </c>
      <c r="C4493">
        <v>2017</v>
      </c>
      <c r="D4493" t="s">
        <v>318</v>
      </c>
      <c r="E4493">
        <v>120</v>
      </c>
      <c r="F4493" t="s">
        <v>28547</v>
      </c>
      <c r="G4493" t="s">
        <v>28548</v>
      </c>
      <c r="H4493" s="4" t="s">
        <v>28549</v>
      </c>
      <c r="I4493" t="s">
        <v>71</v>
      </c>
      <c r="J4493" t="s">
        <v>10782</v>
      </c>
      <c r="K4493" t="s">
        <v>28550</v>
      </c>
    </row>
    <row r="4494" spans="1:11" ht="158.4" x14ac:dyDescent="0.3">
      <c r="A4494" s="4" t="s">
        <v>1705</v>
      </c>
      <c r="B4494">
        <v>1</v>
      </c>
      <c r="C4494">
        <v>2017</v>
      </c>
      <c r="D4494" t="s">
        <v>1770</v>
      </c>
      <c r="E4494">
        <v>57</v>
      </c>
      <c r="F4494" t="s">
        <v>28551</v>
      </c>
      <c r="G4494" t="s">
        <v>28552</v>
      </c>
      <c r="H4494" s="4" t="s">
        <v>28553</v>
      </c>
    </row>
    <row r="4495" spans="1:11" ht="187.2" x14ac:dyDescent="0.3">
      <c r="A4495" s="4" t="s">
        <v>7476</v>
      </c>
      <c r="B4495">
        <v>3</v>
      </c>
      <c r="C4495">
        <v>2017</v>
      </c>
      <c r="D4495" t="s">
        <v>2853</v>
      </c>
      <c r="E4495">
        <v>20</v>
      </c>
      <c r="F4495" t="s">
        <v>28554</v>
      </c>
      <c r="G4495" t="s">
        <v>28555</v>
      </c>
      <c r="H4495" s="4" t="s">
        <v>28556</v>
      </c>
    </row>
    <row r="4496" spans="1:11" ht="129.6" x14ac:dyDescent="0.3">
      <c r="A4496" s="4" t="s">
        <v>7477</v>
      </c>
      <c r="B4496">
        <v>3</v>
      </c>
      <c r="C4496">
        <v>2017</v>
      </c>
      <c r="D4496" t="s">
        <v>385</v>
      </c>
      <c r="E4496">
        <v>12</v>
      </c>
      <c r="F4496" t="s">
        <v>28557</v>
      </c>
      <c r="G4496" t="s">
        <v>28558</v>
      </c>
      <c r="H4496" s="4" t="s">
        <v>28559</v>
      </c>
      <c r="I4496" t="s">
        <v>71</v>
      </c>
      <c r="J4496" t="s">
        <v>10782</v>
      </c>
      <c r="K4496" t="s">
        <v>28560</v>
      </c>
    </row>
    <row r="4497" spans="1:11" ht="144" x14ac:dyDescent="0.3">
      <c r="A4497" s="4" t="s">
        <v>7478</v>
      </c>
      <c r="B4497">
        <v>3</v>
      </c>
      <c r="C4497">
        <v>2017</v>
      </c>
      <c r="D4497" t="s">
        <v>964</v>
      </c>
      <c r="E4497">
        <v>33</v>
      </c>
      <c r="F4497" t="s">
        <v>28561</v>
      </c>
      <c r="G4497" t="s">
        <v>28562</v>
      </c>
      <c r="H4497" s="4" t="s">
        <v>28563</v>
      </c>
      <c r="I4497" t="s">
        <v>71</v>
      </c>
      <c r="J4497" t="s">
        <v>10782</v>
      </c>
      <c r="K4497" t="s">
        <v>28564</v>
      </c>
    </row>
    <row r="4498" spans="1:11" ht="158.4" x14ac:dyDescent="0.3">
      <c r="A4498" s="4" t="s">
        <v>7479</v>
      </c>
      <c r="B4498">
        <v>3</v>
      </c>
      <c r="C4498">
        <v>2017</v>
      </c>
      <c r="D4498" t="s">
        <v>964</v>
      </c>
      <c r="E4498">
        <v>12</v>
      </c>
      <c r="F4498" t="s">
        <v>28565</v>
      </c>
      <c r="G4498" t="s">
        <v>28566</v>
      </c>
      <c r="H4498" s="4" t="s">
        <v>28567</v>
      </c>
      <c r="I4498" t="s">
        <v>71</v>
      </c>
      <c r="J4498" t="s">
        <v>10782</v>
      </c>
      <c r="K4498" t="s">
        <v>28568</v>
      </c>
    </row>
    <row r="4499" spans="1:11" ht="216" x14ac:dyDescent="0.3">
      <c r="A4499" s="4" t="s">
        <v>7480</v>
      </c>
      <c r="B4499">
        <v>3</v>
      </c>
      <c r="C4499">
        <v>2017</v>
      </c>
      <c r="D4499" t="s">
        <v>2819</v>
      </c>
      <c r="E4499">
        <v>7</v>
      </c>
      <c r="F4499" t="s">
        <v>28569</v>
      </c>
      <c r="G4499" t="s">
        <v>28570</v>
      </c>
      <c r="H4499" s="4" t="s">
        <v>28571</v>
      </c>
      <c r="I4499" t="s">
        <v>71</v>
      </c>
      <c r="J4499" t="s">
        <v>10782</v>
      </c>
      <c r="K4499" t="s">
        <v>28572</v>
      </c>
    </row>
    <row r="4500" spans="1:11" ht="158.4" x14ac:dyDescent="0.3">
      <c r="A4500" s="4" t="s">
        <v>7481</v>
      </c>
      <c r="B4500">
        <v>3</v>
      </c>
      <c r="C4500">
        <v>2017</v>
      </c>
      <c r="D4500" t="s">
        <v>22360</v>
      </c>
      <c r="E4500">
        <v>6</v>
      </c>
      <c r="G4500" t="s">
        <v>28573</v>
      </c>
      <c r="H4500" s="4" t="s">
        <v>28574</v>
      </c>
      <c r="I4500" s="4" t="s">
        <v>71</v>
      </c>
      <c r="J4500" t="s">
        <v>10782</v>
      </c>
      <c r="K4500" t="s">
        <v>28575</v>
      </c>
    </row>
    <row r="4501" spans="1:11" ht="57.6" x14ac:dyDescent="0.3">
      <c r="A4501" s="4" t="s">
        <v>7482</v>
      </c>
      <c r="B4501">
        <v>3</v>
      </c>
      <c r="C4501">
        <v>2017</v>
      </c>
      <c r="D4501" t="s">
        <v>10825</v>
      </c>
      <c r="E4501">
        <v>23</v>
      </c>
      <c r="F4501" t="s">
        <v>28576</v>
      </c>
      <c r="G4501" t="s">
        <v>28577</v>
      </c>
      <c r="H4501" s="4" t="s">
        <v>28578</v>
      </c>
    </row>
    <row r="4502" spans="1:11" ht="100.8" x14ac:dyDescent="0.3">
      <c r="A4502" s="4" t="s">
        <v>7483</v>
      </c>
      <c r="B4502">
        <v>3</v>
      </c>
      <c r="C4502">
        <v>2017</v>
      </c>
      <c r="D4502" t="s">
        <v>1002</v>
      </c>
      <c r="E4502">
        <v>11</v>
      </c>
      <c r="F4502" t="s">
        <v>28579</v>
      </c>
      <c r="G4502" t="s">
        <v>28580</v>
      </c>
      <c r="H4502" s="4" t="s">
        <v>28581</v>
      </c>
    </row>
    <row r="4503" spans="1:11" ht="144" x14ac:dyDescent="0.3">
      <c r="A4503" s="4" t="s">
        <v>7484</v>
      </c>
      <c r="B4503">
        <v>3</v>
      </c>
      <c r="C4503">
        <v>2017</v>
      </c>
      <c r="D4503" t="s">
        <v>550</v>
      </c>
      <c r="E4503">
        <v>6</v>
      </c>
      <c r="F4503" t="s">
        <v>28582</v>
      </c>
      <c r="G4503" t="s">
        <v>28583</v>
      </c>
      <c r="H4503" s="4" t="s">
        <v>28584</v>
      </c>
      <c r="I4503" t="s">
        <v>71</v>
      </c>
      <c r="J4503" t="s">
        <v>10782</v>
      </c>
      <c r="K4503" t="s">
        <v>28585</v>
      </c>
    </row>
    <row r="4504" spans="1:11" ht="100.8" x14ac:dyDescent="0.3">
      <c r="A4504" s="4" t="s">
        <v>7485</v>
      </c>
      <c r="B4504">
        <v>3</v>
      </c>
      <c r="C4504">
        <v>2017</v>
      </c>
      <c r="D4504" t="s">
        <v>17273</v>
      </c>
      <c r="E4504">
        <v>23</v>
      </c>
      <c r="F4504" t="s">
        <v>28586</v>
      </c>
      <c r="G4504" t="s">
        <v>28587</v>
      </c>
      <c r="H4504" s="4" t="s">
        <v>28588</v>
      </c>
    </row>
    <row r="4505" spans="1:11" ht="144" x14ac:dyDescent="0.3">
      <c r="A4505" s="4" t="s">
        <v>7486</v>
      </c>
      <c r="B4505">
        <v>3</v>
      </c>
      <c r="C4505">
        <v>2017</v>
      </c>
      <c r="D4505" t="s">
        <v>16937</v>
      </c>
      <c r="E4505">
        <v>11</v>
      </c>
      <c r="F4505" t="s">
        <v>28589</v>
      </c>
      <c r="G4505" t="s">
        <v>28590</v>
      </c>
      <c r="H4505" s="4" t="s">
        <v>28591</v>
      </c>
      <c r="I4505" t="s">
        <v>71</v>
      </c>
      <c r="J4505" t="s">
        <v>10782</v>
      </c>
      <c r="K4505" t="s">
        <v>28592</v>
      </c>
    </row>
    <row r="4506" spans="1:11" ht="172.8" x14ac:dyDescent="0.3">
      <c r="A4506" s="4" t="s">
        <v>7487</v>
      </c>
      <c r="B4506">
        <v>3</v>
      </c>
      <c r="C4506">
        <v>2017</v>
      </c>
      <c r="D4506" t="s">
        <v>1570</v>
      </c>
      <c r="E4506">
        <v>22</v>
      </c>
      <c r="F4506" t="s">
        <v>28593</v>
      </c>
      <c r="G4506" t="s">
        <v>28594</v>
      </c>
      <c r="H4506" s="4" t="s">
        <v>28595</v>
      </c>
    </row>
    <row r="4507" spans="1:11" ht="201.6" x14ac:dyDescent="0.3">
      <c r="A4507" s="4" t="s">
        <v>7488</v>
      </c>
      <c r="B4507">
        <v>3</v>
      </c>
      <c r="C4507">
        <v>2017</v>
      </c>
      <c r="D4507" t="s">
        <v>497</v>
      </c>
      <c r="E4507">
        <v>16</v>
      </c>
      <c r="F4507" t="s">
        <v>28596</v>
      </c>
      <c r="G4507" t="s">
        <v>28597</v>
      </c>
      <c r="H4507" s="4" t="s">
        <v>28598</v>
      </c>
      <c r="I4507" t="s">
        <v>71</v>
      </c>
      <c r="J4507" t="s">
        <v>10782</v>
      </c>
      <c r="K4507" t="s">
        <v>28599</v>
      </c>
    </row>
    <row r="4508" spans="1:11" ht="43.2" x14ac:dyDescent="0.3">
      <c r="A4508" s="4" t="s">
        <v>7489</v>
      </c>
      <c r="B4508">
        <v>3</v>
      </c>
      <c r="C4508">
        <v>2017</v>
      </c>
      <c r="D4508" t="s">
        <v>80</v>
      </c>
      <c r="E4508">
        <v>24</v>
      </c>
      <c r="F4508" t="s">
        <v>28600</v>
      </c>
      <c r="G4508" t="s">
        <v>28601</v>
      </c>
      <c r="H4508" s="4" t="s">
        <v>28602</v>
      </c>
    </row>
    <row r="4509" spans="1:11" ht="187.2" x14ac:dyDescent="0.3">
      <c r="A4509" s="4" t="s">
        <v>7490</v>
      </c>
      <c r="B4509">
        <v>3</v>
      </c>
      <c r="C4509">
        <v>2017</v>
      </c>
      <c r="D4509" t="s">
        <v>550</v>
      </c>
      <c r="E4509">
        <v>9</v>
      </c>
      <c r="F4509" t="s">
        <v>28603</v>
      </c>
      <c r="G4509" t="s">
        <v>28604</v>
      </c>
      <c r="H4509" s="4" t="s">
        <v>28605</v>
      </c>
      <c r="I4509" t="s">
        <v>71</v>
      </c>
      <c r="J4509" t="s">
        <v>10782</v>
      </c>
      <c r="K4509" t="s">
        <v>28606</v>
      </c>
    </row>
    <row r="4510" spans="1:11" ht="129.6" x14ac:dyDescent="0.3">
      <c r="A4510" s="4" t="s">
        <v>7491</v>
      </c>
      <c r="B4510">
        <v>3</v>
      </c>
      <c r="C4510">
        <v>2017</v>
      </c>
      <c r="D4510" t="s">
        <v>26549</v>
      </c>
      <c r="E4510">
        <v>1</v>
      </c>
      <c r="F4510" t="s">
        <v>28607</v>
      </c>
      <c r="G4510" t="s">
        <v>28608</v>
      </c>
      <c r="H4510" s="4" t="s">
        <v>28609</v>
      </c>
      <c r="I4510" t="s">
        <v>71</v>
      </c>
      <c r="J4510" t="s">
        <v>10782</v>
      </c>
      <c r="K4510" t="s">
        <v>28610</v>
      </c>
    </row>
    <row r="4511" spans="1:11" ht="216" x14ac:dyDescent="0.3">
      <c r="A4511" s="4" t="s">
        <v>7492</v>
      </c>
      <c r="B4511">
        <v>3</v>
      </c>
      <c r="C4511">
        <v>2017</v>
      </c>
      <c r="D4511" t="s">
        <v>17273</v>
      </c>
      <c r="E4511">
        <v>5</v>
      </c>
      <c r="F4511" t="s">
        <v>28611</v>
      </c>
      <c r="G4511" t="s">
        <v>28612</v>
      </c>
      <c r="H4511" s="4" t="s">
        <v>28613</v>
      </c>
      <c r="I4511" t="s">
        <v>71</v>
      </c>
      <c r="J4511" t="s">
        <v>10782</v>
      </c>
      <c r="K4511" t="s">
        <v>28614</v>
      </c>
    </row>
    <row r="4512" spans="1:11" ht="216" x14ac:dyDescent="0.3">
      <c r="A4512" s="4" t="s">
        <v>7493</v>
      </c>
      <c r="B4512">
        <v>3</v>
      </c>
      <c r="C4512">
        <v>2017</v>
      </c>
      <c r="D4512" t="s">
        <v>1794</v>
      </c>
      <c r="E4512">
        <v>37</v>
      </c>
      <c r="F4512" t="s">
        <v>28615</v>
      </c>
      <c r="G4512" t="s">
        <v>28616</v>
      </c>
      <c r="H4512" s="4" t="s">
        <v>28617</v>
      </c>
    </row>
    <row r="4513" spans="1:11" ht="158.4" x14ac:dyDescent="0.3">
      <c r="A4513" s="4" t="s">
        <v>7494</v>
      </c>
      <c r="B4513">
        <v>3</v>
      </c>
      <c r="C4513">
        <v>2017</v>
      </c>
      <c r="D4513" t="s">
        <v>405</v>
      </c>
      <c r="E4513">
        <v>43</v>
      </c>
      <c r="F4513" t="s">
        <v>28618</v>
      </c>
      <c r="G4513" t="s">
        <v>28619</v>
      </c>
      <c r="H4513" s="4" t="s">
        <v>28620</v>
      </c>
      <c r="I4513" t="s">
        <v>71</v>
      </c>
      <c r="J4513" t="s">
        <v>10782</v>
      </c>
      <c r="K4513" t="s">
        <v>28621</v>
      </c>
    </row>
    <row r="4514" spans="1:11" ht="201.6" x14ac:dyDescent="0.3">
      <c r="A4514" s="4" t="s">
        <v>7495</v>
      </c>
      <c r="B4514">
        <v>3</v>
      </c>
      <c r="C4514">
        <v>2017</v>
      </c>
      <c r="D4514" t="s">
        <v>14736</v>
      </c>
      <c r="E4514">
        <v>19</v>
      </c>
      <c r="F4514" t="s">
        <v>28622</v>
      </c>
      <c r="G4514" t="s">
        <v>28623</v>
      </c>
      <c r="H4514" s="4" t="s">
        <v>28624</v>
      </c>
      <c r="I4514" t="s">
        <v>71</v>
      </c>
      <c r="J4514" t="s">
        <v>10782</v>
      </c>
      <c r="K4514" t="s">
        <v>28625</v>
      </c>
    </row>
    <row r="4515" spans="1:11" ht="115.2" x14ac:dyDescent="0.3">
      <c r="A4515" s="4" t="s">
        <v>7496</v>
      </c>
      <c r="B4515">
        <v>3</v>
      </c>
      <c r="C4515">
        <v>2017</v>
      </c>
      <c r="D4515" t="s">
        <v>550</v>
      </c>
      <c r="E4515">
        <v>31</v>
      </c>
      <c r="F4515" t="s">
        <v>28626</v>
      </c>
      <c r="G4515" t="s">
        <v>28627</v>
      </c>
      <c r="H4515" s="4" t="s">
        <v>28628</v>
      </c>
    </row>
    <row r="4516" spans="1:11" ht="72" x14ac:dyDescent="0.3">
      <c r="A4516" s="4" t="s">
        <v>3376</v>
      </c>
      <c r="B4516">
        <v>1</v>
      </c>
      <c r="C4516">
        <v>2017</v>
      </c>
      <c r="D4516" t="s">
        <v>217</v>
      </c>
      <c r="E4516">
        <v>22</v>
      </c>
      <c r="F4516" t="s">
        <v>28629</v>
      </c>
      <c r="G4516" t="s">
        <v>28630</v>
      </c>
      <c r="H4516" s="4" t="s">
        <v>28631</v>
      </c>
    </row>
    <row r="4517" spans="1:11" ht="216" x14ac:dyDescent="0.3">
      <c r="A4517" s="4" t="s">
        <v>7497</v>
      </c>
      <c r="B4517">
        <v>3</v>
      </c>
      <c r="C4517">
        <v>2017</v>
      </c>
      <c r="D4517" t="s">
        <v>550</v>
      </c>
      <c r="E4517">
        <v>7</v>
      </c>
      <c r="F4517" t="s">
        <v>28632</v>
      </c>
      <c r="G4517" t="s">
        <v>28633</v>
      </c>
      <c r="H4517" s="4" t="s">
        <v>28634</v>
      </c>
      <c r="I4517" t="s">
        <v>71</v>
      </c>
      <c r="J4517" t="s">
        <v>10782</v>
      </c>
      <c r="K4517" t="s">
        <v>28635</v>
      </c>
    </row>
    <row r="4518" spans="1:11" ht="115.2" x14ac:dyDescent="0.3">
      <c r="A4518" s="4" t="s">
        <v>7498</v>
      </c>
      <c r="B4518">
        <v>3</v>
      </c>
      <c r="C4518">
        <v>2017</v>
      </c>
      <c r="D4518" t="s">
        <v>202</v>
      </c>
      <c r="E4518">
        <v>23</v>
      </c>
      <c r="F4518" t="s">
        <v>28636</v>
      </c>
      <c r="G4518" t="s">
        <v>28637</v>
      </c>
      <c r="H4518" s="4" t="s">
        <v>28638</v>
      </c>
      <c r="I4518" t="s">
        <v>71</v>
      </c>
      <c r="J4518" t="s">
        <v>10782</v>
      </c>
      <c r="K4518" t="s">
        <v>28639</v>
      </c>
    </row>
    <row r="4519" spans="1:11" ht="216" x14ac:dyDescent="0.3">
      <c r="A4519" s="4" t="s">
        <v>7499</v>
      </c>
      <c r="B4519">
        <v>3</v>
      </c>
      <c r="C4519">
        <v>2017</v>
      </c>
      <c r="D4519" t="s">
        <v>637</v>
      </c>
      <c r="E4519">
        <v>74</v>
      </c>
      <c r="F4519" t="s">
        <v>28640</v>
      </c>
      <c r="G4519" t="s">
        <v>28641</v>
      </c>
      <c r="H4519" s="4" t="s">
        <v>28642</v>
      </c>
      <c r="I4519" t="s">
        <v>71</v>
      </c>
      <c r="J4519" t="s">
        <v>10782</v>
      </c>
      <c r="K4519" t="s">
        <v>28643</v>
      </c>
    </row>
    <row r="4520" spans="1:11" ht="172.8" x14ac:dyDescent="0.3">
      <c r="A4520" s="4" t="s">
        <v>3603</v>
      </c>
      <c r="B4520">
        <v>2</v>
      </c>
      <c r="C4520">
        <v>2017</v>
      </c>
      <c r="D4520" t="s">
        <v>217</v>
      </c>
      <c r="E4520">
        <v>24</v>
      </c>
      <c r="F4520" t="s">
        <v>28644</v>
      </c>
      <c r="G4520" t="s">
        <v>28645</v>
      </c>
      <c r="H4520" s="4" t="s">
        <v>28646</v>
      </c>
      <c r="I4520" t="s">
        <v>71</v>
      </c>
      <c r="J4520" t="s">
        <v>10782</v>
      </c>
      <c r="K4520" t="s">
        <v>28647</v>
      </c>
    </row>
    <row r="4521" spans="1:11" ht="201.6" x14ac:dyDescent="0.3">
      <c r="A4521" s="4" t="s">
        <v>7500</v>
      </c>
      <c r="B4521">
        <v>3</v>
      </c>
      <c r="C4521">
        <v>2017</v>
      </c>
      <c r="D4521" t="s">
        <v>1570</v>
      </c>
      <c r="E4521">
        <v>4</v>
      </c>
      <c r="F4521" t="s">
        <v>28648</v>
      </c>
      <c r="G4521" t="s">
        <v>28649</v>
      </c>
      <c r="H4521" s="4" t="s">
        <v>28650</v>
      </c>
    </row>
    <row r="4522" spans="1:11" ht="172.8" x14ac:dyDescent="0.3">
      <c r="A4522" s="4" t="s">
        <v>7501</v>
      </c>
      <c r="B4522">
        <v>3</v>
      </c>
      <c r="C4522">
        <v>2017</v>
      </c>
      <c r="D4522" t="s">
        <v>12593</v>
      </c>
      <c r="E4522">
        <v>13</v>
      </c>
      <c r="F4522" t="s">
        <v>28651</v>
      </c>
      <c r="G4522" t="s">
        <v>28652</v>
      </c>
      <c r="H4522" s="4" t="s">
        <v>28653</v>
      </c>
      <c r="I4522" t="s">
        <v>71</v>
      </c>
      <c r="J4522" t="s">
        <v>10782</v>
      </c>
      <c r="K4522" t="s">
        <v>28654</v>
      </c>
    </row>
    <row r="4523" spans="1:11" ht="172.8" x14ac:dyDescent="0.3">
      <c r="A4523" s="4" t="s">
        <v>7502</v>
      </c>
      <c r="B4523">
        <v>3</v>
      </c>
      <c r="C4523">
        <v>2017</v>
      </c>
      <c r="D4523" t="s">
        <v>202</v>
      </c>
      <c r="E4523">
        <v>39</v>
      </c>
      <c r="F4523" t="s">
        <v>28655</v>
      </c>
      <c r="G4523" t="s">
        <v>28656</v>
      </c>
      <c r="H4523" s="4" t="s">
        <v>28657</v>
      </c>
      <c r="I4523" t="s">
        <v>71</v>
      </c>
      <c r="J4523" t="s">
        <v>10782</v>
      </c>
      <c r="K4523" t="s">
        <v>28658</v>
      </c>
    </row>
    <row r="4524" spans="1:11" ht="172.8" x14ac:dyDescent="0.3">
      <c r="A4524" s="4" t="s">
        <v>7503</v>
      </c>
      <c r="B4524">
        <v>3</v>
      </c>
      <c r="C4524">
        <v>2017</v>
      </c>
      <c r="D4524" t="s">
        <v>1530</v>
      </c>
      <c r="E4524">
        <v>19</v>
      </c>
      <c r="F4524" t="s">
        <v>28659</v>
      </c>
      <c r="G4524" t="s">
        <v>28660</v>
      </c>
      <c r="H4524" s="4" t="s">
        <v>28661</v>
      </c>
      <c r="I4524" t="s">
        <v>71</v>
      </c>
      <c r="J4524" t="s">
        <v>10782</v>
      </c>
      <c r="K4524" t="s">
        <v>28662</v>
      </c>
    </row>
    <row r="4525" spans="1:11" ht="259.2" x14ac:dyDescent="0.3">
      <c r="A4525" s="4" t="s">
        <v>7504</v>
      </c>
      <c r="B4525">
        <v>3</v>
      </c>
      <c r="C4525">
        <v>2017</v>
      </c>
      <c r="D4525" t="s">
        <v>10971</v>
      </c>
      <c r="E4525">
        <v>11</v>
      </c>
      <c r="F4525" t="s">
        <v>28663</v>
      </c>
      <c r="G4525" t="s">
        <v>28664</v>
      </c>
      <c r="H4525" s="4" t="s">
        <v>28665</v>
      </c>
      <c r="I4525" t="s">
        <v>71</v>
      </c>
      <c r="J4525" t="s">
        <v>10782</v>
      </c>
      <c r="K4525" t="s">
        <v>28666</v>
      </c>
    </row>
    <row r="4526" spans="1:11" ht="129.6" x14ac:dyDescent="0.3">
      <c r="A4526" s="4" t="s">
        <v>7505</v>
      </c>
      <c r="B4526">
        <v>3</v>
      </c>
      <c r="C4526">
        <v>2017</v>
      </c>
      <c r="D4526" t="s">
        <v>19885</v>
      </c>
      <c r="E4526">
        <v>31</v>
      </c>
      <c r="F4526" t="s">
        <v>28667</v>
      </c>
      <c r="G4526" t="s">
        <v>28668</v>
      </c>
      <c r="H4526" s="4" t="s">
        <v>28669</v>
      </c>
      <c r="I4526" t="s">
        <v>71</v>
      </c>
      <c r="J4526" t="s">
        <v>10782</v>
      </c>
      <c r="K4526" t="s">
        <v>28670</v>
      </c>
    </row>
    <row r="4527" spans="1:11" ht="144" x14ac:dyDescent="0.3">
      <c r="A4527" s="4" t="s">
        <v>7506</v>
      </c>
      <c r="B4527">
        <v>3</v>
      </c>
      <c r="C4527">
        <v>2017</v>
      </c>
      <c r="D4527" t="s">
        <v>637</v>
      </c>
      <c r="E4527">
        <v>53</v>
      </c>
      <c r="F4527" t="s">
        <v>28671</v>
      </c>
      <c r="G4527" t="s">
        <v>28672</v>
      </c>
      <c r="H4527" s="4" t="s">
        <v>28673</v>
      </c>
    </row>
    <row r="4528" spans="1:11" ht="172.8" x14ac:dyDescent="0.3">
      <c r="A4528" s="4" t="s">
        <v>7507</v>
      </c>
      <c r="B4528">
        <v>3</v>
      </c>
      <c r="C4528">
        <v>2017</v>
      </c>
      <c r="D4528" t="s">
        <v>217</v>
      </c>
      <c r="E4528">
        <v>7</v>
      </c>
      <c r="F4528" t="s">
        <v>28674</v>
      </c>
      <c r="G4528" t="s">
        <v>28675</v>
      </c>
      <c r="H4528" s="4" t="s">
        <v>28676</v>
      </c>
      <c r="I4528" t="s">
        <v>71</v>
      </c>
      <c r="J4528" t="s">
        <v>10782</v>
      </c>
      <c r="K4528" t="s">
        <v>28677</v>
      </c>
    </row>
    <row r="4529" spans="1:11" ht="230.4" x14ac:dyDescent="0.3">
      <c r="A4529" s="4" t="s">
        <v>7508</v>
      </c>
      <c r="B4529">
        <v>3</v>
      </c>
      <c r="C4529">
        <v>2017</v>
      </c>
      <c r="D4529" t="s">
        <v>11658</v>
      </c>
      <c r="E4529">
        <v>74</v>
      </c>
      <c r="F4529" t="s">
        <v>28678</v>
      </c>
      <c r="G4529" t="s">
        <v>28679</v>
      </c>
      <c r="H4529" s="4" t="s">
        <v>28680</v>
      </c>
    </row>
    <row r="4530" spans="1:11" ht="158.4" x14ac:dyDescent="0.3">
      <c r="A4530" s="4" t="s">
        <v>7509</v>
      </c>
      <c r="B4530">
        <v>3</v>
      </c>
      <c r="C4530">
        <v>2017</v>
      </c>
      <c r="D4530" t="s">
        <v>1794</v>
      </c>
      <c r="E4530">
        <v>5</v>
      </c>
      <c r="F4530" t="s">
        <v>28681</v>
      </c>
      <c r="G4530" t="s">
        <v>28682</v>
      </c>
      <c r="H4530" s="4" t="s">
        <v>28683</v>
      </c>
      <c r="I4530" t="s">
        <v>71</v>
      </c>
      <c r="J4530" t="s">
        <v>10782</v>
      </c>
      <c r="K4530" t="s">
        <v>28684</v>
      </c>
    </row>
    <row r="4531" spans="1:11" ht="28.8" x14ac:dyDescent="0.3">
      <c r="A4531" s="4" t="s">
        <v>7510</v>
      </c>
      <c r="B4531">
        <v>3</v>
      </c>
      <c r="C4531">
        <v>2017</v>
      </c>
      <c r="D4531" t="s">
        <v>177</v>
      </c>
      <c r="E4531">
        <v>42</v>
      </c>
      <c r="F4531" t="s">
        <v>28685</v>
      </c>
      <c r="G4531" t="s">
        <v>28686</v>
      </c>
      <c r="H4531" s="4" t="s">
        <v>28687</v>
      </c>
    </row>
    <row r="4532" spans="1:11" ht="172.8" x14ac:dyDescent="0.3">
      <c r="A4532" s="4" t="s">
        <v>7511</v>
      </c>
      <c r="B4532">
        <v>3</v>
      </c>
      <c r="C4532">
        <v>2017</v>
      </c>
      <c r="D4532" t="s">
        <v>217</v>
      </c>
      <c r="E4532">
        <v>60</v>
      </c>
      <c r="F4532" t="s">
        <v>28688</v>
      </c>
      <c r="G4532" t="s">
        <v>28689</v>
      </c>
      <c r="H4532" s="4" t="s">
        <v>28690</v>
      </c>
      <c r="I4532" t="s">
        <v>71</v>
      </c>
      <c r="J4532" t="s">
        <v>10782</v>
      </c>
      <c r="K4532" t="s">
        <v>28691</v>
      </c>
    </row>
    <row r="4533" spans="1:11" ht="187.2" x14ac:dyDescent="0.3">
      <c r="A4533" s="4" t="s">
        <v>7512</v>
      </c>
      <c r="B4533">
        <v>3</v>
      </c>
      <c r="C4533">
        <v>2017</v>
      </c>
      <c r="D4533" t="s">
        <v>20744</v>
      </c>
      <c r="E4533">
        <v>6</v>
      </c>
      <c r="F4533" t="s">
        <v>28692</v>
      </c>
      <c r="G4533" t="s">
        <v>28693</v>
      </c>
      <c r="H4533" s="4" t="s">
        <v>28694</v>
      </c>
      <c r="I4533" t="s">
        <v>71</v>
      </c>
      <c r="J4533" t="s">
        <v>10782</v>
      </c>
      <c r="K4533" t="s">
        <v>28695</v>
      </c>
    </row>
    <row r="4534" spans="1:11" ht="129.6" x14ac:dyDescent="0.3">
      <c r="A4534" s="4" t="s">
        <v>7513</v>
      </c>
      <c r="B4534">
        <v>3</v>
      </c>
      <c r="C4534">
        <v>2017</v>
      </c>
      <c r="D4534" t="s">
        <v>83</v>
      </c>
      <c r="E4534">
        <v>21</v>
      </c>
      <c r="F4534" t="s">
        <v>28696</v>
      </c>
      <c r="G4534" t="s">
        <v>28697</v>
      </c>
      <c r="H4534" s="4" t="s">
        <v>28698</v>
      </c>
      <c r="I4534" t="s">
        <v>71</v>
      </c>
      <c r="J4534" t="s">
        <v>10782</v>
      </c>
      <c r="K4534" t="s">
        <v>28699</v>
      </c>
    </row>
    <row r="4535" spans="1:11" ht="172.8" x14ac:dyDescent="0.3">
      <c r="A4535" s="4" t="s">
        <v>7514</v>
      </c>
      <c r="B4535">
        <v>3</v>
      </c>
      <c r="C4535">
        <v>2017</v>
      </c>
      <c r="D4535" t="s">
        <v>13254</v>
      </c>
      <c r="E4535">
        <v>19</v>
      </c>
      <c r="F4535" t="s">
        <v>28700</v>
      </c>
      <c r="G4535" t="s">
        <v>28701</v>
      </c>
      <c r="H4535" s="4" t="s">
        <v>28702</v>
      </c>
      <c r="I4535" t="s">
        <v>71</v>
      </c>
      <c r="J4535" t="s">
        <v>10782</v>
      </c>
      <c r="K4535" t="s">
        <v>28703</v>
      </c>
    </row>
    <row r="4536" spans="1:11" ht="115.2" x14ac:dyDescent="0.3">
      <c r="A4536" s="4" t="s">
        <v>7515</v>
      </c>
      <c r="B4536">
        <v>3</v>
      </c>
      <c r="C4536">
        <v>2017</v>
      </c>
      <c r="D4536" t="s">
        <v>147</v>
      </c>
      <c r="E4536">
        <v>13</v>
      </c>
      <c r="F4536" t="s">
        <v>28704</v>
      </c>
      <c r="G4536" t="s">
        <v>28705</v>
      </c>
      <c r="H4536" s="4" t="s">
        <v>28706</v>
      </c>
      <c r="I4536" t="s">
        <v>71</v>
      </c>
      <c r="J4536" t="s">
        <v>10782</v>
      </c>
      <c r="K4536" t="s">
        <v>28707</v>
      </c>
    </row>
    <row r="4537" spans="1:11" ht="144" x14ac:dyDescent="0.3">
      <c r="A4537" s="4" t="s">
        <v>7516</v>
      </c>
      <c r="B4537">
        <v>3</v>
      </c>
      <c r="C4537">
        <v>2017</v>
      </c>
      <c r="D4537" t="s">
        <v>10924</v>
      </c>
      <c r="E4537">
        <v>15</v>
      </c>
      <c r="F4537" t="s">
        <v>28708</v>
      </c>
      <c r="G4537" t="s">
        <v>28709</v>
      </c>
      <c r="H4537" s="4" t="s">
        <v>28710</v>
      </c>
      <c r="I4537" t="s">
        <v>71</v>
      </c>
      <c r="J4537" t="s">
        <v>10782</v>
      </c>
      <c r="K4537" t="s">
        <v>28711</v>
      </c>
    </row>
    <row r="4538" spans="1:11" ht="144" x14ac:dyDescent="0.3">
      <c r="A4538" s="4" t="s">
        <v>7517</v>
      </c>
      <c r="B4538">
        <v>3</v>
      </c>
      <c r="C4538">
        <v>2017</v>
      </c>
      <c r="D4538" t="s">
        <v>329</v>
      </c>
      <c r="E4538">
        <v>31</v>
      </c>
      <c r="F4538" t="s">
        <v>28712</v>
      </c>
      <c r="G4538" t="s">
        <v>28713</v>
      </c>
      <c r="H4538" s="4" t="s">
        <v>28714</v>
      </c>
      <c r="I4538" t="s">
        <v>71</v>
      </c>
      <c r="J4538" t="s">
        <v>10782</v>
      </c>
      <c r="K4538" t="s">
        <v>28715</v>
      </c>
    </row>
    <row r="4539" spans="1:11" ht="158.4" x14ac:dyDescent="0.3">
      <c r="A4539" s="4" t="s">
        <v>7518</v>
      </c>
      <c r="B4539">
        <v>3</v>
      </c>
      <c r="C4539">
        <v>2017</v>
      </c>
      <c r="D4539" t="s">
        <v>147</v>
      </c>
      <c r="E4539">
        <v>41</v>
      </c>
      <c r="F4539" t="s">
        <v>28716</v>
      </c>
      <c r="G4539" t="s">
        <v>28717</v>
      </c>
      <c r="H4539" s="4" t="s">
        <v>28718</v>
      </c>
      <c r="I4539" t="s">
        <v>71</v>
      </c>
      <c r="J4539" t="s">
        <v>10782</v>
      </c>
      <c r="K4539" t="s">
        <v>28719</v>
      </c>
    </row>
    <row r="4540" spans="1:11" ht="201.6" x14ac:dyDescent="0.3">
      <c r="A4540" s="4" t="s">
        <v>7519</v>
      </c>
      <c r="B4540">
        <v>3</v>
      </c>
      <c r="C4540">
        <v>2017</v>
      </c>
      <c r="D4540" t="s">
        <v>11556</v>
      </c>
      <c r="E4540">
        <v>20</v>
      </c>
      <c r="F4540" t="s">
        <v>28720</v>
      </c>
      <c r="G4540" t="s">
        <v>28721</v>
      </c>
      <c r="H4540" s="4" t="s">
        <v>28722</v>
      </c>
      <c r="I4540" t="s">
        <v>71</v>
      </c>
      <c r="J4540" t="s">
        <v>10782</v>
      </c>
      <c r="K4540" t="s">
        <v>28723</v>
      </c>
    </row>
    <row r="4541" spans="1:11" ht="115.2" x14ac:dyDescent="0.3">
      <c r="A4541" s="4" t="s">
        <v>7520</v>
      </c>
      <c r="B4541">
        <v>3</v>
      </c>
      <c r="C4541">
        <v>2017</v>
      </c>
      <c r="D4541" t="s">
        <v>11574</v>
      </c>
      <c r="E4541">
        <v>36</v>
      </c>
      <c r="F4541" t="s">
        <v>28724</v>
      </c>
      <c r="G4541" t="s">
        <v>28725</v>
      </c>
      <c r="H4541" s="4" t="s">
        <v>28726</v>
      </c>
    </row>
    <row r="4542" spans="1:11" ht="115.2" x14ac:dyDescent="0.3">
      <c r="A4542" s="4" t="s">
        <v>7521</v>
      </c>
      <c r="B4542">
        <v>3</v>
      </c>
      <c r="C4542">
        <v>2017</v>
      </c>
      <c r="D4542" t="s">
        <v>528</v>
      </c>
      <c r="E4542">
        <v>39</v>
      </c>
      <c r="F4542" t="s">
        <v>28727</v>
      </c>
      <c r="G4542" t="s">
        <v>28728</v>
      </c>
      <c r="H4542" s="4" t="s">
        <v>28729</v>
      </c>
      <c r="I4542" t="s">
        <v>71</v>
      </c>
      <c r="J4542" t="s">
        <v>10782</v>
      </c>
      <c r="K4542" t="s">
        <v>28730</v>
      </c>
    </row>
    <row r="4543" spans="1:11" ht="216" x14ac:dyDescent="0.3">
      <c r="A4543" s="4" t="s">
        <v>7522</v>
      </c>
      <c r="B4543">
        <v>3</v>
      </c>
      <c r="C4543">
        <v>2017</v>
      </c>
      <c r="D4543" t="s">
        <v>11041</v>
      </c>
      <c r="E4543">
        <v>53</v>
      </c>
      <c r="F4543" t="s">
        <v>28731</v>
      </c>
      <c r="G4543" t="s">
        <v>28732</v>
      </c>
      <c r="H4543" s="4" t="s">
        <v>28733</v>
      </c>
      <c r="I4543" t="s">
        <v>71</v>
      </c>
      <c r="J4543" t="s">
        <v>10782</v>
      </c>
      <c r="K4543" t="s">
        <v>28734</v>
      </c>
    </row>
    <row r="4544" spans="1:11" ht="172.8" x14ac:dyDescent="0.3">
      <c r="A4544" s="4" t="s">
        <v>7523</v>
      </c>
      <c r="B4544">
        <v>3</v>
      </c>
      <c r="C4544">
        <v>2017</v>
      </c>
      <c r="D4544" t="s">
        <v>799</v>
      </c>
      <c r="E4544">
        <v>24</v>
      </c>
      <c r="F4544" t="s">
        <v>28735</v>
      </c>
      <c r="G4544" t="s">
        <v>28736</v>
      </c>
      <c r="H4544" s="4" t="s">
        <v>28737</v>
      </c>
      <c r="I4544" t="s">
        <v>71</v>
      </c>
      <c r="J4544" t="s">
        <v>10782</v>
      </c>
      <c r="K4544" t="s">
        <v>28738</v>
      </c>
    </row>
    <row r="4545" spans="1:11" ht="187.2" x14ac:dyDescent="0.3">
      <c r="A4545" s="4" t="s">
        <v>7524</v>
      </c>
      <c r="B4545">
        <v>3</v>
      </c>
      <c r="C4545">
        <v>2017</v>
      </c>
      <c r="D4545" t="s">
        <v>15652</v>
      </c>
      <c r="E4545">
        <v>45</v>
      </c>
      <c r="F4545" t="s">
        <v>28739</v>
      </c>
      <c r="G4545" t="s">
        <v>28740</v>
      </c>
      <c r="H4545" s="4" t="s">
        <v>28741</v>
      </c>
      <c r="I4545" t="s">
        <v>71</v>
      </c>
      <c r="J4545" t="s">
        <v>10782</v>
      </c>
      <c r="K4545" t="s">
        <v>28742</v>
      </c>
    </row>
    <row r="4546" spans="1:11" ht="201.6" x14ac:dyDescent="0.3">
      <c r="A4546" s="4" t="s">
        <v>7525</v>
      </c>
      <c r="B4546">
        <v>3</v>
      </c>
      <c r="C4546">
        <v>2017</v>
      </c>
      <c r="D4546" t="s">
        <v>2914</v>
      </c>
      <c r="E4546">
        <v>57</v>
      </c>
      <c r="F4546" t="s">
        <v>28743</v>
      </c>
      <c r="G4546" t="s">
        <v>28744</v>
      </c>
      <c r="H4546" s="4" t="s">
        <v>28745</v>
      </c>
    </row>
    <row r="4547" spans="1:11" ht="259.2" x14ac:dyDescent="0.3">
      <c r="A4547" s="4" t="s">
        <v>7526</v>
      </c>
      <c r="B4547">
        <v>3</v>
      </c>
      <c r="C4547">
        <v>2017</v>
      </c>
      <c r="D4547" t="s">
        <v>10924</v>
      </c>
      <c r="E4547">
        <v>48</v>
      </c>
      <c r="F4547" t="s">
        <v>28746</v>
      </c>
      <c r="G4547" t="s">
        <v>28747</v>
      </c>
      <c r="H4547" s="4" t="s">
        <v>28748</v>
      </c>
      <c r="I4547" t="s">
        <v>71</v>
      </c>
      <c r="J4547" t="s">
        <v>10782</v>
      </c>
      <c r="K4547" t="s">
        <v>28749</v>
      </c>
    </row>
    <row r="4548" spans="1:11" ht="100.8" x14ac:dyDescent="0.3">
      <c r="A4548" s="4" t="s">
        <v>1706</v>
      </c>
      <c r="B4548">
        <v>1</v>
      </c>
      <c r="C4548">
        <v>2017</v>
      </c>
      <c r="D4548" t="s">
        <v>217</v>
      </c>
      <c r="E4548">
        <v>43</v>
      </c>
      <c r="F4548" t="s">
        <v>28750</v>
      </c>
      <c r="G4548" t="s">
        <v>28751</v>
      </c>
      <c r="H4548" s="4" t="s">
        <v>28752</v>
      </c>
    </row>
    <row r="4549" spans="1:11" ht="216" x14ac:dyDescent="0.3">
      <c r="A4549" s="4" t="s">
        <v>7527</v>
      </c>
      <c r="B4549">
        <v>3</v>
      </c>
      <c r="C4549">
        <v>2017</v>
      </c>
      <c r="D4549" t="s">
        <v>1770</v>
      </c>
      <c r="E4549">
        <v>27</v>
      </c>
      <c r="F4549" t="s">
        <v>28753</v>
      </c>
      <c r="G4549" t="s">
        <v>28754</v>
      </c>
      <c r="H4549" s="4" t="s">
        <v>28755</v>
      </c>
      <c r="I4549" t="s">
        <v>71</v>
      </c>
      <c r="J4549" t="s">
        <v>10782</v>
      </c>
      <c r="K4549" t="s">
        <v>28756</v>
      </c>
    </row>
    <row r="4550" spans="1:11" ht="187.2" x14ac:dyDescent="0.3">
      <c r="A4550" s="4" t="s">
        <v>7528</v>
      </c>
      <c r="B4550">
        <v>3</v>
      </c>
      <c r="C4550">
        <v>2017</v>
      </c>
      <c r="D4550" t="s">
        <v>1175</v>
      </c>
      <c r="E4550">
        <v>3</v>
      </c>
      <c r="F4550" t="s">
        <v>28757</v>
      </c>
      <c r="G4550" t="s">
        <v>28758</v>
      </c>
      <c r="H4550" s="4" t="s">
        <v>28759</v>
      </c>
      <c r="I4550" t="s">
        <v>71</v>
      </c>
      <c r="J4550" t="s">
        <v>10782</v>
      </c>
      <c r="K4550" t="s">
        <v>28760</v>
      </c>
    </row>
    <row r="4551" spans="1:11" ht="100.8" x14ac:dyDescent="0.3">
      <c r="A4551" s="4" t="s">
        <v>7529</v>
      </c>
      <c r="B4551">
        <v>3</v>
      </c>
      <c r="C4551">
        <v>2017</v>
      </c>
      <c r="D4551" t="s">
        <v>385</v>
      </c>
      <c r="E4551">
        <v>18</v>
      </c>
      <c r="F4551" t="s">
        <v>28761</v>
      </c>
      <c r="G4551" t="s">
        <v>28762</v>
      </c>
      <c r="H4551" s="4" t="s">
        <v>28763</v>
      </c>
    </row>
    <row r="4552" spans="1:11" ht="115.2" x14ac:dyDescent="0.3">
      <c r="A4552" s="4" t="s">
        <v>7530</v>
      </c>
      <c r="B4552">
        <v>3</v>
      </c>
      <c r="C4552">
        <v>2017</v>
      </c>
      <c r="D4552" t="s">
        <v>1426</v>
      </c>
      <c r="E4552">
        <v>113</v>
      </c>
      <c r="F4552" t="s">
        <v>28764</v>
      </c>
      <c r="G4552" t="s">
        <v>28765</v>
      </c>
      <c r="H4552" s="4" t="s">
        <v>28766</v>
      </c>
      <c r="I4552" t="s">
        <v>71</v>
      </c>
      <c r="J4552" t="s">
        <v>10782</v>
      </c>
      <c r="K4552" t="s">
        <v>28767</v>
      </c>
    </row>
    <row r="4553" spans="1:11" ht="187.2" x14ac:dyDescent="0.3">
      <c r="A4553" s="4" t="s">
        <v>7531</v>
      </c>
      <c r="B4553">
        <v>3</v>
      </c>
      <c r="C4553">
        <v>2017</v>
      </c>
      <c r="D4553" t="s">
        <v>22707</v>
      </c>
      <c r="E4553">
        <v>151</v>
      </c>
      <c r="F4553" t="s">
        <v>28768</v>
      </c>
      <c r="G4553" t="s">
        <v>28769</v>
      </c>
      <c r="H4553" s="4" t="s">
        <v>28770</v>
      </c>
      <c r="I4553" t="s">
        <v>71</v>
      </c>
      <c r="J4553" t="s">
        <v>10782</v>
      </c>
      <c r="K4553" t="s">
        <v>28771</v>
      </c>
    </row>
    <row r="4554" spans="1:11" ht="72" x14ac:dyDescent="0.3">
      <c r="A4554" s="4" t="s">
        <v>7532</v>
      </c>
      <c r="B4554">
        <v>3</v>
      </c>
      <c r="C4554">
        <v>2017</v>
      </c>
      <c r="D4554" t="s">
        <v>277</v>
      </c>
      <c r="E4554">
        <v>77</v>
      </c>
      <c r="F4554" t="s">
        <v>28772</v>
      </c>
      <c r="G4554" t="s">
        <v>28773</v>
      </c>
      <c r="H4554" s="4" t="s">
        <v>28774</v>
      </c>
      <c r="I4554" t="s">
        <v>28775</v>
      </c>
    </row>
    <row r="4555" spans="1:11" ht="273.60000000000002" x14ac:dyDescent="0.3">
      <c r="A4555" s="4" t="s">
        <v>7533</v>
      </c>
      <c r="B4555">
        <v>3</v>
      </c>
      <c r="C4555">
        <v>2017</v>
      </c>
      <c r="D4555" t="s">
        <v>17362</v>
      </c>
      <c r="E4555">
        <v>6</v>
      </c>
      <c r="F4555" t="s">
        <v>28776</v>
      </c>
      <c r="G4555" t="s">
        <v>28777</v>
      </c>
      <c r="H4555" s="4" t="s">
        <v>28778</v>
      </c>
      <c r="I4555" t="s">
        <v>71</v>
      </c>
      <c r="J4555" t="s">
        <v>10782</v>
      </c>
      <c r="K4555" t="s">
        <v>28779</v>
      </c>
    </row>
    <row r="4556" spans="1:11" ht="115.2" x14ac:dyDescent="0.3">
      <c r="A4556" s="4" t="s">
        <v>7534</v>
      </c>
      <c r="B4556">
        <v>3</v>
      </c>
      <c r="C4556">
        <v>2017</v>
      </c>
      <c r="D4556" t="s">
        <v>28780</v>
      </c>
      <c r="E4556">
        <v>6</v>
      </c>
      <c r="G4556" t="s">
        <v>28781</v>
      </c>
      <c r="H4556" s="4" t="s">
        <v>28782</v>
      </c>
      <c r="I4556" s="4" t="s">
        <v>71</v>
      </c>
      <c r="J4556" t="s">
        <v>10782</v>
      </c>
      <c r="K4556" t="s">
        <v>28783</v>
      </c>
    </row>
    <row r="4557" spans="1:11" ht="115.2" x14ac:dyDescent="0.3">
      <c r="A4557" s="4" t="s">
        <v>7535</v>
      </c>
      <c r="B4557">
        <v>3</v>
      </c>
      <c r="C4557">
        <v>2017</v>
      </c>
      <c r="D4557" t="s">
        <v>385</v>
      </c>
      <c r="E4557">
        <v>34</v>
      </c>
      <c r="F4557" t="s">
        <v>28784</v>
      </c>
      <c r="G4557" t="s">
        <v>28785</v>
      </c>
      <c r="H4557" s="4" t="s">
        <v>28786</v>
      </c>
      <c r="I4557" t="s">
        <v>71</v>
      </c>
      <c r="J4557" t="s">
        <v>10782</v>
      </c>
      <c r="K4557" t="s">
        <v>28787</v>
      </c>
    </row>
    <row r="4558" spans="1:11" ht="216" x14ac:dyDescent="0.3">
      <c r="A4558" s="4" t="s">
        <v>7536</v>
      </c>
      <c r="B4558">
        <v>3</v>
      </c>
      <c r="C4558">
        <v>2017</v>
      </c>
      <c r="D4558" t="s">
        <v>11574</v>
      </c>
      <c r="E4558">
        <v>156</v>
      </c>
      <c r="F4558" t="s">
        <v>28788</v>
      </c>
      <c r="G4558" t="s">
        <v>28789</v>
      </c>
      <c r="H4558" s="4" t="s">
        <v>28790</v>
      </c>
      <c r="I4558" t="s">
        <v>10823</v>
      </c>
      <c r="J4558" t="s">
        <v>10782</v>
      </c>
      <c r="K4558" t="s">
        <v>28791</v>
      </c>
    </row>
    <row r="4559" spans="1:11" ht="201.6" x14ac:dyDescent="0.3">
      <c r="A4559" s="4" t="s">
        <v>7537</v>
      </c>
      <c r="B4559">
        <v>3</v>
      </c>
      <c r="C4559">
        <v>2017</v>
      </c>
      <c r="D4559" t="s">
        <v>1530</v>
      </c>
      <c r="E4559">
        <v>11</v>
      </c>
      <c r="F4559" t="s">
        <v>28792</v>
      </c>
      <c r="G4559" t="s">
        <v>28793</v>
      </c>
      <c r="H4559" s="4" t="s">
        <v>28794</v>
      </c>
    </row>
    <row r="4560" spans="1:11" ht="187.2" x14ac:dyDescent="0.3">
      <c r="A4560" s="4" t="s">
        <v>7538</v>
      </c>
      <c r="B4560">
        <v>3</v>
      </c>
      <c r="C4560">
        <v>2017</v>
      </c>
      <c r="D4560" t="s">
        <v>318</v>
      </c>
      <c r="E4560">
        <v>24</v>
      </c>
      <c r="F4560" t="s">
        <v>28795</v>
      </c>
      <c r="G4560" t="s">
        <v>28796</v>
      </c>
      <c r="H4560" s="4" t="s">
        <v>28797</v>
      </c>
      <c r="I4560" t="s">
        <v>71</v>
      </c>
      <c r="J4560" t="s">
        <v>10782</v>
      </c>
      <c r="K4560" t="s">
        <v>28798</v>
      </c>
    </row>
    <row r="4561" spans="1:11" ht="187.2" x14ac:dyDescent="0.3">
      <c r="A4561" s="4" t="s">
        <v>7539</v>
      </c>
      <c r="B4561">
        <v>3</v>
      </c>
      <c r="C4561">
        <v>2017</v>
      </c>
      <c r="D4561" t="s">
        <v>13394</v>
      </c>
      <c r="E4561">
        <v>9</v>
      </c>
      <c r="F4561" t="s">
        <v>28799</v>
      </c>
      <c r="G4561" t="s">
        <v>28800</v>
      </c>
      <c r="H4561" s="4" t="s">
        <v>28801</v>
      </c>
      <c r="I4561" t="s">
        <v>71</v>
      </c>
      <c r="J4561" t="s">
        <v>10782</v>
      </c>
      <c r="K4561" t="s">
        <v>28802</v>
      </c>
    </row>
    <row r="4562" spans="1:11" ht="216" x14ac:dyDescent="0.3">
      <c r="A4562" s="4" t="s">
        <v>7540</v>
      </c>
      <c r="B4562">
        <v>3</v>
      </c>
      <c r="C4562">
        <v>2017</v>
      </c>
      <c r="D4562" t="s">
        <v>12318</v>
      </c>
      <c r="E4562">
        <v>54</v>
      </c>
      <c r="F4562" t="s">
        <v>28803</v>
      </c>
      <c r="G4562" t="s">
        <v>28804</v>
      </c>
      <c r="H4562" s="4" t="s">
        <v>28805</v>
      </c>
      <c r="I4562" t="s">
        <v>71</v>
      </c>
      <c r="J4562" t="s">
        <v>10782</v>
      </c>
      <c r="K4562" t="s">
        <v>28806</v>
      </c>
    </row>
    <row r="4563" spans="1:11" ht="144" x14ac:dyDescent="0.3">
      <c r="A4563" s="4" t="s">
        <v>7541</v>
      </c>
      <c r="B4563">
        <v>3</v>
      </c>
      <c r="C4563">
        <v>2017</v>
      </c>
      <c r="D4563" t="s">
        <v>10924</v>
      </c>
      <c r="E4563">
        <v>45</v>
      </c>
      <c r="F4563" t="s">
        <v>28807</v>
      </c>
      <c r="G4563" t="s">
        <v>28808</v>
      </c>
      <c r="H4563" s="4" t="s">
        <v>28809</v>
      </c>
      <c r="I4563" t="s">
        <v>71</v>
      </c>
      <c r="J4563" t="s">
        <v>10782</v>
      </c>
      <c r="K4563" t="s">
        <v>28810</v>
      </c>
    </row>
    <row r="4564" spans="1:11" ht="302.39999999999998" x14ac:dyDescent="0.3">
      <c r="A4564" s="4" t="s">
        <v>7542</v>
      </c>
      <c r="B4564">
        <v>3</v>
      </c>
      <c r="C4564">
        <v>2017</v>
      </c>
      <c r="D4564" t="s">
        <v>17362</v>
      </c>
      <c r="E4564">
        <v>5</v>
      </c>
      <c r="F4564" t="s">
        <v>28811</v>
      </c>
      <c r="G4564" t="s">
        <v>28812</v>
      </c>
      <c r="H4564" s="4" t="s">
        <v>28813</v>
      </c>
      <c r="I4564" t="s">
        <v>71</v>
      </c>
      <c r="J4564" t="s">
        <v>10782</v>
      </c>
      <c r="K4564" t="s">
        <v>28814</v>
      </c>
    </row>
    <row r="4565" spans="1:11" ht="172.8" x14ac:dyDescent="0.3">
      <c r="A4565" s="4" t="s">
        <v>7543</v>
      </c>
      <c r="B4565">
        <v>3</v>
      </c>
      <c r="C4565">
        <v>2017</v>
      </c>
      <c r="D4565" t="s">
        <v>2030</v>
      </c>
      <c r="E4565">
        <v>2</v>
      </c>
      <c r="F4565" t="s">
        <v>28815</v>
      </c>
      <c r="G4565" t="s">
        <v>28816</v>
      </c>
      <c r="H4565" s="4" t="s">
        <v>28817</v>
      </c>
      <c r="I4565" t="s">
        <v>71</v>
      </c>
      <c r="J4565" t="s">
        <v>10782</v>
      </c>
      <c r="K4565" t="s">
        <v>28818</v>
      </c>
    </row>
    <row r="4566" spans="1:11" ht="129.6" x14ac:dyDescent="0.3">
      <c r="A4566" s="4" t="s">
        <v>7544</v>
      </c>
      <c r="B4566">
        <v>3</v>
      </c>
      <c r="C4566">
        <v>2017</v>
      </c>
      <c r="D4566" t="s">
        <v>550</v>
      </c>
      <c r="E4566">
        <v>21</v>
      </c>
      <c r="F4566" t="s">
        <v>28819</v>
      </c>
      <c r="G4566" t="s">
        <v>28820</v>
      </c>
      <c r="H4566" s="4" t="s">
        <v>28821</v>
      </c>
    </row>
    <row r="4567" spans="1:11" ht="172.8" x14ac:dyDescent="0.3">
      <c r="A4567" s="4" t="s">
        <v>7545</v>
      </c>
      <c r="B4567">
        <v>3</v>
      </c>
      <c r="C4567">
        <v>2017</v>
      </c>
      <c r="D4567" t="s">
        <v>28822</v>
      </c>
      <c r="E4567">
        <v>1</v>
      </c>
      <c r="G4567" t="s">
        <v>28823</v>
      </c>
      <c r="H4567" s="4" t="s">
        <v>28824</v>
      </c>
      <c r="I4567" s="4" t="s">
        <v>71</v>
      </c>
      <c r="J4567" t="s">
        <v>10782</v>
      </c>
      <c r="K4567" t="s">
        <v>28825</v>
      </c>
    </row>
    <row r="4568" spans="1:11" ht="100.8" x14ac:dyDescent="0.3">
      <c r="A4568" s="4" t="s">
        <v>7546</v>
      </c>
      <c r="B4568">
        <v>3</v>
      </c>
      <c r="C4568">
        <v>2017</v>
      </c>
      <c r="D4568" t="s">
        <v>10057</v>
      </c>
      <c r="E4568">
        <v>30</v>
      </c>
      <c r="F4568" t="s">
        <v>28826</v>
      </c>
      <c r="G4568" t="s">
        <v>28827</v>
      </c>
      <c r="H4568" s="4" t="s">
        <v>28828</v>
      </c>
    </row>
    <row r="4569" spans="1:11" ht="172.8" x14ac:dyDescent="0.3">
      <c r="A4569" s="4" t="s">
        <v>7547</v>
      </c>
      <c r="B4569">
        <v>3</v>
      </c>
      <c r="C4569">
        <v>2017</v>
      </c>
      <c r="D4569" t="s">
        <v>2328</v>
      </c>
      <c r="E4569">
        <v>31</v>
      </c>
      <c r="F4569" t="s">
        <v>28829</v>
      </c>
      <c r="G4569" t="s">
        <v>28830</v>
      </c>
      <c r="H4569" s="4" t="s">
        <v>28831</v>
      </c>
    </row>
    <row r="4570" spans="1:11" ht="201.6" x14ac:dyDescent="0.3">
      <c r="A4570" s="4" t="s">
        <v>7548</v>
      </c>
      <c r="B4570">
        <v>3</v>
      </c>
      <c r="C4570">
        <v>2017</v>
      </c>
      <c r="D4570" t="s">
        <v>2267</v>
      </c>
      <c r="E4570">
        <v>18</v>
      </c>
      <c r="F4570" t="s">
        <v>28832</v>
      </c>
      <c r="G4570" t="s">
        <v>28833</v>
      </c>
      <c r="H4570" s="4" t="s">
        <v>28834</v>
      </c>
      <c r="I4570" t="s">
        <v>71</v>
      </c>
      <c r="J4570" t="s">
        <v>10782</v>
      </c>
      <c r="K4570" t="s">
        <v>28835</v>
      </c>
    </row>
    <row r="4571" spans="1:11" ht="201.6" x14ac:dyDescent="0.3">
      <c r="A4571" s="4" t="s">
        <v>7549</v>
      </c>
      <c r="B4571">
        <v>3</v>
      </c>
      <c r="C4571">
        <v>2017</v>
      </c>
      <c r="D4571" t="s">
        <v>17273</v>
      </c>
      <c r="E4571">
        <v>9</v>
      </c>
      <c r="F4571" t="s">
        <v>28836</v>
      </c>
      <c r="G4571" t="s">
        <v>28837</v>
      </c>
      <c r="H4571" s="4" t="s">
        <v>28838</v>
      </c>
      <c r="I4571" t="s">
        <v>71</v>
      </c>
      <c r="J4571" t="s">
        <v>10782</v>
      </c>
      <c r="K4571" t="s">
        <v>28839</v>
      </c>
    </row>
    <row r="4572" spans="1:11" ht="172.8" x14ac:dyDescent="0.3">
      <c r="A4572" s="4" t="s">
        <v>7550</v>
      </c>
      <c r="B4572">
        <v>3</v>
      </c>
      <c r="C4572">
        <v>2017</v>
      </c>
      <c r="D4572" t="s">
        <v>724</v>
      </c>
      <c r="E4572">
        <v>12</v>
      </c>
      <c r="F4572" t="s">
        <v>28840</v>
      </c>
      <c r="G4572" t="s">
        <v>28841</v>
      </c>
      <c r="H4572" s="4" t="s">
        <v>28842</v>
      </c>
      <c r="I4572" t="s">
        <v>71</v>
      </c>
      <c r="J4572" t="s">
        <v>10782</v>
      </c>
      <c r="K4572" t="s">
        <v>28843</v>
      </c>
    </row>
    <row r="4573" spans="1:11" ht="172.8" x14ac:dyDescent="0.3">
      <c r="A4573" s="4" t="s">
        <v>7551</v>
      </c>
      <c r="B4573">
        <v>3</v>
      </c>
      <c r="C4573">
        <v>2017</v>
      </c>
      <c r="D4573" t="s">
        <v>12491</v>
      </c>
      <c r="E4573">
        <v>9</v>
      </c>
      <c r="F4573" t="s">
        <v>28844</v>
      </c>
      <c r="G4573" t="s">
        <v>28845</v>
      </c>
      <c r="H4573" s="4" t="s">
        <v>28846</v>
      </c>
      <c r="I4573" t="s">
        <v>71</v>
      </c>
      <c r="J4573" t="s">
        <v>10782</v>
      </c>
      <c r="K4573" t="s">
        <v>28847</v>
      </c>
    </row>
    <row r="4574" spans="1:11" ht="244.8" x14ac:dyDescent="0.3">
      <c r="A4574" s="4" t="s">
        <v>7552</v>
      </c>
      <c r="B4574">
        <v>3</v>
      </c>
      <c r="C4574">
        <v>2017</v>
      </c>
      <c r="D4574" t="s">
        <v>234</v>
      </c>
      <c r="E4574">
        <v>11</v>
      </c>
      <c r="F4574" t="s">
        <v>28848</v>
      </c>
      <c r="G4574" t="s">
        <v>28849</v>
      </c>
      <c r="H4574" s="4" t="s">
        <v>28850</v>
      </c>
      <c r="I4574" t="s">
        <v>71</v>
      </c>
      <c r="J4574" t="s">
        <v>10782</v>
      </c>
      <c r="K4574" t="s">
        <v>28851</v>
      </c>
    </row>
    <row r="4575" spans="1:11" ht="230.4" x14ac:dyDescent="0.3">
      <c r="A4575" s="4" t="s">
        <v>7553</v>
      </c>
      <c r="B4575">
        <v>3</v>
      </c>
      <c r="C4575">
        <v>2017</v>
      </c>
      <c r="D4575" t="s">
        <v>10057</v>
      </c>
      <c r="E4575">
        <v>13</v>
      </c>
      <c r="F4575" t="s">
        <v>28852</v>
      </c>
      <c r="G4575" t="s">
        <v>28853</v>
      </c>
      <c r="H4575" s="4" t="s">
        <v>28854</v>
      </c>
      <c r="I4575" t="s">
        <v>71</v>
      </c>
      <c r="J4575" t="s">
        <v>10782</v>
      </c>
      <c r="K4575" t="s">
        <v>28855</v>
      </c>
    </row>
    <row r="4576" spans="1:11" ht="187.2" x14ac:dyDescent="0.3">
      <c r="A4576" s="4" t="s">
        <v>7554</v>
      </c>
      <c r="B4576">
        <v>3</v>
      </c>
      <c r="C4576">
        <v>2017</v>
      </c>
      <c r="D4576" t="s">
        <v>405</v>
      </c>
      <c r="E4576">
        <v>59</v>
      </c>
      <c r="F4576" t="s">
        <v>28856</v>
      </c>
      <c r="G4576" t="s">
        <v>28857</v>
      </c>
      <c r="H4576" s="4" t="s">
        <v>28858</v>
      </c>
      <c r="I4576" t="s">
        <v>71</v>
      </c>
      <c r="J4576" t="s">
        <v>10782</v>
      </c>
      <c r="K4576" t="s">
        <v>28859</v>
      </c>
    </row>
    <row r="4577" spans="1:11" ht="216" x14ac:dyDescent="0.3">
      <c r="A4577" s="4" t="s">
        <v>7555</v>
      </c>
      <c r="B4577">
        <v>3</v>
      </c>
      <c r="C4577">
        <v>2017</v>
      </c>
      <c r="D4577" t="s">
        <v>80</v>
      </c>
      <c r="E4577">
        <v>33</v>
      </c>
      <c r="F4577" t="s">
        <v>28860</v>
      </c>
      <c r="G4577" t="s">
        <v>28861</v>
      </c>
      <c r="H4577" s="4" t="s">
        <v>28862</v>
      </c>
      <c r="I4577" t="s">
        <v>71</v>
      </c>
      <c r="J4577" t="s">
        <v>10782</v>
      </c>
      <c r="K4577" t="s">
        <v>28863</v>
      </c>
    </row>
    <row r="4578" spans="1:11" ht="72" x14ac:dyDescent="0.3">
      <c r="A4578" s="4" t="s">
        <v>3604</v>
      </c>
      <c r="B4578">
        <v>2</v>
      </c>
      <c r="C4578">
        <v>2017</v>
      </c>
      <c r="D4578" t="s">
        <v>14517</v>
      </c>
      <c r="E4578">
        <v>5</v>
      </c>
      <c r="F4578" t="s">
        <v>28864</v>
      </c>
      <c r="G4578" t="s">
        <v>28865</v>
      </c>
      <c r="H4578" s="4" t="s">
        <v>28866</v>
      </c>
    </row>
    <row r="4579" spans="1:11" ht="201.6" x14ac:dyDescent="0.3">
      <c r="A4579" s="4" t="s">
        <v>7556</v>
      </c>
      <c r="B4579">
        <v>3</v>
      </c>
      <c r="C4579">
        <v>2017</v>
      </c>
      <c r="D4579" t="s">
        <v>1570</v>
      </c>
      <c r="E4579">
        <v>20</v>
      </c>
      <c r="F4579" t="s">
        <v>28867</v>
      </c>
      <c r="G4579" t="s">
        <v>28868</v>
      </c>
      <c r="H4579" s="4" t="s">
        <v>28869</v>
      </c>
      <c r="I4579" t="s">
        <v>71</v>
      </c>
      <c r="J4579" t="s">
        <v>10782</v>
      </c>
      <c r="K4579" t="s">
        <v>28870</v>
      </c>
    </row>
    <row r="4580" spans="1:11" ht="216" x14ac:dyDescent="0.3">
      <c r="A4580" s="4" t="s">
        <v>7557</v>
      </c>
      <c r="B4580">
        <v>3</v>
      </c>
      <c r="C4580">
        <v>2017</v>
      </c>
      <c r="D4580" t="s">
        <v>1849</v>
      </c>
      <c r="E4580">
        <v>42</v>
      </c>
      <c r="F4580" t="s">
        <v>28871</v>
      </c>
      <c r="G4580" t="s">
        <v>28872</v>
      </c>
      <c r="H4580" s="4" t="s">
        <v>28873</v>
      </c>
      <c r="I4580" t="s">
        <v>71</v>
      </c>
      <c r="J4580" t="s">
        <v>10782</v>
      </c>
      <c r="K4580" t="s">
        <v>28874</v>
      </c>
    </row>
    <row r="4581" spans="1:11" ht="100.8" x14ac:dyDescent="0.3">
      <c r="A4581" s="4" t="s">
        <v>7558</v>
      </c>
      <c r="B4581">
        <v>3</v>
      </c>
      <c r="C4581">
        <v>2017</v>
      </c>
      <c r="D4581" t="s">
        <v>799</v>
      </c>
      <c r="E4581">
        <v>32</v>
      </c>
      <c r="F4581" t="s">
        <v>28875</v>
      </c>
      <c r="G4581" t="s">
        <v>28876</v>
      </c>
      <c r="H4581" s="4" t="s">
        <v>28877</v>
      </c>
      <c r="I4581" t="s">
        <v>71</v>
      </c>
      <c r="J4581" t="s">
        <v>10782</v>
      </c>
      <c r="K4581" t="s">
        <v>28878</v>
      </c>
    </row>
    <row r="4582" spans="1:11" ht="144" x14ac:dyDescent="0.3">
      <c r="A4582" s="4" t="s">
        <v>7559</v>
      </c>
      <c r="B4582">
        <v>3</v>
      </c>
      <c r="C4582">
        <v>2017</v>
      </c>
      <c r="D4582" t="s">
        <v>28323</v>
      </c>
      <c r="E4582">
        <v>11</v>
      </c>
      <c r="F4582" t="s">
        <v>28879</v>
      </c>
      <c r="G4582" t="s">
        <v>28880</v>
      </c>
      <c r="H4582" s="4" t="s">
        <v>28881</v>
      </c>
      <c r="I4582" t="s">
        <v>71</v>
      </c>
      <c r="J4582" t="s">
        <v>10782</v>
      </c>
      <c r="K4582" t="s">
        <v>28882</v>
      </c>
    </row>
    <row r="4583" spans="1:11" ht="201.6" x14ac:dyDescent="0.3">
      <c r="A4583" s="4" t="s">
        <v>7560</v>
      </c>
      <c r="B4583">
        <v>3</v>
      </c>
      <c r="C4583">
        <v>2017</v>
      </c>
      <c r="D4583" t="s">
        <v>12318</v>
      </c>
      <c r="E4583">
        <v>9</v>
      </c>
      <c r="F4583" t="s">
        <v>28883</v>
      </c>
      <c r="G4583" t="s">
        <v>28884</v>
      </c>
      <c r="H4583" s="4" t="s">
        <v>28885</v>
      </c>
      <c r="I4583" t="s">
        <v>71</v>
      </c>
      <c r="J4583" t="s">
        <v>10782</v>
      </c>
      <c r="K4583" t="s">
        <v>28886</v>
      </c>
    </row>
    <row r="4584" spans="1:11" ht="115.2" x14ac:dyDescent="0.3">
      <c r="A4584" s="4" t="s">
        <v>7561</v>
      </c>
      <c r="B4584">
        <v>3</v>
      </c>
      <c r="C4584">
        <v>2017</v>
      </c>
      <c r="D4584" t="s">
        <v>28887</v>
      </c>
      <c r="E4584">
        <v>19</v>
      </c>
      <c r="F4584" t="s">
        <v>28888</v>
      </c>
      <c r="G4584" t="s">
        <v>28889</v>
      </c>
      <c r="H4584" s="4" t="s">
        <v>28890</v>
      </c>
      <c r="I4584" t="s">
        <v>71</v>
      </c>
      <c r="J4584" t="s">
        <v>10782</v>
      </c>
      <c r="K4584" t="s">
        <v>28891</v>
      </c>
    </row>
    <row r="4585" spans="1:11" ht="230.4" x14ac:dyDescent="0.3">
      <c r="A4585" s="4" t="s">
        <v>7562</v>
      </c>
      <c r="B4585">
        <v>3</v>
      </c>
      <c r="C4585">
        <v>2017</v>
      </c>
      <c r="D4585" t="s">
        <v>11050</v>
      </c>
      <c r="E4585">
        <v>13</v>
      </c>
      <c r="F4585" t="s">
        <v>28892</v>
      </c>
      <c r="G4585" t="s">
        <v>28893</v>
      </c>
      <c r="H4585" s="4" t="s">
        <v>28894</v>
      </c>
      <c r="I4585" t="s">
        <v>71</v>
      </c>
      <c r="J4585" t="s">
        <v>10782</v>
      </c>
      <c r="K4585" t="s">
        <v>28895</v>
      </c>
    </row>
    <row r="4586" spans="1:11" ht="158.4" x14ac:dyDescent="0.3">
      <c r="A4586" s="4" t="s">
        <v>1707</v>
      </c>
      <c r="B4586">
        <v>1</v>
      </c>
      <c r="C4586">
        <v>2017</v>
      </c>
      <c r="D4586" t="s">
        <v>1530</v>
      </c>
      <c r="E4586">
        <v>33</v>
      </c>
      <c r="F4586" t="s">
        <v>28896</v>
      </c>
      <c r="G4586" t="s">
        <v>28897</v>
      </c>
      <c r="H4586" s="4" t="s">
        <v>28898</v>
      </c>
      <c r="I4586" t="s">
        <v>71</v>
      </c>
      <c r="J4586" t="s">
        <v>10782</v>
      </c>
      <c r="K4586" t="s">
        <v>28899</v>
      </c>
    </row>
    <row r="4587" spans="1:11" ht="115.2" x14ac:dyDescent="0.3">
      <c r="A4587" s="4" t="s">
        <v>7563</v>
      </c>
      <c r="B4587">
        <v>3</v>
      </c>
      <c r="C4587">
        <v>2017</v>
      </c>
      <c r="D4587" t="s">
        <v>2819</v>
      </c>
      <c r="E4587">
        <v>23</v>
      </c>
      <c r="F4587" t="s">
        <v>28900</v>
      </c>
      <c r="G4587" t="s">
        <v>28901</v>
      </c>
      <c r="H4587" s="4" t="s">
        <v>28902</v>
      </c>
      <c r="I4587" t="s">
        <v>71</v>
      </c>
      <c r="J4587" t="s">
        <v>10782</v>
      </c>
      <c r="K4587" t="s">
        <v>28903</v>
      </c>
    </row>
    <row r="4588" spans="1:11" ht="273.60000000000002" x14ac:dyDescent="0.3">
      <c r="A4588" s="4" t="s">
        <v>7564</v>
      </c>
      <c r="B4588">
        <v>3</v>
      </c>
      <c r="C4588">
        <v>2017</v>
      </c>
      <c r="D4588" t="s">
        <v>14909</v>
      </c>
      <c r="E4588">
        <v>58</v>
      </c>
      <c r="F4588" t="s">
        <v>28904</v>
      </c>
      <c r="G4588" t="s">
        <v>28905</v>
      </c>
      <c r="H4588" s="4" t="s">
        <v>28906</v>
      </c>
      <c r="I4588" t="s">
        <v>71</v>
      </c>
      <c r="J4588" t="s">
        <v>10782</v>
      </c>
      <c r="K4588" t="s">
        <v>28907</v>
      </c>
    </row>
    <row r="4589" spans="1:11" ht="216" x14ac:dyDescent="0.3">
      <c r="A4589" s="4" t="s">
        <v>7565</v>
      </c>
      <c r="B4589">
        <v>3</v>
      </c>
      <c r="C4589">
        <v>2017</v>
      </c>
      <c r="D4589" t="s">
        <v>830</v>
      </c>
      <c r="E4589">
        <v>65</v>
      </c>
      <c r="F4589" t="s">
        <v>28908</v>
      </c>
      <c r="G4589" t="s">
        <v>28909</v>
      </c>
      <c r="H4589" s="4" t="s">
        <v>28910</v>
      </c>
      <c r="I4589" t="s">
        <v>71</v>
      </c>
      <c r="J4589" t="s">
        <v>10782</v>
      </c>
      <c r="K4589" t="s">
        <v>28911</v>
      </c>
    </row>
    <row r="4590" spans="1:11" ht="158.4" x14ac:dyDescent="0.3">
      <c r="A4590" s="4" t="s">
        <v>7566</v>
      </c>
      <c r="B4590">
        <v>3</v>
      </c>
      <c r="C4590">
        <v>2017</v>
      </c>
      <c r="D4590" t="s">
        <v>22116</v>
      </c>
      <c r="E4590">
        <v>6</v>
      </c>
      <c r="F4590" t="s">
        <v>28912</v>
      </c>
      <c r="G4590" t="s">
        <v>28913</v>
      </c>
      <c r="H4590" s="4" t="s">
        <v>28914</v>
      </c>
      <c r="I4590" t="s">
        <v>71</v>
      </c>
      <c r="J4590" t="s">
        <v>10782</v>
      </c>
      <c r="K4590" t="s">
        <v>28915</v>
      </c>
    </row>
    <row r="4591" spans="1:11" ht="172.8" x14ac:dyDescent="0.3">
      <c r="A4591" s="4" t="s">
        <v>7567</v>
      </c>
      <c r="B4591">
        <v>3</v>
      </c>
      <c r="C4591">
        <v>2017</v>
      </c>
      <c r="D4591" t="s">
        <v>2361</v>
      </c>
      <c r="E4591">
        <v>53</v>
      </c>
      <c r="F4591" t="s">
        <v>28916</v>
      </c>
      <c r="G4591" t="s">
        <v>28917</v>
      </c>
      <c r="H4591" s="4" t="s">
        <v>28918</v>
      </c>
      <c r="I4591" t="s">
        <v>71</v>
      </c>
      <c r="J4591" t="s">
        <v>10782</v>
      </c>
      <c r="K4591" t="s">
        <v>28919</v>
      </c>
    </row>
    <row r="4592" spans="1:11" ht="86.4" x14ac:dyDescent="0.3">
      <c r="A4592" s="4" t="s">
        <v>3377</v>
      </c>
      <c r="B4592">
        <v>1</v>
      </c>
      <c r="C4592">
        <v>2017</v>
      </c>
      <c r="D4592" t="s">
        <v>217</v>
      </c>
      <c r="E4592">
        <v>40</v>
      </c>
      <c r="F4592" t="s">
        <v>28920</v>
      </c>
      <c r="G4592" t="s">
        <v>28921</v>
      </c>
      <c r="H4592" s="4" t="s">
        <v>28922</v>
      </c>
      <c r="I4592" t="s">
        <v>71</v>
      </c>
      <c r="J4592" t="s">
        <v>10782</v>
      </c>
      <c r="K4592" t="s">
        <v>28923</v>
      </c>
    </row>
    <row r="4593" spans="1:11" ht="172.8" x14ac:dyDescent="0.3">
      <c r="A4593" s="4" t="s">
        <v>7568</v>
      </c>
      <c r="B4593">
        <v>3</v>
      </c>
      <c r="C4593">
        <v>2017</v>
      </c>
      <c r="D4593" t="s">
        <v>277</v>
      </c>
      <c r="E4593">
        <v>34</v>
      </c>
      <c r="F4593" t="s">
        <v>28924</v>
      </c>
      <c r="G4593" t="s">
        <v>28925</v>
      </c>
      <c r="H4593" s="4" t="s">
        <v>28926</v>
      </c>
      <c r="I4593" t="s">
        <v>71</v>
      </c>
      <c r="J4593" t="s">
        <v>10782</v>
      </c>
      <c r="K4593" t="s">
        <v>28927</v>
      </c>
    </row>
    <row r="4594" spans="1:11" ht="172.8" x14ac:dyDescent="0.3">
      <c r="A4594" s="4" t="s">
        <v>7569</v>
      </c>
      <c r="B4594">
        <v>3</v>
      </c>
      <c r="C4594">
        <v>2017</v>
      </c>
      <c r="D4594" t="s">
        <v>10924</v>
      </c>
      <c r="E4594">
        <v>30</v>
      </c>
      <c r="F4594" t="s">
        <v>28928</v>
      </c>
      <c r="G4594" t="s">
        <v>28929</v>
      </c>
      <c r="H4594" s="4" t="s">
        <v>28930</v>
      </c>
      <c r="I4594" t="s">
        <v>71</v>
      </c>
      <c r="J4594" t="s">
        <v>10782</v>
      </c>
      <c r="K4594" t="s">
        <v>28931</v>
      </c>
    </row>
    <row r="4595" spans="1:11" ht="158.4" x14ac:dyDescent="0.3">
      <c r="A4595" s="4" t="s">
        <v>7570</v>
      </c>
      <c r="B4595">
        <v>3</v>
      </c>
      <c r="C4595">
        <v>2017</v>
      </c>
      <c r="D4595" t="s">
        <v>637</v>
      </c>
      <c r="E4595">
        <v>32</v>
      </c>
      <c r="F4595" t="s">
        <v>28932</v>
      </c>
      <c r="G4595" t="s">
        <v>28933</v>
      </c>
      <c r="H4595" s="4" t="s">
        <v>28934</v>
      </c>
      <c r="I4595" t="s">
        <v>71</v>
      </c>
      <c r="J4595" t="s">
        <v>10782</v>
      </c>
      <c r="K4595" t="s">
        <v>28935</v>
      </c>
    </row>
    <row r="4596" spans="1:11" ht="201.6" x14ac:dyDescent="0.3">
      <c r="A4596" s="4" t="s">
        <v>7571</v>
      </c>
      <c r="B4596">
        <v>3</v>
      </c>
      <c r="C4596">
        <v>2017</v>
      </c>
      <c r="D4596" t="s">
        <v>11598</v>
      </c>
      <c r="E4596">
        <v>70</v>
      </c>
      <c r="F4596" t="s">
        <v>28936</v>
      </c>
      <c r="G4596" t="s">
        <v>28937</v>
      </c>
      <c r="H4596" s="4" t="s">
        <v>28938</v>
      </c>
      <c r="I4596" t="s">
        <v>71</v>
      </c>
      <c r="J4596" t="s">
        <v>10782</v>
      </c>
      <c r="K4596" t="s">
        <v>28939</v>
      </c>
    </row>
    <row r="4597" spans="1:11" ht="129.6" x14ac:dyDescent="0.3">
      <c r="A4597" s="4" t="s">
        <v>7572</v>
      </c>
      <c r="B4597">
        <v>3</v>
      </c>
      <c r="C4597">
        <v>2017</v>
      </c>
      <c r="D4597" t="s">
        <v>15454</v>
      </c>
      <c r="E4597">
        <v>17</v>
      </c>
      <c r="F4597" t="s">
        <v>28940</v>
      </c>
      <c r="G4597" t="s">
        <v>28941</v>
      </c>
      <c r="H4597" s="4" t="s">
        <v>28942</v>
      </c>
      <c r="I4597" t="s">
        <v>71</v>
      </c>
      <c r="J4597" t="s">
        <v>10782</v>
      </c>
      <c r="K4597" t="s">
        <v>28943</v>
      </c>
    </row>
    <row r="4598" spans="1:11" ht="158.4" x14ac:dyDescent="0.3">
      <c r="A4598" s="4" t="s">
        <v>7573</v>
      </c>
      <c r="B4598">
        <v>3</v>
      </c>
      <c r="C4598">
        <v>2017</v>
      </c>
      <c r="D4598" t="s">
        <v>385</v>
      </c>
      <c r="E4598">
        <v>37</v>
      </c>
      <c r="F4598" t="s">
        <v>28944</v>
      </c>
      <c r="G4598" t="s">
        <v>28945</v>
      </c>
      <c r="H4598" s="4" t="s">
        <v>28946</v>
      </c>
      <c r="I4598" t="s">
        <v>71</v>
      </c>
      <c r="J4598" t="s">
        <v>10782</v>
      </c>
      <c r="K4598" t="s">
        <v>28947</v>
      </c>
    </row>
    <row r="4599" spans="1:11" ht="72" x14ac:dyDescent="0.3">
      <c r="A4599" s="4" t="s">
        <v>7574</v>
      </c>
      <c r="B4599">
        <v>3</v>
      </c>
      <c r="C4599">
        <v>2017</v>
      </c>
      <c r="D4599" t="s">
        <v>23365</v>
      </c>
      <c r="E4599">
        <v>34</v>
      </c>
      <c r="F4599" t="s">
        <v>28948</v>
      </c>
      <c r="G4599" t="s">
        <v>28949</v>
      </c>
      <c r="H4599" s="4" t="s">
        <v>28950</v>
      </c>
    </row>
    <row r="4600" spans="1:11" ht="216" x14ac:dyDescent="0.3">
      <c r="A4600" s="4" t="s">
        <v>7575</v>
      </c>
      <c r="B4600">
        <v>3</v>
      </c>
      <c r="C4600">
        <v>2017</v>
      </c>
      <c r="D4600" t="s">
        <v>1759</v>
      </c>
      <c r="E4600">
        <v>49</v>
      </c>
      <c r="F4600" t="s">
        <v>28951</v>
      </c>
      <c r="G4600" t="s">
        <v>28952</v>
      </c>
      <c r="H4600" s="4" t="s">
        <v>28953</v>
      </c>
      <c r="I4600" t="s">
        <v>71</v>
      </c>
      <c r="J4600" t="s">
        <v>10782</v>
      </c>
      <c r="K4600" t="s">
        <v>28954</v>
      </c>
    </row>
    <row r="4601" spans="1:11" ht="129.6" x14ac:dyDescent="0.3">
      <c r="A4601" s="4" t="s">
        <v>7576</v>
      </c>
      <c r="B4601">
        <v>3</v>
      </c>
      <c r="C4601">
        <v>2017</v>
      </c>
      <c r="D4601" t="s">
        <v>622</v>
      </c>
      <c r="E4601">
        <v>1</v>
      </c>
      <c r="F4601" t="s">
        <v>28955</v>
      </c>
      <c r="G4601" t="s">
        <v>28956</v>
      </c>
      <c r="H4601" s="4" t="s">
        <v>28957</v>
      </c>
      <c r="I4601" t="s">
        <v>71</v>
      </c>
      <c r="J4601" t="s">
        <v>10782</v>
      </c>
      <c r="K4601" t="s">
        <v>28958</v>
      </c>
    </row>
    <row r="4602" spans="1:11" ht="100.8" x14ac:dyDescent="0.3">
      <c r="A4602" s="4" t="s">
        <v>7577</v>
      </c>
      <c r="B4602">
        <v>3</v>
      </c>
      <c r="C4602">
        <v>2017</v>
      </c>
      <c r="D4602" t="s">
        <v>16928</v>
      </c>
      <c r="E4602">
        <v>1</v>
      </c>
      <c r="F4602" t="s">
        <v>28959</v>
      </c>
      <c r="G4602" t="s">
        <v>28960</v>
      </c>
      <c r="H4602" s="4" t="s">
        <v>28961</v>
      </c>
      <c r="I4602" t="s">
        <v>71</v>
      </c>
      <c r="J4602" t="s">
        <v>10782</v>
      </c>
      <c r="K4602" t="s">
        <v>28962</v>
      </c>
    </row>
    <row r="4603" spans="1:11" ht="259.2" x14ac:dyDescent="0.3">
      <c r="A4603" s="4" t="s">
        <v>7578</v>
      </c>
      <c r="B4603">
        <v>3</v>
      </c>
      <c r="C4603">
        <v>2017</v>
      </c>
      <c r="D4603" t="s">
        <v>10057</v>
      </c>
      <c r="E4603">
        <v>86</v>
      </c>
      <c r="F4603" t="s">
        <v>28963</v>
      </c>
      <c r="G4603" t="s">
        <v>28964</v>
      </c>
      <c r="H4603" s="4" t="s">
        <v>28965</v>
      </c>
      <c r="I4603" t="s">
        <v>71</v>
      </c>
      <c r="J4603" t="s">
        <v>10782</v>
      </c>
      <c r="K4603" t="s">
        <v>28966</v>
      </c>
    </row>
    <row r="4604" spans="1:11" ht="115.2" x14ac:dyDescent="0.3">
      <c r="A4604" s="4" t="s">
        <v>7579</v>
      </c>
      <c r="B4604">
        <v>3</v>
      </c>
      <c r="C4604">
        <v>2017</v>
      </c>
      <c r="D4604" t="s">
        <v>14346</v>
      </c>
      <c r="E4604">
        <v>19</v>
      </c>
      <c r="F4604" t="s">
        <v>28967</v>
      </c>
      <c r="G4604" t="s">
        <v>28968</v>
      </c>
      <c r="H4604" s="4" t="s">
        <v>28969</v>
      </c>
    </row>
    <row r="4605" spans="1:11" ht="187.2" x14ac:dyDescent="0.3">
      <c r="A4605" s="4" t="s">
        <v>7580</v>
      </c>
      <c r="B4605">
        <v>3</v>
      </c>
      <c r="C4605">
        <v>2017</v>
      </c>
      <c r="D4605" t="s">
        <v>217</v>
      </c>
      <c r="E4605">
        <v>2</v>
      </c>
      <c r="F4605" t="s">
        <v>28970</v>
      </c>
      <c r="G4605" t="s">
        <v>28971</v>
      </c>
      <c r="H4605" s="4" t="s">
        <v>28972</v>
      </c>
      <c r="I4605" t="s">
        <v>71</v>
      </c>
      <c r="J4605" t="s">
        <v>10782</v>
      </c>
      <c r="K4605" t="s">
        <v>28973</v>
      </c>
    </row>
    <row r="4606" spans="1:11" ht="172.8" x14ac:dyDescent="0.3">
      <c r="A4606" s="4" t="s">
        <v>7581</v>
      </c>
      <c r="B4606">
        <v>3</v>
      </c>
      <c r="C4606">
        <v>2017</v>
      </c>
      <c r="D4606" t="s">
        <v>80</v>
      </c>
      <c r="E4606">
        <v>50</v>
      </c>
      <c r="F4606" t="s">
        <v>28974</v>
      </c>
      <c r="G4606" t="s">
        <v>28975</v>
      </c>
      <c r="H4606" s="4" t="s">
        <v>28976</v>
      </c>
      <c r="I4606" t="s">
        <v>71</v>
      </c>
      <c r="J4606" t="s">
        <v>10782</v>
      </c>
      <c r="K4606" t="s">
        <v>28977</v>
      </c>
    </row>
    <row r="4607" spans="1:11" ht="86.4" x14ac:dyDescent="0.3">
      <c r="A4607" s="4" t="s">
        <v>7582</v>
      </c>
      <c r="B4607">
        <v>3</v>
      </c>
      <c r="C4607">
        <v>2017</v>
      </c>
      <c r="D4607" t="s">
        <v>2853</v>
      </c>
      <c r="E4607">
        <v>7</v>
      </c>
      <c r="F4607" t="s">
        <v>28978</v>
      </c>
      <c r="G4607" t="s">
        <v>28979</v>
      </c>
      <c r="H4607" s="4" t="s">
        <v>28980</v>
      </c>
      <c r="I4607" t="s">
        <v>71</v>
      </c>
      <c r="J4607" t="s">
        <v>10782</v>
      </c>
      <c r="K4607" t="s">
        <v>28981</v>
      </c>
    </row>
    <row r="4608" spans="1:11" ht="172.8" x14ac:dyDescent="0.3">
      <c r="A4608" s="4" t="s">
        <v>7583</v>
      </c>
      <c r="B4608">
        <v>3</v>
      </c>
      <c r="C4608">
        <v>2017</v>
      </c>
      <c r="D4608" t="s">
        <v>217</v>
      </c>
      <c r="E4608">
        <v>21</v>
      </c>
      <c r="F4608" t="s">
        <v>28982</v>
      </c>
      <c r="G4608" t="s">
        <v>28983</v>
      </c>
      <c r="H4608" s="4" t="s">
        <v>28984</v>
      </c>
      <c r="I4608" t="s">
        <v>71</v>
      </c>
      <c r="J4608" t="s">
        <v>10782</v>
      </c>
      <c r="K4608" t="s">
        <v>28985</v>
      </c>
    </row>
    <row r="4609" spans="1:11" ht="144" x14ac:dyDescent="0.3">
      <c r="A4609" s="4" t="s">
        <v>7584</v>
      </c>
      <c r="B4609">
        <v>3</v>
      </c>
      <c r="C4609">
        <v>2017</v>
      </c>
      <c r="D4609" t="s">
        <v>12318</v>
      </c>
      <c r="E4609">
        <v>3</v>
      </c>
      <c r="F4609" t="s">
        <v>28986</v>
      </c>
      <c r="G4609" t="s">
        <v>28987</v>
      </c>
      <c r="H4609" s="4" t="s">
        <v>28988</v>
      </c>
      <c r="I4609" t="s">
        <v>71</v>
      </c>
      <c r="J4609" t="s">
        <v>10782</v>
      </c>
      <c r="K4609" t="s">
        <v>28989</v>
      </c>
    </row>
    <row r="4610" spans="1:11" ht="187.2" x14ac:dyDescent="0.3">
      <c r="A4610" s="4" t="s">
        <v>7585</v>
      </c>
      <c r="B4610">
        <v>3</v>
      </c>
      <c r="C4610">
        <v>2017</v>
      </c>
      <c r="D4610" t="s">
        <v>12253</v>
      </c>
      <c r="E4610">
        <v>62</v>
      </c>
      <c r="F4610" t="s">
        <v>28990</v>
      </c>
      <c r="G4610" t="s">
        <v>28991</v>
      </c>
      <c r="H4610" s="4" t="s">
        <v>28992</v>
      </c>
      <c r="I4610" t="s">
        <v>71</v>
      </c>
      <c r="J4610" t="s">
        <v>10782</v>
      </c>
      <c r="K4610" t="s">
        <v>28993</v>
      </c>
    </row>
    <row r="4611" spans="1:11" ht="216" x14ac:dyDescent="0.3">
      <c r="A4611" s="4" t="s">
        <v>7586</v>
      </c>
      <c r="B4611">
        <v>3</v>
      </c>
      <c r="C4611">
        <v>2017</v>
      </c>
      <c r="D4611" t="s">
        <v>2585</v>
      </c>
      <c r="E4611">
        <v>17</v>
      </c>
      <c r="F4611" t="s">
        <v>28994</v>
      </c>
      <c r="G4611" t="s">
        <v>28995</v>
      </c>
      <c r="H4611" s="4" t="s">
        <v>28996</v>
      </c>
      <c r="I4611" t="s">
        <v>71</v>
      </c>
      <c r="J4611" t="s">
        <v>10782</v>
      </c>
      <c r="K4611" t="s">
        <v>28997</v>
      </c>
    </row>
    <row r="4612" spans="1:11" ht="158.4" x14ac:dyDescent="0.3">
      <c r="A4612" s="4" t="s">
        <v>7587</v>
      </c>
      <c r="B4612">
        <v>3</v>
      </c>
      <c r="C4612">
        <v>2017</v>
      </c>
      <c r="D4612" t="s">
        <v>1570</v>
      </c>
      <c r="E4612">
        <v>7</v>
      </c>
      <c r="F4612" t="s">
        <v>28998</v>
      </c>
      <c r="G4612" t="s">
        <v>28999</v>
      </c>
      <c r="H4612" s="4" t="s">
        <v>29000</v>
      </c>
      <c r="I4612" t="s">
        <v>71</v>
      </c>
      <c r="J4612" t="s">
        <v>10782</v>
      </c>
      <c r="K4612" t="s">
        <v>29001</v>
      </c>
    </row>
    <row r="4613" spans="1:11" ht="158.4" x14ac:dyDescent="0.3">
      <c r="A4613" s="4" t="s">
        <v>7588</v>
      </c>
      <c r="B4613">
        <v>3</v>
      </c>
      <c r="C4613">
        <v>2017</v>
      </c>
      <c r="D4613" t="s">
        <v>12253</v>
      </c>
      <c r="E4613">
        <v>38</v>
      </c>
      <c r="F4613" t="s">
        <v>29002</v>
      </c>
      <c r="G4613" t="s">
        <v>29003</v>
      </c>
      <c r="H4613" s="4" t="s">
        <v>29004</v>
      </c>
      <c r="I4613" t="s">
        <v>71</v>
      </c>
      <c r="J4613" t="s">
        <v>10782</v>
      </c>
      <c r="K4613" t="s">
        <v>29005</v>
      </c>
    </row>
    <row r="4614" spans="1:11" ht="201.6" x14ac:dyDescent="0.3">
      <c r="A4614" s="4" t="s">
        <v>7589</v>
      </c>
      <c r="B4614">
        <v>3</v>
      </c>
      <c r="C4614">
        <v>2017</v>
      </c>
      <c r="D4614" t="s">
        <v>14623</v>
      </c>
      <c r="E4614">
        <v>30</v>
      </c>
      <c r="F4614" t="s">
        <v>29006</v>
      </c>
      <c r="G4614" t="s">
        <v>29007</v>
      </c>
      <c r="H4614" s="4" t="s">
        <v>29008</v>
      </c>
      <c r="I4614" t="s">
        <v>10823</v>
      </c>
      <c r="J4614" t="s">
        <v>10782</v>
      </c>
      <c r="K4614" t="s">
        <v>29009</v>
      </c>
    </row>
    <row r="4615" spans="1:11" ht="129.6" x14ac:dyDescent="0.3">
      <c r="A4615" s="4" t="s">
        <v>7590</v>
      </c>
      <c r="B4615">
        <v>3</v>
      </c>
      <c r="C4615">
        <v>2017</v>
      </c>
      <c r="D4615" t="s">
        <v>724</v>
      </c>
      <c r="E4615">
        <v>42</v>
      </c>
      <c r="F4615" t="s">
        <v>29010</v>
      </c>
      <c r="G4615" t="s">
        <v>29011</v>
      </c>
      <c r="H4615" s="4" t="s">
        <v>29012</v>
      </c>
      <c r="I4615" t="s">
        <v>71</v>
      </c>
      <c r="J4615" t="s">
        <v>10782</v>
      </c>
      <c r="K4615" t="s">
        <v>29013</v>
      </c>
    </row>
    <row r="4616" spans="1:11" ht="158.4" x14ac:dyDescent="0.3">
      <c r="A4616" s="4" t="s">
        <v>7591</v>
      </c>
      <c r="B4616">
        <v>3</v>
      </c>
      <c r="C4616">
        <v>2017</v>
      </c>
      <c r="D4616" t="s">
        <v>637</v>
      </c>
      <c r="E4616">
        <v>15</v>
      </c>
      <c r="F4616" t="s">
        <v>29014</v>
      </c>
      <c r="G4616" t="s">
        <v>29015</v>
      </c>
      <c r="H4616" s="4" t="s">
        <v>29016</v>
      </c>
      <c r="I4616" t="s">
        <v>71</v>
      </c>
      <c r="J4616" t="s">
        <v>10782</v>
      </c>
      <c r="K4616" t="s">
        <v>29017</v>
      </c>
    </row>
    <row r="4617" spans="1:11" ht="158.4" x14ac:dyDescent="0.3">
      <c r="A4617" s="4" t="s">
        <v>7592</v>
      </c>
      <c r="B4617">
        <v>3</v>
      </c>
      <c r="C4617">
        <v>2017</v>
      </c>
      <c r="D4617" t="s">
        <v>217</v>
      </c>
      <c r="E4617">
        <v>14</v>
      </c>
      <c r="F4617" t="s">
        <v>29018</v>
      </c>
      <c r="G4617" t="s">
        <v>29019</v>
      </c>
      <c r="H4617" s="4" t="s">
        <v>29020</v>
      </c>
    </row>
    <row r="4618" spans="1:11" ht="144" x14ac:dyDescent="0.3">
      <c r="A4618" s="4" t="s">
        <v>7593</v>
      </c>
      <c r="B4618">
        <v>3</v>
      </c>
      <c r="C4618">
        <v>2017</v>
      </c>
      <c r="D4618" t="s">
        <v>29021</v>
      </c>
      <c r="E4618">
        <v>42</v>
      </c>
      <c r="F4618" t="s">
        <v>29022</v>
      </c>
      <c r="G4618" t="s">
        <v>29023</v>
      </c>
      <c r="H4618" s="4" t="s">
        <v>29024</v>
      </c>
      <c r="I4618" t="s">
        <v>71</v>
      </c>
      <c r="J4618" t="s">
        <v>10782</v>
      </c>
      <c r="K4618" t="s">
        <v>29025</v>
      </c>
    </row>
    <row r="4619" spans="1:11" ht="216" x14ac:dyDescent="0.3">
      <c r="A4619" s="4" t="s">
        <v>7594</v>
      </c>
      <c r="B4619">
        <v>3</v>
      </c>
      <c r="C4619">
        <v>2017</v>
      </c>
      <c r="D4619" t="s">
        <v>14736</v>
      </c>
      <c r="E4619">
        <v>44</v>
      </c>
      <c r="F4619" t="s">
        <v>29026</v>
      </c>
      <c r="G4619" t="s">
        <v>29027</v>
      </c>
      <c r="H4619" s="4" t="s">
        <v>29028</v>
      </c>
      <c r="I4619" t="s">
        <v>71</v>
      </c>
      <c r="J4619" t="s">
        <v>10782</v>
      </c>
      <c r="K4619" t="s">
        <v>29029</v>
      </c>
    </row>
    <row r="4620" spans="1:11" ht="144" x14ac:dyDescent="0.3">
      <c r="A4620" s="4" t="s">
        <v>7595</v>
      </c>
      <c r="B4620">
        <v>3</v>
      </c>
      <c r="C4620">
        <v>2017</v>
      </c>
      <c r="D4620" t="s">
        <v>1877</v>
      </c>
      <c r="E4620">
        <v>12</v>
      </c>
      <c r="F4620" t="s">
        <v>29030</v>
      </c>
      <c r="G4620" t="s">
        <v>29031</v>
      </c>
      <c r="H4620" s="4" t="s">
        <v>29032</v>
      </c>
      <c r="I4620" t="s">
        <v>71</v>
      </c>
      <c r="J4620" t="s">
        <v>10782</v>
      </c>
      <c r="K4620" t="s">
        <v>29033</v>
      </c>
    </row>
    <row r="4621" spans="1:11" ht="100.8" x14ac:dyDescent="0.3">
      <c r="A4621" s="4" t="s">
        <v>7596</v>
      </c>
      <c r="B4621">
        <v>3</v>
      </c>
      <c r="C4621">
        <v>2017</v>
      </c>
      <c r="D4621" t="s">
        <v>11574</v>
      </c>
      <c r="E4621">
        <v>25</v>
      </c>
      <c r="F4621" t="s">
        <v>29034</v>
      </c>
      <c r="G4621" t="s">
        <v>29035</v>
      </c>
      <c r="H4621" s="4" t="s">
        <v>29036</v>
      </c>
    </row>
    <row r="4622" spans="1:11" ht="86.4" x14ac:dyDescent="0.3">
      <c r="A4622" s="4" t="s">
        <v>7597</v>
      </c>
      <c r="B4622">
        <v>3</v>
      </c>
      <c r="C4622">
        <v>2017</v>
      </c>
      <c r="D4622" t="s">
        <v>164</v>
      </c>
      <c r="E4622">
        <v>2</v>
      </c>
      <c r="F4622" t="s">
        <v>29037</v>
      </c>
      <c r="G4622" t="s">
        <v>29038</v>
      </c>
      <c r="H4622" s="4" t="s">
        <v>29039</v>
      </c>
      <c r="I4622" t="s">
        <v>71</v>
      </c>
      <c r="J4622" t="s">
        <v>10782</v>
      </c>
      <c r="K4622" t="s">
        <v>29040</v>
      </c>
    </row>
    <row r="4623" spans="1:11" ht="158.4" x14ac:dyDescent="0.3">
      <c r="A4623" s="4" t="s">
        <v>7598</v>
      </c>
      <c r="B4623">
        <v>3</v>
      </c>
      <c r="C4623">
        <v>2017</v>
      </c>
      <c r="D4623" t="s">
        <v>12593</v>
      </c>
      <c r="E4623">
        <v>53</v>
      </c>
      <c r="F4623" t="s">
        <v>29041</v>
      </c>
      <c r="G4623" t="s">
        <v>29042</v>
      </c>
      <c r="H4623" s="4" t="s">
        <v>29043</v>
      </c>
      <c r="I4623" t="s">
        <v>71</v>
      </c>
      <c r="J4623" t="s">
        <v>10782</v>
      </c>
      <c r="K4623" t="s">
        <v>29044</v>
      </c>
    </row>
    <row r="4624" spans="1:11" ht="172.8" x14ac:dyDescent="0.3">
      <c r="A4624" s="4" t="s">
        <v>7599</v>
      </c>
      <c r="B4624">
        <v>3</v>
      </c>
      <c r="C4624">
        <v>2017</v>
      </c>
      <c r="D4624" t="s">
        <v>1770</v>
      </c>
      <c r="E4624">
        <v>41</v>
      </c>
      <c r="F4624" t="s">
        <v>29045</v>
      </c>
      <c r="G4624" t="s">
        <v>29046</v>
      </c>
      <c r="H4624" s="4" t="s">
        <v>29047</v>
      </c>
      <c r="I4624" t="s">
        <v>71</v>
      </c>
      <c r="J4624" t="s">
        <v>10782</v>
      </c>
      <c r="K4624" t="s">
        <v>29048</v>
      </c>
    </row>
    <row r="4625" spans="1:11" ht="172.8" x14ac:dyDescent="0.3">
      <c r="A4625" s="4" t="s">
        <v>7600</v>
      </c>
      <c r="B4625">
        <v>3</v>
      </c>
      <c r="C4625">
        <v>2017</v>
      </c>
      <c r="D4625" t="s">
        <v>21027</v>
      </c>
      <c r="E4625">
        <v>33</v>
      </c>
      <c r="F4625" t="s">
        <v>29049</v>
      </c>
      <c r="G4625" t="s">
        <v>29050</v>
      </c>
      <c r="H4625" s="4" t="s">
        <v>29051</v>
      </c>
      <c r="I4625" t="s">
        <v>71</v>
      </c>
      <c r="J4625" t="s">
        <v>10782</v>
      </c>
      <c r="K4625" t="s">
        <v>29052</v>
      </c>
    </row>
    <row r="4626" spans="1:11" ht="216" x14ac:dyDescent="0.3">
      <c r="A4626" s="4" t="s">
        <v>7601</v>
      </c>
      <c r="B4626">
        <v>3</v>
      </c>
      <c r="C4626">
        <v>2017</v>
      </c>
      <c r="D4626" t="s">
        <v>29053</v>
      </c>
      <c r="E4626">
        <v>17</v>
      </c>
      <c r="F4626" t="s">
        <v>29054</v>
      </c>
      <c r="G4626" t="s">
        <v>29055</v>
      </c>
      <c r="H4626" s="4" t="s">
        <v>29056</v>
      </c>
      <c r="I4626" t="s">
        <v>71</v>
      </c>
      <c r="J4626" t="s">
        <v>10782</v>
      </c>
      <c r="K4626" t="s">
        <v>29057</v>
      </c>
    </row>
    <row r="4627" spans="1:11" ht="187.2" x14ac:dyDescent="0.3">
      <c r="A4627" s="4" t="s">
        <v>7602</v>
      </c>
      <c r="B4627">
        <v>3</v>
      </c>
      <c r="C4627">
        <v>2017</v>
      </c>
      <c r="D4627" t="s">
        <v>1746</v>
      </c>
      <c r="E4627">
        <v>45</v>
      </c>
      <c r="F4627" t="s">
        <v>29058</v>
      </c>
      <c r="G4627" t="s">
        <v>29059</v>
      </c>
      <c r="H4627" s="4" t="s">
        <v>29060</v>
      </c>
      <c r="I4627" t="s">
        <v>71</v>
      </c>
      <c r="J4627" t="s">
        <v>10782</v>
      </c>
      <c r="K4627" t="s">
        <v>29061</v>
      </c>
    </row>
    <row r="4628" spans="1:11" ht="172.8" x14ac:dyDescent="0.3">
      <c r="A4628" s="4" t="s">
        <v>7603</v>
      </c>
      <c r="B4628">
        <v>3</v>
      </c>
      <c r="C4628">
        <v>2017</v>
      </c>
      <c r="D4628" t="s">
        <v>217</v>
      </c>
      <c r="E4628">
        <v>1</v>
      </c>
      <c r="F4628" t="s">
        <v>29062</v>
      </c>
      <c r="G4628" t="s">
        <v>29063</v>
      </c>
      <c r="H4628" s="4" t="s">
        <v>29064</v>
      </c>
      <c r="I4628" t="s">
        <v>71</v>
      </c>
      <c r="J4628" t="s">
        <v>10782</v>
      </c>
      <c r="K4628" t="s">
        <v>29065</v>
      </c>
    </row>
    <row r="4629" spans="1:11" ht="201.6" x14ac:dyDescent="0.3">
      <c r="A4629" s="4" t="s">
        <v>7604</v>
      </c>
      <c r="B4629">
        <v>3</v>
      </c>
      <c r="C4629">
        <v>2017</v>
      </c>
      <c r="D4629" t="s">
        <v>1175</v>
      </c>
      <c r="E4629">
        <v>8</v>
      </c>
      <c r="F4629" t="s">
        <v>29066</v>
      </c>
      <c r="G4629" t="s">
        <v>29067</v>
      </c>
      <c r="H4629" s="4" t="s">
        <v>29068</v>
      </c>
      <c r="I4629" t="s">
        <v>71</v>
      </c>
      <c r="J4629" t="s">
        <v>10782</v>
      </c>
      <c r="K4629" t="s">
        <v>29069</v>
      </c>
    </row>
    <row r="4630" spans="1:11" ht="187.2" x14ac:dyDescent="0.3">
      <c r="A4630" s="4" t="s">
        <v>1708</v>
      </c>
      <c r="B4630">
        <v>1</v>
      </c>
      <c r="C4630">
        <v>2017</v>
      </c>
      <c r="D4630" t="s">
        <v>217</v>
      </c>
      <c r="E4630">
        <v>15</v>
      </c>
      <c r="F4630" t="s">
        <v>29070</v>
      </c>
      <c r="G4630" t="s">
        <v>29071</v>
      </c>
      <c r="H4630" s="4" t="s">
        <v>29072</v>
      </c>
      <c r="I4630" t="s">
        <v>71</v>
      </c>
      <c r="J4630" t="s">
        <v>10782</v>
      </c>
      <c r="K4630" t="s">
        <v>29073</v>
      </c>
    </row>
    <row r="4631" spans="1:11" ht="158.4" x14ac:dyDescent="0.3">
      <c r="A4631" s="4" t="s">
        <v>7605</v>
      </c>
      <c r="B4631">
        <v>3</v>
      </c>
      <c r="C4631">
        <v>2017</v>
      </c>
      <c r="D4631" t="s">
        <v>637</v>
      </c>
      <c r="E4631">
        <v>77</v>
      </c>
      <c r="F4631" t="s">
        <v>29074</v>
      </c>
      <c r="G4631" t="s">
        <v>29075</v>
      </c>
      <c r="H4631" s="4" t="s">
        <v>29076</v>
      </c>
      <c r="I4631" t="s">
        <v>71</v>
      </c>
      <c r="J4631" t="s">
        <v>10782</v>
      </c>
      <c r="K4631" t="s">
        <v>29077</v>
      </c>
    </row>
    <row r="4632" spans="1:11" ht="158.4" x14ac:dyDescent="0.3">
      <c r="A4632" s="4" t="s">
        <v>7606</v>
      </c>
      <c r="B4632">
        <v>3</v>
      </c>
      <c r="C4632">
        <v>2017</v>
      </c>
      <c r="D4632" t="s">
        <v>10971</v>
      </c>
      <c r="E4632">
        <v>10</v>
      </c>
      <c r="F4632" t="s">
        <v>29078</v>
      </c>
      <c r="G4632" t="s">
        <v>29079</v>
      </c>
      <c r="H4632" s="4" t="s">
        <v>29080</v>
      </c>
      <c r="I4632" t="s">
        <v>71</v>
      </c>
      <c r="J4632" t="s">
        <v>10782</v>
      </c>
      <c r="K4632" t="s">
        <v>29081</v>
      </c>
    </row>
    <row r="4633" spans="1:11" ht="187.2" x14ac:dyDescent="0.3">
      <c r="A4633" s="4" t="s">
        <v>3605</v>
      </c>
      <c r="B4633">
        <v>2</v>
      </c>
      <c r="C4633">
        <v>2017</v>
      </c>
      <c r="D4633" t="s">
        <v>80</v>
      </c>
      <c r="E4633">
        <v>82</v>
      </c>
      <c r="F4633" t="s">
        <v>29082</v>
      </c>
      <c r="G4633" t="s">
        <v>29083</v>
      </c>
      <c r="H4633" s="4" t="s">
        <v>29084</v>
      </c>
      <c r="I4633" t="s">
        <v>71</v>
      </c>
      <c r="J4633" t="s">
        <v>10782</v>
      </c>
      <c r="K4633" t="s">
        <v>29085</v>
      </c>
    </row>
    <row r="4634" spans="1:11" ht="144" x14ac:dyDescent="0.3">
      <c r="A4634" s="4" t="s">
        <v>7607</v>
      </c>
      <c r="B4634">
        <v>3</v>
      </c>
      <c r="C4634">
        <v>2017</v>
      </c>
      <c r="D4634" t="s">
        <v>147</v>
      </c>
      <c r="E4634">
        <v>5</v>
      </c>
      <c r="F4634" t="s">
        <v>29086</v>
      </c>
      <c r="G4634" t="s">
        <v>29087</v>
      </c>
      <c r="H4634" s="4" t="s">
        <v>29088</v>
      </c>
      <c r="I4634" t="s">
        <v>71</v>
      </c>
      <c r="J4634" t="s">
        <v>10782</v>
      </c>
      <c r="K4634" t="s">
        <v>29089</v>
      </c>
    </row>
    <row r="4635" spans="1:11" ht="230.4" x14ac:dyDescent="0.3">
      <c r="A4635" s="4" t="s">
        <v>7608</v>
      </c>
      <c r="B4635">
        <v>3</v>
      </c>
      <c r="C4635">
        <v>2017</v>
      </c>
      <c r="D4635" t="s">
        <v>177</v>
      </c>
      <c r="E4635">
        <v>4</v>
      </c>
      <c r="F4635" t="s">
        <v>29090</v>
      </c>
      <c r="G4635" t="s">
        <v>29091</v>
      </c>
      <c r="H4635" s="4" t="s">
        <v>29092</v>
      </c>
      <c r="I4635" t="s">
        <v>71</v>
      </c>
      <c r="J4635" t="s">
        <v>10782</v>
      </c>
      <c r="K4635" t="s">
        <v>29093</v>
      </c>
    </row>
    <row r="4636" spans="1:11" ht="158.4" x14ac:dyDescent="0.3">
      <c r="A4636" s="4" t="s">
        <v>7609</v>
      </c>
      <c r="B4636">
        <v>3</v>
      </c>
      <c r="C4636">
        <v>2017</v>
      </c>
      <c r="D4636" t="s">
        <v>1759</v>
      </c>
      <c r="E4636">
        <v>20</v>
      </c>
      <c r="F4636" t="s">
        <v>29094</v>
      </c>
      <c r="G4636" t="s">
        <v>29095</v>
      </c>
      <c r="H4636" s="4" t="s">
        <v>29096</v>
      </c>
      <c r="I4636" t="s">
        <v>71</v>
      </c>
      <c r="J4636" t="s">
        <v>10782</v>
      </c>
      <c r="K4636" t="s">
        <v>29097</v>
      </c>
    </row>
    <row r="4637" spans="1:11" ht="409.6" x14ac:dyDescent="0.3">
      <c r="A4637" s="4" t="s">
        <v>7610</v>
      </c>
      <c r="B4637">
        <v>3</v>
      </c>
      <c r="C4637">
        <v>2017</v>
      </c>
      <c r="D4637" t="s">
        <v>1125</v>
      </c>
      <c r="E4637">
        <v>54</v>
      </c>
      <c r="F4637" t="s">
        <v>29098</v>
      </c>
      <c r="G4637" t="s">
        <v>29099</v>
      </c>
      <c r="H4637" s="4" t="s">
        <v>29100</v>
      </c>
      <c r="I4637" t="s">
        <v>71</v>
      </c>
      <c r="J4637" t="s">
        <v>10782</v>
      </c>
      <c r="K4637" t="s">
        <v>29101</v>
      </c>
    </row>
    <row r="4638" spans="1:11" ht="144" x14ac:dyDescent="0.3">
      <c r="A4638" s="4" t="s">
        <v>7611</v>
      </c>
      <c r="B4638">
        <v>3</v>
      </c>
      <c r="C4638">
        <v>2017</v>
      </c>
      <c r="D4638" t="s">
        <v>2853</v>
      </c>
      <c r="E4638">
        <v>73</v>
      </c>
      <c r="F4638" t="s">
        <v>29102</v>
      </c>
      <c r="G4638" t="s">
        <v>29103</v>
      </c>
      <c r="H4638" s="4" t="s">
        <v>29104</v>
      </c>
      <c r="I4638" t="s">
        <v>71</v>
      </c>
      <c r="J4638" t="s">
        <v>10782</v>
      </c>
      <c r="K4638" t="s">
        <v>29105</v>
      </c>
    </row>
    <row r="4639" spans="1:11" ht="158.4" x14ac:dyDescent="0.3">
      <c r="A4639" s="4" t="s">
        <v>7612</v>
      </c>
      <c r="B4639">
        <v>3</v>
      </c>
      <c r="C4639">
        <v>2017</v>
      </c>
      <c r="D4639" t="s">
        <v>2384</v>
      </c>
      <c r="E4639">
        <v>875</v>
      </c>
      <c r="F4639" t="s">
        <v>29106</v>
      </c>
      <c r="G4639" t="s">
        <v>29107</v>
      </c>
      <c r="H4639" s="4" t="s">
        <v>29108</v>
      </c>
      <c r="I4639" t="s">
        <v>71</v>
      </c>
      <c r="J4639" t="s">
        <v>10782</v>
      </c>
      <c r="K4639" t="s">
        <v>29109</v>
      </c>
    </row>
    <row r="4640" spans="1:11" ht="100.8" x14ac:dyDescent="0.3">
      <c r="A4640" s="4" t="s">
        <v>7613</v>
      </c>
      <c r="B4640">
        <v>3</v>
      </c>
      <c r="C4640">
        <v>2017</v>
      </c>
      <c r="D4640" t="s">
        <v>29110</v>
      </c>
      <c r="E4640">
        <v>21</v>
      </c>
      <c r="F4640" t="s">
        <v>29111</v>
      </c>
      <c r="G4640" t="s">
        <v>29112</v>
      </c>
      <c r="H4640" s="4" t="s">
        <v>29113</v>
      </c>
      <c r="I4640" t="s">
        <v>71</v>
      </c>
      <c r="J4640" t="s">
        <v>10782</v>
      </c>
      <c r="K4640" t="s">
        <v>29114</v>
      </c>
    </row>
    <row r="4641" spans="1:11" ht="158.4" x14ac:dyDescent="0.3">
      <c r="A4641" s="4" t="s">
        <v>7614</v>
      </c>
      <c r="B4641">
        <v>3</v>
      </c>
      <c r="C4641">
        <v>2017</v>
      </c>
      <c r="D4641" t="s">
        <v>329</v>
      </c>
      <c r="E4641">
        <v>45</v>
      </c>
      <c r="F4641" t="s">
        <v>29115</v>
      </c>
      <c r="G4641" t="s">
        <v>29116</v>
      </c>
      <c r="H4641" s="4" t="s">
        <v>29117</v>
      </c>
      <c r="I4641" t="s">
        <v>71</v>
      </c>
      <c r="J4641" t="s">
        <v>10782</v>
      </c>
      <c r="K4641" t="s">
        <v>29118</v>
      </c>
    </row>
    <row r="4642" spans="1:11" ht="172.8" x14ac:dyDescent="0.3">
      <c r="A4642" s="4" t="s">
        <v>1709</v>
      </c>
      <c r="B4642">
        <v>1</v>
      </c>
      <c r="C4642">
        <v>2017</v>
      </c>
      <c r="D4642" t="s">
        <v>363</v>
      </c>
      <c r="E4642">
        <v>26</v>
      </c>
      <c r="F4642" t="s">
        <v>29119</v>
      </c>
      <c r="G4642" t="s">
        <v>29120</v>
      </c>
      <c r="H4642" s="4" t="s">
        <v>29121</v>
      </c>
      <c r="I4642" t="s">
        <v>71</v>
      </c>
      <c r="J4642" t="s">
        <v>10782</v>
      </c>
      <c r="K4642" t="s">
        <v>29122</v>
      </c>
    </row>
    <row r="4643" spans="1:11" ht="187.2" x14ac:dyDescent="0.3">
      <c r="A4643" s="4" t="s">
        <v>7615</v>
      </c>
      <c r="B4643">
        <v>3</v>
      </c>
      <c r="C4643">
        <v>2017</v>
      </c>
      <c r="D4643" t="s">
        <v>482</v>
      </c>
      <c r="E4643">
        <v>7</v>
      </c>
      <c r="F4643" t="s">
        <v>29123</v>
      </c>
      <c r="G4643" t="s">
        <v>29124</v>
      </c>
      <c r="H4643" s="4" t="s">
        <v>29125</v>
      </c>
    </row>
    <row r="4644" spans="1:11" ht="172.8" x14ac:dyDescent="0.3">
      <c r="A4644" s="4" t="s">
        <v>7616</v>
      </c>
      <c r="B4644">
        <v>3</v>
      </c>
      <c r="C4644">
        <v>2017</v>
      </c>
      <c r="D4644" t="s">
        <v>724</v>
      </c>
      <c r="E4644">
        <v>19</v>
      </c>
      <c r="F4644" t="s">
        <v>29126</v>
      </c>
      <c r="G4644" t="s">
        <v>29127</v>
      </c>
      <c r="H4644" s="4" t="s">
        <v>29128</v>
      </c>
      <c r="I4644" t="s">
        <v>71</v>
      </c>
      <c r="J4644" t="s">
        <v>10782</v>
      </c>
      <c r="K4644" t="s">
        <v>29129</v>
      </c>
    </row>
    <row r="4645" spans="1:11" ht="158.4" x14ac:dyDescent="0.3">
      <c r="A4645" s="4" t="s">
        <v>7617</v>
      </c>
      <c r="B4645">
        <v>3</v>
      </c>
      <c r="C4645">
        <v>2017</v>
      </c>
      <c r="D4645" t="s">
        <v>80</v>
      </c>
      <c r="E4645">
        <v>27</v>
      </c>
      <c r="F4645" t="s">
        <v>29130</v>
      </c>
      <c r="G4645" t="s">
        <v>29131</v>
      </c>
      <c r="H4645" s="4" t="s">
        <v>29132</v>
      </c>
    </row>
    <row r="4646" spans="1:11" ht="144" x14ac:dyDescent="0.3">
      <c r="A4646" s="4" t="s">
        <v>7618</v>
      </c>
      <c r="B4646">
        <v>3</v>
      </c>
      <c r="C4646">
        <v>2017</v>
      </c>
      <c r="D4646" t="s">
        <v>16879</v>
      </c>
      <c r="E4646">
        <v>17</v>
      </c>
      <c r="F4646" t="s">
        <v>29133</v>
      </c>
      <c r="G4646" t="s">
        <v>29134</v>
      </c>
      <c r="H4646" s="4" t="s">
        <v>29135</v>
      </c>
      <c r="I4646" t="s">
        <v>71</v>
      </c>
      <c r="J4646" t="s">
        <v>10782</v>
      </c>
      <c r="K4646" t="s">
        <v>29136</v>
      </c>
    </row>
    <row r="4647" spans="1:11" ht="158.4" x14ac:dyDescent="0.3">
      <c r="A4647" s="4" t="s">
        <v>7619</v>
      </c>
      <c r="B4647">
        <v>3</v>
      </c>
      <c r="C4647">
        <v>2017</v>
      </c>
      <c r="D4647" t="s">
        <v>14863</v>
      </c>
      <c r="E4647">
        <v>38</v>
      </c>
      <c r="F4647" t="s">
        <v>29137</v>
      </c>
      <c r="G4647" t="s">
        <v>29138</v>
      </c>
      <c r="H4647" s="4" t="s">
        <v>29139</v>
      </c>
      <c r="I4647" t="s">
        <v>71</v>
      </c>
      <c r="J4647" t="s">
        <v>10782</v>
      </c>
      <c r="K4647" t="s">
        <v>29140</v>
      </c>
    </row>
    <row r="4648" spans="1:11" ht="100.8" x14ac:dyDescent="0.3">
      <c r="A4648" s="4" t="s">
        <v>7620</v>
      </c>
      <c r="B4648">
        <v>3</v>
      </c>
      <c r="C4648">
        <v>2017</v>
      </c>
      <c r="D4648" t="s">
        <v>11674</v>
      </c>
      <c r="E4648">
        <v>42</v>
      </c>
      <c r="F4648" t="s">
        <v>29141</v>
      </c>
      <c r="G4648" t="s">
        <v>29142</v>
      </c>
      <c r="H4648" s="4" t="s">
        <v>29143</v>
      </c>
    </row>
    <row r="4649" spans="1:11" ht="230.4" x14ac:dyDescent="0.3">
      <c r="A4649" s="4" t="s">
        <v>3378</v>
      </c>
      <c r="B4649">
        <v>1</v>
      </c>
      <c r="C4649">
        <v>2017</v>
      </c>
      <c r="D4649" t="s">
        <v>550</v>
      </c>
      <c r="E4649">
        <v>38</v>
      </c>
      <c r="F4649" t="s">
        <v>29144</v>
      </c>
      <c r="G4649" t="s">
        <v>29145</v>
      </c>
      <c r="H4649" s="4" t="s">
        <v>29146</v>
      </c>
      <c r="I4649" t="s">
        <v>71</v>
      </c>
      <c r="J4649" t="s">
        <v>10782</v>
      </c>
      <c r="K4649" t="s">
        <v>29147</v>
      </c>
    </row>
    <row r="4650" spans="1:11" ht="187.2" x14ac:dyDescent="0.3">
      <c r="A4650" s="4" t="s">
        <v>7621</v>
      </c>
      <c r="B4650">
        <v>3</v>
      </c>
      <c r="C4650">
        <v>2017</v>
      </c>
      <c r="D4650" t="s">
        <v>21140</v>
      </c>
      <c r="E4650">
        <v>25</v>
      </c>
      <c r="F4650" t="s">
        <v>29148</v>
      </c>
      <c r="G4650" t="s">
        <v>29149</v>
      </c>
      <c r="H4650" s="4" t="s">
        <v>29150</v>
      </c>
      <c r="I4650" t="s">
        <v>71</v>
      </c>
      <c r="J4650" t="s">
        <v>10782</v>
      </c>
      <c r="K4650" t="s">
        <v>29151</v>
      </c>
    </row>
    <row r="4651" spans="1:11" ht="187.2" x14ac:dyDescent="0.3">
      <c r="A4651" s="4" t="s">
        <v>7622</v>
      </c>
      <c r="B4651">
        <v>3</v>
      </c>
      <c r="C4651">
        <v>2017</v>
      </c>
      <c r="D4651" t="s">
        <v>11432</v>
      </c>
      <c r="E4651">
        <v>45</v>
      </c>
      <c r="F4651" t="s">
        <v>29152</v>
      </c>
      <c r="G4651" t="s">
        <v>29153</v>
      </c>
      <c r="H4651" s="4" t="s">
        <v>29154</v>
      </c>
      <c r="I4651" t="s">
        <v>71</v>
      </c>
      <c r="J4651" t="s">
        <v>10782</v>
      </c>
      <c r="K4651" t="s">
        <v>29155</v>
      </c>
    </row>
    <row r="4652" spans="1:11" ht="158.4" x14ac:dyDescent="0.3">
      <c r="A4652" s="4" t="s">
        <v>7623</v>
      </c>
      <c r="B4652">
        <v>3</v>
      </c>
      <c r="C4652">
        <v>2017</v>
      </c>
      <c r="D4652" t="s">
        <v>1570</v>
      </c>
      <c r="E4652">
        <v>17</v>
      </c>
      <c r="F4652" t="s">
        <v>29156</v>
      </c>
      <c r="G4652" t="s">
        <v>29157</v>
      </c>
      <c r="H4652" s="4" t="s">
        <v>29158</v>
      </c>
      <c r="I4652" t="s">
        <v>71</v>
      </c>
      <c r="J4652" t="s">
        <v>10782</v>
      </c>
      <c r="K4652" t="s">
        <v>29159</v>
      </c>
    </row>
    <row r="4653" spans="1:11" ht="302.39999999999998" x14ac:dyDescent="0.3">
      <c r="A4653" s="4" t="s">
        <v>7624</v>
      </c>
      <c r="B4653">
        <v>3</v>
      </c>
      <c r="C4653">
        <v>2017</v>
      </c>
      <c r="D4653" t="s">
        <v>637</v>
      </c>
      <c r="E4653">
        <v>12</v>
      </c>
      <c r="F4653" t="s">
        <v>29160</v>
      </c>
      <c r="G4653" t="s">
        <v>29161</v>
      </c>
      <c r="H4653" s="4" t="s">
        <v>29162</v>
      </c>
      <c r="I4653" t="s">
        <v>71</v>
      </c>
      <c r="J4653" t="s">
        <v>10782</v>
      </c>
      <c r="K4653" t="s">
        <v>29163</v>
      </c>
    </row>
    <row r="4654" spans="1:11" ht="86.4" x14ac:dyDescent="0.3">
      <c r="A4654" s="4" t="s">
        <v>7625</v>
      </c>
      <c r="B4654">
        <v>3</v>
      </c>
      <c r="C4654">
        <v>2017</v>
      </c>
      <c r="D4654" t="s">
        <v>21103</v>
      </c>
      <c r="E4654">
        <v>13</v>
      </c>
      <c r="F4654" t="s">
        <v>29164</v>
      </c>
      <c r="G4654" t="s">
        <v>29165</v>
      </c>
      <c r="H4654" s="4" t="s">
        <v>29166</v>
      </c>
      <c r="I4654" t="s">
        <v>71</v>
      </c>
      <c r="J4654" t="s">
        <v>10782</v>
      </c>
      <c r="K4654" t="s">
        <v>29167</v>
      </c>
    </row>
    <row r="4655" spans="1:11" ht="201.6" x14ac:dyDescent="0.3">
      <c r="A4655" s="4" t="s">
        <v>7626</v>
      </c>
      <c r="B4655">
        <v>3</v>
      </c>
      <c r="C4655">
        <v>2017</v>
      </c>
      <c r="D4655" t="s">
        <v>21027</v>
      </c>
      <c r="E4655">
        <v>38</v>
      </c>
      <c r="F4655" t="s">
        <v>29168</v>
      </c>
      <c r="G4655" t="s">
        <v>29169</v>
      </c>
      <c r="H4655" s="4" t="s">
        <v>29170</v>
      </c>
      <c r="I4655" t="s">
        <v>71</v>
      </c>
      <c r="J4655" t="s">
        <v>10782</v>
      </c>
      <c r="K4655" t="s">
        <v>29171</v>
      </c>
    </row>
    <row r="4656" spans="1:11" ht="43.2" x14ac:dyDescent="0.3">
      <c r="A4656" s="4" t="s">
        <v>7627</v>
      </c>
      <c r="B4656">
        <v>3</v>
      </c>
      <c r="C4656">
        <v>2017</v>
      </c>
      <c r="D4656" t="s">
        <v>10057</v>
      </c>
      <c r="E4656">
        <v>11</v>
      </c>
      <c r="F4656" t="s">
        <v>29172</v>
      </c>
      <c r="G4656" t="s">
        <v>29173</v>
      </c>
      <c r="H4656" s="4" t="s">
        <v>29174</v>
      </c>
    </row>
    <row r="4657" spans="1:11" ht="115.2" x14ac:dyDescent="0.3">
      <c r="A4657" s="4" t="s">
        <v>7628</v>
      </c>
      <c r="B4657">
        <v>3</v>
      </c>
      <c r="C4657">
        <v>2017</v>
      </c>
      <c r="D4657" t="s">
        <v>528</v>
      </c>
      <c r="E4657">
        <v>46</v>
      </c>
      <c r="F4657" t="s">
        <v>29175</v>
      </c>
      <c r="G4657" t="s">
        <v>29176</v>
      </c>
      <c r="H4657" s="4" t="s">
        <v>29177</v>
      </c>
      <c r="I4657" t="s">
        <v>71</v>
      </c>
      <c r="J4657" t="s">
        <v>10782</v>
      </c>
      <c r="K4657" t="s">
        <v>29178</v>
      </c>
    </row>
    <row r="4658" spans="1:11" ht="144" x14ac:dyDescent="0.3">
      <c r="A4658" s="4" t="s">
        <v>7629</v>
      </c>
      <c r="B4658">
        <v>3</v>
      </c>
      <c r="C4658">
        <v>2017</v>
      </c>
      <c r="D4658" t="s">
        <v>217</v>
      </c>
      <c r="E4658">
        <v>17</v>
      </c>
      <c r="F4658" t="s">
        <v>29179</v>
      </c>
      <c r="G4658" t="s">
        <v>29180</v>
      </c>
      <c r="H4658" s="4" t="s">
        <v>29181</v>
      </c>
      <c r="I4658" t="s">
        <v>71</v>
      </c>
      <c r="J4658" t="s">
        <v>10782</v>
      </c>
      <c r="K4658" t="s">
        <v>29182</v>
      </c>
    </row>
    <row r="4659" spans="1:11" ht="216" x14ac:dyDescent="0.3">
      <c r="A4659" s="4" t="s">
        <v>3606</v>
      </c>
      <c r="B4659">
        <v>2</v>
      </c>
      <c r="C4659">
        <v>2017</v>
      </c>
      <c r="D4659" t="s">
        <v>1175</v>
      </c>
      <c r="E4659">
        <v>36</v>
      </c>
      <c r="F4659" t="s">
        <v>29183</v>
      </c>
      <c r="G4659" t="s">
        <v>29184</v>
      </c>
      <c r="H4659" s="4" t="s">
        <v>29185</v>
      </c>
      <c r="I4659" t="s">
        <v>71</v>
      </c>
      <c r="J4659" t="s">
        <v>10782</v>
      </c>
      <c r="K4659" t="s">
        <v>29186</v>
      </c>
    </row>
    <row r="4660" spans="1:11" ht="187.2" x14ac:dyDescent="0.3">
      <c r="A4660" s="4" t="s">
        <v>7630</v>
      </c>
      <c r="B4660">
        <v>3</v>
      </c>
      <c r="C4660">
        <v>2017</v>
      </c>
      <c r="D4660" t="s">
        <v>2853</v>
      </c>
      <c r="E4660">
        <v>45</v>
      </c>
      <c r="F4660" t="s">
        <v>29187</v>
      </c>
      <c r="G4660" t="s">
        <v>29188</v>
      </c>
      <c r="H4660" s="4" t="s">
        <v>29189</v>
      </c>
      <c r="I4660" t="s">
        <v>71</v>
      </c>
      <c r="J4660" t="s">
        <v>10782</v>
      </c>
      <c r="K4660" t="s">
        <v>29190</v>
      </c>
    </row>
    <row r="4661" spans="1:11" ht="115.2" x14ac:dyDescent="0.3">
      <c r="A4661" s="4" t="s">
        <v>7631</v>
      </c>
      <c r="B4661">
        <v>3</v>
      </c>
      <c r="C4661">
        <v>2017</v>
      </c>
      <c r="D4661" t="s">
        <v>1794</v>
      </c>
      <c r="E4661">
        <v>4</v>
      </c>
      <c r="F4661" t="s">
        <v>29191</v>
      </c>
      <c r="G4661" t="s">
        <v>29192</v>
      </c>
      <c r="H4661" s="4" t="s">
        <v>29193</v>
      </c>
      <c r="I4661" t="s">
        <v>71</v>
      </c>
      <c r="J4661" t="s">
        <v>10782</v>
      </c>
      <c r="K4661" t="s">
        <v>29194</v>
      </c>
    </row>
    <row r="4662" spans="1:11" ht="187.2" x14ac:dyDescent="0.3">
      <c r="A4662" s="4" t="s">
        <v>7632</v>
      </c>
      <c r="B4662">
        <v>3</v>
      </c>
      <c r="C4662">
        <v>2017</v>
      </c>
      <c r="D4662" t="s">
        <v>405</v>
      </c>
      <c r="E4662">
        <v>121</v>
      </c>
      <c r="F4662" t="s">
        <v>29195</v>
      </c>
      <c r="G4662" t="s">
        <v>29196</v>
      </c>
      <c r="H4662" s="4" t="s">
        <v>29197</v>
      </c>
      <c r="I4662" t="s">
        <v>71</v>
      </c>
      <c r="J4662" t="s">
        <v>10782</v>
      </c>
      <c r="K4662" t="s">
        <v>29198</v>
      </c>
    </row>
    <row r="4663" spans="1:11" ht="129.6" x14ac:dyDescent="0.3">
      <c r="A4663" s="4" t="s">
        <v>7633</v>
      </c>
      <c r="B4663">
        <v>3</v>
      </c>
      <c r="C4663">
        <v>2017</v>
      </c>
      <c r="D4663" t="s">
        <v>13969</v>
      </c>
      <c r="E4663">
        <v>37</v>
      </c>
      <c r="F4663" t="s">
        <v>29199</v>
      </c>
      <c r="G4663" t="s">
        <v>29200</v>
      </c>
      <c r="H4663" s="4" t="s">
        <v>29201</v>
      </c>
      <c r="I4663" t="s">
        <v>71</v>
      </c>
      <c r="J4663" t="s">
        <v>10782</v>
      </c>
      <c r="K4663" t="s">
        <v>29202</v>
      </c>
    </row>
    <row r="4664" spans="1:11" ht="129.6" x14ac:dyDescent="0.3">
      <c r="A4664" s="4" t="s">
        <v>7634</v>
      </c>
      <c r="B4664">
        <v>3</v>
      </c>
      <c r="C4664">
        <v>2017</v>
      </c>
      <c r="D4664" t="s">
        <v>147</v>
      </c>
      <c r="E4664">
        <v>39</v>
      </c>
      <c r="F4664" t="s">
        <v>29203</v>
      </c>
      <c r="G4664" t="s">
        <v>29204</v>
      </c>
      <c r="H4664" s="4" t="s">
        <v>29205</v>
      </c>
      <c r="I4664" t="s">
        <v>71</v>
      </c>
      <c r="J4664" t="s">
        <v>10782</v>
      </c>
      <c r="K4664" t="s">
        <v>29206</v>
      </c>
    </row>
    <row r="4665" spans="1:11" ht="144" x14ac:dyDescent="0.3">
      <c r="A4665" s="4" t="s">
        <v>7635</v>
      </c>
      <c r="B4665">
        <v>3</v>
      </c>
      <c r="C4665">
        <v>2017</v>
      </c>
      <c r="D4665" t="s">
        <v>21027</v>
      </c>
      <c r="E4665">
        <v>50</v>
      </c>
      <c r="F4665" t="s">
        <v>29207</v>
      </c>
      <c r="G4665" t="s">
        <v>29208</v>
      </c>
      <c r="H4665" s="4" t="s">
        <v>29209</v>
      </c>
      <c r="I4665" t="s">
        <v>71</v>
      </c>
      <c r="J4665" t="s">
        <v>10782</v>
      </c>
      <c r="K4665" t="s">
        <v>29210</v>
      </c>
    </row>
    <row r="4666" spans="1:11" ht="158.4" x14ac:dyDescent="0.3">
      <c r="A4666" s="4" t="s">
        <v>7636</v>
      </c>
      <c r="B4666">
        <v>3</v>
      </c>
      <c r="C4666">
        <v>2017</v>
      </c>
      <c r="D4666" t="s">
        <v>799</v>
      </c>
      <c r="E4666">
        <v>76</v>
      </c>
      <c r="F4666" t="s">
        <v>29211</v>
      </c>
      <c r="G4666" t="s">
        <v>29212</v>
      </c>
      <c r="H4666" s="4" t="s">
        <v>29213</v>
      </c>
      <c r="I4666" t="s">
        <v>71</v>
      </c>
      <c r="J4666" t="s">
        <v>10782</v>
      </c>
      <c r="K4666" t="s">
        <v>29214</v>
      </c>
    </row>
    <row r="4667" spans="1:11" ht="172.8" x14ac:dyDescent="0.3">
      <c r="A4667" s="4" t="s">
        <v>7637</v>
      </c>
      <c r="B4667">
        <v>3</v>
      </c>
      <c r="C4667">
        <v>2017</v>
      </c>
      <c r="D4667" t="s">
        <v>217</v>
      </c>
      <c r="E4667">
        <v>35</v>
      </c>
      <c r="F4667" t="s">
        <v>29215</v>
      </c>
      <c r="G4667" t="s">
        <v>29216</v>
      </c>
      <c r="H4667" s="4" t="s">
        <v>29217</v>
      </c>
      <c r="I4667" t="s">
        <v>71</v>
      </c>
      <c r="J4667" t="s">
        <v>10782</v>
      </c>
      <c r="K4667" t="s">
        <v>29218</v>
      </c>
    </row>
    <row r="4668" spans="1:11" ht="100.8" x14ac:dyDescent="0.3">
      <c r="A4668" s="4" t="s">
        <v>7638</v>
      </c>
      <c r="B4668">
        <v>3</v>
      </c>
      <c r="C4668">
        <v>2017</v>
      </c>
      <c r="D4668" t="s">
        <v>11414</v>
      </c>
      <c r="E4668">
        <v>7</v>
      </c>
      <c r="F4668" t="s">
        <v>29219</v>
      </c>
      <c r="G4668" t="s">
        <v>29220</v>
      </c>
      <c r="H4668" s="4" t="s">
        <v>29221</v>
      </c>
      <c r="I4668" t="s">
        <v>71</v>
      </c>
      <c r="J4668" t="s">
        <v>10782</v>
      </c>
      <c r="K4668" t="s">
        <v>29222</v>
      </c>
    </row>
    <row r="4669" spans="1:11" ht="172.8" x14ac:dyDescent="0.3">
      <c r="A4669" s="4" t="s">
        <v>7639</v>
      </c>
      <c r="B4669">
        <v>3</v>
      </c>
      <c r="C4669">
        <v>2017</v>
      </c>
      <c r="D4669" t="s">
        <v>13170</v>
      </c>
      <c r="E4669">
        <v>40</v>
      </c>
      <c r="F4669" t="s">
        <v>29223</v>
      </c>
      <c r="G4669" t="s">
        <v>29224</v>
      </c>
      <c r="H4669" s="4" t="s">
        <v>29225</v>
      </c>
      <c r="I4669" t="s">
        <v>71</v>
      </c>
      <c r="J4669" t="s">
        <v>10782</v>
      </c>
      <c r="K4669" t="s">
        <v>29226</v>
      </c>
    </row>
    <row r="4670" spans="1:11" ht="158.4" x14ac:dyDescent="0.3">
      <c r="A4670" s="4" t="s">
        <v>7640</v>
      </c>
      <c r="B4670">
        <v>3</v>
      </c>
      <c r="C4670">
        <v>2017</v>
      </c>
      <c r="D4670" t="s">
        <v>1570</v>
      </c>
      <c r="E4670">
        <v>40</v>
      </c>
      <c r="F4670" t="s">
        <v>29227</v>
      </c>
      <c r="G4670" t="s">
        <v>29228</v>
      </c>
      <c r="H4670" s="4" t="s">
        <v>29229</v>
      </c>
      <c r="I4670" t="s">
        <v>10823</v>
      </c>
      <c r="J4670" t="s">
        <v>10782</v>
      </c>
      <c r="K4670" t="s">
        <v>29230</v>
      </c>
    </row>
    <row r="4671" spans="1:11" ht="129.6" x14ac:dyDescent="0.3">
      <c r="A4671" s="4" t="s">
        <v>7641</v>
      </c>
      <c r="B4671">
        <v>3</v>
      </c>
      <c r="C4671">
        <v>2017</v>
      </c>
      <c r="D4671" t="s">
        <v>11310</v>
      </c>
      <c r="E4671">
        <v>11</v>
      </c>
      <c r="F4671" t="s">
        <v>29231</v>
      </c>
      <c r="G4671" t="s">
        <v>29232</v>
      </c>
      <c r="H4671" s="4" t="s">
        <v>29233</v>
      </c>
    </row>
    <row r="4672" spans="1:11" ht="273.60000000000002" x14ac:dyDescent="0.3">
      <c r="A4672" s="4" t="s">
        <v>7642</v>
      </c>
      <c r="B4672">
        <v>3</v>
      </c>
      <c r="C4672">
        <v>2017</v>
      </c>
      <c r="D4672" t="s">
        <v>1912</v>
      </c>
      <c r="E4672">
        <v>46</v>
      </c>
      <c r="F4672" t="s">
        <v>29234</v>
      </c>
      <c r="G4672" t="s">
        <v>29235</v>
      </c>
      <c r="H4672" s="4" t="s">
        <v>29236</v>
      </c>
      <c r="I4672" t="s">
        <v>71</v>
      </c>
      <c r="J4672" t="s">
        <v>10782</v>
      </c>
      <c r="K4672" t="s">
        <v>29237</v>
      </c>
    </row>
    <row r="4673" spans="1:11" ht="129.6" x14ac:dyDescent="0.3">
      <c r="A4673" s="4" t="s">
        <v>7643</v>
      </c>
      <c r="B4673">
        <v>3</v>
      </c>
      <c r="C4673">
        <v>2017</v>
      </c>
      <c r="D4673" t="s">
        <v>11617</v>
      </c>
      <c r="E4673">
        <v>15</v>
      </c>
      <c r="F4673" t="s">
        <v>29238</v>
      </c>
      <c r="G4673" t="s">
        <v>29239</v>
      </c>
      <c r="H4673" s="4" t="s">
        <v>29240</v>
      </c>
      <c r="I4673" t="s">
        <v>10945</v>
      </c>
      <c r="J4673" t="s">
        <v>10782</v>
      </c>
      <c r="K4673" t="s">
        <v>29241</v>
      </c>
    </row>
    <row r="4674" spans="1:11" ht="187.2" x14ac:dyDescent="0.3">
      <c r="A4674" s="4" t="s">
        <v>7644</v>
      </c>
      <c r="B4674">
        <v>3</v>
      </c>
      <c r="C4674">
        <v>2017</v>
      </c>
      <c r="D4674" t="s">
        <v>13914</v>
      </c>
      <c r="E4674">
        <v>35</v>
      </c>
      <c r="F4674" t="s">
        <v>29242</v>
      </c>
      <c r="G4674" t="s">
        <v>29243</v>
      </c>
      <c r="H4674" s="4" t="s">
        <v>29244</v>
      </c>
      <c r="I4674" t="s">
        <v>71</v>
      </c>
      <c r="J4674" t="s">
        <v>10782</v>
      </c>
      <c r="K4674" t="s">
        <v>29245</v>
      </c>
    </row>
    <row r="4675" spans="1:11" ht="100.8" x14ac:dyDescent="0.3">
      <c r="A4675" s="4" t="s">
        <v>7645</v>
      </c>
      <c r="B4675">
        <v>3</v>
      </c>
      <c r="C4675">
        <v>2017</v>
      </c>
      <c r="D4675" t="s">
        <v>11674</v>
      </c>
      <c r="E4675">
        <v>5</v>
      </c>
      <c r="F4675" t="s">
        <v>29246</v>
      </c>
      <c r="G4675" t="s">
        <v>29247</v>
      </c>
      <c r="H4675" s="4" t="s">
        <v>29248</v>
      </c>
    </row>
    <row r="4676" spans="1:11" ht="273.60000000000002" x14ac:dyDescent="0.3">
      <c r="A4676" s="4" t="s">
        <v>7646</v>
      </c>
      <c r="B4676">
        <v>3</v>
      </c>
      <c r="C4676">
        <v>2017</v>
      </c>
      <c r="D4676" t="s">
        <v>10924</v>
      </c>
      <c r="E4676">
        <v>27</v>
      </c>
      <c r="F4676" t="s">
        <v>29249</v>
      </c>
      <c r="G4676" t="s">
        <v>29250</v>
      </c>
      <c r="H4676" s="4" t="s">
        <v>29251</v>
      </c>
    </row>
    <row r="4677" spans="1:11" ht="144" x14ac:dyDescent="0.3">
      <c r="A4677" s="4" t="s">
        <v>1710</v>
      </c>
      <c r="B4677">
        <v>1</v>
      </c>
      <c r="C4677">
        <v>2017</v>
      </c>
      <c r="D4677" t="s">
        <v>1794</v>
      </c>
      <c r="E4677">
        <v>8</v>
      </c>
      <c r="F4677" t="s">
        <v>29252</v>
      </c>
      <c r="G4677" t="s">
        <v>29253</v>
      </c>
      <c r="H4677" s="4" t="s">
        <v>29254</v>
      </c>
      <c r="I4677" t="s">
        <v>71</v>
      </c>
      <c r="J4677" t="s">
        <v>10782</v>
      </c>
      <c r="K4677" t="s">
        <v>29255</v>
      </c>
    </row>
    <row r="4678" spans="1:11" ht="259.2" x14ac:dyDescent="0.3">
      <c r="A4678" s="4" t="s">
        <v>7647</v>
      </c>
      <c r="B4678">
        <v>3</v>
      </c>
      <c r="C4678">
        <v>2017</v>
      </c>
      <c r="D4678" t="s">
        <v>627</v>
      </c>
      <c r="E4678">
        <v>17</v>
      </c>
      <c r="F4678" t="s">
        <v>29256</v>
      </c>
      <c r="G4678" t="s">
        <v>29257</v>
      </c>
      <c r="H4678" s="4" t="s">
        <v>29258</v>
      </c>
      <c r="I4678" t="s">
        <v>10823</v>
      </c>
      <c r="J4678" t="s">
        <v>10782</v>
      </c>
      <c r="K4678" t="s">
        <v>29259</v>
      </c>
    </row>
    <row r="4679" spans="1:11" ht="144" x14ac:dyDescent="0.3">
      <c r="A4679" s="4" t="s">
        <v>7648</v>
      </c>
      <c r="B4679">
        <v>3</v>
      </c>
      <c r="C4679">
        <v>2017</v>
      </c>
      <c r="D4679" t="s">
        <v>25039</v>
      </c>
      <c r="E4679">
        <v>74</v>
      </c>
      <c r="G4679" t="s">
        <v>29260</v>
      </c>
      <c r="H4679" s="4" t="s">
        <v>29261</v>
      </c>
      <c r="I4679" s="4" t="s">
        <v>71</v>
      </c>
      <c r="J4679" t="s">
        <v>10782</v>
      </c>
      <c r="K4679" t="s">
        <v>29262</v>
      </c>
    </row>
    <row r="4680" spans="1:11" ht="230.4" x14ac:dyDescent="0.3">
      <c r="A4680" s="4" t="s">
        <v>7649</v>
      </c>
      <c r="B4680">
        <v>3</v>
      </c>
      <c r="C4680">
        <v>2017</v>
      </c>
      <c r="D4680" t="s">
        <v>11674</v>
      </c>
      <c r="E4680">
        <v>16</v>
      </c>
      <c r="F4680" t="s">
        <v>29263</v>
      </c>
      <c r="G4680" t="s">
        <v>29264</v>
      </c>
      <c r="H4680" s="4" t="s">
        <v>29265</v>
      </c>
      <c r="I4680" t="s">
        <v>71</v>
      </c>
      <c r="J4680" t="s">
        <v>10782</v>
      </c>
      <c r="K4680" t="s">
        <v>29266</v>
      </c>
    </row>
    <row r="4681" spans="1:11" ht="172.8" x14ac:dyDescent="0.3">
      <c r="A4681" s="4" t="s">
        <v>7650</v>
      </c>
      <c r="B4681">
        <v>3</v>
      </c>
      <c r="C4681">
        <v>2017</v>
      </c>
      <c r="D4681" t="s">
        <v>25007</v>
      </c>
      <c r="E4681">
        <v>14</v>
      </c>
      <c r="F4681" t="s">
        <v>29267</v>
      </c>
      <c r="G4681" t="s">
        <v>29268</v>
      </c>
      <c r="H4681" s="4" t="s">
        <v>29269</v>
      </c>
      <c r="I4681" t="s">
        <v>71</v>
      </c>
      <c r="J4681" t="s">
        <v>10782</v>
      </c>
      <c r="K4681" t="s">
        <v>29270</v>
      </c>
    </row>
    <row r="4682" spans="1:11" ht="187.2" x14ac:dyDescent="0.3">
      <c r="A4682" s="4" t="s">
        <v>1711</v>
      </c>
      <c r="B4682">
        <v>1</v>
      </c>
      <c r="C4682">
        <v>2017</v>
      </c>
      <c r="D4682" t="s">
        <v>147</v>
      </c>
      <c r="E4682">
        <v>79</v>
      </c>
      <c r="F4682" t="s">
        <v>29271</v>
      </c>
      <c r="G4682" t="s">
        <v>29272</v>
      </c>
      <c r="H4682" s="4" t="s">
        <v>29273</v>
      </c>
      <c r="I4682" t="s">
        <v>71</v>
      </c>
      <c r="J4682" t="s">
        <v>10782</v>
      </c>
      <c r="K4682" t="s">
        <v>29274</v>
      </c>
    </row>
    <row r="4683" spans="1:11" ht="172.8" x14ac:dyDescent="0.3">
      <c r="A4683" s="4" t="s">
        <v>7651</v>
      </c>
      <c r="B4683">
        <v>3</v>
      </c>
      <c r="C4683">
        <v>2017</v>
      </c>
      <c r="D4683" t="s">
        <v>25039</v>
      </c>
      <c r="E4683">
        <v>22</v>
      </c>
      <c r="G4683" t="s">
        <v>29275</v>
      </c>
      <c r="H4683" s="4" t="s">
        <v>29276</v>
      </c>
      <c r="I4683" s="4" t="s">
        <v>71</v>
      </c>
      <c r="J4683" t="s">
        <v>10782</v>
      </c>
      <c r="K4683" t="s">
        <v>29277</v>
      </c>
    </row>
    <row r="4684" spans="1:11" ht="273.60000000000002" x14ac:dyDescent="0.3">
      <c r="A4684" s="4" t="s">
        <v>7652</v>
      </c>
      <c r="B4684">
        <v>3</v>
      </c>
      <c r="C4684">
        <v>2017</v>
      </c>
      <c r="D4684" t="s">
        <v>21027</v>
      </c>
      <c r="E4684">
        <v>10</v>
      </c>
      <c r="F4684" t="s">
        <v>29278</v>
      </c>
      <c r="G4684" t="s">
        <v>29279</v>
      </c>
      <c r="H4684" s="4" t="s">
        <v>29280</v>
      </c>
    </row>
    <row r="4685" spans="1:11" ht="144" x14ac:dyDescent="0.3">
      <c r="A4685" s="4" t="s">
        <v>1713</v>
      </c>
      <c r="B4685">
        <v>1</v>
      </c>
      <c r="C4685">
        <v>2017</v>
      </c>
      <c r="D4685" t="s">
        <v>217</v>
      </c>
      <c r="E4685">
        <v>5</v>
      </c>
      <c r="F4685" t="s">
        <v>29281</v>
      </c>
      <c r="G4685" t="s">
        <v>29282</v>
      </c>
      <c r="H4685" s="4" t="s">
        <v>29283</v>
      </c>
      <c r="I4685" t="s">
        <v>71</v>
      </c>
      <c r="J4685" t="s">
        <v>10782</v>
      </c>
      <c r="K4685" t="s">
        <v>29284</v>
      </c>
    </row>
    <row r="4686" spans="1:11" ht="158.4" x14ac:dyDescent="0.3">
      <c r="A4686" s="4" t="s">
        <v>7653</v>
      </c>
      <c r="B4686">
        <v>3</v>
      </c>
      <c r="C4686">
        <v>2017</v>
      </c>
      <c r="D4686" t="s">
        <v>637</v>
      </c>
      <c r="E4686">
        <v>5</v>
      </c>
      <c r="F4686" t="s">
        <v>29285</v>
      </c>
      <c r="G4686" t="s">
        <v>29286</v>
      </c>
      <c r="H4686" s="4" t="s">
        <v>29287</v>
      </c>
      <c r="I4686" t="s">
        <v>71</v>
      </c>
      <c r="J4686" t="s">
        <v>10782</v>
      </c>
      <c r="K4686" t="s">
        <v>29288</v>
      </c>
    </row>
    <row r="4687" spans="1:11" ht="158.4" x14ac:dyDescent="0.3">
      <c r="A4687" s="4" t="s">
        <v>7654</v>
      </c>
      <c r="B4687">
        <v>3</v>
      </c>
      <c r="C4687">
        <v>2017</v>
      </c>
      <c r="D4687" t="s">
        <v>147</v>
      </c>
      <c r="E4687">
        <v>6</v>
      </c>
      <c r="F4687" t="s">
        <v>29289</v>
      </c>
      <c r="G4687" t="s">
        <v>29290</v>
      </c>
      <c r="H4687" s="4" t="s">
        <v>29291</v>
      </c>
      <c r="I4687" t="s">
        <v>71</v>
      </c>
      <c r="J4687" t="s">
        <v>10782</v>
      </c>
      <c r="K4687" t="s">
        <v>29292</v>
      </c>
    </row>
    <row r="4688" spans="1:11" ht="201.6" x14ac:dyDescent="0.3">
      <c r="A4688" s="4" t="s">
        <v>7655</v>
      </c>
      <c r="B4688">
        <v>3</v>
      </c>
      <c r="C4688">
        <v>2017</v>
      </c>
      <c r="D4688" t="s">
        <v>29293</v>
      </c>
      <c r="E4688">
        <v>10</v>
      </c>
      <c r="F4688" t="s">
        <v>29294</v>
      </c>
      <c r="G4688" t="s">
        <v>29295</v>
      </c>
      <c r="H4688" s="4" t="s">
        <v>29296</v>
      </c>
      <c r="I4688" t="s">
        <v>71</v>
      </c>
      <c r="J4688" t="s">
        <v>10782</v>
      </c>
      <c r="K4688" t="s">
        <v>29297</v>
      </c>
    </row>
    <row r="4689" spans="1:11" ht="187.2" x14ac:dyDescent="0.3">
      <c r="A4689" s="4" t="s">
        <v>7656</v>
      </c>
      <c r="B4689">
        <v>3</v>
      </c>
      <c r="C4689">
        <v>2017</v>
      </c>
      <c r="D4689" t="s">
        <v>1525</v>
      </c>
      <c r="E4689">
        <v>140</v>
      </c>
      <c r="F4689" t="s">
        <v>29298</v>
      </c>
      <c r="G4689" t="s">
        <v>29299</v>
      </c>
      <c r="H4689" s="4" t="s">
        <v>29300</v>
      </c>
      <c r="I4689" t="s">
        <v>10823</v>
      </c>
      <c r="J4689" t="s">
        <v>10782</v>
      </c>
      <c r="K4689" t="s">
        <v>29301</v>
      </c>
    </row>
    <row r="4690" spans="1:11" ht="115.2" x14ac:dyDescent="0.3">
      <c r="A4690" s="4" t="s">
        <v>7657</v>
      </c>
      <c r="B4690">
        <v>3</v>
      </c>
      <c r="C4690">
        <v>2017</v>
      </c>
      <c r="D4690" t="s">
        <v>17487</v>
      </c>
      <c r="E4690">
        <v>39</v>
      </c>
      <c r="F4690" t="s">
        <v>29302</v>
      </c>
      <c r="G4690" t="s">
        <v>29303</v>
      </c>
      <c r="H4690" s="4" t="s">
        <v>29304</v>
      </c>
      <c r="I4690" t="s">
        <v>71</v>
      </c>
      <c r="J4690" t="s">
        <v>10782</v>
      </c>
      <c r="K4690" t="s">
        <v>29305</v>
      </c>
    </row>
    <row r="4691" spans="1:11" ht="201.6" x14ac:dyDescent="0.3">
      <c r="A4691" s="4" t="s">
        <v>7658</v>
      </c>
      <c r="B4691">
        <v>3</v>
      </c>
      <c r="C4691">
        <v>2017</v>
      </c>
      <c r="D4691" t="s">
        <v>637</v>
      </c>
      <c r="E4691">
        <v>25</v>
      </c>
      <c r="F4691" t="s">
        <v>29306</v>
      </c>
      <c r="G4691" t="s">
        <v>29307</v>
      </c>
      <c r="H4691" s="4" t="s">
        <v>29308</v>
      </c>
      <c r="I4691" t="s">
        <v>71</v>
      </c>
      <c r="J4691" t="s">
        <v>10782</v>
      </c>
      <c r="K4691" t="s">
        <v>29309</v>
      </c>
    </row>
    <row r="4692" spans="1:11" ht="115.2" x14ac:dyDescent="0.3">
      <c r="A4692" s="4" t="s">
        <v>1712</v>
      </c>
      <c r="B4692">
        <v>1</v>
      </c>
      <c r="C4692">
        <v>2017</v>
      </c>
      <c r="D4692" t="s">
        <v>1802</v>
      </c>
      <c r="E4692">
        <v>14</v>
      </c>
      <c r="F4692" t="s">
        <v>29310</v>
      </c>
      <c r="G4692" t="s">
        <v>29311</v>
      </c>
      <c r="H4692" s="4" t="s">
        <v>29312</v>
      </c>
      <c r="I4692" t="s">
        <v>71</v>
      </c>
      <c r="J4692" t="s">
        <v>10782</v>
      </c>
      <c r="K4692" t="s">
        <v>29313</v>
      </c>
    </row>
    <row r="4693" spans="1:11" ht="187.2" x14ac:dyDescent="0.3">
      <c r="A4693" s="4" t="s">
        <v>7659</v>
      </c>
      <c r="B4693">
        <v>3</v>
      </c>
      <c r="C4693">
        <v>2017</v>
      </c>
      <c r="D4693" t="s">
        <v>22707</v>
      </c>
      <c r="E4693">
        <v>7</v>
      </c>
      <c r="F4693" t="s">
        <v>29314</v>
      </c>
      <c r="G4693" t="s">
        <v>29315</v>
      </c>
      <c r="H4693" s="4" t="s">
        <v>29316</v>
      </c>
      <c r="I4693" t="s">
        <v>71</v>
      </c>
      <c r="J4693" t="s">
        <v>10782</v>
      </c>
      <c r="K4693" t="s">
        <v>29317</v>
      </c>
    </row>
    <row r="4694" spans="1:11" ht="129.6" x14ac:dyDescent="0.3">
      <c r="A4694" s="4" t="s">
        <v>7660</v>
      </c>
      <c r="B4694">
        <v>3</v>
      </c>
      <c r="C4694">
        <v>2017</v>
      </c>
      <c r="D4694" t="s">
        <v>2853</v>
      </c>
      <c r="E4694">
        <v>27</v>
      </c>
      <c r="F4694" t="s">
        <v>29318</v>
      </c>
      <c r="G4694" t="s">
        <v>29319</v>
      </c>
      <c r="H4694" s="4" t="s">
        <v>29320</v>
      </c>
    </row>
    <row r="4695" spans="1:11" ht="129.6" x14ac:dyDescent="0.3">
      <c r="A4695" s="4" t="s">
        <v>7661</v>
      </c>
      <c r="B4695">
        <v>3</v>
      </c>
      <c r="C4695">
        <v>2017</v>
      </c>
      <c r="D4695" t="s">
        <v>147</v>
      </c>
      <c r="E4695">
        <v>69</v>
      </c>
      <c r="F4695" t="s">
        <v>29321</v>
      </c>
      <c r="G4695" t="s">
        <v>29322</v>
      </c>
      <c r="H4695" s="4" t="s">
        <v>29323</v>
      </c>
    </row>
    <row r="4696" spans="1:11" ht="158.4" x14ac:dyDescent="0.3">
      <c r="A4696" s="4" t="s">
        <v>7662</v>
      </c>
      <c r="B4696">
        <v>3</v>
      </c>
      <c r="C4696">
        <v>2017</v>
      </c>
      <c r="D4696" t="s">
        <v>12677</v>
      </c>
      <c r="E4696">
        <v>39</v>
      </c>
      <c r="F4696" t="s">
        <v>29324</v>
      </c>
      <c r="G4696" t="s">
        <v>29325</v>
      </c>
      <c r="H4696" s="4" t="s">
        <v>29326</v>
      </c>
      <c r="I4696" t="s">
        <v>71</v>
      </c>
      <c r="J4696" t="s">
        <v>10782</v>
      </c>
      <c r="K4696" t="s">
        <v>29327</v>
      </c>
    </row>
    <row r="4697" spans="1:11" ht="144" x14ac:dyDescent="0.3">
      <c r="A4697" s="4" t="s">
        <v>7663</v>
      </c>
      <c r="B4697">
        <v>3</v>
      </c>
      <c r="C4697">
        <v>2017</v>
      </c>
      <c r="D4697" t="s">
        <v>19720</v>
      </c>
      <c r="E4697">
        <v>1</v>
      </c>
      <c r="F4697" t="s">
        <v>29328</v>
      </c>
      <c r="G4697" t="s">
        <v>29329</v>
      </c>
      <c r="H4697" s="4" t="s">
        <v>29330</v>
      </c>
      <c r="I4697" t="s">
        <v>71</v>
      </c>
      <c r="J4697" t="s">
        <v>10782</v>
      </c>
      <c r="K4697" t="s">
        <v>29331</v>
      </c>
    </row>
    <row r="4698" spans="1:11" x14ac:dyDescent="0.3">
      <c r="A4698" s="4" t="s">
        <v>7664</v>
      </c>
      <c r="B4698">
        <v>3</v>
      </c>
      <c r="C4698">
        <v>2017</v>
      </c>
      <c r="D4698" t="s">
        <v>29332</v>
      </c>
      <c r="E4698">
        <v>0</v>
      </c>
      <c r="F4698" t="s">
        <v>29333</v>
      </c>
      <c r="G4698" t="s">
        <v>29334</v>
      </c>
    </row>
    <row r="4699" spans="1:11" ht="144" x14ac:dyDescent="0.3">
      <c r="A4699" s="4" t="s">
        <v>7665</v>
      </c>
      <c r="B4699">
        <v>3</v>
      </c>
      <c r="C4699">
        <v>2017</v>
      </c>
      <c r="D4699" t="s">
        <v>177</v>
      </c>
      <c r="E4699">
        <v>17</v>
      </c>
      <c r="F4699" t="s">
        <v>29335</v>
      </c>
      <c r="G4699" t="s">
        <v>29336</v>
      </c>
      <c r="H4699" s="4" t="s">
        <v>29337</v>
      </c>
      <c r="I4699" t="s">
        <v>71</v>
      </c>
      <c r="J4699" t="s">
        <v>10782</v>
      </c>
      <c r="K4699" t="s">
        <v>29338</v>
      </c>
    </row>
    <row r="4700" spans="1:11" ht="158.4" x14ac:dyDescent="0.3">
      <c r="A4700" s="4" t="s">
        <v>7666</v>
      </c>
      <c r="B4700">
        <v>3</v>
      </c>
      <c r="C4700">
        <v>2017</v>
      </c>
      <c r="D4700" t="s">
        <v>13865</v>
      </c>
      <c r="E4700">
        <v>10</v>
      </c>
      <c r="F4700" t="s">
        <v>29339</v>
      </c>
      <c r="G4700" t="s">
        <v>29340</v>
      </c>
      <c r="H4700" s="4" t="s">
        <v>29341</v>
      </c>
      <c r="I4700" t="s">
        <v>71</v>
      </c>
      <c r="J4700" t="s">
        <v>10782</v>
      </c>
      <c r="K4700" t="s">
        <v>29342</v>
      </c>
    </row>
    <row r="4701" spans="1:11" ht="72" x14ac:dyDescent="0.3">
      <c r="A4701" s="4" t="s">
        <v>7667</v>
      </c>
      <c r="B4701">
        <v>3</v>
      </c>
      <c r="C4701">
        <v>2017</v>
      </c>
      <c r="D4701" t="s">
        <v>29343</v>
      </c>
      <c r="E4701">
        <v>0</v>
      </c>
      <c r="F4701" t="s">
        <v>29344</v>
      </c>
      <c r="G4701" t="s">
        <v>29345</v>
      </c>
      <c r="H4701" s="4" t="s">
        <v>17311</v>
      </c>
      <c r="I4701" t="s">
        <v>71</v>
      </c>
      <c r="J4701" t="s">
        <v>10782</v>
      </c>
      <c r="K4701" t="s">
        <v>29346</v>
      </c>
    </row>
    <row r="4702" spans="1:11" ht="259.2" x14ac:dyDescent="0.3">
      <c r="A4702" s="4" t="s">
        <v>7668</v>
      </c>
      <c r="B4702">
        <v>3</v>
      </c>
      <c r="C4702">
        <v>2017</v>
      </c>
      <c r="D4702" t="s">
        <v>11432</v>
      </c>
      <c r="E4702">
        <v>17</v>
      </c>
      <c r="F4702" t="s">
        <v>29347</v>
      </c>
      <c r="G4702" t="s">
        <v>29348</v>
      </c>
      <c r="H4702" s="4" t="s">
        <v>29349</v>
      </c>
      <c r="I4702" t="s">
        <v>71</v>
      </c>
      <c r="J4702" t="s">
        <v>10782</v>
      </c>
      <c r="K4702" t="s">
        <v>29350</v>
      </c>
    </row>
    <row r="4703" spans="1:11" ht="144" x14ac:dyDescent="0.3">
      <c r="A4703" s="4" t="s">
        <v>7669</v>
      </c>
      <c r="B4703">
        <v>3</v>
      </c>
      <c r="C4703">
        <v>2017</v>
      </c>
      <c r="D4703" t="s">
        <v>14061</v>
      </c>
      <c r="E4703">
        <v>18</v>
      </c>
      <c r="F4703" t="s">
        <v>29351</v>
      </c>
      <c r="G4703" t="s">
        <v>29352</v>
      </c>
      <c r="H4703" s="4" t="s">
        <v>29353</v>
      </c>
      <c r="I4703" t="s">
        <v>71</v>
      </c>
      <c r="J4703" t="s">
        <v>10782</v>
      </c>
      <c r="K4703" t="s">
        <v>29354</v>
      </c>
    </row>
    <row r="4704" spans="1:11" ht="216" x14ac:dyDescent="0.3">
      <c r="A4704" s="4" t="s">
        <v>7670</v>
      </c>
      <c r="B4704">
        <v>3</v>
      </c>
      <c r="C4704">
        <v>2017</v>
      </c>
      <c r="D4704" t="s">
        <v>398</v>
      </c>
      <c r="E4704">
        <v>9</v>
      </c>
      <c r="F4704" t="s">
        <v>29355</v>
      </c>
      <c r="G4704" t="s">
        <v>29356</v>
      </c>
      <c r="H4704" s="4" t="s">
        <v>29357</v>
      </c>
      <c r="I4704" t="s">
        <v>71</v>
      </c>
      <c r="J4704" t="s">
        <v>10782</v>
      </c>
      <c r="K4704" t="s">
        <v>29358</v>
      </c>
    </row>
    <row r="4705" spans="1:11" ht="144" x14ac:dyDescent="0.3">
      <c r="A4705" s="4" t="s">
        <v>7671</v>
      </c>
      <c r="B4705">
        <v>3</v>
      </c>
      <c r="C4705">
        <v>2017</v>
      </c>
      <c r="D4705" t="s">
        <v>29359</v>
      </c>
      <c r="E4705">
        <v>0</v>
      </c>
      <c r="G4705" t="s">
        <v>29360</v>
      </c>
      <c r="H4705" s="4" t="s">
        <v>29361</v>
      </c>
      <c r="I4705" s="4"/>
    </row>
    <row r="4706" spans="1:11" ht="216" x14ac:dyDescent="0.3">
      <c r="A4706" s="4" t="s">
        <v>7672</v>
      </c>
      <c r="B4706">
        <v>3</v>
      </c>
      <c r="C4706">
        <v>2017</v>
      </c>
      <c r="D4706" t="s">
        <v>1002</v>
      </c>
      <c r="E4706">
        <v>70</v>
      </c>
      <c r="F4706" t="s">
        <v>29362</v>
      </c>
      <c r="G4706" t="s">
        <v>29363</v>
      </c>
      <c r="H4706" s="4" t="s">
        <v>29364</v>
      </c>
      <c r="I4706" t="s">
        <v>71</v>
      </c>
      <c r="J4706" t="s">
        <v>10782</v>
      </c>
      <c r="K4706" t="s">
        <v>29365</v>
      </c>
    </row>
    <row r="4707" spans="1:11" ht="172.8" x14ac:dyDescent="0.3">
      <c r="A4707" s="4" t="s">
        <v>1714</v>
      </c>
      <c r="B4707">
        <v>1</v>
      </c>
      <c r="C4707">
        <v>2017</v>
      </c>
      <c r="D4707" t="s">
        <v>405</v>
      </c>
      <c r="E4707">
        <v>81</v>
      </c>
      <c r="F4707" t="s">
        <v>29366</v>
      </c>
      <c r="G4707" t="s">
        <v>29367</v>
      </c>
      <c r="H4707" s="4" t="s">
        <v>29368</v>
      </c>
      <c r="I4707" t="s">
        <v>71</v>
      </c>
      <c r="J4707" t="s">
        <v>10782</v>
      </c>
      <c r="K4707" t="s">
        <v>29369</v>
      </c>
    </row>
    <row r="4708" spans="1:11" ht="43.2" x14ac:dyDescent="0.3">
      <c r="A4708" s="4" t="s">
        <v>7673</v>
      </c>
      <c r="B4708">
        <v>3</v>
      </c>
      <c r="C4708">
        <v>2017</v>
      </c>
      <c r="D4708" t="s">
        <v>10057</v>
      </c>
      <c r="E4708">
        <v>46</v>
      </c>
      <c r="F4708" t="s">
        <v>29370</v>
      </c>
      <c r="G4708" t="s">
        <v>29371</v>
      </c>
      <c r="H4708" s="4" t="s">
        <v>29372</v>
      </c>
    </row>
    <row r="4709" spans="1:11" ht="28.8" x14ac:dyDescent="0.3">
      <c r="A4709" s="4" t="s">
        <v>7674</v>
      </c>
      <c r="B4709">
        <v>3</v>
      </c>
      <c r="C4709">
        <v>2017</v>
      </c>
      <c r="D4709" t="s">
        <v>1570</v>
      </c>
      <c r="E4709">
        <v>14</v>
      </c>
      <c r="F4709" t="s">
        <v>29373</v>
      </c>
      <c r="G4709" t="s">
        <v>29374</v>
      </c>
      <c r="H4709" s="4" t="s">
        <v>29375</v>
      </c>
    </row>
    <row r="4710" spans="1:11" ht="216" x14ac:dyDescent="0.3">
      <c r="A4710" s="4" t="s">
        <v>7675</v>
      </c>
      <c r="B4710">
        <v>3</v>
      </c>
      <c r="C4710">
        <v>2017</v>
      </c>
      <c r="D4710" t="s">
        <v>11041</v>
      </c>
      <c r="E4710">
        <v>34</v>
      </c>
      <c r="F4710" t="s">
        <v>29376</v>
      </c>
      <c r="G4710" t="s">
        <v>29377</v>
      </c>
      <c r="H4710" s="4" t="s">
        <v>29378</v>
      </c>
      <c r="I4710" t="s">
        <v>71</v>
      </c>
      <c r="J4710" t="s">
        <v>10782</v>
      </c>
      <c r="K4710" t="s">
        <v>29379</v>
      </c>
    </row>
    <row r="4711" spans="1:11" ht="43.2" x14ac:dyDescent="0.3">
      <c r="A4711" s="4" t="s">
        <v>7676</v>
      </c>
      <c r="B4711">
        <v>3</v>
      </c>
      <c r="C4711">
        <v>2017</v>
      </c>
      <c r="D4711" t="s">
        <v>13865</v>
      </c>
      <c r="E4711">
        <v>30</v>
      </c>
      <c r="F4711" t="s">
        <v>29380</v>
      </c>
      <c r="G4711" t="s">
        <v>29381</v>
      </c>
      <c r="H4711" s="4" t="s">
        <v>29382</v>
      </c>
    </row>
    <row r="4712" spans="1:11" ht="115.2" x14ac:dyDescent="0.3">
      <c r="A4712" s="4" t="s">
        <v>7677</v>
      </c>
      <c r="B4712">
        <v>3</v>
      </c>
      <c r="C4712">
        <v>2017</v>
      </c>
      <c r="D4712" t="s">
        <v>385</v>
      </c>
      <c r="E4712">
        <v>55</v>
      </c>
      <c r="F4712" t="s">
        <v>29383</v>
      </c>
      <c r="G4712" t="s">
        <v>29384</v>
      </c>
      <c r="H4712" s="4" t="s">
        <v>29385</v>
      </c>
      <c r="I4712" t="s">
        <v>71</v>
      </c>
      <c r="J4712" t="s">
        <v>10782</v>
      </c>
      <c r="K4712" t="s">
        <v>29386</v>
      </c>
    </row>
    <row r="4713" spans="1:11" ht="115.2" x14ac:dyDescent="0.3">
      <c r="A4713" s="4" t="s">
        <v>7678</v>
      </c>
      <c r="B4713">
        <v>3</v>
      </c>
      <c r="C4713">
        <v>2017</v>
      </c>
      <c r="D4713" t="s">
        <v>29387</v>
      </c>
      <c r="E4713">
        <v>35</v>
      </c>
      <c r="F4713" t="s">
        <v>29388</v>
      </c>
      <c r="G4713" t="s">
        <v>29389</v>
      </c>
      <c r="H4713" s="4" t="s">
        <v>29390</v>
      </c>
      <c r="I4713" t="s">
        <v>71</v>
      </c>
      <c r="J4713" t="s">
        <v>10782</v>
      </c>
      <c r="K4713" t="s">
        <v>29391</v>
      </c>
    </row>
    <row r="4714" spans="1:11" ht="129.6" x14ac:dyDescent="0.3">
      <c r="A4714" s="4" t="s">
        <v>3607</v>
      </c>
      <c r="B4714">
        <v>2</v>
      </c>
      <c r="C4714">
        <v>2017</v>
      </c>
      <c r="D4714" t="s">
        <v>1426</v>
      </c>
      <c r="E4714">
        <v>186</v>
      </c>
      <c r="F4714" t="s">
        <v>29392</v>
      </c>
      <c r="G4714" t="s">
        <v>29393</v>
      </c>
      <c r="H4714" s="4" t="s">
        <v>29394</v>
      </c>
      <c r="I4714" t="s">
        <v>71</v>
      </c>
      <c r="J4714" t="s">
        <v>10782</v>
      </c>
      <c r="K4714" t="s">
        <v>29395</v>
      </c>
    </row>
    <row r="4715" spans="1:11" ht="172.8" x14ac:dyDescent="0.3">
      <c r="A4715" s="4" t="s">
        <v>2933</v>
      </c>
      <c r="B4715">
        <v>2</v>
      </c>
      <c r="C4715">
        <v>2017</v>
      </c>
      <c r="D4715" t="s">
        <v>217</v>
      </c>
      <c r="E4715">
        <v>9</v>
      </c>
      <c r="F4715" t="s">
        <v>29396</v>
      </c>
      <c r="G4715" t="s">
        <v>29397</v>
      </c>
      <c r="H4715" s="4" t="s">
        <v>29398</v>
      </c>
      <c r="I4715" t="s">
        <v>71</v>
      </c>
      <c r="J4715" t="s">
        <v>10782</v>
      </c>
      <c r="K4715" t="s">
        <v>29399</v>
      </c>
    </row>
    <row r="4716" spans="1:11" ht="144" x14ac:dyDescent="0.3">
      <c r="A4716" s="4" t="s">
        <v>7679</v>
      </c>
      <c r="B4716">
        <v>3</v>
      </c>
      <c r="C4716">
        <v>2017</v>
      </c>
      <c r="D4716" t="s">
        <v>405</v>
      </c>
      <c r="E4716">
        <v>181</v>
      </c>
      <c r="F4716" t="s">
        <v>29400</v>
      </c>
      <c r="G4716" t="s">
        <v>29401</v>
      </c>
      <c r="H4716" s="4" t="s">
        <v>29402</v>
      </c>
      <c r="I4716" t="s">
        <v>71</v>
      </c>
      <c r="J4716" t="s">
        <v>10782</v>
      </c>
      <c r="K4716" t="s">
        <v>29403</v>
      </c>
    </row>
    <row r="4717" spans="1:11" ht="100.8" x14ac:dyDescent="0.3">
      <c r="A4717" s="4" t="s">
        <v>7680</v>
      </c>
      <c r="B4717">
        <v>3</v>
      </c>
      <c r="C4717">
        <v>2017</v>
      </c>
      <c r="D4717" t="s">
        <v>385</v>
      </c>
      <c r="E4717">
        <v>29</v>
      </c>
      <c r="F4717" t="s">
        <v>29404</v>
      </c>
      <c r="G4717" t="s">
        <v>29405</v>
      </c>
      <c r="H4717" s="4" t="s">
        <v>29406</v>
      </c>
    </row>
    <row r="4718" spans="1:11" ht="172.8" x14ac:dyDescent="0.3">
      <c r="A4718" s="4" t="s">
        <v>7681</v>
      </c>
      <c r="B4718">
        <v>3</v>
      </c>
      <c r="C4718">
        <v>2017</v>
      </c>
      <c r="D4718" t="s">
        <v>10924</v>
      </c>
      <c r="E4718">
        <v>50</v>
      </c>
      <c r="F4718" t="s">
        <v>29407</v>
      </c>
      <c r="G4718" t="s">
        <v>29408</v>
      </c>
      <c r="H4718" s="4" t="s">
        <v>29409</v>
      </c>
      <c r="I4718" t="s">
        <v>71</v>
      </c>
      <c r="J4718" t="s">
        <v>10782</v>
      </c>
      <c r="K4718" t="s">
        <v>29410</v>
      </c>
    </row>
    <row r="4719" spans="1:11" ht="158.4" x14ac:dyDescent="0.3">
      <c r="A4719" s="4" t="s">
        <v>7682</v>
      </c>
      <c r="B4719">
        <v>3</v>
      </c>
      <c r="C4719">
        <v>2017</v>
      </c>
      <c r="D4719" t="s">
        <v>22116</v>
      </c>
      <c r="E4719">
        <v>14</v>
      </c>
      <c r="F4719" t="s">
        <v>29411</v>
      </c>
      <c r="G4719" t="s">
        <v>29412</v>
      </c>
      <c r="H4719" s="4" t="s">
        <v>29413</v>
      </c>
      <c r="I4719" t="s">
        <v>71</v>
      </c>
      <c r="J4719" t="s">
        <v>10782</v>
      </c>
      <c r="K4719" t="s">
        <v>29414</v>
      </c>
    </row>
    <row r="4720" spans="1:11" ht="187.2" x14ac:dyDescent="0.3">
      <c r="A4720" s="4" t="s">
        <v>7683</v>
      </c>
      <c r="B4720">
        <v>3</v>
      </c>
      <c r="C4720">
        <v>2017</v>
      </c>
      <c r="D4720" t="s">
        <v>1836</v>
      </c>
      <c r="E4720">
        <v>41</v>
      </c>
      <c r="F4720" t="s">
        <v>29415</v>
      </c>
      <c r="G4720" t="s">
        <v>29416</v>
      </c>
      <c r="H4720" s="4" t="s">
        <v>29417</v>
      </c>
      <c r="I4720" t="s">
        <v>71</v>
      </c>
      <c r="J4720" t="s">
        <v>10782</v>
      </c>
      <c r="K4720" t="s">
        <v>29418</v>
      </c>
    </row>
    <row r="4721" spans="1:11" ht="100.8" x14ac:dyDescent="0.3">
      <c r="A4721" s="4" t="s">
        <v>7684</v>
      </c>
      <c r="B4721">
        <v>3</v>
      </c>
      <c r="C4721">
        <v>2017</v>
      </c>
      <c r="D4721" t="s">
        <v>1936</v>
      </c>
      <c r="E4721">
        <v>46</v>
      </c>
      <c r="F4721" t="s">
        <v>29419</v>
      </c>
      <c r="G4721" t="s">
        <v>29420</v>
      </c>
      <c r="H4721" s="4" t="s">
        <v>29421</v>
      </c>
      <c r="I4721" t="s">
        <v>71</v>
      </c>
      <c r="J4721" t="s">
        <v>10782</v>
      </c>
      <c r="K4721" t="s">
        <v>29422</v>
      </c>
    </row>
    <row r="4722" spans="1:11" ht="216" x14ac:dyDescent="0.3">
      <c r="A4722" s="4" t="s">
        <v>7685</v>
      </c>
      <c r="B4722">
        <v>3</v>
      </c>
      <c r="C4722">
        <v>2017</v>
      </c>
      <c r="D4722" t="s">
        <v>29423</v>
      </c>
      <c r="E4722">
        <v>25</v>
      </c>
      <c r="F4722" t="s">
        <v>29424</v>
      </c>
      <c r="G4722" t="s">
        <v>29425</v>
      </c>
      <c r="H4722" s="4" t="s">
        <v>29426</v>
      </c>
      <c r="I4722" t="s">
        <v>71</v>
      </c>
      <c r="J4722" t="s">
        <v>10782</v>
      </c>
      <c r="K4722" t="s">
        <v>29427</v>
      </c>
    </row>
    <row r="4723" spans="1:11" ht="187.2" x14ac:dyDescent="0.3">
      <c r="A4723" s="4" t="s">
        <v>7686</v>
      </c>
      <c r="B4723">
        <v>3</v>
      </c>
      <c r="C4723">
        <v>2017</v>
      </c>
      <c r="D4723" t="s">
        <v>11310</v>
      </c>
      <c r="E4723">
        <v>22</v>
      </c>
      <c r="F4723" t="s">
        <v>29428</v>
      </c>
      <c r="G4723" t="s">
        <v>29429</v>
      </c>
      <c r="H4723" s="4" t="s">
        <v>29430</v>
      </c>
      <c r="I4723" t="s">
        <v>71</v>
      </c>
      <c r="J4723" t="s">
        <v>10782</v>
      </c>
      <c r="K4723" t="s">
        <v>29431</v>
      </c>
    </row>
    <row r="4724" spans="1:11" ht="129.6" x14ac:dyDescent="0.3">
      <c r="A4724" s="4" t="s">
        <v>7687</v>
      </c>
      <c r="B4724">
        <v>3</v>
      </c>
      <c r="C4724">
        <v>2017</v>
      </c>
      <c r="D4724" t="s">
        <v>217</v>
      </c>
      <c r="E4724">
        <v>33</v>
      </c>
      <c r="F4724" t="s">
        <v>29432</v>
      </c>
      <c r="G4724" t="s">
        <v>29433</v>
      </c>
      <c r="H4724" s="4" t="s">
        <v>29434</v>
      </c>
      <c r="I4724" t="s">
        <v>71</v>
      </c>
      <c r="J4724" t="s">
        <v>10782</v>
      </c>
      <c r="K4724" t="s">
        <v>29435</v>
      </c>
    </row>
    <row r="4725" spans="1:11" ht="86.4" x14ac:dyDescent="0.3">
      <c r="A4725" s="4" t="s">
        <v>7688</v>
      </c>
      <c r="B4725">
        <v>3</v>
      </c>
      <c r="C4725">
        <v>2017</v>
      </c>
      <c r="D4725" t="s">
        <v>29436</v>
      </c>
      <c r="E4725">
        <v>28</v>
      </c>
      <c r="F4725" t="s">
        <v>29437</v>
      </c>
      <c r="G4725" t="s">
        <v>29438</v>
      </c>
      <c r="H4725" s="4" t="s">
        <v>29439</v>
      </c>
      <c r="I4725" t="s">
        <v>71</v>
      </c>
      <c r="J4725" t="s">
        <v>10782</v>
      </c>
      <c r="K4725" t="s">
        <v>29440</v>
      </c>
    </row>
    <row r="4726" spans="1:11" ht="129.6" x14ac:dyDescent="0.3">
      <c r="A4726" s="4" t="s">
        <v>7689</v>
      </c>
      <c r="B4726">
        <v>3</v>
      </c>
      <c r="C4726">
        <v>2017</v>
      </c>
      <c r="D4726" t="s">
        <v>1570</v>
      </c>
      <c r="E4726">
        <v>16</v>
      </c>
      <c r="F4726" t="s">
        <v>29441</v>
      </c>
      <c r="G4726" t="s">
        <v>29442</v>
      </c>
      <c r="H4726" s="4" t="s">
        <v>29443</v>
      </c>
      <c r="I4726" t="s">
        <v>71</v>
      </c>
      <c r="J4726" t="s">
        <v>10782</v>
      </c>
      <c r="K4726" t="s">
        <v>29444</v>
      </c>
    </row>
    <row r="4727" spans="1:11" ht="129.6" x14ac:dyDescent="0.3">
      <c r="A4727" s="4" t="s">
        <v>7690</v>
      </c>
      <c r="B4727">
        <v>3</v>
      </c>
      <c r="C4727">
        <v>2017</v>
      </c>
      <c r="D4727" t="s">
        <v>14775</v>
      </c>
      <c r="E4727">
        <v>44</v>
      </c>
      <c r="F4727" t="s">
        <v>29445</v>
      </c>
      <c r="G4727" t="s">
        <v>29446</v>
      </c>
      <c r="H4727" s="4" t="s">
        <v>29447</v>
      </c>
      <c r="I4727" t="s">
        <v>71</v>
      </c>
      <c r="J4727" t="s">
        <v>10782</v>
      </c>
      <c r="K4727" t="s">
        <v>29448</v>
      </c>
    </row>
    <row r="4728" spans="1:11" ht="273.60000000000002" x14ac:dyDescent="0.3">
      <c r="A4728" s="4" t="s">
        <v>7691</v>
      </c>
      <c r="B4728">
        <v>3</v>
      </c>
      <c r="C4728">
        <v>2017</v>
      </c>
      <c r="D4728" t="s">
        <v>1125</v>
      </c>
      <c r="E4728">
        <v>16</v>
      </c>
      <c r="F4728" t="s">
        <v>29449</v>
      </c>
      <c r="G4728" t="s">
        <v>29450</v>
      </c>
      <c r="H4728" s="4" t="s">
        <v>29451</v>
      </c>
      <c r="I4728" t="s">
        <v>71</v>
      </c>
      <c r="J4728" t="s">
        <v>10782</v>
      </c>
      <c r="K4728" t="s">
        <v>29452</v>
      </c>
    </row>
    <row r="4729" spans="1:11" ht="216" x14ac:dyDescent="0.3">
      <c r="A4729" s="4" t="s">
        <v>7692</v>
      </c>
      <c r="B4729">
        <v>3</v>
      </c>
      <c r="C4729">
        <v>2017</v>
      </c>
      <c r="D4729" t="s">
        <v>550</v>
      </c>
      <c r="E4729">
        <v>28</v>
      </c>
      <c r="F4729" t="s">
        <v>29453</v>
      </c>
      <c r="G4729" t="s">
        <v>29454</v>
      </c>
      <c r="H4729" s="4" t="s">
        <v>29455</v>
      </c>
      <c r="I4729" t="s">
        <v>71</v>
      </c>
      <c r="J4729" t="s">
        <v>10782</v>
      </c>
      <c r="K4729" t="s">
        <v>29456</v>
      </c>
    </row>
    <row r="4730" spans="1:11" ht="187.2" x14ac:dyDescent="0.3">
      <c r="A4730" s="4" t="s">
        <v>7693</v>
      </c>
      <c r="B4730">
        <v>3</v>
      </c>
      <c r="C4730">
        <v>2017</v>
      </c>
      <c r="D4730" t="s">
        <v>147</v>
      </c>
      <c r="E4730">
        <v>143</v>
      </c>
      <c r="F4730" t="s">
        <v>29457</v>
      </c>
      <c r="G4730" t="s">
        <v>29458</v>
      </c>
      <c r="H4730" s="4" t="s">
        <v>29459</v>
      </c>
      <c r="I4730" t="s">
        <v>10823</v>
      </c>
      <c r="J4730" t="s">
        <v>10782</v>
      </c>
      <c r="K4730" t="s">
        <v>29460</v>
      </c>
    </row>
    <row r="4731" spans="1:11" ht="100.8" x14ac:dyDescent="0.3">
      <c r="A4731" s="4" t="s">
        <v>7694</v>
      </c>
      <c r="B4731">
        <v>3</v>
      </c>
      <c r="C4731">
        <v>2017</v>
      </c>
      <c r="D4731" t="s">
        <v>385</v>
      </c>
      <c r="E4731">
        <v>36</v>
      </c>
      <c r="F4731" t="s">
        <v>29461</v>
      </c>
      <c r="G4731" t="s">
        <v>29462</v>
      </c>
      <c r="H4731" s="4" t="s">
        <v>29463</v>
      </c>
    </row>
    <row r="4732" spans="1:11" ht="187.2" x14ac:dyDescent="0.3">
      <c r="A4732" s="4" t="s">
        <v>7695</v>
      </c>
      <c r="B4732">
        <v>3</v>
      </c>
      <c r="C4732">
        <v>2017</v>
      </c>
      <c r="D4732" t="s">
        <v>11574</v>
      </c>
      <c r="E4732">
        <v>66</v>
      </c>
      <c r="F4732" t="s">
        <v>29464</v>
      </c>
      <c r="G4732" t="s">
        <v>29465</v>
      </c>
      <c r="H4732" s="4" t="s">
        <v>29466</v>
      </c>
      <c r="I4732" t="s">
        <v>10823</v>
      </c>
      <c r="J4732" t="s">
        <v>10782</v>
      </c>
      <c r="K4732" t="s">
        <v>29467</v>
      </c>
    </row>
    <row r="4733" spans="1:11" ht="216" x14ac:dyDescent="0.3">
      <c r="A4733" s="4" t="s">
        <v>7696</v>
      </c>
      <c r="B4733">
        <v>3</v>
      </c>
      <c r="C4733">
        <v>2017</v>
      </c>
      <c r="D4733" t="s">
        <v>217</v>
      </c>
      <c r="E4733">
        <v>13</v>
      </c>
      <c r="F4733" t="s">
        <v>29468</v>
      </c>
      <c r="G4733" t="s">
        <v>29469</v>
      </c>
      <c r="H4733" s="4" t="s">
        <v>29470</v>
      </c>
      <c r="I4733" t="s">
        <v>71</v>
      </c>
      <c r="J4733" t="s">
        <v>10782</v>
      </c>
      <c r="K4733" t="s">
        <v>29471</v>
      </c>
    </row>
    <row r="4734" spans="1:11" ht="100.8" x14ac:dyDescent="0.3">
      <c r="A4734" s="4" t="s">
        <v>7697</v>
      </c>
      <c r="B4734">
        <v>3</v>
      </c>
      <c r="C4734">
        <v>2017</v>
      </c>
      <c r="D4734" t="s">
        <v>1570</v>
      </c>
      <c r="E4734">
        <v>25</v>
      </c>
      <c r="F4734" t="s">
        <v>29472</v>
      </c>
      <c r="G4734" t="s">
        <v>29473</v>
      </c>
      <c r="H4734" s="4" t="s">
        <v>29474</v>
      </c>
      <c r="I4734" t="s">
        <v>10823</v>
      </c>
      <c r="J4734" t="s">
        <v>10782</v>
      </c>
      <c r="K4734" t="s">
        <v>29475</v>
      </c>
    </row>
    <row r="4735" spans="1:11" ht="144" x14ac:dyDescent="0.3">
      <c r="A4735" s="4" t="s">
        <v>7698</v>
      </c>
      <c r="B4735">
        <v>3</v>
      </c>
      <c r="C4735">
        <v>2017</v>
      </c>
      <c r="D4735" t="s">
        <v>80</v>
      </c>
      <c r="E4735">
        <v>41</v>
      </c>
      <c r="F4735" t="s">
        <v>29476</v>
      </c>
      <c r="G4735" t="s">
        <v>29477</v>
      </c>
      <c r="H4735" s="4" t="s">
        <v>29478</v>
      </c>
      <c r="I4735" t="s">
        <v>71</v>
      </c>
      <c r="J4735" t="s">
        <v>10782</v>
      </c>
      <c r="K4735" t="s">
        <v>29479</v>
      </c>
    </row>
    <row r="4736" spans="1:11" ht="201.6" x14ac:dyDescent="0.3">
      <c r="A4736" s="4" t="s">
        <v>7699</v>
      </c>
      <c r="B4736">
        <v>3</v>
      </c>
      <c r="C4736">
        <v>2017</v>
      </c>
      <c r="D4736" t="s">
        <v>2585</v>
      </c>
      <c r="E4736">
        <v>5</v>
      </c>
      <c r="F4736" t="s">
        <v>29480</v>
      </c>
      <c r="G4736" t="s">
        <v>29481</v>
      </c>
      <c r="H4736" s="4" t="s">
        <v>29482</v>
      </c>
      <c r="I4736" t="s">
        <v>71</v>
      </c>
      <c r="J4736" t="s">
        <v>10782</v>
      </c>
      <c r="K4736" t="s">
        <v>29483</v>
      </c>
    </row>
    <row r="4737" spans="1:11" ht="158.4" x14ac:dyDescent="0.3">
      <c r="A4737" s="4" t="s">
        <v>7700</v>
      </c>
      <c r="B4737">
        <v>3</v>
      </c>
      <c r="C4737">
        <v>2017</v>
      </c>
      <c r="D4737" t="s">
        <v>2384</v>
      </c>
      <c r="E4737">
        <v>76</v>
      </c>
      <c r="F4737" t="s">
        <v>29484</v>
      </c>
      <c r="G4737" t="s">
        <v>29485</v>
      </c>
      <c r="H4737" s="4" t="s">
        <v>29486</v>
      </c>
      <c r="I4737" t="s">
        <v>71</v>
      </c>
      <c r="J4737" t="s">
        <v>10782</v>
      </c>
      <c r="K4737" t="s">
        <v>29487</v>
      </c>
    </row>
    <row r="4738" spans="1:11" ht="187.2" x14ac:dyDescent="0.3">
      <c r="A4738" s="4" t="s">
        <v>7701</v>
      </c>
      <c r="B4738">
        <v>3</v>
      </c>
      <c r="C4738">
        <v>2017</v>
      </c>
      <c r="D4738" t="s">
        <v>1570</v>
      </c>
      <c r="E4738">
        <v>33</v>
      </c>
      <c r="F4738" t="s">
        <v>29488</v>
      </c>
      <c r="G4738" t="s">
        <v>29489</v>
      </c>
      <c r="H4738" s="4" t="s">
        <v>29490</v>
      </c>
    </row>
    <row r="4739" spans="1:11" ht="244.8" x14ac:dyDescent="0.3">
      <c r="A4739" s="4" t="s">
        <v>7702</v>
      </c>
      <c r="B4739">
        <v>3</v>
      </c>
      <c r="C4739">
        <v>2017</v>
      </c>
      <c r="D4739" t="s">
        <v>23579</v>
      </c>
      <c r="E4739">
        <v>19</v>
      </c>
      <c r="F4739" t="s">
        <v>29491</v>
      </c>
      <c r="G4739" t="s">
        <v>29492</v>
      </c>
      <c r="H4739" s="4" t="s">
        <v>29493</v>
      </c>
    </row>
    <row r="4740" spans="1:11" ht="172.8" x14ac:dyDescent="0.3">
      <c r="A4740" s="4" t="s">
        <v>7703</v>
      </c>
      <c r="B4740">
        <v>3</v>
      </c>
      <c r="C4740">
        <v>2017</v>
      </c>
      <c r="D4740" t="s">
        <v>1088</v>
      </c>
      <c r="E4740">
        <v>9</v>
      </c>
      <c r="F4740" t="s">
        <v>29494</v>
      </c>
      <c r="G4740" t="s">
        <v>29495</v>
      </c>
      <c r="H4740" s="4" t="s">
        <v>29496</v>
      </c>
      <c r="I4740" t="s">
        <v>10823</v>
      </c>
      <c r="J4740" t="s">
        <v>10782</v>
      </c>
      <c r="K4740" t="s">
        <v>29497</v>
      </c>
    </row>
    <row r="4741" spans="1:11" ht="144" x14ac:dyDescent="0.3">
      <c r="A4741" s="4" t="s">
        <v>7704</v>
      </c>
      <c r="B4741">
        <v>3</v>
      </c>
      <c r="C4741">
        <v>2017</v>
      </c>
      <c r="D4741" t="s">
        <v>17876</v>
      </c>
      <c r="E4741">
        <v>16</v>
      </c>
      <c r="F4741" t="s">
        <v>29498</v>
      </c>
      <c r="G4741" t="s">
        <v>29499</v>
      </c>
      <c r="H4741" s="4" t="s">
        <v>29500</v>
      </c>
      <c r="I4741" t="s">
        <v>71</v>
      </c>
      <c r="J4741" t="s">
        <v>10782</v>
      </c>
      <c r="K4741" t="s">
        <v>29501</v>
      </c>
    </row>
    <row r="4742" spans="1:11" ht="144" x14ac:dyDescent="0.3">
      <c r="A4742" s="4" t="s">
        <v>7705</v>
      </c>
      <c r="B4742">
        <v>3</v>
      </c>
      <c r="C4742">
        <v>2017</v>
      </c>
      <c r="D4742" t="s">
        <v>637</v>
      </c>
      <c r="E4742">
        <v>45</v>
      </c>
      <c r="F4742" t="s">
        <v>29502</v>
      </c>
      <c r="G4742" t="s">
        <v>29503</v>
      </c>
      <c r="H4742" s="4" t="s">
        <v>29504</v>
      </c>
      <c r="I4742" t="s">
        <v>71</v>
      </c>
      <c r="J4742" t="s">
        <v>10782</v>
      </c>
      <c r="K4742" t="s">
        <v>29505</v>
      </c>
    </row>
    <row r="4743" spans="1:11" ht="172.8" x14ac:dyDescent="0.3">
      <c r="A4743" s="4" t="s">
        <v>7706</v>
      </c>
      <c r="B4743">
        <v>3</v>
      </c>
      <c r="C4743">
        <v>2017</v>
      </c>
      <c r="D4743" t="s">
        <v>17476</v>
      </c>
      <c r="E4743">
        <v>66</v>
      </c>
      <c r="F4743" t="s">
        <v>29506</v>
      </c>
      <c r="G4743" t="s">
        <v>29507</v>
      </c>
      <c r="H4743" s="4" t="s">
        <v>29508</v>
      </c>
      <c r="I4743" t="s">
        <v>71</v>
      </c>
      <c r="J4743" t="s">
        <v>10782</v>
      </c>
      <c r="K4743" t="s">
        <v>29509</v>
      </c>
    </row>
    <row r="4744" spans="1:11" ht="115.2" x14ac:dyDescent="0.3">
      <c r="A4744" s="4" t="s">
        <v>7707</v>
      </c>
      <c r="B4744">
        <v>3</v>
      </c>
      <c r="C4744">
        <v>2017</v>
      </c>
      <c r="D4744" t="s">
        <v>11649</v>
      </c>
      <c r="E4744">
        <v>79</v>
      </c>
      <c r="F4744" t="s">
        <v>29510</v>
      </c>
      <c r="G4744" t="s">
        <v>29511</v>
      </c>
      <c r="H4744" s="4" t="s">
        <v>29512</v>
      </c>
      <c r="I4744" t="s">
        <v>71</v>
      </c>
      <c r="J4744" t="s">
        <v>10782</v>
      </c>
      <c r="K4744" t="s">
        <v>29513</v>
      </c>
    </row>
    <row r="4745" spans="1:11" ht="201.6" x14ac:dyDescent="0.3">
      <c r="A4745" s="4" t="s">
        <v>7708</v>
      </c>
      <c r="B4745">
        <v>3</v>
      </c>
      <c r="C4745">
        <v>2017</v>
      </c>
      <c r="D4745" t="s">
        <v>1570</v>
      </c>
      <c r="E4745">
        <v>21</v>
      </c>
      <c r="F4745" t="s">
        <v>29514</v>
      </c>
      <c r="G4745" t="s">
        <v>29515</v>
      </c>
      <c r="H4745" s="4" t="s">
        <v>29516</v>
      </c>
      <c r="I4745" t="s">
        <v>71</v>
      </c>
      <c r="J4745" t="s">
        <v>10782</v>
      </c>
      <c r="K4745" t="s">
        <v>29517</v>
      </c>
    </row>
    <row r="4746" spans="1:11" ht="172.8" x14ac:dyDescent="0.3">
      <c r="A4746" s="4" t="s">
        <v>7709</v>
      </c>
      <c r="B4746">
        <v>3</v>
      </c>
      <c r="C4746">
        <v>2017</v>
      </c>
      <c r="D4746" t="s">
        <v>1746</v>
      </c>
      <c r="E4746">
        <v>80</v>
      </c>
      <c r="F4746" t="s">
        <v>29518</v>
      </c>
      <c r="G4746" t="s">
        <v>29519</v>
      </c>
      <c r="H4746" s="4" t="s">
        <v>29520</v>
      </c>
      <c r="I4746" t="s">
        <v>71</v>
      </c>
      <c r="J4746" t="s">
        <v>10782</v>
      </c>
      <c r="K4746" t="s">
        <v>29521</v>
      </c>
    </row>
    <row r="4747" spans="1:11" ht="273.60000000000002" x14ac:dyDescent="0.3">
      <c r="A4747" s="4" t="s">
        <v>7710</v>
      </c>
      <c r="B4747">
        <v>3</v>
      </c>
      <c r="C4747">
        <v>2017</v>
      </c>
      <c r="D4747" t="s">
        <v>544</v>
      </c>
      <c r="E4747">
        <v>50</v>
      </c>
      <c r="F4747" t="s">
        <v>29522</v>
      </c>
      <c r="G4747" t="s">
        <v>29523</v>
      </c>
      <c r="H4747" s="4" t="s">
        <v>29524</v>
      </c>
      <c r="I4747" t="s">
        <v>71</v>
      </c>
      <c r="J4747" t="s">
        <v>10782</v>
      </c>
      <c r="K4747" t="s">
        <v>29525</v>
      </c>
    </row>
    <row r="4748" spans="1:11" ht="216" x14ac:dyDescent="0.3">
      <c r="A4748" s="4" t="s">
        <v>7711</v>
      </c>
      <c r="B4748">
        <v>3</v>
      </c>
      <c r="C4748">
        <v>2017</v>
      </c>
      <c r="D4748" t="s">
        <v>217</v>
      </c>
      <c r="E4748">
        <v>5</v>
      </c>
      <c r="F4748" t="s">
        <v>29526</v>
      </c>
      <c r="G4748" t="s">
        <v>29527</v>
      </c>
      <c r="H4748" s="4" t="s">
        <v>29528</v>
      </c>
      <c r="I4748" t="s">
        <v>71</v>
      </c>
      <c r="J4748" t="s">
        <v>10782</v>
      </c>
      <c r="K4748" t="s">
        <v>29529</v>
      </c>
    </row>
    <row r="4749" spans="1:11" ht="115.2" x14ac:dyDescent="0.3">
      <c r="A4749" s="4" t="s">
        <v>7712</v>
      </c>
      <c r="B4749">
        <v>3</v>
      </c>
      <c r="C4749">
        <v>2017</v>
      </c>
      <c r="D4749" t="s">
        <v>16937</v>
      </c>
      <c r="E4749">
        <v>51</v>
      </c>
      <c r="F4749" t="s">
        <v>29530</v>
      </c>
      <c r="G4749" t="s">
        <v>29531</v>
      </c>
      <c r="H4749" s="4" t="s">
        <v>29532</v>
      </c>
      <c r="I4749" t="s">
        <v>71</v>
      </c>
      <c r="J4749" t="s">
        <v>10782</v>
      </c>
      <c r="K4749" t="s">
        <v>29533</v>
      </c>
    </row>
    <row r="4750" spans="1:11" ht="158.4" x14ac:dyDescent="0.3">
      <c r="A4750" s="4" t="s">
        <v>7713</v>
      </c>
      <c r="B4750">
        <v>3</v>
      </c>
      <c r="C4750">
        <v>2017</v>
      </c>
      <c r="D4750" t="s">
        <v>1525</v>
      </c>
      <c r="E4750">
        <v>39</v>
      </c>
      <c r="F4750" t="s">
        <v>29534</v>
      </c>
      <c r="G4750" t="s">
        <v>29535</v>
      </c>
      <c r="H4750" s="4" t="s">
        <v>29536</v>
      </c>
      <c r="I4750" t="s">
        <v>71</v>
      </c>
      <c r="J4750" t="s">
        <v>10782</v>
      </c>
      <c r="K4750" t="s">
        <v>29537</v>
      </c>
    </row>
    <row r="4751" spans="1:11" ht="86.4" x14ac:dyDescent="0.3">
      <c r="A4751" s="4" t="s">
        <v>7714</v>
      </c>
      <c r="B4751">
        <v>3</v>
      </c>
      <c r="C4751">
        <v>2017</v>
      </c>
      <c r="D4751" t="s">
        <v>1525</v>
      </c>
      <c r="E4751">
        <v>12</v>
      </c>
      <c r="F4751" t="s">
        <v>29538</v>
      </c>
      <c r="G4751" t="s">
        <v>29539</v>
      </c>
      <c r="H4751" s="4" t="s">
        <v>29540</v>
      </c>
    </row>
    <row r="4752" spans="1:11" ht="158.4" x14ac:dyDescent="0.3">
      <c r="A4752" s="4" t="s">
        <v>7715</v>
      </c>
      <c r="B4752">
        <v>3</v>
      </c>
      <c r="C4752">
        <v>2017</v>
      </c>
      <c r="D4752" t="s">
        <v>14346</v>
      </c>
      <c r="E4752">
        <v>13</v>
      </c>
      <c r="F4752" t="s">
        <v>29541</v>
      </c>
      <c r="G4752" t="s">
        <v>29542</v>
      </c>
      <c r="H4752" s="4" t="s">
        <v>29543</v>
      </c>
      <c r="I4752" t="s">
        <v>71</v>
      </c>
      <c r="J4752" t="s">
        <v>10782</v>
      </c>
      <c r="K4752" t="s">
        <v>29544</v>
      </c>
    </row>
    <row r="4753" spans="1:11" ht="115.2" x14ac:dyDescent="0.3">
      <c r="A4753" s="4" t="s">
        <v>7716</v>
      </c>
      <c r="B4753">
        <v>3</v>
      </c>
      <c r="C4753">
        <v>2017</v>
      </c>
      <c r="D4753" t="s">
        <v>1570</v>
      </c>
      <c r="E4753">
        <v>18</v>
      </c>
      <c r="F4753" t="s">
        <v>29545</v>
      </c>
      <c r="G4753" t="s">
        <v>29546</v>
      </c>
      <c r="H4753" s="4" t="s">
        <v>29547</v>
      </c>
    </row>
    <row r="4754" spans="1:11" ht="187.2" x14ac:dyDescent="0.3">
      <c r="A4754" s="4" t="s">
        <v>7717</v>
      </c>
      <c r="B4754">
        <v>3</v>
      </c>
      <c r="C4754">
        <v>2017</v>
      </c>
      <c r="D4754" t="s">
        <v>11310</v>
      </c>
      <c r="E4754">
        <v>27</v>
      </c>
      <c r="F4754" t="s">
        <v>29548</v>
      </c>
      <c r="G4754" t="s">
        <v>29549</v>
      </c>
      <c r="H4754" s="4" t="s">
        <v>29550</v>
      </c>
      <c r="I4754" t="s">
        <v>71</v>
      </c>
      <c r="J4754" t="s">
        <v>10782</v>
      </c>
      <c r="K4754" t="s">
        <v>29551</v>
      </c>
    </row>
    <row r="4755" spans="1:11" ht="216" x14ac:dyDescent="0.3">
      <c r="A4755" s="4" t="s">
        <v>7718</v>
      </c>
      <c r="B4755">
        <v>3</v>
      </c>
      <c r="C4755">
        <v>2017</v>
      </c>
      <c r="D4755" t="s">
        <v>2375</v>
      </c>
      <c r="E4755">
        <v>26</v>
      </c>
      <c r="F4755" t="s">
        <v>29552</v>
      </c>
      <c r="G4755" t="s">
        <v>29553</v>
      </c>
      <c r="H4755" s="4" t="s">
        <v>29554</v>
      </c>
      <c r="I4755" t="s">
        <v>71</v>
      </c>
      <c r="J4755" t="s">
        <v>10782</v>
      </c>
      <c r="K4755" t="s">
        <v>29555</v>
      </c>
    </row>
    <row r="4756" spans="1:11" ht="187.2" x14ac:dyDescent="0.3">
      <c r="A4756" s="4" t="s">
        <v>7719</v>
      </c>
      <c r="B4756">
        <v>3</v>
      </c>
      <c r="C4756">
        <v>2017</v>
      </c>
      <c r="D4756" t="s">
        <v>1841</v>
      </c>
      <c r="E4756">
        <v>56</v>
      </c>
      <c r="F4756" t="s">
        <v>29556</v>
      </c>
      <c r="G4756" t="s">
        <v>29557</v>
      </c>
      <c r="H4756" s="4" t="s">
        <v>29558</v>
      </c>
      <c r="I4756" t="s">
        <v>71</v>
      </c>
      <c r="J4756" t="s">
        <v>10782</v>
      </c>
      <c r="K4756" t="s">
        <v>29559</v>
      </c>
    </row>
    <row r="4757" spans="1:11" ht="187.2" x14ac:dyDescent="0.3">
      <c r="A4757" s="4" t="s">
        <v>7720</v>
      </c>
      <c r="B4757">
        <v>3</v>
      </c>
      <c r="C4757">
        <v>2017</v>
      </c>
      <c r="D4757" t="s">
        <v>17042</v>
      </c>
      <c r="E4757">
        <v>5</v>
      </c>
      <c r="F4757" t="s">
        <v>29560</v>
      </c>
      <c r="G4757" t="s">
        <v>29561</v>
      </c>
      <c r="H4757" s="4" t="s">
        <v>29562</v>
      </c>
    </row>
    <row r="4758" spans="1:11" ht="216" x14ac:dyDescent="0.3">
      <c r="A4758" s="4" t="s">
        <v>7721</v>
      </c>
      <c r="B4758">
        <v>3</v>
      </c>
      <c r="C4758">
        <v>2017</v>
      </c>
      <c r="D4758" t="s">
        <v>10924</v>
      </c>
      <c r="E4758">
        <v>78</v>
      </c>
      <c r="F4758" t="s">
        <v>29563</v>
      </c>
      <c r="G4758" t="s">
        <v>29564</v>
      </c>
      <c r="H4758" s="4" t="s">
        <v>29565</v>
      </c>
      <c r="I4758" t="s">
        <v>71</v>
      </c>
      <c r="J4758" t="s">
        <v>10782</v>
      </c>
      <c r="K4758" t="s">
        <v>29566</v>
      </c>
    </row>
    <row r="4759" spans="1:11" ht="230.4" x14ac:dyDescent="0.3">
      <c r="A4759" s="4" t="s">
        <v>7722</v>
      </c>
      <c r="B4759">
        <v>3</v>
      </c>
      <c r="C4759">
        <v>2017</v>
      </c>
      <c r="D4759" t="s">
        <v>10924</v>
      </c>
      <c r="E4759">
        <v>14</v>
      </c>
      <c r="F4759" t="s">
        <v>29567</v>
      </c>
      <c r="G4759" t="s">
        <v>29568</v>
      </c>
      <c r="H4759" s="4" t="s">
        <v>29569</v>
      </c>
      <c r="I4759" t="s">
        <v>71</v>
      </c>
      <c r="J4759" t="s">
        <v>10782</v>
      </c>
      <c r="K4759" t="s">
        <v>29570</v>
      </c>
    </row>
    <row r="4760" spans="1:11" ht="158.4" x14ac:dyDescent="0.3">
      <c r="A4760" s="4" t="s">
        <v>7723</v>
      </c>
      <c r="B4760">
        <v>3</v>
      </c>
      <c r="C4760">
        <v>2017</v>
      </c>
      <c r="D4760" t="s">
        <v>2853</v>
      </c>
      <c r="E4760">
        <v>102</v>
      </c>
      <c r="F4760" t="s">
        <v>29571</v>
      </c>
      <c r="G4760" t="s">
        <v>29572</v>
      </c>
      <c r="H4760" s="4" t="s">
        <v>29573</v>
      </c>
      <c r="I4760" t="s">
        <v>71</v>
      </c>
      <c r="J4760" t="s">
        <v>10782</v>
      </c>
      <c r="K4760" t="s">
        <v>29574</v>
      </c>
    </row>
    <row r="4761" spans="1:11" ht="144" x14ac:dyDescent="0.3">
      <c r="A4761" s="4" t="s">
        <v>7724</v>
      </c>
      <c r="B4761">
        <v>3</v>
      </c>
      <c r="C4761">
        <v>2017</v>
      </c>
      <c r="D4761" t="s">
        <v>18825</v>
      </c>
      <c r="E4761">
        <v>46</v>
      </c>
      <c r="F4761" t="s">
        <v>29575</v>
      </c>
      <c r="G4761" t="s">
        <v>29576</v>
      </c>
      <c r="H4761" s="4" t="s">
        <v>29577</v>
      </c>
      <c r="I4761" t="s">
        <v>71</v>
      </c>
      <c r="J4761" t="s">
        <v>10782</v>
      </c>
      <c r="K4761" t="s">
        <v>29578</v>
      </c>
    </row>
    <row r="4762" spans="1:11" ht="144" x14ac:dyDescent="0.3">
      <c r="A4762" s="4" t="s">
        <v>7725</v>
      </c>
      <c r="B4762">
        <v>3</v>
      </c>
      <c r="C4762">
        <v>2017</v>
      </c>
      <c r="D4762" t="s">
        <v>329</v>
      </c>
      <c r="E4762">
        <v>16</v>
      </c>
      <c r="F4762" t="s">
        <v>29579</v>
      </c>
      <c r="G4762" t="s">
        <v>29580</v>
      </c>
      <c r="H4762" s="4" t="s">
        <v>29581</v>
      </c>
      <c r="I4762" t="s">
        <v>71</v>
      </c>
      <c r="J4762" t="s">
        <v>10782</v>
      </c>
      <c r="K4762" t="s">
        <v>29582</v>
      </c>
    </row>
    <row r="4763" spans="1:11" ht="216" x14ac:dyDescent="0.3">
      <c r="A4763" s="4" t="s">
        <v>7726</v>
      </c>
      <c r="B4763">
        <v>3</v>
      </c>
      <c r="C4763">
        <v>2017</v>
      </c>
      <c r="D4763" t="s">
        <v>1002</v>
      </c>
      <c r="E4763">
        <v>10</v>
      </c>
      <c r="F4763" t="s">
        <v>29583</v>
      </c>
      <c r="G4763" t="s">
        <v>29584</v>
      </c>
      <c r="H4763" s="4" t="s">
        <v>29585</v>
      </c>
      <c r="I4763" t="s">
        <v>71</v>
      </c>
      <c r="J4763" t="s">
        <v>10782</v>
      </c>
      <c r="K4763" t="s">
        <v>29586</v>
      </c>
    </row>
    <row r="4764" spans="1:11" ht="72" x14ac:dyDescent="0.3">
      <c r="A4764" s="4" t="s">
        <v>7727</v>
      </c>
      <c r="B4764">
        <v>3</v>
      </c>
      <c r="C4764">
        <v>2017</v>
      </c>
      <c r="D4764" t="s">
        <v>385</v>
      </c>
      <c r="E4764">
        <v>109</v>
      </c>
      <c r="F4764" t="s">
        <v>29587</v>
      </c>
      <c r="G4764" t="s">
        <v>29588</v>
      </c>
      <c r="H4764" s="4" t="s">
        <v>29589</v>
      </c>
    </row>
    <row r="4765" spans="1:11" ht="144" x14ac:dyDescent="0.3">
      <c r="A4765" s="4" t="s">
        <v>7728</v>
      </c>
      <c r="B4765">
        <v>3</v>
      </c>
      <c r="C4765">
        <v>2017</v>
      </c>
      <c r="D4765" t="s">
        <v>405</v>
      </c>
      <c r="E4765">
        <v>32</v>
      </c>
      <c r="F4765" t="s">
        <v>29590</v>
      </c>
      <c r="G4765" t="s">
        <v>29591</v>
      </c>
      <c r="H4765" s="4" t="s">
        <v>29592</v>
      </c>
      <c r="I4765" t="s">
        <v>71</v>
      </c>
      <c r="J4765" t="s">
        <v>10782</v>
      </c>
      <c r="K4765" t="s">
        <v>29593</v>
      </c>
    </row>
    <row r="4766" spans="1:11" ht="158.4" x14ac:dyDescent="0.3">
      <c r="A4766" s="4" t="s">
        <v>7729</v>
      </c>
      <c r="B4766">
        <v>3</v>
      </c>
      <c r="C4766">
        <v>2017</v>
      </c>
      <c r="D4766" t="s">
        <v>29594</v>
      </c>
      <c r="E4766">
        <v>0</v>
      </c>
      <c r="F4766" t="s">
        <v>29595</v>
      </c>
      <c r="G4766" t="s">
        <v>29596</v>
      </c>
      <c r="H4766" s="4" t="s">
        <v>29597</v>
      </c>
      <c r="I4766" t="s">
        <v>71</v>
      </c>
      <c r="J4766" t="s">
        <v>10782</v>
      </c>
      <c r="K4766" t="s">
        <v>29598</v>
      </c>
    </row>
    <row r="4767" spans="1:11" ht="172.8" x14ac:dyDescent="0.3">
      <c r="A4767" s="4" t="s">
        <v>3379</v>
      </c>
      <c r="B4767">
        <v>1</v>
      </c>
      <c r="C4767">
        <v>2017</v>
      </c>
      <c r="D4767" t="s">
        <v>2585</v>
      </c>
      <c r="E4767">
        <v>7</v>
      </c>
      <c r="F4767" t="s">
        <v>29599</v>
      </c>
      <c r="G4767" t="s">
        <v>29600</v>
      </c>
      <c r="H4767" s="4" t="s">
        <v>29601</v>
      </c>
      <c r="I4767" t="s">
        <v>71</v>
      </c>
      <c r="J4767" t="s">
        <v>10782</v>
      </c>
      <c r="K4767" t="s">
        <v>29602</v>
      </c>
    </row>
    <row r="4768" spans="1:11" ht="187.2" x14ac:dyDescent="0.3">
      <c r="A4768" s="4" t="s">
        <v>7730</v>
      </c>
      <c r="B4768">
        <v>3</v>
      </c>
      <c r="C4768">
        <v>2017</v>
      </c>
      <c r="D4768" t="s">
        <v>2853</v>
      </c>
      <c r="E4768">
        <v>24</v>
      </c>
      <c r="F4768" t="s">
        <v>29603</v>
      </c>
      <c r="G4768" t="s">
        <v>29604</v>
      </c>
      <c r="H4768" s="4" t="s">
        <v>29605</v>
      </c>
      <c r="I4768" t="s">
        <v>71</v>
      </c>
      <c r="J4768" t="s">
        <v>10782</v>
      </c>
      <c r="K4768" t="s">
        <v>29606</v>
      </c>
    </row>
    <row r="4769" spans="1:12" ht="201.6" x14ac:dyDescent="0.3">
      <c r="A4769" s="4" t="s">
        <v>7731</v>
      </c>
      <c r="B4769">
        <v>3</v>
      </c>
      <c r="C4769">
        <v>2017</v>
      </c>
      <c r="D4769" t="s">
        <v>217</v>
      </c>
      <c r="E4769">
        <v>40</v>
      </c>
      <c r="F4769" t="s">
        <v>29607</v>
      </c>
      <c r="G4769" t="s">
        <v>29608</v>
      </c>
      <c r="H4769" s="4" t="s">
        <v>29609</v>
      </c>
      <c r="I4769" t="s">
        <v>71</v>
      </c>
      <c r="J4769" t="s">
        <v>10782</v>
      </c>
      <c r="K4769" t="s">
        <v>29610</v>
      </c>
    </row>
    <row r="4770" spans="1:12" ht="201.6" x14ac:dyDescent="0.3">
      <c r="A4770" s="4" t="s">
        <v>7732</v>
      </c>
      <c r="B4770">
        <v>3</v>
      </c>
      <c r="C4770">
        <v>2017</v>
      </c>
      <c r="D4770" t="s">
        <v>29611</v>
      </c>
      <c r="E4770">
        <v>5</v>
      </c>
      <c r="F4770" t="s">
        <v>29612</v>
      </c>
      <c r="G4770" t="s">
        <v>29613</v>
      </c>
      <c r="H4770" s="4" t="s">
        <v>29614</v>
      </c>
      <c r="I4770" t="s">
        <v>71</v>
      </c>
      <c r="J4770" t="s">
        <v>10782</v>
      </c>
      <c r="K4770" t="s">
        <v>29615</v>
      </c>
    </row>
    <row r="4771" spans="1:12" ht="172.8" x14ac:dyDescent="0.3">
      <c r="A4771" s="4" t="s">
        <v>7733</v>
      </c>
      <c r="B4771">
        <v>3</v>
      </c>
      <c r="C4771">
        <v>2017</v>
      </c>
      <c r="D4771" t="s">
        <v>11041</v>
      </c>
      <c r="E4771">
        <v>105</v>
      </c>
      <c r="F4771" t="s">
        <v>29616</v>
      </c>
      <c r="G4771" t="s">
        <v>29617</v>
      </c>
      <c r="H4771" s="4" t="s">
        <v>29618</v>
      </c>
    </row>
    <row r="4772" spans="1:12" ht="129.6" x14ac:dyDescent="0.3">
      <c r="A4772" s="4" t="s">
        <v>7734</v>
      </c>
      <c r="B4772">
        <v>3</v>
      </c>
      <c r="C4772">
        <v>2017</v>
      </c>
      <c r="D4772" t="s">
        <v>13170</v>
      </c>
      <c r="E4772">
        <v>13</v>
      </c>
      <c r="F4772" t="s">
        <v>29619</v>
      </c>
      <c r="G4772" t="s">
        <v>29620</v>
      </c>
      <c r="H4772" s="4" t="s">
        <v>29621</v>
      </c>
    </row>
    <row r="4773" spans="1:12" ht="187.2" x14ac:dyDescent="0.3">
      <c r="A4773" s="4" t="s">
        <v>7735</v>
      </c>
      <c r="B4773">
        <v>3</v>
      </c>
      <c r="C4773">
        <v>2017</v>
      </c>
      <c r="D4773" t="s">
        <v>1231</v>
      </c>
      <c r="E4773">
        <v>5</v>
      </c>
      <c r="F4773" t="s">
        <v>29622</v>
      </c>
      <c r="G4773" t="s">
        <v>29623</v>
      </c>
      <c r="H4773" s="4" t="s">
        <v>29624</v>
      </c>
      <c r="I4773" t="s">
        <v>71</v>
      </c>
      <c r="J4773" t="s">
        <v>10782</v>
      </c>
      <c r="K4773" t="s">
        <v>29625</v>
      </c>
    </row>
    <row r="4774" spans="1:12" ht="172.8" x14ac:dyDescent="0.3">
      <c r="A4774" s="4" t="s">
        <v>7736</v>
      </c>
      <c r="B4774">
        <v>3</v>
      </c>
      <c r="C4774">
        <v>2017</v>
      </c>
      <c r="D4774" t="s">
        <v>2853</v>
      </c>
      <c r="E4774">
        <v>28</v>
      </c>
      <c r="F4774" t="s">
        <v>29626</v>
      </c>
      <c r="G4774" t="s">
        <v>29627</v>
      </c>
      <c r="H4774" s="4" t="s">
        <v>29628</v>
      </c>
      <c r="I4774" t="s">
        <v>71</v>
      </c>
      <c r="J4774" t="s">
        <v>10782</v>
      </c>
      <c r="K4774" t="s">
        <v>29629</v>
      </c>
    </row>
    <row r="4775" spans="1:12" ht="172.8" x14ac:dyDescent="0.3">
      <c r="A4775" s="4" t="s">
        <v>7737</v>
      </c>
      <c r="B4775">
        <v>3</v>
      </c>
      <c r="C4775">
        <v>2017</v>
      </c>
      <c r="D4775" t="s">
        <v>2853</v>
      </c>
      <c r="E4775">
        <v>19</v>
      </c>
      <c r="F4775" t="s">
        <v>29630</v>
      </c>
      <c r="G4775" t="s">
        <v>29631</v>
      </c>
      <c r="H4775" s="4" t="s">
        <v>29632</v>
      </c>
      <c r="I4775" t="s">
        <v>71</v>
      </c>
      <c r="J4775" t="s">
        <v>10782</v>
      </c>
      <c r="K4775" t="s">
        <v>29633</v>
      </c>
    </row>
    <row r="4776" spans="1:12" ht="244.8" x14ac:dyDescent="0.3">
      <c r="A4776" s="4" t="s">
        <v>7738</v>
      </c>
      <c r="B4776">
        <v>3</v>
      </c>
      <c r="C4776">
        <v>2017</v>
      </c>
      <c r="D4776" t="s">
        <v>10924</v>
      </c>
      <c r="E4776">
        <v>26</v>
      </c>
      <c r="F4776" t="s">
        <v>29634</v>
      </c>
      <c r="G4776" t="s">
        <v>29635</v>
      </c>
      <c r="H4776" s="4" t="s">
        <v>29636</v>
      </c>
      <c r="I4776" t="s">
        <v>71</v>
      </c>
      <c r="J4776" t="s">
        <v>10782</v>
      </c>
      <c r="K4776" t="s">
        <v>29637</v>
      </c>
    </row>
    <row r="4777" spans="1:12" ht="115.2" x14ac:dyDescent="0.3">
      <c r="A4777" s="4" t="s">
        <v>7739</v>
      </c>
      <c r="B4777">
        <v>3</v>
      </c>
      <c r="C4777">
        <v>2017</v>
      </c>
      <c r="D4777" t="s">
        <v>23776</v>
      </c>
      <c r="E4777">
        <v>49</v>
      </c>
      <c r="F4777" t="s">
        <v>29638</v>
      </c>
      <c r="G4777" t="s">
        <v>29639</v>
      </c>
      <c r="H4777" s="4" t="s">
        <v>29640</v>
      </c>
    </row>
    <row r="4778" spans="1:12" ht="273.60000000000002" x14ac:dyDescent="0.3">
      <c r="A4778" s="4" t="s">
        <v>7740</v>
      </c>
      <c r="B4778">
        <v>3</v>
      </c>
      <c r="C4778">
        <v>2017</v>
      </c>
      <c r="D4778" t="s">
        <v>405</v>
      </c>
      <c r="E4778">
        <v>265</v>
      </c>
      <c r="F4778" t="s">
        <v>29641</v>
      </c>
      <c r="G4778" t="s">
        <v>29642</v>
      </c>
      <c r="H4778" s="4" t="s">
        <v>29643</v>
      </c>
      <c r="I4778" t="s">
        <v>71</v>
      </c>
      <c r="J4778" t="s">
        <v>10782</v>
      </c>
      <c r="K4778" t="s">
        <v>29644</v>
      </c>
    </row>
    <row r="4779" spans="1:12" ht="172.8" x14ac:dyDescent="0.3">
      <c r="A4779" s="4" t="s">
        <v>7741</v>
      </c>
      <c r="B4779">
        <v>3</v>
      </c>
      <c r="C4779">
        <v>2017</v>
      </c>
      <c r="D4779" t="s">
        <v>164</v>
      </c>
      <c r="E4779">
        <v>43</v>
      </c>
      <c r="F4779" t="s">
        <v>29645</v>
      </c>
      <c r="G4779" t="s">
        <v>29646</v>
      </c>
      <c r="H4779" s="4" t="s">
        <v>29647</v>
      </c>
    </row>
    <row r="4780" spans="1:12" ht="158.4" x14ac:dyDescent="0.3">
      <c r="A4780" s="4" t="s">
        <v>7742</v>
      </c>
      <c r="B4780">
        <v>3</v>
      </c>
      <c r="C4780">
        <v>2017</v>
      </c>
      <c r="D4780" t="s">
        <v>1316</v>
      </c>
      <c r="E4780">
        <v>74</v>
      </c>
      <c r="F4780" t="s">
        <v>29648</v>
      </c>
      <c r="G4780" t="s">
        <v>29649</v>
      </c>
      <c r="H4780" s="4" t="s">
        <v>29650</v>
      </c>
      <c r="I4780" t="s">
        <v>71</v>
      </c>
      <c r="J4780" t="s">
        <v>10782</v>
      </c>
      <c r="K4780" t="s">
        <v>29651</v>
      </c>
    </row>
    <row r="4781" spans="1:12" ht="28.8" x14ac:dyDescent="0.3">
      <c r="A4781" s="4" t="s">
        <v>7743</v>
      </c>
      <c r="B4781">
        <v>3</v>
      </c>
      <c r="C4781">
        <v>2017</v>
      </c>
      <c r="D4781" t="s">
        <v>16449</v>
      </c>
      <c r="E4781">
        <v>9</v>
      </c>
      <c r="F4781" t="s">
        <v>29652</v>
      </c>
      <c r="G4781" t="s">
        <v>29653</v>
      </c>
      <c r="H4781" s="4" t="s">
        <v>29654</v>
      </c>
      <c r="L4781" t="s">
        <v>29655</v>
      </c>
    </row>
    <row r="4782" spans="1:12" ht="57.6" x14ac:dyDescent="0.3">
      <c r="A4782" s="4" t="s">
        <v>7744</v>
      </c>
      <c r="B4782">
        <v>3</v>
      </c>
      <c r="C4782">
        <v>2017</v>
      </c>
      <c r="D4782" t="s">
        <v>1759</v>
      </c>
      <c r="E4782">
        <v>24</v>
      </c>
      <c r="F4782" t="s">
        <v>29656</v>
      </c>
      <c r="G4782" t="s">
        <v>29657</v>
      </c>
      <c r="H4782" s="4" t="s">
        <v>29658</v>
      </c>
    </row>
    <row r="4783" spans="1:12" ht="144" x14ac:dyDescent="0.3">
      <c r="A4783" s="4" t="s">
        <v>7745</v>
      </c>
      <c r="B4783">
        <v>3</v>
      </c>
      <c r="C4783">
        <v>2017</v>
      </c>
      <c r="D4783" t="s">
        <v>1759</v>
      </c>
      <c r="E4783">
        <v>19</v>
      </c>
      <c r="F4783" t="s">
        <v>29659</v>
      </c>
      <c r="G4783" t="s">
        <v>29660</v>
      </c>
      <c r="H4783" s="4" t="s">
        <v>29661</v>
      </c>
      <c r="I4783" t="s">
        <v>71</v>
      </c>
      <c r="J4783" t="s">
        <v>10782</v>
      </c>
      <c r="K4783" t="s">
        <v>29662</v>
      </c>
    </row>
    <row r="4784" spans="1:12" ht="187.2" x14ac:dyDescent="0.3">
      <c r="A4784" s="4" t="s">
        <v>7746</v>
      </c>
      <c r="B4784">
        <v>3</v>
      </c>
      <c r="C4784">
        <v>2017</v>
      </c>
      <c r="D4784" t="s">
        <v>2853</v>
      </c>
      <c r="E4784">
        <v>46</v>
      </c>
      <c r="F4784" t="s">
        <v>29663</v>
      </c>
      <c r="G4784" t="s">
        <v>29664</v>
      </c>
      <c r="H4784" s="4" t="s">
        <v>29665</v>
      </c>
      <c r="I4784" t="s">
        <v>71</v>
      </c>
      <c r="J4784" t="s">
        <v>10782</v>
      </c>
      <c r="K4784" t="s">
        <v>29666</v>
      </c>
    </row>
    <row r="4785" spans="1:11" ht="115.2" x14ac:dyDescent="0.3">
      <c r="A4785" s="4" t="s">
        <v>7747</v>
      </c>
      <c r="B4785">
        <v>3</v>
      </c>
      <c r="C4785">
        <v>2017</v>
      </c>
      <c r="D4785" t="s">
        <v>385</v>
      </c>
      <c r="E4785">
        <v>160</v>
      </c>
      <c r="F4785" t="s">
        <v>29667</v>
      </c>
      <c r="G4785" t="s">
        <v>29668</v>
      </c>
      <c r="H4785" s="4" t="s">
        <v>29669</v>
      </c>
      <c r="I4785" t="s">
        <v>71</v>
      </c>
      <c r="J4785" t="s">
        <v>10782</v>
      </c>
      <c r="K4785" t="s">
        <v>29670</v>
      </c>
    </row>
    <row r="4786" spans="1:11" ht="172.8" x14ac:dyDescent="0.3">
      <c r="A4786" s="4" t="s">
        <v>7748</v>
      </c>
      <c r="B4786">
        <v>3</v>
      </c>
      <c r="C4786">
        <v>2017</v>
      </c>
      <c r="D4786" t="s">
        <v>18094</v>
      </c>
      <c r="E4786">
        <v>79</v>
      </c>
      <c r="F4786" t="s">
        <v>29671</v>
      </c>
      <c r="G4786" t="s">
        <v>29672</v>
      </c>
      <c r="H4786" s="4" t="s">
        <v>29673</v>
      </c>
      <c r="I4786" t="s">
        <v>71</v>
      </c>
      <c r="J4786" t="s">
        <v>10782</v>
      </c>
      <c r="K4786" t="s">
        <v>29674</v>
      </c>
    </row>
    <row r="4787" spans="1:11" ht="115.2" x14ac:dyDescent="0.3">
      <c r="A4787" s="4" t="s">
        <v>7749</v>
      </c>
      <c r="B4787">
        <v>3</v>
      </c>
      <c r="C4787">
        <v>2017</v>
      </c>
      <c r="D4787" t="s">
        <v>217</v>
      </c>
      <c r="E4787">
        <v>15</v>
      </c>
      <c r="F4787" t="s">
        <v>29675</v>
      </c>
      <c r="G4787" t="s">
        <v>29676</v>
      </c>
      <c r="H4787" s="4" t="s">
        <v>29677</v>
      </c>
      <c r="I4787" t="s">
        <v>71</v>
      </c>
      <c r="J4787" t="s">
        <v>10782</v>
      </c>
      <c r="K4787" t="s">
        <v>29678</v>
      </c>
    </row>
    <row r="4788" spans="1:11" ht="144" x14ac:dyDescent="0.3">
      <c r="A4788" s="4" t="s">
        <v>7750</v>
      </c>
      <c r="B4788">
        <v>3</v>
      </c>
      <c r="C4788">
        <v>2017</v>
      </c>
      <c r="D4788" t="s">
        <v>12593</v>
      </c>
      <c r="E4788">
        <v>51</v>
      </c>
      <c r="F4788" t="s">
        <v>29679</v>
      </c>
      <c r="G4788" t="s">
        <v>29680</v>
      </c>
      <c r="H4788" s="4" t="s">
        <v>29681</v>
      </c>
      <c r="I4788" t="s">
        <v>71</v>
      </c>
      <c r="J4788" t="s">
        <v>10782</v>
      </c>
      <c r="K4788" t="s">
        <v>29682</v>
      </c>
    </row>
    <row r="4789" spans="1:11" ht="158.4" x14ac:dyDescent="0.3">
      <c r="A4789" s="4" t="s">
        <v>7751</v>
      </c>
      <c r="B4789">
        <v>3</v>
      </c>
      <c r="C4789">
        <v>2017</v>
      </c>
      <c r="D4789" t="s">
        <v>29683</v>
      </c>
      <c r="E4789">
        <v>0</v>
      </c>
      <c r="G4789" t="s">
        <v>29684</v>
      </c>
      <c r="H4789" s="4" t="s">
        <v>29685</v>
      </c>
      <c r="I4789" s="4" t="s">
        <v>71</v>
      </c>
      <c r="J4789" t="s">
        <v>10782</v>
      </c>
      <c r="K4789" t="s">
        <v>29686</v>
      </c>
    </row>
    <row r="4790" spans="1:11" ht="172.8" x14ac:dyDescent="0.3">
      <c r="A4790" s="4" t="s">
        <v>7752</v>
      </c>
      <c r="B4790">
        <v>3</v>
      </c>
      <c r="C4790">
        <v>2017</v>
      </c>
      <c r="D4790" t="s">
        <v>1759</v>
      </c>
      <c r="E4790">
        <v>32</v>
      </c>
      <c r="F4790" t="s">
        <v>29687</v>
      </c>
      <c r="G4790" t="s">
        <v>29688</v>
      </c>
      <c r="H4790" s="4" t="s">
        <v>29689</v>
      </c>
      <c r="I4790" t="s">
        <v>71</v>
      </c>
      <c r="J4790" t="s">
        <v>10782</v>
      </c>
      <c r="K4790" t="s">
        <v>29690</v>
      </c>
    </row>
    <row r="4791" spans="1:11" ht="115.2" x14ac:dyDescent="0.3">
      <c r="A4791" s="4" t="s">
        <v>7753</v>
      </c>
      <c r="B4791">
        <v>3</v>
      </c>
      <c r="C4791">
        <v>2017</v>
      </c>
      <c r="D4791" t="s">
        <v>385</v>
      </c>
      <c r="E4791">
        <v>99</v>
      </c>
      <c r="F4791" t="s">
        <v>29691</v>
      </c>
      <c r="G4791" t="s">
        <v>29692</v>
      </c>
      <c r="H4791" s="4" t="s">
        <v>29693</v>
      </c>
      <c r="I4791" t="s">
        <v>71</v>
      </c>
      <c r="J4791" t="s">
        <v>10782</v>
      </c>
      <c r="K4791" t="s">
        <v>29694</v>
      </c>
    </row>
    <row r="4792" spans="1:11" ht="216" x14ac:dyDescent="0.3">
      <c r="A4792" s="4" t="s">
        <v>7754</v>
      </c>
      <c r="B4792">
        <v>3</v>
      </c>
      <c r="C4792">
        <v>2017</v>
      </c>
      <c r="D4792" t="s">
        <v>10924</v>
      </c>
      <c r="E4792">
        <v>54</v>
      </c>
      <c r="F4792" t="s">
        <v>29695</v>
      </c>
      <c r="G4792" t="s">
        <v>29696</v>
      </c>
      <c r="H4792" s="4" t="s">
        <v>29697</v>
      </c>
      <c r="I4792" t="s">
        <v>71</v>
      </c>
      <c r="J4792" t="s">
        <v>10782</v>
      </c>
      <c r="K4792" t="s">
        <v>29698</v>
      </c>
    </row>
    <row r="4793" spans="1:11" ht="201.6" x14ac:dyDescent="0.3">
      <c r="A4793" s="4" t="s">
        <v>7755</v>
      </c>
      <c r="B4793">
        <v>3</v>
      </c>
      <c r="C4793">
        <v>2017</v>
      </c>
      <c r="D4793" t="s">
        <v>724</v>
      </c>
      <c r="E4793">
        <v>43</v>
      </c>
      <c r="F4793" t="s">
        <v>29699</v>
      </c>
      <c r="G4793" t="s">
        <v>29700</v>
      </c>
      <c r="H4793" s="4" t="s">
        <v>29701</v>
      </c>
      <c r="I4793" t="s">
        <v>71</v>
      </c>
      <c r="J4793" t="s">
        <v>10782</v>
      </c>
      <c r="K4793" t="s">
        <v>29702</v>
      </c>
    </row>
    <row r="4794" spans="1:11" ht="129.6" x14ac:dyDescent="0.3">
      <c r="A4794" s="4" t="s">
        <v>7756</v>
      </c>
      <c r="B4794">
        <v>3</v>
      </c>
      <c r="C4794">
        <v>2017</v>
      </c>
      <c r="D4794" t="s">
        <v>29703</v>
      </c>
      <c r="E4794">
        <v>1</v>
      </c>
      <c r="F4794" t="s">
        <v>29704</v>
      </c>
      <c r="G4794" t="s">
        <v>29705</v>
      </c>
      <c r="H4794" s="4" t="s">
        <v>29706</v>
      </c>
    </row>
    <row r="4795" spans="1:11" ht="172.8" x14ac:dyDescent="0.3">
      <c r="A4795" s="4" t="s">
        <v>7757</v>
      </c>
      <c r="B4795">
        <v>3</v>
      </c>
      <c r="C4795">
        <v>2017</v>
      </c>
      <c r="D4795" t="s">
        <v>217</v>
      </c>
      <c r="E4795">
        <v>26</v>
      </c>
      <c r="F4795" t="s">
        <v>29707</v>
      </c>
      <c r="G4795" t="s">
        <v>29708</v>
      </c>
      <c r="H4795" s="4" t="s">
        <v>29709</v>
      </c>
    </row>
    <row r="4796" spans="1:11" ht="172.8" x14ac:dyDescent="0.3">
      <c r="A4796" s="4" t="s">
        <v>7758</v>
      </c>
      <c r="B4796">
        <v>3</v>
      </c>
      <c r="C4796">
        <v>2017</v>
      </c>
      <c r="D4796" t="s">
        <v>2375</v>
      </c>
      <c r="E4796">
        <v>104</v>
      </c>
      <c r="F4796" t="s">
        <v>29710</v>
      </c>
      <c r="G4796" t="s">
        <v>29711</v>
      </c>
      <c r="H4796" s="4" t="s">
        <v>29712</v>
      </c>
      <c r="I4796" t="s">
        <v>71</v>
      </c>
      <c r="J4796" t="s">
        <v>10782</v>
      </c>
      <c r="K4796" t="s">
        <v>29713</v>
      </c>
    </row>
    <row r="4797" spans="1:11" ht="172.8" x14ac:dyDescent="0.3">
      <c r="A4797" s="4" t="s">
        <v>7759</v>
      </c>
      <c r="B4797">
        <v>3</v>
      </c>
      <c r="C4797">
        <v>2017</v>
      </c>
      <c r="D4797" t="s">
        <v>799</v>
      </c>
      <c r="E4797">
        <v>50</v>
      </c>
      <c r="F4797" t="s">
        <v>29714</v>
      </c>
      <c r="G4797" t="s">
        <v>29715</v>
      </c>
      <c r="H4797" s="4" t="s">
        <v>29716</v>
      </c>
      <c r="I4797" t="s">
        <v>71</v>
      </c>
      <c r="J4797" t="s">
        <v>10782</v>
      </c>
      <c r="K4797" t="s">
        <v>29717</v>
      </c>
    </row>
    <row r="4798" spans="1:11" ht="129.6" x14ac:dyDescent="0.3">
      <c r="A4798" s="4" t="s">
        <v>1716</v>
      </c>
      <c r="B4798">
        <v>1</v>
      </c>
      <c r="C4798">
        <v>2017</v>
      </c>
      <c r="D4798" t="s">
        <v>1836</v>
      </c>
      <c r="E4798">
        <v>42</v>
      </c>
      <c r="F4798" t="s">
        <v>29718</v>
      </c>
      <c r="G4798" t="s">
        <v>29719</v>
      </c>
      <c r="H4798" s="4" t="s">
        <v>29720</v>
      </c>
      <c r="I4798" t="s">
        <v>71</v>
      </c>
      <c r="J4798" t="s">
        <v>10782</v>
      </c>
      <c r="K4798" t="s">
        <v>29721</v>
      </c>
    </row>
    <row r="4799" spans="1:11" ht="158.4" x14ac:dyDescent="0.3">
      <c r="A4799" s="4" t="s">
        <v>7760</v>
      </c>
      <c r="B4799">
        <v>3</v>
      </c>
      <c r="C4799">
        <v>2017</v>
      </c>
      <c r="D4799" t="s">
        <v>1570</v>
      </c>
      <c r="E4799">
        <v>11</v>
      </c>
      <c r="F4799" t="s">
        <v>29722</v>
      </c>
      <c r="G4799" t="s">
        <v>29723</v>
      </c>
      <c r="H4799" s="4" t="s">
        <v>29724</v>
      </c>
      <c r="I4799" t="s">
        <v>71</v>
      </c>
      <c r="J4799" t="s">
        <v>10782</v>
      </c>
      <c r="K4799" t="s">
        <v>29725</v>
      </c>
    </row>
    <row r="4800" spans="1:11" ht="172.8" x14ac:dyDescent="0.3">
      <c r="A4800" s="4" t="s">
        <v>7761</v>
      </c>
      <c r="B4800">
        <v>3</v>
      </c>
      <c r="C4800">
        <v>2017</v>
      </c>
      <c r="D4800" t="s">
        <v>11457</v>
      </c>
      <c r="E4800">
        <v>11</v>
      </c>
      <c r="F4800" t="s">
        <v>29726</v>
      </c>
      <c r="G4800" t="s">
        <v>29727</v>
      </c>
      <c r="H4800" s="4" t="s">
        <v>29728</v>
      </c>
      <c r="I4800" t="s">
        <v>71</v>
      </c>
      <c r="J4800" t="s">
        <v>10782</v>
      </c>
      <c r="K4800" t="s">
        <v>29729</v>
      </c>
    </row>
    <row r="4801" spans="1:11" ht="158.4" x14ac:dyDescent="0.3">
      <c r="A4801" s="4" t="s">
        <v>7762</v>
      </c>
      <c r="B4801">
        <v>3</v>
      </c>
      <c r="C4801">
        <v>2017</v>
      </c>
      <c r="D4801" t="s">
        <v>1002</v>
      </c>
      <c r="E4801">
        <v>101</v>
      </c>
      <c r="F4801" t="s">
        <v>29730</v>
      </c>
      <c r="G4801" t="s">
        <v>29731</v>
      </c>
      <c r="H4801" s="4" t="s">
        <v>29732</v>
      </c>
      <c r="I4801" t="s">
        <v>10823</v>
      </c>
      <c r="J4801" t="s">
        <v>10782</v>
      </c>
      <c r="K4801" t="s">
        <v>29733</v>
      </c>
    </row>
    <row r="4802" spans="1:11" ht="86.4" x14ac:dyDescent="0.3">
      <c r="A4802" s="4" t="s">
        <v>7763</v>
      </c>
      <c r="B4802">
        <v>3</v>
      </c>
      <c r="C4802">
        <v>2017</v>
      </c>
      <c r="D4802" t="s">
        <v>24893</v>
      </c>
      <c r="E4802">
        <v>1</v>
      </c>
      <c r="F4802" t="s">
        <v>29734</v>
      </c>
      <c r="G4802" t="s">
        <v>29735</v>
      </c>
      <c r="H4802" s="4" t="s">
        <v>29736</v>
      </c>
    </row>
    <row r="4803" spans="1:11" ht="43.2" x14ac:dyDescent="0.3">
      <c r="A4803" s="4" t="s">
        <v>7764</v>
      </c>
      <c r="B4803">
        <v>3</v>
      </c>
      <c r="C4803">
        <v>2017</v>
      </c>
      <c r="D4803" t="s">
        <v>19424</v>
      </c>
      <c r="E4803">
        <v>2</v>
      </c>
      <c r="F4803" t="s">
        <v>29737</v>
      </c>
      <c r="G4803" t="s">
        <v>29738</v>
      </c>
      <c r="H4803" s="4" t="s">
        <v>29739</v>
      </c>
    </row>
    <row r="4804" spans="1:11" ht="28.8" x14ac:dyDescent="0.3">
      <c r="A4804" s="4" t="s">
        <v>7765</v>
      </c>
      <c r="B4804">
        <v>3</v>
      </c>
      <c r="C4804">
        <v>2017</v>
      </c>
      <c r="D4804" t="s">
        <v>15982</v>
      </c>
      <c r="E4804">
        <v>8</v>
      </c>
      <c r="F4804" t="s">
        <v>29740</v>
      </c>
      <c r="G4804" t="s">
        <v>29741</v>
      </c>
      <c r="H4804" s="4" t="s">
        <v>71</v>
      </c>
      <c r="I4804" t="s">
        <v>10782</v>
      </c>
      <c r="J4804" t="s">
        <v>29742</v>
      </c>
    </row>
    <row r="4805" spans="1:11" ht="72" x14ac:dyDescent="0.3">
      <c r="A4805" s="4" t="s">
        <v>7766</v>
      </c>
      <c r="B4805">
        <v>3</v>
      </c>
      <c r="C4805">
        <v>2017</v>
      </c>
      <c r="D4805" t="s">
        <v>217</v>
      </c>
      <c r="E4805">
        <v>21</v>
      </c>
      <c r="F4805" t="s">
        <v>29743</v>
      </c>
      <c r="G4805" t="s">
        <v>29744</v>
      </c>
      <c r="H4805" s="4" t="s">
        <v>29745</v>
      </c>
      <c r="I4805" t="s">
        <v>71</v>
      </c>
      <c r="J4805" t="s">
        <v>10782</v>
      </c>
      <c r="K4805" t="s">
        <v>29746</v>
      </c>
    </row>
    <row r="4806" spans="1:11" ht="172.8" x14ac:dyDescent="0.3">
      <c r="A4806" s="4" t="s">
        <v>7767</v>
      </c>
      <c r="B4806">
        <v>3</v>
      </c>
      <c r="C4806">
        <v>2017</v>
      </c>
      <c r="D4806" t="s">
        <v>21123</v>
      </c>
      <c r="E4806">
        <v>15</v>
      </c>
      <c r="F4806" t="s">
        <v>29747</v>
      </c>
      <c r="G4806" t="s">
        <v>29748</v>
      </c>
      <c r="H4806" s="4" t="s">
        <v>29749</v>
      </c>
      <c r="I4806" t="s">
        <v>71</v>
      </c>
      <c r="J4806" t="s">
        <v>10782</v>
      </c>
      <c r="K4806" t="s">
        <v>29750</v>
      </c>
    </row>
    <row r="4807" spans="1:11" ht="158.4" x14ac:dyDescent="0.3">
      <c r="A4807" s="4" t="s">
        <v>7768</v>
      </c>
      <c r="B4807">
        <v>3</v>
      </c>
      <c r="C4807">
        <v>2017</v>
      </c>
      <c r="D4807" t="s">
        <v>11414</v>
      </c>
      <c r="E4807">
        <v>45</v>
      </c>
      <c r="F4807" t="s">
        <v>29751</v>
      </c>
      <c r="G4807" t="s">
        <v>29752</v>
      </c>
      <c r="H4807" s="4" t="s">
        <v>29753</v>
      </c>
      <c r="I4807" t="s">
        <v>71</v>
      </c>
      <c r="J4807" t="s">
        <v>10782</v>
      </c>
      <c r="K4807" t="s">
        <v>29754</v>
      </c>
    </row>
    <row r="4808" spans="1:11" ht="144" x14ac:dyDescent="0.3">
      <c r="A4808" s="4" t="s">
        <v>7769</v>
      </c>
      <c r="B4808">
        <v>3</v>
      </c>
      <c r="C4808">
        <v>2017</v>
      </c>
      <c r="D4808" t="s">
        <v>14173</v>
      </c>
      <c r="E4808">
        <v>6</v>
      </c>
      <c r="F4808" t="s">
        <v>29755</v>
      </c>
      <c r="G4808" t="s">
        <v>29756</v>
      </c>
      <c r="H4808" s="4" t="s">
        <v>29757</v>
      </c>
      <c r="I4808" t="s">
        <v>71</v>
      </c>
      <c r="J4808" t="s">
        <v>10782</v>
      </c>
      <c r="K4808" t="s">
        <v>29758</v>
      </c>
    </row>
    <row r="4809" spans="1:11" ht="158.4" x14ac:dyDescent="0.3">
      <c r="A4809" s="4" t="s">
        <v>7770</v>
      </c>
      <c r="B4809">
        <v>3</v>
      </c>
      <c r="C4809">
        <v>2017</v>
      </c>
      <c r="D4809" t="s">
        <v>14116</v>
      </c>
      <c r="E4809">
        <v>3</v>
      </c>
      <c r="F4809" t="s">
        <v>29759</v>
      </c>
      <c r="G4809" t="s">
        <v>29760</v>
      </c>
      <c r="H4809" s="4" t="s">
        <v>29761</v>
      </c>
      <c r="I4809" t="s">
        <v>71</v>
      </c>
      <c r="J4809" t="s">
        <v>10782</v>
      </c>
      <c r="K4809" t="s">
        <v>29762</v>
      </c>
    </row>
    <row r="4810" spans="1:11" ht="187.2" x14ac:dyDescent="0.3">
      <c r="A4810" s="4" t="s">
        <v>7771</v>
      </c>
      <c r="B4810">
        <v>3</v>
      </c>
      <c r="C4810">
        <v>2017</v>
      </c>
      <c r="D4810" t="s">
        <v>21387</v>
      </c>
      <c r="E4810">
        <v>29</v>
      </c>
      <c r="F4810" t="s">
        <v>29763</v>
      </c>
      <c r="G4810" t="s">
        <v>29764</v>
      </c>
      <c r="H4810" s="4" t="s">
        <v>29765</v>
      </c>
      <c r="I4810" t="s">
        <v>10823</v>
      </c>
      <c r="J4810" t="s">
        <v>10782</v>
      </c>
      <c r="K4810" t="s">
        <v>29766</v>
      </c>
    </row>
    <row r="4811" spans="1:11" ht="201.6" x14ac:dyDescent="0.3">
      <c r="A4811" s="4" t="s">
        <v>7772</v>
      </c>
      <c r="B4811">
        <v>3</v>
      </c>
      <c r="C4811">
        <v>2017</v>
      </c>
      <c r="D4811" t="s">
        <v>12339</v>
      </c>
      <c r="E4811">
        <v>10</v>
      </c>
      <c r="F4811" t="s">
        <v>29767</v>
      </c>
      <c r="G4811" t="s">
        <v>29768</v>
      </c>
      <c r="H4811" s="4" t="s">
        <v>29769</v>
      </c>
      <c r="I4811" t="s">
        <v>71</v>
      </c>
      <c r="J4811" t="s">
        <v>10782</v>
      </c>
      <c r="K4811" t="s">
        <v>29770</v>
      </c>
    </row>
    <row r="4812" spans="1:11" ht="158.4" x14ac:dyDescent="0.3">
      <c r="A4812" s="4" t="s">
        <v>7773</v>
      </c>
      <c r="B4812">
        <v>3</v>
      </c>
      <c r="C4812">
        <v>2017</v>
      </c>
      <c r="D4812" t="s">
        <v>679</v>
      </c>
      <c r="E4812">
        <v>18</v>
      </c>
      <c r="F4812" t="s">
        <v>29771</v>
      </c>
      <c r="G4812" t="s">
        <v>29772</v>
      </c>
      <c r="H4812" s="4" t="s">
        <v>29773</v>
      </c>
      <c r="I4812" t="s">
        <v>71</v>
      </c>
      <c r="J4812" t="s">
        <v>10782</v>
      </c>
      <c r="K4812" t="s">
        <v>29774</v>
      </c>
    </row>
    <row r="4813" spans="1:11" ht="86.4" x14ac:dyDescent="0.3">
      <c r="A4813" s="4" t="s">
        <v>7774</v>
      </c>
      <c r="B4813">
        <v>3</v>
      </c>
      <c r="C4813">
        <v>2017</v>
      </c>
      <c r="D4813" t="s">
        <v>11574</v>
      </c>
      <c r="E4813">
        <v>59</v>
      </c>
      <c r="F4813" t="s">
        <v>29775</v>
      </c>
      <c r="G4813" t="s">
        <v>29776</v>
      </c>
      <c r="H4813" s="4" t="s">
        <v>29777</v>
      </c>
    </row>
    <row r="4814" spans="1:11" ht="158.4" x14ac:dyDescent="0.3">
      <c r="A4814" s="4" t="s">
        <v>7775</v>
      </c>
      <c r="B4814">
        <v>3</v>
      </c>
      <c r="C4814">
        <v>2017</v>
      </c>
      <c r="D4814" t="s">
        <v>27619</v>
      </c>
      <c r="E4814">
        <v>6</v>
      </c>
      <c r="F4814" t="s">
        <v>29778</v>
      </c>
      <c r="G4814" t="s">
        <v>29779</v>
      </c>
      <c r="H4814" s="4" t="s">
        <v>29780</v>
      </c>
      <c r="I4814" t="s">
        <v>71</v>
      </c>
      <c r="J4814" t="s">
        <v>10782</v>
      </c>
      <c r="K4814" t="s">
        <v>29781</v>
      </c>
    </row>
    <row r="4815" spans="1:11" ht="115.2" x14ac:dyDescent="0.3">
      <c r="A4815" s="4" t="s">
        <v>7776</v>
      </c>
      <c r="B4815">
        <v>3</v>
      </c>
      <c r="C4815">
        <v>2017</v>
      </c>
      <c r="D4815" t="s">
        <v>26693</v>
      </c>
      <c r="E4815">
        <v>12</v>
      </c>
      <c r="F4815" t="s">
        <v>29782</v>
      </c>
      <c r="G4815" t="s">
        <v>29783</v>
      </c>
      <c r="H4815" s="4" t="s">
        <v>29784</v>
      </c>
      <c r="I4815" t="s">
        <v>71</v>
      </c>
      <c r="J4815" t="s">
        <v>10782</v>
      </c>
      <c r="K4815" t="s">
        <v>29785</v>
      </c>
    </row>
    <row r="4816" spans="1:11" ht="172.8" x14ac:dyDescent="0.3">
      <c r="A4816" s="4" t="s">
        <v>3380</v>
      </c>
      <c r="B4816">
        <v>1</v>
      </c>
      <c r="C4816">
        <v>2017</v>
      </c>
      <c r="D4816" t="s">
        <v>14116</v>
      </c>
      <c r="E4816">
        <v>26</v>
      </c>
      <c r="F4816" t="s">
        <v>29786</v>
      </c>
      <c r="G4816" t="s">
        <v>29787</v>
      </c>
      <c r="H4816" s="4" t="s">
        <v>29788</v>
      </c>
    </row>
    <row r="4817" spans="1:11" ht="158.4" x14ac:dyDescent="0.3">
      <c r="A4817" s="4" t="s">
        <v>7777</v>
      </c>
      <c r="B4817">
        <v>3</v>
      </c>
      <c r="C4817">
        <v>2017</v>
      </c>
      <c r="D4817" t="s">
        <v>1547</v>
      </c>
      <c r="E4817">
        <v>11</v>
      </c>
      <c r="F4817" t="s">
        <v>29789</v>
      </c>
      <c r="G4817" t="s">
        <v>29790</v>
      </c>
      <c r="H4817" s="4" t="s">
        <v>29791</v>
      </c>
      <c r="I4817" t="s">
        <v>71</v>
      </c>
      <c r="J4817" t="s">
        <v>10782</v>
      </c>
      <c r="K4817" t="s">
        <v>29792</v>
      </c>
    </row>
    <row r="4818" spans="1:11" ht="86.4" x14ac:dyDescent="0.3">
      <c r="A4818" s="4" t="s">
        <v>7778</v>
      </c>
      <c r="B4818">
        <v>3</v>
      </c>
      <c r="C4818">
        <v>2017</v>
      </c>
      <c r="D4818" t="s">
        <v>29793</v>
      </c>
      <c r="E4818">
        <v>27</v>
      </c>
      <c r="F4818" t="s">
        <v>29794</v>
      </c>
      <c r="G4818" t="s">
        <v>29795</v>
      </c>
      <c r="H4818" s="4" t="s">
        <v>29796</v>
      </c>
      <c r="I4818" t="s">
        <v>71</v>
      </c>
      <c r="J4818" t="s">
        <v>10782</v>
      </c>
      <c r="K4818" t="s">
        <v>29797</v>
      </c>
    </row>
    <row r="4819" spans="1:11" ht="187.2" x14ac:dyDescent="0.3">
      <c r="A4819" s="4" t="s">
        <v>7779</v>
      </c>
      <c r="B4819">
        <v>3</v>
      </c>
      <c r="C4819">
        <v>2017</v>
      </c>
      <c r="D4819" t="s">
        <v>11556</v>
      </c>
      <c r="E4819">
        <v>193</v>
      </c>
      <c r="F4819" t="s">
        <v>29798</v>
      </c>
      <c r="G4819" t="s">
        <v>29799</v>
      </c>
      <c r="H4819" s="4" t="s">
        <v>29800</v>
      </c>
      <c r="I4819" t="s">
        <v>71</v>
      </c>
      <c r="J4819" t="s">
        <v>10782</v>
      </c>
      <c r="K4819" t="s">
        <v>29801</v>
      </c>
    </row>
    <row r="4820" spans="1:11" ht="86.4" x14ac:dyDescent="0.3">
      <c r="A4820" s="4" t="s">
        <v>7780</v>
      </c>
      <c r="B4820">
        <v>3</v>
      </c>
      <c r="C4820">
        <v>2017</v>
      </c>
      <c r="D4820" t="s">
        <v>14796</v>
      </c>
      <c r="E4820">
        <v>4</v>
      </c>
      <c r="F4820" t="s">
        <v>29802</v>
      </c>
      <c r="G4820" t="s">
        <v>29803</v>
      </c>
      <c r="H4820" s="4" t="s">
        <v>29804</v>
      </c>
      <c r="I4820" t="s">
        <v>71</v>
      </c>
      <c r="J4820" t="s">
        <v>10782</v>
      </c>
      <c r="K4820" t="s">
        <v>29805</v>
      </c>
    </row>
    <row r="4821" spans="1:11" ht="86.4" x14ac:dyDescent="0.3">
      <c r="A4821" s="4" t="s">
        <v>7781</v>
      </c>
      <c r="B4821">
        <v>3</v>
      </c>
      <c r="C4821">
        <v>2017</v>
      </c>
      <c r="D4821" t="s">
        <v>11521</v>
      </c>
      <c r="E4821">
        <v>20</v>
      </c>
      <c r="F4821" t="s">
        <v>29806</v>
      </c>
      <c r="G4821" t="s">
        <v>29807</v>
      </c>
      <c r="H4821" s="4" t="s">
        <v>29808</v>
      </c>
    </row>
    <row r="4822" spans="1:11" ht="129.6" x14ac:dyDescent="0.3">
      <c r="A4822" s="4" t="s">
        <v>7782</v>
      </c>
      <c r="B4822">
        <v>3</v>
      </c>
      <c r="C4822">
        <v>2017</v>
      </c>
      <c r="D4822" t="s">
        <v>13685</v>
      </c>
      <c r="E4822">
        <v>24</v>
      </c>
      <c r="F4822" t="s">
        <v>29809</v>
      </c>
      <c r="G4822" t="s">
        <v>29810</v>
      </c>
      <c r="H4822" s="4" t="s">
        <v>29811</v>
      </c>
    </row>
    <row r="4823" spans="1:11" ht="43.2" x14ac:dyDescent="0.3">
      <c r="A4823" s="4" t="s">
        <v>7783</v>
      </c>
      <c r="B4823">
        <v>3</v>
      </c>
      <c r="C4823">
        <v>2017</v>
      </c>
      <c r="D4823" t="s">
        <v>29812</v>
      </c>
      <c r="E4823">
        <v>4</v>
      </c>
      <c r="G4823" t="s">
        <v>29813</v>
      </c>
      <c r="H4823" s="4" t="s">
        <v>29814</v>
      </c>
      <c r="I4823" s="4" t="s">
        <v>71</v>
      </c>
      <c r="J4823" t="s">
        <v>10782</v>
      </c>
      <c r="K4823" t="s">
        <v>29815</v>
      </c>
    </row>
    <row r="4824" spans="1:11" ht="172.8" x14ac:dyDescent="0.3">
      <c r="A4824" s="4" t="s">
        <v>7784</v>
      </c>
      <c r="B4824">
        <v>3</v>
      </c>
      <c r="C4824">
        <v>2017</v>
      </c>
      <c r="D4824" t="s">
        <v>23247</v>
      </c>
      <c r="E4824">
        <v>19</v>
      </c>
      <c r="F4824" t="s">
        <v>29816</v>
      </c>
      <c r="G4824" t="s">
        <v>29817</v>
      </c>
      <c r="H4824" s="4" t="s">
        <v>29818</v>
      </c>
    </row>
    <row r="4825" spans="1:11" ht="129.6" x14ac:dyDescent="0.3">
      <c r="A4825" s="4" t="s">
        <v>7785</v>
      </c>
      <c r="B4825">
        <v>3</v>
      </c>
      <c r="C4825">
        <v>2017</v>
      </c>
      <c r="D4825" t="s">
        <v>1525</v>
      </c>
      <c r="E4825">
        <v>51</v>
      </c>
      <c r="F4825" t="s">
        <v>29819</v>
      </c>
      <c r="G4825" t="s">
        <v>29820</v>
      </c>
      <c r="H4825" s="4" t="s">
        <v>29821</v>
      </c>
      <c r="I4825" t="s">
        <v>71</v>
      </c>
      <c r="J4825" t="s">
        <v>10782</v>
      </c>
      <c r="K4825" t="s">
        <v>29822</v>
      </c>
    </row>
    <row r="4826" spans="1:11" ht="43.2" x14ac:dyDescent="0.3">
      <c r="A4826" s="4" t="s">
        <v>7786</v>
      </c>
      <c r="B4826">
        <v>3</v>
      </c>
      <c r="C4826">
        <v>2017</v>
      </c>
      <c r="D4826" t="s">
        <v>11649</v>
      </c>
      <c r="E4826">
        <v>24</v>
      </c>
      <c r="F4826" t="s">
        <v>29823</v>
      </c>
      <c r="G4826" t="s">
        <v>29824</v>
      </c>
      <c r="H4826" s="4" t="s">
        <v>29825</v>
      </c>
    </row>
    <row r="4827" spans="1:11" ht="158.4" x14ac:dyDescent="0.3">
      <c r="A4827" s="4" t="s">
        <v>7787</v>
      </c>
      <c r="B4827">
        <v>3</v>
      </c>
      <c r="C4827">
        <v>2017</v>
      </c>
      <c r="D4827" t="s">
        <v>29826</v>
      </c>
      <c r="E4827">
        <v>21</v>
      </c>
      <c r="F4827" t="s">
        <v>29827</v>
      </c>
      <c r="G4827" t="s">
        <v>29828</v>
      </c>
      <c r="H4827" s="4" t="s">
        <v>29829</v>
      </c>
      <c r="I4827" t="s">
        <v>71</v>
      </c>
      <c r="J4827" t="s">
        <v>10782</v>
      </c>
      <c r="K4827" t="s">
        <v>29830</v>
      </c>
    </row>
    <row r="4828" spans="1:11" ht="129.6" x14ac:dyDescent="0.3">
      <c r="A4828" s="4" t="s">
        <v>7788</v>
      </c>
      <c r="B4828">
        <v>3</v>
      </c>
      <c r="C4828">
        <v>2017</v>
      </c>
      <c r="D4828" t="s">
        <v>105</v>
      </c>
      <c r="E4828">
        <v>0</v>
      </c>
      <c r="G4828" t="s">
        <v>29831</v>
      </c>
      <c r="H4828" s="4" t="s">
        <v>29832</v>
      </c>
      <c r="I4828" s="4" t="s">
        <v>71</v>
      </c>
      <c r="J4828" t="s">
        <v>10782</v>
      </c>
      <c r="K4828" t="s">
        <v>29833</v>
      </c>
    </row>
    <row r="4829" spans="1:11" ht="158.4" x14ac:dyDescent="0.3">
      <c r="A4829" s="4" t="s">
        <v>7789</v>
      </c>
      <c r="B4829">
        <v>3</v>
      </c>
      <c r="C4829">
        <v>2017</v>
      </c>
      <c r="D4829" t="s">
        <v>11164</v>
      </c>
      <c r="E4829">
        <v>27</v>
      </c>
      <c r="F4829" t="s">
        <v>29834</v>
      </c>
      <c r="G4829" t="s">
        <v>29835</v>
      </c>
      <c r="H4829" s="4" t="s">
        <v>29836</v>
      </c>
    </row>
    <row r="4830" spans="1:11" ht="129.6" x14ac:dyDescent="0.3">
      <c r="A4830" s="4" t="s">
        <v>7790</v>
      </c>
      <c r="B4830">
        <v>3</v>
      </c>
      <c r="C4830">
        <v>2017</v>
      </c>
      <c r="D4830" t="s">
        <v>12875</v>
      </c>
      <c r="E4830">
        <v>102</v>
      </c>
      <c r="F4830" t="s">
        <v>29837</v>
      </c>
      <c r="G4830" t="s">
        <v>29838</v>
      </c>
      <c r="H4830" s="4" t="s">
        <v>29839</v>
      </c>
      <c r="I4830" t="s">
        <v>71</v>
      </c>
      <c r="J4830" t="s">
        <v>10782</v>
      </c>
      <c r="K4830" t="s">
        <v>29840</v>
      </c>
    </row>
    <row r="4831" spans="1:11" ht="230.4" x14ac:dyDescent="0.3">
      <c r="A4831" s="4" t="s">
        <v>7791</v>
      </c>
      <c r="B4831">
        <v>3</v>
      </c>
      <c r="C4831">
        <v>2017</v>
      </c>
      <c r="D4831" t="s">
        <v>11164</v>
      </c>
      <c r="E4831">
        <v>32</v>
      </c>
      <c r="F4831" t="s">
        <v>29841</v>
      </c>
      <c r="G4831" t="s">
        <v>29842</v>
      </c>
      <c r="H4831" s="4" t="s">
        <v>29843</v>
      </c>
      <c r="I4831" t="s">
        <v>71</v>
      </c>
      <c r="J4831" t="s">
        <v>10782</v>
      </c>
      <c r="K4831" t="s">
        <v>29844</v>
      </c>
    </row>
    <row r="4832" spans="1:11" ht="172.8" x14ac:dyDescent="0.3">
      <c r="A4832" s="4" t="s">
        <v>7792</v>
      </c>
      <c r="B4832">
        <v>3</v>
      </c>
      <c r="C4832">
        <v>2017</v>
      </c>
      <c r="D4832" t="s">
        <v>799</v>
      </c>
      <c r="E4832">
        <v>9</v>
      </c>
      <c r="F4832" t="s">
        <v>29845</v>
      </c>
      <c r="G4832" t="s">
        <v>29846</v>
      </c>
      <c r="H4832" s="4" t="s">
        <v>29847</v>
      </c>
    </row>
    <row r="4833" spans="1:11" ht="187.2" x14ac:dyDescent="0.3">
      <c r="A4833" s="4" t="s">
        <v>7793</v>
      </c>
      <c r="B4833">
        <v>3</v>
      </c>
      <c r="C4833">
        <v>2017</v>
      </c>
      <c r="D4833" t="s">
        <v>217</v>
      </c>
      <c r="E4833">
        <v>13</v>
      </c>
      <c r="F4833" t="s">
        <v>29848</v>
      </c>
      <c r="G4833" t="s">
        <v>29849</v>
      </c>
      <c r="H4833" s="4" t="s">
        <v>29850</v>
      </c>
      <c r="I4833" t="s">
        <v>71</v>
      </c>
      <c r="J4833" t="s">
        <v>10782</v>
      </c>
      <c r="K4833" t="s">
        <v>29851</v>
      </c>
    </row>
    <row r="4834" spans="1:11" ht="201.6" x14ac:dyDescent="0.3">
      <c r="A4834" s="4" t="s">
        <v>7794</v>
      </c>
      <c r="B4834">
        <v>3</v>
      </c>
      <c r="C4834">
        <v>2017</v>
      </c>
      <c r="D4834" t="s">
        <v>29852</v>
      </c>
      <c r="E4834">
        <v>25</v>
      </c>
      <c r="F4834" t="s">
        <v>29853</v>
      </c>
      <c r="G4834" t="s">
        <v>29854</v>
      </c>
      <c r="H4834" s="4" t="s">
        <v>29855</v>
      </c>
      <c r="I4834" t="s">
        <v>71</v>
      </c>
      <c r="J4834" t="s">
        <v>10782</v>
      </c>
      <c r="K4834" t="s">
        <v>29856</v>
      </c>
    </row>
    <row r="4835" spans="1:11" ht="187.2" x14ac:dyDescent="0.3">
      <c r="A4835" s="4" t="s">
        <v>7795</v>
      </c>
      <c r="B4835">
        <v>3</v>
      </c>
      <c r="C4835">
        <v>2017</v>
      </c>
      <c r="D4835" t="s">
        <v>434</v>
      </c>
      <c r="E4835">
        <v>20</v>
      </c>
      <c r="F4835" t="s">
        <v>29857</v>
      </c>
      <c r="G4835" t="s">
        <v>29858</v>
      </c>
      <c r="H4835" s="4" t="s">
        <v>29859</v>
      </c>
      <c r="I4835" t="s">
        <v>71</v>
      </c>
      <c r="J4835" t="s">
        <v>10782</v>
      </c>
      <c r="K4835" t="s">
        <v>29860</v>
      </c>
    </row>
    <row r="4836" spans="1:11" ht="144" x14ac:dyDescent="0.3">
      <c r="A4836" s="4" t="s">
        <v>7796</v>
      </c>
      <c r="B4836">
        <v>3</v>
      </c>
      <c r="C4836">
        <v>2017</v>
      </c>
      <c r="D4836" t="s">
        <v>14199</v>
      </c>
      <c r="E4836">
        <v>4</v>
      </c>
      <c r="F4836" t="s">
        <v>29861</v>
      </c>
      <c r="G4836" t="s">
        <v>29862</v>
      </c>
      <c r="H4836" s="4" t="s">
        <v>29863</v>
      </c>
      <c r="I4836" t="s">
        <v>71</v>
      </c>
      <c r="J4836" t="s">
        <v>10782</v>
      </c>
      <c r="K4836" t="s">
        <v>29864</v>
      </c>
    </row>
    <row r="4837" spans="1:11" ht="86.4" x14ac:dyDescent="0.3">
      <c r="A4837" s="4" t="s">
        <v>7797</v>
      </c>
      <c r="B4837">
        <v>3</v>
      </c>
      <c r="C4837">
        <v>2017</v>
      </c>
      <c r="D4837" t="s">
        <v>11164</v>
      </c>
      <c r="E4837">
        <v>8</v>
      </c>
      <c r="F4837" t="s">
        <v>29865</v>
      </c>
      <c r="G4837" t="s">
        <v>29866</v>
      </c>
      <c r="H4837" s="4" t="s">
        <v>29867</v>
      </c>
    </row>
    <row r="4838" spans="1:11" ht="115.2" x14ac:dyDescent="0.3">
      <c r="A4838" s="4" t="s">
        <v>7798</v>
      </c>
      <c r="B4838">
        <v>3</v>
      </c>
      <c r="C4838">
        <v>2017</v>
      </c>
      <c r="D4838" t="s">
        <v>679</v>
      </c>
      <c r="E4838">
        <v>47</v>
      </c>
      <c r="F4838" t="s">
        <v>29868</v>
      </c>
      <c r="G4838" t="s">
        <v>29869</v>
      </c>
      <c r="H4838" s="4" t="s">
        <v>29870</v>
      </c>
      <c r="I4838" t="s">
        <v>71</v>
      </c>
      <c r="J4838" t="s">
        <v>10782</v>
      </c>
      <c r="K4838" t="s">
        <v>29871</v>
      </c>
    </row>
    <row r="4839" spans="1:11" ht="28.8" x14ac:dyDescent="0.3">
      <c r="A4839" s="4" t="s">
        <v>7799</v>
      </c>
      <c r="B4839">
        <v>3</v>
      </c>
      <c r="C4839">
        <v>2017</v>
      </c>
      <c r="D4839" t="s">
        <v>1570</v>
      </c>
      <c r="E4839">
        <v>20</v>
      </c>
      <c r="F4839" t="s">
        <v>29872</v>
      </c>
      <c r="G4839" t="s">
        <v>29873</v>
      </c>
      <c r="H4839" s="4" t="s">
        <v>29874</v>
      </c>
    </row>
    <row r="4840" spans="1:11" ht="172.8" x14ac:dyDescent="0.3">
      <c r="A4840" s="4" t="s">
        <v>7800</v>
      </c>
      <c r="B4840">
        <v>3</v>
      </c>
      <c r="C4840">
        <v>2017</v>
      </c>
      <c r="D4840" t="s">
        <v>29875</v>
      </c>
      <c r="E4840">
        <v>15</v>
      </c>
      <c r="G4840" t="s">
        <v>29876</v>
      </c>
      <c r="H4840" s="4" t="s">
        <v>29877</v>
      </c>
      <c r="I4840" s="4" t="s">
        <v>71</v>
      </c>
      <c r="J4840" t="s">
        <v>10782</v>
      </c>
      <c r="K4840" t="s">
        <v>29878</v>
      </c>
    </row>
    <row r="4841" spans="1:11" ht="172.8" x14ac:dyDescent="0.3">
      <c r="A4841" s="4" t="s">
        <v>7801</v>
      </c>
      <c r="B4841">
        <v>3</v>
      </c>
      <c r="C4841">
        <v>2017</v>
      </c>
      <c r="D4841" t="s">
        <v>105</v>
      </c>
      <c r="E4841">
        <v>7</v>
      </c>
      <c r="G4841" t="s">
        <v>29879</v>
      </c>
      <c r="H4841" s="4" t="s">
        <v>29880</v>
      </c>
      <c r="I4841" s="4" t="s">
        <v>71</v>
      </c>
      <c r="J4841" t="s">
        <v>10782</v>
      </c>
      <c r="K4841" t="s">
        <v>29881</v>
      </c>
    </row>
    <row r="4842" spans="1:11" ht="187.2" x14ac:dyDescent="0.3">
      <c r="A4842" s="4" t="s">
        <v>7802</v>
      </c>
      <c r="B4842">
        <v>3</v>
      </c>
      <c r="C4842">
        <v>2017</v>
      </c>
      <c r="D4842" t="s">
        <v>21387</v>
      </c>
      <c r="E4842">
        <v>24</v>
      </c>
      <c r="F4842" t="s">
        <v>29882</v>
      </c>
      <c r="G4842" t="s">
        <v>29883</v>
      </c>
      <c r="H4842" s="4" t="s">
        <v>29884</v>
      </c>
      <c r="I4842" t="s">
        <v>71</v>
      </c>
      <c r="J4842" t="s">
        <v>10782</v>
      </c>
      <c r="K4842" t="s">
        <v>29885</v>
      </c>
    </row>
    <row r="4843" spans="1:11" ht="129.6" x14ac:dyDescent="0.3">
      <c r="A4843" s="4" t="s">
        <v>7803</v>
      </c>
      <c r="B4843">
        <v>3</v>
      </c>
      <c r="C4843">
        <v>2017</v>
      </c>
      <c r="D4843" t="s">
        <v>16622</v>
      </c>
      <c r="E4843">
        <v>19</v>
      </c>
      <c r="F4843" t="s">
        <v>29886</v>
      </c>
      <c r="G4843" t="s">
        <v>29887</v>
      </c>
      <c r="H4843" s="4" t="s">
        <v>29888</v>
      </c>
      <c r="I4843" t="s">
        <v>71</v>
      </c>
      <c r="J4843" t="s">
        <v>10782</v>
      </c>
      <c r="K4843" t="s">
        <v>29889</v>
      </c>
    </row>
    <row r="4844" spans="1:11" ht="115.2" x14ac:dyDescent="0.3">
      <c r="A4844" s="4" t="s">
        <v>7804</v>
      </c>
      <c r="B4844">
        <v>3</v>
      </c>
      <c r="C4844">
        <v>2017</v>
      </c>
      <c r="D4844" t="s">
        <v>16771</v>
      </c>
      <c r="E4844">
        <v>18</v>
      </c>
      <c r="F4844" t="s">
        <v>29890</v>
      </c>
      <c r="G4844" t="s">
        <v>29891</v>
      </c>
      <c r="H4844" s="4" t="s">
        <v>29892</v>
      </c>
    </row>
    <row r="4845" spans="1:11" ht="28.8" x14ac:dyDescent="0.3">
      <c r="A4845" s="4" t="s">
        <v>7805</v>
      </c>
      <c r="B4845">
        <v>3</v>
      </c>
      <c r="C4845">
        <v>2017</v>
      </c>
      <c r="D4845" t="s">
        <v>18415</v>
      </c>
      <c r="E4845">
        <v>3</v>
      </c>
      <c r="F4845" t="s">
        <v>29893</v>
      </c>
      <c r="G4845" t="s">
        <v>29894</v>
      </c>
    </row>
    <row r="4846" spans="1:11" ht="201.6" x14ac:dyDescent="0.3">
      <c r="A4846" s="4" t="s">
        <v>7806</v>
      </c>
      <c r="B4846">
        <v>3</v>
      </c>
      <c r="C4846">
        <v>2017</v>
      </c>
      <c r="D4846" t="s">
        <v>13685</v>
      </c>
      <c r="E4846">
        <v>44</v>
      </c>
      <c r="F4846" t="s">
        <v>29895</v>
      </c>
      <c r="G4846" t="s">
        <v>29896</v>
      </c>
      <c r="H4846" s="4" t="s">
        <v>29897</v>
      </c>
      <c r="I4846" t="s">
        <v>71</v>
      </c>
      <c r="J4846" t="s">
        <v>10782</v>
      </c>
      <c r="K4846" t="s">
        <v>29898</v>
      </c>
    </row>
    <row r="4847" spans="1:11" ht="100.8" x14ac:dyDescent="0.3">
      <c r="A4847" s="4" t="s">
        <v>7807</v>
      </c>
      <c r="B4847">
        <v>3</v>
      </c>
      <c r="C4847">
        <v>2017</v>
      </c>
      <c r="D4847" t="s">
        <v>11521</v>
      </c>
      <c r="E4847">
        <v>32</v>
      </c>
      <c r="F4847" t="s">
        <v>29899</v>
      </c>
      <c r="G4847" t="s">
        <v>29900</v>
      </c>
      <c r="H4847" s="4" t="s">
        <v>29901</v>
      </c>
    </row>
    <row r="4848" spans="1:11" ht="187.2" x14ac:dyDescent="0.3">
      <c r="A4848" s="4" t="s">
        <v>7808</v>
      </c>
      <c r="B4848">
        <v>3</v>
      </c>
      <c r="C4848">
        <v>2017</v>
      </c>
      <c r="D4848" t="s">
        <v>83</v>
      </c>
      <c r="E4848">
        <v>72</v>
      </c>
      <c r="F4848" t="s">
        <v>29902</v>
      </c>
      <c r="G4848" t="s">
        <v>29903</v>
      </c>
      <c r="H4848" s="4" t="s">
        <v>29904</v>
      </c>
      <c r="I4848" t="s">
        <v>71</v>
      </c>
      <c r="J4848" t="s">
        <v>10782</v>
      </c>
      <c r="K4848" t="s">
        <v>29905</v>
      </c>
    </row>
    <row r="4849" spans="1:11" ht="86.4" x14ac:dyDescent="0.3">
      <c r="A4849" s="4" t="s">
        <v>7809</v>
      </c>
      <c r="B4849">
        <v>3</v>
      </c>
      <c r="C4849">
        <v>2017</v>
      </c>
      <c r="D4849" t="s">
        <v>550</v>
      </c>
      <c r="E4849">
        <v>11</v>
      </c>
      <c r="F4849" t="s">
        <v>29906</v>
      </c>
      <c r="G4849" t="s">
        <v>29907</v>
      </c>
      <c r="H4849" s="4" t="s">
        <v>29908</v>
      </c>
    </row>
    <row r="4850" spans="1:11" ht="158.4" x14ac:dyDescent="0.3">
      <c r="A4850" s="4" t="s">
        <v>7810</v>
      </c>
      <c r="B4850">
        <v>3</v>
      </c>
      <c r="C4850">
        <v>2017</v>
      </c>
      <c r="D4850" t="s">
        <v>12875</v>
      </c>
      <c r="E4850">
        <v>16</v>
      </c>
      <c r="F4850" t="s">
        <v>29909</v>
      </c>
      <c r="G4850" t="s">
        <v>29910</v>
      </c>
      <c r="H4850" s="4" t="s">
        <v>29911</v>
      </c>
      <c r="I4850" t="s">
        <v>71</v>
      </c>
      <c r="J4850" t="s">
        <v>10782</v>
      </c>
      <c r="K4850" t="s">
        <v>29912</v>
      </c>
    </row>
    <row r="4851" spans="1:11" ht="115.2" x14ac:dyDescent="0.3">
      <c r="A4851" s="4" t="s">
        <v>7811</v>
      </c>
      <c r="B4851">
        <v>3</v>
      </c>
      <c r="C4851">
        <v>2017</v>
      </c>
      <c r="D4851" t="s">
        <v>29913</v>
      </c>
      <c r="E4851">
        <v>43</v>
      </c>
      <c r="F4851" t="s">
        <v>29914</v>
      </c>
      <c r="G4851" t="s">
        <v>29915</v>
      </c>
      <c r="H4851" s="4" t="s">
        <v>29916</v>
      </c>
      <c r="I4851" t="s">
        <v>71</v>
      </c>
      <c r="J4851" t="s">
        <v>10782</v>
      </c>
      <c r="K4851" t="s">
        <v>29917</v>
      </c>
    </row>
    <row r="4852" spans="1:11" ht="409.6" x14ac:dyDescent="0.3">
      <c r="A4852" s="4" t="s">
        <v>7812</v>
      </c>
      <c r="B4852">
        <v>3</v>
      </c>
      <c r="C4852">
        <v>2017</v>
      </c>
      <c r="D4852" t="s">
        <v>29918</v>
      </c>
      <c r="E4852">
        <v>0</v>
      </c>
      <c r="G4852" t="s">
        <v>29919</v>
      </c>
      <c r="H4852" s="4" t="s">
        <v>29920</v>
      </c>
      <c r="I4852" s="4" t="s">
        <v>71</v>
      </c>
      <c r="J4852" t="s">
        <v>10782</v>
      </c>
      <c r="K4852" t="s">
        <v>29921</v>
      </c>
    </row>
    <row r="4853" spans="1:11" ht="115.2" x14ac:dyDescent="0.3">
      <c r="A4853" s="4" t="s">
        <v>7813</v>
      </c>
      <c r="B4853">
        <v>3</v>
      </c>
      <c r="C4853">
        <v>2017</v>
      </c>
      <c r="D4853" t="s">
        <v>14692</v>
      </c>
      <c r="E4853">
        <v>4</v>
      </c>
      <c r="G4853" t="s">
        <v>29922</v>
      </c>
      <c r="H4853" s="4" t="s">
        <v>29923</v>
      </c>
      <c r="I4853" s="4" t="s">
        <v>71</v>
      </c>
      <c r="J4853" t="s">
        <v>10782</v>
      </c>
      <c r="K4853" t="s">
        <v>29924</v>
      </c>
    </row>
    <row r="4854" spans="1:11" ht="172.8" x14ac:dyDescent="0.3">
      <c r="A4854" s="4" t="s">
        <v>7814</v>
      </c>
      <c r="B4854">
        <v>3</v>
      </c>
      <c r="C4854">
        <v>2017</v>
      </c>
      <c r="D4854" t="s">
        <v>12364</v>
      </c>
      <c r="E4854">
        <v>5</v>
      </c>
      <c r="F4854" t="s">
        <v>29925</v>
      </c>
      <c r="G4854" t="s">
        <v>29926</v>
      </c>
      <c r="H4854" s="4" t="s">
        <v>29927</v>
      </c>
      <c r="I4854" t="s">
        <v>71</v>
      </c>
      <c r="J4854" t="s">
        <v>10782</v>
      </c>
      <c r="K4854" t="s">
        <v>29928</v>
      </c>
    </row>
    <row r="4855" spans="1:11" ht="158.4" x14ac:dyDescent="0.3">
      <c r="A4855" s="4" t="s">
        <v>7815</v>
      </c>
      <c r="B4855">
        <v>3</v>
      </c>
      <c r="C4855">
        <v>2017</v>
      </c>
      <c r="D4855" t="s">
        <v>23720</v>
      </c>
      <c r="E4855">
        <v>17</v>
      </c>
      <c r="F4855" t="s">
        <v>29929</v>
      </c>
      <c r="G4855" t="s">
        <v>29930</v>
      </c>
      <c r="H4855" s="4" t="s">
        <v>29931</v>
      </c>
      <c r="I4855" t="s">
        <v>71</v>
      </c>
      <c r="J4855" t="s">
        <v>10782</v>
      </c>
      <c r="K4855" t="s">
        <v>29932</v>
      </c>
    </row>
    <row r="4856" spans="1:11" ht="158.4" x14ac:dyDescent="0.3">
      <c r="A4856" s="4" t="s">
        <v>7816</v>
      </c>
      <c r="B4856">
        <v>3</v>
      </c>
      <c r="C4856">
        <v>2017</v>
      </c>
      <c r="D4856" t="s">
        <v>2628</v>
      </c>
      <c r="E4856">
        <v>20</v>
      </c>
      <c r="F4856" t="s">
        <v>29933</v>
      </c>
      <c r="G4856" t="s">
        <v>29934</v>
      </c>
      <c r="H4856" s="4" t="s">
        <v>29935</v>
      </c>
      <c r="I4856" t="s">
        <v>71</v>
      </c>
      <c r="J4856" t="s">
        <v>10782</v>
      </c>
      <c r="K4856" t="s">
        <v>29936</v>
      </c>
    </row>
    <row r="4857" spans="1:11" ht="172.8" x14ac:dyDescent="0.3">
      <c r="A4857" s="4" t="s">
        <v>7817</v>
      </c>
      <c r="B4857">
        <v>3</v>
      </c>
      <c r="C4857">
        <v>2017</v>
      </c>
      <c r="D4857" t="s">
        <v>12593</v>
      </c>
      <c r="E4857">
        <v>30</v>
      </c>
      <c r="F4857" t="s">
        <v>29937</v>
      </c>
      <c r="G4857" t="s">
        <v>29938</v>
      </c>
      <c r="H4857" s="4" t="s">
        <v>29939</v>
      </c>
      <c r="I4857" t="s">
        <v>71</v>
      </c>
      <c r="J4857" t="s">
        <v>10782</v>
      </c>
      <c r="K4857" t="s">
        <v>29940</v>
      </c>
    </row>
    <row r="4858" spans="1:11" ht="144" x14ac:dyDescent="0.3">
      <c r="A4858" s="4" t="s">
        <v>7818</v>
      </c>
      <c r="B4858">
        <v>3</v>
      </c>
      <c r="C4858">
        <v>2017</v>
      </c>
      <c r="D4858" t="s">
        <v>11569</v>
      </c>
      <c r="E4858">
        <v>23</v>
      </c>
      <c r="F4858" t="s">
        <v>29941</v>
      </c>
      <c r="G4858" t="s">
        <v>29942</v>
      </c>
      <c r="H4858" s="4" t="s">
        <v>29943</v>
      </c>
      <c r="I4858" t="s">
        <v>71</v>
      </c>
      <c r="J4858" t="s">
        <v>10782</v>
      </c>
      <c r="K4858" t="s">
        <v>29944</v>
      </c>
    </row>
    <row r="4859" spans="1:11" ht="216" x14ac:dyDescent="0.3">
      <c r="A4859" s="4" t="s">
        <v>7819</v>
      </c>
      <c r="B4859">
        <v>3</v>
      </c>
      <c r="C4859">
        <v>2017</v>
      </c>
      <c r="D4859" t="s">
        <v>2210</v>
      </c>
      <c r="E4859">
        <v>2</v>
      </c>
      <c r="F4859" t="s">
        <v>29945</v>
      </c>
      <c r="G4859" t="s">
        <v>29946</v>
      </c>
      <c r="H4859" s="4" t="s">
        <v>29947</v>
      </c>
      <c r="I4859" t="s">
        <v>71</v>
      </c>
      <c r="J4859" t="s">
        <v>10782</v>
      </c>
      <c r="K4859" t="s">
        <v>29948</v>
      </c>
    </row>
    <row r="4860" spans="1:11" ht="115.2" x14ac:dyDescent="0.3">
      <c r="A4860" s="4" t="s">
        <v>7820</v>
      </c>
      <c r="B4860">
        <v>3</v>
      </c>
      <c r="C4860">
        <v>2017</v>
      </c>
      <c r="D4860" t="s">
        <v>19414</v>
      </c>
      <c r="E4860">
        <v>8</v>
      </c>
      <c r="F4860" t="s">
        <v>29949</v>
      </c>
      <c r="G4860" t="s">
        <v>29950</v>
      </c>
      <c r="H4860" s="4" t="s">
        <v>29951</v>
      </c>
      <c r="I4860" t="s">
        <v>71</v>
      </c>
      <c r="J4860" t="s">
        <v>10782</v>
      </c>
      <c r="K4860" t="s">
        <v>29952</v>
      </c>
    </row>
    <row r="4861" spans="1:11" ht="86.4" x14ac:dyDescent="0.3">
      <c r="A4861" s="4" t="s">
        <v>7821</v>
      </c>
      <c r="B4861">
        <v>3</v>
      </c>
      <c r="C4861">
        <v>2017</v>
      </c>
      <c r="D4861" t="s">
        <v>2389</v>
      </c>
      <c r="E4861">
        <v>0</v>
      </c>
      <c r="F4861" t="s">
        <v>29953</v>
      </c>
      <c r="G4861" t="s">
        <v>29954</v>
      </c>
      <c r="H4861" s="4" t="s">
        <v>29955</v>
      </c>
      <c r="I4861" t="s">
        <v>71</v>
      </c>
      <c r="J4861" t="s">
        <v>10782</v>
      </c>
      <c r="K4861" t="s">
        <v>29956</v>
      </c>
    </row>
    <row r="4862" spans="1:11" ht="144" x14ac:dyDescent="0.3">
      <c r="A4862" s="4" t="s">
        <v>7822</v>
      </c>
      <c r="B4862">
        <v>3</v>
      </c>
      <c r="C4862">
        <v>2017</v>
      </c>
      <c r="D4862" t="s">
        <v>29957</v>
      </c>
      <c r="E4862">
        <v>0</v>
      </c>
      <c r="F4862" t="s">
        <v>29958</v>
      </c>
      <c r="G4862" t="s">
        <v>29959</v>
      </c>
      <c r="H4862" s="4" t="s">
        <v>29960</v>
      </c>
      <c r="I4862" t="s">
        <v>71</v>
      </c>
      <c r="J4862" t="s">
        <v>10782</v>
      </c>
      <c r="K4862" t="s">
        <v>29961</v>
      </c>
    </row>
    <row r="4863" spans="1:11" ht="129.6" x14ac:dyDescent="0.3">
      <c r="A4863" s="4" t="s">
        <v>3608</v>
      </c>
      <c r="B4863">
        <v>2</v>
      </c>
      <c r="C4863">
        <v>2017</v>
      </c>
      <c r="D4863" t="s">
        <v>10072</v>
      </c>
      <c r="E4863">
        <v>43</v>
      </c>
      <c r="F4863" t="s">
        <v>29962</v>
      </c>
      <c r="G4863" t="s">
        <v>29963</v>
      </c>
      <c r="H4863" s="4" t="s">
        <v>29964</v>
      </c>
      <c r="I4863" t="s">
        <v>71</v>
      </c>
      <c r="J4863" t="s">
        <v>10782</v>
      </c>
      <c r="K4863" t="s">
        <v>29965</v>
      </c>
    </row>
    <row r="4864" spans="1:11" ht="144" x14ac:dyDescent="0.3">
      <c r="A4864" s="4" t="s">
        <v>7823</v>
      </c>
      <c r="B4864">
        <v>3</v>
      </c>
      <c r="C4864">
        <v>2017</v>
      </c>
      <c r="D4864" t="s">
        <v>10072</v>
      </c>
      <c r="E4864">
        <v>42</v>
      </c>
      <c r="F4864" t="s">
        <v>29966</v>
      </c>
      <c r="G4864" t="s">
        <v>29967</v>
      </c>
      <c r="H4864" s="4" t="s">
        <v>29968</v>
      </c>
      <c r="I4864" t="s">
        <v>71</v>
      </c>
      <c r="J4864" t="s">
        <v>10782</v>
      </c>
      <c r="K4864" t="s">
        <v>29969</v>
      </c>
    </row>
    <row r="4865" spans="1:11" ht="172.8" x14ac:dyDescent="0.3">
      <c r="A4865" s="4" t="s">
        <v>7824</v>
      </c>
      <c r="B4865">
        <v>3</v>
      </c>
      <c r="C4865">
        <v>2017</v>
      </c>
      <c r="D4865" t="s">
        <v>11263</v>
      </c>
      <c r="E4865">
        <v>32</v>
      </c>
      <c r="F4865" t="s">
        <v>29970</v>
      </c>
      <c r="G4865" t="s">
        <v>29971</v>
      </c>
      <c r="H4865" s="4" t="s">
        <v>29972</v>
      </c>
    </row>
    <row r="4866" spans="1:11" ht="216" x14ac:dyDescent="0.3">
      <c r="A4866" s="4" t="s">
        <v>7825</v>
      </c>
      <c r="B4866">
        <v>3</v>
      </c>
      <c r="C4866">
        <v>2017</v>
      </c>
      <c r="D4866" t="s">
        <v>14512</v>
      </c>
      <c r="E4866">
        <v>32</v>
      </c>
      <c r="F4866" t="s">
        <v>29973</v>
      </c>
      <c r="G4866" t="s">
        <v>29974</v>
      </c>
      <c r="H4866" s="4" t="s">
        <v>29975</v>
      </c>
      <c r="I4866" t="s">
        <v>71</v>
      </c>
      <c r="J4866" t="s">
        <v>10782</v>
      </c>
      <c r="K4866" t="s">
        <v>29976</v>
      </c>
    </row>
    <row r="4867" spans="1:11" ht="115.2" x14ac:dyDescent="0.3">
      <c r="A4867" s="4" t="s">
        <v>7826</v>
      </c>
      <c r="B4867">
        <v>3</v>
      </c>
      <c r="C4867">
        <v>2017</v>
      </c>
      <c r="D4867" t="s">
        <v>13394</v>
      </c>
      <c r="E4867">
        <v>41</v>
      </c>
      <c r="F4867" t="s">
        <v>29977</v>
      </c>
      <c r="G4867" t="s">
        <v>29978</v>
      </c>
      <c r="H4867" s="4" t="s">
        <v>29979</v>
      </c>
    </row>
    <row r="4868" spans="1:11" ht="144" x14ac:dyDescent="0.3">
      <c r="A4868" s="4" t="s">
        <v>7827</v>
      </c>
      <c r="B4868">
        <v>3</v>
      </c>
      <c r="C4868">
        <v>2017</v>
      </c>
      <c r="D4868" t="s">
        <v>1877</v>
      </c>
      <c r="E4868">
        <v>36</v>
      </c>
      <c r="F4868" t="s">
        <v>29980</v>
      </c>
      <c r="G4868" t="s">
        <v>29981</v>
      </c>
      <c r="H4868" s="4" t="s">
        <v>29982</v>
      </c>
      <c r="I4868" t="s">
        <v>71</v>
      </c>
      <c r="J4868" t="s">
        <v>10782</v>
      </c>
      <c r="K4868" t="s">
        <v>29983</v>
      </c>
    </row>
    <row r="4869" spans="1:11" ht="158.4" x14ac:dyDescent="0.3">
      <c r="A4869" s="4" t="s">
        <v>7828</v>
      </c>
      <c r="B4869">
        <v>3</v>
      </c>
      <c r="C4869">
        <v>2017</v>
      </c>
      <c r="D4869" t="s">
        <v>2742</v>
      </c>
      <c r="E4869">
        <v>26</v>
      </c>
      <c r="F4869" t="s">
        <v>29984</v>
      </c>
      <c r="G4869" t="s">
        <v>29985</v>
      </c>
      <c r="H4869" s="4" t="s">
        <v>29986</v>
      </c>
      <c r="I4869" t="s">
        <v>71</v>
      </c>
      <c r="J4869" t="s">
        <v>10782</v>
      </c>
      <c r="K4869" t="s">
        <v>29987</v>
      </c>
    </row>
    <row r="4870" spans="1:11" ht="100.8" x14ac:dyDescent="0.3">
      <c r="A4870" s="4" t="s">
        <v>7829</v>
      </c>
      <c r="B4870">
        <v>3</v>
      </c>
      <c r="C4870">
        <v>2017</v>
      </c>
      <c r="D4870" t="s">
        <v>29988</v>
      </c>
      <c r="E4870">
        <v>0</v>
      </c>
      <c r="F4870" t="s">
        <v>29989</v>
      </c>
      <c r="G4870" t="s">
        <v>29990</v>
      </c>
      <c r="H4870" s="4" t="s">
        <v>29991</v>
      </c>
      <c r="I4870" t="s">
        <v>71</v>
      </c>
      <c r="J4870" t="s">
        <v>10782</v>
      </c>
      <c r="K4870" t="s">
        <v>29992</v>
      </c>
    </row>
    <row r="4871" spans="1:11" ht="57.6" x14ac:dyDescent="0.3">
      <c r="A4871" s="4" t="s">
        <v>7830</v>
      </c>
      <c r="B4871">
        <v>3</v>
      </c>
      <c r="C4871">
        <v>2017</v>
      </c>
      <c r="D4871" t="s">
        <v>29993</v>
      </c>
      <c r="E4871">
        <v>1</v>
      </c>
      <c r="F4871" t="s">
        <v>29994</v>
      </c>
      <c r="G4871" t="s">
        <v>29995</v>
      </c>
      <c r="H4871" s="4" t="s">
        <v>29996</v>
      </c>
      <c r="I4871" t="s">
        <v>71</v>
      </c>
      <c r="J4871" t="s">
        <v>10782</v>
      </c>
      <c r="K4871" t="s">
        <v>29997</v>
      </c>
    </row>
    <row r="4872" spans="1:11" ht="144" x14ac:dyDescent="0.3">
      <c r="A4872" s="4" t="s">
        <v>7831</v>
      </c>
      <c r="B4872">
        <v>3</v>
      </c>
      <c r="C4872">
        <v>2017</v>
      </c>
      <c r="D4872" t="s">
        <v>29998</v>
      </c>
      <c r="E4872">
        <v>3</v>
      </c>
      <c r="F4872" t="s">
        <v>29999</v>
      </c>
      <c r="G4872" t="s">
        <v>30000</v>
      </c>
      <c r="H4872" s="4" t="s">
        <v>30001</v>
      </c>
      <c r="I4872" t="s">
        <v>71</v>
      </c>
      <c r="J4872" t="s">
        <v>10782</v>
      </c>
      <c r="K4872" t="s">
        <v>30002</v>
      </c>
    </row>
    <row r="4873" spans="1:11" ht="409.6" x14ac:dyDescent="0.3">
      <c r="A4873" s="4" t="s">
        <v>7832</v>
      </c>
      <c r="B4873">
        <v>3</v>
      </c>
      <c r="C4873">
        <v>2017</v>
      </c>
      <c r="D4873" t="s">
        <v>11574</v>
      </c>
      <c r="E4873">
        <v>120</v>
      </c>
      <c r="F4873" t="s">
        <v>30003</v>
      </c>
      <c r="G4873" t="s">
        <v>30004</v>
      </c>
      <c r="H4873" s="4" t="s">
        <v>30005</v>
      </c>
    </row>
    <row r="4874" spans="1:11" ht="158.4" x14ac:dyDescent="0.3">
      <c r="A4874" s="4" t="s">
        <v>7833</v>
      </c>
      <c r="B4874">
        <v>3</v>
      </c>
      <c r="C4874">
        <v>2017</v>
      </c>
      <c r="D4874" t="s">
        <v>15544</v>
      </c>
      <c r="E4874">
        <v>32</v>
      </c>
      <c r="F4874" t="s">
        <v>30006</v>
      </c>
      <c r="G4874" t="s">
        <v>30007</v>
      </c>
      <c r="H4874" s="4" t="s">
        <v>30008</v>
      </c>
      <c r="I4874" t="s">
        <v>71</v>
      </c>
      <c r="J4874" t="s">
        <v>10782</v>
      </c>
      <c r="K4874" t="s">
        <v>30009</v>
      </c>
    </row>
    <row r="4875" spans="1:11" ht="172.8" x14ac:dyDescent="0.3">
      <c r="A4875" s="4" t="s">
        <v>7834</v>
      </c>
      <c r="B4875">
        <v>3</v>
      </c>
      <c r="C4875">
        <v>2017</v>
      </c>
      <c r="D4875" t="s">
        <v>217</v>
      </c>
      <c r="E4875">
        <v>3</v>
      </c>
      <c r="F4875" t="s">
        <v>30010</v>
      </c>
      <c r="G4875" t="s">
        <v>30011</v>
      </c>
      <c r="H4875" s="4" t="s">
        <v>30012</v>
      </c>
      <c r="I4875" t="s">
        <v>71</v>
      </c>
      <c r="J4875" t="s">
        <v>10782</v>
      </c>
      <c r="K4875" t="s">
        <v>30013</v>
      </c>
    </row>
    <row r="4876" spans="1:11" ht="28.8" x14ac:dyDescent="0.3">
      <c r="A4876" s="4" t="s">
        <v>7835</v>
      </c>
      <c r="B4876">
        <v>3</v>
      </c>
      <c r="C4876">
        <v>2017</v>
      </c>
      <c r="D4876" t="s">
        <v>14692</v>
      </c>
      <c r="E4876">
        <v>2</v>
      </c>
      <c r="F4876" t="s">
        <v>30014</v>
      </c>
      <c r="G4876" t="s">
        <v>30015</v>
      </c>
      <c r="H4876" s="4" t="s">
        <v>71</v>
      </c>
      <c r="I4876" t="s">
        <v>10782</v>
      </c>
      <c r="J4876" t="s">
        <v>30016</v>
      </c>
    </row>
    <row r="4877" spans="1:11" ht="115.2" x14ac:dyDescent="0.3">
      <c r="A4877" s="4" t="s">
        <v>7836</v>
      </c>
      <c r="B4877">
        <v>3</v>
      </c>
      <c r="C4877">
        <v>2017</v>
      </c>
      <c r="D4877" t="s">
        <v>80</v>
      </c>
      <c r="E4877">
        <v>18</v>
      </c>
      <c r="F4877" t="s">
        <v>30017</v>
      </c>
      <c r="G4877" t="s">
        <v>30018</v>
      </c>
      <c r="H4877" s="4" t="s">
        <v>30019</v>
      </c>
    </row>
    <row r="4878" spans="1:11" ht="28.8" x14ac:dyDescent="0.3">
      <c r="A4878" s="4" t="s">
        <v>7837</v>
      </c>
      <c r="B4878">
        <v>3</v>
      </c>
      <c r="C4878">
        <v>2017</v>
      </c>
      <c r="D4878" t="s">
        <v>12947</v>
      </c>
      <c r="E4878">
        <v>6</v>
      </c>
      <c r="F4878" t="s">
        <v>30020</v>
      </c>
      <c r="G4878" t="s">
        <v>30021</v>
      </c>
    </row>
    <row r="4879" spans="1:11" ht="158.4" x14ac:dyDescent="0.3">
      <c r="A4879" s="4" t="s">
        <v>7838</v>
      </c>
      <c r="B4879">
        <v>3</v>
      </c>
      <c r="C4879">
        <v>2017</v>
      </c>
      <c r="D4879" t="s">
        <v>217</v>
      </c>
      <c r="E4879">
        <v>59</v>
      </c>
      <c r="F4879" t="s">
        <v>30022</v>
      </c>
      <c r="G4879" t="s">
        <v>30023</v>
      </c>
      <c r="H4879" s="4" t="s">
        <v>30024</v>
      </c>
      <c r="I4879" t="s">
        <v>10823</v>
      </c>
      <c r="J4879" t="s">
        <v>10782</v>
      </c>
      <c r="K4879" t="s">
        <v>30025</v>
      </c>
    </row>
    <row r="4880" spans="1:11" ht="115.2" x14ac:dyDescent="0.3">
      <c r="A4880" s="4" t="s">
        <v>7839</v>
      </c>
      <c r="B4880">
        <v>3</v>
      </c>
      <c r="C4880">
        <v>2017</v>
      </c>
      <c r="D4880" t="s">
        <v>12491</v>
      </c>
      <c r="E4880">
        <v>41</v>
      </c>
      <c r="F4880" t="s">
        <v>30026</v>
      </c>
      <c r="G4880" t="s">
        <v>30027</v>
      </c>
      <c r="H4880" s="4" t="s">
        <v>30028</v>
      </c>
      <c r="I4880" t="s">
        <v>30029</v>
      </c>
    </row>
    <row r="4881" spans="1:11" ht="115.2" x14ac:dyDescent="0.3">
      <c r="A4881" s="4" t="s">
        <v>7840</v>
      </c>
      <c r="B4881">
        <v>3</v>
      </c>
      <c r="C4881">
        <v>2017</v>
      </c>
      <c r="D4881" t="s">
        <v>277</v>
      </c>
      <c r="E4881">
        <v>194</v>
      </c>
      <c r="F4881" t="s">
        <v>30030</v>
      </c>
      <c r="G4881" t="s">
        <v>30031</v>
      </c>
      <c r="H4881" s="4" t="s">
        <v>30032</v>
      </c>
    </row>
    <row r="4882" spans="1:11" ht="273.60000000000002" x14ac:dyDescent="0.3">
      <c r="A4882" s="4" t="s">
        <v>7841</v>
      </c>
      <c r="B4882">
        <v>3</v>
      </c>
      <c r="C4882">
        <v>2017</v>
      </c>
      <c r="D4882" t="s">
        <v>21387</v>
      </c>
      <c r="E4882">
        <v>15</v>
      </c>
      <c r="F4882" t="s">
        <v>30033</v>
      </c>
      <c r="G4882" t="s">
        <v>30034</v>
      </c>
      <c r="H4882" s="4" t="s">
        <v>30035</v>
      </c>
      <c r="I4882" t="s">
        <v>71</v>
      </c>
      <c r="J4882" t="s">
        <v>10782</v>
      </c>
      <c r="K4882" t="s">
        <v>30036</v>
      </c>
    </row>
    <row r="4883" spans="1:11" ht="388.8" x14ac:dyDescent="0.3">
      <c r="A4883" s="4" t="s">
        <v>7842</v>
      </c>
      <c r="B4883">
        <v>3</v>
      </c>
      <c r="C4883">
        <v>2016</v>
      </c>
      <c r="D4883" t="s">
        <v>30037</v>
      </c>
      <c r="E4883">
        <v>62</v>
      </c>
      <c r="F4883" t="s">
        <v>30038</v>
      </c>
      <c r="G4883" t="s">
        <v>30039</v>
      </c>
      <c r="H4883" s="4" t="s">
        <v>30040</v>
      </c>
    </row>
    <row r="4884" spans="1:11" ht="158.4" x14ac:dyDescent="0.3">
      <c r="A4884" s="4" t="s">
        <v>7843</v>
      </c>
      <c r="B4884">
        <v>3</v>
      </c>
      <c r="C4884">
        <v>2016</v>
      </c>
      <c r="D4884" t="s">
        <v>22360</v>
      </c>
      <c r="E4884">
        <v>16</v>
      </c>
      <c r="G4884" t="s">
        <v>30041</v>
      </c>
      <c r="H4884" s="4" t="s">
        <v>30042</v>
      </c>
      <c r="I4884" s="4" t="s">
        <v>71</v>
      </c>
      <c r="J4884" t="s">
        <v>10782</v>
      </c>
      <c r="K4884" t="s">
        <v>30043</v>
      </c>
    </row>
    <row r="4885" spans="1:11" ht="158.4" x14ac:dyDescent="0.3">
      <c r="A4885" s="4" t="s">
        <v>7844</v>
      </c>
      <c r="B4885">
        <v>3</v>
      </c>
      <c r="C4885">
        <v>2016</v>
      </c>
      <c r="D4885" t="s">
        <v>14863</v>
      </c>
      <c r="E4885">
        <v>19</v>
      </c>
      <c r="F4885" t="s">
        <v>30044</v>
      </c>
      <c r="G4885" t="s">
        <v>30045</v>
      </c>
      <c r="H4885" s="4" t="s">
        <v>30046</v>
      </c>
      <c r="I4885" t="s">
        <v>71</v>
      </c>
      <c r="J4885" t="s">
        <v>10782</v>
      </c>
      <c r="K4885" t="s">
        <v>30047</v>
      </c>
    </row>
    <row r="4886" spans="1:11" ht="172.8" x14ac:dyDescent="0.3">
      <c r="A4886" s="4" t="s">
        <v>1719</v>
      </c>
      <c r="B4886">
        <v>1</v>
      </c>
      <c r="C4886">
        <v>2016</v>
      </c>
      <c r="D4886" t="s">
        <v>1231</v>
      </c>
      <c r="E4886">
        <v>9</v>
      </c>
      <c r="F4886" t="s">
        <v>30048</v>
      </c>
      <c r="G4886" t="s">
        <v>30049</v>
      </c>
      <c r="H4886" s="4" t="s">
        <v>30050</v>
      </c>
      <c r="I4886" t="s">
        <v>71</v>
      </c>
      <c r="J4886" t="s">
        <v>10782</v>
      </c>
      <c r="K4886" t="s">
        <v>30051</v>
      </c>
    </row>
    <row r="4887" spans="1:11" ht="172.8" x14ac:dyDescent="0.3">
      <c r="A4887" s="4" t="s">
        <v>7845</v>
      </c>
      <c r="B4887">
        <v>3</v>
      </c>
      <c r="C4887">
        <v>2016</v>
      </c>
      <c r="D4887" t="s">
        <v>177</v>
      </c>
      <c r="E4887">
        <v>15</v>
      </c>
      <c r="F4887" t="s">
        <v>30052</v>
      </c>
      <c r="G4887" t="s">
        <v>30053</v>
      </c>
      <c r="H4887" s="4" t="s">
        <v>30054</v>
      </c>
    </row>
    <row r="4888" spans="1:11" ht="201.6" x14ac:dyDescent="0.3">
      <c r="A4888" s="4" t="s">
        <v>7846</v>
      </c>
      <c r="B4888">
        <v>3</v>
      </c>
      <c r="C4888">
        <v>2016</v>
      </c>
      <c r="D4888" t="s">
        <v>2375</v>
      </c>
      <c r="E4888">
        <v>6</v>
      </c>
      <c r="F4888" t="s">
        <v>30055</v>
      </c>
      <c r="G4888" t="s">
        <v>30056</v>
      </c>
      <c r="H4888" s="4" t="s">
        <v>30057</v>
      </c>
      <c r="I4888" t="s">
        <v>71</v>
      </c>
      <c r="J4888" t="s">
        <v>10782</v>
      </c>
      <c r="K4888" t="s">
        <v>30058</v>
      </c>
    </row>
    <row r="4889" spans="1:11" ht="259.2" x14ac:dyDescent="0.3">
      <c r="A4889" s="4" t="s">
        <v>7847</v>
      </c>
      <c r="B4889">
        <v>3</v>
      </c>
      <c r="C4889">
        <v>2016</v>
      </c>
      <c r="D4889" t="s">
        <v>11821</v>
      </c>
      <c r="E4889">
        <v>14</v>
      </c>
      <c r="F4889" t="s">
        <v>30059</v>
      </c>
      <c r="G4889" t="s">
        <v>30060</v>
      </c>
      <c r="H4889" s="4" t="s">
        <v>30061</v>
      </c>
      <c r="I4889" t="s">
        <v>71</v>
      </c>
      <c r="J4889" t="s">
        <v>10782</v>
      </c>
      <c r="K4889" t="s">
        <v>30062</v>
      </c>
    </row>
    <row r="4890" spans="1:11" ht="144" x14ac:dyDescent="0.3">
      <c r="A4890" s="4" t="s">
        <v>7848</v>
      </c>
      <c r="B4890">
        <v>3</v>
      </c>
      <c r="C4890">
        <v>2016</v>
      </c>
      <c r="D4890" t="s">
        <v>177</v>
      </c>
      <c r="E4890">
        <v>12</v>
      </c>
      <c r="F4890" t="s">
        <v>30063</v>
      </c>
      <c r="G4890" t="s">
        <v>30064</v>
      </c>
      <c r="H4890" s="4" t="s">
        <v>30065</v>
      </c>
    </row>
    <row r="4891" spans="1:11" ht="230.4" x14ac:dyDescent="0.3">
      <c r="A4891" s="4" t="s">
        <v>7849</v>
      </c>
      <c r="B4891">
        <v>3</v>
      </c>
      <c r="C4891">
        <v>2016</v>
      </c>
      <c r="D4891" t="s">
        <v>1570</v>
      </c>
      <c r="E4891">
        <v>70</v>
      </c>
      <c r="F4891" t="s">
        <v>30066</v>
      </c>
      <c r="G4891" t="s">
        <v>30067</v>
      </c>
      <c r="H4891" s="4" t="s">
        <v>30068</v>
      </c>
      <c r="I4891" t="s">
        <v>71</v>
      </c>
      <c r="J4891" t="s">
        <v>10782</v>
      </c>
      <c r="K4891" t="s">
        <v>30069</v>
      </c>
    </row>
    <row r="4892" spans="1:11" ht="86.4" x14ac:dyDescent="0.3">
      <c r="A4892" s="4" t="s">
        <v>7850</v>
      </c>
      <c r="B4892">
        <v>3</v>
      </c>
      <c r="C4892">
        <v>2016</v>
      </c>
      <c r="D4892" t="s">
        <v>1570</v>
      </c>
      <c r="E4892">
        <v>11</v>
      </c>
      <c r="F4892" t="s">
        <v>30070</v>
      </c>
      <c r="G4892" t="s">
        <v>30071</v>
      </c>
      <c r="H4892" s="4" t="s">
        <v>30072</v>
      </c>
      <c r="I4892" t="s">
        <v>71</v>
      </c>
      <c r="J4892" t="s">
        <v>10782</v>
      </c>
      <c r="K4892" t="s">
        <v>30073</v>
      </c>
    </row>
    <row r="4893" spans="1:11" ht="158.4" x14ac:dyDescent="0.3">
      <c r="A4893" s="4" t="s">
        <v>7851</v>
      </c>
      <c r="B4893">
        <v>3</v>
      </c>
      <c r="C4893">
        <v>2016</v>
      </c>
      <c r="D4893" t="s">
        <v>30074</v>
      </c>
      <c r="E4893">
        <v>30</v>
      </c>
      <c r="F4893" t="s">
        <v>30075</v>
      </c>
      <c r="G4893" t="s">
        <v>30076</v>
      </c>
      <c r="H4893" s="4" t="s">
        <v>30077</v>
      </c>
      <c r="I4893" t="s">
        <v>71</v>
      </c>
      <c r="J4893" t="s">
        <v>10782</v>
      </c>
      <c r="K4893" t="s">
        <v>30078</v>
      </c>
    </row>
    <row r="4894" spans="1:11" ht="43.2" x14ac:dyDescent="0.3">
      <c r="A4894" s="4" t="s">
        <v>7852</v>
      </c>
      <c r="B4894">
        <v>3</v>
      </c>
      <c r="C4894">
        <v>2016</v>
      </c>
      <c r="D4894" t="s">
        <v>22476</v>
      </c>
      <c r="E4894">
        <v>14</v>
      </c>
      <c r="F4894" t="s">
        <v>30079</v>
      </c>
      <c r="G4894" t="s">
        <v>30080</v>
      </c>
      <c r="H4894" s="4" t="s">
        <v>30081</v>
      </c>
    </row>
    <row r="4895" spans="1:11" ht="129.6" x14ac:dyDescent="0.3">
      <c r="A4895" s="4" t="s">
        <v>7853</v>
      </c>
      <c r="B4895">
        <v>3</v>
      </c>
      <c r="C4895">
        <v>2016</v>
      </c>
      <c r="D4895" t="s">
        <v>14863</v>
      </c>
      <c r="E4895">
        <v>76</v>
      </c>
      <c r="F4895" t="s">
        <v>30082</v>
      </c>
      <c r="G4895" t="s">
        <v>30083</v>
      </c>
      <c r="H4895" s="4" t="s">
        <v>30084</v>
      </c>
      <c r="I4895" t="s">
        <v>71</v>
      </c>
      <c r="J4895" t="s">
        <v>10782</v>
      </c>
      <c r="K4895" t="s">
        <v>30085</v>
      </c>
    </row>
    <row r="4896" spans="1:11" x14ac:dyDescent="0.3">
      <c r="A4896" s="4" t="s">
        <v>7854</v>
      </c>
      <c r="B4896">
        <v>3</v>
      </c>
      <c r="C4896">
        <v>2016</v>
      </c>
      <c r="D4896" t="s">
        <v>2986</v>
      </c>
      <c r="E4896">
        <v>59</v>
      </c>
      <c r="F4896" t="s">
        <v>30086</v>
      </c>
      <c r="G4896" t="s">
        <v>30087</v>
      </c>
      <c r="H4896" s="4" t="s">
        <v>17311</v>
      </c>
      <c r="I4896" t="s">
        <v>10823</v>
      </c>
      <c r="J4896" t="s">
        <v>10782</v>
      </c>
      <c r="K4896" t="s">
        <v>30088</v>
      </c>
    </row>
    <row r="4897" spans="1:11" ht="187.2" x14ac:dyDescent="0.3">
      <c r="A4897" s="4" t="s">
        <v>7855</v>
      </c>
      <c r="B4897">
        <v>3</v>
      </c>
      <c r="C4897">
        <v>2016</v>
      </c>
      <c r="D4897" t="s">
        <v>544</v>
      </c>
      <c r="E4897">
        <v>11</v>
      </c>
      <c r="F4897" t="s">
        <v>30089</v>
      </c>
      <c r="G4897" t="s">
        <v>30090</v>
      </c>
      <c r="H4897" s="4" t="s">
        <v>30091</v>
      </c>
      <c r="I4897" t="s">
        <v>71</v>
      </c>
      <c r="J4897" t="s">
        <v>10782</v>
      </c>
      <c r="K4897" t="s">
        <v>30092</v>
      </c>
    </row>
    <row r="4898" spans="1:11" ht="172.8" x14ac:dyDescent="0.3">
      <c r="A4898" s="4" t="s">
        <v>7856</v>
      </c>
      <c r="B4898">
        <v>3</v>
      </c>
      <c r="C4898">
        <v>2016</v>
      </c>
      <c r="D4898" t="s">
        <v>1570</v>
      </c>
      <c r="E4898">
        <v>16</v>
      </c>
      <c r="F4898" t="s">
        <v>30093</v>
      </c>
      <c r="G4898" t="s">
        <v>30094</v>
      </c>
      <c r="H4898" s="4" t="s">
        <v>30095</v>
      </c>
      <c r="I4898" t="s">
        <v>71</v>
      </c>
      <c r="J4898" t="s">
        <v>10782</v>
      </c>
      <c r="K4898" t="s">
        <v>30096</v>
      </c>
    </row>
    <row r="4899" spans="1:11" ht="230.4" x14ac:dyDescent="0.3">
      <c r="A4899" s="4" t="s">
        <v>7857</v>
      </c>
      <c r="B4899">
        <v>3</v>
      </c>
      <c r="C4899">
        <v>2016</v>
      </c>
      <c r="D4899" t="s">
        <v>22728</v>
      </c>
      <c r="E4899">
        <v>3</v>
      </c>
      <c r="F4899" t="s">
        <v>30097</v>
      </c>
      <c r="G4899" t="s">
        <v>30098</v>
      </c>
      <c r="H4899" s="4" t="s">
        <v>30099</v>
      </c>
      <c r="I4899" t="s">
        <v>71</v>
      </c>
      <c r="J4899" t="s">
        <v>10782</v>
      </c>
      <c r="K4899" t="s">
        <v>30100</v>
      </c>
    </row>
    <row r="4900" spans="1:11" ht="201.6" x14ac:dyDescent="0.3">
      <c r="A4900" s="4" t="s">
        <v>7858</v>
      </c>
      <c r="B4900">
        <v>3</v>
      </c>
      <c r="C4900">
        <v>2016</v>
      </c>
      <c r="D4900" t="s">
        <v>329</v>
      </c>
      <c r="E4900">
        <v>51</v>
      </c>
      <c r="F4900" t="s">
        <v>30101</v>
      </c>
      <c r="G4900" t="s">
        <v>30102</v>
      </c>
      <c r="H4900" s="4" t="s">
        <v>30103</v>
      </c>
      <c r="I4900" t="s">
        <v>71</v>
      </c>
      <c r="J4900" t="s">
        <v>10782</v>
      </c>
      <c r="K4900" t="s">
        <v>30104</v>
      </c>
    </row>
    <row r="4901" spans="1:11" ht="158.4" x14ac:dyDescent="0.3">
      <c r="A4901" s="4" t="s">
        <v>7859</v>
      </c>
      <c r="B4901">
        <v>3</v>
      </c>
      <c r="C4901">
        <v>2016</v>
      </c>
      <c r="D4901" t="s">
        <v>177</v>
      </c>
      <c r="E4901">
        <v>10</v>
      </c>
      <c r="F4901" t="s">
        <v>30105</v>
      </c>
      <c r="G4901" t="s">
        <v>30106</v>
      </c>
      <c r="H4901" s="4" t="s">
        <v>30107</v>
      </c>
      <c r="I4901" t="s">
        <v>71</v>
      </c>
      <c r="J4901" t="s">
        <v>10782</v>
      </c>
      <c r="K4901" t="s">
        <v>30108</v>
      </c>
    </row>
    <row r="4902" spans="1:11" ht="129.6" x14ac:dyDescent="0.3">
      <c r="A4902" s="4" t="s">
        <v>7860</v>
      </c>
      <c r="B4902">
        <v>3</v>
      </c>
      <c r="C4902">
        <v>2016</v>
      </c>
      <c r="D4902" t="s">
        <v>24387</v>
      </c>
      <c r="E4902">
        <v>41</v>
      </c>
      <c r="F4902" t="s">
        <v>30109</v>
      </c>
      <c r="G4902" t="s">
        <v>30110</v>
      </c>
      <c r="H4902" s="4" t="s">
        <v>30111</v>
      </c>
      <c r="I4902" t="s">
        <v>71</v>
      </c>
      <c r="J4902" t="s">
        <v>10782</v>
      </c>
      <c r="K4902" t="s">
        <v>30112</v>
      </c>
    </row>
    <row r="4903" spans="1:11" ht="115.2" x14ac:dyDescent="0.3">
      <c r="A4903" s="4" t="s">
        <v>7861</v>
      </c>
      <c r="B4903">
        <v>3</v>
      </c>
      <c r="C4903">
        <v>2016</v>
      </c>
      <c r="D4903" t="s">
        <v>30113</v>
      </c>
      <c r="E4903">
        <v>24</v>
      </c>
      <c r="F4903" t="s">
        <v>30114</v>
      </c>
      <c r="G4903" t="s">
        <v>30115</v>
      </c>
      <c r="H4903" s="4" t="s">
        <v>30116</v>
      </c>
      <c r="I4903" t="s">
        <v>10823</v>
      </c>
      <c r="J4903" t="s">
        <v>10782</v>
      </c>
      <c r="K4903" t="s">
        <v>30117</v>
      </c>
    </row>
    <row r="4904" spans="1:11" ht="144" x14ac:dyDescent="0.3">
      <c r="A4904" s="4" t="s">
        <v>7862</v>
      </c>
      <c r="B4904">
        <v>3</v>
      </c>
      <c r="C4904">
        <v>2016</v>
      </c>
      <c r="D4904" t="s">
        <v>30118</v>
      </c>
      <c r="E4904">
        <v>1</v>
      </c>
      <c r="F4904" t="s">
        <v>30119</v>
      </c>
      <c r="G4904" t="s">
        <v>30120</v>
      </c>
      <c r="H4904" s="4" t="s">
        <v>30121</v>
      </c>
      <c r="I4904" t="s">
        <v>71</v>
      </c>
      <c r="J4904" t="s">
        <v>10782</v>
      </c>
      <c r="K4904" t="s">
        <v>30122</v>
      </c>
    </row>
    <row r="4905" spans="1:11" ht="158.4" x14ac:dyDescent="0.3">
      <c r="A4905" s="4" t="s">
        <v>7863</v>
      </c>
      <c r="B4905">
        <v>3</v>
      </c>
      <c r="C4905">
        <v>2016</v>
      </c>
      <c r="D4905" t="s">
        <v>329</v>
      </c>
      <c r="E4905">
        <v>40</v>
      </c>
      <c r="F4905" t="s">
        <v>30123</v>
      </c>
      <c r="G4905" t="s">
        <v>30124</v>
      </c>
      <c r="H4905" s="4" t="s">
        <v>30125</v>
      </c>
      <c r="I4905" t="s">
        <v>71</v>
      </c>
      <c r="J4905" t="s">
        <v>10782</v>
      </c>
      <c r="K4905" t="s">
        <v>30126</v>
      </c>
    </row>
    <row r="4906" spans="1:11" ht="115.2" x14ac:dyDescent="0.3">
      <c r="A4906" s="4" t="s">
        <v>7864</v>
      </c>
      <c r="B4906">
        <v>3</v>
      </c>
      <c r="C4906">
        <v>2016</v>
      </c>
      <c r="D4906" t="s">
        <v>385</v>
      </c>
      <c r="E4906">
        <v>20</v>
      </c>
      <c r="F4906" t="s">
        <v>30127</v>
      </c>
      <c r="G4906" t="s">
        <v>30128</v>
      </c>
      <c r="H4906" s="4" t="s">
        <v>30129</v>
      </c>
      <c r="I4906" t="s">
        <v>71</v>
      </c>
      <c r="J4906" t="s">
        <v>10782</v>
      </c>
      <c r="K4906" t="s">
        <v>30130</v>
      </c>
    </row>
    <row r="4907" spans="1:11" ht="172.8" x14ac:dyDescent="0.3">
      <c r="A4907" s="4" t="s">
        <v>7865</v>
      </c>
      <c r="B4907">
        <v>3</v>
      </c>
      <c r="C4907">
        <v>2016</v>
      </c>
      <c r="D4907" t="s">
        <v>1570</v>
      </c>
      <c r="E4907">
        <v>20</v>
      </c>
      <c r="F4907" t="s">
        <v>30131</v>
      </c>
      <c r="G4907" t="s">
        <v>30132</v>
      </c>
      <c r="H4907" s="4" t="s">
        <v>30133</v>
      </c>
      <c r="I4907" t="s">
        <v>71</v>
      </c>
      <c r="J4907" t="s">
        <v>10782</v>
      </c>
      <c r="K4907" t="s">
        <v>30134</v>
      </c>
    </row>
    <row r="4908" spans="1:11" ht="172.8" x14ac:dyDescent="0.3">
      <c r="A4908" s="4" t="s">
        <v>7866</v>
      </c>
      <c r="B4908">
        <v>3</v>
      </c>
      <c r="C4908">
        <v>2016</v>
      </c>
      <c r="D4908" t="s">
        <v>10924</v>
      </c>
      <c r="E4908">
        <v>11</v>
      </c>
      <c r="F4908" t="s">
        <v>30135</v>
      </c>
      <c r="G4908" t="s">
        <v>30136</v>
      </c>
      <c r="H4908" s="4" t="s">
        <v>30137</v>
      </c>
      <c r="I4908" t="s">
        <v>71</v>
      </c>
      <c r="J4908" t="s">
        <v>10782</v>
      </c>
      <c r="K4908" t="s">
        <v>30138</v>
      </c>
    </row>
    <row r="4909" spans="1:11" ht="115.2" x14ac:dyDescent="0.3">
      <c r="A4909" s="4" t="s">
        <v>7867</v>
      </c>
      <c r="B4909">
        <v>3</v>
      </c>
      <c r="C4909">
        <v>2016</v>
      </c>
      <c r="D4909" t="s">
        <v>799</v>
      </c>
      <c r="E4909">
        <v>81</v>
      </c>
      <c r="F4909" t="s">
        <v>30139</v>
      </c>
      <c r="G4909" t="s">
        <v>30140</v>
      </c>
      <c r="H4909" s="4" t="s">
        <v>30141</v>
      </c>
      <c r="I4909" t="s">
        <v>10823</v>
      </c>
      <c r="J4909" t="s">
        <v>10782</v>
      </c>
      <c r="K4909" t="s">
        <v>30142</v>
      </c>
    </row>
    <row r="4910" spans="1:11" ht="187.2" x14ac:dyDescent="0.3">
      <c r="A4910" s="4" t="s">
        <v>7868</v>
      </c>
      <c r="B4910">
        <v>3</v>
      </c>
      <c r="C4910">
        <v>2016</v>
      </c>
      <c r="D4910" t="s">
        <v>799</v>
      </c>
      <c r="E4910">
        <v>7</v>
      </c>
      <c r="F4910" t="s">
        <v>30143</v>
      </c>
      <c r="G4910" t="s">
        <v>30144</v>
      </c>
      <c r="H4910" s="4" t="s">
        <v>30145</v>
      </c>
      <c r="I4910" t="s">
        <v>71</v>
      </c>
      <c r="J4910" t="s">
        <v>10782</v>
      </c>
      <c r="K4910" t="s">
        <v>30146</v>
      </c>
    </row>
    <row r="4911" spans="1:11" ht="144" x14ac:dyDescent="0.3">
      <c r="A4911" s="4" t="s">
        <v>7869</v>
      </c>
      <c r="B4911">
        <v>3</v>
      </c>
      <c r="C4911">
        <v>2016</v>
      </c>
      <c r="D4911" t="s">
        <v>217</v>
      </c>
      <c r="E4911">
        <v>15</v>
      </c>
      <c r="F4911" t="s">
        <v>30147</v>
      </c>
      <c r="G4911" t="s">
        <v>30148</v>
      </c>
      <c r="H4911" s="4" t="s">
        <v>30149</v>
      </c>
      <c r="I4911" t="s">
        <v>71</v>
      </c>
      <c r="J4911" t="s">
        <v>10782</v>
      </c>
      <c r="K4911" t="s">
        <v>30150</v>
      </c>
    </row>
    <row r="4912" spans="1:11" ht="115.2" x14ac:dyDescent="0.3">
      <c r="A4912" s="4" t="s">
        <v>7870</v>
      </c>
      <c r="B4912">
        <v>3</v>
      </c>
      <c r="C4912">
        <v>2016</v>
      </c>
      <c r="D4912" t="s">
        <v>217</v>
      </c>
      <c r="E4912">
        <v>13</v>
      </c>
      <c r="F4912" t="s">
        <v>30151</v>
      </c>
      <c r="G4912" t="s">
        <v>30152</v>
      </c>
      <c r="H4912" s="4" t="s">
        <v>30153</v>
      </c>
    </row>
    <row r="4913" spans="1:11" ht="187.2" x14ac:dyDescent="0.3">
      <c r="A4913" s="4" t="s">
        <v>7871</v>
      </c>
      <c r="B4913">
        <v>3</v>
      </c>
      <c r="C4913">
        <v>2016</v>
      </c>
      <c r="D4913" t="s">
        <v>1877</v>
      </c>
      <c r="E4913">
        <v>10</v>
      </c>
      <c r="F4913" t="s">
        <v>30154</v>
      </c>
      <c r="G4913" t="s">
        <v>30155</v>
      </c>
      <c r="H4913" s="4" t="s">
        <v>30156</v>
      </c>
      <c r="I4913" t="s">
        <v>71</v>
      </c>
      <c r="J4913" t="s">
        <v>10782</v>
      </c>
      <c r="K4913" t="s">
        <v>30157</v>
      </c>
    </row>
    <row r="4914" spans="1:11" ht="216" x14ac:dyDescent="0.3">
      <c r="A4914" s="4" t="s">
        <v>7872</v>
      </c>
      <c r="B4914">
        <v>3</v>
      </c>
      <c r="C4914">
        <v>2016</v>
      </c>
      <c r="D4914" t="s">
        <v>11310</v>
      </c>
      <c r="E4914">
        <v>22</v>
      </c>
      <c r="F4914" t="s">
        <v>30158</v>
      </c>
      <c r="G4914" t="s">
        <v>30159</v>
      </c>
      <c r="H4914" s="4" t="s">
        <v>30160</v>
      </c>
      <c r="I4914" t="s">
        <v>71</v>
      </c>
      <c r="J4914" t="s">
        <v>10782</v>
      </c>
      <c r="K4914" t="s">
        <v>30161</v>
      </c>
    </row>
    <row r="4915" spans="1:11" ht="158.4" x14ac:dyDescent="0.3">
      <c r="A4915" s="4" t="s">
        <v>7873</v>
      </c>
      <c r="B4915">
        <v>3</v>
      </c>
      <c r="C4915">
        <v>2016</v>
      </c>
      <c r="D4915" t="s">
        <v>17401</v>
      </c>
      <c r="E4915">
        <v>27</v>
      </c>
      <c r="F4915" t="s">
        <v>30162</v>
      </c>
      <c r="G4915" t="s">
        <v>30163</v>
      </c>
      <c r="H4915" s="4" t="s">
        <v>30164</v>
      </c>
      <c r="I4915" t="s">
        <v>71</v>
      </c>
      <c r="J4915" t="s">
        <v>10782</v>
      </c>
      <c r="K4915" t="s">
        <v>30165</v>
      </c>
    </row>
    <row r="4916" spans="1:11" ht="172.8" x14ac:dyDescent="0.3">
      <c r="A4916" s="4" t="s">
        <v>7874</v>
      </c>
      <c r="B4916">
        <v>3</v>
      </c>
      <c r="C4916">
        <v>2016</v>
      </c>
      <c r="D4916" t="s">
        <v>177</v>
      </c>
      <c r="E4916">
        <v>19</v>
      </c>
      <c r="F4916" t="s">
        <v>30166</v>
      </c>
      <c r="G4916" t="s">
        <v>30167</v>
      </c>
      <c r="H4916" s="4" t="s">
        <v>30168</v>
      </c>
      <c r="I4916" t="s">
        <v>71</v>
      </c>
      <c r="J4916" t="s">
        <v>10782</v>
      </c>
      <c r="K4916" t="s">
        <v>30169</v>
      </c>
    </row>
    <row r="4917" spans="1:11" ht="129.6" x14ac:dyDescent="0.3">
      <c r="A4917" s="4" t="s">
        <v>7875</v>
      </c>
      <c r="B4917">
        <v>3</v>
      </c>
      <c r="C4917">
        <v>2016</v>
      </c>
      <c r="D4917" t="s">
        <v>30170</v>
      </c>
      <c r="E4917">
        <v>51</v>
      </c>
      <c r="F4917" t="s">
        <v>30171</v>
      </c>
      <c r="G4917" t="s">
        <v>30172</v>
      </c>
      <c r="H4917" s="4" t="s">
        <v>30173</v>
      </c>
      <c r="I4917" t="s">
        <v>71</v>
      </c>
      <c r="J4917" t="s">
        <v>10782</v>
      </c>
      <c r="K4917" t="s">
        <v>30174</v>
      </c>
    </row>
    <row r="4918" spans="1:11" ht="172.8" x14ac:dyDescent="0.3">
      <c r="A4918" s="4" t="s">
        <v>7876</v>
      </c>
      <c r="B4918">
        <v>3</v>
      </c>
      <c r="C4918">
        <v>2016</v>
      </c>
      <c r="D4918" t="s">
        <v>329</v>
      </c>
      <c r="E4918">
        <v>39</v>
      </c>
      <c r="F4918" t="s">
        <v>30175</v>
      </c>
      <c r="G4918" t="s">
        <v>30176</v>
      </c>
      <c r="H4918" s="4" t="s">
        <v>30177</v>
      </c>
      <c r="I4918" t="s">
        <v>71</v>
      </c>
      <c r="J4918" t="s">
        <v>10782</v>
      </c>
      <c r="K4918" t="s">
        <v>30178</v>
      </c>
    </row>
    <row r="4919" spans="1:11" ht="187.2" x14ac:dyDescent="0.3">
      <c r="A4919" s="4" t="s">
        <v>7877</v>
      </c>
      <c r="B4919">
        <v>3</v>
      </c>
      <c r="C4919">
        <v>2016</v>
      </c>
      <c r="D4919" t="s">
        <v>202</v>
      </c>
      <c r="E4919">
        <v>34</v>
      </c>
      <c r="F4919" t="s">
        <v>30179</v>
      </c>
      <c r="G4919" t="s">
        <v>30180</v>
      </c>
      <c r="H4919" s="4" t="s">
        <v>30181</v>
      </c>
      <c r="I4919" t="s">
        <v>71</v>
      </c>
      <c r="J4919" t="s">
        <v>10782</v>
      </c>
      <c r="K4919" t="s">
        <v>30182</v>
      </c>
    </row>
    <row r="4920" spans="1:11" ht="158.4" x14ac:dyDescent="0.3">
      <c r="A4920" s="4" t="s">
        <v>7878</v>
      </c>
      <c r="B4920">
        <v>3</v>
      </c>
      <c r="C4920">
        <v>2016</v>
      </c>
      <c r="D4920" t="s">
        <v>2361</v>
      </c>
      <c r="E4920">
        <v>168</v>
      </c>
      <c r="F4920" t="s">
        <v>30183</v>
      </c>
      <c r="G4920" t="s">
        <v>30184</v>
      </c>
      <c r="H4920" s="4" t="s">
        <v>30185</v>
      </c>
      <c r="I4920" t="s">
        <v>71</v>
      </c>
      <c r="J4920" t="s">
        <v>10782</v>
      </c>
      <c r="K4920" t="s">
        <v>30186</v>
      </c>
    </row>
    <row r="4921" spans="1:11" ht="187.2" x14ac:dyDescent="0.3">
      <c r="A4921" s="4" t="s">
        <v>7879</v>
      </c>
      <c r="B4921">
        <v>3</v>
      </c>
      <c r="C4921">
        <v>2016</v>
      </c>
      <c r="D4921" t="s">
        <v>1770</v>
      </c>
      <c r="E4921">
        <v>109</v>
      </c>
      <c r="F4921" t="s">
        <v>30187</v>
      </c>
      <c r="G4921" t="s">
        <v>30188</v>
      </c>
      <c r="H4921" s="4" t="s">
        <v>30189</v>
      </c>
      <c r="I4921" t="s">
        <v>71</v>
      </c>
      <c r="J4921" t="s">
        <v>10782</v>
      </c>
      <c r="K4921" t="s">
        <v>30190</v>
      </c>
    </row>
    <row r="4922" spans="1:11" ht="144" x14ac:dyDescent="0.3">
      <c r="A4922" s="4" t="s">
        <v>7880</v>
      </c>
      <c r="B4922">
        <v>3</v>
      </c>
      <c r="C4922">
        <v>2016</v>
      </c>
      <c r="D4922" t="s">
        <v>177</v>
      </c>
      <c r="E4922">
        <v>6</v>
      </c>
      <c r="F4922" t="s">
        <v>30191</v>
      </c>
      <c r="G4922" t="s">
        <v>30192</v>
      </c>
      <c r="H4922" s="4" t="s">
        <v>30193</v>
      </c>
      <c r="I4922" t="s">
        <v>71</v>
      </c>
      <c r="J4922" t="s">
        <v>10782</v>
      </c>
      <c r="K4922" t="s">
        <v>30194</v>
      </c>
    </row>
    <row r="4923" spans="1:11" ht="172.8" x14ac:dyDescent="0.3">
      <c r="A4923" s="4" t="s">
        <v>7881</v>
      </c>
      <c r="B4923">
        <v>3</v>
      </c>
      <c r="C4923">
        <v>2016</v>
      </c>
      <c r="D4923" t="s">
        <v>30195</v>
      </c>
      <c r="E4923">
        <v>6</v>
      </c>
      <c r="F4923" t="s">
        <v>30196</v>
      </c>
      <c r="G4923" t="s">
        <v>30197</v>
      </c>
      <c r="H4923" s="4" t="s">
        <v>30198</v>
      </c>
      <c r="I4923" t="s">
        <v>71</v>
      </c>
      <c r="J4923" t="s">
        <v>10782</v>
      </c>
      <c r="K4923" t="s">
        <v>30199</v>
      </c>
    </row>
    <row r="4924" spans="1:11" ht="172.8" x14ac:dyDescent="0.3">
      <c r="A4924" s="4" t="s">
        <v>7882</v>
      </c>
      <c r="B4924">
        <v>3</v>
      </c>
      <c r="C4924">
        <v>2016</v>
      </c>
      <c r="D4924" t="s">
        <v>12642</v>
      </c>
      <c r="E4924">
        <v>5</v>
      </c>
      <c r="F4924" t="s">
        <v>30200</v>
      </c>
      <c r="G4924" t="s">
        <v>30201</v>
      </c>
      <c r="H4924" s="4" t="s">
        <v>30202</v>
      </c>
      <c r="I4924" t="s">
        <v>71</v>
      </c>
      <c r="J4924" t="s">
        <v>10782</v>
      </c>
      <c r="K4924" t="s">
        <v>30203</v>
      </c>
    </row>
    <row r="4925" spans="1:11" ht="144" x14ac:dyDescent="0.3">
      <c r="A4925" s="4" t="s">
        <v>7883</v>
      </c>
      <c r="B4925">
        <v>3</v>
      </c>
      <c r="C4925">
        <v>2016</v>
      </c>
      <c r="D4925" t="s">
        <v>329</v>
      </c>
      <c r="E4925">
        <v>22</v>
      </c>
      <c r="F4925" t="s">
        <v>30204</v>
      </c>
      <c r="G4925" t="s">
        <v>30205</v>
      </c>
      <c r="H4925" s="4" t="s">
        <v>30206</v>
      </c>
      <c r="I4925" t="s">
        <v>71</v>
      </c>
      <c r="J4925" t="s">
        <v>10782</v>
      </c>
      <c r="K4925" t="s">
        <v>30207</v>
      </c>
    </row>
    <row r="4926" spans="1:11" ht="172.8" x14ac:dyDescent="0.3">
      <c r="A4926" s="4" t="s">
        <v>7884</v>
      </c>
      <c r="B4926">
        <v>3</v>
      </c>
      <c r="C4926">
        <v>2016</v>
      </c>
      <c r="D4926" t="s">
        <v>1794</v>
      </c>
      <c r="E4926">
        <v>61</v>
      </c>
      <c r="F4926" t="s">
        <v>30208</v>
      </c>
      <c r="G4926" t="s">
        <v>30209</v>
      </c>
      <c r="H4926" s="4" t="s">
        <v>30210</v>
      </c>
      <c r="I4926" t="s">
        <v>71</v>
      </c>
      <c r="J4926" t="s">
        <v>10782</v>
      </c>
      <c r="K4926" t="s">
        <v>30211</v>
      </c>
    </row>
    <row r="4927" spans="1:11" ht="100.8" x14ac:dyDescent="0.3">
      <c r="A4927" s="4" t="s">
        <v>7885</v>
      </c>
      <c r="B4927">
        <v>3</v>
      </c>
      <c r="C4927">
        <v>2016</v>
      </c>
      <c r="D4927" t="s">
        <v>1794</v>
      </c>
      <c r="E4927">
        <v>1</v>
      </c>
      <c r="F4927" t="s">
        <v>30212</v>
      </c>
      <c r="G4927" t="s">
        <v>30213</v>
      </c>
      <c r="H4927" s="4" t="s">
        <v>30214</v>
      </c>
      <c r="I4927" t="s">
        <v>71</v>
      </c>
      <c r="J4927" t="s">
        <v>10782</v>
      </c>
      <c r="K4927" t="s">
        <v>30215</v>
      </c>
    </row>
    <row r="4928" spans="1:11" ht="172.8" x14ac:dyDescent="0.3">
      <c r="A4928" s="4" t="s">
        <v>7886</v>
      </c>
      <c r="B4928">
        <v>3</v>
      </c>
      <c r="C4928">
        <v>2016</v>
      </c>
      <c r="D4928" t="s">
        <v>217</v>
      </c>
      <c r="E4928">
        <v>25</v>
      </c>
      <c r="F4928" t="s">
        <v>30216</v>
      </c>
      <c r="G4928" t="s">
        <v>30217</v>
      </c>
      <c r="H4928" s="4" t="s">
        <v>30218</v>
      </c>
      <c r="I4928" t="s">
        <v>71</v>
      </c>
      <c r="J4928" t="s">
        <v>10782</v>
      </c>
      <c r="K4928" t="s">
        <v>30219</v>
      </c>
    </row>
    <row r="4929" spans="1:11" ht="115.2" x14ac:dyDescent="0.3">
      <c r="A4929" s="4" t="s">
        <v>7887</v>
      </c>
      <c r="B4929">
        <v>3</v>
      </c>
      <c r="C4929">
        <v>2016</v>
      </c>
      <c r="D4929" t="s">
        <v>12339</v>
      </c>
      <c r="E4929">
        <v>13</v>
      </c>
      <c r="F4929" t="s">
        <v>30220</v>
      </c>
      <c r="G4929" t="s">
        <v>30221</v>
      </c>
      <c r="H4929" s="4" t="s">
        <v>30222</v>
      </c>
    </row>
    <row r="4930" spans="1:11" ht="158.4" x14ac:dyDescent="0.3">
      <c r="A4930" s="4" t="s">
        <v>7888</v>
      </c>
      <c r="B4930">
        <v>3</v>
      </c>
      <c r="C4930">
        <v>2016</v>
      </c>
      <c r="D4930" t="s">
        <v>318</v>
      </c>
      <c r="E4930">
        <v>38</v>
      </c>
      <c r="F4930" t="s">
        <v>30223</v>
      </c>
      <c r="G4930" t="s">
        <v>30224</v>
      </c>
      <c r="H4930" s="4" t="s">
        <v>30225</v>
      </c>
      <c r="I4930" t="s">
        <v>71</v>
      </c>
      <c r="J4930" t="s">
        <v>10782</v>
      </c>
      <c r="K4930" t="s">
        <v>30226</v>
      </c>
    </row>
    <row r="4931" spans="1:11" ht="144" x14ac:dyDescent="0.3">
      <c r="A4931" s="4" t="s">
        <v>7889</v>
      </c>
      <c r="B4931">
        <v>3</v>
      </c>
      <c r="C4931">
        <v>2016</v>
      </c>
      <c r="D4931" t="s">
        <v>2853</v>
      </c>
      <c r="E4931">
        <v>32</v>
      </c>
      <c r="F4931" t="s">
        <v>30227</v>
      </c>
      <c r="G4931" t="s">
        <v>30228</v>
      </c>
      <c r="H4931" s="4" t="s">
        <v>30229</v>
      </c>
    </row>
    <row r="4932" spans="1:11" ht="129.6" x14ac:dyDescent="0.3">
      <c r="A4932" s="4" t="s">
        <v>7890</v>
      </c>
      <c r="B4932">
        <v>3</v>
      </c>
      <c r="C4932">
        <v>2016</v>
      </c>
      <c r="D4932" t="s">
        <v>679</v>
      </c>
      <c r="E4932">
        <v>17</v>
      </c>
      <c r="F4932" t="s">
        <v>30230</v>
      </c>
      <c r="G4932" t="s">
        <v>30231</v>
      </c>
      <c r="H4932" s="4" t="s">
        <v>30232</v>
      </c>
      <c r="I4932" t="s">
        <v>71</v>
      </c>
      <c r="J4932" t="s">
        <v>10782</v>
      </c>
      <c r="K4932" t="s">
        <v>30233</v>
      </c>
    </row>
    <row r="4933" spans="1:11" ht="158.4" x14ac:dyDescent="0.3">
      <c r="A4933" s="4" t="s">
        <v>7891</v>
      </c>
      <c r="B4933">
        <v>3</v>
      </c>
      <c r="C4933">
        <v>2016</v>
      </c>
      <c r="D4933" t="s">
        <v>2628</v>
      </c>
      <c r="E4933">
        <v>9</v>
      </c>
      <c r="F4933" t="s">
        <v>30234</v>
      </c>
      <c r="G4933" t="s">
        <v>30235</v>
      </c>
      <c r="H4933" s="4" t="s">
        <v>30236</v>
      </c>
      <c r="I4933" t="s">
        <v>71</v>
      </c>
      <c r="J4933" t="s">
        <v>10782</v>
      </c>
      <c r="K4933" t="s">
        <v>30237</v>
      </c>
    </row>
    <row r="4934" spans="1:11" ht="201.6" x14ac:dyDescent="0.3">
      <c r="A4934" s="4" t="s">
        <v>7892</v>
      </c>
      <c r="B4934">
        <v>3</v>
      </c>
      <c r="C4934">
        <v>2016</v>
      </c>
      <c r="D4934" t="s">
        <v>1759</v>
      </c>
      <c r="E4934">
        <v>54</v>
      </c>
      <c r="F4934" t="s">
        <v>30238</v>
      </c>
      <c r="G4934" t="s">
        <v>30239</v>
      </c>
      <c r="H4934" s="4" t="s">
        <v>30240</v>
      </c>
      <c r="I4934" t="s">
        <v>71</v>
      </c>
      <c r="J4934" t="s">
        <v>10782</v>
      </c>
      <c r="K4934" t="s">
        <v>30241</v>
      </c>
    </row>
    <row r="4935" spans="1:11" ht="172.8" x14ac:dyDescent="0.3">
      <c r="A4935" s="4" t="s">
        <v>7893</v>
      </c>
      <c r="B4935">
        <v>3</v>
      </c>
      <c r="C4935">
        <v>2016</v>
      </c>
      <c r="D4935" t="s">
        <v>12253</v>
      </c>
      <c r="E4935">
        <v>4</v>
      </c>
      <c r="F4935" t="s">
        <v>30242</v>
      </c>
      <c r="G4935" t="s">
        <v>30243</v>
      </c>
      <c r="H4935" s="4" t="s">
        <v>30244</v>
      </c>
      <c r="I4935" t="s">
        <v>71</v>
      </c>
      <c r="J4935" t="s">
        <v>10782</v>
      </c>
      <c r="K4935" t="s">
        <v>30245</v>
      </c>
    </row>
    <row r="4936" spans="1:11" ht="172.8" x14ac:dyDescent="0.3">
      <c r="A4936" s="4" t="s">
        <v>7894</v>
      </c>
      <c r="B4936">
        <v>3</v>
      </c>
      <c r="C4936">
        <v>2016</v>
      </c>
      <c r="D4936" t="s">
        <v>11741</v>
      </c>
      <c r="E4936">
        <v>95</v>
      </c>
      <c r="F4936" t="s">
        <v>30246</v>
      </c>
      <c r="G4936" t="s">
        <v>30247</v>
      </c>
      <c r="H4936" s="4" t="s">
        <v>30248</v>
      </c>
      <c r="I4936" t="s">
        <v>71</v>
      </c>
      <c r="J4936" t="s">
        <v>10782</v>
      </c>
      <c r="K4936" t="s">
        <v>30249</v>
      </c>
    </row>
    <row r="4937" spans="1:11" ht="43.2" x14ac:dyDescent="0.3">
      <c r="A4937" s="4" t="s">
        <v>7895</v>
      </c>
      <c r="B4937">
        <v>3</v>
      </c>
      <c r="C4937">
        <v>2016</v>
      </c>
      <c r="D4937" t="s">
        <v>1525</v>
      </c>
      <c r="E4937">
        <v>74</v>
      </c>
      <c r="F4937" t="s">
        <v>30250</v>
      </c>
      <c r="G4937" t="s">
        <v>30251</v>
      </c>
      <c r="H4937" s="4" t="s">
        <v>30252</v>
      </c>
    </row>
    <row r="4938" spans="1:11" ht="144" x14ac:dyDescent="0.3">
      <c r="A4938" s="4" t="s">
        <v>7896</v>
      </c>
      <c r="B4938">
        <v>3</v>
      </c>
      <c r="C4938">
        <v>2016</v>
      </c>
      <c r="D4938" t="s">
        <v>83</v>
      </c>
      <c r="E4938">
        <v>22</v>
      </c>
      <c r="F4938" t="s">
        <v>30253</v>
      </c>
      <c r="G4938" t="s">
        <v>30254</v>
      </c>
      <c r="H4938" s="4" t="s">
        <v>30255</v>
      </c>
      <c r="I4938" t="s">
        <v>71</v>
      </c>
      <c r="J4938" t="s">
        <v>10782</v>
      </c>
      <c r="K4938" t="s">
        <v>30256</v>
      </c>
    </row>
    <row r="4939" spans="1:11" ht="100.8" x14ac:dyDescent="0.3">
      <c r="A4939" s="4" t="s">
        <v>7897</v>
      </c>
      <c r="B4939">
        <v>3</v>
      </c>
      <c r="C4939">
        <v>2016</v>
      </c>
      <c r="D4939" t="s">
        <v>177</v>
      </c>
      <c r="E4939">
        <v>25</v>
      </c>
      <c r="F4939" t="s">
        <v>30257</v>
      </c>
      <c r="G4939" t="s">
        <v>30258</v>
      </c>
      <c r="H4939" s="4" t="s">
        <v>30259</v>
      </c>
    </row>
    <row r="4940" spans="1:11" ht="288" x14ac:dyDescent="0.3">
      <c r="A4940" s="4" t="s">
        <v>7898</v>
      </c>
      <c r="B4940">
        <v>3</v>
      </c>
      <c r="C4940">
        <v>2016</v>
      </c>
      <c r="D4940" t="s">
        <v>11263</v>
      </c>
      <c r="E4940">
        <v>18</v>
      </c>
      <c r="F4940" t="s">
        <v>30260</v>
      </c>
      <c r="G4940" t="s">
        <v>30261</v>
      </c>
      <c r="H4940" s="4" t="s">
        <v>30262</v>
      </c>
      <c r="I4940" t="s">
        <v>71</v>
      </c>
      <c r="J4940" t="s">
        <v>10782</v>
      </c>
      <c r="K4940" t="s">
        <v>30263</v>
      </c>
    </row>
    <row r="4941" spans="1:11" ht="115.2" x14ac:dyDescent="0.3">
      <c r="A4941" s="4" t="s">
        <v>7899</v>
      </c>
      <c r="B4941">
        <v>3</v>
      </c>
      <c r="C4941">
        <v>2016</v>
      </c>
      <c r="D4941" t="s">
        <v>385</v>
      </c>
      <c r="E4941">
        <v>117</v>
      </c>
      <c r="F4941" t="s">
        <v>30264</v>
      </c>
      <c r="G4941" t="s">
        <v>30265</v>
      </c>
      <c r="H4941" s="4" t="s">
        <v>30266</v>
      </c>
      <c r="I4941" t="s">
        <v>71</v>
      </c>
      <c r="J4941" t="s">
        <v>10782</v>
      </c>
      <c r="K4941" t="s">
        <v>30267</v>
      </c>
    </row>
    <row r="4942" spans="1:11" ht="172.8" x14ac:dyDescent="0.3">
      <c r="A4942" s="4" t="s">
        <v>7900</v>
      </c>
      <c r="B4942">
        <v>3</v>
      </c>
      <c r="C4942">
        <v>2016</v>
      </c>
      <c r="D4942" t="s">
        <v>724</v>
      </c>
      <c r="E4942">
        <v>16</v>
      </c>
      <c r="F4942" t="s">
        <v>30268</v>
      </c>
      <c r="G4942" t="s">
        <v>30269</v>
      </c>
      <c r="H4942" s="4" t="s">
        <v>30270</v>
      </c>
      <c r="I4942" t="s">
        <v>71</v>
      </c>
      <c r="J4942" t="s">
        <v>10782</v>
      </c>
      <c r="K4942" t="s">
        <v>30271</v>
      </c>
    </row>
    <row r="4943" spans="1:11" ht="115.2" x14ac:dyDescent="0.3">
      <c r="A4943" s="4" t="s">
        <v>7901</v>
      </c>
      <c r="B4943">
        <v>3</v>
      </c>
      <c r="C4943">
        <v>2016</v>
      </c>
      <c r="D4943" t="s">
        <v>30272</v>
      </c>
      <c r="E4943">
        <v>44</v>
      </c>
      <c r="F4943" t="s">
        <v>30273</v>
      </c>
      <c r="G4943" t="s">
        <v>30274</v>
      </c>
      <c r="H4943" s="4" t="s">
        <v>30275</v>
      </c>
    </row>
    <row r="4944" spans="1:11" ht="201.6" x14ac:dyDescent="0.3">
      <c r="A4944" s="4" t="s">
        <v>7902</v>
      </c>
      <c r="B4944">
        <v>3</v>
      </c>
      <c r="C4944">
        <v>2016</v>
      </c>
      <c r="D4944" t="s">
        <v>217</v>
      </c>
      <c r="E4944">
        <v>85</v>
      </c>
      <c r="F4944" t="s">
        <v>30276</v>
      </c>
      <c r="G4944" t="s">
        <v>30277</v>
      </c>
      <c r="H4944" s="4" t="s">
        <v>30278</v>
      </c>
      <c r="I4944" t="s">
        <v>71</v>
      </c>
      <c r="J4944" t="s">
        <v>10782</v>
      </c>
      <c r="K4944" t="s">
        <v>30279</v>
      </c>
    </row>
    <row r="4945" spans="1:11" ht="158.4" x14ac:dyDescent="0.3">
      <c r="A4945" s="4" t="s">
        <v>7903</v>
      </c>
      <c r="B4945">
        <v>3</v>
      </c>
      <c r="C4945">
        <v>2016</v>
      </c>
      <c r="D4945" t="s">
        <v>15454</v>
      </c>
      <c r="E4945">
        <v>35</v>
      </c>
      <c r="F4945" t="s">
        <v>30280</v>
      </c>
      <c r="G4945" t="s">
        <v>30281</v>
      </c>
      <c r="H4945" s="4" t="s">
        <v>30282</v>
      </c>
      <c r="I4945" t="s">
        <v>71</v>
      </c>
      <c r="J4945" t="s">
        <v>10782</v>
      </c>
      <c r="K4945" t="s">
        <v>30283</v>
      </c>
    </row>
    <row r="4946" spans="1:11" ht="144" x14ac:dyDescent="0.3">
      <c r="A4946" s="4" t="s">
        <v>7904</v>
      </c>
      <c r="B4946">
        <v>3</v>
      </c>
      <c r="C4946">
        <v>2016</v>
      </c>
      <c r="D4946" t="s">
        <v>622</v>
      </c>
      <c r="E4946">
        <v>12</v>
      </c>
      <c r="F4946" t="s">
        <v>30284</v>
      </c>
      <c r="G4946" t="s">
        <v>30285</v>
      </c>
      <c r="H4946" s="4" t="s">
        <v>30286</v>
      </c>
      <c r="I4946" t="s">
        <v>71</v>
      </c>
      <c r="J4946" t="s">
        <v>10782</v>
      </c>
      <c r="K4946" t="s">
        <v>30287</v>
      </c>
    </row>
    <row r="4947" spans="1:11" ht="244.8" x14ac:dyDescent="0.3">
      <c r="A4947" s="4" t="s">
        <v>7905</v>
      </c>
      <c r="B4947">
        <v>3</v>
      </c>
      <c r="C4947">
        <v>2016</v>
      </c>
      <c r="D4947" t="s">
        <v>217</v>
      </c>
      <c r="E4947">
        <v>20</v>
      </c>
      <c r="F4947" t="s">
        <v>30288</v>
      </c>
      <c r="G4947" t="s">
        <v>30289</v>
      </c>
      <c r="H4947" s="4" t="s">
        <v>30290</v>
      </c>
      <c r="I4947" t="s">
        <v>71</v>
      </c>
      <c r="J4947" t="s">
        <v>10782</v>
      </c>
      <c r="K4947" t="s">
        <v>30291</v>
      </c>
    </row>
    <row r="4948" spans="1:11" ht="172.8" x14ac:dyDescent="0.3">
      <c r="A4948" s="4" t="s">
        <v>7906</v>
      </c>
      <c r="B4948">
        <v>3</v>
      </c>
      <c r="C4948">
        <v>2016</v>
      </c>
      <c r="D4948" t="s">
        <v>405</v>
      </c>
      <c r="E4948">
        <v>75</v>
      </c>
      <c r="F4948" t="s">
        <v>30292</v>
      </c>
      <c r="G4948" t="s">
        <v>30293</v>
      </c>
      <c r="H4948" s="4" t="s">
        <v>30294</v>
      </c>
      <c r="I4948" t="s">
        <v>71</v>
      </c>
      <c r="J4948" t="s">
        <v>10782</v>
      </c>
      <c r="K4948" t="s">
        <v>30295</v>
      </c>
    </row>
    <row r="4949" spans="1:11" ht="43.2" x14ac:dyDescent="0.3">
      <c r="A4949" s="4" t="s">
        <v>7907</v>
      </c>
      <c r="B4949">
        <v>3</v>
      </c>
      <c r="C4949">
        <v>2016</v>
      </c>
      <c r="D4949" t="s">
        <v>16556</v>
      </c>
      <c r="E4949">
        <v>5</v>
      </c>
      <c r="G4949" t="s">
        <v>30296</v>
      </c>
      <c r="H4949" s="4" t="s">
        <v>30297</v>
      </c>
      <c r="I4949" s="4" t="s">
        <v>71</v>
      </c>
      <c r="J4949" t="s">
        <v>10782</v>
      </c>
      <c r="K4949" t="s">
        <v>30298</v>
      </c>
    </row>
    <row r="4950" spans="1:11" ht="144" x14ac:dyDescent="0.3">
      <c r="A4950" s="4" t="s">
        <v>7908</v>
      </c>
      <c r="B4950">
        <v>3</v>
      </c>
      <c r="C4950">
        <v>2016</v>
      </c>
      <c r="D4950" t="s">
        <v>1877</v>
      </c>
      <c r="E4950">
        <v>34</v>
      </c>
      <c r="F4950" t="s">
        <v>30299</v>
      </c>
      <c r="G4950" t="s">
        <v>30300</v>
      </c>
      <c r="H4950" s="4" t="s">
        <v>30301</v>
      </c>
      <c r="I4950" t="s">
        <v>71</v>
      </c>
      <c r="J4950" t="s">
        <v>10782</v>
      </c>
      <c r="K4950" t="s">
        <v>30302</v>
      </c>
    </row>
    <row r="4951" spans="1:11" ht="187.2" x14ac:dyDescent="0.3">
      <c r="A4951" s="4" t="s">
        <v>7909</v>
      </c>
      <c r="B4951">
        <v>3</v>
      </c>
      <c r="C4951">
        <v>2016</v>
      </c>
      <c r="D4951" t="s">
        <v>1175</v>
      </c>
      <c r="E4951">
        <v>16</v>
      </c>
      <c r="F4951" t="s">
        <v>30303</v>
      </c>
      <c r="G4951" t="s">
        <v>30304</v>
      </c>
      <c r="H4951" s="4" t="s">
        <v>30305</v>
      </c>
      <c r="I4951" t="s">
        <v>71</v>
      </c>
      <c r="J4951" t="s">
        <v>10782</v>
      </c>
      <c r="K4951" t="s">
        <v>30306</v>
      </c>
    </row>
    <row r="4952" spans="1:11" ht="201.6" x14ac:dyDescent="0.3">
      <c r="A4952" s="4" t="s">
        <v>1717</v>
      </c>
      <c r="B4952">
        <v>1</v>
      </c>
      <c r="C4952">
        <v>2016</v>
      </c>
      <c r="D4952" t="s">
        <v>1849</v>
      </c>
      <c r="E4952">
        <v>7</v>
      </c>
      <c r="F4952" t="s">
        <v>30307</v>
      </c>
      <c r="G4952" t="s">
        <v>30308</v>
      </c>
      <c r="H4952" s="4" t="s">
        <v>30309</v>
      </c>
    </row>
    <row r="4953" spans="1:11" ht="100.8" x14ac:dyDescent="0.3">
      <c r="A4953" s="4" t="s">
        <v>7910</v>
      </c>
      <c r="B4953">
        <v>3</v>
      </c>
      <c r="C4953">
        <v>2016</v>
      </c>
      <c r="D4953" t="s">
        <v>1525</v>
      </c>
      <c r="E4953">
        <v>4</v>
      </c>
      <c r="F4953" t="s">
        <v>30310</v>
      </c>
      <c r="G4953" t="s">
        <v>30311</v>
      </c>
      <c r="H4953" s="4" t="s">
        <v>30312</v>
      </c>
    </row>
    <row r="4954" spans="1:11" ht="129.6" x14ac:dyDescent="0.3">
      <c r="A4954" s="38" t="s">
        <v>7911</v>
      </c>
      <c r="B4954" s="39">
        <v>3</v>
      </c>
      <c r="C4954">
        <v>2016</v>
      </c>
      <c r="D4954" t="s">
        <v>24387</v>
      </c>
      <c r="E4954">
        <v>14</v>
      </c>
      <c r="F4954" t="s">
        <v>30313</v>
      </c>
      <c r="G4954" t="s">
        <v>30314</v>
      </c>
      <c r="H4954" s="4" t="s">
        <v>30315</v>
      </c>
      <c r="I4954" t="s">
        <v>71</v>
      </c>
      <c r="J4954" t="s">
        <v>10782</v>
      </c>
      <c r="K4954" t="s">
        <v>30316</v>
      </c>
    </row>
    <row r="4955" spans="1:11" ht="201.6" x14ac:dyDescent="0.3">
      <c r="A4955" s="4" t="s">
        <v>7912</v>
      </c>
      <c r="B4955">
        <v>3</v>
      </c>
      <c r="C4955">
        <v>2016</v>
      </c>
      <c r="D4955" t="s">
        <v>19186</v>
      </c>
      <c r="E4955">
        <v>24</v>
      </c>
      <c r="F4955" t="s">
        <v>30317</v>
      </c>
      <c r="G4955" t="s">
        <v>30318</v>
      </c>
      <c r="H4955" s="4" t="s">
        <v>30319</v>
      </c>
      <c r="I4955" t="s">
        <v>71</v>
      </c>
      <c r="J4955" t="s">
        <v>10782</v>
      </c>
      <c r="K4955" t="s">
        <v>30320</v>
      </c>
    </row>
    <row r="4956" spans="1:11" ht="115.2" x14ac:dyDescent="0.3">
      <c r="A4956" s="4" t="s">
        <v>7913</v>
      </c>
      <c r="B4956">
        <v>3</v>
      </c>
      <c r="C4956">
        <v>2016</v>
      </c>
      <c r="D4956" t="s">
        <v>24387</v>
      </c>
      <c r="E4956">
        <v>51</v>
      </c>
      <c r="F4956" t="s">
        <v>30321</v>
      </c>
      <c r="G4956" t="s">
        <v>30322</v>
      </c>
      <c r="H4956" s="4" t="s">
        <v>30323</v>
      </c>
      <c r="I4956" t="s">
        <v>71</v>
      </c>
      <c r="J4956" t="s">
        <v>10782</v>
      </c>
      <c r="K4956" t="s">
        <v>30324</v>
      </c>
    </row>
    <row r="4957" spans="1:11" ht="158.4" x14ac:dyDescent="0.3">
      <c r="A4957" s="4" t="s">
        <v>7914</v>
      </c>
      <c r="B4957">
        <v>3</v>
      </c>
      <c r="C4957">
        <v>2016</v>
      </c>
      <c r="D4957" t="s">
        <v>1915</v>
      </c>
      <c r="E4957">
        <v>19</v>
      </c>
      <c r="F4957" t="s">
        <v>30325</v>
      </c>
      <c r="G4957" t="s">
        <v>30326</v>
      </c>
      <c r="H4957" s="4" t="s">
        <v>30327</v>
      </c>
      <c r="I4957" t="s">
        <v>71</v>
      </c>
      <c r="J4957" t="s">
        <v>10782</v>
      </c>
      <c r="K4957" t="s">
        <v>30328</v>
      </c>
    </row>
    <row r="4958" spans="1:11" ht="115.2" x14ac:dyDescent="0.3">
      <c r="A4958" s="4" t="s">
        <v>7915</v>
      </c>
      <c r="B4958">
        <v>3</v>
      </c>
      <c r="C4958">
        <v>2016</v>
      </c>
      <c r="D4958" t="s">
        <v>1570</v>
      </c>
      <c r="E4958">
        <v>23</v>
      </c>
      <c r="F4958" t="s">
        <v>30329</v>
      </c>
      <c r="G4958" t="s">
        <v>30330</v>
      </c>
      <c r="H4958" s="4" t="s">
        <v>30331</v>
      </c>
    </row>
    <row r="4959" spans="1:11" ht="115.2" x14ac:dyDescent="0.3">
      <c r="A4959" s="4" t="s">
        <v>7916</v>
      </c>
      <c r="B4959">
        <v>3</v>
      </c>
      <c r="C4959">
        <v>2016</v>
      </c>
      <c r="D4959" t="s">
        <v>30332</v>
      </c>
      <c r="E4959">
        <v>4</v>
      </c>
      <c r="F4959" t="s">
        <v>30333</v>
      </c>
      <c r="G4959" t="s">
        <v>30334</v>
      </c>
      <c r="H4959" s="4" t="s">
        <v>30335</v>
      </c>
      <c r="I4959" t="s">
        <v>10823</v>
      </c>
      <c r="J4959" t="s">
        <v>10782</v>
      </c>
      <c r="K4959" t="s">
        <v>30336</v>
      </c>
    </row>
    <row r="4960" spans="1:11" ht="158.4" x14ac:dyDescent="0.3">
      <c r="A4960" s="4" t="s">
        <v>7917</v>
      </c>
      <c r="B4960">
        <v>3</v>
      </c>
      <c r="C4960">
        <v>2016</v>
      </c>
      <c r="D4960" t="s">
        <v>704</v>
      </c>
      <c r="E4960">
        <v>11</v>
      </c>
      <c r="F4960" t="s">
        <v>30337</v>
      </c>
      <c r="G4960" t="s">
        <v>30338</v>
      </c>
      <c r="H4960" s="4" t="s">
        <v>30339</v>
      </c>
      <c r="I4960" t="s">
        <v>71</v>
      </c>
      <c r="J4960" t="s">
        <v>10782</v>
      </c>
      <c r="K4960" t="s">
        <v>30340</v>
      </c>
    </row>
    <row r="4961" spans="1:11" ht="144" x14ac:dyDescent="0.3">
      <c r="A4961" s="4" t="s">
        <v>7918</v>
      </c>
      <c r="B4961">
        <v>3</v>
      </c>
      <c r="C4961">
        <v>2016</v>
      </c>
      <c r="D4961" t="s">
        <v>217</v>
      </c>
      <c r="E4961">
        <v>21</v>
      </c>
      <c r="F4961" t="s">
        <v>30341</v>
      </c>
      <c r="G4961" t="s">
        <v>30342</v>
      </c>
      <c r="H4961" s="4" t="s">
        <v>30343</v>
      </c>
      <c r="I4961" t="s">
        <v>71</v>
      </c>
      <c r="J4961" t="s">
        <v>10782</v>
      </c>
      <c r="K4961" t="s">
        <v>30344</v>
      </c>
    </row>
    <row r="4962" spans="1:11" ht="187.2" x14ac:dyDescent="0.3">
      <c r="A4962" s="4" t="s">
        <v>7919</v>
      </c>
      <c r="B4962">
        <v>3</v>
      </c>
      <c r="C4962">
        <v>2016</v>
      </c>
      <c r="D4962" t="s">
        <v>2819</v>
      </c>
      <c r="E4962">
        <v>12</v>
      </c>
      <c r="F4962" t="s">
        <v>30345</v>
      </c>
      <c r="G4962" t="s">
        <v>30346</v>
      </c>
      <c r="H4962" s="4" t="s">
        <v>30347</v>
      </c>
    </row>
    <row r="4963" spans="1:11" ht="187.2" x14ac:dyDescent="0.3">
      <c r="A4963" s="4" t="s">
        <v>7920</v>
      </c>
      <c r="B4963">
        <v>3</v>
      </c>
      <c r="C4963">
        <v>2016</v>
      </c>
      <c r="D4963" t="s">
        <v>217</v>
      </c>
      <c r="E4963">
        <v>7</v>
      </c>
      <c r="F4963" t="s">
        <v>30348</v>
      </c>
      <c r="G4963" t="s">
        <v>30349</v>
      </c>
      <c r="H4963" s="4" t="s">
        <v>30350</v>
      </c>
      <c r="I4963" t="s">
        <v>71</v>
      </c>
      <c r="J4963" t="s">
        <v>10782</v>
      </c>
      <c r="K4963" t="s">
        <v>30351</v>
      </c>
    </row>
    <row r="4964" spans="1:11" ht="187.2" x14ac:dyDescent="0.3">
      <c r="A4964" s="4" t="s">
        <v>1720</v>
      </c>
      <c r="B4964">
        <v>1</v>
      </c>
      <c r="C4964">
        <v>2016</v>
      </c>
      <c r="D4964" t="s">
        <v>1836</v>
      </c>
      <c r="E4964">
        <v>187</v>
      </c>
      <c r="F4964" t="s">
        <v>30352</v>
      </c>
      <c r="G4964" t="s">
        <v>30353</v>
      </c>
      <c r="H4964" s="4" t="s">
        <v>30354</v>
      </c>
      <c r="I4964" t="s">
        <v>71</v>
      </c>
      <c r="J4964" t="s">
        <v>10782</v>
      </c>
      <c r="K4964" t="s">
        <v>30355</v>
      </c>
    </row>
    <row r="4965" spans="1:11" ht="244.8" x14ac:dyDescent="0.3">
      <c r="A4965" s="4" t="s">
        <v>7921</v>
      </c>
      <c r="B4965">
        <v>3</v>
      </c>
      <c r="C4965">
        <v>2016</v>
      </c>
      <c r="D4965" t="s">
        <v>217</v>
      </c>
      <c r="E4965">
        <v>32</v>
      </c>
      <c r="F4965" t="s">
        <v>30356</v>
      </c>
      <c r="G4965" t="s">
        <v>30357</v>
      </c>
      <c r="H4965" s="4" t="s">
        <v>30358</v>
      </c>
      <c r="I4965" t="s">
        <v>71</v>
      </c>
      <c r="J4965" t="s">
        <v>10782</v>
      </c>
      <c r="K4965" t="s">
        <v>30359</v>
      </c>
    </row>
    <row r="4966" spans="1:11" ht="187.2" x14ac:dyDescent="0.3">
      <c r="A4966" s="4" t="s">
        <v>7922</v>
      </c>
      <c r="B4966">
        <v>3</v>
      </c>
      <c r="C4966">
        <v>2016</v>
      </c>
      <c r="D4966" t="s">
        <v>1770</v>
      </c>
      <c r="E4966">
        <v>5</v>
      </c>
      <c r="F4966" t="s">
        <v>30360</v>
      </c>
      <c r="G4966" t="s">
        <v>30361</v>
      </c>
      <c r="H4966" s="4" t="s">
        <v>30362</v>
      </c>
      <c r="I4966" t="s">
        <v>71</v>
      </c>
      <c r="J4966" t="s">
        <v>10782</v>
      </c>
      <c r="K4966" t="s">
        <v>30363</v>
      </c>
    </row>
    <row r="4967" spans="1:11" ht="230.4" x14ac:dyDescent="0.3">
      <c r="A4967" s="4" t="s">
        <v>7923</v>
      </c>
      <c r="B4967">
        <v>3</v>
      </c>
      <c r="C4967">
        <v>2016</v>
      </c>
      <c r="D4967" t="s">
        <v>11041</v>
      </c>
      <c r="E4967">
        <v>34</v>
      </c>
      <c r="F4967" t="s">
        <v>30364</v>
      </c>
      <c r="G4967" t="s">
        <v>30365</v>
      </c>
      <c r="H4967" s="4" t="s">
        <v>30366</v>
      </c>
      <c r="I4967" t="s">
        <v>71</v>
      </c>
      <c r="J4967" t="s">
        <v>10782</v>
      </c>
      <c r="K4967" t="s">
        <v>30367</v>
      </c>
    </row>
    <row r="4968" spans="1:11" ht="216" x14ac:dyDescent="0.3">
      <c r="A4968" s="4" t="s">
        <v>7924</v>
      </c>
      <c r="B4968">
        <v>3</v>
      </c>
      <c r="C4968">
        <v>2016</v>
      </c>
      <c r="D4968" t="s">
        <v>30368</v>
      </c>
      <c r="E4968">
        <v>57</v>
      </c>
      <c r="F4968" t="s">
        <v>30369</v>
      </c>
      <c r="G4968" t="s">
        <v>30370</v>
      </c>
      <c r="H4968" s="4" t="s">
        <v>30371</v>
      </c>
      <c r="I4968" t="s">
        <v>71</v>
      </c>
      <c r="J4968" t="s">
        <v>10782</v>
      </c>
      <c r="K4968" t="s">
        <v>30372</v>
      </c>
    </row>
    <row r="4969" spans="1:11" ht="129.6" x14ac:dyDescent="0.3">
      <c r="A4969" s="4" t="s">
        <v>7925</v>
      </c>
      <c r="B4969">
        <v>3</v>
      </c>
      <c r="C4969">
        <v>2016</v>
      </c>
      <c r="D4969" t="s">
        <v>30373</v>
      </c>
      <c r="E4969">
        <v>22</v>
      </c>
      <c r="F4969" t="s">
        <v>30374</v>
      </c>
      <c r="G4969" t="s">
        <v>30375</v>
      </c>
      <c r="H4969" s="4" t="s">
        <v>30376</v>
      </c>
      <c r="I4969" t="s">
        <v>71</v>
      </c>
      <c r="J4969" t="s">
        <v>10782</v>
      </c>
      <c r="K4969" t="s">
        <v>30377</v>
      </c>
    </row>
    <row r="4970" spans="1:11" ht="144" x14ac:dyDescent="0.3">
      <c r="A4970" s="4" t="s">
        <v>7926</v>
      </c>
      <c r="B4970">
        <v>3</v>
      </c>
      <c r="C4970">
        <v>2016</v>
      </c>
      <c r="D4970" t="s">
        <v>17066</v>
      </c>
      <c r="E4970">
        <v>5</v>
      </c>
      <c r="F4970" t="s">
        <v>30378</v>
      </c>
      <c r="G4970" t="s">
        <v>30379</v>
      </c>
      <c r="H4970" s="4" t="s">
        <v>30380</v>
      </c>
      <c r="I4970" t="s">
        <v>71</v>
      </c>
      <c r="J4970" t="s">
        <v>10782</v>
      </c>
      <c r="K4970" t="s">
        <v>30381</v>
      </c>
    </row>
    <row r="4971" spans="1:11" ht="144" x14ac:dyDescent="0.3">
      <c r="A4971" s="4" t="s">
        <v>7927</v>
      </c>
      <c r="B4971">
        <v>3</v>
      </c>
      <c r="C4971">
        <v>2016</v>
      </c>
      <c r="D4971" t="s">
        <v>11231</v>
      </c>
      <c r="E4971">
        <v>19</v>
      </c>
      <c r="F4971" t="s">
        <v>30382</v>
      </c>
      <c r="G4971" t="s">
        <v>30383</v>
      </c>
      <c r="H4971" s="4" t="s">
        <v>30384</v>
      </c>
      <c r="I4971" t="s">
        <v>71</v>
      </c>
      <c r="J4971" t="s">
        <v>10782</v>
      </c>
      <c r="K4971" t="s">
        <v>30385</v>
      </c>
    </row>
    <row r="4972" spans="1:11" ht="187.2" x14ac:dyDescent="0.3">
      <c r="A4972" s="4" t="s">
        <v>7928</v>
      </c>
      <c r="B4972">
        <v>3</v>
      </c>
      <c r="C4972">
        <v>2016</v>
      </c>
      <c r="D4972" t="s">
        <v>12642</v>
      </c>
      <c r="E4972">
        <v>0</v>
      </c>
      <c r="F4972" t="s">
        <v>30386</v>
      </c>
      <c r="G4972" t="s">
        <v>30387</v>
      </c>
      <c r="H4972" s="4" t="s">
        <v>30388</v>
      </c>
      <c r="I4972" t="s">
        <v>71</v>
      </c>
      <c r="J4972" t="s">
        <v>10782</v>
      </c>
      <c r="K4972" t="s">
        <v>30389</v>
      </c>
    </row>
    <row r="4973" spans="1:11" ht="158.4" x14ac:dyDescent="0.3">
      <c r="A4973" s="4" t="s">
        <v>7929</v>
      </c>
      <c r="B4973">
        <v>3</v>
      </c>
      <c r="C4973">
        <v>2016</v>
      </c>
      <c r="D4973" t="s">
        <v>11231</v>
      </c>
      <c r="E4973">
        <v>13</v>
      </c>
      <c r="F4973" t="s">
        <v>30390</v>
      </c>
      <c r="G4973" t="s">
        <v>30391</v>
      </c>
      <c r="H4973" s="4" t="s">
        <v>30392</v>
      </c>
      <c r="I4973" t="s">
        <v>71</v>
      </c>
      <c r="J4973" t="s">
        <v>10782</v>
      </c>
      <c r="K4973" t="s">
        <v>30393</v>
      </c>
    </row>
    <row r="4974" spans="1:11" ht="187.2" x14ac:dyDescent="0.3">
      <c r="A4974" s="4" t="s">
        <v>7930</v>
      </c>
      <c r="B4974">
        <v>3</v>
      </c>
      <c r="C4974">
        <v>2016</v>
      </c>
      <c r="D4974" t="s">
        <v>30394</v>
      </c>
      <c r="E4974">
        <v>15</v>
      </c>
      <c r="F4974" t="s">
        <v>30395</v>
      </c>
      <c r="G4974" t="s">
        <v>30396</v>
      </c>
      <c r="H4974" s="4" t="s">
        <v>30397</v>
      </c>
    </row>
    <row r="4975" spans="1:11" ht="201.6" x14ac:dyDescent="0.3">
      <c r="A4975" s="4" t="s">
        <v>7931</v>
      </c>
      <c r="B4975">
        <v>3</v>
      </c>
      <c r="C4975">
        <v>2016</v>
      </c>
      <c r="D4975" t="s">
        <v>164</v>
      </c>
      <c r="E4975">
        <v>34</v>
      </c>
      <c r="F4975" t="s">
        <v>30398</v>
      </c>
      <c r="G4975" t="s">
        <v>30399</v>
      </c>
      <c r="H4975" s="4" t="s">
        <v>30400</v>
      </c>
      <c r="I4975" t="s">
        <v>71</v>
      </c>
      <c r="J4975" t="s">
        <v>10782</v>
      </c>
      <c r="K4975" t="s">
        <v>30401</v>
      </c>
    </row>
    <row r="4976" spans="1:11" ht="201.6" x14ac:dyDescent="0.3">
      <c r="A4976" s="4" t="s">
        <v>7932</v>
      </c>
      <c r="B4976">
        <v>3</v>
      </c>
      <c r="C4976">
        <v>2016</v>
      </c>
      <c r="D4976" t="s">
        <v>318</v>
      </c>
      <c r="E4976">
        <v>45</v>
      </c>
      <c r="F4976" t="s">
        <v>30402</v>
      </c>
      <c r="G4976" t="s">
        <v>30403</v>
      </c>
      <c r="H4976" s="4" t="s">
        <v>30404</v>
      </c>
      <c r="I4976" t="s">
        <v>71</v>
      </c>
      <c r="J4976" t="s">
        <v>10782</v>
      </c>
      <c r="K4976" t="s">
        <v>30405</v>
      </c>
    </row>
    <row r="4977" spans="1:11" ht="115.2" x14ac:dyDescent="0.3">
      <c r="A4977" s="4" t="s">
        <v>7933</v>
      </c>
      <c r="B4977">
        <v>3</v>
      </c>
      <c r="C4977">
        <v>2016</v>
      </c>
      <c r="D4977" t="s">
        <v>15454</v>
      </c>
      <c r="E4977">
        <v>42</v>
      </c>
      <c r="F4977" t="s">
        <v>30406</v>
      </c>
      <c r="G4977" t="s">
        <v>30407</v>
      </c>
      <c r="H4977" s="4" t="s">
        <v>30408</v>
      </c>
      <c r="I4977" t="s">
        <v>71</v>
      </c>
      <c r="J4977" t="s">
        <v>10782</v>
      </c>
      <c r="K4977" t="s">
        <v>30409</v>
      </c>
    </row>
    <row r="4978" spans="1:11" ht="158.4" x14ac:dyDescent="0.3">
      <c r="A4978" s="4" t="s">
        <v>7934</v>
      </c>
      <c r="B4978">
        <v>3</v>
      </c>
      <c r="C4978">
        <v>2016</v>
      </c>
      <c r="D4978" t="s">
        <v>217</v>
      </c>
      <c r="E4978">
        <v>54</v>
      </c>
      <c r="F4978" t="s">
        <v>30410</v>
      </c>
      <c r="G4978" t="s">
        <v>30411</v>
      </c>
      <c r="H4978" s="4" t="s">
        <v>30412</v>
      </c>
      <c r="I4978" t="s">
        <v>71</v>
      </c>
      <c r="J4978" t="s">
        <v>10782</v>
      </c>
      <c r="K4978" t="s">
        <v>30413</v>
      </c>
    </row>
    <row r="4979" spans="1:11" ht="144" x14ac:dyDescent="0.3">
      <c r="A4979" s="4" t="s">
        <v>7935</v>
      </c>
      <c r="B4979">
        <v>3</v>
      </c>
      <c r="C4979">
        <v>2016</v>
      </c>
      <c r="D4979" t="s">
        <v>217</v>
      </c>
      <c r="E4979">
        <v>10</v>
      </c>
      <c r="F4979" t="s">
        <v>30414</v>
      </c>
      <c r="G4979" t="s">
        <v>30415</v>
      </c>
      <c r="H4979" s="4" t="s">
        <v>30416</v>
      </c>
    </row>
    <row r="4980" spans="1:11" ht="216" x14ac:dyDescent="0.3">
      <c r="A4980" s="4" t="s">
        <v>7936</v>
      </c>
      <c r="B4980">
        <v>3</v>
      </c>
      <c r="C4980">
        <v>2016</v>
      </c>
      <c r="D4980" t="s">
        <v>13914</v>
      </c>
      <c r="E4980">
        <v>237</v>
      </c>
      <c r="F4980" t="s">
        <v>30417</v>
      </c>
      <c r="G4980" t="s">
        <v>30418</v>
      </c>
      <c r="H4980" s="4" t="s">
        <v>30419</v>
      </c>
    </row>
    <row r="4981" spans="1:11" ht="201.6" x14ac:dyDescent="0.3">
      <c r="A4981" s="4" t="s">
        <v>7937</v>
      </c>
      <c r="B4981">
        <v>3</v>
      </c>
      <c r="C4981">
        <v>2016</v>
      </c>
      <c r="D4981" t="s">
        <v>1770</v>
      </c>
      <c r="E4981">
        <v>95</v>
      </c>
      <c r="F4981" t="s">
        <v>30420</v>
      </c>
      <c r="G4981" t="s">
        <v>30421</v>
      </c>
      <c r="H4981" s="4" t="s">
        <v>30422</v>
      </c>
      <c r="I4981" t="s">
        <v>71</v>
      </c>
      <c r="J4981" t="s">
        <v>10782</v>
      </c>
      <c r="K4981" t="s">
        <v>30423</v>
      </c>
    </row>
    <row r="4982" spans="1:11" ht="144" x14ac:dyDescent="0.3">
      <c r="A4982" s="4" t="s">
        <v>7938</v>
      </c>
      <c r="B4982">
        <v>3</v>
      </c>
      <c r="C4982">
        <v>2016</v>
      </c>
      <c r="D4982" t="s">
        <v>30424</v>
      </c>
      <c r="E4982">
        <v>5</v>
      </c>
      <c r="F4982" t="s">
        <v>30425</v>
      </c>
      <c r="G4982" t="s">
        <v>30426</v>
      </c>
      <c r="H4982" s="4" t="s">
        <v>30427</v>
      </c>
    </row>
    <row r="4983" spans="1:11" ht="187.2" x14ac:dyDescent="0.3">
      <c r="A4983" s="4" t="s">
        <v>1723</v>
      </c>
      <c r="B4983">
        <v>1</v>
      </c>
      <c r="C4983">
        <v>2016</v>
      </c>
      <c r="D4983" t="s">
        <v>363</v>
      </c>
      <c r="E4983">
        <v>66</v>
      </c>
      <c r="F4983" t="s">
        <v>30428</v>
      </c>
      <c r="G4983" t="s">
        <v>30429</v>
      </c>
      <c r="H4983" s="4" t="s">
        <v>30430</v>
      </c>
      <c r="I4983" t="s">
        <v>71</v>
      </c>
      <c r="J4983" t="s">
        <v>10782</v>
      </c>
      <c r="K4983" t="s">
        <v>30431</v>
      </c>
    </row>
    <row r="4984" spans="1:11" ht="100.8" x14ac:dyDescent="0.3">
      <c r="A4984" s="4" t="s">
        <v>7939</v>
      </c>
      <c r="B4984">
        <v>3</v>
      </c>
      <c r="C4984">
        <v>2016</v>
      </c>
      <c r="D4984" t="s">
        <v>2853</v>
      </c>
      <c r="E4984">
        <v>42</v>
      </c>
      <c r="F4984" t="s">
        <v>30432</v>
      </c>
      <c r="G4984" t="s">
        <v>30433</v>
      </c>
      <c r="H4984" s="4" t="s">
        <v>30434</v>
      </c>
    </row>
    <row r="4985" spans="1:11" ht="216" x14ac:dyDescent="0.3">
      <c r="A4985" s="4" t="s">
        <v>7940</v>
      </c>
      <c r="B4985">
        <v>3</v>
      </c>
      <c r="C4985">
        <v>2016</v>
      </c>
      <c r="D4985" t="s">
        <v>10971</v>
      </c>
      <c r="E4985">
        <v>48</v>
      </c>
      <c r="F4985" t="s">
        <v>30435</v>
      </c>
      <c r="G4985" t="s">
        <v>30436</v>
      </c>
      <c r="H4985" s="4" t="s">
        <v>30437</v>
      </c>
      <c r="I4985" t="s">
        <v>71</v>
      </c>
      <c r="J4985" t="s">
        <v>10782</v>
      </c>
      <c r="K4985" t="s">
        <v>30438</v>
      </c>
    </row>
    <row r="4986" spans="1:11" ht="187.2" x14ac:dyDescent="0.3">
      <c r="A4986" s="4" t="s">
        <v>2934</v>
      </c>
      <c r="B4986">
        <v>2</v>
      </c>
      <c r="C4986">
        <v>2016</v>
      </c>
      <c r="D4986" t="s">
        <v>217</v>
      </c>
      <c r="E4986">
        <v>19</v>
      </c>
      <c r="F4986" t="s">
        <v>30439</v>
      </c>
      <c r="G4986" t="s">
        <v>30440</v>
      </c>
      <c r="H4986" s="4" t="s">
        <v>30441</v>
      </c>
      <c r="I4986" t="s">
        <v>71</v>
      </c>
      <c r="J4986" t="s">
        <v>10782</v>
      </c>
      <c r="K4986" t="s">
        <v>30442</v>
      </c>
    </row>
    <row r="4987" spans="1:11" ht="144" x14ac:dyDescent="0.3">
      <c r="A4987" s="4" t="s">
        <v>7941</v>
      </c>
      <c r="B4987">
        <v>3</v>
      </c>
      <c r="C4987">
        <v>2016</v>
      </c>
      <c r="D4987" t="s">
        <v>13721</v>
      </c>
      <c r="E4987">
        <v>0</v>
      </c>
      <c r="F4987" t="s">
        <v>30443</v>
      </c>
      <c r="G4987" t="s">
        <v>30444</v>
      </c>
      <c r="H4987" s="4" t="s">
        <v>30445</v>
      </c>
      <c r="I4987" t="s">
        <v>71</v>
      </c>
      <c r="J4987" t="s">
        <v>10782</v>
      </c>
      <c r="K4987" t="s">
        <v>30446</v>
      </c>
    </row>
    <row r="4988" spans="1:11" ht="259.2" x14ac:dyDescent="0.3">
      <c r="A4988" s="4" t="s">
        <v>7942</v>
      </c>
      <c r="B4988">
        <v>3</v>
      </c>
      <c r="C4988">
        <v>2016</v>
      </c>
      <c r="D4988" t="s">
        <v>11263</v>
      </c>
      <c r="E4988">
        <v>14</v>
      </c>
      <c r="F4988" t="s">
        <v>30447</v>
      </c>
      <c r="G4988" t="s">
        <v>30448</v>
      </c>
      <c r="H4988" s="4" t="s">
        <v>30449</v>
      </c>
      <c r="I4988" t="s">
        <v>71</v>
      </c>
      <c r="J4988" t="s">
        <v>10782</v>
      </c>
      <c r="K4988" t="s">
        <v>30450</v>
      </c>
    </row>
    <row r="4989" spans="1:11" ht="201.6" x14ac:dyDescent="0.3">
      <c r="A4989" s="4" t="s">
        <v>7943</v>
      </c>
      <c r="B4989">
        <v>3</v>
      </c>
      <c r="C4989">
        <v>2016</v>
      </c>
      <c r="D4989" t="s">
        <v>217</v>
      </c>
      <c r="E4989">
        <v>140</v>
      </c>
      <c r="F4989" t="s">
        <v>30451</v>
      </c>
      <c r="G4989" t="s">
        <v>30452</v>
      </c>
      <c r="H4989" s="4" t="s">
        <v>30453</v>
      </c>
      <c r="I4989" t="s">
        <v>71</v>
      </c>
      <c r="J4989" t="s">
        <v>10782</v>
      </c>
      <c r="K4989" t="s">
        <v>30454</v>
      </c>
    </row>
    <row r="4990" spans="1:11" ht="144" x14ac:dyDescent="0.3">
      <c r="A4990" s="4" t="s">
        <v>1724</v>
      </c>
      <c r="B4990">
        <v>1</v>
      </c>
      <c r="C4990">
        <v>2016</v>
      </c>
      <c r="D4990" t="s">
        <v>1865</v>
      </c>
      <c r="E4990">
        <v>15</v>
      </c>
      <c r="F4990" t="s">
        <v>30455</v>
      </c>
      <c r="G4990" t="s">
        <v>30456</v>
      </c>
      <c r="H4990" s="4" t="s">
        <v>30457</v>
      </c>
      <c r="I4990" t="s">
        <v>71</v>
      </c>
      <c r="J4990" t="s">
        <v>10782</v>
      </c>
      <c r="K4990" t="s">
        <v>30458</v>
      </c>
    </row>
    <row r="4991" spans="1:11" ht="187.2" x14ac:dyDescent="0.3">
      <c r="A4991" s="4" t="s">
        <v>7944</v>
      </c>
      <c r="B4991">
        <v>3</v>
      </c>
      <c r="C4991">
        <v>2016</v>
      </c>
      <c r="D4991" t="s">
        <v>1570</v>
      </c>
      <c r="E4991">
        <v>24</v>
      </c>
      <c r="F4991" t="s">
        <v>30459</v>
      </c>
      <c r="G4991" t="s">
        <v>30460</v>
      </c>
      <c r="H4991" s="4" t="s">
        <v>30461</v>
      </c>
      <c r="I4991" t="s">
        <v>71</v>
      </c>
      <c r="J4991" t="s">
        <v>10782</v>
      </c>
      <c r="K4991" t="s">
        <v>30462</v>
      </c>
    </row>
    <row r="4992" spans="1:11" ht="409.6" x14ac:dyDescent="0.3">
      <c r="A4992" s="4" t="s">
        <v>7945</v>
      </c>
      <c r="B4992">
        <v>3</v>
      </c>
      <c r="C4992">
        <v>2016</v>
      </c>
      <c r="D4992" t="s">
        <v>11574</v>
      </c>
      <c r="E4992">
        <v>146</v>
      </c>
      <c r="F4992" t="s">
        <v>30463</v>
      </c>
      <c r="G4992" t="s">
        <v>30464</v>
      </c>
      <c r="H4992" s="4" t="s">
        <v>30465</v>
      </c>
      <c r="I4992" t="s">
        <v>10823</v>
      </c>
      <c r="J4992" t="s">
        <v>10782</v>
      </c>
      <c r="K4992" t="s">
        <v>30466</v>
      </c>
    </row>
    <row r="4993" spans="1:11" ht="201.6" x14ac:dyDescent="0.3">
      <c r="A4993" s="4" t="s">
        <v>7946</v>
      </c>
      <c r="B4993">
        <v>3</v>
      </c>
      <c r="C4993">
        <v>2016</v>
      </c>
      <c r="D4993" t="s">
        <v>1570</v>
      </c>
      <c r="E4993">
        <v>10</v>
      </c>
      <c r="F4993" t="s">
        <v>30467</v>
      </c>
      <c r="G4993" t="s">
        <v>30468</v>
      </c>
      <c r="H4993" s="4" t="s">
        <v>30469</v>
      </c>
    </row>
    <row r="4994" spans="1:11" ht="129.6" x14ac:dyDescent="0.3">
      <c r="A4994" s="4" t="s">
        <v>1726</v>
      </c>
      <c r="B4994">
        <v>1</v>
      </c>
      <c r="C4994">
        <v>2016</v>
      </c>
      <c r="D4994" t="s">
        <v>217</v>
      </c>
      <c r="E4994">
        <v>46</v>
      </c>
      <c r="F4994" t="s">
        <v>30470</v>
      </c>
      <c r="G4994" t="s">
        <v>30471</v>
      </c>
      <c r="H4994" s="4" t="s">
        <v>30472</v>
      </c>
      <c r="I4994" t="s">
        <v>71</v>
      </c>
      <c r="J4994" t="s">
        <v>10782</v>
      </c>
      <c r="K4994" t="s">
        <v>30473</v>
      </c>
    </row>
    <row r="4995" spans="1:11" ht="230.4" x14ac:dyDescent="0.3">
      <c r="A4995" s="4" t="s">
        <v>7947</v>
      </c>
      <c r="B4995">
        <v>3</v>
      </c>
      <c r="C4995">
        <v>2016</v>
      </c>
      <c r="D4995" t="s">
        <v>23949</v>
      </c>
      <c r="E4995">
        <v>23</v>
      </c>
      <c r="F4995" t="s">
        <v>30474</v>
      </c>
      <c r="G4995" t="s">
        <v>30475</v>
      </c>
      <c r="H4995" s="4" t="s">
        <v>30476</v>
      </c>
      <c r="I4995" t="s">
        <v>71</v>
      </c>
      <c r="J4995" t="s">
        <v>10782</v>
      </c>
      <c r="K4995" t="s">
        <v>30477</v>
      </c>
    </row>
    <row r="4996" spans="1:11" ht="115.2" x14ac:dyDescent="0.3">
      <c r="A4996" s="4" t="s">
        <v>7948</v>
      </c>
      <c r="B4996">
        <v>3</v>
      </c>
      <c r="C4996">
        <v>2016</v>
      </c>
      <c r="D4996" t="s">
        <v>385</v>
      </c>
      <c r="E4996">
        <v>41</v>
      </c>
      <c r="F4996" t="s">
        <v>30478</v>
      </c>
      <c r="G4996" t="s">
        <v>30479</v>
      </c>
      <c r="H4996" s="4" t="s">
        <v>30480</v>
      </c>
      <c r="I4996" t="s">
        <v>71</v>
      </c>
      <c r="J4996" t="s">
        <v>10782</v>
      </c>
      <c r="K4996" t="s">
        <v>30481</v>
      </c>
    </row>
    <row r="4997" spans="1:11" ht="43.2" x14ac:dyDescent="0.3">
      <c r="A4997" s="4" t="s">
        <v>7949</v>
      </c>
      <c r="B4997">
        <v>3</v>
      </c>
      <c r="C4997">
        <v>2016</v>
      </c>
      <c r="D4997" t="s">
        <v>22690</v>
      </c>
      <c r="E4997">
        <v>2</v>
      </c>
      <c r="F4997" t="s">
        <v>30482</v>
      </c>
      <c r="G4997" t="s">
        <v>30483</v>
      </c>
      <c r="H4997" s="4" t="s">
        <v>30484</v>
      </c>
      <c r="I4997" t="s">
        <v>71</v>
      </c>
      <c r="J4997" t="s">
        <v>10782</v>
      </c>
      <c r="K4997" t="s">
        <v>30485</v>
      </c>
    </row>
    <row r="4998" spans="1:11" ht="144" x14ac:dyDescent="0.3">
      <c r="A4998" s="4" t="s">
        <v>7950</v>
      </c>
      <c r="B4998">
        <v>3</v>
      </c>
      <c r="C4998">
        <v>2016</v>
      </c>
      <c r="D4998" t="s">
        <v>217</v>
      </c>
      <c r="E4998">
        <v>45</v>
      </c>
      <c r="F4998" t="s">
        <v>30486</v>
      </c>
      <c r="G4998" t="s">
        <v>30487</v>
      </c>
      <c r="H4998" s="4" t="s">
        <v>30488</v>
      </c>
      <c r="I4998" t="s">
        <v>71</v>
      </c>
      <c r="J4998" t="s">
        <v>10782</v>
      </c>
      <c r="K4998" t="s">
        <v>30489</v>
      </c>
    </row>
    <row r="4999" spans="1:11" ht="28.8" x14ac:dyDescent="0.3">
      <c r="A4999" s="4" t="s">
        <v>7951</v>
      </c>
      <c r="B4999">
        <v>3</v>
      </c>
      <c r="C4999">
        <v>2016</v>
      </c>
      <c r="D4999" t="s">
        <v>550</v>
      </c>
      <c r="E4999">
        <v>37</v>
      </c>
      <c r="F4999" t="s">
        <v>30490</v>
      </c>
      <c r="G4999" t="s">
        <v>30491</v>
      </c>
      <c r="H4999" s="4" t="s">
        <v>30492</v>
      </c>
    </row>
    <row r="5000" spans="1:11" ht="144" x14ac:dyDescent="0.3">
      <c r="A5000" s="4" t="s">
        <v>7952</v>
      </c>
      <c r="B5000">
        <v>3</v>
      </c>
      <c r="C5000">
        <v>2016</v>
      </c>
      <c r="D5000" t="s">
        <v>277</v>
      </c>
      <c r="E5000">
        <v>22</v>
      </c>
      <c r="F5000" t="s">
        <v>30493</v>
      </c>
      <c r="G5000" t="s">
        <v>30494</v>
      </c>
      <c r="H5000" s="4" t="s">
        <v>30495</v>
      </c>
      <c r="I5000" t="s">
        <v>71</v>
      </c>
      <c r="J5000" t="s">
        <v>10782</v>
      </c>
      <c r="K5000" t="s">
        <v>30496</v>
      </c>
    </row>
    <row r="5001" spans="1:11" ht="100.8" x14ac:dyDescent="0.3">
      <c r="A5001" s="4" t="s">
        <v>7953</v>
      </c>
      <c r="B5001">
        <v>3</v>
      </c>
      <c r="C5001">
        <v>2016</v>
      </c>
      <c r="D5001" t="s">
        <v>30497</v>
      </c>
      <c r="E5001">
        <v>25</v>
      </c>
      <c r="F5001" t="s">
        <v>30498</v>
      </c>
      <c r="G5001" t="s">
        <v>30499</v>
      </c>
      <c r="H5001" s="4" t="s">
        <v>30500</v>
      </c>
      <c r="I5001" t="s">
        <v>71</v>
      </c>
      <c r="J5001" t="s">
        <v>10782</v>
      </c>
      <c r="K5001" t="s">
        <v>30501</v>
      </c>
    </row>
    <row r="5002" spans="1:11" ht="144" x14ac:dyDescent="0.3">
      <c r="A5002" s="4" t="s">
        <v>7954</v>
      </c>
      <c r="B5002">
        <v>3</v>
      </c>
      <c r="C5002">
        <v>2016</v>
      </c>
      <c r="D5002" t="s">
        <v>28519</v>
      </c>
      <c r="E5002">
        <v>3</v>
      </c>
      <c r="F5002" t="s">
        <v>30502</v>
      </c>
      <c r="G5002" t="s">
        <v>30503</v>
      </c>
      <c r="H5002" s="4" t="s">
        <v>30504</v>
      </c>
      <c r="I5002" t="s">
        <v>71</v>
      </c>
      <c r="J5002" t="s">
        <v>10782</v>
      </c>
      <c r="K5002" t="s">
        <v>30505</v>
      </c>
    </row>
    <row r="5003" spans="1:11" ht="187.2" x14ac:dyDescent="0.3">
      <c r="A5003" s="4" t="s">
        <v>3609</v>
      </c>
      <c r="B5003">
        <v>2</v>
      </c>
      <c r="C5003">
        <v>2016</v>
      </c>
      <c r="D5003" t="s">
        <v>1570</v>
      </c>
      <c r="E5003">
        <v>47</v>
      </c>
      <c r="F5003" t="s">
        <v>30506</v>
      </c>
      <c r="G5003" t="s">
        <v>30507</v>
      </c>
      <c r="H5003" s="4" t="s">
        <v>30508</v>
      </c>
      <c r="I5003" t="s">
        <v>71</v>
      </c>
      <c r="J5003" t="s">
        <v>10782</v>
      </c>
      <c r="K5003" t="s">
        <v>30509</v>
      </c>
    </row>
    <row r="5004" spans="1:11" ht="230.4" x14ac:dyDescent="0.3">
      <c r="A5004" s="4" t="s">
        <v>7955</v>
      </c>
      <c r="B5004">
        <v>3</v>
      </c>
      <c r="C5004">
        <v>2016</v>
      </c>
      <c r="D5004" t="s">
        <v>80</v>
      </c>
      <c r="E5004">
        <v>95</v>
      </c>
      <c r="F5004" t="s">
        <v>30510</v>
      </c>
      <c r="G5004" t="s">
        <v>30511</v>
      </c>
      <c r="H5004" s="4" t="s">
        <v>30512</v>
      </c>
      <c r="I5004" t="s">
        <v>71</v>
      </c>
      <c r="J5004" t="s">
        <v>10782</v>
      </c>
      <c r="K5004" t="s">
        <v>30513</v>
      </c>
    </row>
    <row r="5005" spans="1:11" ht="172.8" x14ac:dyDescent="0.3">
      <c r="A5005" s="4" t="s">
        <v>7956</v>
      </c>
      <c r="B5005">
        <v>3</v>
      </c>
      <c r="C5005">
        <v>2016</v>
      </c>
      <c r="D5005" t="s">
        <v>434</v>
      </c>
      <c r="E5005">
        <v>5</v>
      </c>
      <c r="F5005" t="s">
        <v>30514</v>
      </c>
      <c r="G5005" t="s">
        <v>30515</v>
      </c>
      <c r="H5005" s="4" t="s">
        <v>30516</v>
      </c>
      <c r="I5005" t="s">
        <v>71</v>
      </c>
      <c r="J5005" t="s">
        <v>10782</v>
      </c>
      <c r="K5005" t="s">
        <v>30517</v>
      </c>
    </row>
    <row r="5006" spans="1:11" ht="158.4" x14ac:dyDescent="0.3">
      <c r="A5006" s="4" t="s">
        <v>7957</v>
      </c>
      <c r="B5006">
        <v>3</v>
      </c>
      <c r="C5006">
        <v>2016</v>
      </c>
      <c r="D5006" t="s">
        <v>1841</v>
      </c>
      <c r="E5006">
        <v>127</v>
      </c>
      <c r="F5006" t="s">
        <v>30518</v>
      </c>
      <c r="G5006" t="s">
        <v>30519</v>
      </c>
      <c r="H5006" s="4" t="s">
        <v>30520</v>
      </c>
      <c r="I5006" t="s">
        <v>71</v>
      </c>
      <c r="J5006" t="s">
        <v>10782</v>
      </c>
      <c r="K5006" t="s">
        <v>30521</v>
      </c>
    </row>
    <row r="5007" spans="1:11" ht="201.6" x14ac:dyDescent="0.3">
      <c r="A5007" s="4" t="s">
        <v>7958</v>
      </c>
      <c r="B5007">
        <v>3</v>
      </c>
      <c r="C5007">
        <v>2016</v>
      </c>
      <c r="D5007" t="s">
        <v>1426</v>
      </c>
      <c r="E5007">
        <v>109</v>
      </c>
      <c r="F5007" t="s">
        <v>30522</v>
      </c>
      <c r="G5007" t="s">
        <v>30523</v>
      </c>
      <c r="H5007" s="4" t="s">
        <v>30524</v>
      </c>
      <c r="I5007" t="s">
        <v>71</v>
      </c>
      <c r="J5007" t="s">
        <v>10782</v>
      </c>
      <c r="K5007" t="s">
        <v>30525</v>
      </c>
    </row>
    <row r="5008" spans="1:11" ht="172.8" x14ac:dyDescent="0.3">
      <c r="A5008" s="4" t="s">
        <v>7959</v>
      </c>
      <c r="B5008">
        <v>3</v>
      </c>
      <c r="C5008">
        <v>2016</v>
      </c>
      <c r="D5008" t="s">
        <v>217</v>
      </c>
      <c r="E5008">
        <v>19</v>
      </c>
      <c r="F5008" t="s">
        <v>30526</v>
      </c>
      <c r="G5008" t="s">
        <v>30527</v>
      </c>
      <c r="H5008" s="4" t="s">
        <v>30528</v>
      </c>
    </row>
    <row r="5009" spans="1:11" ht="201.6" x14ac:dyDescent="0.3">
      <c r="A5009" s="4" t="s">
        <v>7960</v>
      </c>
      <c r="B5009">
        <v>3</v>
      </c>
      <c r="C5009">
        <v>2016</v>
      </c>
      <c r="D5009" t="s">
        <v>14588</v>
      </c>
      <c r="E5009">
        <v>8</v>
      </c>
      <c r="F5009" t="s">
        <v>30529</v>
      </c>
      <c r="G5009" t="s">
        <v>30530</v>
      </c>
      <c r="H5009" s="4" t="s">
        <v>30531</v>
      </c>
      <c r="I5009" t="s">
        <v>71</v>
      </c>
      <c r="J5009" t="s">
        <v>10782</v>
      </c>
      <c r="K5009" t="s">
        <v>30532</v>
      </c>
    </row>
    <row r="5010" spans="1:11" ht="187.2" x14ac:dyDescent="0.3">
      <c r="A5010" s="4" t="s">
        <v>7961</v>
      </c>
      <c r="B5010">
        <v>3</v>
      </c>
      <c r="C5010">
        <v>2016</v>
      </c>
      <c r="D5010" t="s">
        <v>20744</v>
      </c>
      <c r="E5010">
        <v>9</v>
      </c>
      <c r="F5010" t="s">
        <v>30533</v>
      </c>
      <c r="G5010" t="s">
        <v>30534</v>
      </c>
      <c r="H5010" s="4" t="s">
        <v>30535</v>
      </c>
      <c r="I5010" t="s">
        <v>71</v>
      </c>
      <c r="J5010" t="s">
        <v>10782</v>
      </c>
      <c r="K5010" t="s">
        <v>30536</v>
      </c>
    </row>
    <row r="5011" spans="1:11" ht="172.8" x14ac:dyDescent="0.3">
      <c r="A5011" s="4" t="s">
        <v>1727</v>
      </c>
      <c r="B5011">
        <v>1</v>
      </c>
      <c r="C5011">
        <v>2016</v>
      </c>
      <c r="D5011" t="s">
        <v>1829</v>
      </c>
      <c r="E5011">
        <v>10</v>
      </c>
      <c r="F5011" t="s">
        <v>30537</v>
      </c>
      <c r="G5011" t="s">
        <v>30538</v>
      </c>
      <c r="H5011" s="4" t="s">
        <v>30539</v>
      </c>
      <c r="I5011" t="s">
        <v>71</v>
      </c>
      <c r="J5011" t="s">
        <v>10782</v>
      </c>
      <c r="K5011" t="s">
        <v>30540</v>
      </c>
    </row>
    <row r="5012" spans="1:11" ht="187.2" x14ac:dyDescent="0.3">
      <c r="A5012" s="4" t="s">
        <v>7962</v>
      </c>
      <c r="B5012">
        <v>3</v>
      </c>
      <c r="C5012">
        <v>2016</v>
      </c>
      <c r="D5012" t="s">
        <v>26549</v>
      </c>
      <c r="E5012">
        <v>3</v>
      </c>
      <c r="F5012" t="s">
        <v>30541</v>
      </c>
      <c r="G5012" t="s">
        <v>30542</v>
      </c>
      <c r="H5012" s="4" t="s">
        <v>30543</v>
      </c>
      <c r="I5012" t="s">
        <v>71</v>
      </c>
      <c r="J5012" t="s">
        <v>10782</v>
      </c>
      <c r="K5012" t="s">
        <v>30544</v>
      </c>
    </row>
    <row r="5013" spans="1:11" ht="216" x14ac:dyDescent="0.3">
      <c r="A5013" s="4" t="s">
        <v>7963</v>
      </c>
      <c r="B5013">
        <v>3</v>
      </c>
      <c r="C5013">
        <v>2016</v>
      </c>
      <c r="D5013" t="s">
        <v>217</v>
      </c>
      <c r="E5013">
        <v>25</v>
      </c>
      <c r="F5013" t="s">
        <v>30545</v>
      </c>
      <c r="G5013" t="s">
        <v>30546</v>
      </c>
      <c r="H5013" s="4" t="s">
        <v>30547</v>
      </c>
      <c r="I5013" t="s">
        <v>71</v>
      </c>
      <c r="J5013" t="s">
        <v>10782</v>
      </c>
      <c r="K5013" t="s">
        <v>30548</v>
      </c>
    </row>
    <row r="5014" spans="1:11" ht="144" x14ac:dyDescent="0.3">
      <c r="A5014" s="4" t="s">
        <v>7964</v>
      </c>
      <c r="B5014">
        <v>3</v>
      </c>
      <c r="C5014">
        <v>2016</v>
      </c>
      <c r="D5014" t="s">
        <v>17487</v>
      </c>
      <c r="E5014">
        <v>47</v>
      </c>
      <c r="F5014" t="s">
        <v>30549</v>
      </c>
      <c r="G5014" t="s">
        <v>30550</v>
      </c>
      <c r="H5014" s="4" t="s">
        <v>30551</v>
      </c>
      <c r="I5014" t="s">
        <v>71</v>
      </c>
      <c r="J5014" t="s">
        <v>10782</v>
      </c>
      <c r="K5014" t="s">
        <v>30552</v>
      </c>
    </row>
    <row r="5015" spans="1:11" ht="201.6" x14ac:dyDescent="0.3">
      <c r="A5015" s="4" t="s">
        <v>7965</v>
      </c>
      <c r="B5015">
        <v>3</v>
      </c>
      <c r="C5015">
        <v>2016</v>
      </c>
      <c r="D5015" t="s">
        <v>17076</v>
      </c>
      <c r="E5015">
        <v>21</v>
      </c>
      <c r="F5015" t="s">
        <v>30553</v>
      </c>
      <c r="G5015" t="s">
        <v>30554</v>
      </c>
      <c r="H5015" s="4" t="s">
        <v>30555</v>
      </c>
      <c r="I5015" t="s">
        <v>71</v>
      </c>
      <c r="J5015" t="s">
        <v>10782</v>
      </c>
      <c r="K5015" t="s">
        <v>30556</v>
      </c>
    </row>
    <row r="5016" spans="1:11" ht="187.2" x14ac:dyDescent="0.3">
      <c r="A5016" s="4" t="s">
        <v>7966</v>
      </c>
      <c r="B5016">
        <v>3</v>
      </c>
      <c r="C5016">
        <v>2016</v>
      </c>
      <c r="D5016" t="s">
        <v>1530</v>
      </c>
      <c r="E5016">
        <v>3</v>
      </c>
      <c r="F5016" t="s">
        <v>30557</v>
      </c>
      <c r="G5016" t="s">
        <v>30558</v>
      </c>
      <c r="H5016" s="4" t="s">
        <v>30559</v>
      </c>
      <c r="I5016" t="s">
        <v>71</v>
      </c>
      <c r="J5016" t="s">
        <v>10782</v>
      </c>
      <c r="K5016" t="s">
        <v>30560</v>
      </c>
    </row>
    <row r="5017" spans="1:11" ht="144" x14ac:dyDescent="0.3">
      <c r="A5017" s="4" t="s">
        <v>7967</v>
      </c>
      <c r="B5017">
        <v>3</v>
      </c>
      <c r="C5017">
        <v>2016</v>
      </c>
      <c r="D5017" t="s">
        <v>217</v>
      </c>
      <c r="E5017">
        <v>3</v>
      </c>
      <c r="F5017" t="s">
        <v>30561</v>
      </c>
      <c r="G5017" t="s">
        <v>30562</v>
      </c>
      <c r="H5017" s="4" t="s">
        <v>30563</v>
      </c>
      <c r="I5017" t="s">
        <v>71</v>
      </c>
      <c r="J5017" t="s">
        <v>10782</v>
      </c>
      <c r="K5017" t="s">
        <v>30564</v>
      </c>
    </row>
    <row r="5018" spans="1:11" ht="172.8" x14ac:dyDescent="0.3">
      <c r="A5018" s="4" t="s">
        <v>7968</v>
      </c>
      <c r="B5018">
        <v>3</v>
      </c>
      <c r="C5018">
        <v>2016</v>
      </c>
      <c r="D5018" t="s">
        <v>217</v>
      </c>
      <c r="E5018">
        <v>28</v>
      </c>
      <c r="F5018" t="s">
        <v>30565</v>
      </c>
      <c r="G5018" t="s">
        <v>30566</v>
      </c>
      <c r="H5018" s="4" t="s">
        <v>30567</v>
      </c>
      <c r="I5018" t="s">
        <v>10823</v>
      </c>
      <c r="J5018" t="s">
        <v>10782</v>
      </c>
      <c r="K5018" t="s">
        <v>30568</v>
      </c>
    </row>
    <row r="5019" spans="1:11" ht="187.2" x14ac:dyDescent="0.3">
      <c r="A5019" s="4" t="s">
        <v>7969</v>
      </c>
      <c r="B5019">
        <v>3</v>
      </c>
      <c r="C5019">
        <v>2016</v>
      </c>
      <c r="D5019" t="s">
        <v>1231</v>
      </c>
      <c r="E5019">
        <v>9</v>
      </c>
      <c r="F5019" t="s">
        <v>30569</v>
      </c>
      <c r="G5019" t="s">
        <v>30570</v>
      </c>
      <c r="H5019" s="4" t="s">
        <v>30571</v>
      </c>
      <c r="I5019" t="s">
        <v>71</v>
      </c>
      <c r="J5019" t="s">
        <v>10782</v>
      </c>
      <c r="K5019" t="s">
        <v>30572</v>
      </c>
    </row>
    <row r="5020" spans="1:11" ht="187.2" x14ac:dyDescent="0.3">
      <c r="A5020" s="4" t="s">
        <v>2935</v>
      </c>
      <c r="B5020">
        <v>2</v>
      </c>
      <c r="C5020">
        <v>2016</v>
      </c>
      <c r="D5020" t="s">
        <v>799</v>
      </c>
      <c r="E5020">
        <v>95</v>
      </c>
      <c r="F5020" t="s">
        <v>30573</v>
      </c>
      <c r="G5020" t="s">
        <v>30574</v>
      </c>
      <c r="H5020" s="4" t="s">
        <v>30575</v>
      </c>
      <c r="I5020" t="s">
        <v>71</v>
      </c>
      <c r="J5020" t="s">
        <v>10782</v>
      </c>
      <c r="K5020" t="s">
        <v>30576</v>
      </c>
    </row>
    <row r="5021" spans="1:11" ht="172.8" x14ac:dyDescent="0.3">
      <c r="A5021" s="4" t="s">
        <v>7970</v>
      </c>
      <c r="B5021">
        <v>3</v>
      </c>
      <c r="C5021">
        <v>2016</v>
      </c>
      <c r="D5021" t="s">
        <v>1841</v>
      </c>
      <c r="E5021">
        <v>107</v>
      </c>
      <c r="F5021" t="s">
        <v>30577</v>
      </c>
      <c r="G5021" t="s">
        <v>30578</v>
      </c>
      <c r="H5021" s="4" t="s">
        <v>30579</v>
      </c>
      <c r="I5021" t="s">
        <v>71</v>
      </c>
      <c r="J5021" t="s">
        <v>10782</v>
      </c>
      <c r="K5021" t="s">
        <v>30580</v>
      </c>
    </row>
    <row r="5022" spans="1:11" ht="201.6" x14ac:dyDescent="0.3">
      <c r="A5022" s="4" t="s">
        <v>1728</v>
      </c>
      <c r="B5022">
        <v>1</v>
      </c>
      <c r="C5022">
        <v>2016</v>
      </c>
      <c r="D5022" t="s">
        <v>217</v>
      </c>
      <c r="E5022">
        <v>17</v>
      </c>
      <c r="F5022" t="s">
        <v>30581</v>
      </c>
      <c r="G5022" t="s">
        <v>30582</v>
      </c>
      <c r="H5022" s="4" t="s">
        <v>30583</v>
      </c>
      <c r="I5022" t="s">
        <v>71</v>
      </c>
      <c r="J5022" t="s">
        <v>10782</v>
      </c>
      <c r="K5022" t="s">
        <v>30584</v>
      </c>
    </row>
    <row r="5023" spans="1:11" ht="144" x14ac:dyDescent="0.3">
      <c r="A5023" s="4" t="s">
        <v>7971</v>
      </c>
      <c r="B5023">
        <v>3</v>
      </c>
      <c r="C5023">
        <v>2016</v>
      </c>
      <c r="D5023" t="s">
        <v>472</v>
      </c>
      <c r="E5023">
        <v>3</v>
      </c>
      <c r="F5023" t="s">
        <v>30585</v>
      </c>
      <c r="G5023" t="s">
        <v>30586</v>
      </c>
      <c r="H5023" s="4" t="s">
        <v>30587</v>
      </c>
      <c r="I5023" t="s">
        <v>71</v>
      </c>
      <c r="J5023" t="s">
        <v>10782</v>
      </c>
      <c r="K5023" t="s">
        <v>30588</v>
      </c>
    </row>
    <row r="5024" spans="1:11" ht="144" x14ac:dyDescent="0.3">
      <c r="A5024" s="4" t="s">
        <v>7972</v>
      </c>
      <c r="B5024">
        <v>3</v>
      </c>
      <c r="C5024">
        <v>2016</v>
      </c>
      <c r="D5024" t="s">
        <v>13951</v>
      </c>
      <c r="E5024">
        <v>79</v>
      </c>
      <c r="F5024" t="s">
        <v>30589</v>
      </c>
      <c r="G5024" t="s">
        <v>30590</v>
      </c>
      <c r="H5024" s="4" t="s">
        <v>30591</v>
      </c>
      <c r="I5024" t="s">
        <v>71</v>
      </c>
      <c r="J5024" t="s">
        <v>10782</v>
      </c>
      <c r="K5024" t="s">
        <v>30592</v>
      </c>
    </row>
    <row r="5025" spans="1:11" ht="187.2" x14ac:dyDescent="0.3">
      <c r="A5025" s="4" t="s">
        <v>7973</v>
      </c>
      <c r="B5025">
        <v>3</v>
      </c>
      <c r="C5025">
        <v>2016</v>
      </c>
      <c r="D5025" t="s">
        <v>18377</v>
      </c>
      <c r="E5025">
        <v>24</v>
      </c>
      <c r="F5025" t="s">
        <v>30593</v>
      </c>
      <c r="G5025" t="s">
        <v>30594</v>
      </c>
      <c r="H5025" s="4" t="s">
        <v>30595</v>
      </c>
      <c r="I5025" t="s">
        <v>71</v>
      </c>
      <c r="J5025" t="s">
        <v>10782</v>
      </c>
      <c r="K5025" t="s">
        <v>30596</v>
      </c>
    </row>
    <row r="5026" spans="1:11" ht="129.6" x14ac:dyDescent="0.3">
      <c r="A5026" s="4" t="s">
        <v>3610</v>
      </c>
      <c r="B5026">
        <v>2</v>
      </c>
      <c r="C5026">
        <v>2016</v>
      </c>
      <c r="D5026" t="s">
        <v>1426</v>
      </c>
      <c r="E5026">
        <v>91</v>
      </c>
      <c r="F5026" t="s">
        <v>30597</v>
      </c>
      <c r="G5026" t="s">
        <v>30598</v>
      </c>
      <c r="H5026" s="4" t="s">
        <v>30599</v>
      </c>
      <c r="I5026" t="s">
        <v>71</v>
      </c>
      <c r="J5026" t="s">
        <v>10782</v>
      </c>
      <c r="K5026" t="s">
        <v>30600</v>
      </c>
    </row>
    <row r="5027" spans="1:11" ht="216" x14ac:dyDescent="0.3">
      <c r="A5027" s="4" t="s">
        <v>7974</v>
      </c>
      <c r="B5027">
        <v>3</v>
      </c>
      <c r="C5027">
        <v>2016</v>
      </c>
      <c r="D5027" t="s">
        <v>30601</v>
      </c>
      <c r="E5027">
        <v>7</v>
      </c>
      <c r="F5027" t="s">
        <v>30602</v>
      </c>
      <c r="G5027" t="s">
        <v>30603</v>
      </c>
      <c r="H5027" s="4" t="s">
        <v>30604</v>
      </c>
      <c r="I5027" t="s">
        <v>71</v>
      </c>
      <c r="J5027" t="s">
        <v>10782</v>
      </c>
      <c r="K5027" t="s">
        <v>30605</v>
      </c>
    </row>
    <row r="5028" spans="1:11" ht="100.8" x14ac:dyDescent="0.3">
      <c r="A5028" s="4" t="s">
        <v>7975</v>
      </c>
      <c r="B5028">
        <v>3</v>
      </c>
      <c r="C5028">
        <v>2016</v>
      </c>
      <c r="D5028" t="s">
        <v>13685</v>
      </c>
      <c r="E5028">
        <v>6</v>
      </c>
      <c r="F5028" t="s">
        <v>30606</v>
      </c>
      <c r="G5028" t="s">
        <v>30607</v>
      </c>
      <c r="H5028" s="4" t="s">
        <v>30608</v>
      </c>
      <c r="I5028" t="s">
        <v>71</v>
      </c>
      <c r="J5028" t="s">
        <v>10782</v>
      </c>
      <c r="K5028" t="s">
        <v>30609</v>
      </c>
    </row>
    <row r="5029" spans="1:11" ht="244.8" x14ac:dyDescent="0.3">
      <c r="A5029" s="4" t="s">
        <v>7976</v>
      </c>
      <c r="B5029">
        <v>3</v>
      </c>
      <c r="C5029">
        <v>2016</v>
      </c>
      <c r="D5029" t="s">
        <v>10924</v>
      </c>
      <c r="E5029">
        <v>17</v>
      </c>
      <c r="F5029" t="s">
        <v>30610</v>
      </c>
      <c r="G5029" t="s">
        <v>30611</v>
      </c>
      <c r="H5029" s="4" t="s">
        <v>30612</v>
      </c>
      <c r="I5029" t="s">
        <v>71</v>
      </c>
      <c r="J5029" t="s">
        <v>10782</v>
      </c>
      <c r="K5029" t="s">
        <v>30613</v>
      </c>
    </row>
    <row r="5030" spans="1:11" ht="409.6" x14ac:dyDescent="0.3">
      <c r="A5030" s="4" t="s">
        <v>7977</v>
      </c>
      <c r="B5030">
        <v>3</v>
      </c>
      <c r="C5030">
        <v>2016</v>
      </c>
      <c r="D5030" t="s">
        <v>1841</v>
      </c>
      <c r="E5030">
        <v>119</v>
      </c>
      <c r="F5030" t="s">
        <v>30614</v>
      </c>
      <c r="G5030" t="s">
        <v>30615</v>
      </c>
      <c r="H5030" s="4" t="s">
        <v>30616</v>
      </c>
      <c r="I5030" t="s">
        <v>71</v>
      </c>
      <c r="J5030" t="s">
        <v>10782</v>
      </c>
      <c r="K5030" t="s">
        <v>30617</v>
      </c>
    </row>
    <row r="5031" spans="1:11" ht="187.2" x14ac:dyDescent="0.3">
      <c r="A5031" s="4" t="s">
        <v>7978</v>
      </c>
      <c r="B5031">
        <v>3</v>
      </c>
      <c r="C5031">
        <v>2016</v>
      </c>
      <c r="D5031" t="s">
        <v>1688</v>
      </c>
      <c r="E5031">
        <v>43</v>
      </c>
      <c r="F5031" t="s">
        <v>30618</v>
      </c>
      <c r="G5031" t="s">
        <v>30619</v>
      </c>
      <c r="H5031" s="4" t="s">
        <v>30620</v>
      </c>
      <c r="I5031" t="s">
        <v>71</v>
      </c>
      <c r="J5031" t="s">
        <v>10782</v>
      </c>
      <c r="K5031" t="s">
        <v>30621</v>
      </c>
    </row>
    <row r="5032" spans="1:11" ht="172.8" x14ac:dyDescent="0.3">
      <c r="A5032" s="4" t="s">
        <v>7979</v>
      </c>
      <c r="B5032">
        <v>3</v>
      </c>
      <c r="C5032">
        <v>2016</v>
      </c>
      <c r="D5032" t="s">
        <v>30118</v>
      </c>
      <c r="E5032">
        <v>7</v>
      </c>
      <c r="F5032" t="s">
        <v>30622</v>
      </c>
      <c r="G5032" t="s">
        <v>30623</v>
      </c>
      <c r="H5032" s="4" t="s">
        <v>30624</v>
      </c>
      <c r="I5032" t="s">
        <v>71</v>
      </c>
      <c r="J5032" t="s">
        <v>10782</v>
      </c>
      <c r="K5032" t="s">
        <v>30625</v>
      </c>
    </row>
    <row r="5033" spans="1:11" ht="187.2" x14ac:dyDescent="0.3">
      <c r="A5033" s="4" t="s">
        <v>7980</v>
      </c>
      <c r="B5033">
        <v>3</v>
      </c>
      <c r="C5033">
        <v>2016</v>
      </c>
      <c r="D5033" t="s">
        <v>1770</v>
      </c>
      <c r="E5033">
        <v>97</v>
      </c>
      <c r="F5033" t="s">
        <v>30626</v>
      </c>
      <c r="G5033" t="s">
        <v>30627</v>
      </c>
      <c r="H5033" s="4" t="s">
        <v>30628</v>
      </c>
      <c r="I5033" t="s">
        <v>71</v>
      </c>
      <c r="J5033" t="s">
        <v>10782</v>
      </c>
      <c r="K5033" t="s">
        <v>30629</v>
      </c>
    </row>
    <row r="5034" spans="1:11" ht="172.8" x14ac:dyDescent="0.3">
      <c r="A5034" s="4" t="s">
        <v>7981</v>
      </c>
      <c r="B5034">
        <v>3</v>
      </c>
      <c r="C5034">
        <v>2016</v>
      </c>
      <c r="D5034" t="s">
        <v>1525</v>
      </c>
      <c r="E5034">
        <v>15</v>
      </c>
      <c r="F5034" t="s">
        <v>30630</v>
      </c>
      <c r="G5034" t="s">
        <v>30631</v>
      </c>
      <c r="H5034" s="4" t="s">
        <v>30632</v>
      </c>
      <c r="I5034" t="s">
        <v>71</v>
      </c>
      <c r="J5034" t="s">
        <v>10782</v>
      </c>
      <c r="K5034" t="s">
        <v>30633</v>
      </c>
    </row>
    <row r="5035" spans="1:11" ht="201.6" x14ac:dyDescent="0.3">
      <c r="A5035" s="4" t="s">
        <v>7982</v>
      </c>
      <c r="B5035">
        <v>3</v>
      </c>
      <c r="C5035">
        <v>2016</v>
      </c>
      <c r="D5035" t="s">
        <v>11310</v>
      </c>
      <c r="E5035">
        <v>47</v>
      </c>
      <c r="F5035" t="s">
        <v>30634</v>
      </c>
      <c r="G5035" t="s">
        <v>30635</v>
      </c>
      <c r="H5035" s="4" t="s">
        <v>30636</v>
      </c>
    </row>
    <row r="5036" spans="1:11" ht="216" x14ac:dyDescent="0.3">
      <c r="A5036" s="4" t="s">
        <v>7983</v>
      </c>
      <c r="B5036">
        <v>3</v>
      </c>
      <c r="C5036">
        <v>2016</v>
      </c>
      <c r="D5036" t="s">
        <v>11041</v>
      </c>
      <c r="E5036">
        <v>21</v>
      </c>
      <c r="F5036" t="s">
        <v>30637</v>
      </c>
      <c r="G5036" t="s">
        <v>30638</v>
      </c>
      <c r="H5036" s="4" t="s">
        <v>30639</v>
      </c>
      <c r="I5036" t="s">
        <v>71</v>
      </c>
      <c r="J5036" t="s">
        <v>10782</v>
      </c>
      <c r="K5036" t="s">
        <v>30640</v>
      </c>
    </row>
    <row r="5037" spans="1:11" ht="172.8" x14ac:dyDescent="0.3">
      <c r="A5037" s="4" t="s">
        <v>7984</v>
      </c>
      <c r="B5037">
        <v>3</v>
      </c>
      <c r="C5037">
        <v>2016</v>
      </c>
      <c r="D5037" t="s">
        <v>2416</v>
      </c>
      <c r="E5037">
        <v>18</v>
      </c>
      <c r="F5037" t="s">
        <v>30641</v>
      </c>
      <c r="G5037" t="s">
        <v>30642</v>
      </c>
      <c r="H5037" s="4" t="s">
        <v>30643</v>
      </c>
      <c r="I5037" t="s">
        <v>71</v>
      </c>
      <c r="J5037" t="s">
        <v>10782</v>
      </c>
      <c r="K5037" t="s">
        <v>30644</v>
      </c>
    </row>
    <row r="5038" spans="1:11" ht="172.8" x14ac:dyDescent="0.3">
      <c r="A5038" s="4" t="s">
        <v>1729</v>
      </c>
      <c r="B5038">
        <v>1</v>
      </c>
      <c r="C5038">
        <v>2016</v>
      </c>
      <c r="D5038" t="s">
        <v>147</v>
      </c>
      <c r="E5038">
        <v>18</v>
      </c>
      <c r="F5038" t="s">
        <v>30645</v>
      </c>
      <c r="G5038" t="s">
        <v>30646</v>
      </c>
      <c r="H5038" s="4" t="s">
        <v>30647</v>
      </c>
    </row>
    <row r="5039" spans="1:11" ht="86.4" x14ac:dyDescent="0.3">
      <c r="A5039" s="4" t="s">
        <v>7985</v>
      </c>
      <c r="B5039">
        <v>3</v>
      </c>
      <c r="C5039">
        <v>2016</v>
      </c>
      <c r="D5039" t="s">
        <v>17273</v>
      </c>
      <c r="E5039">
        <v>19</v>
      </c>
      <c r="F5039" t="s">
        <v>30648</v>
      </c>
      <c r="G5039" t="s">
        <v>30649</v>
      </c>
      <c r="H5039" s="4" t="s">
        <v>30650</v>
      </c>
      <c r="I5039" t="s">
        <v>71</v>
      </c>
      <c r="J5039" t="s">
        <v>10782</v>
      </c>
      <c r="K5039" t="s">
        <v>30651</v>
      </c>
    </row>
    <row r="5040" spans="1:11" ht="158.4" x14ac:dyDescent="0.3">
      <c r="A5040" s="4" t="s">
        <v>7986</v>
      </c>
      <c r="B5040">
        <v>3</v>
      </c>
      <c r="C5040">
        <v>2016</v>
      </c>
      <c r="D5040" t="s">
        <v>637</v>
      </c>
      <c r="E5040">
        <v>81</v>
      </c>
      <c r="F5040" t="s">
        <v>30652</v>
      </c>
      <c r="G5040" t="s">
        <v>30653</v>
      </c>
      <c r="H5040" s="4" t="s">
        <v>30654</v>
      </c>
      <c r="I5040" t="s">
        <v>71</v>
      </c>
      <c r="J5040" t="s">
        <v>10782</v>
      </c>
      <c r="K5040" t="s">
        <v>30655</v>
      </c>
    </row>
    <row r="5041" spans="1:11" ht="57.6" x14ac:dyDescent="0.3">
      <c r="A5041" s="4" t="s">
        <v>1730</v>
      </c>
      <c r="B5041">
        <v>1</v>
      </c>
      <c r="C5041">
        <v>2016</v>
      </c>
      <c r="D5041" t="s">
        <v>329</v>
      </c>
      <c r="E5041">
        <v>167</v>
      </c>
      <c r="F5041" t="s">
        <v>30656</v>
      </c>
      <c r="G5041" t="s">
        <v>30657</v>
      </c>
      <c r="H5041" s="4" t="s">
        <v>30658</v>
      </c>
    </row>
    <row r="5042" spans="1:11" ht="302.39999999999998" x14ac:dyDescent="0.3">
      <c r="A5042" s="4" t="s">
        <v>7987</v>
      </c>
      <c r="B5042">
        <v>3</v>
      </c>
      <c r="C5042">
        <v>2016</v>
      </c>
      <c r="D5042" t="s">
        <v>26297</v>
      </c>
      <c r="E5042">
        <v>35</v>
      </c>
      <c r="F5042" t="s">
        <v>30659</v>
      </c>
      <c r="G5042" t="s">
        <v>30660</v>
      </c>
      <c r="H5042" s="4" t="s">
        <v>30661</v>
      </c>
      <c r="I5042" t="s">
        <v>71</v>
      </c>
      <c r="J5042" t="s">
        <v>10782</v>
      </c>
      <c r="K5042" t="s">
        <v>30662</v>
      </c>
    </row>
    <row r="5043" spans="1:11" ht="144" x14ac:dyDescent="0.3">
      <c r="A5043" s="4" t="s">
        <v>7988</v>
      </c>
      <c r="B5043">
        <v>3</v>
      </c>
      <c r="C5043">
        <v>2016</v>
      </c>
      <c r="D5043" t="s">
        <v>11774</v>
      </c>
      <c r="E5043">
        <v>1</v>
      </c>
      <c r="F5043" t="s">
        <v>30663</v>
      </c>
      <c r="G5043" t="s">
        <v>30664</v>
      </c>
      <c r="H5043" s="4" t="s">
        <v>30665</v>
      </c>
    </row>
    <row r="5044" spans="1:11" ht="259.2" x14ac:dyDescent="0.3">
      <c r="A5044" s="4" t="s">
        <v>7989</v>
      </c>
      <c r="B5044">
        <v>3</v>
      </c>
      <c r="C5044">
        <v>2016</v>
      </c>
      <c r="D5044" t="s">
        <v>1841</v>
      </c>
      <c r="E5044">
        <v>43</v>
      </c>
      <c r="F5044" t="s">
        <v>30666</v>
      </c>
      <c r="G5044" t="s">
        <v>30667</v>
      </c>
      <c r="H5044" s="4" t="s">
        <v>30668</v>
      </c>
    </row>
    <row r="5045" spans="1:11" ht="187.2" x14ac:dyDescent="0.3">
      <c r="A5045" s="4" t="s">
        <v>7990</v>
      </c>
      <c r="B5045">
        <v>3</v>
      </c>
      <c r="C5045">
        <v>2016</v>
      </c>
      <c r="D5045" t="s">
        <v>217</v>
      </c>
      <c r="E5045">
        <v>30</v>
      </c>
      <c r="F5045" t="s">
        <v>30669</v>
      </c>
      <c r="G5045" t="s">
        <v>30670</v>
      </c>
      <c r="H5045" s="4" t="s">
        <v>30671</v>
      </c>
      <c r="I5045" t="s">
        <v>71</v>
      </c>
      <c r="J5045" t="s">
        <v>10782</v>
      </c>
      <c r="K5045" t="s">
        <v>30672</v>
      </c>
    </row>
    <row r="5046" spans="1:11" ht="172.8" x14ac:dyDescent="0.3">
      <c r="A5046" s="4" t="s">
        <v>7991</v>
      </c>
      <c r="B5046">
        <v>3</v>
      </c>
      <c r="C5046">
        <v>2016</v>
      </c>
      <c r="D5046" t="s">
        <v>1841</v>
      </c>
      <c r="E5046">
        <v>30</v>
      </c>
      <c r="F5046" t="s">
        <v>30673</v>
      </c>
      <c r="G5046" t="s">
        <v>30674</v>
      </c>
      <c r="H5046" s="4" t="s">
        <v>30675</v>
      </c>
      <c r="I5046" t="s">
        <v>71</v>
      </c>
      <c r="J5046" t="s">
        <v>10782</v>
      </c>
      <c r="K5046" t="s">
        <v>30676</v>
      </c>
    </row>
    <row r="5047" spans="1:11" ht="273.60000000000002" x14ac:dyDescent="0.3">
      <c r="A5047" s="4" t="s">
        <v>7992</v>
      </c>
      <c r="B5047">
        <v>3</v>
      </c>
      <c r="C5047">
        <v>2016</v>
      </c>
      <c r="D5047" t="s">
        <v>13914</v>
      </c>
      <c r="E5047">
        <v>43</v>
      </c>
      <c r="F5047" t="s">
        <v>30677</v>
      </c>
      <c r="G5047" t="s">
        <v>30678</v>
      </c>
      <c r="H5047" s="4" t="s">
        <v>30679</v>
      </c>
      <c r="I5047" t="s">
        <v>71</v>
      </c>
      <c r="J5047" t="s">
        <v>10782</v>
      </c>
      <c r="K5047" t="s">
        <v>30680</v>
      </c>
    </row>
    <row r="5048" spans="1:11" ht="100.8" x14ac:dyDescent="0.3">
      <c r="A5048" s="4" t="s">
        <v>7993</v>
      </c>
      <c r="B5048">
        <v>3</v>
      </c>
      <c r="C5048">
        <v>2016</v>
      </c>
      <c r="D5048" t="s">
        <v>385</v>
      </c>
      <c r="E5048">
        <v>28</v>
      </c>
      <c r="F5048" t="s">
        <v>30681</v>
      </c>
      <c r="G5048" t="s">
        <v>30682</v>
      </c>
      <c r="H5048" s="4" t="s">
        <v>30683</v>
      </c>
    </row>
    <row r="5049" spans="1:11" ht="216" x14ac:dyDescent="0.3">
      <c r="A5049" s="4" t="s">
        <v>7994</v>
      </c>
      <c r="B5049">
        <v>3</v>
      </c>
      <c r="C5049">
        <v>2016</v>
      </c>
      <c r="D5049" t="s">
        <v>11674</v>
      </c>
      <c r="E5049">
        <v>43</v>
      </c>
      <c r="F5049" t="s">
        <v>30684</v>
      </c>
      <c r="G5049" t="s">
        <v>30685</v>
      </c>
      <c r="H5049" s="4" t="s">
        <v>30686</v>
      </c>
    </row>
    <row r="5050" spans="1:11" ht="216" x14ac:dyDescent="0.3">
      <c r="A5050" s="4" t="s">
        <v>7995</v>
      </c>
      <c r="B5050">
        <v>3</v>
      </c>
      <c r="C5050">
        <v>2016</v>
      </c>
      <c r="D5050" t="s">
        <v>2375</v>
      </c>
      <c r="E5050">
        <v>34</v>
      </c>
      <c r="F5050" t="s">
        <v>30687</v>
      </c>
      <c r="G5050" t="s">
        <v>30688</v>
      </c>
      <c r="H5050" s="4" t="s">
        <v>30689</v>
      </c>
      <c r="I5050" t="s">
        <v>71</v>
      </c>
      <c r="J5050" t="s">
        <v>10782</v>
      </c>
      <c r="K5050" t="s">
        <v>30690</v>
      </c>
    </row>
    <row r="5051" spans="1:11" ht="144" x14ac:dyDescent="0.3">
      <c r="A5051" s="4" t="s">
        <v>7996</v>
      </c>
      <c r="B5051">
        <v>3</v>
      </c>
      <c r="C5051">
        <v>2016</v>
      </c>
      <c r="D5051" t="s">
        <v>329</v>
      </c>
      <c r="E5051">
        <v>18</v>
      </c>
      <c r="F5051" t="s">
        <v>30691</v>
      </c>
      <c r="G5051" t="s">
        <v>30692</v>
      </c>
      <c r="H5051" s="4" t="s">
        <v>30693</v>
      </c>
      <c r="I5051" t="s">
        <v>71</v>
      </c>
      <c r="J5051" t="s">
        <v>10782</v>
      </c>
      <c r="K5051" t="s">
        <v>30694</v>
      </c>
    </row>
    <row r="5052" spans="1:11" ht="259.2" x14ac:dyDescent="0.3">
      <c r="A5052" s="4" t="s">
        <v>7997</v>
      </c>
      <c r="B5052">
        <v>3</v>
      </c>
      <c r="C5052">
        <v>2016</v>
      </c>
      <c r="D5052" t="s">
        <v>10924</v>
      </c>
      <c r="E5052">
        <v>79</v>
      </c>
      <c r="F5052" t="s">
        <v>30695</v>
      </c>
      <c r="G5052" t="s">
        <v>30696</v>
      </c>
      <c r="H5052" s="4" t="s">
        <v>30697</v>
      </c>
      <c r="I5052" t="s">
        <v>71</v>
      </c>
      <c r="J5052" t="s">
        <v>10782</v>
      </c>
      <c r="K5052" t="s">
        <v>30698</v>
      </c>
    </row>
    <row r="5053" spans="1:11" ht="216" x14ac:dyDescent="0.3">
      <c r="A5053" s="4" t="s">
        <v>7998</v>
      </c>
      <c r="B5053">
        <v>3</v>
      </c>
      <c r="C5053">
        <v>2016</v>
      </c>
      <c r="D5053" t="s">
        <v>11783</v>
      </c>
      <c r="E5053">
        <v>66</v>
      </c>
      <c r="F5053" t="s">
        <v>30699</v>
      </c>
      <c r="G5053" t="s">
        <v>30700</v>
      </c>
      <c r="H5053" s="4" t="s">
        <v>30701</v>
      </c>
      <c r="I5053" t="s">
        <v>10823</v>
      </c>
      <c r="J5053" t="s">
        <v>10782</v>
      </c>
      <c r="K5053" t="s">
        <v>30702</v>
      </c>
    </row>
    <row r="5054" spans="1:11" ht="129.6" x14ac:dyDescent="0.3">
      <c r="A5054" s="4" t="s">
        <v>7999</v>
      </c>
      <c r="B5054">
        <v>3</v>
      </c>
      <c r="C5054">
        <v>2016</v>
      </c>
      <c r="D5054" t="s">
        <v>11574</v>
      </c>
      <c r="E5054">
        <v>271</v>
      </c>
      <c r="F5054" t="s">
        <v>30703</v>
      </c>
      <c r="G5054" t="s">
        <v>30704</v>
      </c>
      <c r="H5054" s="4" t="s">
        <v>30705</v>
      </c>
      <c r="I5054" t="s">
        <v>10823</v>
      </c>
      <c r="J5054" t="s">
        <v>10782</v>
      </c>
      <c r="K5054" t="s">
        <v>30706</v>
      </c>
    </row>
    <row r="5055" spans="1:11" ht="172.8" x14ac:dyDescent="0.3">
      <c r="A5055" s="4" t="s">
        <v>8000</v>
      </c>
      <c r="B5055">
        <v>3</v>
      </c>
      <c r="C5055">
        <v>2016</v>
      </c>
      <c r="D5055" t="s">
        <v>217</v>
      </c>
      <c r="E5055">
        <v>56</v>
      </c>
      <c r="F5055" t="s">
        <v>30707</v>
      </c>
      <c r="G5055" t="s">
        <v>30708</v>
      </c>
      <c r="H5055" s="4" t="s">
        <v>30709</v>
      </c>
      <c r="I5055" t="s">
        <v>71</v>
      </c>
      <c r="J5055" t="s">
        <v>10782</v>
      </c>
      <c r="K5055" t="s">
        <v>30710</v>
      </c>
    </row>
    <row r="5056" spans="1:11" ht="187.2" x14ac:dyDescent="0.3">
      <c r="A5056" s="4" t="s">
        <v>8001</v>
      </c>
      <c r="B5056">
        <v>3</v>
      </c>
      <c r="C5056">
        <v>2016</v>
      </c>
      <c r="D5056" t="s">
        <v>1759</v>
      </c>
      <c r="E5056">
        <v>10</v>
      </c>
      <c r="F5056" t="s">
        <v>30711</v>
      </c>
      <c r="G5056" t="s">
        <v>30712</v>
      </c>
      <c r="H5056" s="4" t="s">
        <v>30713</v>
      </c>
      <c r="I5056" t="s">
        <v>71</v>
      </c>
      <c r="J5056" t="s">
        <v>10782</v>
      </c>
      <c r="K5056" t="s">
        <v>30714</v>
      </c>
    </row>
    <row r="5057" spans="1:11" ht="86.4" x14ac:dyDescent="0.3">
      <c r="A5057" s="4" t="s">
        <v>8002</v>
      </c>
      <c r="B5057">
        <v>3</v>
      </c>
      <c r="C5057">
        <v>2016</v>
      </c>
      <c r="D5057" t="s">
        <v>30424</v>
      </c>
      <c r="E5057">
        <v>35</v>
      </c>
      <c r="F5057" t="s">
        <v>30715</v>
      </c>
      <c r="G5057" t="s">
        <v>30716</v>
      </c>
      <c r="H5057" s="4" t="s">
        <v>30717</v>
      </c>
    </row>
    <row r="5058" spans="1:11" ht="201.6" x14ac:dyDescent="0.3">
      <c r="A5058" s="4" t="s">
        <v>8003</v>
      </c>
      <c r="B5058">
        <v>3</v>
      </c>
      <c r="C5058">
        <v>2016</v>
      </c>
      <c r="D5058" t="s">
        <v>2585</v>
      </c>
      <c r="E5058">
        <v>35</v>
      </c>
      <c r="F5058" t="s">
        <v>30718</v>
      </c>
      <c r="G5058" t="s">
        <v>30719</v>
      </c>
      <c r="H5058" s="4" t="s">
        <v>30720</v>
      </c>
      <c r="I5058" t="s">
        <v>71</v>
      </c>
      <c r="J5058" t="s">
        <v>10782</v>
      </c>
      <c r="K5058" t="s">
        <v>30721</v>
      </c>
    </row>
    <row r="5059" spans="1:11" ht="43.2" x14ac:dyDescent="0.3">
      <c r="A5059" s="4" t="s">
        <v>8004</v>
      </c>
      <c r="B5059">
        <v>3</v>
      </c>
      <c r="C5059">
        <v>2016</v>
      </c>
      <c r="D5059" t="s">
        <v>12253</v>
      </c>
      <c r="E5059">
        <v>51</v>
      </c>
      <c r="F5059" t="s">
        <v>30722</v>
      </c>
      <c r="G5059" t="s">
        <v>30723</v>
      </c>
      <c r="H5059" s="4" t="s">
        <v>30724</v>
      </c>
    </row>
    <row r="5060" spans="1:11" ht="158.4" x14ac:dyDescent="0.3">
      <c r="A5060" s="4" t="s">
        <v>8005</v>
      </c>
      <c r="B5060">
        <v>3</v>
      </c>
      <c r="C5060">
        <v>2016</v>
      </c>
      <c r="D5060" t="s">
        <v>799</v>
      </c>
      <c r="E5060">
        <v>166</v>
      </c>
      <c r="F5060" t="s">
        <v>30725</v>
      </c>
      <c r="G5060" t="s">
        <v>30726</v>
      </c>
      <c r="H5060" s="4" t="s">
        <v>30727</v>
      </c>
      <c r="I5060" t="s">
        <v>71</v>
      </c>
      <c r="J5060" t="s">
        <v>10782</v>
      </c>
      <c r="K5060" t="s">
        <v>30728</v>
      </c>
    </row>
    <row r="5061" spans="1:11" ht="230.4" x14ac:dyDescent="0.3">
      <c r="A5061" s="4" t="s">
        <v>8006</v>
      </c>
      <c r="B5061">
        <v>3</v>
      </c>
      <c r="C5061">
        <v>2016</v>
      </c>
      <c r="D5061" t="s">
        <v>2416</v>
      </c>
      <c r="E5061">
        <v>39</v>
      </c>
      <c r="F5061" t="s">
        <v>30729</v>
      </c>
      <c r="G5061" t="s">
        <v>30730</v>
      </c>
      <c r="H5061" s="4" t="s">
        <v>30731</v>
      </c>
      <c r="I5061" t="s">
        <v>71</v>
      </c>
      <c r="J5061" t="s">
        <v>10782</v>
      </c>
      <c r="K5061" t="s">
        <v>30732</v>
      </c>
    </row>
    <row r="5062" spans="1:11" ht="100.8" x14ac:dyDescent="0.3">
      <c r="A5062" s="4" t="s">
        <v>8007</v>
      </c>
      <c r="B5062">
        <v>3</v>
      </c>
      <c r="C5062">
        <v>2016</v>
      </c>
      <c r="D5062" t="s">
        <v>385</v>
      </c>
      <c r="E5062">
        <v>91</v>
      </c>
      <c r="F5062" t="s">
        <v>30733</v>
      </c>
      <c r="G5062" t="s">
        <v>30734</v>
      </c>
      <c r="H5062" s="4" t="s">
        <v>30735</v>
      </c>
    </row>
    <row r="5063" spans="1:11" ht="144" x14ac:dyDescent="0.3">
      <c r="A5063" s="4" t="s">
        <v>8008</v>
      </c>
      <c r="B5063">
        <v>3</v>
      </c>
      <c r="C5063">
        <v>2016</v>
      </c>
      <c r="D5063" t="s">
        <v>30736</v>
      </c>
      <c r="E5063">
        <v>19</v>
      </c>
      <c r="F5063" t="s">
        <v>30737</v>
      </c>
      <c r="G5063" t="s">
        <v>30738</v>
      </c>
      <c r="H5063" s="4" t="s">
        <v>30739</v>
      </c>
      <c r="I5063" t="s">
        <v>71</v>
      </c>
      <c r="J5063" t="s">
        <v>10782</v>
      </c>
      <c r="K5063" t="s">
        <v>30740</v>
      </c>
    </row>
    <row r="5064" spans="1:11" ht="187.2" x14ac:dyDescent="0.3">
      <c r="A5064" s="4" t="s">
        <v>8009</v>
      </c>
      <c r="B5064">
        <v>3</v>
      </c>
      <c r="C5064">
        <v>2016</v>
      </c>
      <c r="D5064" t="s">
        <v>1841</v>
      </c>
      <c r="E5064">
        <v>51</v>
      </c>
      <c r="F5064" t="s">
        <v>30741</v>
      </c>
      <c r="G5064" t="s">
        <v>30742</v>
      </c>
      <c r="H5064" s="4" t="s">
        <v>30743</v>
      </c>
      <c r="I5064" t="s">
        <v>71</v>
      </c>
      <c r="J5064" t="s">
        <v>10782</v>
      </c>
      <c r="K5064" t="s">
        <v>30744</v>
      </c>
    </row>
    <row r="5065" spans="1:11" ht="216" x14ac:dyDescent="0.3">
      <c r="A5065" s="4" t="s">
        <v>8010</v>
      </c>
      <c r="B5065">
        <v>3</v>
      </c>
      <c r="C5065">
        <v>2016</v>
      </c>
      <c r="D5065" t="s">
        <v>1525</v>
      </c>
      <c r="E5065">
        <v>37</v>
      </c>
      <c r="F5065" t="s">
        <v>30745</v>
      </c>
      <c r="G5065" t="s">
        <v>30746</v>
      </c>
      <c r="H5065" s="4" t="s">
        <v>30747</v>
      </c>
      <c r="I5065" t="s">
        <v>71</v>
      </c>
      <c r="J5065" t="s">
        <v>10782</v>
      </c>
      <c r="K5065" t="s">
        <v>30748</v>
      </c>
    </row>
    <row r="5066" spans="1:11" ht="100.8" x14ac:dyDescent="0.3">
      <c r="A5066" s="4" t="s">
        <v>1731</v>
      </c>
      <c r="B5066">
        <v>1</v>
      </c>
      <c r="C5066">
        <v>2016</v>
      </c>
      <c r="D5066" t="s">
        <v>1877</v>
      </c>
      <c r="E5066">
        <v>20</v>
      </c>
      <c r="F5066" t="s">
        <v>30749</v>
      </c>
      <c r="G5066" t="s">
        <v>30750</v>
      </c>
      <c r="H5066" s="4" t="s">
        <v>30751</v>
      </c>
      <c r="I5066" t="s">
        <v>71</v>
      </c>
      <c r="J5066" t="s">
        <v>10782</v>
      </c>
      <c r="K5066" t="s">
        <v>30752</v>
      </c>
    </row>
    <row r="5067" spans="1:11" ht="201.6" x14ac:dyDescent="0.3">
      <c r="A5067" s="4" t="s">
        <v>8011</v>
      </c>
      <c r="B5067">
        <v>3</v>
      </c>
      <c r="C5067">
        <v>2016</v>
      </c>
      <c r="D5067" t="s">
        <v>2267</v>
      </c>
      <c r="E5067">
        <v>14</v>
      </c>
      <c r="F5067" t="s">
        <v>30753</v>
      </c>
      <c r="G5067" t="s">
        <v>30754</v>
      </c>
      <c r="H5067" s="4" t="s">
        <v>30755</v>
      </c>
      <c r="I5067" t="s">
        <v>71</v>
      </c>
      <c r="J5067" t="s">
        <v>10782</v>
      </c>
      <c r="K5067" t="s">
        <v>30756</v>
      </c>
    </row>
    <row r="5068" spans="1:11" ht="273.60000000000002" x14ac:dyDescent="0.3">
      <c r="A5068" s="4" t="s">
        <v>3381</v>
      </c>
      <c r="B5068">
        <v>1</v>
      </c>
      <c r="C5068">
        <v>2016</v>
      </c>
      <c r="D5068" t="s">
        <v>217</v>
      </c>
      <c r="E5068">
        <v>68</v>
      </c>
      <c r="F5068" t="s">
        <v>30757</v>
      </c>
      <c r="G5068" t="s">
        <v>30758</v>
      </c>
      <c r="H5068" s="4" t="s">
        <v>30759</v>
      </c>
      <c r="I5068" t="s">
        <v>71</v>
      </c>
      <c r="J5068" t="s">
        <v>10782</v>
      </c>
      <c r="K5068" t="s">
        <v>30760</v>
      </c>
    </row>
    <row r="5069" spans="1:11" ht="144" x14ac:dyDescent="0.3">
      <c r="A5069" s="4" t="s">
        <v>8012</v>
      </c>
      <c r="B5069">
        <v>3</v>
      </c>
      <c r="C5069">
        <v>2016</v>
      </c>
      <c r="D5069" t="s">
        <v>2853</v>
      </c>
      <c r="E5069">
        <v>28</v>
      </c>
      <c r="F5069" t="s">
        <v>30761</v>
      </c>
      <c r="G5069" t="s">
        <v>30762</v>
      </c>
      <c r="H5069" s="4" t="s">
        <v>30763</v>
      </c>
      <c r="I5069" t="s">
        <v>71</v>
      </c>
      <c r="J5069" t="s">
        <v>10782</v>
      </c>
      <c r="K5069" t="s">
        <v>30764</v>
      </c>
    </row>
    <row r="5070" spans="1:11" ht="129.6" x14ac:dyDescent="0.3">
      <c r="A5070" s="4" t="s">
        <v>8013</v>
      </c>
      <c r="B5070">
        <v>3</v>
      </c>
      <c r="C5070">
        <v>2016</v>
      </c>
      <c r="D5070" t="s">
        <v>1915</v>
      </c>
      <c r="E5070">
        <v>17</v>
      </c>
      <c r="F5070" t="s">
        <v>30765</v>
      </c>
      <c r="G5070" t="s">
        <v>30766</v>
      </c>
      <c r="H5070" s="4" t="s">
        <v>30767</v>
      </c>
      <c r="I5070" t="s">
        <v>71</v>
      </c>
      <c r="J5070" t="s">
        <v>10782</v>
      </c>
      <c r="K5070" t="s">
        <v>30768</v>
      </c>
    </row>
    <row r="5071" spans="1:11" ht="172.8" x14ac:dyDescent="0.3">
      <c r="A5071" s="4" t="s">
        <v>8014</v>
      </c>
      <c r="B5071">
        <v>3</v>
      </c>
      <c r="C5071">
        <v>2016</v>
      </c>
      <c r="D5071" t="s">
        <v>2853</v>
      </c>
      <c r="E5071">
        <v>94</v>
      </c>
      <c r="F5071" t="s">
        <v>30769</v>
      </c>
      <c r="G5071" t="s">
        <v>30770</v>
      </c>
      <c r="H5071" s="4" t="s">
        <v>30771</v>
      </c>
      <c r="I5071" t="s">
        <v>71</v>
      </c>
      <c r="J5071" t="s">
        <v>10782</v>
      </c>
      <c r="K5071" t="s">
        <v>30772</v>
      </c>
    </row>
    <row r="5072" spans="1:11" ht="129.6" x14ac:dyDescent="0.3">
      <c r="A5072" s="4" t="s">
        <v>8015</v>
      </c>
      <c r="B5072">
        <v>3</v>
      </c>
      <c r="C5072">
        <v>2016</v>
      </c>
      <c r="D5072" t="s">
        <v>318</v>
      </c>
      <c r="E5072">
        <v>21</v>
      </c>
      <c r="F5072" t="s">
        <v>30773</v>
      </c>
      <c r="G5072" t="s">
        <v>30774</v>
      </c>
      <c r="H5072" s="4" t="s">
        <v>30775</v>
      </c>
      <c r="I5072" t="s">
        <v>71</v>
      </c>
      <c r="J5072" t="s">
        <v>10782</v>
      </c>
      <c r="K5072" t="s">
        <v>30776</v>
      </c>
    </row>
    <row r="5073" spans="1:11" ht="144" x14ac:dyDescent="0.3">
      <c r="A5073" s="4" t="s">
        <v>8016</v>
      </c>
      <c r="B5073">
        <v>3</v>
      </c>
      <c r="C5073">
        <v>2016</v>
      </c>
      <c r="D5073" t="s">
        <v>10057</v>
      </c>
      <c r="E5073">
        <v>16</v>
      </c>
      <c r="F5073" t="s">
        <v>30777</v>
      </c>
      <c r="G5073" t="s">
        <v>30778</v>
      </c>
      <c r="H5073" s="4" t="s">
        <v>30779</v>
      </c>
      <c r="I5073" t="s">
        <v>71</v>
      </c>
      <c r="J5073" t="s">
        <v>10782</v>
      </c>
      <c r="K5073" t="s">
        <v>30780</v>
      </c>
    </row>
    <row r="5074" spans="1:11" ht="144" x14ac:dyDescent="0.3">
      <c r="A5074" s="4" t="s">
        <v>8017</v>
      </c>
      <c r="B5074">
        <v>3</v>
      </c>
      <c r="C5074">
        <v>2016</v>
      </c>
      <c r="D5074" t="s">
        <v>14346</v>
      </c>
      <c r="E5074">
        <v>8</v>
      </c>
      <c r="F5074" t="s">
        <v>30781</v>
      </c>
      <c r="G5074" t="s">
        <v>30782</v>
      </c>
      <c r="H5074" s="4" t="s">
        <v>30783</v>
      </c>
      <c r="I5074" t="s">
        <v>71</v>
      </c>
      <c r="J5074" t="s">
        <v>10782</v>
      </c>
      <c r="K5074" t="s">
        <v>30784</v>
      </c>
    </row>
    <row r="5075" spans="1:11" ht="158.4" x14ac:dyDescent="0.3">
      <c r="A5075" s="4" t="s">
        <v>8018</v>
      </c>
      <c r="B5075">
        <v>3</v>
      </c>
      <c r="C5075">
        <v>2016</v>
      </c>
      <c r="D5075" t="s">
        <v>10924</v>
      </c>
      <c r="E5075">
        <v>9</v>
      </c>
      <c r="F5075" t="s">
        <v>30785</v>
      </c>
      <c r="G5075" t="s">
        <v>30786</v>
      </c>
      <c r="H5075" s="4" t="s">
        <v>30787</v>
      </c>
    </row>
    <row r="5076" spans="1:11" ht="100.8" x14ac:dyDescent="0.3">
      <c r="A5076" s="4" t="s">
        <v>8019</v>
      </c>
      <c r="B5076">
        <v>3</v>
      </c>
      <c r="C5076">
        <v>2016</v>
      </c>
      <c r="D5076" t="s">
        <v>14775</v>
      </c>
      <c r="E5076">
        <v>35</v>
      </c>
      <c r="F5076" t="s">
        <v>30788</v>
      </c>
      <c r="G5076" t="s">
        <v>30789</v>
      </c>
      <c r="H5076" s="4" t="s">
        <v>30790</v>
      </c>
      <c r="I5076" t="s">
        <v>71</v>
      </c>
      <c r="J5076" t="s">
        <v>10782</v>
      </c>
      <c r="K5076" t="s">
        <v>30791</v>
      </c>
    </row>
    <row r="5077" spans="1:11" ht="144" x14ac:dyDescent="0.3">
      <c r="A5077" s="4" t="s">
        <v>8020</v>
      </c>
      <c r="B5077">
        <v>3</v>
      </c>
      <c r="C5077">
        <v>2016</v>
      </c>
      <c r="D5077" t="s">
        <v>164</v>
      </c>
      <c r="E5077">
        <v>12</v>
      </c>
      <c r="F5077" t="s">
        <v>30792</v>
      </c>
      <c r="G5077" t="s">
        <v>30793</v>
      </c>
      <c r="H5077" s="4" t="s">
        <v>30794</v>
      </c>
      <c r="I5077" t="s">
        <v>71</v>
      </c>
      <c r="J5077" t="s">
        <v>10782</v>
      </c>
      <c r="K5077" t="s">
        <v>30795</v>
      </c>
    </row>
    <row r="5078" spans="1:11" ht="158.4" x14ac:dyDescent="0.3">
      <c r="A5078" s="4" t="s">
        <v>8021</v>
      </c>
      <c r="B5078">
        <v>3</v>
      </c>
      <c r="C5078">
        <v>2016</v>
      </c>
      <c r="D5078" t="s">
        <v>11310</v>
      </c>
      <c r="E5078">
        <v>5</v>
      </c>
      <c r="F5078" t="s">
        <v>30796</v>
      </c>
      <c r="G5078" t="s">
        <v>30797</v>
      </c>
      <c r="H5078" s="4" t="s">
        <v>30798</v>
      </c>
    </row>
    <row r="5079" spans="1:11" ht="187.2" x14ac:dyDescent="0.3">
      <c r="A5079" s="4" t="s">
        <v>1732</v>
      </c>
      <c r="B5079">
        <v>1</v>
      </c>
      <c r="C5079">
        <v>2016</v>
      </c>
      <c r="D5079" t="s">
        <v>1841</v>
      </c>
      <c r="E5079">
        <v>74</v>
      </c>
      <c r="F5079" t="s">
        <v>30799</v>
      </c>
      <c r="G5079" t="s">
        <v>30800</v>
      </c>
      <c r="H5079" s="4" t="s">
        <v>30801</v>
      </c>
      <c r="I5079" t="s">
        <v>71</v>
      </c>
      <c r="J5079" t="s">
        <v>10782</v>
      </c>
      <c r="K5079" t="s">
        <v>30802</v>
      </c>
    </row>
    <row r="5080" spans="1:11" ht="201.6" x14ac:dyDescent="0.3">
      <c r="A5080" s="4" t="s">
        <v>8022</v>
      </c>
      <c r="B5080">
        <v>3</v>
      </c>
      <c r="C5080">
        <v>2016</v>
      </c>
      <c r="D5080" t="s">
        <v>11574</v>
      </c>
      <c r="E5080">
        <v>256</v>
      </c>
      <c r="F5080" t="s">
        <v>30803</v>
      </c>
      <c r="G5080" t="s">
        <v>30804</v>
      </c>
      <c r="H5080" s="4" t="s">
        <v>30805</v>
      </c>
      <c r="I5080" t="s">
        <v>10823</v>
      </c>
      <c r="J5080" t="s">
        <v>10782</v>
      </c>
      <c r="K5080" t="s">
        <v>30806</v>
      </c>
    </row>
    <row r="5081" spans="1:11" ht="230.4" x14ac:dyDescent="0.3">
      <c r="A5081" s="4" t="s">
        <v>8023</v>
      </c>
      <c r="B5081">
        <v>3</v>
      </c>
      <c r="C5081">
        <v>2016</v>
      </c>
      <c r="D5081" t="s">
        <v>18480</v>
      </c>
      <c r="E5081">
        <v>31</v>
      </c>
      <c r="F5081" t="s">
        <v>30807</v>
      </c>
      <c r="G5081" t="s">
        <v>30808</v>
      </c>
      <c r="H5081" s="4" t="s">
        <v>30809</v>
      </c>
      <c r="I5081" t="s">
        <v>71</v>
      </c>
      <c r="J5081" t="s">
        <v>10782</v>
      </c>
      <c r="K5081" t="s">
        <v>30810</v>
      </c>
    </row>
    <row r="5082" spans="1:11" ht="144" x14ac:dyDescent="0.3">
      <c r="A5082" s="4" t="s">
        <v>8024</v>
      </c>
      <c r="B5082">
        <v>3</v>
      </c>
      <c r="C5082">
        <v>2016</v>
      </c>
      <c r="D5082" t="s">
        <v>11310</v>
      </c>
      <c r="E5082">
        <v>25</v>
      </c>
      <c r="F5082" t="s">
        <v>30811</v>
      </c>
      <c r="G5082" t="s">
        <v>30812</v>
      </c>
      <c r="H5082" s="4" t="s">
        <v>30813</v>
      </c>
      <c r="I5082" t="s">
        <v>71</v>
      </c>
      <c r="J5082" t="s">
        <v>10782</v>
      </c>
      <c r="K5082" t="s">
        <v>30814</v>
      </c>
    </row>
    <row r="5083" spans="1:11" ht="100.8" x14ac:dyDescent="0.3">
      <c r="A5083" s="4" t="s">
        <v>3382</v>
      </c>
      <c r="B5083">
        <v>1</v>
      </c>
      <c r="C5083">
        <v>2016</v>
      </c>
      <c r="D5083" t="s">
        <v>11649</v>
      </c>
      <c r="E5083">
        <v>13</v>
      </c>
      <c r="F5083" t="s">
        <v>30815</v>
      </c>
      <c r="G5083" t="s">
        <v>30816</v>
      </c>
      <c r="H5083" s="4" t="s">
        <v>30817</v>
      </c>
    </row>
    <row r="5084" spans="1:11" ht="216" x14ac:dyDescent="0.3">
      <c r="A5084" s="4" t="s">
        <v>8025</v>
      </c>
      <c r="B5084">
        <v>3</v>
      </c>
      <c r="C5084">
        <v>2016</v>
      </c>
      <c r="D5084" t="s">
        <v>1836</v>
      </c>
      <c r="E5084">
        <v>18</v>
      </c>
      <c r="F5084" t="s">
        <v>30818</v>
      </c>
      <c r="G5084" t="s">
        <v>30819</v>
      </c>
      <c r="H5084" s="4" t="s">
        <v>30820</v>
      </c>
      <c r="I5084" t="s">
        <v>71</v>
      </c>
      <c r="J5084" t="s">
        <v>10782</v>
      </c>
      <c r="K5084" t="s">
        <v>30821</v>
      </c>
    </row>
    <row r="5085" spans="1:11" ht="100.8" x14ac:dyDescent="0.3">
      <c r="A5085" s="4" t="s">
        <v>8026</v>
      </c>
      <c r="B5085">
        <v>3</v>
      </c>
      <c r="C5085">
        <v>2016</v>
      </c>
      <c r="D5085" t="s">
        <v>811</v>
      </c>
      <c r="E5085">
        <v>3</v>
      </c>
      <c r="F5085" t="s">
        <v>30822</v>
      </c>
      <c r="G5085" t="s">
        <v>30823</v>
      </c>
      <c r="H5085" s="4" t="s">
        <v>30824</v>
      </c>
      <c r="I5085" t="s">
        <v>71</v>
      </c>
      <c r="J5085" t="s">
        <v>10782</v>
      </c>
      <c r="K5085" t="s">
        <v>30825</v>
      </c>
    </row>
    <row r="5086" spans="1:11" ht="158.4" x14ac:dyDescent="0.3">
      <c r="A5086" s="4" t="s">
        <v>8027</v>
      </c>
      <c r="B5086">
        <v>3</v>
      </c>
      <c r="C5086">
        <v>2016</v>
      </c>
      <c r="D5086" t="s">
        <v>27619</v>
      </c>
      <c r="E5086">
        <v>21</v>
      </c>
      <c r="F5086" t="s">
        <v>30826</v>
      </c>
      <c r="G5086" t="s">
        <v>30827</v>
      </c>
      <c r="H5086" s="4" t="s">
        <v>30828</v>
      </c>
      <c r="I5086" t="s">
        <v>71</v>
      </c>
      <c r="J5086" t="s">
        <v>10782</v>
      </c>
      <c r="K5086" t="s">
        <v>30829</v>
      </c>
    </row>
    <row r="5087" spans="1:11" ht="187.2" x14ac:dyDescent="0.3">
      <c r="A5087" s="4" t="s">
        <v>8028</v>
      </c>
      <c r="B5087">
        <v>3</v>
      </c>
      <c r="C5087">
        <v>2016</v>
      </c>
      <c r="D5087" t="s">
        <v>217</v>
      </c>
      <c r="E5087">
        <v>25</v>
      </c>
      <c r="F5087" t="s">
        <v>30830</v>
      </c>
      <c r="G5087" t="s">
        <v>30831</v>
      </c>
      <c r="H5087" s="4" t="s">
        <v>30832</v>
      </c>
      <c r="I5087" t="s">
        <v>71</v>
      </c>
      <c r="J5087" t="s">
        <v>10782</v>
      </c>
      <c r="K5087" t="s">
        <v>30833</v>
      </c>
    </row>
    <row r="5088" spans="1:11" ht="158.4" x14ac:dyDescent="0.3">
      <c r="A5088" s="4" t="s">
        <v>8029</v>
      </c>
      <c r="B5088">
        <v>3</v>
      </c>
      <c r="C5088">
        <v>2016</v>
      </c>
      <c r="D5088" t="s">
        <v>11159</v>
      </c>
      <c r="E5088">
        <v>14</v>
      </c>
      <c r="F5088" t="s">
        <v>30834</v>
      </c>
      <c r="G5088" t="s">
        <v>30835</v>
      </c>
      <c r="H5088" s="4" t="s">
        <v>30836</v>
      </c>
      <c r="I5088" t="s">
        <v>71</v>
      </c>
      <c r="J5088" t="s">
        <v>10782</v>
      </c>
      <c r="K5088" t="s">
        <v>30837</v>
      </c>
    </row>
    <row r="5089" spans="1:11" ht="115.2" x14ac:dyDescent="0.3">
      <c r="A5089" s="4" t="s">
        <v>8030</v>
      </c>
      <c r="B5089">
        <v>3</v>
      </c>
      <c r="C5089">
        <v>2016</v>
      </c>
      <c r="D5089" t="s">
        <v>128</v>
      </c>
      <c r="E5089">
        <v>13</v>
      </c>
      <c r="F5089" t="s">
        <v>30838</v>
      </c>
      <c r="G5089" t="s">
        <v>30839</v>
      </c>
      <c r="H5089" s="4" t="s">
        <v>30840</v>
      </c>
      <c r="I5089" t="s">
        <v>71</v>
      </c>
      <c r="J5089" t="s">
        <v>10782</v>
      </c>
      <c r="K5089" t="s">
        <v>30841</v>
      </c>
    </row>
    <row r="5090" spans="1:11" ht="72" x14ac:dyDescent="0.3">
      <c r="A5090" s="4" t="s">
        <v>8031</v>
      </c>
      <c r="B5090">
        <v>3</v>
      </c>
      <c r="C5090">
        <v>2016</v>
      </c>
      <c r="D5090" t="s">
        <v>30842</v>
      </c>
      <c r="E5090">
        <v>5</v>
      </c>
      <c r="F5090" t="s">
        <v>30843</v>
      </c>
      <c r="G5090" t="s">
        <v>30844</v>
      </c>
      <c r="H5090" s="4" t="s">
        <v>30845</v>
      </c>
    </row>
    <row r="5091" spans="1:11" ht="115.2" x14ac:dyDescent="0.3">
      <c r="A5091" s="4" t="s">
        <v>8032</v>
      </c>
      <c r="B5091">
        <v>3</v>
      </c>
      <c r="C5091">
        <v>2016</v>
      </c>
      <c r="D5091" t="s">
        <v>799</v>
      </c>
      <c r="E5091">
        <v>103</v>
      </c>
      <c r="F5091" t="s">
        <v>30846</v>
      </c>
      <c r="G5091" t="s">
        <v>30847</v>
      </c>
      <c r="H5091" s="4" t="s">
        <v>30848</v>
      </c>
      <c r="I5091" t="s">
        <v>71</v>
      </c>
      <c r="J5091" t="s">
        <v>10782</v>
      </c>
      <c r="K5091" t="s">
        <v>30849</v>
      </c>
    </row>
    <row r="5092" spans="1:11" ht="158.4" x14ac:dyDescent="0.3">
      <c r="A5092" s="4" t="s">
        <v>8033</v>
      </c>
      <c r="B5092">
        <v>3</v>
      </c>
      <c r="C5092">
        <v>2016</v>
      </c>
      <c r="D5092" t="s">
        <v>217</v>
      </c>
      <c r="E5092">
        <v>15</v>
      </c>
      <c r="F5092" t="s">
        <v>30850</v>
      </c>
      <c r="G5092" t="s">
        <v>30851</v>
      </c>
      <c r="H5092" s="4" t="s">
        <v>30852</v>
      </c>
      <c r="I5092" t="s">
        <v>71</v>
      </c>
      <c r="J5092" t="s">
        <v>10782</v>
      </c>
      <c r="K5092" t="s">
        <v>30853</v>
      </c>
    </row>
    <row r="5093" spans="1:11" ht="216" x14ac:dyDescent="0.3">
      <c r="A5093" s="4" t="s">
        <v>8034</v>
      </c>
      <c r="B5093">
        <v>3</v>
      </c>
      <c r="C5093">
        <v>2016</v>
      </c>
      <c r="D5093" t="s">
        <v>724</v>
      </c>
      <c r="E5093">
        <v>10</v>
      </c>
      <c r="F5093" t="s">
        <v>30854</v>
      </c>
      <c r="G5093" t="s">
        <v>30855</v>
      </c>
      <c r="H5093" s="4" t="s">
        <v>30856</v>
      </c>
    </row>
    <row r="5094" spans="1:11" ht="86.4" x14ac:dyDescent="0.3">
      <c r="A5094" s="4" t="s">
        <v>8035</v>
      </c>
      <c r="B5094">
        <v>3</v>
      </c>
      <c r="C5094">
        <v>2016</v>
      </c>
      <c r="D5094" t="s">
        <v>217</v>
      </c>
      <c r="E5094">
        <v>13</v>
      </c>
      <c r="F5094" t="s">
        <v>30857</v>
      </c>
      <c r="G5094" t="s">
        <v>30858</v>
      </c>
      <c r="H5094" s="4" t="s">
        <v>30859</v>
      </c>
    </row>
    <row r="5095" spans="1:11" ht="129.6" x14ac:dyDescent="0.3">
      <c r="A5095" s="4" t="s">
        <v>8036</v>
      </c>
      <c r="B5095">
        <v>3</v>
      </c>
      <c r="C5095">
        <v>2016</v>
      </c>
      <c r="D5095" t="s">
        <v>24624</v>
      </c>
      <c r="E5095">
        <v>1</v>
      </c>
      <c r="F5095" t="s">
        <v>30860</v>
      </c>
      <c r="G5095" t="s">
        <v>30861</v>
      </c>
      <c r="H5095" s="4" t="s">
        <v>30862</v>
      </c>
      <c r="I5095" t="s">
        <v>71</v>
      </c>
      <c r="J5095" t="s">
        <v>10782</v>
      </c>
      <c r="K5095" t="s">
        <v>30863</v>
      </c>
    </row>
    <row r="5096" spans="1:11" ht="216" x14ac:dyDescent="0.3">
      <c r="A5096" s="4" t="s">
        <v>8037</v>
      </c>
      <c r="B5096">
        <v>3</v>
      </c>
      <c r="C5096">
        <v>2016</v>
      </c>
      <c r="D5096" t="s">
        <v>1759</v>
      </c>
      <c r="E5096">
        <v>5</v>
      </c>
      <c r="F5096" t="s">
        <v>30864</v>
      </c>
      <c r="G5096" t="s">
        <v>30865</v>
      </c>
      <c r="H5096" s="4" t="s">
        <v>30866</v>
      </c>
      <c r="I5096" t="s">
        <v>71</v>
      </c>
      <c r="J5096" t="s">
        <v>10782</v>
      </c>
      <c r="K5096" t="s">
        <v>30867</v>
      </c>
    </row>
    <row r="5097" spans="1:11" ht="129.6" x14ac:dyDescent="0.3">
      <c r="A5097" s="4" t="s">
        <v>8038</v>
      </c>
      <c r="B5097">
        <v>3</v>
      </c>
      <c r="C5097">
        <v>2016</v>
      </c>
      <c r="D5097" t="s">
        <v>23365</v>
      </c>
      <c r="E5097">
        <v>72</v>
      </c>
      <c r="F5097" t="s">
        <v>30868</v>
      </c>
      <c r="G5097" t="s">
        <v>30869</v>
      </c>
      <c r="H5097" s="4" t="s">
        <v>30870</v>
      </c>
    </row>
    <row r="5098" spans="1:11" ht="201.6" x14ac:dyDescent="0.3">
      <c r="A5098" s="4" t="s">
        <v>8039</v>
      </c>
      <c r="B5098">
        <v>3</v>
      </c>
      <c r="C5098">
        <v>2016</v>
      </c>
      <c r="D5098" t="s">
        <v>2819</v>
      </c>
      <c r="E5098">
        <v>3</v>
      </c>
      <c r="F5098" t="s">
        <v>30871</v>
      </c>
      <c r="G5098" t="s">
        <v>30872</v>
      </c>
      <c r="H5098" s="4" t="s">
        <v>30873</v>
      </c>
    </row>
    <row r="5099" spans="1:11" ht="115.2" x14ac:dyDescent="0.3">
      <c r="A5099" s="4" t="s">
        <v>8040</v>
      </c>
      <c r="B5099">
        <v>3</v>
      </c>
      <c r="C5099">
        <v>2016</v>
      </c>
      <c r="D5099" t="s">
        <v>26504</v>
      </c>
      <c r="E5099">
        <v>37</v>
      </c>
      <c r="F5099" t="s">
        <v>30874</v>
      </c>
      <c r="G5099" t="s">
        <v>30875</v>
      </c>
      <c r="H5099" s="4" t="s">
        <v>30876</v>
      </c>
      <c r="I5099" t="s">
        <v>71</v>
      </c>
      <c r="J5099" t="s">
        <v>10782</v>
      </c>
      <c r="K5099" t="s">
        <v>30877</v>
      </c>
    </row>
    <row r="5100" spans="1:11" ht="172.8" x14ac:dyDescent="0.3">
      <c r="A5100" s="4" t="s">
        <v>8041</v>
      </c>
      <c r="B5100">
        <v>3</v>
      </c>
      <c r="C5100">
        <v>2016</v>
      </c>
      <c r="D5100" t="s">
        <v>1002</v>
      </c>
      <c r="E5100">
        <v>21</v>
      </c>
      <c r="F5100" t="s">
        <v>30878</v>
      </c>
      <c r="G5100" t="s">
        <v>30879</v>
      </c>
      <c r="H5100" s="4" t="s">
        <v>30880</v>
      </c>
      <c r="I5100" t="s">
        <v>71</v>
      </c>
      <c r="J5100" t="s">
        <v>10782</v>
      </c>
      <c r="K5100" t="s">
        <v>30881</v>
      </c>
    </row>
    <row r="5101" spans="1:11" ht="216" x14ac:dyDescent="0.3">
      <c r="A5101" s="4" t="s">
        <v>8042</v>
      </c>
      <c r="B5101">
        <v>3</v>
      </c>
      <c r="C5101">
        <v>2016</v>
      </c>
      <c r="D5101" t="s">
        <v>799</v>
      </c>
      <c r="E5101">
        <v>41</v>
      </c>
      <c r="F5101" t="s">
        <v>30882</v>
      </c>
      <c r="G5101" t="s">
        <v>30883</v>
      </c>
      <c r="H5101" s="4" t="s">
        <v>30884</v>
      </c>
      <c r="I5101" t="s">
        <v>71</v>
      </c>
      <c r="J5101" t="s">
        <v>10782</v>
      </c>
      <c r="K5101" t="s">
        <v>30885</v>
      </c>
    </row>
    <row r="5102" spans="1:11" ht="201.6" x14ac:dyDescent="0.3">
      <c r="A5102" s="4" t="s">
        <v>8043</v>
      </c>
      <c r="B5102">
        <v>3</v>
      </c>
      <c r="C5102">
        <v>2016</v>
      </c>
      <c r="D5102" t="s">
        <v>11574</v>
      </c>
      <c r="E5102">
        <v>57</v>
      </c>
      <c r="F5102" t="s">
        <v>30886</v>
      </c>
      <c r="G5102" t="s">
        <v>30887</v>
      </c>
      <c r="H5102" s="4" t="s">
        <v>30888</v>
      </c>
      <c r="I5102" t="s">
        <v>10823</v>
      </c>
      <c r="J5102" t="s">
        <v>10782</v>
      </c>
      <c r="K5102" t="s">
        <v>30889</v>
      </c>
    </row>
    <row r="5103" spans="1:11" ht="259.2" x14ac:dyDescent="0.3">
      <c r="A5103" s="4" t="s">
        <v>8044</v>
      </c>
      <c r="B5103">
        <v>3</v>
      </c>
      <c r="C5103">
        <v>2016</v>
      </c>
      <c r="D5103" t="s">
        <v>164</v>
      </c>
      <c r="E5103">
        <v>33</v>
      </c>
      <c r="F5103" t="s">
        <v>30890</v>
      </c>
      <c r="G5103" t="s">
        <v>30891</v>
      </c>
      <c r="H5103" s="4" t="s">
        <v>30892</v>
      </c>
      <c r="I5103" t="s">
        <v>71</v>
      </c>
      <c r="J5103" t="s">
        <v>10782</v>
      </c>
      <c r="K5103" t="s">
        <v>30893</v>
      </c>
    </row>
    <row r="5104" spans="1:11" ht="216" x14ac:dyDescent="0.3">
      <c r="A5104" s="4" t="s">
        <v>8045</v>
      </c>
      <c r="B5104">
        <v>3</v>
      </c>
      <c r="C5104">
        <v>2016</v>
      </c>
      <c r="D5104" t="s">
        <v>10924</v>
      </c>
      <c r="E5104">
        <v>7</v>
      </c>
      <c r="F5104" t="s">
        <v>30894</v>
      </c>
      <c r="G5104" t="s">
        <v>30895</v>
      </c>
      <c r="H5104" s="4" t="s">
        <v>30896</v>
      </c>
      <c r="I5104" t="s">
        <v>71</v>
      </c>
      <c r="J5104" t="s">
        <v>10782</v>
      </c>
      <c r="K5104" t="s">
        <v>30897</v>
      </c>
    </row>
    <row r="5105" spans="1:11" ht="216" x14ac:dyDescent="0.3">
      <c r="A5105" s="4" t="s">
        <v>8046</v>
      </c>
      <c r="B5105">
        <v>3</v>
      </c>
      <c r="C5105">
        <v>2016</v>
      </c>
      <c r="D5105" t="s">
        <v>217</v>
      </c>
      <c r="E5105">
        <v>55</v>
      </c>
      <c r="F5105" t="s">
        <v>30898</v>
      </c>
      <c r="G5105" t="s">
        <v>30899</v>
      </c>
      <c r="H5105" s="4" t="s">
        <v>30900</v>
      </c>
      <c r="I5105" t="s">
        <v>71</v>
      </c>
      <c r="J5105" t="s">
        <v>10782</v>
      </c>
      <c r="K5105" t="s">
        <v>30901</v>
      </c>
    </row>
    <row r="5106" spans="1:11" ht="172.8" x14ac:dyDescent="0.3">
      <c r="A5106" s="4" t="s">
        <v>8047</v>
      </c>
      <c r="B5106">
        <v>3</v>
      </c>
      <c r="C5106">
        <v>2016</v>
      </c>
      <c r="D5106" t="s">
        <v>83</v>
      </c>
      <c r="E5106">
        <v>50</v>
      </c>
      <c r="F5106" t="s">
        <v>30902</v>
      </c>
      <c r="G5106" t="s">
        <v>30903</v>
      </c>
      <c r="H5106" s="4" t="s">
        <v>30904</v>
      </c>
      <c r="I5106" t="s">
        <v>71</v>
      </c>
      <c r="J5106" t="s">
        <v>10782</v>
      </c>
      <c r="K5106" t="s">
        <v>30905</v>
      </c>
    </row>
    <row r="5107" spans="1:11" ht="187.2" x14ac:dyDescent="0.3">
      <c r="A5107" s="4" t="s">
        <v>8048</v>
      </c>
      <c r="B5107">
        <v>3</v>
      </c>
      <c r="C5107">
        <v>2016</v>
      </c>
      <c r="D5107" t="s">
        <v>405</v>
      </c>
      <c r="E5107">
        <v>50</v>
      </c>
      <c r="F5107" t="s">
        <v>30906</v>
      </c>
      <c r="G5107" t="s">
        <v>30907</v>
      </c>
      <c r="H5107" s="4" t="s">
        <v>30908</v>
      </c>
      <c r="I5107" t="s">
        <v>71</v>
      </c>
      <c r="J5107" t="s">
        <v>10782</v>
      </c>
      <c r="K5107" t="s">
        <v>30909</v>
      </c>
    </row>
    <row r="5108" spans="1:11" ht="187.2" x14ac:dyDescent="0.3">
      <c r="A5108" s="4" t="s">
        <v>8049</v>
      </c>
      <c r="B5108">
        <v>3</v>
      </c>
      <c r="C5108">
        <v>2016</v>
      </c>
      <c r="D5108" t="s">
        <v>1746</v>
      </c>
      <c r="E5108">
        <v>62</v>
      </c>
      <c r="F5108" t="s">
        <v>30910</v>
      </c>
      <c r="G5108" t="s">
        <v>30911</v>
      </c>
      <c r="H5108" s="4" t="s">
        <v>30912</v>
      </c>
      <c r="I5108" t="s">
        <v>71</v>
      </c>
      <c r="J5108" t="s">
        <v>10782</v>
      </c>
      <c r="K5108" t="s">
        <v>30913</v>
      </c>
    </row>
    <row r="5109" spans="1:11" ht="172.8" x14ac:dyDescent="0.3">
      <c r="A5109" s="4" t="s">
        <v>3383</v>
      </c>
      <c r="B5109">
        <v>1</v>
      </c>
      <c r="C5109">
        <v>2016</v>
      </c>
      <c r="D5109" t="s">
        <v>1841</v>
      </c>
      <c r="E5109">
        <v>14</v>
      </c>
      <c r="F5109" t="s">
        <v>30914</v>
      </c>
      <c r="G5109" t="s">
        <v>30915</v>
      </c>
      <c r="H5109" s="4" t="s">
        <v>30916</v>
      </c>
      <c r="I5109" t="s">
        <v>71</v>
      </c>
      <c r="J5109" t="s">
        <v>10782</v>
      </c>
      <c r="K5109" t="s">
        <v>30917</v>
      </c>
    </row>
    <row r="5110" spans="1:11" ht="144" x14ac:dyDescent="0.3">
      <c r="A5110" s="4" t="s">
        <v>8050</v>
      </c>
      <c r="B5110">
        <v>3</v>
      </c>
      <c r="C5110">
        <v>2016</v>
      </c>
      <c r="D5110" t="s">
        <v>80</v>
      </c>
      <c r="E5110">
        <v>248</v>
      </c>
      <c r="F5110" t="s">
        <v>30918</v>
      </c>
      <c r="G5110" t="s">
        <v>30919</v>
      </c>
      <c r="H5110" s="4" t="s">
        <v>30920</v>
      </c>
    </row>
    <row r="5111" spans="1:11" ht="187.2" x14ac:dyDescent="0.3">
      <c r="A5111" s="4" t="s">
        <v>3611</v>
      </c>
      <c r="B5111">
        <v>2</v>
      </c>
      <c r="C5111">
        <v>2016</v>
      </c>
      <c r="D5111" t="s">
        <v>2375</v>
      </c>
      <c r="E5111">
        <v>16</v>
      </c>
      <c r="F5111" t="s">
        <v>30921</v>
      </c>
      <c r="G5111" t="s">
        <v>30922</v>
      </c>
      <c r="H5111" s="4" t="s">
        <v>30923</v>
      </c>
      <c r="I5111" t="s">
        <v>71</v>
      </c>
      <c r="J5111" t="s">
        <v>10782</v>
      </c>
      <c r="K5111" t="s">
        <v>30924</v>
      </c>
    </row>
    <row r="5112" spans="1:11" ht="201.6" x14ac:dyDescent="0.3">
      <c r="A5112" s="4" t="s">
        <v>8051</v>
      </c>
      <c r="B5112">
        <v>3</v>
      </c>
      <c r="C5112">
        <v>2016</v>
      </c>
      <c r="D5112" t="s">
        <v>11310</v>
      </c>
      <c r="E5112">
        <v>50</v>
      </c>
      <c r="F5112" t="s">
        <v>30925</v>
      </c>
      <c r="G5112" t="s">
        <v>30926</v>
      </c>
      <c r="H5112" s="4" t="s">
        <v>30927</v>
      </c>
    </row>
    <row r="5113" spans="1:11" ht="172.8" x14ac:dyDescent="0.3">
      <c r="A5113" s="4" t="s">
        <v>8052</v>
      </c>
      <c r="B5113">
        <v>3</v>
      </c>
      <c r="C5113">
        <v>2016</v>
      </c>
      <c r="D5113" t="s">
        <v>2375</v>
      </c>
      <c r="E5113">
        <v>14</v>
      </c>
      <c r="F5113" t="s">
        <v>30928</v>
      </c>
      <c r="G5113" t="s">
        <v>30929</v>
      </c>
      <c r="H5113" s="4" t="s">
        <v>30930</v>
      </c>
    </row>
    <row r="5114" spans="1:11" ht="129.6" x14ac:dyDescent="0.3">
      <c r="A5114" s="4" t="s">
        <v>8053</v>
      </c>
      <c r="B5114">
        <v>3</v>
      </c>
      <c r="C5114">
        <v>2016</v>
      </c>
      <c r="D5114" t="s">
        <v>10072</v>
      </c>
      <c r="E5114">
        <v>16</v>
      </c>
      <c r="F5114" t="s">
        <v>30931</v>
      </c>
      <c r="G5114" t="s">
        <v>30932</v>
      </c>
      <c r="H5114" s="4" t="s">
        <v>30933</v>
      </c>
      <c r="I5114" t="s">
        <v>71</v>
      </c>
      <c r="J5114" t="s">
        <v>10782</v>
      </c>
      <c r="K5114" t="s">
        <v>30934</v>
      </c>
    </row>
    <row r="5115" spans="1:11" ht="129.6" x14ac:dyDescent="0.3">
      <c r="A5115" s="4" t="s">
        <v>8054</v>
      </c>
      <c r="B5115">
        <v>3</v>
      </c>
      <c r="C5115">
        <v>2016</v>
      </c>
      <c r="D5115" t="s">
        <v>528</v>
      </c>
      <c r="E5115">
        <v>24</v>
      </c>
      <c r="F5115" t="s">
        <v>30935</v>
      </c>
      <c r="G5115" t="s">
        <v>30936</v>
      </c>
      <c r="H5115" s="4" t="s">
        <v>30937</v>
      </c>
      <c r="I5115" t="s">
        <v>71</v>
      </c>
      <c r="J5115" t="s">
        <v>10782</v>
      </c>
      <c r="K5115" t="s">
        <v>30938</v>
      </c>
    </row>
    <row r="5116" spans="1:11" ht="172.8" x14ac:dyDescent="0.3">
      <c r="A5116" s="4" t="s">
        <v>8055</v>
      </c>
      <c r="B5116">
        <v>3</v>
      </c>
      <c r="C5116">
        <v>2016</v>
      </c>
      <c r="D5116" t="s">
        <v>11310</v>
      </c>
      <c r="E5116">
        <v>35</v>
      </c>
      <c r="F5116" t="s">
        <v>30939</v>
      </c>
      <c r="G5116" t="s">
        <v>30940</v>
      </c>
      <c r="H5116" s="4" t="s">
        <v>30941</v>
      </c>
      <c r="I5116" t="s">
        <v>71</v>
      </c>
      <c r="J5116" t="s">
        <v>10782</v>
      </c>
      <c r="K5116" t="s">
        <v>30942</v>
      </c>
    </row>
    <row r="5117" spans="1:11" ht="172.8" x14ac:dyDescent="0.3">
      <c r="A5117" s="4" t="s">
        <v>8056</v>
      </c>
      <c r="B5117">
        <v>3</v>
      </c>
      <c r="C5117">
        <v>2016</v>
      </c>
      <c r="D5117" t="s">
        <v>21542</v>
      </c>
      <c r="E5117">
        <v>58</v>
      </c>
      <c r="F5117" t="s">
        <v>30943</v>
      </c>
      <c r="G5117" t="s">
        <v>30944</v>
      </c>
      <c r="H5117" s="4" t="s">
        <v>30945</v>
      </c>
      <c r="I5117" t="s">
        <v>71</v>
      </c>
      <c r="J5117" t="s">
        <v>10782</v>
      </c>
      <c r="K5117" t="s">
        <v>30946</v>
      </c>
    </row>
    <row r="5118" spans="1:11" ht="316.8" x14ac:dyDescent="0.3">
      <c r="A5118" s="4" t="s">
        <v>8057</v>
      </c>
      <c r="B5118">
        <v>3</v>
      </c>
      <c r="C5118">
        <v>2016</v>
      </c>
      <c r="D5118" t="s">
        <v>892</v>
      </c>
      <c r="E5118">
        <v>30</v>
      </c>
      <c r="F5118" t="s">
        <v>30947</v>
      </c>
      <c r="G5118" t="s">
        <v>30948</v>
      </c>
      <c r="H5118" s="4" t="s">
        <v>30949</v>
      </c>
    </row>
    <row r="5119" spans="1:11" ht="187.2" x14ac:dyDescent="0.3">
      <c r="A5119" s="4" t="s">
        <v>8058</v>
      </c>
      <c r="B5119">
        <v>3</v>
      </c>
      <c r="C5119">
        <v>2016</v>
      </c>
      <c r="D5119" t="s">
        <v>11783</v>
      </c>
      <c r="E5119">
        <v>20</v>
      </c>
      <c r="F5119" t="s">
        <v>30950</v>
      </c>
      <c r="G5119" t="s">
        <v>30951</v>
      </c>
      <c r="H5119" s="4" t="s">
        <v>30952</v>
      </c>
      <c r="I5119" t="s">
        <v>71</v>
      </c>
      <c r="J5119" t="s">
        <v>10782</v>
      </c>
      <c r="K5119" t="s">
        <v>30953</v>
      </c>
    </row>
    <row r="5120" spans="1:11" ht="187.2" x14ac:dyDescent="0.3">
      <c r="A5120" s="4" t="s">
        <v>8059</v>
      </c>
      <c r="B5120">
        <v>3</v>
      </c>
      <c r="C5120">
        <v>2016</v>
      </c>
      <c r="D5120" t="s">
        <v>11741</v>
      </c>
      <c r="E5120">
        <v>63</v>
      </c>
      <c r="F5120" t="s">
        <v>30954</v>
      </c>
      <c r="G5120" t="s">
        <v>30955</v>
      </c>
      <c r="H5120" s="4" t="s">
        <v>30956</v>
      </c>
      <c r="I5120" t="s">
        <v>71</v>
      </c>
      <c r="J5120" t="s">
        <v>10782</v>
      </c>
      <c r="K5120" t="s">
        <v>30957</v>
      </c>
    </row>
    <row r="5121" spans="1:11" ht="187.2" x14ac:dyDescent="0.3">
      <c r="A5121" s="4" t="s">
        <v>8060</v>
      </c>
      <c r="B5121">
        <v>3</v>
      </c>
      <c r="C5121">
        <v>2016</v>
      </c>
      <c r="D5121" t="s">
        <v>550</v>
      </c>
      <c r="E5121">
        <v>6</v>
      </c>
      <c r="F5121" t="s">
        <v>30958</v>
      </c>
      <c r="G5121" t="s">
        <v>30959</v>
      </c>
      <c r="H5121" s="4" t="s">
        <v>30960</v>
      </c>
      <c r="I5121" t="s">
        <v>71</v>
      </c>
      <c r="J5121" t="s">
        <v>10782</v>
      </c>
      <c r="K5121" t="s">
        <v>30961</v>
      </c>
    </row>
    <row r="5122" spans="1:11" ht="187.2" x14ac:dyDescent="0.3">
      <c r="A5122" s="4" t="s">
        <v>8061</v>
      </c>
      <c r="B5122">
        <v>3</v>
      </c>
      <c r="C5122">
        <v>2016</v>
      </c>
      <c r="D5122" t="s">
        <v>10825</v>
      </c>
      <c r="E5122">
        <v>54</v>
      </c>
      <c r="F5122" t="s">
        <v>30962</v>
      </c>
      <c r="G5122" t="s">
        <v>30963</v>
      </c>
      <c r="H5122" s="4" t="s">
        <v>30964</v>
      </c>
      <c r="I5122" t="s">
        <v>71</v>
      </c>
      <c r="J5122" t="s">
        <v>10782</v>
      </c>
      <c r="K5122" t="s">
        <v>30965</v>
      </c>
    </row>
    <row r="5123" spans="1:11" ht="201.6" x14ac:dyDescent="0.3">
      <c r="A5123" s="4" t="s">
        <v>8062</v>
      </c>
      <c r="B5123">
        <v>3</v>
      </c>
      <c r="C5123">
        <v>2016</v>
      </c>
      <c r="D5123" t="s">
        <v>10924</v>
      </c>
      <c r="E5123">
        <v>13</v>
      </c>
      <c r="F5123" t="s">
        <v>30966</v>
      </c>
      <c r="G5123" t="s">
        <v>30967</v>
      </c>
      <c r="H5123" s="4" t="s">
        <v>30968</v>
      </c>
      <c r="I5123" t="s">
        <v>71</v>
      </c>
      <c r="J5123" t="s">
        <v>10782</v>
      </c>
      <c r="K5123" t="s">
        <v>30969</v>
      </c>
    </row>
    <row r="5124" spans="1:11" ht="115.2" x14ac:dyDescent="0.3">
      <c r="A5124" s="4" t="s">
        <v>8063</v>
      </c>
      <c r="B5124">
        <v>3</v>
      </c>
      <c r="C5124">
        <v>2016</v>
      </c>
      <c r="D5124" t="s">
        <v>1570</v>
      </c>
      <c r="E5124">
        <v>13</v>
      </c>
      <c r="F5124" t="s">
        <v>30970</v>
      </c>
      <c r="G5124" t="s">
        <v>30971</v>
      </c>
      <c r="H5124" s="4" t="s">
        <v>30972</v>
      </c>
      <c r="I5124" t="s">
        <v>71</v>
      </c>
      <c r="J5124" t="s">
        <v>10782</v>
      </c>
      <c r="K5124" t="s">
        <v>30973</v>
      </c>
    </row>
    <row r="5125" spans="1:11" ht="187.2" x14ac:dyDescent="0.3">
      <c r="A5125" s="4" t="s">
        <v>8064</v>
      </c>
      <c r="B5125">
        <v>3</v>
      </c>
      <c r="C5125">
        <v>2016</v>
      </c>
      <c r="D5125" t="s">
        <v>1836</v>
      </c>
      <c r="E5125">
        <v>19</v>
      </c>
      <c r="F5125" t="s">
        <v>30974</v>
      </c>
      <c r="G5125" t="s">
        <v>30975</v>
      </c>
      <c r="H5125" s="4" t="s">
        <v>30976</v>
      </c>
      <c r="I5125" t="s">
        <v>71</v>
      </c>
      <c r="J5125" t="s">
        <v>10782</v>
      </c>
      <c r="K5125" t="s">
        <v>30977</v>
      </c>
    </row>
    <row r="5126" spans="1:11" ht="57.6" x14ac:dyDescent="0.3">
      <c r="A5126" s="4" t="s">
        <v>8065</v>
      </c>
      <c r="B5126">
        <v>3</v>
      </c>
      <c r="C5126">
        <v>2016</v>
      </c>
      <c r="D5126" t="s">
        <v>1525</v>
      </c>
      <c r="E5126">
        <v>20</v>
      </c>
      <c r="F5126" t="s">
        <v>30978</v>
      </c>
      <c r="G5126" t="s">
        <v>30979</v>
      </c>
      <c r="H5126" s="4" t="s">
        <v>30980</v>
      </c>
    </row>
    <row r="5127" spans="1:11" ht="172.8" x14ac:dyDescent="0.3">
      <c r="A5127" s="4" t="s">
        <v>8066</v>
      </c>
      <c r="B5127">
        <v>3</v>
      </c>
      <c r="C5127">
        <v>2016</v>
      </c>
      <c r="D5127" t="s">
        <v>22883</v>
      </c>
      <c r="E5127">
        <v>8</v>
      </c>
      <c r="F5127" t="s">
        <v>30981</v>
      </c>
      <c r="G5127" t="s">
        <v>30982</v>
      </c>
      <c r="H5127" s="4" t="s">
        <v>30983</v>
      </c>
      <c r="I5127" t="s">
        <v>71</v>
      </c>
      <c r="J5127" t="s">
        <v>10782</v>
      </c>
      <c r="K5127" t="s">
        <v>30984</v>
      </c>
    </row>
    <row r="5128" spans="1:11" ht="201.6" x14ac:dyDescent="0.3">
      <c r="A5128" s="4" t="s">
        <v>8067</v>
      </c>
      <c r="B5128">
        <v>3</v>
      </c>
      <c r="C5128">
        <v>2016</v>
      </c>
      <c r="D5128" t="s">
        <v>1245</v>
      </c>
      <c r="E5128">
        <v>36</v>
      </c>
      <c r="F5128" t="s">
        <v>30985</v>
      </c>
      <c r="G5128" t="s">
        <v>30986</v>
      </c>
      <c r="H5128" s="4" t="s">
        <v>30987</v>
      </c>
      <c r="I5128" t="s">
        <v>10823</v>
      </c>
      <c r="J5128" t="s">
        <v>10782</v>
      </c>
      <c r="K5128" t="s">
        <v>30988</v>
      </c>
    </row>
    <row r="5129" spans="1:11" ht="201.6" x14ac:dyDescent="0.3">
      <c r="A5129" s="4" t="s">
        <v>8068</v>
      </c>
      <c r="B5129">
        <v>3</v>
      </c>
      <c r="C5129">
        <v>2016</v>
      </c>
      <c r="D5129" t="s">
        <v>11007</v>
      </c>
      <c r="E5129">
        <v>89</v>
      </c>
      <c r="F5129" t="s">
        <v>30989</v>
      </c>
      <c r="G5129" t="s">
        <v>30990</v>
      </c>
      <c r="H5129" s="4" t="s">
        <v>30991</v>
      </c>
      <c r="I5129" t="s">
        <v>71</v>
      </c>
      <c r="J5129" t="s">
        <v>10782</v>
      </c>
      <c r="K5129" t="s">
        <v>30992</v>
      </c>
    </row>
    <row r="5130" spans="1:11" ht="201.6" x14ac:dyDescent="0.3">
      <c r="A5130" s="4" t="s">
        <v>8069</v>
      </c>
      <c r="B5130">
        <v>3</v>
      </c>
      <c r="C5130">
        <v>2016</v>
      </c>
      <c r="D5130" t="s">
        <v>11728</v>
      </c>
      <c r="E5130">
        <v>89</v>
      </c>
      <c r="F5130" t="s">
        <v>30993</v>
      </c>
      <c r="G5130" t="s">
        <v>30994</v>
      </c>
      <c r="H5130" s="4" t="s">
        <v>30995</v>
      </c>
      <c r="I5130" t="s">
        <v>71</v>
      </c>
      <c r="J5130" t="s">
        <v>10782</v>
      </c>
      <c r="K5130" t="s">
        <v>30996</v>
      </c>
    </row>
    <row r="5131" spans="1:11" ht="144" x14ac:dyDescent="0.3">
      <c r="A5131" s="4" t="s">
        <v>8070</v>
      </c>
      <c r="B5131">
        <v>3</v>
      </c>
      <c r="C5131">
        <v>2016</v>
      </c>
      <c r="D5131" t="s">
        <v>12593</v>
      </c>
      <c r="E5131">
        <v>14</v>
      </c>
      <c r="F5131" t="s">
        <v>30997</v>
      </c>
      <c r="G5131" t="s">
        <v>30998</v>
      </c>
      <c r="H5131" s="4" t="s">
        <v>30999</v>
      </c>
      <c r="I5131" t="s">
        <v>71</v>
      </c>
      <c r="J5131" t="s">
        <v>10782</v>
      </c>
      <c r="K5131" t="s">
        <v>31000</v>
      </c>
    </row>
    <row r="5132" spans="1:11" ht="187.2" x14ac:dyDescent="0.3">
      <c r="A5132" s="4" t="s">
        <v>8071</v>
      </c>
      <c r="B5132">
        <v>3</v>
      </c>
      <c r="C5132">
        <v>2016</v>
      </c>
      <c r="D5132" t="s">
        <v>1197</v>
      </c>
      <c r="E5132">
        <v>32</v>
      </c>
      <c r="F5132" t="s">
        <v>31001</v>
      </c>
      <c r="G5132" t="s">
        <v>31002</v>
      </c>
      <c r="H5132" s="4" t="s">
        <v>31003</v>
      </c>
      <c r="I5132" t="s">
        <v>71</v>
      </c>
      <c r="J5132" t="s">
        <v>10782</v>
      </c>
      <c r="K5132" t="s">
        <v>31004</v>
      </c>
    </row>
    <row r="5133" spans="1:11" ht="158.4" x14ac:dyDescent="0.3">
      <c r="A5133" s="4" t="s">
        <v>8072</v>
      </c>
      <c r="B5133">
        <v>3</v>
      </c>
      <c r="C5133">
        <v>2016</v>
      </c>
      <c r="D5133" t="s">
        <v>16622</v>
      </c>
      <c r="E5133">
        <v>4</v>
      </c>
      <c r="F5133" t="s">
        <v>31005</v>
      </c>
      <c r="G5133" t="s">
        <v>31006</v>
      </c>
      <c r="H5133" s="4" t="s">
        <v>31007</v>
      </c>
    </row>
    <row r="5134" spans="1:11" ht="115.2" x14ac:dyDescent="0.3">
      <c r="A5134" s="4" t="s">
        <v>8073</v>
      </c>
      <c r="B5134">
        <v>3</v>
      </c>
      <c r="C5134">
        <v>2016</v>
      </c>
      <c r="D5134" t="s">
        <v>1088</v>
      </c>
      <c r="E5134">
        <v>26</v>
      </c>
      <c r="F5134" t="s">
        <v>31008</v>
      </c>
      <c r="G5134" t="s">
        <v>31009</v>
      </c>
      <c r="H5134" s="4" t="s">
        <v>31010</v>
      </c>
      <c r="I5134" t="s">
        <v>71</v>
      </c>
      <c r="J5134" t="s">
        <v>10782</v>
      </c>
      <c r="K5134" t="s">
        <v>31011</v>
      </c>
    </row>
    <row r="5135" spans="1:11" ht="172.8" x14ac:dyDescent="0.3">
      <c r="A5135" s="4" t="s">
        <v>8074</v>
      </c>
      <c r="B5135">
        <v>3</v>
      </c>
      <c r="C5135">
        <v>2016</v>
      </c>
      <c r="D5135" t="s">
        <v>1770</v>
      </c>
      <c r="E5135">
        <v>59</v>
      </c>
      <c r="F5135" t="s">
        <v>31012</v>
      </c>
      <c r="G5135" t="s">
        <v>31013</v>
      </c>
      <c r="H5135" s="4" t="s">
        <v>31014</v>
      </c>
    </row>
    <row r="5136" spans="1:11" ht="244.8" x14ac:dyDescent="0.3">
      <c r="A5136" s="4" t="s">
        <v>8075</v>
      </c>
      <c r="B5136">
        <v>3</v>
      </c>
      <c r="C5136">
        <v>2016</v>
      </c>
      <c r="D5136" t="s">
        <v>10924</v>
      </c>
      <c r="E5136">
        <v>47</v>
      </c>
      <c r="F5136" t="s">
        <v>31015</v>
      </c>
      <c r="G5136" t="s">
        <v>31016</v>
      </c>
      <c r="H5136" s="4" t="s">
        <v>31017</v>
      </c>
      <c r="I5136" t="s">
        <v>71</v>
      </c>
      <c r="J5136" t="s">
        <v>10782</v>
      </c>
      <c r="K5136" t="s">
        <v>31018</v>
      </c>
    </row>
    <row r="5137" spans="1:11" ht="187.2" x14ac:dyDescent="0.3">
      <c r="A5137" s="4" t="s">
        <v>3612</v>
      </c>
      <c r="B5137">
        <v>2</v>
      </c>
      <c r="C5137">
        <v>2016</v>
      </c>
      <c r="D5137" t="s">
        <v>405</v>
      </c>
      <c r="E5137">
        <v>90</v>
      </c>
      <c r="F5137" t="s">
        <v>31019</v>
      </c>
      <c r="G5137" t="s">
        <v>31020</v>
      </c>
      <c r="H5137" s="4" t="s">
        <v>31021</v>
      </c>
      <c r="I5137" t="s">
        <v>71</v>
      </c>
      <c r="J5137" t="s">
        <v>10782</v>
      </c>
      <c r="K5137" t="s">
        <v>31022</v>
      </c>
    </row>
    <row r="5138" spans="1:11" ht="201.6" x14ac:dyDescent="0.3">
      <c r="A5138" s="4" t="s">
        <v>8076</v>
      </c>
      <c r="B5138">
        <v>3</v>
      </c>
      <c r="C5138">
        <v>2016</v>
      </c>
      <c r="D5138" t="s">
        <v>11574</v>
      </c>
      <c r="E5138">
        <v>95</v>
      </c>
      <c r="F5138" t="s">
        <v>31023</v>
      </c>
      <c r="G5138" t="s">
        <v>31024</v>
      </c>
      <c r="H5138" s="4" t="s">
        <v>31025</v>
      </c>
      <c r="I5138" t="s">
        <v>10823</v>
      </c>
      <c r="J5138" t="s">
        <v>10782</v>
      </c>
      <c r="K5138" t="s">
        <v>31026</v>
      </c>
    </row>
    <row r="5139" spans="1:11" ht="187.2" x14ac:dyDescent="0.3">
      <c r="A5139" s="4" t="s">
        <v>8077</v>
      </c>
      <c r="B5139">
        <v>3</v>
      </c>
      <c r="C5139">
        <v>2016</v>
      </c>
      <c r="D5139" t="s">
        <v>15544</v>
      </c>
      <c r="E5139">
        <v>44</v>
      </c>
      <c r="F5139" t="s">
        <v>31027</v>
      </c>
      <c r="G5139" t="s">
        <v>31028</v>
      </c>
      <c r="H5139" s="4" t="s">
        <v>31029</v>
      </c>
      <c r="I5139" t="s">
        <v>71</v>
      </c>
      <c r="J5139" t="s">
        <v>10782</v>
      </c>
      <c r="K5139" t="s">
        <v>31030</v>
      </c>
    </row>
    <row r="5140" spans="1:11" ht="244.8" x14ac:dyDescent="0.3">
      <c r="A5140" s="4" t="s">
        <v>8078</v>
      </c>
      <c r="B5140">
        <v>3</v>
      </c>
      <c r="C5140">
        <v>2016</v>
      </c>
      <c r="D5140" t="s">
        <v>13969</v>
      </c>
      <c r="E5140">
        <v>35</v>
      </c>
      <c r="F5140" t="s">
        <v>31031</v>
      </c>
      <c r="G5140" t="s">
        <v>31032</v>
      </c>
      <c r="H5140" s="4" t="s">
        <v>31033</v>
      </c>
      <c r="I5140" t="s">
        <v>71</v>
      </c>
      <c r="J5140" t="s">
        <v>10782</v>
      </c>
      <c r="K5140" t="s">
        <v>31034</v>
      </c>
    </row>
    <row r="5141" spans="1:11" ht="86.4" x14ac:dyDescent="0.3">
      <c r="A5141" s="4" t="s">
        <v>8079</v>
      </c>
      <c r="B5141">
        <v>3</v>
      </c>
      <c r="C5141">
        <v>2016</v>
      </c>
      <c r="D5141" t="s">
        <v>2893</v>
      </c>
      <c r="E5141">
        <v>88</v>
      </c>
      <c r="F5141" t="s">
        <v>31035</v>
      </c>
      <c r="G5141" t="s">
        <v>31036</v>
      </c>
      <c r="H5141" s="4" t="s">
        <v>31037</v>
      </c>
      <c r="I5141" t="s">
        <v>71</v>
      </c>
      <c r="J5141" t="s">
        <v>10782</v>
      </c>
      <c r="K5141" t="s">
        <v>31038</v>
      </c>
    </row>
    <row r="5142" spans="1:11" ht="201.6" x14ac:dyDescent="0.3">
      <c r="A5142" s="4" t="s">
        <v>8080</v>
      </c>
      <c r="B5142">
        <v>3</v>
      </c>
      <c r="C5142">
        <v>2016</v>
      </c>
      <c r="D5142" t="s">
        <v>11041</v>
      </c>
      <c r="E5142">
        <v>26</v>
      </c>
      <c r="F5142" t="s">
        <v>31039</v>
      </c>
      <c r="G5142" t="s">
        <v>31040</v>
      </c>
      <c r="H5142" s="4" t="s">
        <v>31041</v>
      </c>
      <c r="I5142" t="s">
        <v>71</v>
      </c>
      <c r="J5142" t="s">
        <v>10782</v>
      </c>
      <c r="K5142" t="s">
        <v>31042</v>
      </c>
    </row>
    <row r="5143" spans="1:11" ht="409.6" x14ac:dyDescent="0.3">
      <c r="A5143" s="4" t="s">
        <v>8081</v>
      </c>
      <c r="B5143">
        <v>3</v>
      </c>
      <c r="C5143">
        <v>2016</v>
      </c>
      <c r="D5143" t="s">
        <v>31043</v>
      </c>
      <c r="E5143">
        <v>2</v>
      </c>
      <c r="G5143" t="s">
        <v>31044</v>
      </c>
      <c r="H5143" s="4" t="s">
        <v>31045</v>
      </c>
      <c r="I5143" s="4" t="s">
        <v>71</v>
      </c>
      <c r="J5143" t="s">
        <v>10782</v>
      </c>
      <c r="K5143" t="s">
        <v>31046</v>
      </c>
    </row>
    <row r="5144" spans="1:11" ht="187.2" x14ac:dyDescent="0.3">
      <c r="A5144" s="4" t="s">
        <v>8082</v>
      </c>
      <c r="B5144">
        <v>3</v>
      </c>
      <c r="C5144">
        <v>2016</v>
      </c>
      <c r="D5144" t="s">
        <v>13170</v>
      </c>
      <c r="E5144">
        <v>31</v>
      </c>
      <c r="F5144" t="s">
        <v>31047</v>
      </c>
      <c r="G5144" t="s">
        <v>31048</v>
      </c>
      <c r="H5144" s="4" t="s">
        <v>31049</v>
      </c>
      <c r="I5144" t="s">
        <v>71</v>
      </c>
      <c r="J5144" t="s">
        <v>10782</v>
      </c>
      <c r="K5144" t="s">
        <v>31050</v>
      </c>
    </row>
    <row r="5145" spans="1:11" ht="230.4" x14ac:dyDescent="0.3">
      <c r="A5145" s="4" t="s">
        <v>8083</v>
      </c>
      <c r="B5145">
        <v>3</v>
      </c>
      <c r="C5145">
        <v>2016</v>
      </c>
      <c r="D5145" t="s">
        <v>1175</v>
      </c>
      <c r="E5145">
        <v>7</v>
      </c>
      <c r="F5145" t="s">
        <v>31051</v>
      </c>
      <c r="G5145" t="s">
        <v>31052</v>
      </c>
      <c r="H5145" s="4" t="s">
        <v>31053</v>
      </c>
      <c r="I5145" t="s">
        <v>71</v>
      </c>
      <c r="J5145" t="s">
        <v>10782</v>
      </c>
      <c r="K5145" t="s">
        <v>31054</v>
      </c>
    </row>
    <row r="5146" spans="1:11" ht="86.4" x14ac:dyDescent="0.3">
      <c r="A5146" s="4" t="s">
        <v>8084</v>
      </c>
      <c r="B5146">
        <v>3</v>
      </c>
      <c r="C5146">
        <v>2016</v>
      </c>
      <c r="D5146" t="s">
        <v>1426</v>
      </c>
      <c r="E5146">
        <v>578</v>
      </c>
      <c r="F5146" t="s">
        <v>31055</v>
      </c>
      <c r="G5146" t="s">
        <v>31056</v>
      </c>
      <c r="H5146" s="4" t="s">
        <v>31057</v>
      </c>
      <c r="I5146" t="s">
        <v>10823</v>
      </c>
      <c r="J5146" t="s">
        <v>10782</v>
      </c>
      <c r="K5146" t="s">
        <v>31058</v>
      </c>
    </row>
    <row r="5147" spans="1:11" ht="172.8" x14ac:dyDescent="0.3">
      <c r="A5147" s="4" t="s">
        <v>8085</v>
      </c>
      <c r="B5147">
        <v>3</v>
      </c>
      <c r="C5147">
        <v>2016</v>
      </c>
      <c r="D5147" t="s">
        <v>799</v>
      </c>
      <c r="E5147">
        <v>76</v>
      </c>
      <c r="F5147" t="s">
        <v>31059</v>
      </c>
      <c r="G5147" t="s">
        <v>31060</v>
      </c>
      <c r="H5147" s="4" t="s">
        <v>31061</v>
      </c>
      <c r="I5147" t="s">
        <v>71</v>
      </c>
      <c r="J5147" t="s">
        <v>10782</v>
      </c>
      <c r="K5147" t="s">
        <v>31062</v>
      </c>
    </row>
    <row r="5148" spans="1:11" ht="230.4" x14ac:dyDescent="0.3">
      <c r="A5148" s="4" t="s">
        <v>8086</v>
      </c>
      <c r="B5148">
        <v>3</v>
      </c>
      <c r="C5148">
        <v>2016</v>
      </c>
      <c r="D5148" t="s">
        <v>799</v>
      </c>
      <c r="E5148">
        <v>97</v>
      </c>
      <c r="F5148" t="s">
        <v>31063</v>
      </c>
      <c r="G5148" t="s">
        <v>31064</v>
      </c>
      <c r="H5148" s="4" t="s">
        <v>31065</v>
      </c>
    </row>
    <row r="5149" spans="1:11" ht="172.8" x14ac:dyDescent="0.3">
      <c r="A5149" s="4" t="s">
        <v>1884</v>
      </c>
      <c r="B5149">
        <v>1</v>
      </c>
      <c r="C5149">
        <v>2016</v>
      </c>
      <c r="D5149" t="s">
        <v>1912</v>
      </c>
      <c r="E5149">
        <v>39</v>
      </c>
      <c r="F5149" t="s">
        <v>31066</v>
      </c>
      <c r="G5149" t="s">
        <v>31067</v>
      </c>
      <c r="H5149" s="4" t="s">
        <v>31068</v>
      </c>
      <c r="I5149" t="s">
        <v>71</v>
      </c>
      <c r="J5149" t="s">
        <v>10782</v>
      </c>
      <c r="K5149" t="s">
        <v>31069</v>
      </c>
    </row>
    <row r="5150" spans="1:11" ht="244.8" x14ac:dyDescent="0.3">
      <c r="A5150" s="4" t="s">
        <v>8087</v>
      </c>
      <c r="B5150">
        <v>3</v>
      </c>
      <c r="C5150">
        <v>2016</v>
      </c>
      <c r="D5150" t="s">
        <v>329</v>
      </c>
      <c r="E5150">
        <v>25</v>
      </c>
      <c r="F5150" t="s">
        <v>31070</v>
      </c>
      <c r="G5150" t="s">
        <v>31071</v>
      </c>
      <c r="H5150" s="4" t="s">
        <v>31072</v>
      </c>
      <c r="I5150" t="s">
        <v>71</v>
      </c>
      <c r="J5150" t="s">
        <v>10782</v>
      </c>
      <c r="K5150" t="s">
        <v>31073</v>
      </c>
    </row>
    <row r="5151" spans="1:11" ht="72" x14ac:dyDescent="0.3">
      <c r="A5151" s="4" t="s">
        <v>8088</v>
      </c>
      <c r="B5151">
        <v>3</v>
      </c>
      <c r="C5151">
        <v>2016</v>
      </c>
      <c r="D5151" t="s">
        <v>177</v>
      </c>
      <c r="E5151">
        <v>48</v>
      </c>
      <c r="F5151" t="s">
        <v>31074</v>
      </c>
      <c r="G5151" t="s">
        <v>31075</v>
      </c>
      <c r="H5151" s="4" t="s">
        <v>31076</v>
      </c>
    </row>
    <row r="5152" spans="1:11" ht="129.6" x14ac:dyDescent="0.3">
      <c r="A5152" s="4" t="s">
        <v>8089</v>
      </c>
      <c r="B5152">
        <v>3</v>
      </c>
      <c r="C5152">
        <v>2016</v>
      </c>
      <c r="D5152" t="s">
        <v>11741</v>
      </c>
      <c r="E5152">
        <v>7</v>
      </c>
      <c r="F5152" t="s">
        <v>31077</v>
      </c>
      <c r="G5152" t="s">
        <v>31078</v>
      </c>
      <c r="H5152" s="4" t="s">
        <v>31079</v>
      </c>
    </row>
    <row r="5153" spans="1:11" ht="57.6" x14ac:dyDescent="0.3">
      <c r="A5153" s="4" t="s">
        <v>8090</v>
      </c>
      <c r="B5153">
        <v>3</v>
      </c>
      <c r="C5153">
        <v>2016</v>
      </c>
      <c r="D5153" t="s">
        <v>217</v>
      </c>
      <c r="E5153">
        <v>13</v>
      </c>
      <c r="F5153" t="s">
        <v>31080</v>
      </c>
      <c r="G5153" t="s">
        <v>31081</v>
      </c>
      <c r="H5153" s="4" t="s">
        <v>31082</v>
      </c>
    </row>
    <row r="5154" spans="1:11" ht="172.8" x14ac:dyDescent="0.3">
      <c r="A5154" s="4" t="s">
        <v>8091</v>
      </c>
      <c r="B5154">
        <v>3</v>
      </c>
      <c r="C5154">
        <v>2016</v>
      </c>
      <c r="D5154" t="s">
        <v>11826</v>
      </c>
      <c r="E5154">
        <v>7</v>
      </c>
      <c r="F5154" t="s">
        <v>31083</v>
      </c>
      <c r="G5154" t="s">
        <v>31084</v>
      </c>
      <c r="H5154" s="4" t="s">
        <v>31085</v>
      </c>
      <c r="I5154" t="s">
        <v>71</v>
      </c>
      <c r="J5154" t="s">
        <v>10782</v>
      </c>
      <c r="K5154" t="s">
        <v>31086</v>
      </c>
    </row>
    <row r="5155" spans="1:11" ht="187.2" x14ac:dyDescent="0.3">
      <c r="A5155" s="4" t="s">
        <v>1885</v>
      </c>
      <c r="B5155">
        <v>1</v>
      </c>
      <c r="C5155">
        <v>2016</v>
      </c>
      <c r="D5155" t="s">
        <v>1915</v>
      </c>
      <c r="E5155">
        <v>80</v>
      </c>
      <c r="F5155" t="s">
        <v>31087</v>
      </c>
      <c r="G5155" t="s">
        <v>31088</v>
      </c>
      <c r="H5155" s="4" t="s">
        <v>31089</v>
      </c>
      <c r="I5155" t="s">
        <v>71</v>
      </c>
      <c r="J5155" t="s">
        <v>10782</v>
      </c>
      <c r="K5155" t="s">
        <v>31090</v>
      </c>
    </row>
    <row r="5156" spans="1:11" ht="230.4" x14ac:dyDescent="0.3">
      <c r="A5156" s="4" t="s">
        <v>8092</v>
      </c>
      <c r="B5156">
        <v>3</v>
      </c>
      <c r="C5156">
        <v>2016</v>
      </c>
      <c r="D5156" t="s">
        <v>83</v>
      </c>
      <c r="E5156">
        <v>37</v>
      </c>
      <c r="F5156" t="s">
        <v>31091</v>
      </c>
      <c r="G5156" t="s">
        <v>31092</v>
      </c>
      <c r="H5156" s="4" t="s">
        <v>31093</v>
      </c>
      <c r="I5156" t="s">
        <v>71</v>
      </c>
      <c r="J5156" t="s">
        <v>10782</v>
      </c>
      <c r="K5156" t="s">
        <v>31094</v>
      </c>
    </row>
    <row r="5157" spans="1:11" ht="187.2" x14ac:dyDescent="0.3">
      <c r="A5157" s="4" t="s">
        <v>8093</v>
      </c>
      <c r="B5157">
        <v>3</v>
      </c>
      <c r="C5157">
        <v>2016</v>
      </c>
      <c r="D5157" t="s">
        <v>1570</v>
      </c>
      <c r="E5157">
        <v>16</v>
      </c>
      <c r="F5157" t="s">
        <v>31095</v>
      </c>
      <c r="G5157" t="s">
        <v>31096</v>
      </c>
      <c r="H5157" s="4" t="s">
        <v>31097</v>
      </c>
      <c r="I5157" t="s">
        <v>71</v>
      </c>
      <c r="J5157" t="s">
        <v>10782</v>
      </c>
      <c r="K5157" t="s">
        <v>31098</v>
      </c>
    </row>
    <row r="5158" spans="1:11" ht="144" x14ac:dyDescent="0.3">
      <c r="A5158" s="4" t="s">
        <v>8094</v>
      </c>
      <c r="B5158">
        <v>3</v>
      </c>
      <c r="C5158">
        <v>2016</v>
      </c>
      <c r="D5158" t="s">
        <v>1570</v>
      </c>
      <c r="E5158">
        <v>25</v>
      </c>
      <c r="F5158" t="s">
        <v>31099</v>
      </c>
      <c r="G5158" t="s">
        <v>31100</v>
      </c>
      <c r="H5158" s="4" t="s">
        <v>31101</v>
      </c>
    </row>
    <row r="5159" spans="1:11" ht="201.6" x14ac:dyDescent="0.3">
      <c r="A5159" s="4" t="s">
        <v>1886</v>
      </c>
      <c r="B5159">
        <v>1</v>
      </c>
      <c r="C5159">
        <v>2016</v>
      </c>
      <c r="D5159" t="s">
        <v>1175</v>
      </c>
      <c r="E5159">
        <v>5</v>
      </c>
      <c r="F5159" t="s">
        <v>31102</v>
      </c>
      <c r="G5159" t="s">
        <v>31103</v>
      </c>
      <c r="H5159" s="4" t="s">
        <v>31104</v>
      </c>
      <c r="I5159" t="s">
        <v>71</v>
      </c>
      <c r="J5159" t="s">
        <v>10782</v>
      </c>
      <c r="K5159" t="s">
        <v>31105</v>
      </c>
    </row>
    <row r="5160" spans="1:11" ht="158.4" x14ac:dyDescent="0.3">
      <c r="A5160" s="4" t="s">
        <v>8095</v>
      </c>
      <c r="B5160">
        <v>3</v>
      </c>
      <c r="C5160">
        <v>2016</v>
      </c>
      <c r="D5160" t="s">
        <v>11574</v>
      </c>
      <c r="E5160">
        <v>128</v>
      </c>
      <c r="F5160" t="s">
        <v>31106</v>
      </c>
      <c r="G5160" t="s">
        <v>31107</v>
      </c>
      <c r="H5160" s="4" t="s">
        <v>31108</v>
      </c>
      <c r="I5160" t="s">
        <v>10823</v>
      </c>
      <c r="J5160" t="s">
        <v>10782</v>
      </c>
      <c r="K5160" t="s">
        <v>31109</v>
      </c>
    </row>
    <row r="5161" spans="1:11" ht="216" x14ac:dyDescent="0.3">
      <c r="A5161" s="4" t="s">
        <v>8096</v>
      </c>
      <c r="B5161">
        <v>3</v>
      </c>
      <c r="C5161">
        <v>2016</v>
      </c>
      <c r="D5161" t="s">
        <v>14623</v>
      </c>
      <c r="E5161">
        <v>43</v>
      </c>
      <c r="F5161" t="s">
        <v>31110</v>
      </c>
      <c r="G5161" t="s">
        <v>31111</v>
      </c>
      <c r="H5161" s="4" t="s">
        <v>31112</v>
      </c>
      <c r="I5161" t="s">
        <v>71</v>
      </c>
      <c r="J5161" t="s">
        <v>10782</v>
      </c>
      <c r="K5161" t="s">
        <v>31113</v>
      </c>
    </row>
    <row r="5162" spans="1:11" ht="86.4" x14ac:dyDescent="0.3">
      <c r="A5162" s="4" t="s">
        <v>8097</v>
      </c>
      <c r="B5162">
        <v>3</v>
      </c>
      <c r="C5162">
        <v>2016</v>
      </c>
      <c r="D5162" t="s">
        <v>24562</v>
      </c>
      <c r="E5162">
        <v>0</v>
      </c>
      <c r="F5162" t="s">
        <v>31114</v>
      </c>
      <c r="G5162" t="s">
        <v>31115</v>
      </c>
      <c r="H5162" s="4" t="s">
        <v>31116</v>
      </c>
    </row>
    <row r="5163" spans="1:11" ht="273.60000000000002" x14ac:dyDescent="0.3">
      <c r="A5163" s="4" t="s">
        <v>8098</v>
      </c>
      <c r="B5163">
        <v>3</v>
      </c>
      <c r="C5163">
        <v>2016</v>
      </c>
      <c r="D5163" t="s">
        <v>13394</v>
      </c>
      <c r="E5163">
        <v>28</v>
      </c>
      <c r="F5163" t="s">
        <v>31117</v>
      </c>
      <c r="G5163" t="s">
        <v>31118</v>
      </c>
      <c r="H5163" s="4" t="s">
        <v>31119</v>
      </c>
      <c r="I5163" t="s">
        <v>71</v>
      </c>
      <c r="J5163" t="s">
        <v>10782</v>
      </c>
      <c r="K5163" t="s">
        <v>31120</v>
      </c>
    </row>
    <row r="5164" spans="1:11" ht="144" x14ac:dyDescent="0.3">
      <c r="A5164" s="4" t="s">
        <v>8099</v>
      </c>
      <c r="B5164">
        <v>3</v>
      </c>
      <c r="C5164">
        <v>2016</v>
      </c>
      <c r="D5164" t="s">
        <v>2384</v>
      </c>
      <c r="E5164">
        <v>27</v>
      </c>
      <c r="F5164" t="s">
        <v>31121</v>
      </c>
      <c r="G5164" t="s">
        <v>31122</v>
      </c>
      <c r="H5164" s="4" t="s">
        <v>31123</v>
      </c>
      <c r="I5164" t="s">
        <v>71</v>
      </c>
      <c r="J5164" t="s">
        <v>10782</v>
      </c>
      <c r="K5164" t="s">
        <v>31124</v>
      </c>
    </row>
    <row r="5165" spans="1:11" ht="158.4" x14ac:dyDescent="0.3">
      <c r="A5165" s="4" t="s">
        <v>8100</v>
      </c>
      <c r="B5165">
        <v>3</v>
      </c>
      <c r="C5165">
        <v>2016</v>
      </c>
      <c r="D5165" t="s">
        <v>217</v>
      </c>
      <c r="E5165">
        <v>17</v>
      </c>
      <c r="F5165" t="s">
        <v>31125</v>
      </c>
      <c r="G5165" t="s">
        <v>31126</v>
      </c>
      <c r="H5165" s="4" t="s">
        <v>31127</v>
      </c>
      <c r="I5165" t="s">
        <v>71</v>
      </c>
      <c r="J5165" t="s">
        <v>10782</v>
      </c>
      <c r="K5165" t="s">
        <v>31128</v>
      </c>
    </row>
    <row r="5166" spans="1:11" ht="115.2" x14ac:dyDescent="0.3">
      <c r="A5166" s="4" t="s">
        <v>8101</v>
      </c>
      <c r="B5166">
        <v>3</v>
      </c>
      <c r="C5166">
        <v>2016</v>
      </c>
      <c r="D5166" t="s">
        <v>1570</v>
      </c>
      <c r="E5166">
        <v>16</v>
      </c>
      <c r="F5166" t="s">
        <v>31129</v>
      </c>
      <c r="G5166" t="s">
        <v>31130</v>
      </c>
      <c r="H5166" s="4" t="s">
        <v>31131</v>
      </c>
      <c r="I5166" t="s">
        <v>71</v>
      </c>
      <c r="J5166" t="s">
        <v>10782</v>
      </c>
      <c r="K5166" t="s">
        <v>31132</v>
      </c>
    </row>
    <row r="5167" spans="1:11" ht="115.2" x14ac:dyDescent="0.3">
      <c r="A5167" s="4" t="s">
        <v>8102</v>
      </c>
      <c r="B5167">
        <v>3</v>
      </c>
      <c r="C5167">
        <v>2016</v>
      </c>
      <c r="D5167" t="s">
        <v>11222</v>
      </c>
      <c r="E5167">
        <v>52</v>
      </c>
      <c r="F5167" t="s">
        <v>31133</v>
      </c>
      <c r="G5167" t="s">
        <v>31134</v>
      </c>
      <c r="H5167" s="4" t="s">
        <v>31135</v>
      </c>
    </row>
    <row r="5168" spans="1:11" ht="144" x14ac:dyDescent="0.3">
      <c r="A5168" s="4" t="s">
        <v>8103</v>
      </c>
      <c r="B5168">
        <v>3</v>
      </c>
      <c r="C5168">
        <v>2016</v>
      </c>
      <c r="D5168" t="s">
        <v>12593</v>
      </c>
      <c r="E5168">
        <v>7</v>
      </c>
      <c r="F5168" t="s">
        <v>31136</v>
      </c>
      <c r="G5168" t="s">
        <v>31137</v>
      </c>
      <c r="H5168" s="4" t="s">
        <v>31138</v>
      </c>
      <c r="I5168" t="s">
        <v>71</v>
      </c>
      <c r="J5168" t="s">
        <v>10782</v>
      </c>
      <c r="K5168" t="s">
        <v>31139</v>
      </c>
    </row>
    <row r="5169" spans="1:11" ht="201.6" x14ac:dyDescent="0.3">
      <c r="A5169" s="4" t="s">
        <v>8104</v>
      </c>
      <c r="B5169">
        <v>3</v>
      </c>
      <c r="C5169">
        <v>2016</v>
      </c>
      <c r="D5169" t="s">
        <v>2585</v>
      </c>
      <c r="E5169">
        <v>42</v>
      </c>
      <c r="F5169" t="s">
        <v>31140</v>
      </c>
      <c r="G5169" t="s">
        <v>31141</v>
      </c>
      <c r="H5169" s="4" t="s">
        <v>31142</v>
      </c>
      <c r="I5169" t="s">
        <v>71</v>
      </c>
      <c r="J5169" t="s">
        <v>10782</v>
      </c>
      <c r="K5169" t="s">
        <v>31143</v>
      </c>
    </row>
    <row r="5170" spans="1:11" ht="172.8" x14ac:dyDescent="0.3">
      <c r="A5170" s="4" t="s">
        <v>8105</v>
      </c>
      <c r="B5170">
        <v>3</v>
      </c>
      <c r="C5170">
        <v>2016</v>
      </c>
      <c r="D5170" t="s">
        <v>21103</v>
      </c>
      <c r="E5170">
        <v>15</v>
      </c>
      <c r="F5170" t="s">
        <v>31144</v>
      </c>
      <c r="G5170" t="s">
        <v>31145</v>
      </c>
      <c r="H5170" s="4" t="s">
        <v>31146</v>
      </c>
      <c r="I5170" t="s">
        <v>71</v>
      </c>
      <c r="J5170" t="s">
        <v>10782</v>
      </c>
      <c r="K5170" t="s">
        <v>31147</v>
      </c>
    </row>
    <row r="5171" spans="1:11" ht="216" x14ac:dyDescent="0.3">
      <c r="A5171" s="4" t="s">
        <v>8106</v>
      </c>
      <c r="B5171">
        <v>3</v>
      </c>
      <c r="C5171">
        <v>2016</v>
      </c>
      <c r="D5171" t="s">
        <v>282</v>
      </c>
      <c r="E5171">
        <v>25</v>
      </c>
      <c r="F5171" t="s">
        <v>31148</v>
      </c>
      <c r="G5171" t="s">
        <v>31149</v>
      </c>
      <c r="H5171" s="4" t="s">
        <v>31150</v>
      </c>
      <c r="I5171" t="s">
        <v>71</v>
      </c>
      <c r="J5171" t="s">
        <v>10782</v>
      </c>
      <c r="K5171" t="s">
        <v>31151</v>
      </c>
    </row>
    <row r="5172" spans="1:11" ht="172.8" x14ac:dyDescent="0.3">
      <c r="A5172" s="4" t="s">
        <v>8107</v>
      </c>
      <c r="B5172">
        <v>3</v>
      </c>
      <c r="C5172">
        <v>2016</v>
      </c>
      <c r="D5172" t="s">
        <v>329</v>
      </c>
      <c r="E5172">
        <v>23</v>
      </c>
      <c r="F5172" t="s">
        <v>31152</v>
      </c>
      <c r="G5172" t="s">
        <v>31153</v>
      </c>
      <c r="H5172" s="4" t="s">
        <v>31154</v>
      </c>
      <c r="I5172" t="s">
        <v>71</v>
      </c>
      <c r="J5172" t="s">
        <v>10782</v>
      </c>
      <c r="K5172" t="s">
        <v>31155</v>
      </c>
    </row>
    <row r="5173" spans="1:11" ht="345.6" x14ac:dyDescent="0.3">
      <c r="A5173" s="4" t="s">
        <v>8108</v>
      </c>
      <c r="B5173">
        <v>3</v>
      </c>
      <c r="C5173">
        <v>2016</v>
      </c>
      <c r="D5173" t="s">
        <v>83</v>
      </c>
      <c r="E5173">
        <v>33</v>
      </c>
      <c r="F5173" t="s">
        <v>31156</v>
      </c>
      <c r="G5173" t="s">
        <v>31157</v>
      </c>
      <c r="H5173" s="4" t="s">
        <v>31158</v>
      </c>
      <c r="I5173" t="s">
        <v>71</v>
      </c>
      <c r="J5173" t="s">
        <v>10782</v>
      </c>
      <c r="K5173" t="s">
        <v>31159</v>
      </c>
    </row>
    <row r="5174" spans="1:11" ht="158.4" x14ac:dyDescent="0.3">
      <c r="A5174" s="4" t="s">
        <v>3384</v>
      </c>
      <c r="B5174">
        <v>1</v>
      </c>
      <c r="C5174">
        <v>2016</v>
      </c>
      <c r="D5174" t="s">
        <v>217</v>
      </c>
      <c r="E5174">
        <v>36</v>
      </c>
      <c r="F5174" t="s">
        <v>31160</v>
      </c>
      <c r="G5174" t="s">
        <v>31161</v>
      </c>
      <c r="H5174" s="4" t="s">
        <v>31162</v>
      </c>
      <c r="I5174" t="s">
        <v>71</v>
      </c>
      <c r="J5174" t="s">
        <v>10782</v>
      </c>
      <c r="K5174" t="s">
        <v>31163</v>
      </c>
    </row>
    <row r="5175" spans="1:11" ht="172.8" x14ac:dyDescent="0.3">
      <c r="A5175" s="4" t="s">
        <v>8109</v>
      </c>
      <c r="B5175">
        <v>3</v>
      </c>
      <c r="C5175">
        <v>2016</v>
      </c>
      <c r="D5175" t="s">
        <v>128</v>
      </c>
      <c r="E5175">
        <v>20</v>
      </c>
      <c r="F5175" t="s">
        <v>31164</v>
      </c>
      <c r="G5175" t="s">
        <v>31165</v>
      </c>
      <c r="H5175" s="4" t="s">
        <v>31166</v>
      </c>
      <c r="I5175" t="s">
        <v>71</v>
      </c>
      <c r="J5175" t="s">
        <v>10782</v>
      </c>
      <c r="K5175" t="s">
        <v>31167</v>
      </c>
    </row>
    <row r="5176" spans="1:11" ht="100.8" x14ac:dyDescent="0.3">
      <c r="A5176" s="4" t="s">
        <v>8110</v>
      </c>
      <c r="B5176">
        <v>3</v>
      </c>
      <c r="C5176">
        <v>2016</v>
      </c>
      <c r="D5176" t="s">
        <v>277</v>
      </c>
      <c r="E5176">
        <v>58</v>
      </c>
      <c r="F5176" t="s">
        <v>31168</v>
      </c>
      <c r="G5176" t="s">
        <v>31169</v>
      </c>
      <c r="H5176" s="4" t="s">
        <v>31170</v>
      </c>
      <c r="I5176" t="s">
        <v>71</v>
      </c>
      <c r="J5176" t="s">
        <v>10782</v>
      </c>
      <c r="K5176" t="s">
        <v>31171</v>
      </c>
    </row>
    <row r="5177" spans="1:11" ht="57.6" x14ac:dyDescent="0.3">
      <c r="A5177" s="4" t="s">
        <v>8111</v>
      </c>
      <c r="B5177">
        <v>3</v>
      </c>
      <c r="C5177">
        <v>2016</v>
      </c>
      <c r="D5177" t="s">
        <v>550</v>
      </c>
      <c r="E5177">
        <v>24</v>
      </c>
      <c r="F5177" t="s">
        <v>31172</v>
      </c>
      <c r="G5177" t="s">
        <v>31173</v>
      </c>
      <c r="H5177" s="4" t="s">
        <v>31174</v>
      </c>
    </row>
    <row r="5178" spans="1:11" ht="129.6" x14ac:dyDescent="0.3">
      <c r="A5178" s="4" t="s">
        <v>8112</v>
      </c>
      <c r="B5178">
        <v>3</v>
      </c>
      <c r="C5178">
        <v>2016</v>
      </c>
      <c r="D5178" t="s">
        <v>14143</v>
      </c>
      <c r="E5178">
        <v>0</v>
      </c>
      <c r="F5178" t="s">
        <v>31175</v>
      </c>
      <c r="G5178" t="s">
        <v>31176</v>
      </c>
      <c r="H5178" s="4" t="s">
        <v>31177</v>
      </c>
      <c r="I5178" t="s">
        <v>71</v>
      </c>
      <c r="J5178" t="s">
        <v>10782</v>
      </c>
      <c r="K5178" t="s">
        <v>31178</v>
      </c>
    </row>
    <row r="5179" spans="1:11" ht="144" x14ac:dyDescent="0.3">
      <c r="A5179" s="4" t="s">
        <v>8113</v>
      </c>
      <c r="B5179">
        <v>3</v>
      </c>
      <c r="C5179">
        <v>2016</v>
      </c>
      <c r="D5179" t="s">
        <v>2361</v>
      </c>
      <c r="E5179">
        <v>155</v>
      </c>
      <c r="F5179" t="s">
        <v>31179</v>
      </c>
      <c r="G5179" t="s">
        <v>31180</v>
      </c>
      <c r="H5179" s="4" t="s">
        <v>31181</v>
      </c>
      <c r="I5179" t="s">
        <v>71</v>
      </c>
      <c r="J5179" t="s">
        <v>10782</v>
      </c>
      <c r="K5179" t="s">
        <v>31182</v>
      </c>
    </row>
    <row r="5180" spans="1:11" ht="144" x14ac:dyDescent="0.3">
      <c r="A5180" s="4" t="s">
        <v>8114</v>
      </c>
      <c r="B5180">
        <v>3</v>
      </c>
      <c r="C5180">
        <v>2016</v>
      </c>
      <c r="D5180" t="s">
        <v>1088</v>
      </c>
      <c r="E5180">
        <v>35</v>
      </c>
      <c r="F5180" t="s">
        <v>31183</v>
      </c>
      <c r="G5180" t="s">
        <v>31184</v>
      </c>
      <c r="H5180" s="4" t="s">
        <v>31185</v>
      </c>
      <c r="I5180" t="s">
        <v>71</v>
      </c>
      <c r="J5180" t="s">
        <v>10782</v>
      </c>
      <c r="K5180" t="s">
        <v>31186</v>
      </c>
    </row>
    <row r="5181" spans="1:11" ht="259.2" x14ac:dyDescent="0.3">
      <c r="A5181" s="4" t="s">
        <v>8115</v>
      </c>
      <c r="B5181">
        <v>3</v>
      </c>
      <c r="C5181">
        <v>2016</v>
      </c>
      <c r="D5181" t="s">
        <v>14512</v>
      </c>
      <c r="E5181">
        <v>12</v>
      </c>
      <c r="F5181" t="s">
        <v>31187</v>
      </c>
      <c r="G5181" t="s">
        <v>31188</v>
      </c>
      <c r="H5181" s="4" t="s">
        <v>31189</v>
      </c>
      <c r="I5181" t="s">
        <v>71</v>
      </c>
      <c r="J5181" t="s">
        <v>10782</v>
      </c>
      <c r="K5181" t="s">
        <v>31190</v>
      </c>
    </row>
    <row r="5182" spans="1:11" ht="187.2" x14ac:dyDescent="0.3">
      <c r="A5182" s="4" t="s">
        <v>8116</v>
      </c>
      <c r="B5182">
        <v>3</v>
      </c>
      <c r="C5182">
        <v>2016</v>
      </c>
      <c r="D5182" t="s">
        <v>1849</v>
      </c>
      <c r="E5182">
        <v>16</v>
      </c>
      <c r="F5182" t="s">
        <v>31191</v>
      </c>
      <c r="G5182" t="s">
        <v>31192</v>
      </c>
      <c r="H5182" s="4" t="s">
        <v>31193</v>
      </c>
      <c r="I5182" t="s">
        <v>71</v>
      </c>
      <c r="J5182" t="s">
        <v>10782</v>
      </c>
      <c r="K5182" t="s">
        <v>31194</v>
      </c>
    </row>
    <row r="5183" spans="1:11" ht="115.2" x14ac:dyDescent="0.3">
      <c r="A5183" s="4" t="s">
        <v>8117</v>
      </c>
      <c r="B5183">
        <v>3</v>
      </c>
      <c r="C5183">
        <v>2016</v>
      </c>
      <c r="D5183" t="s">
        <v>528</v>
      </c>
      <c r="E5183">
        <v>43</v>
      </c>
      <c r="F5183" t="s">
        <v>31195</v>
      </c>
      <c r="G5183" t="s">
        <v>31196</v>
      </c>
      <c r="H5183" s="4" t="s">
        <v>31197</v>
      </c>
      <c r="I5183" t="s">
        <v>71</v>
      </c>
      <c r="J5183" t="s">
        <v>10782</v>
      </c>
      <c r="K5183" t="s">
        <v>31198</v>
      </c>
    </row>
    <row r="5184" spans="1:11" ht="144" x14ac:dyDescent="0.3">
      <c r="A5184" s="4" t="s">
        <v>8118</v>
      </c>
      <c r="B5184">
        <v>3</v>
      </c>
      <c r="C5184">
        <v>2016</v>
      </c>
      <c r="D5184" t="s">
        <v>1175</v>
      </c>
      <c r="E5184">
        <v>9</v>
      </c>
      <c r="F5184" t="s">
        <v>31199</v>
      </c>
      <c r="G5184" t="s">
        <v>31200</v>
      </c>
      <c r="H5184" s="4" t="s">
        <v>31201</v>
      </c>
      <c r="I5184" t="s">
        <v>71</v>
      </c>
      <c r="J5184" t="s">
        <v>10782</v>
      </c>
      <c r="K5184" t="s">
        <v>31202</v>
      </c>
    </row>
    <row r="5185" spans="1:11" ht="172.8" x14ac:dyDescent="0.3">
      <c r="A5185" s="4" t="s">
        <v>8119</v>
      </c>
      <c r="B5185">
        <v>3</v>
      </c>
      <c r="C5185">
        <v>2016</v>
      </c>
      <c r="D5185" t="s">
        <v>15544</v>
      </c>
      <c r="E5185">
        <v>11</v>
      </c>
      <c r="F5185" t="s">
        <v>31203</v>
      </c>
      <c r="G5185" t="s">
        <v>31204</v>
      </c>
      <c r="H5185" s="4" t="s">
        <v>31205</v>
      </c>
      <c r="I5185" t="s">
        <v>71</v>
      </c>
      <c r="J5185" t="s">
        <v>10782</v>
      </c>
      <c r="K5185" t="s">
        <v>31206</v>
      </c>
    </row>
    <row r="5186" spans="1:11" ht="244.8" x14ac:dyDescent="0.3">
      <c r="A5186" s="4" t="s">
        <v>8120</v>
      </c>
      <c r="B5186">
        <v>3</v>
      </c>
      <c r="C5186">
        <v>2016</v>
      </c>
      <c r="D5186" t="s">
        <v>16933</v>
      </c>
      <c r="E5186">
        <v>60</v>
      </c>
      <c r="F5186" t="s">
        <v>31207</v>
      </c>
      <c r="G5186" t="s">
        <v>31208</v>
      </c>
      <c r="H5186" s="4" t="s">
        <v>31209</v>
      </c>
      <c r="I5186" t="s">
        <v>10823</v>
      </c>
      <c r="J5186" t="s">
        <v>10782</v>
      </c>
      <c r="K5186" t="s">
        <v>31210</v>
      </c>
    </row>
    <row r="5187" spans="1:11" ht="115.2" x14ac:dyDescent="0.3">
      <c r="A5187" s="4" t="s">
        <v>8121</v>
      </c>
      <c r="B5187">
        <v>3</v>
      </c>
      <c r="C5187">
        <v>2016</v>
      </c>
      <c r="D5187" t="s">
        <v>1836</v>
      </c>
      <c r="E5187">
        <v>15</v>
      </c>
      <c r="F5187" t="s">
        <v>31211</v>
      </c>
      <c r="G5187" t="s">
        <v>31212</v>
      </c>
      <c r="H5187" s="4" t="s">
        <v>31213</v>
      </c>
      <c r="I5187" t="s">
        <v>71</v>
      </c>
      <c r="J5187" t="s">
        <v>10782</v>
      </c>
      <c r="K5187" t="s">
        <v>31214</v>
      </c>
    </row>
    <row r="5188" spans="1:11" ht="28.8" x14ac:dyDescent="0.3">
      <c r="A5188" s="4" t="s">
        <v>8122</v>
      </c>
      <c r="B5188">
        <v>3</v>
      </c>
      <c r="C5188">
        <v>2016</v>
      </c>
      <c r="D5188" t="s">
        <v>13914</v>
      </c>
      <c r="E5188">
        <v>90</v>
      </c>
      <c r="F5188" t="s">
        <v>31215</v>
      </c>
      <c r="G5188" t="s">
        <v>31216</v>
      </c>
      <c r="H5188" s="4" t="s">
        <v>31217</v>
      </c>
    </row>
    <row r="5189" spans="1:11" ht="72" x14ac:dyDescent="0.3">
      <c r="A5189" s="4" t="s">
        <v>8123</v>
      </c>
      <c r="B5189">
        <v>3</v>
      </c>
      <c r="C5189">
        <v>2016</v>
      </c>
      <c r="D5189" t="s">
        <v>217</v>
      </c>
      <c r="E5189">
        <v>16</v>
      </c>
      <c r="F5189" t="s">
        <v>31218</v>
      </c>
      <c r="G5189" t="s">
        <v>31219</v>
      </c>
      <c r="H5189" s="4" t="s">
        <v>31220</v>
      </c>
    </row>
    <row r="5190" spans="1:11" ht="86.4" x14ac:dyDescent="0.3">
      <c r="A5190" s="4" t="s">
        <v>8124</v>
      </c>
      <c r="B5190">
        <v>3</v>
      </c>
      <c r="C5190">
        <v>2016</v>
      </c>
      <c r="D5190" t="s">
        <v>329</v>
      </c>
      <c r="E5190">
        <v>7</v>
      </c>
      <c r="F5190" t="s">
        <v>31221</v>
      </c>
      <c r="G5190" t="s">
        <v>31222</v>
      </c>
      <c r="H5190" s="4" t="s">
        <v>31223</v>
      </c>
    </row>
    <row r="5191" spans="1:11" ht="86.4" x14ac:dyDescent="0.3">
      <c r="A5191" s="4" t="s">
        <v>8125</v>
      </c>
      <c r="B5191">
        <v>3</v>
      </c>
      <c r="C5191">
        <v>2016</v>
      </c>
      <c r="D5191" t="s">
        <v>405</v>
      </c>
      <c r="E5191">
        <v>43</v>
      </c>
      <c r="F5191" t="s">
        <v>31224</v>
      </c>
      <c r="G5191" t="s">
        <v>31225</v>
      </c>
      <c r="H5191" s="4" t="s">
        <v>31226</v>
      </c>
      <c r="I5191" t="s">
        <v>71</v>
      </c>
      <c r="J5191" t="s">
        <v>10782</v>
      </c>
      <c r="K5191" t="s">
        <v>31227</v>
      </c>
    </row>
    <row r="5192" spans="1:11" ht="115.2" x14ac:dyDescent="0.3">
      <c r="A5192" s="4" t="s">
        <v>8126</v>
      </c>
      <c r="B5192">
        <v>3</v>
      </c>
      <c r="C5192">
        <v>2016</v>
      </c>
      <c r="D5192" t="s">
        <v>15454</v>
      </c>
      <c r="E5192">
        <v>36</v>
      </c>
      <c r="F5192" t="s">
        <v>31228</v>
      </c>
      <c r="G5192" t="s">
        <v>31229</v>
      </c>
      <c r="H5192" s="4" t="s">
        <v>31230</v>
      </c>
      <c r="I5192" t="s">
        <v>71</v>
      </c>
      <c r="J5192" t="s">
        <v>10782</v>
      </c>
      <c r="K5192" t="s">
        <v>31231</v>
      </c>
    </row>
    <row r="5193" spans="1:11" ht="144" x14ac:dyDescent="0.3">
      <c r="A5193" s="4" t="s">
        <v>8127</v>
      </c>
      <c r="B5193">
        <v>3</v>
      </c>
      <c r="C5193">
        <v>2016</v>
      </c>
      <c r="D5193" t="s">
        <v>31232</v>
      </c>
      <c r="E5193">
        <v>0</v>
      </c>
      <c r="G5193" t="s">
        <v>31233</v>
      </c>
      <c r="H5193" s="4" t="s">
        <v>31234</v>
      </c>
      <c r="I5193" s="4" t="s">
        <v>71</v>
      </c>
      <c r="J5193" t="s">
        <v>10782</v>
      </c>
      <c r="K5193" t="s">
        <v>31235</v>
      </c>
    </row>
    <row r="5194" spans="1:11" ht="216" x14ac:dyDescent="0.3">
      <c r="A5194" s="4" t="s">
        <v>8128</v>
      </c>
      <c r="B5194">
        <v>3</v>
      </c>
      <c r="C5194">
        <v>2016</v>
      </c>
      <c r="D5194" t="s">
        <v>14147</v>
      </c>
      <c r="E5194">
        <v>34</v>
      </c>
      <c r="F5194" t="s">
        <v>31236</v>
      </c>
      <c r="G5194" t="s">
        <v>31237</v>
      </c>
      <c r="H5194" s="4" t="s">
        <v>31238</v>
      </c>
      <c r="I5194" t="s">
        <v>71</v>
      </c>
      <c r="J5194" t="s">
        <v>10782</v>
      </c>
      <c r="K5194" t="s">
        <v>31239</v>
      </c>
    </row>
    <row r="5195" spans="1:11" ht="216" x14ac:dyDescent="0.3">
      <c r="A5195" s="4" t="s">
        <v>8129</v>
      </c>
      <c r="B5195">
        <v>3</v>
      </c>
      <c r="C5195">
        <v>2016</v>
      </c>
      <c r="D5195" t="s">
        <v>217</v>
      </c>
      <c r="E5195">
        <v>65</v>
      </c>
      <c r="F5195" t="s">
        <v>31240</v>
      </c>
      <c r="G5195" t="s">
        <v>31241</v>
      </c>
      <c r="H5195" s="4" t="s">
        <v>31242</v>
      </c>
      <c r="I5195" t="s">
        <v>71</v>
      </c>
      <c r="J5195" t="s">
        <v>10782</v>
      </c>
      <c r="K5195" t="s">
        <v>31243</v>
      </c>
    </row>
    <row r="5196" spans="1:11" ht="259.2" x14ac:dyDescent="0.3">
      <c r="A5196" s="4" t="s">
        <v>8130</v>
      </c>
      <c r="B5196">
        <v>3</v>
      </c>
      <c r="C5196">
        <v>2016</v>
      </c>
      <c r="D5196" t="s">
        <v>329</v>
      </c>
      <c r="E5196">
        <v>86</v>
      </c>
      <c r="F5196" t="s">
        <v>31244</v>
      </c>
      <c r="G5196" t="s">
        <v>31245</v>
      </c>
      <c r="H5196" s="4" t="s">
        <v>31246</v>
      </c>
    </row>
    <row r="5197" spans="1:11" ht="216" x14ac:dyDescent="0.3">
      <c r="A5197" s="4" t="s">
        <v>8131</v>
      </c>
      <c r="B5197">
        <v>3</v>
      </c>
      <c r="C5197">
        <v>2016</v>
      </c>
      <c r="D5197" t="s">
        <v>1849</v>
      </c>
      <c r="E5197">
        <v>20</v>
      </c>
      <c r="F5197" t="s">
        <v>31247</v>
      </c>
      <c r="G5197" t="s">
        <v>31248</v>
      </c>
      <c r="H5197" s="4" t="s">
        <v>31249</v>
      </c>
      <c r="I5197" t="s">
        <v>71</v>
      </c>
      <c r="J5197" t="s">
        <v>10782</v>
      </c>
      <c r="K5197" t="s">
        <v>31250</v>
      </c>
    </row>
    <row r="5198" spans="1:11" ht="187.2" x14ac:dyDescent="0.3">
      <c r="A5198" s="4" t="s">
        <v>8132</v>
      </c>
      <c r="B5198">
        <v>3</v>
      </c>
      <c r="C5198">
        <v>2016</v>
      </c>
      <c r="D5198" t="s">
        <v>217</v>
      </c>
      <c r="E5198">
        <v>17</v>
      </c>
      <c r="F5198" t="s">
        <v>31251</v>
      </c>
      <c r="G5198" t="s">
        <v>31252</v>
      </c>
      <c r="H5198" s="4" t="s">
        <v>31253</v>
      </c>
      <c r="I5198" t="s">
        <v>71</v>
      </c>
      <c r="J5198" t="s">
        <v>10782</v>
      </c>
      <c r="K5198" t="s">
        <v>31254</v>
      </c>
    </row>
    <row r="5199" spans="1:11" ht="187.2" x14ac:dyDescent="0.3">
      <c r="A5199" s="4" t="s">
        <v>8133</v>
      </c>
      <c r="B5199">
        <v>3</v>
      </c>
      <c r="C5199">
        <v>2016</v>
      </c>
      <c r="D5199" t="s">
        <v>17066</v>
      </c>
      <c r="E5199">
        <v>116</v>
      </c>
      <c r="F5199" t="s">
        <v>31255</v>
      </c>
      <c r="G5199" t="s">
        <v>31256</v>
      </c>
      <c r="H5199" s="4" t="s">
        <v>31257</v>
      </c>
      <c r="I5199" t="s">
        <v>71</v>
      </c>
      <c r="J5199" t="s">
        <v>10782</v>
      </c>
      <c r="K5199" t="s">
        <v>31258</v>
      </c>
    </row>
    <row r="5200" spans="1:11" ht="172.8" x14ac:dyDescent="0.3">
      <c r="A5200" s="4" t="s">
        <v>8134</v>
      </c>
      <c r="B5200">
        <v>3</v>
      </c>
      <c r="C5200">
        <v>2016</v>
      </c>
      <c r="D5200" t="s">
        <v>31259</v>
      </c>
      <c r="E5200">
        <v>283</v>
      </c>
      <c r="F5200" t="s">
        <v>31260</v>
      </c>
      <c r="G5200" t="s">
        <v>31261</v>
      </c>
      <c r="H5200" s="4" t="s">
        <v>31262</v>
      </c>
      <c r="I5200" t="s">
        <v>10823</v>
      </c>
      <c r="J5200" t="s">
        <v>10782</v>
      </c>
      <c r="K5200" t="s">
        <v>31263</v>
      </c>
    </row>
    <row r="5201" spans="1:11" ht="86.4" x14ac:dyDescent="0.3">
      <c r="A5201" s="4" t="s">
        <v>8135</v>
      </c>
      <c r="B5201">
        <v>3</v>
      </c>
      <c r="C5201">
        <v>2016</v>
      </c>
      <c r="D5201" t="s">
        <v>2222</v>
      </c>
      <c r="E5201">
        <v>4</v>
      </c>
      <c r="G5201" t="s">
        <v>31264</v>
      </c>
      <c r="H5201" s="4" t="s">
        <v>31265</v>
      </c>
      <c r="I5201" s="4" t="s">
        <v>71</v>
      </c>
      <c r="J5201" t="s">
        <v>10782</v>
      </c>
      <c r="K5201" t="s">
        <v>31266</v>
      </c>
    </row>
    <row r="5202" spans="1:11" ht="158.4" x14ac:dyDescent="0.3">
      <c r="A5202" s="4" t="s">
        <v>8136</v>
      </c>
      <c r="B5202">
        <v>3</v>
      </c>
      <c r="C5202">
        <v>2016</v>
      </c>
      <c r="D5202" t="s">
        <v>329</v>
      </c>
      <c r="E5202">
        <v>11</v>
      </c>
      <c r="F5202" t="s">
        <v>31267</v>
      </c>
      <c r="G5202" t="s">
        <v>31268</v>
      </c>
      <c r="H5202" s="4" t="s">
        <v>31269</v>
      </c>
      <c r="I5202" t="s">
        <v>71</v>
      </c>
      <c r="J5202" t="s">
        <v>10782</v>
      </c>
      <c r="K5202" t="s">
        <v>31270</v>
      </c>
    </row>
    <row r="5203" spans="1:11" ht="129.6" x14ac:dyDescent="0.3">
      <c r="A5203" s="4" t="s">
        <v>8137</v>
      </c>
      <c r="B5203">
        <v>3</v>
      </c>
      <c r="C5203">
        <v>2016</v>
      </c>
      <c r="D5203" t="s">
        <v>11674</v>
      </c>
      <c r="E5203">
        <v>6</v>
      </c>
      <c r="F5203" t="s">
        <v>31271</v>
      </c>
      <c r="G5203" t="s">
        <v>31272</v>
      </c>
      <c r="H5203" s="4" t="s">
        <v>31273</v>
      </c>
      <c r="I5203" t="s">
        <v>71</v>
      </c>
      <c r="J5203" t="s">
        <v>10782</v>
      </c>
      <c r="K5203" t="s">
        <v>31274</v>
      </c>
    </row>
    <row r="5204" spans="1:11" ht="288" x14ac:dyDescent="0.3">
      <c r="A5204" s="4" t="s">
        <v>8138</v>
      </c>
      <c r="B5204">
        <v>3</v>
      </c>
      <c r="C5204">
        <v>2016</v>
      </c>
      <c r="D5204" t="s">
        <v>13776</v>
      </c>
      <c r="E5204">
        <v>4</v>
      </c>
      <c r="F5204" t="s">
        <v>31275</v>
      </c>
      <c r="G5204" t="s">
        <v>31276</v>
      </c>
      <c r="H5204" s="4" t="s">
        <v>31277</v>
      </c>
      <c r="I5204" t="s">
        <v>71</v>
      </c>
      <c r="J5204" t="s">
        <v>10782</v>
      </c>
      <c r="K5204" t="s">
        <v>31278</v>
      </c>
    </row>
    <row r="5205" spans="1:11" ht="216" x14ac:dyDescent="0.3">
      <c r="A5205" s="4" t="s">
        <v>8139</v>
      </c>
      <c r="B5205">
        <v>3</v>
      </c>
      <c r="C5205">
        <v>2016</v>
      </c>
      <c r="D5205" t="s">
        <v>11556</v>
      </c>
      <c r="E5205">
        <v>41</v>
      </c>
      <c r="F5205" t="s">
        <v>31279</v>
      </c>
      <c r="G5205" t="s">
        <v>31280</v>
      </c>
      <c r="H5205" s="4" t="s">
        <v>31281</v>
      </c>
      <c r="I5205" t="s">
        <v>71</v>
      </c>
      <c r="J5205" t="s">
        <v>10782</v>
      </c>
      <c r="K5205" t="s">
        <v>31282</v>
      </c>
    </row>
    <row r="5206" spans="1:11" ht="172.8" x14ac:dyDescent="0.3">
      <c r="A5206" s="4" t="s">
        <v>8140</v>
      </c>
      <c r="B5206">
        <v>3</v>
      </c>
      <c r="C5206">
        <v>2016</v>
      </c>
      <c r="D5206" t="s">
        <v>3061</v>
      </c>
      <c r="E5206">
        <v>19</v>
      </c>
      <c r="F5206" t="s">
        <v>31283</v>
      </c>
      <c r="G5206" t="s">
        <v>31284</v>
      </c>
      <c r="H5206" s="4" t="s">
        <v>31285</v>
      </c>
      <c r="I5206" t="s">
        <v>71</v>
      </c>
      <c r="J5206" t="s">
        <v>10782</v>
      </c>
      <c r="K5206" t="s">
        <v>31286</v>
      </c>
    </row>
    <row r="5207" spans="1:11" ht="115.2" x14ac:dyDescent="0.3">
      <c r="A5207" s="4" t="s">
        <v>8141</v>
      </c>
      <c r="B5207">
        <v>3</v>
      </c>
      <c r="C5207">
        <v>2016</v>
      </c>
      <c r="D5207" t="s">
        <v>10072</v>
      </c>
      <c r="E5207">
        <v>11</v>
      </c>
      <c r="F5207" t="s">
        <v>31287</v>
      </c>
      <c r="G5207" t="s">
        <v>31288</v>
      </c>
      <c r="H5207" s="4" t="s">
        <v>31289</v>
      </c>
      <c r="I5207" t="s">
        <v>10823</v>
      </c>
      <c r="J5207" t="s">
        <v>10782</v>
      </c>
      <c r="K5207" t="s">
        <v>31290</v>
      </c>
    </row>
    <row r="5208" spans="1:11" ht="72" x14ac:dyDescent="0.3">
      <c r="A5208" s="4" t="s">
        <v>8142</v>
      </c>
      <c r="B5208">
        <v>3</v>
      </c>
      <c r="C5208">
        <v>2016</v>
      </c>
      <c r="D5208" t="s">
        <v>31291</v>
      </c>
      <c r="E5208">
        <v>1</v>
      </c>
      <c r="G5208" t="s">
        <v>31292</v>
      </c>
      <c r="H5208" s="4" t="s">
        <v>31293</v>
      </c>
      <c r="I5208" s="4" t="s">
        <v>71</v>
      </c>
      <c r="J5208" t="s">
        <v>10782</v>
      </c>
      <c r="K5208" t="s">
        <v>31294</v>
      </c>
    </row>
    <row r="5209" spans="1:11" ht="201.6" x14ac:dyDescent="0.3">
      <c r="A5209" s="4" t="s">
        <v>8143</v>
      </c>
      <c r="B5209">
        <v>3</v>
      </c>
      <c r="C5209">
        <v>2016</v>
      </c>
      <c r="D5209" t="s">
        <v>23256</v>
      </c>
      <c r="E5209">
        <v>25</v>
      </c>
      <c r="F5209" t="s">
        <v>31295</v>
      </c>
      <c r="G5209" t="s">
        <v>31296</v>
      </c>
      <c r="H5209" s="4" t="s">
        <v>31297</v>
      </c>
      <c r="I5209" t="s">
        <v>71</v>
      </c>
      <c r="J5209" t="s">
        <v>10782</v>
      </c>
      <c r="K5209" t="s">
        <v>31298</v>
      </c>
    </row>
    <row r="5210" spans="1:11" ht="201.6" x14ac:dyDescent="0.3">
      <c r="A5210" s="4" t="s">
        <v>8144</v>
      </c>
      <c r="B5210">
        <v>3</v>
      </c>
      <c r="C5210">
        <v>2016</v>
      </c>
      <c r="D5210" t="s">
        <v>1912</v>
      </c>
      <c r="E5210">
        <v>15</v>
      </c>
      <c r="F5210" t="s">
        <v>31299</v>
      </c>
      <c r="G5210" t="s">
        <v>31300</v>
      </c>
      <c r="H5210" s="4" t="s">
        <v>31301</v>
      </c>
      <c r="I5210" t="s">
        <v>71</v>
      </c>
      <c r="J5210" t="s">
        <v>10782</v>
      </c>
      <c r="K5210" t="s">
        <v>31302</v>
      </c>
    </row>
    <row r="5211" spans="1:11" ht="129.6" x14ac:dyDescent="0.3">
      <c r="A5211" s="4" t="s">
        <v>3385</v>
      </c>
      <c r="B5211">
        <v>1</v>
      </c>
      <c r="C5211">
        <v>2016</v>
      </c>
      <c r="D5211" t="s">
        <v>432</v>
      </c>
      <c r="E5211">
        <v>4</v>
      </c>
      <c r="F5211" t="s">
        <v>31303</v>
      </c>
      <c r="G5211" t="s">
        <v>31304</v>
      </c>
      <c r="H5211" s="4" t="s">
        <v>31305</v>
      </c>
      <c r="I5211" t="s">
        <v>71</v>
      </c>
      <c r="J5211" t="s">
        <v>10782</v>
      </c>
      <c r="K5211" t="s">
        <v>31306</v>
      </c>
    </row>
    <row r="5212" spans="1:11" ht="172.8" x14ac:dyDescent="0.3">
      <c r="A5212" s="4" t="s">
        <v>8145</v>
      </c>
      <c r="B5212">
        <v>3</v>
      </c>
      <c r="C5212">
        <v>2016</v>
      </c>
      <c r="D5212" t="s">
        <v>1570</v>
      </c>
      <c r="E5212">
        <v>20</v>
      </c>
      <c r="F5212" t="s">
        <v>31307</v>
      </c>
      <c r="G5212" t="s">
        <v>31308</v>
      </c>
      <c r="H5212" s="4" t="s">
        <v>31309</v>
      </c>
      <c r="I5212" t="s">
        <v>71</v>
      </c>
      <c r="J5212" t="s">
        <v>10782</v>
      </c>
      <c r="K5212" t="s">
        <v>31310</v>
      </c>
    </row>
    <row r="5213" spans="1:11" ht="100.8" x14ac:dyDescent="0.3">
      <c r="A5213" s="4" t="s">
        <v>1887</v>
      </c>
      <c r="B5213">
        <v>1</v>
      </c>
      <c r="C5213">
        <v>2016</v>
      </c>
      <c r="D5213" t="s">
        <v>217</v>
      </c>
      <c r="E5213">
        <v>9</v>
      </c>
      <c r="F5213" t="s">
        <v>31311</v>
      </c>
      <c r="G5213" t="s">
        <v>31312</v>
      </c>
      <c r="H5213" s="4" t="s">
        <v>31313</v>
      </c>
    </row>
    <row r="5214" spans="1:11" ht="216" x14ac:dyDescent="0.3">
      <c r="A5214" s="4" t="s">
        <v>8146</v>
      </c>
      <c r="B5214">
        <v>3</v>
      </c>
      <c r="C5214">
        <v>2016</v>
      </c>
      <c r="D5214" t="s">
        <v>11728</v>
      </c>
      <c r="E5214">
        <v>28</v>
      </c>
      <c r="F5214" t="s">
        <v>31314</v>
      </c>
      <c r="G5214" t="s">
        <v>31315</v>
      </c>
      <c r="H5214" s="4" t="s">
        <v>31316</v>
      </c>
    </row>
    <row r="5215" spans="1:11" ht="72" x14ac:dyDescent="0.3">
      <c r="A5215" s="4" t="s">
        <v>8147</v>
      </c>
      <c r="B5215">
        <v>3</v>
      </c>
      <c r="C5215">
        <v>2016</v>
      </c>
      <c r="D5215" t="s">
        <v>19545</v>
      </c>
      <c r="E5215">
        <v>67</v>
      </c>
      <c r="F5215" t="s">
        <v>31317</v>
      </c>
      <c r="G5215" t="s">
        <v>31318</v>
      </c>
      <c r="H5215" s="4" t="s">
        <v>31319</v>
      </c>
      <c r="I5215" t="s">
        <v>71</v>
      </c>
      <c r="J5215" t="s">
        <v>10782</v>
      </c>
      <c r="K5215" t="s">
        <v>31320</v>
      </c>
    </row>
    <row r="5216" spans="1:11" ht="158.4" x14ac:dyDescent="0.3">
      <c r="A5216" s="4" t="s">
        <v>8148</v>
      </c>
      <c r="B5216">
        <v>3</v>
      </c>
      <c r="C5216">
        <v>2016</v>
      </c>
      <c r="D5216" t="s">
        <v>21600</v>
      </c>
      <c r="E5216">
        <v>2</v>
      </c>
      <c r="F5216" t="s">
        <v>31321</v>
      </c>
      <c r="G5216" t="s">
        <v>31322</v>
      </c>
      <c r="H5216" s="4" t="s">
        <v>31323</v>
      </c>
      <c r="I5216" t="s">
        <v>71</v>
      </c>
      <c r="J5216" t="s">
        <v>10782</v>
      </c>
      <c r="K5216" t="s">
        <v>31324</v>
      </c>
    </row>
    <row r="5217" spans="1:11" ht="144" x14ac:dyDescent="0.3">
      <c r="A5217" s="4" t="s">
        <v>8149</v>
      </c>
      <c r="B5217">
        <v>3</v>
      </c>
      <c r="C5217">
        <v>2016</v>
      </c>
      <c r="D5217" t="s">
        <v>1175</v>
      </c>
      <c r="E5217">
        <v>9</v>
      </c>
      <c r="F5217" t="s">
        <v>31325</v>
      </c>
      <c r="G5217" t="s">
        <v>31326</v>
      </c>
      <c r="H5217" s="4" t="s">
        <v>31327</v>
      </c>
      <c r="I5217" t="s">
        <v>71</v>
      </c>
      <c r="J5217" t="s">
        <v>10782</v>
      </c>
      <c r="K5217" t="s">
        <v>31328</v>
      </c>
    </row>
    <row r="5218" spans="1:11" ht="72" x14ac:dyDescent="0.3">
      <c r="A5218" s="4" t="s">
        <v>8150</v>
      </c>
      <c r="B5218">
        <v>3</v>
      </c>
      <c r="C5218">
        <v>2016</v>
      </c>
      <c r="D5218" t="s">
        <v>14863</v>
      </c>
      <c r="E5218">
        <v>73</v>
      </c>
      <c r="F5218" t="s">
        <v>31329</v>
      </c>
      <c r="G5218" t="s">
        <v>31330</v>
      </c>
      <c r="H5218" s="4" t="s">
        <v>31331</v>
      </c>
    </row>
    <row r="5219" spans="1:11" ht="187.2" x14ac:dyDescent="0.3">
      <c r="A5219" s="4" t="s">
        <v>8151</v>
      </c>
      <c r="B5219">
        <v>3</v>
      </c>
      <c r="C5219">
        <v>2016</v>
      </c>
      <c r="D5219" t="s">
        <v>637</v>
      </c>
      <c r="E5219">
        <v>44</v>
      </c>
      <c r="F5219" t="s">
        <v>31332</v>
      </c>
      <c r="G5219" t="s">
        <v>31333</v>
      </c>
      <c r="H5219" s="4" t="s">
        <v>31334</v>
      </c>
    </row>
    <row r="5220" spans="1:11" ht="144" x14ac:dyDescent="0.3">
      <c r="A5220" s="4" t="s">
        <v>8152</v>
      </c>
      <c r="B5220">
        <v>3</v>
      </c>
      <c r="C5220">
        <v>2016</v>
      </c>
      <c r="D5220" t="s">
        <v>637</v>
      </c>
      <c r="E5220">
        <v>31</v>
      </c>
      <c r="F5220" t="s">
        <v>31335</v>
      </c>
      <c r="G5220" t="s">
        <v>31336</v>
      </c>
      <c r="H5220" s="4" t="s">
        <v>31337</v>
      </c>
    </row>
    <row r="5221" spans="1:11" ht="129.6" x14ac:dyDescent="0.3">
      <c r="A5221" s="4" t="s">
        <v>8153</v>
      </c>
      <c r="B5221">
        <v>3</v>
      </c>
      <c r="C5221">
        <v>2016</v>
      </c>
      <c r="D5221" t="s">
        <v>14863</v>
      </c>
      <c r="E5221">
        <v>42</v>
      </c>
      <c r="F5221" t="s">
        <v>31338</v>
      </c>
      <c r="G5221" t="s">
        <v>31339</v>
      </c>
      <c r="H5221" s="4" t="s">
        <v>31340</v>
      </c>
      <c r="I5221" t="s">
        <v>71</v>
      </c>
      <c r="J5221" t="s">
        <v>10782</v>
      </c>
      <c r="K5221" t="s">
        <v>31341</v>
      </c>
    </row>
    <row r="5222" spans="1:11" ht="216" x14ac:dyDescent="0.3">
      <c r="A5222" s="4" t="s">
        <v>8154</v>
      </c>
      <c r="B5222">
        <v>3</v>
      </c>
      <c r="C5222">
        <v>2016</v>
      </c>
      <c r="D5222" t="s">
        <v>20744</v>
      </c>
      <c r="E5222">
        <v>30</v>
      </c>
      <c r="F5222" t="s">
        <v>31342</v>
      </c>
      <c r="G5222" t="s">
        <v>31343</v>
      </c>
      <c r="H5222" s="4" t="s">
        <v>31344</v>
      </c>
      <c r="I5222" t="s">
        <v>71</v>
      </c>
      <c r="J5222" t="s">
        <v>10782</v>
      </c>
      <c r="K5222" t="s">
        <v>31345</v>
      </c>
    </row>
    <row r="5223" spans="1:11" ht="201.6" x14ac:dyDescent="0.3">
      <c r="A5223" s="4" t="s">
        <v>8155</v>
      </c>
      <c r="B5223">
        <v>3</v>
      </c>
      <c r="C5223">
        <v>2016</v>
      </c>
      <c r="D5223" t="s">
        <v>19715</v>
      </c>
      <c r="E5223">
        <v>581</v>
      </c>
      <c r="F5223" t="s">
        <v>31346</v>
      </c>
      <c r="G5223" t="s">
        <v>31347</v>
      </c>
      <c r="H5223" s="4" t="s">
        <v>31348</v>
      </c>
      <c r="I5223" t="s">
        <v>71</v>
      </c>
      <c r="J5223" t="s">
        <v>10782</v>
      </c>
      <c r="K5223" t="s">
        <v>31349</v>
      </c>
    </row>
    <row r="5224" spans="1:11" ht="129.6" x14ac:dyDescent="0.3">
      <c r="A5224" s="4" t="s">
        <v>8156</v>
      </c>
      <c r="B5224">
        <v>3</v>
      </c>
      <c r="C5224">
        <v>2016</v>
      </c>
      <c r="D5224" t="s">
        <v>19545</v>
      </c>
      <c r="E5224">
        <v>15</v>
      </c>
      <c r="F5224" t="s">
        <v>31350</v>
      </c>
      <c r="G5224" t="s">
        <v>31351</v>
      </c>
      <c r="H5224" s="4" t="s">
        <v>31352</v>
      </c>
      <c r="I5224" t="s">
        <v>71</v>
      </c>
      <c r="J5224" t="s">
        <v>10782</v>
      </c>
      <c r="K5224" t="s">
        <v>31353</v>
      </c>
    </row>
    <row r="5225" spans="1:11" ht="201.6" x14ac:dyDescent="0.3">
      <c r="A5225" s="4" t="s">
        <v>8157</v>
      </c>
      <c r="B5225">
        <v>3</v>
      </c>
      <c r="C5225">
        <v>2016</v>
      </c>
      <c r="D5225" t="s">
        <v>830</v>
      </c>
      <c r="E5225">
        <v>18</v>
      </c>
      <c r="F5225" t="s">
        <v>31354</v>
      </c>
      <c r="G5225" t="s">
        <v>31355</v>
      </c>
      <c r="H5225" s="4" t="s">
        <v>31356</v>
      </c>
    </row>
    <row r="5226" spans="1:11" ht="158.4" x14ac:dyDescent="0.3">
      <c r="A5226" s="4" t="s">
        <v>8158</v>
      </c>
      <c r="B5226">
        <v>3</v>
      </c>
      <c r="C5226">
        <v>2016</v>
      </c>
      <c r="D5226" t="s">
        <v>637</v>
      </c>
      <c r="E5226">
        <v>19</v>
      </c>
      <c r="F5226" t="s">
        <v>31357</v>
      </c>
      <c r="G5226" t="s">
        <v>31358</v>
      </c>
      <c r="H5226" s="4" t="s">
        <v>31359</v>
      </c>
      <c r="I5226" t="s">
        <v>71</v>
      </c>
      <c r="J5226" t="s">
        <v>10782</v>
      </c>
      <c r="K5226" t="s">
        <v>31360</v>
      </c>
    </row>
    <row r="5227" spans="1:11" ht="129.6" x14ac:dyDescent="0.3">
      <c r="A5227" s="4" t="s">
        <v>8159</v>
      </c>
      <c r="B5227">
        <v>3</v>
      </c>
      <c r="C5227">
        <v>2016</v>
      </c>
      <c r="D5227" t="s">
        <v>1426</v>
      </c>
      <c r="E5227">
        <v>143</v>
      </c>
      <c r="F5227" t="s">
        <v>31361</v>
      </c>
      <c r="G5227" t="s">
        <v>31362</v>
      </c>
      <c r="H5227" s="4" t="s">
        <v>31363</v>
      </c>
      <c r="I5227" t="s">
        <v>71</v>
      </c>
      <c r="J5227" t="s">
        <v>10782</v>
      </c>
      <c r="K5227" t="s">
        <v>31364</v>
      </c>
    </row>
    <row r="5228" spans="1:11" ht="172.8" x14ac:dyDescent="0.3">
      <c r="A5228" s="4" t="s">
        <v>8160</v>
      </c>
      <c r="B5228">
        <v>3</v>
      </c>
      <c r="C5228">
        <v>2016</v>
      </c>
      <c r="D5228" t="s">
        <v>17273</v>
      </c>
      <c r="E5228">
        <v>10</v>
      </c>
      <c r="F5228" t="s">
        <v>31365</v>
      </c>
      <c r="G5228" t="s">
        <v>31366</v>
      </c>
      <c r="H5228" s="4" t="s">
        <v>31367</v>
      </c>
      <c r="I5228" t="s">
        <v>71</v>
      </c>
      <c r="J5228" t="s">
        <v>10782</v>
      </c>
      <c r="K5228" t="s">
        <v>31368</v>
      </c>
    </row>
    <row r="5229" spans="1:11" ht="100.8" x14ac:dyDescent="0.3">
      <c r="A5229" s="4" t="s">
        <v>8161</v>
      </c>
      <c r="B5229">
        <v>3</v>
      </c>
      <c r="C5229">
        <v>2016</v>
      </c>
      <c r="D5229" t="s">
        <v>27619</v>
      </c>
      <c r="E5229">
        <v>57</v>
      </c>
      <c r="F5229" t="s">
        <v>31369</v>
      </c>
      <c r="G5229" t="s">
        <v>31370</v>
      </c>
      <c r="H5229" s="4" t="s">
        <v>31371</v>
      </c>
    </row>
    <row r="5230" spans="1:11" ht="115.2" x14ac:dyDescent="0.3">
      <c r="A5230" s="4" t="s">
        <v>8162</v>
      </c>
      <c r="B5230">
        <v>3</v>
      </c>
      <c r="C5230">
        <v>2016</v>
      </c>
      <c r="D5230" t="s">
        <v>1175</v>
      </c>
      <c r="E5230">
        <v>3</v>
      </c>
      <c r="F5230" t="s">
        <v>31372</v>
      </c>
      <c r="G5230" t="s">
        <v>31373</v>
      </c>
      <c r="H5230" s="4" t="s">
        <v>31374</v>
      </c>
    </row>
    <row r="5231" spans="1:11" ht="144" x14ac:dyDescent="0.3">
      <c r="A5231" s="4" t="s">
        <v>8163</v>
      </c>
      <c r="B5231">
        <v>3</v>
      </c>
      <c r="C5231">
        <v>2016</v>
      </c>
      <c r="D5231" t="s">
        <v>10924</v>
      </c>
      <c r="E5231">
        <v>119</v>
      </c>
      <c r="F5231" t="s">
        <v>31375</v>
      </c>
      <c r="G5231" t="s">
        <v>31376</v>
      </c>
      <c r="H5231" s="4" t="s">
        <v>31377</v>
      </c>
    </row>
    <row r="5232" spans="1:11" ht="144" x14ac:dyDescent="0.3">
      <c r="A5232" s="4" t="s">
        <v>8164</v>
      </c>
      <c r="B5232">
        <v>3</v>
      </c>
      <c r="C5232">
        <v>2016</v>
      </c>
      <c r="D5232" t="s">
        <v>19545</v>
      </c>
      <c r="E5232">
        <v>6</v>
      </c>
      <c r="F5232" t="s">
        <v>31378</v>
      </c>
      <c r="G5232" t="s">
        <v>31379</v>
      </c>
      <c r="H5232" s="4" t="s">
        <v>31380</v>
      </c>
      <c r="I5232" t="s">
        <v>71</v>
      </c>
      <c r="J5232" t="s">
        <v>10782</v>
      </c>
      <c r="K5232" t="s">
        <v>31381</v>
      </c>
    </row>
    <row r="5233" spans="1:11" ht="201.6" x14ac:dyDescent="0.3">
      <c r="A5233" s="4" t="s">
        <v>8165</v>
      </c>
      <c r="B5233">
        <v>3</v>
      </c>
      <c r="C5233">
        <v>2016</v>
      </c>
      <c r="D5233" t="s">
        <v>31382</v>
      </c>
      <c r="E5233">
        <v>6</v>
      </c>
      <c r="F5233" t="s">
        <v>31383</v>
      </c>
      <c r="G5233" t="s">
        <v>31384</v>
      </c>
      <c r="H5233" s="4" t="s">
        <v>31385</v>
      </c>
      <c r="I5233" t="s">
        <v>71</v>
      </c>
      <c r="J5233" t="s">
        <v>10782</v>
      </c>
      <c r="K5233" t="s">
        <v>31386</v>
      </c>
    </row>
    <row r="5234" spans="1:11" ht="158.4" x14ac:dyDescent="0.3">
      <c r="A5234" s="4" t="s">
        <v>8166</v>
      </c>
      <c r="B5234">
        <v>3</v>
      </c>
      <c r="C5234">
        <v>2016</v>
      </c>
      <c r="D5234" t="s">
        <v>11164</v>
      </c>
      <c r="E5234">
        <v>26</v>
      </c>
      <c r="F5234" t="s">
        <v>31387</v>
      </c>
      <c r="G5234" t="s">
        <v>31388</v>
      </c>
      <c r="H5234" s="4" t="s">
        <v>31389</v>
      </c>
      <c r="I5234" t="s">
        <v>71</v>
      </c>
      <c r="J5234" t="s">
        <v>10782</v>
      </c>
      <c r="K5234" t="s">
        <v>31390</v>
      </c>
    </row>
    <row r="5235" spans="1:11" ht="187.2" x14ac:dyDescent="0.3">
      <c r="A5235" s="4" t="s">
        <v>8167</v>
      </c>
      <c r="B5235">
        <v>3</v>
      </c>
      <c r="C5235">
        <v>2016</v>
      </c>
      <c r="D5235" t="s">
        <v>11041</v>
      </c>
      <c r="E5235">
        <v>74</v>
      </c>
      <c r="F5235" t="s">
        <v>31391</v>
      </c>
      <c r="G5235" t="s">
        <v>31392</v>
      </c>
      <c r="H5235" s="4" t="s">
        <v>31393</v>
      </c>
      <c r="I5235" t="s">
        <v>71</v>
      </c>
      <c r="J5235" t="s">
        <v>10782</v>
      </c>
      <c r="K5235" t="s">
        <v>31394</v>
      </c>
    </row>
    <row r="5236" spans="1:11" ht="187.2" x14ac:dyDescent="0.3">
      <c r="A5236" s="4" t="s">
        <v>8168</v>
      </c>
      <c r="B5236">
        <v>3</v>
      </c>
      <c r="C5236">
        <v>2016</v>
      </c>
      <c r="D5236" t="s">
        <v>29993</v>
      </c>
      <c r="E5236">
        <v>17</v>
      </c>
      <c r="F5236" t="s">
        <v>31395</v>
      </c>
      <c r="G5236" t="s">
        <v>31396</v>
      </c>
      <c r="H5236" s="4" t="s">
        <v>31397</v>
      </c>
      <c r="I5236" t="s">
        <v>71</v>
      </c>
      <c r="J5236" t="s">
        <v>10782</v>
      </c>
      <c r="K5236" t="s">
        <v>31398</v>
      </c>
    </row>
    <row r="5237" spans="1:11" ht="115.2" x14ac:dyDescent="0.3">
      <c r="A5237" s="4" t="s">
        <v>8169</v>
      </c>
      <c r="B5237">
        <v>3</v>
      </c>
      <c r="C5237">
        <v>2016</v>
      </c>
      <c r="D5237" t="s">
        <v>329</v>
      </c>
      <c r="E5237">
        <v>74</v>
      </c>
      <c r="F5237" t="s">
        <v>31399</v>
      </c>
      <c r="G5237" t="s">
        <v>31400</v>
      </c>
      <c r="H5237" s="4" t="s">
        <v>31401</v>
      </c>
    </row>
    <row r="5238" spans="1:11" ht="129.6" x14ac:dyDescent="0.3">
      <c r="A5238" s="4" t="s">
        <v>8170</v>
      </c>
      <c r="B5238">
        <v>3</v>
      </c>
      <c r="C5238">
        <v>2016</v>
      </c>
      <c r="D5238" t="s">
        <v>2210</v>
      </c>
      <c r="E5238">
        <v>5</v>
      </c>
      <c r="F5238" t="s">
        <v>31402</v>
      </c>
      <c r="G5238" t="s">
        <v>31403</v>
      </c>
      <c r="H5238" s="4" t="s">
        <v>31404</v>
      </c>
      <c r="I5238" t="s">
        <v>71</v>
      </c>
      <c r="J5238" t="s">
        <v>10782</v>
      </c>
      <c r="K5238" t="s">
        <v>31405</v>
      </c>
    </row>
    <row r="5239" spans="1:11" ht="172.8" x14ac:dyDescent="0.3">
      <c r="A5239" s="4" t="s">
        <v>1888</v>
      </c>
      <c r="B5239">
        <v>1</v>
      </c>
      <c r="C5239">
        <v>2016</v>
      </c>
      <c r="D5239" t="s">
        <v>1936</v>
      </c>
      <c r="E5239">
        <v>1</v>
      </c>
      <c r="F5239" t="s">
        <v>31406</v>
      </c>
      <c r="G5239" t="s">
        <v>31407</v>
      </c>
      <c r="H5239" s="4" t="s">
        <v>31408</v>
      </c>
      <c r="I5239" t="s">
        <v>71</v>
      </c>
      <c r="J5239" t="s">
        <v>10782</v>
      </c>
      <c r="K5239" t="s">
        <v>31409</v>
      </c>
    </row>
    <row r="5240" spans="1:11" ht="316.8" x14ac:dyDescent="0.3">
      <c r="A5240" s="4" t="s">
        <v>8171</v>
      </c>
      <c r="B5240">
        <v>3</v>
      </c>
      <c r="C5240">
        <v>2016</v>
      </c>
      <c r="D5240" t="s">
        <v>217</v>
      </c>
      <c r="E5240">
        <v>20</v>
      </c>
      <c r="F5240" t="s">
        <v>31410</v>
      </c>
      <c r="G5240" t="s">
        <v>31411</v>
      </c>
      <c r="H5240" s="4" t="s">
        <v>31412</v>
      </c>
      <c r="I5240" t="s">
        <v>71</v>
      </c>
      <c r="J5240" t="s">
        <v>10782</v>
      </c>
      <c r="K5240" t="s">
        <v>31413</v>
      </c>
    </row>
    <row r="5241" spans="1:11" ht="172.8" x14ac:dyDescent="0.3">
      <c r="A5241" s="4" t="s">
        <v>8172</v>
      </c>
      <c r="B5241">
        <v>3</v>
      </c>
      <c r="C5241">
        <v>2016</v>
      </c>
      <c r="D5241" t="s">
        <v>11164</v>
      </c>
      <c r="E5241">
        <v>81</v>
      </c>
      <c r="F5241" t="s">
        <v>31414</v>
      </c>
      <c r="G5241" t="s">
        <v>31415</v>
      </c>
      <c r="H5241" s="4" t="s">
        <v>31416</v>
      </c>
    </row>
    <row r="5242" spans="1:11" ht="129.6" x14ac:dyDescent="0.3">
      <c r="A5242" s="4" t="s">
        <v>8173</v>
      </c>
      <c r="B5242">
        <v>3</v>
      </c>
      <c r="C5242">
        <v>2016</v>
      </c>
      <c r="D5242" t="s">
        <v>637</v>
      </c>
      <c r="E5242">
        <v>6</v>
      </c>
      <c r="F5242" t="s">
        <v>31417</v>
      </c>
      <c r="G5242" t="s">
        <v>31418</v>
      </c>
      <c r="H5242" s="4" t="s">
        <v>31419</v>
      </c>
    </row>
    <row r="5243" spans="1:11" ht="144" x14ac:dyDescent="0.3">
      <c r="A5243" s="4" t="s">
        <v>3613</v>
      </c>
      <c r="B5243">
        <v>2</v>
      </c>
      <c r="C5243">
        <v>2016</v>
      </c>
      <c r="D5243" t="s">
        <v>21322</v>
      </c>
      <c r="E5243">
        <v>73</v>
      </c>
      <c r="F5243" t="s">
        <v>31420</v>
      </c>
      <c r="G5243" t="s">
        <v>31421</v>
      </c>
      <c r="H5243" s="4" t="s">
        <v>31422</v>
      </c>
      <c r="I5243" t="s">
        <v>71</v>
      </c>
      <c r="J5243" t="s">
        <v>10782</v>
      </c>
      <c r="K5243" t="s">
        <v>31423</v>
      </c>
    </row>
    <row r="5244" spans="1:11" ht="129.6" x14ac:dyDescent="0.3">
      <c r="A5244" s="4" t="s">
        <v>8174</v>
      </c>
      <c r="B5244">
        <v>3</v>
      </c>
      <c r="C5244">
        <v>2016</v>
      </c>
      <c r="D5244" t="s">
        <v>26411</v>
      </c>
      <c r="E5244">
        <v>5</v>
      </c>
      <c r="F5244" t="s">
        <v>31424</v>
      </c>
      <c r="G5244" t="s">
        <v>31425</v>
      </c>
      <c r="H5244" s="4" t="s">
        <v>31426</v>
      </c>
      <c r="I5244" t="s">
        <v>71</v>
      </c>
      <c r="J5244" t="s">
        <v>10782</v>
      </c>
      <c r="K5244" t="s">
        <v>31427</v>
      </c>
    </row>
    <row r="5245" spans="1:11" ht="158.4" x14ac:dyDescent="0.3">
      <c r="A5245" s="4" t="s">
        <v>8175</v>
      </c>
      <c r="B5245">
        <v>3</v>
      </c>
      <c r="C5245">
        <v>2016</v>
      </c>
      <c r="D5245" t="s">
        <v>17273</v>
      </c>
      <c r="E5245">
        <v>17</v>
      </c>
      <c r="F5245" t="s">
        <v>31428</v>
      </c>
      <c r="G5245" t="s">
        <v>31429</v>
      </c>
      <c r="H5245" s="4" t="s">
        <v>31430</v>
      </c>
      <c r="I5245" t="s">
        <v>71</v>
      </c>
      <c r="J5245" t="s">
        <v>10782</v>
      </c>
      <c r="K5245" t="s">
        <v>31431</v>
      </c>
    </row>
    <row r="5246" spans="1:11" ht="144" x14ac:dyDescent="0.3">
      <c r="A5246" s="4" t="s">
        <v>3386</v>
      </c>
      <c r="B5246">
        <v>1</v>
      </c>
      <c r="C5246">
        <v>2016</v>
      </c>
      <c r="D5246" t="s">
        <v>31432</v>
      </c>
      <c r="E5246">
        <v>27</v>
      </c>
      <c r="F5246" t="s">
        <v>31433</v>
      </c>
      <c r="G5246" t="s">
        <v>31434</v>
      </c>
      <c r="H5246" s="4" t="s">
        <v>31435</v>
      </c>
      <c r="I5246" t="s">
        <v>71</v>
      </c>
      <c r="J5246" t="s">
        <v>10782</v>
      </c>
      <c r="K5246" t="s">
        <v>31436</v>
      </c>
    </row>
    <row r="5247" spans="1:11" ht="230.4" x14ac:dyDescent="0.3">
      <c r="A5247" s="4" t="s">
        <v>8176</v>
      </c>
      <c r="B5247">
        <v>3</v>
      </c>
      <c r="C5247">
        <v>2016</v>
      </c>
      <c r="D5247" t="s">
        <v>11164</v>
      </c>
      <c r="E5247">
        <v>20</v>
      </c>
      <c r="F5247" t="s">
        <v>31437</v>
      </c>
      <c r="G5247" t="s">
        <v>31438</v>
      </c>
      <c r="H5247" s="4" t="s">
        <v>31439</v>
      </c>
      <c r="I5247" t="s">
        <v>71</v>
      </c>
      <c r="J5247" t="s">
        <v>10782</v>
      </c>
      <c r="K5247" t="s">
        <v>31440</v>
      </c>
    </row>
    <row r="5248" spans="1:11" ht="288" x14ac:dyDescent="0.3">
      <c r="A5248" s="4" t="s">
        <v>8177</v>
      </c>
      <c r="B5248">
        <v>3</v>
      </c>
      <c r="C5248">
        <v>2016</v>
      </c>
      <c r="D5248" t="s">
        <v>637</v>
      </c>
      <c r="E5248">
        <v>8</v>
      </c>
      <c r="F5248" t="s">
        <v>31441</v>
      </c>
      <c r="G5248" t="s">
        <v>31442</v>
      </c>
      <c r="H5248" s="4" t="s">
        <v>31443</v>
      </c>
      <c r="I5248" t="s">
        <v>71</v>
      </c>
      <c r="J5248" t="s">
        <v>10782</v>
      </c>
      <c r="K5248" t="s">
        <v>31444</v>
      </c>
    </row>
    <row r="5249" spans="1:11" ht="172.8" x14ac:dyDescent="0.3">
      <c r="A5249" s="4" t="s">
        <v>8178</v>
      </c>
      <c r="B5249">
        <v>3</v>
      </c>
      <c r="C5249">
        <v>2016</v>
      </c>
      <c r="D5249" t="s">
        <v>1175</v>
      </c>
      <c r="E5249">
        <v>5</v>
      </c>
      <c r="F5249" t="s">
        <v>31445</v>
      </c>
      <c r="G5249" t="s">
        <v>31446</v>
      </c>
      <c r="H5249" s="4" t="s">
        <v>31447</v>
      </c>
      <c r="I5249" t="s">
        <v>71</v>
      </c>
      <c r="J5249" t="s">
        <v>10782</v>
      </c>
      <c r="K5249" t="s">
        <v>31448</v>
      </c>
    </row>
    <row r="5250" spans="1:11" ht="273.60000000000002" x14ac:dyDescent="0.3">
      <c r="A5250" s="4" t="s">
        <v>8179</v>
      </c>
      <c r="B5250">
        <v>3</v>
      </c>
      <c r="C5250">
        <v>2016</v>
      </c>
      <c r="D5250" t="s">
        <v>964</v>
      </c>
      <c r="E5250">
        <v>53</v>
      </c>
      <c r="F5250" t="s">
        <v>31449</v>
      </c>
      <c r="G5250" t="s">
        <v>31450</v>
      </c>
      <c r="H5250" s="4" t="s">
        <v>31451</v>
      </c>
      <c r="I5250" t="s">
        <v>71</v>
      </c>
      <c r="J5250" t="s">
        <v>10782</v>
      </c>
      <c r="K5250" t="s">
        <v>31452</v>
      </c>
    </row>
    <row r="5251" spans="1:11" ht="100.8" x14ac:dyDescent="0.3">
      <c r="A5251" s="4" t="s">
        <v>8180</v>
      </c>
      <c r="B5251">
        <v>3</v>
      </c>
      <c r="C5251">
        <v>2016</v>
      </c>
      <c r="D5251" t="s">
        <v>23365</v>
      </c>
      <c r="E5251">
        <v>18</v>
      </c>
      <c r="F5251" t="s">
        <v>31453</v>
      </c>
      <c r="G5251" t="s">
        <v>31454</v>
      </c>
      <c r="H5251" s="4" t="s">
        <v>31455</v>
      </c>
      <c r="I5251" t="s">
        <v>71</v>
      </c>
      <c r="J5251" t="s">
        <v>10782</v>
      </c>
      <c r="K5251" t="s">
        <v>31456</v>
      </c>
    </row>
    <row r="5252" spans="1:11" ht="230.4" x14ac:dyDescent="0.3">
      <c r="A5252" s="4" t="s">
        <v>8181</v>
      </c>
      <c r="B5252">
        <v>3</v>
      </c>
      <c r="C5252">
        <v>2016</v>
      </c>
      <c r="D5252" t="s">
        <v>20744</v>
      </c>
      <c r="E5252">
        <v>1</v>
      </c>
      <c r="F5252" t="s">
        <v>31457</v>
      </c>
      <c r="G5252" t="s">
        <v>31458</v>
      </c>
      <c r="H5252" s="4" t="s">
        <v>31459</v>
      </c>
      <c r="I5252" t="s">
        <v>71</v>
      </c>
      <c r="J5252" t="s">
        <v>10782</v>
      </c>
      <c r="K5252" t="s">
        <v>31460</v>
      </c>
    </row>
    <row r="5253" spans="1:11" ht="187.2" x14ac:dyDescent="0.3">
      <c r="A5253" s="4" t="s">
        <v>8182</v>
      </c>
      <c r="B5253">
        <v>3</v>
      </c>
      <c r="C5253">
        <v>2016</v>
      </c>
      <c r="D5253" t="s">
        <v>31461</v>
      </c>
      <c r="E5253">
        <v>28</v>
      </c>
      <c r="F5253" t="s">
        <v>31462</v>
      </c>
      <c r="G5253" t="s">
        <v>31463</v>
      </c>
      <c r="H5253" s="4" t="s">
        <v>31464</v>
      </c>
      <c r="I5253" t="s">
        <v>71</v>
      </c>
      <c r="J5253" t="s">
        <v>10782</v>
      </c>
      <c r="K5253" t="s">
        <v>31465</v>
      </c>
    </row>
    <row r="5254" spans="1:11" ht="201.6" x14ac:dyDescent="0.3">
      <c r="A5254" s="4" t="s">
        <v>1889</v>
      </c>
      <c r="B5254">
        <v>1</v>
      </c>
      <c r="C5254">
        <v>2016</v>
      </c>
      <c r="D5254" t="s">
        <v>217</v>
      </c>
      <c r="E5254">
        <v>19</v>
      </c>
      <c r="F5254" t="s">
        <v>31466</v>
      </c>
      <c r="G5254" t="s">
        <v>31467</v>
      </c>
      <c r="H5254" s="4" t="s">
        <v>31468</v>
      </c>
      <c r="I5254" t="s">
        <v>71</v>
      </c>
      <c r="J5254" t="s">
        <v>10782</v>
      </c>
      <c r="K5254" t="s">
        <v>31469</v>
      </c>
    </row>
    <row r="5255" spans="1:11" ht="187.2" x14ac:dyDescent="0.3">
      <c r="A5255" s="4" t="s">
        <v>8183</v>
      </c>
      <c r="B5255">
        <v>3</v>
      </c>
      <c r="C5255">
        <v>2016</v>
      </c>
      <c r="D5255" t="s">
        <v>637</v>
      </c>
      <c r="E5255">
        <v>75</v>
      </c>
      <c r="F5255" t="s">
        <v>31470</v>
      </c>
      <c r="G5255" t="s">
        <v>31471</v>
      </c>
      <c r="H5255" s="4" t="s">
        <v>31472</v>
      </c>
      <c r="I5255" t="s">
        <v>71</v>
      </c>
      <c r="J5255" t="s">
        <v>10782</v>
      </c>
      <c r="K5255" t="s">
        <v>31473</v>
      </c>
    </row>
    <row r="5256" spans="1:11" ht="216" x14ac:dyDescent="0.3">
      <c r="A5256" s="4" t="s">
        <v>8184</v>
      </c>
      <c r="B5256">
        <v>3</v>
      </c>
      <c r="C5256">
        <v>2016</v>
      </c>
      <c r="D5256" t="s">
        <v>217</v>
      </c>
      <c r="E5256">
        <v>13</v>
      </c>
      <c r="F5256" t="s">
        <v>31474</v>
      </c>
      <c r="G5256" t="s">
        <v>31475</v>
      </c>
      <c r="H5256" s="4" t="s">
        <v>31476</v>
      </c>
      <c r="I5256" t="s">
        <v>71</v>
      </c>
      <c r="J5256" t="s">
        <v>10782</v>
      </c>
      <c r="K5256" t="s">
        <v>31477</v>
      </c>
    </row>
    <row r="5257" spans="1:11" ht="158.4" x14ac:dyDescent="0.3">
      <c r="A5257" s="4" t="s">
        <v>8185</v>
      </c>
      <c r="B5257">
        <v>3</v>
      </c>
      <c r="C5257">
        <v>2016</v>
      </c>
      <c r="D5257" t="s">
        <v>19424</v>
      </c>
      <c r="E5257">
        <v>16</v>
      </c>
      <c r="F5257" t="s">
        <v>31478</v>
      </c>
      <c r="G5257" t="s">
        <v>31479</v>
      </c>
      <c r="H5257" s="4" t="s">
        <v>31480</v>
      </c>
      <c r="I5257" t="s">
        <v>71</v>
      </c>
      <c r="J5257" t="s">
        <v>10782</v>
      </c>
      <c r="K5257" t="s">
        <v>31481</v>
      </c>
    </row>
    <row r="5258" spans="1:11" ht="144" x14ac:dyDescent="0.3">
      <c r="A5258" s="4" t="s">
        <v>8186</v>
      </c>
      <c r="B5258">
        <v>3</v>
      </c>
      <c r="C5258">
        <v>2016</v>
      </c>
      <c r="D5258" t="s">
        <v>637</v>
      </c>
      <c r="E5258">
        <v>40</v>
      </c>
      <c r="F5258" t="s">
        <v>31482</v>
      </c>
      <c r="G5258" t="s">
        <v>31483</v>
      </c>
      <c r="H5258" s="4" t="s">
        <v>31484</v>
      </c>
      <c r="I5258" t="s">
        <v>71</v>
      </c>
      <c r="J5258" t="s">
        <v>10782</v>
      </c>
      <c r="K5258" t="s">
        <v>31485</v>
      </c>
    </row>
    <row r="5259" spans="1:11" ht="144" x14ac:dyDescent="0.3">
      <c r="A5259" s="4" t="s">
        <v>8187</v>
      </c>
      <c r="B5259">
        <v>3</v>
      </c>
      <c r="C5259">
        <v>2016</v>
      </c>
      <c r="D5259" t="s">
        <v>29875</v>
      </c>
      <c r="E5259">
        <v>10</v>
      </c>
      <c r="G5259" t="s">
        <v>31486</v>
      </c>
      <c r="H5259" s="4" t="s">
        <v>31487</v>
      </c>
      <c r="I5259" s="4" t="s">
        <v>71</v>
      </c>
      <c r="J5259" t="s">
        <v>10782</v>
      </c>
      <c r="K5259" t="s">
        <v>31488</v>
      </c>
    </row>
    <row r="5260" spans="1:11" ht="144" x14ac:dyDescent="0.3">
      <c r="A5260" s="4" t="s">
        <v>8188</v>
      </c>
      <c r="B5260">
        <v>3</v>
      </c>
      <c r="C5260">
        <v>2016</v>
      </c>
      <c r="D5260" t="s">
        <v>24512</v>
      </c>
      <c r="E5260">
        <v>6</v>
      </c>
      <c r="F5260" t="s">
        <v>31489</v>
      </c>
      <c r="G5260" t="s">
        <v>31490</v>
      </c>
      <c r="H5260" s="4" t="s">
        <v>31491</v>
      </c>
      <c r="I5260" t="s">
        <v>71</v>
      </c>
      <c r="J5260" t="s">
        <v>10782</v>
      </c>
      <c r="K5260" t="s">
        <v>31492</v>
      </c>
    </row>
    <row r="5261" spans="1:11" ht="172.8" x14ac:dyDescent="0.3">
      <c r="A5261" s="4" t="s">
        <v>8189</v>
      </c>
      <c r="B5261">
        <v>3</v>
      </c>
      <c r="C5261">
        <v>2016</v>
      </c>
      <c r="D5261" t="s">
        <v>18415</v>
      </c>
      <c r="E5261">
        <v>16</v>
      </c>
      <c r="G5261" t="s">
        <v>31493</v>
      </c>
      <c r="H5261" s="4" t="s">
        <v>31494</v>
      </c>
      <c r="I5261" s="4" t="s">
        <v>71</v>
      </c>
      <c r="J5261" t="s">
        <v>10782</v>
      </c>
      <c r="K5261" t="s">
        <v>31495</v>
      </c>
    </row>
    <row r="5262" spans="1:11" ht="201.6" x14ac:dyDescent="0.3">
      <c r="A5262" s="4" t="s">
        <v>8190</v>
      </c>
      <c r="B5262">
        <v>3</v>
      </c>
      <c r="C5262">
        <v>2016</v>
      </c>
      <c r="D5262" t="s">
        <v>18377</v>
      </c>
      <c r="E5262">
        <v>9</v>
      </c>
      <c r="F5262" t="s">
        <v>31496</v>
      </c>
      <c r="G5262" t="s">
        <v>31497</v>
      </c>
      <c r="H5262" s="4" t="s">
        <v>31498</v>
      </c>
      <c r="I5262" t="s">
        <v>71</v>
      </c>
      <c r="J5262" t="s">
        <v>10782</v>
      </c>
      <c r="K5262" t="s">
        <v>31499</v>
      </c>
    </row>
    <row r="5263" spans="1:11" ht="172.8" x14ac:dyDescent="0.3">
      <c r="A5263" s="4" t="s">
        <v>8191</v>
      </c>
      <c r="B5263">
        <v>3</v>
      </c>
      <c r="C5263">
        <v>2016</v>
      </c>
      <c r="D5263" t="s">
        <v>1082</v>
      </c>
      <c r="E5263">
        <v>6</v>
      </c>
      <c r="F5263" t="s">
        <v>31500</v>
      </c>
      <c r="G5263" t="s">
        <v>31501</v>
      </c>
      <c r="H5263" s="4" t="s">
        <v>31502</v>
      </c>
      <c r="I5263" t="s">
        <v>71</v>
      </c>
      <c r="J5263" t="s">
        <v>10782</v>
      </c>
      <c r="K5263" t="s">
        <v>31503</v>
      </c>
    </row>
    <row r="5264" spans="1:11" ht="187.2" x14ac:dyDescent="0.3">
      <c r="A5264" s="4" t="s">
        <v>8192</v>
      </c>
      <c r="B5264">
        <v>3</v>
      </c>
      <c r="C5264">
        <v>2016</v>
      </c>
      <c r="D5264" t="s">
        <v>31504</v>
      </c>
      <c r="E5264">
        <v>9</v>
      </c>
      <c r="F5264" t="s">
        <v>31505</v>
      </c>
      <c r="G5264" t="s">
        <v>31506</v>
      </c>
      <c r="H5264" s="4" t="s">
        <v>31507</v>
      </c>
      <c r="I5264" t="s">
        <v>10823</v>
      </c>
      <c r="J5264" t="s">
        <v>10782</v>
      </c>
      <c r="K5264" t="s">
        <v>31508</v>
      </c>
    </row>
    <row r="5265" spans="1:11" ht="259.2" x14ac:dyDescent="0.3">
      <c r="A5265" s="4" t="s">
        <v>8193</v>
      </c>
      <c r="B5265">
        <v>3</v>
      </c>
      <c r="C5265">
        <v>2016</v>
      </c>
      <c r="D5265" t="s">
        <v>31509</v>
      </c>
      <c r="E5265">
        <v>18</v>
      </c>
      <c r="F5265" t="s">
        <v>31510</v>
      </c>
      <c r="G5265" t="s">
        <v>31511</v>
      </c>
      <c r="H5265" s="4" t="s">
        <v>31512</v>
      </c>
    </row>
    <row r="5266" spans="1:11" ht="144" x14ac:dyDescent="0.3">
      <c r="A5266" s="4" t="s">
        <v>8194</v>
      </c>
      <c r="B5266">
        <v>3</v>
      </c>
      <c r="C5266">
        <v>2016</v>
      </c>
      <c r="D5266" t="s">
        <v>1912</v>
      </c>
      <c r="E5266">
        <v>62</v>
      </c>
      <c r="F5266" t="s">
        <v>31513</v>
      </c>
      <c r="G5266" t="s">
        <v>31514</v>
      </c>
      <c r="H5266" s="4" t="s">
        <v>31515</v>
      </c>
      <c r="I5266" t="s">
        <v>71</v>
      </c>
      <c r="J5266" t="s">
        <v>10782</v>
      </c>
      <c r="K5266" t="s">
        <v>31516</v>
      </c>
    </row>
    <row r="5267" spans="1:11" ht="100.8" x14ac:dyDescent="0.3">
      <c r="A5267" s="4" t="s">
        <v>8195</v>
      </c>
      <c r="B5267">
        <v>3</v>
      </c>
      <c r="C5267">
        <v>2016</v>
      </c>
      <c r="D5267" t="s">
        <v>11658</v>
      </c>
      <c r="E5267">
        <v>88</v>
      </c>
      <c r="F5267" t="s">
        <v>31517</v>
      </c>
      <c r="G5267" t="s">
        <v>31518</v>
      </c>
      <c r="H5267" s="4" t="s">
        <v>31519</v>
      </c>
    </row>
    <row r="5268" spans="1:11" ht="201.6" x14ac:dyDescent="0.3">
      <c r="A5268" s="4" t="s">
        <v>8196</v>
      </c>
      <c r="B5268">
        <v>3</v>
      </c>
      <c r="C5268">
        <v>2016</v>
      </c>
      <c r="D5268" t="s">
        <v>637</v>
      </c>
      <c r="E5268">
        <v>30</v>
      </c>
      <c r="F5268" t="s">
        <v>31520</v>
      </c>
      <c r="G5268" t="s">
        <v>31521</v>
      </c>
      <c r="H5268" s="4" t="s">
        <v>31522</v>
      </c>
      <c r="I5268" t="s">
        <v>71</v>
      </c>
      <c r="J5268" t="s">
        <v>10782</v>
      </c>
      <c r="K5268" t="s">
        <v>31523</v>
      </c>
    </row>
    <row r="5269" spans="1:11" ht="129.6" x14ac:dyDescent="0.3">
      <c r="A5269" s="4" t="s">
        <v>8197</v>
      </c>
      <c r="B5269">
        <v>3</v>
      </c>
      <c r="C5269">
        <v>2016</v>
      </c>
      <c r="D5269" t="s">
        <v>31524</v>
      </c>
      <c r="E5269">
        <v>52</v>
      </c>
      <c r="F5269" t="s">
        <v>31525</v>
      </c>
      <c r="G5269" t="s">
        <v>31526</v>
      </c>
      <c r="H5269" s="4" t="s">
        <v>31527</v>
      </c>
      <c r="I5269" t="s">
        <v>71</v>
      </c>
      <c r="J5269" t="s">
        <v>10782</v>
      </c>
      <c r="K5269" t="s">
        <v>31528</v>
      </c>
    </row>
    <row r="5270" spans="1:11" ht="144" x14ac:dyDescent="0.3">
      <c r="A5270" s="4" t="s">
        <v>8198</v>
      </c>
      <c r="B5270">
        <v>3</v>
      </c>
      <c r="C5270">
        <v>2016</v>
      </c>
      <c r="D5270" t="s">
        <v>23605</v>
      </c>
      <c r="E5270">
        <v>20</v>
      </c>
      <c r="F5270" t="s">
        <v>31529</v>
      </c>
      <c r="G5270" t="s">
        <v>31530</v>
      </c>
      <c r="H5270" s="4" t="s">
        <v>31531</v>
      </c>
      <c r="I5270" t="s">
        <v>71</v>
      </c>
      <c r="J5270" t="s">
        <v>10782</v>
      </c>
      <c r="K5270" t="s">
        <v>31532</v>
      </c>
    </row>
    <row r="5271" spans="1:11" ht="244.8" x14ac:dyDescent="0.3">
      <c r="A5271" s="4" t="s">
        <v>8199</v>
      </c>
      <c r="B5271">
        <v>3</v>
      </c>
      <c r="C5271">
        <v>2016</v>
      </c>
      <c r="D5271" t="s">
        <v>10924</v>
      </c>
      <c r="E5271">
        <v>41</v>
      </c>
      <c r="F5271" t="s">
        <v>31533</v>
      </c>
      <c r="G5271" t="s">
        <v>31534</v>
      </c>
      <c r="H5271" s="4" t="s">
        <v>31535</v>
      </c>
      <c r="I5271" t="s">
        <v>71</v>
      </c>
      <c r="J5271" t="s">
        <v>10782</v>
      </c>
      <c r="K5271" t="s">
        <v>31536</v>
      </c>
    </row>
    <row r="5272" spans="1:11" ht="28.8" x14ac:dyDescent="0.3">
      <c r="A5272" s="4" t="s">
        <v>8200</v>
      </c>
      <c r="B5272">
        <v>3</v>
      </c>
      <c r="C5272">
        <v>2016</v>
      </c>
      <c r="D5272" t="s">
        <v>31537</v>
      </c>
      <c r="E5272">
        <v>1</v>
      </c>
      <c r="F5272" t="s">
        <v>31538</v>
      </c>
      <c r="G5272" t="s">
        <v>31539</v>
      </c>
    </row>
    <row r="5273" spans="1:11" ht="144" x14ac:dyDescent="0.3">
      <c r="A5273" s="4" t="s">
        <v>1890</v>
      </c>
      <c r="B5273">
        <v>1</v>
      </c>
      <c r="C5273">
        <v>2016</v>
      </c>
      <c r="D5273" t="s">
        <v>1950</v>
      </c>
      <c r="E5273">
        <v>24</v>
      </c>
      <c r="F5273" t="s">
        <v>31540</v>
      </c>
      <c r="G5273" t="s">
        <v>31541</v>
      </c>
      <c r="H5273" s="4" t="s">
        <v>31542</v>
      </c>
      <c r="I5273" t="s">
        <v>71</v>
      </c>
      <c r="J5273" t="s">
        <v>10782</v>
      </c>
      <c r="K5273" t="s">
        <v>31543</v>
      </c>
    </row>
    <row r="5274" spans="1:11" ht="100.8" x14ac:dyDescent="0.3">
      <c r="A5274" s="4" t="s">
        <v>8201</v>
      </c>
      <c r="B5274">
        <v>3</v>
      </c>
      <c r="C5274">
        <v>2016</v>
      </c>
      <c r="D5274" t="s">
        <v>24298</v>
      </c>
      <c r="E5274">
        <v>5</v>
      </c>
      <c r="F5274" t="s">
        <v>31544</v>
      </c>
      <c r="G5274" t="s">
        <v>31545</v>
      </c>
      <c r="H5274" s="4" t="s">
        <v>31546</v>
      </c>
    </row>
    <row r="5275" spans="1:11" ht="187.2" x14ac:dyDescent="0.3">
      <c r="A5275" s="4" t="s">
        <v>8202</v>
      </c>
      <c r="B5275">
        <v>3</v>
      </c>
      <c r="C5275">
        <v>2016</v>
      </c>
      <c r="D5275" t="s">
        <v>21123</v>
      </c>
      <c r="E5275">
        <v>44</v>
      </c>
      <c r="F5275" t="s">
        <v>31547</v>
      </c>
      <c r="G5275" t="s">
        <v>31548</v>
      </c>
      <c r="H5275" s="4" t="s">
        <v>31549</v>
      </c>
      <c r="I5275" t="s">
        <v>71</v>
      </c>
      <c r="J5275" t="s">
        <v>10782</v>
      </c>
      <c r="K5275" t="s">
        <v>31550</v>
      </c>
    </row>
    <row r="5276" spans="1:11" ht="144" x14ac:dyDescent="0.3">
      <c r="A5276" s="4" t="s">
        <v>8203</v>
      </c>
      <c r="B5276">
        <v>3</v>
      </c>
      <c r="C5276">
        <v>2016</v>
      </c>
      <c r="D5276" t="s">
        <v>1915</v>
      </c>
      <c r="E5276">
        <v>9</v>
      </c>
      <c r="F5276" t="s">
        <v>31551</v>
      </c>
      <c r="G5276" t="s">
        <v>31552</v>
      </c>
      <c r="H5276" s="4" t="s">
        <v>31553</v>
      </c>
      <c r="I5276" t="s">
        <v>71</v>
      </c>
      <c r="J5276" t="s">
        <v>10782</v>
      </c>
      <c r="K5276" t="s">
        <v>31554</v>
      </c>
    </row>
    <row r="5277" spans="1:11" ht="144" x14ac:dyDescent="0.3">
      <c r="A5277" s="4" t="s">
        <v>8204</v>
      </c>
      <c r="B5277">
        <v>3</v>
      </c>
      <c r="C5277">
        <v>2016</v>
      </c>
      <c r="D5277" t="s">
        <v>22320</v>
      </c>
      <c r="E5277">
        <v>1</v>
      </c>
      <c r="F5277" t="s">
        <v>31555</v>
      </c>
      <c r="G5277" t="s">
        <v>31556</v>
      </c>
      <c r="H5277" s="4" t="s">
        <v>31557</v>
      </c>
    </row>
    <row r="5278" spans="1:11" ht="158.4" x14ac:dyDescent="0.3">
      <c r="A5278" s="4" t="s">
        <v>8205</v>
      </c>
      <c r="B5278">
        <v>3</v>
      </c>
      <c r="C5278">
        <v>2016</v>
      </c>
      <c r="D5278" t="s">
        <v>13054</v>
      </c>
      <c r="E5278">
        <v>0</v>
      </c>
      <c r="G5278" t="s">
        <v>31558</v>
      </c>
      <c r="H5278" s="4" t="s">
        <v>31559</v>
      </c>
      <c r="I5278" s="4" t="s">
        <v>71</v>
      </c>
      <c r="J5278" t="s">
        <v>10782</v>
      </c>
      <c r="K5278" t="s">
        <v>31560</v>
      </c>
    </row>
    <row r="5279" spans="1:11" ht="187.2" x14ac:dyDescent="0.3">
      <c r="A5279" s="4" t="s">
        <v>8206</v>
      </c>
      <c r="B5279">
        <v>3</v>
      </c>
      <c r="C5279">
        <v>2016</v>
      </c>
      <c r="D5279" t="s">
        <v>31561</v>
      </c>
      <c r="E5279">
        <v>48</v>
      </c>
      <c r="F5279" t="s">
        <v>31562</v>
      </c>
      <c r="G5279" t="s">
        <v>31563</v>
      </c>
      <c r="H5279" s="4" t="s">
        <v>31564</v>
      </c>
      <c r="I5279" t="s">
        <v>71</v>
      </c>
      <c r="J5279" t="s">
        <v>10782</v>
      </c>
      <c r="K5279" t="s">
        <v>31565</v>
      </c>
    </row>
    <row r="5280" spans="1:11" ht="172.8" x14ac:dyDescent="0.3">
      <c r="A5280" s="4" t="s">
        <v>8207</v>
      </c>
      <c r="B5280">
        <v>3</v>
      </c>
      <c r="C5280">
        <v>2016</v>
      </c>
      <c r="D5280" t="s">
        <v>31566</v>
      </c>
      <c r="E5280">
        <v>6</v>
      </c>
      <c r="F5280" t="s">
        <v>31567</v>
      </c>
      <c r="G5280" t="s">
        <v>31568</v>
      </c>
      <c r="H5280" s="4" t="s">
        <v>31569</v>
      </c>
      <c r="I5280" t="s">
        <v>71</v>
      </c>
      <c r="J5280" t="s">
        <v>10782</v>
      </c>
      <c r="K5280" t="s">
        <v>31570</v>
      </c>
    </row>
    <row r="5281" spans="1:11" ht="172.8" x14ac:dyDescent="0.3">
      <c r="A5281" s="4" t="s">
        <v>8208</v>
      </c>
      <c r="B5281">
        <v>3</v>
      </c>
      <c r="C5281">
        <v>2016</v>
      </c>
      <c r="D5281" t="s">
        <v>11649</v>
      </c>
      <c r="E5281">
        <v>18</v>
      </c>
      <c r="F5281" t="s">
        <v>31571</v>
      </c>
      <c r="G5281" t="s">
        <v>31572</v>
      </c>
      <c r="H5281" s="4" t="s">
        <v>31573</v>
      </c>
      <c r="I5281" t="s">
        <v>71</v>
      </c>
      <c r="J5281" t="s">
        <v>10782</v>
      </c>
      <c r="K5281" t="s">
        <v>31574</v>
      </c>
    </row>
    <row r="5282" spans="1:11" ht="288" x14ac:dyDescent="0.3">
      <c r="A5282" s="4" t="s">
        <v>8209</v>
      </c>
      <c r="B5282">
        <v>3</v>
      </c>
      <c r="C5282">
        <v>2016</v>
      </c>
      <c r="D5282" t="s">
        <v>11984</v>
      </c>
      <c r="E5282">
        <v>3</v>
      </c>
      <c r="F5282" t="s">
        <v>31575</v>
      </c>
      <c r="G5282" t="s">
        <v>31576</v>
      </c>
      <c r="H5282" s="4" t="s">
        <v>31577</v>
      </c>
    </row>
    <row r="5283" spans="1:11" ht="129.6" x14ac:dyDescent="0.3">
      <c r="A5283" s="4" t="s">
        <v>8210</v>
      </c>
      <c r="B5283">
        <v>3</v>
      </c>
      <c r="C5283">
        <v>2016</v>
      </c>
      <c r="D5283" t="s">
        <v>385</v>
      </c>
      <c r="E5283">
        <v>40</v>
      </c>
      <c r="F5283" t="s">
        <v>31578</v>
      </c>
      <c r="G5283" t="s">
        <v>31579</v>
      </c>
      <c r="H5283" s="4" t="s">
        <v>31580</v>
      </c>
      <c r="I5283" t="s">
        <v>71</v>
      </c>
      <c r="J5283" t="s">
        <v>10782</v>
      </c>
      <c r="K5283" t="s">
        <v>31581</v>
      </c>
    </row>
    <row r="5284" spans="1:11" ht="100.8" x14ac:dyDescent="0.3">
      <c r="A5284" s="4" t="s">
        <v>8211</v>
      </c>
      <c r="B5284">
        <v>3</v>
      </c>
      <c r="C5284">
        <v>2016</v>
      </c>
      <c r="D5284" t="s">
        <v>329</v>
      </c>
      <c r="E5284">
        <v>58</v>
      </c>
      <c r="F5284" t="s">
        <v>31582</v>
      </c>
      <c r="G5284" t="s">
        <v>31583</v>
      </c>
      <c r="H5284" s="4" t="s">
        <v>31584</v>
      </c>
    </row>
    <row r="5285" spans="1:11" ht="115.2" x14ac:dyDescent="0.3">
      <c r="A5285" s="4" t="s">
        <v>8212</v>
      </c>
      <c r="B5285">
        <v>3</v>
      </c>
      <c r="C5285">
        <v>2016</v>
      </c>
      <c r="D5285" t="s">
        <v>24298</v>
      </c>
      <c r="E5285">
        <v>3</v>
      </c>
      <c r="F5285" t="s">
        <v>31585</v>
      </c>
      <c r="G5285" t="s">
        <v>31586</v>
      </c>
      <c r="H5285" s="4" t="s">
        <v>31587</v>
      </c>
      <c r="I5285" t="s">
        <v>71</v>
      </c>
      <c r="J5285" t="s">
        <v>10782</v>
      </c>
      <c r="K5285" t="s">
        <v>31588</v>
      </c>
    </row>
    <row r="5286" spans="1:11" ht="144" x14ac:dyDescent="0.3">
      <c r="A5286" s="4" t="s">
        <v>8213</v>
      </c>
      <c r="B5286">
        <v>3</v>
      </c>
      <c r="C5286">
        <v>2016</v>
      </c>
      <c r="D5286" t="s">
        <v>24743</v>
      </c>
      <c r="E5286">
        <v>10</v>
      </c>
      <c r="F5286" t="s">
        <v>31589</v>
      </c>
      <c r="G5286" t="s">
        <v>31590</v>
      </c>
      <c r="H5286" s="4" t="s">
        <v>31591</v>
      </c>
      <c r="I5286" t="s">
        <v>71</v>
      </c>
      <c r="J5286" t="s">
        <v>10782</v>
      </c>
      <c r="K5286" t="s">
        <v>31592</v>
      </c>
    </row>
    <row r="5287" spans="1:11" ht="187.2" x14ac:dyDescent="0.3">
      <c r="A5287" s="4" t="s">
        <v>8214</v>
      </c>
      <c r="B5287">
        <v>3</v>
      </c>
      <c r="C5287">
        <v>2016</v>
      </c>
      <c r="D5287" t="s">
        <v>13914</v>
      </c>
      <c r="E5287">
        <v>9</v>
      </c>
      <c r="F5287" t="s">
        <v>31593</v>
      </c>
      <c r="G5287" t="s">
        <v>31594</v>
      </c>
      <c r="H5287" s="4" t="s">
        <v>31595</v>
      </c>
      <c r="I5287" t="s">
        <v>71</v>
      </c>
      <c r="J5287" t="s">
        <v>10782</v>
      </c>
      <c r="K5287" t="s">
        <v>31596</v>
      </c>
    </row>
    <row r="5288" spans="1:11" ht="187.2" x14ac:dyDescent="0.3">
      <c r="A5288" s="4" t="s">
        <v>8215</v>
      </c>
      <c r="B5288">
        <v>3</v>
      </c>
      <c r="C5288">
        <v>2015</v>
      </c>
      <c r="D5288" t="s">
        <v>11826</v>
      </c>
      <c r="E5288">
        <v>10</v>
      </c>
      <c r="F5288" t="s">
        <v>31597</v>
      </c>
      <c r="G5288" t="s">
        <v>31598</v>
      </c>
      <c r="H5288" s="4" t="s">
        <v>31599</v>
      </c>
      <c r="I5288" t="s">
        <v>71</v>
      </c>
      <c r="J5288" t="s">
        <v>10782</v>
      </c>
      <c r="K5288" t="s">
        <v>31600</v>
      </c>
    </row>
    <row r="5289" spans="1:11" ht="172.8" x14ac:dyDescent="0.3">
      <c r="A5289" s="4" t="s">
        <v>8216</v>
      </c>
      <c r="B5289">
        <v>3</v>
      </c>
      <c r="C5289">
        <v>2015</v>
      </c>
      <c r="D5289" t="s">
        <v>550</v>
      </c>
      <c r="E5289">
        <v>18</v>
      </c>
      <c r="F5289" t="s">
        <v>31601</v>
      </c>
      <c r="G5289" t="s">
        <v>31602</v>
      </c>
      <c r="H5289" s="4" t="s">
        <v>31603</v>
      </c>
      <c r="I5289" t="s">
        <v>71</v>
      </c>
      <c r="J5289" t="s">
        <v>10782</v>
      </c>
      <c r="K5289" t="s">
        <v>31604</v>
      </c>
    </row>
    <row r="5290" spans="1:11" ht="259.2" x14ac:dyDescent="0.3">
      <c r="A5290" s="4" t="s">
        <v>8217</v>
      </c>
      <c r="B5290">
        <v>3</v>
      </c>
      <c r="C5290">
        <v>2015</v>
      </c>
      <c r="D5290" t="s">
        <v>10924</v>
      </c>
      <c r="E5290">
        <v>49</v>
      </c>
      <c r="F5290" t="s">
        <v>31605</v>
      </c>
      <c r="G5290" t="s">
        <v>31606</v>
      </c>
      <c r="H5290" s="4" t="s">
        <v>31607</v>
      </c>
      <c r="I5290" t="s">
        <v>71</v>
      </c>
      <c r="J5290" t="s">
        <v>10782</v>
      </c>
      <c r="K5290" t="s">
        <v>31608</v>
      </c>
    </row>
    <row r="5291" spans="1:11" ht="158.4" x14ac:dyDescent="0.3">
      <c r="A5291" s="4" t="s">
        <v>8218</v>
      </c>
      <c r="B5291">
        <v>3</v>
      </c>
      <c r="C5291">
        <v>2015</v>
      </c>
      <c r="D5291" t="s">
        <v>2853</v>
      </c>
      <c r="E5291">
        <v>35</v>
      </c>
      <c r="F5291" t="s">
        <v>31609</v>
      </c>
      <c r="G5291" t="s">
        <v>31610</v>
      </c>
      <c r="H5291" s="4" t="s">
        <v>31611</v>
      </c>
      <c r="I5291" t="s">
        <v>71</v>
      </c>
      <c r="J5291" t="s">
        <v>10782</v>
      </c>
      <c r="K5291" t="s">
        <v>31612</v>
      </c>
    </row>
    <row r="5292" spans="1:11" ht="43.2" x14ac:dyDescent="0.3">
      <c r="A5292" s="4" t="s">
        <v>8219</v>
      </c>
      <c r="B5292">
        <v>3</v>
      </c>
      <c r="C5292">
        <v>2015</v>
      </c>
      <c r="D5292" t="s">
        <v>29703</v>
      </c>
      <c r="E5292">
        <v>15</v>
      </c>
      <c r="F5292" t="s">
        <v>31613</v>
      </c>
      <c r="G5292" t="s">
        <v>31614</v>
      </c>
      <c r="H5292" s="4" t="s">
        <v>31615</v>
      </c>
    </row>
    <row r="5293" spans="1:11" ht="100.8" x14ac:dyDescent="0.3">
      <c r="A5293" s="4" t="s">
        <v>1891</v>
      </c>
      <c r="B5293">
        <v>1</v>
      </c>
      <c r="C5293">
        <v>2015</v>
      </c>
      <c r="D5293" t="s">
        <v>217</v>
      </c>
      <c r="E5293">
        <v>89</v>
      </c>
      <c r="F5293" t="s">
        <v>31616</v>
      </c>
      <c r="G5293" t="s">
        <v>31617</v>
      </c>
      <c r="H5293" s="4" t="s">
        <v>31618</v>
      </c>
      <c r="I5293" t="s">
        <v>71</v>
      </c>
      <c r="J5293" t="s">
        <v>10782</v>
      </c>
      <c r="K5293" t="s">
        <v>31619</v>
      </c>
    </row>
    <row r="5294" spans="1:11" ht="86.4" x14ac:dyDescent="0.3">
      <c r="A5294" s="4" t="s">
        <v>8220</v>
      </c>
      <c r="B5294">
        <v>3</v>
      </c>
      <c r="C5294">
        <v>2015</v>
      </c>
      <c r="D5294" t="s">
        <v>544</v>
      </c>
      <c r="E5294">
        <v>27</v>
      </c>
      <c r="F5294" t="s">
        <v>31620</v>
      </c>
      <c r="G5294" t="s">
        <v>31621</v>
      </c>
      <c r="H5294" s="4" t="s">
        <v>31622</v>
      </c>
    </row>
    <row r="5295" spans="1:11" ht="115.2" x14ac:dyDescent="0.3">
      <c r="A5295" s="4" t="s">
        <v>8221</v>
      </c>
      <c r="B5295">
        <v>3</v>
      </c>
      <c r="C5295">
        <v>2015</v>
      </c>
      <c r="D5295" t="s">
        <v>13696</v>
      </c>
      <c r="E5295">
        <v>3</v>
      </c>
      <c r="G5295" t="s">
        <v>31623</v>
      </c>
      <c r="H5295" s="4" t="s">
        <v>31624</v>
      </c>
      <c r="I5295" s="4" t="s">
        <v>71</v>
      </c>
      <c r="J5295" t="s">
        <v>10782</v>
      </c>
      <c r="K5295" t="s">
        <v>31625</v>
      </c>
    </row>
    <row r="5296" spans="1:11" ht="72" x14ac:dyDescent="0.3">
      <c r="A5296" s="4" t="s">
        <v>8222</v>
      </c>
      <c r="B5296">
        <v>3</v>
      </c>
      <c r="C5296">
        <v>2015</v>
      </c>
      <c r="D5296" t="s">
        <v>31626</v>
      </c>
      <c r="E5296">
        <v>0</v>
      </c>
      <c r="G5296" t="s">
        <v>31627</v>
      </c>
      <c r="H5296" s="4" t="s">
        <v>31628</v>
      </c>
      <c r="I5296" s="4" t="s">
        <v>71</v>
      </c>
      <c r="J5296" t="s">
        <v>10782</v>
      </c>
      <c r="K5296" t="s">
        <v>31629</v>
      </c>
    </row>
    <row r="5297" spans="1:11" ht="201.6" x14ac:dyDescent="0.3">
      <c r="A5297" s="4" t="s">
        <v>8223</v>
      </c>
      <c r="B5297">
        <v>3</v>
      </c>
      <c r="C5297">
        <v>2015</v>
      </c>
      <c r="D5297" t="s">
        <v>550</v>
      </c>
      <c r="E5297">
        <v>17</v>
      </c>
      <c r="F5297" t="s">
        <v>31630</v>
      </c>
      <c r="G5297" t="s">
        <v>31631</v>
      </c>
      <c r="H5297" s="4" t="s">
        <v>31632</v>
      </c>
      <c r="I5297" t="s">
        <v>71</v>
      </c>
      <c r="J5297" t="s">
        <v>10782</v>
      </c>
      <c r="K5297" t="s">
        <v>31633</v>
      </c>
    </row>
    <row r="5298" spans="1:11" ht="100.8" x14ac:dyDescent="0.3">
      <c r="A5298" s="4" t="s">
        <v>8224</v>
      </c>
      <c r="B5298">
        <v>3</v>
      </c>
      <c r="C5298">
        <v>2015</v>
      </c>
      <c r="D5298" t="s">
        <v>277</v>
      </c>
      <c r="E5298">
        <v>13</v>
      </c>
      <c r="F5298" t="s">
        <v>31634</v>
      </c>
      <c r="G5298" t="s">
        <v>31635</v>
      </c>
      <c r="H5298" s="4" t="s">
        <v>31636</v>
      </c>
      <c r="I5298" t="s">
        <v>71</v>
      </c>
      <c r="J5298" t="s">
        <v>10782</v>
      </c>
      <c r="K5298" t="s">
        <v>31637</v>
      </c>
    </row>
    <row r="5299" spans="1:11" ht="244.8" x14ac:dyDescent="0.3">
      <c r="A5299" s="4" t="s">
        <v>8225</v>
      </c>
      <c r="B5299">
        <v>3</v>
      </c>
      <c r="C5299">
        <v>2015</v>
      </c>
      <c r="D5299" t="s">
        <v>19414</v>
      </c>
      <c r="E5299">
        <v>11</v>
      </c>
      <c r="F5299" t="s">
        <v>31638</v>
      </c>
      <c r="G5299" t="s">
        <v>31639</v>
      </c>
      <c r="H5299" s="4" t="s">
        <v>31640</v>
      </c>
      <c r="I5299" t="s">
        <v>10823</v>
      </c>
      <c r="J5299" t="s">
        <v>10782</v>
      </c>
      <c r="K5299" t="s">
        <v>31641</v>
      </c>
    </row>
    <row r="5300" spans="1:11" ht="144" x14ac:dyDescent="0.3">
      <c r="A5300" s="4" t="s">
        <v>8226</v>
      </c>
      <c r="B5300">
        <v>3</v>
      </c>
      <c r="C5300">
        <v>2015</v>
      </c>
      <c r="D5300" t="s">
        <v>590</v>
      </c>
      <c r="E5300">
        <v>10</v>
      </c>
      <c r="F5300" t="s">
        <v>31642</v>
      </c>
      <c r="G5300" t="s">
        <v>31643</v>
      </c>
      <c r="H5300" s="4" t="s">
        <v>31644</v>
      </c>
      <c r="I5300" t="s">
        <v>71</v>
      </c>
      <c r="J5300" t="s">
        <v>10782</v>
      </c>
      <c r="K5300" t="s">
        <v>31645</v>
      </c>
    </row>
    <row r="5301" spans="1:11" ht="172.8" x14ac:dyDescent="0.3">
      <c r="A5301" s="4" t="s">
        <v>8227</v>
      </c>
      <c r="B5301">
        <v>3</v>
      </c>
      <c r="C5301">
        <v>2015</v>
      </c>
      <c r="D5301" t="s">
        <v>2375</v>
      </c>
      <c r="E5301">
        <v>28</v>
      </c>
      <c r="F5301" t="s">
        <v>31646</v>
      </c>
      <c r="G5301" t="s">
        <v>31647</v>
      </c>
      <c r="H5301" s="4" t="s">
        <v>31648</v>
      </c>
      <c r="I5301" t="s">
        <v>71</v>
      </c>
      <c r="J5301" t="s">
        <v>10782</v>
      </c>
      <c r="K5301" t="s">
        <v>31649</v>
      </c>
    </row>
    <row r="5302" spans="1:11" ht="187.2" x14ac:dyDescent="0.3">
      <c r="A5302" s="4" t="s">
        <v>8228</v>
      </c>
      <c r="B5302">
        <v>3</v>
      </c>
      <c r="C5302">
        <v>2015</v>
      </c>
      <c r="D5302" t="s">
        <v>31650</v>
      </c>
      <c r="E5302">
        <v>25</v>
      </c>
      <c r="F5302" t="s">
        <v>31651</v>
      </c>
      <c r="G5302" t="s">
        <v>31652</v>
      </c>
      <c r="H5302" s="4" t="s">
        <v>31653</v>
      </c>
      <c r="I5302" t="s">
        <v>71</v>
      </c>
      <c r="J5302" t="s">
        <v>10782</v>
      </c>
      <c r="K5302" t="s">
        <v>31654</v>
      </c>
    </row>
    <row r="5303" spans="1:11" ht="187.2" x14ac:dyDescent="0.3">
      <c r="A5303" s="4" t="s">
        <v>8229</v>
      </c>
      <c r="B5303">
        <v>3</v>
      </c>
      <c r="C5303">
        <v>2015</v>
      </c>
      <c r="D5303" t="s">
        <v>83</v>
      </c>
      <c r="E5303">
        <v>24</v>
      </c>
      <c r="F5303" t="s">
        <v>31655</v>
      </c>
      <c r="G5303" t="s">
        <v>31656</v>
      </c>
      <c r="H5303" s="4" t="s">
        <v>31657</v>
      </c>
      <c r="I5303" t="s">
        <v>71</v>
      </c>
      <c r="J5303" t="s">
        <v>10782</v>
      </c>
      <c r="K5303" t="s">
        <v>31658</v>
      </c>
    </row>
    <row r="5304" spans="1:11" ht="144" x14ac:dyDescent="0.3">
      <c r="A5304" s="4" t="s">
        <v>3387</v>
      </c>
      <c r="B5304">
        <v>1</v>
      </c>
      <c r="C5304">
        <v>2015</v>
      </c>
      <c r="D5304" t="s">
        <v>329</v>
      </c>
      <c r="E5304">
        <v>33</v>
      </c>
      <c r="F5304" t="s">
        <v>31659</v>
      </c>
      <c r="G5304" t="s">
        <v>31660</v>
      </c>
      <c r="H5304" s="4" t="s">
        <v>31661</v>
      </c>
      <c r="I5304" t="s">
        <v>71</v>
      </c>
      <c r="J5304" t="s">
        <v>10782</v>
      </c>
      <c r="K5304" t="s">
        <v>31662</v>
      </c>
    </row>
    <row r="5305" spans="1:11" ht="43.2" x14ac:dyDescent="0.3">
      <c r="A5305" s="4" t="s">
        <v>8230</v>
      </c>
      <c r="B5305">
        <v>3</v>
      </c>
      <c r="C5305">
        <v>2015</v>
      </c>
      <c r="D5305" t="s">
        <v>217</v>
      </c>
      <c r="E5305">
        <v>55</v>
      </c>
      <c r="F5305" t="s">
        <v>31663</v>
      </c>
      <c r="G5305" t="s">
        <v>31664</v>
      </c>
      <c r="H5305" s="4" t="s">
        <v>31665</v>
      </c>
    </row>
    <row r="5306" spans="1:11" ht="172.8" x14ac:dyDescent="0.3">
      <c r="A5306" s="4" t="s">
        <v>3614</v>
      </c>
      <c r="B5306">
        <v>2</v>
      </c>
      <c r="C5306">
        <v>2015</v>
      </c>
      <c r="D5306" t="s">
        <v>217</v>
      </c>
      <c r="E5306">
        <v>9</v>
      </c>
      <c r="F5306" t="s">
        <v>31666</v>
      </c>
      <c r="G5306" t="s">
        <v>31667</v>
      </c>
      <c r="H5306" s="4" t="s">
        <v>31668</v>
      </c>
      <c r="I5306" t="s">
        <v>71</v>
      </c>
      <c r="J5306" t="s">
        <v>10782</v>
      </c>
      <c r="K5306" t="s">
        <v>31669</v>
      </c>
    </row>
    <row r="5307" spans="1:11" ht="144" x14ac:dyDescent="0.3">
      <c r="A5307" s="4" t="s">
        <v>3388</v>
      </c>
      <c r="B5307">
        <v>1</v>
      </c>
      <c r="C5307">
        <v>2015</v>
      </c>
      <c r="D5307" t="s">
        <v>30118</v>
      </c>
      <c r="E5307">
        <v>14</v>
      </c>
      <c r="F5307" t="s">
        <v>31670</v>
      </c>
      <c r="G5307" t="s">
        <v>31671</v>
      </c>
      <c r="H5307" s="4" t="s">
        <v>31672</v>
      </c>
      <c r="I5307" t="s">
        <v>71</v>
      </c>
      <c r="J5307" t="s">
        <v>10782</v>
      </c>
      <c r="K5307" t="s">
        <v>31673</v>
      </c>
    </row>
    <row r="5308" spans="1:11" ht="201.6" x14ac:dyDescent="0.3">
      <c r="A5308" s="4" t="s">
        <v>8231</v>
      </c>
      <c r="B5308">
        <v>3</v>
      </c>
      <c r="C5308">
        <v>2015</v>
      </c>
      <c r="D5308" t="s">
        <v>80</v>
      </c>
      <c r="E5308">
        <v>182</v>
      </c>
      <c r="F5308" t="s">
        <v>31674</v>
      </c>
      <c r="G5308" t="s">
        <v>31675</v>
      </c>
      <c r="H5308" s="4" t="s">
        <v>31676</v>
      </c>
      <c r="I5308" t="s">
        <v>71</v>
      </c>
      <c r="J5308" t="s">
        <v>10782</v>
      </c>
      <c r="K5308" t="s">
        <v>31677</v>
      </c>
    </row>
    <row r="5309" spans="1:11" ht="158.4" x14ac:dyDescent="0.3">
      <c r="A5309" s="4" t="s">
        <v>8232</v>
      </c>
      <c r="B5309">
        <v>3</v>
      </c>
      <c r="C5309">
        <v>2015</v>
      </c>
      <c r="D5309" t="s">
        <v>217</v>
      </c>
      <c r="E5309">
        <v>27</v>
      </c>
      <c r="F5309" t="s">
        <v>31678</v>
      </c>
      <c r="G5309" t="s">
        <v>31679</v>
      </c>
      <c r="H5309" s="4" t="s">
        <v>31680</v>
      </c>
      <c r="I5309" t="s">
        <v>71</v>
      </c>
      <c r="J5309" t="s">
        <v>10782</v>
      </c>
      <c r="K5309" t="s">
        <v>31681</v>
      </c>
    </row>
    <row r="5310" spans="1:11" ht="100.8" x14ac:dyDescent="0.3">
      <c r="A5310" s="4" t="s">
        <v>8233</v>
      </c>
      <c r="B5310">
        <v>3</v>
      </c>
      <c r="C5310">
        <v>2015</v>
      </c>
      <c r="D5310" t="s">
        <v>177</v>
      </c>
      <c r="E5310">
        <v>7</v>
      </c>
      <c r="F5310" t="s">
        <v>31682</v>
      </c>
      <c r="G5310" t="s">
        <v>31683</v>
      </c>
      <c r="H5310" s="4" t="s">
        <v>31684</v>
      </c>
    </row>
    <row r="5311" spans="1:11" ht="172.8" x14ac:dyDescent="0.3">
      <c r="A5311" s="4" t="s">
        <v>8234</v>
      </c>
      <c r="B5311">
        <v>3</v>
      </c>
      <c r="C5311">
        <v>2015</v>
      </c>
      <c r="D5311" t="s">
        <v>1688</v>
      </c>
      <c r="E5311">
        <v>6</v>
      </c>
      <c r="F5311" t="s">
        <v>31685</v>
      </c>
      <c r="G5311" t="s">
        <v>31686</v>
      </c>
      <c r="H5311" s="4" t="s">
        <v>31687</v>
      </c>
      <c r="I5311" t="s">
        <v>71</v>
      </c>
      <c r="J5311" t="s">
        <v>10782</v>
      </c>
      <c r="K5311" t="s">
        <v>31688</v>
      </c>
    </row>
    <row r="5312" spans="1:11" ht="187.2" x14ac:dyDescent="0.3">
      <c r="A5312" s="4" t="s">
        <v>8235</v>
      </c>
      <c r="B5312">
        <v>3</v>
      </c>
      <c r="C5312">
        <v>2015</v>
      </c>
      <c r="D5312" t="s">
        <v>1570</v>
      </c>
      <c r="E5312">
        <v>1</v>
      </c>
      <c r="F5312" t="s">
        <v>31689</v>
      </c>
      <c r="G5312" t="s">
        <v>31690</v>
      </c>
      <c r="H5312" s="4" t="s">
        <v>31691</v>
      </c>
    </row>
    <row r="5313" spans="1:11" ht="216" x14ac:dyDescent="0.3">
      <c r="A5313" s="4" t="s">
        <v>8236</v>
      </c>
      <c r="B5313">
        <v>3</v>
      </c>
      <c r="C5313">
        <v>2015</v>
      </c>
      <c r="D5313" t="s">
        <v>80</v>
      </c>
      <c r="E5313">
        <v>35</v>
      </c>
      <c r="F5313" t="s">
        <v>31692</v>
      </c>
      <c r="G5313" t="s">
        <v>31693</v>
      </c>
      <c r="H5313" s="4" t="s">
        <v>31694</v>
      </c>
      <c r="I5313" t="s">
        <v>71</v>
      </c>
      <c r="J5313" t="s">
        <v>10782</v>
      </c>
      <c r="K5313" t="s">
        <v>31695</v>
      </c>
    </row>
    <row r="5314" spans="1:11" ht="86.4" x14ac:dyDescent="0.3">
      <c r="A5314" s="4" t="s">
        <v>3389</v>
      </c>
      <c r="B5314">
        <v>1</v>
      </c>
      <c r="C5314">
        <v>2015</v>
      </c>
      <c r="D5314" t="s">
        <v>1426</v>
      </c>
      <c r="E5314">
        <v>607</v>
      </c>
      <c r="F5314" t="s">
        <v>31696</v>
      </c>
      <c r="G5314" t="s">
        <v>31697</v>
      </c>
      <c r="H5314" s="4" t="s">
        <v>31698</v>
      </c>
    </row>
    <row r="5315" spans="1:11" ht="201.6" x14ac:dyDescent="0.3">
      <c r="A5315" s="4" t="s">
        <v>8237</v>
      </c>
      <c r="B5315">
        <v>3</v>
      </c>
      <c r="C5315">
        <v>2015</v>
      </c>
      <c r="D5315" t="s">
        <v>217</v>
      </c>
      <c r="E5315">
        <v>21</v>
      </c>
      <c r="F5315" t="s">
        <v>31699</v>
      </c>
      <c r="G5315" t="s">
        <v>31700</v>
      </c>
      <c r="H5315" s="4" t="s">
        <v>31701</v>
      </c>
      <c r="I5315" t="s">
        <v>71</v>
      </c>
      <c r="J5315" t="s">
        <v>10782</v>
      </c>
      <c r="K5315" t="s">
        <v>31702</v>
      </c>
    </row>
    <row r="5316" spans="1:11" ht="230.4" x14ac:dyDescent="0.3">
      <c r="A5316" s="4" t="s">
        <v>8238</v>
      </c>
      <c r="B5316">
        <v>3</v>
      </c>
      <c r="C5316">
        <v>2015</v>
      </c>
      <c r="D5316" t="s">
        <v>10924</v>
      </c>
      <c r="E5316">
        <v>215</v>
      </c>
      <c r="F5316" t="s">
        <v>31703</v>
      </c>
      <c r="G5316" t="s">
        <v>31704</v>
      </c>
      <c r="H5316" s="4" t="s">
        <v>31705</v>
      </c>
      <c r="I5316" t="s">
        <v>71</v>
      </c>
      <c r="J5316" t="s">
        <v>10782</v>
      </c>
      <c r="K5316" t="s">
        <v>31706</v>
      </c>
    </row>
    <row r="5317" spans="1:11" ht="86.4" x14ac:dyDescent="0.3">
      <c r="A5317" s="4" t="s">
        <v>8239</v>
      </c>
      <c r="B5317">
        <v>3</v>
      </c>
      <c r="C5317">
        <v>2015</v>
      </c>
      <c r="D5317" t="s">
        <v>26647</v>
      </c>
      <c r="E5317">
        <v>23</v>
      </c>
      <c r="F5317" t="s">
        <v>31707</v>
      </c>
      <c r="G5317" t="s">
        <v>31708</v>
      </c>
      <c r="H5317" s="4" t="s">
        <v>31709</v>
      </c>
      <c r="I5317" t="s">
        <v>71</v>
      </c>
      <c r="J5317" t="s">
        <v>10782</v>
      </c>
      <c r="K5317" t="s">
        <v>31710</v>
      </c>
    </row>
    <row r="5318" spans="1:11" ht="129.6" x14ac:dyDescent="0.3">
      <c r="A5318" s="4" t="s">
        <v>2936</v>
      </c>
      <c r="B5318">
        <v>2</v>
      </c>
      <c r="C5318">
        <v>2015</v>
      </c>
      <c r="D5318" t="s">
        <v>190</v>
      </c>
      <c r="E5318">
        <v>55</v>
      </c>
      <c r="F5318" t="s">
        <v>31711</v>
      </c>
      <c r="G5318" t="s">
        <v>31712</v>
      </c>
      <c r="H5318" s="4" t="s">
        <v>31713</v>
      </c>
      <c r="I5318" t="s">
        <v>71</v>
      </c>
      <c r="J5318" t="s">
        <v>10782</v>
      </c>
      <c r="K5318" t="s">
        <v>31714</v>
      </c>
    </row>
    <row r="5319" spans="1:11" ht="187.2" x14ac:dyDescent="0.3">
      <c r="A5319" s="4" t="s">
        <v>8240</v>
      </c>
      <c r="B5319">
        <v>3</v>
      </c>
      <c r="C5319">
        <v>2015</v>
      </c>
      <c r="D5319" t="s">
        <v>13170</v>
      </c>
      <c r="E5319">
        <v>82</v>
      </c>
      <c r="F5319" t="s">
        <v>31715</v>
      </c>
      <c r="G5319" t="s">
        <v>31716</v>
      </c>
      <c r="H5319" s="4" t="s">
        <v>31717</v>
      </c>
      <c r="I5319" t="s">
        <v>71</v>
      </c>
      <c r="J5319" t="s">
        <v>10782</v>
      </c>
      <c r="K5319" t="s">
        <v>31718</v>
      </c>
    </row>
    <row r="5320" spans="1:11" ht="115.2" x14ac:dyDescent="0.3">
      <c r="A5320" s="4" t="s">
        <v>8241</v>
      </c>
      <c r="B5320">
        <v>3</v>
      </c>
      <c r="C5320">
        <v>2015</v>
      </c>
      <c r="D5320" t="s">
        <v>1570</v>
      </c>
      <c r="E5320">
        <v>300</v>
      </c>
      <c r="F5320" t="s">
        <v>31719</v>
      </c>
      <c r="G5320" t="s">
        <v>31720</v>
      </c>
      <c r="H5320" s="4" t="s">
        <v>31721</v>
      </c>
      <c r="I5320" t="s">
        <v>71</v>
      </c>
      <c r="J5320" t="s">
        <v>10782</v>
      </c>
      <c r="K5320" t="s">
        <v>31722</v>
      </c>
    </row>
    <row r="5321" spans="1:11" ht="244.8" x14ac:dyDescent="0.3">
      <c r="A5321" s="4" t="s">
        <v>8242</v>
      </c>
      <c r="B5321">
        <v>3</v>
      </c>
      <c r="C5321">
        <v>2015</v>
      </c>
      <c r="D5321" t="s">
        <v>12318</v>
      </c>
      <c r="E5321">
        <v>32</v>
      </c>
      <c r="F5321" t="s">
        <v>31723</v>
      </c>
      <c r="G5321" t="s">
        <v>31724</v>
      </c>
      <c r="H5321" s="4" t="s">
        <v>31725</v>
      </c>
      <c r="I5321" t="s">
        <v>71</v>
      </c>
      <c r="J5321" t="s">
        <v>10782</v>
      </c>
      <c r="K5321" t="s">
        <v>31726</v>
      </c>
    </row>
    <row r="5322" spans="1:11" ht="144" x14ac:dyDescent="0.3">
      <c r="A5322" s="4" t="s">
        <v>8243</v>
      </c>
      <c r="B5322">
        <v>3</v>
      </c>
      <c r="C5322">
        <v>2015</v>
      </c>
      <c r="D5322" t="s">
        <v>217</v>
      </c>
      <c r="E5322">
        <v>81</v>
      </c>
      <c r="F5322" t="s">
        <v>31727</v>
      </c>
      <c r="G5322" t="s">
        <v>31728</v>
      </c>
      <c r="H5322" s="4" t="s">
        <v>31729</v>
      </c>
      <c r="I5322" t="s">
        <v>71</v>
      </c>
      <c r="J5322" t="s">
        <v>10782</v>
      </c>
      <c r="K5322" t="s">
        <v>31730</v>
      </c>
    </row>
    <row r="5323" spans="1:11" ht="172.8" x14ac:dyDescent="0.3">
      <c r="A5323" s="4" t="s">
        <v>8244</v>
      </c>
      <c r="B5323">
        <v>3</v>
      </c>
      <c r="C5323">
        <v>2015</v>
      </c>
      <c r="D5323" t="s">
        <v>31509</v>
      </c>
      <c r="E5323">
        <v>14</v>
      </c>
      <c r="F5323" t="s">
        <v>31731</v>
      </c>
      <c r="G5323" t="s">
        <v>31732</v>
      </c>
      <c r="H5323" s="4" t="s">
        <v>31733</v>
      </c>
      <c r="I5323" t="s">
        <v>71</v>
      </c>
      <c r="J5323" t="s">
        <v>10782</v>
      </c>
      <c r="K5323" t="s">
        <v>31734</v>
      </c>
    </row>
    <row r="5324" spans="1:11" ht="187.2" x14ac:dyDescent="0.3">
      <c r="A5324" s="4" t="s">
        <v>8245</v>
      </c>
      <c r="B5324">
        <v>3</v>
      </c>
      <c r="C5324">
        <v>2015</v>
      </c>
      <c r="D5324" t="s">
        <v>147</v>
      </c>
      <c r="E5324">
        <v>31</v>
      </c>
      <c r="F5324" t="s">
        <v>31735</v>
      </c>
      <c r="G5324" t="s">
        <v>31736</v>
      </c>
      <c r="H5324" s="4" t="s">
        <v>31737</v>
      </c>
      <c r="I5324" t="s">
        <v>71</v>
      </c>
      <c r="J5324" t="s">
        <v>10782</v>
      </c>
      <c r="K5324" t="s">
        <v>31738</v>
      </c>
    </row>
    <row r="5325" spans="1:11" ht="172.8" x14ac:dyDescent="0.3">
      <c r="A5325" s="4" t="s">
        <v>3390</v>
      </c>
      <c r="B5325">
        <v>1</v>
      </c>
      <c r="C5325">
        <v>2015</v>
      </c>
      <c r="D5325" t="s">
        <v>1525</v>
      </c>
      <c r="E5325">
        <v>34</v>
      </c>
      <c r="F5325" t="s">
        <v>31739</v>
      </c>
      <c r="G5325" t="s">
        <v>31740</v>
      </c>
      <c r="H5325" s="4" t="s">
        <v>31741</v>
      </c>
      <c r="I5325" t="s">
        <v>71</v>
      </c>
      <c r="J5325" t="s">
        <v>10782</v>
      </c>
      <c r="K5325" t="s">
        <v>31742</v>
      </c>
    </row>
    <row r="5326" spans="1:11" ht="388.8" x14ac:dyDescent="0.3">
      <c r="A5326" s="4" t="s">
        <v>3391</v>
      </c>
      <c r="B5326">
        <v>1</v>
      </c>
      <c r="C5326">
        <v>2015</v>
      </c>
      <c r="D5326" t="s">
        <v>329</v>
      </c>
      <c r="E5326">
        <v>51</v>
      </c>
      <c r="F5326" t="s">
        <v>31743</v>
      </c>
      <c r="G5326" t="s">
        <v>31744</v>
      </c>
      <c r="H5326" s="4" t="s">
        <v>31745</v>
      </c>
      <c r="I5326" t="s">
        <v>71</v>
      </c>
      <c r="J5326" t="s">
        <v>10782</v>
      </c>
      <c r="K5326" t="s">
        <v>31746</v>
      </c>
    </row>
    <row r="5327" spans="1:11" ht="172.8" x14ac:dyDescent="0.3">
      <c r="A5327" s="4" t="s">
        <v>8246</v>
      </c>
      <c r="B5327">
        <v>3</v>
      </c>
      <c r="C5327">
        <v>2015</v>
      </c>
      <c r="D5327" t="s">
        <v>11674</v>
      </c>
      <c r="E5327">
        <v>13</v>
      </c>
      <c r="F5327" t="s">
        <v>31747</v>
      </c>
      <c r="G5327" t="s">
        <v>31748</v>
      </c>
      <c r="H5327" s="4" t="s">
        <v>31749</v>
      </c>
      <c r="I5327" t="s">
        <v>71</v>
      </c>
      <c r="J5327" t="s">
        <v>10782</v>
      </c>
      <c r="K5327" t="s">
        <v>31750</v>
      </c>
    </row>
    <row r="5328" spans="1:11" ht="244.8" x14ac:dyDescent="0.3">
      <c r="A5328" s="4" t="s">
        <v>8247</v>
      </c>
      <c r="B5328">
        <v>3</v>
      </c>
      <c r="C5328">
        <v>2015</v>
      </c>
      <c r="D5328" t="s">
        <v>17273</v>
      </c>
      <c r="E5328">
        <v>104</v>
      </c>
      <c r="F5328" t="s">
        <v>31751</v>
      </c>
      <c r="G5328" t="s">
        <v>31752</v>
      </c>
      <c r="H5328" s="4" t="s">
        <v>31753</v>
      </c>
      <c r="I5328" t="s">
        <v>71</v>
      </c>
      <c r="J5328" t="s">
        <v>10782</v>
      </c>
      <c r="K5328" t="s">
        <v>31754</v>
      </c>
    </row>
    <row r="5329" spans="1:11" ht="172.8" x14ac:dyDescent="0.3">
      <c r="A5329" s="4" t="s">
        <v>8248</v>
      </c>
      <c r="B5329">
        <v>3</v>
      </c>
      <c r="C5329">
        <v>2015</v>
      </c>
      <c r="D5329" t="s">
        <v>10924</v>
      </c>
      <c r="E5329">
        <v>23</v>
      </c>
      <c r="F5329" t="s">
        <v>31755</v>
      </c>
      <c r="G5329" t="s">
        <v>31756</v>
      </c>
      <c r="H5329" s="4" t="s">
        <v>31757</v>
      </c>
      <c r="I5329" t="s">
        <v>71</v>
      </c>
      <c r="J5329" t="s">
        <v>10782</v>
      </c>
      <c r="K5329" t="s">
        <v>31758</v>
      </c>
    </row>
    <row r="5330" spans="1:11" ht="172.8" x14ac:dyDescent="0.3">
      <c r="A5330" s="4" t="s">
        <v>3615</v>
      </c>
      <c r="B5330">
        <v>2</v>
      </c>
      <c r="C5330">
        <v>2015</v>
      </c>
      <c r="D5330" t="s">
        <v>83</v>
      </c>
      <c r="E5330">
        <v>21</v>
      </c>
      <c r="F5330" t="s">
        <v>31759</v>
      </c>
      <c r="G5330" t="s">
        <v>31760</v>
      </c>
      <c r="H5330" s="4" t="s">
        <v>31761</v>
      </c>
      <c r="I5330" t="s">
        <v>71</v>
      </c>
      <c r="J5330" t="s">
        <v>10782</v>
      </c>
      <c r="K5330" t="s">
        <v>31762</v>
      </c>
    </row>
    <row r="5331" spans="1:11" ht="144" x14ac:dyDescent="0.3">
      <c r="A5331" s="4" t="s">
        <v>3392</v>
      </c>
      <c r="B5331">
        <v>1</v>
      </c>
      <c r="C5331">
        <v>2015</v>
      </c>
      <c r="D5331" t="s">
        <v>1570</v>
      </c>
      <c r="E5331">
        <v>7</v>
      </c>
      <c r="F5331" t="s">
        <v>31763</v>
      </c>
      <c r="G5331" t="s">
        <v>31764</v>
      </c>
      <c r="H5331" s="4" t="s">
        <v>31765</v>
      </c>
      <c r="I5331" t="s">
        <v>71</v>
      </c>
      <c r="J5331" t="s">
        <v>10782</v>
      </c>
      <c r="K5331" t="s">
        <v>31766</v>
      </c>
    </row>
    <row r="5332" spans="1:11" ht="201.6" x14ac:dyDescent="0.3">
      <c r="A5332" s="4" t="s">
        <v>8249</v>
      </c>
      <c r="B5332">
        <v>3</v>
      </c>
      <c r="C5332">
        <v>2015</v>
      </c>
      <c r="D5332" t="s">
        <v>329</v>
      </c>
      <c r="E5332">
        <v>31</v>
      </c>
      <c r="F5332" t="s">
        <v>31767</v>
      </c>
      <c r="G5332" t="s">
        <v>31768</v>
      </c>
      <c r="H5332" s="4" t="s">
        <v>31769</v>
      </c>
      <c r="I5332" t="s">
        <v>71</v>
      </c>
      <c r="J5332" t="s">
        <v>10782</v>
      </c>
      <c r="K5332" t="s">
        <v>31770</v>
      </c>
    </row>
    <row r="5333" spans="1:11" ht="144" x14ac:dyDescent="0.3">
      <c r="A5333" s="4" t="s">
        <v>8250</v>
      </c>
      <c r="B5333">
        <v>3</v>
      </c>
      <c r="C5333">
        <v>2015</v>
      </c>
      <c r="D5333" t="s">
        <v>1002</v>
      </c>
      <c r="E5333">
        <v>98</v>
      </c>
      <c r="F5333" t="s">
        <v>31771</v>
      </c>
      <c r="G5333" t="s">
        <v>31772</v>
      </c>
      <c r="H5333" s="4" t="s">
        <v>31773</v>
      </c>
      <c r="I5333" t="s">
        <v>71</v>
      </c>
      <c r="J5333" t="s">
        <v>10782</v>
      </c>
      <c r="K5333" t="s">
        <v>31774</v>
      </c>
    </row>
    <row r="5334" spans="1:11" ht="216" x14ac:dyDescent="0.3">
      <c r="A5334" s="4" t="s">
        <v>8251</v>
      </c>
      <c r="B5334">
        <v>3</v>
      </c>
      <c r="C5334">
        <v>2015</v>
      </c>
      <c r="D5334" t="s">
        <v>21542</v>
      </c>
      <c r="E5334">
        <v>53</v>
      </c>
      <c r="F5334" t="s">
        <v>31775</v>
      </c>
      <c r="G5334" t="s">
        <v>31776</v>
      </c>
      <c r="H5334" s="4" t="s">
        <v>31777</v>
      </c>
      <c r="I5334" t="s">
        <v>71</v>
      </c>
      <c r="J5334" t="s">
        <v>10782</v>
      </c>
      <c r="K5334" t="s">
        <v>31778</v>
      </c>
    </row>
    <row r="5335" spans="1:11" ht="129.6" x14ac:dyDescent="0.3">
      <c r="A5335" s="4" t="s">
        <v>8252</v>
      </c>
      <c r="B5335">
        <v>3</v>
      </c>
      <c r="C5335">
        <v>2015</v>
      </c>
      <c r="D5335" t="s">
        <v>1794</v>
      </c>
      <c r="E5335">
        <v>13</v>
      </c>
      <c r="F5335" t="s">
        <v>31779</v>
      </c>
      <c r="G5335" t="s">
        <v>31780</v>
      </c>
      <c r="H5335" s="4" t="s">
        <v>31781</v>
      </c>
      <c r="I5335" t="s">
        <v>71</v>
      </c>
      <c r="J5335" t="s">
        <v>10782</v>
      </c>
      <c r="K5335" t="s">
        <v>31782</v>
      </c>
    </row>
    <row r="5336" spans="1:11" ht="28.8" x14ac:dyDescent="0.3">
      <c r="A5336" s="4" t="s">
        <v>8253</v>
      </c>
      <c r="B5336">
        <v>3</v>
      </c>
      <c r="C5336">
        <v>2015</v>
      </c>
      <c r="D5336" t="s">
        <v>31783</v>
      </c>
      <c r="E5336">
        <v>4</v>
      </c>
      <c r="F5336" t="s">
        <v>31784</v>
      </c>
      <c r="G5336" t="s">
        <v>31785</v>
      </c>
      <c r="H5336" s="4" t="s">
        <v>10823</v>
      </c>
      <c r="I5336" t="s">
        <v>10782</v>
      </c>
      <c r="J5336" t="s">
        <v>31786</v>
      </c>
    </row>
    <row r="5337" spans="1:11" ht="144" x14ac:dyDescent="0.3">
      <c r="A5337" s="4" t="s">
        <v>8254</v>
      </c>
      <c r="B5337">
        <v>3</v>
      </c>
      <c r="C5337">
        <v>2015</v>
      </c>
      <c r="D5337" t="s">
        <v>11741</v>
      </c>
      <c r="E5337">
        <v>33</v>
      </c>
      <c r="F5337" t="s">
        <v>31787</v>
      </c>
      <c r="G5337" t="s">
        <v>31788</v>
      </c>
      <c r="H5337" s="4" t="s">
        <v>31789</v>
      </c>
      <c r="I5337" t="s">
        <v>71</v>
      </c>
      <c r="J5337" t="s">
        <v>10782</v>
      </c>
      <c r="K5337" t="s">
        <v>31790</v>
      </c>
    </row>
    <row r="5338" spans="1:11" ht="172.8" x14ac:dyDescent="0.3">
      <c r="A5338" s="4" t="s">
        <v>8255</v>
      </c>
      <c r="B5338">
        <v>3</v>
      </c>
      <c r="C5338">
        <v>2015</v>
      </c>
      <c r="D5338" t="s">
        <v>2853</v>
      </c>
      <c r="E5338">
        <v>62</v>
      </c>
      <c r="F5338" t="s">
        <v>31791</v>
      </c>
      <c r="G5338" t="s">
        <v>31792</v>
      </c>
      <c r="H5338" s="4" t="s">
        <v>31793</v>
      </c>
      <c r="I5338" t="s">
        <v>71</v>
      </c>
      <c r="J5338" t="s">
        <v>10782</v>
      </c>
      <c r="K5338" t="s">
        <v>31794</v>
      </c>
    </row>
    <row r="5339" spans="1:11" ht="144" x14ac:dyDescent="0.3">
      <c r="A5339" s="4" t="s">
        <v>3616</v>
      </c>
      <c r="B5339">
        <v>2</v>
      </c>
      <c r="C5339">
        <v>2015</v>
      </c>
      <c r="D5339" t="s">
        <v>2886</v>
      </c>
      <c r="E5339">
        <v>17</v>
      </c>
      <c r="F5339" t="s">
        <v>31795</v>
      </c>
      <c r="G5339" t="s">
        <v>31796</v>
      </c>
      <c r="H5339" s="4" t="s">
        <v>31797</v>
      </c>
      <c r="I5339" t="s">
        <v>71</v>
      </c>
      <c r="J5339" t="s">
        <v>10782</v>
      </c>
      <c r="K5339" t="s">
        <v>31798</v>
      </c>
    </row>
    <row r="5340" spans="1:11" ht="115.2" x14ac:dyDescent="0.3">
      <c r="A5340" s="4" t="s">
        <v>3393</v>
      </c>
      <c r="B5340">
        <v>1</v>
      </c>
      <c r="C5340">
        <v>2015</v>
      </c>
      <c r="D5340" t="s">
        <v>679</v>
      </c>
      <c r="E5340">
        <v>61</v>
      </c>
      <c r="F5340" t="s">
        <v>31799</v>
      </c>
      <c r="G5340" t="s">
        <v>31800</v>
      </c>
      <c r="H5340" s="4" t="s">
        <v>31801</v>
      </c>
      <c r="I5340" t="s">
        <v>71</v>
      </c>
      <c r="J5340" t="s">
        <v>10782</v>
      </c>
      <c r="K5340" t="s">
        <v>31802</v>
      </c>
    </row>
    <row r="5341" spans="1:11" ht="230.4" x14ac:dyDescent="0.3">
      <c r="A5341" s="4" t="s">
        <v>8256</v>
      </c>
      <c r="B5341">
        <v>3</v>
      </c>
      <c r="C5341">
        <v>2015</v>
      </c>
      <c r="D5341" t="s">
        <v>329</v>
      </c>
      <c r="E5341">
        <v>18</v>
      </c>
      <c r="F5341" t="s">
        <v>31803</v>
      </c>
      <c r="G5341" t="s">
        <v>31804</v>
      </c>
      <c r="H5341" s="4" t="s">
        <v>31805</v>
      </c>
      <c r="I5341" t="s">
        <v>71</v>
      </c>
      <c r="J5341" t="s">
        <v>10782</v>
      </c>
      <c r="K5341" t="s">
        <v>31806</v>
      </c>
    </row>
    <row r="5342" spans="1:11" ht="129.6" x14ac:dyDescent="0.3">
      <c r="A5342" s="4" t="s">
        <v>8257</v>
      </c>
      <c r="B5342">
        <v>3</v>
      </c>
      <c r="C5342">
        <v>2015</v>
      </c>
      <c r="D5342" t="s">
        <v>1175</v>
      </c>
      <c r="E5342">
        <v>6</v>
      </c>
      <c r="F5342" t="s">
        <v>31807</v>
      </c>
      <c r="G5342" t="s">
        <v>31808</v>
      </c>
      <c r="H5342" s="4" t="s">
        <v>31809</v>
      </c>
      <c r="I5342" t="s">
        <v>71</v>
      </c>
      <c r="J5342" t="s">
        <v>10782</v>
      </c>
      <c r="K5342" t="s">
        <v>31810</v>
      </c>
    </row>
    <row r="5343" spans="1:11" ht="100.8" x14ac:dyDescent="0.3">
      <c r="A5343" s="4" t="s">
        <v>1892</v>
      </c>
      <c r="B5343">
        <v>1</v>
      </c>
      <c r="C5343">
        <v>2015</v>
      </c>
      <c r="D5343" t="s">
        <v>164</v>
      </c>
      <c r="E5343">
        <v>33</v>
      </c>
      <c r="F5343" t="s">
        <v>31811</v>
      </c>
      <c r="G5343" t="s">
        <v>31812</v>
      </c>
      <c r="H5343" s="4" t="s">
        <v>31813</v>
      </c>
    </row>
    <row r="5344" spans="1:11" ht="201.6" x14ac:dyDescent="0.3">
      <c r="A5344" s="4" t="s">
        <v>8258</v>
      </c>
      <c r="B5344">
        <v>3</v>
      </c>
      <c r="C5344">
        <v>2015</v>
      </c>
      <c r="D5344" t="s">
        <v>2361</v>
      </c>
      <c r="E5344">
        <v>116</v>
      </c>
      <c r="F5344" t="s">
        <v>31814</v>
      </c>
      <c r="G5344" t="s">
        <v>31815</v>
      </c>
      <c r="H5344" s="4" t="s">
        <v>31816</v>
      </c>
      <c r="I5344" t="s">
        <v>71</v>
      </c>
      <c r="J5344" t="s">
        <v>10782</v>
      </c>
      <c r="K5344" t="s">
        <v>31817</v>
      </c>
    </row>
    <row r="5345" spans="1:11" ht="158.4" x14ac:dyDescent="0.3">
      <c r="A5345" s="4" t="s">
        <v>8259</v>
      </c>
      <c r="B5345">
        <v>3</v>
      </c>
      <c r="C5345">
        <v>2015</v>
      </c>
      <c r="D5345" t="s">
        <v>10815</v>
      </c>
      <c r="E5345">
        <v>31</v>
      </c>
      <c r="F5345" t="s">
        <v>31818</v>
      </c>
      <c r="G5345" t="s">
        <v>31819</v>
      </c>
      <c r="H5345" s="4" t="s">
        <v>31820</v>
      </c>
      <c r="I5345" t="s">
        <v>71</v>
      </c>
      <c r="J5345" t="s">
        <v>10782</v>
      </c>
      <c r="K5345" t="s">
        <v>31821</v>
      </c>
    </row>
    <row r="5346" spans="1:11" x14ac:dyDescent="0.3">
      <c r="A5346" s="4" t="s">
        <v>8260</v>
      </c>
      <c r="B5346">
        <v>3</v>
      </c>
      <c r="C5346">
        <v>2015</v>
      </c>
      <c r="D5346" t="s">
        <v>1570</v>
      </c>
      <c r="E5346">
        <v>21</v>
      </c>
      <c r="F5346" t="s">
        <v>31822</v>
      </c>
      <c r="G5346" t="s">
        <v>31823</v>
      </c>
      <c r="H5346" s="4" t="s">
        <v>31824</v>
      </c>
    </row>
    <row r="5347" spans="1:11" ht="72" x14ac:dyDescent="0.3">
      <c r="A5347" s="4" t="s">
        <v>8261</v>
      </c>
      <c r="B5347">
        <v>3</v>
      </c>
      <c r="C5347">
        <v>2015</v>
      </c>
      <c r="D5347" t="s">
        <v>217</v>
      </c>
      <c r="E5347">
        <v>46</v>
      </c>
      <c r="F5347" t="s">
        <v>31825</v>
      </c>
      <c r="G5347" t="s">
        <v>31826</v>
      </c>
      <c r="H5347" s="4" t="s">
        <v>31827</v>
      </c>
    </row>
    <row r="5348" spans="1:11" ht="216" x14ac:dyDescent="0.3">
      <c r="A5348" s="4" t="s">
        <v>1893</v>
      </c>
      <c r="B5348">
        <v>1</v>
      </c>
      <c r="C5348">
        <v>2015</v>
      </c>
      <c r="D5348" t="s">
        <v>1802</v>
      </c>
      <c r="E5348">
        <v>22</v>
      </c>
      <c r="F5348" t="s">
        <v>31828</v>
      </c>
      <c r="G5348" t="s">
        <v>31829</v>
      </c>
      <c r="H5348" s="4" t="s">
        <v>31830</v>
      </c>
      <c r="I5348" t="s">
        <v>71</v>
      </c>
      <c r="J5348" t="s">
        <v>10782</v>
      </c>
      <c r="K5348" t="s">
        <v>31831</v>
      </c>
    </row>
    <row r="5349" spans="1:11" ht="201.6" x14ac:dyDescent="0.3">
      <c r="A5349" s="4" t="s">
        <v>8262</v>
      </c>
      <c r="B5349">
        <v>3</v>
      </c>
      <c r="C5349">
        <v>2015</v>
      </c>
      <c r="D5349" t="s">
        <v>13969</v>
      </c>
      <c r="E5349">
        <v>39</v>
      </c>
      <c r="F5349" t="s">
        <v>31832</v>
      </c>
      <c r="G5349" t="s">
        <v>31833</v>
      </c>
      <c r="H5349" s="4" t="s">
        <v>31834</v>
      </c>
      <c r="I5349" t="s">
        <v>71</v>
      </c>
      <c r="J5349" t="s">
        <v>10782</v>
      </c>
      <c r="K5349" t="s">
        <v>31835</v>
      </c>
    </row>
    <row r="5350" spans="1:11" ht="172.8" x14ac:dyDescent="0.3">
      <c r="A5350" s="4" t="s">
        <v>8263</v>
      </c>
      <c r="B5350">
        <v>3</v>
      </c>
      <c r="C5350">
        <v>2015</v>
      </c>
      <c r="D5350" t="s">
        <v>2018</v>
      </c>
      <c r="E5350">
        <v>266</v>
      </c>
      <c r="F5350" t="s">
        <v>31836</v>
      </c>
      <c r="G5350" t="s">
        <v>31837</v>
      </c>
      <c r="H5350" s="4" t="s">
        <v>31838</v>
      </c>
      <c r="I5350" t="s">
        <v>71</v>
      </c>
      <c r="J5350" t="s">
        <v>10782</v>
      </c>
      <c r="K5350" t="s">
        <v>31839</v>
      </c>
    </row>
    <row r="5351" spans="1:11" ht="172.8" x14ac:dyDescent="0.3">
      <c r="A5351" s="4" t="s">
        <v>3617</v>
      </c>
      <c r="B5351">
        <v>2</v>
      </c>
      <c r="C5351">
        <v>2015</v>
      </c>
      <c r="D5351" t="s">
        <v>13914</v>
      </c>
      <c r="E5351">
        <v>48</v>
      </c>
      <c r="F5351" t="s">
        <v>31840</v>
      </c>
      <c r="G5351" t="s">
        <v>31841</v>
      </c>
      <c r="H5351" s="4" t="s">
        <v>31842</v>
      </c>
      <c r="I5351" t="s">
        <v>71</v>
      </c>
      <c r="J5351" t="s">
        <v>10782</v>
      </c>
      <c r="K5351" t="s">
        <v>31843</v>
      </c>
    </row>
    <row r="5352" spans="1:11" ht="172.8" x14ac:dyDescent="0.3">
      <c r="A5352" s="4" t="s">
        <v>8264</v>
      </c>
      <c r="B5352">
        <v>3</v>
      </c>
      <c r="C5352">
        <v>2015</v>
      </c>
      <c r="D5352" t="s">
        <v>31844</v>
      </c>
      <c r="E5352">
        <v>7</v>
      </c>
      <c r="F5352" t="s">
        <v>31845</v>
      </c>
      <c r="G5352" t="s">
        <v>31846</v>
      </c>
      <c r="H5352" s="4" t="s">
        <v>31847</v>
      </c>
      <c r="I5352" t="s">
        <v>71</v>
      </c>
      <c r="J5352" t="s">
        <v>10782</v>
      </c>
      <c r="K5352" t="s">
        <v>31848</v>
      </c>
    </row>
    <row r="5353" spans="1:11" ht="201.6" x14ac:dyDescent="0.3">
      <c r="A5353" s="4" t="s">
        <v>8265</v>
      </c>
      <c r="B5353">
        <v>3</v>
      </c>
      <c r="C5353">
        <v>2015</v>
      </c>
      <c r="D5353" t="s">
        <v>830</v>
      </c>
      <c r="E5353">
        <v>90</v>
      </c>
      <c r="F5353" t="s">
        <v>31849</v>
      </c>
      <c r="G5353" t="s">
        <v>31850</v>
      </c>
      <c r="H5353" s="4" t="s">
        <v>31851</v>
      </c>
      <c r="I5353" t="s">
        <v>71</v>
      </c>
      <c r="J5353" t="s">
        <v>10782</v>
      </c>
      <c r="K5353" t="s">
        <v>31852</v>
      </c>
    </row>
    <row r="5354" spans="1:11" ht="172.8" x14ac:dyDescent="0.3">
      <c r="A5354" s="4" t="s">
        <v>8266</v>
      </c>
      <c r="B5354">
        <v>3</v>
      </c>
      <c r="C5354">
        <v>2015</v>
      </c>
      <c r="D5354" t="s">
        <v>26504</v>
      </c>
      <c r="E5354">
        <v>14</v>
      </c>
      <c r="F5354" t="s">
        <v>31853</v>
      </c>
      <c r="G5354" t="s">
        <v>31854</v>
      </c>
      <c r="H5354" s="4" t="s">
        <v>31855</v>
      </c>
      <c r="I5354" t="s">
        <v>71</v>
      </c>
      <c r="J5354" t="s">
        <v>10782</v>
      </c>
      <c r="K5354" t="s">
        <v>31856</v>
      </c>
    </row>
    <row r="5355" spans="1:11" ht="115.2" x14ac:dyDescent="0.3">
      <c r="A5355" s="4" t="s">
        <v>8267</v>
      </c>
      <c r="B5355">
        <v>3</v>
      </c>
      <c r="C5355">
        <v>2015</v>
      </c>
      <c r="D5355" t="s">
        <v>2384</v>
      </c>
      <c r="E5355">
        <v>301</v>
      </c>
      <c r="F5355" t="s">
        <v>31857</v>
      </c>
      <c r="G5355" t="s">
        <v>31858</v>
      </c>
      <c r="H5355" s="4" t="s">
        <v>31859</v>
      </c>
    </row>
    <row r="5356" spans="1:11" ht="172.8" x14ac:dyDescent="0.3">
      <c r="A5356" s="4" t="s">
        <v>3618</v>
      </c>
      <c r="B5356">
        <v>2</v>
      </c>
      <c r="C5356">
        <v>2015</v>
      </c>
      <c r="D5356" t="s">
        <v>385</v>
      </c>
      <c r="E5356">
        <v>161</v>
      </c>
      <c r="F5356" t="s">
        <v>31860</v>
      </c>
      <c r="G5356" t="s">
        <v>31861</v>
      </c>
      <c r="H5356" s="4" t="s">
        <v>31862</v>
      </c>
      <c r="I5356" t="s">
        <v>71</v>
      </c>
      <c r="J5356" t="s">
        <v>10782</v>
      </c>
      <c r="K5356" t="s">
        <v>31863</v>
      </c>
    </row>
    <row r="5357" spans="1:11" ht="129.6" x14ac:dyDescent="0.3">
      <c r="A5357" s="4" t="s">
        <v>8268</v>
      </c>
      <c r="B5357">
        <v>3</v>
      </c>
      <c r="C5357">
        <v>2015</v>
      </c>
      <c r="D5357" t="s">
        <v>217</v>
      </c>
      <c r="E5357">
        <v>5</v>
      </c>
      <c r="F5357" t="s">
        <v>31864</v>
      </c>
      <c r="G5357" t="s">
        <v>31865</v>
      </c>
      <c r="H5357" s="4" t="s">
        <v>31866</v>
      </c>
      <c r="I5357" t="s">
        <v>71</v>
      </c>
      <c r="J5357" t="s">
        <v>10782</v>
      </c>
      <c r="K5357" t="s">
        <v>31867</v>
      </c>
    </row>
    <row r="5358" spans="1:11" ht="57.6" x14ac:dyDescent="0.3">
      <c r="A5358" s="4" t="s">
        <v>8269</v>
      </c>
      <c r="B5358">
        <v>3</v>
      </c>
      <c r="C5358">
        <v>2015</v>
      </c>
      <c r="D5358" t="s">
        <v>177</v>
      </c>
      <c r="E5358">
        <v>43</v>
      </c>
      <c r="F5358" t="s">
        <v>31868</v>
      </c>
      <c r="G5358" t="s">
        <v>31869</v>
      </c>
      <c r="H5358" s="4" t="s">
        <v>31870</v>
      </c>
    </row>
    <row r="5359" spans="1:11" ht="187.2" x14ac:dyDescent="0.3">
      <c r="A5359" s="4" t="s">
        <v>8270</v>
      </c>
      <c r="B5359">
        <v>3</v>
      </c>
      <c r="C5359">
        <v>2015</v>
      </c>
      <c r="D5359" t="s">
        <v>13865</v>
      </c>
      <c r="E5359">
        <v>48</v>
      </c>
      <c r="F5359" t="s">
        <v>31871</v>
      </c>
      <c r="G5359" t="s">
        <v>31872</v>
      </c>
      <c r="H5359" s="4" t="s">
        <v>31873</v>
      </c>
      <c r="I5359" t="s">
        <v>71</v>
      </c>
      <c r="J5359" t="s">
        <v>10782</v>
      </c>
      <c r="K5359" t="s">
        <v>31874</v>
      </c>
    </row>
    <row r="5360" spans="1:11" ht="216" x14ac:dyDescent="0.3">
      <c r="A5360" s="4" t="s">
        <v>8271</v>
      </c>
      <c r="B5360">
        <v>3</v>
      </c>
      <c r="C5360">
        <v>2015</v>
      </c>
      <c r="D5360" t="s">
        <v>83</v>
      </c>
      <c r="E5360">
        <v>33</v>
      </c>
      <c r="F5360" t="s">
        <v>31875</v>
      </c>
      <c r="G5360" t="s">
        <v>31876</v>
      </c>
      <c r="H5360" s="4" t="s">
        <v>31877</v>
      </c>
      <c r="I5360" t="s">
        <v>71</v>
      </c>
      <c r="J5360" t="s">
        <v>10782</v>
      </c>
      <c r="K5360" t="s">
        <v>31878</v>
      </c>
    </row>
    <row r="5361" spans="1:11" ht="201.6" x14ac:dyDescent="0.3">
      <c r="A5361" s="4" t="s">
        <v>8272</v>
      </c>
      <c r="B5361">
        <v>3</v>
      </c>
      <c r="C5361">
        <v>2015</v>
      </c>
      <c r="D5361" t="s">
        <v>14863</v>
      </c>
      <c r="E5361">
        <v>63</v>
      </c>
      <c r="F5361" t="s">
        <v>31879</v>
      </c>
      <c r="G5361" t="s">
        <v>31880</v>
      </c>
      <c r="H5361" s="4" t="s">
        <v>31881</v>
      </c>
      <c r="I5361" t="s">
        <v>71</v>
      </c>
      <c r="J5361" t="s">
        <v>10782</v>
      </c>
      <c r="K5361" t="s">
        <v>31882</v>
      </c>
    </row>
    <row r="5362" spans="1:11" ht="115.2" x14ac:dyDescent="0.3">
      <c r="A5362" s="4" t="s">
        <v>8273</v>
      </c>
      <c r="B5362">
        <v>3</v>
      </c>
      <c r="C5362">
        <v>2015</v>
      </c>
      <c r="D5362" t="s">
        <v>19885</v>
      </c>
      <c r="E5362">
        <v>22</v>
      </c>
      <c r="F5362" t="s">
        <v>31883</v>
      </c>
      <c r="G5362" t="s">
        <v>31884</v>
      </c>
      <c r="H5362" s="4" t="s">
        <v>31885</v>
      </c>
      <c r="I5362" t="s">
        <v>71</v>
      </c>
      <c r="J5362" t="s">
        <v>10782</v>
      </c>
      <c r="K5362" t="s">
        <v>31886</v>
      </c>
    </row>
    <row r="5363" spans="1:11" ht="172.8" x14ac:dyDescent="0.3">
      <c r="A5363" s="4" t="s">
        <v>8274</v>
      </c>
      <c r="B5363">
        <v>3</v>
      </c>
      <c r="C5363">
        <v>2015</v>
      </c>
      <c r="D5363" t="s">
        <v>329</v>
      </c>
      <c r="E5363">
        <v>9</v>
      </c>
      <c r="F5363" t="s">
        <v>31887</v>
      </c>
      <c r="G5363" t="s">
        <v>31888</v>
      </c>
      <c r="H5363" s="4" t="s">
        <v>31889</v>
      </c>
      <c r="I5363" t="s">
        <v>71</v>
      </c>
      <c r="J5363" t="s">
        <v>10782</v>
      </c>
      <c r="K5363" t="s">
        <v>31890</v>
      </c>
    </row>
    <row r="5364" spans="1:11" ht="129.6" x14ac:dyDescent="0.3">
      <c r="A5364" s="4" t="s">
        <v>8275</v>
      </c>
      <c r="B5364">
        <v>3</v>
      </c>
      <c r="C5364">
        <v>2015</v>
      </c>
      <c r="D5364" t="s">
        <v>1794</v>
      </c>
      <c r="E5364">
        <v>2</v>
      </c>
      <c r="F5364" t="s">
        <v>31891</v>
      </c>
      <c r="G5364" t="s">
        <v>31892</v>
      </c>
      <c r="H5364" s="4" t="s">
        <v>31893</v>
      </c>
      <c r="I5364" t="s">
        <v>71</v>
      </c>
      <c r="J5364" t="s">
        <v>10782</v>
      </c>
      <c r="K5364" t="s">
        <v>31894</v>
      </c>
    </row>
    <row r="5365" spans="1:11" ht="172.8" x14ac:dyDescent="0.3">
      <c r="A5365" s="4" t="s">
        <v>8276</v>
      </c>
      <c r="B5365">
        <v>3</v>
      </c>
      <c r="C5365">
        <v>2015</v>
      </c>
      <c r="D5365" t="s">
        <v>799</v>
      </c>
      <c r="E5365">
        <v>12</v>
      </c>
      <c r="F5365" t="s">
        <v>31895</v>
      </c>
      <c r="G5365" t="s">
        <v>31896</v>
      </c>
      <c r="H5365" s="4" t="s">
        <v>31897</v>
      </c>
      <c r="I5365" t="s">
        <v>71</v>
      </c>
      <c r="J5365" t="s">
        <v>10782</v>
      </c>
      <c r="K5365" t="s">
        <v>31898</v>
      </c>
    </row>
    <row r="5366" spans="1:11" ht="216" x14ac:dyDescent="0.3">
      <c r="A5366" s="4" t="s">
        <v>8277</v>
      </c>
      <c r="B5366">
        <v>3</v>
      </c>
      <c r="C5366">
        <v>2015</v>
      </c>
      <c r="D5366" t="s">
        <v>13021</v>
      </c>
      <c r="E5366">
        <v>4</v>
      </c>
      <c r="F5366" t="s">
        <v>31899</v>
      </c>
      <c r="G5366" t="s">
        <v>31900</v>
      </c>
      <c r="H5366" s="4" t="s">
        <v>31901</v>
      </c>
      <c r="I5366" t="s">
        <v>71</v>
      </c>
      <c r="J5366" t="s">
        <v>10782</v>
      </c>
      <c r="K5366" t="s">
        <v>31902</v>
      </c>
    </row>
    <row r="5367" spans="1:11" ht="172.8" x14ac:dyDescent="0.3">
      <c r="A5367" s="4" t="s">
        <v>8278</v>
      </c>
      <c r="B5367">
        <v>3</v>
      </c>
      <c r="C5367">
        <v>2015</v>
      </c>
      <c r="D5367" t="s">
        <v>80</v>
      </c>
      <c r="E5367">
        <v>4</v>
      </c>
      <c r="F5367" t="s">
        <v>31903</v>
      </c>
      <c r="G5367" t="s">
        <v>31904</v>
      </c>
      <c r="H5367" s="4" t="s">
        <v>31905</v>
      </c>
      <c r="I5367" t="s">
        <v>71</v>
      </c>
      <c r="J5367" t="s">
        <v>10782</v>
      </c>
      <c r="K5367" t="s">
        <v>31906</v>
      </c>
    </row>
    <row r="5368" spans="1:11" ht="100.8" x14ac:dyDescent="0.3">
      <c r="A5368" s="4" t="s">
        <v>3394</v>
      </c>
      <c r="B5368">
        <v>1</v>
      </c>
      <c r="C5368">
        <v>2015</v>
      </c>
      <c r="D5368" t="s">
        <v>1570</v>
      </c>
      <c r="E5368">
        <v>16</v>
      </c>
      <c r="F5368" t="s">
        <v>31907</v>
      </c>
      <c r="G5368" t="s">
        <v>31908</v>
      </c>
      <c r="H5368" s="4" t="s">
        <v>31909</v>
      </c>
      <c r="I5368" t="s">
        <v>71</v>
      </c>
      <c r="J5368" t="s">
        <v>10782</v>
      </c>
      <c r="K5368" t="s">
        <v>31910</v>
      </c>
    </row>
    <row r="5369" spans="1:11" ht="216" x14ac:dyDescent="0.3">
      <c r="A5369" s="4" t="s">
        <v>8279</v>
      </c>
      <c r="B5369">
        <v>3</v>
      </c>
      <c r="C5369">
        <v>2015</v>
      </c>
      <c r="D5369" t="s">
        <v>217</v>
      </c>
      <c r="E5369">
        <v>53</v>
      </c>
      <c r="F5369" t="s">
        <v>31911</v>
      </c>
      <c r="G5369" t="s">
        <v>31912</v>
      </c>
      <c r="H5369" s="4" t="s">
        <v>31913</v>
      </c>
      <c r="I5369" t="s">
        <v>71</v>
      </c>
      <c r="J5369" t="s">
        <v>10782</v>
      </c>
      <c r="K5369" t="s">
        <v>31914</v>
      </c>
    </row>
    <row r="5370" spans="1:11" ht="158.4" x14ac:dyDescent="0.3">
      <c r="A5370" s="4" t="s">
        <v>8280</v>
      </c>
      <c r="B5370">
        <v>3</v>
      </c>
      <c r="C5370">
        <v>2015</v>
      </c>
      <c r="D5370" t="s">
        <v>1570</v>
      </c>
      <c r="E5370">
        <v>6</v>
      </c>
      <c r="F5370" t="s">
        <v>31915</v>
      </c>
      <c r="G5370" t="s">
        <v>31916</v>
      </c>
      <c r="H5370" s="4" t="s">
        <v>31917</v>
      </c>
      <c r="I5370" t="s">
        <v>71</v>
      </c>
      <c r="J5370" t="s">
        <v>10782</v>
      </c>
      <c r="K5370" t="s">
        <v>31918</v>
      </c>
    </row>
    <row r="5371" spans="1:11" ht="259.2" x14ac:dyDescent="0.3">
      <c r="A5371" s="4" t="s">
        <v>8281</v>
      </c>
      <c r="B5371">
        <v>3</v>
      </c>
      <c r="C5371">
        <v>2015</v>
      </c>
      <c r="D5371" t="s">
        <v>10924</v>
      </c>
      <c r="E5371">
        <v>54</v>
      </c>
      <c r="F5371" t="s">
        <v>31919</v>
      </c>
      <c r="G5371" t="s">
        <v>31920</v>
      </c>
      <c r="H5371" s="4" t="s">
        <v>31921</v>
      </c>
      <c r="I5371" t="s">
        <v>71</v>
      </c>
      <c r="J5371" t="s">
        <v>10782</v>
      </c>
      <c r="K5371" t="s">
        <v>31922</v>
      </c>
    </row>
    <row r="5372" spans="1:11" ht="172.8" x14ac:dyDescent="0.3">
      <c r="A5372" s="4" t="s">
        <v>3619</v>
      </c>
      <c r="B5372">
        <v>2</v>
      </c>
      <c r="C5372">
        <v>2015</v>
      </c>
      <c r="D5372" t="s">
        <v>10805</v>
      </c>
      <c r="E5372">
        <v>77</v>
      </c>
      <c r="F5372" t="s">
        <v>31923</v>
      </c>
      <c r="G5372" t="s">
        <v>31924</v>
      </c>
      <c r="H5372" s="4" t="s">
        <v>31925</v>
      </c>
      <c r="I5372" t="s">
        <v>71</v>
      </c>
      <c r="J5372" t="s">
        <v>10782</v>
      </c>
      <c r="K5372" t="s">
        <v>31926</v>
      </c>
    </row>
    <row r="5373" spans="1:11" ht="187.2" x14ac:dyDescent="0.3">
      <c r="A5373" s="4" t="s">
        <v>3395</v>
      </c>
      <c r="B5373">
        <v>1</v>
      </c>
      <c r="C5373">
        <v>2015</v>
      </c>
      <c r="D5373" t="s">
        <v>622</v>
      </c>
      <c r="E5373">
        <v>50</v>
      </c>
      <c r="F5373" t="s">
        <v>31927</v>
      </c>
      <c r="G5373" t="s">
        <v>31928</v>
      </c>
      <c r="H5373" s="4" t="s">
        <v>31929</v>
      </c>
      <c r="I5373" t="s">
        <v>71</v>
      </c>
      <c r="J5373" t="s">
        <v>10782</v>
      </c>
      <c r="K5373" t="s">
        <v>31930</v>
      </c>
    </row>
    <row r="5374" spans="1:11" ht="244.8" x14ac:dyDescent="0.3">
      <c r="A5374" s="4" t="s">
        <v>8282</v>
      </c>
      <c r="B5374">
        <v>3</v>
      </c>
      <c r="C5374">
        <v>2015</v>
      </c>
      <c r="D5374" t="s">
        <v>550</v>
      </c>
      <c r="E5374">
        <v>41</v>
      </c>
      <c r="F5374" t="s">
        <v>31931</v>
      </c>
      <c r="G5374" t="s">
        <v>31932</v>
      </c>
      <c r="H5374" s="4" t="s">
        <v>31933</v>
      </c>
      <c r="I5374" t="s">
        <v>71</v>
      </c>
      <c r="J5374" t="s">
        <v>10782</v>
      </c>
      <c r="K5374" t="s">
        <v>31934</v>
      </c>
    </row>
    <row r="5375" spans="1:11" ht="158.4" x14ac:dyDescent="0.3">
      <c r="A5375" s="4" t="s">
        <v>8283</v>
      </c>
      <c r="B5375">
        <v>3</v>
      </c>
      <c r="C5375">
        <v>2015</v>
      </c>
      <c r="D5375" t="s">
        <v>17463</v>
      </c>
      <c r="E5375">
        <v>5</v>
      </c>
      <c r="F5375" t="s">
        <v>31935</v>
      </c>
      <c r="G5375" t="s">
        <v>31936</v>
      </c>
      <c r="H5375" s="4" t="s">
        <v>31937</v>
      </c>
      <c r="I5375" t="s">
        <v>71</v>
      </c>
      <c r="J5375" t="s">
        <v>10782</v>
      </c>
      <c r="K5375" t="s">
        <v>31938</v>
      </c>
    </row>
    <row r="5376" spans="1:11" ht="144" x14ac:dyDescent="0.3">
      <c r="A5376" s="4" t="s">
        <v>8284</v>
      </c>
      <c r="B5376">
        <v>3</v>
      </c>
      <c r="C5376">
        <v>2015</v>
      </c>
      <c r="D5376" t="s">
        <v>17487</v>
      </c>
      <c r="E5376">
        <v>29</v>
      </c>
      <c r="F5376" t="s">
        <v>31939</v>
      </c>
      <c r="G5376" t="s">
        <v>31940</v>
      </c>
      <c r="H5376" s="4" t="s">
        <v>31941</v>
      </c>
      <c r="I5376" t="s">
        <v>71</v>
      </c>
      <c r="J5376" t="s">
        <v>10782</v>
      </c>
      <c r="K5376" t="s">
        <v>31942</v>
      </c>
    </row>
    <row r="5377" spans="1:11" ht="86.4" x14ac:dyDescent="0.3">
      <c r="A5377" s="4" t="s">
        <v>8285</v>
      </c>
      <c r="B5377">
        <v>3</v>
      </c>
      <c r="C5377">
        <v>2015</v>
      </c>
      <c r="D5377" t="s">
        <v>217</v>
      </c>
      <c r="E5377">
        <v>11</v>
      </c>
      <c r="F5377" t="s">
        <v>31943</v>
      </c>
      <c r="G5377" t="s">
        <v>31944</v>
      </c>
      <c r="H5377" s="4" t="s">
        <v>31945</v>
      </c>
      <c r="I5377" t="s">
        <v>71</v>
      </c>
      <c r="J5377" t="s">
        <v>10782</v>
      </c>
      <c r="K5377" t="s">
        <v>31946</v>
      </c>
    </row>
    <row r="5378" spans="1:11" ht="201.6" x14ac:dyDescent="0.3">
      <c r="A5378" s="4" t="s">
        <v>8286</v>
      </c>
      <c r="B5378">
        <v>3</v>
      </c>
      <c r="C5378">
        <v>2015</v>
      </c>
      <c r="D5378" t="s">
        <v>2030</v>
      </c>
      <c r="E5378">
        <v>20</v>
      </c>
      <c r="F5378" t="s">
        <v>31947</v>
      </c>
      <c r="G5378" t="s">
        <v>31948</v>
      </c>
      <c r="H5378" s="4" t="s">
        <v>31949</v>
      </c>
      <c r="I5378" t="s">
        <v>71</v>
      </c>
      <c r="J5378" t="s">
        <v>10782</v>
      </c>
      <c r="K5378" t="s">
        <v>31950</v>
      </c>
    </row>
    <row r="5379" spans="1:11" ht="86.4" x14ac:dyDescent="0.3">
      <c r="A5379" s="4" t="s">
        <v>8287</v>
      </c>
      <c r="B5379">
        <v>3</v>
      </c>
      <c r="C5379">
        <v>2015</v>
      </c>
      <c r="D5379" t="s">
        <v>10924</v>
      </c>
      <c r="E5379">
        <v>23</v>
      </c>
      <c r="F5379" t="s">
        <v>31951</v>
      </c>
      <c r="G5379" t="s">
        <v>31952</v>
      </c>
      <c r="H5379" s="4" t="s">
        <v>31953</v>
      </c>
    </row>
    <row r="5380" spans="1:11" ht="115.2" x14ac:dyDescent="0.3">
      <c r="A5380" s="4" t="s">
        <v>8288</v>
      </c>
      <c r="B5380">
        <v>3</v>
      </c>
      <c r="C5380">
        <v>2015</v>
      </c>
      <c r="D5380" t="s">
        <v>217</v>
      </c>
      <c r="E5380">
        <v>22</v>
      </c>
      <c r="F5380" t="s">
        <v>31954</v>
      </c>
      <c r="G5380" t="s">
        <v>31955</v>
      </c>
      <c r="H5380" s="4" t="s">
        <v>31956</v>
      </c>
      <c r="I5380" t="s">
        <v>71</v>
      </c>
      <c r="J5380" t="s">
        <v>10782</v>
      </c>
      <c r="K5380" t="s">
        <v>31957</v>
      </c>
    </row>
    <row r="5381" spans="1:11" ht="187.2" x14ac:dyDescent="0.3">
      <c r="A5381" s="4" t="s">
        <v>8289</v>
      </c>
      <c r="B5381">
        <v>3</v>
      </c>
      <c r="C5381">
        <v>2015</v>
      </c>
      <c r="D5381" t="s">
        <v>1401</v>
      </c>
      <c r="E5381">
        <v>12</v>
      </c>
      <c r="F5381" t="s">
        <v>31958</v>
      </c>
      <c r="G5381" t="s">
        <v>31959</v>
      </c>
      <c r="H5381" s="4" t="s">
        <v>31960</v>
      </c>
      <c r="I5381" t="s">
        <v>71</v>
      </c>
      <c r="J5381" t="s">
        <v>10782</v>
      </c>
      <c r="K5381" t="s">
        <v>31961</v>
      </c>
    </row>
    <row r="5382" spans="1:11" ht="100.8" x14ac:dyDescent="0.3">
      <c r="A5382" s="4" t="s">
        <v>8290</v>
      </c>
      <c r="B5382">
        <v>3</v>
      </c>
      <c r="C5382">
        <v>2015</v>
      </c>
      <c r="D5382" t="s">
        <v>31962</v>
      </c>
      <c r="E5382">
        <v>24</v>
      </c>
      <c r="F5382" t="s">
        <v>31963</v>
      </c>
      <c r="G5382" t="s">
        <v>31964</v>
      </c>
      <c r="H5382" s="4" t="s">
        <v>31965</v>
      </c>
      <c r="I5382" t="s">
        <v>71</v>
      </c>
      <c r="J5382" t="s">
        <v>10782</v>
      </c>
      <c r="K5382" t="s">
        <v>31966</v>
      </c>
    </row>
    <row r="5383" spans="1:11" ht="259.2" x14ac:dyDescent="0.3">
      <c r="A5383" s="4" t="s">
        <v>8291</v>
      </c>
      <c r="B5383">
        <v>3</v>
      </c>
      <c r="C5383">
        <v>2015</v>
      </c>
      <c r="D5383" t="s">
        <v>17524</v>
      </c>
      <c r="E5383">
        <v>8</v>
      </c>
      <c r="F5383" t="s">
        <v>31967</v>
      </c>
      <c r="G5383" t="s">
        <v>31968</v>
      </c>
      <c r="H5383" s="4" t="s">
        <v>31969</v>
      </c>
    </row>
    <row r="5384" spans="1:11" ht="187.2" x14ac:dyDescent="0.3">
      <c r="A5384" s="4" t="s">
        <v>3620</v>
      </c>
      <c r="B5384">
        <v>2</v>
      </c>
      <c r="C5384">
        <v>2015</v>
      </c>
      <c r="D5384" t="s">
        <v>217</v>
      </c>
      <c r="E5384">
        <v>68</v>
      </c>
      <c r="F5384" t="s">
        <v>31970</v>
      </c>
      <c r="G5384" t="s">
        <v>31971</v>
      </c>
      <c r="H5384" s="4" t="s">
        <v>31972</v>
      </c>
      <c r="I5384" t="s">
        <v>71</v>
      </c>
      <c r="J5384" t="s">
        <v>10782</v>
      </c>
      <c r="K5384" t="s">
        <v>31973</v>
      </c>
    </row>
    <row r="5385" spans="1:11" ht="43.2" x14ac:dyDescent="0.3">
      <c r="A5385" s="4" t="s">
        <v>8292</v>
      </c>
      <c r="B5385">
        <v>3</v>
      </c>
      <c r="C5385">
        <v>2015</v>
      </c>
      <c r="D5385" t="s">
        <v>10057</v>
      </c>
      <c r="E5385">
        <v>108</v>
      </c>
      <c r="F5385" t="s">
        <v>31974</v>
      </c>
      <c r="G5385" t="s">
        <v>31975</v>
      </c>
      <c r="H5385" s="4" t="s">
        <v>31976</v>
      </c>
    </row>
    <row r="5386" spans="1:11" ht="115.2" x14ac:dyDescent="0.3">
      <c r="A5386" s="4" t="s">
        <v>8293</v>
      </c>
      <c r="B5386">
        <v>3</v>
      </c>
      <c r="C5386">
        <v>2015</v>
      </c>
      <c r="D5386" t="s">
        <v>31977</v>
      </c>
      <c r="E5386">
        <v>29</v>
      </c>
      <c r="F5386" t="s">
        <v>31978</v>
      </c>
      <c r="G5386" t="s">
        <v>31979</v>
      </c>
      <c r="H5386" s="4" t="s">
        <v>31980</v>
      </c>
    </row>
    <row r="5387" spans="1:11" ht="57.6" x14ac:dyDescent="0.3">
      <c r="A5387" s="4" t="s">
        <v>8294</v>
      </c>
      <c r="B5387">
        <v>3</v>
      </c>
      <c r="C5387">
        <v>2015</v>
      </c>
      <c r="D5387" t="s">
        <v>12672</v>
      </c>
      <c r="E5387">
        <v>71</v>
      </c>
      <c r="F5387" t="s">
        <v>31981</v>
      </c>
      <c r="G5387" t="s">
        <v>31982</v>
      </c>
      <c r="H5387" s="4" t="s">
        <v>31983</v>
      </c>
    </row>
    <row r="5388" spans="1:11" ht="115.2" x14ac:dyDescent="0.3">
      <c r="A5388" s="4" t="s">
        <v>8295</v>
      </c>
      <c r="B5388">
        <v>3</v>
      </c>
      <c r="C5388">
        <v>2015</v>
      </c>
      <c r="D5388" t="s">
        <v>31962</v>
      </c>
      <c r="E5388">
        <v>7</v>
      </c>
      <c r="F5388" t="s">
        <v>31984</v>
      </c>
      <c r="G5388" t="s">
        <v>31985</v>
      </c>
      <c r="H5388" s="4" t="s">
        <v>31986</v>
      </c>
      <c r="I5388" t="s">
        <v>71</v>
      </c>
      <c r="J5388" t="s">
        <v>10782</v>
      </c>
      <c r="K5388" t="s">
        <v>31987</v>
      </c>
    </row>
    <row r="5389" spans="1:11" ht="158.4" x14ac:dyDescent="0.3">
      <c r="A5389" s="4" t="s">
        <v>8296</v>
      </c>
      <c r="B5389">
        <v>3</v>
      </c>
      <c r="C5389">
        <v>2015</v>
      </c>
      <c r="D5389" t="s">
        <v>217</v>
      </c>
      <c r="E5389">
        <v>5</v>
      </c>
      <c r="F5389" t="s">
        <v>31988</v>
      </c>
      <c r="G5389" t="s">
        <v>31989</v>
      </c>
      <c r="H5389" s="4" t="s">
        <v>31990</v>
      </c>
      <c r="I5389" t="s">
        <v>71</v>
      </c>
      <c r="J5389" t="s">
        <v>10782</v>
      </c>
      <c r="K5389" t="s">
        <v>31991</v>
      </c>
    </row>
    <row r="5390" spans="1:11" ht="86.4" x14ac:dyDescent="0.3">
      <c r="A5390" s="4" t="s">
        <v>8297</v>
      </c>
      <c r="B5390">
        <v>3</v>
      </c>
      <c r="C5390">
        <v>2015</v>
      </c>
      <c r="D5390" t="s">
        <v>147</v>
      </c>
      <c r="E5390">
        <v>21</v>
      </c>
      <c r="F5390" t="s">
        <v>31992</v>
      </c>
      <c r="G5390" t="s">
        <v>31993</v>
      </c>
      <c r="H5390" s="4" t="s">
        <v>31994</v>
      </c>
    </row>
    <row r="5391" spans="1:11" ht="172.8" x14ac:dyDescent="0.3">
      <c r="A5391" s="4" t="s">
        <v>8298</v>
      </c>
      <c r="B5391">
        <v>3</v>
      </c>
      <c r="C5391">
        <v>2015</v>
      </c>
      <c r="D5391" t="s">
        <v>17273</v>
      </c>
      <c r="E5391">
        <v>61</v>
      </c>
      <c r="F5391" t="s">
        <v>31995</v>
      </c>
      <c r="G5391" t="s">
        <v>31996</v>
      </c>
      <c r="H5391" s="4" t="s">
        <v>31997</v>
      </c>
      <c r="I5391" t="s">
        <v>71</v>
      </c>
      <c r="J5391" t="s">
        <v>10782</v>
      </c>
      <c r="K5391" t="s">
        <v>31998</v>
      </c>
    </row>
    <row r="5392" spans="1:11" ht="187.2" x14ac:dyDescent="0.3">
      <c r="A5392" s="4" t="s">
        <v>8299</v>
      </c>
      <c r="B5392">
        <v>3</v>
      </c>
      <c r="C5392">
        <v>2015</v>
      </c>
      <c r="D5392" t="s">
        <v>11741</v>
      </c>
      <c r="E5392">
        <v>27</v>
      </c>
      <c r="F5392" t="s">
        <v>31999</v>
      </c>
      <c r="G5392" t="s">
        <v>32000</v>
      </c>
      <c r="H5392" s="4" t="s">
        <v>32001</v>
      </c>
      <c r="I5392" t="s">
        <v>71</v>
      </c>
      <c r="J5392" t="s">
        <v>10782</v>
      </c>
      <c r="K5392" t="s">
        <v>32002</v>
      </c>
    </row>
    <row r="5393" spans="1:11" ht="144" x14ac:dyDescent="0.3">
      <c r="A5393" s="4" t="s">
        <v>8300</v>
      </c>
      <c r="B5393">
        <v>3</v>
      </c>
      <c r="C5393">
        <v>2015</v>
      </c>
      <c r="D5393" t="s">
        <v>830</v>
      </c>
      <c r="E5393">
        <v>45</v>
      </c>
      <c r="F5393" t="s">
        <v>32003</v>
      </c>
      <c r="G5393" t="s">
        <v>32004</v>
      </c>
      <c r="H5393" s="4" t="s">
        <v>32005</v>
      </c>
      <c r="I5393" t="s">
        <v>10823</v>
      </c>
      <c r="J5393" t="s">
        <v>10782</v>
      </c>
      <c r="K5393" t="s">
        <v>32006</v>
      </c>
    </row>
    <row r="5394" spans="1:11" ht="158.4" x14ac:dyDescent="0.3">
      <c r="A5394" s="4" t="s">
        <v>8301</v>
      </c>
      <c r="B5394">
        <v>3</v>
      </c>
      <c r="C5394">
        <v>2015</v>
      </c>
      <c r="D5394" t="s">
        <v>10815</v>
      </c>
      <c r="E5394">
        <v>33</v>
      </c>
      <c r="F5394" t="s">
        <v>32007</v>
      </c>
      <c r="G5394" t="s">
        <v>32008</v>
      </c>
      <c r="H5394" s="4" t="s">
        <v>32009</v>
      </c>
      <c r="I5394" t="s">
        <v>71</v>
      </c>
      <c r="J5394" t="s">
        <v>10782</v>
      </c>
      <c r="K5394" t="s">
        <v>32010</v>
      </c>
    </row>
    <row r="5395" spans="1:11" ht="172.8" x14ac:dyDescent="0.3">
      <c r="A5395" s="4" t="s">
        <v>3621</v>
      </c>
      <c r="B5395">
        <v>2</v>
      </c>
      <c r="C5395">
        <v>2015</v>
      </c>
      <c r="D5395" t="s">
        <v>2853</v>
      </c>
      <c r="E5395">
        <v>39</v>
      </c>
      <c r="F5395" t="s">
        <v>32011</v>
      </c>
      <c r="G5395" t="s">
        <v>32012</v>
      </c>
      <c r="H5395" s="4" t="s">
        <v>32013</v>
      </c>
      <c r="I5395" t="s">
        <v>71</v>
      </c>
      <c r="J5395" t="s">
        <v>10782</v>
      </c>
      <c r="K5395" t="s">
        <v>32014</v>
      </c>
    </row>
    <row r="5396" spans="1:11" ht="158.4" x14ac:dyDescent="0.3">
      <c r="A5396" s="4" t="s">
        <v>3396</v>
      </c>
      <c r="B5396">
        <v>1</v>
      </c>
      <c r="C5396">
        <v>2015</v>
      </c>
      <c r="D5396" t="s">
        <v>964</v>
      </c>
      <c r="E5396">
        <v>21</v>
      </c>
      <c r="F5396" t="s">
        <v>32015</v>
      </c>
      <c r="G5396" t="s">
        <v>32016</v>
      </c>
      <c r="H5396" s="4" t="s">
        <v>32017</v>
      </c>
      <c r="I5396" t="s">
        <v>71</v>
      </c>
      <c r="J5396" t="s">
        <v>10782</v>
      </c>
      <c r="K5396" t="s">
        <v>32018</v>
      </c>
    </row>
    <row r="5397" spans="1:11" ht="187.2" x14ac:dyDescent="0.3">
      <c r="A5397" s="4" t="s">
        <v>8302</v>
      </c>
      <c r="B5397">
        <v>3</v>
      </c>
      <c r="C5397">
        <v>2015</v>
      </c>
      <c r="D5397" t="s">
        <v>32019</v>
      </c>
      <c r="E5397">
        <v>3</v>
      </c>
      <c r="F5397" t="s">
        <v>32020</v>
      </c>
      <c r="G5397" t="s">
        <v>32021</v>
      </c>
      <c r="H5397" s="4" t="s">
        <v>32022</v>
      </c>
      <c r="I5397" t="s">
        <v>71</v>
      </c>
      <c r="J5397" t="s">
        <v>10782</v>
      </c>
      <c r="K5397" t="s">
        <v>32023</v>
      </c>
    </row>
    <row r="5398" spans="1:11" ht="201.6" x14ac:dyDescent="0.3">
      <c r="A5398" s="4" t="s">
        <v>8303</v>
      </c>
      <c r="B5398">
        <v>3</v>
      </c>
      <c r="C5398">
        <v>2015</v>
      </c>
      <c r="D5398" t="s">
        <v>1877</v>
      </c>
      <c r="E5398">
        <v>9</v>
      </c>
      <c r="F5398" t="s">
        <v>32024</v>
      </c>
      <c r="G5398" t="s">
        <v>32025</v>
      </c>
      <c r="H5398" s="4" t="s">
        <v>32026</v>
      </c>
      <c r="I5398" t="s">
        <v>71</v>
      </c>
      <c r="J5398" t="s">
        <v>10782</v>
      </c>
      <c r="K5398" t="s">
        <v>32027</v>
      </c>
    </row>
    <row r="5399" spans="1:11" ht="172.8" x14ac:dyDescent="0.3">
      <c r="A5399" s="4" t="s">
        <v>8304</v>
      </c>
      <c r="B5399">
        <v>3</v>
      </c>
      <c r="C5399">
        <v>2015</v>
      </c>
      <c r="D5399" t="s">
        <v>1746</v>
      </c>
      <c r="E5399">
        <v>19</v>
      </c>
      <c r="F5399" t="s">
        <v>32028</v>
      </c>
      <c r="G5399" t="s">
        <v>32029</v>
      </c>
      <c r="H5399" s="4" t="s">
        <v>32030</v>
      </c>
      <c r="I5399" t="s">
        <v>71</v>
      </c>
      <c r="J5399" t="s">
        <v>10782</v>
      </c>
      <c r="K5399" t="s">
        <v>32031</v>
      </c>
    </row>
    <row r="5400" spans="1:11" ht="201.6" x14ac:dyDescent="0.3">
      <c r="A5400" s="4" t="s">
        <v>8305</v>
      </c>
      <c r="B5400">
        <v>3</v>
      </c>
      <c r="C5400">
        <v>2015</v>
      </c>
      <c r="D5400" t="s">
        <v>1570</v>
      </c>
      <c r="E5400">
        <v>82</v>
      </c>
      <c r="F5400" t="s">
        <v>32032</v>
      </c>
      <c r="G5400" t="s">
        <v>32033</v>
      </c>
      <c r="H5400" s="4" t="s">
        <v>32034</v>
      </c>
      <c r="I5400" t="s">
        <v>71</v>
      </c>
      <c r="J5400" t="s">
        <v>10782</v>
      </c>
      <c r="K5400" t="s">
        <v>32035</v>
      </c>
    </row>
    <row r="5401" spans="1:11" ht="129.6" x14ac:dyDescent="0.3">
      <c r="A5401" s="4" t="s">
        <v>8306</v>
      </c>
      <c r="B5401">
        <v>3</v>
      </c>
      <c r="C5401">
        <v>2015</v>
      </c>
      <c r="D5401" t="s">
        <v>32036</v>
      </c>
      <c r="E5401">
        <v>5</v>
      </c>
      <c r="F5401" t="s">
        <v>32037</v>
      </c>
      <c r="G5401" t="s">
        <v>32038</v>
      </c>
      <c r="H5401" s="4" t="s">
        <v>32039</v>
      </c>
      <c r="I5401" t="s">
        <v>71</v>
      </c>
      <c r="J5401" t="s">
        <v>10782</v>
      </c>
      <c r="K5401" t="s">
        <v>32040</v>
      </c>
    </row>
    <row r="5402" spans="1:11" ht="201.6" x14ac:dyDescent="0.3">
      <c r="A5402" s="4" t="s">
        <v>3622</v>
      </c>
      <c r="B5402">
        <v>2</v>
      </c>
      <c r="C5402">
        <v>2015</v>
      </c>
      <c r="D5402" t="s">
        <v>799</v>
      </c>
      <c r="E5402">
        <v>128</v>
      </c>
      <c r="F5402" t="s">
        <v>32041</v>
      </c>
      <c r="G5402" t="s">
        <v>32042</v>
      </c>
      <c r="H5402" s="4" t="s">
        <v>32043</v>
      </c>
      <c r="I5402" t="s">
        <v>71</v>
      </c>
      <c r="J5402" t="s">
        <v>10782</v>
      </c>
      <c r="K5402" t="s">
        <v>32044</v>
      </c>
    </row>
    <row r="5403" spans="1:11" ht="259.2" x14ac:dyDescent="0.3">
      <c r="A5403" s="4" t="s">
        <v>8307</v>
      </c>
      <c r="B5403">
        <v>3</v>
      </c>
      <c r="C5403">
        <v>2015</v>
      </c>
      <c r="D5403" t="s">
        <v>830</v>
      </c>
      <c r="E5403">
        <v>36</v>
      </c>
      <c r="F5403" t="s">
        <v>32045</v>
      </c>
      <c r="G5403" t="s">
        <v>32046</v>
      </c>
      <c r="H5403" s="4" t="s">
        <v>32047</v>
      </c>
      <c r="I5403" t="s">
        <v>71</v>
      </c>
      <c r="J5403" t="s">
        <v>10782</v>
      </c>
      <c r="K5403" t="s">
        <v>32048</v>
      </c>
    </row>
    <row r="5404" spans="1:11" ht="129.6" x14ac:dyDescent="0.3">
      <c r="A5404" s="4" t="s">
        <v>8308</v>
      </c>
      <c r="B5404">
        <v>3</v>
      </c>
      <c r="C5404">
        <v>2015</v>
      </c>
      <c r="D5404" t="s">
        <v>11598</v>
      </c>
      <c r="E5404">
        <v>97</v>
      </c>
      <c r="F5404" t="s">
        <v>32049</v>
      </c>
      <c r="G5404" t="s">
        <v>32050</v>
      </c>
      <c r="H5404" s="4" t="s">
        <v>32051</v>
      </c>
      <c r="I5404" t="s">
        <v>71</v>
      </c>
      <c r="J5404" t="s">
        <v>10782</v>
      </c>
      <c r="K5404" t="s">
        <v>32052</v>
      </c>
    </row>
    <row r="5405" spans="1:11" ht="144" x14ac:dyDescent="0.3">
      <c r="A5405" s="4" t="s">
        <v>8309</v>
      </c>
      <c r="B5405">
        <v>3</v>
      </c>
      <c r="C5405">
        <v>2015</v>
      </c>
      <c r="D5405" t="s">
        <v>18480</v>
      </c>
      <c r="E5405">
        <v>30</v>
      </c>
      <c r="F5405" t="s">
        <v>32053</v>
      </c>
      <c r="G5405" t="s">
        <v>32054</v>
      </c>
      <c r="H5405" s="4" t="s">
        <v>32055</v>
      </c>
      <c r="I5405" t="s">
        <v>71</v>
      </c>
      <c r="J5405" t="s">
        <v>10782</v>
      </c>
      <c r="K5405" t="s">
        <v>32056</v>
      </c>
    </row>
    <row r="5406" spans="1:11" ht="158.4" x14ac:dyDescent="0.3">
      <c r="A5406" s="4" t="s">
        <v>8310</v>
      </c>
      <c r="B5406">
        <v>3</v>
      </c>
      <c r="C5406">
        <v>2015</v>
      </c>
      <c r="D5406" t="s">
        <v>1794</v>
      </c>
      <c r="E5406">
        <v>27</v>
      </c>
      <c r="F5406" t="s">
        <v>32057</v>
      </c>
      <c r="G5406" t="s">
        <v>32058</v>
      </c>
      <c r="H5406" s="4" t="s">
        <v>32059</v>
      </c>
      <c r="I5406" t="s">
        <v>71</v>
      </c>
      <c r="J5406" t="s">
        <v>10782</v>
      </c>
      <c r="K5406" t="s">
        <v>32060</v>
      </c>
    </row>
    <row r="5407" spans="1:11" ht="100.8" x14ac:dyDescent="0.3">
      <c r="A5407" s="4" t="s">
        <v>8311</v>
      </c>
      <c r="B5407">
        <v>3</v>
      </c>
      <c r="C5407">
        <v>2015</v>
      </c>
      <c r="D5407" t="s">
        <v>14796</v>
      </c>
      <c r="E5407">
        <v>7</v>
      </c>
      <c r="F5407" t="s">
        <v>32061</v>
      </c>
      <c r="G5407" t="s">
        <v>32062</v>
      </c>
      <c r="H5407" s="4" t="s">
        <v>32063</v>
      </c>
      <c r="I5407" t="s">
        <v>71</v>
      </c>
      <c r="J5407" t="s">
        <v>10782</v>
      </c>
      <c r="K5407" t="s">
        <v>32064</v>
      </c>
    </row>
    <row r="5408" spans="1:11" ht="28.8" x14ac:dyDescent="0.3">
      <c r="A5408" s="4" t="s">
        <v>8312</v>
      </c>
      <c r="B5408">
        <v>3</v>
      </c>
      <c r="C5408">
        <v>2015</v>
      </c>
      <c r="D5408" t="s">
        <v>329</v>
      </c>
      <c r="E5408">
        <v>13</v>
      </c>
      <c r="F5408" t="s">
        <v>32065</v>
      </c>
      <c r="G5408" t="s">
        <v>32066</v>
      </c>
      <c r="H5408" s="4" t="s">
        <v>32067</v>
      </c>
    </row>
    <row r="5409" spans="1:11" ht="187.2" x14ac:dyDescent="0.3">
      <c r="A5409" s="4" t="s">
        <v>8313</v>
      </c>
      <c r="B5409">
        <v>3</v>
      </c>
      <c r="C5409">
        <v>2015</v>
      </c>
      <c r="D5409" t="s">
        <v>550</v>
      </c>
      <c r="E5409">
        <v>51</v>
      </c>
      <c r="F5409" t="s">
        <v>32068</v>
      </c>
      <c r="G5409" t="s">
        <v>32069</v>
      </c>
      <c r="H5409" s="4" t="s">
        <v>32070</v>
      </c>
      <c r="I5409" t="s">
        <v>71</v>
      </c>
      <c r="J5409" t="s">
        <v>10782</v>
      </c>
      <c r="K5409" t="s">
        <v>32071</v>
      </c>
    </row>
    <row r="5410" spans="1:11" ht="158.4" x14ac:dyDescent="0.3">
      <c r="A5410" s="4" t="s">
        <v>8314</v>
      </c>
      <c r="B5410">
        <v>3</v>
      </c>
      <c r="C5410">
        <v>2015</v>
      </c>
      <c r="D5410" t="s">
        <v>1688</v>
      </c>
      <c r="E5410">
        <v>37</v>
      </c>
      <c r="F5410" t="s">
        <v>32072</v>
      </c>
      <c r="G5410" t="s">
        <v>32073</v>
      </c>
      <c r="H5410" s="4" t="s">
        <v>32074</v>
      </c>
    </row>
    <row r="5411" spans="1:11" ht="158.4" x14ac:dyDescent="0.3">
      <c r="A5411" s="4" t="s">
        <v>8315</v>
      </c>
      <c r="B5411">
        <v>3</v>
      </c>
      <c r="C5411">
        <v>2015</v>
      </c>
      <c r="D5411" t="s">
        <v>2853</v>
      </c>
      <c r="E5411">
        <v>8</v>
      </c>
      <c r="F5411" t="s">
        <v>32075</v>
      </c>
      <c r="G5411" t="s">
        <v>32076</v>
      </c>
      <c r="H5411" s="4" t="s">
        <v>32077</v>
      </c>
      <c r="I5411" t="s">
        <v>71</v>
      </c>
      <c r="J5411" t="s">
        <v>10782</v>
      </c>
      <c r="K5411" t="s">
        <v>32078</v>
      </c>
    </row>
    <row r="5412" spans="1:11" ht="158.4" x14ac:dyDescent="0.3">
      <c r="A5412" s="4" t="s">
        <v>8316</v>
      </c>
      <c r="B5412">
        <v>3</v>
      </c>
      <c r="C5412">
        <v>2015</v>
      </c>
      <c r="D5412" t="s">
        <v>1770</v>
      </c>
      <c r="E5412">
        <v>43</v>
      </c>
      <c r="F5412" t="s">
        <v>32079</v>
      </c>
      <c r="G5412" t="s">
        <v>32080</v>
      </c>
      <c r="H5412" s="4" t="s">
        <v>32081</v>
      </c>
      <c r="I5412" t="s">
        <v>71</v>
      </c>
      <c r="J5412" t="s">
        <v>10782</v>
      </c>
      <c r="K5412" t="s">
        <v>32082</v>
      </c>
    </row>
    <row r="5413" spans="1:11" ht="216" x14ac:dyDescent="0.3">
      <c r="A5413" s="4" t="s">
        <v>8317</v>
      </c>
      <c r="B5413">
        <v>3</v>
      </c>
      <c r="C5413">
        <v>2015</v>
      </c>
      <c r="D5413" t="s">
        <v>811</v>
      </c>
      <c r="E5413">
        <v>30</v>
      </c>
      <c r="F5413" t="s">
        <v>32083</v>
      </c>
      <c r="G5413" t="s">
        <v>32084</v>
      </c>
      <c r="H5413" s="4" t="s">
        <v>32085</v>
      </c>
      <c r="I5413" t="s">
        <v>71</v>
      </c>
      <c r="J5413" t="s">
        <v>10782</v>
      </c>
      <c r="K5413" t="s">
        <v>32086</v>
      </c>
    </row>
    <row r="5414" spans="1:11" ht="172.8" x14ac:dyDescent="0.3">
      <c r="A5414" s="4" t="s">
        <v>8318</v>
      </c>
      <c r="B5414">
        <v>3</v>
      </c>
      <c r="C5414">
        <v>2015</v>
      </c>
      <c r="D5414" t="s">
        <v>1088</v>
      </c>
      <c r="E5414">
        <v>173</v>
      </c>
      <c r="F5414" t="s">
        <v>32087</v>
      </c>
      <c r="G5414" t="s">
        <v>32088</v>
      </c>
      <c r="H5414" s="4" t="s">
        <v>32089</v>
      </c>
      <c r="I5414" t="s">
        <v>71</v>
      </c>
      <c r="J5414" t="s">
        <v>10782</v>
      </c>
      <c r="K5414" t="s">
        <v>32090</v>
      </c>
    </row>
    <row r="5415" spans="1:11" ht="360" x14ac:dyDescent="0.3">
      <c r="A5415" s="4" t="s">
        <v>8319</v>
      </c>
      <c r="B5415">
        <v>3</v>
      </c>
      <c r="C5415">
        <v>2015</v>
      </c>
      <c r="D5415" t="s">
        <v>17900</v>
      </c>
      <c r="E5415">
        <v>13</v>
      </c>
      <c r="F5415" t="s">
        <v>32091</v>
      </c>
      <c r="G5415" t="s">
        <v>32092</v>
      </c>
      <c r="H5415" s="4" t="s">
        <v>32093</v>
      </c>
    </row>
    <row r="5416" spans="1:11" ht="144" x14ac:dyDescent="0.3">
      <c r="A5416" s="4" t="s">
        <v>8320</v>
      </c>
      <c r="B5416">
        <v>3</v>
      </c>
      <c r="C5416">
        <v>2015</v>
      </c>
      <c r="D5416" t="s">
        <v>1175</v>
      </c>
      <c r="E5416">
        <v>10</v>
      </c>
      <c r="F5416" t="s">
        <v>32094</v>
      </c>
      <c r="G5416" t="s">
        <v>32095</v>
      </c>
      <c r="H5416" s="4" t="s">
        <v>32096</v>
      </c>
    </row>
    <row r="5417" spans="1:11" ht="100.8" x14ac:dyDescent="0.3">
      <c r="A5417" s="4" t="s">
        <v>8321</v>
      </c>
      <c r="B5417">
        <v>3</v>
      </c>
      <c r="C5417">
        <v>2015</v>
      </c>
      <c r="D5417" t="s">
        <v>11521</v>
      </c>
      <c r="E5417">
        <v>17</v>
      </c>
      <c r="F5417" t="s">
        <v>32097</v>
      </c>
      <c r="G5417" t="s">
        <v>32098</v>
      </c>
      <c r="H5417" s="4" t="s">
        <v>32099</v>
      </c>
      <c r="I5417" t="s">
        <v>71</v>
      </c>
      <c r="J5417" t="s">
        <v>10782</v>
      </c>
      <c r="K5417" t="s">
        <v>32100</v>
      </c>
    </row>
    <row r="5418" spans="1:11" ht="72" x14ac:dyDescent="0.3">
      <c r="A5418" s="4" t="s">
        <v>3623</v>
      </c>
      <c r="B5418">
        <v>2</v>
      </c>
      <c r="C5418">
        <v>2015</v>
      </c>
      <c r="D5418" t="s">
        <v>11574</v>
      </c>
      <c r="E5418">
        <v>143</v>
      </c>
      <c r="F5418" t="s">
        <v>32101</v>
      </c>
      <c r="G5418" t="s">
        <v>32102</v>
      </c>
      <c r="H5418" s="4" t="s">
        <v>32103</v>
      </c>
    </row>
    <row r="5419" spans="1:11" ht="216" x14ac:dyDescent="0.3">
      <c r="A5419" s="4" t="s">
        <v>8322</v>
      </c>
      <c r="B5419">
        <v>3</v>
      </c>
      <c r="C5419">
        <v>2015</v>
      </c>
      <c r="D5419" t="s">
        <v>32104</v>
      </c>
      <c r="E5419">
        <v>21</v>
      </c>
      <c r="F5419" t="s">
        <v>32105</v>
      </c>
      <c r="G5419" t="s">
        <v>32106</v>
      </c>
      <c r="H5419" s="4" t="s">
        <v>32107</v>
      </c>
      <c r="I5419" t="s">
        <v>71</v>
      </c>
      <c r="J5419" t="s">
        <v>10782</v>
      </c>
      <c r="K5419" t="s">
        <v>32108</v>
      </c>
    </row>
    <row r="5420" spans="1:11" ht="129.6" x14ac:dyDescent="0.3">
      <c r="A5420" s="4" t="s">
        <v>8323</v>
      </c>
      <c r="B5420">
        <v>3</v>
      </c>
      <c r="C5420">
        <v>2015</v>
      </c>
      <c r="D5420" t="s">
        <v>15454</v>
      </c>
      <c r="E5420">
        <v>10</v>
      </c>
      <c r="F5420" t="s">
        <v>32109</v>
      </c>
      <c r="G5420" t="s">
        <v>32110</v>
      </c>
      <c r="H5420" s="4" t="s">
        <v>32111</v>
      </c>
      <c r="I5420" t="s">
        <v>71</v>
      </c>
      <c r="J5420" t="s">
        <v>10782</v>
      </c>
      <c r="K5420" t="s">
        <v>32112</v>
      </c>
    </row>
    <row r="5421" spans="1:11" ht="187.2" x14ac:dyDescent="0.3">
      <c r="A5421" s="4" t="s">
        <v>3397</v>
      </c>
      <c r="B5421">
        <v>1</v>
      </c>
      <c r="C5421">
        <v>2015</v>
      </c>
      <c r="D5421" t="s">
        <v>550</v>
      </c>
      <c r="E5421">
        <v>12</v>
      </c>
      <c r="F5421" t="s">
        <v>32113</v>
      </c>
      <c r="G5421" t="s">
        <v>32114</v>
      </c>
      <c r="H5421" s="4" t="s">
        <v>32115</v>
      </c>
      <c r="I5421" t="s">
        <v>71</v>
      </c>
      <c r="J5421" t="s">
        <v>10782</v>
      </c>
      <c r="K5421" t="s">
        <v>32116</v>
      </c>
    </row>
    <row r="5422" spans="1:11" ht="129.6" x14ac:dyDescent="0.3">
      <c r="A5422" s="4" t="s">
        <v>8324</v>
      </c>
      <c r="B5422">
        <v>3</v>
      </c>
      <c r="C5422">
        <v>2015</v>
      </c>
      <c r="D5422" t="s">
        <v>811</v>
      </c>
      <c r="E5422">
        <v>20</v>
      </c>
      <c r="F5422" t="s">
        <v>32117</v>
      </c>
      <c r="G5422" t="s">
        <v>32118</v>
      </c>
      <c r="H5422" s="4" t="s">
        <v>32119</v>
      </c>
      <c r="I5422" t="s">
        <v>71</v>
      </c>
      <c r="J5422" t="s">
        <v>10782</v>
      </c>
      <c r="K5422" t="s">
        <v>32120</v>
      </c>
    </row>
    <row r="5423" spans="1:11" ht="158.4" x14ac:dyDescent="0.3">
      <c r="A5423" s="4" t="s">
        <v>8325</v>
      </c>
      <c r="B5423">
        <v>3</v>
      </c>
      <c r="C5423">
        <v>2015</v>
      </c>
      <c r="D5423" t="s">
        <v>799</v>
      </c>
      <c r="E5423">
        <v>13</v>
      </c>
      <c r="F5423" t="s">
        <v>32121</v>
      </c>
      <c r="G5423" t="s">
        <v>32122</v>
      </c>
      <c r="H5423" s="4" t="s">
        <v>32123</v>
      </c>
      <c r="I5423" t="s">
        <v>71</v>
      </c>
      <c r="J5423" t="s">
        <v>10782</v>
      </c>
      <c r="K5423" t="s">
        <v>32124</v>
      </c>
    </row>
    <row r="5424" spans="1:11" ht="201.6" x14ac:dyDescent="0.3">
      <c r="A5424" s="4" t="s">
        <v>8326</v>
      </c>
      <c r="B5424">
        <v>3</v>
      </c>
      <c r="C5424">
        <v>2015</v>
      </c>
      <c r="D5424" t="s">
        <v>2853</v>
      </c>
      <c r="E5424">
        <v>91</v>
      </c>
      <c r="F5424" t="s">
        <v>32125</v>
      </c>
      <c r="G5424" t="s">
        <v>32126</v>
      </c>
      <c r="H5424" s="4" t="s">
        <v>32127</v>
      </c>
      <c r="I5424" t="s">
        <v>71</v>
      </c>
      <c r="J5424" t="s">
        <v>10782</v>
      </c>
      <c r="K5424" t="s">
        <v>32128</v>
      </c>
    </row>
    <row r="5425" spans="1:11" ht="129.6" x14ac:dyDescent="0.3">
      <c r="A5425" s="4" t="s">
        <v>8327</v>
      </c>
      <c r="B5425">
        <v>3</v>
      </c>
      <c r="C5425">
        <v>2015</v>
      </c>
      <c r="D5425" t="s">
        <v>329</v>
      </c>
      <c r="E5425">
        <v>20</v>
      </c>
      <c r="F5425" t="s">
        <v>32129</v>
      </c>
      <c r="G5425" t="s">
        <v>32130</v>
      </c>
      <c r="H5425" s="4" t="s">
        <v>32131</v>
      </c>
      <c r="I5425" t="s">
        <v>71</v>
      </c>
      <c r="J5425" t="s">
        <v>10782</v>
      </c>
      <c r="K5425" t="s">
        <v>32132</v>
      </c>
    </row>
    <row r="5426" spans="1:11" ht="115.2" x14ac:dyDescent="0.3">
      <c r="A5426" s="4" t="s">
        <v>8328</v>
      </c>
      <c r="B5426">
        <v>3</v>
      </c>
      <c r="C5426">
        <v>2015</v>
      </c>
      <c r="D5426" t="s">
        <v>14623</v>
      </c>
      <c r="E5426">
        <v>25</v>
      </c>
      <c r="F5426" t="s">
        <v>32133</v>
      </c>
      <c r="G5426" t="s">
        <v>32134</v>
      </c>
      <c r="H5426" s="4" t="s">
        <v>32135</v>
      </c>
      <c r="I5426" t="s">
        <v>71</v>
      </c>
      <c r="J5426" t="s">
        <v>10782</v>
      </c>
      <c r="K5426" t="s">
        <v>32136</v>
      </c>
    </row>
    <row r="5427" spans="1:11" ht="259.2" x14ac:dyDescent="0.3">
      <c r="A5427" s="4" t="s">
        <v>8329</v>
      </c>
      <c r="B5427">
        <v>3</v>
      </c>
      <c r="C5427">
        <v>2015</v>
      </c>
      <c r="D5427" t="s">
        <v>1175</v>
      </c>
      <c r="E5427">
        <v>42</v>
      </c>
      <c r="F5427" t="s">
        <v>32137</v>
      </c>
      <c r="G5427" t="s">
        <v>32138</v>
      </c>
      <c r="H5427" s="4" t="s">
        <v>32139</v>
      </c>
      <c r="I5427" t="s">
        <v>71</v>
      </c>
      <c r="J5427" t="s">
        <v>10782</v>
      </c>
      <c r="K5427" t="s">
        <v>32140</v>
      </c>
    </row>
    <row r="5428" spans="1:11" ht="86.4" x14ac:dyDescent="0.3">
      <c r="A5428" s="4" t="s">
        <v>8330</v>
      </c>
      <c r="B5428">
        <v>3</v>
      </c>
      <c r="C5428">
        <v>2015</v>
      </c>
      <c r="D5428" t="s">
        <v>918</v>
      </c>
      <c r="E5428">
        <v>34</v>
      </c>
      <c r="F5428" t="s">
        <v>32141</v>
      </c>
      <c r="G5428" t="s">
        <v>32142</v>
      </c>
      <c r="H5428" s="4" t="s">
        <v>32143</v>
      </c>
    </row>
    <row r="5429" spans="1:11" ht="230.4" x14ac:dyDescent="0.3">
      <c r="A5429" s="4" t="s">
        <v>8331</v>
      </c>
      <c r="B5429">
        <v>3</v>
      </c>
      <c r="C5429">
        <v>2015</v>
      </c>
      <c r="D5429" t="s">
        <v>329</v>
      </c>
      <c r="E5429">
        <v>22</v>
      </c>
      <c r="F5429" t="s">
        <v>32144</v>
      </c>
      <c r="G5429" t="s">
        <v>32145</v>
      </c>
      <c r="H5429" s="4" t="s">
        <v>32146</v>
      </c>
      <c r="I5429" t="s">
        <v>71</v>
      </c>
      <c r="J5429" t="s">
        <v>10782</v>
      </c>
      <c r="K5429" t="s">
        <v>32147</v>
      </c>
    </row>
    <row r="5430" spans="1:11" ht="172.8" x14ac:dyDescent="0.3">
      <c r="A5430" s="4" t="s">
        <v>8332</v>
      </c>
      <c r="B5430">
        <v>3</v>
      </c>
      <c r="C5430">
        <v>2015</v>
      </c>
      <c r="D5430" t="s">
        <v>329</v>
      </c>
      <c r="E5430">
        <v>58</v>
      </c>
      <c r="F5430" t="s">
        <v>32148</v>
      </c>
      <c r="G5430" t="s">
        <v>32149</v>
      </c>
      <c r="H5430" s="4" t="s">
        <v>32150</v>
      </c>
      <c r="I5430" t="s">
        <v>71</v>
      </c>
      <c r="J5430" t="s">
        <v>10782</v>
      </c>
      <c r="K5430" t="s">
        <v>32151</v>
      </c>
    </row>
    <row r="5431" spans="1:11" ht="144" x14ac:dyDescent="0.3">
      <c r="A5431" s="4" t="s">
        <v>8333</v>
      </c>
      <c r="B5431">
        <v>3</v>
      </c>
      <c r="C5431">
        <v>2015</v>
      </c>
      <c r="D5431" t="s">
        <v>14013</v>
      </c>
      <c r="E5431">
        <v>98</v>
      </c>
      <c r="F5431" t="s">
        <v>32152</v>
      </c>
      <c r="G5431" t="s">
        <v>32153</v>
      </c>
      <c r="H5431" s="4" t="s">
        <v>32154</v>
      </c>
      <c r="I5431" t="s">
        <v>71</v>
      </c>
      <c r="J5431" t="s">
        <v>10782</v>
      </c>
      <c r="K5431" t="s">
        <v>32155</v>
      </c>
    </row>
    <row r="5432" spans="1:11" ht="28.8" x14ac:dyDescent="0.3">
      <c r="A5432" s="4" t="s">
        <v>8334</v>
      </c>
      <c r="B5432">
        <v>3</v>
      </c>
      <c r="C5432">
        <v>2015</v>
      </c>
      <c r="D5432" t="s">
        <v>217</v>
      </c>
      <c r="E5432">
        <v>75</v>
      </c>
      <c r="F5432" t="s">
        <v>32156</v>
      </c>
      <c r="G5432" t="s">
        <v>32157</v>
      </c>
      <c r="H5432" s="4" t="s">
        <v>32158</v>
      </c>
    </row>
    <row r="5433" spans="1:11" ht="144" x14ac:dyDescent="0.3">
      <c r="A5433" s="4" t="s">
        <v>8335</v>
      </c>
      <c r="B5433">
        <v>3</v>
      </c>
      <c r="C5433">
        <v>2015</v>
      </c>
      <c r="D5433" t="s">
        <v>11674</v>
      </c>
      <c r="E5433">
        <v>122</v>
      </c>
      <c r="F5433" t="s">
        <v>32159</v>
      </c>
      <c r="G5433" t="s">
        <v>32160</v>
      </c>
      <c r="H5433" s="4" t="s">
        <v>32161</v>
      </c>
      <c r="I5433" t="s">
        <v>71</v>
      </c>
      <c r="J5433" t="s">
        <v>10782</v>
      </c>
      <c r="K5433" t="s">
        <v>32162</v>
      </c>
    </row>
    <row r="5434" spans="1:11" ht="86.4" x14ac:dyDescent="0.3">
      <c r="A5434" s="4" t="s">
        <v>8336</v>
      </c>
      <c r="B5434">
        <v>3</v>
      </c>
      <c r="C5434">
        <v>2015</v>
      </c>
      <c r="D5434" t="s">
        <v>1570</v>
      </c>
      <c r="E5434">
        <v>7</v>
      </c>
      <c r="F5434" t="s">
        <v>32163</v>
      </c>
      <c r="G5434" t="s">
        <v>32164</v>
      </c>
      <c r="H5434" s="4" t="s">
        <v>32165</v>
      </c>
    </row>
    <row r="5435" spans="1:11" ht="172.8" x14ac:dyDescent="0.3">
      <c r="A5435" s="4" t="s">
        <v>8337</v>
      </c>
      <c r="B5435">
        <v>3</v>
      </c>
      <c r="C5435">
        <v>2015</v>
      </c>
      <c r="D5435" t="s">
        <v>550</v>
      </c>
      <c r="E5435">
        <v>7</v>
      </c>
      <c r="F5435" t="s">
        <v>32166</v>
      </c>
      <c r="G5435" t="s">
        <v>32167</v>
      </c>
      <c r="H5435" s="4" t="s">
        <v>32168</v>
      </c>
      <c r="I5435" t="s">
        <v>71</v>
      </c>
      <c r="J5435" t="s">
        <v>10782</v>
      </c>
      <c r="K5435" t="s">
        <v>32169</v>
      </c>
    </row>
    <row r="5436" spans="1:11" ht="72" x14ac:dyDescent="0.3">
      <c r="A5436" s="4" t="s">
        <v>3398</v>
      </c>
      <c r="B5436">
        <v>1</v>
      </c>
      <c r="C5436">
        <v>2015</v>
      </c>
      <c r="D5436" t="s">
        <v>1570</v>
      </c>
      <c r="E5436">
        <v>31</v>
      </c>
      <c r="F5436" t="s">
        <v>32170</v>
      </c>
      <c r="G5436" t="s">
        <v>32171</v>
      </c>
      <c r="H5436" s="4" t="s">
        <v>32172</v>
      </c>
    </row>
    <row r="5437" spans="1:11" ht="187.2" x14ac:dyDescent="0.3">
      <c r="A5437" s="4" t="s">
        <v>8338</v>
      </c>
      <c r="B5437">
        <v>3</v>
      </c>
      <c r="C5437">
        <v>2015</v>
      </c>
      <c r="D5437" t="s">
        <v>2030</v>
      </c>
      <c r="E5437">
        <v>30</v>
      </c>
      <c r="F5437" t="s">
        <v>32173</v>
      </c>
      <c r="G5437" t="s">
        <v>32174</v>
      </c>
      <c r="H5437" s="4" t="s">
        <v>32175</v>
      </c>
      <c r="I5437" t="s">
        <v>71</v>
      </c>
      <c r="J5437" t="s">
        <v>10782</v>
      </c>
      <c r="K5437" t="s">
        <v>32176</v>
      </c>
    </row>
    <row r="5438" spans="1:11" ht="201.6" x14ac:dyDescent="0.3">
      <c r="A5438" s="4" t="s">
        <v>8339</v>
      </c>
      <c r="B5438">
        <v>3</v>
      </c>
      <c r="C5438">
        <v>2015</v>
      </c>
      <c r="D5438" t="s">
        <v>2853</v>
      </c>
      <c r="E5438">
        <v>65</v>
      </c>
      <c r="F5438" t="s">
        <v>32177</v>
      </c>
      <c r="G5438" t="s">
        <v>32178</v>
      </c>
      <c r="H5438" s="4" t="s">
        <v>32179</v>
      </c>
      <c r="I5438" t="s">
        <v>10823</v>
      </c>
      <c r="J5438" t="s">
        <v>10782</v>
      </c>
      <c r="K5438" t="s">
        <v>32180</v>
      </c>
    </row>
    <row r="5439" spans="1:11" ht="230.4" x14ac:dyDescent="0.3">
      <c r="A5439" s="4" t="s">
        <v>8340</v>
      </c>
      <c r="B5439">
        <v>3</v>
      </c>
      <c r="C5439">
        <v>2015</v>
      </c>
      <c r="D5439" t="s">
        <v>80</v>
      </c>
      <c r="E5439">
        <v>26</v>
      </c>
      <c r="F5439" t="s">
        <v>32181</v>
      </c>
      <c r="G5439" t="s">
        <v>32182</v>
      </c>
      <c r="H5439" s="4" t="s">
        <v>32183</v>
      </c>
      <c r="I5439" t="s">
        <v>71</v>
      </c>
      <c r="J5439" t="s">
        <v>10782</v>
      </c>
      <c r="K5439" t="s">
        <v>32184</v>
      </c>
    </row>
    <row r="5440" spans="1:11" ht="201.6" x14ac:dyDescent="0.3">
      <c r="A5440" s="4" t="s">
        <v>8341</v>
      </c>
      <c r="B5440">
        <v>3</v>
      </c>
      <c r="C5440">
        <v>2015</v>
      </c>
      <c r="D5440" t="s">
        <v>13914</v>
      </c>
      <c r="E5440">
        <v>21</v>
      </c>
      <c r="F5440" t="s">
        <v>32185</v>
      </c>
      <c r="G5440" t="s">
        <v>32186</v>
      </c>
      <c r="H5440" s="4" t="s">
        <v>32187</v>
      </c>
      <c r="I5440" t="s">
        <v>71</v>
      </c>
      <c r="J5440" t="s">
        <v>10782</v>
      </c>
      <c r="K5440" t="s">
        <v>32188</v>
      </c>
    </row>
    <row r="5441" spans="1:11" ht="158.4" x14ac:dyDescent="0.3">
      <c r="A5441" s="4" t="s">
        <v>8342</v>
      </c>
      <c r="B5441">
        <v>3</v>
      </c>
      <c r="C5441">
        <v>2015</v>
      </c>
      <c r="D5441" t="s">
        <v>918</v>
      </c>
      <c r="E5441">
        <v>22</v>
      </c>
      <c r="F5441" t="s">
        <v>32189</v>
      </c>
      <c r="G5441" t="s">
        <v>32190</v>
      </c>
      <c r="H5441" s="4" t="s">
        <v>32191</v>
      </c>
    </row>
    <row r="5442" spans="1:11" ht="115.2" x14ac:dyDescent="0.3">
      <c r="A5442" s="4" t="s">
        <v>3399</v>
      </c>
      <c r="B5442">
        <v>1</v>
      </c>
      <c r="C5442">
        <v>2015</v>
      </c>
      <c r="D5442" t="s">
        <v>26411</v>
      </c>
      <c r="E5442">
        <v>1</v>
      </c>
      <c r="F5442" t="s">
        <v>32192</v>
      </c>
      <c r="G5442" t="s">
        <v>32193</v>
      </c>
      <c r="H5442" s="4" t="s">
        <v>32194</v>
      </c>
    </row>
    <row r="5443" spans="1:11" ht="158.4" x14ac:dyDescent="0.3">
      <c r="A5443" s="4" t="s">
        <v>8343</v>
      </c>
      <c r="B5443">
        <v>3</v>
      </c>
      <c r="C5443">
        <v>2015</v>
      </c>
      <c r="D5443" t="s">
        <v>1570</v>
      </c>
      <c r="E5443">
        <v>63</v>
      </c>
      <c r="F5443" t="s">
        <v>32195</v>
      </c>
      <c r="G5443" t="s">
        <v>32196</v>
      </c>
      <c r="H5443" s="4" t="s">
        <v>32197</v>
      </c>
    </row>
    <row r="5444" spans="1:11" ht="43.2" x14ac:dyDescent="0.3">
      <c r="A5444" s="4" t="s">
        <v>8344</v>
      </c>
      <c r="B5444">
        <v>3</v>
      </c>
      <c r="C5444">
        <v>2015</v>
      </c>
      <c r="D5444" t="s">
        <v>14553</v>
      </c>
      <c r="E5444">
        <v>79</v>
      </c>
      <c r="F5444" t="s">
        <v>32198</v>
      </c>
      <c r="G5444" t="s">
        <v>32199</v>
      </c>
      <c r="H5444" s="4" t="s">
        <v>32200</v>
      </c>
    </row>
    <row r="5445" spans="1:11" ht="187.2" x14ac:dyDescent="0.3">
      <c r="A5445" s="4" t="s">
        <v>8345</v>
      </c>
      <c r="B5445">
        <v>3</v>
      </c>
      <c r="C5445">
        <v>2015</v>
      </c>
      <c r="D5445" t="s">
        <v>25007</v>
      </c>
      <c r="E5445">
        <v>324</v>
      </c>
      <c r="F5445" t="s">
        <v>32201</v>
      </c>
      <c r="G5445" t="s">
        <v>32202</v>
      </c>
      <c r="H5445" s="4" t="s">
        <v>32203</v>
      </c>
      <c r="I5445" t="s">
        <v>71</v>
      </c>
      <c r="J5445" t="s">
        <v>10782</v>
      </c>
      <c r="K5445" t="s">
        <v>32204</v>
      </c>
    </row>
    <row r="5446" spans="1:11" ht="72" x14ac:dyDescent="0.3">
      <c r="A5446" s="4" t="s">
        <v>3624</v>
      </c>
      <c r="B5446">
        <v>2</v>
      </c>
      <c r="C5446">
        <v>2015</v>
      </c>
      <c r="D5446" t="s">
        <v>550</v>
      </c>
      <c r="E5446">
        <v>31</v>
      </c>
      <c r="F5446" t="s">
        <v>32205</v>
      </c>
      <c r="G5446" t="s">
        <v>32206</v>
      </c>
      <c r="H5446" s="4" t="s">
        <v>32207</v>
      </c>
    </row>
    <row r="5447" spans="1:11" ht="28.8" x14ac:dyDescent="0.3">
      <c r="A5447" s="4" t="s">
        <v>8346</v>
      </c>
      <c r="B5447">
        <v>3</v>
      </c>
      <c r="C5447">
        <v>2015</v>
      </c>
      <c r="D5447" t="s">
        <v>1570</v>
      </c>
      <c r="E5447">
        <v>170</v>
      </c>
      <c r="F5447" t="s">
        <v>32208</v>
      </c>
      <c r="G5447" t="s">
        <v>32209</v>
      </c>
      <c r="H5447" s="4" t="s">
        <v>32210</v>
      </c>
    </row>
    <row r="5448" spans="1:11" ht="86.4" x14ac:dyDescent="0.3">
      <c r="A5448" s="4" t="s">
        <v>2937</v>
      </c>
      <c r="B5448">
        <v>2</v>
      </c>
      <c r="C5448">
        <v>2015</v>
      </c>
      <c r="D5448" t="s">
        <v>177</v>
      </c>
      <c r="E5448">
        <v>25</v>
      </c>
      <c r="F5448" t="s">
        <v>32211</v>
      </c>
      <c r="G5448" t="s">
        <v>32212</v>
      </c>
      <c r="H5448" s="4" t="s">
        <v>32213</v>
      </c>
    </row>
    <row r="5449" spans="1:11" ht="172.8" x14ac:dyDescent="0.3">
      <c r="A5449" s="4" t="s">
        <v>8347</v>
      </c>
      <c r="B5449">
        <v>3</v>
      </c>
      <c r="C5449">
        <v>2015</v>
      </c>
      <c r="D5449" t="s">
        <v>528</v>
      </c>
      <c r="E5449">
        <v>38</v>
      </c>
      <c r="F5449" t="s">
        <v>32214</v>
      </c>
      <c r="G5449" t="s">
        <v>32215</v>
      </c>
      <c r="H5449" s="4" t="s">
        <v>32216</v>
      </c>
      <c r="I5449" t="s">
        <v>71</v>
      </c>
      <c r="J5449" t="s">
        <v>10782</v>
      </c>
      <c r="K5449" t="s">
        <v>32217</v>
      </c>
    </row>
    <row r="5450" spans="1:11" ht="43.2" x14ac:dyDescent="0.3">
      <c r="A5450" s="4" t="s">
        <v>8348</v>
      </c>
      <c r="B5450">
        <v>3</v>
      </c>
      <c r="C5450">
        <v>2015</v>
      </c>
      <c r="D5450" t="s">
        <v>32218</v>
      </c>
      <c r="E5450">
        <v>5</v>
      </c>
      <c r="F5450" t="s">
        <v>32219</v>
      </c>
      <c r="G5450" t="s">
        <v>32220</v>
      </c>
      <c r="H5450" s="4" t="s">
        <v>17311</v>
      </c>
      <c r="I5450" t="s">
        <v>71</v>
      </c>
      <c r="J5450" t="s">
        <v>10782</v>
      </c>
      <c r="K5450" t="s">
        <v>32221</v>
      </c>
    </row>
    <row r="5451" spans="1:11" ht="216" x14ac:dyDescent="0.3">
      <c r="A5451" s="4" t="s">
        <v>3625</v>
      </c>
      <c r="B5451">
        <v>2</v>
      </c>
      <c r="C5451">
        <v>2015</v>
      </c>
      <c r="D5451" t="s">
        <v>217</v>
      </c>
      <c r="E5451">
        <v>79</v>
      </c>
      <c r="F5451" t="s">
        <v>32222</v>
      </c>
      <c r="G5451" t="s">
        <v>32223</v>
      </c>
      <c r="H5451" s="4" t="s">
        <v>32224</v>
      </c>
      <c r="I5451" t="s">
        <v>71</v>
      </c>
      <c r="J5451" t="s">
        <v>10782</v>
      </c>
      <c r="K5451" t="s">
        <v>32225</v>
      </c>
    </row>
    <row r="5452" spans="1:11" ht="201.6" x14ac:dyDescent="0.3">
      <c r="A5452" s="4" t="s">
        <v>8349</v>
      </c>
      <c r="B5452">
        <v>3</v>
      </c>
      <c r="C5452">
        <v>2015</v>
      </c>
      <c r="D5452" t="s">
        <v>217</v>
      </c>
      <c r="E5452">
        <v>2</v>
      </c>
      <c r="F5452" t="s">
        <v>32226</v>
      </c>
      <c r="G5452" t="s">
        <v>32227</v>
      </c>
      <c r="H5452" s="4" t="s">
        <v>32228</v>
      </c>
      <c r="I5452" t="s">
        <v>71</v>
      </c>
      <c r="J5452" t="s">
        <v>10782</v>
      </c>
      <c r="K5452" t="s">
        <v>32229</v>
      </c>
    </row>
    <row r="5453" spans="1:11" ht="201.6" x14ac:dyDescent="0.3">
      <c r="A5453" s="4" t="s">
        <v>8350</v>
      </c>
      <c r="B5453">
        <v>3</v>
      </c>
      <c r="C5453">
        <v>2015</v>
      </c>
      <c r="D5453" t="s">
        <v>1525</v>
      </c>
      <c r="E5453">
        <v>45</v>
      </c>
      <c r="F5453" t="s">
        <v>32230</v>
      </c>
      <c r="G5453" t="s">
        <v>32231</v>
      </c>
      <c r="H5453" s="4" t="s">
        <v>32232</v>
      </c>
      <c r="I5453" t="s">
        <v>71</v>
      </c>
      <c r="J5453" t="s">
        <v>10782</v>
      </c>
      <c r="K5453" t="s">
        <v>32233</v>
      </c>
    </row>
    <row r="5454" spans="1:11" ht="230.4" x14ac:dyDescent="0.3">
      <c r="A5454" s="4" t="s">
        <v>8351</v>
      </c>
      <c r="B5454">
        <v>3</v>
      </c>
      <c r="C5454">
        <v>2015</v>
      </c>
      <c r="D5454" t="s">
        <v>15254</v>
      </c>
      <c r="E5454">
        <v>44</v>
      </c>
      <c r="F5454" t="s">
        <v>32234</v>
      </c>
      <c r="G5454" t="s">
        <v>32235</v>
      </c>
      <c r="H5454" s="4" t="s">
        <v>32236</v>
      </c>
      <c r="I5454" t="s">
        <v>71</v>
      </c>
      <c r="J5454" t="s">
        <v>10782</v>
      </c>
      <c r="K5454" t="s">
        <v>32237</v>
      </c>
    </row>
    <row r="5455" spans="1:11" ht="172.8" x14ac:dyDescent="0.3">
      <c r="A5455" s="4" t="s">
        <v>8352</v>
      </c>
      <c r="B5455">
        <v>3</v>
      </c>
      <c r="C5455">
        <v>2015</v>
      </c>
      <c r="D5455" t="s">
        <v>1175</v>
      </c>
      <c r="E5455">
        <v>57</v>
      </c>
      <c r="F5455" t="s">
        <v>32238</v>
      </c>
      <c r="G5455" t="s">
        <v>32239</v>
      </c>
      <c r="H5455" s="4" t="s">
        <v>32240</v>
      </c>
      <c r="I5455" t="s">
        <v>71</v>
      </c>
      <c r="J5455" t="s">
        <v>10782</v>
      </c>
      <c r="K5455" t="s">
        <v>32241</v>
      </c>
    </row>
    <row r="5456" spans="1:11" ht="201.6" x14ac:dyDescent="0.3">
      <c r="A5456" s="4" t="s">
        <v>8353</v>
      </c>
      <c r="B5456">
        <v>3</v>
      </c>
      <c r="C5456">
        <v>2015</v>
      </c>
      <c r="D5456" t="s">
        <v>217</v>
      </c>
      <c r="E5456">
        <v>13</v>
      </c>
      <c r="F5456" t="s">
        <v>32242</v>
      </c>
      <c r="G5456" t="s">
        <v>32243</v>
      </c>
      <c r="H5456" s="4" t="s">
        <v>32244</v>
      </c>
      <c r="I5456" t="s">
        <v>71</v>
      </c>
      <c r="J5456" t="s">
        <v>10782</v>
      </c>
      <c r="K5456" t="s">
        <v>32245</v>
      </c>
    </row>
    <row r="5457" spans="1:11" ht="187.2" x14ac:dyDescent="0.3">
      <c r="A5457" s="4" t="s">
        <v>3626</v>
      </c>
      <c r="B5457">
        <v>2</v>
      </c>
      <c r="C5457">
        <v>2015</v>
      </c>
      <c r="D5457" t="s">
        <v>405</v>
      </c>
      <c r="E5457">
        <v>278</v>
      </c>
      <c r="F5457" t="s">
        <v>32246</v>
      </c>
      <c r="G5457" t="s">
        <v>32247</v>
      </c>
      <c r="H5457" s="4" t="s">
        <v>32248</v>
      </c>
      <c r="I5457" t="s">
        <v>10823</v>
      </c>
      <c r="J5457" t="s">
        <v>10782</v>
      </c>
      <c r="K5457" t="s">
        <v>32249</v>
      </c>
    </row>
    <row r="5458" spans="1:11" ht="158.4" x14ac:dyDescent="0.3">
      <c r="A5458" s="4" t="s">
        <v>8354</v>
      </c>
      <c r="B5458">
        <v>3</v>
      </c>
      <c r="C5458">
        <v>2015</v>
      </c>
      <c r="D5458" t="s">
        <v>1877</v>
      </c>
      <c r="E5458">
        <v>6</v>
      </c>
      <c r="F5458" t="s">
        <v>32250</v>
      </c>
      <c r="G5458" t="s">
        <v>32251</v>
      </c>
      <c r="H5458" s="4" t="s">
        <v>32252</v>
      </c>
      <c r="I5458" t="s">
        <v>71</v>
      </c>
      <c r="J5458" t="s">
        <v>10782</v>
      </c>
      <c r="K5458" t="s">
        <v>32253</v>
      </c>
    </row>
    <row r="5459" spans="1:11" ht="72" x14ac:dyDescent="0.3">
      <c r="A5459" s="4" t="s">
        <v>8355</v>
      </c>
      <c r="B5459">
        <v>3</v>
      </c>
      <c r="C5459">
        <v>2015</v>
      </c>
      <c r="D5459" t="s">
        <v>1770</v>
      </c>
      <c r="E5459">
        <v>144</v>
      </c>
      <c r="F5459" t="s">
        <v>32254</v>
      </c>
      <c r="G5459" t="s">
        <v>32255</v>
      </c>
      <c r="H5459" s="4" t="s">
        <v>32256</v>
      </c>
    </row>
    <row r="5460" spans="1:11" ht="158.4" x14ac:dyDescent="0.3">
      <c r="A5460" s="4" t="s">
        <v>8356</v>
      </c>
      <c r="B5460">
        <v>3</v>
      </c>
      <c r="C5460">
        <v>2015</v>
      </c>
      <c r="D5460" t="s">
        <v>15162</v>
      </c>
      <c r="E5460">
        <v>84</v>
      </c>
      <c r="F5460" t="s">
        <v>32257</v>
      </c>
      <c r="G5460" t="s">
        <v>32258</v>
      </c>
      <c r="H5460" s="4" t="s">
        <v>32259</v>
      </c>
    </row>
    <row r="5461" spans="1:11" ht="158.4" x14ac:dyDescent="0.3">
      <c r="A5461" s="4" t="s">
        <v>2938</v>
      </c>
      <c r="B5461">
        <v>2</v>
      </c>
      <c r="C5461">
        <v>2015</v>
      </c>
      <c r="D5461" t="s">
        <v>550</v>
      </c>
      <c r="E5461">
        <v>25</v>
      </c>
      <c r="F5461" t="s">
        <v>32260</v>
      </c>
      <c r="G5461" t="s">
        <v>32261</v>
      </c>
      <c r="H5461" s="4" t="s">
        <v>32262</v>
      </c>
      <c r="I5461" t="s">
        <v>71</v>
      </c>
      <c r="J5461" t="s">
        <v>10782</v>
      </c>
      <c r="K5461" t="s">
        <v>32263</v>
      </c>
    </row>
    <row r="5462" spans="1:11" ht="57.6" x14ac:dyDescent="0.3">
      <c r="A5462" s="4" t="s">
        <v>8357</v>
      </c>
      <c r="B5462">
        <v>3</v>
      </c>
      <c r="C5462">
        <v>2015</v>
      </c>
      <c r="D5462" t="s">
        <v>1570</v>
      </c>
      <c r="E5462">
        <v>4</v>
      </c>
      <c r="F5462" t="s">
        <v>32264</v>
      </c>
      <c r="G5462" t="s">
        <v>32265</v>
      </c>
      <c r="H5462" s="4" t="s">
        <v>32266</v>
      </c>
    </row>
    <row r="5463" spans="1:11" ht="201.6" x14ac:dyDescent="0.3">
      <c r="A5463" s="4" t="s">
        <v>8358</v>
      </c>
      <c r="B5463">
        <v>3</v>
      </c>
      <c r="C5463">
        <v>2015</v>
      </c>
      <c r="D5463" t="s">
        <v>2375</v>
      </c>
      <c r="E5463">
        <v>119</v>
      </c>
      <c r="F5463" t="s">
        <v>32267</v>
      </c>
      <c r="G5463" t="s">
        <v>32268</v>
      </c>
      <c r="H5463" s="4" t="s">
        <v>32269</v>
      </c>
      <c r="I5463" t="s">
        <v>71</v>
      </c>
      <c r="J5463" t="s">
        <v>10782</v>
      </c>
      <c r="K5463" t="s">
        <v>32270</v>
      </c>
    </row>
    <row r="5464" spans="1:11" ht="100.8" x14ac:dyDescent="0.3">
      <c r="A5464" s="4" t="s">
        <v>8359</v>
      </c>
      <c r="B5464">
        <v>3</v>
      </c>
      <c r="C5464">
        <v>2015</v>
      </c>
      <c r="D5464" t="s">
        <v>1530</v>
      </c>
      <c r="E5464">
        <v>19</v>
      </c>
      <c r="F5464" t="s">
        <v>32271</v>
      </c>
      <c r="G5464" t="s">
        <v>32272</v>
      </c>
      <c r="H5464" s="4" t="s">
        <v>32273</v>
      </c>
    </row>
    <row r="5465" spans="1:11" ht="187.2" x14ac:dyDescent="0.3">
      <c r="A5465" s="4" t="s">
        <v>8360</v>
      </c>
      <c r="B5465">
        <v>3</v>
      </c>
      <c r="C5465">
        <v>2015</v>
      </c>
      <c r="D5465" t="s">
        <v>83</v>
      </c>
      <c r="E5465">
        <v>33</v>
      </c>
      <c r="F5465" t="s">
        <v>32274</v>
      </c>
      <c r="G5465" t="s">
        <v>32275</v>
      </c>
      <c r="H5465" s="4" t="s">
        <v>32276</v>
      </c>
      <c r="I5465" t="s">
        <v>71</v>
      </c>
      <c r="J5465" t="s">
        <v>10782</v>
      </c>
      <c r="K5465" t="s">
        <v>32277</v>
      </c>
    </row>
    <row r="5466" spans="1:11" ht="129.6" x14ac:dyDescent="0.3">
      <c r="A5466" s="4" t="s">
        <v>8361</v>
      </c>
      <c r="B5466">
        <v>3</v>
      </c>
      <c r="C5466">
        <v>2015</v>
      </c>
      <c r="D5466" t="s">
        <v>217</v>
      </c>
      <c r="E5466">
        <v>89</v>
      </c>
      <c r="F5466" t="s">
        <v>32278</v>
      </c>
      <c r="G5466" t="s">
        <v>32279</v>
      </c>
      <c r="H5466" s="4" t="s">
        <v>32280</v>
      </c>
      <c r="I5466" t="s">
        <v>71</v>
      </c>
      <c r="J5466" t="s">
        <v>10782</v>
      </c>
      <c r="K5466" t="s">
        <v>32281</v>
      </c>
    </row>
    <row r="5467" spans="1:11" ht="158.4" x14ac:dyDescent="0.3">
      <c r="A5467" s="4" t="s">
        <v>8362</v>
      </c>
      <c r="B5467">
        <v>3</v>
      </c>
      <c r="C5467">
        <v>2015</v>
      </c>
      <c r="D5467" t="s">
        <v>11310</v>
      </c>
      <c r="E5467">
        <v>5</v>
      </c>
      <c r="F5467" t="s">
        <v>32282</v>
      </c>
      <c r="G5467" t="s">
        <v>32283</v>
      </c>
      <c r="H5467" s="4" t="s">
        <v>32284</v>
      </c>
      <c r="I5467" t="s">
        <v>71</v>
      </c>
      <c r="J5467" t="s">
        <v>10782</v>
      </c>
      <c r="K5467" t="s">
        <v>32285</v>
      </c>
    </row>
    <row r="5468" spans="1:11" ht="172.8" x14ac:dyDescent="0.3">
      <c r="A5468" s="4" t="s">
        <v>8363</v>
      </c>
      <c r="B5468">
        <v>3</v>
      </c>
      <c r="C5468">
        <v>2015</v>
      </c>
      <c r="D5468" t="s">
        <v>11826</v>
      </c>
      <c r="E5468">
        <v>11</v>
      </c>
      <c r="F5468" t="s">
        <v>32286</v>
      </c>
      <c r="G5468" t="s">
        <v>32287</v>
      </c>
      <c r="H5468" s="4" t="s">
        <v>32288</v>
      </c>
      <c r="I5468" t="s">
        <v>71</v>
      </c>
      <c r="J5468" t="s">
        <v>10782</v>
      </c>
      <c r="K5468" t="s">
        <v>32289</v>
      </c>
    </row>
    <row r="5469" spans="1:11" ht="129.6" x14ac:dyDescent="0.3">
      <c r="A5469" s="4" t="s">
        <v>8364</v>
      </c>
      <c r="B5469">
        <v>3</v>
      </c>
      <c r="C5469">
        <v>2015</v>
      </c>
      <c r="D5469" t="s">
        <v>385</v>
      </c>
      <c r="E5469">
        <v>62</v>
      </c>
      <c r="F5469" t="s">
        <v>32290</v>
      </c>
      <c r="G5469" t="s">
        <v>32291</v>
      </c>
      <c r="H5469" s="4" t="s">
        <v>32292</v>
      </c>
      <c r="I5469" t="s">
        <v>71</v>
      </c>
      <c r="J5469" t="s">
        <v>10782</v>
      </c>
      <c r="K5469" t="s">
        <v>32293</v>
      </c>
    </row>
    <row r="5470" spans="1:11" ht="230.4" x14ac:dyDescent="0.3">
      <c r="A5470" s="4" t="s">
        <v>8365</v>
      </c>
      <c r="B5470">
        <v>3</v>
      </c>
      <c r="C5470">
        <v>2015</v>
      </c>
      <c r="D5470" t="s">
        <v>217</v>
      </c>
      <c r="E5470">
        <v>17</v>
      </c>
      <c r="F5470" t="s">
        <v>32294</v>
      </c>
      <c r="G5470" t="s">
        <v>32295</v>
      </c>
      <c r="H5470" s="4" t="s">
        <v>32296</v>
      </c>
      <c r="I5470" t="s">
        <v>71</v>
      </c>
      <c r="J5470" t="s">
        <v>10782</v>
      </c>
      <c r="K5470" t="s">
        <v>32297</v>
      </c>
    </row>
    <row r="5471" spans="1:11" ht="144" x14ac:dyDescent="0.3">
      <c r="A5471" s="4" t="s">
        <v>3627</v>
      </c>
      <c r="B5471">
        <v>2</v>
      </c>
      <c r="C5471">
        <v>2015</v>
      </c>
      <c r="D5471" t="s">
        <v>1794</v>
      </c>
      <c r="E5471">
        <v>8</v>
      </c>
      <c r="F5471" t="s">
        <v>32298</v>
      </c>
      <c r="G5471" t="s">
        <v>32299</v>
      </c>
      <c r="H5471" s="4" t="s">
        <v>32300</v>
      </c>
      <c r="I5471" t="s">
        <v>71</v>
      </c>
      <c r="J5471" t="s">
        <v>10782</v>
      </c>
      <c r="K5471" t="s">
        <v>32301</v>
      </c>
    </row>
    <row r="5472" spans="1:11" ht="259.2" x14ac:dyDescent="0.3">
      <c r="A5472" s="4" t="s">
        <v>8366</v>
      </c>
      <c r="B5472">
        <v>3</v>
      </c>
      <c r="C5472">
        <v>2015</v>
      </c>
      <c r="D5472" t="s">
        <v>80</v>
      </c>
      <c r="E5472">
        <v>74</v>
      </c>
      <c r="F5472" t="s">
        <v>32302</v>
      </c>
      <c r="G5472" t="s">
        <v>32303</v>
      </c>
      <c r="H5472" s="4" t="s">
        <v>32304</v>
      </c>
      <c r="I5472" t="s">
        <v>71</v>
      </c>
      <c r="J5472" t="s">
        <v>10782</v>
      </c>
      <c r="K5472" t="s">
        <v>32305</v>
      </c>
    </row>
    <row r="5473" spans="1:11" ht="72" x14ac:dyDescent="0.3">
      <c r="A5473" s="4" t="s">
        <v>8367</v>
      </c>
      <c r="B5473">
        <v>3</v>
      </c>
      <c r="C5473">
        <v>2015</v>
      </c>
      <c r="D5473" t="s">
        <v>16937</v>
      </c>
      <c r="E5473">
        <v>15</v>
      </c>
      <c r="F5473" t="s">
        <v>32306</v>
      </c>
      <c r="G5473" t="s">
        <v>32307</v>
      </c>
      <c r="H5473" s="4" t="s">
        <v>32308</v>
      </c>
      <c r="I5473" t="s">
        <v>71</v>
      </c>
      <c r="J5473" t="s">
        <v>10782</v>
      </c>
      <c r="K5473" t="s">
        <v>32309</v>
      </c>
    </row>
    <row r="5474" spans="1:11" ht="100.8" x14ac:dyDescent="0.3">
      <c r="A5474" s="4" t="s">
        <v>3628</v>
      </c>
      <c r="B5474">
        <v>2</v>
      </c>
      <c r="C5474">
        <v>2015</v>
      </c>
      <c r="D5474" t="s">
        <v>329</v>
      </c>
      <c r="E5474">
        <v>20</v>
      </c>
      <c r="F5474" t="s">
        <v>32310</v>
      </c>
      <c r="G5474" t="s">
        <v>32311</v>
      </c>
      <c r="H5474" s="4" t="s">
        <v>32312</v>
      </c>
    </row>
    <row r="5475" spans="1:11" ht="230.4" x14ac:dyDescent="0.3">
      <c r="A5475" s="4" t="s">
        <v>8368</v>
      </c>
      <c r="B5475">
        <v>3</v>
      </c>
      <c r="C5475">
        <v>2015</v>
      </c>
      <c r="D5475" t="s">
        <v>13394</v>
      </c>
      <c r="E5475">
        <v>33</v>
      </c>
      <c r="F5475" t="s">
        <v>32313</v>
      </c>
      <c r="G5475" t="s">
        <v>32314</v>
      </c>
      <c r="H5475" s="4" t="s">
        <v>32315</v>
      </c>
      <c r="I5475" t="s">
        <v>71</v>
      </c>
      <c r="J5475" t="s">
        <v>10782</v>
      </c>
      <c r="K5475" t="s">
        <v>32316</v>
      </c>
    </row>
    <row r="5476" spans="1:11" ht="230.4" x14ac:dyDescent="0.3">
      <c r="A5476" s="4" t="s">
        <v>8369</v>
      </c>
      <c r="B5476">
        <v>3</v>
      </c>
      <c r="C5476">
        <v>2015</v>
      </c>
      <c r="D5476" t="s">
        <v>1357</v>
      </c>
      <c r="E5476">
        <v>240</v>
      </c>
      <c r="F5476" t="s">
        <v>32317</v>
      </c>
      <c r="G5476" t="s">
        <v>32318</v>
      </c>
      <c r="H5476" s="4" t="s">
        <v>32319</v>
      </c>
    </row>
    <row r="5477" spans="1:11" ht="129.6" x14ac:dyDescent="0.3">
      <c r="A5477" s="4" t="s">
        <v>8370</v>
      </c>
      <c r="B5477">
        <v>3</v>
      </c>
      <c r="C5477">
        <v>2015</v>
      </c>
      <c r="D5477" t="s">
        <v>1401</v>
      </c>
      <c r="E5477">
        <v>5</v>
      </c>
      <c r="F5477" t="s">
        <v>32320</v>
      </c>
      <c r="G5477" t="s">
        <v>32321</v>
      </c>
      <c r="H5477" s="4" t="s">
        <v>32322</v>
      </c>
      <c r="I5477" t="s">
        <v>71</v>
      </c>
      <c r="J5477" t="s">
        <v>10782</v>
      </c>
      <c r="K5477" t="s">
        <v>32323</v>
      </c>
    </row>
    <row r="5478" spans="1:11" ht="144" x14ac:dyDescent="0.3">
      <c r="A5478" s="4" t="s">
        <v>8371</v>
      </c>
      <c r="B5478">
        <v>3</v>
      </c>
      <c r="C5478">
        <v>2015</v>
      </c>
      <c r="D5478" t="s">
        <v>2030</v>
      </c>
      <c r="E5478">
        <v>37</v>
      </c>
      <c r="F5478" t="s">
        <v>32324</v>
      </c>
      <c r="G5478" t="s">
        <v>32325</v>
      </c>
      <c r="H5478" s="4" t="s">
        <v>32326</v>
      </c>
    </row>
    <row r="5479" spans="1:11" ht="144" x14ac:dyDescent="0.3">
      <c r="A5479" s="4" t="s">
        <v>8372</v>
      </c>
      <c r="B5479">
        <v>3</v>
      </c>
      <c r="C5479">
        <v>2015</v>
      </c>
      <c r="D5479" t="s">
        <v>1570</v>
      </c>
      <c r="E5479">
        <v>13</v>
      </c>
      <c r="F5479" t="s">
        <v>32327</v>
      </c>
      <c r="G5479" t="s">
        <v>32328</v>
      </c>
      <c r="H5479" s="4" t="s">
        <v>32329</v>
      </c>
      <c r="I5479" t="s">
        <v>71</v>
      </c>
      <c r="J5479" t="s">
        <v>10782</v>
      </c>
      <c r="K5479" t="s">
        <v>32330</v>
      </c>
    </row>
    <row r="5480" spans="1:11" ht="28.8" x14ac:dyDescent="0.3">
      <c r="A5480" s="4" t="s">
        <v>8373</v>
      </c>
      <c r="B5480">
        <v>3</v>
      </c>
      <c r="C5480">
        <v>2015</v>
      </c>
      <c r="D5480" t="s">
        <v>13054</v>
      </c>
      <c r="E5480">
        <v>0</v>
      </c>
      <c r="F5480" t="s">
        <v>32331</v>
      </c>
      <c r="G5480" t="s">
        <v>32332</v>
      </c>
      <c r="H5480" s="4" t="s">
        <v>71</v>
      </c>
      <c r="I5480" t="s">
        <v>10782</v>
      </c>
      <c r="J5480" t="s">
        <v>32333</v>
      </c>
    </row>
    <row r="5481" spans="1:11" ht="144" x14ac:dyDescent="0.3">
      <c r="A5481" s="4" t="s">
        <v>8374</v>
      </c>
      <c r="B5481">
        <v>3</v>
      </c>
      <c r="C5481">
        <v>2015</v>
      </c>
      <c r="D5481" t="s">
        <v>318</v>
      </c>
      <c r="E5481">
        <v>13</v>
      </c>
      <c r="F5481" t="s">
        <v>32334</v>
      </c>
      <c r="G5481" t="s">
        <v>32335</v>
      </c>
      <c r="H5481" s="4" t="s">
        <v>32336</v>
      </c>
      <c r="I5481" t="s">
        <v>71</v>
      </c>
      <c r="J5481" t="s">
        <v>10782</v>
      </c>
      <c r="K5481" t="s">
        <v>32337</v>
      </c>
    </row>
    <row r="5482" spans="1:11" ht="187.2" x14ac:dyDescent="0.3">
      <c r="A5482" s="4" t="s">
        <v>8375</v>
      </c>
      <c r="B5482">
        <v>3</v>
      </c>
      <c r="C5482">
        <v>2015</v>
      </c>
      <c r="D5482" t="s">
        <v>217</v>
      </c>
      <c r="E5482">
        <v>62</v>
      </c>
      <c r="F5482" t="s">
        <v>32338</v>
      </c>
      <c r="G5482" t="s">
        <v>32339</v>
      </c>
      <c r="H5482" s="4" t="s">
        <v>32340</v>
      </c>
      <c r="I5482" t="s">
        <v>71</v>
      </c>
      <c r="J5482" t="s">
        <v>10782</v>
      </c>
      <c r="K5482" t="s">
        <v>32341</v>
      </c>
    </row>
    <row r="5483" spans="1:11" ht="86.4" x14ac:dyDescent="0.3">
      <c r="A5483" s="4" t="s">
        <v>3400</v>
      </c>
      <c r="B5483">
        <v>1</v>
      </c>
      <c r="C5483">
        <v>2015</v>
      </c>
      <c r="D5483" t="s">
        <v>964</v>
      </c>
      <c r="E5483">
        <v>53</v>
      </c>
      <c r="F5483" t="s">
        <v>32342</v>
      </c>
      <c r="G5483" t="s">
        <v>32343</v>
      </c>
      <c r="H5483" s="4" t="s">
        <v>32344</v>
      </c>
      <c r="I5483" t="s">
        <v>71</v>
      </c>
      <c r="J5483" t="s">
        <v>10782</v>
      </c>
      <c r="K5483" t="s">
        <v>32345</v>
      </c>
    </row>
    <row r="5484" spans="1:11" ht="201.6" x14ac:dyDescent="0.3">
      <c r="A5484" s="4" t="s">
        <v>8376</v>
      </c>
      <c r="B5484">
        <v>3</v>
      </c>
      <c r="C5484">
        <v>2015</v>
      </c>
      <c r="D5484" t="s">
        <v>217</v>
      </c>
      <c r="E5484">
        <v>145</v>
      </c>
      <c r="F5484" t="s">
        <v>32346</v>
      </c>
      <c r="G5484" t="s">
        <v>32347</v>
      </c>
      <c r="H5484" s="4" t="s">
        <v>32348</v>
      </c>
      <c r="I5484" t="s">
        <v>71</v>
      </c>
      <c r="J5484" t="s">
        <v>10782</v>
      </c>
      <c r="K5484" t="s">
        <v>32349</v>
      </c>
    </row>
    <row r="5485" spans="1:11" ht="244.8" x14ac:dyDescent="0.3">
      <c r="A5485" s="4" t="s">
        <v>8377</v>
      </c>
      <c r="B5485">
        <v>3</v>
      </c>
      <c r="C5485">
        <v>2015</v>
      </c>
      <c r="D5485" t="s">
        <v>29053</v>
      </c>
      <c r="E5485">
        <v>39</v>
      </c>
      <c r="F5485" t="s">
        <v>32350</v>
      </c>
      <c r="G5485" t="s">
        <v>32351</v>
      </c>
      <c r="H5485" s="4" t="s">
        <v>32352</v>
      </c>
      <c r="I5485" t="s">
        <v>71</v>
      </c>
      <c r="J5485" t="s">
        <v>10782</v>
      </c>
      <c r="K5485" t="s">
        <v>32353</v>
      </c>
    </row>
    <row r="5486" spans="1:11" ht="115.2" x14ac:dyDescent="0.3">
      <c r="A5486" s="4" t="s">
        <v>2939</v>
      </c>
      <c r="B5486">
        <v>2</v>
      </c>
      <c r="C5486">
        <v>2015</v>
      </c>
      <c r="D5486" t="s">
        <v>2986</v>
      </c>
      <c r="E5486">
        <v>484</v>
      </c>
      <c r="F5486" t="s">
        <v>32354</v>
      </c>
      <c r="G5486" t="s">
        <v>32355</v>
      </c>
      <c r="H5486" s="4" t="s">
        <v>32356</v>
      </c>
      <c r="I5486" t="s">
        <v>71</v>
      </c>
      <c r="J5486" t="s">
        <v>10782</v>
      </c>
      <c r="K5486" t="s">
        <v>32357</v>
      </c>
    </row>
    <row r="5487" spans="1:11" ht="100.8" x14ac:dyDescent="0.3">
      <c r="A5487" s="4" t="s">
        <v>8378</v>
      </c>
      <c r="B5487">
        <v>3</v>
      </c>
      <c r="C5487">
        <v>2015</v>
      </c>
      <c r="D5487" t="s">
        <v>13394</v>
      </c>
      <c r="E5487">
        <v>12</v>
      </c>
      <c r="F5487" t="s">
        <v>32358</v>
      </c>
      <c r="G5487" t="s">
        <v>32359</v>
      </c>
      <c r="H5487" s="4" t="s">
        <v>32360</v>
      </c>
      <c r="I5487" t="s">
        <v>71</v>
      </c>
      <c r="J5487" t="s">
        <v>10782</v>
      </c>
      <c r="K5487" t="s">
        <v>32361</v>
      </c>
    </row>
    <row r="5488" spans="1:11" ht="100.8" x14ac:dyDescent="0.3">
      <c r="A5488" s="4" t="s">
        <v>8379</v>
      </c>
      <c r="B5488">
        <v>3</v>
      </c>
      <c r="C5488">
        <v>2015</v>
      </c>
      <c r="D5488" t="s">
        <v>14310</v>
      </c>
      <c r="E5488">
        <v>55</v>
      </c>
      <c r="F5488" t="s">
        <v>32362</v>
      </c>
      <c r="G5488" t="s">
        <v>32363</v>
      </c>
      <c r="H5488" s="4" t="s">
        <v>32364</v>
      </c>
    </row>
    <row r="5489" spans="1:11" ht="144" x14ac:dyDescent="0.3">
      <c r="A5489" s="4" t="s">
        <v>8380</v>
      </c>
      <c r="B5489">
        <v>3</v>
      </c>
      <c r="C5489">
        <v>2015</v>
      </c>
      <c r="D5489" t="s">
        <v>217</v>
      </c>
      <c r="E5489">
        <v>34</v>
      </c>
      <c r="F5489" t="s">
        <v>29344</v>
      </c>
      <c r="G5489" t="s">
        <v>32365</v>
      </c>
      <c r="H5489" s="4" t="s">
        <v>32366</v>
      </c>
      <c r="I5489" t="s">
        <v>71</v>
      </c>
      <c r="J5489" t="s">
        <v>10782</v>
      </c>
      <c r="K5489" t="s">
        <v>32367</v>
      </c>
    </row>
    <row r="5490" spans="1:11" ht="230.4" x14ac:dyDescent="0.3">
      <c r="A5490" s="4" t="s">
        <v>8381</v>
      </c>
      <c r="B5490">
        <v>3</v>
      </c>
      <c r="C5490">
        <v>2015</v>
      </c>
      <c r="D5490" t="s">
        <v>2030</v>
      </c>
      <c r="E5490">
        <v>132</v>
      </c>
      <c r="F5490" t="s">
        <v>32368</v>
      </c>
      <c r="G5490" t="s">
        <v>32369</v>
      </c>
      <c r="H5490" s="4" t="s">
        <v>32370</v>
      </c>
      <c r="I5490" t="s">
        <v>71</v>
      </c>
      <c r="J5490" t="s">
        <v>10782</v>
      </c>
      <c r="K5490" t="s">
        <v>32371</v>
      </c>
    </row>
    <row r="5491" spans="1:11" ht="28.8" x14ac:dyDescent="0.3">
      <c r="A5491" s="4" t="s">
        <v>8382</v>
      </c>
      <c r="B5491">
        <v>3</v>
      </c>
      <c r="C5491">
        <v>2015</v>
      </c>
      <c r="D5491" t="s">
        <v>2030</v>
      </c>
      <c r="E5491">
        <v>22</v>
      </c>
      <c r="F5491" t="s">
        <v>32372</v>
      </c>
      <c r="G5491" t="s">
        <v>32373</v>
      </c>
      <c r="H5491" s="4" t="s">
        <v>17311</v>
      </c>
      <c r="I5491" t="s">
        <v>71</v>
      </c>
      <c r="J5491" t="s">
        <v>10782</v>
      </c>
      <c r="K5491" t="s">
        <v>32374</v>
      </c>
    </row>
    <row r="5492" spans="1:11" ht="144" x14ac:dyDescent="0.3">
      <c r="A5492" s="4" t="s">
        <v>8383</v>
      </c>
      <c r="B5492">
        <v>3</v>
      </c>
      <c r="C5492">
        <v>2015</v>
      </c>
      <c r="D5492" t="s">
        <v>12593</v>
      </c>
      <c r="E5492">
        <v>10</v>
      </c>
      <c r="F5492" t="s">
        <v>32375</v>
      </c>
      <c r="G5492" t="s">
        <v>32376</v>
      </c>
      <c r="H5492" s="4" t="s">
        <v>32377</v>
      </c>
      <c r="I5492" t="s">
        <v>71</v>
      </c>
      <c r="J5492" t="s">
        <v>10782</v>
      </c>
      <c r="K5492" t="s">
        <v>32378</v>
      </c>
    </row>
    <row r="5493" spans="1:11" ht="57.6" x14ac:dyDescent="0.3">
      <c r="A5493" s="4" t="s">
        <v>8384</v>
      </c>
      <c r="B5493">
        <v>3</v>
      </c>
      <c r="C5493">
        <v>2015</v>
      </c>
      <c r="D5493" t="s">
        <v>918</v>
      </c>
      <c r="E5493">
        <v>21</v>
      </c>
      <c r="F5493" t="s">
        <v>32379</v>
      </c>
      <c r="G5493" t="s">
        <v>32380</v>
      </c>
      <c r="H5493" s="4" t="s">
        <v>32381</v>
      </c>
    </row>
    <row r="5494" spans="1:11" ht="158.4" x14ac:dyDescent="0.3">
      <c r="A5494" s="4" t="s">
        <v>3401</v>
      </c>
      <c r="B5494">
        <v>1</v>
      </c>
      <c r="C5494">
        <v>2015</v>
      </c>
      <c r="D5494" t="s">
        <v>329</v>
      </c>
      <c r="E5494">
        <v>41</v>
      </c>
      <c r="F5494" t="s">
        <v>32382</v>
      </c>
      <c r="G5494" t="s">
        <v>32383</v>
      </c>
      <c r="H5494" s="4" t="s">
        <v>32384</v>
      </c>
      <c r="I5494" t="s">
        <v>71</v>
      </c>
      <c r="J5494" t="s">
        <v>10782</v>
      </c>
      <c r="K5494" t="s">
        <v>32385</v>
      </c>
    </row>
    <row r="5495" spans="1:11" ht="216" x14ac:dyDescent="0.3">
      <c r="A5495" s="4" t="s">
        <v>8385</v>
      </c>
      <c r="B5495">
        <v>3</v>
      </c>
      <c r="C5495">
        <v>2015</v>
      </c>
      <c r="D5495" t="s">
        <v>10924</v>
      </c>
      <c r="E5495">
        <v>66</v>
      </c>
      <c r="F5495" t="s">
        <v>32386</v>
      </c>
      <c r="G5495" t="s">
        <v>32387</v>
      </c>
      <c r="H5495" s="4" t="s">
        <v>32388</v>
      </c>
      <c r="I5495" t="s">
        <v>71</v>
      </c>
      <c r="J5495" t="s">
        <v>10782</v>
      </c>
      <c r="K5495" t="s">
        <v>32389</v>
      </c>
    </row>
    <row r="5496" spans="1:11" ht="172.8" x14ac:dyDescent="0.3">
      <c r="A5496" s="4" t="s">
        <v>8386</v>
      </c>
      <c r="B5496">
        <v>3</v>
      </c>
      <c r="C5496">
        <v>2015</v>
      </c>
      <c r="D5496" t="s">
        <v>10971</v>
      </c>
      <c r="E5496">
        <v>42</v>
      </c>
      <c r="F5496" t="s">
        <v>32390</v>
      </c>
      <c r="G5496" t="s">
        <v>32391</v>
      </c>
      <c r="H5496" s="4" t="s">
        <v>32392</v>
      </c>
      <c r="I5496" t="s">
        <v>71</v>
      </c>
      <c r="J5496" t="s">
        <v>10782</v>
      </c>
      <c r="K5496" t="s">
        <v>32393</v>
      </c>
    </row>
    <row r="5497" spans="1:11" ht="259.2" x14ac:dyDescent="0.3">
      <c r="A5497" s="4" t="s">
        <v>8387</v>
      </c>
      <c r="B5497">
        <v>3</v>
      </c>
      <c r="C5497">
        <v>2015</v>
      </c>
      <c r="D5497" t="s">
        <v>15954</v>
      </c>
      <c r="E5497">
        <v>20</v>
      </c>
      <c r="F5497" t="s">
        <v>32394</v>
      </c>
      <c r="G5497" t="s">
        <v>32395</v>
      </c>
      <c r="H5497" s="4" t="s">
        <v>32396</v>
      </c>
      <c r="I5497" t="s">
        <v>71</v>
      </c>
      <c r="J5497" t="s">
        <v>10782</v>
      </c>
      <c r="K5497" t="s">
        <v>32397</v>
      </c>
    </row>
    <row r="5498" spans="1:11" ht="187.2" x14ac:dyDescent="0.3">
      <c r="A5498" s="4" t="s">
        <v>8388</v>
      </c>
      <c r="B5498">
        <v>3</v>
      </c>
      <c r="C5498">
        <v>2015</v>
      </c>
      <c r="D5498" t="s">
        <v>1915</v>
      </c>
      <c r="E5498">
        <v>51</v>
      </c>
      <c r="F5498" t="s">
        <v>32398</v>
      </c>
      <c r="G5498" t="s">
        <v>32399</v>
      </c>
      <c r="H5498" s="4" t="s">
        <v>32400</v>
      </c>
      <c r="I5498" t="s">
        <v>71</v>
      </c>
      <c r="J5498" t="s">
        <v>10782</v>
      </c>
      <c r="K5498" t="s">
        <v>32401</v>
      </c>
    </row>
    <row r="5499" spans="1:11" ht="158.4" x14ac:dyDescent="0.3">
      <c r="A5499" s="4" t="s">
        <v>8389</v>
      </c>
      <c r="B5499">
        <v>3</v>
      </c>
      <c r="C5499">
        <v>2015</v>
      </c>
      <c r="D5499" t="s">
        <v>918</v>
      </c>
      <c r="E5499">
        <v>12</v>
      </c>
      <c r="F5499" t="s">
        <v>32402</v>
      </c>
      <c r="G5499" t="s">
        <v>32403</v>
      </c>
      <c r="H5499" s="4" t="s">
        <v>32404</v>
      </c>
      <c r="I5499" t="s">
        <v>71</v>
      </c>
      <c r="J5499" t="s">
        <v>10782</v>
      </c>
      <c r="K5499" t="s">
        <v>32405</v>
      </c>
    </row>
    <row r="5500" spans="1:11" ht="230.4" x14ac:dyDescent="0.3">
      <c r="A5500" s="4" t="s">
        <v>8390</v>
      </c>
      <c r="B5500">
        <v>3</v>
      </c>
      <c r="C5500">
        <v>2015</v>
      </c>
      <c r="D5500" t="s">
        <v>32406</v>
      </c>
      <c r="E5500">
        <v>15</v>
      </c>
      <c r="F5500" t="s">
        <v>32407</v>
      </c>
      <c r="G5500" t="s">
        <v>32408</v>
      </c>
      <c r="H5500" s="4" t="s">
        <v>32409</v>
      </c>
      <c r="I5500" t="s">
        <v>71</v>
      </c>
      <c r="J5500" t="s">
        <v>10782</v>
      </c>
      <c r="K5500" t="s">
        <v>32410</v>
      </c>
    </row>
    <row r="5501" spans="1:11" ht="100.8" x14ac:dyDescent="0.3">
      <c r="A5501" s="4" t="s">
        <v>8391</v>
      </c>
      <c r="B5501">
        <v>3</v>
      </c>
      <c r="C5501">
        <v>2015</v>
      </c>
      <c r="D5501" t="s">
        <v>1802</v>
      </c>
      <c r="E5501">
        <v>5</v>
      </c>
      <c r="F5501" t="s">
        <v>32411</v>
      </c>
      <c r="G5501" t="s">
        <v>32412</v>
      </c>
      <c r="H5501" s="4" t="s">
        <v>32413</v>
      </c>
    </row>
    <row r="5502" spans="1:11" ht="129.6" x14ac:dyDescent="0.3">
      <c r="A5502" s="4" t="s">
        <v>8392</v>
      </c>
      <c r="B5502">
        <v>3</v>
      </c>
      <c r="C5502">
        <v>2015</v>
      </c>
      <c r="D5502" t="s">
        <v>12593</v>
      </c>
      <c r="E5502">
        <v>13</v>
      </c>
      <c r="F5502" t="s">
        <v>32414</v>
      </c>
      <c r="G5502" t="s">
        <v>32415</v>
      </c>
      <c r="H5502" s="4" t="s">
        <v>32416</v>
      </c>
      <c r="I5502" t="s">
        <v>71</v>
      </c>
      <c r="J5502" t="s">
        <v>10782</v>
      </c>
      <c r="K5502" t="s">
        <v>32417</v>
      </c>
    </row>
    <row r="5503" spans="1:11" ht="158.4" x14ac:dyDescent="0.3">
      <c r="A5503" s="4" t="s">
        <v>2940</v>
      </c>
      <c r="B5503">
        <v>2</v>
      </c>
      <c r="C5503">
        <v>2015</v>
      </c>
      <c r="D5503" t="s">
        <v>799</v>
      </c>
      <c r="E5503">
        <v>41</v>
      </c>
      <c r="F5503" t="s">
        <v>32418</v>
      </c>
      <c r="G5503" t="s">
        <v>32419</v>
      </c>
      <c r="H5503" s="4" t="s">
        <v>32420</v>
      </c>
      <c r="I5503" t="s">
        <v>71</v>
      </c>
      <c r="J5503" t="s">
        <v>10782</v>
      </c>
      <c r="K5503" t="s">
        <v>32421</v>
      </c>
    </row>
    <row r="5504" spans="1:11" ht="115.2" x14ac:dyDescent="0.3">
      <c r="A5504" s="4" t="s">
        <v>8393</v>
      </c>
      <c r="B5504">
        <v>3</v>
      </c>
      <c r="C5504">
        <v>2015</v>
      </c>
      <c r="D5504" t="s">
        <v>12593</v>
      </c>
      <c r="E5504">
        <v>39</v>
      </c>
      <c r="F5504" t="s">
        <v>32422</v>
      </c>
      <c r="G5504" t="s">
        <v>32423</v>
      </c>
      <c r="H5504" s="4" t="s">
        <v>32424</v>
      </c>
      <c r="I5504" t="s">
        <v>71</v>
      </c>
      <c r="J5504" t="s">
        <v>10782</v>
      </c>
      <c r="K5504" t="s">
        <v>32425</v>
      </c>
    </row>
    <row r="5505" spans="1:11" ht="158.4" x14ac:dyDescent="0.3">
      <c r="A5505" s="4" t="s">
        <v>8394</v>
      </c>
      <c r="B5505">
        <v>3</v>
      </c>
      <c r="C5505">
        <v>2015</v>
      </c>
      <c r="D5505" t="s">
        <v>27932</v>
      </c>
      <c r="E5505">
        <v>50</v>
      </c>
      <c r="F5505" t="s">
        <v>32426</v>
      </c>
      <c r="G5505" t="s">
        <v>32427</v>
      </c>
      <c r="H5505" s="4" t="s">
        <v>32428</v>
      </c>
      <c r="I5505" t="s">
        <v>71</v>
      </c>
      <c r="J5505" t="s">
        <v>10782</v>
      </c>
      <c r="K5505" t="s">
        <v>32429</v>
      </c>
    </row>
    <row r="5506" spans="1:11" ht="28.8" x14ac:dyDescent="0.3">
      <c r="A5506" s="4" t="s">
        <v>8395</v>
      </c>
      <c r="B5506">
        <v>3</v>
      </c>
      <c r="C5506">
        <v>2015</v>
      </c>
      <c r="D5506" t="s">
        <v>432</v>
      </c>
      <c r="E5506">
        <v>43</v>
      </c>
      <c r="F5506" t="s">
        <v>32430</v>
      </c>
      <c r="G5506" t="s">
        <v>32431</v>
      </c>
      <c r="H5506" s="4" t="s">
        <v>32432</v>
      </c>
    </row>
    <row r="5507" spans="1:11" ht="129.6" x14ac:dyDescent="0.3">
      <c r="A5507" s="4" t="s">
        <v>8396</v>
      </c>
      <c r="B5507">
        <v>3</v>
      </c>
      <c r="C5507">
        <v>2015</v>
      </c>
      <c r="D5507" t="s">
        <v>1770</v>
      </c>
      <c r="E5507">
        <v>36</v>
      </c>
      <c r="F5507" t="s">
        <v>32433</v>
      </c>
      <c r="G5507" t="s">
        <v>32434</v>
      </c>
      <c r="H5507" s="4" t="s">
        <v>32435</v>
      </c>
      <c r="I5507" t="s">
        <v>71</v>
      </c>
      <c r="J5507" t="s">
        <v>10782</v>
      </c>
      <c r="K5507" t="s">
        <v>32436</v>
      </c>
    </row>
    <row r="5508" spans="1:11" ht="230.4" x14ac:dyDescent="0.3">
      <c r="A5508" s="4" t="s">
        <v>1894</v>
      </c>
      <c r="B5508">
        <v>1</v>
      </c>
      <c r="C5508">
        <v>2015</v>
      </c>
      <c r="D5508" t="s">
        <v>1849</v>
      </c>
      <c r="E5508">
        <v>1863</v>
      </c>
      <c r="F5508" t="s">
        <v>32437</v>
      </c>
      <c r="G5508" t="s">
        <v>32438</v>
      </c>
      <c r="H5508" s="4" t="s">
        <v>32439</v>
      </c>
      <c r="I5508" t="s">
        <v>71</v>
      </c>
      <c r="J5508" t="s">
        <v>10782</v>
      </c>
      <c r="K5508" t="s">
        <v>32440</v>
      </c>
    </row>
    <row r="5509" spans="1:11" ht="201.6" x14ac:dyDescent="0.3">
      <c r="A5509" s="4" t="s">
        <v>8397</v>
      </c>
      <c r="B5509">
        <v>3</v>
      </c>
      <c r="C5509">
        <v>2015</v>
      </c>
      <c r="D5509" t="s">
        <v>32441</v>
      </c>
      <c r="E5509">
        <v>4</v>
      </c>
      <c r="F5509" t="s">
        <v>32442</v>
      </c>
      <c r="G5509" t="s">
        <v>32443</v>
      </c>
      <c r="H5509" s="4" t="s">
        <v>32444</v>
      </c>
      <c r="I5509" t="s">
        <v>10823</v>
      </c>
      <c r="J5509" t="s">
        <v>10782</v>
      </c>
      <c r="K5509" t="s">
        <v>32445</v>
      </c>
    </row>
    <row r="5510" spans="1:11" ht="187.2" x14ac:dyDescent="0.3">
      <c r="A5510" s="4" t="s">
        <v>8398</v>
      </c>
      <c r="B5510">
        <v>3</v>
      </c>
      <c r="C5510">
        <v>2015</v>
      </c>
      <c r="D5510" t="s">
        <v>1936</v>
      </c>
      <c r="E5510">
        <v>65</v>
      </c>
      <c r="F5510" t="s">
        <v>32446</v>
      </c>
      <c r="G5510" t="s">
        <v>32447</v>
      </c>
      <c r="H5510" s="4" t="s">
        <v>32448</v>
      </c>
      <c r="I5510" t="s">
        <v>71</v>
      </c>
      <c r="J5510" t="s">
        <v>10782</v>
      </c>
      <c r="K5510" t="s">
        <v>32449</v>
      </c>
    </row>
    <row r="5511" spans="1:11" ht="144" x14ac:dyDescent="0.3">
      <c r="A5511" s="4" t="s">
        <v>8399</v>
      </c>
      <c r="B5511">
        <v>3</v>
      </c>
      <c r="C5511">
        <v>2015</v>
      </c>
      <c r="D5511" t="s">
        <v>432</v>
      </c>
      <c r="E5511">
        <v>12</v>
      </c>
      <c r="F5511" t="s">
        <v>32450</v>
      </c>
      <c r="G5511" t="s">
        <v>32451</v>
      </c>
      <c r="H5511" s="4" t="s">
        <v>32452</v>
      </c>
      <c r="I5511" t="s">
        <v>71</v>
      </c>
      <c r="J5511" t="s">
        <v>10782</v>
      </c>
      <c r="K5511" t="s">
        <v>32453</v>
      </c>
    </row>
    <row r="5512" spans="1:11" ht="273.60000000000002" x14ac:dyDescent="0.3">
      <c r="A5512" s="4" t="s">
        <v>8400</v>
      </c>
      <c r="B5512">
        <v>3</v>
      </c>
      <c r="C5512">
        <v>2015</v>
      </c>
      <c r="D5512" t="s">
        <v>32454</v>
      </c>
      <c r="E5512">
        <v>6</v>
      </c>
      <c r="F5512" t="s">
        <v>32455</v>
      </c>
      <c r="G5512" t="s">
        <v>32456</v>
      </c>
      <c r="H5512" s="4" t="s">
        <v>32457</v>
      </c>
      <c r="I5512" t="s">
        <v>71</v>
      </c>
      <c r="J5512" t="s">
        <v>10782</v>
      </c>
      <c r="K5512" t="s">
        <v>32458</v>
      </c>
    </row>
    <row r="5513" spans="1:11" ht="216" x14ac:dyDescent="0.3">
      <c r="A5513" s="4" t="s">
        <v>8401</v>
      </c>
      <c r="B5513">
        <v>3</v>
      </c>
      <c r="C5513">
        <v>2015</v>
      </c>
      <c r="D5513" t="s">
        <v>2893</v>
      </c>
      <c r="E5513">
        <v>54</v>
      </c>
      <c r="F5513" t="s">
        <v>32459</v>
      </c>
      <c r="G5513" t="s">
        <v>32460</v>
      </c>
      <c r="H5513" s="4" t="s">
        <v>32461</v>
      </c>
      <c r="I5513" t="s">
        <v>10823</v>
      </c>
      <c r="J5513" t="s">
        <v>10782</v>
      </c>
      <c r="K5513" t="s">
        <v>32462</v>
      </c>
    </row>
    <row r="5514" spans="1:11" x14ac:dyDescent="0.3">
      <c r="A5514" s="4" t="s">
        <v>8402</v>
      </c>
      <c r="B5514">
        <v>3</v>
      </c>
      <c r="C5514">
        <v>2015</v>
      </c>
      <c r="D5514" t="s">
        <v>32463</v>
      </c>
      <c r="E5514">
        <v>3</v>
      </c>
      <c r="F5514" t="s">
        <v>32464</v>
      </c>
      <c r="G5514" t="s">
        <v>32465</v>
      </c>
    </row>
    <row r="5515" spans="1:11" ht="158.4" x14ac:dyDescent="0.3">
      <c r="A5515" s="4" t="s">
        <v>8403</v>
      </c>
      <c r="B5515">
        <v>3</v>
      </c>
      <c r="C5515">
        <v>2015</v>
      </c>
      <c r="D5515" t="s">
        <v>217</v>
      </c>
      <c r="E5515">
        <v>2</v>
      </c>
      <c r="F5515" t="s">
        <v>32466</v>
      </c>
      <c r="G5515" t="s">
        <v>32467</v>
      </c>
      <c r="H5515" s="4" t="s">
        <v>32468</v>
      </c>
      <c r="I5515" t="s">
        <v>71</v>
      </c>
      <c r="J5515" t="s">
        <v>10782</v>
      </c>
      <c r="K5515" t="s">
        <v>32469</v>
      </c>
    </row>
    <row r="5516" spans="1:11" ht="144" x14ac:dyDescent="0.3">
      <c r="A5516" s="4" t="s">
        <v>8404</v>
      </c>
      <c r="B5516">
        <v>3</v>
      </c>
      <c r="C5516">
        <v>2015</v>
      </c>
      <c r="D5516" t="s">
        <v>14147</v>
      </c>
      <c r="E5516">
        <v>23</v>
      </c>
      <c r="F5516" t="s">
        <v>32470</v>
      </c>
      <c r="G5516" t="s">
        <v>32471</v>
      </c>
      <c r="H5516" s="4" t="s">
        <v>32472</v>
      </c>
      <c r="I5516" t="s">
        <v>71</v>
      </c>
      <c r="J5516" t="s">
        <v>10782</v>
      </c>
      <c r="K5516" t="s">
        <v>32473</v>
      </c>
    </row>
    <row r="5517" spans="1:11" x14ac:dyDescent="0.3">
      <c r="A5517" s="4" t="s">
        <v>8405</v>
      </c>
      <c r="B5517">
        <v>3</v>
      </c>
      <c r="C5517">
        <v>2015</v>
      </c>
      <c r="D5517" t="s">
        <v>32474</v>
      </c>
      <c r="E5517">
        <v>0</v>
      </c>
      <c r="F5517" t="s">
        <v>32475</v>
      </c>
      <c r="G5517" t="s">
        <v>32476</v>
      </c>
      <c r="H5517" s="4" t="s">
        <v>71</v>
      </c>
      <c r="I5517" t="s">
        <v>10782</v>
      </c>
      <c r="J5517" t="s">
        <v>32477</v>
      </c>
    </row>
    <row r="5518" spans="1:11" ht="172.8" x14ac:dyDescent="0.3">
      <c r="A5518" s="4" t="s">
        <v>8406</v>
      </c>
      <c r="B5518">
        <v>3</v>
      </c>
      <c r="C5518">
        <v>2015</v>
      </c>
      <c r="D5518" t="s">
        <v>2853</v>
      </c>
      <c r="E5518">
        <v>31</v>
      </c>
      <c r="F5518" t="s">
        <v>32478</v>
      </c>
      <c r="G5518" t="s">
        <v>32479</v>
      </c>
      <c r="H5518" s="4" t="s">
        <v>32480</v>
      </c>
      <c r="I5518" t="s">
        <v>71</v>
      </c>
      <c r="J5518" t="s">
        <v>10782</v>
      </c>
      <c r="K5518" t="s">
        <v>32481</v>
      </c>
    </row>
    <row r="5519" spans="1:11" ht="129.6" x14ac:dyDescent="0.3">
      <c r="A5519" s="4" t="s">
        <v>8407</v>
      </c>
      <c r="B5519">
        <v>3</v>
      </c>
      <c r="C5519">
        <v>2015</v>
      </c>
      <c r="D5519" t="s">
        <v>528</v>
      </c>
      <c r="E5519">
        <v>16</v>
      </c>
      <c r="F5519" t="s">
        <v>32482</v>
      </c>
      <c r="G5519" t="s">
        <v>32483</v>
      </c>
      <c r="H5519" s="4" t="s">
        <v>32484</v>
      </c>
      <c r="I5519" t="s">
        <v>71</v>
      </c>
      <c r="J5519" t="s">
        <v>10782</v>
      </c>
      <c r="K5519" t="s">
        <v>32485</v>
      </c>
    </row>
    <row r="5520" spans="1:11" ht="129.6" x14ac:dyDescent="0.3">
      <c r="A5520" s="4" t="s">
        <v>8408</v>
      </c>
      <c r="B5520">
        <v>3</v>
      </c>
      <c r="C5520">
        <v>2015</v>
      </c>
      <c r="D5520" t="s">
        <v>32486</v>
      </c>
      <c r="E5520">
        <v>1</v>
      </c>
      <c r="F5520" t="s">
        <v>32487</v>
      </c>
      <c r="G5520" t="s">
        <v>32488</v>
      </c>
      <c r="H5520" s="4" t="s">
        <v>32489</v>
      </c>
      <c r="I5520" t="s">
        <v>71</v>
      </c>
      <c r="J5520" t="s">
        <v>10782</v>
      </c>
      <c r="K5520" t="s">
        <v>32490</v>
      </c>
    </row>
    <row r="5521" spans="1:11" ht="201.6" x14ac:dyDescent="0.3">
      <c r="A5521" s="4" t="s">
        <v>8409</v>
      </c>
      <c r="B5521">
        <v>3</v>
      </c>
      <c r="C5521">
        <v>2015</v>
      </c>
      <c r="D5521" t="s">
        <v>10971</v>
      </c>
      <c r="E5521">
        <v>33</v>
      </c>
      <c r="F5521" t="s">
        <v>32491</v>
      </c>
      <c r="G5521" t="s">
        <v>32492</v>
      </c>
      <c r="H5521" s="4" t="s">
        <v>32493</v>
      </c>
      <c r="I5521" t="s">
        <v>71</v>
      </c>
      <c r="J5521" t="s">
        <v>10782</v>
      </c>
      <c r="K5521" t="s">
        <v>32494</v>
      </c>
    </row>
    <row r="5522" spans="1:11" ht="158.4" x14ac:dyDescent="0.3">
      <c r="A5522" s="4" t="s">
        <v>8410</v>
      </c>
      <c r="B5522">
        <v>3</v>
      </c>
      <c r="C5522">
        <v>2015</v>
      </c>
      <c r="D5522" t="s">
        <v>11598</v>
      </c>
      <c r="E5522">
        <v>55</v>
      </c>
      <c r="F5522" t="s">
        <v>32495</v>
      </c>
      <c r="G5522" t="s">
        <v>32496</v>
      </c>
      <c r="H5522" s="4" t="s">
        <v>32497</v>
      </c>
      <c r="I5522" t="s">
        <v>10823</v>
      </c>
      <c r="J5522" t="s">
        <v>10782</v>
      </c>
      <c r="K5522" t="s">
        <v>32498</v>
      </c>
    </row>
    <row r="5523" spans="1:11" ht="273.60000000000002" x14ac:dyDescent="0.3">
      <c r="A5523" s="4" t="s">
        <v>8411</v>
      </c>
      <c r="B5523">
        <v>3</v>
      </c>
      <c r="C5523">
        <v>2015</v>
      </c>
      <c r="D5523" t="s">
        <v>11598</v>
      </c>
      <c r="E5523">
        <v>167</v>
      </c>
      <c r="F5523" t="s">
        <v>32499</v>
      </c>
      <c r="G5523" t="s">
        <v>32500</v>
      </c>
      <c r="H5523" s="4" t="s">
        <v>32501</v>
      </c>
      <c r="I5523" t="s">
        <v>71</v>
      </c>
      <c r="J5523" t="s">
        <v>10782</v>
      </c>
      <c r="K5523" t="s">
        <v>32502</v>
      </c>
    </row>
    <row r="5524" spans="1:11" ht="28.8" x14ac:dyDescent="0.3">
      <c r="A5524" s="4" t="s">
        <v>8412</v>
      </c>
      <c r="B5524">
        <v>3</v>
      </c>
      <c r="C5524">
        <v>2015</v>
      </c>
      <c r="D5524" t="s">
        <v>23292</v>
      </c>
      <c r="E5524">
        <v>3</v>
      </c>
      <c r="F5524" t="s">
        <v>32503</v>
      </c>
      <c r="G5524" t="s">
        <v>32504</v>
      </c>
      <c r="H5524" s="4" t="s">
        <v>71</v>
      </c>
      <c r="I5524" t="s">
        <v>10782</v>
      </c>
      <c r="J5524" t="s">
        <v>32505</v>
      </c>
    </row>
    <row r="5525" spans="1:11" ht="43.2" x14ac:dyDescent="0.3">
      <c r="A5525" s="4" t="s">
        <v>3402</v>
      </c>
      <c r="B5525">
        <v>1</v>
      </c>
      <c r="C5525">
        <v>2015</v>
      </c>
      <c r="D5525" t="s">
        <v>318</v>
      </c>
      <c r="E5525">
        <v>43</v>
      </c>
      <c r="F5525" t="s">
        <v>32506</v>
      </c>
      <c r="G5525" t="s">
        <v>32507</v>
      </c>
      <c r="H5525" s="4" t="s">
        <v>32508</v>
      </c>
    </row>
    <row r="5526" spans="1:11" ht="187.2" x14ac:dyDescent="0.3">
      <c r="A5526" s="4" t="s">
        <v>8413</v>
      </c>
      <c r="B5526">
        <v>3</v>
      </c>
      <c r="C5526">
        <v>2015</v>
      </c>
      <c r="D5526" t="s">
        <v>2018</v>
      </c>
      <c r="E5526">
        <v>36</v>
      </c>
      <c r="F5526" t="s">
        <v>32509</v>
      </c>
      <c r="G5526" t="s">
        <v>32510</v>
      </c>
      <c r="H5526" s="4" t="s">
        <v>32511</v>
      </c>
      <c r="I5526" t="s">
        <v>71</v>
      </c>
      <c r="J5526" t="s">
        <v>10782</v>
      </c>
      <c r="K5526" t="s">
        <v>32512</v>
      </c>
    </row>
    <row r="5527" spans="1:11" ht="187.2" x14ac:dyDescent="0.3">
      <c r="A5527" s="4" t="s">
        <v>8414</v>
      </c>
      <c r="B5527">
        <v>3</v>
      </c>
      <c r="C5527">
        <v>2015</v>
      </c>
      <c r="D5527" t="s">
        <v>10924</v>
      </c>
      <c r="E5527">
        <v>19</v>
      </c>
      <c r="F5527" t="s">
        <v>32513</v>
      </c>
      <c r="G5527" t="s">
        <v>32514</v>
      </c>
      <c r="H5527" s="4" t="s">
        <v>32515</v>
      </c>
      <c r="I5527" t="s">
        <v>71</v>
      </c>
      <c r="J5527" t="s">
        <v>10782</v>
      </c>
      <c r="K5527" t="s">
        <v>32516</v>
      </c>
    </row>
    <row r="5528" spans="1:11" ht="144" x14ac:dyDescent="0.3">
      <c r="A5528" s="4" t="s">
        <v>3403</v>
      </c>
      <c r="B5528">
        <v>1</v>
      </c>
      <c r="C5528">
        <v>2015</v>
      </c>
      <c r="D5528" t="s">
        <v>217</v>
      </c>
      <c r="E5528">
        <v>10</v>
      </c>
      <c r="F5528" t="s">
        <v>32517</v>
      </c>
      <c r="G5528" t="s">
        <v>32518</v>
      </c>
      <c r="H5528" s="4" t="s">
        <v>32519</v>
      </c>
      <c r="I5528" t="s">
        <v>71</v>
      </c>
      <c r="J5528" t="s">
        <v>10782</v>
      </c>
      <c r="K5528" t="s">
        <v>32520</v>
      </c>
    </row>
    <row r="5529" spans="1:11" ht="244.8" x14ac:dyDescent="0.3">
      <c r="A5529" s="4" t="s">
        <v>8415</v>
      </c>
      <c r="B5529">
        <v>3</v>
      </c>
      <c r="C5529">
        <v>2015</v>
      </c>
      <c r="D5529" t="s">
        <v>10924</v>
      </c>
      <c r="E5529">
        <v>42</v>
      </c>
      <c r="F5529" t="s">
        <v>32521</v>
      </c>
      <c r="G5529" t="s">
        <v>32522</v>
      </c>
      <c r="H5529" s="4" t="s">
        <v>32523</v>
      </c>
      <c r="I5529" t="s">
        <v>71</v>
      </c>
      <c r="J5529" t="s">
        <v>10782</v>
      </c>
      <c r="K5529" t="s">
        <v>32524</v>
      </c>
    </row>
    <row r="5530" spans="1:11" ht="28.8" x14ac:dyDescent="0.3">
      <c r="A5530" s="4" t="s">
        <v>8416</v>
      </c>
      <c r="B5530">
        <v>3</v>
      </c>
      <c r="C5530">
        <v>2015</v>
      </c>
      <c r="D5530" t="s">
        <v>20513</v>
      </c>
      <c r="E5530">
        <v>1</v>
      </c>
      <c r="F5530" t="s">
        <v>32525</v>
      </c>
      <c r="G5530" t="s">
        <v>32526</v>
      </c>
      <c r="H5530" s="4" t="s">
        <v>32527</v>
      </c>
    </row>
    <row r="5531" spans="1:11" ht="28.8" x14ac:dyDescent="0.3">
      <c r="A5531" s="4" t="s">
        <v>8417</v>
      </c>
      <c r="B5531">
        <v>3</v>
      </c>
      <c r="C5531">
        <v>2015</v>
      </c>
      <c r="D5531" t="s">
        <v>16012</v>
      </c>
      <c r="E5531">
        <v>1</v>
      </c>
      <c r="F5531" t="s">
        <v>32528</v>
      </c>
      <c r="G5531" t="s">
        <v>32529</v>
      </c>
      <c r="H5531" s="4" t="s">
        <v>71</v>
      </c>
      <c r="I5531" t="s">
        <v>10782</v>
      </c>
      <c r="J5531" t="s">
        <v>32530</v>
      </c>
    </row>
    <row r="5532" spans="1:11" ht="115.2" x14ac:dyDescent="0.3">
      <c r="A5532" s="4" t="s">
        <v>8418</v>
      </c>
      <c r="B5532">
        <v>3</v>
      </c>
      <c r="C5532">
        <v>2015</v>
      </c>
      <c r="D5532" t="s">
        <v>1088</v>
      </c>
      <c r="E5532">
        <v>3</v>
      </c>
      <c r="F5532" t="s">
        <v>32531</v>
      </c>
      <c r="G5532" t="s">
        <v>32532</v>
      </c>
      <c r="H5532" s="4" t="s">
        <v>32533</v>
      </c>
      <c r="I5532" t="s">
        <v>71</v>
      </c>
      <c r="J5532" t="s">
        <v>10782</v>
      </c>
      <c r="K5532" t="s">
        <v>32534</v>
      </c>
    </row>
    <row r="5533" spans="1:11" ht="230.4" x14ac:dyDescent="0.3">
      <c r="A5533" s="4" t="s">
        <v>3404</v>
      </c>
      <c r="B5533">
        <v>1</v>
      </c>
      <c r="C5533">
        <v>2015</v>
      </c>
      <c r="D5533" t="s">
        <v>528</v>
      </c>
      <c r="E5533">
        <v>53</v>
      </c>
      <c r="F5533" t="s">
        <v>32535</v>
      </c>
      <c r="G5533" t="s">
        <v>32536</v>
      </c>
      <c r="H5533" s="4" t="s">
        <v>32537</v>
      </c>
    </row>
    <row r="5534" spans="1:11" ht="201.6" x14ac:dyDescent="0.3">
      <c r="A5534" s="4" t="s">
        <v>8419</v>
      </c>
      <c r="B5534">
        <v>3</v>
      </c>
      <c r="C5534">
        <v>2015</v>
      </c>
      <c r="D5534" t="s">
        <v>12593</v>
      </c>
      <c r="E5534">
        <v>29</v>
      </c>
      <c r="F5534" t="s">
        <v>32538</v>
      </c>
      <c r="G5534" t="s">
        <v>32539</v>
      </c>
      <c r="H5534" s="4" t="s">
        <v>32540</v>
      </c>
      <c r="I5534" t="s">
        <v>71</v>
      </c>
      <c r="J5534" t="s">
        <v>10782</v>
      </c>
      <c r="K5534" t="s">
        <v>32541</v>
      </c>
    </row>
    <row r="5535" spans="1:11" ht="100.8" x14ac:dyDescent="0.3">
      <c r="A5535" s="4" t="s">
        <v>8420</v>
      </c>
      <c r="B5535">
        <v>3</v>
      </c>
      <c r="C5535">
        <v>2015</v>
      </c>
      <c r="D5535" t="s">
        <v>14512</v>
      </c>
      <c r="E5535">
        <v>7</v>
      </c>
      <c r="F5535" t="s">
        <v>32542</v>
      </c>
      <c r="G5535" t="s">
        <v>32543</v>
      </c>
      <c r="H5535" s="4" t="s">
        <v>32544</v>
      </c>
    </row>
    <row r="5536" spans="1:11" ht="230.4" x14ac:dyDescent="0.3">
      <c r="A5536" s="4" t="s">
        <v>8421</v>
      </c>
      <c r="B5536">
        <v>3</v>
      </c>
      <c r="C5536">
        <v>2015</v>
      </c>
      <c r="D5536" t="s">
        <v>217</v>
      </c>
      <c r="E5536">
        <v>23</v>
      </c>
      <c r="F5536" t="s">
        <v>32545</v>
      </c>
      <c r="G5536" t="s">
        <v>32546</v>
      </c>
      <c r="H5536" s="4" t="s">
        <v>32547</v>
      </c>
      <c r="I5536" t="s">
        <v>71</v>
      </c>
      <c r="J5536" t="s">
        <v>10782</v>
      </c>
      <c r="K5536" t="s">
        <v>32548</v>
      </c>
    </row>
    <row r="5537" spans="1:11" ht="72" x14ac:dyDescent="0.3">
      <c r="A5537" s="4" t="s">
        <v>8422</v>
      </c>
      <c r="B5537">
        <v>3</v>
      </c>
      <c r="C5537">
        <v>2015</v>
      </c>
      <c r="D5537" t="s">
        <v>32549</v>
      </c>
      <c r="E5537">
        <v>0</v>
      </c>
      <c r="F5537" t="s">
        <v>32550</v>
      </c>
      <c r="G5537" t="s">
        <v>32551</v>
      </c>
    </row>
    <row r="5538" spans="1:11" ht="158.4" x14ac:dyDescent="0.3">
      <c r="A5538" s="4" t="s">
        <v>3629</v>
      </c>
      <c r="B5538">
        <v>2</v>
      </c>
      <c r="C5538">
        <v>2015</v>
      </c>
      <c r="D5538" t="s">
        <v>10456</v>
      </c>
      <c r="E5538">
        <v>54</v>
      </c>
      <c r="F5538" t="s">
        <v>32552</v>
      </c>
      <c r="G5538" t="s">
        <v>32553</v>
      </c>
      <c r="H5538" s="4" t="s">
        <v>32554</v>
      </c>
      <c r="I5538" t="s">
        <v>71</v>
      </c>
      <c r="J5538" t="s">
        <v>10782</v>
      </c>
      <c r="K5538" t="s">
        <v>32555</v>
      </c>
    </row>
    <row r="5539" spans="1:11" ht="216" x14ac:dyDescent="0.3">
      <c r="A5539" s="4" t="s">
        <v>8423</v>
      </c>
      <c r="B5539">
        <v>3</v>
      </c>
      <c r="C5539">
        <v>2015</v>
      </c>
      <c r="D5539" t="s">
        <v>1525</v>
      </c>
      <c r="E5539">
        <v>40</v>
      </c>
      <c r="F5539" t="s">
        <v>32556</v>
      </c>
      <c r="G5539" t="s">
        <v>32557</v>
      </c>
      <c r="H5539" s="4" t="s">
        <v>32558</v>
      </c>
      <c r="I5539" t="s">
        <v>71</v>
      </c>
      <c r="J5539" t="s">
        <v>10782</v>
      </c>
      <c r="K5539" t="s">
        <v>32559</v>
      </c>
    </row>
    <row r="5540" spans="1:11" ht="158.4" x14ac:dyDescent="0.3">
      <c r="A5540" s="4" t="s">
        <v>8424</v>
      </c>
      <c r="B5540">
        <v>3</v>
      </c>
      <c r="C5540">
        <v>2015</v>
      </c>
      <c r="D5540" t="s">
        <v>1426</v>
      </c>
      <c r="E5540">
        <v>126</v>
      </c>
      <c r="F5540" t="s">
        <v>32560</v>
      </c>
      <c r="G5540" t="s">
        <v>32561</v>
      </c>
      <c r="H5540" s="4" t="s">
        <v>32562</v>
      </c>
      <c r="I5540" t="s">
        <v>71</v>
      </c>
      <c r="J5540" t="s">
        <v>10782</v>
      </c>
      <c r="K5540" t="s">
        <v>32563</v>
      </c>
    </row>
    <row r="5541" spans="1:11" ht="201.6" x14ac:dyDescent="0.3">
      <c r="A5541" s="4" t="s">
        <v>1983</v>
      </c>
      <c r="B5541">
        <v>1</v>
      </c>
      <c r="C5541">
        <v>2015</v>
      </c>
      <c r="D5541" t="s">
        <v>704</v>
      </c>
      <c r="E5541">
        <v>43</v>
      </c>
      <c r="F5541" t="s">
        <v>32564</v>
      </c>
      <c r="G5541" t="s">
        <v>32565</v>
      </c>
      <c r="H5541" s="4" t="s">
        <v>32566</v>
      </c>
      <c r="I5541" t="s">
        <v>71</v>
      </c>
      <c r="J5541" t="s">
        <v>10782</v>
      </c>
      <c r="K5541" t="s">
        <v>32567</v>
      </c>
    </row>
    <row r="5542" spans="1:11" ht="172.8" x14ac:dyDescent="0.3">
      <c r="A5542" s="4" t="s">
        <v>8425</v>
      </c>
      <c r="B5542">
        <v>3</v>
      </c>
      <c r="C5542">
        <v>2015</v>
      </c>
      <c r="D5542" t="s">
        <v>16112</v>
      </c>
      <c r="E5542">
        <v>17</v>
      </c>
      <c r="F5542" t="s">
        <v>32568</v>
      </c>
      <c r="G5542" t="s">
        <v>32569</v>
      </c>
      <c r="H5542" s="4" t="s">
        <v>32570</v>
      </c>
      <c r="I5542" t="s">
        <v>71</v>
      </c>
      <c r="J5542" t="s">
        <v>10782</v>
      </c>
      <c r="K5542" t="s">
        <v>32571</v>
      </c>
    </row>
    <row r="5543" spans="1:11" ht="216" x14ac:dyDescent="0.3">
      <c r="A5543" s="4" t="s">
        <v>8426</v>
      </c>
      <c r="B5543">
        <v>3</v>
      </c>
      <c r="C5543">
        <v>2015</v>
      </c>
      <c r="D5543" t="s">
        <v>20513</v>
      </c>
      <c r="E5543">
        <v>16</v>
      </c>
      <c r="F5543" t="s">
        <v>32572</v>
      </c>
      <c r="G5543" t="s">
        <v>32573</v>
      </c>
      <c r="H5543" s="4" t="s">
        <v>32574</v>
      </c>
      <c r="I5543" t="s">
        <v>71</v>
      </c>
      <c r="J5543" t="s">
        <v>10782</v>
      </c>
      <c r="K5543" t="s">
        <v>32575</v>
      </c>
    </row>
    <row r="5544" spans="1:11" ht="187.2" x14ac:dyDescent="0.3">
      <c r="A5544" s="4" t="s">
        <v>8427</v>
      </c>
      <c r="B5544">
        <v>3</v>
      </c>
      <c r="C5544">
        <v>2015</v>
      </c>
      <c r="D5544" t="s">
        <v>11826</v>
      </c>
      <c r="E5544">
        <v>8</v>
      </c>
      <c r="F5544" t="s">
        <v>32576</v>
      </c>
      <c r="G5544" t="s">
        <v>32577</v>
      </c>
      <c r="H5544" s="4" t="s">
        <v>32578</v>
      </c>
      <c r="I5544" t="s">
        <v>71</v>
      </c>
      <c r="J5544" t="s">
        <v>10782</v>
      </c>
      <c r="K5544" t="s">
        <v>32579</v>
      </c>
    </row>
    <row r="5545" spans="1:11" ht="201.6" x14ac:dyDescent="0.3">
      <c r="A5545" s="4" t="s">
        <v>8428</v>
      </c>
      <c r="B5545">
        <v>3</v>
      </c>
      <c r="C5545">
        <v>2015</v>
      </c>
      <c r="D5545" t="s">
        <v>14863</v>
      </c>
      <c r="E5545">
        <v>15</v>
      </c>
      <c r="F5545" t="s">
        <v>32580</v>
      </c>
      <c r="G5545" t="s">
        <v>32581</v>
      </c>
      <c r="H5545" s="4" t="s">
        <v>32582</v>
      </c>
      <c r="I5545" t="s">
        <v>71</v>
      </c>
      <c r="J5545" t="s">
        <v>10782</v>
      </c>
      <c r="K5545" t="s">
        <v>32583</v>
      </c>
    </row>
    <row r="5546" spans="1:11" ht="100.8" x14ac:dyDescent="0.3">
      <c r="A5546" s="4" t="s">
        <v>8429</v>
      </c>
      <c r="B5546">
        <v>3</v>
      </c>
      <c r="C5546">
        <v>2015</v>
      </c>
      <c r="D5546" t="s">
        <v>20513</v>
      </c>
      <c r="E5546">
        <v>0</v>
      </c>
      <c r="F5546" t="s">
        <v>32584</v>
      </c>
      <c r="G5546" t="s">
        <v>32585</v>
      </c>
      <c r="H5546" s="4" t="s">
        <v>32586</v>
      </c>
    </row>
    <row r="5547" spans="1:11" ht="172.8" x14ac:dyDescent="0.3">
      <c r="A5547" s="4" t="s">
        <v>8430</v>
      </c>
      <c r="B5547">
        <v>3</v>
      </c>
      <c r="C5547">
        <v>2015</v>
      </c>
      <c r="D5547" t="s">
        <v>217</v>
      </c>
      <c r="E5547">
        <v>31</v>
      </c>
      <c r="F5547" t="s">
        <v>32587</v>
      </c>
      <c r="G5547" t="s">
        <v>32588</v>
      </c>
      <c r="H5547" s="4" t="s">
        <v>32589</v>
      </c>
      <c r="I5547" t="s">
        <v>71</v>
      </c>
      <c r="J5547" t="s">
        <v>10782</v>
      </c>
      <c r="K5547" t="s">
        <v>32590</v>
      </c>
    </row>
    <row r="5548" spans="1:11" ht="100.8" x14ac:dyDescent="0.3">
      <c r="A5548" s="4" t="s">
        <v>8431</v>
      </c>
      <c r="B5548">
        <v>3</v>
      </c>
      <c r="C5548">
        <v>2015</v>
      </c>
      <c r="D5548" t="s">
        <v>14715</v>
      </c>
      <c r="E5548">
        <v>30</v>
      </c>
      <c r="F5548" t="s">
        <v>32591</v>
      </c>
      <c r="G5548" t="s">
        <v>32592</v>
      </c>
      <c r="H5548" s="4" t="s">
        <v>32593</v>
      </c>
    </row>
    <row r="5549" spans="1:11" ht="72" x14ac:dyDescent="0.3">
      <c r="A5549" s="4" t="s">
        <v>8432</v>
      </c>
      <c r="B5549">
        <v>3</v>
      </c>
      <c r="C5549">
        <v>2015</v>
      </c>
      <c r="D5549" t="s">
        <v>2853</v>
      </c>
      <c r="E5549">
        <v>17</v>
      </c>
      <c r="F5549" t="s">
        <v>32594</v>
      </c>
      <c r="G5549" t="s">
        <v>32595</v>
      </c>
      <c r="H5549" s="4" t="s">
        <v>32596</v>
      </c>
    </row>
    <row r="5550" spans="1:11" ht="172.8" x14ac:dyDescent="0.3">
      <c r="A5550" s="4" t="s">
        <v>8433</v>
      </c>
      <c r="B5550">
        <v>3</v>
      </c>
      <c r="C5550">
        <v>2015</v>
      </c>
      <c r="D5550" t="s">
        <v>32597</v>
      </c>
      <c r="E5550">
        <v>30</v>
      </c>
      <c r="F5550" t="s">
        <v>32598</v>
      </c>
      <c r="G5550" t="s">
        <v>32599</v>
      </c>
      <c r="H5550" s="4" t="s">
        <v>32600</v>
      </c>
      <c r="I5550" t="s">
        <v>71</v>
      </c>
      <c r="J5550" t="s">
        <v>10782</v>
      </c>
      <c r="K5550" t="s">
        <v>32601</v>
      </c>
    </row>
    <row r="5551" spans="1:11" ht="187.2" x14ac:dyDescent="0.3">
      <c r="A5551" s="4" t="s">
        <v>8434</v>
      </c>
      <c r="B5551">
        <v>3</v>
      </c>
      <c r="C5551">
        <v>2015</v>
      </c>
      <c r="D5551" t="s">
        <v>1849</v>
      </c>
      <c r="E5551">
        <v>22</v>
      </c>
      <c r="F5551" t="s">
        <v>32602</v>
      </c>
      <c r="G5551" t="s">
        <v>32603</v>
      </c>
      <c r="H5551" s="4" t="s">
        <v>32604</v>
      </c>
      <c r="I5551" t="s">
        <v>71</v>
      </c>
      <c r="J5551" t="s">
        <v>10782</v>
      </c>
      <c r="K5551" t="s">
        <v>32605</v>
      </c>
    </row>
    <row r="5552" spans="1:11" ht="201.6" x14ac:dyDescent="0.3">
      <c r="A5552" s="4" t="s">
        <v>1984</v>
      </c>
      <c r="B5552">
        <v>1</v>
      </c>
      <c r="C5552">
        <v>2015</v>
      </c>
      <c r="D5552" t="s">
        <v>177</v>
      </c>
      <c r="E5552">
        <v>9</v>
      </c>
      <c r="F5552" t="s">
        <v>32606</v>
      </c>
      <c r="G5552" t="s">
        <v>32607</v>
      </c>
      <c r="H5552" s="4" t="s">
        <v>32608</v>
      </c>
      <c r="I5552" t="s">
        <v>71</v>
      </c>
      <c r="J5552" t="s">
        <v>10782</v>
      </c>
      <c r="K5552" t="s">
        <v>32609</v>
      </c>
    </row>
    <row r="5553" spans="1:11" ht="216" x14ac:dyDescent="0.3">
      <c r="A5553" s="4" t="s">
        <v>3630</v>
      </c>
      <c r="B5553">
        <v>2</v>
      </c>
      <c r="C5553">
        <v>2015</v>
      </c>
      <c r="D5553" t="s">
        <v>11826</v>
      </c>
      <c r="E5553">
        <v>16</v>
      </c>
      <c r="F5553" t="s">
        <v>32610</v>
      </c>
      <c r="G5553" t="s">
        <v>32611</v>
      </c>
      <c r="H5553" s="4" t="s">
        <v>32612</v>
      </c>
      <c r="I5553" t="s">
        <v>71</v>
      </c>
      <c r="J5553" t="s">
        <v>10782</v>
      </c>
      <c r="K5553" t="s">
        <v>32613</v>
      </c>
    </row>
    <row r="5554" spans="1:11" ht="172.8" x14ac:dyDescent="0.3">
      <c r="A5554" s="4" t="s">
        <v>8435</v>
      </c>
      <c r="B5554">
        <v>3</v>
      </c>
      <c r="C5554">
        <v>2015</v>
      </c>
      <c r="D5554" t="s">
        <v>177</v>
      </c>
      <c r="E5554">
        <v>46</v>
      </c>
      <c r="F5554" t="s">
        <v>32614</v>
      </c>
      <c r="G5554" t="s">
        <v>32615</v>
      </c>
      <c r="H5554" s="4" t="s">
        <v>32616</v>
      </c>
    </row>
    <row r="5555" spans="1:11" ht="259.2" x14ac:dyDescent="0.3">
      <c r="A5555" s="4" t="s">
        <v>1986</v>
      </c>
      <c r="B5555">
        <v>1</v>
      </c>
      <c r="C5555">
        <v>2015</v>
      </c>
      <c r="D5555" t="s">
        <v>329</v>
      </c>
      <c r="E5555">
        <v>6</v>
      </c>
      <c r="F5555" t="s">
        <v>32617</v>
      </c>
      <c r="G5555" t="s">
        <v>32618</v>
      </c>
      <c r="H5555" s="4" t="s">
        <v>32619</v>
      </c>
      <c r="I5555" t="s">
        <v>71</v>
      </c>
      <c r="J5555" t="s">
        <v>10782</v>
      </c>
      <c r="K5555" t="s">
        <v>32620</v>
      </c>
    </row>
    <row r="5556" spans="1:11" ht="28.8" x14ac:dyDescent="0.3">
      <c r="A5556" s="4" t="s">
        <v>8436</v>
      </c>
      <c r="B5556">
        <v>3</v>
      </c>
      <c r="C5556">
        <v>2015</v>
      </c>
      <c r="D5556" t="s">
        <v>105</v>
      </c>
      <c r="E5556">
        <v>6</v>
      </c>
      <c r="F5556" t="s">
        <v>32621</v>
      </c>
      <c r="G5556" t="s">
        <v>32622</v>
      </c>
      <c r="H5556" s="4" t="s">
        <v>71</v>
      </c>
      <c r="I5556" t="s">
        <v>10782</v>
      </c>
      <c r="J5556" t="s">
        <v>32623</v>
      </c>
    </row>
    <row r="5557" spans="1:11" ht="201.6" x14ac:dyDescent="0.3">
      <c r="A5557" s="4" t="s">
        <v>8437</v>
      </c>
      <c r="B5557">
        <v>3</v>
      </c>
      <c r="C5557">
        <v>2015</v>
      </c>
      <c r="D5557" t="s">
        <v>11041</v>
      </c>
      <c r="E5557">
        <v>5</v>
      </c>
      <c r="F5557" t="s">
        <v>32624</v>
      </c>
      <c r="G5557" t="s">
        <v>32625</v>
      </c>
      <c r="H5557" s="4" t="s">
        <v>32626</v>
      </c>
      <c r="I5557" t="s">
        <v>71</v>
      </c>
      <c r="J5557" t="s">
        <v>10782</v>
      </c>
      <c r="K5557" t="s">
        <v>32627</v>
      </c>
    </row>
    <row r="5558" spans="1:11" ht="144" x14ac:dyDescent="0.3">
      <c r="A5558" s="4" t="s">
        <v>8438</v>
      </c>
      <c r="B5558">
        <v>3</v>
      </c>
      <c r="C5558">
        <v>2015</v>
      </c>
      <c r="D5558" t="s">
        <v>2030</v>
      </c>
      <c r="E5558">
        <v>53</v>
      </c>
      <c r="F5558" t="s">
        <v>32628</v>
      </c>
      <c r="G5558" t="s">
        <v>32629</v>
      </c>
      <c r="H5558" s="4" t="s">
        <v>32630</v>
      </c>
      <c r="I5558" t="s">
        <v>71</v>
      </c>
      <c r="J5558" t="s">
        <v>10782</v>
      </c>
      <c r="K5558" t="s">
        <v>32631</v>
      </c>
    </row>
    <row r="5559" spans="1:11" ht="129.6" x14ac:dyDescent="0.3">
      <c r="A5559" s="4" t="s">
        <v>8439</v>
      </c>
      <c r="B5559">
        <v>3</v>
      </c>
      <c r="C5559">
        <v>2015</v>
      </c>
      <c r="D5559" t="s">
        <v>24562</v>
      </c>
      <c r="E5559">
        <v>1</v>
      </c>
      <c r="F5559" t="s">
        <v>32632</v>
      </c>
      <c r="G5559" t="s">
        <v>32633</v>
      </c>
      <c r="H5559" s="4" t="s">
        <v>32634</v>
      </c>
      <c r="I5559" t="s">
        <v>71</v>
      </c>
      <c r="J5559" t="s">
        <v>10782</v>
      </c>
      <c r="K5559" t="s">
        <v>32635</v>
      </c>
    </row>
    <row r="5560" spans="1:11" ht="115.2" x14ac:dyDescent="0.3">
      <c r="A5560" s="4" t="s">
        <v>8440</v>
      </c>
      <c r="B5560">
        <v>3</v>
      </c>
      <c r="C5560">
        <v>2015</v>
      </c>
      <c r="D5560" t="s">
        <v>11649</v>
      </c>
      <c r="E5560">
        <v>18</v>
      </c>
      <c r="F5560" t="s">
        <v>32636</v>
      </c>
      <c r="G5560" t="s">
        <v>32637</v>
      </c>
      <c r="H5560" s="4" t="s">
        <v>32638</v>
      </c>
      <c r="I5560" t="s">
        <v>71</v>
      </c>
      <c r="J5560" t="s">
        <v>10782</v>
      </c>
      <c r="K5560" t="s">
        <v>32639</v>
      </c>
    </row>
    <row r="5561" spans="1:11" ht="115.2" x14ac:dyDescent="0.3">
      <c r="A5561" s="4" t="s">
        <v>8441</v>
      </c>
      <c r="B5561">
        <v>3</v>
      </c>
      <c r="C5561">
        <v>2015</v>
      </c>
      <c r="D5561" t="s">
        <v>32486</v>
      </c>
      <c r="E5561">
        <v>13</v>
      </c>
      <c r="F5561" t="s">
        <v>32640</v>
      </c>
      <c r="G5561" t="s">
        <v>32641</v>
      </c>
      <c r="H5561" s="4" t="s">
        <v>32642</v>
      </c>
      <c r="I5561" t="s">
        <v>71</v>
      </c>
      <c r="J5561" t="s">
        <v>10782</v>
      </c>
      <c r="K5561" t="s">
        <v>32643</v>
      </c>
    </row>
    <row r="5562" spans="1:11" ht="129.6" x14ac:dyDescent="0.3">
      <c r="A5562" s="4" t="s">
        <v>8442</v>
      </c>
      <c r="B5562">
        <v>3</v>
      </c>
      <c r="C5562">
        <v>2015</v>
      </c>
      <c r="D5562" t="s">
        <v>1570</v>
      </c>
      <c r="E5562">
        <v>45</v>
      </c>
      <c r="F5562" t="s">
        <v>32644</v>
      </c>
      <c r="G5562" t="s">
        <v>32645</v>
      </c>
      <c r="H5562" s="4" t="s">
        <v>32646</v>
      </c>
      <c r="I5562" t="s">
        <v>71</v>
      </c>
      <c r="J5562" t="s">
        <v>10782</v>
      </c>
      <c r="K5562" t="s">
        <v>32647</v>
      </c>
    </row>
    <row r="5563" spans="1:11" ht="129.6" x14ac:dyDescent="0.3">
      <c r="A5563" s="4" t="s">
        <v>8443</v>
      </c>
      <c r="B5563">
        <v>3</v>
      </c>
      <c r="C5563">
        <v>2015</v>
      </c>
      <c r="D5563" t="s">
        <v>24562</v>
      </c>
      <c r="E5563">
        <v>8</v>
      </c>
      <c r="F5563" t="s">
        <v>32648</v>
      </c>
      <c r="G5563" t="s">
        <v>32649</v>
      </c>
      <c r="H5563" s="4" t="s">
        <v>32650</v>
      </c>
      <c r="I5563" t="s">
        <v>71</v>
      </c>
      <c r="J5563" t="s">
        <v>10782</v>
      </c>
      <c r="K5563" t="s">
        <v>32651</v>
      </c>
    </row>
    <row r="5564" spans="1:11" ht="259.2" x14ac:dyDescent="0.3">
      <c r="A5564" s="4" t="s">
        <v>8444</v>
      </c>
      <c r="B5564">
        <v>3</v>
      </c>
      <c r="C5564">
        <v>2015</v>
      </c>
      <c r="D5564" t="s">
        <v>10924</v>
      </c>
      <c r="E5564">
        <v>61</v>
      </c>
      <c r="F5564" t="s">
        <v>32652</v>
      </c>
      <c r="G5564" t="s">
        <v>32653</v>
      </c>
      <c r="H5564" s="4" t="s">
        <v>32654</v>
      </c>
      <c r="I5564" t="s">
        <v>71</v>
      </c>
      <c r="J5564" t="s">
        <v>10782</v>
      </c>
      <c r="K5564" t="s">
        <v>32655</v>
      </c>
    </row>
    <row r="5565" spans="1:11" ht="158.4" x14ac:dyDescent="0.3">
      <c r="A5565" s="4" t="s">
        <v>8445</v>
      </c>
      <c r="B5565">
        <v>3</v>
      </c>
      <c r="C5565">
        <v>2015</v>
      </c>
      <c r="D5565" t="s">
        <v>329</v>
      </c>
      <c r="E5565">
        <v>15</v>
      </c>
      <c r="F5565" t="s">
        <v>32656</v>
      </c>
      <c r="G5565" t="s">
        <v>32657</v>
      </c>
      <c r="H5565" s="4" t="s">
        <v>32658</v>
      </c>
      <c r="I5565" t="s">
        <v>71</v>
      </c>
      <c r="J5565" t="s">
        <v>10782</v>
      </c>
      <c r="K5565" t="s">
        <v>32659</v>
      </c>
    </row>
    <row r="5566" spans="1:11" ht="144" x14ac:dyDescent="0.3">
      <c r="A5566" s="4" t="s">
        <v>8446</v>
      </c>
      <c r="B5566">
        <v>3</v>
      </c>
      <c r="C5566">
        <v>2015</v>
      </c>
      <c r="D5566" t="s">
        <v>1525</v>
      </c>
      <c r="E5566">
        <v>111</v>
      </c>
      <c r="F5566" t="s">
        <v>32660</v>
      </c>
      <c r="G5566" t="s">
        <v>32661</v>
      </c>
      <c r="H5566" s="4" t="s">
        <v>32662</v>
      </c>
      <c r="I5566" t="s">
        <v>71</v>
      </c>
      <c r="J5566" t="s">
        <v>10782</v>
      </c>
      <c r="K5566" t="s">
        <v>32663</v>
      </c>
    </row>
    <row r="5567" spans="1:11" ht="144" x14ac:dyDescent="0.3">
      <c r="A5567" s="4" t="s">
        <v>8447</v>
      </c>
      <c r="B5567">
        <v>3</v>
      </c>
      <c r="C5567">
        <v>2015</v>
      </c>
      <c r="D5567" t="s">
        <v>12318</v>
      </c>
      <c r="E5567">
        <v>108</v>
      </c>
      <c r="F5567" t="s">
        <v>32664</v>
      </c>
      <c r="G5567" t="s">
        <v>32665</v>
      </c>
      <c r="H5567" s="4" t="s">
        <v>32666</v>
      </c>
    </row>
    <row r="5568" spans="1:11" ht="129.6" x14ac:dyDescent="0.3">
      <c r="A5568" s="4" t="s">
        <v>8448</v>
      </c>
      <c r="B5568">
        <v>3</v>
      </c>
      <c r="C5568">
        <v>2015</v>
      </c>
      <c r="D5568" t="s">
        <v>14061</v>
      </c>
      <c r="E5568">
        <v>6</v>
      </c>
      <c r="F5568" t="s">
        <v>32667</v>
      </c>
      <c r="G5568" t="s">
        <v>32668</v>
      </c>
      <c r="H5568" s="4" t="s">
        <v>32669</v>
      </c>
      <c r="I5568" t="s">
        <v>71</v>
      </c>
      <c r="J5568" t="s">
        <v>10782</v>
      </c>
      <c r="K5568" t="s">
        <v>32670</v>
      </c>
    </row>
    <row r="5569" spans="1:11" ht="129.6" x14ac:dyDescent="0.3">
      <c r="A5569" s="4" t="s">
        <v>8449</v>
      </c>
      <c r="B5569">
        <v>3</v>
      </c>
      <c r="C5569">
        <v>2015</v>
      </c>
      <c r="D5569" t="s">
        <v>918</v>
      </c>
      <c r="E5569">
        <v>14</v>
      </c>
      <c r="F5569" t="s">
        <v>32671</v>
      </c>
      <c r="G5569" t="s">
        <v>32672</v>
      </c>
      <c r="H5569" s="4" t="s">
        <v>32673</v>
      </c>
      <c r="I5569" t="s">
        <v>71</v>
      </c>
      <c r="J5569" t="s">
        <v>10782</v>
      </c>
      <c r="K5569" t="s">
        <v>32674</v>
      </c>
    </row>
    <row r="5570" spans="1:11" ht="216" x14ac:dyDescent="0.3">
      <c r="A5570" s="4" t="s">
        <v>8450</v>
      </c>
      <c r="B5570">
        <v>3</v>
      </c>
      <c r="C5570">
        <v>2015</v>
      </c>
      <c r="D5570" t="s">
        <v>80</v>
      </c>
      <c r="E5570">
        <v>115</v>
      </c>
      <c r="F5570" t="s">
        <v>32675</v>
      </c>
      <c r="G5570" t="s">
        <v>32676</v>
      </c>
      <c r="H5570" s="4" t="s">
        <v>32677</v>
      </c>
      <c r="I5570" t="s">
        <v>71</v>
      </c>
      <c r="J5570" t="s">
        <v>10782</v>
      </c>
      <c r="K5570" t="s">
        <v>32678</v>
      </c>
    </row>
    <row r="5571" spans="1:11" ht="129.6" x14ac:dyDescent="0.3">
      <c r="A5571" s="4" t="s">
        <v>8451</v>
      </c>
      <c r="B5571">
        <v>3</v>
      </c>
      <c r="C5571">
        <v>2015</v>
      </c>
      <c r="D5571" t="s">
        <v>217</v>
      </c>
      <c r="E5571">
        <v>22</v>
      </c>
      <c r="F5571" t="s">
        <v>32679</v>
      </c>
      <c r="G5571" t="s">
        <v>32680</v>
      </c>
      <c r="H5571" s="4" t="s">
        <v>32681</v>
      </c>
      <c r="I5571" t="s">
        <v>71</v>
      </c>
      <c r="J5571" t="s">
        <v>10782</v>
      </c>
      <c r="K5571" t="s">
        <v>32682</v>
      </c>
    </row>
    <row r="5572" spans="1:11" ht="187.2" x14ac:dyDescent="0.3">
      <c r="A5572" s="4" t="s">
        <v>8452</v>
      </c>
      <c r="B5572">
        <v>3</v>
      </c>
      <c r="C5572">
        <v>2015</v>
      </c>
      <c r="D5572" t="s">
        <v>217</v>
      </c>
      <c r="E5572">
        <v>44</v>
      </c>
      <c r="F5572" t="s">
        <v>32683</v>
      </c>
      <c r="G5572" t="s">
        <v>32684</v>
      </c>
      <c r="H5572" s="4" t="s">
        <v>32685</v>
      </c>
      <c r="I5572" t="s">
        <v>71</v>
      </c>
      <c r="J5572" t="s">
        <v>10782</v>
      </c>
      <c r="K5572" t="s">
        <v>32686</v>
      </c>
    </row>
    <row r="5573" spans="1:11" ht="129.6" x14ac:dyDescent="0.3">
      <c r="A5573" s="4" t="s">
        <v>8453</v>
      </c>
      <c r="B5573">
        <v>3</v>
      </c>
      <c r="C5573">
        <v>2015</v>
      </c>
      <c r="D5573" t="s">
        <v>14320</v>
      </c>
      <c r="E5573">
        <v>30</v>
      </c>
      <c r="F5573" t="s">
        <v>32687</v>
      </c>
      <c r="G5573" t="s">
        <v>32688</v>
      </c>
      <c r="H5573" s="4" t="s">
        <v>32689</v>
      </c>
      <c r="I5573" t="s">
        <v>71</v>
      </c>
      <c r="J5573" t="s">
        <v>10782</v>
      </c>
      <c r="K5573" t="s">
        <v>32690</v>
      </c>
    </row>
    <row r="5574" spans="1:11" ht="115.2" x14ac:dyDescent="0.3">
      <c r="A5574" s="4" t="s">
        <v>8454</v>
      </c>
      <c r="B5574">
        <v>3</v>
      </c>
      <c r="C5574">
        <v>2015</v>
      </c>
      <c r="D5574" t="s">
        <v>30113</v>
      </c>
      <c r="E5574">
        <v>354</v>
      </c>
      <c r="F5574" t="s">
        <v>32691</v>
      </c>
      <c r="G5574" t="s">
        <v>32692</v>
      </c>
      <c r="H5574" s="4" t="s">
        <v>32693</v>
      </c>
      <c r="I5574" t="s">
        <v>10823</v>
      </c>
      <c r="J5574" t="s">
        <v>10782</v>
      </c>
      <c r="K5574" t="s">
        <v>32694</v>
      </c>
    </row>
    <row r="5575" spans="1:11" ht="172.8" x14ac:dyDescent="0.3">
      <c r="A5575" s="4" t="s">
        <v>8455</v>
      </c>
      <c r="B5575">
        <v>3</v>
      </c>
      <c r="C5575">
        <v>2015</v>
      </c>
      <c r="D5575" t="s">
        <v>32695</v>
      </c>
      <c r="E5575">
        <v>34</v>
      </c>
      <c r="F5575" t="s">
        <v>32696</v>
      </c>
      <c r="G5575" t="s">
        <v>32697</v>
      </c>
      <c r="H5575" s="4" t="s">
        <v>32698</v>
      </c>
      <c r="I5575" t="s">
        <v>71</v>
      </c>
      <c r="J5575" t="s">
        <v>10782</v>
      </c>
      <c r="K5575" t="s">
        <v>32699</v>
      </c>
    </row>
    <row r="5576" spans="1:11" ht="57.6" x14ac:dyDescent="0.3">
      <c r="A5576" s="4" t="s">
        <v>8456</v>
      </c>
      <c r="B5576">
        <v>3</v>
      </c>
      <c r="C5576">
        <v>2015</v>
      </c>
      <c r="D5576" t="s">
        <v>32700</v>
      </c>
      <c r="E5576">
        <v>5</v>
      </c>
      <c r="F5576" t="s">
        <v>32701</v>
      </c>
      <c r="G5576" t="s">
        <v>32702</v>
      </c>
      <c r="H5576" s="4" t="s">
        <v>32703</v>
      </c>
    </row>
    <row r="5577" spans="1:11" ht="28.8" x14ac:dyDescent="0.3">
      <c r="A5577" s="4" t="s">
        <v>8457</v>
      </c>
      <c r="B5577">
        <v>3</v>
      </c>
      <c r="C5577">
        <v>2015</v>
      </c>
      <c r="D5577" t="s">
        <v>32704</v>
      </c>
      <c r="E5577">
        <v>9</v>
      </c>
      <c r="F5577" t="s">
        <v>32705</v>
      </c>
      <c r="G5577" t="s">
        <v>32706</v>
      </c>
      <c r="H5577" s="4" t="s">
        <v>32707</v>
      </c>
    </row>
    <row r="5578" spans="1:11" ht="115.2" x14ac:dyDescent="0.3">
      <c r="A5578" s="4" t="s">
        <v>8458</v>
      </c>
      <c r="B5578">
        <v>3</v>
      </c>
      <c r="C5578">
        <v>2015</v>
      </c>
      <c r="D5578" t="s">
        <v>24298</v>
      </c>
      <c r="E5578">
        <v>4</v>
      </c>
      <c r="F5578" t="s">
        <v>32708</v>
      </c>
      <c r="G5578" t="s">
        <v>32709</v>
      </c>
      <c r="H5578" s="4" t="s">
        <v>32710</v>
      </c>
    </row>
    <row r="5579" spans="1:11" ht="129.6" x14ac:dyDescent="0.3">
      <c r="A5579" s="4" t="s">
        <v>8459</v>
      </c>
      <c r="B5579">
        <v>3</v>
      </c>
      <c r="C5579">
        <v>2015</v>
      </c>
      <c r="D5579" t="s">
        <v>26518</v>
      </c>
      <c r="E5579">
        <v>2</v>
      </c>
      <c r="F5579" t="s">
        <v>32711</v>
      </c>
      <c r="G5579" t="s">
        <v>32712</v>
      </c>
      <c r="H5579" s="4" t="s">
        <v>32713</v>
      </c>
      <c r="I5579" t="s">
        <v>71</v>
      </c>
      <c r="J5579" t="s">
        <v>10782</v>
      </c>
      <c r="K5579" t="s">
        <v>32714</v>
      </c>
    </row>
    <row r="5580" spans="1:11" ht="187.2" x14ac:dyDescent="0.3">
      <c r="A5580" s="4" t="s">
        <v>2941</v>
      </c>
      <c r="B5580">
        <v>2</v>
      </c>
      <c r="C5580">
        <v>2015</v>
      </c>
      <c r="D5580" t="s">
        <v>1525</v>
      </c>
      <c r="E5580">
        <v>102</v>
      </c>
      <c r="F5580" t="s">
        <v>32715</v>
      </c>
      <c r="G5580" t="s">
        <v>32716</v>
      </c>
      <c r="H5580" s="4" t="s">
        <v>32717</v>
      </c>
      <c r="I5580" t="s">
        <v>71</v>
      </c>
      <c r="J5580" t="s">
        <v>10782</v>
      </c>
      <c r="K5580" t="s">
        <v>32718</v>
      </c>
    </row>
    <row r="5581" spans="1:11" ht="115.2" x14ac:dyDescent="0.3">
      <c r="A5581" s="4" t="s">
        <v>8460</v>
      </c>
      <c r="B5581">
        <v>3</v>
      </c>
      <c r="C5581">
        <v>2015</v>
      </c>
      <c r="D5581" t="s">
        <v>2893</v>
      </c>
      <c r="E5581">
        <v>65</v>
      </c>
      <c r="F5581" t="s">
        <v>32719</v>
      </c>
      <c r="G5581" t="s">
        <v>32720</v>
      </c>
      <c r="H5581" s="4" t="s">
        <v>32721</v>
      </c>
      <c r="I5581" t="s">
        <v>71</v>
      </c>
      <c r="J5581" t="s">
        <v>10782</v>
      </c>
      <c r="K5581" t="s">
        <v>32722</v>
      </c>
    </row>
    <row r="5582" spans="1:11" x14ac:dyDescent="0.3">
      <c r="A5582" s="4" t="s">
        <v>8461</v>
      </c>
      <c r="B5582">
        <v>3</v>
      </c>
      <c r="C5582">
        <v>2015</v>
      </c>
      <c r="D5582" t="s">
        <v>32474</v>
      </c>
      <c r="E5582">
        <v>0</v>
      </c>
      <c r="F5582" t="s">
        <v>32723</v>
      </c>
      <c r="G5582" t="s">
        <v>32724</v>
      </c>
      <c r="H5582" s="4" t="s">
        <v>10823</v>
      </c>
      <c r="I5582" t="s">
        <v>10782</v>
      </c>
      <c r="J5582" t="s">
        <v>32725</v>
      </c>
    </row>
    <row r="5583" spans="1:11" ht="158.4" x14ac:dyDescent="0.3">
      <c r="A5583" s="4" t="s">
        <v>8462</v>
      </c>
      <c r="B5583">
        <v>3</v>
      </c>
      <c r="C5583">
        <v>2015</v>
      </c>
      <c r="D5583" t="s">
        <v>2201</v>
      </c>
      <c r="E5583">
        <v>309</v>
      </c>
      <c r="F5583" t="s">
        <v>32726</v>
      </c>
      <c r="G5583" t="s">
        <v>32727</v>
      </c>
      <c r="H5583" s="4" t="s">
        <v>32728</v>
      </c>
      <c r="I5583" t="s">
        <v>10823</v>
      </c>
      <c r="J5583" t="s">
        <v>10782</v>
      </c>
      <c r="K5583" t="s">
        <v>32729</v>
      </c>
    </row>
    <row r="5584" spans="1:11" ht="273.60000000000002" x14ac:dyDescent="0.3">
      <c r="A5584" s="4" t="s">
        <v>8463</v>
      </c>
      <c r="B5584">
        <v>3</v>
      </c>
      <c r="C5584">
        <v>2015</v>
      </c>
      <c r="D5584" t="s">
        <v>1525</v>
      </c>
      <c r="E5584">
        <v>27</v>
      </c>
      <c r="F5584" t="s">
        <v>32730</v>
      </c>
      <c r="G5584" t="s">
        <v>32731</v>
      </c>
      <c r="H5584" s="4" t="s">
        <v>32732</v>
      </c>
      <c r="I5584" t="s">
        <v>71</v>
      </c>
      <c r="J5584" t="s">
        <v>10782</v>
      </c>
      <c r="K5584" t="s">
        <v>32733</v>
      </c>
    </row>
    <row r="5585" spans="1:11" ht="201.6" x14ac:dyDescent="0.3">
      <c r="A5585" s="4" t="s">
        <v>8464</v>
      </c>
      <c r="B5585">
        <v>3</v>
      </c>
      <c r="C5585">
        <v>2015</v>
      </c>
      <c r="D5585" t="s">
        <v>2030</v>
      </c>
      <c r="E5585">
        <v>8</v>
      </c>
      <c r="F5585" t="s">
        <v>32734</v>
      </c>
      <c r="G5585" t="s">
        <v>32735</v>
      </c>
      <c r="H5585" s="4" t="s">
        <v>32736</v>
      </c>
      <c r="I5585" t="s">
        <v>71</v>
      </c>
      <c r="J5585" t="s">
        <v>10782</v>
      </c>
      <c r="K5585" t="s">
        <v>32737</v>
      </c>
    </row>
    <row r="5586" spans="1:11" ht="28.8" x14ac:dyDescent="0.3">
      <c r="A5586" s="4" t="s">
        <v>8465</v>
      </c>
      <c r="B5586">
        <v>3</v>
      </c>
      <c r="C5586">
        <v>2015</v>
      </c>
      <c r="D5586" t="s">
        <v>32738</v>
      </c>
      <c r="E5586">
        <v>7</v>
      </c>
      <c r="F5586" t="s">
        <v>32739</v>
      </c>
      <c r="G5586" t="s">
        <v>32740</v>
      </c>
      <c r="H5586" s="4" t="s">
        <v>71</v>
      </c>
      <c r="I5586" t="s">
        <v>10782</v>
      </c>
      <c r="J5586" t="s">
        <v>32741</v>
      </c>
    </row>
    <row r="5587" spans="1:11" ht="28.8" x14ac:dyDescent="0.3">
      <c r="A5587" s="4" t="s">
        <v>8466</v>
      </c>
      <c r="B5587">
        <v>3</v>
      </c>
      <c r="C5587">
        <v>2015</v>
      </c>
      <c r="D5587" t="s">
        <v>14692</v>
      </c>
      <c r="E5587">
        <v>1</v>
      </c>
      <c r="F5587" t="s">
        <v>32742</v>
      </c>
      <c r="G5587" t="s">
        <v>32743</v>
      </c>
      <c r="H5587" s="4" t="s">
        <v>71</v>
      </c>
      <c r="I5587" t="s">
        <v>10782</v>
      </c>
      <c r="J5587" t="s">
        <v>32744</v>
      </c>
    </row>
    <row r="5588" spans="1:11" ht="244.8" x14ac:dyDescent="0.3">
      <c r="A5588" s="4" t="s">
        <v>8467</v>
      </c>
      <c r="B5588">
        <v>3</v>
      </c>
      <c r="C5588">
        <v>2015</v>
      </c>
      <c r="D5588" t="s">
        <v>10057</v>
      </c>
      <c r="E5588">
        <v>83</v>
      </c>
      <c r="F5588" t="s">
        <v>32745</v>
      </c>
      <c r="G5588" t="s">
        <v>32746</v>
      </c>
      <c r="H5588" s="4" t="s">
        <v>32747</v>
      </c>
      <c r="I5588" t="s">
        <v>71</v>
      </c>
      <c r="J5588" t="s">
        <v>10782</v>
      </c>
      <c r="K5588" t="s">
        <v>32748</v>
      </c>
    </row>
    <row r="5589" spans="1:11" ht="158.4" x14ac:dyDescent="0.3">
      <c r="A5589" s="4" t="s">
        <v>8468</v>
      </c>
      <c r="B5589">
        <v>3</v>
      </c>
      <c r="C5589">
        <v>2015</v>
      </c>
      <c r="D5589" t="s">
        <v>10456</v>
      </c>
      <c r="E5589">
        <v>37</v>
      </c>
      <c r="F5589" t="s">
        <v>32749</v>
      </c>
      <c r="G5589" t="s">
        <v>32750</v>
      </c>
      <c r="H5589" s="4" t="s">
        <v>32751</v>
      </c>
      <c r="I5589" t="s">
        <v>71</v>
      </c>
      <c r="J5589" t="s">
        <v>10782</v>
      </c>
      <c r="K5589" t="s">
        <v>32752</v>
      </c>
    </row>
    <row r="5590" spans="1:11" ht="28.8" x14ac:dyDescent="0.3">
      <c r="A5590" s="4" t="s">
        <v>8469</v>
      </c>
      <c r="B5590">
        <v>3</v>
      </c>
      <c r="C5590">
        <v>2015</v>
      </c>
      <c r="D5590" t="s">
        <v>28384</v>
      </c>
      <c r="E5590">
        <v>13</v>
      </c>
      <c r="F5590" t="s">
        <v>32753</v>
      </c>
      <c r="G5590" t="s">
        <v>32754</v>
      </c>
      <c r="H5590" s="4" t="s">
        <v>71</v>
      </c>
      <c r="I5590" t="s">
        <v>10782</v>
      </c>
      <c r="J5590" t="s">
        <v>32755</v>
      </c>
    </row>
    <row r="5591" spans="1:11" ht="158.4" x14ac:dyDescent="0.3">
      <c r="A5591" s="4" t="s">
        <v>1987</v>
      </c>
      <c r="B5591">
        <v>1</v>
      </c>
      <c r="C5591">
        <v>2015</v>
      </c>
      <c r="D5591" t="s">
        <v>2030</v>
      </c>
      <c r="E5591">
        <v>44</v>
      </c>
      <c r="F5591" t="s">
        <v>32756</v>
      </c>
      <c r="G5591" t="s">
        <v>32757</v>
      </c>
      <c r="H5591" s="4" t="s">
        <v>32758</v>
      </c>
      <c r="I5591" t="s">
        <v>71</v>
      </c>
      <c r="J5591" t="s">
        <v>10782</v>
      </c>
      <c r="K5591" t="s">
        <v>32759</v>
      </c>
    </row>
    <row r="5592" spans="1:11" ht="158.4" x14ac:dyDescent="0.3">
      <c r="A5592" s="4" t="s">
        <v>8470</v>
      </c>
      <c r="B5592">
        <v>3</v>
      </c>
      <c r="C5592">
        <v>2015</v>
      </c>
      <c r="D5592" t="s">
        <v>217</v>
      </c>
      <c r="E5592">
        <v>45</v>
      </c>
      <c r="F5592" t="s">
        <v>32760</v>
      </c>
      <c r="G5592" t="s">
        <v>32761</v>
      </c>
      <c r="H5592" s="4" t="s">
        <v>32762</v>
      </c>
      <c r="I5592" t="s">
        <v>71</v>
      </c>
      <c r="J5592" t="s">
        <v>10782</v>
      </c>
      <c r="K5592" t="s">
        <v>32763</v>
      </c>
    </row>
    <row r="5593" spans="1:11" ht="201.6" x14ac:dyDescent="0.3">
      <c r="A5593" s="4" t="s">
        <v>8471</v>
      </c>
      <c r="B5593">
        <v>3</v>
      </c>
      <c r="C5593">
        <v>2015</v>
      </c>
      <c r="D5593" t="s">
        <v>550</v>
      </c>
      <c r="E5593">
        <v>77</v>
      </c>
      <c r="F5593" t="s">
        <v>32764</v>
      </c>
      <c r="G5593" t="s">
        <v>32765</v>
      </c>
      <c r="H5593" s="4" t="s">
        <v>32766</v>
      </c>
      <c r="I5593" t="s">
        <v>71</v>
      </c>
      <c r="J5593" t="s">
        <v>10782</v>
      </c>
      <c r="K5593" t="s">
        <v>32767</v>
      </c>
    </row>
    <row r="5594" spans="1:11" ht="158.4" x14ac:dyDescent="0.3">
      <c r="A5594" s="4" t="s">
        <v>8472</v>
      </c>
      <c r="B5594">
        <v>3</v>
      </c>
      <c r="C5594">
        <v>2015</v>
      </c>
      <c r="D5594" t="s">
        <v>32768</v>
      </c>
      <c r="E5594">
        <v>8</v>
      </c>
      <c r="F5594" t="s">
        <v>32769</v>
      </c>
      <c r="G5594" t="s">
        <v>32770</v>
      </c>
      <c r="H5594" s="4" t="s">
        <v>32771</v>
      </c>
      <c r="I5594" t="s">
        <v>71</v>
      </c>
      <c r="J5594" t="s">
        <v>10782</v>
      </c>
      <c r="K5594" t="s">
        <v>32772</v>
      </c>
    </row>
    <row r="5595" spans="1:11" ht="100.8" x14ac:dyDescent="0.3">
      <c r="A5595" s="4" t="s">
        <v>8473</v>
      </c>
      <c r="B5595">
        <v>3</v>
      </c>
      <c r="C5595">
        <v>2015</v>
      </c>
      <c r="D5595" t="s">
        <v>29993</v>
      </c>
      <c r="E5595">
        <v>3</v>
      </c>
      <c r="F5595" t="s">
        <v>32773</v>
      </c>
      <c r="G5595" t="s">
        <v>32774</v>
      </c>
      <c r="H5595" s="4" t="s">
        <v>32775</v>
      </c>
    </row>
    <row r="5596" spans="1:11" ht="216" x14ac:dyDescent="0.3">
      <c r="A5596" s="4" t="s">
        <v>8474</v>
      </c>
      <c r="B5596">
        <v>3</v>
      </c>
      <c r="C5596">
        <v>2015</v>
      </c>
      <c r="D5596" t="s">
        <v>14588</v>
      </c>
      <c r="E5596">
        <v>19</v>
      </c>
      <c r="F5596" t="s">
        <v>32776</v>
      </c>
      <c r="G5596" t="s">
        <v>32777</v>
      </c>
      <c r="H5596" s="4" t="s">
        <v>32778</v>
      </c>
      <c r="I5596" t="s">
        <v>71</v>
      </c>
      <c r="J5596" t="s">
        <v>10782</v>
      </c>
      <c r="K5596" t="s">
        <v>32779</v>
      </c>
    </row>
    <row r="5597" spans="1:11" ht="187.2" x14ac:dyDescent="0.3">
      <c r="A5597" s="4" t="s">
        <v>8475</v>
      </c>
      <c r="B5597">
        <v>3</v>
      </c>
      <c r="C5597">
        <v>2015</v>
      </c>
      <c r="D5597" t="s">
        <v>405</v>
      </c>
      <c r="E5597">
        <v>74</v>
      </c>
      <c r="F5597" t="s">
        <v>32780</v>
      </c>
      <c r="G5597" t="s">
        <v>32781</v>
      </c>
      <c r="H5597" s="4" t="s">
        <v>32782</v>
      </c>
      <c r="I5597" t="s">
        <v>71</v>
      </c>
      <c r="J5597" t="s">
        <v>10782</v>
      </c>
      <c r="K5597" t="s">
        <v>32783</v>
      </c>
    </row>
    <row r="5598" spans="1:11" ht="28.8" x14ac:dyDescent="0.3">
      <c r="A5598" s="4" t="s">
        <v>8476</v>
      </c>
      <c r="B5598">
        <v>3</v>
      </c>
      <c r="C5598">
        <v>2015</v>
      </c>
      <c r="D5598" t="s">
        <v>28481</v>
      </c>
      <c r="E5598">
        <v>3</v>
      </c>
      <c r="F5598" t="s">
        <v>32784</v>
      </c>
      <c r="G5598" t="s">
        <v>32785</v>
      </c>
      <c r="H5598" s="4" t="s">
        <v>71</v>
      </c>
      <c r="I5598" t="s">
        <v>10782</v>
      </c>
      <c r="J5598" t="s">
        <v>32786</v>
      </c>
    </row>
    <row r="5599" spans="1:11" ht="172.8" x14ac:dyDescent="0.3">
      <c r="A5599" s="4" t="s">
        <v>8477</v>
      </c>
      <c r="B5599">
        <v>3</v>
      </c>
      <c r="C5599">
        <v>2015</v>
      </c>
      <c r="D5599" t="s">
        <v>10924</v>
      </c>
      <c r="E5599">
        <v>19</v>
      </c>
      <c r="F5599" t="s">
        <v>32787</v>
      </c>
      <c r="G5599" t="s">
        <v>32788</v>
      </c>
      <c r="H5599" s="4" t="s">
        <v>32789</v>
      </c>
      <c r="I5599" t="s">
        <v>71</v>
      </c>
      <c r="J5599" t="s">
        <v>10782</v>
      </c>
      <c r="K5599" t="s">
        <v>32790</v>
      </c>
    </row>
    <row r="5600" spans="1:11" ht="187.2" x14ac:dyDescent="0.3">
      <c r="A5600" s="4" t="s">
        <v>8478</v>
      </c>
      <c r="B5600">
        <v>3</v>
      </c>
      <c r="C5600">
        <v>2015</v>
      </c>
      <c r="D5600" t="s">
        <v>32791</v>
      </c>
      <c r="E5600">
        <v>5</v>
      </c>
      <c r="F5600" t="s">
        <v>32792</v>
      </c>
      <c r="G5600" t="s">
        <v>32793</v>
      </c>
      <c r="H5600" s="4" t="s">
        <v>32794</v>
      </c>
      <c r="I5600" t="s">
        <v>71</v>
      </c>
      <c r="J5600" t="s">
        <v>10782</v>
      </c>
      <c r="K5600" t="s">
        <v>32795</v>
      </c>
    </row>
    <row r="5601" spans="1:11" ht="129.6" x14ac:dyDescent="0.3">
      <c r="A5601" s="4" t="s">
        <v>8479</v>
      </c>
      <c r="B5601">
        <v>3</v>
      </c>
      <c r="C5601">
        <v>2015</v>
      </c>
      <c r="D5601" t="s">
        <v>2859</v>
      </c>
      <c r="E5601">
        <v>31</v>
      </c>
      <c r="F5601" t="s">
        <v>32796</v>
      </c>
      <c r="G5601" t="s">
        <v>32797</v>
      </c>
      <c r="H5601" s="4" t="s">
        <v>32798</v>
      </c>
    </row>
    <row r="5602" spans="1:11" ht="273.60000000000002" x14ac:dyDescent="0.3">
      <c r="A5602" s="4" t="s">
        <v>8480</v>
      </c>
      <c r="B5602">
        <v>3</v>
      </c>
      <c r="C5602">
        <v>2015</v>
      </c>
      <c r="D5602" t="s">
        <v>14863</v>
      </c>
      <c r="E5602">
        <v>23</v>
      </c>
      <c r="F5602" t="s">
        <v>32799</v>
      </c>
      <c r="G5602" t="s">
        <v>32800</v>
      </c>
      <c r="H5602" s="4" t="s">
        <v>32801</v>
      </c>
      <c r="I5602" t="s">
        <v>71</v>
      </c>
      <c r="J5602" t="s">
        <v>10782</v>
      </c>
      <c r="K5602" t="s">
        <v>32802</v>
      </c>
    </row>
    <row r="5603" spans="1:11" ht="201.6" x14ac:dyDescent="0.3">
      <c r="A5603" s="4" t="s">
        <v>8481</v>
      </c>
      <c r="B5603">
        <v>3</v>
      </c>
      <c r="C5603">
        <v>2015</v>
      </c>
      <c r="D5603" t="s">
        <v>1570</v>
      </c>
      <c r="E5603">
        <v>14</v>
      </c>
      <c r="F5603" t="s">
        <v>32803</v>
      </c>
      <c r="G5603" t="s">
        <v>32804</v>
      </c>
      <c r="H5603" s="4" t="s">
        <v>32805</v>
      </c>
      <c r="I5603" t="s">
        <v>71</v>
      </c>
      <c r="J5603" t="s">
        <v>10782</v>
      </c>
      <c r="K5603" t="s">
        <v>32806</v>
      </c>
    </row>
    <row r="5604" spans="1:11" ht="43.2" x14ac:dyDescent="0.3">
      <c r="A5604" s="4" t="s">
        <v>3405</v>
      </c>
      <c r="B5604">
        <v>1</v>
      </c>
      <c r="C5604">
        <v>2015</v>
      </c>
      <c r="D5604" t="s">
        <v>799</v>
      </c>
      <c r="E5604">
        <v>10</v>
      </c>
      <c r="F5604" t="s">
        <v>32807</v>
      </c>
      <c r="G5604" t="s">
        <v>32808</v>
      </c>
      <c r="H5604" s="4" t="s">
        <v>32809</v>
      </c>
    </row>
    <row r="5605" spans="1:11" ht="144" x14ac:dyDescent="0.3">
      <c r="A5605" s="4" t="s">
        <v>8482</v>
      </c>
      <c r="B5605">
        <v>3</v>
      </c>
      <c r="C5605">
        <v>2015</v>
      </c>
      <c r="D5605" t="s">
        <v>10924</v>
      </c>
      <c r="E5605">
        <v>68</v>
      </c>
      <c r="F5605" t="s">
        <v>32810</v>
      </c>
      <c r="G5605" t="s">
        <v>32811</v>
      </c>
      <c r="H5605" s="4" t="s">
        <v>32812</v>
      </c>
      <c r="I5605" t="s">
        <v>71</v>
      </c>
      <c r="J5605" t="s">
        <v>10782</v>
      </c>
      <c r="K5605" t="s">
        <v>32813</v>
      </c>
    </row>
    <row r="5606" spans="1:11" ht="172.8" x14ac:dyDescent="0.3">
      <c r="A5606" s="4" t="s">
        <v>8483</v>
      </c>
      <c r="B5606">
        <v>3</v>
      </c>
      <c r="C5606">
        <v>2015</v>
      </c>
      <c r="D5606" t="s">
        <v>15954</v>
      </c>
      <c r="E5606">
        <v>26</v>
      </c>
      <c r="F5606" t="s">
        <v>32814</v>
      </c>
      <c r="G5606" t="s">
        <v>32815</v>
      </c>
      <c r="H5606" s="4" t="s">
        <v>32816</v>
      </c>
      <c r="I5606" t="s">
        <v>71</v>
      </c>
      <c r="J5606" t="s">
        <v>10782</v>
      </c>
      <c r="K5606" t="s">
        <v>32817</v>
      </c>
    </row>
    <row r="5607" spans="1:11" ht="259.2" x14ac:dyDescent="0.3">
      <c r="A5607" s="4" t="s">
        <v>8484</v>
      </c>
      <c r="B5607">
        <v>3</v>
      </c>
      <c r="C5607">
        <v>2015</v>
      </c>
      <c r="D5607" t="s">
        <v>637</v>
      </c>
      <c r="E5607">
        <v>7</v>
      </c>
      <c r="F5607" t="s">
        <v>32818</v>
      </c>
      <c r="G5607" t="s">
        <v>32819</v>
      </c>
      <c r="H5607" s="4" t="s">
        <v>32820</v>
      </c>
      <c r="I5607" t="s">
        <v>71</v>
      </c>
      <c r="J5607" t="s">
        <v>10782</v>
      </c>
      <c r="K5607" t="s">
        <v>32821</v>
      </c>
    </row>
    <row r="5608" spans="1:11" ht="115.2" x14ac:dyDescent="0.3">
      <c r="A5608" s="4" t="s">
        <v>8485</v>
      </c>
      <c r="B5608">
        <v>3</v>
      </c>
      <c r="C5608">
        <v>2015</v>
      </c>
      <c r="D5608" t="s">
        <v>18825</v>
      </c>
      <c r="E5608">
        <v>10</v>
      </c>
      <c r="F5608" t="s">
        <v>32822</v>
      </c>
      <c r="G5608" t="s">
        <v>32823</v>
      </c>
      <c r="H5608" s="4" t="s">
        <v>32824</v>
      </c>
      <c r="I5608" t="s">
        <v>71</v>
      </c>
      <c r="J5608" t="s">
        <v>10782</v>
      </c>
      <c r="K5608" t="s">
        <v>32825</v>
      </c>
    </row>
    <row r="5609" spans="1:11" ht="144" x14ac:dyDescent="0.3">
      <c r="A5609" s="4" t="s">
        <v>8486</v>
      </c>
      <c r="B5609">
        <v>3</v>
      </c>
      <c r="C5609">
        <v>2015</v>
      </c>
      <c r="D5609" t="s">
        <v>637</v>
      </c>
      <c r="E5609">
        <v>22</v>
      </c>
      <c r="F5609" t="s">
        <v>32826</v>
      </c>
      <c r="G5609" t="s">
        <v>32827</v>
      </c>
      <c r="H5609" s="4" t="s">
        <v>32828</v>
      </c>
      <c r="I5609" t="s">
        <v>71</v>
      </c>
      <c r="J5609" t="s">
        <v>10782</v>
      </c>
      <c r="K5609" t="s">
        <v>32829</v>
      </c>
    </row>
    <row r="5610" spans="1:11" ht="273.60000000000002" x14ac:dyDescent="0.3">
      <c r="A5610" s="4" t="s">
        <v>8487</v>
      </c>
      <c r="B5610">
        <v>3</v>
      </c>
      <c r="C5610">
        <v>2015</v>
      </c>
      <c r="D5610" t="s">
        <v>10924</v>
      </c>
      <c r="E5610">
        <v>28</v>
      </c>
      <c r="F5610" t="s">
        <v>32830</v>
      </c>
      <c r="G5610" t="s">
        <v>32831</v>
      </c>
      <c r="H5610" s="4" t="s">
        <v>32832</v>
      </c>
      <c r="I5610" t="s">
        <v>71</v>
      </c>
      <c r="J5610" t="s">
        <v>10782</v>
      </c>
      <c r="K5610" t="s">
        <v>32833</v>
      </c>
    </row>
    <row r="5611" spans="1:11" ht="86.4" x14ac:dyDescent="0.3">
      <c r="A5611" s="4" t="s">
        <v>8488</v>
      </c>
      <c r="B5611">
        <v>3</v>
      </c>
      <c r="C5611">
        <v>2015</v>
      </c>
      <c r="D5611" t="s">
        <v>32834</v>
      </c>
      <c r="E5611">
        <v>16</v>
      </c>
      <c r="F5611" t="s">
        <v>32835</v>
      </c>
      <c r="G5611" t="s">
        <v>32836</v>
      </c>
      <c r="H5611" s="4" t="s">
        <v>32837</v>
      </c>
      <c r="I5611" t="s">
        <v>71</v>
      </c>
      <c r="J5611" t="s">
        <v>10782</v>
      </c>
      <c r="K5611" t="s">
        <v>32838</v>
      </c>
    </row>
    <row r="5612" spans="1:11" ht="129.6" x14ac:dyDescent="0.3">
      <c r="A5612" s="4" t="s">
        <v>8489</v>
      </c>
      <c r="B5612">
        <v>3</v>
      </c>
      <c r="C5612">
        <v>2015</v>
      </c>
      <c r="D5612" t="s">
        <v>24562</v>
      </c>
      <c r="E5612">
        <v>6</v>
      </c>
      <c r="F5612" t="s">
        <v>32839</v>
      </c>
      <c r="G5612" t="s">
        <v>32840</v>
      </c>
      <c r="H5612" s="4" t="s">
        <v>32841</v>
      </c>
      <c r="I5612" t="s">
        <v>71</v>
      </c>
      <c r="J5612" t="s">
        <v>10782</v>
      </c>
      <c r="K5612" t="s">
        <v>32842</v>
      </c>
    </row>
    <row r="5613" spans="1:11" ht="129.6" x14ac:dyDescent="0.3">
      <c r="A5613" s="4" t="s">
        <v>8490</v>
      </c>
      <c r="B5613">
        <v>3</v>
      </c>
      <c r="C5613">
        <v>2015</v>
      </c>
      <c r="D5613" t="s">
        <v>14715</v>
      </c>
      <c r="E5613">
        <v>21</v>
      </c>
      <c r="F5613" t="s">
        <v>32843</v>
      </c>
      <c r="G5613" t="s">
        <v>32844</v>
      </c>
      <c r="H5613" s="4" t="s">
        <v>32845</v>
      </c>
      <c r="I5613" t="s">
        <v>71</v>
      </c>
      <c r="J5613" t="s">
        <v>10782</v>
      </c>
      <c r="K5613" t="s">
        <v>32846</v>
      </c>
    </row>
    <row r="5614" spans="1:11" ht="172.8" x14ac:dyDescent="0.3">
      <c r="A5614" s="4" t="s">
        <v>8491</v>
      </c>
      <c r="B5614">
        <v>3</v>
      </c>
      <c r="C5614">
        <v>2015</v>
      </c>
      <c r="D5614" t="s">
        <v>637</v>
      </c>
      <c r="E5614">
        <v>18</v>
      </c>
      <c r="F5614" t="s">
        <v>32847</v>
      </c>
      <c r="G5614" t="s">
        <v>32848</v>
      </c>
      <c r="H5614" s="4" t="s">
        <v>32849</v>
      </c>
      <c r="I5614" t="s">
        <v>71</v>
      </c>
      <c r="J5614" t="s">
        <v>10782</v>
      </c>
      <c r="K5614" t="s">
        <v>32850</v>
      </c>
    </row>
    <row r="5615" spans="1:11" ht="216" x14ac:dyDescent="0.3">
      <c r="A5615" s="4" t="s">
        <v>8492</v>
      </c>
      <c r="B5615">
        <v>3</v>
      </c>
      <c r="C5615">
        <v>2015</v>
      </c>
      <c r="D5615" t="s">
        <v>637</v>
      </c>
      <c r="E5615">
        <v>53</v>
      </c>
      <c r="F5615" t="s">
        <v>32851</v>
      </c>
      <c r="G5615" t="s">
        <v>32852</v>
      </c>
      <c r="H5615" s="4" t="s">
        <v>32853</v>
      </c>
      <c r="I5615" t="s">
        <v>71</v>
      </c>
      <c r="J5615" t="s">
        <v>10782</v>
      </c>
      <c r="K5615" t="s">
        <v>32854</v>
      </c>
    </row>
    <row r="5616" spans="1:11" ht="158.4" x14ac:dyDescent="0.3">
      <c r="A5616" s="4" t="s">
        <v>8493</v>
      </c>
      <c r="B5616">
        <v>3</v>
      </c>
      <c r="C5616">
        <v>2015</v>
      </c>
      <c r="D5616" t="s">
        <v>1570</v>
      </c>
      <c r="E5616">
        <v>6</v>
      </c>
      <c r="F5616" t="s">
        <v>32855</v>
      </c>
      <c r="G5616" t="s">
        <v>32856</v>
      </c>
      <c r="H5616" s="4" t="s">
        <v>32857</v>
      </c>
      <c r="I5616" t="s">
        <v>10823</v>
      </c>
      <c r="J5616" t="s">
        <v>10782</v>
      </c>
      <c r="K5616" t="s">
        <v>32858</v>
      </c>
    </row>
    <row r="5617" spans="1:11" ht="100.8" x14ac:dyDescent="0.3">
      <c r="A5617" s="4" t="s">
        <v>8494</v>
      </c>
      <c r="B5617">
        <v>3</v>
      </c>
      <c r="C5617">
        <v>2015</v>
      </c>
      <c r="D5617" t="s">
        <v>32859</v>
      </c>
      <c r="E5617">
        <v>3</v>
      </c>
      <c r="F5617" t="s">
        <v>32860</v>
      </c>
      <c r="G5617" t="s">
        <v>32861</v>
      </c>
      <c r="H5617" s="4" t="s">
        <v>32862</v>
      </c>
      <c r="I5617" t="s">
        <v>71</v>
      </c>
      <c r="J5617" t="s">
        <v>10782</v>
      </c>
      <c r="K5617" t="s">
        <v>32863</v>
      </c>
    </row>
    <row r="5618" spans="1:11" ht="28.8" x14ac:dyDescent="0.3">
      <c r="A5618" s="4" t="s">
        <v>8495</v>
      </c>
      <c r="B5618">
        <v>3</v>
      </c>
      <c r="C5618">
        <v>2015</v>
      </c>
      <c r="D5618" t="s">
        <v>32864</v>
      </c>
      <c r="E5618">
        <v>25</v>
      </c>
      <c r="F5618" t="s">
        <v>32865</v>
      </c>
      <c r="G5618" t="s">
        <v>32866</v>
      </c>
      <c r="H5618" s="4" t="s">
        <v>71</v>
      </c>
      <c r="I5618" t="s">
        <v>10782</v>
      </c>
      <c r="J5618" t="s">
        <v>32867</v>
      </c>
    </row>
    <row r="5619" spans="1:11" ht="28.8" x14ac:dyDescent="0.3">
      <c r="A5619" s="4" t="s">
        <v>8496</v>
      </c>
      <c r="B5619">
        <v>3</v>
      </c>
      <c r="C5619">
        <v>2015</v>
      </c>
      <c r="D5619" t="s">
        <v>14116</v>
      </c>
      <c r="E5619">
        <v>10</v>
      </c>
      <c r="F5619" t="s">
        <v>32868</v>
      </c>
      <c r="G5619" t="s">
        <v>32869</v>
      </c>
    </row>
    <row r="5620" spans="1:11" ht="230.4" x14ac:dyDescent="0.3">
      <c r="A5620" s="4" t="s">
        <v>3631</v>
      </c>
      <c r="B5620">
        <v>2</v>
      </c>
      <c r="C5620">
        <v>2015</v>
      </c>
      <c r="D5620" t="s">
        <v>32870</v>
      </c>
      <c r="E5620">
        <v>44</v>
      </c>
      <c r="F5620" t="s">
        <v>32871</v>
      </c>
      <c r="G5620" t="s">
        <v>32872</v>
      </c>
      <c r="H5620" s="4" t="s">
        <v>32873</v>
      </c>
      <c r="I5620" t="s">
        <v>71</v>
      </c>
      <c r="J5620" t="s">
        <v>10782</v>
      </c>
      <c r="K5620" t="s">
        <v>32874</v>
      </c>
    </row>
    <row r="5621" spans="1:11" ht="28.8" x14ac:dyDescent="0.3">
      <c r="A5621" s="4" t="s">
        <v>8497</v>
      </c>
      <c r="B5621">
        <v>3</v>
      </c>
      <c r="C5621">
        <v>2015</v>
      </c>
      <c r="D5621" t="s">
        <v>14692</v>
      </c>
      <c r="E5621">
        <v>4</v>
      </c>
      <c r="F5621" t="s">
        <v>32875</v>
      </c>
      <c r="G5621" t="s">
        <v>32876</v>
      </c>
      <c r="H5621" s="4" t="s">
        <v>71</v>
      </c>
      <c r="I5621" t="s">
        <v>10782</v>
      </c>
      <c r="J5621" t="s">
        <v>32877</v>
      </c>
    </row>
    <row r="5622" spans="1:11" ht="187.2" x14ac:dyDescent="0.3">
      <c r="A5622" s="4" t="s">
        <v>8498</v>
      </c>
      <c r="B5622">
        <v>3</v>
      </c>
      <c r="C5622">
        <v>2015</v>
      </c>
      <c r="D5622" t="s">
        <v>10924</v>
      </c>
      <c r="E5622">
        <v>11</v>
      </c>
      <c r="F5622" t="s">
        <v>32878</v>
      </c>
      <c r="G5622" t="s">
        <v>32879</v>
      </c>
      <c r="H5622" s="4" t="s">
        <v>32880</v>
      </c>
      <c r="I5622" t="s">
        <v>71</v>
      </c>
      <c r="J5622" t="s">
        <v>10782</v>
      </c>
      <c r="K5622" t="s">
        <v>32881</v>
      </c>
    </row>
    <row r="5623" spans="1:11" ht="201.6" x14ac:dyDescent="0.3">
      <c r="A5623" s="4" t="s">
        <v>8499</v>
      </c>
      <c r="B5623">
        <v>3</v>
      </c>
      <c r="C5623">
        <v>2015</v>
      </c>
      <c r="D5623" t="s">
        <v>217</v>
      </c>
      <c r="E5623">
        <v>99</v>
      </c>
      <c r="F5623" t="s">
        <v>32882</v>
      </c>
      <c r="G5623" t="s">
        <v>32883</v>
      </c>
      <c r="H5623" s="4" t="s">
        <v>32884</v>
      </c>
      <c r="I5623" t="s">
        <v>71</v>
      </c>
      <c r="J5623" t="s">
        <v>10782</v>
      </c>
      <c r="K5623" t="s">
        <v>32885</v>
      </c>
    </row>
    <row r="5624" spans="1:11" ht="172.8" x14ac:dyDescent="0.3">
      <c r="A5624" s="4" t="s">
        <v>3406</v>
      </c>
      <c r="B5624">
        <v>1</v>
      </c>
      <c r="C5624">
        <v>2015</v>
      </c>
      <c r="D5624" t="s">
        <v>1570</v>
      </c>
      <c r="E5624">
        <v>34</v>
      </c>
      <c r="F5624" t="s">
        <v>32886</v>
      </c>
      <c r="G5624" t="s">
        <v>32887</v>
      </c>
      <c r="H5624" s="4" t="s">
        <v>32888</v>
      </c>
      <c r="I5624" t="s">
        <v>10823</v>
      </c>
      <c r="J5624" t="s">
        <v>10782</v>
      </c>
      <c r="K5624" t="s">
        <v>32889</v>
      </c>
    </row>
    <row r="5625" spans="1:11" ht="158.4" x14ac:dyDescent="0.3">
      <c r="A5625" s="4" t="s">
        <v>8500</v>
      </c>
      <c r="B5625">
        <v>3</v>
      </c>
      <c r="C5625">
        <v>2015</v>
      </c>
      <c r="D5625" t="s">
        <v>12318</v>
      </c>
      <c r="E5625">
        <v>26</v>
      </c>
      <c r="F5625" t="s">
        <v>32890</v>
      </c>
      <c r="G5625" t="s">
        <v>32891</v>
      </c>
      <c r="H5625" s="4" t="s">
        <v>32892</v>
      </c>
      <c r="I5625" t="s">
        <v>71</v>
      </c>
      <c r="J5625" t="s">
        <v>10782</v>
      </c>
      <c r="K5625" t="s">
        <v>32893</v>
      </c>
    </row>
    <row r="5626" spans="1:11" ht="172.8" x14ac:dyDescent="0.3">
      <c r="A5626" s="4" t="s">
        <v>8501</v>
      </c>
      <c r="B5626">
        <v>3</v>
      </c>
      <c r="C5626">
        <v>2015</v>
      </c>
      <c r="D5626" t="s">
        <v>637</v>
      </c>
      <c r="E5626">
        <v>122</v>
      </c>
      <c r="F5626" t="s">
        <v>32894</v>
      </c>
      <c r="G5626" t="s">
        <v>32895</v>
      </c>
      <c r="H5626" s="4" t="s">
        <v>32896</v>
      </c>
      <c r="I5626" t="s">
        <v>71</v>
      </c>
      <c r="J5626" t="s">
        <v>10782</v>
      </c>
      <c r="K5626" t="s">
        <v>32897</v>
      </c>
    </row>
    <row r="5627" spans="1:11" ht="57.6" x14ac:dyDescent="0.3">
      <c r="A5627" s="4" t="s">
        <v>8502</v>
      </c>
      <c r="B5627">
        <v>3</v>
      </c>
      <c r="C5627">
        <v>2015</v>
      </c>
      <c r="D5627" t="s">
        <v>32898</v>
      </c>
      <c r="E5627">
        <v>2</v>
      </c>
      <c r="F5627" t="s">
        <v>32899</v>
      </c>
      <c r="G5627" t="s">
        <v>32900</v>
      </c>
      <c r="H5627" s="4" t="s">
        <v>71</v>
      </c>
      <c r="I5627" t="s">
        <v>10782</v>
      </c>
      <c r="J5627" t="s">
        <v>32901</v>
      </c>
    </row>
    <row r="5628" spans="1:11" ht="129.6" x14ac:dyDescent="0.3">
      <c r="A5628" s="4" t="s">
        <v>8503</v>
      </c>
      <c r="B5628">
        <v>3</v>
      </c>
      <c r="C5628">
        <v>2015</v>
      </c>
      <c r="D5628" t="s">
        <v>1426</v>
      </c>
      <c r="E5628">
        <v>333</v>
      </c>
      <c r="F5628" t="s">
        <v>32902</v>
      </c>
      <c r="G5628" t="s">
        <v>32903</v>
      </c>
      <c r="H5628" s="4" t="s">
        <v>32904</v>
      </c>
      <c r="I5628" t="s">
        <v>71</v>
      </c>
      <c r="J5628" t="s">
        <v>10782</v>
      </c>
      <c r="K5628" t="s">
        <v>32905</v>
      </c>
    </row>
    <row r="5629" spans="1:11" ht="230.4" x14ac:dyDescent="0.3">
      <c r="A5629" s="4" t="s">
        <v>8504</v>
      </c>
      <c r="B5629">
        <v>3</v>
      </c>
      <c r="C5629">
        <v>2015</v>
      </c>
      <c r="D5629" t="s">
        <v>11674</v>
      </c>
      <c r="E5629">
        <v>10</v>
      </c>
      <c r="F5629" t="s">
        <v>32906</v>
      </c>
      <c r="G5629" t="s">
        <v>32907</v>
      </c>
      <c r="H5629" s="4" t="s">
        <v>32908</v>
      </c>
      <c r="I5629" t="s">
        <v>71</v>
      </c>
      <c r="J5629" t="s">
        <v>10782</v>
      </c>
      <c r="K5629" t="s">
        <v>32909</v>
      </c>
    </row>
    <row r="5630" spans="1:11" ht="115.2" x14ac:dyDescent="0.3">
      <c r="A5630" s="4" t="s">
        <v>8505</v>
      </c>
      <c r="B5630">
        <v>3</v>
      </c>
      <c r="C5630">
        <v>2015</v>
      </c>
      <c r="D5630" t="s">
        <v>1570</v>
      </c>
      <c r="E5630">
        <v>17</v>
      </c>
      <c r="F5630" t="s">
        <v>32910</v>
      </c>
      <c r="G5630" t="s">
        <v>32911</v>
      </c>
      <c r="H5630" s="4" t="s">
        <v>32912</v>
      </c>
      <c r="I5630" t="s">
        <v>10823</v>
      </c>
      <c r="J5630" t="s">
        <v>10782</v>
      </c>
      <c r="K5630" t="s">
        <v>32913</v>
      </c>
    </row>
    <row r="5631" spans="1:11" ht="144" x14ac:dyDescent="0.3">
      <c r="A5631" s="4" t="s">
        <v>8506</v>
      </c>
      <c r="B5631">
        <v>3</v>
      </c>
      <c r="C5631">
        <v>2015</v>
      </c>
      <c r="D5631" t="s">
        <v>432</v>
      </c>
      <c r="E5631">
        <v>9</v>
      </c>
      <c r="F5631" t="s">
        <v>32914</v>
      </c>
      <c r="G5631" t="s">
        <v>32915</v>
      </c>
      <c r="H5631" s="4" t="s">
        <v>32916</v>
      </c>
      <c r="I5631" t="s">
        <v>71</v>
      </c>
      <c r="J5631" t="s">
        <v>10782</v>
      </c>
      <c r="K5631" t="s">
        <v>32917</v>
      </c>
    </row>
    <row r="5632" spans="1:11" ht="187.2" x14ac:dyDescent="0.3">
      <c r="A5632" s="4" t="s">
        <v>8507</v>
      </c>
      <c r="B5632">
        <v>3</v>
      </c>
      <c r="C5632">
        <v>2015</v>
      </c>
      <c r="D5632" t="s">
        <v>13299</v>
      </c>
      <c r="E5632">
        <v>38</v>
      </c>
      <c r="F5632" t="s">
        <v>32918</v>
      </c>
      <c r="G5632" t="s">
        <v>32919</v>
      </c>
      <c r="H5632" s="4" t="s">
        <v>32920</v>
      </c>
      <c r="I5632" t="s">
        <v>71</v>
      </c>
      <c r="J5632" t="s">
        <v>10782</v>
      </c>
      <c r="K5632" t="s">
        <v>32921</v>
      </c>
    </row>
    <row r="5633" spans="1:11" ht="144" x14ac:dyDescent="0.3">
      <c r="A5633" s="4" t="s">
        <v>8508</v>
      </c>
      <c r="B5633">
        <v>3</v>
      </c>
      <c r="C5633">
        <v>2015</v>
      </c>
      <c r="D5633" t="s">
        <v>12491</v>
      </c>
      <c r="E5633">
        <v>36</v>
      </c>
      <c r="F5633" t="s">
        <v>32922</v>
      </c>
      <c r="G5633" t="s">
        <v>32923</v>
      </c>
      <c r="H5633" s="4" t="s">
        <v>32924</v>
      </c>
      <c r="I5633" t="s">
        <v>71</v>
      </c>
      <c r="J5633" t="s">
        <v>10782</v>
      </c>
      <c r="K5633" t="s">
        <v>32925</v>
      </c>
    </row>
    <row r="5634" spans="1:11" ht="144" x14ac:dyDescent="0.3">
      <c r="A5634" s="4" t="s">
        <v>3407</v>
      </c>
      <c r="B5634">
        <v>1</v>
      </c>
      <c r="C5634">
        <v>2015</v>
      </c>
      <c r="D5634" t="s">
        <v>964</v>
      </c>
      <c r="E5634">
        <v>88</v>
      </c>
      <c r="F5634" t="s">
        <v>32926</v>
      </c>
      <c r="G5634" t="s">
        <v>32927</v>
      </c>
      <c r="H5634" s="4" t="s">
        <v>32928</v>
      </c>
      <c r="I5634" t="s">
        <v>71</v>
      </c>
      <c r="J5634" t="s">
        <v>10782</v>
      </c>
      <c r="K5634" t="s">
        <v>32929</v>
      </c>
    </row>
    <row r="5635" spans="1:11" ht="57.6" x14ac:dyDescent="0.3">
      <c r="A5635" s="4" t="s">
        <v>8509</v>
      </c>
      <c r="B5635">
        <v>3</v>
      </c>
      <c r="C5635">
        <v>2015</v>
      </c>
      <c r="D5635" t="s">
        <v>18825</v>
      </c>
      <c r="E5635">
        <v>9</v>
      </c>
      <c r="F5635" t="s">
        <v>32930</v>
      </c>
      <c r="G5635" t="s">
        <v>32931</v>
      </c>
      <c r="H5635" s="4" t="s">
        <v>32932</v>
      </c>
      <c r="I5635" t="s">
        <v>71</v>
      </c>
      <c r="J5635" t="s">
        <v>10782</v>
      </c>
      <c r="K5635" t="s">
        <v>32933</v>
      </c>
    </row>
    <row r="5636" spans="1:11" ht="115.2" x14ac:dyDescent="0.3">
      <c r="A5636" s="4" t="s">
        <v>8510</v>
      </c>
      <c r="B5636">
        <v>3</v>
      </c>
      <c r="C5636">
        <v>2015</v>
      </c>
      <c r="D5636" t="s">
        <v>32934</v>
      </c>
      <c r="E5636">
        <v>1</v>
      </c>
      <c r="F5636" t="s">
        <v>32935</v>
      </c>
      <c r="G5636" t="s">
        <v>32936</v>
      </c>
      <c r="H5636" s="4" t="s">
        <v>32937</v>
      </c>
      <c r="I5636" t="s">
        <v>71</v>
      </c>
      <c r="J5636" t="s">
        <v>10782</v>
      </c>
      <c r="K5636" t="s">
        <v>32938</v>
      </c>
    </row>
    <row r="5637" spans="1:11" ht="28.8" x14ac:dyDescent="0.3">
      <c r="A5637" s="4" t="s">
        <v>8511</v>
      </c>
      <c r="B5637">
        <v>3</v>
      </c>
      <c r="C5637">
        <v>2015</v>
      </c>
      <c r="D5637" t="s">
        <v>14692</v>
      </c>
      <c r="E5637">
        <v>5</v>
      </c>
      <c r="F5637" t="s">
        <v>32939</v>
      </c>
      <c r="G5637" t="s">
        <v>32940</v>
      </c>
    </row>
    <row r="5638" spans="1:11" ht="172.8" x14ac:dyDescent="0.3">
      <c r="A5638" s="4" t="s">
        <v>8512</v>
      </c>
      <c r="B5638">
        <v>3</v>
      </c>
      <c r="C5638">
        <v>2015</v>
      </c>
      <c r="D5638" t="s">
        <v>1570</v>
      </c>
      <c r="E5638">
        <v>12</v>
      </c>
      <c r="F5638" t="s">
        <v>32941</v>
      </c>
      <c r="G5638" t="s">
        <v>32942</v>
      </c>
      <c r="H5638" s="4" t="s">
        <v>32943</v>
      </c>
      <c r="I5638" t="s">
        <v>10823</v>
      </c>
      <c r="J5638" t="s">
        <v>10782</v>
      </c>
      <c r="K5638" t="s">
        <v>32944</v>
      </c>
    </row>
    <row r="5639" spans="1:11" ht="230.4" x14ac:dyDescent="0.3">
      <c r="A5639" s="4" t="s">
        <v>8513</v>
      </c>
      <c r="B5639">
        <v>3</v>
      </c>
      <c r="C5639">
        <v>2015</v>
      </c>
      <c r="D5639" t="s">
        <v>32945</v>
      </c>
      <c r="E5639">
        <v>7</v>
      </c>
      <c r="F5639" t="s">
        <v>32946</v>
      </c>
      <c r="G5639" t="s">
        <v>32947</v>
      </c>
      <c r="H5639" s="4" t="s">
        <v>32948</v>
      </c>
      <c r="I5639" t="s">
        <v>71</v>
      </c>
      <c r="J5639" t="s">
        <v>10782</v>
      </c>
      <c r="K5639" t="s">
        <v>32949</v>
      </c>
    </row>
    <row r="5640" spans="1:11" ht="187.2" x14ac:dyDescent="0.3">
      <c r="A5640" s="4" t="s">
        <v>1988</v>
      </c>
      <c r="B5640">
        <v>1</v>
      </c>
      <c r="C5640">
        <v>2015</v>
      </c>
      <c r="D5640" t="s">
        <v>217</v>
      </c>
      <c r="E5640">
        <v>119</v>
      </c>
      <c r="F5640" t="s">
        <v>32950</v>
      </c>
      <c r="G5640" t="s">
        <v>32951</v>
      </c>
      <c r="H5640" s="4" t="s">
        <v>32952</v>
      </c>
      <c r="I5640" t="s">
        <v>71</v>
      </c>
      <c r="J5640" t="s">
        <v>10782</v>
      </c>
      <c r="K5640" t="s">
        <v>32953</v>
      </c>
    </row>
    <row r="5641" spans="1:11" ht="144" x14ac:dyDescent="0.3">
      <c r="A5641" s="4" t="s">
        <v>8514</v>
      </c>
      <c r="B5641">
        <v>3</v>
      </c>
      <c r="C5641">
        <v>2015</v>
      </c>
      <c r="D5641" t="s">
        <v>637</v>
      </c>
      <c r="E5641">
        <v>36</v>
      </c>
      <c r="F5641" t="s">
        <v>32954</v>
      </c>
      <c r="G5641" t="s">
        <v>32955</v>
      </c>
      <c r="H5641" s="4" t="s">
        <v>32956</v>
      </c>
      <c r="I5641" t="s">
        <v>71</v>
      </c>
      <c r="J5641" t="s">
        <v>10782</v>
      </c>
      <c r="K5641" t="s">
        <v>32957</v>
      </c>
    </row>
    <row r="5642" spans="1:11" ht="144" x14ac:dyDescent="0.3">
      <c r="A5642" s="4" t="s">
        <v>8515</v>
      </c>
      <c r="B5642">
        <v>3</v>
      </c>
      <c r="C5642">
        <v>2015</v>
      </c>
      <c r="D5642" t="s">
        <v>637</v>
      </c>
      <c r="E5642">
        <v>25</v>
      </c>
      <c r="F5642" t="s">
        <v>32958</v>
      </c>
      <c r="G5642" t="s">
        <v>32959</v>
      </c>
      <c r="H5642" s="4" t="s">
        <v>32960</v>
      </c>
      <c r="I5642" t="s">
        <v>71</v>
      </c>
      <c r="J5642" t="s">
        <v>10782</v>
      </c>
      <c r="K5642" t="s">
        <v>32961</v>
      </c>
    </row>
    <row r="5643" spans="1:11" ht="216" x14ac:dyDescent="0.3">
      <c r="A5643" s="4" t="s">
        <v>8516</v>
      </c>
      <c r="B5643">
        <v>3</v>
      </c>
      <c r="C5643">
        <v>2015</v>
      </c>
      <c r="D5643" t="s">
        <v>637</v>
      </c>
      <c r="E5643">
        <v>35</v>
      </c>
      <c r="F5643" t="s">
        <v>32962</v>
      </c>
      <c r="G5643" t="s">
        <v>32963</v>
      </c>
      <c r="H5643" s="4" t="s">
        <v>32964</v>
      </c>
      <c r="I5643" t="s">
        <v>71</v>
      </c>
      <c r="J5643" t="s">
        <v>10782</v>
      </c>
      <c r="K5643" t="s">
        <v>32965</v>
      </c>
    </row>
    <row r="5644" spans="1:11" ht="172.8" x14ac:dyDescent="0.3">
      <c r="A5644" s="4" t="s">
        <v>8517</v>
      </c>
      <c r="B5644">
        <v>3</v>
      </c>
      <c r="C5644">
        <v>2015</v>
      </c>
      <c r="D5644" t="s">
        <v>32966</v>
      </c>
      <c r="E5644">
        <v>79</v>
      </c>
      <c r="F5644" t="s">
        <v>32967</v>
      </c>
      <c r="G5644" t="s">
        <v>32968</v>
      </c>
      <c r="H5644" s="4" t="s">
        <v>32969</v>
      </c>
      <c r="I5644" t="s">
        <v>71</v>
      </c>
      <c r="J5644" t="s">
        <v>10782</v>
      </c>
      <c r="K5644" t="s">
        <v>32970</v>
      </c>
    </row>
    <row r="5645" spans="1:11" ht="187.2" x14ac:dyDescent="0.3">
      <c r="A5645" s="4" t="s">
        <v>8518</v>
      </c>
      <c r="B5645">
        <v>3</v>
      </c>
      <c r="C5645">
        <v>2015</v>
      </c>
      <c r="D5645" t="s">
        <v>32971</v>
      </c>
      <c r="E5645">
        <v>23</v>
      </c>
      <c r="F5645" t="s">
        <v>32972</v>
      </c>
      <c r="G5645" t="s">
        <v>32973</v>
      </c>
      <c r="H5645" s="4" t="s">
        <v>32974</v>
      </c>
      <c r="I5645" t="s">
        <v>10823</v>
      </c>
      <c r="J5645" t="s">
        <v>10782</v>
      </c>
      <c r="K5645" t="s">
        <v>32975</v>
      </c>
    </row>
    <row r="5646" spans="1:11" ht="28.8" x14ac:dyDescent="0.3">
      <c r="A5646" s="4" t="s">
        <v>8519</v>
      </c>
      <c r="B5646">
        <v>3</v>
      </c>
      <c r="C5646">
        <v>2015</v>
      </c>
      <c r="D5646" t="s">
        <v>14692</v>
      </c>
      <c r="E5646">
        <v>13</v>
      </c>
      <c r="F5646" t="s">
        <v>32976</v>
      </c>
      <c r="G5646" t="s">
        <v>32977</v>
      </c>
      <c r="H5646" s="4" t="s">
        <v>71</v>
      </c>
      <c r="I5646" t="s">
        <v>10782</v>
      </c>
      <c r="J5646" t="s">
        <v>32978</v>
      </c>
    </row>
    <row r="5647" spans="1:11" ht="187.2" x14ac:dyDescent="0.3">
      <c r="A5647" s="4" t="s">
        <v>8520</v>
      </c>
      <c r="B5647">
        <v>3</v>
      </c>
      <c r="C5647">
        <v>2015</v>
      </c>
      <c r="D5647" t="s">
        <v>12491</v>
      </c>
      <c r="E5647">
        <v>25</v>
      </c>
      <c r="F5647" t="s">
        <v>32979</v>
      </c>
      <c r="G5647" t="s">
        <v>32980</v>
      </c>
      <c r="H5647" s="4" t="s">
        <v>32981</v>
      </c>
      <c r="I5647" t="s">
        <v>71</v>
      </c>
      <c r="J5647" t="s">
        <v>10782</v>
      </c>
      <c r="K5647" t="s">
        <v>32982</v>
      </c>
    </row>
    <row r="5648" spans="1:11" ht="144" x14ac:dyDescent="0.3">
      <c r="A5648" s="4" t="s">
        <v>8521</v>
      </c>
      <c r="B5648">
        <v>3</v>
      </c>
      <c r="C5648">
        <v>2015</v>
      </c>
      <c r="D5648" t="s">
        <v>637</v>
      </c>
      <c r="E5648">
        <v>72</v>
      </c>
      <c r="F5648" t="s">
        <v>32983</v>
      </c>
      <c r="G5648" t="s">
        <v>32984</v>
      </c>
      <c r="H5648" s="4" t="s">
        <v>32985</v>
      </c>
      <c r="I5648" t="s">
        <v>71</v>
      </c>
      <c r="J5648" t="s">
        <v>10782</v>
      </c>
      <c r="K5648" t="s">
        <v>32986</v>
      </c>
    </row>
    <row r="5649" spans="1:11" ht="187.2" x14ac:dyDescent="0.3">
      <c r="A5649" s="4" t="s">
        <v>8522</v>
      </c>
      <c r="B5649">
        <v>3</v>
      </c>
      <c r="C5649">
        <v>2015</v>
      </c>
      <c r="D5649" t="s">
        <v>21123</v>
      </c>
      <c r="E5649">
        <v>43</v>
      </c>
      <c r="F5649" t="s">
        <v>32987</v>
      </c>
      <c r="G5649" t="s">
        <v>32988</v>
      </c>
      <c r="H5649" s="4" t="s">
        <v>32989</v>
      </c>
      <c r="I5649" t="s">
        <v>71</v>
      </c>
      <c r="J5649" t="s">
        <v>10782</v>
      </c>
      <c r="K5649" t="s">
        <v>32990</v>
      </c>
    </row>
    <row r="5650" spans="1:11" ht="28.8" x14ac:dyDescent="0.3">
      <c r="A5650" s="4" t="s">
        <v>8523</v>
      </c>
      <c r="B5650">
        <v>3</v>
      </c>
      <c r="C5650">
        <v>2015</v>
      </c>
      <c r="D5650" t="s">
        <v>105</v>
      </c>
      <c r="E5650">
        <v>4</v>
      </c>
      <c r="F5650" t="s">
        <v>32991</v>
      </c>
      <c r="G5650" t="s">
        <v>32992</v>
      </c>
    </row>
    <row r="5651" spans="1:11" ht="144" x14ac:dyDescent="0.3">
      <c r="A5651" s="4" t="s">
        <v>8524</v>
      </c>
      <c r="B5651">
        <v>3</v>
      </c>
      <c r="C5651">
        <v>2014</v>
      </c>
      <c r="D5651" t="s">
        <v>2384</v>
      </c>
      <c r="E5651">
        <v>724</v>
      </c>
      <c r="F5651" t="s">
        <v>32993</v>
      </c>
      <c r="G5651" t="s">
        <v>32994</v>
      </c>
      <c r="H5651" s="4" t="s">
        <v>32995</v>
      </c>
      <c r="I5651" t="s">
        <v>71</v>
      </c>
      <c r="J5651" t="s">
        <v>10782</v>
      </c>
      <c r="K5651" t="s">
        <v>32996</v>
      </c>
    </row>
    <row r="5652" spans="1:11" ht="115.2" x14ac:dyDescent="0.3">
      <c r="A5652" s="4" t="s">
        <v>8525</v>
      </c>
      <c r="B5652">
        <v>3</v>
      </c>
      <c r="C5652">
        <v>2014</v>
      </c>
      <c r="D5652" t="s">
        <v>10788</v>
      </c>
      <c r="E5652">
        <v>23</v>
      </c>
      <c r="F5652" t="s">
        <v>32997</v>
      </c>
      <c r="G5652" t="s">
        <v>32998</v>
      </c>
      <c r="H5652" s="4" t="s">
        <v>32999</v>
      </c>
    </row>
    <row r="5653" spans="1:11" ht="100.8" x14ac:dyDescent="0.3">
      <c r="A5653" s="4" t="s">
        <v>8526</v>
      </c>
      <c r="B5653">
        <v>3</v>
      </c>
      <c r="C5653">
        <v>2014</v>
      </c>
      <c r="D5653" t="s">
        <v>19186</v>
      </c>
      <c r="E5653">
        <v>48</v>
      </c>
      <c r="F5653" t="s">
        <v>33000</v>
      </c>
      <c r="G5653" t="s">
        <v>33001</v>
      </c>
      <c r="H5653" s="4" t="s">
        <v>33002</v>
      </c>
    </row>
    <row r="5654" spans="1:11" ht="187.2" x14ac:dyDescent="0.3">
      <c r="A5654" s="4" t="s">
        <v>8527</v>
      </c>
      <c r="B5654">
        <v>3</v>
      </c>
      <c r="C5654">
        <v>2014</v>
      </c>
      <c r="D5654" t="s">
        <v>11598</v>
      </c>
      <c r="E5654">
        <v>172</v>
      </c>
      <c r="F5654" t="s">
        <v>33003</v>
      </c>
      <c r="G5654" t="s">
        <v>33004</v>
      </c>
      <c r="H5654" s="4" t="s">
        <v>33005</v>
      </c>
      <c r="I5654" t="s">
        <v>71</v>
      </c>
      <c r="J5654" t="s">
        <v>10782</v>
      </c>
      <c r="K5654" t="s">
        <v>33006</v>
      </c>
    </row>
    <row r="5655" spans="1:11" ht="172.8" x14ac:dyDescent="0.3">
      <c r="A5655" s="4" t="s">
        <v>8528</v>
      </c>
      <c r="B5655">
        <v>3</v>
      </c>
      <c r="C5655">
        <v>2014</v>
      </c>
      <c r="D5655" t="s">
        <v>83</v>
      </c>
      <c r="E5655">
        <v>25</v>
      </c>
      <c r="F5655" t="s">
        <v>33007</v>
      </c>
      <c r="G5655" t="s">
        <v>33008</v>
      </c>
      <c r="H5655" s="4" t="s">
        <v>33009</v>
      </c>
      <c r="I5655" t="s">
        <v>71</v>
      </c>
      <c r="J5655" t="s">
        <v>10782</v>
      </c>
      <c r="K5655" t="s">
        <v>33010</v>
      </c>
    </row>
    <row r="5656" spans="1:11" ht="316.8" x14ac:dyDescent="0.3">
      <c r="A5656" s="4" t="s">
        <v>8529</v>
      </c>
      <c r="B5656">
        <v>3</v>
      </c>
      <c r="C5656">
        <v>2014</v>
      </c>
      <c r="D5656" t="s">
        <v>17362</v>
      </c>
      <c r="E5656">
        <v>24</v>
      </c>
      <c r="F5656" t="s">
        <v>33011</v>
      </c>
      <c r="G5656" t="s">
        <v>33012</v>
      </c>
      <c r="H5656" s="4" t="s">
        <v>33013</v>
      </c>
      <c r="I5656" t="s">
        <v>71</v>
      </c>
      <c r="J5656" t="s">
        <v>10782</v>
      </c>
      <c r="K5656" t="s">
        <v>33014</v>
      </c>
    </row>
    <row r="5657" spans="1:11" ht="115.2" x14ac:dyDescent="0.3">
      <c r="A5657" s="4" t="s">
        <v>8530</v>
      </c>
      <c r="B5657">
        <v>3</v>
      </c>
      <c r="C5657">
        <v>2014</v>
      </c>
      <c r="D5657" t="s">
        <v>33015</v>
      </c>
      <c r="E5657">
        <v>13</v>
      </c>
      <c r="F5657" t="s">
        <v>33016</v>
      </c>
      <c r="G5657" t="s">
        <v>33017</v>
      </c>
      <c r="H5657" s="4" t="s">
        <v>33018</v>
      </c>
      <c r="I5657" t="s">
        <v>71</v>
      </c>
      <c r="J5657" t="s">
        <v>10782</v>
      </c>
      <c r="K5657" t="s">
        <v>33019</v>
      </c>
    </row>
    <row r="5658" spans="1:11" ht="158.4" x14ac:dyDescent="0.3">
      <c r="A5658" s="4" t="s">
        <v>8531</v>
      </c>
      <c r="B5658">
        <v>3</v>
      </c>
      <c r="C5658">
        <v>2014</v>
      </c>
      <c r="D5658" t="s">
        <v>14736</v>
      </c>
      <c r="E5658">
        <v>24</v>
      </c>
      <c r="F5658" t="s">
        <v>33020</v>
      </c>
      <c r="G5658" t="s">
        <v>33021</v>
      </c>
      <c r="H5658" s="4" t="s">
        <v>33022</v>
      </c>
      <c r="I5658" t="s">
        <v>71</v>
      </c>
      <c r="J5658" t="s">
        <v>10782</v>
      </c>
      <c r="K5658" t="s">
        <v>33023</v>
      </c>
    </row>
    <row r="5659" spans="1:11" ht="244.8" x14ac:dyDescent="0.3">
      <c r="A5659" s="4" t="s">
        <v>8532</v>
      </c>
      <c r="B5659">
        <v>3</v>
      </c>
      <c r="C5659">
        <v>2014</v>
      </c>
      <c r="D5659" t="s">
        <v>83</v>
      </c>
      <c r="E5659">
        <v>24</v>
      </c>
      <c r="F5659" t="s">
        <v>33024</v>
      </c>
      <c r="G5659" t="s">
        <v>33025</v>
      </c>
      <c r="H5659" s="4" t="s">
        <v>33026</v>
      </c>
      <c r="I5659" t="s">
        <v>71</v>
      </c>
      <c r="J5659" t="s">
        <v>10782</v>
      </c>
      <c r="K5659" t="s">
        <v>33027</v>
      </c>
    </row>
    <row r="5660" spans="1:11" ht="172.8" x14ac:dyDescent="0.3">
      <c r="A5660" s="4" t="s">
        <v>8533</v>
      </c>
      <c r="B5660">
        <v>3</v>
      </c>
      <c r="C5660">
        <v>2014</v>
      </c>
      <c r="D5660" t="s">
        <v>1175</v>
      </c>
      <c r="E5660">
        <v>33</v>
      </c>
      <c r="F5660" t="s">
        <v>33028</v>
      </c>
      <c r="G5660" t="s">
        <v>33029</v>
      </c>
      <c r="H5660" s="4" t="s">
        <v>33030</v>
      </c>
      <c r="I5660" t="s">
        <v>71</v>
      </c>
      <c r="J5660" t="s">
        <v>10782</v>
      </c>
      <c r="K5660" t="s">
        <v>33031</v>
      </c>
    </row>
    <row r="5661" spans="1:11" ht="230.4" x14ac:dyDescent="0.3">
      <c r="A5661" s="4" t="s">
        <v>8534</v>
      </c>
      <c r="B5661">
        <v>3</v>
      </c>
      <c r="C5661">
        <v>2014</v>
      </c>
      <c r="D5661" t="s">
        <v>30074</v>
      </c>
      <c r="E5661">
        <v>22</v>
      </c>
      <c r="F5661" t="s">
        <v>33032</v>
      </c>
      <c r="G5661" t="s">
        <v>33033</v>
      </c>
      <c r="H5661" s="4" t="s">
        <v>33034</v>
      </c>
      <c r="I5661" t="s">
        <v>71</v>
      </c>
      <c r="J5661" t="s">
        <v>10782</v>
      </c>
      <c r="K5661" t="s">
        <v>33035</v>
      </c>
    </row>
    <row r="5662" spans="1:11" ht="158.4" x14ac:dyDescent="0.3">
      <c r="A5662" s="4" t="s">
        <v>8535</v>
      </c>
      <c r="B5662">
        <v>3</v>
      </c>
      <c r="C5662">
        <v>2014</v>
      </c>
      <c r="D5662" t="s">
        <v>2384</v>
      </c>
      <c r="E5662">
        <v>126</v>
      </c>
      <c r="F5662" t="s">
        <v>33036</v>
      </c>
      <c r="G5662" t="s">
        <v>33037</v>
      </c>
      <c r="H5662" s="4" t="s">
        <v>33038</v>
      </c>
      <c r="I5662" t="s">
        <v>71</v>
      </c>
      <c r="J5662" t="s">
        <v>10782</v>
      </c>
      <c r="K5662" t="s">
        <v>33039</v>
      </c>
    </row>
    <row r="5663" spans="1:11" ht="144" x14ac:dyDescent="0.3">
      <c r="A5663" s="4" t="s">
        <v>8536</v>
      </c>
      <c r="B5663">
        <v>3</v>
      </c>
      <c r="C5663">
        <v>2014</v>
      </c>
      <c r="D5663" t="s">
        <v>14703</v>
      </c>
      <c r="E5663">
        <v>13</v>
      </c>
      <c r="F5663" t="s">
        <v>33040</v>
      </c>
      <c r="G5663" t="s">
        <v>33041</v>
      </c>
      <c r="H5663" s="4" t="s">
        <v>33042</v>
      </c>
      <c r="I5663" t="s">
        <v>71</v>
      </c>
      <c r="J5663" t="s">
        <v>10782</v>
      </c>
      <c r="K5663" t="s">
        <v>33043</v>
      </c>
    </row>
    <row r="5664" spans="1:11" ht="158.4" x14ac:dyDescent="0.3">
      <c r="A5664" s="4" t="s">
        <v>8537</v>
      </c>
      <c r="B5664">
        <v>3</v>
      </c>
      <c r="C5664">
        <v>2014</v>
      </c>
      <c r="D5664" t="s">
        <v>1688</v>
      </c>
      <c r="E5664">
        <v>46</v>
      </c>
      <c r="F5664" t="s">
        <v>33044</v>
      </c>
      <c r="G5664" t="s">
        <v>33045</v>
      </c>
      <c r="H5664" s="4" t="s">
        <v>33046</v>
      </c>
      <c r="I5664" t="s">
        <v>71</v>
      </c>
      <c r="J5664" t="s">
        <v>10782</v>
      </c>
      <c r="K5664" t="s">
        <v>33047</v>
      </c>
    </row>
    <row r="5665" spans="1:11" ht="144" x14ac:dyDescent="0.3">
      <c r="A5665" s="4" t="s">
        <v>8538</v>
      </c>
      <c r="B5665">
        <v>3</v>
      </c>
      <c r="C5665">
        <v>2014</v>
      </c>
      <c r="D5665" t="s">
        <v>15454</v>
      </c>
      <c r="E5665">
        <v>35</v>
      </c>
      <c r="F5665" t="s">
        <v>33048</v>
      </c>
      <c r="G5665" t="s">
        <v>33049</v>
      </c>
      <c r="H5665" s="4" t="s">
        <v>33050</v>
      </c>
      <c r="I5665" t="s">
        <v>71</v>
      </c>
      <c r="J5665" t="s">
        <v>10782</v>
      </c>
      <c r="K5665" t="s">
        <v>33051</v>
      </c>
    </row>
    <row r="5666" spans="1:11" ht="172.8" x14ac:dyDescent="0.3">
      <c r="A5666" s="4" t="s">
        <v>8539</v>
      </c>
      <c r="B5666">
        <v>3</v>
      </c>
      <c r="C5666">
        <v>2014</v>
      </c>
      <c r="D5666" t="s">
        <v>33052</v>
      </c>
      <c r="E5666">
        <v>15</v>
      </c>
      <c r="F5666" t="s">
        <v>33053</v>
      </c>
      <c r="G5666" t="s">
        <v>33054</v>
      </c>
      <c r="H5666" s="4" t="s">
        <v>33055</v>
      </c>
      <c r="I5666" t="s">
        <v>71</v>
      </c>
      <c r="J5666" t="s">
        <v>10782</v>
      </c>
      <c r="K5666" t="s">
        <v>33056</v>
      </c>
    </row>
    <row r="5667" spans="1:11" ht="115.2" x14ac:dyDescent="0.3">
      <c r="A5667" s="4" t="s">
        <v>8540</v>
      </c>
      <c r="B5667">
        <v>3</v>
      </c>
      <c r="C5667">
        <v>2014</v>
      </c>
      <c r="D5667" t="s">
        <v>799</v>
      </c>
      <c r="E5667">
        <v>21</v>
      </c>
      <c r="F5667" t="s">
        <v>33057</v>
      </c>
      <c r="G5667" t="s">
        <v>33058</v>
      </c>
      <c r="H5667" s="4" t="s">
        <v>33059</v>
      </c>
      <c r="I5667" t="s">
        <v>71</v>
      </c>
      <c r="J5667" t="s">
        <v>10782</v>
      </c>
      <c r="K5667" t="s">
        <v>33060</v>
      </c>
    </row>
    <row r="5668" spans="1:11" ht="158.4" x14ac:dyDescent="0.3">
      <c r="A5668" s="4" t="s">
        <v>8541</v>
      </c>
      <c r="B5668">
        <v>3</v>
      </c>
      <c r="C5668">
        <v>2014</v>
      </c>
      <c r="D5668" t="s">
        <v>19527</v>
      </c>
      <c r="E5668">
        <v>14</v>
      </c>
      <c r="F5668" t="s">
        <v>33061</v>
      </c>
      <c r="G5668" t="s">
        <v>33062</v>
      </c>
      <c r="H5668" s="4" t="s">
        <v>33063</v>
      </c>
      <c r="I5668" t="s">
        <v>10823</v>
      </c>
      <c r="J5668" t="s">
        <v>10782</v>
      </c>
      <c r="K5668" t="s">
        <v>33064</v>
      </c>
    </row>
    <row r="5669" spans="1:11" ht="187.2" x14ac:dyDescent="0.3">
      <c r="A5669" s="4" t="s">
        <v>1989</v>
      </c>
      <c r="B5669">
        <v>1</v>
      </c>
      <c r="C5669">
        <v>2014</v>
      </c>
      <c r="D5669" t="s">
        <v>147</v>
      </c>
      <c r="E5669">
        <v>10</v>
      </c>
      <c r="F5669" t="s">
        <v>33065</v>
      </c>
      <c r="G5669" t="s">
        <v>33066</v>
      </c>
      <c r="H5669" s="4" t="s">
        <v>33067</v>
      </c>
      <c r="I5669" t="s">
        <v>71</v>
      </c>
      <c r="J5669" t="s">
        <v>10782</v>
      </c>
      <c r="K5669" t="s">
        <v>33068</v>
      </c>
    </row>
    <row r="5670" spans="1:11" ht="158.4" x14ac:dyDescent="0.3">
      <c r="A5670" s="4" t="s">
        <v>8542</v>
      </c>
      <c r="B5670">
        <v>3</v>
      </c>
      <c r="C5670">
        <v>2014</v>
      </c>
      <c r="D5670" t="s">
        <v>15454</v>
      </c>
      <c r="E5670">
        <v>16</v>
      </c>
      <c r="F5670" t="s">
        <v>33069</v>
      </c>
      <c r="G5670" t="s">
        <v>33070</v>
      </c>
      <c r="H5670" s="4" t="s">
        <v>33071</v>
      </c>
      <c r="I5670" t="s">
        <v>71</v>
      </c>
      <c r="J5670" t="s">
        <v>10782</v>
      </c>
      <c r="K5670" t="s">
        <v>33072</v>
      </c>
    </row>
    <row r="5671" spans="1:11" ht="172.8" x14ac:dyDescent="0.3">
      <c r="A5671" s="4" t="s">
        <v>8543</v>
      </c>
      <c r="B5671">
        <v>3</v>
      </c>
      <c r="C5671">
        <v>2014</v>
      </c>
      <c r="D5671" t="s">
        <v>2416</v>
      </c>
      <c r="E5671">
        <v>25</v>
      </c>
      <c r="F5671" t="s">
        <v>33073</v>
      </c>
      <c r="G5671" t="s">
        <v>33074</v>
      </c>
      <c r="H5671" s="4" t="s">
        <v>33075</v>
      </c>
      <c r="I5671" t="s">
        <v>71</v>
      </c>
      <c r="J5671" t="s">
        <v>10782</v>
      </c>
      <c r="K5671" t="s">
        <v>33076</v>
      </c>
    </row>
    <row r="5672" spans="1:11" ht="187.2" x14ac:dyDescent="0.3">
      <c r="A5672" s="4" t="s">
        <v>8544</v>
      </c>
      <c r="B5672">
        <v>3</v>
      </c>
      <c r="C5672">
        <v>2014</v>
      </c>
      <c r="D5672" t="s">
        <v>80</v>
      </c>
      <c r="E5672">
        <v>62</v>
      </c>
      <c r="F5672" t="s">
        <v>33077</v>
      </c>
      <c r="G5672" t="s">
        <v>33078</v>
      </c>
      <c r="H5672" s="4" t="s">
        <v>33079</v>
      </c>
      <c r="I5672" t="s">
        <v>71</v>
      </c>
      <c r="J5672" t="s">
        <v>10782</v>
      </c>
      <c r="K5672" t="s">
        <v>33080</v>
      </c>
    </row>
    <row r="5673" spans="1:11" ht="244.8" x14ac:dyDescent="0.3">
      <c r="A5673" s="4" t="s">
        <v>8545</v>
      </c>
      <c r="B5673">
        <v>3</v>
      </c>
      <c r="C5673">
        <v>2014</v>
      </c>
      <c r="D5673" t="s">
        <v>83</v>
      </c>
      <c r="E5673">
        <v>20</v>
      </c>
      <c r="F5673" t="s">
        <v>33081</v>
      </c>
      <c r="G5673" t="s">
        <v>33082</v>
      </c>
      <c r="H5673" s="4" t="s">
        <v>33083</v>
      </c>
      <c r="I5673" t="s">
        <v>71</v>
      </c>
      <c r="J5673" t="s">
        <v>10782</v>
      </c>
      <c r="K5673" t="s">
        <v>33084</v>
      </c>
    </row>
    <row r="5674" spans="1:11" ht="144" x14ac:dyDescent="0.3">
      <c r="A5674" s="4" t="s">
        <v>8546</v>
      </c>
      <c r="B5674">
        <v>3</v>
      </c>
      <c r="C5674">
        <v>2014</v>
      </c>
      <c r="D5674" t="s">
        <v>830</v>
      </c>
      <c r="E5674">
        <v>17</v>
      </c>
      <c r="F5674" t="s">
        <v>33085</v>
      </c>
      <c r="G5674" t="s">
        <v>33086</v>
      </c>
      <c r="H5674" s="4" t="s">
        <v>33087</v>
      </c>
      <c r="I5674" t="s">
        <v>71</v>
      </c>
      <c r="J5674" t="s">
        <v>10782</v>
      </c>
      <c r="K5674" t="s">
        <v>33088</v>
      </c>
    </row>
    <row r="5675" spans="1:11" ht="115.2" x14ac:dyDescent="0.3">
      <c r="A5675" s="4" t="s">
        <v>8547</v>
      </c>
      <c r="B5675">
        <v>3</v>
      </c>
      <c r="C5675">
        <v>2014</v>
      </c>
      <c r="D5675" t="s">
        <v>329</v>
      </c>
      <c r="E5675">
        <v>17</v>
      </c>
      <c r="F5675" t="s">
        <v>33089</v>
      </c>
      <c r="G5675" t="s">
        <v>33090</v>
      </c>
      <c r="H5675" s="4" t="s">
        <v>33091</v>
      </c>
      <c r="I5675" t="s">
        <v>71</v>
      </c>
      <c r="J5675" t="s">
        <v>10782</v>
      </c>
      <c r="K5675" t="s">
        <v>33092</v>
      </c>
    </row>
    <row r="5676" spans="1:11" ht="144" x14ac:dyDescent="0.3">
      <c r="A5676" s="4" t="s">
        <v>8548</v>
      </c>
      <c r="B5676">
        <v>3</v>
      </c>
      <c r="C5676">
        <v>2014</v>
      </c>
      <c r="D5676" t="s">
        <v>217</v>
      </c>
      <c r="E5676">
        <v>33</v>
      </c>
      <c r="F5676" t="s">
        <v>33093</v>
      </c>
      <c r="G5676" t="s">
        <v>33094</v>
      </c>
      <c r="H5676" s="4" t="s">
        <v>33095</v>
      </c>
      <c r="I5676" t="s">
        <v>71</v>
      </c>
      <c r="J5676" t="s">
        <v>10782</v>
      </c>
      <c r="K5676" t="s">
        <v>33096</v>
      </c>
    </row>
    <row r="5677" spans="1:11" ht="115.2" x14ac:dyDescent="0.3">
      <c r="A5677" s="4" t="s">
        <v>3408</v>
      </c>
      <c r="B5677">
        <v>1</v>
      </c>
      <c r="C5677">
        <v>2014</v>
      </c>
      <c r="D5677" t="s">
        <v>11649</v>
      </c>
      <c r="E5677">
        <v>16</v>
      </c>
      <c r="F5677" t="s">
        <v>33097</v>
      </c>
      <c r="G5677" t="s">
        <v>33098</v>
      </c>
      <c r="H5677" s="4" t="s">
        <v>33099</v>
      </c>
      <c r="I5677" t="s">
        <v>71</v>
      </c>
      <c r="J5677" t="s">
        <v>10782</v>
      </c>
      <c r="K5677" t="s">
        <v>33100</v>
      </c>
    </row>
    <row r="5678" spans="1:11" ht="316.8" x14ac:dyDescent="0.3">
      <c r="A5678" s="4" t="s">
        <v>8549</v>
      </c>
      <c r="B5678">
        <v>3</v>
      </c>
      <c r="C5678">
        <v>2014</v>
      </c>
      <c r="D5678" t="s">
        <v>1175</v>
      </c>
      <c r="E5678">
        <v>7</v>
      </c>
      <c r="F5678" t="s">
        <v>33101</v>
      </c>
      <c r="G5678" t="s">
        <v>33102</v>
      </c>
      <c r="H5678" s="4" t="s">
        <v>33103</v>
      </c>
      <c r="I5678" t="s">
        <v>71</v>
      </c>
      <c r="J5678" t="s">
        <v>10782</v>
      </c>
      <c r="K5678" t="s">
        <v>33104</v>
      </c>
    </row>
    <row r="5679" spans="1:11" ht="187.2" x14ac:dyDescent="0.3">
      <c r="A5679" s="4" t="s">
        <v>8550</v>
      </c>
      <c r="B5679">
        <v>3</v>
      </c>
      <c r="C5679">
        <v>2014</v>
      </c>
      <c r="D5679" t="s">
        <v>11674</v>
      </c>
      <c r="E5679">
        <v>18</v>
      </c>
      <c r="F5679" t="s">
        <v>33105</v>
      </c>
      <c r="G5679" t="s">
        <v>33106</v>
      </c>
      <c r="H5679" s="4" t="s">
        <v>33107</v>
      </c>
      <c r="I5679" t="s">
        <v>71</v>
      </c>
      <c r="J5679" t="s">
        <v>10782</v>
      </c>
      <c r="K5679" t="s">
        <v>33108</v>
      </c>
    </row>
    <row r="5680" spans="1:11" ht="244.8" x14ac:dyDescent="0.3">
      <c r="A5680" s="4" t="s">
        <v>8551</v>
      </c>
      <c r="B5680">
        <v>3</v>
      </c>
      <c r="C5680">
        <v>2014</v>
      </c>
      <c r="D5680" t="s">
        <v>33109</v>
      </c>
      <c r="E5680">
        <v>22</v>
      </c>
      <c r="F5680" t="s">
        <v>33110</v>
      </c>
      <c r="G5680" t="s">
        <v>33111</v>
      </c>
      <c r="H5680" s="4" t="s">
        <v>33112</v>
      </c>
      <c r="I5680" t="s">
        <v>71</v>
      </c>
      <c r="J5680" t="s">
        <v>10782</v>
      </c>
      <c r="K5680" t="s">
        <v>33113</v>
      </c>
    </row>
    <row r="5681" spans="1:11" ht="187.2" x14ac:dyDescent="0.3">
      <c r="A5681" s="4" t="s">
        <v>8552</v>
      </c>
      <c r="B5681">
        <v>3</v>
      </c>
      <c r="C5681">
        <v>2014</v>
      </c>
      <c r="D5681" t="s">
        <v>10057</v>
      </c>
      <c r="E5681">
        <v>98</v>
      </c>
      <c r="F5681" t="s">
        <v>33114</v>
      </c>
      <c r="G5681" t="s">
        <v>33115</v>
      </c>
      <c r="H5681" s="4" t="s">
        <v>33116</v>
      </c>
      <c r="I5681" t="s">
        <v>71</v>
      </c>
      <c r="J5681" t="s">
        <v>10782</v>
      </c>
      <c r="K5681" t="s">
        <v>33117</v>
      </c>
    </row>
    <row r="5682" spans="1:11" ht="43.2" x14ac:dyDescent="0.3">
      <c r="A5682" s="4" t="s">
        <v>8553</v>
      </c>
      <c r="B5682">
        <v>3</v>
      </c>
      <c r="C5682">
        <v>2014</v>
      </c>
      <c r="D5682" t="s">
        <v>33118</v>
      </c>
      <c r="E5682">
        <v>12</v>
      </c>
      <c r="F5682" t="s">
        <v>33119</v>
      </c>
      <c r="G5682" t="s">
        <v>33120</v>
      </c>
      <c r="H5682" s="4" t="s">
        <v>33121</v>
      </c>
    </row>
    <row r="5683" spans="1:11" ht="230.4" x14ac:dyDescent="0.3">
      <c r="A5683" s="4" t="s">
        <v>8554</v>
      </c>
      <c r="B5683">
        <v>3</v>
      </c>
      <c r="C5683">
        <v>2014</v>
      </c>
      <c r="D5683" t="s">
        <v>1849</v>
      </c>
      <c r="E5683">
        <v>29</v>
      </c>
      <c r="F5683" t="s">
        <v>33122</v>
      </c>
      <c r="G5683" t="s">
        <v>33123</v>
      </c>
      <c r="H5683" s="4" t="s">
        <v>33124</v>
      </c>
      <c r="I5683" t="s">
        <v>10823</v>
      </c>
      <c r="J5683" t="s">
        <v>10782</v>
      </c>
      <c r="K5683" t="s">
        <v>33125</v>
      </c>
    </row>
    <row r="5684" spans="1:11" ht="172.8" x14ac:dyDescent="0.3">
      <c r="A5684" s="4" t="s">
        <v>8555</v>
      </c>
      <c r="B5684">
        <v>3</v>
      </c>
      <c r="C5684">
        <v>2014</v>
      </c>
      <c r="D5684" t="s">
        <v>12593</v>
      </c>
      <c r="E5684">
        <v>37</v>
      </c>
      <c r="F5684" t="s">
        <v>33126</v>
      </c>
      <c r="G5684" t="s">
        <v>33127</v>
      </c>
      <c r="H5684" s="4" t="s">
        <v>33128</v>
      </c>
      <c r="I5684" t="s">
        <v>71</v>
      </c>
      <c r="J5684" t="s">
        <v>10782</v>
      </c>
      <c r="K5684" t="s">
        <v>33129</v>
      </c>
    </row>
    <row r="5685" spans="1:11" ht="316.8" x14ac:dyDescent="0.3">
      <c r="A5685" s="4" t="s">
        <v>8556</v>
      </c>
      <c r="B5685">
        <v>3</v>
      </c>
      <c r="C5685">
        <v>2014</v>
      </c>
      <c r="D5685" t="s">
        <v>10057</v>
      </c>
      <c r="E5685">
        <v>42</v>
      </c>
      <c r="F5685" t="s">
        <v>33130</v>
      </c>
      <c r="G5685" t="s">
        <v>33131</v>
      </c>
      <c r="H5685" s="4" t="s">
        <v>33132</v>
      </c>
      <c r="I5685" t="s">
        <v>71</v>
      </c>
      <c r="J5685" t="s">
        <v>10782</v>
      </c>
      <c r="K5685" t="s">
        <v>33133</v>
      </c>
    </row>
    <row r="5686" spans="1:11" ht="158.4" x14ac:dyDescent="0.3">
      <c r="A5686" s="4" t="s">
        <v>8557</v>
      </c>
      <c r="B5686">
        <v>3</v>
      </c>
      <c r="C5686">
        <v>2014</v>
      </c>
      <c r="D5686" t="s">
        <v>329</v>
      </c>
      <c r="E5686">
        <v>12</v>
      </c>
      <c r="F5686" t="s">
        <v>33134</v>
      </c>
      <c r="G5686" t="s">
        <v>33135</v>
      </c>
      <c r="H5686" s="4" t="s">
        <v>33136</v>
      </c>
      <c r="I5686" t="s">
        <v>71</v>
      </c>
      <c r="J5686" t="s">
        <v>10782</v>
      </c>
      <c r="K5686" t="s">
        <v>33137</v>
      </c>
    </row>
    <row r="5687" spans="1:11" ht="201.6" x14ac:dyDescent="0.3">
      <c r="A5687" s="4" t="s">
        <v>8558</v>
      </c>
      <c r="B5687">
        <v>3</v>
      </c>
      <c r="C5687">
        <v>2014</v>
      </c>
      <c r="D5687" t="s">
        <v>13821</v>
      </c>
      <c r="E5687">
        <v>51</v>
      </c>
      <c r="F5687" t="s">
        <v>33138</v>
      </c>
      <c r="G5687" t="s">
        <v>33139</v>
      </c>
      <c r="H5687" s="4" t="s">
        <v>33140</v>
      </c>
      <c r="I5687" t="s">
        <v>71</v>
      </c>
      <c r="J5687" t="s">
        <v>10782</v>
      </c>
      <c r="K5687" t="s">
        <v>33141</v>
      </c>
    </row>
    <row r="5688" spans="1:11" ht="244.8" x14ac:dyDescent="0.3">
      <c r="A5688" s="4" t="s">
        <v>8559</v>
      </c>
      <c r="B5688">
        <v>3</v>
      </c>
      <c r="C5688">
        <v>2014</v>
      </c>
      <c r="D5688" t="s">
        <v>11728</v>
      </c>
      <c r="E5688">
        <v>24</v>
      </c>
      <c r="F5688" t="s">
        <v>33142</v>
      </c>
      <c r="G5688" t="s">
        <v>33143</v>
      </c>
      <c r="H5688" s="4" t="s">
        <v>33144</v>
      </c>
      <c r="I5688" t="s">
        <v>10823</v>
      </c>
      <c r="J5688" t="s">
        <v>10782</v>
      </c>
      <c r="K5688" t="s">
        <v>33145</v>
      </c>
    </row>
    <row r="5689" spans="1:11" ht="230.4" x14ac:dyDescent="0.3">
      <c r="A5689" s="4" t="s">
        <v>8560</v>
      </c>
      <c r="B5689">
        <v>3</v>
      </c>
      <c r="C5689">
        <v>2014</v>
      </c>
      <c r="D5689" t="s">
        <v>1570</v>
      </c>
      <c r="E5689">
        <v>1</v>
      </c>
      <c r="F5689" t="s">
        <v>33146</v>
      </c>
      <c r="G5689" t="s">
        <v>33147</v>
      </c>
      <c r="H5689" s="4" t="s">
        <v>33148</v>
      </c>
      <c r="I5689" t="s">
        <v>71</v>
      </c>
      <c r="J5689" t="s">
        <v>10782</v>
      </c>
      <c r="K5689" t="s">
        <v>33149</v>
      </c>
    </row>
    <row r="5690" spans="1:11" ht="144" x14ac:dyDescent="0.3">
      <c r="A5690" s="4" t="s">
        <v>8561</v>
      </c>
      <c r="B5690">
        <v>3</v>
      </c>
      <c r="C5690">
        <v>2014</v>
      </c>
      <c r="D5690" t="s">
        <v>10924</v>
      </c>
      <c r="E5690">
        <v>40</v>
      </c>
      <c r="F5690" t="s">
        <v>33150</v>
      </c>
      <c r="G5690" t="s">
        <v>33151</v>
      </c>
      <c r="H5690" s="4" t="s">
        <v>33152</v>
      </c>
      <c r="I5690" t="s">
        <v>71</v>
      </c>
      <c r="J5690" t="s">
        <v>10782</v>
      </c>
      <c r="K5690" t="s">
        <v>33153</v>
      </c>
    </row>
    <row r="5691" spans="1:11" ht="172.8" x14ac:dyDescent="0.3">
      <c r="A5691" s="4" t="s">
        <v>8562</v>
      </c>
      <c r="B5691">
        <v>3</v>
      </c>
      <c r="C5691">
        <v>2014</v>
      </c>
      <c r="D5691" t="s">
        <v>33154</v>
      </c>
      <c r="E5691">
        <v>8</v>
      </c>
      <c r="F5691" t="s">
        <v>33155</v>
      </c>
      <c r="G5691" t="s">
        <v>33156</v>
      </c>
      <c r="H5691" s="4" t="s">
        <v>33157</v>
      </c>
      <c r="I5691" t="s">
        <v>71</v>
      </c>
      <c r="J5691" t="s">
        <v>10782</v>
      </c>
      <c r="K5691" t="s">
        <v>33158</v>
      </c>
    </row>
    <row r="5692" spans="1:11" ht="172.8" x14ac:dyDescent="0.3">
      <c r="A5692" s="4" t="s">
        <v>8563</v>
      </c>
      <c r="B5692">
        <v>3</v>
      </c>
      <c r="C5692">
        <v>2014</v>
      </c>
      <c r="D5692" t="s">
        <v>329</v>
      </c>
      <c r="E5692">
        <v>18</v>
      </c>
      <c r="F5692" t="s">
        <v>33159</v>
      </c>
      <c r="G5692" t="s">
        <v>33160</v>
      </c>
      <c r="H5692" s="4" t="s">
        <v>33161</v>
      </c>
      <c r="I5692" t="s">
        <v>71</v>
      </c>
      <c r="J5692" t="s">
        <v>10782</v>
      </c>
      <c r="K5692" t="s">
        <v>33162</v>
      </c>
    </row>
    <row r="5693" spans="1:11" ht="158.4" x14ac:dyDescent="0.3">
      <c r="A5693" s="4" t="s">
        <v>1990</v>
      </c>
      <c r="B5693">
        <v>1</v>
      </c>
      <c r="C5693">
        <v>2014</v>
      </c>
      <c r="D5693" t="s">
        <v>329</v>
      </c>
      <c r="E5693">
        <v>22</v>
      </c>
      <c r="F5693" t="s">
        <v>33163</v>
      </c>
      <c r="G5693" t="s">
        <v>33164</v>
      </c>
      <c r="H5693" s="4" t="s">
        <v>33165</v>
      </c>
      <c r="I5693" t="s">
        <v>71</v>
      </c>
      <c r="J5693" t="s">
        <v>10782</v>
      </c>
      <c r="K5693" t="s">
        <v>33166</v>
      </c>
    </row>
    <row r="5694" spans="1:11" ht="43.2" x14ac:dyDescent="0.3">
      <c r="A5694" s="4" t="s">
        <v>8564</v>
      </c>
      <c r="B5694">
        <v>3</v>
      </c>
      <c r="C5694">
        <v>2014</v>
      </c>
      <c r="D5694" t="s">
        <v>19978</v>
      </c>
      <c r="E5694">
        <v>5</v>
      </c>
      <c r="F5694" t="s">
        <v>33167</v>
      </c>
      <c r="G5694" t="s">
        <v>33168</v>
      </c>
      <c r="H5694" s="4" t="s">
        <v>33169</v>
      </c>
    </row>
    <row r="5695" spans="1:11" ht="187.2" x14ac:dyDescent="0.3">
      <c r="A5695" s="4" t="s">
        <v>8565</v>
      </c>
      <c r="B5695">
        <v>3</v>
      </c>
      <c r="C5695">
        <v>2014</v>
      </c>
      <c r="D5695" t="s">
        <v>550</v>
      </c>
      <c r="E5695">
        <v>38</v>
      </c>
      <c r="F5695" t="s">
        <v>33170</v>
      </c>
      <c r="G5695" t="s">
        <v>33171</v>
      </c>
      <c r="H5695" s="4" t="s">
        <v>33172</v>
      </c>
      <c r="I5695" t="s">
        <v>71</v>
      </c>
      <c r="J5695" t="s">
        <v>10782</v>
      </c>
      <c r="K5695" t="s">
        <v>33173</v>
      </c>
    </row>
    <row r="5696" spans="1:11" ht="187.2" x14ac:dyDescent="0.3">
      <c r="A5696" s="4" t="s">
        <v>8566</v>
      </c>
      <c r="B5696">
        <v>3</v>
      </c>
      <c r="C5696">
        <v>2014</v>
      </c>
      <c r="D5696" t="s">
        <v>10924</v>
      </c>
      <c r="E5696">
        <v>15</v>
      </c>
      <c r="F5696" t="s">
        <v>33174</v>
      </c>
      <c r="G5696" t="s">
        <v>33175</v>
      </c>
      <c r="H5696" s="4" t="s">
        <v>33176</v>
      </c>
      <c r="I5696" t="s">
        <v>71</v>
      </c>
      <c r="J5696" t="s">
        <v>10782</v>
      </c>
      <c r="K5696" t="s">
        <v>33177</v>
      </c>
    </row>
    <row r="5697" spans="1:11" ht="86.4" x14ac:dyDescent="0.3">
      <c r="A5697" s="4" t="s">
        <v>8567</v>
      </c>
      <c r="B5697">
        <v>3</v>
      </c>
      <c r="C5697">
        <v>2014</v>
      </c>
      <c r="D5697" t="s">
        <v>33178</v>
      </c>
      <c r="E5697">
        <v>25</v>
      </c>
      <c r="F5697" t="s">
        <v>33179</v>
      </c>
      <c r="G5697" t="s">
        <v>33180</v>
      </c>
      <c r="H5697" s="4" t="s">
        <v>33181</v>
      </c>
      <c r="I5697" t="s">
        <v>71</v>
      </c>
      <c r="J5697" t="s">
        <v>10782</v>
      </c>
      <c r="K5697" t="s">
        <v>33182</v>
      </c>
    </row>
    <row r="5698" spans="1:11" ht="187.2" x14ac:dyDescent="0.3">
      <c r="A5698" s="4" t="s">
        <v>3409</v>
      </c>
      <c r="B5698">
        <v>1</v>
      </c>
      <c r="C5698">
        <v>2014</v>
      </c>
      <c r="D5698" t="s">
        <v>1794</v>
      </c>
      <c r="E5698">
        <v>12</v>
      </c>
      <c r="F5698" t="s">
        <v>33183</v>
      </c>
      <c r="G5698" t="s">
        <v>33184</v>
      </c>
      <c r="H5698" s="4" t="s">
        <v>33185</v>
      </c>
      <c r="I5698" t="s">
        <v>71</v>
      </c>
      <c r="J5698" t="s">
        <v>10782</v>
      </c>
      <c r="K5698" t="s">
        <v>33186</v>
      </c>
    </row>
    <row r="5699" spans="1:11" ht="86.4" x14ac:dyDescent="0.3">
      <c r="A5699" s="4" t="s">
        <v>8568</v>
      </c>
      <c r="B5699">
        <v>3</v>
      </c>
      <c r="C5699">
        <v>2014</v>
      </c>
      <c r="D5699" t="s">
        <v>80</v>
      </c>
      <c r="E5699">
        <v>84</v>
      </c>
      <c r="F5699" t="s">
        <v>33187</v>
      </c>
      <c r="G5699" t="s">
        <v>33188</v>
      </c>
      <c r="H5699" s="4" t="s">
        <v>33189</v>
      </c>
    </row>
    <row r="5700" spans="1:11" ht="57.6" x14ac:dyDescent="0.3">
      <c r="A5700" s="4" t="s">
        <v>8569</v>
      </c>
      <c r="B5700">
        <v>3</v>
      </c>
      <c r="C5700">
        <v>2014</v>
      </c>
      <c r="D5700" t="s">
        <v>14775</v>
      </c>
      <c r="E5700">
        <v>9</v>
      </c>
      <c r="F5700" t="s">
        <v>33190</v>
      </c>
      <c r="G5700" t="s">
        <v>33191</v>
      </c>
      <c r="H5700" s="4" t="s">
        <v>33192</v>
      </c>
    </row>
    <row r="5701" spans="1:11" ht="28.8" x14ac:dyDescent="0.3">
      <c r="A5701" s="4" t="s">
        <v>8570</v>
      </c>
      <c r="B5701">
        <v>3</v>
      </c>
      <c r="C5701">
        <v>2014</v>
      </c>
      <c r="D5701" t="s">
        <v>33193</v>
      </c>
      <c r="E5701">
        <v>0</v>
      </c>
      <c r="F5701" t="s">
        <v>33194</v>
      </c>
      <c r="G5701" t="s">
        <v>17311</v>
      </c>
      <c r="H5701" s="4" t="s">
        <v>71</v>
      </c>
      <c r="I5701" t="s">
        <v>10782</v>
      </c>
      <c r="J5701" t="s">
        <v>33195</v>
      </c>
    </row>
    <row r="5702" spans="1:11" ht="201.6" x14ac:dyDescent="0.3">
      <c r="A5702" s="4" t="s">
        <v>8571</v>
      </c>
      <c r="B5702">
        <v>3</v>
      </c>
      <c r="C5702">
        <v>2014</v>
      </c>
      <c r="D5702" t="s">
        <v>528</v>
      </c>
      <c r="E5702">
        <v>86</v>
      </c>
      <c r="F5702" t="s">
        <v>33196</v>
      </c>
      <c r="G5702" t="s">
        <v>33197</v>
      </c>
      <c r="H5702" s="4" t="s">
        <v>33198</v>
      </c>
      <c r="I5702" t="s">
        <v>10823</v>
      </c>
      <c r="J5702" t="s">
        <v>10782</v>
      </c>
      <c r="K5702" t="s">
        <v>33199</v>
      </c>
    </row>
    <row r="5703" spans="1:11" ht="187.2" x14ac:dyDescent="0.3">
      <c r="A5703" s="4" t="s">
        <v>8572</v>
      </c>
      <c r="B5703">
        <v>3</v>
      </c>
      <c r="C5703">
        <v>2014</v>
      </c>
      <c r="D5703" t="s">
        <v>1570</v>
      </c>
      <c r="E5703">
        <v>10</v>
      </c>
      <c r="F5703" t="s">
        <v>33200</v>
      </c>
      <c r="G5703" t="s">
        <v>33201</v>
      </c>
      <c r="H5703" s="4" t="s">
        <v>33202</v>
      </c>
      <c r="I5703" t="s">
        <v>71</v>
      </c>
      <c r="J5703" t="s">
        <v>10782</v>
      </c>
      <c r="K5703" t="s">
        <v>33203</v>
      </c>
    </row>
    <row r="5704" spans="1:11" ht="115.2" x14ac:dyDescent="0.3">
      <c r="A5704" s="4" t="s">
        <v>8573</v>
      </c>
      <c r="B5704">
        <v>3</v>
      </c>
      <c r="C5704">
        <v>2014</v>
      </c>
      <c r="D5704" t="s">
        <v>2375</v>
      </c>
      <c r="E5704">
        <v>19</v>
      </c>
      <c r="F5704" t="s">
        <v>33204</v>
      </c>
      <c r="G5704" t="s">
        <v>33205</v>
      </c>
      <c r="H5704" s="4" t="s">
        <v>33206</v>
      </c>
      <c r="I5704" t="s">
        <v>71</v>
      </c>
      <c r="J5704" t="s">
        <v>10782</v>
      </c>
      <c r="K5704" t="s">
        <v>33207</v>
      </c>
    </row>
    <row r="5705" spans="1:11" ht="144" x14ac:dyDescent="0.3">
      <c r="A5705" s="4" t="s">
        <v>8574</v>
      </c>
      <c r="B5705">
        <v>3</v>
      </c>
      <c r="C5705">
        <v>2014</v>
      </c>
      <c r="D5705" t="s">
        <v>1570</v>
      </c>
      <c r="E5705">
        <v>34</v>
      </c>
      <c r="F5705" t="s">
        <v>33208</v>
      </c>
      <c r="G5705" t="s">
        <v>33209</v>
      </c>
      <c r="H5705" s="4" t="s">
        <v>33210</v>
      </c>
      <c r="I5705" t="s">
        <v>71</v>
      </c>
      <c r="J5705" t="s">
        <v>10782</v>
      </c>
      <c r="K5705" t="s">
        <v>33211</v>
      </c>
    </row>
    <row r="5706" spans="1:11" ht="187.2" x14ac:dyDescent="0.3">
      <c r="A5706" s="4" t="s">
        <v>8575</v>
      </c>
      <c r="B5706">
        <v>3</v>
      </c>
      <c r="C5706">
        <v>2014</v>
      </c>
      <c r="D5706" t="s">
        <v>18480</v>
      </c>
      <c r="E5706">
        <v>47</v>
      </c>
      <c r="F5706" t="s">
        <v>33212</v>
      </c>
      <c r="G5706" t="s">
        <v>33213</v>
      </c>
      <c r="H5706" s="4" t="s">
        <v>33214</v>
      </c>
      <c r="I5706" t="s">
        <v>71</v>
      </c>
      <c r="J5706" t="s">
        <v>10782</v>
      </c>
      <c r="K5706" t="s">
        <v>33215</v>
      </c>
    </row>
    <row r="5707" spans="1:11" ht="187.2" x14ac:dyDescent="0.3">
      <c r="A5707" s="4" t="s">
        <v>8576</v>
      </c>
      <c r="B5707">
        <v>3</v>
      </c>
      <c r="C5707">
        <v>2014</v>
      </c>
      <c r="D5707" t="s">
        <v>436</v>
      </c>
      <c r="E5707">
        <v>26</v>
      </c>
      <c r="F5707" t="s">
        <v>33216</v>
      </c>
      <c r="G5707" t="s">
        <v>33217</v>
      </c>
      <c r="H5707" s="4" t="s">
        <v>33218</v>
      </c>
      <c r="I5707" t="s">
        <v>71</v>
      </c>
      <c r="J5707" t="s">
        <v>10782</v>
      </c>
      <c r="K5707" t="s">
        <v>33219</v>
      </c>
    </row>
    <row r="5708" spans="1:11" ht="244.8" x14ac:dyDescent="0.3">
      <c r="A5708" s="4" t="s">
        <v>8577</v>
      </c>
      <c r="B5708">
        <v>3</v>
      </c>
      <c r="C5708">
        <v>2014</v>
      </c>
      <c r="D5708" t="s">
        <v>17273</v>
      </c>
      <c r="E5708">
        <v>6</v>
      </c>
      <c r="F5708" t="s">
        <v>33220</v>
      </c>
      <c r="G5708" t="s">
        <v>33221</v>
      </c>
      <c r="H5708" s="4" t="s">
        <v>33222</v>
      </c>
      <c r="I5708" t="s">
        <v>71</v>
      </c>
      <c r="J5708" t="s">
        <v>10782</v>
      </c>
      <c r="K5708" t="s">
        <v>33223</v>
      </c>
    </row>
    <row r="5709" spans="1:11" ht="201.6" x14ac:dyDescent="0.3">
      <c r="A5709" s="4" t="s">
        <v>3410</v>
      </c>
      <c r="B5709">
        <v>1</v>
      </c>
      <c r="C5709">
        <v>2014</v>
      </c>
      <c r="D5709" t="s">
        <v>2389</v>
      </c>
      <c r="E5709">
        <v>1</v>
      </c>
      <c r="F5709" t="s">
        <v>33224</v>
      </c>
      <c r="G5709" t="s">
        <v>33225</v>
      </c>
      <c r="H5709" s="4" t="s">
        <v>33226</v>
      </c>
      <c r="I5709" t="s">
        <v>71</v>
      </c>
      <c r="J5709" t="s">
        <v>10782</v>
      </c>
      <c r="K5709" t="s">
        <v>33227</v>
      </c>
    </row>
    <row r="5710" spans="1:11" ht="144" x14ac:dyDescent="0.3">
      <c r="A5710" s="4" t="s">
        <v>8578</v>
      </c>
      <c r="B5710">
        <v>3</v>
      </c>
      <c r="C5710">
        <v>2014</v>
      </c>
      <c r="D5710" t="s">
        <v>1570</v>
      </c>
      <c r="E5710">
        <v>30</v>
      </c>
      <c r="F5710" t="s">
        <v>33228</v>
      </c>
      <c r="G5710" t="s">
        <v>33229</v>
      </c>
      <c r="H5710" s="4" t="s">
        <v>33230</v>
      </c>
      <c r="I5710" t="s">
        <v>71</v>
      </c>
      <c r="J5710" t="s">
        <v>10782</v>
      </c>
      <c r="K5710" t="s">
        <v>33231</v>
      </c>
    </row>
    <row r="5711" spans="1:11" ht="172.8" x14ac:dyDescent="0.3">
      <c r="A5711" s="4" t="s">
        <v>8579</v>
      </c>
      <c r="B5711">
        <v>3</v>
      </c>
      <c r="C5711">
        <v>2014</v>
      </c>
      <c r="D5711" t="s">
        <v>918</v>
      </c>
      <c r="E5711">
        <v>12</v>
      </c>
      <c r="F5711" t="s">
        <v>33232</v>
      </c>
      <c r="G5711" t="s">
        <v>33233</v>
      </c>
      <c r="H5711" s="4" t="s">
        <v>33234</v>
      </c>
      <c r="I5711" t="s">
        <v>71</v>
      </c>
      <c r="J5711" t="s">
        <v>10782</v>
      </c>
      <c r="K5711" t="s">
        <v>33235</v>
      </c>
    </row>
    <row r="5712" spans="1:11" ht="201.6" x14ac:dyDescent="0.3">
      <c r="A5712" s="4" t="s">
        <v>8580</v>
      </c>
      <c r="B5712">
        <v>3</v>
      </c>
      <c r="C5712">
        <v>2014</v>
      </c>
      <c r="D5712" t="s">
        <v>164</v>
      </c>
      <c r="E5712">
        <v>77</v>
      </c>
      <c r="F5712" t="s">
        <v>33236</v>
      </c>
      <c r="G5712" t="s">
        <v>33237</v>
      </c>
      <c r="H5712" s="4" t="s">
        <v>33238</v>
      </c>
      <c r="I5712" t="s">
        <v>71</v>
      </c>
      <c r="J5712" t="s">
        <v>10782</v>
      </c>
      <c r="K5712" t="s">
        <v>33239</v>
      </c>
    </row>
    <row r="5713" spans="1:11" ht="244.8" x14ac:dyDescent="0.3">
      <c r="A5713" s="4" t="s">
        <v>8581</v>
      </c>
      <c r="B5713">
        <v>3</v>
      </c>
      <c r="C5713">
        <v>2014</v>
      </c>
      <c r="D5713" t="s">
        <v>164</v>
      </c>
      <c r="E5713">
        <v>14</v>
      </c>
      <c r="F5713" t="s">
        <v>33240</v>
      </c>
      <c r="G5713" t="s">
        <v>33241</v>
      </c>
      <c r="H5713" s="4" t="s">
        <v>33242</v>
      </c>
      <c r="I5713" t="s">
        <v>71</v>
      </c>
      <c r="J5713" t="s">
        <v>10782</v>
      </c>
      <c r="K5713" t="s">
        <v>33243</v>
      </c>
    </row>
    <row r="5714" spans="1:11" ht="172.8" x14ac:dyDescent="0.3">
      <c r="A5714" s="4" t="s">
        <v>8582</v>
      </c>
      <c r="B5714">
        <v>3</v>
      </c>
      <c r="C5714">
        <v>2014</v>
      </c>
      <c r="D5714" t="s">
        <v>10796</v>
      </c>
      <c r="E5714">
        <v>13</v>
      </c>
      <c r="F5714" t="s">
        <v>33244</v>
      </c>
      <c r="G5714" t="s">
        <v>33245</v>
      </c>
      <c r="H5714" s="4" t="s">
        <v>33246</v>
      </c>
      <c r="I5714" t="s">
        <v>71</v>
      </c>
      <c r="J5714" t="s">
        <v>10782</v>
      </c>
      <c r="K5714" t="s">
        <v>33247</v>
      </c>
    </row>
    <row r="5715" spans="1:11" ht="72" x14ac:dyDescent="0.3">
      <c r="A5715" s="4" t="s">
        <v>8583</v>
      </c>
      <c r="B5715">
        <v>3</v>
      </c>
      <c r="C5715">
        <v>2014</v>
      </c>
      <c r="D5715" t="s">
        <v>24538</v>
      </c>
      <c r="E5715">
        <v>26</v>
      </c>
      <c r="F5715" t="s">
        <v>33248</v>
      </c>
      <c r="G5715" t="s">
        <v>33249</v>
      </c>
      <c r="H5715" s="4" t="s">
        <v>33250</v>
      </c>
    </row>
    <row r="5716" spans="1:11" ht="158.4" x14ac:dyDescent="0.3">
      <c r="A5716" s="4" t="s">
        <v>8584</v>
      </c>
      <c r="B5716">
        <v>3</v>
      </c>
      <c r="C5716">
        <v>2014</v>
      </c>
      <c r="D5716" t="s">
        <v>15271</v>
      </c>
      <c r="E5716">
        <v>43</v>
      </c>
      <c r="F5716" t="s">
        <v>33251</v>
      </c>
      <c r="G5716" t="s">
        <v>33252</v>
      </c>
      <c r="H5716" s="4" t="s">
        <v>33253</v>
      </c>
      <c r="I5716" t="s">
        <v>71</v>
      </c>
      <c r="J5716" t="s">
        <v>10782</v>
      </c>
      <c r="K5716" t="s">
        <v>33254</v>
      </c>
    </row>
    <row r="5717" spans="1:11" ht="144" x14ac:dyDescent="0.3">
      <c r="A5717" s="4" t="s">
        <v>8585</v>
      </c>
      <c r="B5717">
        <v>3</v>
      </c>
      <c r="C5717">
        <v>2014</v>
      </c>
      <c r="D5717" t="s">
        <v>12984</v>
      </c>
      <c r="E5717">
        <v>9</v>
      </c>
      <c r="F5717" t="s">
        <v>33255</v>
      </c>
      <c r="G5717" t="s">
        <v>33256</v>
      </c>
      <c r="H5717" s="4" t="s">
        <v>33257</v>
      </c>
      <c r="I5717" t="s">
        <v>71</v>
      </c>
      <c r="J5717" t="s">
        <v>10782</v>
      </c>
      <c r="K5717" t="s">
        <v>33258</v>
      </c>
    </row>
    <row r="5718" spans="1:11" ht="28.8" x14ac:dyDescent="0.3">
      <c r="A5718" s="4" t="s">
        <v>8586</v>
      </c>
      <c r="B5718">
        <v>3</v>
      </c>
      <c r="C5718">
        <v>2014</v>
      </c>
      <c r="D5718" t="s">
        <v>2431</v>
      </c>
      <c r="E5718">
        <v>0</v>
      </c>
      <c r="F5718" t="s">
        <v>33259</v>
      </c>
      <c r="G5718" t="s">
        <v>33260</v>
      </c>
      <c r="H5718" s="4" t="s">
        <v>71</v>
      </c>
      <c r="I5718" t="s">
        <v>10782</v>
      </c>
      <c r="J5718" t="s">
        <v>33261</v>
      </c>
    </row>
    <row r="5719" spans="1:11" ht="187.2" x14ac:dyDescent="0.3">
      <c r="A5719" s="4" t="s">
        <v>3632</v>
      </c>
      <c r="B5719">
        <v>2</v>
      </c>
      <c r="C5719">
        <v>2014</v>
      </c>
      <c r="D5719" t="s">
        <v>724</v>
      </c>
      <c r="E5719">
        <v>32</v>
      </c>
      <c r="F5719" t="s">
        <v>33262</v>
      </c>
      <c r="G5719" t="s">
        <v>33263</v>
      </c>
      <c r="H5719" s="4" t="s">
        <v>33264</v>
      </c>
    </row>
    <row r="5720" spans="1:11" ht="129.6" x14ac:dyDescent="0.3">
      <c r="A5720" s="4" t="s">
        <v>8587</v>
      </c>
      <c r="B5720">
        <v>3</v>
      </c>
      <c r="C5720">
        <v>2014</v>
      </c>
      <c r="D5720" t="s">
        <v>1570</v>
      </c>
      <c r="E5720">
        <v>1</v>
      </c>
      <c r="F5720" t="s">
        <v>33265</v>
      </c>
      <c r="G5720" t="s">
        <v>33266</v>
      </c>
      <c r="H5720" s="4" t="s">
        <v>33267</v>
      </c>
      <c r="I5720" t="s">
        <v>71</v>
      </c>
      <c r="J5720" t="s">
        <v>10782</v>
      </c>
      <c r="K5720" t="s">
        <v>33268</v>
      </c>
    </row>
    <row r="5721" spans="1:11" ht="57.6" x14ac:dyDescent="0.3">
      <c r="A5721" s="4" t="s">
        <v>8588</v>
      </c>
      <c r="B5721">
        <v>3</v>
      </c>
      <c r="C5721">
        <v>2014</v>
      </c>
      <c r="D5721" t="s">
        <v>33269</v>
      </c>
      <c r="E5721">
        <v>16</v>
      </c>
      <c r="F5721" t="s">
        <v>33270</v>
      </c>
      <c r="G5721" t="s">
        <v>33271</v>
      </c>
      <c r="H5721" s="4" t="s">
        <v>33272</v>
      </c>
      <c r="I5721" t="s">
        <v>71</v>
      </c>
      <c r="J5721" t="s">
        <v>10782</v>
      </c>
      <c r="K5721" t="s">
        <v>33273</v>
      </c>
    </row>
    <row r="5722" spans="1:11" ht="172.8" x14ac:dyDescent="0.3">
      <c r="A5722" s="4" t="s">
        <v>3633</v>
      </c>
      <c r="B5722">
        <v>2</v>
      </c>
      <c r="C5722">
        <v>2014</v>
      </c>
      <c r="D5722" t="s">
        <v>217</v>
      </c>
      <c r="E5722">
        <v>55</v>
      </c>
      <c r="F5722" t="s">
        <v>33274</v>
      </c>
      <c r="G5722" t="s">
        <v>33275</v>
      </c>
      <c r="H5722" s="4" t="s">
        <v>33276</v>
      </c>
      <c r="I5722" t="s">
        <v>71</v>
      </c>
      <c r="J5722" t="s">
        <v>10782</v>
      </c>
      <c r="K5722" t="s">
        <v>33277</v>
      </c>
    </row>
    <row r="5723" spans="1:11" ht="115.2" x14ac:dyDescent="0.3">
      <c r="A5723" s="4" t="s">
        <v>3634</v>
      </c>
      <c r="B5723">
        <v>2</v>
      </c>
      <c r="C5723">
        <v>2014</v>
      </c>
      <c r="D5723" t="s">
        <v>385</v>
      </c>
      <c r="E5723">
        <v>171</v>
      </c>
      <c r="F5723" t="s">
        <v>33278</v>
      </c>
      <c r="G5723" t="s">
        <v>33279</v>
      </c>
      <c r="H5723" s="4" t="s">
        <v>33280</v>
      </c>
      <c r="I5723" t="s">
        <v>71</v>
      </c>
      <c r="J5723" t="s">
        <v>10782</v>
      </c>
      <c r="K5723" t="s">
        <v>33281</v>
      </c>
    </row>
    <row r="5724" spans="1:11" ht="172.8" x14ac:dyDescent="0.3">
      <c r="A5724" s="4" t="s">
        <v>8589</v>
      </c>
      <c r="B5724">
        <v>3</v>
      </c>
      <c r="C5724">
        <v>2014</v>
      </c>
      <c r="D5724" t="s">
        <v>11598</v>
      </c>
      <c r="E5724">
        <v>98</v>
      </c>
      <c r="F5724" t="s">
        <v>33282</v>
      </c>
      <c r="G5724" t="s">
        <v>33283</v>
      </c>
      <c r="H5724" s="4" t="s">
        <v>33284</v>
      </c>
      <c r="I5724" t="s">
        <v>71</v>
      </c>
      <c r="J5724" t="s">
        <v>10782</v>
      </c>
      <c r="K5724" t="s">
        <v>33285</v>
      </c>
    </row>
    <row r="5725" spans="1:11" ht="86.4" x14ac:dyDescent="0.3">
      <c r="A5725" s="4" t="s">
        <v>8590</v>
      </c>
      <c r="B5725">
        <v>3</v>
      </c>
      <c r="C5725">
        <v>2014</v>
      </c>
      <c r="D5725" t="s">
        <v>10057</v>
      </c>
      <c r="E5725">
        <v>0</v>
      </c>
      <c r="F5725" t="s">
        <v>33286</v>
      </c>
      <c r="G5725" t="s">
        <v>33287</v>
      </c>
      <c r="H5725" s="4" t="s">
        <v>33288</v>
      </c>
      <c r="I5725" t="s">
        <v>71</v>
      </c>
      <c r="J5725" t="s">
        <v>10782</v>
      </c>
      <c r="K5725" t="s">
        <v>33289</v>
      </c>
    </row>
    <row r="5726" spans="1:11" ht="172.8" x14ac:dyDescent="0.3">
      <c r="A5726" s="4" t="s">
        <v>8591</v>
      </c>
      <c r="B5726">
        <v>3</v>
      </c>
      <c r="C5726">
        <v>2014</v>
      </c>
      <c r="D5726" t="s">
        <v>1570</v>
      </c>
      <c r="E5726">
        <v>9</v>
      </c>
      <c r="F5726" t="s">
        <v>33290</v>
      </c>
      <c r="G5726" t="s">
        <v>33291</v>
      </c>
      <c r="H5726" s="4" t="s">
        <v>33292</v>
      </c>
      <c r="I5726" t="s">
        <v>71</v>
      </c>
      <c r="J5726" t="s">
        <v>10782</v>
      </c>
      <c r="K5726" t="s">
        <v>33293</v>
      </c>
    </row>
    <row r="5727" spans="1:11" ht="158.4" x14ac:dyDescent="0.3">
      <c r="A5727" s="4" t="s">
        <v>8592</v>
      </c>
      <c r="B5727">
        <v>3</v>
      </c>
      <c r="C5727">
        <v>2014</v>
      </c>
      <c r="D5727" t="s">
        <v>1570</v>
      </c>
      <c r="E5727">
        <v>3</v>
      </c>
      <c r="F5727" t="s">
        <v>33294</v>
      </c>
      <c r="G5727" t="s">
        <v>33295</v>
      </c>
      <c r="H5727" s="4" t="s">
        <v>33296</v>
      </c>
      <c r="I5727" t="s">
        <v>71</v>
      </c>
      <c r="J5727" t="s">
        <v>10782</v>
      </c>
      <c r="K5727" t="s">
        <v>33297</v>
      </c>
    </row>
    <row r="5728" spans="1:11" ht="216" x14ac:dyDescent="0.3">
      <c r="A5728" s="4" t="s">
        <v>8593</v>
      </c>
      <c r="B5728">
        <v>3</v>
      </c>
      <c r="C5728">
        <v>2014</v>
      </c>
      <c r="D5728" t="s">
        <v>2416</v>
      </c>
      <c r="E5728">
        <v>13</v>
      </c>
      <c r="F5728" t="s">
        <v>33298</v>
      </c>
      <c r="G5728" t="s">
        <v>33299</v>
      </c>
      <c r="H5728" s="4" t="s">
        <v>33300</v>
      </c>
      <c r="I5728" t="s">
        <v>71</v>
      </c>
      <c r="J5728" t="s">
        <v>10782</v>
      </c>
      <c r="K5728" t="s">
        <v>33301</v>
      </c>
    </row>
    <row r="5729" spans="1:11" ht="100.8" x14ac:dyDescent="0.3">
      <c r="A5729" s="4" t="s">
        <v>8594</v>
      </c>
      <c r="B5729">
        <v>3</v>
      </c>
      <c r="C5729">
        <v>2014</v>
      </c>
      <c r="D5729" t="s">
        <v>33302</v>
      </c>
      <c r="E5729">
        <v>34</v>
      </c>
      <c r="F5729" t="s">
        <v>33303</v>
      </c>
      <c r="G5729" t="s">
        <v>33304</v>
      </c>
      <c r="H5729" s="4" t="s">
        <v>33305</v>
      </c>
      <c r="I5729" t="s">
        <v>71</v>
      </c>
      <c r="J5729" t="s">
        <v>10782</v>
      </c>
      <c r="K5729" t="s">
        <v>33306</v>
      </c>
    </row>
    <row r="5730" spans="1:11" ht="129.6" x14ac:dyDescent="0.3">
      <c r="A5730" s="4" t="s">
        <v>8595</v>
      </c>
      <c r="B5730">
        <v>3</v>
      </c>
      <c r="C5730">
        <v>2014</v>
      </c>
      <c r="D5730" t="s">
        <v>1570</v>
      </c>
      <c r="E5730">
        <v>2</v>
      </c>
      <c r="F5730" t="s">
        <v>33307</v>
      </c>
      <c r="G5730" t="s">
        <v>33308</v>
      </c>
      <c r="H5730" s="4" t="s">
        <v>33309</v>
      </c>
    </row>
    <row r="5731" spans="1:11" ht="172.8" x14ac:dyDescent="0.3">
      <c r="A5731" s="4" t="s">
        <v>8596</v>
      </c>
      <c r="B5731">
        <v>3</v>
      </c>
      <c r="C5731">
        <v>2014</v>
      </c>
      <c r="D5731" t="s">
        <v>1570</v>
      </c>
      <c r="E5731">
        <v>24</v>
      </c>
      <c r="F5731" t="s">
        <v>33310</v>
      </c>
      <c r="G5731" t="s">
        <v>33311</v>
      </c>
      <c r="H5731" s="4" t="s">
        <v>33312</v>
      </c>
      <c r="I5731" t="s">
        <v>71</v>
      </c>
      <c r="J5731" t="s">
        <v>10782</v>
      </c>
      <c r="K5731" t="s">
        <v>33313</v>
      </c>
    </row>
    <row r="5732" spans="1:11" ht="158.4" x14ac:dyDescent="0.3">
      <c r="A5732" s="4" t="s">
        <v>8597</v>
      </c>
      <c r="B5732">
        <v>3</v>
      </c>
      <c r="C5732">
        <v>2014</v>
      </c>
      <c r="D5732" t="s">
        <v>1836</v>
      </c>
      <c r="E5732">
        <v>44</v>
      </c>
      <c r="F5732" t="s">
        <v>33314</v>
      </c>
      <c r="G5732" t="s">
        <v>33315</v>
      </c>
      <c r="H5732" s="4" t="s">
        <v>33316</v>
      </c>
      <c r="I5732" t="s">
        <v>71</v>
      </c>
      <c r="J5732" t="s">
        <v>10782</v>
      </c>
      <c r="K5732" t="s">
        <v>33317</v>
      </c>
    </row>
    <row r="5733" spans="1:11" ht="129.6" x14ac:dyDescent="0.3">
      <c r="A5733" s="4" t="s">
        <v>8598</v>
      </c>
      <c r="B5733">
        <v>3</v>
      </c>
      <c r="C5733">
        <v>2014</v>
      </c>
      <c r="D5733" t="s">
        <v>724</v>
      </c>
      <c r="E5733">
        <v>6</v>
      </c>
      <c r="F5733" t="s">
        <v>33318</v>
      </c>
      <c r="G5733" t="s">
        <v>33319</v>
      </c>
      <c r="H5733" s="4" t="s">
        <v>33320</v>
      </c>
      <c r="I5733" t="s">
        <v>71</v>
      </c>
      <c r="J5733" t="s">
        <v>10782</v>
      </c>
      <c r="K5733" t="s">
        <v>33321</v>
      </c>
    </row>
    <row r="5734" spans="1:11" ht="144" x14ac:dyDescent="0.3">
      <c r="A5734" s="4" t="s">
        <v>8599</v>
      </c>
      <c r="B5734">
        <v>3</v>
      </c>
      <c r="C5734">
        <v>2014</v>
      </c>
      <c r="D5734" t="s">
        <v>190</v>
      </c>
      <c r="E5734">
        <v>33</v>
      </c>
      <c r="F5734" t="s">
        <v>33322</v>
      </c>
      <c r="G5734" t="s">
        <v>33323</v>
      </c>
      <c r="H5734" s="4" t="s">
        <v>33324</v>
      </c>
      <c r="I5734" t="s">
        <v>71</v>
      </c>
      <c r="J5734" t="s">
        <v>10782</v>
      </c>
      <c r="K5734" t="s">
        <v>33325</v>
      </c>
    </row>
    <row r="5735" spans="1:11" ht="172.8" x14ac:dyDescent="0.3">
      <c r="A5735" s="4" t="s">
        <v>8600</v>
      </c>
      <c r="B5735">
        <v>3</v>
      </c>
      <c r="C5735">
        <v>2014</v>
      </c>
      <c r="D5735" t="s">
        <v>19414</v>
      </c>
      <c r="E5735">
        <v>2</v>
      </c>
      <c r="F5735" t="s">
        <v>33326</v>
      </c>
      <c r="G5735" t="s">
        <v>33327</v>
      </c>
      <c r="H5735" s="4" t="s">
        <v>33328</v>
      </c>
      <c r="I5735" t="s">
        <v>71</v>
      </c>
      <c r="J5735" t="s">
        <v>10782</v>
      </c>
      <c r="K5735" t="s">
        <v>33329</v>
      </c>
    </row>
    <row r="5736" spans="1:11" ht="216" x14ac:dyDescent="0.3">
      <c r="A5736" s="4" t="s">
        <v>3411</v>
      </c>
      <c r="B5736">
        <v>1</v>
      </c>
      <c r="C5736">
        <v>2014</v>
      </c>
      <c r="D5736" t="s">
        <v>528</v>
      </c>
      <c r="E5736">
        <v>39</v>
      </c>
      <c r="F5736" t="s">
        <v>33330</v>
      </c>
      <c r="G5736" t="s">
        <v>33331</v>
      </c>
      <c r="H5736" s="4" t="s">
        <v>33332</v>
      </c>
      <c r="I5736" t="s">
        <v>71</v>
      </c>
      <c r="J5736" t="s">
        <v>10782</v>
      </c>
      <c r="K5736" t="s">
        <v>33333</v>
      </c>
    </row>
    <row r="5737" spans="1:11" ht="100.8" x14ac:dyDescent="0.3">
      <c r="A5737" s="4" t="s">
        <v>8601</v>
      </c>
      <c r="B5737">
        <v>3</v>
      </c>
      <c r="C5737">
        <v>2014</v>
      </c>
      <c r="D5737" t="s">
        <v>329</v>
      </c>
      <c r="E5737">
        <v>10</v>
      </c>
      <c r="F5737" t="s">
        <v>33334</v>
      </c>
      <c r="G5737" t="s">
        <v>33335</v>
      </c>
      <c r="H5737" s="4" t="s">
        <v>33336</v>
      </c>
      <c r="I5737" t="s">
        <v>71</v>
      </c>
      <c r="J5737" t="s">
        <v>10782</v>
      </c>
      <c r="K5737" t="s">
        <v>33337</v>
      </c>
    </row>
    <row r="5738" spans="1:11" ht="57.6" x14ac:dyDescent="0.3">
      <c r="A5738" s="4" t="s">
        <v>8602</v>
      </c>
      <c r="B5738">
        <v>3</v>
      </c>
      <c r="C5738">
        <v>2014</v>
      </c>
      <c r="D5738" t="s">
        <v>329</v>
      </c>
      <c r="E5738">
        <v>25</v>
      </c>
      <c r="F5738" t="s">
        <v>33338</v>
      </c>
      <c r="G5738" t="s">
        <v>33339</v>
      </c>
      <c r="H5738" s="4" t="s">
        <v>33340</v>
      </c>
    </row>
    <row r="5739" spans="1:11" ht="144" x14ac:dyDescent="0.3">
      <c r="A5739" s="4" t="s">
        <v>8603</v>
      </c>
      <c r="B5739">
        <v>3</v>
      </c>
      <c r="C5739">
        <v>2014</v>
      </c>
      <c r="D5739" t="s">
        <v>12253</v>
      </c>
      <c r="E5739">
        <v>17</v>
      </c>
      <c r="F5739" t="s">
        <v>33341</v>
      </c>
      <c r="G5739" t="s">
        <v>33342</v>
      </c>
      <c r="H5739" s="4" t="s">
        <v>33343</v>
      </c>
      <c r="I5739" t="s">
        <v>71</v>
      </c>
      <c r="J5739" t="s">
        <v>10782</v>
      </c>
      <c r="K5739" t="s">
        <v>33344</v>
      </c>
    </row>
    <row r="5740" spans="1:11" ht="28.8" x14ac:dyDescent="0.3">
      <c r="A5740" s="4" t="s">
        <v>8604</v>
      </c>
      <c r="B5740">
        <v>3</v>
      </c>
      <c r="C5740">
        <v>2014</v>
      </c>
      <c r="D5740" t="s">
        <v>18415</v>
      </c>
      <c r="E5740">
        <v>1</v>
      </c>
      <c r="F5740" t="s">
        <v>33345</v>
      </c>
      <c r="G5740" t="s">
        <v>33346</v>
      </c>
      <c r="H5740" s="4" t="s">
        <v>71</v>
      </c>
      <c r="I5740" t="s">
        <v>10782</v>
      </c>
      <c r="J5740" t="s">
        <v>33347</v>
      </c>
    </row>
    <row r="5741" spans="1:11" ht="187.2" x14ac:dyDescent="0.3">
      <c r="A5741" s="4" t="s">
        <v>8605</v>
      </c>
      <c r="B5741">
        <v>3</v>
      </c>
      <c r="C5741">
        <v>2014</v>
      </c>
      <c r="D5741" t="s">
        <v>2585</v>
      </c>
      <c r="E5741">
        <v>9</v>
      </c>
      <c r="F5741" t="s">
        <v>33348</v>
      </c>
      <c r="G5741" t="s">
        <v>33349</v>
      </c>
      <c r="H5741" s="4" t="s">
        <v>33350</v>
      </c>
      <c r="I5741" t="s">
        <v>71</v>
      </c>
      <c r="J5741" t="s">
        <v>10782</v>
      </c>
      <c r="K5741" t="s">
        <v>33351</v>
      </c>
    </row>
    <row r="5742" spans="1:11" ht="230.4" x14ac:dyDescent="0.3">
      <c r="A5742" s="4" t="s">
        <v>8606</v>
      </c>
      <c r="B5742">
        <v>3</v>
      </c>
      <c r="C5742">
        <v>2014</v>
      </c>
      <c r="D5742" t="s">
        <v>1570</v>
      </c>
      <c r="E5742">
        <v>15</v>
      </c>
      <c r="F5742" t="s">
        <v>33352</v>
      </c>
      <c r="G5742" t="s">
        <v>33353</v>
      </c>
      <c r="H5742" s="4" t="s">
        <v>33354</v>
      </c>
      <c r="I5742" t="s">
        <v>71</v>
      </c>
      <c r="J5742" t="s">
        <v>10782</v>
      </c>
      <c r="K5742" t="s">
        <v>33355</v>
      </c>
    </row>
    <row r="5743" spans="1:11" ht="100.8" x14ac:dyDescent="0.3">
      <c r="A5743" s="4" t="s">
        <v>8607</v>
      </c>
      <c r="B5743">
        <v>3</v>
      </c>
      <c r="C5743">
        <v>2014</v>
      </c>
      <c r="D5743" t="s">
        <v>11055</v>
      </c>
      <c r="E5743">
        <v>29</v>
      </c>
      <c r="F5743" t="s">
        <v>33356</v>
      </c>
      <c r="G5743" t="s">
        <v>33357</v>
      </c>
      <c r="H5743" s="4" t="s">
        <v>33358</v>
      </c>
    </row>
    <row r="5744" spans="1:11" ht="187.2" x14ac:dyDescent="0.3">
      <c r="A5744" s="4" t="s">
        <v>8608</v>
      </c>
      <c r="B5744">
        <v>3</v>
      </c>
      <c r="C5744">
        <v>2014</v>
      </c>
      <c r="D5744" t="s">
        <v>2389</v>
      </c>
      <c r="E5744">
        <v>0</v>
      </c>
      <c r="F5744" t="s">
        <v>33359</v>
      </c>
      <c r="G5744" t="s">
        <v>33360</v>
      </c>
      <c r="H5744" s="4" t="s">
        <v>33361</v>
      </c>
      <c r="I5744" t="s">
        <v>71</v>
      </c>
      <c r="J5744" t="s">
        <v>10782</v>
      </c>
      <c r="K5744" t="s">
        <v>33362</v>
      </c>
    </row>
    <row r="5745" spans="1:11" ht="216" x14ac:dyDescent="0.3">
      <c r="A5745" s="4" t="s">
        <v>8609</v>
      </c>
      <c r="B5745">
        <v>3</v>
      </c>
      <c r="C5745">
        <v>2014</v>
      </c>
      <c r="D5745" t="s">
        <v>80</v>
      </c>
      <c r="E5745">
        <v>52</v>
      </c>
      <c r="F5745" t="s">
        <v>33363</v>
      </c>
      <c r="G5745" t="s">
        <v>33364</v>
      </c>
      <c r="H5745" s="4" t="s">
        <v>33365</v>
      </c>
      <c r="I5745" t="s">
        <v>71</v>
      </c>
      <c r="J5745" t="s">
        <v>10782</v>
      </c>
      <c r="K5745" t="s">
        <v>33366</v>
      </c>
    </row>
    <row r="5746" spans="1:11" ht="172.8" x14ac:dyDescent="0.3">
      <c r="A5746" s="4" t="s">
        <v>8610</v>
      </c>
      <c r="B5746">
        <v>3</v>
      </c>
      <c r="C5746">
        <v>2014</v>
      </c>
      <c r="D5746" t="s">
        <v>482</v>
      </c>
      <c r="E5746">
        <v>29</v>
      </c>
      <c r="F5746" t="s">
        <v>33367</v>
      </c>
      <c r="G5746" t="s">
        <v>33368</v>
      </c>
      <c r="H5746" s="4" t="s">
        <v>33369</v>
      </c>
      <c r="I5746" t="s">
        <v>71</v>
      </c>
      <c r="J5746" t="s">
        <v>10782</v>
      </c>
      <c r="K5746" t="s">
        <v>33370</v>
      </c>
    </row>
    <row r="5747" spans="1:11" ht="144" x14ac:dyDescent="0.3">
      <c r="A5747" s="4" t="s">
        <v>8611</v>
      </c>
      <c r="B5747">
        <v>3</v>
      </c>
      <c r="C5747">
        <v>2014</v>
      </c>
      <c r="D5747" t="s">
        <v>11310</v>
      </c>
      <c r="E5747">
        <v>88</v>
      </c>
      <c r="F5747" t="s">
        <v>33371</v>
      </c>
      <c r="G5747" t="s">
        <v>33372</v>
      </c>
      <c r="H5747" s="4" t="s">
        <v>33373</v>
      </c>
    </row>
    <row r="5748" spans="1:11" ht="129.6" x14ac:dyDescent="0.3">
      <c r="A5748" s="4" t="s">
        <v>8612</v>
      </c>
      <c r="B5748">
        <v>3</v>
      </c>
      <c r="C5748">
        <v>2014</v>
      </c>
      <c r="D5748" t="s">
        <v>385</v>
      </c>
      <c r="E5748">
        <v>42</v>
      </c>
      <c r="F5748" t="s">
        <v>33374</v>
      </c>
      <c r="G5748" t="s">
        <v>33375</v>
      </c>
      <c r="H5748" s="4" t="s">
        <v>33376</v>
      </c>
      <c r="I5748" t="s">
        <v>71</v>
      </c>
      <c r="J5748" t="s">
        <v>10782</v>
      </c>
      <c r="K5748" t="s">
        <v>33377</v>
      </c>
    </row>
    <row r="5749" spans="1:11" ht="316.8" x14ac:dyDescent="0.3">
      <c r="A5749" s="4" t="s">
        <v>8613</v>
      </c>
      <c r="B5749">
        <v>3</v>
      </c>
      <c r="C5749">
        <v>2014</v>
      </c>
      <c r="D5749" t="s">
        <v>16189</v>
      </c>
      <c r="E5749">
        <v>29</v>
      </c>
      <c r="F5749" t="s">
        <v>33378</v>
      </c>
      <c r="G5749" t="s">
        <v>33379</v>
      </c>
      <c r="H5749" s="4" t="s">
        <v>33380</v>
      </c>
      <c r="I5749" t="s">
        <v>71</v>
      </c>
      <c r="J5749" t="s">
        <v>10782</v>
      </c>
      <c r="K5749" t="s">
        <v>33381</v>
      </c>
    </row>
    <row r="5750" spans="1:11" ht="115.2" x14ac:dyDescent="0.3">
      <c r="A5750" s="4" t="s">
        <v>8614</v>
      </c>
      <c r="B5750">
        <v>3</v>
      </c>
      <c r="C5750">
        <v>2014</v>
      </c>
      <c r="D5750" t="s">
        <v>704</v>
      </c>
      <c r="E5750">
        <v>18</v>
      </c>
      <c r="F5750" t="s">
        <v>33382</v>
      </c>
      <c r="G5750" t="s">
        <v>33383</v>
      </c>
      <c r="H5750" s="4" t="s">
        <v>33384</v>
      </c>
      <c r="I5750" t="s">
        <v>71</v>
      </c>
      <c r="J5750" t="s">
        <v>10782</v>
      </c>
      <c r="K5750" t="s">
        <v>33385</v>
      </c>
    </row>
    <row r="5751" spans="1:11" ht="115.2" x14ac:dyDescent="0.3">
      <c r="A5751" s="4" t="s">
        <v>8615</v>
      </c>
      <c r="B5751">
        <v>3</v>
      </c>
      <c r="C5751">
        <v>2014</v>
      </c>
      <c r="D5751" t="s">
        <v>637</v>
      </c>
      <c r="E5751">
        <v>36</v>
      </c>
      <c r="F5751" t="s">
        <v>33386</v>
      </c>
      <c r="G5751" t="s">
        <v>33387</v>
      </c>
      <c r="H5751" s="4" t="s">
        <v>33388</v>
      </c>
      <c r="I5751" t="s">
        <v>71</v>
      </c>
      <c r="J5751" t="s">
        <v>10782</v>
      </c>
      <c r="K5751" t="s">
        <v>33389</v>
      </c>
    </row>
    <row r="5752" spans="1:11" ht="230.4" x14ac:dyDescent="0.3">
      <c r="A5752" s="4" t="s">
        <v>8616</v>
      </c>
      <c r="B5752">
        <v>3</v>
      </c>
      <c r="C5752">
        <v>2014</v>
      </c>
      <c r="D5752" t="s">
        <v>11728</v>
      </c>
      <c r="E5752">
        <v>17</v>
      </c>
      <c r="F5752" t="s">
        <v>33390</v>
      </c>
      <c r="G5752" t="s">
        <v>33391</v>
      </c>
      <c r="H5752" s="4" t="s">
        <v>33392</v>
      </c>
      <c r="I5752" t="s">
        <v>71</v>
      </c>
      <c r="J5752" t="s">
        <v>10782</v>
      </c>
      <c r="K5752" t="s">
        <v>33393</v>
      </c>
    </row>
    <row r="5753" spans="1:11" ht="172.8" x14ac:dyDescent="0.3">
      <c r="A5753" s="4" t="s">
        <v>8617</v>
      </c>
      <c r="B5753">
        <v>3</v>
      </c>
      <c r="C5753">
        <v>2014</v>
      </c>
      <c r="D5753" t="s">
        <v>1570</v>
      </c>
      <c r="E5753">
        <v>10</v>
      </c>
      <c r="F5753" t="s">
        <v>33394</v>
      </c>
      <c r="G5753" t="s">
        <v>33395</v>
      </c>
      <c r="H5753" s="4" t="s">
        <v>33396</v>
      </c>
      <c r="I5753" t="s">
        <v>71</v>
      </c>
      <c r="J5753" t="s">
        <v>10782</v>
      </c>
      <c r="K5753" t="s">
        <v>33397</v>
      </c>
    </row>
    <row r="5754" spans="1:11" ht="201.6" x14ac:dyDescent="0.3">
      <c r="A5754" s="4" t="s">
        <v>8618</v>
      </c>
      <c r="B5754">
        <v>3</v>
      </c>
      <c r="C5754">
        <v>2014</v>
      </c>
      <c r="D5754" t="s">
        <v>13914</v>
      </c>
      <c r="E5754">
        <v>59</v>
      </c>
      <c r="F5754" t="s">
        <v>33398</v>
      </c>
      <c r="G5754" t="s">
        <v>33399</v>
      </c>
      <c r="H5754" s="4" t="s">
        <v>33400</v>
      </c>
      <c r="I5754" t="s">
        <v>71</v>
      </c>
      <c r="J5754" t="s">
        <v>10782</v>
      </c>
      <c r="K5754" t="s">
        <v>33401</v>
      </c>
    </row>
    <row r="5755" spans="1:11" ht="259.2" x14ac:dyDescent="0.3">
      <c r="A5755" s="4" t="s">
        <v>3635</v>
      </c>
      <c r="B5755">
        <v>2</v>
      </c>
      <c r="C5755">
        <v>2014</v>
      </c>
      <c r="D5755" t="s">
        <v>2030</v>
      </c>
      <c r="E5755">
        <v>4</v>
      </c>
      <c r="F5755" t="s">
        <v>33402</v>
      </c>
      <c r="G5755" t="s">
        <v>33403</v>
      </c>
      <c r="H5755" s="4" t="s">
        <v>33404</v>
      </c>
      <c r="I5755" t="s">
        <v>10823</v>
      </c>
      <c r="J5755" t="s">
        <v>10782</v>
      </c>
      <c r="K5755" t="s">
        <v>33405</v>
      </c>
    </row>
    <row r="5756" spans="1:11" ht="187.2" x14ac:dyDescent="0.3">
      <c r="A5756" s="4" t="s">
        <v>8619</v>
      </c>
      <c r="B5756">
        <v>3</v>
      </c>
      <c r="C5756">
        <v>2014</v>
      </c>
      <c r="D5756" t="s">
        <v>80</v>
      </c>
      <c r="E5756">
        <v>49</v>
      </c>
      <c r="F5756" t="s">
        <v>33406</v>
      </c>
      <c r="G5756" t="s">
        <v>33407</v>
      </c>
      <c r="H5756" s="4" t="s">
        <v>33408</v>
      </c>
      <c r="I5756" t="s">
        <v>71</v>
      </c>
      <c r="J5756" t="s">
        <v>10782</v>
      </c>
      <c r="K5756" t="s">
        <v>33409</v>
      </c>
    </row>
    <row r="5757" spans="1:11" ht="86.4" x14ac:dyDescent="0.3">
      <c r="A5757" s="4" t="s">
        <v>8620</v>
      </c>
      <c r="B5757">
        <v>3</v>
      </c>
      <c r="C5757">
        <v>2014</v>
      </c>
      <c r="D5757" t="s">
        <v>23949</v>
      </c>
      <c r="E5757">
        <v>100</v>
      </c>
      <c r="F5757" t="s">
        <v>33410</v>
      </c>
      <c r="G5757" t="s">
        <v>33411</v>
      </c>
      <c r="H5757" s="4" t="s">
        <v>33412</v>
      </c>
    </row>
    <row r="5758" spans="1:11" ht="100.8" x14ac:dyDescent="0.3">
      <c r="A5758" s="4" t="s">
        <v>8621</v>
      </c>
      <c r="B5758">
        <v>3</v>
      </c>
      <c r="C5758">
        <v>2014</v>
      </c>
      <c r="D5758" t="s">
        <v>80</v>
      </c>
      <c r="E5758">
        <v>47</v>
      </c>
      <c r="F5758" t="s">
        <v>33413</v>
      </c>
      <c r="G5758" t="s">
        <v>33414</v>
      </c>
      <c r="H5758" s="4" t="s">
        <v>33415</v>
      </c>
    </row>
    <row r="5759" spans="1:11" ht="115.2" x14ac:dyDescent="0.3">
      <c r="A5759" s="4" t="s">
        <v>8622</v>
      </c>
      <c r="B5759">
        <v>3</v>
      </c>
      <c r="C5759">
        <v>2014</v>
      </c>
      <c r="D5759" t="s">
        <v>10924</v>
      </c>
      <c r="E5759">
        <v>32</v>
      </c>
      <c r="F5759" t="s">
        <v>33416</v>
      </c>
      <c r="G5759" t="s">
        <v>33417</v>
      </c>
      <c r="H5759" s="4" t="s">
        <v>33418</v>
      </c>
      <c r="I5759" t="s">
        <v>71</v>
      </c>
      <c r="J5759" t="s">
        <v>10782</v>
      </c>
      <c r="K5759" t="s">
        <v>33419</v>
      </c>
    </row>
    <row r="5760" spans="1:11" ht="158.4" x14ac:dyDescent="0.3">
      <c r="A5760" s="4" t="s">
        <v>8623</v>
      </c>
      <c r="B5760">
        <v>3</v>
      </c>
      <c r="C5760">
        <v>2014</v>
      </c>
      <c r="D5760" t="s">
        <v>329</v>
      </c>
      <c r="E5760">
        <v>41</v>
      </c>
      <c r="F5760" t="s">
        <v>33420</v>
      </c>
      <c r="G5760" t="s">
        <v>33421</v>
      </c>
      <c r="H5760" s="4" t="s">
        <v>33422</v>
      </c>
      <c r="I5760" t="s">
        <v>71</v>
      </c>
      <c r="J5760" t="s">
        <v>10782</v>
      </c>
      <c r="K5760" t="s">
        <v>33423</v>
      </c>
    </row>
    <row r="5761" spans="1:11" ht="158.4" x14ac:dyDescent="0.3">
      <c r="A5761" s="4" t="s">
        <v>8624</v>
      </c>
      <c r="B5761">
        <v>3</v>
      </c>
      <c r="C5761">
        <v>2014</v>
      </c>
      <c r="D5761" t="s">
        <v>19515</v>
      </c>
      <c r="E5761">
        <v>15</v>
      </c>
      <c r="F5761" t="s">
        <v>33424</v>
      </c>
      <c r="G5761" t="s">
        <v>33425</v>
      </c>
      <c r="H5761" s="4" t="s">
        <v>33426</v>
      </c>
      <c r="I5761" t="s">
        <v>71</v>
      </c>
      <c r="J5761" t="s">
        <v>10782</v>
      </c>
      <c r="K5761" t="s">
        <v>33427</v>
      </c>
    </row>
    <row r="5762" spans="1:11" ht="86.4" x14ac:dyDescent="0.3">
      <c r="A5762" s="4" t="s">
        <v>8625</v>
      </c>
      <c r="B5762">
        <v>3</v>
      </c>
      <c r="C5762">
        <v>2014</v>
      </c>
      <c r="D5762" t="s">
        <v>11276</v>
      </c>
      <c r="E5762">
        <v>16</v>
      </c>
      <c r="F5762" t="s">
        <v>33428</v>
      </c>
      <c r="G5762" t="s">
        <v>33429</v>
      </c>
      <c r="H5762" s="4" t="s">
        <v>33430</v>
      </c>
    </row>
    <row r="5763" spans="1:11" ht="72" x14ac:dyDescent="0.3">
      <c r="A5763" s="4" t="s">
        <v>8626</v>
      </c>
      <c r="B5763">
        <v>3</v>
      </c>
      <c r="C5763">
        <v>2014</v>
      </c>
      <c r="D5763" t="s">
        <v>15999</v>
      </c>
      <c r="E5763">
        <v>1</v>
      </c>
      <c r="F5763" t="s">
        <v>33431</v>
      </c>
      <c r="G5763" t="s">
        <v>33432</v>
      </c>
      <c r="H5763" s="4" t="s">
        <v>33433</v>
      </c>
    </row>
    <row r="5764" spans="1:11" ht="172.8" x14ac:dyDescent="0.3">
      <c r="A5764" s="4" t="s">
        <v>8627</v>
      </c>
      <c r="B5764">
        <v>3</v>
      </c>
      <c r="C5764">
        <v>2014</v>
      </c>
      <c r="D5764" t="s">
        <v>385</v>
      </c>
      <c r="E5764">
        <v>64</v>
      </c>
      <c r="F5764" t="s">
        <v>33434</v>
      </c>
      <c r="G5764" t="s">
        <v>33435</v>
      </c>
      <c r="H5764" s="4" t="s">
        <v>33436</v>
      </c>
      <c r="I5764" t="s">
        <v>71</v>
      </c>
      <c r="J5764" t="s">
        <v>10782</v>
      </c>
      <c r="K5764" t="s">
        <v>33437</v>
      </c>
    </row>
    <row r="5765" spans="1:11" ht="187.2" x14ac:dyDescent="0.3">
      <c r="A5765" s="4" t="s">
        <v>8628</v>
      </c>
      <c r="B5765">
        <v>3</v>
      </c>
      <c r="C5765">
        <v>2014</v>
      </c>
      <c r="D5765" t="s">
        <v>10924</v>
      </c>
      <c r="E5765">
        <v>31</v>
      </c>
      <c r="F5765" t="s">
        <v>33438</v>
      </c>
      <c r="G5765" t="s">
        <v>33439</v>
      </c>
      <c r="H5765" s="4" t="s">
        <v>33440</v>
      </c>
    </row>
    <row r="5766" spans="1:11" ht="115.2" x14ac:dyDescent="0.3">
      <c r="A5766" s="4" t="s">
        <v>8629</v>
      </c>
      <c r="B5766">
        <v>3</v>
      </c>
      <c r="C5766">
        <v>2014</v>
      </c>
      <c r="D5766" t="s">
        <v>80</v>
      </c>
      <c r="E5766">
        <v>88</v>
      </c>
      <c r="F5766" t="s">
        <v>33441</v>
      </c>
      <c r="G5766" t="s">
        <v>33442</v>
      </c>
      <c r="H5766" s="4" t="s">
        <v>33443</v>
      </c>
      <c r="I5766" t="s">
        <v>71</v>
      </c>
      <c r="J5766" t="s">
        <v>10782</v>
      </c>
      <c r="K5766" t="s">
        <v>33444</v>
      </c>
    </row>
    <row r="5767" spans="1:11" ht="72" x14ac:dyDescent="0.3">
      <c r="A5767" s="4" t="s">
        <v>8630</v>
      </c>
      <c r="B5767">
        <v>3</v>
      </c>
      <c r="C5767">
        <v>2014</v>
      </c>
      <c r="D5767" t="s">
        <v>17071</v>
      </c>
      <c r="E5767">
        <v>27</v>
      </c>
      <c r="F5767" t="s">
        <v>33445</v>
      </c>
      <c r="G5767" t="s">
        <v>33446</v>
      </c>
      <c r="H5767" s="4" t="s">
        <v>71</v>
      </c>
      <c r="I5767" t="s">
        <v>10782</v>
      </c>
      <c r="J5767" t="s">
        <v>33447</v>
      </c>
    </row>
    <row r="5768" spans="1:11" ht="172.8" x14ac:dyDescent="0.3">
      <c r="A5768" s="4" t="s">
        <v>8631</v>
      </c>
      <c r="B5768">
        <v>3</v>
      </c>
      <c r="C5768">
        <v>2014</v>
      </c>
      <c r="D5768" t="s">
        <v>147</v>
      </c>
      <c r="E5768">
        <v>16</v>
      </c>
      <c r="F5768" t="s">
        <v>33448</v>
      </c>
      <c r="G5768" t="s">
        <v>33449</v>
      </c>
      <c r="H5768" s="4" t="s">
        <v>33450</v>
      </c>
      <c r="I5768" t="s">
        <v>71</v>
      </c>
      <c r="J5768" t="s">
        <v>10782</v>
      </c>
      <c r="K5768" t="s">
        <v>33451</v>
      </c>
    </row>
    <row r="5769" spans="1:11" ht="244.8" x14ac:dyDescent="0.3">
      <c r="A5769" s="4" t="s">
        <v>8632</v>
      </c>
      <c r="B5769">
        <v>3</v>
      </c>
      <c r="C5769">
        <v>2014</v>
      </c>
      <c r="D5769" t="s">
        <v>10924</v>
      </c>
      <c r="E5769">
        <v>95</v>
      </c>
      <c r="F5769" t="s">
        <v>33452</v>
      </c>
      <c r="G5769" t="s">
        <v>33453</v>
      </c>
      <c r="H5769" s="4" t="s">
        <v>33454</v>
      </c>
      <c r="I5769" t="s">
        <v>71</v>
      </c>
      <c r="J5769" t="s">
        <v>10782</v>
      </c>
      <c r="K5769" t="s">
        <v>33455</v>
      </c>
    </row>
    <row r="5770" spans="1:11" ht="86.4" x14ac:dyDescent="0.3">
      <c r="A5770" s="4" t="s">
        <v>8633</v>
      </c>
      <c r="B5770">
        <v>3</v>
      </c>
      <c r="C5770">
        <v>2014</v>
      </c>
      <c r="D5770" t="s">
        <v>19494</v>
      </c>
      <c r="E5770">
        <v>69</v>
      </c>
      <c r="F5770" t="s">
        <v>33456</v>
      </c>
      <c r="G5770" t="s">
        <v>33457</v>
      </c>
      <c r="H5770" s="4" t="s">
        <v>33458</v>
      </c>
      <c r="I5770" t="s">
        <v>71</v>
      </c>
      <c r="J5770" t="s">
        <v>10782</v>
      </c>
      <c r="K5770" t="s">
        <v>33459</v>
      </c>
    </row>
    <row r="5771" spans="1:11" ht="144" x14ac:dyDescent="0.3">
      <c r="A5771" s="4" t="s">
        <v>8634</v>
      </c>
      <c r="B5771">
        <v>3</v>
      </c>
      <c r="C5771">
        <v>2014</v>
      </c>
      <c r="D5771" t="s">
        <v>10924</v>
      </c>
      <c r="E5771">
        <v>515</v>
      </c>
      <c r="F5771" t="s">
        <v>33460</v>
      </c>
      <c r="G5771" t="s">
        <v>33461</v>
      </c>
      <c r="H5771" s="4" t="s">
        <v>33462</v>
      </c>
    </row>
    <row r="5772" spans="1:11" ht="129.6" x14ac:dyDescent="0.3">
      <c r="A5772" s="4" t="s">
        <v>8635</v>
      </c>
      <c r="B5772">
        <v>3</v>
      </c>
      <c r="C5772">
        <v>2014</v>
      </c>
      <c r="D5772" t="s">
        <v>1570</v>
      </c>
      <c r="E5772">
        <v>24</v>
      </c>
      <c r="F5772" t="s">
        <v>33463</v>
      </c>
      <c r="G5772" t="s">
        <v>33464</v>
      </c>
      <c r="H5772" s="4" t="s">
        <v>33465</v>
      </c>
    </row>
    <row r="5773" spans="1:11" ht="144" x14ac:dyDescent="0.3">
      <c r="A5773" s="4" t="s">
        <v>8636</v>
      </c>
      <c r="B5773">
        <v>3</v>
      </c>
      <c r="C5773">
        <v>2014</v>
      </c>
      <c r="D5773" t="s">
        <v>10057</v>
      </c>
      <c r="E5773">
        <v>127</v>
      </c>
      <c r="F5773" t="s">
        <v>33466</v>
      </c>
      <c r="G5773" t="s">
        <v>33467</v>
      </c>
      <c r="H5773" s="4" t="s">
        <v>33468</v>
      </c>
      <c r="I5773" t="s">
        <v>71</v>
      </c>
      <c r="J5773" t="s">
        <v>10782</v>
      </c>
      <c r="K5773" t="s">
        <v>33469</v>
      </c>
    </row>
    <row r="5774" spans="1:11" ht="216" x14ac:dyDescent="0.3">
      <c r="A5774" s="4" t="s">
        <v>8637</v>
      </c>
      <c r="B5774">
        <v>3</v>
      </c>
      <c r="C5774">
        <v>2014</v>
      </c>
      <c r="D5774" t="s">
        <v>10924</v>
      </c>
      <c r="E5774">
        <v>14</v>
      </c>
      <c r="F5774" t="s">
        <v>33470</v>
      </c>
      <c r="G5774" t="s">
        <v>33471</v>
      </c>
      <c r="H5774" s="4" t="s">
        <v>33472</v>
      </c>
      <c r="I5774" t="s">
        <v>71</v>
      </c>
      <c r="J5774" t="s">
        <v>10782</v>
      </c>
      <c r="K5774" t="s">
        <v>33473</v>
      </c>
    </row>
    <row r="5775" spans="1:11" ht="86.4" x14ac:dyDescent="0.3">
      <c r="A5775" s="4" t="s">
        <v>8638</v>
      </c>
      <c r="B5775">
        <v>3</v>
      </c>
      <c r="C5775">
        <v>2014</v>
      </c>
      <c r="D5775" t="s">
        <v>2411</v>
      </c>
      <c r="E5775">
        <v>4</v>
      </c>
      <c r="F5775" t="s">
        <v>33474</v>
      </c>
      <c r="G5775" t="s">
        <v>33475</v>
      </c>
      <c r="H5775" s="4" t="s">
        <v>33476</v>
      </c>
    </row>
    <row r="5776" spans="1:11" x14ac:dyDescent="0.3">
      <c r="A5776" s="4" t="s">
        <v>8639</v>
      </c>
      <c r="B5776">
        <v>3</v>
      </c>
      <c r="C5776">
        <v>2014</v>
      </c>
      <c r="D5776" t="s">
        <v>14116</v>
      </c>
      <c r="E5776">
        <v>82</v>
      </c>
      <c r="F5776" t="s">
        <v>33477</v>
      </c>
      <c r="G5776" t="s">
        <v>33478</v>
      </c>
      <c r="H5776" s="4" t="s">
        <v>71</v>
      </c>
      <c r="I5776" t="s">
        <v>10782</v>
      </c>
      <c r="J5776" t="s">
        <v>33479</v>
      </c>
    </row>
    <row r="5777" spans="1:11" ht="216" x14ac:dyDescent="0.3">
      <c r="A5777" s="4" t="s">
        <v>8640</v>
      </c>
      <c r="B5777">
        <v>3</v>
      </c>
      <c r="C5777">
        <v>2014</v>
      </c>
      <c r="D5777" t="s">
        <v>2853</v>
      </c>
      <c r="E5777">
        <v>128</v>
      </c>
      <c r="F5777" t="s">
        <v>33480</v>
      </c>
      <c r="G5777" t="s">
        <v>33481</v>
      </c>
      <c r="H5777" s="4" t="s">
        <v>33482</v>
      </c>
      <c r="I5777" t="s">
        <v>71</v>
      </c>
      <c r="J5777" t="s">
        <v>10782</v>
      </c>
      <c r="K5777" t="s">
        <v>33483</v>
      </c>
    </row>
    <row r="5778" spans="1:11" ht="86.4" x14ac:dyDescent="0.3">
      <c r="A5778" s="4" t="s">
        <v>8641</v>
      </c>
      <c r="B5778">
        <v>3</v>
      </c>
      <c r="C5778">
        <v>2014</v>
      </c>
      <c r="D5778" t="s">
        <v>19802</v>
      </c>
      <c r="E5778">
        <v>31</v>
      </c>
      <c r="F5778" t="s">
        <v>33484</v>
      </c>
      <c r="G5778" t="s">
        <v>33485</v>
      </c>
      <c r="H5778" s="4" t="s">
        <v>33486</v>
      </c>
      <c r="I5778" t="s">
        <v>71</v>
      </c>
      <c r="J5778" t="s">
        <v>10782</v>
      </c>
      <c r="K5778" t="s">
        <v>33487</v>
      </c>
    </row>
    <row r="5779" spans="1:11" ht="187.2" x14ac:dyDescent="0.3">
      <c r="A5779" s="4" t="s">
        <v>8642</v>
      </c>
      <c r="B5779">
        <v>3</v>
      </c>
      <c r="C5779">
        <v>2014</v>
      </c>
      <c r="D5779" t="s">
        <v>1570</v>
      </c>
      <c r="E5779">
        <v>32</v>
      </c>
      <c r="F5779" t="s">
        <v>33488</v>
      </c>
      <c r="G5779" t="s">
        <v>33489</v>
      </c>
      <c r="H5779" s="4" t="s">
        <v>33490</v>
      </c>
      <c r="I5779" t="s">
        <v>71</v>
      </c>
      <c r="J5779" t="s">
        <v>10782</v>
      </c>
      <c r="K5779" t="s">
        <v>33491</v>
      </c>
    </row>
    <row r="5780" spans="1:11" ht="216" x14ac:dyDescent="0.3">
      <c r="A5780" s="4" t="s">
        <v>8643</v>
      </c>
      <c r="B5780">
        <v>3</v>
      </c>
      <c r="C5780">
        <v>2014</v>
      </c>
      <c r="D5780" t="s">
        <v>10057</v>
      </c>
      <c r="E5780">
        <v>71</v>
      </c>
      <c r="F5780" t="s">
        <v>33492</v>
      </c>
      <c r="G5780" t="s">
        <v>33493</v>
      </c>
      <c r="H5780" s="4" t="s">
        <v>33494</v>
      </c>
      <c r="I5780" t="s">
        <v>71</v>
      </c>
      <c r="J5780" t="s">
        <v>10782</v>
      </c>
      <c r="K5780" t="s">
        <v>33495</v>
      </c>
    </row>
    <row r="5781" spans="1:11" ht="129.6" x14ac:dyDescent="0.3">
      <c r="A5781" s="4" t="s">
        <v>8644</v>
      </c>
      <c r="B5781">
        <v>3</v>
      </c>
      <c r="C5781">
        <v>2014</v>
      </c>
      <c r="D5781" t="s">
        <v>1570</v>
      </c>
      <c r="E5781">
        <v>16</v>
      </c>
      <c r="F5781" t="s">
        <v>33496</v>
      </c>
      <c r="G5781" t="s">
        <v>33497</v>
      </c>
      <c r="H5781" s="4" t="s">
        <v>33498</v>
      </c>
    </row>
    <row r="5782" spans="1:11" ht="230.4" x14ac:dyDescent="0.3">
      <c r="A5782" s="4" t="s">
        <v>8645</v>
      </c>
      <c r="B5782">
        <v>3</v>
      </c>
      <c r="C5782">
        <v>2014</v>
      </c>
      <c r="D5782" t="s">
        <v>11984</v>
      </c>
      <c r="E5782">
        <v>9</v>
      </c>
      <c r="F5782" t="s">
        <v>33499</v>
      </c>
      <c r="G5782" t="s">
        <v>33500</v>
      </c>
      <c r="H5782" s="4" t="s">
        <v>33501</v>
      </c>
      <c r="I5782" t="s">
        <v>71</v>
      </c>
      <c r="J5782" t="s">
        <v>10782</v>
      </c>
      <c r="K5782" t="s">
        <v>33502</v>
      </c>
    </row>
    <row r="5783" spans="1:11" ht="216" x14ac:dyDescent="0.3">
      <c r="A5783" s="4" t="s">
        <v>8646</v>
      </c>
      <c r="B5783">
        <v>3</v>
      </c>
      <c r="C5783">
        <v>2014</v>
      </c>
      <c r="D5783" t="s">
        <v>1849</v>
      </c>
      <c r="E5783">
        <v>28</v>
      </c>
      <c r="F5783" t="s">
        <v>33503</v>
      </c>
      <c r="G5783" t="s">
        <v>33504</v>
      </c>
      <c r="H5783" s="4" t="s">
        <v>33505</v>
      </c>
      <c r="I5783" t="s">
        <v>71</v>
      </c>
      <c r="J5783" t="s">
        <v>10782</v>
      </c>
      <c r="K5783" t="s">
        <v>33506</v>
      </c>
    </row>
    <row r="5784" spans="1:11" ht="129.6" x14ac:dyDescent="0.3">
      <c r="A5784" s="4" t="s">
        <v>8647</v>
      </c>
      <c r="B5784">
        <v>3</v>
      </c>
      <c r="C5784">
        <v>2014</v>
      </c>
      <c r="D5784" t="s">
        <v>16742</v>
      </c>
      <c r="E5784">
        <v>19</v>
      </c>
      <c r="F5784" t="s">
        <v>33507</v>
      </c>
      <c r="G5784" t="s">
        <v>33508</v>
      </c>
      <c r="H5784" s="4" t="s">
        <v>33509</v>
      </c>
      <c r="I5784" t="s">
        <v>71</v>
      </c>
      <c r="J5784" t="s">
        <v>10782</v>
      </c>
      <c r="K5784" t="s">
        <v>33510</v>
      </c>
    </row>
    <row r="5785" spans="1:11" ht="172.8" x14ac:dyDescent="0.3">
      <c r="A5785" s="4" t="s">
        <v>8648</v>
      </c>
      <c r="B5785">
        <v>3</v>
      </c>
      <c r="C5785">
        <v>2014</v>
      </c>
      <c r="D5785" t="s">
        <v>2375</v>
      </c>
      <c r="E5785">
        <v>4</v>
      </c>
      <c r="F5785" t="s">
        <v>33511</v>
      </c>
      <c r="G5785" t="s">
        <v>33512</v>
      </c>
      <c r="H5785" s="4" t="s">
        <v>33513</v>
      </c>
      <c r="I5785" t="s">
        <v>71</v>
      </c>
      <c r="J5785" t="s">
        <v>10782</v>
      </c>
      <c r="K5785" t="s">
        <v>33514</v>
      </c>
    </row>
    <row r="5786" spans="1:11" ht="115.2" x14ac:dyDescent="0.3">
      <c r="A5786" s="4" t="s">
        <v>8649</v>
      </c>
      <c r="B5786">
        <v>3</v>
      </c>
      <c r="C5786">
        <v>2014</v>
      </c>
      <c r="D5786" t="s">
        <v>10057</v>
      </c>
      <c r="E5786">
        <v>8</v>
      </c>
      <c r="F5786" t="s">
        <v>33515</v>
      </c>
      <c r="G5786" t="s">
        <v>33516</v>
      </c>
      <c r="H5786" s="4" t="s">
        <v>33517</v>
      </c>
    </row>
    <row r="5787" spans="1:11" ht="144" x14ac:dyDescent="0.3">
      <c r="A5787" s="4" t="s">
        <v>8650</v>
      </c>
      <c r="B5787">
        <v>3</v>
      </c>
      <c r="C5787">
        <v>2014</v>
      </c>
      <c r="D5787" t="s">
        <v>830</v>
      </c>
      <c r="E5787">
        <v>125</v>
      </c>
      <c r="F5787" t="s">
        <v>33518</v>
      </c>
      <c r="G5787" t="s">
        <v>33519</v>
      </c>
      <c r="H5787" s="4" t="s">
        <v>33520</v>
      </c>
      <c r="I5787" t="s">
        <v>71</v>
      </c>
      <c r="J5787" t="s">
        <v>10782</v>
      </c>
      <c r="K5787" t="s">
        <v>33521</v>
      </c>
    </row>
    <row r="5788" spans="1:11" ht="172.8" x14ac:dyDescent="0.3">
      <c r="A5788" s="4" t="s">
        <v>8651</v>
      </c>
      <c r="B5788">
        <v>3</v>
      </c>
      <c r="C5788">
        <v>2014</v>
      </c>
      <c r="D5788" t="s">
        <v>13821</v>
      </c>
      <c r="E5788">
        <v>18</v>
      </c>
      <c r="F5788" t="s">
        <v>33522</v>
      </c>
      <c r="G5788" t="s">
        <v>33523</v>
      </c>
      <c r="H5788" s="4" t="s">
        <v>33524</v>
      </c>
      <c r="I5788" t="s">
        <v>71</v>
      </c>
      <c r="J5788" t="s">
        <v>10782</v>
      </c>
      <c r="K5788" t="s">
        <v>33525</v>
      </c>
    </row>
    <row r="5789" spans="1:11" ht="273.60000000000002" x14ac:dyDescent="0.3">
      <c r="A5789" s="4" t="s">
        <v>8652</v>
      </c>
      <c r="B5789">
        <v>3</v>
      </c>
      <c r="C5789">
        <v>2014</v>
      </c>
      <c r="D5789" t="s">
        <v>10924</v>
      </c>
      <c r="E5789">
        <v>19</v>
      </c>
      <c r="F5789" t="s">
        <v>33526</v>
      </c>
      <c r="G5789" t="s">
        <v>33527</v>
      </c>
      <c r="H5789" s="4" t="s">
        <v>33528</v>
      </c>
      <c r="I5789" t="s">
        <v>71</v>
      </c>
      <c r="J5789" t="s">
        <v>10782</v>
      </c>
      <c r="K5789" t="s">
        <v>33529</v>
      </c>
    </row>
    <row r="5790" spans="1:11" ht="201.6" x14ac:dyDescent="0.3">
      <c r="A5790" s="4" t="s">
        <v>8653</v>
      </c>
      <c r="B5790">
        <v>3</v>
      </c>
      <c r="C5790">
        <v>2014</v>
      </c>
      <c r="D5790" t="s">
        <v>1570</v>
      </c>
      <c r="E5790">
        <v>3</v>
      </c>
      <c r="F5790" t="s">
        <v>33530</v>
      </c>
      <c r="G5790" t="s">
        <v>33531</v>
      </c>
      <c r="H5790" s="4" t="s">
        <v>33532</v>
      </c>
      <c r="I5790" t="s">
        <v>71</v>
      </c>
      <c r="J5790" t="s">
        <v>10782</v>
      </c>
      <c r="K5790" t="s">
        <v>33533</v>
      </c>
    </row>
    <row r="5791" spans="1:11" ht="115.2" x14ac:dyDescent="0.3">
      <c r="A5791" s="4" t="s">
        <v>8654</v>
      </c>
      <c r="B5791">
        <v>3</v>
      </c>
      <c r="C5791">
        <v>2014</v>
      </c>
      <c r="D5791" t="s">
        <v>918</v>
      </c>
      <c r="E5791">
        <v>27</v>
      </c>
      <c r="F5791" t="s">
        <v>33534</v>
      </c>
      <c r="G5791" t="s">
        <v>33535</v>
      </c>
      <c r="H5791" s="4" t="s">
        <v>33536</v>
      </c>
      <c r="I5791" t="s">
        <v>71</v>
      </c>
      <c r="J5791" t="s">
        <v>10782</v>
      </c>
      <c r="K5791" t="s">
        <v>33537</v>
      </c>
    </row>
    <row r="5792" spans="1:11" ht="115.2" x14ac:dyDescent="0.3">
      <c r="A5792" s="4" t="s">
        <v>8655</v>
      </c>
      <c r="B5792">
        <v>3</v>
      </c>
      <c r="C5792">
        <v>2014</v>
      </c>
      <c r="D5792" t="s">
        <v>1570</v>
      </c>
      <c r="E5792">
        <v>109</v>
      </c>
      <c r="F5792" t="s">
        <v>33538</v>
      </c>
      <c r="G5792" t="s">
        <v>33539</v>
      </c>
      <c r="H5792" s="4" t="s">
        <v>33540</v>
      </c>
    </row>
    <row r="5793" spans="1:11" ht="28.8" x14ac:dyDescent="0.3">
      <c r="A5793" s="4" t="s">
        <v>8656</v>
      </c>
      <c r="B5793">
        <v>3</v>
      </c>
      <c r="C5793">
        <v>2014</v>
      </c>
      <c r="D5793" t="s">
        <v>18415</v>
      </c>
      <c r="E5793">
        <v>6</v>
      </c>
      <c r="F5793" t="s">
        <v>33541</v>
      </c>
      <c r="G5793" t="s">
        <v>33542</v>
      </c>
      <c r="H5793" s="4" t="s">
        <v>71</v>
      </c>
      <c r="I5793" t="s">
        <v>10782</v>
      </c>
      <c r="J5793" t="s">
        <v>33543</v>
      </c>
    </row>
    <row r="5794" spans="1:11" ht="187.2" x14ac:dyDescent="0.3">
      <c r="A5794" s="4" t="s">
        <v>8657</v>
      </c>
      <c r="B5794">
        <v>3</v>
      </c>
      <c r="C5794">
        <v>2014</v>
      </c>
      <c r="D5794" t="s">
        <v>1525</v>
      </c>
      <c r="E5794">
        <v>42</v>
      </c>
      <c r="F5794" t="s">
        <v>33544</v>
      </c>
      <c r="G5794" t="s">
        <v>33545</v>
      </c>
      <c r="H5794" s="4" t="s">
        <v>33546</v>
      </c>
      <c r="I5794" t="s">
        <v>71</v>
      </c>
      <c r="J5794" t="s">
        <v>10782</v>
      </c>
      <c r="K5794" t="s">
        <v>33547</v>
      </c>
    </row>
    <row r="5795" spans="1:11" x14ac:dyDescent="0.3">
      <c r="A5795" s="4" t="s">
        <v>8658</v>
      </c>
      <c r="B5795">
        <v>3</v>
      </c>
      <c r="C5795">
        <v>2014</v>
      </c>
      <c r="D5795" t="s">
        <v>2431</v>
      </c>
      <c r="E5795">
        <v>1</v>
      </c>
      <c r="F5795" t="s">
        <v>33548</v>
      </c>
      <c r="G5795" t="s">
        <v>33549</v>
      </c>
      <c r="H5795" s="4" t="s">
        <v>71</v>
      </c>
      <c r="I5795" t="s">
        <v>10782</v>
      </c>
      <c r="J5795" t="s">
        <v>33550</v>
      </c>
    </row>
    <row r="5796" spans="1:11" ht="244.8" x14ac:dyDescent="0.3">
      <c r="A5796" s="4" t="s">
        <v>8659</v>
      </c>
      <c r="B5796">
        <v>3</v>
      </c>
      <c r="C5796">
        <v>2014</v>
      </c>
      <c r="D5796" t="s">
        <v>16189</v>
      </c>
      <c r="E5796">
        <v>34</v>
      </c>
      <c r="F5796" t="s">
        <v>33551</v>
      </c>
      <c r="G5796" t="s">
        <v>33552</v>
      </c>
      <c r="H5796" s="4" t="s">
        <v>33553</v>
      </c>
      <c r="I5796" t="s">
        <v>71</v>
      </c>
      <c r="J5796" t="s">
        <v>10782</v>
      </c>
      <c r="K5796" t="s">
        <v>33554</v>
      </c>
    </row>
    <row r="5797" spans="1:11" ht="158.4" x14ac:dyDescent="0.3">
      <c r="A5797" s="4" t="s">
        <v>8660</v>
      </c>
      <c r="B5797">
        <v>3</v>
      </c>
      <c r="C5797">
        <v>2014</v>
      </c>
      <c r="D5797" t="s">
        <v>33555</v>
      </c>
      <c r="E5797">
        <v>7</v>
      </c>
      <c r="F5797" t="s">
        <v>33556</v>
      </c>
      <c r="G5797" t="s">
        <v>33557</v>
      </c>
      <c r="H5797" s="4" t="s">
        <v>33558</v>
      </c>
      <c r="I5797" t="s">
        <v>71</v>
      </c>
      <c r="J5797" t="s">
        <v>10782</v>
      </c>
      <c r="K5797" t="s">
        <v>33559</v>
      </c>
    </row>
    <row r="5798" spans="1:11" ht="172.8" x14ac:dyDescent="0.3">
      <c r="A5798" s="4" t="s">
        <v>8661</v>
      </c>
      <c r="B5798">
        <v>3</v>
      </c>
      <c r="C5798">
        <v>2014</v>
      </c>
      <c r="D5798" t="s">
        <v>14909</v>
      </c>
      <c r="E5798">
        <v>29</v>
      </c>
      <c r="F5798" t="s">
        <v>33560</v>
      </c>
      <c r="G5798" t="s">
        <v>33561</v>
      </c>
      <c r="H5798" s="4" t="s">
        <v>33562</v>
      </c>
      <c r="I5798" t="s">
        <v>71</v>
      </c>
      <c r="J5798" t="s">
        <v>10782</v>
      </c>
      <c r="K5798" t="s">
        <v>33563</v>
      </c>
    </row>
    <row r="5799" spans="1:11" ht="144" x14ac:dyDescent="0.3">
      <c r="A5799" s="4" t="s">
        <v>8662</v>
      </c>
      <c r="B5799">
        <v>3</v>
      </c>
      <c r="C5799">
        <v>2014</v>
      </c>
      <c r="D5799" t="s">
        <v>1570</v>
      </c>
      <c r="E5799">
        <v>17</v>
      </c>
      <c r="F5799" t="s">
        <v>33564</v>
      </c>
      <c r="G5799" t="s">
        <v>33565</v>
      </c>
      <c r="H5799" s="4" t="s">
        <v>33566</v>
      </c>
      <c r="I5799" t="s">
        <v>71</v>
      </c>
      <c r="J5799" t="s">
        <v>10782</v>
      </c>
      <c r="K5799" t="s">
        <v>33567</v>
      </c>
    </row>
    <row r="5800" spans="1:11" ht="216" x14ac:dyDescent="0.3">
      <c r="A5800" s="4" t="s">
        <v>8663</v>
      </c>
      <c r="B5800">
        <v>3</v>
      </c>
      <c r="C5800">
        <v>2014</v>
      </c>
      <c r="D5800" t="s">
        <v>24374</v>
      </c>
      <c r="E5800">
        <v>33</v>
      </c>
      <c r="F5800" t="s">
        <v>33568</v>
      </c>
      <c r="G5800" t="s">
        <v>33569</v>
      </c>
      <c r="H5800" s="4" t="s">
        <v>33570</v>
      </c>
    </row>
    <row r="5801" spans="1:11" ht="115.2" x14ac:dyDescent="0.3">
      <c r="A5801" s="4" t="s">
        <v>3636</v>
      </c>
      <c r="B5801">
        <v>2</v>
      </c>
      <c r="C5801">
        <v>2014</v>
      </c>
      <c r="D5801" t="s">
        <v>12677</v>
      </c>
      <c r="E5801">
        <v>59</v>
      </c>
      <c r="F5801" t="s">
        <v>33571</v>
      </c>
      <c r="G5801" t="s">
        <v>33572</v>
      </c>
      <c r="H5801" s="4" t="s">
        <v>33573</v>
      </c>
      <c r="I5801" t="s">
        <v>71</v>
      </c>
      <c r="J5801" t="s">
        <v>10782</v>
      </c>
      <c r="K5801" t="s">
        <v>33574</v>
      </c>
    </row>
    <row r="5802" spans="1:11" ht="158.4" x14ac:dyDescent="0.3">
      <c r="A5802" s="4" t="s">
        <v>8664</v>
      </c>
      <c r="B5802">
        <v>3</v>
      </c>
      <c r="C5802">
        <v>2014</v>
      </c>
      <c r="D5802" t="s">
        <v>17476</v>
      </c>
      <c r="E5802">
        <v>18</v>
      </c>
      <c r="F5802" t="s">
        <v>33575</v>
      </c>
      <c r="G5802" t="s">
        <v>33576</v>
      </c>
      <c r="H5802" s="4" t="s">
        <v>33577</v>
      </c>
      <c r="I5802" t="s">
        <v>71</v>
      </c>
      <c r="J5802" t="s">
        <v>10782</v>
      </c>
      <c r="K5802" t="s">
        <v>33578</v>
      </c>
    </row>
    <row r="5803" spans="1:11" ht="115.2" x14ac:dyDescent="0.3">
      <c r="A5803" s="4" t="s">
        <v>8665</v>
      </c>
      <c r="B5803">
        <v>3</v>
      </c>
      <c r="C5803">
        <v>2014</v>
      </c>
      <c r="D5803" t="s">
        <v>13210</v>
      </c>
      <c r="E5803">
        <v>11</v>
      </c>
      <c r="F5803" t="s">
        <v>33579</v>
      </c>
      <c r="G5803" t="s">
        <v>33580</v>
      </c>
      <c r="H5803" s="4" t="s">
        <v>33581</v>
      </c>
      <c r="I5803" t="s">
        <v>71</v>
      </c>
      <c r="J5803" t="s">
        <v>10782</v>
      </c>
      <c r="K5803" t="s">
        <v>33582</v>
      </c>
    </row>
    <row r="5804" spans="1:11" ht="28.8" x14ac:dyDescent="0.3">
      <c r="A5804" s="4" t="s">
        <v>8666</v>
      </c>
      <c r="B5804">
        <v>3</v>
      </c>
      <c r="C5804">
        <v>2014</v>
      </c>
      <c r="D5804" t="s">
        <v>33583</v>
      </c>
      <c r="E5804">
        <v>0</v>
      </c>
      <c r="F5804" t="s">
        <v>33584</v>
      </c>
      <c r="G5804" t="s">
        <v>33585</v>
      </c>
    </row>
    <row r="5805" spans="1:11" ht="43.2" x14ac:dyDescent="0.3">
      <c r="A5805" s="4" t="s">
        <v>8667</v>
      </c>
      <c r="B5805">
        <v>3</v>
      </c>
      <c r="C5805">
        <v>2014</v>
      </c>
      <c r="D5805" t="s">
        <v>1570</v>
      </c>
      <c r="E5805">
        <v>29</v>
      </c>
      <c r="F5805" t="s">
        <v>33586</v>
      </c>
      <c r="G5805" t="s">
        <v>33587</v>
      </c>
      <c r="H5805" s="4" t="s">
        <v>33588</v>
      </c>
      <c r="I5805" t="s">
        <v>33589</v>
      </c>
    </row>
    <row r="5806" spans="1:11" ht="187.2" x14ac:dyDescent="0.3">
      <c r="A5806" s="4" t="s">
        <v>8668</v>
      </c>
      <c r="B5806">
        <v>3</v>
      </c>
      <c r="C5806">
        <v>2014</v>
      </c>
      <c r="D5806" t="s">
        <v>12593</v>
      </c>
      <c r="E5806">
        <v>3</v>
      </c>
      <c r="F5806" t="s">
        <v>33590</v>
      </c>
      <c r="G5806" t="s">
        <v>33591</v>
      </c>
      <c r="H5806" s="4" t="s">
        <v>33592</v>
      </c>
      <c r="I5806" t="s">
        <v>71</v>
      </c>
      <c r="J5806" t="s">
        <v>10782</v>
      </c>
      <c r="K5806" t="s">
        <v>33593</v>
      </c>
    </row>
    <row r="5807" spans="1:11" ht="172.8" x14ac:dyDescent="0.3">
      <c r="A5807" s="4" t="s">
        <v>8669</v>
      </c>
      <c r="B5807">
        <v>3</v>
      </c>
      <c r="C5807">
        <v>2014</v>
      </c>
      <c r="D5807" t="s">
        <v>679</v>
      </c>
      <c r="E5807">
        <v>14</v>
      </c>
      <c r="F5807" t="s">
        <v>33594</v>
      </c>
      <c r="G5807" t="s">
        <v>33595</v>
      </c>
      <c r="H5807" s="4" t="s">
        <v>33596</v>
      </c>
      <c r="I5807" t="s">
        <v>71</v>
      </c>
      <c r="J5807" t="s">
        <v>10782</v>
      </c>
      <c r="K5807" t="s">
        <v>33597</v>
      </c>
    </row>
    <row r="5808" spans="1:11" ht="100.8" x14ac:dyDescent="0.3">
      <c r="A5808" s="4" t="s">
        <v>8670</v>
      </c>
      <c r="B5808">
        <v>3</v>
      </c>
      <c r="C5808">
        <v>2014</v>
      </c>
      <c r="D5808" t="s">
        <v>1426</v>
      </c>
      <c r="E5808">
        <v>173</v>
      </c>
      <c r="F5808" t="s">
        <v>33598</v>
      </c>
      <c r="G5808" t="s">
        <v>33599</v>
      </c>
      <c r="H5808" s="4" t="s">
        <v>33600</v>
      </c>
      <c r="I5808" t="s">
        <v>71</v>
      </c>
      <c r="J5808" t="s">
        <v>10782</v>
      </c>
      <c r="K5808" t="s">
        <v>33601</v>
      </c>
    </row>
    <row r="5809" spans="1:11" ht="158.4" x14ac:dyDescent="0.3">
      <c r="A5809" s="4" t="s">
        <v>8671</v>
      </c>
      <c r="B5809">
        <v>3</v>
      </c>
      <c r="C5809">
        <v>2014</v>
      </c>
      <c r="D5809" t="s">
        <v>1088</v>
      </c>
      <c r="E5809">
        <v>94</v>
      </c>
      <c r="F5809" t="s">
        <v>33602</v>
      </c>
      <c r="G5809" t="s">
        <v>33603</v>
      </c>
      <c r="H5809" s="4" t="s">
        <v>33604</v>
      </c>
      <c r="I5809" t="s">
        <v>71</v>
      </c>
      <c r="J5809" t="s">
        <v>10782</v>
      </c>
      <c r="K5809" t="s">
        <v>33605</v>
      </c>
    </row>
    <row r="5810" spans="1:11" ht="187.2" x14ac:dyDescent="0.3">
      <c r="A5810" s="4" t="s">
        <v>8672</v>
      </c>
      <c r="B5810">
        <v>3</v>
      </c>
      <c r="C5810">
        <v>2014</v>
      </c>
      <c r="D5810" t="s">
        <v>14138</v>
      </c>
      <c r="E5810">
        <v>18</v>
      </c>
      <c r="F5810" t="s">
        <v>33606</v>
      </c>
      <c r="G5810" t="s">
        <v>33607</v>
      </c>
      <c r="H5810" s="4" t="s">
        <v>33608</v>
      </c>
      <c r="I5810" t="s">
        <v>71</v>
      </c>
      <c r="J5810" t="s">
        <v>10782</v>
      </c>
      <c r="K5810" t="s">
        <v>33609</v>
      </c>
    </row>
    <row r="5811" spans="1:11" ht="129.6" x14ac:dyDescent="0.3">
      <c r="A5811" s="4" t="s">
        <v>8673</v>
      </c>
      <c r="B5811">
        <v>3</v>
      </c>
      <c r="C5811">
        <v>2014</v>
      </c>
      <c r="D5811" t="s">
        <v>14310</v>
      </c>
      <c r="E5811">
        <v>27</v>
      </c>
      <c r="F5811" t="s">
        <v>33610</v>
      </c>
      <c r="G5811" t="s">
        <v>33611</v>
      </c>
      <c r="H5811" s="4" t="s">
        <v>33612</v>
      </c>
      <c r="I5811" t="s">
        <v>71</v>
      </c>
      <c r="J5811" t="s">
        <v>10782</v>
      </c>
      <c r="K5811" t="s">
        <v>33613</v>
      </c>
    </row>
    <row r="5812" spans="1:11" ht="201.6" x14ac:dyDescent="0.3">
      <c r="A5812" s="4" t="s">
        <v>8674</v>
      </c>
      <c r="B5812">
        <v>3</v>
      </c>
      <c r="C5812">
        <v>2014</v>
      </c>
      <c r="D5812" t="s">
        <v>217</v>
      </c>
      <c r="E5812">
        <v>8</v>
      </c>
      <c r="F5812" t="s">
        <v>33614</v>
      </c>
      <c r="G5812" t="s">
        <v>33615</v>
      </c>
      <c r="H5812" s="4" t="s">
        <v>33616</v>
      </c>
      <c r="I5812" t="s">
        <v>71</v>
      </c>
      <c r="J5812" t="s">
        <v>10782</v>
      </c>
      <c r="K5812" t="s">
        <v>33617</v>
      </c>
    </row>
    <row r="5813" spans="1:11" ht="201.6" x14ac:dyDescent="0.3">
      <c r="A5813" s="4" t="s">
        <v>8675</v>
      </c>
      <c r="B5813">
        <v>3</v>
      </c>
      <c r="C5813">
        <v>2014</v>
      </c>
      <c r="D5813" t="s">
        <v>550</v>
      </c>
      <c r="E5813">
        <v>11</v>
      </c>
      <c r="F5813" t="s">
        <v>33618</v>
      </c>
      <c r="G5813" t="s">
        <v>33619</v>
      </c>
      <c r="H5813" s="4" t="s">
        <v>33620</v>
      </c>
      <c r="I5813" t="s">
        <v>71</v>
      </c>
      <c r="J5813" t="s">
        <v>10782</v>
      </c>
      <c r="K5813" t="s">
        <v>33621</v>
      </c>
    </row>
    <row r="5814" spans="1:11" ht="144" x14ac:dyDescent="0.3">
      <c r="A5814" s="4" t="s">
        <v>8676</v>
      </c>
      <c r="B5814">
        <v>3</v>
      </c>
      <c r="C5814">
        <v>2014</v>
      </c>
      <c r="D5814" t="s">
        <v>14346</v>
      </c>
      <c r="E5814">
        <v>1</v>
      </c>
      <c r="F5814" t="s">
        <v>33622</v>
      </c>
      <c r="G5814" t="s">
        <v>33623</v>
      </c>
      <c r="H5814" s="4" t="s">
        <v>33624</v>
      </c>
      <c r="I5814" t="s">
        <v>71</v>
      </c>
      <c r="J5814" t="s">
        <v>10782</v>
      </c>
      <c r="K5814" t="s">
        <v>33625</v>
      </c>
    </row>
    <row r="5815" spans="1:11" ht="158.4" x14ac:dyDescent="0.3">
      <c r="A5815" s="4" t="s">
        <v>8677</v>
      </c>
      <c r="B5815">
        <v>3</v>
      </c>
      <c r="C5815">
        <v>2014</v>
      </c>
      <c r="D5815" t="s">
        <v>1877</v>
      </c>
      <c r="E5815">
        <v>20</v>
      </c>
      <c r="F5815" t="s">
        <v>33626</v>
      </c>
      <c r="G5815" t="s">
        <v>33627</v>
      </c>
      <c r="H5815" s="4" t="s">
        <v>33628</v>
      </c>
      <c r="I5815" t="s">
        <v>71</v>
      </c>
      <c r="J5815" t="s">
        <v>10782</v>
      </c>
      <c r="K5815" t="s">
        <v>33629</v>
      </c>
    </row>
    <row r="5816" spans="1:11" ht="115.2" x14ac:dyDescent="0.3">
      <c r="A5816" s="4" t="s">
        <v>8678</v>
      </c>
      <c r="B5816">
        <v>3</v>
      </c>
      <c r="C5816">
        <v>2014</v>
      </c>
      <c r="D5816" t="s">
        <v>33630</v>
      </c>
      <c r="E5816">
        <v>0</v>
      </c>
      <c r="F5816" t="s">
        <v>33631</v>
      </c>
      <c r="G5816" t="s">
        <v>33632</v>
      </c>
      <c r="H5816" s="4" t="s">
        <v>33633</v>
      </c>
      <c r="I5816" t="s">
        <v>71</v>
      </c>
      <c r="J5816" t="s">
        <v>10782</v>
      </c>
      <c r="K5816" t="s">
        <v>33634</v>
      </c>
    </row>
    <row r="5817" spans="1:11" ht="288" x14ac:dyDescent="0.3">
      <c r="A5817" s="4" t="s">
        <v>8679</v>
      </c>
      <c r="B5817">
        <v>3</v>
      </c>
      <c r="C5817">
        <v>2014</v>
      </c>
      <c r="D5817" t="s">
        <v>1197</v>
      </c>
      <c r="E5817">
        <v>50</v>
      </c>
      <c r="F5817" t="s">
        <v>33635</v>
      </c>
      <c r="G5817" t="s">
        <v>33636</v>
      </c>
      <c r="H5817" s="4" t="s">
        <v>33637</v>
      </c>
      <c r="I5817" t="s">
        <v>10823</v>
      </c>
      <c r="J5817" t="s">
        <v>10782</v>
      </c>
      <c r="K5817" t="s">
        <v>33638</v>
      </c>
    </row>
    <row r="5818" spans="1:11" ht="259.2" x14ac:dyDescent="0.3">
      <c r="A5818" s="4" t="s">
        <v>8680</v>
      </c>
      <c r="B5818">
        <v>3</v>
      </c>
      <c r="C5818">
        <v>2014</v>
      </c>
      <c r="D5818" t="s">
        <v>17476</v>
      </c>
      <c r="E5818">
        <v>6</v>
      </c>
      <c r="F5818" t="s">
        <v>33639</v>
      </c>
      <c r="G5818" t="s">
        <v>33640</v>
      </c>
      <c r="H5818" s="4" t="s">
        <v>33641</v>
      </c>
      <c r="I5818" t="s">
        <v>71</v>
      </c>
      <c r="J5818" t="s">
        <v>10782</v>
      </c>
      <c r="K5818" t="s">
        <v>33642</v>
      </c>
    </row>
    <row r="5819" spans="1:11" ht="129.6" x14ac:dyDescent="0.3">
      <c r="A5819" s="4" t="s">
        <v>8681</v>
      </c>
      <c r="B5819">
        <v>3</v>
      </c>
      <c r="C5819">
        <v>2014</v>
      </c>
      <c r="D5819" t="s">
        <v>13721</v>
      </c>
      <c r="E5819">
        <v>12</v>
      </c>
      <c r="F5819" t="s">
        <v>33643</v>
      </c>
      <c r="G5819" t="s">
        <v>33644</v>
      </c>
      <c r="H5819" s="4" t="s">
        <v>33645</v>
      </c>
      <c r="I5819" t="s">
        <v>71</v>
      </c>
      <c r="J5819" t="s">
        <v>10782</v>
      </c>
      <c r="K5819" t="s">
        <v>33646</v>
      </c>
    </row>
    <row r="5820" spans="1:11" ht="172.8" x14ac:dyDescent="0.3">
      <c r="A5820" s="4" t="s">
        <v>8682</v>
      </c>
      <c r="B5820">
        <v>3</v>
      </c>
      <c r="C5820">
        <v>2014</v>
      </c>
      <c r="D5820" t="s">
        <v>918</v>
      </c>
      <c r="E5820">
        <v>24</v>
      </c>
      <c r="F5820" t="s">
        <v>33647</v>
      </c>
      <c r="G5820" t="s">
        <v>33648</v>
      </c>
      <c r="H5820" s="4" t="s">
        <v>33649</v>
      </c>
      <c r="I5820" t="s">
        <v>71</v>
      </c>
      <c r="J5820" t="s">
        <v>10782</v>
      </c>
      <c r="K5820" t="s">
        <v>33650</v>
      </c>
    </row>
    <row r="5821" spans="1:11" ht="100.8" x14ac:dyDescent="0.3">
      <c r="A5821" s="4" t="s">
        <v>8683</v>
      </c>
      <c r="B5821">
        <v>3</v>
      </c>
      <c r="C5821">
        <v>2014</v>
      </c>
      <c r="D5821" t="s">
        <v>799</v>
      </c>
      <c r="E5821">
        <v>36</v>
      </c>
      <c r="F5821" t="s">
        <v>33651</v>
      </c>
      <c r="G5821" t="s">
        <v>33652</v>
      </c>
      <c r="H5821" s="4" t="s">
        <v>33653</v>
      </c>
      <c r="I5821" t="s">
        <v>71</v>
      </c>
      <c r="J5821" t="s">
        <v>10782</v>
      </c>
      <c r="K5821" t="s">
        <v>33654</v>
      </c>
    </row>
    <row r="5822" spans="1:11" ht="187.2" x14ac:dyDescent="0.3">
      <c r="A5822" s="4" t="s">
        <v>8684</v>
      </c>
      <c r="B5822">
        <v>3</v>
      </c>
      <c r="C5822">
        <v>2014</v>
      </c>
      <c r="D5822" t="s">
        <v>23247</v>
      </c>
      <c r="E5822">
        <v>54</v>
      </c>
      <c r="F5822" t="s">
        <v>33655</v>
      </c>
      <c r="G5822" t="s">
        <v>33656</v>
      </c>
      <c r="H5822" s="4" t="s">
        <v>33657</v>
      </c>
      <c r="I5822" t="s">
        <v>71</v>
      </c>
      <c r="J5822" t="s">
        <v>10782</v>
      </c>
      <c r="K5822" t="s">
        <v>33658</v>
      </c>
    </row>
    <row r="5823" spans="1:11" ht="144" x14ac:dyDescent="0.3">
      <c r="A5823" s="4" t="s">
        <v>8685</v>
      </c>
      <c r="B5823">
        <v>3</v>
      </c>
      <c r="C5823">
        <v>2014</v>
      </c>
      <c r="D5823" t="s">
        <v>32486</v>
      </c>
      <c r="E5823">
        <v>6</v>
      </c>
      <c r="F5823" t="s">
        <v>33659</v>
      </c>
      <c r="G5823" t="s">
        <v>33660</v>
      </c>
      <c r="H5823" s="4" t="s">
        <v>33661</v>
      </c>
      <c r="I5823" t="s">
        <v>71</v>
      </c>
      <c r="J5823" t="s">
        <v>10782</v>
      </c>
      <c r="K5823" t="s">
        <v>33662</v>
      </c>
    </row>
    <row r="5824" spans="1:11" ht="72" x14ac:dyDescent="0.3">
      <c r="A5824" s="4" t="s">
        <v>8686</v>
      </c>
      <c r="B5824">
        <v>3</v>
      </c>
      <c r="C5824">
        <v>2014</v>
      </c>
      <c r="D5824" t="s">
        <v>33663</v>
      </c>
      <c r="E5824">
        <v>8</v>
      </c>
      <c r="F5824" t="s">
        <v>33664</v>
      </c>
      <c r="G5824" t="s">
        <v>33665</v>
      </c>
      <c r="H5824" s="4" t="s">
        <v>33666</v>
      </c>
      <c r="I5824" t="s">
        <v>71</v>
      </c>
      <c r="J5824" t="s">
        <v>10782</v>
      </c>
      <c r="K5824" t="s">
        <v>33667</v>
      </c>
    </row>
    <row r="5825" spans="1:11" ht="201.6" x14ac:dyDescent="0.3">
      <c r="A5825" s="4" t="s">
        <v>8687</v>
      </c>
      <c r="B5825">
        <v>3</v>
      </c>
      <c r="C5825">
        <v>2014</v>
      </c>
      <c r="D5825" t="s">
        <v>550</v>
      </c>
      <c r="E5825">
        <v>21</v>
      </c>
      <c r="F5825" t="s">
        <v>33668</v>
      </c>
      <c r="G5825" t="s">
        <v>33669</v>
      </c>
      <c r="H5825" s="4" t="s">
        <v>33670</v>
      </c>
      <c r="I5825" t="s">
        <v>71</v>
      </c>
      <c r="J5825" t="s">
        <v>10782</v>
      </c>
      <c r="K5825" t="s">
        <v>33671</v>
      </c>
    </row>
    <row r="5826" spans="1:11" ht="158.4" x14ac:dyDescent="0.3">
      <c r="A5826" s="4" t="s">
        <v>8688</v>
      </c>
      <c r="B5826">
        <v>3</v>
      </c>
      <c r="C5826">
        <v>2014</v>
      </c>
      <c r="D5826" t="s">
        <v>21322</v>
      </c>
      <c r="E5826">
        <v>39</v>
      </c>
      <c r="F5826" t="s">
        <v>33672</v>
      </c>
      <c r="G5826" t="s">
        <v>33673</v>
      </c>
      <c r="H5826" s="4" t="s">
        <v>33674</v>
      </c>
      <c r="I5826" t="s">
        <v>71</v>
      </c>
      <c r="J5826" t="s">
        <v>10782</v>
      </c>
      <c r="K5826" t="s">
        <v>33675</v>
      </c>
    </row>
    <row r="5827" spans="1:11" ht="259.2" x14ac:dyDescent="0.3">
      <c r="A5827" s="4" t="s">
        <v>8689</v>
      </c>
      <c r="B5827">
        <v>3</v>
      </c>
      <c r="C5827">
        <v>2014</v>
      </c>
      <c r="D5827" t="s">
        <v>11574</v>
      </c>
      <c r="E5827">
        <v>120</v>
      </c>
      <c r="F5827" t="s">
        <v>33676</v>
      </c>
      <c r="G5827" t="s">
        <v>33677</v>
      </c>
      <c r="H5827" s="4" t="s">
        <v>33678</v>
      </c>
      <c r="I5827" t="s">
        <v>10823</v>
      </c>
      <c r="J5827" t="s">
        <v>10782</v>
      </c>
      <c r="K5827" t="s">
        <v>33679</v>
      </c>
    </row>
    <row r="5828" spans="1:11" ht="100.8" x14ac:dyDescent="0.3">
      <c r="A5828" s="4" t="s">
        <v>8690</v>
      </c>
      <c r="B5828">
        <v>3</v>
      </c>
      <c r="C5828">
        <v>2014</v>
      </c>
      <c r="D5828" t="s">
        <v>22707</v>
      </c>
      <c r="E5828">
        <v>54</v>
      </c>
      <c r="F5828" t="s">
        <v>33680</v>
      </c>
      <c r="G5828" t="s">
        <v>33681</v>
      </c>
      <c r="H5828" s="4" t="s">
        <v>33682</v>
      </c>
      <c r="I5828" t="s">
        <v>71</v>
      </c>
      <c r="J5828" t="s">
        <v>10782</v>
      </c>
      <c r="K5828" t="s">
        <v>33683</v>
      </c>
    </row>
    <row r="5829" spans="1:11" ht="144" x14ac:dyDescent="0.3">
      <c r="A5829" s="4" t="s">
        <v>8691</v>
      </c>
      <c r="B5829">
        <v>3</v>
      </c>
      <c r="C5829">
        <v>2014</v>
      </c>
      <c r="D5829" t="s">
        <v>33684</v>
      </c>
      <c r="E5829">
        <v>20</v>
      </c>
      <c r="F5829" t="s">
        <v>33685</v>
      </c>
      <c r="G5829" t="s">
        <v>33686</v>
      </c>
      <c r="H5829" s="4" t="s">
        <v>33687</v>
      </c>
    </row>
    <row r="5830" spans="1:11" ht="43.2" x14ac:dyDescent="0.3">
      <c r="A5830" s="4" t="s">
        <v>8692</v>
      </c>
      <c r="B5830">
        <v>3</v>
      </c>
      <c r="C5830">
        <v>2014</v>
      </c>
      <c r="D5830" t="s">
        <v>33269</v>
      </c>
      <c r="E5830">
        <v>2</v>
      </c>
      <c r="F5830" t="s">
        <v>33688</v>
      </c>
      <c r="G5830" t="s">
        <v>33689</v>
      </c>
      <c r="H5830" s="4" t="s">
        <v>33690</v>
      </c>
      <c r="I5830" t="s">
        <v>71</v>
      </c>
      <c r="J5830" t="s">
        <v>10782</v>
      </c>
      <c r="K5830" t="s">
        <v>33691</v>
      </c>
    </row>
    <row r="5831" spans="1:11" ht="100.8" x14ac:dyDescent="0.3">
      <c r="A5831" s="4" t="s">
        <v>8693</v>
      </c>
      <c r="B5831">
        <v>3</v>
      </c>
      <c r="C5831">
        <v>2014</v>
      </c>
      <c r="D5831" t="s">
        <v>80</v>
      </c>
      <c r="E5831">
        <v>59</v>
      </c>
      <c r="F5831" t="s">
        <v>33692</v>
      </c>
      <c r="G5831" t="s">
        <v>33693</v>
      </c>
      <c r="H5831" s="4" t="s">
        <v>33694</v>
      </c>
    </row>
    <row r="5832" spans="1:11" ht="172.8" x14ac:dyDescent="0.3">
      <c r="A5832" s="4" t="s">
        <v>8694</v>
      </c>
      <c r="B5832">
        <v>3</v>
      </c>
      <c r="C5832">
        <v>2014</v>
      </c>
      <c r="D5832" t="s">
        <v>14512</v>
      </c>
      <c r="E5832">
        <v>25</v>
      </c>
      <c r="F5832" t="s">
        <v>33695</v>
      </c>
      <c r="G5832" t="s">
        <v>33696</v>
      </c>
      <c r="H5832" s="4" t="s">
        <v>33697</v>
      </c>
      <c r="I5832" t="s">
        <v>71</v>
      </c>
      <c r="J5832" t="s">
        <v>10782</v>
      </c>
      <c r="K5832" t="s">
        <v>33698</v>
      </c>
    </row>
    <row r="5833" spans="1:11" ht="187.2" x14ac:dyDescent="0.3">
      <c r="A5833" s="4" t="s">
        <v>8695</v>
      </c>
      <c r="B5833">
        <v>3</v>
      </c>
      <c r="C5833">
        <v>2014</v>
      </c>
      <c r="D5833" t="s">
        <v>3061</v>
      </c>
      <c r="E5833">
        <v>10</v>
      </c>
      <c r="F5833" t="s">
        <v>33699</v>
      </c>
      <c r="G5833" t="s">
        <v>33700</v>
      </c>
      <c r="H5833" s="4" t="s">
        <v>33701</v>
      </c>
      <c r="I5833" t="s">
        <v>71</v>
      </c>
      <c r="J5833" t="s">
        <v>10782</v>
      </c>
      <c r="K5833" t="s">
        <v>33702</v>
      </c>
    </row>
    <row r="5834" spans="1:11" ht="115.2" x14ac:dyDescent="0.3">
      <c r="A5834" s="4" t="s">
        <v>8696</v>
      </c>
      <c r="B5834">
        <v>3</v>
      </c>
      <c r="C5834">
        <v>2014</v>
      </c>
      <c r="D5834" t="s">
        <v>29110</v>
      </c>
      <c r="E5834">
        <v>14</v>
      </c>
      <c r="F5834" t="s">
        <v>33703</v>
      </c>
      <c r="G5834" t="s">
        <v>33704</v>
      </c>
      <c r="H5834" s="4" t="s">
        <v>33705</v>
      </c>
      <c r="I5834" t="s">
        <v>71</v>
      </c>
      <c r="J5834" t="s">
        <v>10782</v>
      </c>
      <c r="K5834" t="s">
        <v>33706</v>
      </c>
    </row>
    <row r="5835" spans="1:11" x14ac:dyDescent="0.3">
      <c r="A5835" s="4" t="s">
        <v>8697</v>
      </c>
      <c r="B5835">
        <v>3</v>
      </c>
      <c r="C5835">
        <v>2014</v>
      </c>
      <c r="D5835" t="s">
        <v>105</v>
      </c>
      <c r="E5835">
        <v>1</v>
      </c>
      <c r="F5835" t="s">
        <v>33707</v>
      </c>
      <c r="G5835" t="s">
        <v>33708</v>
      </c>
      <c r="H5835" s="4" t="s">
        <v>71</v>
      </c>
      <c r="I5835" t="s">
        <v>10782</v>
      </c>
      <c r="J5835" t="s">
        <v>33709</v>
      </c>
    </row>
    <row r="5836" spans="1:11" ht="187.2" x14ac:dyDescent="0.3">
      <c r="A5836" s="4" t="s">
        <v>8698</v>
      </c>
      <c r="B5836">
        <v>3</v>
      </c>
      <c r="C5836">
        <v>2014</v>
      </c>
      <c r="D5836" t="s">
        <v>12491</v>
      </c>
      <c r="E5836">
        <v>27</v>
      </c>
      <c r="F5836" t="s">
        <v>33710</v>
      </c>
      <c r="G5836" t="s">
        <v>33711</v>
      </c>
      <c r="H5836" s="4" t="s">
        <v>33712</v>
      </c>
      <c r="I5836" t="s">
        <v>71</v>
      </c>
      <c r="J5836" t="s">
        <v>10782</v>
      </c>
      <c r="K5836" t="s">
        <v>33713</v>
      </c>
    </row>
    <row r="5837" spans="1:11" ht="158.4" x14ac:dyDescent="0.3">
      <c r="A5837" s="4" t="s">
        <v>8699</v>
      </c>
      <c r="B5837">
        <v>3</v>
      </c>
      <c r="C5837">
        <v>2014</v>
      </c>
      <c r="D5837" t="s">
        <v>190</v>
      </c>
      <c r="E5837">
        <v>23</v>
      </c>
      <c r="F5837" t="s">
        <v>33714</v>
      </c>
      <c r="G5837" t="s">
        <v>33715</v>
      </c>
      <c r="H5837" s="4" t="s">
        <v>33716</v>
      </c>
      <c r="I5837" t="s">
        <v>71</v>
      </c>
      <c r="J5837" t="s">
        <v>10782</v>
      </c>
      <c r="K5837" t="s">
        <v>33717</v>
      </c>
    </row>
    <row r="5838" spans="1:11" ht="144" x14ac:dyDescent="0.3">
      <c r="A5838" s="4" t="s">
        <v>8700</v>
      </c>
      <c r="B5838">
        <v>3</v>
      </c>
      <c r="C5838">
        <v>2014</v>
      </c>
      <c r="D5838" t="s">
        <v>33718</v>
      </c>
      <c r="E5838">
        <v>6</v>
      </c>
      <c r="F5838" t="s">
        <v>33719</v>
      </c>
      <c r="G5838" t="s">
        <v>33720</v>
      </c>
      <c r="H5838" s="4" t="s">
        <v>33721</v>
      </c>
      <c r="I5838" t="s">
        <v>71</v>
      </c>
      <c r="J5838" t="s">
        <v>10782</v>
      </c>
      <c r="K5838" t="s">
        <v>33722</v>
      </c>
    </row>
    <row r="5839" spans="1:11" ht="43.2" x14ac:dyDescent="0.3">
      <c r="A5839" s="4" t="s">
        <v>8701</v>
      </c>
      <c r="B5839">
        <v>3</v>
      </c>
      <c r="C5839">
        <v>2014</v>
      </c>
      <c r="D5839" t="s">
        <v>29343</v>
      </c>
      <c r="E5839">
        <v>4</v>
      </c>
      <c r="F5839" t="s">
        <v>33723</v>
      </c>
      <c r="G5839" t="s">
        <v>33724</v>
      </c>
    </row>
    <row r="5840" spans="1:11" ht="201.6" x14ac:dyDescent="0.3">
      <c r="A5840" s="4" t="s">
        <v>8702</v>
      </c>
      <c r="B5840">
        <v>3</v>
      </c>
      <c r="C5840">
        <v>2014</v>
      </c>
      <c r="D5840" t="s">
        <v>26952</v>
      </c>
      <c r="E5840">
        <v>124</v>
      </c>
      <c r="F5840" t="s">
        <v>33725</v>
      </c>
      <c r="G5840" t="s">
        <v>33726</v>
      </c>
      <c r="H5840" s="4" t="s">
        <v>33727</v>
      </c>
      <c r="I5840" t="s">
        <v>71</v>
      </c>
      <c r="J5840" t="s">
        <v>10782</v>
      </c>
      <c r="K5840" t="s">
        <v>33728</v>
      </c>
    </row>
    <row r="5841" spans="1:11" ht="187.2" x14ac:dyDescent="0.3">
      <c r="A5841" s="4" t="s">
        <v>8703</v>
      </c>
      <c r="B5841">
        <v>3</v>
      </c>
      <c r="C5841">
        <v>2014</v>
      </c>
      <c r="D5841" t="s">
        <v>958</v>
      </c>
      <c r="E5841">
        <v>27</v>
      </c>
      <c r="F5841" t="s">
        <v>33729</v>
      </c>
      <c r="G5841" t="s">
        <v>33730</v>
      </c>
      <c r="H5841" s="4" t="s">
        <v>33731</v>
      </c>
      <c r="I5841" t="s">
        <v>71</v>
      </c>
      <c r="J5841" t="s">
        <v>10782</v>
      </c>
      <c r="K5841" t="s">
        <v>33732</v>
      </c>
    </row>
    <row r="5842" spans="1:11" ht="86.4" x14ac:dyDescent="0.3">
      <c r="A5842" s="4" t="s">
        <v>8704</v>
      </c>
      <c r="B5842">
        <v>3</v>
      </c>
      <c r="C5842">
        <v>2014</v>
      </c>
      <c r="D5842" t="s">
        <v>32859</v>
      </c>
      <c r="E5842">
        <v>5</v>
      </c>
      <c r="F5842" t="s">
        <v>33733</v>
      </c>
      <c r="G5842" t="s">
        <v>33734</v>
      </c>
      <c r="H5842" s="4" t="s">
        <v>33735</v>
      </c>
      <c r="I5842" t="s">
        <v>71</v>
      </c>
      <c r="J5842" t="s">
        <v>10782</v>
      </c>
      <c r="K5842" t="s">
        <v>33736</v>
      </c>
    </row>
    <row r="5843" spans="1:11" ht="259.2" x14ac:dyDescent="0.3">
      <c r="A5843" s="4" t="s">
        <v>8705</v>
      </c>
      <c r="B5843">
        <v>3</v>
      </c>
      <c r="C5843">
        <v>2014</v>
      </c>
      <c r="D5843" t="s">
        <v>217</v>
      </c>
      <c r="E5843">
        <v>51</v>
      </c>
      <c r="F5843" t="s">
        <v>33737</v>
      </c>
      <c r="G5843" t="s">
        <v>33738</v>
      </c>
      <c r="H5843" s="4" t="s">
        <v>33739</v>
      </c>
      <c r="I5843" t="s">
        <v>71</v>
      </c>
      <c r="J5843" t="s">
        <v>10782</v>
      </c>
      <c r="K5843" t="s">
        <v>33740</v>
      </c>
    </row>
    <row r="5844" spans="1:11" ht="100.8" x14ac:dyDescent="0.3">
      <c r="A5844" s="4" t="s">
        <v>8706</v>
      </c>
      <c r="B5844">
        <v>3</v>
      </c>
      <c r="C5844">
        <v>2014</v>
      </c>
      <c r="D5844" t="s">
        <v>13210</v>
      </c>
      <c r="E5844">
        <v>23</v>
      </c>
      <c r="F5844" t="s">
        <v>33741</v>
      </c>
      <c r="G5844" t="s">
        <v>33742</v>
      </c>
      <c r="H5844" s="4" t="s">
        <v>33743</v>
      </c>
      <c r="I5844" t="s">
        <v>71</v>
      </c>
      <c r="J5844" t="s">
        <v>10782</v>
      </c>
      <c r="K5844" t="s">
        <v>33744</v>
      </c>
    </row>
    <row r="5845" spans="1:11" ht="129.6" x14ac:dyDescent="0.3">
      <c r="A5845" s="4" t="s">
        <v>1991</v>
      </c>
      <c r="B5845">
        <v>1</v>
      </c>
      <c r="C5845">
        <v>2014</v>
      </c>
      <c r="D5845" t="s">
        <v>627</v>
      </c>
      <c r="E5845">
        <v>25</v>
      </c>
      <c r="F5845" t="s">
        <v>33745</v>
      </c>
      <c r="G5845" t="s">
        <v>33746</v>
      </c>
      <c r="H5845" s="4" t="s">
        <v>33747</v>
      </c>
      <c r="I5845" t="s">
        <v>71</v>
      </c>
      <c r="J5845" t="s">
        <v>10782</v>
      </c>
      <c r="K5845" t="s">
        <v>33748</v>
      </c>
    </row>
    <row r="5846" spans="1:11" ht="187.2" x14ac:dyDescent="0.3">
      <c r="A5846" s="4" t="s">
        <v>8707</v>
      </c>
      <c r="B5846">
        <v>3</v>
      </c>
      <c r="C5846">
        <v>2014</v>
      </c>
      <c r="D5846" t="s">
        <v>282</v>
      </c>
      <c r="E5846">
        <v>16</v>
      </c>
      <c r="F5846" t="s">
        <v>33749</v>
      </c>
      <c r="G5846" t="s">
        <v>33750</v>
      </c>
      <c r="H5846" s="4" t="s">
        <v>33751</v>
      </c>
      <c r="I5846" t="s">
        <v>71</v>
      </c>
      <c r="J5846" t="s">
        <v>10782</v>
      </c>
      <c r="K5846" t="s">
        <v>33752</v>
      </c>
    </row>
    <row r="5847" spans="1:11" ht="230.4" x14ac:dyDescent="0.3">
      <c r="A5847" s="4" t="s">
        <v>8708</v>
      </c>
      <c r="B5847">
        <v>3</v>
      </c>
      <c r="C5847">
        <v>2014</v>
      </c>
      <c r="D5847" t="s">
        <v>1688</v>
      </c>
      <c r="E5847">
        <v>14</v>
      </c>
      <c r="F5847" t="s">
        <v>33753</v>
      </c>
      <c r="G5847" t="s">
        <v>33754</v>
      </c>
      <c r="H5847" s="4" t="s">
        <v>33755</v>
      </c>
      <c r="I5847" t="s">
        <v>71</v>
      </c>
      <c r="J5847" t="s">
        <v>10782</v>
      </c>
      <c r="K5847" t="s">
        <v>33756</v>
      </c>
    </row>
    <row r="5848" spans="1:11" ht="100.8" x14ac:dyDescent="0.3">
      <c r="A5848" s="4" t="s">
        <v>8709</v>
      </c>
      <c r="B5848">
        <v>3</v>
      </c>
      <c r="C5848">
        <v>2014</v>
      </c>
      <c r="D5848" t="s">
        <v>11466</v>
      </c>
      <c r="E5848">
        <v>13</v>
      </c>
      <c r="F5848" t="s">
        <v>33757</v>
      </c>
      <c r="G5848" t="s">
        <v>33758</v>
      </c>
      <c r="H5848" s="4" t="s">
        <v>33759</v>
      </c>
      <c r="I5848" t="s">
        <v>71</v>
      </c>
      <c r="J5848" t="s">
        <v>10782</v>
      </c>
      <c r="K5848" t="s">
        <v>33760</v>
      </c>
    </row>
    <row r="5849" spans="1:11" ht="86.4" x14ac:dyDescent="0.3">
      <c r="A5849" s="4" t="s">
        <v>8710</v>
      </c>
      <c r="B5849">
        <v>3</v>
      </c>
      <c r="C5849">
        <v>2014</v>
      </c>
      <c r="D5849" t="s">
        <v>1794</v>
      </c>
      <c r="E5849">
        <v>63</v>
      </c>
      <c r="F5849" t="s">
        <v>33761</v>
      </c>
      <c r="G5849" t="s">
        <v>33762</v>
      </c>
      <c r="H5849" s="4" t="s">
        <v>33763</v>
      </c>
    </row>
    <row r="5850" spans="1:11" ht="201.6" x14ac:dyDescent="0.3">
      <c r="A5850" s="4" t="s">
        <v>8711</v>
      </c>
      <c r="B5850">
        <v>3</v>
      </c>
      <c r="C5850">
        <v>2014</v>
      </c>
      <c r="D5850" t="s">
        <v>80</v>
      </c>
      <c r="E5850">
        <v>37</v>
      </c>
      <c r="F5850" t="s">
        <v>33764</v>
      </c>
      <c r="G5850" t="s">
        <v>33765</v>
      </c>
      <c r="H5850" s="4" t="s">
        <v>33766</v>
      </c>
      <c r="I5850" t="s">
        <v>71</v>
      </c>
      <c r="J5850" t="s">
        <v>10782</v>
      </c>
      <c r="K5850" t="s">
        <v>33767</v>
      </c>
    </row>
    <row r="5851" spans="1:11" ht="115.2" x14ac:dyDescent="0.3">
      <c r="A5851" s="4" t="s">
        <v>8712</v>
      </c>
      <c r="B5851">
        <v>3</v>
      </c>
      <c r="C5851">
        <v>2014</v>
      </c>
      <c r="D5851" t="s">
        <v>398</v>
      </c>
      <c r="E5851">
        <v>38</v>
      </c>
      <c r="F5851" t="s">
        <v>33768</v>
      </c>
      <c r="G5851" t="s">
        <v>33769</v>
      </c>
      <c r="H5851" s="4" t="s">
        <v>33770</v>
      </c>
      <c r="I5851" t="s">
        <v>71</v>
      </c>
      <c r="J5851" t="s">
        <v>10782</v>
      </c>
      <c r="K5851" t="s">
        <v>33771</v>
      </c>
    </row>
    <row r="5852" spans="1:11" ht="115.2" x14ac:dyDescent="0.3">
      <c r="A5852" s="4" t="s">
        <v>8713</v>
      </c>
      <c r="B5852">
        <v>3</v>
      </c>
      <c r="C5852">
        <v>2014</v>
      </c>
      <c r="D5852" t="s">
        <v>1877</v>
      </c>
      <c r="E5852">
        <v>12</v>
      </c>
      <c r="F5852" t="s">
        <v>33772</v>
      </c>
      <c r="G5852" t="s">
        <v>33773</v>
      </c>
      <c r="H5852" s="4" t="s">
        <v>33774</v>
      </c>
      <c r="I5852" t="s">
        <v>71</v>
      </c>
      <c r="J5852" t="s">
        <v>10782</v>
      </c>
      <c r="K5852" t="s">
        <v>33775</v>
      </c>
    </row>
    <row r="5853" spans="1:11" ht="115.2" x14ac:dyDescent="0.3">
      <c r="A5853" s="4" t="s">
        <v>8714</v>
      </c>
      <c r="B5853">
        <v>3</v>
      </c>
      <c r="C5853">
        <v>2014</v>
      </c>
      <c r="D5853" t="s">
        <v>13021</v>
      </c>
      <c r="E5853">
        <v>8</v>
      </c>
      <c r="F5853" t="s">
        <v>33776</v>
      </c>
      <c r="G5853" t="s">
        <v>33777</v>
      </c>
      <c r="H5853" s="4" t="s">
        <v>33778</v>
      </c>
    </row>
    <row r="5854" spans="1:11" ht="28.8" x14ac:dyDescent="0.3">
      <c r="A5854" s="4" t="s">
        <v>1992</v>
      </c>
      <c r="B5854">
        <v>1</v>
      </c>
      <c r="C5854">
        <v>2014</v>
      </c>
      <c r="D5854" t="s">
        <v>105</v>
      </c>
      <c r="E5854">
        <v>5</v>
      </c>
      <c r="F5854" t="s">
        <v>2074</v>
      </c>
      <c r="G5854" t="s">
        <v>33779</v>
      </c>
      <c r="H5854" s="4" t="s">
        <v>71</v>
      </c>
      <c r="I5854" t="s">
        <v>10782</v>
      </c>
      <c r="J5854" t="s">
        <v>33780</v>
      </c>
    </row>
    <row r="5855" spans="1:11" x14ac:dyDescent="0.3">
      <c r="A5855" s="4" t="s">
        <v>1994</v>
      </c>
      <c r="B5855">
        <v>1</v>
      </c>
      <c r="C5855">
        <v>2014</v>
      </c>
      <c r="D5855" t="s">
        <v>2067</v>
      </c>
      <c r="E5855">
        <v>26</v>
      </c>
      <c r="F5855" t="s">
        <v>33781</v>
      </c>
      <c r="G5855" t="s">
        <v>33782</v>
      </c>
      <c r="H5855" s="4" t="s">
        <v>71</v>
      </c>
      <c r="I5855" t="s">
        <v>10782</v>
      </c>
      <c r="J5855" t="s">
        <v>33783</v>
      </c>
    </row>
    <row r="5856" spans="1:11" ht="158.4" x14ac:dyDescent="0.3">
      <c r="A5856" s="4" t="s">
        <v>8715</v>
      </c>
      <c r="B5856">
        <v>3</v>
      </c>
      <c r="C5856">
        <v>2014</v>
      </c>
      <c r="D5856" t="s">
        <v>22707</v>
      </c>
      <c r="E5856">
        <v>25</v>
      </c>
      <c r="F5856" t="s">
        <v>33784</v>
      </c>
      <c r="G5856" t="s">
        <v>33785</v>
      </c>
      <c r="H5856" s="4" t="s">
        <v>33786</v>
      </c>
      <c r="I5856" t="s">
        <v>71</v>
      </c>
      <c r="J5856" t="s">
        <v>10782</v>
      </c>
      <c r="K5856" t="s">
        <v>33787</v>
      </c>
    </row>
    <row r="5857" spans="1:11" ht="72" x14ac:dyDescent="0.3">
      <c r="A5857" s="4" t="s">
        <v>8716</v>
      </c>
      <c r="B5857">
        <v>3</v>
      </c>
      <c r="C5857">
        <v>2014</v>
      </c>
      <c r="D5857" t="s">
        <v>33788</v>
      </c>
      <c r="E5857">
        <v>35</v>
      </c>
      <c r="F5857" t="s">
        <v>33789</v>
      </c>
      <c r="G5857" t="s">
        <v>33790</v>
      </c>
      <c r="H5857" s="4" t="s">
        <v>33791</v>
      </c>
      <c r="I5857" t="s">
        <v>71</v>
      </c>
      <c r="J5857" t="s">
        <v>10782</v>
      </c>
      <c r="K5857" t="s">
        <v>33792</v>
      </c>
    </row>
    <row r="5858" spans="1:11" ht="201.6" x14ac:dyDescent="0.3">
      <c r="A5858" s="4" t="s">
        <v>8717</v>
      </c>
      <c r="B5858">
        <v>3</v>
      </c>
      <c r="C5858">
        <v>2014</v>
      </c>
      <c r="D5858" t="s">
        <v>11556</v>
      </c>
      <c r="E5858">
        <v>20</v>
      </c>
      <c r="F5858" t="s">
        <v>33793</v>
      </c>
      <c r="G5858" t="s">
        <v>33794</v>
      </c>
      <c r="H5858" s="4" t="s">
        <v>33795</v>
      </c>
      <c r="I5858" t="s">
        <v>71</v>
      </c>
      <c r="J5858" t="s">
        <v>10782</v>
      </c>
      <c r="K5858" t="s">
        <v>33796</v>
      </c>
    </row>
    <row r="5859" spans="1:11" ht="129.6" x14ac:dyDescent="0.3">
      <c r="A5859" s="4" t="s">
        <v>8718</v>
      </c>
      <c r="B5859">
        <v>3</v>
      </c>
      <c r="C5859">
        <v>2014</v>
      </c>
      <c r="D5859" t="s">
        <v>958</v>
      </c>
      <c r="E5859">
        <v>340</v>
      </c>
      <c r="F5859" t="s">
        <v>33797</v>
      </c>
      <c r="G5859" t="s">
        <v>33798</v>
      </c>
      <c r="H5859" s="4" t="s">
        <v>33799</v>
      </c>
      <c r="I5859" t="s">
        <v>71</v>
      </c>
      <c r="J5859" t="s">
        <v>10782</v>
      </c>
      <c r="K5859" t="s">
        <v>33800</v>
      </c>
    </row>
    <row r="5860" spans="1:11" ht="28.8" x14ac:dyDescent="0.3">
      <c r="A5860" s="4" t="s">
        <v>8719</v>
      </c>
      <c r="B5860">
        <v>3</v>
      </c>
      <c r="C5860">
        <v>2014</v>
      </c>
      <c r="D5860" t="s">
        <v>11276</v>
      </c>
      <c r="E5860">
        <v>22</v>
      </c>
      <c r="F5860" t="s">
        <v>33801</v>
      </c>
      <c r="G5860" t="s">
        <v>33802</v>
      </c>
      <c r="H5860" s="4" t="s">
        <v>33803</v>
      </c>
    </row>
    <row r="5861" spans="1:11" ht="57.6" x14ac:dyDescent="0.3">
      <c r="A5861" s="4" t="s">
        <v>8720</v>
      </c>
      <c r="B5861">
        <v>3</v>
      </c>
      <c r="C5861">
        <v>2014</v>
      </c>
      <c r="D5861" t="s">
        <v>33804</v>
      </c>
      <c r="E5861">
        <v>2</v>
      </c>
      <c r="F5861" t="s">
        <v>33805</v>
      </c>
      <c r="G5861" t="s">
        <v>33806</v>
      </c>
    </row>
    <row r="5862" spans="1:11" ht="158.4" x14ac:dyDescent="0.3">
      <c r="A5862" s="4" t="s">
        <v>8721</v>
      </c>
      <c r="B5862">
        <v>3</v>
      </c>
      <c r="C5862">
        <v>2014</v>
      </c>
      <c r="D5862" t="s">
        <v>217</v>
      </c>
      <c r="E5862">
        <v>8</v>
      </c>
      <c r="F5862" t="s">
        <v>33807</v>
      </c>
      <c r="G5862" t="s">
        <v>33808</v>
      </c>
      <c r="H5862" s="4" t="s">
        <v>33809</v>
      </c>
      <c r="I5862" t="s">
        <v>71</v>
      </c>
      <c r="J5862" t="s">
        <v>10782</v>
      </c>
      <c r="K5862" t="s">
        <v>33810</v>
      </c>
    </row>
    <row r="5863" spans="1:11" ht="72" x14ac:dyDescent="0.3">
      <c r="A5863" s="4" t="s">
        <v>8722</v>
      </c>
      <c r="B5863">
        <v>3</v>
      </c>
      <c r="C5863">
        <v>2014</v>
      </c>
      <c r="D5863" t="s">
        <v>2375</v>
      </c>
      <c r="E5863">
        <v>13</v>
      </c>
      <c r="F5863" t="s">
        <v>33811</v>
      </c>
      <c r="G5863" t="s">
        <v>33812</v>
      </c>
      <c r="H5863" s="4" t="s">
        <v>33813</v>
      </c>
    </row>
    <row r="5864" spans="1:11" ht="115.2" x14ac:dyDescent="0.3">
      <c r="A5864" s="4" t="s">
        <v>8723</v>
      </c>
      <c r="B5864">
        <v>3</v>
      </c>
      <c r="C5864">
        <v>2014</v>
      </c>
      <c r="D5864" t="s">
        <v>1088</v>
      </c>
      <c r="E5864">
        <v>9</v>
      </c>
      <c r="F5864" t="s">
        <v>33814</v>
      </c>
      <c r="G5864" t="s">
        <v>33815</v>
      </c>
      <c r="H5864" s="4" t="s">
        <v>33816</v>
      </c>
      <c r="I5864" t="s">
        <v>71</v>
      </c>
      <c r="J5864" t="s">
        <v>10782</v>
      </c>
      <c r="K5864" t="s">
        <v>33817</v>
      </c>
    </row>
    <row r="5865" spans="1:11" ht="57.6" x14ac:dyDescent="0.3">
      <c r="A5865" s="4" t="s">
        <v>8724</v>
      </c>
      <c r="B5865">
        <v>3</v>
      </c>
      <c r="C5865">
        <v>2014</v>
      </c>
      <c r="D5865" t="s">
        <v>33818</v>
      </c>
      <c r="E5865">
        <v>7</v>
      </c>
      <c r="F5865" t="s">
        <v>33819</v>
      </c>
      <c r="G5865" t="s">
        <v>33820</v>
      </c>
      <c r="H5865" s="4" t="s">
        <v>71</v>
      </c>
      <c r="I5865" t="s">
        <v>10782</v>
      </c>
      <c r="J5865" t="s">
        <v>33821</v>
      </c>
    </row>
    <row r="5866" spans="1:11" ht="230.4" x14ac:dyDescent="0.3">
      <c r="A5866" s="4" t="s">
        <v>8725</v>
      </c>
      <c r="B5866">
        <v>3</v>
      </c>
      <c r="C5866">
        <v>2014</v>
      </c>
      <c r="D5866" t="s">
        <v>10825</v>
      </c>
      <c r="E5866">
        <v>154</v>
      </c>
      <c r="F5866" t="s">
        <v>33822</v>
      </c>
      <c r="G5866" t="s">
        <v>33823</v>
      </c>
      <c r="H5866" s="4" t="s">
        <v>33824</v>
      </c>
      <c r="I5866" t="s">
        <v>71</v>
      </c>
      <c r="J5866" t="s">
        <v>10782</v>
      </c>
      <c r="K5866" t="s">
        <v>33825</v>
      </c>
    </row>
    <row r="5867" spans="1:11" ht="129.6" x14ac:dyDescent="0.3">
      <c r="A5867" s="4" t="s">
        <v>1995</v>
      </c>
      <c r="B5867">
        <v>1</v>
      </c>
      <c r="C5867">
        <v>2014</v>
      </c>
      <c r="D5867" t="s">
        <v>2018</v>
      </c>
      <c r="E5867">
        <v>33</v>
      </c>
      <c r="F5867" t="s">
        <v>33826</v>
      </c>
      <c r="G5867" t="s">
        <v>33827</v>
      </c>
      <c r="H5867" s="4" t="s">
        <v>33828</v>
      </c>
      <c r="I5867" t="s">
        <v>71</v>
      </c>
      <c r="J5867" t="s">
        <v>10782</v>
      </c>
      <c r="K5867" t="s">
        <v>33829</v>
      </c>
    </row>
    <row r="5868" spans="1:11" ht="158.4" x14ac:dyDescent="0.3">
      <c r="A5868" s="4" t="s">
        <v>8726</v>
      </c>
      <c r="B5868">
        <v>3</v>
      </c>
      <c r="C5868">
        <v>2014</v>
      </c>
      <c r="D5868" t="s">
        <v>33830</v>
      </c>
      <c r="E5868">
        <v>10</v>
      </c>
      <c r="F5868" t="s">
        <v>33831</v>
      </c>
      <c r="G5868" t="s">
        <v>33832</v>
      </c>
      <c r="H5868" s="4" t="s">
        <v>33833</v>
      </c>
      <c r="I5868" t="s">
        <v>71</v>
      </c>
      <c r="J5868" t="s">
        <v>10782</v>
      </c>
      <c r="K5868" t="s">
        <v>33834</v>
      </c>
    </row>
    <row r="5869" spans="1:11" ht="187.2" x14ac:dyDescent="0.3">
      <c r="A5869" s="4" t="s">
        <v>8727</v>
      </c>
      <c r="B5869">
        <v>3</v>
      </c>
      <c r="C5869">
        <v>2014</v>
      </c>
      <c r="D5869" t="s">
        <v>10971</v>
      </c>
      <c r="E5869">
        <v>14</v>
      </c>
      <c r="F5869" t="s">
        <v>33835</v>
      </c>
      <c r="G5869" t="s">
        <v>33836</v>
      </c>
      <c r="H5869" s="4" t="s">
        <v>33837</v>
      </c>
      <c r="I5869" t="s">
        <v>71</v>
      </c>
      <c r="J5869" t="s">
        <v>10782</v>
      </c>
      <c r="K5869" t="s">
        <v>33838</v>
      </c>
    </row>
    <row r="5870" spans="1:11" ht="144" x14ac:dyDescent="0.3">
      <c r="A5870" s="4" t="s">
        <v>8728</v>
      </c>
      <c r="B5870">
        <v>3</v>
      </c>
      <c r="C5870">
        <v>2014</v>
      </c>
      <c r="D5870" t="s">
        <v>19414</v>
      </c>
      <c r="E5870">
        <v>40</v>
      </c>
      <c r="F5870" t="s">
        <v>33839</v>
      </c>
      <c r="G5870" t="s">
        <v>33840</v>
      </c>
      <c r="H5870" s="4" t="s">
        <v>33841</v>
      </c>
      <c r="I5870" t="s">
        <v>71</v>
      </c>
      <c r="J5870" t="s">
        <v>10782</v>
      </c>
      <c r="K5870" t="s">
        <v>33842</v>
      </c>
    </row>
    <row r="5871" spans="1:11" ht="129.6" x14ac:dyDescent="0.3">
      <c r="A5871" s="4" t="s">
        <v>8729</v>
      </c>
      <c r="B5871">
        <v>3</v>
      </c>
      <c r="C5871">
        <v>2014</v>
      </c>
      <c r="D5871" t="s">
        <v>2384</v>
      </c>
      <c r="E5871">
        <v>78</v>
      </c>
      <c r="F5871" t="s">
        <v>33843</v>
      </c>
      <c r="G5871" t="s">
        <v>33844</v>
      </c>
      <c r="H5871" s="4" t="s">
        <v>33845</v>
      </c>
      <c r="I5871" t="s">
        <v>71</v>
      </c>
      <c r="J5871" t="s">
        <v>10782</v>
      </c>
      <c r="K5871" t="s">
        <v>33846</v>
      </c>
    </row>
    <row r="5872" spans="1:11" ht="144" x14ac:dyDescent="0.3">
      <c r="A5872" s="4" t="s">
        <v>8730</v>
      </c>
      <c r="B5872">
        <v>3</v>
      </c>
      <c r="C5872">
        <v>2014</v>
      </c>
      <c r="D5872" t="s">
        <v>12593</v>
      </c>
      <c r="E5872">
        <v>23</v>
      </c>
      <c r="F5872" t="s">
        <v>33847</v>
      </c>
      <c r="G5872" t="s">
        <v>33848</v>
      </c>
      <c r="H5872" s="4" t="s">
        <v>33849</v>
      </c>
      <c r="I5872" t="s">
        <v>71</v>
      </c>
      <c r="J5872" t="s">
        <v>10782</v>
      </c>
      <c r="K5872" t="s">
        <v>33850</v>
      </c>
    </row>
    <row r="5873" spans="1:11" ht="172.8" x14ac:dyDescent="0.3">
      <c r="A5873" s="4" t="s">
        <v>8731</v>
      </c>
      <c r="B5873">
        <v>3</v>
      </c>
      <c r="C5873">
        <v>2014</v>
      </c>
      <c r="D5873" t="s">
        <v>830</v>
      </c>
      <c r="E5873">
        <v>37</v>
      </c>
      <c r="F5873" t="s">
        <v>33851</v>
      </c>
      <c r="G5873" t="s">
        <v>33852</v>
      </c>
      <c r="H5873" s="4" t="s">
        <v>33853</v>
      </c>
      <c r="I5873" t="s">
        <v>71</v>
      </c>
      <c r="J5873" t="s">
        <v>10782</v>
      </c>
      <c r="K5873" t="s">
        <v>33854</v>
      </c>
    </row>
    <row r="5874" spans="1:11" ht="144" x14ac:dyDescent="0.3">
      <c r="A5874" s="4" t="s">
        <v>8732</v>
      </c>
      <c r="B5874">
        <v>3</v>
      </c>
      <c r="C5874">
        <v>2014</v>
      </c>
      <c r="D5874" t="s">
        <v>16112</v>
      </c>
      <c r="E5874">
        <v>65</v>
      </c>
      <c r="F5874" t="s">
        <v>33855</v>
      </c>
      <c r="G5874" t="s">
        <v>33856</v>
      </c>
      <c r="H5874" s="4" t="s">
        <v>33857</v>
      </c>
      <c r="I5874" t="s">
        <v>71</v>
      </c>
      <c r="J5874" t="s">
        <v>10782</v>
      </c>
      <c r="K5874" t="s">
        <v>33858</v>
      </c>
    </row>
    <row r="5875" spans="1:11" ht="158.4" x14ac:dyDescent="0.3">
      <c r="A5875" s="4" t="s">
        <v>8733</v>
      </c>
      <c r="B5875">
        <v>3</v>
      </c>
      <c r="C5875">
        <v>2014</v>
      </c>
      <c r="D5875" t="s">
        <v>12593</v>
      </c>
      <c r="E5875">
        <v>4</v>
      </c>
      <c r="F5875" t="s">
        <v>33859</v>
      </c>
      <c r="G5875" t="s">
        <v>33860</v>
      </c>
      <c r="H5875" s="4" t="s">
        <v>33861</v>
      </c>
      <c r="I5875" t="s">
        <v>71</v>
      </c>
      <c r="J5875" t="s">
        <v>10782</v>
      </c>
      <c r="K5875" t="s">
        <v>33862</v>
      </c>
    </row>
    <row r="5876" spans="1:11" ht="158.4" x14ac:dyDescent="0.3">
      <c r="A5876" s="4" t="s">
        <v>8734</v>
      </c>
      <c r="B5876">
        <v>3</v>
      </c>
      <c r="C5876">
        <v>2014</v>
      </c>
      <c r="D5876" t="s">
        <v>19978</v>
      </c>
      <c r="E5876">
        <v>12</v>
      </c>
      <c r="F5876" t="s">
        <v>33863</v>
      </c>
      <c r="G5876" t="s">
        <v>33864</v>
      </c>
      <c r="H5876" s="4" t="s">
        <v>33865</v>
      </c>
      <c r="I5876" t="s">
        <v>71</v>
      </c>
      <c r="J5876" t="s">
        <v>10782</v>
      </c>
      <c r="K5876" t="s">
        <v>33866</v>
      </c>
    </row>
    <row r="5877" spans="1:11" ht="244.8" x14ac:dyDescent="0.3">
      <c r="A5877" s="4" t="s">
        <v>8735</v>
      </c>
      <c r="B5877">
        <v>3</v>
      </c>
      <c r="C5877">
        <v>2014</v>
      </c>
      <c r="D5877" t="s">
        <v>1802</v>
      </c>
      <c r="E5877">
        <v>70</v>
      </c>
      <c r="F5877" t="s">
        <v>33867</v>
      </c>
      <c r="G5877" t="s">
        <v>33868</v>
      </c>
      <c r="H5877" s="4" t="s">
        <v>33869</v>
      </c>
      <c r="I5877" t="s">
        <v>71</v>
      </c>
      <c r="J5877" t="s">
        <v>10782</v>
      </c>
      <c r="K5877" t="s">
        <v>33870</v>
      </c>
    </row>
    <row r="5878" spans="1:11" ht="187.2" x14ac:dyDescent="0.3">
      <c r="A5878" s="4" t="s">
        <v>8736</v>
      </c>
      <c r="B5878">
        <v>3</v>
      </c>
      <c r="C5878">
        <v>2014</v>
      </c>
      <c r="D5878" t="s">
        <v>11276</v>
      </c>
      <c r="E5878">
        <v>63</v>
      </c>
      <c r="F5878" t="s">
        <v>33871</v>
      </c>
      <c r="G5878" t="s">
        <v>33872</v>
      </c>
      <c r="H5878" s="4" t="s">
        <v>33873</v>
      </c>
      <c r="I5878" t="s">
        <v>71</v>
      </c>
      <c r="J5878" t="s">
        <v>10782</v>
      </c>
      <c r="K5878" t="s">
        <v>33874</v>
      </c>
    </row>
    <row r="5879" spans="1:11" ht="129.6" x14ac:dyDescent="0.3">
      <c r="A5879" s="4" t="s">
        <v>3412</v>
      </c>
      <c r="B5879">
        <v>1</v>
      </c>
      <c r="C5879">
        <v>2014</v>
      </c>
      <c r="D5879" t="s">
        <v>217</v>
      </c>
      <c r="E5879">
        <v>21</v>
      </c>
      <c r="F5879" t="s">
        <v>33875</v>
      </c>
      <c r="G5879" t="s">
        <v>33876</v>
      </c>
      <c r="H5879" s="4" t="s">
        <v>33877</v>
      </c>
      <c r="I5879" t="s">
        <v>71</v>
      </c>
      <c r="J5879" t="s">
        <v>10782</v>
      </c>
      <c r="K5879" t="s">
        <v>33878</v>
      </c>
    </row>
    <row r="5880" spans="1:11" ht="201.6" x14ac:dyDescent="0.3">
      <c r="A5880" s="4" t="s">
        <v>8737</v>
      </c>
      <c r="B5880">
        <v>3</v>
      </c>
      <c r="C5880">
        <v>2014</v>
      </c>
      <c r="D5880" t="s">
        <v>1570</v>
      </c>
      <c r="E5880">
        <v>34</v>
      </c>
      <c r="F5880" t="s">
        <v>33879</v>
      </c>
      <c r="G5880" t="s">
        <v>33880</v>
      </c>
      <c r="H5880" s="4" t="s">
        <v>33881</v>
      </c>
      <c r="I5880" t="s">
        <v>71</v>
      </c>
      <c r="J5880" t="s">
        <v>10782</v>
      </c>
      <c r="K5880" t="s">
        <v>33882</v>
      </c>
    </row>
    <row r="5881" spans="1:11" ht="100.8" x14ac:dyDescent="0.3">
      <c r="A5881" s="4" t="s">
        <v>8738</v>
      </c>
      <c r="B5881">
        <v>3</v>
      </c>
      <c r="C5881">
        <v>2014</v>
      </c>
      <c r="D5881" t="s">
        <v>679</v>
      </c>
      <c r="E5881">
        <v>24</v>
      </c>
      <c r="F5881" t="s">
        <v>33883</v>
      </c>
      <c r="G5881" t="s">
        <v>33884</v>
      </c>
      <c r="H5881" s="4" t="s">
        <v>33885</v>
      </c>
      <c r="I5881" t="s">
        <v>71</v>
      </c>
      <c r="J5881" t="s">
        <v>10782</v>
      </c>
      <c r="K5881" t="s">
        <v>33886</v>
      </c>
    </row>
    <row r="5882" spans="1:11" ht="230.4" x14ac:dyDescent="0.3">
      <c r="A5882" s="4" t="s">
        <v>8739</v>
      </c>
      <c r="B5882">
        <v>3</v>
      </c>
      <c r="C5882">
        <v>2014</v>
      </c>
      <c r="D5882" t="s">
        <v>1746</v>
      </c>
      <c r="E5882">
        <v>97</v>
      </c>
      <c r="F5882" t="s">
        <v>33887</v>
      </c>
      <c r="G5882" t="s">
        <v>33888</v>
      </c>
      <c r="H5882" s="4" t="s">
        <v>33889</v>
      </c>
      <c r="I5882" t="s">
        <v>71</v>
      </c>
      <c r="J5882" t="s">
        <v>10782</v>
      </c>
      <c r="K5882" t="s">
        <v>33890</v>
      </c>
    </row>
    <row r="5883" spans="1:11" ht="144" x14ac:dyDescent="0.3">
      <c r="A5883" s="4" t="s">
        <v>8740</v>
      </c>
      <c r="B5883">
        <v>3</v>
      </c>
      <c r="C5883">
        <v>2014</v>
      </c>
      <c r="D5883" t="s">
        <v>637</v>
      </c>
      <c r="E5883">
        <v>58</v>
      </c>
      <c r="F5883" t="s">
        <v>33891</v>
      </c>
      <c r="G5883" t="s">
        <v>33892</v>
      </c>
      <c r="H5883" s="4" t="s">
        <v>33893</v>
      </c>
    </row>
    <row r="5884" spans="1:11" ht="115.2" x14ac:dyDescent="0.3">
      <c r="A5884" s="4" t="s">
        <v>8741</v>
      </c>
      <c r="B5884">
        <v>3</v>
      </c>
      <c r="C5884">
        <v>2014</v>
      </c>
      <c r="D5884" t="s">
        <v>33894</v>
      </c>
      <c r="E5884">
        <v>19</v>
      </c>
      <c r="F5884" t="s">
        <v>33895</v>
      </c>
      <c r="G5884" t="s">
        <v>33896</v>
      </c>
      <c r="H5884" s="4" t="s">
        <v>33897</v>
      </c>
    </row>
    <row r="5885" spans="1:11" ht="100.8" x14ac:dyDescent="0.3">
      <c r="A5885" s="4" t="s">
        <v>8742</v>
      </c>
      <c r="B5885">
        <v>3</v>
      </c>
      <c r="C5885">
        <v>2014</v>
      </c>
      <c r="D5885" t="s">
        <v>679</v>
      </c>
      <c r="E5885">
        <v>40</v>
      </c>
      <c r="F5885" t="s">
        <v>33898</v>
      </c>
      <c r="G5885" t="s">
        <v>33899</v>
      </c>
      <c r="H5885" s="4" t="s">
        <v>33900</v>
      </c>
      <c r="I5885" t="s">
        <v>71</v>
      </c>
      <c r="J5885" t="s">
        <v>10782</v>
      </c>
      <c r="K5885" t="s">
        <v>33901</v>
      </c>
    </row>
    <row r="5886" spans="1:11" ht="129.6" x14ac:dyDescent="0.3">
      <c r="A5886" s="4" t="s">
        <v>8743</v>
      </c>
      <c r="B5886">
        <v>3</v>
      </c>
      <c r="C5886">
        <v>2014</v>
      </c>
      <c r="D5886" t="s">
        <v>11649</v>
      </c>
      <c r="E5886">
        <v>51</v>
      </c>
      <c r="F5886" t="s">
        <v>33902</v>
      </c>
      <c r="G5886" t="s">
        <v>33903</v>
      </c>
      <c r="H5886" s="4" t="s">
        <v>33904</v>
      </c>
    </row>
    <row r="5887" spans="1:11" ht="172.8" x14ac:dyDescent="0.3">
      <c r="A5887" s="4" t="s">
        <v>8744</v>
      </c>
      <c r="B5887">
        <v>3</v>
      </c>
      <c r="C5887">
        <v>2014</v>
      </c>
      <c r="D5887" t="s">
        <v>1175</v>
      </c>
      <c r="E5887">
        <v>135</v>
      </c>
      <c r="F5887" t="s">
        <v>33905</v>
      </c>
      <c r="G5887" t="s">
        <v>33906</v>
      </c>
      <c r="H5887" s="4" t="s">
        <v>33907</v>
      </c>
      <c r="I5887" t="s">
        <v>71</v>
      </c>
      <c r="J5887" t="s">
        <v>10782</v>
      </c>
      <c r="K5887" t="s">
        <v>33908</v>
      </c>
    </row>
    <row r="5888" spans="1:11" ht="144" x14ac:dyDescent="0.3">
      <c r="A5888" s="4" t="s">
        <v>8745</v>
      </c>
      <c r="B5888">
        <v>3</v>
      </c>
      <c r="C5888">
        <v>2014</v>
      </c>
      <c r="D5888" t="s">
        <v>12672</v>
      </c>
      <c r="E5888">
        <v>13</v>
      </c>
      <c r="F5888" t="s">
        <v>33909</v>
      </c>
      <c r="G5888" t="s">
        <v>33910</v>
      </c>
      <c r="H5888" s="4" t="s">
        <v>33911</v>
      </c>
    </row>
    <row r="5889" spans="1:11" ht="129.6" x14ac:dyDescent="0.3">
      <c r="A5889" s="4" t="s">
        <v>8746</v>
      </c>
      <c r="B5889">
        <v>3</v>
      </c>
      <c r="C5889">
        <v>2014</v>
      </c>
      <c r="D5889" t="s">
        <v>1426</v>
      </c>
      <c r="E5889">
        <v>165</v>
      </c>
      <c r="F5889" t="s">
        <v>33912</v>
      </c>
      <c r="G5889" t="s">
        <v>33913</v>
      </c>
      <c r="H5889" s="4" t="s">
        <v>33914</v>
      </c>
      <c r="I5889" t="s">
        <v>71</v>
      </c>
      <c r="J5889" t="s">
        <v>10782</v>
      </c>
      <c r="K5889" t="s">
        <v>33915</v>
      </c>
    </row>
    <row r="5890" spans="1:11" ht="158.4" x14ac:dyDescent="0.3">
      <c r="A5890" s="4" t="s">
        <v>8747</v>
      </c>
      <c r="B5890">
        <v>3</v>
      </c>
      <c r="C5890">
        <v>2014</v>
      </c>
      <c r="D5890" t="s">
        <v>18825</v>
      </c>
      <c r="E5890">
        <v>8</v>
      </c>
      <c r="F5890" t="s">
        <v>33916</v>
      </c>
      <c r="G5890" t="s">
        <v>33917</v>
      </c>
      <c r="H5890" s="4" t="s">
        <v>33918</v>
      </c>
      <c r="I5890" t="s">
        <v>10823</v>
      </c>
      <c r="J5890" t="s">
        <v>10782</v>
      </c>
      <c r="K5890" t="s">
        <v>33919</v>
      </c>
    </row>
    <row r="5891" spans="1:11" ht="129.6" x14ac:dyDescent="0.3">
      <c r="A5891" s="4" t="s">
        <v>8748</v>
      </c>
      <c r="B5891">
        <v>3</v>
      </c>
      <c r="C5891">
        <v>2014</v>
      </c>
      <c r="D5891" t="s">
        <v>16112</v>
      </c>
      <c r="E5891">
        <v>2</v>
      </c>
      <c r="F5891" t="s">
        <v>33920</v>
      </c>
      <c r="G5891" t="s">
        <v>33921</v>
      </c>
      <c r="H5891" s="4" t="s">
        <v>33922</v>
      </c>
      <c r="I5891" t="s">
        <v>71</v>
      </c>
      <c r="J5891" t="s">
        <v>10782</v>
      </c>
      <c r="K5891" t="s">
        <v>33923</v>
      </c>
    </row>
    <row r="5892" spans="1:11" ht="129.6" x14ac:dyDescent="0.3">
      <c r="A5892" s="4" t="s">
        <v>8749</v>
      </c>
      <c r="B5892">
        <v>3</v>
      </c>
      <c r="C5892">
        <v>2014</v>
      </c>
      <c r="D5892" t="s">
        <v>21123</v>
      </c>
      <c r="E5892">
        <v>22</v>
      </c>
      <c r="F5892" t="s">
        <v>33924</v>
      </c>
      <c r="G5892" t="s">
        <v>33925</v>
      </c>
      <c r="H5892" s="4" t="s">
        <v>33926</v>
      </c>
      <c r="I5892" t="s">
        <v>71</v>
      </c>
      <c r="J5892" t="s">
        <v>10782</v>
      </c>
      <c r="K5892" t="s">
        <v>33927</v>
      </c>
    </row>
    <row r="5893" spans="1:11" ht="158.4" x14ac:dyDescent="0.3">
      <c r="A5893" s="4" t="s">
        <v>8750</v>
      </c>
      <c r="B5893">
        <v>3</v>
      </c>
      <c r="C5893">
        <v>2014</v>
      </c>
      <c r="D5893" t="s">
        <v>32870</v>
      </c>
      <c r="E5893">
        <v>71</v>
      </c>
      <c r="F5893" t="s">
        <v>33928</v>
      </c>
      <c r="G5893" t="s">
        <v>33929</v>
      </c>
      <c r="H5893" s="4" t="s">
        <v>33930</v>
      </c>
      <c r="I5893" t="s">
        <v>10823</v>
      </c>
      <c r="J5893" t="s">
        <v>10782</v>
      </c>
      <c r="K5893" t="s">
        <v>33931</v>
      </c>
    </row>
    <row r="5894" spans="1:11" ht="144" x14ac:dyDescent="0.3">
      <c r="A5894" s="4" t="s">
        <v>8751</v>
      </c>
      <c r="B5894">
        <v>3</v>
      </c>
      <c r="C5894">
        <v>2014</v>
      </c>
      <c r="D5894" t="s">
        <v>24538</v>
      </c>
      <c r="E5894">
        <v>24</v>
      </c>
      <c r="F5894" t="s">
        <v>33932</v>
      </c>
      <c r="G5894" t="s">
        <v>33933</v>
      </c>
      <c r="H5894" s="4" t="s">
        <v>33934</v>
      </c>
      <c r="I5894" t="s">
        <v>71</v>
      </c>
      <c r="J5894" t="s">
        <v>10782</v>
      </c>
      <c r="K5894" t="s">
        <v>33935</v>
      </c>
    </row>
    <row r="5895" spans="1:11" ht="129.6" x14ac:dyDescent="0.3">
      <c r="A5895" s="4" t="s">
        <v>2942</v>
      </c>
      <c r="B5895">
        <v>2</v>
      </c>
      <c r="C5895">
        <v>2014</v>
      </c>
      <c r="D5895" t="s">
        <v>147</v>
      </c>
      <c r="E5895">
        <v>39</v>
      </c>
      <c r="F5895" t="s">
        <v>33936</v>
      </c>
      <c r="G5895" t="s">
        <v>33937</v>
      </c>
      <c r="H5895" s="4" t="s">
        <v>33938</v>
      </c>
      <c r="I5895" t="s">
        <v>10823</v>
      </c>
      <c r="J5895" t="s">
        <v>10782</v>
      </c>
      <c r="K5895" t="s">
        <v>33939</v>
      </c>
    </row>
    <row r="5896" spans="1:11" ht="158.4" x14ac:dyDescent="0.3">
      <c r="A5896" s="4" t="s">
        <v>3413</v>
      </c>
      <c r="B5896">
        <v>1</v>
      </c>
      <c r="C5896">
        <v>2014</v>
      </c>
      <c r="D5896" t="s">
        <v>33940</v>
      </c>
      <c r="E5896">
        <v>15</v>
      </c>
      <c r="F5896" t="s">
        <v>33941</v>
      </c>
      <c r="G5896" t="s">
        <v>33942</v>
      </c>
      <c r="H5896" s="4" t="s">
        <v>33943</v>
      </c>
      <c r="I5896" t="s">
        <v>10823</v>
      </c>
      <c r="J5896" t="s">
        <v>10782</v>
      </c>
      <c r="K5896" t="s">
        <v>33944</v>
      </c>
    </row>
    <row r="5897" spans="1:11" ht="172.8" x14ac:dyDescent="0.3">
      <c r="A5897" s="4" t="s">
        <v>8752</v>
      </c>
      <c r="B5897">
        <v>3</v>
      </c>
      <c r="C5897">
        <v>2014</v>
      </c>
      <c r="D5897" t="s">
        <v>1746</v>
      </c>
      <c r="E5897">
        <v>46</v>
      </c>
      <c r="F5897" t="s">
        <v>33945</v>
      </c>
      <c r="G5897" t="s">
        <v>33946</v>
      </c>
      <c r="H5897" s="4" t="s">
        <v>33947</v>
      </c>
      <c r="I5897" t="s">
        <v>71</v>
      </c>
      <c r="J5897" t="s">
        <v>10782</v>
      </c>
      <c r="K5897" t="s">
        <v>33948</v>
      </c>
    </row>
    <row r="5898" spans="1:11" ht="129.6" x14ac:dyDescent="0.3">
      <c r="A5898" s="4" t="s">
        <v>8753</v>
      </c>
      <c r="B5898">
        <v>3</v>
      </c>
      <c r="C5898">
        <v>2014</v>
      </c>
      <c r="D5898" t="s">
        <v>1936</v>
      </c>
      <c r="E5898">
        <v>37</v>
      </c>
      <c r="F5898" t="s">
        <v>33949</v>
      </c>
      <c r="G5898" t="s">
        <v>33950</v>
      </c>
      <c r="H5898" s="4" t="s">
        <v>33951</v>
      </c>
    </row>
    <row r="5899" spans="1:11" ht="72" x14ac:dyDescent="0.3">
      <c r="A5899" s="4" t="s">
        <v>8754</v>
      </c>
      <c r="B5899">
        <v>3</v>
      </c>
      <c r="C5899">
        <v>2014</v>
      </c>
      <c r="D5899" t="s">
        <v>33952</v>
      </c>
      <c r="E5899">
        <v>1</v>
      </c>
      <c r="F5899" t="s">
        <v>33953</v>
      </c>
      <c r="G5899" t="s">
        <v>33954</v>
      </c>
      <c r="H5899" s="4" t="s">
        <v>33955</v>
      </c>
    </row>
    <row r="5900" spans="1:11" ht="201.6" x14ac:dyDescent="0.3">
      <c r="A5900" s="4" t="s">
        <v>8755</v>
      </c>
      <c r="B5900">
        <v>3</v>
      </c>
      <c r="C5900">
        <v>2014</v>
      </c>
      <c r="D5900" t="s">
        <v>1746</v>
      </c>
      <c r="E5900">
        <v>14</v>
      </c>
      <c r="F5900" t="s">
        <v>33956</v>
      </c>
      <c r="G5900" t="s">
        <v>33957</v>
      </c>
      <c r="H5900" s="4" t="s">
        <v>33958</v>
      </c>
      <c r="I5900" t="s">
        <v>71</v>
      </c>
      <c r="J5900" t="s">
        <v>10782</v>
      </c>
      <c r="K5900" t="s">
        <v>33959</v>
      </c>
    </row>
    <row r="5901" spans="1:11" ht="115.2" x14ac:dyDescent="0.3">
      <c r="A5901" s="4" t="s">
        <v>8756</v>
      </c>
      <c r="B5901">
        <v>3</v>
      </c>
      <c r="C5901">
        <v>2014</v>
      </c>
      <c r="D5901" t="s">
        <v>329</v>
      </c>
      <c r="E5901">
        <v>20</v>
      </c>
      <c r="F5901" t="s">
        <v>33960</v>
      </c>
      <c r="G5901" t="s">
        <v>33961</v>
      </c>
      <c r="H5901" s="4" t="s">
        <v>33962</v>
      </c>
      <c r="I5901" t="s">
        <v>71</v>
      </c>
      <c r="J5901" t="s">
        <v>10782</v>
      </c>
      <c r="K5901" t="s">
        <v>33963</v>
      </c>
    </row>
    <row r="5902" spans="1:11" ht="43.2" x14ac:dyDescent="0.3">
      <c r="A5902" s="4" t="s">
        <v>8757</v>
      </c>
      <c r="B5902">
        <v>3</v>
      </c>
      <c r="C5902">
        <v>2014</v>
      </c>
      <c r="D5902" t="s">
        <v>11521</v>
      </c>
      <c r="E5902">
        <v>13</v>
      </c>
      <c r="F5902" t="s">
        <v>33964</v>
      </c>
      <c r="G5902" t="s">
        <v>33965</v>
      </c>
      <c r="H5902" s="4" t="s">
        <v>33966</v>
      </c>
    </row>
    <row r="5903" spans="1:11" ht="201.6" x14ac:dyDescent="0.3">
      <c r="A5903" s="4" t="s">
        <v>8758</v>
      </c>
      <c r="B5903">
        <v>3</v>
      </c>
      <c r="C5903">
        <v>2014</v>
      </c>
      <c r="D5903" t="s">
        <v>2375</v>
      </c>
      <c r="E5903">
        <v>66</v>
      </c>
      <c r="F5903" t="s">
        <v>33967</v>
      </c>
      <c r="G5903" t="s">
        <v>33968</v>
      </c>
      <c r="H5903" s="4" t="s">
        <v>33969</v>
      </c>
      <c r="I5903" t="s">
        <v>71</v>
      </c>
      <c r="J5903" t="s">
        <v>10782</v>
      </c>
      <c r="K5903" t="s">
        <v>33970</v>
      </c>
    </row>
    <row r="5904" spans="1:11" ht="201.6" x14ac:dyDescent="0.3">
      <c r="A5904" s="4" t="s">
        <v>3414</v>
      </c>
      <c r="B5904">
        <v>1</v>
      </c>
      <c r="C5904">
        <v>2014</v>
      </c>
      <c r="D5904" t="s">
        <v>11521</v>
      </c>
      <c r="E5904">
        <v>40</v>
      </c>
      <c r="F5904" t="s">
        <v>33971</v>
      </c>
      <c r="G5904" t="s">
        <v>33972</v>
      </c>
      <c r="H5904" s="4" t="s">
        <v>33973</v>
      </c>
    </row>
    <row r="5905" spans="1:11" ht="144" x14ac:dyDescent="0.3">
      <c r="A5905" s="4" t="s">
        <v>8759</v>
      </c>
      <c r="B5905">
        <v>3</v>
      </c>
      <c r="C5905">
        <v>2014</v>
      </c>
      <c r="D5905" t="s">
        <v>29993</v>
      </c>
      <c r="E5905">
        <v>0</v>
      </c>
      <c r="F5905" t="s">
        <v>33974</v>
      </c>
      <c r="G5905" t="s">
        <v>33975</v>
      </c>
      <c r="H5905" s="4" t="s">
        <v>33976</v>
      </c>
      <c r="I5905" t="s">
        <v>71</v>
      </c>
      <c r="J5905" t="s">
        <v>10782</v>
      </c>
      <c r="K5905" t="s">
        <v>33977</v>
      </c>
    </row>
    <row r="5906" spans="1:11" ht="187.2" x14ac:dyDescent="0.3">
      <c r="A5906" s="4" t="s">
        <v>8760</v>
      </c>
      <c r="B5906">
        <v>3</v>
      </c>
      <c r="C5906">
        <v>2014</v>
      </c>
      <c r="D5906" t="s">
        <v>33978</v>
      </c>
      <c r="E5906">
        <v>46</v>
      </c>
      <c r="F5906" t="s">
        <v>33979</v>
      </c>
      <c r="G5906" t="s">
        <v>33980</v>
      </c>
      <c r="H5906" s="4" t="s">
        <v>33981</v>
      </c>
      <c r="I5906" t="s">
        <v>71</v>
      </c>
      <c r="J5906" t="s">
        <v>10782</v>
      </c>
      <c r="K5906" t="s">
        <v>33982</v>
      </c>
    </row>
    <row r="5907" spans="1:11" ht="86.4" x14ac:dyDescent="0.3">
      <c r="A5907" s="4" t="s">
        <v>8761</v>
      </c>
      <c r="B5907">
        <v>3</v>
      </c>
      <c r="C5907">
        <v>2014</v>
      </c>
      <c r="D5907" t="s">
        <v>2375</v>
      </c>
      <c r="E5907">
        <v>23</v>
      </c>
      <c r="F5907" t="s">
        <v>33983</v>
      </c>
      <c r="G5907" t="s">
        <v>33984</v>
      </c>
      <c r="H5907" s="4" t="s">
        <v>33985</v>
      </c>
      <c r="I5907" t="s">
        <v>71</v>
      </c>
      <c r="J5907" t="s">
        <v>10782</v>
      </c>
      <c r="K5907" t="s">
        <v>33986</v>
      </c>
    </row>
    <row r="5908" spans="1:11" ht="187.2" x14ac:dyDescent="0.3">
      <c r="A5908" s="4" t="s">
        <v>8762</v>
      </c>
      <c r="B5908">
        <v>3</v>
      </c>
      <c r="C5908">
        <v>2014</v>
      </c>
      <c r="D5908" t="s">
        <v>1525</v>
      </c>
      <c r="E5908">
        <v>20</v>
      </c>
      <c r="F5908" t="s">
        <v>33987</v>
      </c>
      <c r="G5908" t="s">
        <v>33988</v>
      </c>
      <c r="H5908" s="4" t="s">
        <v>33989</v>
      </c>
      <c r="I5908" t="s">
        <v>71</v>
      </c>
      <c r="J5908" t="s">
        <v>10782</v>
      </c>
      <c r="K5908" t="s">
        <v>33990</v>
      </c>
    </row>
    <row r="5909" spans="1:11" ht="28.8" x14ac:dyDescent="0.3">
      <c r="A5909" s="4" t="s">
        <v>8763</v>
      </c>
      <c r="B5909">
        <v>3</v>
      </c>
      <c r="C5909">
        <v>2014</v>
      </c>
      <c r="D5909" t="s">
        <v>1570</v>
      </c>
      <c r="E5909">
        <v>12</v>
      </c>
      <c r="F5909" t="s">
        <v>33991</v>
      </c>
      <c r="G5909" t="s">
        <v>33992</v>
      </c>
      <c r="H5909" s="4" t="s">
        <v>33993</v>
      </c>
    </row>
    <row r="5910" spans="1:11" ht="187.2" x14ac:dyDescent="0.3">
      <c r="A5910" s="4" t="s">
        <v>8764</v>
      </c>
      <c r="B5910">
        <v>3</v>
      </c>
      <c r="C5910">
        <v>2014</v>
      </c>
      <c r="D5910" t="s">
        <v>1770</v>
      </c>
      <c r="E5910">
        <v>97</v>
      </c>
      <c r="F5910" t="s">
        <v>33994</v>
      </c>
      <c r="G5910" t="s">
        <v>33995</v>
      </c>
      <c r="H5910" s="4" t="s">
        <v>33996</v>
      </c>
      <c r="I5910" t="s">
        <v>71</v>
      </c>
      <c r="J5910" t="s">
        <v>10782</v>
      </c>
      <c r="K5910" t="s">
        <v>33997</v>
      </c>
    </row>
    <row r="5911" spans="1:11" ht="172.8" x14ac:dyDescent="0.3">
      <c r="A5911" s="4" t="s">
        <v>8765</v>
      </c>
      <c r="B5911">
        <v>3</v>
      </c>
      <c r="C5911">
        <v>2014</v>
      </c>
      <c r="D5911" t="s">
        <v>1525</v>
      </c>
      <c r="E5911">
        <v>17</v>
      </c>
      <c r="F5911" t="s">
        <v>33998</v>
      </c>
      <c r="G5911" t="s">
        <v>33999</v>
      </c>
      <c r="H5911" s="4" t="s">
        <v>34000</v>
      </c>
      <c r="I5911" t="s">
        <v>71</v>
      </c>
      <c r="J5911" t="s">
        <v>10782</v>
      </c>
      <c r="K5911" t="s">
        <v>34001</v>
      </c>
    </row>
    <row r="5912" spans="1:11" ht="86.4" x14ac:dyDescent="0.3">
      <c r="A5912" s="4" t="s">
        <v>8766</v>
      </c>
      <c r="B5912">
        <v>3</v>
      </c>
      <c r="C5912">
        <v>2014</v>
      </c>
      <c r="D5912" t="s">
        <v>1570</v>
      </c>
      <c r="E5912">
        <v>44</v>
      </c>
      <c r="F5912" t="s">
        <v>34002</v>
      </c>
      <c r="G5912" t="s">
        <v>34003</v>
      </c>
      <c r="H5912" s="4" t="s">
        <v>34004</v>
      </c>
    </row>
    <row r="5913" spans="1:11" ht="57.6" x14ac:dyDescent="0.3">
      <c r="A5913" s="4" t="s">
        <v>8767</v>
      </c>
      <c r="B5913">
        <v>3</v>
      </c>
      <c r="C5913">
        <v>2014</v>
      </c>
      <c r="D5913" t="s">
        <v>31382</v>
      </c>
      <c r="E5913">
        <v>40</v>
      </c>
      <c r="F5913" t="s">
        <v>34005</v>
      </c>
      <c r="G5913" t="s">
        <v>34006</v>
      </c>
      <c r="H5913" s="4" t="s">
        <v>34007</v>
      </c>
    </row>
    <row r="5914" spans="1:11" ht="201.6" x14ac:dyDescent="0.3">
      <c r="A5914" s="4" t="s">
        <v>8768</v>
      </c>
      <c r="B5914">
        <v>3</v>
      </c>
      <c r="C5914">
        <v>2014</v>
      </c>
      <c r="D5914" t="s">
        <v>1570</v>
      </c>
      <c r="E5914">
        <v>7</v>
      </c>
      <c r="F5914" t="s">
        <v>34008</v>
      </c>
      <c r="G5914" t="s">
        <v>34009</v>
      </c>
      <c r="H5914" s="4" t="s">
        <v>34010</v>
      </c>
      <c r="I5914" t="s">
        <v>71</v>
      </c>
      <c r="J5914" t="s">
        <v>10782</v>
      </c>
      <c r="K5914" t="s">
        <v>34011</v>
      </c>
    </row>
    <row r="5915" spans="1:11" ht="28.8" x14ac:dyDescent="0.3">
      <c r="A5915" s="4" t="s">
        <v>8769</v>
      </c>
      <c r="B5915">
        <v>3</v>
      </c>
      <c r="C5915">
        <v>2014</v>
      </c>
      <c r="D5915" t="s">
        <v>1570</v>
      </c>
      <c r="E5915">
        <v>9</v>
      </c>
      <c r="F5915" t="s">
        <v>34012</v>
      </c>
      <c r="G5915" t="s">
        <v>34013</v>
      </c>
      <c r="H5915" s="4" t="s">
        <v>34014</v>
      </c>
    </row>
    <row r="5916" spans="1:11" ht="144" x14ac:dyDescent="0.3">
      <c r="A5916" s="4" t="s">
        <v>8770</v>
      </c>
      <c r="B5916">
        <v>3</v>
      </c>
      <c r="C5916">
        <v>2014</v>
      </c>
      <c r="D5916" t="s">
        <v>10805</v>
      </c>
      <c r="E5916">
        <v>186</v>
      </c>
      <c r="F5916" t="s">
        <v>34015</v>
      </c>
      <c r="G5916" t="s">
        <v>34016</v>
      </c>
      <c r="H5916" s="4" t="s">
        <v>34017</v>
      </c>
      <c r="I5916" t="s">
        <v>71</v>
      </c>
      <c r="J5916" t="s">
        <v>10782</v>
      </c>
      <c r="K5916" t="s">
        <v>34018</v>
      </c>
    </row>
    <row r="5917" spans="1:11" ht="172.8" x14ac:dyDescent="0.3">
      <c r="A5917" s="4" t="s">
        <v>8771</v>
      </c>
      <c r="B5917">
        <v>3</v>
      </c>
      <c r="C5917">
        <v>2014</v>
      </c>
      <c r="D5917" t="s">
        <v>1525</v>
      </c>
      <c r="E5917">
        <v>39</v>
      </c>
      <c r="F5917" t="s">
        <v>34019</v>
      </c>
      <c r="G5917" t="s">
        <v>34020</v>
      </c>
      <c r="H5917" s="4" t="s">
        <v>34021</v>
      </c>
      <c r="I5917" t="s">
        <v>71</v>
      </c>
      <c r="J5917" t="s">
        <v>10782</v>
      </c>
      <c r="K5917" t="s">
        <v>34022</v>
      </c>
    </row>
    <row r="5918" spans="1:11" ht="115.2" x14ac:dyDescent="0.3">
      <c r="A5918" s="4" t="s">
        <v>8772</v>
      </c>
      <c r="B5918">
        <v>3</v>
      </c>
      <c r="C5918">
        <v>2014</v>
      </c>
      <c r="D5918" t="s">
        <v>217</v>
      </c>
      <c r="E5918">
        <v>33</v>
      </c>
      <c r="F5918" t="s">
        <v>34023</v>
      </c>
      <c r="G5918" t="s">
        <v>34024</v>
      </c>
      <c r="H5918" s="4" t="s">
        <v>34025</v>
      </c>
      <c r="I5918" t="s">
        <v>71</v>
      </c>
      <c r="J5918" t="s">
        <v>10782</v>
      </c>
      <c r="K5918" t="s">
        <v>34026</v>
      </c>
    </row>
    <row r="5919" spans="1:11" ht="100.8" x14ac:dyDescent="0.3">
      <c r="A5919" s="4" t="s">
        <v>8773</v>
      </c>
      <c r="B5919">
        <v>3</v>
      </c>
      <c r="C5919">
        <v>2014</v>
      </c>
      <c r="D5919" t="s">
        <v>13883</v>
      </c>
      <c r="E5919">
        <v>4</v>
      </c>
      <c r="F5919" t="s">
        <v>34027</v>
      </c>
      <c r="G5919" t="s">
        <v>34028</v>
      </c>
      <c r="H5919" s="4" t="s">
        <v>34029</v>
      </c>
      <c r="I5919" t="s">
        <v>71</v>
      </c>
      <c r="J5919" t="s">
        <v>10782</v>
      </c>
      <c r="K5919" t="s">
        <v>34030</v>
      </c>
    </row>
    <row r="5920" spans="1:11" ht="100.8" x14ac:dyDescent="0.3">
      <c r="A5920" s="4" t="s">
        <v>8774</v>
      </c>
      <c r="B5920">
        <v>3</v>
      </c>
      <c r="C5920">
        <v>2014</v>
      </c>
      <c r="D5920" t="s">
        <v>10796</v>
      </c>
      <c r="E5920">
        <v>27</v>
      </c>
      <c r="F5920" t="s">
        <v>34031</v>
      </c>
      <c r="G5920" t="s">
        <v>34032</v>
      </c>
      <c r="H5920" s="4" t="s">
        <v>34033</v>
      </c>
    </row>
    <row r="5921" spans="1:11" ht="86.4" x14ac:dyDescent="0.3">
      <c r="A5921" s="4" t="s">
        <v>8775</v>
      </c>
      <c r="B5921">
        <v>3</v>
      </c>
      <c r="C5921">
        <v>2014</v>
      </c>
      <c r="D5921" t="s">
        <v>11041</v>
      </c>
      <c r="E5921">
        <v>16</v>
      </c>
      <c r="F5921" t="s">
        <v>34034</v>
      </c>
      <c r="G5921" t="s">
        <v>34035</v>
      </c>
      <c r="H5921" s="4" t="s">
        <v>34036</v>
      </c>
    </row>
    <row r="5922" spans="1:11" ht="86.4" x14ac:dyDescent="0.3">
      <c r="A5922" s="4" t="s">
        <v>8776</v>
      </c>
      <c r="B5922">
        <v>3</v>
      </c>
      <c r="C5922">
        <v>2014</v>
      </c>
      <c r="D5922" t="s">
        <v>11779</v>
      </c>
      <c r="E5922">
        <v>21</v>
      </c>
      <c r="F5922" t="s">
        <v>34037</v>
      </c>
      <c r="G5922" t="s">
        <v>34038</v>
      </c>
      <c r="H5922" s="4" t="s">
        <v>34039</v>
      </c>
      <c r="I5922" t="s">
        <v>71</v>
      </c>
      <c r="J5922" t="s">
        <v>10782</v>
      </c>
      <c r="K5922" t="s">
        <v>34040</v>
      </c>
    </row>
    <row r="5923" spans="1:11" ht="201.6" x14ac:dyDescent="0.3">
      <c r="A5923" s="4" t="s">
        <v>3415</v>
      </c>
      <c r="B5923">
        <v>1</v>
      </c>
      <c r="C5923">
        <v>2014</v>
      </c>
      <c r="D5923" t="s">
        <v>217</v>
      </c>
      <c r="E5923">
        <v>1</v>
      </c>
      <c r="F5923" t="s">
        <v>34041</v>
      </c>
      <c r="G5923" t="s">
        <v>34042</v>
      </c>
      <c r="H5923" s="4" t="s">
        <v>34043</v>
      </c>
      <c r="I5923" t="s">
        <v>71</v>
      </c>
      <c r="J5923" t="s">
        <v>10782</v>
      </c>
      <c r="K5923" t="s">
        <v>34044</v>
      </c>
    </row>
    <row r="5924" spans="1:11" x14ac:dyDescent="0.3">
      <c r="A5924" s="4" t="s">
        <v>8777</v>
      </c>
      <c r="B5924">
        <v>3</v>
      </c>
      <c r="C5924">
        <v>2014</v>
      </c>
      <c r="D5924" t="s">
        <v>1570</v>
      </c>
      <c r="E5924">
        <v>39</v>
      </c>
      <c r="F5924" t="s">
        <v>34045</v>
      </c>
      <c r="G5924" t="s">
        <v>34046</v>
      </c>
      <c r="H5924" s="4" t="s">
        <v>34047</v>
      </c>
    </row>
    <row r="5925" spans="1:11" ht="187.2" x14ac:dyDescent="0.3">
      <c r="A5925" s="4" t="s">
        <v>8778</v>
      </c>
      <c r="B5925">
        <v>3</v>
      </c>
      <c r="C5925">
        <v>2014</v>
      </c>
      <c r="D5925" t="s">
        <v>217</v>
      </c>
      <c r="E5925">
        <v>41</v>
      </c>
      <c r="F5925" t="s">
        <v>34048</v>
      </c>
      <c r="G5925" t="s">
        <v>34049</v>
      </c>
      <c r="H5925" s="4" t="s">
        <v>34050</v>
      </c>
      <c r="I5925" t="s">
        <v>71</v>
      </c>
      <c r="J5925" t="s">
        <v>10782</v>
      </c>
      <c r="K5925" t="s">
        <v>34051</v>
      </c>
    </row>
    <row r="5926" spans="1:11" ht="144" x14ac:dyDescent="0.3">
      <c r="A5926" s="4" t="s">
        <v>8779</v>
      </c>
      <c r="B5926">
        <v>3</v>
      </c>
      <c r="C5926">
        <v>2014</v>
      </c>
      <c r="D5926" t="s">
        <v>34052</v>
      </c>
      <c r="E5926">
        <v>15</v>
      </c>
      <c r="F5926" t="s">
        <v>34053</v>
      </c>
      <c r="G5926" t="s">
        <v>34054</v>
      </c>
      <c r="H5926" s="4" t="s">
        <v>34055</v>
      </c>
      <c r="I5926" t="s">
        <v>71</v>
      </c>
      <c r="J5926" t="s">
        <v>10782</v>
      </c>
      <c r="K5926" t="s">
        <v>34056</v>
      </c>
    </row>
    <row r="5927" spans="1:11" ht="158.4" x14ac:dyDescent="0.3">
      <c r="A5927" s="4" t="s">
        <v>8780</v>
      </c>
      <c r="B5927">
        <v>3</v>
      </c>
      <c r="C5927">
        <v>2014</v>
      </c>
      <c r="D5927" t="s">
        <v>12593</v>
      </c>
      <c r="E5927">
        <v>34</v>
      </c>
      <c r="F5927" t="s">
        <v>34057</v>
      </c>
      <c r="G5927" t="s">
        <v>34058</v>
      </c>
      <c r="H5927" s="4" t="s">
        <v>34059</v>
      </c>
      <c r="I5927" t="s">
        <v>71</v>
      </c>
      <c r="J5927" t="s">
        <v>10782</v>
      </c>
      <c r="K5927" t="s">
        <v>34060</v>
      </c>
    </row>
    <row r="5928" spans="1:11" ht="172.8" x14ac:dyDescent="0.3">
      <c r="A5928" s="4" t="s">
        <v>8781</v>
      </c>
      <c r="B5928">
        <v>3</v>
      </c>
      <c r="C5928">
        <v>2014</v>
      </c>
      <c r="D5928" t="s">
        <v>799</v>
      </c>
      <c r="E5928">
        <v>56</v>
      </c>
      <c r="F5928" t="s">
        <v>34061</v>
      </c>
      <c r="G5928" t="s">
        <v>34062</v>
      </c>
      <c r="H5928" s="4" t="s">
        <v>34063</v>
      </c>
      <c r="I5928" t="s">
        <v>71</v>
      </c>
      <c r="J5928" t="s">
        <v>10782</v>
      </c>
      <c r="K5928" t="s">
        <v>34064</v>
      </c>
    </row>
    <row r="5929" spans="1:11" ht="144" x14ac:dyDescent="0.3">
      <c r="A5929" s="4" t="s">
        <v>8782</v>
      </c>
      <c r="B5929">
        <v>3</v>
      </c>
      <c r="C5929">
        <v>2014</v>
      </c>
      <c r="D5929" t="s">
        <v>11741</v>
      </c>
      <c r="E5929">
        <v>24</v>
      </c>
      <c r="F5929" t="s">
        <v>34065</v>
      </c>
      <c r="G5929" t="s">
        <v>34066</v>
      </c>
      <c r="H5929" s="4" t="s">
        <v>34067</v>
      </c>
      <c r="I5929" t="s">
        <v>71</v>
      </c>
      <c r="J5929" t="s">
        <v>10782</v>
      </c>
      <c r="K5929" t="s">
        <v>34068</v>
      </c>
    </row>
    <row r="5930" spans="1:11" ht="201.6" x14ac:dyDescent="0.3">
      <c r="A5930" s="4" t="s">
        <v>8783</v>
      </c>
      <c r="B5930">
        <v>3</v>
      </c>
      <c r="C5930">
        <v>2014</v>
      </c>
      <c r="D5930" t="s">
        <v>2375</v>
      </c>
      <c r="E5930">
        <v>19</v>
      </c>
      <c r="F5930" t="s">
        <v>34069</v>
      </c>
      <c r="G5930" t="s">
        <v>34070</v>
      </c>
      <c r="H5930" s="4" t="s">
        <v>34071</v>
      </c>
      <c r="I5930" t="s">
        <v>71</v>
      </c>
      <c r="J5930" t="s">
        <v>10782</v>
      </c>
      <c r="K5930" t="s">
        <v>34072</v>
      </c>
    </row>
    <row r="5931" spans="1:11" ht="28.8" x14ac:dyDescent="0.3">
      <c r="A5931" s="4" t="s">
        <v>8784</v>
      </c>
      <c r="B5931">
        <v>3</v>
      </c>
      <c r="C5931">
        <v>2014</v>
      </c>
      <c r="D5931" t="s">
        <v>432</v>
      </c>
      <c r="E5931">
        <v>21</v>
      </c>
      <c r="F5931" t="s">
        <v>34073</v>
      </c>
      <c r="G5931" t="s">
        <v>34074</v>
      </c>
      <c r="H5931" s="4" t="s">
        <v>34075</v>
      </c>
    </row>
    <row r="5932" spans="1:11" ht="144" x14ac:dyDescent="0.3">
      <c r="A5932" s="4" t="s">
        <v>8785</v>
      </c>
      <c r="B5932">
        <v>3</v>
      </c>
      <c r="C5932">
        <v>2014</v>
      </c>
      <c r="D5932" t="s">
        <v>1525</v>
      </c>
      <c r="E5932">
        <v>27</v>
      </c>
      <c r="F5932" t="s">
        <v>34076</v>
      </c>
      <c r="G5932" t="s">
        <v>34077</v>
      </c>
      <c r="H5932" s="4" t="s">
        <v>34078</v>
      </c>
      <c r="I5932" t="s">
        <v>71</v>
      </c>
      <c r="J5932" t="s">
        <v>10782</v>
      </c>
      <c r="K5932" t="s">
        <v>34079</v>
      </c>
    </row>
    <row r="5933" spans="1:11" ht="72" x14ac:dyDescent="0.3">
      <c r="A5933" s="4" t="s">
        <v>8786</v>
      </c>
      <c r="B5933">
        <v>3</v>
      </c>
      <c r="C5933">
        <v>2014</v>
      </c>
      <c r="D5933" t="s">
        <v>799</v>
      </c>
      <c r="E5933">
        <v>58</v>
      </c>
      <c r="F5933" t="s">
        <v>34080</v>
      </c>
      <c r="G5933" t="s">
        <v>34081</v>
      </c>
      <c r="H5933" s="4" t="s">
        <v>34082</v>
      </c>
    </row>
    <row r="5934" spans="1:11" ht="172.8" x14ac:dyDescent="0.3">
      <c r="A5934" s="4" t="s">
        <v>8787</v>
      </c>
      <c r="B5934">
        <v>3</v>
      </c>
      <c r="C5934">
        <v>2014</v>
      </c>
      <c r="D5934" t="s">
        <v>2853</v>
      </c>
      <c r="E5934">
        <v>35</v>
      </c>
      <c r="F5934" t="s">
        <v>34083</v>
      </c>
      <c r="G5934" t="s">
        <v>34084</v>
      </c>
      <c r="H5934" s="4" t="s">
        <v>34085</v>
      </c>
      <c r="I5934" t="s">
        <v>71</v>
      </c>
      <c r="J5934" t="s">
        <v>10782</v>
      </c>
      <c r="K5934" t="s">
        <v>34086</v>
      </c>
    </row>
    <row r="5935" spans="1:11" ht="259.2" x14ac:dyDescent="0.3">
      <c r="A5935" s="4" t="s">
        <v>8788</v>
      </c>
      <c r="B5935">
        <v>3</v>
      </c>
      <c r="C5935">
        <v>2014</v>
      </c>
      <c r="D5935" t="s">
        <v>1936</v>
      </c>
      <c r="E5935">
        <v>67</v>
      </c>
      <c r="F5935" t="s">
        <v>34087</v>
      </c>
      <c r="G5935" t="s">
        <v>34088</v>
      </c>
      <c r="H5935" s="4" t="s">
        <v>34089</v>
      </c>
      <c r="I5935" t="s">
        <v>71</v>
      </c>
      <c r="J5935" t="s">
        <v>10782</v>
      </c>
      <c r="K5935" t="s">
        <v>34090</v>
      </c>
    </row>
    <row r="5936" spans="1:11" ht="158.4" x14ac:dyDescent="0.3">
      <c r="A5936" s="4" t="s">
        <v>8789</v>
      </c>
      <c r="B5936">
        <v>3</v>
      </c>
      <c r="C5936">
        <v>2014</v>
      </c>
      <c r="D5936" t="s">
        <v>217</v>
      </c>
      <c r="E5936">
        <v>38</v>
      </c>
      <c r="F5936" t="s">
        <v>34091</v>
      </c>
      <c r="G5936" t="s">
        <v>34092</v>
      </c>
      <c r="H5936" s="4" t="s">
        <v>34093</v>
      </c>
      <c r="I5936" t="s">
        <v>71</v>
      </c>
      <c r="J5936" t="s">
        <v>10782</v>
      </c>
      <c r="K5936" t="s">
        <v>34094</v>
      </c>
    </row>
    <row r="5937" spans="1:11" ht="216" x14ac:dyDescent="0.3">
      <c r="A5937" s="4" t="s">
        <v>8790</v>
      </c>
      <c r="B5937">
        <v>3</v>
      </c>
      <c r="C5937">
        <v>2014</v>
      </c>
      <c r="D5937" t="s">
        <v>10825</v>
      </c>
      <c r="E5937">
        <v>24</v>
      </c>
      <c r="F5937" t="s">
        <v>34095</v>
      </c>
      <c r="G5937" t="s">
        <v>34096</v>
      </c>
      <c r="H5937" s="4" t="s">
        <v>34097</v>
      </c>
      <c r="I5937" t="s">
        <v>71</v>
      </c>
      <c r="J5937" t="s">
        <v>10782</v>
      </c>
      <c r="K5937" t="s">
        <v>34098</v>
      </c>
    </row>
    <row r="5938" spans="1:11" ht="129.6" x14ac:dyDescent="0.3">
      <c r="A5938" s="4" t="s">
        <v>8791</v>
      </c>
      <c r="B5938">
        <v>3</v>
      </c>
      <c r="C5938">
        <v>2014</v>
      </c>
      <c r="D5938" t="s">
        <v>799</v>
      </c>
      <c r="E5938">
        <v>307</v>
      </c>
      <c r="F5938" t="s">
        <v>34099</v>
      </c>
      <c r="G5938" t="s">
        <v>34100</v>
      </c>
      <c r="H5938" s="4" t="s">
        <v>34101</v>
      </c>
      <c r="I5938" t="s">
        <v>71</v>
      </c>
      <c r="J5938" t="s">
        <v>10782</v>
      </c>
      <c r="K5938" t="s">
        <v>34102</v>
      </c>
    </row>
    <row r="5939" spans="1:11" ht="129.6" x14ac:dyDescent="0.3">
      <c r="A5939" s="4" t="s">
        <v>8792</v>
      </c>
      <c r="B5939">
        <v>3</v>
      </c>
      <c r="C5939">
        <v>2014</v>
      </c>
      <c r="D5939" t="s">
        <v>34103</v>
      </c>
      <c r="E5939">
        <v>9</v>
      </c>
      <c r="F5939" t="s">
        <v>34104</v>
      </c>
      <c r="G5939" t="s">
        <v>34105</v>
      </c>
      <c r="H5939" s="4" t="s">
        <v>34106</v>
      </c>
      <c r="I5939" t="s">
        <v>71</v>
      </c>
      <c r="J5939" t="s">
        <v>10782</v>
      </c>
      <c r="K5939" t="s">
        <v>34107</v>
      </c>
    </row>
    <row r="5940" spans="1:11" ht="187.2" x14ac:dyDescent="0.3">
      <c r="A5940" s="4" t="s">
        <v>8793</v>
      </c>
      <c r="B5940">
        <v>3</v>
      </c>
      <c r="C5940">
        <v>2014</v>
      </c>
      <c r="D5940" t="s">
        <v>19715</v>
      </c>
      <c r="E5940">
        <v>161</v>
      </c>
      <c r="F5940" t="s">
        <v>34108</v>
      </c>
      <c r="G5940" t="s">
        <v>34109</v>
      </c>
      <c r="H5940" s="4" t="s">
        <v>34110</v>
      </c>
      <c r="I5940" t="s">
        <v>10823</v>
      </c>
      <c r="J5940" t="s">
        <v>10782</v>
      </c>
      <c r="K5940" t="s">
        <v>34111</v>
      </c>
    </row>
    <row r="5941" spans="1:11" ht="201.6" x14ac:dyDescent="0.3">
      <c r="A5941" s="4" t="s">
        <v>8794</v>
      </c>
      <c r="B5941">
        <v>3</v>
      </c>
      <c r="C5941">
        <v>2014</v>
      </c>
      <c r="D5941" t="s">
        <v>19978</v>
      </c>
      <c r="E5941">
        <v>1</v>
      </c>
      <c r="F5941" t="s">
        <v>34112</v>
      </c>
      <c r="G5941" t="s">
        <v>34113</v>
      </c>
      <c r="H5941" s="4" t="s">
        <v>34114</v>
      </c>
      <c r="I5941" t="s">
        <v>71</v>
      </c>
      <c r="J5941" t="s">
        <v>10782</v>
      </c>
      <c r="K5941" t="s">
        <v>34115</v>
      </c>
    </row>
    <row r="5942" spans="1:11" ht="187.2" x14ac:dyDescent="0.3">
      <c r="A5942" s="4" t="s">
        <v>3637</v>
      </c>
      <c r="B5942">
        <v>2</v>
      </c>
      <c r="C5942">
        <v>2014</v>
      </c>
      <c r="D5942" t="s">
        <v>12491</v>
      </c>
      <c r="E5942">
        <v>112</v>
      </c>
      <c r="F5942" t="s">
        <v>34116</v>
      </c>
      <c r="G5942" t="s">
        <v>34117</v>
      </c>
      <c r="H5942" s="4" t="s">
        <v>34118</v>
      </c>
      <c r="I5942" t="s">
        <v>71</v>
      </c>
      <c r="J5942" t="s">
        <v>10782</v>
      </c>
      <c r="K5942" t="s">
        <v>34119</v>
      </c>
    </row>
    <row r="5943" spans="1:11" ht="172.8" x14ac:dyDescent="0.3">
      <c r="A5943" s="4" t="s">
        <v>8795</v>
      </c>
      <c r="B5943">
        <v>3</v>
      </c>
      <c r="C5943">
        <v>2014</v>
      </c>
      <c r="D5943" t="s">
        <v>1401</v>
      </c>
      <c r="E5943">
        <v>14</v>
      </c>
      <c r="F5943" t="s">
        <v>34120</v>
      </c>
      <c r="G5943" t="s">
        <v>34121</v>
      </c>
      <c r="H5943" s="4" t="s">
        <v>34122</v>
      </c>
      <c r="I5943" t="s">
        <v>71</v>
      </c>
      <c r="J5943" t="s">
        <v>10782</v>
      </c>
      <c r="K5943" t="s">
        <v>34123</v>
      </c>
    </row>
    <row r="5944" spans="1:11" ht="144" x14ac:dyDescent="0.3">
      <c r="A5944" s="4" t="s">
        <v>8796</v>
      </c>
      <c r="B5944">
        <v>3</v>
      </c>
      <c r="C5944">
        <v>2014</v>
      </c>
      <c r="D5944" t="s">
        <v>34124</v>
      </c>
      <c r="E5944">
        <v>9</v>
      </c>
      <c r="F5944" t="s">
        <v>34125</v>
      </c>
      <c r="G5944" t="s">
        <v>34126</v>
      </c>
      <c r="H5944" s="4" t="s">
        <v>34127</v>
      </c>
      <c r="I5944" t="s">
        <v>71</v>
      </c>
      <c r="J5944" t="s">
        <v>10782</v>
      </c>
      <c r="K5944" t="s">
        <v>34128</v>
      </c>
    </row>
    <row r="5945" spans="1:11" ht="158.4" x14ac:dyDescent="0.3">
      <c r="A5945" s="4" t="s">
        <v>3638</v>
      </c>
      <c r="B5945">
        <v>2</v>
      </c>
      <c r="C5945">
        <v>2014</v>
      </c>
      <c r="D5945" t="s">
        <v>217</v>
      </c>
      <c r="E5945">
        <v>15</v>
      </c>
      <c r="F5945" t="s">
        <v>34129</v>
      </c>
      <c r="G5945" t="s">
        <v>34130</v>
      </c>
      <c r="H5945" s="4" t="s">
        <v>34131</v>
      </c>
      <c r="I5945" t="s">
        <v>71</v>
      </c>
      <c r="J5945" t="s">
        <v>10782</v>
      </c>
      <c r="K5945" t="s">
        <v>34132</v>
      </c>
    </row>
    <row r="5946" spans="1:11" ht="244.8" x14ac:dyDescent="0.3">
      <c r="A5946" s="4" t="s">
        <v>8797</v>
      </c>
      <c r="B5946">
        <v>3</v>
      </c>
      <c r="C5946">
        <v>2014</v>
      </c>
      <c r="D5946" t="s">
        <v>10924</v>
      </c>
      <c r="E5946">
        <v>32</v>
      </c>
      <c r="F5946" t="s">
        <v>34133</v>
      </c>
      <c r="G5946" t="s">
        <v>34134</v>
      </c>
      <c r="H5946" s="4" t="s">
        <v>34135</v>
      </c>
      <c r="I5946" t="s">
        <v>71</v>
      </c>
      <c r="J5946" t="s">
        <v>10782</v>
      </c>
      <c r="K5946" t="s">
        <v>34136</v>
      </c>
    </row>
    <row r="5947" spans="1:11" ht="172.8" x14ac:dyDescent="0.3">
      <c r="A5947" s="4" t="s">
        <v>8798</v>
      </c>
      <c r="B5947">
        <v>3</v>
      </c>
      <c r="C5947">
        <v>2014</v>
      </c>
      <c r="D5947" t="s">
        <v>2853</v>
      </c>
      <c r="E5947">
        <v>19</v>
      </c>
      <c r="F5947" t="s">
        <v>34137</v>
      </c>
      <c r="G5947" t="s">
        <v>34138</v>
      </c>
      <c r="H5947" s="4" t="s">
        <v>34139</v>
      </c>
      <c r="I5947" t="s">
        <v>71</v>
      </c>
      <c r="J5947" t="s">
        <v>10782</v>
      </c>
      <c r="K5947" t="s">
        <v>34140</v>
      </c>
    </row>
    <row r="5948" spans="1:11" ht="28.8" x14ac:dyDescent="0.3">
      <c r="A5948" s="4" t="s">
        <v>8799</v>
      </c>
      <c r="B5948">
        <v>3</v>
      </c>
      <c r="C5948">
        <v>2014</v>
      </c>
      <c r="D5948" t="s">
        <v>34141</v>
      </c>
      <c r="E5948">
        <v>147</v>
      </c>
      <c r="F5948" t="s">
        <v>34142</v>
      </c>
      <c r="G5948" t="s">
        <v>34143</v>
      </c>
      <c r="H5948" s="4" t="s">
        <v>34144</v>
      </c>
    </row>
    <row r="5949" spans="1:11" ht="115.2" x14ac:dyDescent="0.3">
      <c r="A5949" s="4" t="s">
        <v>8800</v>
      </c>
      <c r="B5949">
        <v>3</v>
      </c>
      <c r="C5949">
        <v>2014</v>
      </c>
      <c r="D5949" t="s">
        <v>11481</v>
      </c>
      <c r="E5949">
        <v>32</v>
      </c>
      <c r="F5949" t="s">
        <v>34145</v>
      </c>
      <c r="G5949" t="s">
        <v>34146</v>
      </c>
      <c r="H5949" s="4" t="s">
        <v>34147</v>
      </c>
      <c r="I5949" t="s">
        <v>71</v>
      </c>
      <c r="J5949" t="s">
        <v>10782</v>
      </c>
      <c r="K5949" t="s">
        <v>34148</v>
      </c>
    </row>
    <row r="5950" spans="1:11" ht="28.8" x14ac:dyDescent="0.3">
      <c r="A5950" s="4" t="s">
        <v>8801</v>
      </c>
      <c r="B5950">
        <v>3</v>
      </c>
      <c r="C5950">
        <v>2014</v>
      </c>
      <c r="D5950" t="s">
        <v>2986</v>
      </c>
      <c r="E5950">
        <v>422</v>
      </c>
      <c r="F5950" t="s">
        <v>34149</v>
      </c>
      <c r="G5950" t="s">
        <v>34150</v>
      </c>
      <c r="H5950" s="4" t="s">
        <v>34151</v>
      </c>
      <c r="I5950" t="s">
        <v>10823</v>
      </c>
      <c r="J5950" t="s">
        <v>10782</v>
      </c>
      <c r="K5950" t="s">
        <v>34152</v>
      </c>
    </row>
    <row r="5951" spans="1:11" ht="158.4" x14ac:dyDescent="0.3">
      <c r="A5951" s="4" t="s">
        <v>8802</v>
      </c>
      <c r="B5951">
        <v>3</v>
      </c>
      <c r="C5951">
        <v>2014</v>
      </c>
      <c r="D5951" t="s">
        <v>15454</v>
      </c>
      <c r="E5951">
        <v>19</v>
      </c>
      <c r="F5951" t="s">
        <v>34153</v>
      </c>
      <c r="G5951" t="s">
        <v>34154</v>
      </c>
      <c r="H5951" s="4" t="s">
        <v>34155</v>
      </c>
      <c r="I5951" t="s">
        <v>71</v>
      </c>
      <c r="J5951" t="s">
        <v>10782</v>
      </c>
      <c r="K5951" t="s">
        <v>34156</v>
      </c>
    </row>
    <row r="5952" spans="1:11" ht="172.8" x14ac:dyDescent="0.3">
      <c r="A5952" s="4" t="s">
        <v>8803</v>
      </c>
      <c r="B5952">
        <v>3</v>
      </c>
      <c r="C5952">
        <v>2014</v>
      </c>
      <c r="D5952" t="s">
        <v>18480</v>
      </c>
      <c r="E5952">
        <v>50</v>
      </c>
      <c r="F5952" t="s">
        <v>34157</v>
      </c>
      <c r="G5952" t="s">
        <v>34158</v>
      </c>
      <c r="H5952" s="4" t="s">
        <v>34159</v>
      </c>
      <c r="I5952" t="s">
        <v>71</v>
      </c>
      <c r="J5952" t="s">
        <v>10782</v>
      </c>
      <c r="K5952" t="s">
        <v>34160</v>
      </c>
    </row>
    <row r="5953" spans="1:11" ht="28.8" x14ac:dyDescent="0.3">
      <c r="A5953" s="4" t="s">
        <v>8804</v>
      </c>
      <c r="B5953">
        <v>3</v>
      </c>
      <c r="C5953">
        <v>2014</v>
      </c>
      <c r="D5953" t="s">
        <v>1570</v>
      </c>
      <c r="E5953">
        <v>12</v>
      </c>
      <c r="F5953" t="s">
        <v>34161</v>
      </c>
      <c r="G5953" t="s">
        <v>34162</v>
      </c>
      <c r="H5953" s="4" t="s">
        <v>34163</v>
      </c>
    </row>
    <row r="5954" spans="1:11" ht="129.6" x14ac:dyDescent="0.3">
      <c r="A5954" s="4" t="s">
        <v>8805</v>
      </c>
      <c r="B5954">
        <v>3</v>
      </c>
      <c r="C5954">
        <v>2014</v>
      </c>
      <c r="D5954" t="s">
        <v>1426</v>
      </c>
      <c r="E5954">
        <v>40</v>
      </c>
      <c r="F5954" t="s">
        <v>34164</v>
      </c>
      <c r="G5954" t="s">
        <v>34165</v>
      </c>
      <c r="H5954" s="4" t="s">
        <v>34166</v>
      </c>
      <c r="I5954" t="s">
        <v>71</v>
      </c>
      <c r="J5954" t="s">
        <v>10782</v>
      </c>
      <c r="K5954" t="s">
        <v>34167</v>
      </c>
    </row>
    <row r="5955" spans="1:11" ht="115.2" x14ac:dyDescent="0.3">
      <c r="A5955" s="4" t="s">
        <v>8806</v>
      </c>
      <c r="B5955">
        <v>3</v>
      </c>
      <c r="C5955">
        <v>2014</v>
      </c>
      <c r="D5955" t="s">
        <v>217</v>
      </c>
      <c r="E5955">
        <v>5</v>
      </c>
      <c r="F5955" t="s">
        <v>34168</v>
      </c>
      <c r="G5955" t="s">
        <v>34169</v>
      </c>
      <c r="H5955" s="4" t="s">
        <v>34170</v>
      </c>
      <c r="I5955" t="s">
        <v>71</v>
      </c>
      <c r="J5955" t="s">
        <v>10782</v>
      </c>
      <c r="K5955" t="s">
        <v>34171</v>
      </c>
    </row>
    <row r="5956" spans="1:11" ht="115.2" x14ac:dyDescent="0.3">
      <c r="A5956" s="4" t="s">
        <v>8807</v>
      </c>
      <c r="B5956">
        <v>3</v>
      </c>
      <c r="C5956">
        <v>2014</v>
      </c>
      <c r="D5956" t="s">
        <v>528</v>
      </c>
      <c r="E5956">
        <v>48</v>
      </c>
      <c r="F5956" t="s">
        <v>34172</v>
      </c>
      <c r="G5956" t="s">
        <v>34173</v>
      </c>
      <c r="H5956" s="4" t="s">
        <v>34174</v>
      </c>
      <c r="I5956" t="s">
        <v>71</v>
      </c>
      <c r="J5956" t="s">
        <v>10782</v>
      </c>
      <c r="K5956" t="s">
        <v>34175</v>
      </c>
    </row>
    <row r="5957" spans="1:11" ht="216" x14ac:dyDescent="0.3">
      <c r="A5957" s="4" t="s">
        <v>8808</v>
      </c>
      <c r="B5957">
        <v>3</v>
      </c>
      <c r="C5957">
        <v>2014</v>
      </c>
      <c r="D5957" t="s">
        <v>2030</v>
      </c>
      <c r="E5957">
        <v>28</v>
      </c>
      <c r="F5957" t="s">
        <v>34176</v>
      </c>
      <c r="G5957" t="s">
        <v>34177</v>
      </c>
      <c r="H5957" s="4" t="s">
        <v>34178</v>
      </c>
      <c r="I5957" t="s">
        <v>71</v>
      </c>
      <c r="J5957" t="s">
        <v>10782</v>
      </c>
      <c r="K5957" t="s">
        <v>34179</v>
      </c>
    </row>
    <row r="5958" spans="1:11" ht="115.2" x14ac:dyDescent="0.3">
      <c r="A5958" s="4" t="s">
        <v>8809</v>
      </c>
      <c r="B5958">
        <v>3</v>
      </c>
      <c r="C5958">
        <v>2014</v>
      </c>
      <c r="D5958" t="s">
        <v>19978</v>
      </c>
      <c r="E5958">
        <v>7</v>
      </c>
      <c r="F5958" t="s">
        <v>34180</v>
      </c>
      <c r="G5958" t="s">
        <v>34181</v>
      </c>
      <c r="H5958" s="4" t="s">
        <v>34182</v>
      </c>
      <c r="I5958" t="s">
        <v>71</v>
      </c>
      <c r="J5958" t="s">
        <v>10782</v>
      </c>
      <c r="K5958" t="s">
        <v>34183</v>
      </c>
    </row>
    <row r="5959" spans="1:11" ht="187.2" x14ac:dyDescent="0.3">
      <c r="A5959" s="4" t="s">
        <v>8810</v>
      </c>
      <c r="B5959">
        <v>3</v>
      </c>
      <c r="C5959">
        <v>2014</v>
      </c>
      <c r="D5959" t="s">
        <v>1525</v>
      </c>
      <c r="E5959">
        <v>43</v>
      </c>
      <c r="F5959" t="s">
        <v>34184</v>
      </c>
      <c r="G5959" t="s">
        <v>34185</v>
      </c>
      <c r="H5959" s="4" t="s">
        <v>34186</v>
      </c>
      <c r="I5959" t="s">
        <v>71</v>
      </c>
      <c r="J5959" t="s">
        <v>10782</v>
      </c>
      <c r="K5959" t="s">
        <v>34187</v>
      </c>
    </row>
    <row r="5960" spans="1:11" ht="172.8" x14ac:dyDescent="0.3">
      <c r="A5960" s="4" t="s">
        <v>8811</v>
      </c>
      <c r="B5960">
        <v>3</v>
      </c>
      <c r="C5960">
        <v>2014</v>
      </c>
      <c r="D5960" t="s">
        <v>799</v>
      </c>
      <c r="E5960">
        <v>23</v>
      </c>
      <c r="F5960" t="s">
        <v>34188</v>
      </c>
      <c r="G5960" t="s">
        <v>34189</v>
      </c>
      <c r="H5960" s="4" t="s">
        <v>34190</v>
      </c>
      <c r="I5960" t="s">
        <v>71</v>
      </c>
      <c r="J5960" t="s">
        <v>10782</v>
      </c>
      <c r="K5960" t="s">
        <v>34191</v>
      </c>
    </row>
    <row r="5961" spans="1:11" ht="129.6" x14ac:dyDescent="0.3">
      <c r="A5961" s="4" t="s">
        <v>3639</v>
      </c>
      <c r="B5961">
        <v>2</v>
      </c>
      <c r="C5961">
        <v>2014</v>
      </c>
      <c r="D5961" t="s">
        <v>14623</v>
      </c>
      <c r="E5961">
        <v>94</v>
      </c>
      <c r="F5961" t="s">
        <v>34192</v>
      </c>
      <c r="G5961" t="s">
        <v>34193</v>
      </c>
      <c r="H5961" s="4" t="s">
        <v>34194</v>
      </c>
      <c r="I5961" t="s">
        <v>71</v>
      </c>
      <c r="J5961" t="s">
        <v>10782</v>
      </c>
      <c r="K5961" t="s">
        <v>34195</v>
      </c>
    </row>
    <row r="5962" spans="1:11" ht="28.8" x14ac:dyDescent="0.3">
      <c r="A5962" s="4" t="s">
        <v>8812</v>
      </c>
      <c r="B5962">
        <v>3</v>
      </c>
      <c r="C5962">
        <v>2014</v>
      </c>
      <c r="D5962" t="s">
        <v>1570</v>
      </c>
      <c r="E5962">
        <v>31</v>
      </c>
      <c r="F5962" t="s">
        <v>34196</v>
      </c>
      <c r="G5962" t="s">
        <v>34197</v>
      </c>
      <c r="H5962" s="4" t="s">
        <v>34198</v>
      </c>
    </row>
    <row r="5963" spans="1:11" ht="72" x14ac:dyDescent="0.3">
      <c r="A5963" s="4" t="s">
        <v>8813</v>
      </c>
      <c r="B5963">
        <v>3</v>
      </c>
      <c r="C5963">
        <v>2013</v>
      </c>
      <c r="D5963" t="s">
        <v>2030</v>
      </c>
      <c r="E5963">
        <v>73</v>
      </c>
      <c r="F5963" t="s">
        <v>34199</v>
      </c>
      <c r="G5963" t="s">
        <v>34200</v>
      </c>
      <c r="H5963" s="4" t="s">
        <v>34201</v>
      </c>
    </row>
    <row r="5964" spans="1:11" ht="100.8" x14ac:dyDescent="0.3">
      <c r="A5964" s="4" t="s">
        <v>8814</v>
      </c>
      <c r="B5964">
        <v>3</v>
      </c>
      <c r="C5964">
        <v>2013</v>
      </c>
      <c r="D5964" t="s">
        <v>1570</v>
      </c>
      <c r="E5964">
        <v>6</v>
      </c>
      <c r="F5964" t="s">
        <v>34202</v>
      </c>
      <c r="G5964" t="s">
        <v>34203</v>
      </c>
      <c r="H5964" s="4" t="s">
        <v>34204</v>
      </c>
    </row>
    <row r="5965" spans="1:11" ht="273.60000000000002" x14ac:dyDescent="0.3">
      <c r="A5965" s="4" t="s">
        <v>3416</v>
      </c>
      <c r="B5965">
        <v>1</v>
      </c>
      <c r="C5965">
        <v>2013</v>
      </c>
      <c r="D5965" t="s">
        <v>550</v>
      </c>
      <c r="E5965">
        <v>11</v>
      </c>
      <c r="F5965" t="s">
        <v>34205</v>
      </c>
      <c r="G5965" t="s">
        <v>34206</v>
      </c>
      <c r="H5965" s="4" t="s">
        <v>34207</v>
      </c>
      <c r="I5965" t="s">
        <v>71</v>
      </c>
      <c r="J5965" t="s">
        <v>10782</v>
      </c>
      <c r="K5965" t="s">
        <v>34208</v>
      </c>
    </row>
    <row r="5966" spans="1:11" ht="100.8" x14ac:dyDescent="0.3">
      <c r="A5966" s="4" t="s">
        <v>8815</v>
      </c>
      <c r="B5966">
        <v>3</v>
      </c>
      <c r="C5966">
        <v>2013</v>
      </c>
      <c r="D5966" t="s">
        <v>637</v>
      </c>
      <c r="E5966">
        <v>195</v>
      </c>
      <c r="F5966" t="s">
        <v>34209</v>
      </c>
      <c r="G5966" t="s">
        <v>34210</v>
      </c>
      <c r="H5966" s="4" t="s">
        <v>34211</v>
      </c>
      <c r="I5966" t="s">
        <v>71</v>
      </c>
      <c r="J5966" t="s">
        <v>10782</v>
      </c>
      <c r="K5966" t="s">
        <v>34212</v>
      </c>
    </row>
    <row r="5967" spans="1:11" ht="129.6" x14ac:dyDescent="0.3">
      <c r="A5967" s="4" t="s">
        <v>8816</v>
      </c>
      <c r="B5967">
        <v>3</v>
      </c>
      <c r="C5967">
        <v>2013</v>
      </c>
      <c r="D5967" t="s">
        <v>1794</v>
      </c>
      <c r="E5967">
        <v>11</v>
      </c>
      <c r="F5967" t="s">
        <v>34213</v>
      </c>
      <c r="G5967" t="s">
        <v>34214</v>
      </c>
      <c r="H5967" s="4" t="s">
        <v>34215</v>
      </c>
      <c r="I5967" t="s">
        <v>71</v>
      </c>
      <c r="J5967" t="s">
        <v>10782</v>
      </c>
      <c r="K5967" t="s">
        <v>34216</v>
      </c>
    </row>
    <row r="5968" spans="1:11" ht="216" x14ac:dyDescent="0.3">
      <c r="A5968" s="4" t="s">
        <v>3417</v>
      </c>
      <c r="B5968">
        <v>1</v>
      </c>
      <c r="C5968">
        <v>2013</v>
      </c>
      <c r="D5968" t="s">
        <v>217</v>
      </c>
      <c r="E5968">
        <v>92</v>
      </c>
      <c r="F5968" t="s">
        <v>34217</v>
      </c>
      <c r="G5968" t="s">
        <v>34218</v>
      </c>
      <c r="H5968" s="4" t="s">
        <v>34219</v>
      </c>
      <c r="I5968" t="s">
        <v>71</v>
      </c>
      <c r="J5968" t="s">
        <v>10782</v>
      </c>
      <c r="K5968" t="s">
        <v>34220</v>
      </c>
    </row>
    <row r="5969" spans="1:11" ht="201.6" x14ac:dyDescent="0.3">
      <c r="A5969" s="4" t="s">
        <v>2943</v>
      </c>
      <c r="B5969">
        <v>2</v>
      </c>
      <c r="C5969">
        <v>2013</v>
      </c>
      <c r="D5969" t="s">
        <v>1836</v>
      </c>
      <c r="E5969">
        <v>212</v>
      </c>
      <c r="F5969" t="s">
        <v>34221</v>
      </c>
      <c r="G5969" t="s">
        <v>34222</v>
      </c>
      <c r="H5969" s="4" t="s">
        <v>34223</v>
      </c>
      <c r="I5969" t="s">
        <v>71</v>
      </c>
      <c r="J5969" t="s">
        <v>10782</v>
      </c>
      <c r="K5969" t="s">
        <v>34224</v>
      </c>
    </row>
    <row r="5970" spans="1:11" ht="331.2" x14ac:dyDescent="0.3">
      <c r="A5970" s="4" t="s">
        <v>3640</v>
      </c>
      <c r="B5970">
        <v>2</v>
      </c>
      <c r="C5970">
        <v>2013</v>
      </c>
      <c r="D5970" t="s">
        <v>2893</v>
      </c>
      <c r="E5970">
        <v>45</v>
      </c>
      <c r="F5970" t="s">
        <v>34225</v>
      </c>
      <c r="G5970" t="s">
        <v>34226</v>
      </c>
      <c r="H5970" s="4" t="s">
        <v>34227</v>
      </c>
      <c r="I5970" t="s">
        <v>71</v>
      </c>
      <c r="J5970" t="s">
        <v>10782</v>
      </c>
      <c r="K5970" t="s">
        <v>34228</v>
      </c>
    </row>
    <row r="5971" spans="1:11" ht="28.8" x14ac:dyDescent="0.3">
      <c r="A5971" s="4" t="s">
        <v>3641</v>
      </c>
      <c r="B5971">
        <v>2</v>
      </c>
      <c r="C5971">
        <v>2013</v>
      </c>
      <c r="D5971" t="s">
        <v>329</v>
      </c>
      <c r="E5971">
        <v>21</v>
      </c>
      <c r="F5971" t="s">
        <v>34229</v>
      </c>
      <c r="G5971" t="s">
        <v>34230</v>
      </c>
      <c r="H5971" s="4" t="s">
        <v>34231</v>
      </c>
    </row>
    <row r="5972" spans="1:11" ht="28.8" x14ac:dyDescent="0.3">
      <c r="A5972" s="4" t="s">
        <v>8817</v>
      </c>
      <c r="B5972">
        <v>3</v>
      </c>
      <c r="C5972">
        <v>2013</v>
      </c>
      <c r="D5972" t="s">
        <v>14116</v>
      </c>
      <c r="E5972">
        <v>3</v>
      </c>
      <c r="F5972" t="s">
        <v>34232</v>
      </c>
      <c r="G5972" t="s">
        <v>34233</v>
      </c>
      <c r="H5972" s="4" t="s">
        <v>71</v>
      </c>
      <c r="I5972" t="s">
        <v>10782</v>
      </c>
      <c r="J5972" t="s">
        <v>34234</v>
      </c>
    </row>
    <row r="5973" spans="1:11" ht="144" x14ac:dyDescent="0.3">
      <c r="A5973" s="4" t="s">
        <v>8818</v>
      </c>
      <c r="B5973">
        <v>3</v>
      </c>
      <c r="C5973">
        <v>2013</v>
      </c>
      <c r="D5973" t="s">
        <v>34235</v>
      </c>
      <c r="E5973">
        <v>7</v>
      </c>
      <c r="F5973" t="s">
        <v>34236</v>
      </c>
      <c r="G5973" t="s">
        <v>34237</v>
      </c>
      <c r="H5973" s="4" t="s">
        <v>34238</v>
      </c>
      <c r="I5973" t="s">
        <v>71</v>
      </c>
      <c r="J5973" t="s">
        <v>10782</v>
      </c>
      <c r="K5973" t="s">
        <v>34239</v>
      </c>
    </row>
    <row r="5974" spans="1:11" ht="244.8" x14ac:dyDescent="0.3">
      <c r="A5974" s="4" t="s">
        <v>8819</v>
      </c>
      <c r="B5974">
        <v>3</v>
      </c>
      <c r="C5974">
        <v>2013</v>
      </c>
      <c r="D5974" t="s">
        <v>14512</v>
      </c>
      <c r="E5974">
        <v>48</v>
      </c>
      <c r="F5974" t="s">
        <v>34240</v>
      </c>
      <c r="G5974" t="s">
        <v>34241</v>
      </c>
      <c r="H5974" s="4" t="s">
        <v>34242</v>
      </c>
      <c r="I5974" t="s">
        <v>71</v>
      </c>
      <c r="J5974" t="s">
        <v>10782</v>
      </c>
      <c r="K5974" t="s">
        <v>34243</v>
      </c>
    </row>
    <row r="5975" spans="1:11" ht="187.2" x14ac:dyDescent="0.3">
      <c r="A5975" s="4" t="s">
        <v>8820</v>
      </c>
      <c r="B5975">
        <v>3</v>
      </c>
      <c r="C5975">
        <v>2013</v>
      </c>
      <c r="D5975" t="s">
        <v>329</v>
      </c>
      <c r="E5975">
        <v>19</v>
      </c>
      <c r="F5975" t="s">
        <v>34244</v>
      </c>
      <c r="G5975" t="s">
        <v>34245</v>
      </c>
      <c r="H5975" s="4" t="s">
        <v>34246</v>
      </c>
      <c r="I5975" t="s">
        <v>71</v>
      </c>
      <c r="J5975" t="s">
        <v>10782</v>
      </c>
      <c r="K5975" t="s">
        <v>34247</v>
      </c>
    </row>
    <row r="5976" spans="1:11" ht="28.8" x14ac:dyDescent="0.3">
      <c r="A5976" s="4" t="s">
        <v>8821</v>
      </c>
      <c r="B5976">
        <v>3</v>
      </c>
      <c r="C5976">
        <v>2013</v>
      </c>
      <c r="D5976" t="s">
        <v>24893</v>
      </c>
      <c r="E5976">
        <v>11</v>
      </c>
      <c r="F5976" t="s">
        <v>34248</v>
      </c>
      <c r="G5976" t="s">
        <v>34249</v>
      </c>
      <c r="H5976" s="4" t="s">
        <v>34250</v>
      </c>
    </row>
    <row r="5977" spans="1:11" ht="115.2" x14ac:dyDescent="0.3">
      <c r="A5977" s="4" t="s">
        <v>3642</v>
      </c>
      <c r="B5977">
        <v>2</v>
      </c>
      <c r="C5977">
        <v>2013</v>
      </c>
      <c r="D5977" t="s">
        <v>1570</v>
      </c>
      <c r="E5977">
        <v>56</v>
      </c>
      <c r="F5977" t="s">
        <v>34251</v>
      </c>
      <c r="G5977" t="s">
        <v>34252</v>
      </c>
      <c r="H5977" s="4" t="s">
        <v>34253</v>
      </c>
    </row>
    <row r="5978" spans="1:11" ht="158.4" x14ac:dyDescent="0.3">
      <c r="A5978" s="4" t="s">
        <v>8822</v>
      </c>
      <c r="B5978">
        <v>3</v>
      </c>
      <c r="C5978">
        <v>2013</v>
      </c>
      <c r="D5978" t="s">
        <v>33894</v>
      </c>
      <c r="E5978">
        <v>88</v>
      </c>
      <c r="F5978" t="s">
        <v>34254</v>
      </c>
      <c r="G5978" t="s">
        <v>34255</v>
      </c>
      <c r="H5978" s="4" t="s">
        <v>34256</v>
      </c>
      <c r="I5978" t="s">
        <v>71</v>
      </c>
      <c r="J5978" t="s">
        <v>10782</v>
      </c>
      <c r="K5978" t="s">
        <v>34257</v>
      </c>
    </row>
    <row r="5979" spans="1:11" ht="115.2" x14ac:dyDescent="0.3">
      <c r="A5979" s="4" t="s">
        <v>8823</v>
      </c>
      <c r="B5979">
        <v>3</v>
      </c>
      <c r="C5979">
        <v>2013</v>
      </c>
      <c r="D5979" t="s">
        <v>34258</v>
      </c>
      <c r="E5979">
        <v>236</v>
      </c>
      <c r="F5979" t="s">
        <v>34259</v>
      </c>
      <c r="G5979" t="s">
        <v>34260</v>
      </c>
      <c r="H5979" s="4" t="s">
        <v>34261</v>
      </c>
    </row>
    <row r="5980" spans="1:11" ht="187.2" x14ac:dyDescent="0.3">
      <c r="A5980" s="4" t="s">
        <v>8824</v>
      </c>
      <c r="B5980">
        <v>3</v>
      </c>
      <c r="C5980">
        <v>2013</v>
      </c>
      <c r="D5980" t="s">
        <v>27824</v>
      </c>
      <c r="E5980">
        <v>47</v>
      </c>
      <c r="F5980" t="s">
        <v>34262</v>
      </c>
      <c r="G5980" t="s">
        <v>34263</v>
      </c>
      <c r="H5980" s="4" t="s">
        <v>34264</v>
      </c>
      <c r="I5980" t="s">
        <v>71</v>
      </c>
      <c r="J5980" t="s">
        <v>10782</v>
      </c>
      <c r="K5980" t="s">
        <v>34265</v>
      </c>
    </row>
    <row r="5981" spans="1:11" ht="201.6" x14ac:dyDescent="0.3">
      <c r="A5981" s="4" t="s">
        <v>3418</v>
      </c>
      <c r="B5981">
        <v>1</v>
      </c>
      <c r="C5981">
        <v>2013</v>
      </c>
      <c r="D5981" t="s">
        <v>550</v>
      </c>
      <c r="E5981">
        <v>22</v>
      </c>
      <c r="F5981" t="s">
        <v>34266</v>
      </c>
      <c r="G5981" t="s">
        <v>34267</v>
      </c>
      <c r="H5981" s="4" t="s">
        <v>34268</v>
      </c>
      <c r="I5981" t="s">
        <v>71</v>
      </c>
      <c r="J5981" t="s">
        <v>10782</v>
      </c>
      <c r="K5981" t="s">
        <v>34269</v>
      </c>
    </row>
    <row r="5982" spans="1:11" ht="201.6" x14ac:dyDescent="0.3">
      <c r="A5982" s="4" t="s">
        <v>8825</v>
      </c>
      <c r="B5982">
        <v>3</v>
      </c>
      <c r="C5982">
        <v>2013</v>
      </c>
      <c r="D5982" t="s">
        <v>10924</v>
      </c>
      <c r="E5982">
        <v>35</v>
      </c>
      <c r="F5982" t="s">
        <v>34270</v>
      </c>
      <c r="G5982" t="s">
        <v>34271</v>
      </c>
      <c r="H5982" s="4" t="s">
        <v>34272</v>
      </c>
      <c r="I5982" t="s">
        <v>71</v>
      </c>
      <c r="J5982" t="s">
        <v>10782</v>
      </c>
      <c r="K5982" t="s">
        <v>34273</v>
      </c>
    </row>
    <row r="5983" spans="1:11" ht="129.6" x14ac:dyDescent="0.3">
      <c r="A5983" s="4" t="s">
        <v>8826</v>
      </c>
      <c r="B5983">
        <v>3</v>
      </c>
      <c r="C5983">
        <v>2013</v>
      </c>
      <c r="D5983" t="s">
        <v>17401</v>
      </c>
      <c r="E5983">
        <v>5</v>
      </c>
      <c r="F5983" t="s">
        <v>34274</v>
      </c>
      <c r="G5983" t="s">
        <v>34275</v>
      </c>
      <c r="H5983" s="4" t="s">
        <v>34276</v>
      </c>
    </row>
    <row r="5984" spans="1:11" ht="187.2" x14ac:dyDescent="0.3">
      <c r="A5984" s="4" t="s">
        <v>8827</v>
      </c>
      <c r="B5984">
        <v>3</v>
      </c>
      <c r="C5984">
        <v>2013</v>
      </c>
      <c r="D5984" t="s">
        <v>10178</v>
      </c>
      <c r="E5984">
        <v>47</v>
      </c>
      <c r="F5984" t="s">
        <v>34277</v>
      </c>
      <c r="G5984" t="s">
        <v>34278</v>
      </c>
      <c r="H5984" s="4" t="s">
        <v>34279</v>
      </c>
      <c r="I5984" t="s">
        <v>71</v>
      </c>
      <c r="J5984" t="s">
        <v>10782</v>
      </c>
      <c r="K5984" t="s">
        <v>34280</v>
      </c>
    </row>
    <row r="5985" spans="1:11" ht="43.2" x14ac:dyDescent="0.3">
      <c r="A5985" s="4" t="s">
        <v>8828</v>
      </c>
      <c r="B5985">
        <v>3</v>
      </c>
      <c r="C5985">
        <v>2013</v>
      </c>
      <c r="D5985" t="s">
        <v>22690</v>
      </c>
      <c r="E5985">
        <v>28</v>
      </c>
      <c r="F5985" t="s">
        <v>34281</v>
      </c>
      <c r="G5985" t="s">
        <v>34282</v>
      </c>
      <c r="H5985" s="4" t="s">
        <v>34283</v>
      </c>
    </row>
    <row r="5986" spans="1:11" ht="216" x14ac:dyDescent="0.3">
      <c r="A5986" s="4" t="s">
        <v>8829</v>
      </c>
      <c r="B5986">
        <v>3</v>
      </c>
      <c r="C5986">
        <v>2013</v>
      </c>
      <c r="D5986" t="s">
        <v>80</v>
      </c>
      <c r="E5986">
        <v>655</v>
      </c>
      <c r="F5986" t="s">
        <v>34284</v>
      </c>
      <c r="G5986" t="s">
        <v>34285</v>
      </c>
      <c r="H5986" s="4" t="s">
        <v>34286</v>
      </c>
      <c r="I5986" t="s">
        <v>71</v>
      </c>
      <c r="J5986" t="s">
        <v>10782</v>
      </c>
      <c r="K5986" t="s">
        <v>34287</v>
      </c>
    </row>
    <row r="5987" spans="1:11" ht="28.8" x14ac:dyDescent="0.3">
      <c r="A5987" s="4" t="s">
        <v>8830</v>
      </c>
      <c r="B5987">
        <v>3</v>
      </c>
      <c r="C5987">
        <v>2013</v>
      </c>
      <c r="D5987" t="s">
        <v>528</v>
      </c>
      <c r="E5987">
        <v>28</v>
      </c>
      <c r="F5987" t="s">
        <v>34288</v>
      </c>
      <c r="G5987" t="s">
        <v>34289</v>
      </c>
      <c r="H5987" s="4" t="s">
        <v>34290</v>
      </c>
    </row>
    <row r="5988" spans="1:11" ht="115.2" x14ac:dyDescent="0.3">
      <c r="A5988" s="4" t="s">
        <v>8831</v>
      </c>
      <c r="B5988">
        <v>3</v>
      </c>
      <c r="C5988">
        <v>2013</v>
      </c>
      <c r="D5988" t="s">
        <v>1836</v>
      </c>
      <c r="E5988">
        <v>171</v>
      </c>
      <c r="F5988" t="s">
        <v>34291</v>
      </c>
      <c r="G5988" t="s">
        <v>34292</v>
      </c>
      <c r="H5988" s="4" t="s">
        <v>34293</v>
      </c>
    </row>
    <row r="5989" spans="1:11" ht="158.4" x14ac:dyDescent="0.3">
      <c r="A5989" s="4" t="s">
        <v>8832</v>
      </c>
      <c r="B5989">
        <v>3</v>
      </c>
      <c r="C5989">
        <v>2013</v>
      </c>
      <c r="D5989" t="s">
        <v>704</v>
      </c>
      <c r="E5989">
        <v>7</v>
      </c>
      <c r="F5989" t="s">
        <v>34294</v>
      </c>
      <c r="G5989" t="s">
        <v>34295</v>
      </c>
      <c r="H5989" s="4" t="s">
        <v>34296</v>
      </c>
      <c r="I5989" t="s">
        <v>71</v>
      </c>
      <c r="J5989" t="s">
        <v>10782</v>
      </c>
      <c r="K5989" t="s">
        <v>34297</v>
      </c>
    </row>
    <row r="5990" spans="1:11" ht="72" x14ac:dyDescent="0.3">
      <c r="A5990" s="4" t="s">
        <v>8833</v>
      </c>
      <c r="B5990">
        <v>3</v>
      </c>
      <c r="C5990">
        <v>2013</v>
      </c>
      <c r="D5990" t="s">
        <v>32791</v>
      </c>
      <c r="E5990">
        <v>10</v>
      </c>
      <c r="F5990" t="s">
        <v>34298</v>
      </c>
      <c r="G5990" t="s">
        <v>34299</v>
      </c>
      <c r="H5990" s="4" t="s">
        <v>34300</v>
      </c>
      <c r="I5990" t="s">
        <v>71</v>
      </c>
      <c r="J5990" t="s">
        <v>10782</v>
      </c>
      <c r="K5990" t="s">
        <v>34301</v>
      </c>
    </row>
    <row r="5991" spans="1:11" ht="273.60000000000002" x14ac:dyDescent="0.3">
      <c r="A5991" s="4" t="s">
        <v>8834</v>
      </c>
      <c r="B5991">
        <v>3</v>
      </c>
      <c r="C5991">
        <v>2013</v>
      </c>
      <c r="D5991" t="s">
        <v>80</v>
      </c>
      <c r="E5991">
        <v>28</v>
      </c>
      <c r="F5991" t="s">
        <v>34302</v>
      </c>
      <c r="G5991" t="s">
        <v>34303</v>
      </c>
      <c r="H5991" s="4" t="s">
        <v>34304</v>
      </c>
      <c r="I5991" t="s">
        <v>71</v>
      </c>
      <c r="J5991" t="s">
        <v>10782</v>
      </c>
      <c r="K5991" t="s">
        <v>34305</v>
      </c>
    </row>
    <row r="5992" spans="1:11" ht="43.2" x14ac:dyDescent="0.3">
      <c r="A5992" s="4" t="s">
        <v>8835</v>
      </c>
      <c r="B5992">
        <v>3</v>
      </c>
      <c r="C5992">
        <v>2013</v>
      </c>
      <c r="D5992" t="s">
        <v>550</v>
      </c>
      <c r="E5992">
        <v>38</v>
      </c>
      <c r="F5992" t="s">
        <v>34306</v>
      </c>
      <c r="G5992" t="s">
        <v>34307</v>
      </c>
      <c r="H5992" s="4" t="s">
        <v>34308</v>
      </c>
    </row>
    <row r="5993" spans="1:11" ht="259.2" x14ac:dyDescent="0.3">
      <c r="A5993" s="4" t="s">
        <v>1996</v>
      </c>
      <c r="B5993">
        <v>1</v>
      </c>
      <c r="C5993">
        <v>2013</v>
      </c>
      <c r="D5993" t="s">
        <v>329</v>
      </c>
      <c r="E5993">
        <v>186</v>
      </c>
      <c r="F5993" t="s">
        <v>34309</v>
      </c>
      <c r="G5993" t="s">
        <v>34310</v>
      </c>
      <c r="H5993" s="4" t="s">
        <v>34311</v>
      </c>
      <c r="I5993" t="s">
        <v>71</v>
      </c>
      <c r="J5993" t="s">
        <v>10782</v>
      </c>
      <c r="K5993" t="s">
        <v>34312</v>
      </c>
    </row>
    <row r="5994" spans="1:11" x14ac:dyDescent="0.3">
      <c r="A5994" s="4" t="s">
        <v>8836</v>
      </c>
      <c r="B5994">
        <v>3</v>
      </c>
      <c r="C5994">
        <v>2013</v>
      </c>
      <c r="D5994" t="s">
        <v>16556</v>
      </c>
      <c r="E5994">
        <v>0</v>
      </c>
      <c r="F5994" t="s">
        <v>34313</v>
      </c>
      <c r="G5994" t="s">
        <v>34314</v>
      </c>
      <c r="H5994" s="4" t="s">
        <v>71</v>
      </c>
      <c r="I5994" t="s">
        <v>10782</v>
      </c>
      <c r="J5994" t="s">
        <v>34315</v>
      </c>
    </row>
    <row r="5995" spans="1:11" ht="129.6" x14ac:dyDescent="0.3">
      <c r="A5995" s="4" t="s">
        <v>8837</v>
      </c>
      <c r="B5995">
        <v>3</v>
      </c>
      <c r="C5995">
        <v>2013</v>
      </c>
      <c r="D5995" t="s">
        <v>482</v>
      </c>
      <c r="E5995">
        <v>24</v>
      </c>
      <c r="F5995" t="s">
        <v>34316</v>
      </c>
      <c r="G5995" t="s">
        <v>34317</v>
      </c>
      <c r="H5995" s="4" t="s">
        <v>34318</v>
      </c>
    </row>
    <row r="5996" spans="1:11" ht="28.8" x14ac:dyDescent="0.3">
      <c r="A5996" s="4" t="s">
        <v>8838</v>
      </c>
      <c r="B5996">
        <v>3</v>
      </c>
      <c r="C5996">
        <v>2013</v>
      </c>
      <c r="D5996" t="s">
        <v>34319</v>
      </c>
      <c r="E5996">
        <v>4</v>
      </c>
      <c r="F5996" t="s">
        <v>34320</v>
      </c>
      <c r="G5996" t="s">
        <v>34321</v>
      </c>
      <c r="H5996" s="4" t="s">
        <v>71</v>
      </c>
      <c r="I5996" t="s">
        <v>10782</v>
      </c>
      <c r="J5996" t="s">
        <v>34322</v>
      </c>
    </row>
    <row r="5997" spans="1:11" ht="158.4" x14ac:dyDescent="0.3">
      <c r="A5997" s="4" t="s">
        <v>8839</v>
      </c>
      <c r="B5997">
        <v>3</v>
      </c>
      <c r="C5997">
        <v>2013</v>
      </c>
      <c r="D5997" t="s">
        <v>964</v>
      </c>
      <c r="E5997">
        <v>33</v>
      </c>
      <c r="F5997" t="s">
        <v>34323</v>
      </c>
      <c r="G5997" t="s">
        <v>34324</v>
      </c>
      <c r="H5997" s="4" t="s">
        <v>34325</v>
      </c>
      <c r="I5997" t="s">
        <v>71</v>
      </c>
      <c r="J5997" t="s">
        <v>10782</v>
      </c>
      <c r="K5997" t="s">
        <v>34326</v>
      </c>
    </row>
    <row r="5998" spans="1:11" ht="144" x14ac:dyDescent="0.3">
      <c r="A5998" s="4" t="s">
        <v>8840</v>
      </c>
      <c r="B5998">
        <v>3</v>
      </c>
      <c r="C5998">
        <v>2013</v>
      </c>
      <c r="D5998" t="s">
        <v>11556</v>
      </c>
      <c r="E5998">
        <v>19</v>
      </c>
      <c r="F5998" t="s">
        <v>34327</v>
      </c>
      <c r="G5998" t="s">
        <v>34328</v>
      </c>
      <c r="H5998" s="4" t="s">
        <v>34329</v>
      </c>
      <c r="I5998" t="s">
        <v>71</v>
      </c>
      <c r="J5998" t="s">
        <v>10782</v>
      </c>
      <c r="K5998" t="s">
        <v>34330</v>
      </c>
    </row>
    <row r="5999" spans="1:11" ht="129.6" x14ac:dyDescent="0.3">
      <c r="A5999" s="4" t="s">
        <v>8841</v>
      </c>
      <c r="B5999">
        <v>3</v>
      </c>
      <c r="C5999">
        <v>2013</v>
      </c>
      <c r="D5999" t="s">
        <v>329</v>
      </c>
      <c r="E5999">
        <v>33</v>
      </c>
      <c r="F5999" t="s">
        <v>34331</v>
      </c>
      <c r="G5999" t="s">
        <v>34332</v>
      </c>
      <c r="H5999" s="4" t="s">
        <v>34333</v>
      </c>
      <c r="I5999" t="s">
        <v>71</v>
      </c>
      <c r="J5999" t="s">
        <v>10782</v>
      </c>
      <c r="K5999" t="s">
        <v>34334</v>
      </c>
    </row>
    <row r="6000" spans="1:11" ht="28.8" x14ac:dyDescent="0.3">
      <c r="A6000" s="4" t="s">
        <v>8842</v>
      </c>
      <c r="B6000">
        <v>3</v>
      </c>
      <c r="C6000">
        <v>2013</v>
      </c>
      <c r="D6000" t="s">
        <v>27824</v>
      </c>
      <c r="E6000">
        <v>56</v>
      </c>
      <c r="F6000" t="s">
        <v>34335</v>
      </c>
      <c r="G6000" t="s">
        <v>34336</v>
      </c>
      <c r="H6000" s="4" t="s">
        <v>34337</v>
      </c>
    </row>
    <row r="6001" spans="1:11" ht="187.2" x14ac:dyDescent="0.3">
      <c r="A6001" s="4" t="s">
        <v>8843</v>
      </c>
      <c r="B6001">
        <v>3</v>
      </c>
      <c r="C6001">
        <v>2013</v>
      </c>
      <c r="D6001" t="s">
        <v>10796</v>
      </c>
      <c r="E6001">
        <v>20</v>
      </c>
      <c r="F6001" t="s">
        <v>34338</v>
      </c>
      <c r="G6001" t="s">
        <v>34339</v>
      </c>
      <c r="H6001" s="4" t="s">
        <v>34340</v>
      </c>
      <c r="I6001" t="s">
        <v>71</v>
      </c>
      <c r="J6001" t="s">
        <v>10782</v>
      </c>
      <c r="K6001" t="s">
        <v>34341</v>
      </c>
    </row>
    <row r="6002" spans="1:11" ht="100.8" x14ac:dyDescent="0.3">
      <c r="A6002" s="4" t="s">
        <v>8844</v>
      </c>
      <c r="B6002">
        <v>3</v>
      </c>
      <c r="C6002">
        <v>2013</v>
      </c>
      <c r="D6002" t="s">
        <v>10924</v>
      </c>
      <c r="E6002">
        <v>11</v>
      </c>
      <c r="F6002" t="s">
        <v>34342</v>
      </c>
      <c r="G6002" t="s">
        <v>34343</v>
      </c>
      <c r="H6002" s="4" t="s">
        <v>34344</v>
      </c>
    </row>
    <row r="6003" spans="1:11" ht="216" x14ac:dyDescent="0.3">
      <c r="A6003" s="4" t="s">
        <v>8845</v>
      </c>
      <c r="B6003">
        <v>3</v>
      </c>
      <c r="C6003">
        <v>2013</v>
      </c>
      <c r="D6003" t="s">
        <v>550</v>
      </c>
      <c r="E6003">
        <v>129</v>
      </c>
      <c r="F6003" t="s">
        <v>34345</v>
      </c>
      <c r="G6003" t="s">
        <v>34346</v>
      </c>
      <c r="H6003" s="4" t="s">
        <v>34347</v>
      </c>
    </row>
    <row r="6004" spans="1:11" ht="115.2" x14ac:dyDescent="0.3">
      <c r="A6004" s="4" t="s">
        <v>8846</v>
      </c>
      <c r="B6004">
        <v>3</v>
      </c>
      <c r="C6004">
        <v>2013</v>
      </c>
      <c r="D6004" t="s">
        <v>33118</v>
      </c>
      <c r="E6004">
        <v>31</v>
      </c>
      <c r="F6004" t="s">
        <v>34348</v>
      </c>
      <c r="G6004" t="s">
        <v>34349</v>
      </c>
      <c r="H6004" s="4" t="s">
        <v>34350</v>
      </c>
      <c r="I6004" t="s">
        <v>71</v>
      </c>
      <c r="J6004" t="s">
        <v>10782</v>
      </c>
      <c r="K6004" t="s">
        <v>34351</v>
      </c>
    </row>
    <row r="6005" spans="1:11" ht="129.6" x14ac:dyDescent="0.3">
      <c r="A6005" s="4" t="s">
        <v>8847</v>
      </c>
      <c r="B6005">
        <v>3</v>
      </c>
      <c r="C6005">
        <v>2013</v>
      </c>
      <c r="D6005" t="s">
        <v>1426</v>
      </c>
      <c r="E6005">
        <v>623</v>
      </c>
      <c r="F6005" t="s">
        <v>34352</v>
      </c>
      <c r="G6005" t="s">
        <v>34353</v>
      </c>
      <c r="H6005" s="4" t="s">
        <v>34354</v>
      </c>
      <c r="I6005" t="s">
        <v>71</v>
      </c>
      <c r="J6005" t="s">
        <v>10782</v>
      </c>
      <c r="K6005" t="s">
        <v>34355</v>
      </c>
    </row>
    <row r="6006" spans="1:11" ht="28.8" x14ac:dyDescent="0.3">
      <c r="A6006" s="4" t="s">
        <v>8848</v>
      </c>
      <c r="B6006">
        <v>3</v>
      </c>
      <c r="C6006">
        <v>2013</v>
      </c>
      <c r="D6006" t="s">
        <v>28481</v>
      </c>
      <c r="E6006">
        <v>20</v>
      </c>
      <c r="F6006" t="s">
        <v>34356</v>
      </c>
      <c r="G6006" t="s">
        <v>34357</v>
      </c>
      <c r="H6006" s="4" t="s">
        <v>71</v>
      </c>
      <c r="I6006" t="s">
        <v>10782</v>
      </c>
      <c r="J6006" t="s">
        <v>34358</v>
      </c>
    </row>
    <row r="6007" spans="1:11" ht="144" x14ac:dyDescent="0.3">
      <c r="A6007" s="4" t="s">
        <v>8849</v>
      </c>
      <c r="B6007">
        <v>3</v>
      </c>
      <c r="C6007">
        <v>2013</v>
      </c>
      <c r="D6007" t="s">
        <v>799</v>
      </c>
      <c r="E6007">
        <v>18</v>
      </c>
      <c r="F6007" t="s">
        <v>34359</v>
      </c>
      <c r="G6007" t="s">
        <v>34360</v>
      </c>
      <c r="H6007" s="4" t="s">
        <v>34361</v>
      </c>
      <c r="I6007" t="s">
        <v>71</v>
      </c>
      <c r="J6007" t="s">
        <v>10782</v>
      </c>
      <c r="K6007" t="s">
        <v>34362</v>
      </c>
    </row>
    <row r="6008" spans="1:11" ht="144" x14ac:dyDescent="0.3">
      <c r="A6008" s="4" t="s">
        <v>8850</v>
      </c>
      <c r="B6008">
        <v>3</v>
      </c>
      <c r="C6008">
        <v>2013</v>
      </c>
      <c r="D6008" t="s">
        <v>10924</v>
      </c>
      <c r="E6008">
        <v>43</v>
      </c>
      <c r="F6008" t="s">
        <v>34363</v>
      </c>
      <c r="G6008" t="s">
        <v>34364</v>
      </c>
      <c r="H6008" s="4" t="s">
        <v>34365</v>
      </c>
      <c r="I6008" t="s">
        <v>71</v>
      </c>
      <c r="J6008" t="s">
        <v>10782</v>
      </c>
      <c r="K6008" t="s">
        <v>34366</v>
      </c>
    </row>
    <row r="6009" spans="1:11" ht="28.8" x14ac:dyDescent="0.3">
      <c r="A6009" s="4" t="s">
        <v>3643</v>
      </c>
      <c r="B6009">
        <v>2</v>
      </c>
      <c r="C6009">
        <v>2013</v>
      </c>
      <c r="D6009" t="s">
        <v>24598</v>
      </c>
      <c r="E6009">
        <v>6</v>
      </c>
      <c r="F6009" t="s">
        <v>34367</v>
      </c>
      <c r="G6009" t="s">
        <v>34368</v>
      </c>
      <c r="H6009" s="4" t="s">
        <v>71</v>
      </c>
      <c r="I6009" t="s">
        <v>10782</v>
      </c>
      <c r="J6009" t="s">
        <v>34369</v>
      </c>
    </row>
    <row r="6010" spans="1:11" ht="144" x14ac:dyDescent="0.3">
      <c r="A6010" s="4" t="s">
        <v>1997</v>
      </c>
      <c r="B6010">
        <v>1</v>
      </c>
      <c r="C6010">
        <v>2013</v>
      </c>
      <c r="D6010" t="s">
        <v>1426</v>
      </c>
      <c r="E6010">
        <v>1716</v>
      </c>
      <c r="F6010" t="s">
        <v>34370</v>
      </c>
      <c r="G6010" t="s">
        <v>34371</v>
      </c>
      <c r="H6010" s="4" t="s">
        <v>34372</v>
      </c>
      <c r="I6010" t="s">
        <v>71</v>
      </c>
      <c r="J6010" t="s">
        <v>10782</v>
      </c>
      <c r="K6010" t="s">
        <v>34373</v>
      </c>
    </row>
    <row r="6011" spans="1:11" ht="201.6" x14ac:dyDescent="0.3">
      <c r="A6011" s="4" t="s">
        <v>8851</v>
      </c>
      <c r="B6011">
        <v>3</v>
      </c>
      <c r="C6011">
        <v>2013</v>
      </c>
      <c r="D6011" t="s">
        <v>10057</v>
      </c>
      <c r="E6011">
        <v>196</v>
      </c>
      <c r="F6011" t="s">
        <v>34374</v>
      </c>
      <c r="G6011" t="s">
        <v>34375</v>
      </c>
      <c r="H6011" s="4" t="s">
        <v>34376</v>
      </c>
      <c r="I6011" t="s">
        <v>71</v>
      </c>
      <c r="J6011" t="s">
        <v>10782</v>
      </c>
      <c r="K6011" t="s">
        <v>34377</v>
      </c>
    </row>
    <row r="6012" spans="1:11" ht="172.8" x14ac:dyDescent="0.3">
      <c r="A6012" s="4" t="s">
        <v>8852</v>
      </c>
      <c r="B6012">
        <v>3</v>
      </c>
      <c r="C6012">
        <v>2013</v>
      </c>
      <c r="D6012" t="s">
        <v>17273</v>
      </c>
      <c r="E6012">
        <v>42</v>
      </c>
      <c r="F6012" t="s">
        <v>34378</v>
      </c>
      <c r="G6012" t="s">
        <v>34379</v>
      </c>
      <c r="H6012" s="4" t="s">
        <v>34380</v>
      </c>
      <c r="I6012" t="s">
        <v>71</v>
      </c>
      <c r="J6012" t="s">
        <v>10782</v>
      </c>
      <c r="K6012" t="s">
        <v>34381</v>
      </c>
    </row>
    <row r="6013" spans="1:11" ht="43.2" x14ac:dyDescent="0.3">
      <c r="A6013" s="4" t="s">
        <v>8853</v>
      </c>
      <c r="B6013">
        <v>3</v>
      </c>
      <c r="C6013">
        <v>2013</v>
      </c>
      <c r="D6013" t="s">
        <v>17454</v>
      </c>
      <c r="E6013">
        <v>74</v>
      </c>
      <c r="F6013" t="s">
        <v>34382</v>
      </c>
      <c r="G6013" t="s">
        <v>34383</v>
      </c>
      <c r="H6013" s="4" t="s">
        <v>34384</v>
      </c>
    </row>
    <row r="6014" spans="1:11" ht="129.6" x14ac:dyDescent="0.3">
      <c r="A6014" s="4" t="s">
        <v>8854</v>
      </c>
      <c r="B6014">
        <v>3</v>
      </c>
      <c r="C6014">
        <v>2013</v>
      </c>
      <c r="D6014" t="s">
        <v>14310</v>
      </c>
      <c r="E6014">
        <v>64</v>
      </c>
      <c r="F6014" t="s">
        <v>34385</v>
      </c>
      <c r="G6014" t="s">
        <v>34386</v>
      </c>
      <c r="H6014" s="4" t="s">
        <v>34387</v>
      </c>
      <c r="I6014" t="s">
        <v>71</v>
      </c>
      <c r="J6014" t="s">
        <v>10782</v>
      </c>
      <c r="K6014" t="s">
        <v>34388</v>
      </c>
    </row>
    <row r="6015" spans="1:11" ht="201.6" x14ac:dyDescent="0.3">
      <c r="A6015" s="4" t="s">
        <v>8855</v>
      </c>
      <c r="B6015">
        <v>3</v>
      </c>
      <c r="C6015">
        <v>2013</v>
      </c>
      <c r="D6015" t="s">
        <v>17273</v>
      </c>
      <c r="E6015">
        <v>21</v>
      </c>
      <c r="F6015" t="s">
        <v>34389</v>
      </c>
      <c r="G6015" t="s">
        <v>34390</v>
      </c>
      <c r="H6015" s="4" t="s">
        <v>34391</v>
      </c>
      <c r="I6015" t="s">
        <v>71</v>
      </c>
      <c r="J6015" t="s">
        <v>10782</v>
      </c>
      <c r="K6015" t="s">
        <v>34392</v>
      </c>
    </row>
    <row r="6016" spans="1:11" ht="172.8" x14ac:dyDescent="0.3">
      <c r="A6016" s="4" t="s">
        <v>8856</v>
      </c>
      <c r="B6016">
        <v>3</v>
      </c>
      <c r="C6016">
        <v>2013</v>
      </c>
      <c r="D6016" t="s">
        <v>1570</v>
      </c>
      <c r="E6016">
        <v>119</v>
      </c>
      <c r="F6016" t="s">
        <v>34393</v>
      </c>
      <c r="G6016" t="s">
        <v>34394</v>
      </c>
      <c r="H6016" s="4" t="s">
        <v>34395</v>
      </c>
      <c r="I6016" t="s">
        <v>71</v>
      </c>
      <c r="J6016" t="s">
        <v>10782</v>
      </c>
      <c r="K6016" t="s">
        <v>34396</v>
      </c>
    </row>
    <row r="6017" spans="1:11" ht="216" x14ac:dyDescent="0.3">
      <c r="A6017" s="4" t="s">
        <v>8857</v>
      </c>
      <c r="B6017">
        <v>3</v>
      </c>
      <c r="C6017">
        <v>2013</v>
      </c>
      <c r="D6017" t="s">
        <v>17273</v>
      </c>
      <c r="E6017">
        <v>13</v>
      </c>
      <c r="F6017" t="s">
        <v>34397</v>
      </c>
      <c r="G6017" t="s">
        <v>34398</v>
      </c>
      <c r="H6017" s="4" t="s">
        <v>34399</v>
      </c>
      <c r="I6017" t="s">
        <v>71</v>
      </c>
      <c r="J6017" t="s">
        <v>10782</v>
      </c>
      <c r="K6017" t="s">
        <v>34400</v>
      </c>
    </row>
    <row r="6018" spans="1:11" ht="187.2" x14ac:dyDescent="0.3">
      <c r="A6018" s="4" t="s">
        <v>3644</v>
      </c>
      <c r="B6018">
        <v>2</v>
      </c>
      <c r="C6018">
        <v>2013</v>
      </c>
      <c r="D6018" t="s">
        <v>177</v>
      </c>
      <c r="E6018">
        <v>25</v>
      </c>
      <c r="F6018" t="s">
        <v>34401</v>
      </c>
      <c r="G6018" t="s">
        <v>34402</v>
      </c>
      <c r="H6018" s="4" t="s">
        <v>34403</v>
      </c>
      <c r="I6018" t="s">
        <v>71</v>
      </c>
      <c r="J6018" t="s">
        <v>10782</v>
      </c>
      <c r="K6018" t="s">
        <v>34404</v>
      </c>
    </row>
    <row r="6019" spans="1:11" ht="72" x14ac:dyDescent="0.3">
      <c r="A6019" s="4" t="s">
        <v>8858</v>
      </c>
      <c r="B6019">
        <v>3</v>
      </c>
      <c r="C6019">
        <v>2013</v>
      </c>
      <c r="D6019" t="s">
        <v>34405</v>
      </c>
      <c r="E6019">
        <v>3</v>
      </c>
      <c r="F6019" t="s">
        <v>34406</v>
      </c>
      <c r="G6019" t="s">
        <v>34407</v>
      </c>
      <c r="H6019" s="4" t="s">
        <v>34408</v>
      </c>
    </row>
    <row r="6020" spans="1:11" ht="144" x14ac:dyDescent="0.3">
      <c r="A6020" s="4" t="s">
        <v>8859</v>
      </c>
      <c r="B6020">
        <v>3</v>
      </c>
      <c r="C6020">
        <v>2013</v>
      </c>
      <c r="D6020" t="s">
        <v>18825</v>
      </c>
      <c r="E6020">
        <v>29</v>
      </c>
      <c r="F6020" t="s">
        <v>34409</v>
      </c>
      <c r="G6020" t="s">
        <v>34410</v>
      </c>
      <c r="H6020" s="4" t="s">
        <v>34411</v>
      </c>
    </row>
    <row r="6021" spans="1:11" x14ac:dyDescent="0.3">
      <c r="A6021" s="4" t="s">
        <v>8860</v>
      </c>
      <c r="B6021">
        <v>3</v>
      </c>
      <c r="C6021">
        <v>2013</v>
      </c>
      <c r="D6021" t="s">
        <v>2222</v>
      </c>
      <c r="E6021">
        <v>4</v>
      </c>
      <c r="F6021" t="s">
        <v>34412</v>
      </c>
      <c r="G6021" t="s">
        <v>34413</v>
      </c>
      <c r="H6021" s="4" t="s">
        <v>71</v>
      </c>
      <c r="I6021" t="s">
        <v>10782</v>
      </c>
      <c r="J6021" t="s">
        <v>34414</v>
      </c>
    </row>
    <row r="6022" spans="1:11" ht="28.8" x14ac:dyDescent="0.3">
      <c r="A6022" s="4" t="s">
        <v>8861</v>
      </c>
      <c r="B6022">
        <v>3</v>
      </c>
      <c r="C6022">
        <v>2013</v>
      </c>
      <c r="D6022" t="s">
        <v>34415</v>
      </c>
      <c r="E6022">
        <v>1</v>
      </c>
      <c r="F6022" t="s">
        <v>34416</v>
      </c>
      <c r="G6022" t="s">
        <v>34417</v>
      </c>
    </row>
    <row r="6023" spans="1:11" ht="158.4" x14ac:dyDescent="0.3">
      <c r="A6023" s="4" t="s">
        <v>8862</v>
      </c>
      <c r="B6023">
        <v>3</v>
      </c>
      <c r="C6023">
        <v>2013</v>
      </c>
      <c r="D6023" t="s">
        <v>217</v>
      </c>
      <c r="E6023">
        <v>31</v>
      </c>
      <c r="F6023" t="s">
        <v>34418</v>
      </c>
      <c r="G6023" t="s">
        <v>34419</v>
      </c>
      <c r="H6023" s="4" t="s">
        <v>34420</v>
      </c>
      <c r="I6023" t="s">
        <v>71</v>
      </c>
      <c r="J6023" t="s">
        <v>10782</v>
      </c>
      <c r="K6023" t="s">
        <v>34421</v>
      </c>
    </row>
    <row r="6024" spans="1:11" ht="187.2" x14ac:dyDescent="0.3">
      <c r="A6024" s="4" t="s">
        <v>8863</v>
      </c>
      <c r="B6024">
        <v>3</v>
      </c>
      <c r="C6024">
        <v>2013</v>
      </c>
      <c r="D6024" t="s">
        <v>29998</v>
      </c>
      <c r="E6024">
        <v>9</v>
      </c>
      <c r="F6024" t="s">
        <v>34422</v>
      </c>
      <c r="G6024" t="s">
        <v>34423</v>
      </c>
      <c r="H6024" s="4" t="s">
        <v>34424</v>
      </c>
      <c r="I6024" t="s">
        <v>71</v>
      </c>
      <c r="J6024" t="s">
        <v>10782</v>
      </c>
      <c r="K6024" t="s">
        <v>34425</v>
      </c>
    </row>
    <row r="6025" spans="1:11" ht="144" x14ac:dyDescent="0.3">
      <c r="A6025" s="4" t="s">
        <v>8864</v>
      </c>
      <c r="B6025">
        <v>3</v>
      </c>
      <c r="C6025">
        <v>2013</v>
      </c>
      <c r="D6025" t="s">
        <v>11741</v>
      </c>
      <c r="E6025">
        <v>7</v>
      </c>
      <c r="F6025" t="s">
        <v>34426</v>
      </c>
      <c r="G6025" t="s">
        <v>34427</v>
      </c>
      <c r="H6025" s="4" t="s">
        <v>34428</v>
      </c>
      <c r="I6025" t="s">
        <v>71</v>
      </c>
      <c r="J6025" t="s">
        <v>10782</v>
      </c>
      <c r="K6025" t="s">
        <v>34429</v>
      </c>
    </row>
    <row r="6026" spans="1:11" ht="201.6" x14ac:dyDescent="0.3">
      <c r="A6026" s="4" t="s">
        <v>8865</v>
      </c>
      <c r="B6026">
        <v>3</v>
      </c>
      <c r="C6026">
        <v>2013</v>
      </c>
      <c r="D6026" t="s">
        <v>177</v>
      </c>
      <c r="E6026">
        <v>14</v>
      </c>
      <c r="F6026" t="s">
        <v>34430</v>
      </c>
      <c r="G6026" t="s">
        <v>34431</v>
      </c>
      <c r="H6026" s="4" t="s">
        <v>34432</v>
      </c>
      <c r="I6026" t="s">
        <v>71</v>
      </c>
      <c r="J6026" t="s">
        <v>10782</v>
      </c>
      <c r="K6026" t="s">
        <v>34433</v>
      </c>
    </row>
    <row r="6027" spans="1:11" ht="144" x14ac:dyDescent="0.3">
      <c r="A6027" s="4" t="s">
        <v>8866</v>
      </c>
      <c r="B6027">
        <v>3</v>
      </c>
      <c r="C6027">
        <v>2013</v>
      </c>
      <c r="D6027" t="s">
        <v>2384</v>
      </c>
      <c r="E6027">
        <v>46</v>
      </c>
      <c r="F6027" t="s">
        <v>34434</v>
      </c>
      <c r="G6027" t="s">
        <v>34435</v>
      </c>
      <c r="H6027" s="4" t="s">
        <v>34436</v>
      </c>
      <c r="I6027" t="s">
        <v>71</v>
      </c>
      <c r="J6027" t="s">
        <v>10782</v>
      </c>
      <c r="K6027" t="s">
        <v>34437</v>
      </c>
    </row>
    <row r="6028" spans="1:11" ht="144" x14ac:dyDescent="0.3">
      <c r="A6028" s="4" t="s">
        <v>8867</v>
      </c>
      <c r="B6028">
        <v>3</v>
      </c>
      <c r="C6028">
        <v>2013</v>
      </c>
      <c r="D6028" t="s">
        <v>11741</v>
      </c>
      <c r="E6028">
        <v>10</v>
      </c>
      <c r="F6028" t="s">
        <v>34438</v>
      </c>
      <c r="G6028" t="s">
        <v>34439</v>
      </c>
      <c r="H6028" s="4" t="s">
        <v>34440</v>
      </c>
      <c r="I6028" t="s">
        <v>71</v>
      </c>
      <c r="J6028" t="s">
        <v>10782</v>
      </c>
      <c r="K6028" t="s">
        <v>34441</v>
      </c>
    </row>
    <row r="6029" spans="1:11" ht="129.6" x14ac:dyDescent="0.3">
      <c r="A6029" s="4" t="s">
        <v>8868</v>
      </c>
      <c r="B6029">
        <v>3</v>
      </c>
      <c r="C6029">
        <v>2013</v>
      </c>
      <c r="D6029" t="s">
        <v>704</v>
      </c>
      <c r="E6029">
        <v>14</v>
      </c>
      <c r="F6029" t="s">
        <v>34442</v>
      </c>
      <c r="G6029" t="s">
        <v>34443</v>
      </c>
      <c r="H6029" s="4" t="s">
        <v>34444</v>
      </c>
      <c r="I6029" t="s">
        <v>71</v>
      </c>
      <c r="J6029" t="s">
        <v>10782</v>
      </c>
      <c r="K6029" t="s">
        <v>34445</v>
      </c>
    </row>
    <row r="6030" spans="1:11" ht="144" x14ac:dyDescent="0.3">
      <c r="A6030" s="4" t="s">
        <v>8869</v>
      </c>
      <c r="B6030">
        <v>3</v>
      </c>
      <c r="C6030">
        <v>2013</v>
      </c>
      <c r="D6030" t="s">
        <v>622</v>
      </c>
      <c r="E6030">
        <v>7</v>
      </c>
      <c r="F6030" t="s">
        <v>34446</v>
      </c>
      <c r="G6030" t="s">
        <v>34447</v>
      </c>
      <c r="H6030" s="4" t="s">
        <v>34448</v>
      </c>
      <c r="I6030" t="s">
        <v>71</v>
      </c>
      <c r="J6030" t="s">
        <v>10782</v>
      </c>
      <c r="K6030" t="s">
        <v>34449</v>
      </c>
    </row>
    <row r="6031" spans="1:11" ht="100.8" x14ac:dyDescent="0.3">
      <c r="A6031" s="4" t="s">
        <v>8870</v>
      </c>
      <c r="B6031">
        <v>3</v>
      </c>
      <c r="C6031">
        <v>2013</v>
      </c>
      <c r="D6031" t="s">
        <v>34450</v>
      </c>
      <c r="E6031">
        <v>16</v>
      </c>
      <c r="F6031" t="s">
        <v>34451</v>
      </c>
      <c r="G6031" t="s">
        <v>34452</v>
      </c>
      <c r="H6031" s="4" t="s">
        <v>34453</v>
      </c>
      <c r="I6031" t="s">
        <v>71</v>
      </c>
      <c r="J6031" t="s">
        <v>10782</v>
      </c>
      <c r="K6031" t="s">
        <v>34454</v>
      </c>
    </row>
    <row r="6032" spans="1:11" ht="187.2" x14ac:dyDescent="0.3">
      <c r="A6032" s="4" t="s">
        <v>8871</v>
      </c>
      <c r="B6032">
        <v>3</v>
      </c>
      <c r="C6032">
        <v>2013</v>
      </c>
      <c r="D6032" t="s">
        <v>13254</v>
      </c>
      <c r="E6032">
        <v>27</v>
      </c>
      <c r="F6032" t="s">
        <v>34455</v>
      </c>
      <c r="G6032" t="s">
        <v>34456</v>
      </c>
      <c r="H6032" s="4" t="s">
        <v>34457</v>
      </c>
      <c r="I6032" t="s">
        <v>71</v>
      </c>
      <c r="J6032" t="s">
        <v>10782</v>
      </c>
      <c r="K6032" t="s">
        <v>34458</v>
      </c>
    </row>
    <row r="6033" spans="1:11" ht="259.2" x14ac:dyDescent="0.3">
      <c r="A6033" s="4" t="s">
        <v>8872</v>
      </c>
      <c r="B6033">
        <v>3</v>
      </c>
      <c r="C6033">
        <v>2013</v>
      </c>
      <c r="D6033" t="s">
        <v>11728</v>
      </c>
      <c r="E6033">
        <v>18</v>
      </c>
      <c r="F6033" t="s">
        <v>34459</v>
      </c>
      <c r="G6033" t="s">
        <v>34460</v>
      </c>
      <c r="H6033" s="4" t="s">
        <v>34461</v>
      </c>
    </row>
    <row r="6034" spans="1:11" ht="172.8" x14ac:dyDescent="0.3">
      <c r="A6034" s="4" t="s">
        <v>8873</v>
      </c>
      <c r="B6034">
        <v>3</v>
      </c>
      <c r="C6034">
        <v>2013</v>
      </c>
      <c r="D6034" t="s">
        <v>1175</v>
      </c>
      <c r="E6034">
        <v>52</v>
      </c>
      <c r="F6034" t="s">
        <v>34462</v>
      </c>
      <c r="G6034" t="s">
        <v>34463</v>
      </c>
      <c r="H6034" s="4" t="s">
        <v>34464</v>
      </c>
      <c r="I6034" t="s">
        <v>71</v>
      </c>
      <c r="J6034" t="s">
        <v>10782</v>
      </c>
      <c r="K6034" t="s">
        <v>34465</v>
      </c>
    </row>
    <row r="6035" spans="1:11" ht="230.4" x14ac:dyDescent="0.3">
      <c r="A6035" s="4" t="s">
        <v>8874</v>
      </c>
      <c r="B6035">
        <v>3</v>
      </c>
      <c r="C6035">
        <v>2013</v>
      </c>
      <c r="D6035" t="s">
        <v>31382</v>
      </c>
      <c r="E6035">
        <v>28</v>
      </c>
      <c r="F6035" t="s">
        <v>34466</v>
      </c>
      <c r="G6035" t="s">
        <v>34467</v>
      </c>
      <c r="H6035" s="4" t="s">
        <v>34468</v>
      </c>
      <c r="I6035" t="s">
        <v>71</v>
      </c>
      <c r="J6035" t="s">
        <v>10782</v>
      </c>
      <c r="K6035" t="s">
        <v>34469</v>
      </c>
    </row>
    <row r="6036" spans="1:11" ht="201.6" x14ac:dyDescent="0.3">
      <c r="A6036" s="4" t="s">
        <v>8875</v>
      </c>
      <c r="B6036">
        <v>3</v>
      </c>
      <c r="C6036">
        <v>2013</v>
      </c>
      <c r="D6036" t="s">
        <v>217</v>
      </c>
      <c r="E6036">
        <v>33</v>
      </c>
      <c r="F6036" t="s">
        <v>34470</v>
      </c>
      <c r="G6036" t="s">
        <v>34471</v>
      </c>
      <c r="H6036" s="4" t="s">
        <v>34472</v>
      </c>
      <c r="I6036" t="s">
        <v>71</v>
      </c>
      <c r="J6036" t="s">
        <v>10782</v>
      </c>
      <c r="K6036" t="s">
        <v>34473</v>
      </c>
    </row>
    <row r="6037" spans="1:11" ht="144" x14ac:dyDescent="0.3">
      <c r="A6037" s="4" t="s">
        <v>8876</v>
      </c>
      <c r="B6037">
        <v>3</v>
      </c>
      <c r="C6037">
        <v>2013</v>
      </c>
      <c r="D6037" t="s">
        <v>17401</v>
      </c>
      <c r="E6037">
        <v>12</v>
      </c>
      <c r="F6037" t="s">
        <v>34474</v>
      </c>
      <c r="G6037" t="s">
        <v>34475</v>
      </c>
      <c r="H6037" s="4" t="s">
        <v>34476</v>
      </c>
      <c r="I6037" t="s">
        <v>71</v>
      </c>
      <c r="J6037" t="s">
        <v>10782</v>
      </c>
      <c r="K6037" t="s">
        <v>34477</v>
      </c>
    </row>
    <row r="6038" spans="1:11" ht="144" x14ac:dyDescent="0.3">
      <c r="A6038" s="4" t="s">
        <v>8877</v>
      </c>
      <c r="B6038">
        <v>3</v>
      </c>
      <c r="C6038">
        <v>2013</v>
      </c>
      <c r="D6038" t="s">
        <v>28331</v>
      </c>
      <c r="E6038">
        <v>0</v>
      </c>
      <c r="F6038" t="s">
        <v>34478</v>
      </c>
      <c r="G6038" t="s">
        <v>34479</v>
      </c>
      <c r="H6038" s="4" t="s">
        <v>34480</v>
      </c>
      <c r="I6038" t="s">
        <v>71</v>
      </c>
      <c r="J6038" t="s">
        <v>10782</v>
      </c>
      <c r="K6038" t="s">
        <v>34481</v>
      </c>
    </row>
    <row r="6039" spans="1:11" ht="158.4" x14ac:dyDescent="0.3">
      <c r="A6039" s="4" t="s">
        <v>8878</v>
      </c>
      <c r="B6039">
        <v>3</v>
      </c>
      <c r="C6039">
        <v>2013</v>
      </c>
      <c r="D6039" t="s">
        <v>11294</v>
      </c>
      <c r="E6039">
        <v>39</v>
      </c>
      <c r="F6039" t="s">
        <v>34482</v>
      </c>
      <c r="G6039" t="s">
        <v>34483</v>
      </c>
      <c r="H6039" s="4" t="s">
        <v>34484</v>
      </c>
      <c r="I6039" t="s">
        <v>71</v>
      </c>
      <c r="J6039" t="s">
        <v>10782</v>
      </c>
      <c r="K6039" t="s">
        <v>34485</v>
      </c>
    </row>
    <row r="6040" spans="1:11" ht="28.8" x14ac:dyDescent="0.3">
      <c r="A6040" s="4" t="s">
        <v>8879</v>
      </c>
      <c r="B6040">
        <v>3</v>
      </c>
      <c r="C6040">
        <v>2013</v>
      </c>
      <c r="D6040" t="s">
        <v>799</v>
      </c>
      <c r="E6040">
        <v>3</v>
      </c>
      <c r="F6040" t="s">
        <v>34486</v>
      </c>
      <c r="G6040" t="s">
        <v>34487</v>
      </c>
      <c r="H6040" s="4" t="s">
        <v>17311</v>
      </c>
      <c r="I6040" t="s">
        <v>71</v>
      </c>
      <c r="J6040" t="s">
        <v>10782</v>
      </c>
      <c r="K6040" t="s">
        <v>34488</v>
      </c>
    </row>
    <row r="6041" spans="1:11" ht="172.8" x14ac:dyDescent="0.3">
      <c r="A6041" s="4" t="s">
        <v>3419</v>
      </c>
      <c r="B6041">
        <v>1</v>
      </c>
      <c r="C6041">
        <v>2013</v>
      </c>
      <c r="D6041" t="s">
        <v>1570</v>
      </c>
      <c r="E6041">
        <v>29</v>
      </c>
      <c r="F6041" t="s">
        <v>34489</v>
      </c>
      <c r="G6041" t="s">
        <v>34490</v>
      </c>
      <c r="H6041" s="4" t="s">
        <v>34491</v>
      </c>
      <c r="I6041" t="s">
        <v>71</v>
      </c>
      <c r="J6041" t="s">
        <v>10782</v>
      </c>
      <c r="K6041" t="s">
        <v>34492</v>
      </c>
    </row>
    <row r="6042" spans="1:11" ht="230.4" x14ac:dyDescent="0.3">
      <c r="A6042" s="4" t="s">
        <v>8880</v>
      </c>
      <c r="B6042">
        <v>3</v>
      </c>
      <c r="C6042">
        <v>2013</v>
      </c>
      <c r="D6042" t="s">
        <v>10924</v>
      </c>
      <c r="E6042">
        <v>41</v>
      </c>
      <c r="F6042" t="s">
        <v>34493</v>
      </c>
      <c r="G6042" t="s">
        <v>34494</v>
      </c>
      <c r="H6042" s="4" t="s">
        <v>34495</v>
      </c>
      <c r="I6042" t="s">
        <v>71</v>
      </c>
      <c r="J6042" t="s">
        <v>10782</v>
      </c>
      <c r="K6042" t="s">
        <v>34496</v>
      </c>
    </row>
    <row r="6043" spans="1:11" ht="158.4" x14ac:dyDescent="0.3">
      <c r="A6043" s="4" t="s">
        <v>8881</v>
      </c>
      <c r="B6043">
        <v>3</v>
      </c>
      <c r="C6043">
        <v>2013</v>
      </c>
      <c r="D6043" t="s">
        <v>1802</v>
      </c>
      <c r="E6043">
        <v>21</v>
      </c>
      <c r="F6043" t="s">
        <v>34497</v>
      </c>
      <c r="G6043" t="s">
        <v>34498</v>
      </c>
      <c r="H6043" s="4" t="s">
        <v>34499</v>
      </c>
      <c r="I6043" t="s">
        <v>71</v>
      </c>
      <c r="J6043" t="s">
        <v>10782</v>
      </c>
      <c r="K6043" t="s">
        <v>34500</v>
      </c>
    </row>
    <row r="6044" spans="1:11" ht="187.2" x14ac:dyDescent="0.3">
      <c r="A6044" s="4" t="s">
        <v>3420</v>
      </c>
      <c r="B6044">
        <v>1</v>
      </c>
      <c r="C6044">
        <v>2013</v>
      </c>
      <c r="D6044" t="s">
        <v>11231</v>
      </c>
      <c r="E6044">
        <v>9</v>
      </c>
      <c r="F6044" t="s">
        <v>34501</v>
      </c>
      <c r="G6044" t="s">
        <v>34502</v>
      </c>
      <c r="H6044" s="4" t="s">
        <v>34503</v>
      </c>
      <c r="I6044" t="s">
        <v>71</v>
      </c>
      <c r="J6044" t="s">
        <v>10782</v>
      </c>
      <c r="K6044" t="s">
        <v>34504</v>
      </c>
    </row>
    <row r="6045" spans="1:11" ht="158.4" x14ac:dyDescent="0.3">
      <c r="A6045" s="4" t="s">
        <v>8882</v>
      </c>
      <c r="B6045">
        <v>3</v>
      </c>
      <c r="C6045">
        <v>2013</v>
      </c>
      <c r="D6045" t="s">
        <v>18377</v>
      </c>
      <c r="E6045">
        <v>32</v>
      </c>
      <c r="F6045" t="s">
        <v>34505</v>
      </c>
      <c r="G6045" t="s">
        <v>34506</v>
      </c>
      <c r="H6045" s="4" t="s">
        <v>34507</v>
      </c>
      <c r="I6045" t="s">
        <v>71</v>
      </c>
      <c r="J6045" t="s">
        <v>10782</v>
      </c>
      <c r="K6045" t="s">
        <v>34508</v>
      </c>
    </row>
    <row r="6046" spans="1:11" ht="158.4" x14ac:dyDescent="0.3">
      <c r="A6046" s="4" t="s">
        <v>8883</v>
      </c>
      <c r="B6046">
        <v>3</v>
      </c>
      <c r="C6046">
        <v>2013</v>
      </c>
      <c r="D6046" t="s">
        <v>1836</v>
      </c>
      <c r="E6046">
        <v>52</v>
      </c>
      <c r="F6046" t="s">
        <v>34509</v>
      </c>
      <c r="G6046" t="s">
        <v>34510</v>
      </c>
      <c r="H6046" s="4" t="s">
        <v>34511</v>
      </c>
    </row>
    <row r="6047" spans="1:11" ht="129.6" x14ac:dyDescent="0.3">
      <c r="A6047" s="4" t="s">
        <v>8884</v>
      </c>
      <c r="B6047">
        <v>3</v>
      </c>
      <c r="C6047">
        <v>2013</v>
      </c>
      <c r="D6047" t="s">
        <v>11466</v>
      </c>
      <c r="E6047">
        <v>18</v>
      </c>
      <c r="F6047" t="s">
        <v>34512</v>
      </c>
      <c r="G6047" t="s">
        <v>34513</v>
      </c>
      <c r="H6047" s="4" t="s">
        <v>34514</v>
      </c>
      <c r="I6047" t="s">
        <v>71</v>
      </c>
      <c r="J6047" t="s">
        <v>10782</v>
      </c>
      <c r="K6047" t="s">
        <v>34515</v>
      </c>
    </row>
    <row r="6048" spans="1:11" ht="43.2" x14ac:dyDescent="0.3">
      <c r="A6048" s="4" t="s">
        <v>8885</v>
      </c>
      <c r="B6048">
        <v>3</v>
      </c>
      <c r="C6048">
        <v>2013</v>
      </c>
      <c r="D6048" t="s">
        <v>2853</v>
      </c>
      <c r="E6048">
        <v>168</v>
      </c>
      <c r="F6048" t="s">
        <v>34516</v>
      </c>
      <c r="G6048" t="s">
        <v>34517</v>
      </c>
      <c r="H6048" s="4" t="s">
        <v>34518</v>
      </c>
    </row>
    <row r="6049" spans="1:11" ht="172.8" x14ac:dyDescent="0.3">
      <c r="A6049" s="4" t="s">
        <v>8886</v>
      </c>
      <c r="B6049">
        <v>3</v>
      </c>
      <c r="C6049">
        <v>2013</v>
      </c>
      <c r="D6049" t="s">
        <v>434</v>
      </c>
      <c r="E6049">
        <v>9</v>
      </c>
      <c r="F6049" t="s">
        <v>34519</v>
      </c>
      <c r="G6049" t="s">
        <v>34520</v>
      </c>
      <c r="H6049" s="4" t="s">
        <v>34521</v>
      </c>
      <c r="I6049" t="s">
        <v>71</v>
      </c>
      <c r="J6049" t="s">
        <v>10782</v>
      </c>
      <c r="K6049" t="s">
        <v>34522</v>
      </c>
    </row>
    <row r="6050" spans="1:11" ht="259.2" x14ac:dyDescent="0.3">
      <c r="A6050" s="4" t="s">
        <v>8887</v>
      </c>
      <c r="B6050">
        <v>3</v>
      </c>
      <c r="C6050">
        <v>2013</v>
      </c>
      <c r="D6050" t="s">
        <v>10924</v>
      </c>
      <c r="E6050">
        <v>69</v>
      </c>
      <c r="F6050" t="s">
        <v>34523</v>
      </c>
      <c r="G6050" t="s">
        <v>34524</v>
      </c>
      <c r="H6050" s="4" t="s">
        <v>34525</v>
      </c>
      <c r="I6050" t="s">
        <v>71</v>
      </c>
      <c r="J6050" t="s">
        <v>10782</v>
      </c>
      <c r="K6050" t="s">
        <v>34526</v>
      </c>
    </row>
    <row r="6051" spans="1:11" ht="57.6" x14ac:dyDescent="0.3">
      <c r="A6051" s="4" t="s">
        <v>8888</v>
      </c>
      <c r="B6051">
        <v>3</v>
      </c>
      <c r="C6051">
        <v>2013</v>
      </c>
      <c r="D6051" t="s">
        <v>21969</v>
      </c>
      <c r="E6051">
        <v>1</v>
      </c>
      <c r="F6051" t="s">
        <v>34527</v>
      </c>
      <c r="G6051" t="s">
        <v>34528</v>
      </c>
      <c r="H6051" s="4" t="s">
        <v>34529</v>
      </c>
      <c r="I6051" t="s">
        <v>71</v>
      </c>
      <c r="J6051" t="s">
        <v>10782</v>
      </c>
      <c r="K6051" t="s">
        <v>34530</v>
      </c>
    </row>
    <row r="6052" spans="1:11" ht="316.8" x14ac:dyDescent="0.3">
      <c r="A6052" s="4" t="s">
        <v>8889</v>
      </c>
      <c r="B6052">
        <v>3</v>
      </c>
      <c r="C6052">
        <v>2013</v>
      </c>
      <c r="D6052" t="s">
        <v>80</v>
      </c>
      <c r="E6052">
        <v>59</v>
      </c>
      <c r="F6052" t="s">
        <v>34531</v>
      </c>
      <c r="G6052" t="s">
        <v>34532</v>
      </c>
      <c r="H6052" s="4" t="s">
        <v>34533</v>
      </c>
      <c r="I6052" t="s">
        <v>71</v>
      </c>
      <c r="J6052" t="s">
        <v>10782</v>
      </c>
      <c r="K6052" t="s">
        <v>34534</v>
      </c>
    </row>
    <row r="6053" spans="1:11" ht="216" x14ac:dyDescent="0.3">
      <c r="A6053" s="4" t="s">
        <v>8890</v>
      </c>
      <c r="B6053">
        <v>3</v>
      </c>
      <c r="C6053">
        <v>2013</v>
      </c>
      <c r="D6053" t="s">
        <v>21027</v>
      </c>
      <c r="E6053">
        <v>134</v>
      </c>
      <c r="F6053" t="s">
        <v>34535</v>
      </c>
      <c r="G6053" t="s">
        <v>34536</v>
      </c>
      <c r="H6053" s="4" t="s">
        <v>34537</v>
      </c>
      <c r="I6053" t="s">
        <v>71</v>
      </c>
      <c r="J6053" t="s">
        <v>10782</v>
      </c>
      <c r="K6053" t="s">
        <v>34538</v>
      </c>
    </row>
    <row r="6054" spans="1:11" ht="129.6" x14ac:dyDescent="0.3">
      <c r="A6054" s="4" t="s">
        <v>8891</v>
      </c>
      <c r="B6054">
        <v>3</v>
      </c>
      <c r="C6054">
        <v>2013</v>
      </c>
      <c r="D6054" t="s">
        <v>329</v>
      </c>
      <c r="E6054">
        <v>42</v>
      </c>
      <c r="F6054" t="s">
        <v>34539</v>
      </c>
      <c r="G6054" t="s">
        <v>34540</v>
      </c>
      <c r="H6054" s="4" t="s">
        <v>34541</v>
      </c>
      <c r="I6054" t="s">
        <v>71</v>
      </c>
      <c r="J6054" t="s">
        <v>10782</v>
      </c>
      <c r="K6054" t="s">
        <v>34542</v>
      </c>
    </row>
    <row r="6055" spans="1:11" ht="100.8" x14ac:dyDescent="0.3">
      <c r="A6055" s="4" t="s">
        <v>8892</v>
      </c>
      <c r="B6055">
        <v>3</v>
      </c>
      <c r="C6055">
        <v>2013</v>
      </c>
      <c r="D6055" t="s">
        <v>550</v>
      </c>
      <c r="E6055">
        <v>11</v>
      </c>
      <c r="F6055" t="s">
        <v>34543</v>
      </c>
      <c r="G6055" t="s">
        <v>34544</v>
      </c>
      <c r="H6055" s="4" t="s">
        <v>34545</v>
      </c>
    </row>
    <row r="6056" spans="1:11" ht="230.4" x14ac:dyDescent="0.3">
      <c r="A6056" s="4" t="s">
        <v>8893</v>
      </c>
      <c r="B6056">
        <v>3</v>
      </c>
      <c r="C6056">
        <v>2013</v>
      </c>
      <c r="D6056" t="s">
        <v>32406</v>
      </c>
      <c r="E6056">
        <v>8</v>
      </c>
      <c r="F6056" t="s">
        <v>34546</v>
      </c>
      <c r="G6056" t="s">
        <v>34547</v>
      </c>
      <c r="H6056" s="4" t="s">
        <v>34548</v>
      </c>
      <c r="I6056" t="s">
        <v>71</v>
      </c>
      <c r="J6056" t="s">
        <v>10782</v>
      </c>
      <c r="K6056" t="s">
        <v>34549</v>
      </c>
    </row>
    <row r="6057" spans="1:11" ht="187.2" x14ac:dyDescent="0.3">
      <c r="A6057" s="4" t="s">
        <v>8894</v>
      </c>
      <c r="B6057">
        <v>3</v>
      </c>
      <c r="C6057">
        <v>2013</v>
      </c>
      <c r="D6057" t="s">
        <v>1570</v>
      </c>
      <c r="E6057">
        <v>143</v>
      </c>
      <c r="F6057" t="s">
        <v>34550</v>
      </c>
      <c r="G6057" t="s">
        <v>34551</v>
      </c>
      <c r="H6057" s="4" t="s">
        <v>34552</v>
      </c>
      <c r="I6057" t="s">
        <v>71</v>
      </c>
      <c r="J6057" t="s">
        <v>10782</v>
      </c>
      <c r="K6057" t="s">
        <v>34553</v>
      </c>
    </row>
    <row r="6058" spans="1:11" ht="144" x14ac:dyDescent="0.3">
      <c r="A6058" s="4" t="s">
        <v>8895</v>
      </c>
      <c r="B6058">
        <v>3</v>
      </c>
      <c r="C6058">
        <v>2013</v>
      </c>
      <c r="D6058" t="s">
        <v>26504</v>
      </c>
      <c r="E6058">
        <v>31</v>
      </c>
      <c r="F6058" t="s">
        <v>34554</v>
      </c>
      <c r="G6058" t="s">
        <v>34555</v>
      </c>
      <c r="H6058" s="4" t="s">
        <v>34556</v>
      </c>
      <c r="I6058" t="s">
        <v>71</v>
      </c>
      <c r="J6058" t="s">
        <v>10782</v>
      </c>
      <c r="K6058" t="s">
        <v>34557</v>
      </c>
    </row>
    <row r="6059" spans="1:11" ht="259.2" x14ac:dyDescent="0.3">
      <c r="A6059" s="4" t="s">
        <v>8896</v>
      </c>
      <c r="B6059">
        <v>3</v>
      </c>
      <c r="C6059">
        <v>2013</v>
      </c>
      <c r="D6059" t="s">
        <v>13170</v>
      </c>
      <c r="E6059">
        <v>74</v>
      </c>
      <c r="F6059" t="s">
        <v>34558</v>
      </c>
      <c r="G6059" t="s">
        <v>34559</v>
      </c>
      <c r="H6059" s="4" t="s">
        <v>34560</v>
      </c>
      <c r="I6059" t="s">
        <v>71</v>
      </c>
      <c r="J6059" t="s">
        <v>10782</v>
      </c>
      <c r="K6059" t="s">
        <v>34561</v>
      </c>
    </row>
    <row r="6060" spans="1:11" ht="72" x14ac:dyDescent="0.3">
      <c r="A6060" s="4" t="s">
        <v>8897</v>
      </c>
      <c r="B6060">
        <v>3</v>
      </c>
      <c r="C6060">
        <v>2013</v>
      </c>
      <c r="D6060" t="s">
        <v>679</v>
      </c>
      <c r="E6060">
        <v>34</v>
      </c>
      <c r="F6060" t="s">
        <v>34562</v>
      </c>
      <c r="G6060" t="s">
        <v>34563</v>
      </c>
      <c r="H6060" s="4" t="s">
        <v>34564</v>
      </c>
    </row>
    <row r="6061" spans="1:11" ht="144" x14ac:dyDescent="0.3">
      <c r="A6061" s="4" t="s">
        <v>8898</v>
      </c>
      <c r="B6061">
        <v>3</v>
      </c>
      <c r="C6061">
        <v>2013</v>
      </c>
      <c r="D6061" t="s">
        <v>12593</v>
      </c>
      <c r="E6061">
        <v>11</v>
      </c>
      <c r="F6061" t="s">
        <v>34565</v>
      </c>
      <c r="G6061" t="s">
        <v>34566</v>
      </c>
      <c r="H6061" s="4" t="s">
        <v>34567</v>
      </c>
      <c r="I6061" t="s">
        <v>71</v>
      </c>
      <c r="J6061" t="s">
        <v>10782</v>
      </c>
      <c r="K6061" t="s">
        <v>34568</v>
      </c>
    </row>
    <row r="6062" spans="1:11" ht="230.4" x14ac:dyDescent="0.3">
      <c r="A6062" s="4" t="s">
        <v>2945</v>
      </c>
      <c r="B6062">
        <v>2</v>
      </c>
      <c r="C6062">
        <v>2013</v>
      </c>
      <c r="D6062" t="s">
        <v>217</v>
      </c>
      <c r="E6062">
        <v>19</v>
      </c>
      <c r="F6062" t="s">
        <v>34569</v>
      </c>
      <c r="G6062" t="s">
        <v>34570</v>
      </c>
      <c r="H6062" s="4" t="s">
        <v>34571</v>
      </c>
      <c r="I6062" t="s">
        <v>71</v>
      </c>
      <c r="J6062" t="s">
        <v>10782</v>
      </c>
      <c r="K6062" t="s">
        <v>34572</v>
      </c>
    </row>
    <row r="6063" spans="1:11" ht="172.8" x14ac:dyDescent="0.3">
      <c r="A6063" s="4" t="s">
        <v>8899</v>
      </c>
      <c r="B6063">
        <v>3</v>
      </c>
      <c r="C6063">
        <v>2013</v>
      </c>
      <c r="D6063" t="s">
        <v>217</v>
      </c>
      <c r="E6063">
        <v>14</v>
      </c>
      <c r="F6063" t="s">
        <v>34573</v>
      </c>
      <c r="G6063" t="s">
        <v>34574</v>
      </c>
      <c r="H6063" s="4" t="s">
        <v>34575</v>
      </c>
      <c r="I6063" t="s">
        <v>71</v>
      </c>
      <c r="J6063" t="s">
        <v>10782</v>
      </c>
      <c r="K6063" t="s">
        <v>34576</v>
      </c>
    </row>
    <row r="6064" spans="1:11" ht="28.8" x14ac:dyDescent="0.3">
      <c r="A6064" s="4" t="s">
        <v>8900</v>
      </c>
      <c r="B6064">
        <v>3</v>
      </c>
      <c r="C6064">
        <v>2013</v>
      </c>
      <c r="D6064" t="s">
        <v>2441</v>
      </c>
      <c r="E6064">
        <v>6</v>
      </c>
      <c r="F6064" t="s">
        <v>34577</v>
      </c>
      <c r="G6064" t="s">
        <v>34578</v>
      </c>
      <c r="H6064" s="4" t="s">
        <v>71</v>
      </c>
      <c r="I6064" t="s">
        <v>10782</v>
      </c>
      <c r="J6064" t="s">
        <v>34579</v>
      </c>
    </row>
    <row r="6065" spans="1:11" ht="201.6" x14ac:dyDescent="0.3">
      <c r="A6065" s="4" t="s">
        <v>8901</v>
      </c>
      <c r="B6065">
        <v>3</v>
      </c>
      <c r="C6065">
        <v>2013</v>
      </c>
      <c r="D6065" t="s">
        <v>830</v>
      </c>
      <c r="E6065">
        <v>47</v>
      </c>
      <c r="F6065" t="s">
        <v>34580</v>
      </c>
      <c r="G6065" t="s">
        <v>34581</v>
      </c>
      <c r="H6065" s="4" t="s">
        <v>34582</v>
      </c>
      <c r="I6065" t="s">
        <v>71</v>
      </c>
      <c r="J6065" t="s">
        <v>10782</v>
      </c>
      <c r="K6065" t="s">
        <v>34583</v>
      </c>
    </row>
    <row r="6066" spans="1:11" ht="43.2" x14ac:dyDescent="0.3">
      <c r="A6066" s="4" t="s">
        <v>8902</v>
      </c>
      <c r="B6066">
        <v>3</v>
      </c>
      <c r="C6066">
        <v>2013</v>
      </c>
      <c r="D6066" t="s">
        <v>2416</v>
      </c>
      <c r="E6066">
        <v>33</v>
      </c>
      <c r="F6066" t="s">
        <v>34584</v>
      </c>
      <c r="G6066" t="s">
        <v>34585</v>
      </c>
      <c r="H6066" s="4" t="s">
        <v>34586</v>
      </c>
    </row>
    <row r="6067" spans="1:11" ht="115.2" x14ac:dyDescent="0.3">
      <c r="A6067" s="4" t="s">
        <v>8903</v>
      </c>
      <c r="B6067">
        <v>3</v>
      </c>
      <c r="C6067">
        <v>2013</v>
      </c>
      <c r="D6067" t="s">
        <v>2201</v>
      </c>
      <c r="E6067">
        <v>69</v>
      </c>
      <c r="F6067" t="s">
        <v>34587</v>
      </c>
      <c r="G6067" t="s">
        <v>34588</v>
      </c>
      <c r="H6067" s="4" t="s">
        <v>34589</v>
      </c>
      <c r="I6067" t="s">
        <v>71</v>
      </c>
      <c r="J6067" t="s">
        <v>10782</v>
      </c>
      <c r="K6067" t="s">
        <v>34590</v>
      </c>
    </row>
    <row r="6068" spans="1:11" ht="187.2" x14ac:dyDescent="0.3">
      <c r="A6068" s="4" t="s">
        <v>2078</v>
      </c>
      <c r="B6068">
        <v>1</v>
      </c>
      <c r="C6068">
        <v>2013</v>
      </c>
      <c r="D6068" t="s">
        <v>550</v>
      </c>
      <c r="E6068">
        <v>53</v>
      </c>
      <c r="F6068" t="s">
        <v>34591</v>
      </c>
      <c r="G6068" t="s">
        <v>34592</v>
      </c>
      <c r="H6068" s="4" t="s">
        <v>34593</v>
      </c>
      <c r="I6068" t="s">
        <v>71</v>
      </c>
      <c r="J6068" t="s">
        <v>10782</v>
      </c>
      <c r="K6068" t="s">
        <v>34594</v>
      </c>
    </row>
    <row r="6069" spans="1:11" ht="187.2" x14ac:dyDescent="0.3">
      <c r="A6069" s="4" t="s">
        <v>3645</v>
      </c>
      <c r="B6069">
        <v>2</v>
      </c>
      <c r="C6069">
        <v>2013</v>
      </c>
      <c r="D6069" t="s">
        <v>177</v>
      </c>
      <c r="E6069">
        <v>14</v>
      </c>
      <c r="F6069" t="s">
        <v>34595</v>
      </c>
      <c r="G6069" t="s">
        <v>34596</v>
      </c>
      <c r="H6069" s="4" t="s">
        <v>34597</v>
      </c>
      <c r="I6069" t="s">
        <v>71</v>
      </c>
      <c r="J6069" t="s">
        <v>10782</v>
      </c>
      <c r="K6069" t="s">
        <v>34598</v>
      </c>
    </row>
    <row r="6070" spans="1:11" ht="158.4" x14ac:dyDescent="0.3">
      <c r="A6070" s="4" t="s">
        <v>8904</v>
      </c>
      <c r="B6070">
        <v>3</v>
      </c>
      <c r="C6070">
        <v>2013</v>
      </c>
      <c r="D6070" t="s">
        <v>11310</v>
      </c>
      <c r="E6070">
        <v>18</v>
      </c>
      <c r="F6070" t="s">
        <v>34599</v>
      </c>
      <c r="G6070" t="s">
        <v>34600</v>
      </c>
      <c r="H6070" s="4" t="s">
        <v>34601</v>
      </c>
      <c r="I6070" t="s">
        <v>71</v>
      </c>
      <c r="J6070" t="s">
        <v>10782</v>
      </c>
      <c r="K6070" t="s">
        <v>34602</v>
      </c>
    </row>
    <row r="6071" spans="1:11" ht="100.8" x14ac:dyDescent="0.3">
      <c r="A6071" s="4" t="s">
        <v>8905</v>
      </c>
      <c r="B6071">
        <v>3</v>
      </c>
      <c r="C6071">
        <v>2013</v>
      </c>
      <c r="D6071" t="s">
        <v>177</v>
      </c>
      <c r="E6071">
        <v>30</v>
      </c>
      <c r="F6071" t="s">
        <v>34603</v>
      </c>
      <c r="G6071" t="s">
        <v>34604</v>
      </c>
      <c r="H6071" s="4" t="s">
        <v>34605</v>
      </c>
    </row>
    <row r="6072" spans="1:11" ht="28.8" x14ac:dyDescent="0.3">
      <c r="A6072" s="4" t="s">
        <v>8906</v>
      </c>
      <c r="B6072">
        <v>3</v>
      </c>
      <c r="C6072">
        <v>2013</v>
      </c>
      <c r="D6072" t="s">
        <v>34606</v>
      </c>
      <c r="E6072">
        <v>3</v>
      </c>
      <c r="F6072" t="s">
        <v>34607</v>
      </c>
      <c r="G6072" t="s">
        <v>34608</v>
      </c>
      <c r="H6072" s="4" t="s">
        <v>71</v>
      </c>
      <c r="I6072" t="s">
        <v>10782</v>
      </c>
      <c r="J6072" t="s">
        <v>34609</v>
      </c>
    </row>
    <row r="6073" spans="1:11" ht="115.2" x14ac:dyDescent="0.3">
      <c r="A6073" s="4" t="s">
        <v>3421</v>
      </c>
      <c r="B6073">
        <v>1</v>
      </c>
      <c r="C6073">
        <v>2013</v>
      </c>
      <c r="D6073" t="s">
        <v>217</v>
      </c>
      <c r="E6073">
        <v>57</v>
      </c>
      <c r="F6073" t="s">
        <v>34610</v>
      </c>
      <c r="G6073" t="s">
        <v>34611</v>
      </c>
      <c r="H6073" s="4" t="s">
        <v>34612</v>
      </c>
    </row>
    <row r="6074" spans="1:11" ht="86.4" x14ac:dyDescent="0.3">
      <c r="A6074" s="4" t="s">
        <v>8907</v>
      </c>
      <c r="B6074">
        <v>3</v>
      </c>
      <c r="C6074">
        <v>2013</v>
      </c>
      <c r="D6074" t="s">
        <v>1426</v>
      </c>
      <c r="E6074">
        <v>1525</v>
      </c>
      <c r="F6074" t="s">
        <v>34613</v>
      </c>
      <c r="G6074" t="s">
        <v>34614</v>
      </c>
      <c r="H6074" s="4" t="s">
        <v>34615</v>
      </c>
      <c r="I6074" t="s">
        <v>10823</v>
      </c>
      <c r="J6074" t="s">
        <v>10782</v>
      </c>
      <c r="K6074" t="s">
        <v>34616</v>
      </c>
    </row>
    <row r="6075" spans="1:11" ht="115.2" x14ac:dyDescent="0.3">
      <c r="A6075" s="4" t="s">
        <v>8908</v>
      </c>
      <c r="B6075">
        <v>3</v>
      </c>
      <c r="C6075">
        <v>2013</v>
      </c>
      <c r="D6075" t="s">
        <v>1570</v>
      </c>
      <c r="E6075">
        <v>43</v>
      </c>
      <c r="F6075" t="s">
        <v>34617</v>
      </c>
      <c r="G6075" t="s">
        <v>34618</v>
      </c>
      <c r="H6075" s="4" t="s">
        <v>34619</v>
      </c>
      <c r="I6075" t="s">
        <v>71</v>
      </c>
      <c r="J6075" t="s">
        <v>10782</v>
      </c>
      <c r="K6075" t="s">
        <v>34620</v>
      </c>
    </row>
    <row r="6076" spans="1:11" ht="57.6" x14ac:dyDescent="0.3">
      <c r="A6076" s="4" t="s">
        <v>8909</v>
      </c>
      <c r="B6076">
        <v>3</v>
      </c>
      <c r="C6076">
        <v>2013</v>
      </c>
      <c r="D6076" t="s">
        <v>14863</v>
      </c>
      <c r="E6076">
        <v>111</v>
      </c>
      <c r="F6076" t="s">
        <v>34621</v>
      </c>
      <c r="G6076" t="s">
        <v>34622</v>
      </c>
      <c r="H6076" s="4" t="s">
        <v>34623</v>
      </c>
    </row>
    <row r="6077" spans="1:11" ht="28.8" x14ac:dyDescent="0.3">
      <c r="A6077" s="4" t="s">
        <v>8910</v>
      </c>
      <c r="B6077">
        <v>3</v>
      </c>
      <c r="C6077">
        <v>2013</v>
      </c>
      <c r="D6077" t="s">
        <v>19220</v>
      </c>
      <c r="E6077">
        <v>0</v>
      </c>
      <c r="F6077" t="s">
        <v>34624</v>
      </c>
      <c r="G6077" t="s">
        <v>34625</v>
      </c>
      <c r="H6077" s="4" t="s">
        <v>71</v>
      </c>
      <c r="I6077" t="s">
        <v>10782</v>
      </c>
      <c r="J6077" t="s">
        <v>34626</v>
      </c>
    </row>
    <row r="6078" spans="1:11" ht="172.8" x14ac:dyDescent="0.3">
      <c r="A6078" s="4" t="s">
        <v>8911</v>
      </c>
      <c r="B6078">
        <v>3</v>
      </c>
      <c r="C6078">
        <v>2013</v>
      </c>
      <c r="D6078" t="s">
        <v>217</v>
      </c>
      <c r="E6078">
        <v>14</v>
      </c>
      <c r="F6078" t="s">
        <v>34627</v>
      </c>
      <c r="G6078" t="s">
        <v>34628</v>
      </c>
      <c r="H6078" s="4" t="s">
        <v>34629</v>
      </c>
      <c r="I6078" t="s">
        <v>71</v>
      </c>
      <c r="J6078" t="s">
        <v>10782</v>
      </c>
      <c r="K6078" t="s">
        <v>34630</v>
      </c>
    </row>
    <row r="6079" spans="1:11" ht="172.8" x14ac:dyDescent="0.3">
      <c r="A6079" s="4" t="s">
        <v>8912</v>
      </c>
      <c r="B6079">
        <v>3</v>
      </c>
      <c r="C6079">
        <v>2013</v>
      </c>
      <c r="D6079" t="s">
        <v>1570</v>
      </c>
      <c r="E6079">
        <v>35</v>
      </c>
      <c r="F6079" t="s">
        <v>34631</v>
      </c>
      <c r="G6079" t="s">
        <v>34632</v>
      </c>
      <c r="H6079" s="4" t="s">
        <v>34633</v>
      </c>
      <c r="I6079" t="s">
        <v>71</v>
      </c>
      <c r="J6079" t="s">
        <v>10782</v>
      </c>
      <c r="K6079" t="s">
        <v>34634</v>
      </c>
    </row>
    <row r="6080" spans="1:11" ht="187.2" x14ac:dyDescent="0.3">
      <c r="A6080" s="4" t="s">
        <v>8913</v>
      </c>
      <c r="B6080">
        <v>3</v>
      </c>
      <c r="C6080">
        <v>2013</v>
      </c>
      <c r="D6080" t="s">
        <v>10057</v>
      </c>
      <c r="E6080">
        <v>93</v>
      </c>
      <c r="F6080" t="s">
        <v>34635</v>
      </c>
      <c r="G6080" t="s">
        <v>34636</v>
      </c>
      <c r="H6080" s="4" t="s">
        <v>34637</v>
      </c>
      <c r="I6080" t="s">
        <v>71</v>
      </c>
      <c r="J6080" t="s">
        <v>10782</v>
      </c>
      <c r="K6080" t="s">
        <v>34638</v>
      </c>
    </row>
    <row r="6081" spans="1:11" ht="144" x14ac:dyDescent="0.3">
      <c r="A6081" s="4" t="s">
        <v>8914</v>
      </c>
      <c r="B6081">
        <v>3</v>
      </c>
      <c r="C6081">
        <v>2013</v>
      </c>
      <c r="D6081" t="s">
        <v>18825</v>
      </c>
      <c r="E6081">
        <v>20</v>
      </c>
      <c r="F6081" t="s">
        <v>34639</v>
      </c>
      <c r="G6081" t="s">
        <v>34640</v>
      </c>
      <c r="H6081" s="4" t="s">
        <v>34641</v>
      </c>
      <c r="I6081" t="s">
        <v>71</v>
      </c>
      <c r="J6081" t="s">
        <v>10782</v>
      </c>
      <c r="K6081" t="s">
        <v>34642</v>
      </c>
    </row>
    <row r="6082" spans="1:11" ht="201.6" x14ac:dyDescent="0.3">
      <c r="A6082" s="4" t="s">
        <v>8915</v>
      </c>
      <c r="B6082">
        <v>3</v>
      </c>
      <c r="C6082">
        <v>2013</v>
      </c>
      <c r="D6082" t="s">
        <v>3061</v>
      </c>
      <c r="E6082">
        <v>24</v>
      </c>
      <c r="F6082" t="s">
        <v>34643</v>
      </c>
      <c r="G6082" t="s">
        <v>34644</v>
      </c>
      <c r="H6082" s="4" t="s">
        <v>34645</v>
      </c>
      <c r="I6082" t="s">
        <v>71</v>
      </c>
      <c r="J6082" t="s">
        <v>10782</v>
      </c>
      <c r="K6082" t="s">
        <v>34646</v>
      </c>
    </row>
    <row r="6083" spans="1:11" ht="129.6" x14ac:dyDescent="0.3">
      <c r="A6083" s="4" t="s">
        <v>8916</v>
      </c>
      <c r="B6083">
        <v>3</v>
      </c>
      <c r="C6083">
        <v>2013</v>
      </c>
      <c r="D6083" t="s">
        <v>1088</v>
      </c>
      <c r="E6083">
        <v>24</v>
      </c>
      <c r="F6083" t="s">
        <v>34647</v>
      </c>
      <c r="G6083" t="s">
        <v>34648</v>
      </c>
      <c r="H6083" s="4" t="s">
        <v>34649</v>
      </c>
      <c r="I6083" t="s">
        <v>71</v>
      </c>
      <c r="J6083" t="s">
        <v>10782</v>
      </c>
      <c r="K6083" t="s">
        <v>34650</v>
      </c>
    </row>
    <row r="6084" spans="1:11" ht="129.6" x14ac:dyDescent="0.3">
      <c r="A6084" s="4" t="s">
        <v>8917</v>
      </c>
      <c r="B6084">
        <v>3</v>
      </c>
      <c r="C6084">
        <v>2013</v>
      </c>
      <c r="D6084" t="s">
        <v>2853</v>
      </c>
      <c r="E6084">
        <v>65</v>
      </c>
      <c r="F6084" t="s">
        <v>34651</v>
      </c>
      <c r="G6084" t="s">
        <v>34652</v>
      </c>
      <c r="H6084" s="4" t="s">
        <v>34653</v>
      </c>
      <c r="I6084" t="s">
        <v>71</v>
      </c>
      <c r="J6084" t="s">
        <v>10782</v>
      </c>
      <c r="K6084" t="s">
        <v>34654</v>
      </c>
    </row>
    <row r="6085" spans="1:11" ht="144" x14ac:dyDescent="0.3">
      <c r="A6085" s="4" t="s">
        <v>8918</v>
      </c>
      <c r="B6085">
        <v>3</v>
      </c>
      <c r="C6085">
        <v>2013</v>
      </c>
      <c r="D6085" t="s">
        <v>637</v>
      </c>
      <c r="E6085">
        <v>42</v>
      </c>
      <c r="F6085" t="s">
        <v>34655</v>
      </c>
      <c r="G6085" t="s">
        <v>34656</v>
      </c>
      <c r="H6085" s="4" t="s">
        <v>34657</v>
      </c>
    </row>
    <row r="6086" spans="1:11" ht="187.2" x14ac:dyDescent="0.3">
      <c r="A6086" s="4" t="s">
        <v>8919</v>
      </c>
      <c r="B6086">
        <v>3</v>
      </c>
      <c r="C6086">
        <v>2013</v>
      </c>
      <c r="D6086" t="s">
        <v>164</v>
      </c>
      <c r="E6086">
        <v>10</v>
      </c>
      <c r="F6086" t="s">
        <v>34658</v>
      </c>
      <c r="G6086" t="s">
        <v>34659</v>
      </c>
      <c r="H6086" s="4" t="s">
        <v>34660</v>
      </c>
      <c r="I6086" t="s">
        <v>71</v>
      </c>
      <c r="J6086" t="s">
        <v>10782</v>
      </c>
      <c r="K6086" t="s">
        <v>34661</v>
      </c>
    </row>
    <row r="6087" spans="1:11" ht="86.4" x14ac:dyDescent="0.3">
      <c r="A6087" s="4" t="s">
        <v>8920</v>
      </c>
      <c r="B6087">
        <v>3</v>
      </c>
      <c r="C6087">
        <v>2013</v>
      </c>
      <c r="D6087" t="s">
        <v>385</v>
      </c>
      <c r="E6087">
        <v>143</v>
      </c>
      <c r="F6087" t="s">
        <v>34662</v>
      </c>
      <c r="G6087" t="s">
        <v>34663</v>
      </c>
      <c r="H6087" s="4" t="s">
        <v>34664</v>
      </c>
      <c r="I6087" t="s">
        <v>71</v>
      </c>
      <c r="J6087" t="s">
        <v>10782</v>
      </c>
      <c r="K6087" t="s">
        <v>34665</v>
      </c>
    </row>
    <row r="6088" spans="1:11" ht="144" x14ac:dyDescent="0.3">
      <c r="A6088" s="4" t="s">
        <v>8921</v>
      </c>
      <c r="B6088">
        <v>3</v>
      </c>
      <c r="C6088">
        <v>2013</v>
      </c>
      <c r="D6088" t="s">
        <v>19545</v>
      </c>
      <c r="E6088">
        <v>7</v>
      </c>
      <c r="F6088" t="s">
        <v>34666</v>
      </c>
      <c r="G6088" t="s">
        <v>34667</v>
      </c>
      <c r="H6088" s="4" t="s">
        <v>34668</v>
      </c>
      <c r="I6088" t="s">
        <v>71</v>
      </c>
      <c r="J6088" t="s">
        <v>10782</v>
      </c>
      <c r="K6088" t="s">
        <v>34669</v>
      </c>
    </row>
    <row r="6089" spans="1:11" ht="100.8" x14ac:dyDescent="0.3">
      <c r="A6089" s="4" t="s">
        <v>8922</v>
      </c>
      <c r="B6089">
        <v>3</v>
      </c>
      <c r="C6089">
        <v>2013</v>
      </c>
      <c r="D6089" t="s">
        <v>32486</v>
      </c>
      <c r="E6089">
        <v>7</v>
      </c>
      <c r="F6089" t="s">
        <v>34670</v>
      </c>
      <c r="G6089" t="s">
        <v>34671</v>
      </c>
      <c r="H6089" s="4" t="s">
        <v>34672</v>
      </c>
    </row>
    <row r="6090" spans="1:11" ht="230.4" x14ac:dyDescent="0.3">
      <c r="A6090" s="4" t="s">
        <v>8923</v>
      </c>
      <c r="B6090">
        <v>3</v>
      </c>
      <c r="C6090">
        <v>2013</v>
      </c>
      <c r="D6090" t="s">
        <v>318</v>
      </c>
      <c r="E6090">
        <v>70</v>
      </c>
      <c r="F6090" t="s">
        <v>34673</v>
      </c>
      <c r="G6090" t="s">
        <v>34674</v>
      </c>
      <c r="H6090" s="4" t="s">
        <v>34675</v>
      </c>
      <c r="I6090" t="s">
        <v>71</v>
      </c>
      <c r="J6090" t="s">
        <v>10782</v>
      </c>
      <c r="K6090" t="s">
        <v>34676</v>
      </c>
    </row>
    <row r="6091" spans="1:11" ht="201.6" x14ac:dyDescent="0.3">
      <c r="A6091" s="4" t="s">
        <v>2079</v>
      </c>
      <c r="B6091">
        <v>1</v>
      </c>
      <c r="C6091">
        <v>2013</v>
      </c>
      <c r="D6091" t="s">
        <v>217</v>
      </c>
      <c r="E6091">
        <v>8</v>
      </c>
      <c r="F6091" t="s">
        <v>34677</v>
      </c>
      <c r="G6091" t="s">
        <v>34678</v>
      </c>
      <c r="H6091" s="4" t="s">
        <v>34679</v>
      </c>
      <c r="I6091" t="s">
        <v>71</v>
      </c>
      <c r="J6091" t="s">
        <v>10782</v>
      </c>
      <c r="K6091" t="s">
        <v>34680</v>
      </c>
    </row>
    <row r="6092" spans="1:11" ht="172.8" x14ac:dyDescent="0.3">
      <c r="A6092" s="4" t="s">
        <v>8924</v>
      </c>
      <c r="B6092">
        <v>3</v>
      </c>
      <c r="C6092">
        <v>2013</v>
      </c>
      <c r="D6092" t="s">
        <v>11598</v>
      </c>
      <c r="E6092">
        <v>43</v>
      </c>
      <c r="F6092" t="s">
        <v>34681</v>
      </c>
      <c r="G6092" t="s">
        <v>34682</v>
      </c>
      <c r="H6092" s="4" t="s">
        <v>34683</v>
      </c>
      <c r="I6092" t="s">
        <v>71</v>
      </c>
      <c r="J6092" t="s">
        <v>10782</v>
      </c>
      <c r="K6092" t="s">
        <v>34684</v>
      </c>
    </row>
    <row r="6093" spans="1:11" ht="144" x14ac:dyDescent="0.3">
      <c r="A6093" s="4" t="s">
        <v>8925</v>
      </c>
      <c r="B6093">
        <v>3</v>
      </c>
      <c r="C6093">
        <v>2013</v>
      </c>
      <c r="D6093" t="s">
        <v>1770</v>
      </c>
      <c r="E6093">
        <v>117</v>
      </c>
      <c r="F6093" t="s">
        <v>34685</v>
      </c>
      <c r="G6093" t="s">
        <v>34686</v>
      </c>
      <c r="H6093" s="4" t="s">
        <v>34687</v>
      </c>
    </row>
    <row r="6094" spans="1:11" ht="129.6" x14ac:dyDescent="0.3">
      <c r="A6094" s="4" t="s">
        <v>8926</v>
      </c>
      <c r="B6094">
        <v>3</v>
      </c>
      <c r="C6094">
        <v>2013</v>
      </c>
      <c r="D6094" t="s">
        <v>799</v>
      </c>
      <c r="E6094">
        <v>180</v>
      </c>
      <c r="F6094" t="s">
        <v>34688</v>
      </c>
      <c r="G6094" t="s">
        <v>34689</v>
      </c>
      <c r="H6094" s="4" t="s">
        <v>34690</v>
      </c>
      <c r="I6094" t="s">
        <v>71</v>
      </c>
      <c r="J6094" t="s">
        <v>10782</v>
      </c>
      <c r="K6094" t="s">
        <v>34691</v>
      </c>
    </row>
    <row r="6095" spans="1:11" ht="86.4" x14ac:dyDescent="0.3">
      <c r="A6095" s="4" t="s">
        <v>8927</v>
      </c>
      <c r="B6095">
        <v>3</v>
      </c>
      <c r="C6095">
        <v>2013</v>
      </c>
      <c r="D6095" t="s">
        <v>2853</v>
      </c>
      <c r="E6095">
        <v>68</v>
      </c>
      <c r="F6095" t="s">
        <v>34692</v>
      </c>
      <c r="G6095" t="s">
        <v>34693</v>
      </c>
      <c r="H6095" s="4" t="s">
        <v>34694</v>
      </c>
    </row>
    <row r="6096" spans="1:11" ht="129.6" x14ac:dyDescent="0.3">
      <c r="A6096" s="4" t="s">
        <v>8928</v>
      </c>
      <c r="B6096">
        <v>3</v>
      </c>
      <c r="C6096">
        <v>2013</v>
      </c>
      <c r="D6096" t="s">
        <v>29988</v>
      </c>
      <c r="E6096">
        <v>6</v>
      </c>
      <c r="F6096" t="s">
        <v>34695</v>
      </c>
      <c r="G6096" t="s">
        <v>34696</v>
      </c>
      <c r="H6096" s="4" t="s">
        <v>34697</v>
      </c>
      <c r="I6096" t="s">
        <v>71</v>
      </c>
      <c r="J6096" t="s">
        <v>10782</v>
      </c>
      <c r="K6096" t="s">
        <v>34698</v>
      </c>
    </row>
    <row r="6097" spans="1:11" ht="172.8" x14ac:dyDescent="0.3">
      <c r="A6097" s="4" t="s">
        <v>3422</v>
      </c>
      <c r="B6097">
        <v>1</v>
      </c>
      <c r="C6097">
        <v>2013</v>
      </c>
      <c r="D6097" t="s">
        <v>550</v>
      </c>
      <c r="E6097">
        <v>12</v>
      </c>
      <c r="F6097" t="s">
        <v>34699</v>
      </c>
      <c r="G6097" t="s">
        <v>34700</v>
      </c>
      <c r="H6097" s="4" t="s">
        <v>34701</v>
      </c>
      <c r="I6097" t="s">
        <v>71</v>
      </c>
      <c r="J6097" t="s">
        <v>10782</v>
      </c>
      <c r="K6097" t="s">
        <v>34702</v>
      </c>
    </row>
    <row r="6098" spans="1:11" ht="187.2" x14ac:dyDescent="0.3">
      <c r="A6098" s="4" t="s">
        <v>8929</v>
      </c>
      <c r="B6098">
        <v>3</v>
      </c>
      <c r="C6098">
        <v>2013</v>
      </c>
      <c r="D6098" t="s">
        <v>19186</v>
      </c>
      <c r="E6098">
        <v>12</v>
      </c>
      <c r="F6098" t="s">
        <v>34703</v>
      </c>
      <c r="G6098" t="s">
        <v>34704</v>
      </c>
      <c r="H6098" s="4" t="s">
        <v>34705</v>
      </c>
      <c r="I6098" t="s">
        <v>71</v>
      </c>
      <c r="J6098" t="s">
        <v>10782</v>
      </c>
      <c r="K6098" t="s">
        <v>34706</v>
      </c>
    </row>
    <row r="6099" spans="1:11" x14ac:dyDescent="0.3">
      <c r="A6099" s="4" t="s">
        <v>8930</v>
      </c>
      <c r="B6099">
        <v>3</v>
      </c>
      <c r="C6099">
        <v>2013</v>
      </c>
      <c r="D6099" t="s">
        <v>34707</v>
      </c>
      <c r="E6099">
        <v>22</v>
      </c>
      <c r="F6099" t="s">
        <v>34708</v>
      </c>
      <c r="G6099" t="s">
        <v>34709</v>
      </c>
      <c r="H6099" s="4" t="s">
        <v>34710</v>
      </c>
    </row>
    <row r="6100" spans="1:11" ht="187.2" x14ac:dyDescent="0.3">
      <c r="A6100" s="4" t="s">
        <v>8931</v>
      </c>
      <c r="B6100">
        <v>3</v>
      </c>
      <c r="C6100">
        <v>2013</v>
      </c>
      <c r="D6100" t="s">
        <v>217</v>
      </c>
      <c r="E6100">
        <v>32</v>
      </c>
      <c r="F6100" t="s">
        <v>34711</v>
      </c>
      <c r="G6100" t="s">
        <v>34712</v>
      </c>
      <c r="H6100" s="4" t="s">
        <v>34713</v>
      </c>
      <c r="I6100" t="s">
        <v>71</v>
      </c>
      <c r="J6100" t="s">
        <v>10782</v>
      </c>
      <c r="K6100" t="s">
        <v>34714</v>
      </c>
    </row>
    <row r="6101" spans="1:11" ht="100.8" x14ac:dyDescent="0.3">
      <c r="A6101" s="4" t="s">
        <v>8932</v>
      </c>
      <c r="B6101">
        <v>3</v>
      </c>
      <c r="C6101">
        <v>2013</v>
      </c>
      <c r="D6101" t="s">
        <v>11521</v>
      </c>
      <c r="E6101">
        <v>21</v>
      </c>
      <c r="F6101" t="s">
        <v>34715</v>
      </c>
      <c r="G6101" t="s">
        <v>34716</v>
      </c>
      <c r="H6101" s="4" t="s">
        <v>34717</v>
      </c>
      <c r="I6101" t="s">
        <v>71</v>
      </c>
      <c r="J6101" t="s">
        <v>10782</v>
      </c>
      <c r="K6101" t="s">
        <v>34718</v>
      </c>
    </row>
    <row r="6102" spans="1:11" x14ac:dyDescent="0.3">
      <c r="A6102" s="4" t="s">
        <v>8933</v>
      </c>
      <c r="B6102">
        <v>3</v>
      </c>
      <c r="C6102">
        <v>2013</v>
      </c>
      <c r="D6102" t="s">
        <v>16780</v>
      </c>
      <c r="E6102">
        <v>0</v>
      </c>
      <c r="F6102" t="s">
        <v>34719</v>
      </c>
      <c r="G6102" t="s">
        <v>34720</v>
      </c>
      <c r="H6102" s="4" t="s">
        <v>71</v>
      </c>
      <c r="I6102" t="s">
        <v>10782</v>
      </c>
      <c r="J6102" t="s">
        <v>34721</v>
      </c>
    </row>
    <row r="6103" spans="1:11" ht="316.8" x14ac:dyDescent="0.3">
      <c r="A6103" s="4" t="s">
        <v>8934</v>
      </c>
      <c r="B6103">
        <v>3</v>
      </c>
      <c r="C6103">
        <v>2013</v>
      </c>
      <c r="D6103" t="s">
        <v>11658</v>
      </c>
      <c r="E6103">
        <v>31</v>
      </c>
      <c r="F6103" t="s">
        <v>34722</v>
      </c>
      <c r="G6103" t="s">
        <v>34723</v>
      </c>
      <c r="H6103" s="4" t="s">
        <v>34724</v>
      </c>
      <c r="I6103" t="s">
        <v>71</v>
      </c>
      <c r="J6103" t="s">
        <v>10782</v>
      </c>
      <c r="K6103" t="s">
        <v>34725</v>
      </c>
    </row>
    <row r="6104" spans="1:11" ht="172.8" x14ac:dyDescent="0.3">
      <c r="A6104" s="4" t="s">
        <v>3423</v>
      </c>
      <c r="B6104">
        <v>1</v>
      </c>
      <c r="C6104">
        <v>2013</v>
      </c>
      <c r="D6104" t="s">
        <v>1841</v>
      </c>
      <c r="E6104">
        <v>31</v>
      </c>
      <c r="F6104" t="s">
        <v>34726</v>
      </c>
      <c r="G6104" t="s">
        <v>34727</v>
      </c>
      <c r="H6104" s="4" t="s">
        <v>34728</v>
      </c>
      <c r="I6104" t="s">
        <v>71</v>
      </c>
      <c r="J6104" t="s">
        <v>10782</v>
      </c>
      <c r="K6104" t="s">
        <v>34729</v>
      </c>
    </row>
    <row r="6105" spans="1:11" ht="187.2" x14ac:dyDescent="0.3">
      <c r="A6105" s="4" t="s">
        <v>8935</v>
      </c>
      <c r="B6105">
        <v>3</v>
      </c>
      <c r="C6105">
        <v>2013</v>
      </c>
      <c r="D6105" t="s">
        <v>1770</v>
      </c>
      <c r="E6105">
        <v>24</v>
      </c>
      <c r="F6105" t="s">
        <v>34730</v>
      </c>
      <c r="G6105" t="s">
        <v>34731</v>
      </c>
      <c r="H6105" s="4" t="s">
        <v>34732</v>
      </c>
      <c r="I6105" t="s">
        <v>71</v>
      </c>
      <c r="J6105" t="s">
        <v>10782</v>
      </c>
      <c r="K6105" t="s">
        <v>34733</v>
      </c>
    </row>
    <row r="6106" spans="1:11" ht="230.4" x14ac:dyDescent="0.3">
      <c r="A6106" s="4" t="s">
        <v>8936</v>
      </c>
      <c r="B6106">
        <v>3</v>
      </c>
      <c r="C6106">
        <v>2013</v>
      </c>
      <c r="D6106" t="s">
        <v>1759</v>
      </c>
      <c r="E6106">
        <v>52</v>
      </c>
      <c r="F6106" t="s">
        <v>34734</v>
      </c>
      <c r="G6106" t="s">
        <v>34735</v>
      </c>
      <c r="H6106" s="4" t="s">
        <v>34736</v>
      </c>
      <c r="I6106" t="s">
        <v>71</v>
      </c>
      <c r="J6106" t="s">
        <v>10782</v>
      </c>
      <c r="K6106" t="s">
        <v>34737</v>
      </c>
    </row>
    <row r="6107" spans="1:11" ht="187.2" x14ac:dyDescent="0.3">
      <c r="A6107" s="4" t="s">
        <v>8937</v>
      </c>
      <c r="B6107">
        <v>3</v>
      </c>
      <c r="C6107">
        <v>2013</v>
      </c>
      <c r="D6107" t="s">
        <v>217</v>
      </c>
      <c r="E6107">
        <v>43</v>
      </c>
      <c r="F6107" t="s">
        <v>34738</v>
      </c>
      <c r="G6107" t="s">
        <v>34739</v>
      </c>
      <c r="H6107" s="4" t="s">
        <v>34740</v>
      </c>
      <c r="I6107" t="s">
        <v>71</v>
      </c>
      <c r="J6107" t="s">
        <v>10782</v>
      </c>
      <c r="K6107" t="s">
        <v>34741</v>
      </c>
    </row>
    <row r="6108" spans="1:11" ht="158.4" x14ac:dyDescent="0.3">
      <c r="A6108" s="4" t="s">
        <v>8938</v>
      </c>
      <c r="B6108">
        <v>3</v>
      </c>
      <c r="C6108">
        <v>2013</v>
      </c>
      <c r="D6108" t="s">
        <v>1841</v>
      </c>
      <c r="E6108">
        <v>37</v>
      </c>
      <c r="F6108" t="s">
        <v>34742</v>
      </c>
      <c r="G6108" t="s">
        <v>34743</v>
      </c>
      <c r="H6108" s="4" t="s">
        <v>34744</v>
      </c>
      <c r="I6108" t="s">
        <v>71</v>
      </c>
      <c r="J6108" t="s">
        <v>10782</v>
      </c>
      <c r="K6108" t="s">
        <v>34745</v>
      </c>
    </row>
    <row r="6109" spans="1:11" ht="244.8" x14ac:dyDescent="0.3">
      <c r="A6109" s="4" t="s">
        <v>8939</v>
      </c>
      <c r="B6109">
        <v>3</v>
      </c>
      <c r="C6109">
        <v>2013</v>
      </c>
      <c r="D6109" t="s">
        <v>10924</v>
      </c>
      <c r="E6109">
        <v>127</v>
      </c>
      <c r="F6109" t="s">
        <v>34746</v>
      </c>
      <c r="G6109" t="s">
        <v>34747</v>
      </c>
      <c r="H6109" s="4" t="s">
        <v>34748</v>
      </c>
      <c r="I6109" t="s">
        <v>71</v>
      </c>
      <c r="J6109" t="s">
        <v>10782</v>
      </c>
      <c r="K6109" t="s">
        <v>34749</v>
      </c>
    </row>
    <row r="6110" spans="1:11" ht="129.6" x14ac:dyDescent="0.3">
      <c r="A6110" s="4" t="s">
        <v>8940</v>
      </c>
      <c r="B6110">
        <v>3</v>
      </c>
      <c r="C6110">
        <v>2013</v>
      </c>
      <c r="D6110" t="s">
        <v>2282</v>
      </c>
      <c r="E6110">
        <v>31</v>
      </c>
      <c r="F6110" t="s">
        <v>34750</v>
      </c>
      <c r="G6110" t="s">
        <v>34751</v>
      </c>
      <c r="H6110" s="4" t="s">
        <v>34752</v>
      </c>
      <c r="I6110" t="s">
        <v>71</v>
      </c>
      <c r="J6110" t="s">
        <v>10782</v>
      </c>
      <c r="K6110" t="s">
        <v>34753</v>
      </c>
    </row>
    <row r="6111" spans="1:11" ht="187.2" x14ac:dyDescent="0.3">
      <c r="A6111" s="4" t="s">
        <v>8941</v>
      </c>
      <c r="B6111">
        <v>3</v>
      </c>
      <c r="C6111">
        <v>2013</v>
      </c>
      <c r="D6111" t="s">
        <v>34754</v>
      </c>
      <c r="E6111">
        <v>20</v>
      </c>
      <c r="F6111" t="s">
        <v>34755</v>
      </c>
      <c r="G6111" t="s">
        <v>34756</v>
      </c>
      <c r="H6111" s="4" t="s">
        <v>34757</v>
      </c>
      <c r="I6111" t="s">
        <v>71</v>
      </c>
      <c r="J6111" t="s">
        <v>10782</v>
      </c>
      <c r="K6111" t="s">
        <v>34758</v>
      </c>
    </row>
    <row r="6112" spans="1:11" ht="230.4" x14ac:dyDescent="0.3">
      <c r="A6112" s="4" t="s">
        <v>8942</v>
      </c>
      <c r="B6112">
        <v>3</v>
      </c>
      <c r="C6112">
        <v>2013</v>
      </c>
      <c r="D6112" t="s">
        <v>2282</v>
      </c>
      <c r="E6112">
        <v>22</v>
      </c>
      <c r="F6112" t="s">
        <v>34759</v>
      </c>
      <c r="G6112" t="s">
        <v>34760</v>
      </c>
      <c r="H6112" s="4" t="s">
        <v>34761</v>
      </c>
      <c r="I6112" t="s">
        <v>71</v>
      </c>
      <c r="J6112" t="s">
        <v>10782</v>
      </c>
      <c r="K6112" t="s">
        <v>34762</v>
      </c>
    </row>
    <row r="6113" spans="1:11" ht="144" x14ac:dyDescent="0.3">
      <c r="A6113" s="4" t="s">
        <v>8943</v>
      </c>
      <c r="B6113">
        <v>3</v>
      </c>
      <c r="C6113">
        <v>2013</v>
      </c>
      <c r="D6113" t="s">
        <v>2853</v>
      </c>
      <c r="E6113">
        <v>68</v>
      </c>
      <c r="F6113" t="s">
        <v>34763</v>
      </c>
      <c r="G6113" t="s">
        <v>34764</v>
      </c>
      <c r="H6113" s="4" t="s">
        <v>34765</v>
      </c>
      <c r="I6113" t="s">
        <v>71</v>
      </c>
      <c r="J6113" t="s">
        <v>10782</v>
      </c>
      <c r="K6113" t="s">
        <v>34766</v>
      </c>
    </row>
    <row r="6114" spans="1:11" ht="28.8" x14ac:dyDescent="0.3">
      <c r="A6114" s="4" t="s">
        <v>8944</v>
      </c>
      <c r="B6114">
        <v>3</v>
      </c>
      <c r="C6114">
        <v>2013</v>
      </c>
      <c r="D6114" t="s">
        <v>13821</v>
      </c>
      <c r="E6114">
        <v>8</v>
      </c>
      <c r="F6114" t="s">
        <v>34767</v>
      </c>
      <c r="G6114" t="s">
        <v>34768</v>
      </c>
      <c r="H6114" s="4" t="s">
        <v>34769</v>
      </c>
    </row>
    <row r="6115" spans="1:11" ht="115.2" x14ac:dyDescent="0.3">
      <c r="A6115" s="4" t="s">
        <v>8945</v>
      </c>
      <c r="B6115">
        <v>3</v>
      </c>
      <c r="C6115">
        <v>2013</v>
      </c>
      <c r="D6115" t="s">
        <v>217</v>
      </c>
      <c r="E6115">
        <v>79</v>
      </c>
      <c r="F6115" t="s">
        <v>34770</v>
      </c>
      <c r="G6115" t="s">
        <v>34771</v>
      </c>
      <c r="H6115" s="4" t="s">
        <v>34772</v>
      </c>
      <c r="I6115" t="s">
        <v>71</v>
      </c>
      <c r="J6115" t="s">
        <v>10782</v>
      </c>
      <c r="K6115" t="s">
        <v>34773</v>
      </c>
    </row>
    <row r="6116" spans="1:11" ht="187.2" x14ac:dyDescent="0.3">
      <c r="A6116" s="4" t="s">
        <v>2080</v>
      </c>
      <c r="B6116">
        <v>1</v>
      </c>
      <c r="C6116">
        <v>2013</v>
      </c>
      <c r="D6116" t="s">
        <v>177</v>
      </c>
      <c r="E6116">
        <v>12</v>
      </c>
      <c r="F6116" t="s">
        <v>34774</v>
      </c>
      <c r="G6116" t="s">
        <v>34775</v>
      </c>
      <c r="H6116" s="4" t="s">
        <v>34776</v>
      </c>
    </row>
    <row r="6117" spans="1:11" ht="172.8" x14ac:dyDescent="0.3">
      <c r="A6117" s="4" t="s">
        <v>8946</v>
      </c>
      <c r="B6117">
        <v>3</v>
      </c>
      <c r="C6117">
        <v>2013</v>
      </c>
      <c r="D6117" t="s">
        <v>12593</v>
      </c>
      <c r="E6117">
        <v>16</v>
      </c>
      <c r="F6117" t="s">
        <v>34777</v>
      </c>
      <c r="G6117" t="s">
        <v>34778</v>
      </c>
      <c r="H6117" s="4" t="s">
        <v>34779</v>
      </c>
      <c r="I6117" t="s">
        <v>71</v>
      </c>
      <c r="J6117" t="s">
        <v>10782</v>
      </c>
      <c r="K6117" t="s">
        <v>34780</v>
      </c>
    </row>
    <row r="6118" spans="1:11" ht="57.6" x14ac:dyDescent="0.3">
      <c r="A6118" s="4" t="s">
        <v>8947</v>
      </c>
      <c r="B6118">
        <v>3</v>
      </c>
      <c r="C6118">
        <v>2013</v>
      </c>
      <c r="D6118" t="s">
        <v>177</v>
      </c>
      <c r="E6118">
        <v>30</v>
      </c>
      <c r="F6118" t="s">
        <v>34781</v>
      </c>
      <c r="G6118" t="s">
        <v>34782</v>
      </c>
      <c r="H6118" s="4" t="s">
        <v>34783</v>
      </c>
    </row>
    <row r="6119" spans="1:11" ht="158.4" x14ac:dyDescent="0.3">
      <c r="A6119" s="4" t="s">
        <v>8948</v>
      </c>
      <c r="B6119">
        <v>3</v>
      </c>
      <c r="C6119">
        <v>2013</v>
      </c>
      <c r="D6119" t="s">
        <v>80</v>
      </c>
      <c r="E6119">
        <v>91</v>
      </c>
      <c r="F6119" t="s">
        <v>34784</v>
      </c>
      <c r="G6119" t="s">
        <v>34785</v>
      </c>
      <c r="H6119" s="4" t="s">
        <v>34786</v>
      </c>
      <c r="I6119" t="s">
        <v>71</v>
      </c>
      <c r="J6119" t="s">
        <v>10782</v>
      </c>
      <c r="K6119" t="s">
        <v>34787</v>
      </c>
    </row>
    <row r="6120" spans="1:11" ht="259.2" x14ac:dyDescent="0.3">
      <c r="A6120" s="4" t="s">
        <v>8949</v>
      </c>
      <c r="B6120">
        <v>3</v>
      </c>
      <c r="C6120">
        <v>2013</v>
      </c>
      <c r="D6120" t="s">
        <v>83</v>
      </c>
      <c r="E6120">
        <v>81</v>
      </c>
      <c r="F6120" t="s">
        <v>34788</v>
      </c>
      <c r="G6120" t="s">
        <v>34789</v>
      </c>
      <c r="H6120" s="4" t="s">
        <v>34790</v>
      </c>
      <c r="I6120" t="s">
        <v>71</v>
      </c>
      <c r="J6120" t="s">
        <v>10782</v>
      </c>
      <c r="K6120" t="s">
        <v>34791</v>
      </c>
    </row>
    <row r="6121" spans="1:11" ht="100.8" x14ac:dyDescent="0.3">
      <c r="A6121" s="4" t="s">
        <v>8950</v>
      </c>
      <c r="B6121">
        <v>3</v>
      </c>
      <c r="C6121">
        <v>2013</v>
      </c>
      <c r="D6121" t="s">
        <v>83</v>
      </c>
      <c r="E6121">
        <v>34</v>
      </c>
      <c r="F6121" t="s">
        <v>34792</v>
      </c>
      <c r="G6121" t="s">
        <v>34793</v>
      </c>
      <c r="H6121" s="4" t="s">
        <v>34794</v>
      </c>
    </row>
    <row r="6122" spans="1:11" ht="115.2" x14ac:dyDescent="0.3">
      <c r="A6122" s="4" t="s">
        <v>8951</v>
      </c>
      <c r="B6122">
        <v>3</v>
      </c>
      <c r="C6122">
        <v>2013</v>
      </c>
      <c r="D6122" t="s">
        <v>528</v>
      </c>
      <c r="E6122">
        <v>73</v>
      </c>
      <c r="F6122" t="s">
        <v>34795</v>
      </c>
      <c r="G6122" t="s">
        <v>34796</v>
      </c>
      <c r="H6122" s="4" t="s">
        <v>34797</v>
      </c>
    </row>
    <row r="6123" spans="1:11" ht="288" x14ac:dyDescent="0.3">
      <c r="A6123" s="4" t="s">
        <v>8952</v>
      </c>
      <c r="B6123">
        <v>3</v>
      </c>
      <c r="C6123">
        <v>2013</v>
      </c>
      <c r="D6123" t="s">
        <v>24374</v>
      </c>
      <c r="E6123">
        <v>46</v>
      </c>
      <c r="F6123" t="s">
        <v>34798</v>
      </c>
      <c r="G6123" t="s">
        <v>34799</v>
      </c>
      <c r="H6123" s="4" t="s">
        <v>34800</v>
      </c>
      <c r="I6123" t="s">
        <v>71</v>
      </c>
      <c r="J6123" t="s">
        <v>10782</v>
      </c>
      <c r="K6123" t="s">
        <v>34801</v>
      </c>
    </row>
    <row r="6124" spans="1:11" ht="216" x14ac:dyDescent="0.3">
      <c r="A6124" s="4" t="s">
        <v>8953</v>
      </c>
      <c r="B6124">
        <v>3</v>
      </c>
      <c r="C6124">
        <v>2013</v>
      </c>
      <c r="D6124" t="s">
        <v>10924</v>
      </c>
      <c r="E6124">
        <v>39</v>
      </c>
      <c r="F6124" t="s">
        <v>34802</v>
      </c>
      <c r="G6124" t="s">
        <v>34803</v>
      </c>
      <c r="H6124" s="4" t="s">
        <v>34804</v>
      </c>
    </row>
    <row r="6125" spans="1:11" ht="187.2" x14ac:dyDescent="0.3">
      <c r="A6125" s="4" t="s">
        <v>8954</v>
      </c>
      <c r="B6125">
        <v>3</v>
      </c>
      <c r="C6125">
        <v>2013</v>
      </c>
      <c r="D6125" t="s">
        <v>1175</v>
      </c>
      <c r="E6125">
        <v>38</v>
      </c>
      <c r="F6125" t="s">
        <v>34805</v>
      </c>
      <c r="G6125" t="s">
        <v>34806</v>
      </c>
      <c r="H6125" s="4" t="s">
        <v>34807</v>
      </c>
      <c r="I6125" t="s">
        <v>71</v>
      </c>
      <c r="J6125" t="s">
        <v>10782</v>
      </c>
      <c r="K6125" t="s">
        <v>34808</v>
      </c>
    </row>
    <row r="6126" spans="1:11" ht="144" x14ac:dyDescent="0.3">
      <c r="A6126" s="4" t="s">
        <v>8955</v>
      </c>
      <c r="B6126">
        <v>3</v>
      </c>
      <c r="C6126">
        <v>2013</v>
      </c>
      <c r="D6126" t="s">
        <v>907</v>
      </c>
      <c r="E6126">
        <v>100</v>
      </c>
      <c r="F6126" t="s">
        <v>34809</v>
      </c>
      <c r="G6126" t="s">
        <v>34810</v>
      </c>
      <c r="H6126" s="4" t="s">
        <v>34811</v>
      </c>
      <c r="I6126" t="s">
        <v>71</v>
      </c>
      <c r="J6126" t="s">
        <v>10782</v>
      </c>
      <c r="K6126" t="s">
        <v>34812</v>
      </c>
    </row>
    <row r="6127" spans="1:11" ht="158.4" x14ac:dyDescent="0.3">
      <c r="A6127" s="4" t="s">
        <v>8956</v>
      </c>
      <c r="B6127">
        <v>3</v>
      </c>
      <c r="C6127">
        <v>2013</v>
      </c>
      <c r="D6127" t="s">
        <v>12593</v>
      </c>
      <c r="E6127">
        <v>14</v>
      </c>
      <c r="F6127" t="s">
        <v>34813</v>
      </c>
      <c r="G6127" t="s">
        <v>34814</v>
      </c>
      <c r="H6127" s="4" t="s">
        <v>34815</v>
      </c>
      <c r="I6127" t="s">
        <v>71</v>
      </c>
      <c r="J6127" t="s">
        <v>10782</v>
      </c>
      <c r="K6127" t="s">
        <v>34816</v>
      </c>
    </row>
    <row r="6128" spans="1:11" ht="158.4" x14ac:dyDescent="0.3">
      <c r="A6128" s="4" t="s">
        <v>3424</v>
      </c>
      <c r="B6128">
        <v>1</v>
      </c>
      <c r="C6128">
        <v>2013</v>
      </c>
      <c r="D6128" t="s">
        <v>13049</v>
      </c>
      <c r="E6128">
        <v>25</v>
      </c>
      <c r="F6128" t="s">
        <v>34817</v>
      </c>
      <c r="G6128" t="s">
        <v>34818</v>
      </c>
      <c r="H6128" s="4" t="s">
        <v>34819</v>
      </c>
      <c r="I6128" t="s">
        <v>71</v>
      </c>
      <c r="J6128" t="s">
        <v>10782</v>
      </c>
      <c r="K6128" t="s">
        <v>34820</v>
      </c>
    </row>
    <row r="6129" spans="1:11" ht="216" x14ac:dyDescent="0.3">
      <c r="A6129" s="4" t="s">
        <v>3646</v>
      </c>
      <c r="B6129">
        <v>2</v>
      </c>
      <c r="C6129">
        <v>2013</v>
      </c>
      <c r="D6129" t="s">
        <v>217</v>
      </c>
      <c r="E6129">
        <v>64</v>
      </c>
      <c r="F6129" t="s">
        <v>34821</v>
      </c>
      <c r="G6129" t="s">
        <v>34822</v>
      </c>
      <c r="H6129" s="4" t="s">
        <v>34823</v>
      </c>
      <c r="I6129" t="s">
        <v>71</v>
      </c>
      <c r="J6129" t="s">
        <v>10782</v>
      </c>
      <c r="K6129" t="s">
        <v>34824</v>
      </c>
    </row>
    <row r="6130" spans="1:11" ht="28.8" x14ac:dyDescent="0.3">
      <c r="A6130" s="4" t="s">
        <v>8957</v>
      </c>
      <c r="B6130">
        <v>3</v>
      </c>
      <c r="C6130">
        <v>2013</v>
      </c>
      <c r="D6130" t="s">
        <v>1570</v>
      </c>
      <c r="E6130">
        <v>6</v>
      </c>
      <c r="F6130" t="s">
        <v>34825</v>
      </c>
      <c r="G6130" t="s">
        <v>34826</v>
      </c>
      <c r="H6130" s="4" t="s">
        <v>34827</v>
      </c>
    </row>
    <row r="6131" spans="1:11" ht="28.8" x14ac:dyDescent="0.3">
      <c r="A6131" s="4" t="s">
        <v>8958</v>
      </c>
      <c r="B6131">
        <v>3</v>
      </c>
      <c r="C6131">
        <v>2013</v>
      </c>
      <c r="D6131" t="s">
        <v>1570</v>
      </c>
      <c r="E6131">
        <v>32</v>
      </c>
      <c r="F6131" t="s">
        <v>34828</v>
      </c>
      <c r="G6131" t="s">
        <v>34829</v>
      </c>
      <c r="H6131" s="4" t="s">
        <v>34830</v>
      </c>
    </row>
    <row r="6132" spans="1:11" ht="158.4" x14ac:dyDescent="0.3">
      <c r="A6132" s="4" t="s">
        <v>8959</v>
      </c>
      <c r="B6132">
        <v>3</v>
      </c>
      <c r="C6132">
        <v>2013</v>
      </c>
      <c r="D6132" t="s">
        <v>217</v>
      </c>
      <c r="E6132">
        <v>25</v>
      </c>
      <c r="F6132" t="s">
        <v>34831</v>
      </c>
      <c r="G6132" t="s">
        <v>34832</v>
      </c>
      <c r="H6132" s="4" t="s">
        <v>34833</v>
      </c>
      <c r="I6132" t="s">
        <v>71</v>
      </c>
      <c r="J6132" t="s">
        <v>10782</v>
      </c>
      <c r="K6132" t="s">
        <v>34834</v>
      </c>
    </row>
    <row r="6133" spans="1:11" ht="172.8" x14ac:dyDescent="0.3">
      <c r="A6133" s="4" t="s">
        <v>8960</v>
      </c>
      <c r="B6133">
        <v>3</v>
      </c>
      <c r="C6133">
        <v>2013</v>
      </c>
      <c r="D6133" t="s">
        <v>13170</v>
      </c>
      <c r="E6133">
        <v>97</v>
      </c>
      <c r="F6133" t="s">
        <v>34835</v>
      </c>
      <c r="G6133" t="s">
        <v>34836</v>
      </c>
      <c r="H6133" s="4" t="s">
        <v>34837</v>
      </c>
      <c r="I6133" t="s">
        <v>71</v>
      </c>
      <c r="J6133" t="s">
        <v>10782</v>
      </c>
      <c r="K6133" t="s">
        <v>34838</v>
      </c>
    </row>
    <row r="6134" spans="1:11" ht="43.2" x14ac:dyDescent="0.3">
      <c r="A6134" s="4" t="s">
        <v>3647</v>
      </c>
      <c r="B6134">
        <v>2</v>
      </c>
      <c r="C6134">
        <v>2013</v>
      </c>
      <c r="D6134" t="s">
        <v>17071</v>
      </c>
      <c r="E6134">
        <v>6</v>
      </c>
      <c r="F6134" t="s">
        <v>34839</v>
      </c>
      <c r="G6134" t="s">
        <v>34840</v>
      </c>
      <c r="H6134" s="4" t="s">
        <v>71</v>
      </c>
      <c r="I6134" t="s">
        <v>10782</v>
      </c>
      <c r="J6134" t="s">
        <v>34841</v>
      </c>
    </row>
    <row r="6135" spans="1:11" ht="201.6" x14ac:dyDescent="0.3">
      <c r="A6135" s="4" t="s">
        <v>8961</v>
      </c>
      <c r="B6135">
        <v>3</v>
      </c>
      <c r="C6135">
        <v>2013</v>
      </c>
      <c r="D6135" t="s">
        <v>10057</v>
      </c>
      <c r="E6135">
        <v>50</v>
      </c>
      <c r="F6135" t="s">
        <v>34842</v>
      </c>
      <c r="G6135" t="s">
        <v>34843</v>
      </c>
      <c r="H6135" s="4" t="s">
        <v>34844</v>
      </c>
      <c r="I6135" t="s">
        <v>71</v>
      </c>
      <c r="J6135" t="s">
        <v>10782</v>
      </c>
      <c r="K6135" t="s">
        <v>34845</v>
      </c>
    </row>
    <row r="6136" spans="1:11" ht="172.8" x14ac:dyDescent="0.3">
      <c r="A6136" s="4" t="s">
        <v>3648</v>
      </c>
      <c r="B6136">
        <v>2</v>
      </c>
      <c r="C6136">
        <v>2013</v>
      </c>
      <c r="D6136" t="s">
        <v>217</v>
      </c>
      <c r="E6136">
        <v>48</v>
      </c>
      <c r="F6136" t="s">
        <v>34846</v>
      </c>
      <c r="G6136" t="s">
        <v>34847</v>
      </c>
      <c r="H6136" s="4" t="s">
        <v>34848</v>
      </c>
      <c r="I6136" t="s">
        <v>71</v>
      </c>
      <c r="J6136" t="s">
        <v>10782</v>
      </c>
      <c r="K6136" t="s">
        <v>34849</v>
      </c>
    </row>
    <row r="6137" spans="1:11" ht="57.6" x14ac:dyDescent="0.3">
      <c r="A6137" s="4" t="s">
        <v>8962</v>
      </c>
      <c r="B6137">
        <v>3</v>
      </c>
      <c r="C6137">
        <v>2013</v>
      </c>
      <c r="D6137" t="s">
        <v>217</v>
      </c>
      <c r="E6137">
        <v>170</v>
      </c>
      <c r="F6137" t="s">
        <v>34850</v>
      </c>
      <c r="G6137" t="s">
        <v>34851</v>
      </c>
      <c r="H6137" s="4" t="s">
        <v>34852</v>
      </c>
    </row>
    <row r="6138" spans="1:11" ht="230.4" x14ac:dyDescent="0.3">
      <c r="A6138" s="4" t="s">
        <v>8963</v>
      </c>
      <c r="B6138">
        <v>3</v>
      </c>
      <c r="C6138">
        <v>2013</v>
      </c>
      <c r="D6138" t="s">
        <v>80</v>
      </c>
      <c r="E6138">
        <v>105</v>
      </c>
      <c r="F6138" t="s">
        <v>34853</v>
      </c>
      <c r="G6138" t="s">
        <v>34854</v>
      </c>
      <c r="H6138" s="4" t="s">
        <v>34855</v>
      </c>
      <c r="I6138" t="s">
        <v>71</v>
      </c>
      <c r="J6138" t="s">
        <v>10782</v>
      </c>
      <c r="K6138" t="s">
        <v>34856</v>
      </c>
    </row>
    <row r="6139" spans="1:11" ht="129.6" x14ac:dyDescent="0.3">
      <c r="A6139" s="4" t="s">
        <v>8964</v>
      </c>
      <c r="B6139">
        <v>3</v>
      </c>
      <c r="C6139">
        <v>2013</v>
      </c>
      <c r="D6139" t="s">
        <v>1570</v>
      </c>
      <c r="E6139">
        <v>9</v>
      </c>
      <c r="F6139" t="s">
        <v>34857</v>
      </c>
      <c r="G6139" t="s">
        <v>34858</v>
      </c>
      <c r="H6139" s="4" t="s">
        <v>34859</v>
      </c>
      <c r="I6139" t="s">
        <v>71</v>
      </c>
      <c r="J6139" t="s">
        <v>10782</v>
      </c>
      <c r="K6139" t="s">
        <v>34860</v>
      </c>
    </row>
    <row r="6140" spans="1:11" ht="129.6" x14ac:dyDescent="0.3">
      <c r="A6140" s="4" t="s">
        <v>8965</v>
      </c>
      <c r="B6140">
        <v>3</v>
      </c>
      <c r="C6140">
        <v>2013</v>
      </c>
      <c r="D6140" t="s">
        <v>1426</v>
      </c>
      <c r="E6140">
        <v>223</v>
      </c>
      <c r="F6140" t="s">
        <v>34861</v>
      </c>
      <c r="G6140" t="s">
        <v>34862</v>
      </c>
      <c r="H6140" s="4" t="s">
        <v>34863</v>
      </c>
      <c r="I6140" t="s">
        <v>10823</v>
      </c>
      <c r="J6140" t="s">
        <v>10782</v>
      </c>
      <c r="K6140" t="s">
        <v>34864</v>
      </c>
    </row>
    <row r="6141" spans="1:11" ht="158.4" x14ac:dyDescent="0.3">
      <c r="A6141" s="4" t="s">
        <v>8966</v>
      </c>
      <c r="B6141">
        <v>3</v>
      </c>
      <c r="C6141">
        <v>2013</v>
      </c>
      <c r="D6141" t="s">
        <v>17273</v>
      </c>
      <c r="E6141">
        <v>25</v>
      </c>
      <c r="F6141" t="s">
        <v>34865</v>
      </c>
      <c r="G6141" t="s">
        <v>34866</v>
      </c>
      <c r="H6141" s="4" t="s">
        <v>34867</v>
      </c>
    </row>
    <row r="6142" spans="1:11" ht="230.4" x14ac:dyDescent="0.3">
      <c r="A6142" s="4" t="s">
        <v>8967</v>
      </c>
      <c r="B6142">
        <v>3</v>
      </c>
      <c r="C6142">
        <v>2013</v>
      </c>
      <c r="D6142" t="s">
        <v>10924</v>
      </c>
      <c r="E6142">
        <v>15</v>
      </c>
      <c r="F6142" t="s">
        <v>34868</v>
      </c>
      <c r="G6142" t="s">
        <v>34869</v>
      </c>
      <c r="H6142" s="4" t="s">
        <v>34870</v>
      </c>
      <c r="I6142" t="s">
        <v>71</v>
      </c>
      <c r="J6142" t="s">
        <v>10782</v>
      </c>
      <c r="K6142" t="s">
        <v>34871</v>
      </c>
    </row>
    <row r="6143" spans="1:11" ht="302.39999999999998" x14ac:dyDescent="0.3">
      <c r="A6143" s="4" t="s">
        <v>8968</v>
      </c>
      <c r="B6143">
        <v>3</v>
      </c>
      <c r="C6143">
        <v>2013</v>
      </c>
      <c r="D6143" t="s">
        <v>177</v>
      </c>
      <c r="E6143">
        <v>75</v>
      </c>
      <c r="F6143" t="s">
        <v>34872</v>
      </c>
      <c r="G6143" t="s">
        <v>34873</v>
      </c>
      <c r="H6143" s="4" t="s">
        <v>34874</v>
      </c>
      <c r="I6143" t="s">
        <v>71</v>
      </c>
      <c r="J6143" t="s">
        <v>10782</v>
      </c>
      <c r="K6143" t="s">
        <v>34875</v>
      </c>
    </row>
    <row r="6144" spans="1:11" ht="43.2" x14ac:dyDescent="0.3">
      <c r="A6144" s="4" t="s">
        <v>8969</v>
      </c>
      <c r="B6144">
        <v>3</v>
      </c>
      <c r="C6144">
        <v>2013</v>
      </c>
      <c r="D6144" t="s">
        <v>21600</v>
      </c>
      <c r="E6144">
        <v>19</v>
      </c>
      <c r="F6144" t="s">
        <v>34876</v>
      </c>
      <c r="G6144" t="s">
        <v>34877</v>
      </c>
      <c r="H6144" s="4" t="s">
        <v>34878</v>
      </c>
    </row>
    <row r="6145" spans="1:11" ht="158.4" x14ac:dyDescent="0.3">
      <c r="A6145" s="4" t="s">
        <v>8970</v>
      </c>
      <c r="B6145">
        <v>3</v>
      </c>
      <c r="C6145">
        <v>2013</v>
      </c>
      <c r="D6145" t="s">
        <v>1570</v>
      </c>
      <c r="E6145">
        <v>18</v>
      </c>
      <c r="F6145" t="s">
        <v>34879</v>
      </c>
      <c r="G6145" t="s">
        <v>34880</v>
      </c>
      <c r="H6145" s="4" t="s">
        <v>34881</v>
      </c>
      <c r="I6145" t="s">
        <v>71</v>
      </c>
      <c r="J6145" t="s">
        <v>10782</v>
      </c>
      <c r="K6145" t="s">
        <v>34882</v>
      </c>
    </row>
    <row r="6146" spans="1:11" ht="259.2" x14ac:dyDescent="0.3">
      <c r="A6146" s="4" t="s">
        <v>8971</v>
      </c>
      <c r="B6146">
        <v>3</v>
      </c>
      <c r="C6146">
        <v>2013</v>
      </c>
      <c r="D6146" t="s">
        <v>10924</v>
      </c>
      <c r="E6146">
        <v>75</v>
      </c>
      <c r="F6146" t="s">
        <v>34883</v>
      </c>
      <c r="G6146" t="s">
        <v>34884</v>
      </c>
      <c r="H6146" s="4" t="s">
        <v>34885</v>
      </c>
      <c r="I6146" t="s">
        <v>71</v>
      </c>
      <c r="J6146" t="s">
        <v>10782</v>
      </c>
      <c r="K6146" t="s">
        <v>34886</v>
      </c>
    </row>
    <row r="6147" spans="1:11" ht="144" x14ac:dyDescent="0.3">
      <c r="A6147" s="4" t="s">
        <v>8972</v>
      </c>
      <c r="B6147">
        <v>3</v>
      </c>
      <c r="C6147">
        <v>2013</v>
      </c>
      <c r="D6147" t="s">
        <v>11674</v>
      </c>
      <c r="E6147">
        <v>31</v>
      </c>
      <c r="F6147" t="s">
        <v>34887</v>
      </c>
      <c r="G6147" t="s">
        <v>34888</v>
      </c>
      <c r="H6147" s="4" t="s">
        <v>34889</v>
      </c>
      <c r="I6147" t="s">
        <v>71</v>
      </c>
      <c r="J6147" t="s">
        <v>10782</v>
      </c>
      <c r="K6147" t="s">
        <v>34890</v>
      </c>
    </row>
    <row r="6148" spans="1:11" ht="172.8" x14ac:dyDescent="0.3">
      <c r="A6148" s="4" t="s">
        <v>8973</v>
      </c>
      <c r="B6148">
        <v>3</v>
      </c>
      <c r="C6148">
        <v>2013</v>
      </c>
      <c r="D6148" t="s">
        <v>80</v>
      </c>
      <c r="E6148">
        <v>29</v>
      </c>
      <c r="F6148" t="s">
        <v>34891</v>
      </c>
      <c r="G6148" t="s">
        <v>34892</v>
      </c>
      <c r="H6148" s="4" t="s">
        <v>34893</v>
      </c>
      <c r="I6148" t="s">
        <v>71</v>
      </c>
      <c r="J6148" t="s">
        <v>10782</v>
      </c>
      <c r="K6148" t="s">
        <v>34894</v>
      </c>
    </row>
    <row r="6149" spans="1:11" ht="158.4" x14ac:dyDescent="0.3">
      <c r="A6149" s="4" t="s">
        <v>8974</v>
      </c>
      <c r="B6149">
        <v>3</v>
      </c>
      <c r="C6149">
        <v>2013</v>
      </c>
      <c r="D6149" t="s">
        <v>385</v>
      </c>
      <c r="E6149">
        <v>77</v>
      </c>
      <c r="F6149" t="s">
        <v>34895</v>
      </c>
      <c r="G6149" t="s">
        <v>34896</v>
      </c>
      <c r="H6149" s="4" t="s">
        <v>34897</v>
      </c>
      <c r="I6149" t="s">
        <v>71</v>
      </c>
      <c r="J6149" t="s">
        <v>10782</v>
      </c>
      <c r="K6149" t="s">
        <v>34898</v>
      </c>
    </row>
    <row r="6150" spans="1:11" ht="144" x14ac:dyDescent="0.3">
      <c r="A6150" s="4" t="s">
        <v>8975</v>
      </c>
      <c r="B6150">
        <v>3</v>
      </c>
      <c r="C6150">
        <v>2013</v>
      </c>
      <c r="D6150" t="s">
        <v>2628</v>
      </c>
      <c r="E6150">
        <v>11</v>
      </c>
      <c r="F6150" t="s">
        <v>34899</v>
      </c>
      <c r="G6150" t="s">
        <v>34900</v>
      </c>
      <c r="H6150" s="4" t="s">
        <v>34901</v>
      </c>
      <c r="I6150" t="s">
        <v>71</v>
      </c>
      <c r="J6150" t="s">
        <v>10782</v>
      </c>
      <c r="K6150" t="s">
        <v>34902</v>
      </c>
    </row>
    <row r="6151" spans="1:11" ht="28.8" x14ac:dyDescent="0.3">
      <c r="A6151" s="4" t="s">
        <v>8976</v>
      </c>
      <c r="B6151">
        <v>3</v>
      </c>
      <c r="C6151">
        <v>2013</v>
      </c>
      <c r="D6151" t="s">
        <v>2431</v>
      </c>
      <c r="E6151">
        <v>3</v>
      </c>
      <c r="F6151" t="s">
        <v>34903</v>
      </c>
      <c r="G6151" t="s">
        <v>34904</v>
      </c>
      <c r="H6151" s="4" t="s">
        <v>71</v>
      </c>
      <c r="I6151" t="s">
        <v>10782</v>
      </c>
      <c r="J6151" t="s">
        <v>34905</v>
      </c>
    </row>
    <row r="6152" spans="1:11" ht="187.2" x14ac:dyDescent="0.3">
      <c r="A6152" s="4" t="s">
        <v>8977</v>
      </c>
      <c r="B6152">
        <v>3</v>
      </c>
      <c r="C6152">
        <v>2013</v>
      </c>
      <c r="D6152" t="s">
        <v>16742</v>
      </c>
      <c r="E6152">
        <v>393</v>
      </c>
      <c r="F6152" t="s">
        <v>34906</v>
      </c>
      <c r="G6152" t="s">
        <v>34907</v>
      </c>
      <c r="H6152" s="4" t="s">
        <v>34908</v>
      </c>
      <c r="I6152" t="s">
        <v>71</v>
      </c>
      <c r="J6152" t="s">
        <v>10782</v>
      </c>
      <c r="K6152" t="s">
        <v>34909</v>
      </c>
    </row>
    <row r="6153" spans="1:11" ht="129.6" x14ac:dyDescent="0.3">
      <c r="A6153" s="4" t="s">
        <v>3425</v>
      </c>
      <c r="B6153">
        <v>1</v>
      </c>
      <c r="C6153">
        <v>2013</v>
      </c>
      <c r="D6153" t="s">
        <v>1426</v>
      </c>
      <c r="E6153">
        <v>209</v>
      </c>
      <c r="F6153" t="s">
        <v>34910</v>
      </c>
      <c r="G6153" t="s">
        <v>34911</v>
      </c>
      <c r="H6153" s="4" t="s">
        <v>34912</v>
      </c>
      <c r="I6153" t="s">
        <v>71</v>
      </c>
      <c r="J6153" t="s">
        <v>10782</v>
      </c>
      <c r="K6153" t="s">
        <v>34913</v>
      </c>
    </row>
    <row r="6154" spans="1:11" ht="230.4" x14ac:dyDescent="0.3">
      <c r="A6154" s="4" t="s">
        <v>8978</v>
      </c>
      <c r="B6154">
        <v>3</v>
      </c>
      <c r="C6154">
        <v>2013</v>
      </c>
      <c r="D6154" t="s">
        <v>30074</v>
      </c>
      <c r="E6154">
        <v>20</v>
      </c>
      <c r="F6154" t="s">
        <v>34914</v>
      </c>
      <c r="G6154" t="s">
        <v>34915</v>
      </c>
      <c r="H6154" s="4" t="s">
        <v>34916</v>
      </c>
      <c r="I6154" t="s">
        <v>71</v>
      </c>
      <c r="J6154" t="s">
        <v>10782</v>
      </c>
      <c r="K6154" t="s">
        <v>34917</v>
      </c>
    </row>
    <row r="6155" spans="1:11" ht="216" x14ac:dyDescent="0.3">
      <c r="A6155" s="4" t="s">
        <v>8979</v>
      </c>
      <c r="B6155">
        <v>3</v>
      </c>
      <c r="C6155">
        <v>2013</v>
      </c>
      <c r="D6155" t="s">
        <v>2030</v>
      </c>
      <c r="E6155">
        <v>11</v>
      </c>
      <c r="F6155" t="s">
        <v>34918</v>
      </c>
      <c r="G6155" t="s">
        <v>34919</v>
      </c>
      <c r="H6155" s="4" t="s">
        <v>34920</v>
      </c>
      <c r="I6155" t="s">
        <v>71</v>
      </c>
      <c r="J6155" t="s">
        <v>10782</v>
      </c>
      <c r="K6155" t="s">
        <v>34921</v>
      </c>
    </row>
    <row r="6156" spans="1:11" ht="187.2" x14ac:dyDescent="0.3">
      <c r="A6156" s="4" t="s">
        <v>8980</v>
      </c>
      <c r="B6156">
        <v>3</v>
      </c>
      <c r="C6156">
        <v>2013</v>
      </c>
      <c r="D6156" t="s">
        <v>34922</v>
      </c>
      <c r="E6156">
        <v>12</v>
      </c>
      <c r="F6156" t="s">
        <v>34923</v>
      </c>
      <c r="G6156" t="s">
        <v>34924</v>
      </c>
      <c r="H6156" s="4" t="s">
        <v>34925</v>
      </c>
      <c r="I6156" t="s">
        <v>71</v>
      </c>
      <c r="J6156" t="s">
        <v>10782</v>
      </c>
      <c r="K6156" t="s">
        <v>34926</v>
      </c>
    </row>
    <row r="6157" spans="1:11" ht="100.8" x14ac:dyDescent="0.3">
      <c r="A6157" s="4" t="s">
        <v>8981</v>
      </c>
      <c r="B6157">
        <v>3</v>
      </c>
      <c r="C6157">
        <v>2013</v>
      </c>
      <c r="D6157" t="s">
        <v>34927</v>
      </c>
      <c r="E6157">
        <v>1</v>
      </c>
      <c r="F6157" t="s">
        <v>34928</v>
      </c>
      <c r="G6157" t="s">
        <v>34929</v>
      </c>
      <c r="H6157" s="4" t="s">
        <v>34930</v>
      </c>
      <c r="I6157" t="s">
        <v>71</v>
      </c>
      <c r="J6157" t="s">
        <v>10782</v>
      </c>
      <c r="K6157" t="s">
        <v>34931</v>
      </c>
    </row>
    <row r="6158" spans="1:11" ht="187.2" x14ac:dyDescent="0.3">
      <c r="A6158" s="4" t="s">
        <v>8982</v>
      </c>
      <c r="B6158">
        <v>3</v>
      </c>
      <c r="C6158">
        <v>2013</v>
      </c>
      <c r="D6158" t="s">
        <v>1570</v>
      </c>
      <c r="E6158">
        <v>21</v>
      </c>
      <c r="F6158" t="s">
        <v>34932</v>
      </c>
      <c r="G6158" t="s">
        <v>34933</v>
      </c>
      <c r="H6158" s="4" t="s">
        <v>34934</v>
      </c>
      <c r="I6158" t="s">
        <v>71</v>
      </c>
      <c r="J6158" t="s">
        <v>10782</v>
      </c>
      <c r="K6158" t="s">
        <v>34935</v>
      </c>
    </row>
    <row r="6159" spans="1:11" ht="28.8" x14ac:dyDescent="0.3">
      <c r="A6159" s="4" t="s">
        <v>8983</v>
      </c>
      <c r="B6159">
        <v>3</v>
      </c>
      <c r="C6159">
        <v>2013</v>
      </c>
      <c r="D6159" t="s">
        <v>14116</v>
      </c>
      <c r="E6159">
        <v>3</v>
      </c>
      <c r="F6159" t="s">
        <v>34936</v>
      </c>
      <c r="G6159" t="s">
        <v>34937</v>
      </c>
      <c r="H6159" s="4" t="s">
        <v>71</v>
      </c>
      <c r="I6159" t="s">
        <v>10782</v>
      </c>
      <c r="J6159" t="s">
        <v>34938</v>
      </c>
    </row>
    <row r="6160" spans="1:11" ht="187.2" x14ac:dyDescent="0.3">
      <c r="A6160" s="4" t="s">
        <v>8984</v>
      </c>
      <c r="B6160">
        <v>3</v>
      </c>
      <c r="C6160">
        <v>2013</v>
      </c>
      <c r="D6160" t="s">
        <v>13394</v>
      </c>
      <c r="E6160">
        <v>11</v>
      </c>
      <c r="F6160" t="s">
        <v>34939</v>
      </c>
      <c r="G6160" t="s">
        <v>34940</v>
      </c>
      <c r="H6160" s="4" t="s">
        <v>34941</v>
      </c>
    </row>
    <row r="6161" spans="1:11" ht="216" x14ac:dyDescent="0.3">
      <c r="A6161" s="4" t="s">
        <v>8985</v>
      </c>
      <c r="B6161">
        <v>3</v>
      </c>
      <c r="C6161">
        <v>2013</v>
      </c>
      <c r="D6161" t="s">
        <v>1746</v>
      </c>
      <c r="E6161">
        <v>39</v>
      </c>
      <c r="F6161" t="s">
        <v>34942</v>
      </c>
      <c r="G6161" t="s">
        <v>34943</v>
      </c>
      <c r="H6161" s="4" t="s">
        <v>34944</v>
      </c>
      <c r="I6161" t="s">
        <v>71</v>
      </c>
      <c r="J6161" t="s">
        <v>10782</v>
      </c>
      <c r="K6161" t="s">
        <v>34945</v>
      </c>
    </row>
    <row r="6162" spans="1:11" ht="115.2" x14ac:dyDescent="0.3">
      <c r="A6162" s="4" t="s">
        <v>8986</v>
      </c>
      <c r="B6162">
        <v>3</v>
      </c>
      <c r="C6162">
        <v>2013</v>
      </c>
      <c r="D6162" t="s">
        <v>14623</v>
      </c>
      <c r="E6162">
        <v>2</v>
      </c>
      <c r="F6162" t="s">
        <v>34946</v>
      </c>
      <c r="G6162" t="s">
        <v>34947</v>
      </c>
      <c r="H6162" s="4" t="s">
        <v>34948</v>
      </c>
      <c r="I6162" t="s">
        <v>71</v>
      </c>
      <c r="J6162" t="s">
        <v>10782</v>
      </c>
      <c r="K6162" t="s">
        <v>34949</v>
      </c>
    </row>
    <row r="6163" spans="1:11" ht="158.4" x14ac:dyDescent="0.3">
      <c r="A6163" s="4" t="s">
        <v>8987</v>
      </c>
      <c r="B6163">
        <v>3</v>
      </c>
      <c r="C6163">
        <v>2013</v>
      </c>
      <c r="D6163" t="s">
        <v>80</v>
      </c>
      <c r="E6163">
        <v>44</v>
      </c>
      <c r="F6163" t="s">
        <v>34950</v>
      </c>
      <c r="G6163" t="s">
        <v>34951</v>
      </c>
      <c r="H6163" s="4" t="s">
        <v>34952</v>
      </c>
    </row>
    <row r="6164" spans="1:11" ht="201.6" x14ac:dyDescent="0.3">
      <c r="A6164" s="4" t="s">
        <v>8988</v>
      </c>
      <c r="B6164">
        <v>3</v>
      </c>
      <c r="C6164">
        <v>2013</v>
      </c>
      <c r="D6164" t="s">
        <v>11310</v>
      </c>
      <c r="E6164">
        <v>21</v>
      </c>
      <c r="F6164" t="s">
        <v>34953</v>
      </c>
      <c r="G6164" t="s">
        <v>34954</v>
      </c>
      <c r="H6164" s="4" t="s">
        <v>34955</v>
      </c>
      <c r="I6164" t="s">
        <v>71</v>
      </c>
      <c r="J6164" t="s">
        <v>10782</v>
      </c>
      <c r="K6164" t="s">
        <v>34956</v>
      </c>
    </row>
    <row r="6165" spans="1:11" ht="187.2" x14ac:dyDescent="0.3">
      <c r="A6165" s="4" t="s">
        <v>3649</v>
      </c>
      <c r="B6165">
        <v>2</v>
      </c>
      <c r="C6165">
        <v>2013</v>
      </c>
      <c r="D6165" t="s">
        <v>1841</v>
      </c>
      <c r="E6165">
        <v>60</v>
      </c>
      <c r="F6165" t="s">
        <v>34957</v>
      </c>
      <c r="G6165" t="s">
        <v>34958</v>
      </c>
      <c r="H6165" s="4" t="s">
        <v>34959</v>
      </c>
      <c r="I6165" t="s">
        <v>71</v>
      </c>
      <c r="J6165" t="s">
        <v>10782</v>
      </c>
      <c r="K6165" t="s">
        <v>34960</v>
      </c>
    </row>
    <row r="6166" spans="1:11" ht="115.2" x14ac:dyDescent="0.3">
      <c r="A6166" s="4" t="s">
        <v>8989</v>
      </c>
      <c r="B6166">
        <v>3</v>
      </c>
      <c r="C6166">
        <v>2013</v>
      </c>
      <c r="D6166" t="s">
        <v>2853</v>
      </c>
      <c r="E6166">
        <v>127</v>
      </c>
      <c r="F6166" t="s">
        <v>34961</v>
      </c>
      <c r="G6166" t="s">
        <v>34962</v>
      </c>
      <c r="H6166" s="4" t="s">
        <v>34963</v>
      </c>
      <c r="I6166" t="s">
        <v>71</v>
      </c>
      <c r="J6166" t="s">
        <v>10782</v>
      </c>
      <c r="K6166" t="s">
        <v>34964</v>
      </c>
    </row>
    <row r="6167" spans="1:11" ht="172.8" x14ac:dyDescent="0.3">
      <c r="A6167" s="4" t="s">
        <v>8990</v>
      </c>
      <c r="B6167">
        <v>3</v>
      </c>
      <c r="C6167">
        <v>2013</v>
      </c>
      <c r="D6167" t="s">
        <v>282</v>
      </c>
      <c r="E6167">
        <v>12</v>
      </c>
      <c r="F6167" t="s">
        <v>34965</v>
      </c>
      <c r="G6167" t="s">
        <v>34966</v>
      </c>
      <c r="H6167" s="4" t="s">
        <v>34967</v>
      </c>
      <c r="I6167" t="s">
        <v>71</v>
      </c>
      <c r="J6167" t="s">
        <v>10782</v>
      </c>
      <c r="K6167" t="s">
        <v>34968</v>
      </c>
    </row>
    <row r="6168" spans="1:11" ht="172.8" x14ac:dyDescent="0.3">
      <c r="A6168" s="4" t="s">
        <v>8991</v>
      </c>
      <c r="B6168">
        <v>3</v>
      </c>
      <c r="C6168">
        <v>2013</v>
      </c>
      <c r="D6168" t="s">
        <v>217</v>
      </c>
      <c r="E6168">
        <v>26</v>
      </c>
      <c r="F6168" t="s">
        <v>34969</v>
      </c>
      <c r="G6168" t="s">
        <v>34970</v>
      </c>
      <c r="H6168" s="4" t="s">
        <v>34971</v>
      </c>
      <c r="I6168" t="s">
        <v>71</v>
      </c>
      <c r="J6168" t="s">
        <v>10782</v>
      </c>
      <c r="K6168" t="s">
        <v>34972</v>
      </c>
    </row>
    <row r="6169" spans="1:11" ht="144" x14ac:dyDescent="0.3">
      <c r="A6169" s="4" t="s">
        <v>8992</v>
      </c>
      <c r="B6169">
        <v>3</v>
      </c>
      <c r="C6169">
        <v>2013</v>
      </c>
      <c r="D6169" t="s">
        <v>83</v>
      </c>
      <c r="E6169">
        <v>31</v>
      </c>
      <c r="F6169" t="s">
        <v>34973</v>
      </c>
      <c r="G6169" t="s">
        <v>34974</v>
      </c>
      <c r="H6169" s="4" t="s">
        <v>34975</v>
      </c>
    </row>
    <row r="6170" spans="1:11" ht="172.8" x14ac:dyDescent="0.3">
      <c r="A6170" s="4" t="s">
        <v>3426</v>
      </c>
      <c r="B6170">
        <v>1</v>
      </c>
      <c r="C6170">
        <v>2013</v>
      </c>
      <c r="D6170" t="s">
        <v>2282</v>
      </c>
      <c r="E6170">
        <v>81</v>
      </c>
      <c r="F6170" t="s">
        <v>34976</v>
      </c>
      <c r="G6170" t="s">
        <v>34977</v>
      </c>
      <c r="H6170" s="4" t="s">
        <v>34978</v>
      </c>
      <c r="I6170" t="s">
        <v>71</v>
      </c>
      <c r="J6170" t="s">
        <v>10782</v>
      </c>
      <c r="K6170" t="s">
        <v>34979</v>
      </c>
    </row>
    <row r="6171" spans="1:11" ht="100.8" x14ac:dyDescent="0.3">
      <c r="A6171" s="4" t="s">
        <v>8993</v>
      </c>
      <c r="B6171">
        <v>3</v>
      </c>
      <c r="C6171">
        <v>2013</v>
      </c>
      <c r="D6171" t="s">
        <v>1570</v>
      </c>
      <c r="E6171">
        <v>552</v>
      </c>
      <c r="F6171" t="s">
        <v>34980</v>
      </c>
      <c r="G6171" t="s">
        <v>34981</v>
      </c>
      <c r="H6171" s="4" t="s">
        <v>34982</v>
      </c>
      <c r="I6171" t="s">
        <v>71</v>
      </c>
      <c r="J6171" t="s">
        <v>10782</v>
      </c>
      <c r="K6171" t="s">
        <v>34983</v>
      </c>
    </row>
    <row r="6172" spans="1:11" ht="216" x14ac:dyDescent="0.3">
      <c r="A6172" s="4" t="s">
        <v>8994</v>
      </c>
      <c r="B6172">
        <v>3</v>
      </c>
      <c r="C6172">
        <v>2013</v>
      </c>
      <c r="D6172" t="s">
        <v>16449</v>
      </c>
      <c r="E6172">
        <v>114</v>
      </c>
      <c r="F6172" t="s">
        <v>34984</v>
      </c>
      <c r="G6172" t="s">
        <v>34985</v>
      </c>
      <c r="H6172" s="4" t="s">
        <v>34986</v>
      </c>
      <c r="I6172" t="s">
        <v>71</v>
      </c>
      <c r="J6172" t="s">
        <v>10782</v>
      </c>
      <c r="K6172" t="s">
        <v>34987</v>
      </c>
    </row>
    <row r="6173" spans="1:11" ht="259.2" x14ac:dyDescent="0.3">
      <c r="A6173" s="4" t="s">
        <v>8995</v>
      </c>
      <c r="B6173">
        <v>3</v>
      </c>
      <c r="C6173">
        <v>2013</v>
      </c>
      <c r="D6173" t="s">
        <v>10924</v>
      </c>
      <c r="E6173">
        <v>39</v>
      </c>
      <c r="F6173" t="s">
        <v>34988</v>
      </c>
      <c r="G6173" t="s">
        <v>34989</v>
      </c>
      <c r="H6173" s="4" t="s">
        <v>34990</v>
      </c>
      <c r="I6173" t="s">
        <v>71</v>
      </c>
      <c r="J6173" t="s">
        <v>10782</v>
      </c>
      <c r="K6173" t="s">
        <v>34991</v>
      </c>
    </row>
    <row r="6174" spans="1:11" ht="43.2" x14ac:dyDescent="0.3">
      <c r="A6174" s="4" t="s">
        <v>8996</v>
      </c>
      <c r="B6174">
        <v>3</v>
      </c>
      <c r="C6174">
        <v>2013</v>
      </c>
      <c r="D6174" t="s">
        <v>2222</v>
      </c>
      <c r="E6174">
        <v>8</v>
      </c>
      <c r="F6174" t="s">
        <v>34992</v>
      </c>
      <c r="G6174" t="s">
        <v>34993</v>
      </c>
      <c r="H6174" s="4" t="s">
        <v>71</v>
      </c>
      <c r="I6174" t="s">
        <v>10782</v>
      </c>
      <c r="J6174" t="s">
        <v>34994</v>
      </c>
    </row>
    <row r="6175" spans="1:11" ht="216" x14ac:dyDescent="0.3">
      <c r="A6175" s="4" t="s">
        <v>8997</v>
      </c>
      <c r="B6175">
        <v>3</v>
      </c>
      <c r="C6175">
        <v>2013</v>
      </c>
      <c r="D6175" t="s">
        <v>329</v>
      </c>
      <c r="E6175">
        <v>30</v>
      </c>
      <c r="F6175" t="s">
        <v>34995</v>
      </c>
      <c r="G6175" t="s">
        <v>34996</v>
      </c>
      <c r="H6175" s="4" t="s">
        <v>34997</v>
      </c>
      <c r="I6175" t="s">
        <v>71</v>
      </c>
      <c r="J6175" t="s">
        <v>10782</v>
      </c>
      <c r="K6175" t="s">
        <v>34998</v>
      </c>
    </row>
    <row r="6176" spans="1:11" ht="144" x14ac:dyDescent="0.3">
      <c r="A6176" s="4" t="s">
        <v>3650</v>
      </c>
      <c r="B6176">
        <v>2</v>
      </c>
      <c r="C6176">
        <v>2013</v>
      </c>
      <c r="D6176" t="s">
        <v>1426</v>
      </c>
      <c r="E6176">
        <v>89</v>
      </c>
      <c r="F6176" t="s">
        <v>34999</v>
      </c>
      <c r="G6176" t="s">
        <v>35000</v>
      </c>
      <c r="H6176" s="4" t="s">
        <v>35001</v>
      </c>
      <c r="I6176" t="s">
        <v>71</v>
      </c>
      <c r="J6176" t="s">
        <v>10782</v>
      </c>
      <c r="K6176" t="s">
        <v>35002</v>
      </c>
    </row>
    <row r="6177" spans="1:11" ht="115.2" x14ac:dyDescent="0.3">
      <c r="A6177" s="4" t="s">
        <v>8998</v>
      </c>
      <c r="B6177">
        <v>3</v>
      </c>
      <c r="C6177">
        <v>2013</v>
      </c>
      <c r="D6177" t="s">
        <v>15454</v>
      </c>
      <c r="E6177">
        <v>54</v>
      </c>
      <c r="F6177" t="s">
        <v>35003</v>
      </c>
      <c r="G6177" t="s">
        <v>35004</v>
      </c>
      <c r="H6177" s="4" t="s">
        <v>35005</v>
      </c>
      <c r="I6177" t="s">
        <v>71</v>
      </c>
      <c r="J6177" t="s">
        <v>10782</v>
      </c>
      <c r="K6177" t="s">
        <v>35006</v>
      </c>
    </row>
    <row r="6178" spans="1:11" ht="172.8" x14ac:dyDescent="0.3">
      <c r="A6178" s="4" t="s">
        <v>8999</v>
      </c>
      <c r="B6178">
        <v>3</v>
      </c>
      <c r="C6178">
        <v>2013</v>
      </c>
      <c r="D6178" t="s">
        <v>217</v>
      </c>
      <c r="E6178">
        <v>46</v>
      </c>
      <c r="F6178" t="s">
        <v>35007</v>
      </c>
      <c r="G6178" t="s">
        <v>35008</v>
      </c>
      <c r="H6178" s="4" t="s">
        <v>35009</v>
      </c>
      <c r="I6178" t="s">
        <v>71</v>
      </c>
      <c r="J6178" t="s">
        <v>10782</v>
      </c>
      <c r="K6178" t="s">
        <v>35010</v>
      </c>
    </row>
    <row r="6179" spans="1:11" ht="144" x14ac:dyDescent="0.3">
      <c r="A6179" s="4" t="s">
        <v>9000</v>
      </c>
      <c r="B6179">
        <v>3</v>
      </c>
      <c r="C6179">
        <v>2013</v>
      </c>
      <c r="D6179" t="s">
        <v>385</v>
      </c>
      <c r="E6179">
        <v>62</v>
      </c>
      <c r="F6179" t="s">
        <v>35011</v>
      </c>
      <c r="G6179" t="s">
        <v>35012</v>
      </c>
      <c r="H6179" s="4" t="s">
        <v>35013</v>
      </c>
      <c r="I6179" t="s">
        <v>71</v>
      </c>
      <c r="J6179" t="s">
        <v>10782</v>
      </c>
      <c r="K6179" t="s">
        <v>35014</v>
      </c>
    </row>
    <row r="6180" spans="1:11" ht="158.4" x14ac:dyDescent="0.3">
      <c r="A6180" s="4" t="s">
        <v>9001</v>
      </c>
      <c r="B6180">
        <v>3</v>
      </c>
      <c r="C6180">
        <v>2013</v>
      </c>
      <c r="D6180" t="s">
        <v>12593</v>
      </c>
      <c r="E6180">
        <v>17</v>
      </c>
      <c r="F6180" t="s">
        <v>35015</v>
      </c>
      <c r="G6180" t="s">
        <v>35016</v>
      </c>
      <c r="H6180" s="4" t="s">
        <v>35017</v>
      </c>
      <c r="I6180" t="s">
        <v>71</v>
      </c>
      <c r="J6180" t="s">
        <v>10782</v>
      </c>
      <c r="K6180" t="s">
        <v>35018</v>
      </c>
    </row>
    <row r="6181" spans="1:11" ht="201.6" x14ac:dyDescent="0.3">
      <c r="A6181" s="4" t="s">
        <v>9002</v>
      </c>
      <c r="B6181">
        <v>3</v>
      </c>
      <c r="C6181">
        <v>2013</v>
      </c>
      <c r="D6181" t="s">
        <v>13170</v>
      </c>
      <c r="E6181">
        <v>23</v>
      </c>
      <c r="F6181" t="s">
        <v>35019</v>
      </c>
      <c r="G6181" t="s">
        <v>35020</v>
      </c>
      <c r="H6181" s="4" t="s">
        <v>35021</v>
      </c>
      <c r="I6181" t="s">
        <v>71</v>
      </c>
      <c r="J6181" t="s">
        <v>10782</v>
      </c>
      <c r="K6181" t="s">
        <v>35022</v>
      </c>
    </row>
    <row r="6182" spans="1:11" ht="129.6" x14ac:dyDescent="0.3">
      <c r="A6182" s="4" t="s">
        <v>9003</v>
      </c>
      <c r="B6182">
        <v>3</v>
      </c>
      <c r="C6182">
        <v>2013</v>
      </c>
      <c r="D6182" t="s">
        <v>550</v>
      </c>
      <c r="E6182">
        <v>21</v>
      </c>
      <c r="F6182" t="s">
        <v>35023</v>
      </c>
      <c r="G6182" t="s">
        <v>35024</v>
      </c>
      <c r="H6182" s="4" t="s">
        <v>35025</v>
      </c>
      <c r="I6182" t="s">
        <v>71</v>
      </c>
      <c r="J6182" t="s">
        <v>10782</v>
      </c>
      <c r="K6182" t="s">
        <v>35026</v>
      </c>
    </row>
    <row r="6183" spans="1:11" ht="158.4" x14ac:dyDescent="0.3">
      <c r="A6183" s="4" t="s">
        <v>9004</v>
      </c>
      <c r="B6183">
        <v>3</v>
      </c>
      <c r="C6183">
        <v>2013</v>
      </c>
      <c r="D6183" t="s">
        <v>35027</v>
      </c>
      <c r="E6183">
        <v>9</v>
      </c>
      <c r="F6183" t="s">
        <v>35028</v>
      </c>
      <c r="G6183" t="s">
        <v>35029</v>
      </c>
      <c r="H6183" s="4" t="s">
        <v>35030</v>
      </c>
      <c r="I6183" t="s">
        <v>71</v>
      </c>
      <c r="J6183" t="s">
        <v>10782</v>
      </c>
      <c r="K6183" t="s">
        <v>35031</v>
      </c>
    </row>
    <row r="6184" spans="1:11" ht="28.8" x14ac:dyDescent="0.3">
      <c r="A6184" s="4" t="s">
        <v>9005</v>
      </c>
      <c r="B6184">
        <v>3</v>
      </c>
      <c r="C6184">
        <v>2013</v>
      </c>
      <c r="D6184" t="s">
        <v>385</v>
      </c>
      <c r="E6184">
        <v>33</v>
      </c>
      <c r="F6184" t="s">
        <v>35032</v>
      </c>
      <c r="G6184" t="s">
        <v>35033</v>
      </c>
      <c r="H6184" s="4" t="s">
        <v>35034</v>
      </c>
    </row>
    <row r="6185" spans="1:11" ht="230.4" x14ac:dyDescent="0.3">
      <c r="A6185" s="4" t="s">
        <v>9006</v>
      </c>
      <c r="B6185">
        <v>3</v>
      </c>
      <c r="C6185">
        <v>2013</v>
      </c>
      <c r="D6185" t="s">
        <v>31382</v>
      </c>
      <c r="E6185">
        <v>14</v>
      </c>
      <c r="F6185" t="s">
        <v>35035</v>
      </c>
      <c r="G6185" t="s">
        <v>35036</v>
      </c>
      <c r="H6185" s="4" t="s">
        <v>35037</v>
      </c>
      <c r="I6185" t="s">
        <v>71</v>
      </c>
      <c r="J6185" t="s">
        <v>10782</v>
      </c>
      <c r="K6185" t="s">
        <v>35038</v>
      </c>
    </row>
    <row r="6186" spans="1:11" ht="144" x14ac:dyDescent="0.3">
      <c r="A6186" s="4" t="s">
        <v>3427</v>
      </c>
      <c r="B6186">
        <v>1</v>
      </c>
      <c r="C6186">
        <v>2013</v>
      </c>
      <c r="D6186" t="s">
        <v>14436</v>
      </c>
      <c r="E6186">
        <v>14</v>
      </c>
      <c r="F6186" t="s">
        <v>35039</v>
      </c>
      <c r="G6186" t="s">
        <v>35040</v>
      </c>
      <c r="H6186" s="4" t="s">
        <v>35041</v>
      </c>
      <c r="I6186" t="s">
        <v>71</v>
      </c>
      <c r="J6186" t="s">
        <v>10782</v>
      </c>
      <c r="K6186" t="s">
        <v>35042</v>
      </c>
    </row>
    <row r="6187" spans="1:11" ht="187.2" x14ac:dyDescent="0.3">
      <c r="A6187" s="4" t="s">
        <v>2081</v>
      </c>
      <c r="B6187">
        <v>1</v>
      </c>
      <c r="C6187">
        <v>2013</v>
      </c>
      <c r="D6187" t="s">
        <v>329</v>
      </c>
      <c r="E6187">
        <v>27</v>
      </c>
      <c r="F6187" t="s">
        <v>35043</v>
      </c>
      <c r="G6187" t="s">
        <v>35044</v>
      </c>
      <c r="H6187" s="4" t="s">
        <v>35045</v>
      </c>
      <c r="I6187" t="s">
        <v>71</v>
      </c>
      <c r="J6187" t="s">
        <v>10782</v>
      </c>
      <c r="K6187" t="s">
        <v>35046</v>
      </c>
    </row>
    <row r="6188" spans="1:11" ht="86.4" x14ac:dyDescent="0.3">
      <c r="A6188" s="4" t="s">
        <v>9007</v>
      </c>
      <c r="B6188">
        <v>3</v>
      </c>
      <c r="C6188">
        <v>2013</v>
      </c>
      <c r="D6188" t="s">
        <v>799</v>
      </c>
      <c r="E6188">
        <v>47</v>
      </c>
      <c r="F6188" t="s">
        <v>35047</v>
      </c>
      <c r="G6188" t="s">
        <v>35048</v>
      </c>
      <c r="H6188" s="4" t="s">
        <v>35049</v>
      </c>
    </row>
    <row r="6189" spans="1:11" ht="144" x14ac:dyDescent="0.3">
      <c r="A6189" s="4" t="s">
        <v>9008</v>
      </c>
      <c r="B6189">
        <v>3</v>
      </c>
      <c r="C6189">
        <v>2013</v>
      </c>
      <c r="D6189" t="s">
        <v>11649</v>
      </c>
      <c r="E6189">
        <v>30</v>
      </c>
      <c r="F6189" t="s">
        <v>35050</v>
      </c>
      <c r="G6189" t="s">
        <v>35051</v>
      </c>
      <c r="H6189" s="4" t="s">
        <v>35052</v>
      </c>
      <c r="I6189" t="s">
        <v>71</v>
      </c>
      <c r="J6189" t="s">
        <v>10782</v>
      </c>
      <c r="K6189" t="s">
        <v>35053</v>
      </c>
    </row>
    <row r="6190" spans="1:11" ht="158.4" x14ac:dyDescent="0.3">
      <c r="A6190" s="4" t="s">
        <v>9009</v>
      </c>
      <c r="B6190">
        <v>3</v>
      </c>
      <c r="C6190">
        <v>2013</v>
      </c>
      <c r="D6190" t="s">
        <v>1794</v>
      </c>
      <c r="E6190">
        <v>6</v>
      </c>
      <c r="F6190" t="s">
        <v>35054</v>
      </c>
      <c r="G6190" t="s">
        <v>35055</v>
      </c>
      <c r="H6190" s="4" t="s">
        <v>35056</v>
      </c>
      <c r="I6190" t="s">
        <v>71</v>
      </c>
      <c r="J6190" t="s">
        <v>10782</v>
      </c>
      <c r="K6190" t="s">
        <v>35057</v>
      </c>
    </row>
    <row r="6191" spans="1:11" ht="187.2" x14ac:dyDescent="0.3">
      <c r="A6191" s="4" t="s">
        <v>2946</v>
      </c>
      <c r="B6191">
        <v>2</v>
      </c>
      <c r="C6191">
        <v>2013</v>
      </c>
      <c r="D6191" t="s">
        <v>1770</v>
      </c>
      <c r="E6191">
        <v>169</v>
      </c>
      <c r="F6191" t="s">
        <v>35058</v>
      </c>
      <c r="G6191" t="s">
        <v>35059</v>
      </c>
      <c r="H6191" s="4" t="s">
        <v>35060</v>
      </c>
      <c r="I6191" t="s">
        <v>71</v>
      </c>
      <c r="J6191" t="s">
        <v>10782</v>
      </c>
      <c r="K6191" t="s">
        <v>35061</v>
      </c>
    </row>
    <row r="6192" spans="1:11" ht="187.2" x14ac:dyDescent="0.3">
      <c r="A6192" s="4" t="s">
        <v>9010</v>
      </c>
      <c r="B6192">
        <v>3</v>
      </c>
      <c r="C6192">
        <v>2013</v>
      </c>
      <c r="D6192" t="s">
        <v>10924</v>
      </c>
      <c r="E6192">
        <v>67</v>
      </c>
      <c r="F6192" t="s">
        <v>35062</v>
      </c>
      <c r="G6192" t="s">
        <v>35063</v>
      </c>
      <c r="H6192" s="4" t="s">
        <v>35064</v>
      </c>
      <c r="I6192" t="s">
        <v>71</v>
      </c>
      <c r="J6192" t="s">
        <v>10782</v>
      </c>
      <c r="K6192" t="s">
        <v>35065</v>
      </c>
    </row>
    <row r="6193" spans="1:11" ht="187.2" x14ac:dyDescent="0.3">
      <c r="A6193" s="4" t="s">
        <v>9011</v>
      </c>
      <c r="B6193">
        <v>3</v>
      </c>
      <c r="C6193">
        <v>2013</v>
      </c>
      <c r="D6193" t="s">
        <v>2267</v>
      </c>
      <c r="E6193">
        <v>12</v>
      </c>
      <c r="F6193" t="s">
        <v>35066</v>
      </c>
      <c r="G6193" t="s">
        <v>35067</v>
      </c>
      <c r="H6193" s="4" t="s">
        <v>35068</v>
      </c>
      <c r="I6193" t="s">
        <v>71</v>
      </c>
      <c r="J6193" t="s">
        <v>10782</v>
      </c>
      <c r="K6193" t="s">
        <v>35069</v>
      </c>
    </row>
    <row r="6194" spans="1:11" ht="86.4" x14ac:dyDescent="0.3">
      <c r="A6194" s="4" t="s">
        <v>9012</v>
      </c>
      <c r="B6194">
        <v>3</v>
      </c>
      <c r="C6194">
        <v>2013</v>
      </c>
      <c r="D6194" t="s">
        <v>2282</v>
      </c>
      <c r="E6194">
        <v>104</v>
      </c>
      <c r="F6194" t="s">
        <v>35070</v>
      </c>
      <c r="G6194" t="s">
        <v>35071</v>
      </c>
      <c r="H6194" s="4" t="s">
        <v>35072</v>
      </c>
      <c r="I6194" t="s">
        <v>71</v>
      </c>
      <c r="J6194" t="s">
        <v>10782</v>
      </c>
      <c r="K6194" t="s">
        <v>35073</v>
      </c>
    </row>
    <row r="6195" spans="1:11" ht="144" x14ac:dyDescent="0.3">
      <c r="A6195" s="4" t="s">
        <v>9013</v>
      </c>
      <c r="B6195">
        <v>3</v>
      </c>
      <c r="C6195">
        <v>2013</v>
      </c>
      <c r="D6195" t="s">
        <v>622</v>
      </c>
      <c r="E6195">
        <v>15</v>
      </c>
      <c r="F6195" t="s">
        <v>35074</v>
      </c>
      <c r="G6195" t="s">
        <v>35075</v>
      </c>
      <c r="H6195" s="4" t="s">
        <v>35076</v>
      </c>
      <c r="I6195" t="s">
        <v>71</v>
      </c>
      <c r="J6195" t="s">
        <v>10782</v>
      </c>
      <c r="K6195" t="s">
        <v>35077</v>
      </c>
    </row>
    <row r="6196" spans="1:11" ht="158.4" x14ac:dyDescent="0.3">
      <c r="A6196" s="4" t="s">
        <v>9014</v>
      </c>
      <c r="B6196">
        <v>3</v>
      </c>
      <c r="C6196">
        <v>2013</v>
      </c>
      <c r="D6196" t="s">
        <v>329</v>
      </c>
      <c r="E6196">
        <v>81</v>
      </c>
      <c r="F6196" t="s">
        <v>35078</v>
      </c>
      <c r="G6196" t="s">
        <v>35079</v>
      </c>
      <c r="H6196" s="4" t="s">
        <v>35080</v>
      </c>
      <c r="I6196" t="s">
        <v>71</v>
      </c>
      <c r="J6196" t="s">
        <v>10782</v>
      </c>
      <c r="K6196" t="s">
        <v>35081</v>
      </c>
    </row>
    <row r="6197" spans="1:11" ht="28.8" x14ac:dyDescent="0.3">
      <c r="A6197" s="4" t="s">
        <v>9015</v>
      </c>
      <c r="B6197">
        <v>3</v>
      </c>
      <c r="C6197">
        <v>2013</v>
      </c>
      <c r="D6197" t="s">
        <v>17224</v>
      </c>
      <c r="E6197">
        <v>1</v>
      </c>
      <c r="F6197" t="s">
        <v>35082</v>
      </c>
      <c r="G6197" t="s">
        <v>35083</v>
      </c>
      <c r="H6197" s="4" t="s">
        <v>71</v>
      </c>
      <c r="I6197" t="s">
        <v>10782</v>
      </c>
      <c r="J6197" t="s">
        <v>35084</v>
      </c>
    </row>
    <row r="6198" spans="1:11" ht="43.2" x14ac:dyDescent="0.3">
      <c r="A6198" s="4" t="s">
        <v>9016</v>
      </c>
      <c r="B6198">
        <v>3</v>
      </c>
      <c r="C6198">
        <v>2013</v>
      </c>
      <c r="D6198" t="s">
        <v>1570</v>
      </c>
      <c r="E6198">
        <v>18</v>
      </c>
      <c r="F6198" t="s">
        <v>35085</v>
      </c>
      <c r="G6198" t="s">
        <v>35086</v>
      </c>
      <c r="H6198" s="4" t="s">
        <v>35087</v>
      </c>
    </row>
    <row r="6199" spans="1:11" ht="100.8" x14ac:dyDescent="0.3">
      <c r="A6199" s="4" t="s">
        <v>9017</v>
      </c>
      <c r="B6199">
        <v>3</v>
      </c>
      <c r="C6199">
        <v>2013</v>
      </c>
      <c r="D6199" t="s">
        <v>329</v>
      </c>
      <c r="E6199">
        <v>154</v>
      </c>
      <c r="F6199" t="s">
        <v>35088</v>
      </c>
      <c r="G6199" t="s">
        <v>35089</v>
      </c>
      <c r="H6199" s="4" t="s">
        <v>35090</v>
      </c>
    </row>
    <row r="6200" spans="1:11" ht="144" x14ac:dyDescent="0.3">
      <c r="A6200" s="4" t="s">
        <v>3651</v>
      </c>
      <c r="B6200">
        <v>2</v>
      </c>
      <c r="C6200">
        <v>2013</v>
      </c>
      <c r="D6200" t="s">
        <v>217</v>
      </c>
      <c r="E6200">
        <v>20</v>
      </c>
      <c r="F6200" t="s">
        <v>35091</v>
      </c>
      <c r="G6200" t="s">
        <v>35092</v>
      </c>
      <c r="H6200" s="4" t="s">
        <v>35093</v>
      </c>
      <c r="I6200" t="s">
        <v>71</v>
      </c>
      <c r="J6200" t="s">
        <v>10782</v>
      </c>
      <c r="K6200" t="s">
        <v>35094</v>
      </c>
    </row>
    <row r="6201" spans="1:11" ht="244.8" x14ac:dyDescent="0.3">
      <c r="A6201" s="4" t="s">
        <v>2082</v>
      </c>
      <c r="B6201">
        <v>1</v>
      </c>
      <c r="C6201">
        <v>2013</v>
      </c>
      <c r="D6201" t="s">
        <v>217</v>
      </c>
      <c r="E6201">
        <v>56</v>
      </c>
      <c r="F6201" t="s">
        <v>35095</v>
      </c>
      <c r="G6201" t="s">
        <v>35096</v>
      </c>
      <c r="H6201" s="4" t="s">
        <v>35097</v>
      </c>
      <c r="I6201" t="s">
        <v>71</v>
      </c>
      <c r="J6201" t="s">
        <v>10782</v>
      </c>
      <c r="K6201" t="s">
        <v>35098</v>
      </c>
    </row>
    <row r="6202" spans="1:11" ht="244.8" x14ac:dyDescent="0.3">
      <c r="A6202" s="4" t="s">
        <v>9018</v>
      </c>
      <c r="B6202">
        <v>3</v>
      </c>
      <c r="C6202">
        <v>2013</v>
      </c>
      <c r="D6202" t="s">
        <v>329</v>
      </c>
      <c r="E6202">
        <v>62</v>
      </c>
      <c r="F6202" t="s">
        <v>35099</v>
      </c>
      <c r="G6202" t="s">
        <v>35100</v>
      </c>
      <c r="H6202" s="4" t="s">
        <v>35101</v>
      </c>
      <c r="I6202" t="s">
        <v>71</v>
      </c>
      <c r="J6202" t="s">
        <v>10782</v>
      </c>
      <c r="K6202" t="s">
        <v>35102</v>
      </c>
    </row>
    <row r="6203" spans="1:11" ht="230.4" x14ac:dyDescent="0.3">
      <c r="A6203" s="4" t="s">
        <v>9019</v>
      </c>
      <c r="B6203">
        <v>3</v>
      </c>
      <c r="C6203">
        <v>2013</v>
      </c>
      <c r="D6203" t="s">
        <v>217</v>
      </c>
      <c r="E6203">
        <v>27</v>
      </c>
      <c r="F6203" t="s">
        <v>35103</v>
      </c>
      <c r="G6203" t="s">
        <v>35104</v>
      </c>
      <c r="H6203" s="4" t="s">
        <v>35105</v>
      </c>
      <c r="I6203" t="s">
        <v>71</v>
      </c>
      <c r="J6203" t="s">
        <v>10782</v>
      </c>
      <c r="K6203" t="s">
        <v>35106</v>
      </c>
    </row>
    <row r="6204" spans="1:11" ht="28.8" x14ac:dyDescent="0.3">
      <c r="A6204" s="4" t="s">
        <v>9020</v>
      </c>
      <c r="B6204">
        <v>3</v>
      </c>
      <c r="C6204">
        <v>2013</v>
      </c>
      <c r="D6204" t="s">
        <v>35107</v>
      </c>
      <c r="E6204">
        <v>3</v>
      </c>
      <c r="F6204" t="s">
        <v>35108</v>
      </c>
      <c r="G6204" t="s">
        <v>35109</v>
      </c>
      <c r="H6204" s="4" t="s">
        <v>35110</v>
      </c>
    </row>
    <row r="6205" spans="1:11" ht="129.6" x14ac:dyDescent="0.3">
      <c r="A6205" s="4" t="s">
        <v>9021</v>
      </c>
      <c r="B6205">
        <v>3</v>
      </c>
      <c r="C6205">
        <v>2013</v>
      </c>
      <c r="D6205" t="s">
        <v>35111</v>
      </c>
      <c r="E6205">
        <v>12</v>
      </c>
      <c r="F6205" t="s">
        <v>35112</v>
      </c>
      <c r="G6205" t="s">
        <v>35113</v>
      </c>
      <c r="H6205" s="4" t="s">
        <v>35114</v>
      </c>
      <c r="I6205" t="s">
        <v>71</v>
      </c>
      <c r="J6205" t="s">
        <v>10782</v>
      </c>
      <c r="K6205" t="s">
        <v>35115</v>
      </c>
    </row>
    <row r="6206" spans="1:11" ht="129.6" x14ac:dyDescent="0.3">
      <c r="A6206" s="4" t="s">
        <v>9022</v>
      </c>
      <c r="B6206">
        <v>3</v>
      </c>
      <c r="C6206">
        <v>2013</v>
      </c>
      <c r="D6206" t="s">
        <v>2384</v>
      </c>
      <c r="E6206">
        <v>63</v>
      </c>
      <c r="F6206" t="s">
        <v>35116</v>
      </c>
      <c r="G6206" t="s">
        <v>35117</v>
      </c>
      <c r="H6206" s="4" t="s">
        <v>35118</v>
      </c>
      <c r="I6206" t="s">
        <v>71</v>
      </c>
      <c r="J6206" t="s">
        <v>10782</v>
      </c>
      <c r="K6206" t="s">
        <v>35119</v>
      </c>
    </row>
    <row r="6207" spans="1:11" ht="201.6" x14ac:dyDescent="0.3">
      <c r="A6207" s="4" t="s">
        <v>9023</v>
      </c>
      <c r="B6207">
        <v>3</v>
      </c>
      <c r="C6207">
        <v>2013</v>
      </c>
      <c r="D6207" t="s">
        <v>329</v>
      </c>
      <c r="E6207">
        <v>193</v>
      </c>
      <c r="F6207" t="s">
        <v>35120</v>
      </c>
      <c r="G6207" t="s">
        <v>35121</v>
      </c>
      <c r="H6207" s="4" t="s">
        <v>35122</v>
      </c>
    </row>
    <row r="6208" spans="1:11" ht="172.8" x14ac:dyDescent="0.3">
      <c r="A6208" s="4" t="s">
        <v>9024</v>
      </c>
      <c r="B6208">
        <v>3</v>
      </c>
      <c r="C6208">
        <v>2013</v>
      </c>
      <c r="D6208" t="s">
        <v>385</v>
      </c>
      <c r="E6208">
        <v>53</v>
      </c>
      <c r="F6208" t="s">
        <v>35123</v>
      </c>
      <c r="G6208" t="s">
        <v>35124</v>
      </c>
      <c r="H6208" s="4" t="s">
        <v>35125</v>
      </c>
      <c r="I6208" t="s">
        <v>71</v>
      </c>
      <c r="J6208" t="s">
        <v>10782</v>
      </c>
      <c r="K6208" t="s">
        <v>35126</v>
      </c>
    </row>
    <row r="6209" spans="1:11" ht="201.6" x14ac:dyDescent="0.3">
      <c r="A6209" s="4" t="s">
        <v>9025</v>
      </c>
      <c r="B6209">
        <v>3</v>
      </c>
      <c r="C6209">
        <v>2013</v>
      </c>
      <c r="D6209" t="s">
        <v>550</v>
      </c>
      <c r="E6209">
        <v>38</v>
      </c>
      <c r="F6209" t="s">
        <v>35127</v>
      </c>
      <c r="G6209" t="s">
        <v>35128</v>
      </c>
      <c r="H6209" s="4" t="s">
        <v>35129</v>
      </c>
      <c r="I6209" t="s">
        <v>71</v>
      </c>
      <c r="J6209" t="s">
        <v>10782</v>
      </c>
      <c r="K6209" t="s">
        <v>35130</v>
      </c>
    </row>
    <row r="6210" spans="1:11" ht="115.2" x14ac:dyDescent="0.3">
      <c r="A6210" s="4" t="s">
        <v>9026</v>
      </c>
      <c r="B6210">
        <v>3</v>
      </c>
      <c r="C6210">
        <v>2013</v>
      </c>
      <c r="D6210" t="s">
        <v>2986</v>
      </c>
      <c r="E6210">
        <v>146</v>
      </c>
      <c r="F6210" t="s">
        <v>35131</v>
      </c>
      <c r="G6210" t="s">
        <v>35132</v>
      </c>
      <c r="H6210" s="4" t="s">
        <v>35133</v>
      </c>
      <c r="I6210" t="s">
        <v>10823</v>
      </c>
      <c r="J6210" t="s">
        <v>10782</v>
      </c>
      <c r="K6210" t="s">
        <v>35134</v>
      </c>
    </row>
    <row r="6211" spans="1:11" ht="57.6" x14ac:dyDescent="0.3">
      <c r="A6211" s="4" t="s">
        <v>9027</v>
      </c>
      <c r="B6211">
        <v>3</v>
      </c>
      <c r="C6211">
        <v>2013</v>
      </c>
      <c r="D6211" t="s">
        <v>550</v>
      </c>
      <c r="E6211">
        <v>4</v>
      </c>
      <c r="F6211" t="s">
        <v>35135</v>
      </c>
      <c r="G6211" t="s">
        <v>35136</v>
      </c>
      <c r="H6211" s="4" t="s">
        <v>35137</v>
      </c>
      <c r="I6211" t="s">
        <v>71</v>
      </c>
      <c r="J6211" t="s">
        <v>10782</v>
      </c>
      <c r="K6211" t="s">
        <v>35138</v>
      </c>
    </row>
    <row r="6212" spans="1:11" ht="129.6" x14ac:dyDescent="0.3">
      <c r="A6212" s="4" t="s">
        <v>9028</v>
      </c>
      <c r="B6212">
        <v>3</v>
      </c>
      <c r="C6212">
        <v>2013</v>
      </c>
      <c r="D6212" t="s">
        <v>26647</v>
      </c>
      <c r="E6212">
        <v>42</v>
      </c>
      <c r="F6212" t="s">
        <v>35139</v>
      </c>
      <c r="G6212" t="s">
        <v>35140</v>
      </c>
      <c r="H6212" s="4" t="s">
        <v>35141</v>
      </c>
      <c r="I6212" t="s">
        <v>71</v>
      </c>
      <c r="J6212" t="s">
        <v>10782</v>
      </c>
      <c r="K6212" t="s">
        <v>35142</v>
      </c>
    </row>
    <row r="6213" spans="1:11" ht="100.8" x14ac:dyDescent="0.3">
      <c r="A6213" s="4" t="s">
        <v>9029</v>
      </c>
      <c r="B6213">
        <v>3</v>
      </c>
      <c r="C6213">
        <v>2013</v>
      </c>
      <c r="D6213" t="s">
        <v>19743</v>
      </c>
      <c r="E6213">
        <v>4</v>
      </c>
      <c r="F6213" t="s">
        <v>35143</v>
      </c>
      <c r="G6213" t="s">
        <v>35144</v>
      </c>
      <c r="H6213" s="4" t="s">
        <v>35145</v>
      </c>
      <c r="I6213" t="s">
        <v>71</v>
      </c>
      <c r="J6213" t="s">
        <v>10782</v>
      </c>
      <c r="K6213" t="s">
        <v>35146</v>
      </c>
    </row>
    <row r="6214" spans="1:11" ht="409.6" x14ac:dyDescent="0.3">
      <c r="A6214" s="4" t="s">
        <v>9030</v>
      </c>
      <c r="B6214">
        <v>3</v>
      </c>
      <c r="C6214">
        <v>2013</v>
      </c>
      <c r="D6214" t="s">
        <v>32441</v>
      </c>
      <c r="E6214">
        <v>55</v>
      </c>
      <c r="F6214" t="s">
        <v>35147</v>
      </c>
      <c r="G6214" t="s">
        <v>35148</v>
      </c>
      <c r="H6214" s="4" t="s">
        <v>35149</v>
      </c>
    </row>
    <row r="6215" spans="1:11" ht="115.2" x14ac:dyDescent="0.3">
      <c r="A6215" s="4" t="s">
        <v>9031</v>
      </c>
      <c r="B6215">
        <v>3</v>
      </c>
      <c r="C6215">
        <v>2013</v>
      </c>
      <c r="D6215" t="s">
        <v>26647</v>
      </c>
      <c r="E6215">
        <v>88</v>
      </c>
      <c r="F6215" t="s">
        <v>35150</v>
      </c>
      <c r="G6215" t="s">
        <v>35151</v>
      </c>
      <c r="H6215" s="4" t="s">
        <v>35152</v>
      </c>
      <c r="I6215" t="s">
        <v>71</v>
      </c>
      <c r="J6215" t="s">
        <v>10782</v>
      </c>
      <c r="K6215" t="s">
        <v>35153</v>
      </c>
    </row>
    <row r="6216" spans="1:11" ht="201.6" x14ac:dyDescent="0.3">
      <c r="A6216" s="4" t="s">
        <v>9032</v>
      </c>
      <c r="B6216">
        <v>3</v>
      </c>
      <c r="C6216">
        <v>2013</v>
      </c>
      <c r="D6216" t="s">
        <v>11674</v>
      </c>
      <c r="E6216">
        <v>18</v>
      </c>
      <c r="F6216" t="s">
        <v>35154</v>
      </c>
      <c r="G6216" t="s">
        <v>35155</v>
      </c>
      <c r="H6216" s="4" t="s">
        <v>35156</v>
      </c>
      <c r="I6216" t="s">
        <v>71</v>
      </c>
      <c r="J6216" t="s">
        <v>10782</v>
      </c>
      <c r="K6216" t="s">
        <v>35157</v>
      </c>
    </row>
    <row r="6217" spans="1:11" ht="187.2" x14ac:dyDescent="0.3">
      <c r="A6217" s="4" t="s">
        <v>9033</v>
      </c>
      <c r="B6217">
        <v>3</v>
      </c>
      <c r="C6217">
        <v>2013</v>
      </c>
      <c r="D6217" t="s">
        <v>35158</v>
      </c>
      <c r="E6217">
        <v>114</v>
      </c>
      <c r="F6217" t="s">
        <v>35159</v>
      </c>
      <c r="G6217" t="s">
        <v>35160</v>
      </c>
      <c r="H6217" s="4" t="s">
        <v>35161</v>
      </c>
      <c r="I6217" t="s">
        <v>71</v>
      </c>
      <c r="J6217" t="s">
        <v>10782</v>
      </c>
      <c r="K6217" t="s">
        <v>35162</v>
      </c>
    </row>
    <row r="6218" spans="1:11" ht="172.8" x14ac:dyDescent="0.3">
      <c r="A6218" s="4" t="s">
        <v>9034</v>
      </c>
      <c r="B6218">
        <v>3</v>
      </c>
      <c r="C6218">
        <v>2013</v>
      </c>
      <c r="D6218" t="s">
        <v>27619</v>
      </c>
      <c r="E6218">
        <v>16</v>
      </c>
      <c r="F6218" t="s">
        <v>35163</v>
      </c>
      <c r="G6218" t="s">
        <v>35164</v>
      </c>
      <c r="H6218" s="4" t="s">
        <v>35165</v>
      </c>
      <c r="I6218" t="s">
        <v>71</v>
      </c>
      <c r="J6218" t="s">
        <v>10782</v>
      </c>
      <c r="K6218" t="s">
        <v>35166</v>
      </c>
    </row>
    <row r="6219" spans="1:11" ht="158.4" x14ac:dyDescent="0.3">
      <c r="A6219" s="4" t="s">
        <v>9035</v>
      </c>
      <c r="B6219">
        <v>3</v>
      </c>
      <c r="C6219">
        <v>2013</v>
      </c>
      <c r="D6219" t="s">
        <v>12491</v>
      </c>
      <c r="E6219">
        <v>26</v>
      </c>
      <c r="F6219" t="s">
        <v>35167</v>
      </c>
      <c r="G6219" t="s">
        <v>35168</v>
      </c>
      <c r="H6219" s="4" t="s">
        <v>35169</v>
      </c>
      <c r="I6219" t="s">
        <v>71</v>
      </c>
      <c r="J6219" t="s">
        <v>10782</v>
      </c>
      <c r="K6219" t="s">
        <v>35170</v>
      </c>
    </row>
    <row r="6220" spans="1:11" ht="115.2" x14ac:dyDescent="0.3">
      <c r="A6220" s="4" t="s">
        <v>9036</v>
      </c>
      <c r="B6220">
        <v>3</v>
      </c>
      <c r="C6220">
        <v>2013</v>
      </c>
      <c r="D6220" t="s">
        <v>35171</v>
      </c>
      <c r="E6220">
        <v>8</v>
      </c>
      <c r="F6220" t="s">
        <v>35172</v>
      </c>
      <c r="G6220" t="s">
        <v>35173</v>
      </c>
      <c r="H6220" s="4" t="s">
        <v>35174</v>
      </c>
      <c r="I6220" t="s">
        <v>71</v>
      </c>
      <c r="J6220" t="s">
        <v>10782</v>
      </c>
      <c r="K6220" t="s">
        <v>35175</v>
      </c>
    </row>
    <row r="6221" spans="1:11" ht="144" x14ac:dyDescent="0.3">
      <c r="A6221" s="4" t="s">
        <v>9037</v>
      </c>
      <c r="B6221">
        <v>3</v>
      </c>
      <c r="C6221">
        <v>2013</v>
      </c>
      <c r="D6221" t="s">
        <v>10924</v>
      </c>
      <c r="E6221">
        <v>3</v>
      </c>
      <c r="F6221" t="s">
        <v>35176</v>
      </c>
      <c r="G6221" t="s">
        <v>35177</v>
      </c>
      <c r="H6221" s="4" t="s">
        <v>35178</v>
      </c>
      <c r="I6221" t="s">
        <v>71</v>
      </c>
      <c r="J6221" t="s">
        <v>10782</v>
      </c>
      <c r="K6221" t="s">
        <v>35179</v>
      </c>
    </row>
    <row r="6222" spans="1:11" ht="115.2" x14ac:dyDescent="0.3">
      <c r="A6222" s="4" t="s">
        <v>9038</v>
      </c>
      <c r="B6222">
        <v>3</v>
      </c>
      <c r="C6222">
        <v>2013</v>
      </c>
      <c r="D6222" t="s">
        <v>26330</v>
      </c>
      <c r="E6222">
        <v>17</v>
      </c>
      <c r="F6222" t="s">
        <v>35180</v>
      </c>
      <c r="G6222" t="s">
        <v>35181</v>
      </c>
      <c r="H6222" s="4" t="s">
        <v>35182</v>
      </c>
    </row>
    <row r="6223" spans="1:11" ht="115.2" x14ac:dyDescent="0.3">
      <c r="A6223" s="4" t="s">
        <v>9039</v>
      </c>
      <c r="B6223">
        <v>3</v>
      </c>
      <c r="C6223">
        <v>2013</v>
      </c>
      <c r="D6223" t="s">
        <v>622</v>
      </c>
      <c r="E6223">
        <v>34</v>
      </c>
      <c r="F6223" t="s">
        <v>35183</v>
      </c>
      <c r="G6223" t="s">
        <v>35184</v>
      </c>
      <c r="H6223" s="4" t="s">
        <v>35185</v>
      </c>
      <c r="I6223" t="s">
        <v>71</v>
      </c>
      <c r="J6223" t="s">
        <v>10782</v>
      </c>
      <c r="K6223" t="s">
        <v>35186</v>
      </c>
    </row>
    <row r="6224" spans="1:11" ht="187.2" x14ac:dyDescent="0.3">
      <c r="A6224" s="4" t="s">
        <v>9040</v>
      </c>
      <c r="B6224">
        <v>3</v>
      </c>
      <c r="C6224">
        <v>2013</v>
      </c>
      <c r="D6224" t="s">
        <v>637</v>
      </c>
      <c r="E6224">
        <v>216</v>
      </c>
      <c r="F6224" t="s">
        <v>35187</v>
      </c>
      <c r="G6224" t="s">
        <v>35188</v>
      </c>
      <c r="H6224" s="4" t="s">
        <v>35189</v>
      </c>
      <c r="I6224" t="s">
        <v>71</v>
      </c>
      <c r="J6224" t="s">
        <v>10782</v>
      </c>
      <c r="K6224" t="s">
        <v>35190</v>
      </c>
    </row>
    <row r="6225" spans="1:11" ht="43.2" x14ac:dyDescent="0.3">
      <c r="A6225" s="4" t="s">
        <v>9041</v>
      </c>
      <c r="B6225">
        <v>3</v>
      </c>
      <c r="C6225">
        <v>2013</v>
      </c>
      <c r="D6225" t="s">
        <v>33818</v>
      </c>
      <c r="E6225">
        <v>3</v>
      </c>
      <c r="F6225" t="s">
        <v>35191</v>
      </c>
      <c r="G6225" t="s">
        <v>17311</v>
      </c>
      <c r="H6225" s="4" t="s">
        <v>71</v>
      </c>
      <c r="I6225" t="s">
        <v>10782</v>
      </c>
      <c r="J6225" t="s">
        <v>35192</v>
      </c>
    </row>
    <row r="6226" spans="1:11" ht="158.4" x14ac:dyDescent="0.3">
      <c r="A6226" s="4" t="s">
        <v>9042</v>
      </c>
      <c r="B6226">
        <v>3</v>
      </c>
      <c r="C6226">
        <v>2013</v>
      </c>
      <c r="D6226" t="s">
        <v>1570</v>
      </c>
      <c r="E6226">
        <v>20</v>
      </c>
      <c r="F6226" t="s">
        <v>35193</v>
      </c>
      <c r="G6226" t="s">
        <v>35194</v>
      </c>
      <c r="H6226" s="4" t="s">
        <v>35195</v>
      </c>
      <c r="I6226" t="s">
        <v>71</v>
      </c>
      <c r="J6226" t="s">
        <v>10782</v>
      </c>
      <c r="K6226" t="s">
        <v>35196</v>
      </c>
    </row>
    <row r="6227" spans="1:11" ht="115.2" x14ac:dyDescent="0.3">
      <c r="A6227" s="4" t="s">
        <v>9043</v>
      </c>
      <c r="B6227">
        <v>3</v>
      </c>
      <c r="C6227">
        <v>2013</v>
      </c>
      <c r="D6227" t="s">
        <v>10924</v>
      </c>
      <c r="E6227">
        <v>15</v>
      </c>
      <c r="F6227" t="s">
        <v>35197</v>
      </c>
      <c r="G6227" t="s">
        <v>35198</v>
      </c>
      <c r="H6227" s="4" t="s">
        <v>35199</v>
      </c>
      <c r="I6227" t="s">
        <v>71</v>
      </c>
      <c r="J6227" t="s">
        <v>10782</v>
      </c>
      <c r="K6227" t="s">
        <v>35200</v>
      </c>
    </row>
    <row r="6228" spans="1:11" ht="129.6" x14ac:dyDescent="0.3">
      <c r="A6228" s="4" t="s">
        <v>9044</v>
      </c>
      <c r="B6228">
        <v>3</v>
      </c>
      <c r="C6228">
        <v>2013</v>
      </c>
      <c r="D6228" t="s">
        <v>1794</v>
      </c>
      <c r="E6228">
        <v>7</v>
      </c>
      <c r="F6228" t="s">
        <v>35201</v>
      </c>
      <c r="G6228" t="s">
        <v>35202</v>
      </c>
      <c r="H6228" s="4" t="s">
        <v>35203</v>
      </c>
      <c r="I6228" t="s">
        <v>71</v>
      </c>
      <c r="J6228" t="s">
        <v>10782</v>
      </c>
      <c r="K6228" t="s">
        <v>35204</v>
      </c>
    </row>
    <row r="6229" spans="1:11" ht="28.8" x14ac:dyDescent="0.3">
      <c r="A6229" s="4" t="s">
        <v>9045</v>
      </c>
      <c r="B6229">
        <v>3</v>
      </c>
      <c r="C6229">
        <v>2013</v>
      </c>
      <c r="D6229" t="s">
        <v>1570</v>
      </c>
      <c r="E6229">
        <v>17</v>
      </c>
      <c r="F6229" t="s">
        <v>35205</v>
      </c>
      <c r="G6229" t="s">
        <v>35206</v>
      </c>
      <c r="H6229" s="4" t="s">
        <v>35207</v>
      </c>
    </row>
    <row r="6230" spans="1:11" ht="43.2" x14ac:dyDescent="0.3">
      <c r="A6230" s="4" t="s">
        <v>9046</v>
      </c>
      <c r="B6230">
        <v>3</v>
      </c>
      <c r="C6230">
        <v>2013</v>
      </c>
      <c r="D6230" t="s">
        <v>105</v>
      </c>
      <c r="E6230">
        <v>2</v>
      </c>
      <c r="F6230" t="s">
        <v>35208</v>
      </c>
      <c r="G6230" t="s">
        <v>35209</v>
      </c>
    </row>
    <row r="6231" spans="1:11" x14ac:dyDescent="0.3">
      <c r="A6231" s="4" t="s">
        <v>3652</v>
      </c>
      <c r="B6231">
        <v>2</v>
      </c>
      <c r="C6231">
        <v>2013</v>
      </c>
      <c r="D6231" t="s">
        <v>32768</v>
      </c>
      <c r="E6231">
        <v>11</v>
      </c>
      <c r="F6231" t="s">
        <v>35210</v>
      </c>
      <c r="G6231" t="s">
        <v>35211</v>
      </c>
    </row>
    <row r="6232" spans="1:11" ht="172.8" x14ac:dyDescent="0.3">
      <c r="A6232" s="4" t="s">
        <v>9047</v>
      </c>
      <c r="B6232">
        <v>3</v>
      </c>
      <c r="C6232">
        <v>2013</v>
      </c>
      <c r="D6232" t="s">
        <v>1525</v>
      </c>
      <c r="E6232">
        <v>57</v>
      </c>
      <c r="F6232" t="s">
        <v>35212</v>
      </c>
      <c r="G6232" t="s">
        <v>35213</v>
      </c>
      <c r="H6232" s="4" t="s">
        <v>35214</v>
      </c>
      <c r="I6232" t="s">
        <v>71</v>
      </c>
      <c r="J6232" t="s">
        <v>10782</v>
      </c>
      <c r="K6232" t="s">
        <v>35215</v>
      </c>
    </row>
    <row r="6233" spans="1:11" ht="72" x14ac:dyDescent="0.3">
      <c r="A6233" s="4" t="s">
        <v>9048</v>
      </c>
      <c r="B6233">
        <v>3</v>
      </c>
      <c r="C6233">
        <v>2013</v>
      </c>
      <c r="D6233" t="s">
        <v>277</v>
      </c>
      <c r="E6233">
        <v>108</v>
      </c>
      <c r="F6233" t="s">
        <v>35216</v>
      </c>
      <c r="G6233" t="s">
        <v>35217</v>
      </c>
      <c r="H6233" s="4" t="s">
        <v>35218</v>
      </c>
    </row>
    <row r="6234" spans="1:11" ht="158.4" x14ac:dyDescent="0.3">
      <c r="A6234" s="4" t="s">
        <v>9049</v>
      </c>
      <c r="B6234">
        <v>3</v>
      </c>
      <c r="C6234">
        <v>2013</v>
      </c>
      <c r="D6234" t="s">
        <v>35219</v>
      </c>
      <c r="E6234">
        <v>1</v>
      </c>
      <c r="F6234" t="s">
        <v>35220</v>
      </c>
      <c r="G6234" t="s">
        <v>35221</v>
      </c>
      <c r="H6234" s="4" t="s">
        <v>35222</v>
      </c>
      <c r="I6234" t="s">
        <v>71</v>
      </c>
      <c r="J6234" t="s">
        <v>10782</v>
      </c>
      <c r="K6234" t="s">
        <v>35223</v>
      </c>
    </row>
    <row r="6235" spans="1:11" ht="43.2" x14ac:dyDescent="0.3">
      <c r="A6235" s="4" t="s">
        <v>9050</v>
      </c>
      <c r="B6235">
        <v>3</v>
      </c>
      <c r="C6235">
        <v>2013</v>
      </c>
      <c r="D6235" t="s">
        <v>24538</v>
      </c>
      <c r="E6235">
        <v>58</v>
      </c>
      <c r="F6235" t="s">
        <v>35224</v>
      </c>
      <c r="G6235" t="s">
        <v>35225</v>
      </c>
      <c r="H6235" s="4" t="s">
        <v>35226</v>
      </c>
    </row>
    <row r="6236" spans="1:11" ht="115.2" x14ac:dyDescent="0.3">
      <c r="A6236" s="4" t="s">
        <v>9051</v>
      </c>
      <c r="B6236">
        <v>3</v>
      </c>
      <c r="C6236">
        <v>2013</v>
      </c>
      <c r="D6236" t="s">
        <v>26411</v>
      </c>
      <c r="E6236">
        <v>5</v>
      </c>
      <c r="F6236" t="s">
        <v>35227</v>
      </c>
      <c r="G6236" t="s">
        <v>35228</v>
      </c>
      <c r="H6236" s="4" t="s">
        <v>35229</v>
      </c>
      <c r="I6236" t="s">
        <v>71</v>
      </c>
      <c r="J6236" t="s">
        <v>10782</v>
      </c>
      <c r="K6236" t="s">
        <v>35230</v>
      </c>
    </row>
    <row r="6237" spans="1:11" ht="28.8" x14ac:dyDescent="0.3">
      <c r="A6237" s="4" t="s">
        <v>9052</v>
      </c>
      <c r="B6237">
        <v>3</v>
      </c>
      <c r="C6237">
        <v>2013</v>
      </c>
      <c r="D6237" t="s">
        <v>627</v>
      </c>
      <c r="E6237">
        <v>21</v>
      </c>
      <c r="F6237" t="s">
        <v>35231</v>
      </c>
      <c r="G6237" t="s">
        <v>35232</v>
      </c>
      <c r="H6237" s="4" t="s">
        <v>35233</v>
      </c>
    </row>
    <row r="6238" spans="1:11" ht="57.6" x14ac:dyDescent="0.3">
      <c r="A6238" s="4" t="s">
        <v>9053</v>
      </c>
      <c r="B6238">
        <v>3</v>
      </c>
      <c r="C6238">
        <v>2013</v>
      </c>
      <c r="D6238" t="s">
        <v>25401</v>
      </c>
      <c r="E6238">
        <v>8</v>
      </c>
      <c r="F6238" t="s">
        <v>35234</v>
      </c>
      <c r="G6238" t="s">
        <v>35235</v>
      </c>
      <c r="H6238" s="4" t="s">
        <v>35236</v>
      </c>
    </row>
    <row r="6239" spans="1:11" ht="172.8" x14ac:dyDescent="0.3">
      <c r="A6239" s="4" t="s">
        <v>9054</v>
      </c>
      <c r="B6239">
        <v>3</v>
      </c>
      <c r="C6239">
        <v>2013</v>
      </c>
      <c r="D6239" t="s">
        <v>2853</v>
      </c>
      <c r="E6239">
        <v>13</v>
      </c>
      <c r="F6239" t="s">
        <v>35237</v>
      </c>
      <c r="G6239" t="s">
        <v>35238</v>
      </c>
      <c r="H6239" s="4" t="s">
        <v>35239</v>
      </c>
      <c r="I6239" t="s">
        <v>71</v>
      </c>
      <c r="J6239" t="s">
        <v>10782</v>
      </c>
      <c r="K6239" t="s">
        <v>35240</v>
      </c>
    </row>
    <row r="6240" spans="1:11" ht="187.2" x14ac:dyDescent="0.3">
      <c r="A6240" s="4" t="s">
        <v>3653</v>
      </c>
      <c r="B6240">
        <v>2</v>
      </c>
      <c r="C6240">
        <v>2013</v>
      </c>
      <c r="D6240" t="s">
        <v>1570</v>
      </c>
      <c r="E6240">
        <v>114</v>
      </c>
      <c r="F6240" t="s">
        <v>35241</v>
      </c>
      <c r="G6240" t="s">
        <v>35242</v>
      </c>
      <c r="H6240" s="4" t="s">
        <v>35243</v>
      </c>
      <c r="I6240" t="s">
        <v>71</v>
      </c>
      <c r="J6240" t="s">
        <v>10782</v>
      </c>
      <c r="K6240" t="s">
        <v>35244</v>
      </c>
    </row>
    <row r="6241" spans="1:11" ht="43.2" x14ac:dyDescent="0.3">
      <c r="A6241" s="4" t="s">
        <v>9055</v>
      </c>
      <c r="B6241">
        <v>3</v>
      </c>
      <c r="C6241">
        <v>2013</v>
      </c>
      <c r="D6241" t="s">
        <v>35245</v>
      </c>
      <c r="E6241">
        <v>2</v>
      </c>
      <c r="F6241" t="s">
        <v>35246</v>
      </c>
      <c r="G6241" t="s">
        <v>35247</v>
      </c>
      <c r="H6241" s="4" t="s">
        <v>35248</v>
      </c>
    </row>
    <row r="6242" spans="1:11" ht="172.8" x14ac:dyDescent="0.3">
      <c r="A6242" s="4" t="s">
        <v>9056</v>
      </c>
      <c r="B6242">
        <v>3</v>
      </c>
      <c r="C6242">
        <v>2013</v>
      </c>
      <c r="D6242" t="s">
        <v>2030</v>
      </c>
      <c r="E6242">
        <v>112</v>
      </c>
      <c r="F6242" t="s">
        <v>35249</v>
      </c>
      <c r="G6242" t="s">
        <v>35250</v>
      </c>
      <c r="H6242" s="4" t="s">
        <v>35251</v>
      </c>
      <c r="I6242" t="s">
        <v>71</v>
      </c>
      <c r="J6242" t="s">
        <v>10782</v>
      </c>
      <c r="K6242" t="s">
        <v>35252</v>
      </c>
    </row>
    <row r="6243" spans="1:11" ht="144" x14ac:dyDescent="0.3">
      <c r="A6243" s="4" t="s">
        <v>9057</v>
      </c>
      <c r="B6243">
        <v>3</v>
      </c>
      <c r="C6243">
        <v>2013</v>
      </c>
      <c r="D6243" t="s">
        <v>12318</v>
      </c>
      <c r="E6243">
        <v>38</v>
      </c>
      <c r="F6243" t="s">
        <v>35253</v>
      </c>
      <c r="G6243" t="s">
        <v>35254</v>
      </c>
      <c r="H6243" s="4" t="s">
        <v>35255</v>
      </c>
      <c r="I6243" t="s">
        <v>71</v>
      </c>
      <c r="J6243" t="s">
        <v>10782</v>
      </c>
      <c r="K6243" t="s">
        <v>35256</v>
      </c>
    </row>
    <row r="6244" spans="1:11" ht="158.4" x14ac:dyDescent="0.3">
      <c r="A6244" s="4" t="s">
        <v>9058</v>
      </c>
      <c r="B6244">
        <v>3</v>
      </c>
      <c r="C6244">
        <v>2013</v>
      </c>
      <c r="D6244" t="s">
        <v>14346</v>
      </c>
      <c r="E6244">
        <v>30</v>
      </c>
      <c r="F6244" t="s">
        <v>35257</v>
      </c>
      <c r="G6244" t="s">
        <v>35258</v>
      </c>
      <c r="H6244" s="4" t="s">
        <v>35259</v>
      </c>
      <c r="I6244" t="s">
        <v>71</v>
      </c>
      <c r="J6244" t="s">
        <v>10782</v>
      </c>
      <c r="K6244" t="s">
        <v>35260</v>
      </c>
    </row>
    <row r="6245" spans="1:11" ht="230.4" x14ac:dyDescent="0.3">
      <c r="A6245" s="4" t="s">
        <v>9059</v>
      </c>
      <c r="B6245">
        <v>3</v>
      </c>
      <c r="C6245">
        <v>2013</v>
      </c>
      <c r="D6245" t="s">
        <v>24013</v>
      </c>
      <c r="E6245">
        <v>42</v>
      </c>
      <c r="F6245" t="s">
        <v>35261</v>
      </c>
      <c r="G6245" t="s">
        <v>35262</v>
      </c>
      <c r="H6245" s="4" t="s">
        <v>35263</v>
      </c>
      <c r="I6245" t="s">
        <v>71</v>
      </c>
      <c r="J6245" t="s">
        <v>10782</v>
      </c>
      <c r="K6245" t="s">
        <v>35264</v>
      </c>
    </row>
    <row r="6246" spans="1:11" ht="144" x14ac:dyDescent="0.3">
      <c r="A6246" s="4" t="s">
        <v>9060</v>
      </c>
      <c r="B6246">
        <v>3</v>
      </c>
      <c r="C6246">
        <v>2013</v>
      </c>
      <c r="D6246" t="s">
        <v>637</v>
      </c>
      <c r="E6246">
        <v>4</v>
      </c>
      <c r="F6246" t="s">
        <v>35265</v>
      </c>
      <c r="G6246" t="s">
        <v>35266</v>
      </c>
      <c r="H6246" s="4" t="s">
        <v>35267</v>
      </c>
      <c r="I6246" t="s">
        <v>71</v>
      </c>
      <c r="J6246" t="s">
        <v>10782</v>
      </c>
      <c r="K6246" t="s">
        <v>35268</v>
      </c>
    </row>
    <row r="6247" spans="1:11" ht="273.60000000000002" x14ac:dyDescent="0.3">
      <c r="A6247" s="4" t="s">
        <v>9061</v>
      </c>
      <c r="B6247">
        <v>3</v>
      </c>
      <c r="C6247">
        <v>2013</v>
      </c>
      <c r="D6247" t="s">
        <v>11674</v>
      </c>
      <c r="E6247">
        <v>17</v>
      </c>
      <c r="F6247" t="s">
        <v>35269</v>
      </c>
      <c r="G6247" t="s">
        <v>35270</v>
      </c>
      <c r="H6247" s="4" t="s">
        <v>35271</v>
      </c>
      <c r="I6247" t="s">
        <v>71</v>
      </c>
      <c r="J6247" t="s">
        <v>10782</v>
      </c>
      <c r="K6247" t="s">
        <v>35272</v>
      </c>
    </row>
    <row r="6248" spans="1:11" ht="100.8" x14ac:dyDescent="0.3">
      <c r="A6248" s="4" t="s">
        <v>9062</v>
      </c>
      <c r="B6248">
        <v>3</v>
      </c>
      <c r="C6248">
        <v>2013</v>
      </c>
      <c r="D6248" t="s">
        <v>35273</v>
      </c>
      <c r="E6248">
        <v>2</v>
      </c>
      <c r="F6248" t="s">
        <v>35274</v>
      </c>
      <c r="G6248" t="s">
        <v>35275</v>
      </c>
      <c r="H6248" s="4" t="s">
        <v>35276</v>
      </c>
      <c r="I6248" t="s">
        <v>71</v>
      </c>
      <c r="J6248" t="s">
        <v>10782</v>
      </c>
      <c r="K6248" t="s">
        <v>35277</v>
      </c>
    </row>
    <row r="6249" spans="1:11" ht="216" x14ac:dyDescent="0.3">
      <c r="A6249" s="4" t="s">
        <v>9063</v>
      </c>
      <c r="B6249">
        <v>3</v>
      </c>
      <c r="C6249">
        <v>2013</v>
      </c>
      <c r="D6249" t="s">
        <v>13969</v>
      </c>
      <c r="E6249">
        <v>51</v>
      </c>
      <c r="F6249" t="s">
        <v>35278</v>
      </c>
      <c r="G6249" t="s">
        <v>35279</v>
      </c>
      <c r="H6249" s="4" t="s">
        <v>35280</v>
      </c>
      <c r="I6249" t="s">
        <v>10823</v>
      </c>
      <c r="J6249" t="s">
        <v>10782</v>
      </c>
      <c r="K6249" t="s">
        <v>35281</v>
      </c>
    </row>
    <row r="6250" spans="1:11" ht="216" x14ac:dyDescent="0.3">
      <c r="A6250" s="4" t="s">
        <v>9064</v>
      </c>
      <c r="B6250">
        <v>3</v>
      </c>
      <c r="C6250">
        <v>2013</v>
      </c>
      <c r="D6250" t="s">
        <v>2201</v>
      </c>
      <c r="E6250">
        <v>58</v>
      </c>
      <c r="F6250" t="s">
        <v>35282</v>
      </c>
      <c r="G6250" t="s">
        <v>35283</v>
      </c>
      <c r="H6250" s="4" t="s">
        <v>35284</v>
      </c>
      <c r="I6250" t="s">
        <v>71</v>
      </c>
      <c r="J6250" t="s">
        <v>10782</v>
      </c>
      <c r="K6250" t="s">
        <v>35285</v>
      </c>
    </row>
    <row r="6251" spans="1:11" ht="129.6" x14ac:dyDescent="0.3">
      <c r="A6251" s="4" t="s">
        <v>9065</v>
      </c>
      <c r="B6251">
        <v>3</v>
      </c>
      <c r="C6251">
        <v>2013</v>
      </c>
      <c r="D6251" t="s">
        <v>550</v>
      </c>
      <c r="E6251">
        <v>21</v>
      </c>
      <c r="F6251" t="s">
        <v>35286</v>
      </c>
      <c r="G6251" t="s">
        <v>35287</v>
      </c>
      <c r="H6251" s="4" t="s">
        <v>35288</v>
      </c>
      <c r="I6251" t="s">
        <v>71</v>
      </c>
      <c r="J6251" t="s">
        <v>10782</v>
      </c>
      <c r="K6251" t="s">
        <v>35289</v>
      </c>
    </row>
    <row r="6252" spans="1:11" ht="28.8" x14ac:dyDescent="0.3">
      <c r="A6252" s="4" t="s">
        <v>9066</v>
      </c>
      <c r="B6252">
        <v>3</v>
      </c>
      <c r="C6252">
        <v>2013</v>
      </c>
      <c r="D6252" t="s">
        <v>12857</v>
      </c>
      <c r="E6252">
        <v>1</v>
      </c>
      <c r="F6252" t="s">
        <v>35290</v>
      </c>
      <c r="G6252" t="s">
        <v>35291</v>
      </c>
      <c r="H6252" s="4" t="s">
        <v>17311</v>
      </c>
      <c r="I6252" t="s">
        <v>71</v>
      </c>
      <c r="J6252" t="s">
        <v>10782</v>
      </c>
      <c r="K6252" t="s">
        <v>35292</v>
      </c>
    </row>
    <row r="6253" spans="1:11" ht="201.6" x14ac:dyDescent="0.3">
      <c r="A6253" s="4" t="s">
        <v>9067</v>
      </c>
      <c r="B6253">
        <v>3</v>
      </c>
      <c r="C6253">
        <v>2013</v>
      </c>
      <c r="D6253" t="s">
        <v>2201</v>
      </c>
      <c r="E6253">
        <v>41</v>
      </c>
      <c r="F6253" t="s">
        <v>35293</v>
      </c>
      <c r="G6253" t="s">
        <v>35294</v>
      </c>
      <c r="H6253" s="4" t="s">
        <v>35295</v>
      </c>
      <c r="I6253" t="s">
        <v>71</v>
      </c>
      <c r="J6253" t="s">
        <v>10782</v>
      </c>
      <c r="K6253" t="s">
        <v>35296</v>
      </c>
    </row>
    <row r="6254" spans="1:11" ht="144" x14ac:dyDescent="0.3">
      <c r="A6254" s="4" t="s">
        <v>9068</v>
      </c>
      <c r="B6254">
        <v>3</v>
      </c>
      <c r="C6254">
        <v>2013</v>
      </c>
      <c r="D6254" t="s">
        <v>11310</v>
      </c>
      <c r="E6254">
        <v>21</v>
      </c>
      <c r="F6254" t="s">
        <v>35297</v>
      </c>
      <c r="G6254" t="s">
        <v>35298</v>
      </c>
      <c r="H6254" s="4" t="s">
        <v>35299</v>
      </c>
    </row>
    <row r="6255" spans="1:11" ht="158.4" x14ac:dyDescent="0.3">
      <c r="A6255" s="4" t="s">
        <v>9069</v>
      </c>
      <c r="B6255">
        <v>3</v>
      </c>
      <c r="C6255">
        <v>2013</v>
      </c>
      <c r="D6255" t="s">
        <v>12593</v>
      </c>
      <c r="E6255">
        <v>111</v>
      </c>
      <c r="F6255" t="s">
        <v>35300</v>
      </c>
      <c r="G6255" t="s">
        <v>35301</v>
      </c>
      <c r="H6255" s="4" t="s">
        <v>35302</v>
      </c>
      <c r="I6255" t="s">
        <v>71</v>
      </c>
      <c r="J6255" t="s">
        <v>10782</v>
      </c>
      <c r="K6255" t="s">
        <v>35303</v>
      </c>
    </row>
    <row r="6256" spans="1:11" ht="172.8" x14ac:dyDescent="0.3">
      <c r="A6256" s="4" t="s">
        <v>9070</v>
      </c>
      <c r="B6256">
        <v>3</v>
      </c>
      <c r="C6256">
        <v>2013</v>
      </c>
      <c r="D6256" t="s">
        <v>1688</v>
      </c>
      <c r="E6256">
        <v>50</v>
      </c>
      <c r="F6256" t="s">
        <v>35304</v>
      </c>
      <c r="G6256" t="s">
        <v>35305</v>
      </c>
      <c r="H6256" s="4" t="s">
        <v>35306</v>
      </c>
      <c r="I6256" t="s">
        <v>71</v>
      </c>
      <c r="J6256" t="s">
        <v>10782</v>
      </c>
      <c r="K6256" t="s">
        <v>35307</v>
      </c>
    </row>
    <row r="6257" spans="1:12" ht="28.8" x14ac:dyDescent="0.3">
      <c r="A6257" s="4" t="s">
        <v>9071</v>
      </c>
      <c r="B6257">
        <v>3</v>
      </c>
      <c r="C6257">
        <v>2013</v>
      </c>
      <c r="D6257" t="s">
        <v>2389</v>
      </c>
      <c r="E6257">
        <v>0</v>
      </c>
      <c r="F6257" t="s">
        <v>35308</v>
      </c>
      <c r="G6257" t="s">
        <v>35309</v>
      </c>
      <c r="L6257" t="s">
        <v>35310</v>
      </c>
    </row>
    <row r="6258" spans="1:12" ht="187.2" x14ac:dyDescent="0.3">
      <c r="A6258" s="4" t="s">
        <v>9072</v>
      </c>
      <c r="B6258">
        <v>3</v>
      </c>
      <c r="C6258">
        <v>2013</v>
      </c>
      <c r="D6258" t="s">
        <v>18377</v>
      </c>
      <c r="E6258">
        <v>29</v>
      </c>
      <c r="F6258" t="s">
        <v>35311</v>
      </c>
      <c r="G6258" t="s">
        <v>35312</v>
      </c>
      <c r="H6258" s="4" t="s">
        <v>35313</v>
      </c>
      <c r="I6258" t="s">
        <v>71</v>
      </c>
      <c r="J6258" t="s">
        <v>10782</v>
      </c>
      <c r="K6258" t="s">
        <v>35314</v>
      </c>
    </row>
    <row r="6259" spans="1:12" ht="115.2" x14ac:dyDescent="0.3">
      <c r="A6259" s="4" t="s">
        <v>9073</v>
      </c>
      <c r="B6259">
        <v>3</v>
      </c>
      <c r="C6259">
        <v>2013</v>
      </c>
      <c r="D6259" t="s">
        <v>217</v>
      </c>
      <c r="E6259">
        <v>9</v>
      </c>
      <c r="F6259" t="s">
        <v>35315</v>
      </c>
      <c r="G6259" t="s">
        <v>35316</v>
      </c>
      <c r="H6259" s="4" t="s">
        <v>35317</v>
      </c>
    </row>
    <row r="6260" spans="1:12" ht="43.2" x14ac:dyDescent="0.3">
      <c r="A6260" s="4" t="s">
        <v>9074</v>
      </c>
      <c r="B6260">
        <v>3</v>
      </c>
      <c r="C6260">
        <v>2013</v>
      </c>
      <c r="D6260" t="s">
        <v>33818</v>
      </c>
      <c r="E6260">
        <v>8</v>
      </c>
      <c r="F6260" t="s">
        <v>35318</v>
      </c>
      <c r="G6260" t="s">
        <v>35319</v>
      </c>
      <c r="H6260" s="4" t="s">
        <v>71</v>
      </c>
      <c r="I6260" t="s">
        <v>10782</v>
      </c>
      <c r="J6260" t="s">
        <v>35320</v>
      </c>
    </row>
    <row r="6261" spans="1:12" ht="187.2" x14ac:dyDescent="0.3">
      <c r="A6261" s="4" t="s">
        <v>9075</v>
      </c>
      <c r="B6261">
        <v>3</v>
      </c>
      <c r="C6261">
        <v>2013</v>
      </c>
      <c r="D6261" t="s">
        <v>1570</v>
      </c>
      <c r="E6261">
        <v>102</v>
      </c>
      <c r="F6261" t="s">
        <v>35321</v>
      </c>
      <c r="G6261" t="s">
        <v>35322</v>
      </c>
      <c r="H6261" s="4" t="s">
        <v>35323</v>
      </c>
      <c r="I6261" t="s">
        <v>71</v>
      </c>
      <c r="J6261" t="s">
        <v>10782</v>
      </c>
      <c r="K6261" t="s">
        <v>35324</v>
      </c>
    </row>
    <row r="6262" spans="1:12" ht="158.4" x14ac:dyDescent="0.3">
      <c r="A6262" s="4" t="s">
        <v>9076</v>
      </c>
      <c r="B6262">
        <v>3</v>
      </c>
      <c r="C6262">
        <v>2013</v>
      </c>
      <c r="D6262" t="s">
        <v>2416</v>
      </c>
      <c r="E6262">
        <v>79</v>
      </c>
      <c r="F6262" t="s">
        <v>35325</v>
      </c>
      <c r="G6262" t="s">
        <v>35326</v>
      </c>
      <c r="H6262" s="4" t="s">
        <v>35327</v>
      </c>
      <c r="I6262" t="s">
        <v>71</v>
      </c>
      <c r="J6262" t="s">
        <v>10782</v>
      </c>
      <c r="K6262" t="s">
        <v>35328</v>
      </c>
    </row>
    <row r="6263" spans="1:12" ht="216" x14ac:dyDescent="0.3">
      <c r="A6263" s="4" t="s">
        <v>9077</v>
      </c>
      <c r="B6263">
        <v>3</v>
      </c>
      <c r="C6263">
        <v>2013</v>
      </c>
      <c r="D6263" t="s">
        <v>35329</v>
      </c>
      <c r="E6263">
        <v>12</v>
      </c>
      <c r="F6263" t="s">
        <v>35330</v>
      </c>
      <c r="G6263" t="s">
        <v>35331</v>
      </c>
      <c r="H6263" s="4" t="s">
        <v>35332</v>
      </c>
      <c r="I6263" t="s">
        <v>71</v>
      </c>
      <c r="J6263" t="s">
        <v>10782</v>
      </c>
      <c r="K6263" t="s">
        <v>35333</v>
      </c>
    </row>
    <row r="6264" spans="1:12" ht="129.6" x14ac:dyDescent="0.3">
      <c r="A6264" s="4" t="s">
        <v>9078</v>
      </c>
      <c r="B6264">
        <v>3</v>
      </c>
      <c r="C6264">
        <v>2013</v>
      </c>
      <c r="D6264" t="s">
        <v>11310</v>
      </c>
      <c r="E6264">
        <v>23</v>
      </c>
      <c r="F6264" t="s">
        <v>35334</v>
      </c>
      <c r="G6264" t="s">
        <v>35335</v>
      </c>
      <c r="H6264" s="4" t="s">
        <v>35336</v>
      </c>
      <c r="I6264" t="s">
        <v>71</v>
      </c>
      <c r="J6264" t="s">
        <v>10782</v>
      </c>
      <c r="K6264" t="s">
        <v>35337</v>
      </c>
    </row>
    <row r="6265" spans="1:12" ht="230.4" x14ac:dyDescent="0.3">
      <c r="A6265" s="4" t="s">
        <v>9079</v>
      </c>
      <c r="B6265">
        <v>3</v>
      </c>
      <c r="C6265">
        <v>2013</v>
      </c>
      <c r="D6265" t="s">
        <v>1175</v>
      </c>
      <c r="E6265">
        <v>29</v>
      </c>
      <c r="F6265" t="s">
        <v>35338</v>
      </c>
      <c r="G6265" t="s">
        <v>35339</v>
      </c>
      <c r="H6265" s="4" t="s">
        <v>35340</v>
      </c>
      <c r="I6265" t="s">
        <v>71</v>
      </c>
      <c r="J6265" t="s">
        <v>10782</v>
      </c>
      <c r="K6265" t="s">
        <v>35341</v>
      </c>
    </row>
    <row r="6266" spans="1:12" ht="172.8" x14ac:dyDescent="0.3">
      <c r="A6266" s="4" t="s">
        <v>9080</v>
      </c>
      <c r="B6266">
        <v>3</v>
      </c>
      <c r="C6266">
        <v>2013</v>
      </c>
      <c r="D6266" t="s">
        <v>1570</v>
      </c>
      <c r="E6266">
        <v>41</v>
      </c>
      <c r="F6266" t="s">
        <v>35342</v>
      </c>
      <c r="G6266" t="s">
        <v>35343</v>
      </c>
      <c r="H6266" s="4" t="s">
        <v>35344</v>
      </c>
      <c r="I6266" t="s">
        <v>71</v>
      </c>
      <c r="J6266" t="s">
        <v>10782</v>
      </c>
      <c r="K6266" t="s">
        <v>35345</v>
      </c>
    </row>
    <row r="6267" spans="1:12" ht="144" x14ac:dyDescent="0.3">
      <c r="A6267" s="4" t="s">
        <v>9081</v>
      </c>
      <c r="B6267">
        <v>3</v>
      </c>
      <c r="C6267">
        <v>2013</v>
      </c>
      <c r="D6267" t="s">
        <v>2853</v>
      </c>
      <c r="E6267">
        <v>20</v>
      </c>
      <c r="F6267" t="s">
        <v>35346</v>
      </c>
      <c r="G6267" t="s">
        <v>35347</v>
      </c>
      <c r="H6267" s="4" t="s">
        <v>35348</v>
      </c>
      <c r="I6267" t="s">
        <v>71</v>
      </c>
      <c r="J6267" t="s">
        <v>10782</v>
      </c>
      <c r="K6267" t="s">
        <v>35349</v>
      </c>
    </row>
    <row r="6268" spans="1:12" ht="57.6" x14ac:dyDescent="0.3">
      <c r="A6268" s="4" t="s">
        <v>9082</v>
      </c>
      <c r="B6268">
        <v>3</v>
      </c>
      <c r="C6268">
        <v>2013</v>
      </c>
      <c r="D6268" t="s">
        <v>1525</v>
      </c>
      <c r="E6268">
        <v>4</v>
      </c>
      <c r="F6268" t="s">
        <v>35350</v>
      </c>
      <c r="G6268" t="s">
        <v>35351</v>
      </c>
      <c r="H6268" s="4" t="s">
        <v>35352</v>
      </c>
      <c r="I6268" t="s">
        <v>35353</v>
      </c>
    </row>
    <row r="6269" spans="1:12" ht="187.2" x14ac:dyDescent="0.3">
      <c r="A6269" s="4" t="s">
        <v>9083</v>
      </c>
      <c r="B6269">
        <v>3</v>
      </c>
      <c r="C6269">
        <v>2013</v>
      </c>
      <c r="D6269" t="s">
        <v>35354</v>
      </c>
      <c r="E6269">
        <v>3</v>
      </c>
      <c r="F6269" t="s">
        <v>35355</v>
      </c>
      <c r="G6269" t="s">
        <v>35356</v>
      </c>
      <c r="H6269" s="4" t="s">
        <v>35357</v>
      </c>
      <c r="I6269" t="s">
        <v>71</v>
      </c>
      <c r="J6269" t="s">
        <v>10782</v>
      </c>
      <c r="K6269" t="s">
        <v>35358</v>
      </c>
    </row>
    <row r="6270" spans="1:12" ht="129.6" x14ac:dyDescent="0.3">
      <c r="A6270" s="4" t="s">
        <v>9084</v>
      </c>
      <c r="B6270">
        <v>3</v>
      </c>
      <c r="C6270">
        <v>2013</v>
      </c>
      <c r="D6270" t="s">
        <v>16928</v>
      </c>
      <c r="E6270">
        <v>13</v>
      </c>
      <c r="F6270" t="s">
        <v>35359</v>
      </c>
      <c r="G6270" t="s">
        <v>35360</v>
      </c>
      <c r="H6270" s="4" t="s">
        <v>35361</v>
      </c>
      <c r="I6270" t="s">
        <v>71</v>
      </c>
      <c r="J6270" t="s">
        <v>10782</v>
      </c>
      <c r="K6270" t="s">
        <v>35362</v>
      </c>
    </row>
    <row r="6271" spans="1:12" ht="43.2" x14ac:dyDescent="0.3">
      <c r="A6271" s="4" t="s">
        <v>9085</v>
      </c>
      <c r="B6271">
        <v>3</v>
      </c>
      <c r="C6271">
        <v>2013</v>
      </c>
      <c r="D6271" t="s">
        <v>35363</v>
      </c>
      <c r="E6271">
        <v>52</v>
      </c>
      <c r="F6271" t="s">
        <v>35364</v>
      </c>
      <c r="G6271" t="s">
        <v>35365</v>
      </c>
    </row>
    <row r="6272" spans="1:12" ht="144" x14ac:dyDescent="0.3">
      <c r="A6272" s="4" t="s">
        <v>9086</v>
      </c>
      <c r="B6272">
        <v>3</v>
      </c>
      <c r="C6272">
        <v>2013</v>
      </c>
      <c r="D6272" t="s">
        <v>432</v>
      </c>
      <c r="E6272">
        <v>13</v>
      </c>
      <c r="F6272" t="s">
        <v>35366</v>
      </c>
      <c r="G6272" t="s">
        <v>35367</v>
      </c>
      <c r="H6272" s="4" t="s">
        <v>35368</v>
      </c>
      <c r="I6272" t="s">
        <v>71</v>
      </c>
      <c r="J6272" t="s">
        <v>10782</v>
      </c>
      <c r="K6272" t="s">
        <v>35369</v>
      </c>
    </row>
    <row r="6273" spans="1:11" ht="216" x14ac:dyDescent="0.3">
      <c r="A6273" s="4" t="s">
        <v>9087</v>
      </c>
      <c r="B6273">
        <v>3</v>
      </c>
      <c r="C6273">
        <v>2013</v>
      </c>
      <c r="D6273" t="s">
        <v>2914</v>
      </c>
      <c r="E6273">
        <v>13</v>
      </c>
      <c r="F6273" t="s">
        <v>35370</v>
      </c>
      <c r="G6273" t="s">
        <v>35371</v>
      </c>
      <c r="H6273" s="4" t="s">
        <v>35372</v>
      </c>
      <c r="I6273" t="s">
        <v>71</v>
      </c>
      <c r="J6273" t="s">
        <v>10782</v>
      </c>
      <c r="K6273" t="s">
        <v>35373</v>
      </c>
    </row>
    <row r="6274" spans="1:11" ht="187.2" x14ac:dyDescent="0.3">
      <c r="A6274" s="4" t="s">
        <v>9088</v>
      </c>
      <c r="B6274">
        <v>3</v>
      </c>
      <c r="C6274">
        <v>2013</v>
      </c>
      <c r="D6274" t="s">
        <v>1746</v>
      </c>
      <c r="E6274">
        <v>17</v>
      </c>
      <c r="F6274" t="s">
        <v>35374</v>
      </c>
      <c r="G6274" t="s">
        <v>35375</v>
      </c>
      <c r="H6274" s="4" t="s">
        <v>35376</v>
      </c>
      <c r="I6274" t="s">
        <v>71</v>
      </c>
      <c r="J6274" t="s">
        <v>10782</v>
      </c>
      <c r="K6274" t="s">
        <v>35377</v>
      </c>
    </row>
    <row r="6275" spans="1:11" ht="201.6" x14ac:dyDescent="0.3">
      <c r="A6275" s="4" t="s">
        <v>3654</v>
      </c>
      <c r="B6275">
        <v>2</v>
      </c>
      <c r="C6275">
        <v>2013</v>
      </c>
      <c r="D6275" t="s">
        <v>1570</v>
      </c>
      <c r="E6275">
        <v>34</v>
      </c>
      <c r="F6275" t="s">
        <v>35378</v>
      </c>
      <c r="G6275" t="s">
        <v>35379</v>
      </c>
      <c r="H6275" s="4" t="s">
        <v>35380</v>
      </c>
      <c r="I6275" t="s">
        <v>71</v>
      </c>
      <c r="J6275" t="s">
        <v>10782</v>
      </c>
      <c r="K6275" t="s">
        <v>35381</v>
      </c>
    </row>
    <row r="6276" spans="1:11" ht="144" x14ac:dyDescent="0.3">
      <c r="A6276" s="4" t="s">
        <v>9089</v>
      </c>
      <c r="B6276">
        <v>3</v>
      </c>
      <c r="C6276">
        <v>2013</v>
      </c>
      <c r="D6276" t="s">
        <v>10924</v>
      </c>
      <c r="E6276">
        <v>31</v>
      </c>
      <c r="F6276" t="s">
        <v>35382</v>
      </c>
      <c r="G6276" t="s">
        <v>35383</v>
      </c>
      <c r="H6276" s="4" t="s">
        <v>35384</v>
      </c>
    </row>
    <row r="6277" spans="1:11" ht="144" x14ac:dyDescent="0.3">
      <c r="A6277" s="4" t="s">
        <v>9090</v>
      </c>
      <c r="B6277">
        <v>3</v>
      </c>
      <c r="C6277">
        <v>2013</v>
      </c>
      <c r="D6277" t="s">
        <v>799</v>
      </c>
      <c r="E6277">
        <v>48</v>
      </c>
      <c r="F6277" t="s">
        <v>35385</v>
      </c>
      <c r="G6277" t="s">
        <v>35386</v>
      </c>
      <c r="H6277" s="4" t="s">
        <v>35387</v>
      </c>
    </row>
    <row r="6278" spans="1:11" ht="345.6" x14ac:dyDescent="0.3">
      <c r="A6278" s="4" t="s">
        <v>9091</v>
      </c>
      <c r="B6278">
        <v>3</v>
      </c>
      <c r="C6278">
        <v>2013</v>
      </c>
      <c r="D6278" t="s">
        <v>19706</v>
      </c>
      <c r="E6278">
        <v>11</v>
      </c>
      <c r="F6278" t="s">
        <v>35388</v>
      </c>
      <c r="G6278" t="s">
        <v>35389</v>
      </c>
      <c r="H6278" s="4" t="s">
        <v>35390</v>
      </c>
      <c r="I6278" t="s">
        <v>71</v>
      </c>
      <c r="J6278" t="s">
        <v>10782</v>
      </c>
      <c r="K6278" t="s">
        <v>35391</v>
      </c>
    </row>
    <row r="6279" spans="1:11" ht="158.4" x14ac:dyDescent="0.3">
      <c r="A6279" s="4" t="s">
        <v>9092</v>
      </c>
      <c r="B6279">
        <v>3</v>
      </c>
      <c r="C6279">
        <v>2013</v>
      </c>
      <c r="D6279" t="s">
        <v>10886</v>
      </c>
      <c r="E6279">
        <v>9</v>
      </c>
      <c r="F6279" t="s">
        <v>35392</v>
      </c>
      <c r="G6279" t="s">
        <v>35393</v>
      </c>
      <c r="H6279" s="4" t="s">
        <v>35394</v>
      </c>
      <c r="I6279" t="s">
        <v>71</v>
      </c>
      <c r="J6279" t="s">
        <v>10782</v>
      </c>
      <c r="K6279" t="s">
        <v>35395</v>
      </c>
    </row>
    <row r="6280" spans="1:11" ht="86.4" x14ac:dyDescent="0.3">
      <c r="A6280" s="4" t="s">
        <v>9093</v>
      </c>
      <c r="B6280">
        <v>3</v>
      </c>
      <c r="C6280">
        <v>2013</v>
      </c>
      <c r="D6280" t="s">
        <v>2267</v>
      </c>
      <c r="E6280">
        <v>44</v>
      </c>
      <c r="F6280" t="s">
        <v>35396</v>
      </c>
      <c r="G6280" t="s">
        <v>35397</v>
      </c>
      <c r="H6280" s="4" t="s">
        <v>35398</v>
      </c>
      <c r="I6280" t="s">
        <v>71</v>
      </c>
      <c r="J6280" t="s">
        <v>10782</v>
      </c>
      <c r="K6280" t="s">
        <v>35399</v>
      </c>
    </row>
    <row r="6281" spans="1:11" ht="144" x14ac:dyDescent="0.3">
      <c r="A6281" s="4" t="s">
        <v>9094</v>
      </c>
      <c r="B6281">
        <v>3</v>
      </c>
      <c r="C6281">
        <v>2013</v>
      </c>
      <c r="D6281" t="s">
        <v>2201</v>
      </c>
      <c r="E6281">
        <v>78</v>
      </c>
      <c r="F6281" t="s">
        <v>35400</v>
      </c>
      <c r="G6281" t="s">
        <v>35401</v>
      </c>
      <c r="H6281" s="4" t="s">
        <v>35402</v>
      </c>
      <c r="I6281" t="s">
        <v>71</v>
      </c>
      <c r="J6281" t="s">
        <v>10782</v>
      </c>
      <c r="K6281" t="s">
        <v>35403</v>
      </c>
    </row>
    <row r="6282" spans="1:11" ht="100.8" x14ac:dyDescent="0.3">
      <c r="A6282" s="4" t="s">
        <v>9095</v>
      </c>
      <c r="B6282">
        <v>3</v>
      </c>
      <c r="C6282">
        <v>2013</v>
      </c>
      <c r="D6282" t="s">
        <v>35404</v>
      </c>
      <c r="E6282">
        <v>1</v>
      </c>
      <c r="F6282" t="s">
        <v>35405</v>
      </c>
      <c r="G6282" t="s">
        <v>35406</v>
      </c>
      <c r="H6282" s="4" t="s">
        <v>35407</v>
      </c>
      <c r="I6282" t="s">
        <v>71</v>
      </c>
      <c r="J6282" t="s">
        <v>10782</v>
      </c>
      <c r="K6282" t="s">
        <v>35408</v>
      </c>
    </row>
    <row r="6283" spans="1:11" ht="187.2" x14ac:dyDescent="0.3">
      <c r="A6283" s="4" t="s">
        <v>9096</v>
      </c>
      <c r="B6283">
        <v>3</v>
      </c>
      <c r="C6283">
        <v>2013</v>
      </c>
      <c r="D6283" t="s">
        <v>11310</v>
      </c>
      <c r="E6283">
        <v>87</v>
      </c>
      <c r="F6283" t="s">
        <v>35409</v>
      </c>
      <c r="G6283" t="s">
        <v>35410</v>
      </c>
      <c r="H6283" s="4" t="s">
        <v>35411</v>
      </c>
      <c r="I6283" t="s">
        <v>71</v>
      </c>
      <c r="J6283" t="s">
        <v>10782</v>
      </c>
      <c r="K6283" t="s">
        <v>35412</v>
      </c>
    </row>
    <row r="6284" spans="1:11" ht="57.6" x14ac:dyDescent="0.3">
      <c r="A6284" s="4" t="s">
        <v>9097</v>
      </c>
      <c r="B6284">
        <v>3</v>
      </c>
      <c r="C6284">
        <v>2013</v>
      </c>
      <c r="D6284" t="s">
        <v>2030</v>
      </c>
      <c r="E6284">
        <v>6</v>
      </c>
      <c r="F6284" t="s">
        <v>35413</v>
      </c>
      <c r="G6284" t="s">
        <v>35414</v>
      </c>
      <c r="H6284" s="4" t="s">
        <v>35415</v>
      </c>
    </row>
    <row r="6285" spans="1:11" ht="158.4" x14ac:dyDescent="0.3">
      <c r="A6285" s="4" t="s">
        <v>9098</v>
      </c>
      <c r="B6285">
        <v>3</v>
      </c>
      <c r="C6285">
        <v>2013</v>
      </c>
      <c r="D6285" t="s">
        <v>10825</v>
      </c>
      <c r="E6285">
        <v>93</v>
      </c>
      <c r="F6285" t="s">
        <v>35416</v>
      </c>
      <c r="G6285" t="s">
        <v>35417</v>
      </c>
      <c r="H6285" s="4" t="s">
        <v>35418</v>
      </c>
      <c r="I6285" t="s">
        <v>71</v>
      </c>
      <c r="J6285" t="s">
        <v>10782</v>
      </c>
      <c r="K6285" t="s">
        <v>35419</v>
      </c>
    </row>
    <row r="6286" spans="1:11" ht="28.8" x14ac:dyDescent="0.3">
      <c r="A6286" s="4" t="s">
        <v>9099</v>
      </c>
      <c r="B6286">
        <v>3</v>
      </c>
      <c r="C6286">
        <v>2013</v>
      </c>
      <c r="D6286" t="s">
        <v>35420</v>
      </c>
      <c r="E6286">
        <v>2</v>
      </c>
      <c r="F6286" t="s">
        <v>35421</v>
      </c>
      <c r="G6286" t="s">
        <v>35422</v>
      </c>
    </row>
    <row r="6287" spans="1:11" ht="172.8" x14ac:dyDescent="0.3">
      <c r="A6287" s="4" t="s">
        <v>9100</v>
      </c>
      <c r="B6287">
        <v>3</v>
      </c>
      <c r="C6287">
        <v>2013</v>
      </c>
      <c r="D6287" t="s">
        <v>1570</v>
      </c>
      <c r="E6287">
        <v>14</v>
      </c>
      <c r="F6287" t="s">
        <v>35423</v>
      </c>
      <c r="G6287" t="s">
        <v>35424</v>
      </c>
      <c r="H6287" s="4" t="s">
        <v>35425</v>
      </c>
      <c r="I6287" t="s">
        <v>71</v>
      </c>
      <c r="J6287" t="s">
        <v>10782</v>
      </c>
      <c r="K6287" t="s">
        <v>35426</v>
      </c>
    </row>
    <row r="6288" spans="1:11" ht="158.4" x14ac:dyDescent="0.3">
      <c r="A6288" s="4" t="s">
        <v>9101</v>
      </c>
      <c r="B6288">
        <v>3</v>
      </c>
      <c r="C6288">
        <v>2013</v>
      </c>
      <c r="D6288" t="s">
        <v>964</v>
      </c>
      <c r="E6288">
        <v>38</v>
      </c>
      <c r="F6288" t="s">
        <v>35427</v>
      </c>
      <c r="G6288" t="s">
        <v>35428</v>
      </c>
      <c r="H6288" s="4" t="s">
        <v>35429</v>
      </c>
      <c r="I6288" t="s">
        <v>71</v>
      </c>
      <c r="J6288" t="s">
        <v>10782</v>
      </c>
      <c r="K6288" t="s">
        <v>35430</v>
      </c>
    </row>
    <row r="6289" spans="1:12" ht="259.2" x14ac:dyDescent="0.3">
      <c r="A6289" s="4" t="s">
        <v>9102</v>
      </c>
      <c r="B6289">
        <v>3</v>
      </c>
      <c r="C6289">
        <v>2013</v>
      </c>
      <c r="D6289" t="s">
        <v>11674</v>
      </c>
      <c r="E6289">
        <v>6</v>
      </c>
      <c r="F6289" t="s">
        <v>35431</v>
      </c>
      <c r="G6289" t="s">
        <v>35432</v>
      </c>
      <c r="H6289" s="4" t="s">
        <v>35433</v>
      </c>
      <c r="I6289" t="s">
        <v>71</v>
      </c>
      <c r="J6289" t="s">
        <v>10782</v>
      </c>
      <c r="K6289" t="s">
        <v>35434</v>
      </c>
    </row>
    <row r="6290" spans="1:12" ht="86.4" x14ac:dyDescent="0.3">
      <c r="A6290" s="4" t="s">
        <v>9103</v>
      </c>
      <c r="B6290">
        <v>3</v>
      </c>
      <c r="C6290">
        <v>2013</v>
      </c>
      <c r="D6290" t="s">
        <v>2267</v>
      </c>
      <c r="E6290">
        <v>6</v>
      </c>
      <c r="F6290" t="s">
        <v>35435</v>
      </c>
      <c r="G6290" t="s">
        <v>35436</v>
      </c>
      <c r="H6290" s="4" t="s">
        <v>35437</v>
      </c>
      <c r="I6290" t="s">
        <v>71</v>
      </c>
      <c r="J6290" t="s">
        <v>10782</v>
      </c>
      <c r="K6290" t="s">
        <v>35438</v>
      </c>
    </row>
    <row r="6291" spans="1:12" ht="172.8" x14ac:dyDescent="0.3">
      <c r="A6291" s="4" t="s">
        <v>3655</v>
      </c>
      <c r="B6291">
        <v>2</v>
      </c>
      <c r="C6291">
        <v>2013</v>
      </c>
      <c r="D6291" t="s">
        <v>1570</v>
      </c>
      <c r="E6291">
        <v>24</v>
      </c>
      <c r="F6291" t="s">
        <v>35439</v>
      </c>
      <c r="G6291" t="s">
        <v>35440</v>
      </c>
      <c r="H6291" s="4" t="s">
        <v>35441</v>
      </c>
      <c r="I6291" t="s">
        <v>71</v>
      </c>
      <c r="J6291" t="s">
        <v>10782</v>
      </c>
      <c r="K6291" t="s">
        <v>35442</v>
      </c>
    </row>
    <row r="6292" spans="1:12" ht="201.6" x14ac:dyDescent="0.3">
      <c r="A6292" s="4" t="s">
        <v>9104</v>
      </c>
      <c r="B6292">
        <v>3</v>
      </c>
      <c r="C6292">
        <v>2013</v>
      </c>
      <c r="D6292" t="s">
        <v>217</v>
      </c>
      <c r="E6292">
        <v>31</v>
      </c>
      <c r="F6292" t="s">
        <v>35443</v>
      </c>
      <c r="G6292" t="s">
        <v>35444</v>
      </c>
      <c r="H6292" s="4" t="s">
        <v>35445</v>
      </c>
      <c r="I6292" t="s">
        <v>71</v>
      </c>
      <c r="J6292" t="s">
        <v>10782</v>
      </c>
      <c r="K6292" t="s">
        <v>35446</v>
      </c>
    </row>
    <row r="6293" spans="1:12" ht="172.8" x14ac:dyDescent="0.3">
      <c r="A6293" s="4" t="s">
        <v>9105</v>
      </c>
      <c r="B6293">
        <v>3</v>
      </c>
      <c r="C6293">
        <v>2013</v>
      </c>
      <c r="D6293" t="s">
        <v>14052</v>
      </c>
      <c r="E6293">
        <v>3</v>
      </c>
      <c r="F6293" t="s">
        <v>35447</v>
      </c>
      <c r="G6293" t="s">
        <v>35448</v>
      </c>
      <c r="H6293" s="4" t="s">
        <v>35449</v>
      </c>
      <c r="I6293" t="s">
        <v>71</v>
      </c>
      <c r="J6293" t="s">
        <v>10782</v>
      </c>
      <c r="K6293" t="s">
        <v>35450</v>
      </c>
    </row>
    <row r="6294" spans="1:12" ht="86.4" x14ac:dyDescent="0.3">
      <c r="A6294" s="4" t="s">
        <v>9106</v>
      </c>
      <c r="B6294">
        <v>3</v>
      </c>
      <c r="C6294">
        <v>2013</v>
      </c>
      <c r="D6294" t="s">
        <v>35451</v>
      </c>
      <c r="E6294">
        <v>7</v>
      </c>
      <c r="F6294" t="s">
        <v>35452</v>
      </c>
      <c r="G6294" t="s">
        <v>35453</v>
      </c>
      <c r="H6294" s="4" t="s">
        <v>35454</v>
      </c>
      <c r="I6294" t="s">
        <v>71</v>
      </c>
      <c r="J6294" t="s">
        <v>10782</v>
      </c>
      <c r="K6294" t="s">
        <v>35455</v>
      </c>
    </row>
    <row r="6295" spans="1:12" ht="115.2" x14ac:dyDescent="0.3">
      <c r="A6295" s="4" t="s">
        <v>9107</v>
      </c>
      <c r="B6295">
        <v>3</v>
      </c>
      <c r="C6295">
        <v>2013</v>
      </c>
      <c r="D6295" t="s">
        <v>10815</v>
      </c>
      <c r="E6295">
        <v>26</v>
      </c>
      <c r="F6295" t="s">
        <v>35456</v>
      </c>
      <c r="G6295" t="s">
        <v>35457</v>
      </c>
      <c r="H6295" s="4" t="s">
        <v>35458</v>
      </c>
    </row>
    <row r="6296" spans="1:12" ht="273.60000000000002" x14ac:dyDescent="0.3">
      <c r="A6296" s="4" t="s">
        <v>9108</v>
      </c>
      <c r="B6296">
        <v>3</v>
      </c>
      <c r="C6296">
        <v>2013</v>
      </c>
      <c r="D6296" t="s">
        <v>11674</v>
      </c>
      <c r="E6296">
        <v>14</v>
      </c>
      <c r="F6296" t="s">
        <v>35459</v>
      </c>
      <c r="G6296" t="s">
        <v>35460</v>
      </c>
      <c r="H6296" s="4" t="s">
        <v>35461</v>
      </c>
      <c r="I6296" t="s">
        <v>71</v>
      </c>
      <c r="J6296" t="s">
        <v>10782</v>
      </c>
      <c r="K6296" t="s">
        <v>35462</v>
      </c>
    </row>
    <row r="6297" spans="1:12" ht="28.8" x14ac:dyDescent="0.3">
      <c r="A6297" s="4" t="s">
        <v>9109</v>
      </c>
      <c r="B6297">
        <v>3</v>
      </c>
      <c r="C6297">
        <v>2013</v>
      </c>
      <c r="D6297" t="s">
        <v>2389</v>
      </c>
      <c r="E6297">
        <v>0</v>
      </c>
      <c r="F6297" t="s">
        <v>35463</v>
      </c>
      <c r="G6297" t="s">
        <v>35464</v>
      </c>
      <c r="L6297" t="s">
        <v>35465</v>
      </c>
    </row>
    <row r="6298" spans="1:12" ht="144" x14ac:dyDescent="0.3">
      <c r="A6298" s="4" t="s">
        <v>2083</v>
      </c>
      <c r="B6298">
        <v>1</v>
      </c>
      <c r="C6298">
        <v>2013</v>
      </c>
      <c r="D6298" t="s">
        <v>2267</v>
      </c>
      <c r="E6298">
        <v>104</v>
      </c>
      <c r="F6298" t="s">
        <v>35466</v>
      </c>
      <c r="G6298" t="s">
        <v>35467</v>
      </c>
      <c r="H6298" s="4" t="s">
        <v>35468</v>
      </c>
      <c r="I6298" t="s">
        <v>71</v>
      </c>
      <c r="J6298" t="s">
        <v>10782</v>
      </c>
      <c r="K6298" t="s">
        <v>35469</v>
      </c>
    </row>
    <row r="6299" spans="1:12" ht="115.2" x14ac:dyDescent="0.3">
      <c r="A6299" s="4" t="s">
        <v>9110</v>
      </c>
      <c r="B6299">
        <v>3</v>
      </c>
      <c r="C6299">
        <v>2013</v>
      </c>
      <c r="D6299" t="s">
        <v>13066</v>
      </c>
      <c r="E6299">
        <v>6</v>
      </c>
      <c r="F6299" t="s">
        <v>35470</v>
      </c>
      <c r="G6299" t="s">
        <v>35471</v>
      </c>
      <c r="H6299" s="4" t="s">
        <v>35472</v>
      </c>
      <c r="I6299" t="s">
        <v>10823</v>
      </c>
      <c r="J6299" t="s">
        <v>10782</v>
      </c>
      <c r="K6299" t="s">
        <v>35473</v>
      </c>
    </row>
    <row r="6300" spans="1:12" ht="216" x14ac:dyDescent="0.3">
      <c r="A6300" s="4" t="s">
        <v>9111</v>
      </c>
      <c r="B6300">
        <v>3</v>
      </c>
      <c r="C6300">
        <v>2013</v>
      </c>
      <c r="D6300" t="s">
        <v>35474</v>
      </c>
      <c r="E6300">
        <v>6</v>
      </c>
      <c r="F6300" t="s">
        <v>35475</v>
      </c>
      <c r="G6300" t="s">
        <v>35476</v>
      </c>
      <c r="H6300" s="4" t="s">
        <v>35477</v>
      </c>
      <c r="I6300" t="s">
        <v>71</v>
      </c>
      <c r="J6300" t="s">
        <v>10782</v>
      </c>
      <c r="K6300" t="s">
        <v>35478</v>
      </c>
    </row>
    <row r="6301" spans="1:12" ht="216" x14ac:dyDescent="0.3">
      <c r="A6301" s="4" t="s">
        <v>9112</v>
      </c>
      <c r="B6301">
        <v>3</v>
      </c>
      <c r="C6301">
        <v>2013</v>
      </c>
      <c r="D6301" t="s">
        <v>1688</v>
      </c>
      <c r="E6301">
        <v>116</v>
      </c>
      <c r="F6301" t="s">
        <v>35479</v>
      </c>
      <c r="G6301" t="s">
        <v>35480</v>
      </c>
      <c r="H6301" s="4" t="s">
        <v>35481</v>
      </c>
      <c r="I6301" t="s">
        <v>71</v>
      </c>
      <c r="J6301" t="s">
        <v>10782</v>
      </c>
      <c r="K6301" t="s">
        <v>35482</v>
      </c>
    </row>
    <row r="6302" spans="1:12" ht="129.6" x14ac:dyDescent="0.3">
      <c r="A6302" s="4" t="s">
        <v>9113</v>
      </c>
      <c r="B6302">
        <v>3</v>
      </c>
      <c r="C6302">
        <v>2013</v>
      </c>
      <c r="D6302" t="s">
        <v>10805</v>
      </c>
      <c r="E6302">
        <v>29</v>
      </c>
      <c r="F6302" t="s">
        <v>35483</v>
      </c>
      <c r="G6302" t="s">
        <v>35484</v>
      </c>
      <c r="H6302" s="4" t="s">
        <v>35485</v>
      </c>
      <c r="I6302" t="s">
        <v>71</v>
      </c>
      <c r="J6302" t="s">
        <v>10782</v>
      </c>
      <c r="K6302" t="s">
        <v>35486</v>
      </c>
    </row>
    <row r="6303" spans="1:12" ht="158.4" x14ac:dyDescent="0.3">
      <c r="A6303" s="4" t="s">
        <v>9114</v>
      </c>
      <c r="B6303">
        <v>3</v>
      </c>
      <c r="C6303">
        <v>2013</v>
      </c>
      <c r="D6303" t="s">
        <v>14147</v>
      </c>
      <c r="E6303">
        <v>19</v>
      </c>
      <c r="F6303" t="s">
        <v>35487</v>
      </c>
      <c r="G6303" t="s">
        <v>35488</v>
      </c>
      <c r="H6303" s="4" t="s">
        <v>35489</v>
      </c>
      <c r="I6303" t="s">
        <v>71</v>
      </c>
      <c r="J6303" t="s">
        <v>10782</v>
      </c>
      <c r="K6303" t="s">
        <v>35490</v>
      </c>
    </row>
    <row r="6304" spans="1:12" ht="115.2" x14ac:dyDescent="0.3">
      <c r="A6304" s="4" t="s">
        <v>9115</v>
      </c>
      <c r="B6304">
        <v>3</v>
      </c>
      <c r="C6304">
        <v>2013</v>
      </c>
      <c r="D6304" t="s">
        <v>1426</v>
      </c>
      <c r="E6304">
        <v>131</v>
      </c>
      <c r="F6304" t="s">
        <v>35491</v>
      </c>
      <c r="G6304" t="s">
        <v>35492</v>
      </c>
      <c r="H6304" s="4" t="s">
        <v>35493</v>
      </c>
      <c r="I6304" t="s">
        <v>71</v>
      </c>
      <c r="J6304" t="s">
        <v>10782</v>
      </c>
      <c r="K6304" t="s">
        <v>35494</v>
      </c>
    </row>
    <row r="6305" spans="1:11" ht="28.8" x14ac:dyDescent="0.3">
      <c r="A6305" s="4" t="s">
        <v>9116</v>
      </c>
      <c r="B6305">
        <v>3</v>
      </c>
      <c r="C6305">
        <v>2013</v>
      </c>
      <c r="D6305" t="s">
        <v>679</v>
      </c>
      <c r="E6305">
        <v>29</v>
      </c>
      <c r="F6305" t="s">
        <v>35495</v>
      </c>
      <c r="G6305" t="s">
        <v>35496</v>
      </c>
      <c r="H6305" s="4" t="s">
        <v>35497</v>
      </c>
    </row>
    <row r="6306" spans="1:11" ht="100.8" x14ac:dyDescent="0.3">
      <c r="A6306" s="4" t="s">
        <v>9117</v>
      </c>
      <c r="B6306">
        <v>3</v>
      </c>
      <c r="C6306">
        <v>2013</v>
      </c>
      <c r="D6306" t="s">
        <v>16780</v>
      </c>
      <c r="E6306">
        <v>89</v>
      </c>
      <c r="F6306" t="s">
        <v>35498</v>
      </c>
      <c r="G6306" t="s">
        <v>35499</v>
      </c>
      <c r="H6306" s="4" t="s">
        <v>35500</v>
      </c>
    </row>
    <row r="6307" spans="1:11" ht="43.2" x14ac:dyDescent="0.3">
      <c r="A6307" s="4" t="s">
        <v>2084</v>
      </c>
      <c r="B6307">
        <v>1</v>
      </c>
      <c r="C6307">
        <v>2013</v>
      </c>
      <c r="D6307" t="s">
        <v>217</v>
      </c>
      <c r="E6307">
        <v>8</v>
      </c>
      <c r="F6307" t="s">
        <v>35501</v>
      </c>
      <c r="G6307" t="s">
        <v>35502</v>
      </c>
      <c r="H6307" s="4" t="s">
        <v>35503</v>
      </c>
    </row>
    <row r="6308" spans="1:11" ht="158.4" x14ac:dyDescent="0.3">
      <c r="A6308" s="4" t="s">
        <v>9118</v>
      </c>
      <c r="B6308">
        <v>3</v>
      </c>
      <c r="C6308">
        <v>2013</v>
      </c>
      <c r="D6308" t="s">
        <v>2375</v>
      </c>
      <c r="E6308">
        <v>274</v>
      </c>
      <c r="F6308" t="s">
        <v>35504</v>
      </c>
      <c r="G6308" t="s">
        <v>35505</v>
      </c>
      <c r="H6308" s="4" t="s">
        <v>35506</v>
      </c>
      <c r="I6308" t="s">
        <v>10823</v>
      </c>
      <c r="J6308" t="s">
        <v>10782</v>
      </c>
      <c r="K6308" t="s">
        <v>35507</v>
      </c>
    </row>
    <row r="6309" spans="1:11" ht="201.6" x14ac:dyDescent="0.3">
      <c r="A6309" s="4" t="s">
        <v>9119</v>
      </c>
      <c r="B6309">
        <v>3</v>
      </c>
      <c r="C6309">
        <v>2013</v>
      </c>
      <c r="D6309" t="s">
        <v>1759</v>
      </c>
      <c r="E6309">
        <v>56</v>
      </c>
      <c r="F6309" t="s">
        <v>35508</v>
      </c>
      <c r="G6309" t="s">
        <v>35509</v>
      </c>
      <c r="H6309" s="4" t="s">
        <v>35510</v>
      </c>
      <c r="I6309" t="s">
        <v>71</v>
      </c>
      <c r="J6309" t="s">
        <v>10782</v>
      </c>
      <c r="K6309" t="s">
        <v>35511</v>
      </c>
    </row>
    <row r="6310" spans="1:11" ht="115.2" x14ac:dyDescent="0.3">
      <c r="A6310" s="4" t="s">
        <v>8945</v>
      </c>
      <c r="B6310">
        <v>3</v>
      </c>
      <c r="C6310">
        <v>2013</v>
      </c>
      <c r="D6310" t="s">
        <v>217</v>
      </c>
      <c r="E6310">
        <v>86</v>
      </c>
      <c r="F6310" t="s">
        <v>35512</v>
      </c>
      <c r="G6310" t="s">
        <v>35513</v>
      </c>
      <c r="H6310" s="4" t="s">
        <v>35514</v>
      </c>
      <c r="I6310" t="s">
        <v>71</v>
      </c>
      <c r="J6310" t="s">
        <v>10782</v>
      </c>
      <c r="K6310" t="s">
        <v>35515</v>
      </c>
    </row>
    <row r="6311" spans="1:11" ht="100.8" x14ac:dyDescent="0.3">
      <c r="A6311" s="4" t="s">
        <v>9120</v>
      </c>
      <c r="B6311">
        <v>3</v>
      </c>
      <c r="C6311">
        <v>2013</v>
      </c>
      <c r="D6311" t="s">
        <v>3061</v>
      </c>
      <c r="E6311">
        <v>4</v>
      </c>
      <c r="F6311" t="s">
        <v>35516</v>
      </c>
      <c r="G6311" t="s">
        <v>35517</v>
      </c>
      <c r="H6311" s="4" t="s">
        <v>35518</v>
      </c>
      <c r="I6311" t="s">
        <v>71</v>
      </c>
      <c r="J6311" t="s">
        <v>10782</v>
      </c>
      <c r="K6311" t="s">
        <v>35519</v>
      </c>
    </row>
    <row r="6312" spans="1:11" ht="158.4" x14ac:dyDescent="0.3">
      <c r="A6312" s="4" t="s">
        <v>9121</v>
      </c>
      <c r="B6312">
        <v>3</v>
      </c>
      <c r="C6312">
        <v>2013</v>
      </c>
      <c r="D6312" t="s">
        <v>15454</v>
      </c>
      <c r="E6312">
        <v>41</v>
      </c>
      <c r="F6312" t="s">
        <v>35520</v>
      </c>
      <c r="G6312" t="s">
        <v>35521</v>
      </c>
      <c r="H6312" s="4" t="s">
        <v>35522</v>
      </c>
      <c r="I6312" t="s">
        <v>71</v>
      </c>
      <c r="J6312" t="s">
        <v>10782</v>
      </c>
      <c r="K6312" t="s">
        <v>35523</v>
      </c>
    </row>
    <row r="6313" spans="1:11" ht="158.4" x14ac:dyDescent="0.3">
      <c r="A6313" s="4" t="s">
        <v>9122</v>
      </c>
      <c r="B6313">
        <v>3</v>
      </c>
      <c r="C6313">
        <v>2012</v>
      </c>
      <c r="D6313" t="s">
        <v>432</v>
      </c>
      <c r="E6313">
        <v>10</v>
      </c>
      <c r="F6313" t="s">
        <v>35524</v>
      </c>
      <c r="G6313" t="s">
        <v>35525</v>
      </c>
      <c r="H6313" s="4" t="s">
        <v>35526</v>
      </c>
      <c r="I6313" t="s">
        <v>71</v>
      </c>
      <c r="J6313" t="s">
        <v>10782</v>
      </c>
      <c r="K6313" t="s">
        <v>35527</v>
      </c>
    </row>
    <row r="6314" spans="1:11" ht="187.2" x14ac:dyDescent="0.3">
      <c r="A6314" s="4" t="s">
        <v>9123</v>
      </c>
      <c r="B6314">
        <v>3</v>
      </c>
      <c r="C6314">
        <v>2012</v>
      </c>
      <c r="D6314" t="s">
        <v>11598</v>
      </c>
      <c r="E6314">
        <v>57</v>
      </c>
      <c r="F6314" t="s">
        <v>35528</v>
      </c>
      <c r="G6314" t="s">
        <v>35529</v>
      </c>
      <c r="H6314" s="4" t="s">
        <v>35530</v>
      </c>
      <c r="I6314" t="s">
        <v>71</v>
      </c>
      <c r="J6314" t="s">
        <v>10782</v>
      </c>
      <c r="K6314" t="s">
        <v>35531</v>
      </c>
    </row>
    <row r="6315" spans="1:11" ht="28.8" x14ac:dyDescent="0.3">
      <c r="A6315" s="4" t="s">
        <v>9124</v>
      </c>
      <c r="B6315">
        <v>3</v>
      </c>
      <c r="C6315">
        <v>2012</v>
      </c>
      <c r="D6315" t="s">
        <v>10057</v>
      </c>
      <c r="E6315">
        <v>27</v>
      </c>
      <c r="F6315" t="s">
        <v>35532</v>
      </c>
      <c r="G6315" t="s">
        <v>35533</v>
      </c>
      <c r="H6315" s="4" t="s">
        <v>35534</v>
      </c>
    </row>
    <row r="6316" spans="1:11" ht="115.2" x14ac:dyDescent="0.3">
      <c r="A6316" s="4" t="s">
        <v>3656</v>
      </c>
      <c r="B6316">
        <v>2</v>
      </c>
      <c r="C6316">
        <v>2012</v>
      </c>
      <c r="D6316" t="s">
        <v>799</v>
      </c>
      <c r="E6316">
        <v>236</v>
      </c>
      <c r="F6316" t="s">
        <v>35535</v>
      </c>
      <c r="G6316" t="s">
        <v>35536</v>
      </c>
      <c r="H6316" s="4" t="s">
        <v>35537</v>
      </c>
      <c r="I6316" t="s">
        <v>71</v>
      </c>
      <c r="J6316" t="s">
        <v>10782</v>
      </c>
      <c r="K6316" t="s">
        <v>35538</v>
      </c>
    </row>
    <row r="6317" spans="1:11" ht="100.8" x14ac:dyDescent="0.3">
      <c r="A6317" s="4" t="s">
        <v>9125</v>
      </c>
      <c r="B6317">
        <v>3</v>
      </c>
      <c r="C6317">
        <v>2012</v>
      </c>
      <c r="D6317" t="s">
        <v>11598</v>
      </c>
      <c r="E6317">
        <v>126</v>
      </c>
      <c r="F6317" t="s">
        <v>35539</v>
      </c>
      <c r="G6317" t="s">
        <v>35540</v>
      </c>
      <c r="H6317" s="4" t="s">
        <v>35541</v>
      </c>
    </row>
    <row r="6318" spans="1:11" ht="201.6" x14ac:dyDescent="0.3">
      <c r="A6318" s="4" t="s">
        <v>9126</v>
      </c>
      <c r="B6318">
        <v>3</v>
      </c>
      <c r="C6318">
        <v>2012</v>
      </c>
      <c r="D6318" t="s">
        <v>30074</v>
      </c>
      <c r="E6318">
        <v>8</v>
      </c>
      <c r="F6318" t="s">
        <v>35542</v>
      </c>
      <c r="G6318" t="s">
        <v>35543</v>
      </c>
      <c r="H6318" s="4" t="s">
        <v>35544</v>
      </c>
      <c r="I6318" t="s">
        <v>71</v>
      </c>
      <c r="J6318" t="s">
        <v>10782</v>
      </c>
      <c r="K6318" t="s">
        <v>35545</v>
      </c>
    </row>
    <row r="6319" spans="1:11" ht="129.6" x14ac:dyDescent="0.3">
      <c r="A6319" s="4" t="s">
        <v>9127</v>
      </c>
      <c r="B6319">
        <v>3</v>
      </c>
      <c r="C6319">
        <v>2012</v>
      </c>
      <c r="D6319" t="s">
        <v>3026</v>
      </c>
      <c r="E6319">
        <v>27</v>
      </c>
      <c r="F6319" t="s">
        <v>35546</v>
      </c>
      <c r="G6319" t="s">
        <v>35547</v>
      </c>
      <c r="H6319" s="4" t="s">
        <v>35548</v>
      </c>
      <c r="I6319" t="s">
        <v>71</v>
      </c>
      <c r="J6319" t="s">
        <v>10782</v>
      </c>
      <c r="K6319" t="s">
        <v>35549</v>
      </c>
    </row>
    <row r="6320" spans="1:11" ht="72" x14ac:dyDescent="0.3">
      <c r="A6320" s="4" t="s">
        <v>9128</v>
      </c>
      <c r="B6320">
        <v>3</v>
      </c>
      <c r="C6320">
        <v>2012</v>
      </c>
      <c r="D6320" t="s">
        <v>2585</v>
      </c>
      <c r="E6320">
        <v>50</v>
      </c>
      <c r="F6320" t="s">
        <v>35550</v>
      </c>
      <c r="G6320" t="s">
        <v>35551</v>
      </c>
      <c r="H6320" s="4" t="s">
        <v>35552</v>
      </c>
    </row>
    <row r="6321" spans="1:11" ht="172.8" x14ac:dyDescent="0.3">
      <c r="A6321" s="4" t="s">
        <v>9129</v>
      </c>
      <c r="B6321">
        <v>3</v>
      </c>
      <c r="C6321">
        <v>2012</v>
      </c>
      <c r="D6321" t="s">
        <v>217</v>
      </c>
      <c r="E6321">
        <v>15</v>
      </c>
      <c r="F6321" t="s">
        <v>35553</v>
      </c>
      <c r="G6321" t="s">
        <v>35554</v>
      </c>
      <c r="H6321" s="4" t="s">
        <v>35555</v>
      </c>
      <c r="I6321" t="s">
        <v>71</v>
      </c>
      <c r="J6321" t="s">
        <v>10782</v>
      </c>
      <c r="K6321" t="s">
        <v>35556</v>
      </c>
    </row>
    <row r="6322" spans="1:11" ht="144" x14ac:dyDescent="0.3">
      <c r="A6322" s="4" t="s">
        <v>9130</v>
      </c>
      <c r="B6322">
        <v>3</v>
      </c>
      <c r="C6322">
        <v>2012</v>
      </c>
      <c r="D6322" t="s">
        <v>10057</v>
      </c>
      <c r="E6322">
        <v>72</v>
      </c>
      <c r="F6322" t="s">
        <v>35557</v>
      </c>
      <c r="G6322" t="s">
        <v>35558</v>
      </c>
      <c r="H6322" s="4" t="s">
        <v>35559</v>
      </c>
      <c r="I6322" t="s">
        <v>71</v>
      </c>
      <c r="J6322" t="s">
        <v>10782</v>
      </c>
      <c r="K6322" t="s">
        <v>35560</v>
      </c>
    </row>
    <row r="6323" spans="1:11" ht="43.2" x14ac:dyDescent="0.3">
      <c r="A6323" s="4" t="s">
        <v>9131</v>
      </c>
      <c r="B6323">
        <v>3</v>
      </c>
      <c r="C6323">
        <v>2012</v>
      </c>
      <c r="D6323" t="s">
        <v>14692</v>
      </c>
      <c r="E6323">
        <v>7</v>
      </c>
      <c r="F6323" t="s">
        <v>35561</v>
      </c>
      <c r="G6323" t="s">
        <v>35562</v>
      </c>
      <c r="H6323" s="4" t="s">
        <v>71</v>
      </c>
      <c r="I6323" t="s">
        <v>10782</v>
      </c>
      <c r="J6323" t="s">
        <v>35563</v>
      </c>
    </row>
    <row r="6324" spans="1:11" ht="115.2" x14ac:dyDescent="0.3">
      <c r="A6324" s="4" t="s">
        <v>9132</v>
      </c>
      <c r="B6324">
        <v>3</v>
      </c>
      <c r="C6324">
        <v>2012</v>
      </c>
      <c r="D6324" t="s">
        <v>35564</v>
      </c>
      <c r="E6324">
        <v>17</v>
      </c>
      <c r="F6324" t="s">
        <v>35565</v>
      </c>
      <c r="G6324" t="s">
        <v>35566</v>
      </c>
      <c r="H6324" s="4" t="s">
        <v>35567</v>
      </c>
      <c r="I6324" t="s">
        <v>71</v>
      </c>
      <c r="J6324" t="s">
        <v>10782</v>
      </c>
      <c r="K6324" t="s">
        <v>35568</v>
      </c>
    </row>
    <row r="6325" spans="1:11" ht="201.6" x14ac:dyDescent="0.3">
      <c r="A6325" s="4" t="s">
        <v>3428</v>
      </c>
      <c r="B6325">
        <v>1</v>
      </c>
      <c r="C6325">
        <v>2012</v>
      </c>
      <c r="D6325" t="s">
        <v>1570</v>
      </c>
      <c r="E6325">
        <v>5</v>
      </c>
      <c r="F6325" t="s">
        <v>35569</v>
      </c>
      <c r="G6325" t="s">
        <v>35570</v>
      </c>
      <c r="H6325" s="4" t="s">
        <v>35571</v>
      </c>
      <c r="I6325" t="s">
        <v>71</v>
      </c>
      <c r="J6325" t="s">
        <v>10782</v>
      </c>
      <c r="K6325" t="s">
        <v>35572</v>
      </c>
    </row>
    <row r="6326" spans="1:11" ht="187.2" x14ac:dyDescent="0.3">
      <c r="A6326" s="4" t="s">
        <v>9133</v>
      </c>
      <c r="B6326">
        <v>3</v>
      </c>
      <c r="C6326">
        <v>2012</v>
      </c>
      <c r="D6326" t="s">
        <v>31509</v>
      </c>
      <c r="E6326">
        <v>19</v>
      </c>
      <c r="F6326" t="s">
        <v>35573</v>
      </c>
      <c r="G6326" t="s">
        <v>35574</v>
      </c>
      <c r="H6326" s="4" t="s">
        <v>35575</v>
      </c>
      <c r="I6326" t="s">
        <v>71</v>
      </c>
      <c r="J6326" t="s">
        <v>10782</v>
      </c>
      <c r="K6326" t="s">
        <v>35576</v>
      </c>
    </row>
    <row r="6327" spans="1:11" ht="216" x14ac:dyDescent="0.3">
      <c r="A6327" s="4" t="s">
        <v>9134</v>
      </c>
      <c r="B6327">
        <v>3</v>
      </c>
      <c r="C6327">
        <v>2012</v>
      </c>
      <c r="D6327" t="s">
        <v>2201</v>
      </c>
      <c r="E6327">
        <v>69</v>
      </c>
      <c r="F6327" t="s">
        <v>35577</v>
      </c>
      <c r="G6327" t="s">
        <v>35578</v>
      </c>
      <c r="H6327" s="4" t="s">
        <v>35579</v>
      </c>
      <c r="I6327" t="s">
        <v>71</v>
      </c>
      <c r="J6327" t="s">
        <v>10782</v>
      </c>
      <c r="K6327" t="s">
        <v>35580</v>
      </c>
    </row>
    <row r="6328" spans="1:11" ht="100.8" x14ac:dyDescent="0.3">
      <c r="A6328" s="4" t="s">
        <v>9135</v>
      </c>
      <c r="B6328">
        <v>3</v>
      </c>
      <c r="C6328">
        <v>2012</v>
      </c>
      <c r="D6328" t="s">
        <v>1231</v>
      </c>
      <c r="E6328">
        <v>25</v>
      </c>
      <c r="F6328" t="s">
        <v>35581</v>
      </c>
      <c r="G6328" t="s">
        <v>35582</v>
      </c>
      <c r="H6328" s="4" t="s">
        <v>35583</v>
      </c>
    </row>
    <row r="6329" spans="1:11" ht="302.39999999999998" x14ac:dyDescent="0.3">
      <c r="A6329" s="4" t="s">
        <v>9136</v>
      </c>
      <c r="B6329">
        <v>3</v>
      </c>
      <c r="C6329">
        <v>2012</v>
      </c>
      <c r="D6329" t="s">
        <v>2914</v>
      </c>
      <c r="E6329">
        <v>16</v>
      </c>
      <c r="F6329" t="s">
        <v>35584</v>
      </c>
      <c r="G6329" t="s">
        <v>35585</v>
      </c>
      <c r="H6329" s="4" t="s">
        <v>35586</v>
      </c>
      <c r="I6329" t="s">
        <v>71</v>
      </c>
      <c r="J6329" t="s">
        <v>10782</v>
      </c>
      <c r="K6329" t="s">
        <v>35587</v>
      </c>
    </row>
    <row r="6330" spans="1:11" ht="43.2" x14ac:dyDescent="0.3">
      <c r="A6330" s="4" t="s">
        <v>9137</v>
      </c>
      <c r="B6330">
        <v>3</v>
      </c>
      <c r="C6330">
        <v>2012</v>
      </c>
      <c r="D6330" t="s">
        <v>28481</v>
      </c>
      <c r="E6330">
        <v>2</v>
      </c>
      <c r="F6330" t="s">
        <v>35588</v>
      </c>
      <c r="G6330" t="s">
        <v>35589</v>
      </c>
      <c r="H6330" s="4" t="s">
        <v>71</v>
      </c>
      <c r="I6330" t="s">
        <v>10782</v>
      </c>
      <c r="J6330" t="s">
        <v>35590</v>
      </c>
    </row>
    <row r="6331" spans="1:11" ht="115.2" x14ac:dyDescent="0.3">
      <c r="A6331" s="4" t="s">
        <v>9138</v>
      </c>
      <c r="B6331">
        <v>3</v>
      </c>
      <c r="C6331">
        <v>2012</v>
      </c>
      <c r="D6331" t="s">
        <v>35591</v>
      </c>
      <c r="E6331">
        <v>9</v>
      </c>
      <c r="F6331" t="s">
        <v>35592</v>
      </c>
      <c r="G6331" t="s">
        <v>35593</v>
      </c>
      <c r="H6331" s="4" t="s">
        <v>35594</v>
      </c>
      <c r="I6331" t="s">
        <v>71</v>
      </c>
      <c r="J6331" t="s">
        <v>10782</v>
      </c>
      <c r="K6331" t="s">
        <v>35595</v>
      </c>
    </row>
    <row r="6332" spans="1:11" ht="129.6" x14ac:dyDescent="0.3">
      <c r="A6332" s="4" t="s">
        <v>9139</v>
      </c>
      <c r="B6332">
        <v>3</v>
      </c>
      <c r="C6332">
        <v>2012</v>
      </c>
      <c r="D6332" t="s">
        <v>385</v>
      </c>
      <c r="E6332">
        <v>126</v>
      </c>
      <c r="F6332" t="s">
        <v>35596</v>
      </c>
      <c r="G6332" t="s">
        <v>35597</v>
      </c>
      <c r="H6332" s="4" t="s">
        <v>35598</v>
      </c>
      <c r="I6332" t="s">
        <v>71</v>
      </c>
      <c r="J6332" t="s">
        <v>10782</v>
      </c>
      <c r="K6332" t="s">
        <v>35599</v>
      </c>
    </row>
    <row r="6333" spans="1:11" ht="172.8" x14ac:dyDescent="0.3">
      <c r="A6333" s="4" t="s">
        <v>9140</v>
      </c>
      <c r="B6333">
        <v>3</v>
      </c>
      <c r="C6333">
        <v>2012</v>
      </c>
      <c r="D6333" t="s">
        <v>26504</v>
      </c>
      <c r="E6333">
        <v>10</v>
      </c>
      <c r="F6333" t="s">
        <v>35600</v>
      </c>
      <c r="G6333" t="s">
        <v>35601</v>
      </c>
      <c r="H6333" s="4" t="s">
        <v>35602</v>
      </c>
      <c r="I6333" t="s">
        <v>71</v>
      </c>
      <c r="J6333" t="s">
        <v>10782</v>
      </c>
      <c r="K6333" t="s">
        <v>35603</v>
      </c>
    </row>
    <row r="6334" spans="1:11" ht="28.8" x14ac:dyDescent="0.3">
      <c r="A6334" s="4" t="s">
        <v>9141</v>
      </c>
      <c r="B6334">
        <v>3</v>
      </c>
      <c r="C6334">
        <v>2012</v>
      </c>
      <c r="D6334" t="s">
        <v>35604</v>
      </c>
      <c r="E6334">
        <v>3</v>
      </c>
      <c r="F6334" t="s">
        <v>35605</v>
      </c>
      <c r="G6334" t="s">
        <v>35606</v>
      </c>
      <c r="H6334" s="4" t="s">
        <v>71</v>
      </c>
      <c r="I6334" t="s">
        <v>10782</v>
      </c>
      <c r="J6334" t="s">
        <v>35607</v>
      </c>
    </row>
    <row r="6335" spans="1:11" ht="201.6" x14ac:dyDescent="0.3">
      <c r="A6335" s="4" t="s">
        <v>9142</v>
      </c>
      <c r="B6335">
        <v>3</v>
      </c>
      <c r="C6335">
        <v>2012</v>
      </c>
      <c r="D6335" t="s">
        <v>318</v>
      </c>
      <c r="E6335">
        <v>290</v>
      </c>
      <c r="F6335" t="s">
        <v>35608</v>
      </c>
      <c r="G6335" t="s">
        <v>35609</v>
      </c>
      <c r="H6335" s="4" t="s">
        <v>35610</v>
      </c>
      <c r="I6335" t="s">
        <v>10823</v>
      </c>
      <c r="J6335" t="s">
        <v>10782</v>
      </c>
      <c r="K6335" t="s">
        <v>35611</v>
      </c>
    </row>
    <row r="6336" spans="1:11" ht="201.6" x14ac:dyDescent="0.3">
      <c r="A6336" s="4" t="s">
        <v>9143</v>
      </c>
      <c r="B6336">
        <v>3</v>
      </c>
      <c r="C6336">
        <v>2012</v>
      </c>
      <c r="D6336" t="s">
        <v>2742</v>
      </c>
      <c r="E6336">
        <v>39</v>
      </c>
      <c r="F6336" t="s">
        <v>35612</v>
      </c>
      <c r="G6336" t="s">
        <v>35613</v>
      </c>
      <c r="H6336" s="4" t="s">
        <v>35614</v>
      </c>
      <c r="I6336" t="s">
        <v>71</v>
      </c>
      <c r="J6336" t="s">
        <v>10782</v>
      </c>
      <c r="K6336" t="s">
        <v>35615</v>
      </c>
    </row>
    <row r="6337" spans="1:11" ht="187.2" x14ac:dyDescent="0.3">
      <c r="A6337" s="4" t="s">
        <v>9144</v>
      </c>
      <c r="B6337">
        <v>3</v>
      </c>
      <c r="C6337">
        <v>2012</v>
      </c>
      <c r="D6337" t="s">
        <v>33555</v>
      </c>
      <c r="E6337">
        <v>2</v>
      </c>
      <c r="F6337" t="s">
        <v>35616</v>
      </c>
      <c r="G6337" t="s">
        <v>35617</v>
      </c>
      <c r="H6337" s="4" t="s">
        <v>35618</v>
      </c>
      <c r="I6337" t="s">
        <v>71</v>
      </c>
      <c r="J6337" t="s">
        <v>10782</v>
      </c>
      <c r="K6337" t="s">
        <v>35619</v>
      </c>
    </row>
    <row r="6338" spans="1:11" ht="144" x14ac:dyDescent="0.3">
      <c r="A6338" s="4" t="s">
        <v>3657</v>
      </c>
      <c r="B6338">
        <v>2</v>
      </c>
      <c r="C6338">
        <v>2012</v>
      </c>
      <c r="D6338" t="s">
        <v>550</v>
      </c>
      <c r="E6338">
        <v>26</v>
      </c>
      <c r="F6338" t="s">
        <v>35620</v>
      </c>
      <c r="G6338" t="s">
        <v>35621</v>
      </c>
      <c r="H6338" s="4" t="s">
        <v>35622</v>
      </c>
      <c r="I6338" t="s">
        <v>71</v>
      </c>
      <c r="J6338" t="s">
        <v>10782</v>
      </c>
      <c r="K6338" t="s">
        <v>35623</v>
      </c>
    </row>
    <row r="6339" spans="1:11" ht="28.8" x14ac:dyDescent="0.3">
      <c r="A6339" s="4" t="s">
        <v>9145</v>
      </c>
      <c r="B6339">
        <v>3</v>
      </c>
      <c r="C6339">
        <v>2012</v>
      </c>
      <c r="D6339" t="s">
        <v>35624</v>
      </c>
      <c r="E6339">
        <v>10</v>
      </c>
      <c r="F6339" t="s">
        <v>35625</v>
      </c>
      <c r="G6339" t="s">
        <v>35626</v>
      </c>
    </row>
    <row r="6340" spans="1:11" ht="43.2" x14ac:dyDescent="0.3">
      <c r="A6340" s="4" t="s">
        <v>9146</v>
      </c>
      <c r="B6340">
        <v>3</v>
      </c>
      <c r="C6340">
        <v>2012</v>
      </c>
      <c r="D6340" t="s">
        <v>16112</v>
      </c>
      <c r="E6340">
        <v>11</v>
      </c>
      <c r="F6340" t="s">
        <v>35627</v>
      </c>
      <c r="G6340" t="s">
        <v>35628</v>
      </c>
      <c r="H6340" s="4" t="s">
        <v>35629</v>
      </c>
    </row>
    <row r="6341" spans="1:11" ht="201.6" x14ac:dyDescent="0.3">
      <c r="A6341" s="4" t="s">
        <v>9147</v>
      </c>
      <c r="B6341">
        <v>3</v>
      </c>
      <c r="C6341">
        <v>2012</v>
      </c>
      <c r="D6341" t="s">
        <v>2585</v>
      </c>
      <c r="E6341">
        <v>69</v>
      </c>
      <c r="F6341" t="s">
        <v>35630</v>
      </c>
      <c r="G6341" t="s">
        <v>35631</v>
      </c>
      <c r="H6341" s="4" t="s">
        <v>35632</v>
      </c>
      <c r="I6341" t="s">
        <v>71</v>
      </c>
      <c r="J6341" t="s">
        <v>10782</v>
      </c>
      <c r="K6341" t="s">
        <v>35633</v>
      </c>
    </row>
    <row r="6342" spans="1:11" ht="86.4" x14ac:dyDescent="0.3">
      <c r="A6342" s="4" t="s">
        <v>9148</v>
      </c>
      <c r="B6342">
        <v>3</v>
      </c>
      <c r="C6342">
        <v>2012</v>
      </c>
      <c r="D6342" t="s">
        <v>35634</v>
      </c>
      <c r="E6342">
        <v>8</v>
      </c>
      <c r="F6342" t="s">
        <v>35635</v>
      </c>
      <c r="G6342" t="s">
        <v>35636</v>
      </c>
      <c r="H6342" s="4" t="s">
        <v>35637</v>
      </c>
      <c r="I6342" t="s">
        <v>71</v>
      </c>
      <c r="J6342" t="s">
        <v>10782</v>
      </c>
      <c r="K6342" t="s">
        <v>35638</v>
      </c>
    </row>
    <row r="6343" spans="1:11" ht="115.2" x14ac:dyDescent="0.3">
      <c r="A6343" s="4" t="s">
        <v>9149</v>
      </c>
      <c r="B6343">
        <v>3</v>
      </c>
      <c r="C6343">
        <v>2012</v>
      </c>
      <c r="D6343" t="s">
        <v>17463</v>
      </c>
      <c r="E6343">
        <v>26</v>
      </c>
      <c r="F6343" t="s">
        <v>35639</v>
      </c>
      <c r="G6343" t="s">
        <v>35640</v>
      </c>
      <c r="H6343" s="4" t="s">
        <v>35641</v>
      </c>
      <c r="I6343" t="s">
        <v>71</v>
      </c>
      <c r="J6343" t="s">
        <v>10782</v>
      </c>
      <c r="K6343" t="s">
        <v>35642</v>
      </c>
    </row>
    <row r="6344" spans="1:11" ht="201.6" x14ac:dyDescent="0.3">
      <c r="A6344" s="4" t="s">
        <v>9150</v>
      </c>
      <c r="B6344">
        <v>3</v>
      </c>
      <c r="C6344">
        <v>2012</v>
      </c>
      <c r="D6344" t="s">
        <v>14553</v>
      </c>
      <c r="E6344">
        <v>13</v>
      </c>
      <c r="F6344" t="s">
        <v>35643</v>
      </c>
      <c r="G6344" t="s">
        <v>35644</v>
      </c>
      <c r="H6344" s="4" t="s">
        <v>35645</v>
      </c>
      <c r="I6344" t="s">
        <v>71</v>
      </c>
      <c r="J6344" t="s">
        <v>10782</v>
      </c>
      <c r="K6344" t="s">
        <v>35646</v>
      </c>
    </row>
    <row r="6345" spans="1:11" ht="187.2" x14ac:dyDescent="0.3">
      <c r="A6345" s="4" t="s">
        <v>2948</v>
      </c>
      <c r="B6345">
        <v>2</v>
      </c>
      <c r="C6345">
        <v>2012</v>
      </c>
      <c r="D6345" t="s">
        <v>1688</v>
      </c>
      <c r="E6345">
        <v>657</v>
      </c>
      <c r="F6345" t="s">
        <v>35647</v>
      </c>
      <c r="G6345" t="s">
        <v>35648</v>
      </c>
      <c r="H6345" s="4" t="s">
        <v>35649</v>
      </c>
      <c r="I6345" t="s">
        <v>71</v>
      </c>
      <c r="J6345" t="s">
        <v>10782</v>
      </c>
      <c r="K6345" t="s">
        <v>35650</v>
      </c>
    </row>
    <row r="6346" spans="1:11" ht="187.2" x14ac:dyDescent="0.3">
      <c r="A6346" s="4" t="s">
        <v>3429</v>
      </c>
      <c r="B6346">
        <v>1</v>
      </c>
      <c r="C6346">
        <v>2012</v>
      </c>
      <c r="D6346" t="s">
        <v>35651</v>
      </c>
      <c r="E6346">
        <v>57</v>
      </c>
      <c r="F6346" t="s">
        <v>35652</v>
      </c>
      <c r="G6346" t="s">
        <v>35653</v>
      </c>
      <c r="H6346" s="4" t="s">
        <v>35654</v>
      </c>
      <c r="I6346" t="s">
        <v>71</v>
      </c>
      <c r="J6346" t="s">
        <v>10782</v>
      </c>
      <c r="K6346" t="s">
        <v>35655</v>
      </c>
    </row>
    <row r="6347" spans="1:11" ht="144" x14ac:dyDescent="0.3">
      <c r="A6347" s="4" t="s">
        <v>9151</v>
      </c>
      <c r="B6347">
        <v>3</v>
      </c>
      <c r="C6347">
        <v>2012</v>
      </c>
      <c r="D6347" t="s">
        <v>2585</v>
      </c>
      <c r="E6347">
        <v>10</v>
      </c>
      <c r="F6347" t="s">
        <v>35656</v>
      </c>
      <c r="G6347" t="s">
        <v>35657</v>
      </c>
      <c r="H6347" s="4" t="s">
        <v>35658</v>
      </c>
      <c r="I6347" t="s">
        <v>71</v>
      </c>
      <c r="J6347" t="s">
        <v>10782</v>
      </c>
      <c r="K6347" t="s">
        <v>35659</v>
      </c>
    </row>
    <row r="6348" spans="1:11" ht="158.4" x14ac:dyDescent="0.3">
      <c r="A6348" s="4" t="s">
        <v>9152</v>
      </c>
      <c r="B6348">
        <v>3</v>
      </c>
      <c r="C6348">
        <v>2012</v>
      </c>
      <c r="D6348" t="s">
        <v>10057</v>
      </c>
      <c r="E6348">
        <v>46</v>
      </c>
      <c r="F6348" t="s">
        <v>35660</v>
      </c>
      <c r="G6348" t="s">
        <v>35661</v>
      </c>
      <c r="H6348" s="4" t="s">
        <v>35662</v>
      </c>
      <c r="I6348" t="s">
        <v>71</v>
      </c>
      <c r="J6348" t="s">
        <v>10782</v>
      </c>
      <c r="K6348" t="s">
        <v>35663</v>
      </c>
    </row>
    <row r="6349" spans="1:11" ht="201.6" x14ac:dyDescent="0.3">
      <c r="A6349" s="4" t="s">
        <v>9153</v>
      </c>
      <c r="B6349">
        <v>3</v>
      </c>
      <c r="C6349">
        <v>2012</v>
      </c>
      <c r="D6349" t="s">
        <v>550</v>
      </c>
      <c r="E6349">
        <v>2</v>
      </c>
      <c r="F6349" t="s">
        <v>35664</v>
      </c>
      <c r="G6349" t="s">
        <v>35665</v>
      </c>
      <c r="H6349" s="4" t="s">
        <v>35666</v>
      </c>
      <c r="I6349" t="s">
        <v>71</v>
      </c>
      <c r="J6349" t="s">
        <v>10782</v>
      </c>
      <c r="K6349" t="s">
        <v>35667</v>
      </c>
    </row>
    <row r="6350" spans="1:11" ht="144" x14ac:dyDescent="0.3">
      <c r="A6350" s="4" t="s">
        <v>9154</v>
      </c>
      <c r="B6350">
        <v>3</v>
      </c>
      <c r="C6350">
        <v>2012</v>
      </c>
      <c r="D6350" t="s">
        <v>329</v>
      </c>
      <c r="E6350">
        <v>21</v>
      </c>
      <c r="F6350" t="s">
        <v>35668</v>
      </c>
      <c r="G6350" t="s">
        <v>35669</v>
      </c>
      <c r="H6350" s="4" t="s">
        <v>35670</v>
      </c>
    </row>
    <row r="6351" spans="1:11" ht="172.8" x14ac:dyDescent="0.3">
      <c r="A6351" s="4" t="s">
        <v>9155</v>
      </c>
      <c r="B6351">
        <v>3</v>
      </c>
      <c r="C6351">
        <v>2012</v>
      </c>
      <c r="D6351" t="s">
        <v>590</v>
      </c>
      <c r="E6351">
        <v>11</v>
      </c>
      <c r="F6351" t="s">
        <v>35671</v>
      </c>
      <c r="G6351" t="s">
        <v>35672</v>
      </c>
      <c r="H6351" s="4" t="s">
        <v>35673</v>
      </c>
      <c r="I6351" t="s">
        <v>71</v>
      </c>
      <c r="J6351" t="s">
        <v>10782</v>
      </c>
      <c r="K6351" t="s">
        <v>35674</v>
      </c>
    </row>
    <row r="6352" spans="1:11" ht="28.8" x14ac:dyDescent="0.3">
      <c r="A6352" s="4" t="s">
        <v>9156</v>
      </c>
      <c r="B6352">
        <v>3</v>
      </c>
      <c r="C6352">
        <v>2012</v>
      </c>
      <c r="D6352" t="s">
        <v>18200</v>
      </c>
      <c r="E6352">
        <v>5</v>
      </c>
      <c r="F6352" t="s">
        <v>35675</v>
      </c>
      <c r="G6352" t="s">
        <v>35676</v>
      </c>
      <c r="H6352" s="4" t="s">
        <v>71</v>
      </c>
      <c r="I6352" t="s">
        <v>10782</v>
      </c>
      <c r="J6352" t="s">
        <v>35677</v>
      </c>
    </row>
    <row r="6353" spans="1:11" ht="144" x14ac:dyDescent="0.3">
      <c r="A6353" s="4" t="s">
        <v>9157</v>
      </c>
      <c r="B6353">
        <v>3</v>
      </c>
      <c r="C6353">
        <v>2012</v>
      </c>
      <c r="D6353" t="s">
        <v>35678</v>
      </c>
      <c r="E6353">
        <v>20</v>
      </c>
      <c r="F6353" t="s">
        <v>35679</v>
      </c>
      <c r="G6353" t="s">
        <v>35680</v>
      </c>
      <c r="H6353" s="4" t="s">
        <v>35681</v>
      </c>
      <c r="I6353" t="s">
        <v>71</v>
      </c>
      <c r="J6353" t="s">
        <v>10782</v>
      </c>
      <c r="K6353" t="s">
        <v>35682</v>
      </c>
    </row>
    <row r="6354" spans="1:11" ht="144" x14ac:dyDescent="0.3">
      <c r="A6354" s="4" t="s">
        <v>9158</v>
      </c>
      <c r="B6354">
        <v>3</v>
      </c>
      <c r="C6354">
        <v>2012</v>
      </c>
      <c r="D6354" t="s">
        <v>12677</v>
      </c>
      <c r="E6354">
        <v>28</v>
      </c>
      <c r="F6354" t="s">
        <v>35683</v>
      </c>
      <c r="G6354" t="s">
        <v>35684</v>
      </c>
      <c r="H6354" s="4" t="s">
        <v>35685</v>
      </c>
      <c r="I6354" t="s">
        <v>71</v>
      </c>
      <c r="J6354" t="s">
        <v>10782</v>
      </c>
      <c r="K6354" t="s">
        <v>35686</v>
      </c>
    </row>
    <row r="6355" spans="1:11" ht="86.4" x14ac:dyDescent="0.3">
      <c r="A6355" s="4" t="s">
        <v>9159</v>
      </c>
      <c r="B6355">
        <v>3</v>
      </c>
      <c r="C6355">
        <v>2012</v>
      </c>
      <c r="D6355" t="s">
        <v>16937</v>
      </c>
      <c r="E6355">
        <v>5</v>
      </c>
      <c r="F6355" t="s">
        <v>35687</v>
      </c>
      <c r="G6355" t="s">
        <v>35688</v>
      </c>
      <c r="H6355" s="4" t="s">
        <v>35689</v>
      </c>
      <c r="I6355" t="s">
        <v>71</v>
      </c>
      <c r="J6355" t="s">
        <v>10782</v>
      </c>
      <c r="K6355" t="s">
        <v>35690</v>
      </c>
    </row>
    <row r="6356" spans="1:11" ht="144" x14ac:dyDescent="0.3">
      <c r="A6356" s="4" t="s">
        <v>9160</v>
      </c>
      <c r="B6356">
        <v>3</v>
      </c>
      <c r="C6356">
        <v>2012</v>
      </c>
      <c r="D6356" t="s">
        <v>14553</v>
      </c>
      <c r="E6356">
        <v>174</v>
      </c>
      <c r="F6356" t="s">
        <v>35691</v>
      </c>
      <c r="G6356" t="s">
        <v>35692</v>
      </c>
      <c r="H6356" s="4" t="s">
        <v>35693</v>
      </c>
      <c r="I6356" t="s">
        <v>71</v>
      </c>
      <c r="J6356" t="s">
        <v>10782</v>
      </c>
      <c r="K6356" t="s">
        <v>35694</v>
      </c>
    </row>
    <row r="6357" spans="1:11" ht="144" x14ac:dyDescent="0.3">
      <c r="A6357" s="4" t="s">
        <v>9161</v>
      </c>
      <c r="B6357">
        <v>3</v>
      </c>
      <c r="C6357">
        <v>2012</v>
      </c>
      <c r="D6357" t="s">
        <v>35695</v>
      </c>
      <c r="E6357">
        <v>36</v>
      </c>
      <c r="F6357" t="s">
        <v>35696</v>
      </c>
      <c r="G6357" t="s">
        <v>35697</v>
      </c>
      <c r="H6357" s="4" t="s">
        <v>35698</v>
      </c>
      <c r="I6357" t="s">
        <v>71</v>
      </c>
      <c r="J6357" t="s">
        <v>10782</v>
      </c>
      <c r="K6357" t="s">
        <v>35699</v>
      </c>
    </row>
    <row r="6358" spans="1:11" ht="129.6" x14ac:dyDescent="0.3">
      <c r="A6358" s="4" t="s">
        <v>9162</v>
      </c>
      <c r="B6358">
        <v>3</v>
      </c>
      <c r="C6358">
        <v>2012</v>
      </c>
      <c r="D6358" t="s">
        <v>11674</v>
      </c>
      <c r="E6358">
        <v>39</v>
      </c>
      <c r="F6358" t="s">
        <v>35700</v>
      </c>
      <c r="G6358" t="s">
        <v>35701</v>
      </c>
      <c r="H6358" s="4" t="s">
        <v>35702</v>
      </c>
      <c r="I6358" t="s">
        <v>71</v>
      </c>
      <c r="J6358" t="s">
        <v>10782</v>
      </c>
      <c r="K6358" t="s">
        <v>35703</v>
      </c>
    </row>
    <row r="6359" spans="1:11" ht="115.2" x14ac:dyDescent="0.3">
      <c r="A6359" s="4" t="s">
        <v>9163</v>
      </c>
      <c r="B6359">
        <v>3</v>
      </c>
      <c r="C6359">
        <v>2012</v>
      </c>
      <c r="D6359" t="s">
        <v>24387</v>
      </c>
      <c r="E6359">
        <v>24</v>
      </c>
      <c r="F6359" t="s">
        <v>35704</v>
      </c>
      <c r="G6359" t="s">
        <v>35705</v>
      </c>
      <c r="H6359" s="4" t="s">
        <v>35706</v>
      </c>
      <c r="I6359" t="s">
        <v>71</v>
      </c>
      <c r="J6359" t="s">
        <v>10782</v>
      </c>
      <c r="K6359" t="s">
        <v>35707</v>
      </c>
    </row>
    <row r="6360" spans="1:11" ht="172.8" x14ac:dyDescent="0.3">
      <c r="A6360" s="4" t="s">
        <v>9164</v>
      </c>
      <c r="B6360">
        <v>3</v>
      </c>
      <c r="C6360">
        <v>2012</v>
      </c>
      <c r="D6360" t="s">
        <v>217</v>
      </c>
      <c r="E6360">
        <v>577</v>
      </c>
      <c r="F6360" t="s">
        <v>35708</v>
      </c>
      <c r="G6360" t="s">
        <v>35709</v>
      </c>
      <c r="H6360" s="4" t="s">
        <v>35710</v>
      </c>
      <c r="I6360" t="s">
        <v>71</v>
      </c>
      <c r="J6360" t="s">
        <v>10782</v>
      </c>
      <c r="K6360" t="s">
        <v>35711</v>
      </c>
    </row>
    <row r="6361" spans="1:11" ht="201.6" x14ac:dyDescent="0.3">
      <c r="A6361" s="4" t="s">
        <v>2085</v>
      </c>
      <c r="B6361">
        <v>1</v>
      </c>
      <c r="C6361">
        <v>2012</v>
      </c>
      <c r="D6361" t="s">
        <v>1401</v>
      </c>
      <c r="E6361">
        <v>6</v>
      </c>
      <c r="F6361" t="s">
        <v>35712</v>
      </c>
      <c r="G6361" t="s">
        <v>35713</v>
      </c>
      <c r="H6361" s="4" t="s">
        <v>35714</v>
      </c>
      <c r="I6361" t="s">
        <v>71</v>
      </c>
      <c r="J6361" t="s">
        <v>10782</v>
      </c>
      <c r="K6361" t="s">
        <v>35715</v>
      </c>
    </row>
    <row r="6362" spans="1:11" x14ac:dyDescent="0.3">
      <c r="A6362" s="4" t="s">
        <v>9165</v>
      </c>
      <c r="B6362">
        <v>3</v>
      </c>
      <c r="C6362">
        <v>2012</v>
      </c>
      <c r="D6362" t="s">
        <v>14692</v>
      </c>
      <c r="E6362">
        <v>1</v>
      </c>
      <c r="F6362" t="s">
        <v>35716</v>
      </c>
      <c r="G6362" t="s">
        <v>35717</v>
      </c>
      <c r="H6362" s="4" t="s">
        <v>71</v>
      </c>
      <c r="I6362" t="s">
        <v>10782</v>
      </c>
      <c r="J6362" t="s">
        <v>35718</v>
      </c>
    </row>
    <row r="6363" spans="1:11" ht="187.2" x14ac:dyDescent="0.3">
      <c r="A6363" s="4" t="s">
        <v>9166</v>
      </c>
      <c r="B6363">
        <v>3</v>
      </c>
      <c r="C6363">
        <v>2012</v>
      </c>
      <c r="D6363" t="s">
        <v>11598</v>
      </c>
      <c r="E6363">
        <v>25</v>
      </c>
      <c r="F6363" t="s">
        <v>35719</v>
      </c>
      <c r="G6363" t="s">
        <v>35720</v>
      </c>
      <c r="H6363" s="4" t="s">
        <v>35721</v>
      </c>
      <c r="I6363" t="s">
        <v>71</v>
      </c>
      <c r="J6363" t="s">
        <v>10782</v>
      </c>
      <c r="K6363" t="s">
        <v>35722</v>
      </c>
    </row>
    <row r="6364" spans="1:11" ht="129.6" x14ac:dyDescent="0.3">
      <c r="A6364" s="4" t="s">
        <v>9167</v>
      </c>
      <c r="B6364">
        <v>3</v>
      </c>
      <c r="C6364">
        <v>2012</v>
      </c>
      <c r="D6364" t="s">
        <v>830</v>
      </c>
      <c r="E6364">
        <v>17</v>
      </c>
      <c r="F6364" t="s">
        <v>35723</v>
      </c>
      <c r="G6364" t="s">
        <v>35724</v>
      </c>
      <c r="H6364" s="4" t="s">
        <v>35725</v>
      </c>
      <c r="I6364" t="s">
        <v>71</v>
      </c>
      <c r="J6364" t="s">
        <v>10782</v>
      </c>
      <c r="K6364" t="s">
        <v>35726</v>
      </c>
    </row>
    <row r="6365" spans="1:11" ht="57.6" x14ac:dyDescent="0.3">
      <c r="A6365" s="4" t="s">
        <v>9168</v>
      </c>
      <c r="B6365">
        <v>3</v>
      </c>
      <c r="C6365">
        <v>2012</v>
      </c>
      <c r="D6365" t="s">
        <v>35727</v>
      </c>
      <c r="E6365">
        <v>7</v>
      </c>
      <c r="F6365" t="s">
        <v>35728</v>
      </c>
      <c r="G6365" t="s">
        <v>35729</v>
      </c>
      <c r="H6365" s="4" t="s">
        <v>35730</v>
      </c>
    </row>
    <row r="6366" spans="1:11" ht="187.2" x14ac:dyDescent="0.3">
      <c r="A6366" s="4" t="s">
        <v>9169</v>
      </c>
      <c r="B6366">
        <v>3</v>
      </c>
      <c r="C6366">
        <v>2012</v>
      </c>
      <c r="D6366" t="s">
        <v>3061</v>
      </c>
      <c r="E6366">
        <v>6</v>
      </c>
      <c r="F6366" t="s">
        <v>35731</v>
      </c>
      <c r="G6366" t="s">
        <v>35732</v>
      </c>
      <c r="H6366" s="4" t="s">
        <v>35733</v>
      </c>
      <c r="I6366" t="s">
        <v>71</v>
      </c>
      <c r="J6366" t="s">
        <v>10782</v>
      </c>
      <c r="K6366" t="s">
        <v>35734</v>
      </c>
    </row>
    <row r="6367" spans="1:11" ht="158.4" x14ac:dyDescent="0.3">
      <c r="A6367" s="4" t="s">
        <v>9170</v>
      </c>
      <c r="B6367">
        <v>3</v>
      </c>
      <c r="C6367">
        <v>2012</v>
      </c>
      <c r="D6367" t="s">
        <v>1759</v>
      </c>
      <c r="E6367">
        <v>70</v>
      </c>
      <c r="F6367" t="s">
        <v>35735</v>
      </c>
      <c r="G6367" t="s">
        <v>35736</v>
      </c>
      <c r="H6367" s="4" t="s">
        <v>35737</v>
      </c>
      <c r="I6367" t="s">
        <v>71</v>
      </c>
      <c r="J6367" t="s">
        <v>10782</v>
      </c>
      <c r="K6367" t="s">
        <v>35738</v>
      </c>
    </row>
    <row r="6368" spans="1:11" ht="115.2" x14ac:dyDescent="0.3">
      <c r="A6368" s="4" t="s">
        <v>9171</v>
      </c>
      <c r="B6368">
        <v>3</v>
      </c>
      <c r="C6368">
        <v>2012</v>
      </c>
      <c r="D6368" t="s">
        <v>385</v>
      </c>
      <c r="E6368">
        <v>77</v>
      </c>
      <c r="F6368" t="s">
        <v>35739</v>
      </c>
      <c r="G6368" t="s">
        <v>35740</v>
      </c>
      <c r="H6368" s="4" t="s">
        <v>35741</v>
      </c>
      <c r="I6368" t="s">
        <v>71</v>
      </c>
      <c r="J6368" t="s">
        <v>10782</v>
      </c>
      <c r="K6368" t="s">
        <v>35742</v>
      </c>
    </row>
    <row r="6369" spans="1:11" ht="172.8" x14ac:dyDescent="0.3">
      <c r="A6369" s="4" t="s">
        <v>9172</v>
      </c>
      <c r="B6369">
        <v>3</v>
      </c>
      <c r="C6369">
        <v>2012</v>
      </c>
      <c r="D6369" t="s">
        <v>17476</v>
      </c>
      <c r="E6369">
        <v>30</v>
      </c>
      <c r="F6369" t="s">
        <v>35743</v>
      </c>
      <c r="G6369" t="s">
        <v>35744</v>
      </c>
      <c r="H6369" s="4" t="s">
        <v>35745</v>
      </c>
      <c r="I6369" t="s">
        <v>71</v>
      </c>
      <c r="J6369" t="s">
        <v>10782</v>
      </c>
      <c r="K6369" t="s">
        <v>35746</v>
      </c>
    </row>
    <row r="6370" spans="1:11" ht="28.8" x14ac:dyDescent="0.3">
      <c r="A6370" s="4" t="s">
        <v>9173</v>
      </c>
      <c r="B6370">
        <v>3</v>
      </c>
      <c r="C6370">
        <v>2012</v>
      </c>
      <c r="D6370" t="s">
        <v>35747</v>
      </c>
      <c r="E6370">
        <v>5</v>
      </c>
      <c r="F6370" t="s">
        <v>35748</v>
      </c>
      <c r="G6370" t="s">
        <v>35749</v>
      </c>
      <c r="H6370" s="4" t="s">
        <v>71</v>
      </c>
      <c r="I6370" t="s">
        <v>10782</v>
      </c>
      <c r="J6370" t="s">
        <v>35750</v>
      </c>
    </row>
    <row r="6371" spans="1:11" ht="100.8" x14ac:dyDescent="0.3">
      <c r="A6371" s="4" t="s">
        <v>9174</v>
      </c>
      <c r="B6371">
        <v>3</v>
      </c>
      <c r="C6371">
        <v>2012</v>
      </c>
      <c r="D6371" t="s">
        <v>10825</v>
      </c>
      <c r="E6371">
        <v>348</v>
      </c>
      <c r="F6371" t="s">
        <v>35751</v>
      </c>
      <c r="G6371" t="s">
        <v>35752</v>
      </c>
      <c r="H6371" s="4" t="s">
        <v>35753</v>
      </c>
      <c r="I6371" t="s">
        <v>71</v>
      </c>
      <c r="J6371" t="s">
        <v>10782</v>
      </c>
      <c r="K6371" t="s">
        <v>35754</v>
      </c>
    </row>
    <row r="6372" spans="1:11" ht="230.4" x14ac:dyDescent="0.3">
      <c r="A6372" s="4" t="s">
        <v>9175</v>
      </c>
      <c r="B6372">
        <v>3</v>
      </c>
      <c r="C6372">
        <v>2012</v>
      </c>
      <c r="D6372" t="s">
        <v>2375</v>
      </c>
      <c r="E6372">
        <v>10</v>
      </c>
      <c r="F6372" t="s">
        <v>35755</v>
      </c>
      <c r="G6372" t="s">
        <v>35756</v>
      </c>
      <c r="H6372" s="4" t="s">
        <v>35757</v>
      </c>
      <c r="I6372" t="s">
        <v>71</v>
      </c>
      <c r="J6372" t="s">
        <v>10782</v>
      </c>
      <c r="K6372" t="s">
        <v>35758</v>
      </c>
    </row>
    <row r="6373" spans="1:11" ht="28.8" x14ac:dyDescent="0.3">
      <c r="A6373" s="4" t="s">
        <v>9176</v>
      </c>
      <c r="B6373">
        <v>3</v>
      </c>
      <c r="C6373">
        <v>2012</v>
      </c>
      <c r="D6373" t="s">
        <v>35759</v>
      </c>
      <c r="E6373">
        <v>4</v>
      </c>
      <c r="F6373" t="s">
        <v>35760</v>
      </c>
      <c r="G6373" t="s">
        <v>35761</v>
      </c>
    </row>
    <row r="6374" spans="1:11" ht="115.2" x14ac:dyDescent="0.3">
      <c r="A6374" s="4" t="s">
        <v>9177</v>
      </c>
      <c r="B6374">
        <v>3</v>
      </c>
      <c r="C6374">
        <v>2012</v>
      </c>
      <c r="D6374" t="s">
        <v>2914</v>
      </c>
      <c r="E6374">
        <v>132</v>
      </c>
      <c r="F6374" t="s">
        <v>35762</v>
      </c>
      <c r="G6374" t="s">
        <v>35763</v>
      </c>
      <c r="H6374" s="4" t="s">
        <v>35764</v>
      </c>
    </row>
    <row r="6375" spans="1:11" ht="144" x14ac:dyDescent="0.3">
      <c r="A6375" s="4" t="s">
        <v>9178</v>
      </c>
      <c r="B6375">
        <v>3</v>
      </c>
      <c r="C6375">
        <v>2012</v>
      </c>
      <c r="D6375" t="s">
        <v>27932</v>
      </c>
      <c r="E6375">
        <v>21</v>
      </c>
      <c r="F6375" t="s">
        <v>35765</v>
      </c>
      <c r="G6375" t="s">
        <v>35766</v>
      </c>
      <c r="H6375" s="4" t="s">
        <v>35767</v>
      </c>
      <c r="I6375" t="s">
        <v>10823</v>
      </c>
      <c r="J6375" t="s">
        <v>10782</v>
      </c>
      <c r="K6375" t="s">
        <v>35768</v>
      </c>
    </row>
    <row r="6376" spans="1:11" ht="216" x14ac:dyDescent="0.3">
      <c r="A6376" s="4" t="s">
        <v>9179</v>
      </c>
      <c r="B6376">
        <v>3</v>
      </c>
      <c r="C6376">
        <v>2012</v>
      </c>
      <c r="D6376" t="s">
        <v>11041</v>
      </c>
      <c r="E6376">
        <v>68</v>
      </c>
      <c r="F6376" t="s">
        <v>35769</v>
      </c>
      <c r="G6376" t="s">
        <v>35770</v>
      </c>
      <c r="H6376" s="4" t="s">
        <v>35771</v>
      </c>
    </row>
    <row r="6377" spans="1:11" ht="28.8" x14ac:dyDescent="0.3">
      <c r="A6377" s="4" t="s">
        <v>9180</v>
      </c>
      <c r="B6377">
        <v>3</v>
      </c>
      <c r="C6377">
        <v>2012</v>
      </c>
      <c r="D6377" t="s">
        <v>1570</v>
      </c>
      <c r="E6377">
        <v>46</v>
      </c>
      <c r="F6377" t="s">
        <v>35772</v>
      </c>
      <c r="G6377" t="s">
        <v>35773</v>
      </c>
      <c r="H6377" s="4" t="s">
        <v>35774</v>
      </c>
    </row>
    <row r="6378" spans="1:11" ht="86.4" x14ac:dyDescent="0.3">
      <c r="A6378" s="4" t="s">
        <v>9181</v>
      </c>
      <c r="B6378">
        <v>3</v>
      </c>
      <c r="C6378">
        <v>2012</v>
      </c>
      <c r="D6378" t="s">
        <v>363</v>
      </c>
      <c r="E6378">
        <v>4</v>
      </c>
      <c r="F6378" t="s">
        <v>35775</v>
      </c>
      <c r="G6378" t="s">
        <v>35776</v>
      </c>
      <c r="H6378" s="4" t="s">
        <v>35777</v>
      </c>
    </row>
    <row r="6379" spans="1:11" ht="129.6" x14ac:dyDescent="0.3">
      <c r="A6379" s="4" t="s">
        <v>3658</v>
      </c>
      <c r="B6379">
        <v>2</v>
      </c>
      <c r="C6379">
        <v>2012</v>
      </c>
      <c r="D6379" t="s">
        <v>217</v>
      </c>
      <c r="E6379">
        <v>16</v>
      </c>
      <c r="F6379" t="s">
        <v>35778</v>
      </c>
      <c r="G6379" t="s">
        <v>35779</v>
      </c>
      <c r="H6379" s="4" t="s">
        <v>35780</v>
      </c>
      <c r="I6379" t="s">
        <v>71</v>
      </c>
      <c r="J6379" t="s">
        <v>10782</v>
      </c>
      <c r="K6379" t="s">
        <v>35781</v>
      </c>
    </row>
    <row r="6380" spans="1:11" ht="144" x14ac:dyDescent="0.3">
      <c r="A6380" s="4" t="s">
        <v>9182</v>
      </c>
      <c r="B6380">
        <v>3</v>
      </c>
      <c r="C6380">
        <v>2012</v>
      </c>
      <c r="D6380" t="s">
        <v>2282</v>
      </c>
      <c r="E6380">
        <v>18</v>
      </c>
      <c r="F6380" t="s">
        <v>35782</v>
      </c>
      <c r="G6380" t="s">
        <v>35783</v>
      </c>
      <c r="H6380" s="4" t="s">
        <v>35784</v>
      </c>
      <c r="I6380" t="s">
        <v>71</v>
      </c>
      <c r="J6380" t="s">
        <v>10782</v>
      </c>
      <c r="K6380" t="s">
        <v>35785</v>
      </c>
    </row>
    <row r="6381" spans="1:11" ht="129.6" x14ac:dyDescent="0.3">
      <c r="A6381" s="4" t="s">
        <v>9183</v>
      </c>
      <c r="B6381">
        <v>3</v>
      </c>
      <c r="C6381">
        <v>2012</v>
      </c>
      <c r="D6381" t="s">
        <v>18825</v>
      </c>
      <c r="E6381">
        <v>20</v>
      </c>
      <c r="F6381" t="s">
        <v>35786</v>
      </c>
      <c r="G6381" t="s">
        <v>35787</v>
      </c>
      <c r="H6381" s="4" t="s">
        <v>35788</v>
      </c>
    </row>
    <row r="6382" spans="1:11" ht="28.8" x14ac:dyDescent="0.3">
      <c r="A6382" s="4" t="s">
        <v>9184</v>
      </c>
      <c r="B6382">
        <v>3</v>
      </c>
      <c r="C6382">
        <v>2012</v>
      </c>
      <c r="D6382" t="s">
        <v>14553</v>
      </c>
      <c r="E6382">
        <v>122</v>
      </c>
      <c r="F6382" t="s">
        <v>35789</v>
      </c>
      <c r="G6382" t="s">
        <v>35790</v>
      </c>
      <c r="H6382" s="4" t="s">
        <v>35791</v>
      </c>
    </row>
    <row r="6383" spans="1:11" x14ac:dyDescent="0.3">
      <c r="A6383" s="4" t="s">
        <v>9185</v>
      </c>
      <c r="B6383">
        <v>3</v>
      </c>
      <c r="C6383">
        <v>2012</v>
      </c>
      <c r="D6383" t="s">
        <v>35792</v>
      </c>
      <c r="E6383">
        <v>24</v>
      </c>
      <c r="F6383" t="s">
        <v>35793</v>
      </c>
      <c r="G6383" t="s">
        <v>35794</v>
      </c>
      <c r="H6383" s="4" t="s">
        <v>71</v>
      </c>
      <c r="I6383" t="s">
        <v>10782</v>
      </c>
      <c r="J6383" t="s">
        <v>35795</v>
      </c>
    </row>
    <row r="6384" spans="1:11" ht="72" x14ac:dyDescent="0.3">
      <c r="A6384" s="4" t="s">
        <v>9186</v>
      </c>
      <c r="B6384">
        <v>3</v>
      </c>
      <c r="C6384">
        <v>2012</v>
      </c>
      <c r="D6384" t="s">
        <v>32486</v>
      </c>
      <c r="E6384">
        <v>41</v>
      </c>
      <c r="F6384" t="s">
        <v>35796</v>
      </c>
      <c r="G6384" t="s">
        <v>35797</v>
      </c>
      <c r="H6384" s="4" t="s">
        <v>35798</v>
      </c>
    </row>
    <row r="6385" spans="1:11" ht="57.6" x14ac:dyDescent="0.3">
      <c r="A6385" s="4" t="s">
        <v>9187</v>
      </c>
      <c r="B6385">
        <v>3</v>
      </c>
      <c r="C6385">
        <v>2012</v>
      </c>
      <c r="D6385" t="s">
        <v>27932</v>
      </c>
      <c r="E6385">
        <v>64</v>
      </c>
      <c r="F6385" t="s">
        <v>35799</v>
      </c>
      <c r="G6385" t="s">
        <v>35800</v>
      </c>
      <c r="H6385" s="4" t="s">
        <v>35801</v>
      </c>
    </row>
    <row r="6386" spans="1:11" ht="187.2" x14ac:dyDescent="0.3">
      <c r="A6386" s="4" t="s">
        <v>9188</v>
      </c>
      <c r="B6386">
        <v>3</v>
      </c>
      <c r="C6386">
        <v>2012</v>
      </c>
      <c r="D6386" t="s">
        <v>1231</v>
      </c>
      <c r="E6386">
        <v>11</v>
      </c>
      <c r="F6386" t="s">
        <v>35802</v>
      </c>
      <c r="G6386" t="s">
        <v>35803</v>
      </c>
      <c r="H6386" s="4" t="s">
        <v>35804</v>
      </c>
      <c r="I6386" t="s">
        <v>71</v>
      </c>
      <c r="J6386" t="s">
        <v>10782</v>
      </c>
      <c r="K6386" t="s">
        <v>35805</v>
      </c>
    </row>
    <row r="6387" spans="1:11" ht="100.8" x14ac:dyDescent="0.3">
      <c r="A6387" s="4" t="s">
        <v>9189</v>
      </c>
      <c r="B6387">
        <v>3</v>
      </c>
      <c r="C6387">
        <v>2012</v>
      </c>
      <c r="D6387" t="s">
        <v>2201</v>
      </c>
      <c r="E6387">
        <v>28</v>
      </c>
      <c r="F6387" t="s">
        <v>35806</v>
      </c>
      <c r="G6387" t="s">
        <v>35807</v>
      </c>
      <c r="H6387" s="4" t="s">
        <v>35808</v>
      </c>
    </row>
    <row r="6388" spans="1:11" x14ac:dyDescent="0.3">
      <c r="A6388" s="4" t="s">
        <v>9190</v>
      </c>
      <c r="B6388">
        <v>3</v>
      </c>
      <c r="C6388">
        <v>2012</v>
      </c>
      <c r="D6388" t="s">
        <v>2210</v>
      </c>
      <c r="E6388">
        <v>35</v>
      </c>
      <c r="F6388" t="s">
        <v>35809</v>
      </c>
      <c r="G6388" t="s">
        <v>35810</v>
      </c>
      <c r="H6388" s="4" t="s">
        <v>71</v>
      </c>
      <c r="I6388" t="s">
        <v>10782</v>
      </c>
      <c r="J6388" t="s">
        <v>35811</v>
      </c>
    </row>
    <row r="6389" spans="1:11" ht="144" x14ac:dyDescent="0.3">
      <c r="A6389" s="4" t="s">
        <v>9191</v>
      </c>
      <c r="B6389">
        <v>3</v>
      </c>
      <c r="C6389">
        <v>2012</v>
      </c>
      <c r="D6389" t="s">
        <v>35812</v>
      </c>
      <c r="E6389">
        <v>3</v>
      </c>
      <c r="F6389" t="s">
        <v>35813</v>
      </c>
      <c r="G6389" t="s">
        <v>35814</v>
      </c>
      <c r="H6389" s="4" t="s">
        <v>35815</v>
      </c>
      <c r="I6389" t="s">
        <v>71</v>
      </c>
      <c r="J6389" t="s">
        <v>10782</v>
      </c>
      <c r="K6389" t="s">
        <v>35816</v>
      </c>
    </row>
    <row r="6390" spans="1:11" ht="158.4" x14ac:dyDescent="0.3">
      <c r="A6390" s="4" t="s">
        <v>2949</v>
      </c>
      <c r="B6390">
        <v>2</v>
      </c>
      <c r="C6390">
        <v>2012</v>
      </c>
      <c r="D6390" t="s">
        <v>1877</v>
      </c>
      <c r="E6390">
        <v>9</v>
      </c>
      <c r="F6390" t="s">
        <v>35817</v>
      </c>
      <c r="G6390" t="s">
        <v>35818</v>
      </c>
      <c r="H6390" s="4" t="s">
        <v>35819</v>
      </c>
      <c r="I6390" t="s">
        <v>71</v>
      </c>
      <c r="J6390" t="s">
        <v>10782</v>
      </c>
      <c r="K6390" t="s">
        <v>35820</v>
      </c>
    </row>
    <row r="6391" spans="1:11" ht="100.8" x14ac:dyDescent="0.3">
      <c r="A6391" s="4" t="s">
        <v>9192</v>
      </c>
      <c r="B6391">
        <v>3</v>
      </c>
      <c r="C6391">
        <v>2012</v>
      </c>
      <c r="D6391" t="s">
        <v>15174</v>
      </c>
      <c r="E6391">
        <v>163</v>
      </c>
      <c r="F6391" t="s">
        <v>35821</v>
      </c>
      <c r="G6391" t="s">
        <v>35822</v>
      </c>
      <c r="H6391" s="4" t="s">
        <v>35823</v>
      </c>
    </row>
    <row r="6392" spans="1:11" ht="172.8" x14ac:dyDescent="0.3">
      <c r="A6392" s="4" t="s">
        <v>3659</v>
      </c>
      <c r="B6392">
        <v>2</v>
      </c>
      <c r="C6392">
        <v>2012</v>
      </c>
      <c r="D6392" t="s">
        <v>637</v>
      </c>
      <c r="E6392">
        <v>164</v>
      </c>
      <c r="F6392" t="s">
        <v>35824</v>
      </c>
      <c r="G6392" t="s">
        <v>35825</v>
      </c>
      <c r="H6392" s="4" t="s">
        <v>35826</v>
      </c>
      <c r="I6392" t="s">
        <v>71</v>
      </c>
      <c r="J6392" t="s">
        <v>10782</v>
      </c>
      <c r="K6392" t="s">
        <v>35827</v>
      </c>
    </row>
    <row r="6393" spans="1:11" ht="187.2" x14ac:dyDescent="0.3">
      <c r="A6393" s="4" t="s">
        <v>9193</v>
      </c>
      <c r="B6393">
        <v>3</v>
      </c>
      <c r="C6393">
        <v>2012</v>
      </c>
      <c r="D6393" t="s">
        <v>1770</v>
      </c>
      <c r="E6393">
        <v>361</v>
      </c>
      <c r="F6393" t="s">
        <v>35828</v>
      </c>
      <c r="G6393" t="s">
        <v>35829</v>
      </c>
      <c r="H6393" s="4" t="s">
        <v>35830</v>
      </c>
      <c r="I6393" t="s">
        <v>71</v>
      </c>
      <c r="J6393" t="s">
        <v>10782</v>
      </c>
      <c r="K6393" t="s">
        <v>35831</v>
      </c>
    </row>
    <row r="6394" spans="1:11" ht="115.2" x14ac:dyDescent="0.3">
      <c r="A6394" s="4" t="s">
        <v>9194</v>
      </c>
      <c r="B6394">
        <v>3</v>
      </c>
      <c r="C6394">
        <v>2012</v>
      </c>
      <c r="D6394" t="s">
        <v>35832</v>
      </c>
      <c r="E6394">
        <v>8</v>
      </c>
      <c r="F6394" t="s">
        <v>35833</v>
      </c>
      <c r="G6394" t="s">
        <v>35834</v>
      </c>
      <c r="H6394" s="4" t="s">
        <v>35835</v>
      </c>
      <c r="I6394" t="s">
        <v>71</v>
      </c>
      <c r="J6394" t="s">
        <v>10782</v>
      </c>
      <c r="K6394" t="s">
        <v>35836</v>
      </c>
    </row>
    <row r="6395" spans="1:11" x14ac:dyDescent="0.3">
      <c r="A6395" s="4" t="s">
        <v>9195</v>
      </c>
      <c r="B6395">
        <v>3</v>
      </c>
      <c r="C6395">
        <v>2012</v>
      </c>
      <c r="D6395" t="s">
        <v>35837</v>
      </c>
      <c r="E6395">
        <v>3</v>
      </c>
      <c r="F6395" t="s">
        <v>35838</v>
      </c>
      <c r="G6395" t="s">
        <v>35839</v>
      </c>
      <c r="H6395" s="4" t="s">
        <v>71</v>
      </c>
      <c r="I6395" t="s">
        <v>10782</v>
      </c>
      <c r="J6395" t="s">
        <v>35840</v>
      </c>
    </row>
    <row r="6396" spans="1:11" ht="216" x14ac:dyDescent="0.3">
      <c r="A6396" s="4" t="s">
        <v>9196</v>
      </c>
      <c r="B6396">
        <v>3</v>
      </c>
      <c r="C6396">
        <v>2012</v>
      </c>
      <c r="D6396" t="s">
        <v>13170</v>
      </c>
      <c r="E6396">
        <v>121</v>
      </c>
      <c r="F6396" t="s">
        <v>35841</v>
      </c>
      <c r="G6396" t="s">
        <v>35842</v>
      </c>
      <c r="H6396" s="4" t="s">
        <v>35843</v>
      </c>
      <c r="I6396" t="s">
        <v>71</v>
      </c>
      <c r="J6396" t="s">
        <v>10782</v>
      </c>
      <c r="K6396" t="s">
        <v>35844</v>
      </c>
    </row>
    <row r="6397" spans="1:11" ht="72" x14ac:dyDescent="0.3">
      <c r="A6397" s="4" t="s">
        <v>9197</v>
      </c>
      <c r="B6397">
        <v>3</v>
      </c>
      <c r="C6397">
        <v>2012</v>
      </c>
      <c r="D6397" t="s">
        <v>704</v>
      </c>
      <c r="E6397">
        <v>94</v>
      </c>
      <c r="F6397" t="s">
        <v>35845</v>
      </c>
      <c r="G6397" t="s">
        <v>35846</v>
      </c>
      <c r="H6397" s="4" t="s">
        <v>35847</v>
      </c>
    </row>
    <row r="6398" spans="1:11" ht="144" x14ac:dyDescent="0.3">
      <c r="A6398" s="4" t="s">
        <v>9198</v>
      </c>
      <c r="B6398">
        <v>3</v>
      </c>
      <c r="C6398">
        <v>2012</v>
      </c>
      <c r="D6398" t="s">
        <v>19590</v>
      </c>
      <c r="E6398">
        <v>18</v>
      </c>
      <c r="F6398" t="s">
        <v>35848</v>
      </c>
      <c r="G6398" t="s">
        <v>35849</v>
      </c>
      <c r="H6398" s="4" t="s">
        <v>35850</v>
      </c>
      <c r="I6398" t="s">
        <v>71</v>
      </c>
      <c r="J6398" t="s">
        <v>10782</v>
      </c>
      <c r="K6398" t="s">
        <v>35851</v>
      </c>
    </row>
    <row r="6399" spans="1:11" ht="28.8" x14ac:dyDescent="0.3">
      <c r="A6399" s="4" t="s">
        <v>9199</v>
      </c>
      <c r="B6399">
        <v>3</v>
      </c>
      <c r="C6399">
        <v>2012</v>
      </c>
      <c r="D6399" t="s">
        <v>35624</v>
      </c>
      <c r="E6399">
        <v>1</v>
      </c>
      <c r="F6399" t="s">
        <v>35852</v>
      </c>
      <c r="G6399" t="s">
        <v>35853</v>
      </c>
      <c r="H6399" s="4" t="s">
        <v>71</v>
      </c>
      <c r="I6399" t="s">
        <v>10782</v>
      </c>
      <c r="J6399" t="s">
        <v>35854</v>
      </c>
    </row>
    <row r="6400" spans="1:11" ht="129.6" x14ac:dyDescent="0.3">
      <c r="A6400" s="4" t="s">
        <v>9200</v>
      </c>
      <c r="B6400">
        <v>3</v>
      </c>
      <c r="C6400">
        <v>2012</v>
      </c>
      <c r="D6400" t="s">
        <v>30074</v>
      </c>
      <c r="E6400">
        <v>64</v>
      </c>
      <c r="F6400" t="s">
        <v>35855</v>
      </c>
      <c r="G6400" t="s">
        <v>35856</v>
      </c>
      <c r="H6400" s="4" t="s">
        <v>35857</v>
      </c>
      <c r="I6400" t="s">
        <v>71</v>
      </c>
      <c r="J6400" t="s">
        <v>10782</v>
      </c>
      <c r="K6400" t="s">
        <v>35858</v>
      </c>
    </row>
    <row r="6401" spans="1:11" ht="230.4" x14ac:dyDescent="0.3">
      <c r="A6401" s="4" t="s">
        <v>9201</v>
      </c>
      <c r="B6401">
        <v>3</v>
      </c>
      <c r="C6401">
        <v>2012</v>
      </c>
      <c r="D6401" t="s">
        <v>11674</v>
      </c>
      <c r="E6401">
        <v>13</v>
      </c>
      <c r="F6401" t="s">
        <v>35859</v>
      </c>
      <c r="G6401" t="s">
        <v>35860</v>
      </c>
      <c r="H6401" s="4" t="s">
        <v>35861</v>
      </c>
      <c r="I6401" t="s">
        <v>71</v>
      </c>
      <c r="J6401" t="s">
        <v>10782</v>
      </c>
      <c r="K6401" t="s">
        <v>35862</v>
      </c>
    </row>
    <row r="6402" spans="1:11" ht="158.4" x14ac:dyDescent="0.3">
      <c r="A6402" s="4" t="s">
        <v>9202</v>
      </c>
      <c r="B6402">
        <v>3</v>
      </c>
      <c r="C6402">
        <v>2012</v>
      </c>
      <c r="D6402" t="s">
        <v>432</v>
      </c>
      <c r="E6402">
        <v>11</v>
      </c>
      <c r="F6402" t="s">
        <v>35863</v>
      </c>
      <c r="G6402" t="s">
        <v>35864</v>
      </c>
      <c r="H6402" s="4" t="s">
        <v>35865</v>
      </c>
      <c r="I6402" t="s">
        <v>71</v>
      </c>
      <c r="J6402" t="s">
        <v>10782</v>
      </c>
      <c r="K6402" t="s">
        <v>35866</v>
      </c>
    </row>
    <row r="6403" spans="1:11" ht="43.2" x14ac:dyDescent="0.3">
      <c r="A6403" s="4" t="s">
        <v>9203</v>
      </c>
      <c r="B6403">
        <v>3</v>
      </c>
      <c r="C6403">
        <v>2012</v>
      </c>
      <c r="D6403" t="s">
        <v>164</v>
      </c>
      <c r="E6403">
        <v>13</v>
      </c>
      <c r="F6403" t="s">
        <v>35867</v>
      </c>
      <c r="G6403" t="s">
        <v>35868</v>
      </c>
      <c r="H6403" s="4" t="s">
        <v>35869</v>
      </c>
    </row>
    <row r="6404" spans="1:11" ht="230.4" x14ac:dyDescent="0.3">
      <c r="A6404" s="4" t="s">
        <v>9204</v>
      </c>
      <c r="B6404">
        <v>3</v>
      </c>
      <c r="C6404">
        <v>2012</v>
      </c>
      <c r="D6404" t="s">
        <v>799</v>
      </c>
      <c r="E6404">
        <v>97</v>
      </c>
      <c r="F6404" t="s">
        <v>35870</v>
      </c>
      <c r="G6404" t="s">
        <v>35871</v>
      </c>
      <c r="H6404" s="4" t="s">
        <v>35872</v>
      </c>
      <c r="I6404" t="s">
        <v>71</v>
      </c>
      <c r="J6404" t="s">
        <v>10782</v>
      </c>
      <c r="K6404" t="s">
        <v>35873</v>
      </c>
    </row>
    <row r="6405" spans="1:11" ht="158.4" x14ac:dyDescent="0.3">
      <c r="A6405" s="4" t="s">
        <v>9205</v>
      </c>
      <c r="B6405">
        <v>3</v>
      </c>
      <c r="C6405">
        <v>2012</v>
      </c>
      <c r="D6405" t="s">
        <v>550</v>
      </c>
      <c r="E6405">
        <v>94</v>
      </c>
      <c r="F6405" t="s">
        <v>35874</v>
      </c>
      <c r="G6405" t="s">
        <v>35875</v>
      </c>
      <c r="H6405" s="4" t="s">
        <v>35876</v>
      </c>
      <c r="I6405" t="s">
        <v>71</v>
      </c>
      <c r="J6405" t="s">
        <v>10782</v>
      </c>
      <c r="K6405" t="s">
        <v>35877</v>
      </c>
    </row>
    <row r="6406" spans="1:11" ht="144" x14ac:dyDescent="0.3">
      <c r="A6406" s="4" t="s">
        <v>2950</v>
      </c>
      <c r="B6406">
        <v>2</v>
      </c>
      <c r="C6406">
        <v>2012</v>
      </c>
      <c r="D6406" t="s">
        <v>799</v>
      </c>
      <c r="E6406">
        <v>121</v>
      </c>
      <c r="F6406" t="s">
        <v>35878</v>
      </c>
      <c r="G6406" t="s">
        <v>35879</v>
      </c>
      <c r="H6406" s="4" t="s">
        <v>35880</v>
      </c>
    </row>
    <row r="6407" spans="1:11" ht="244.8" x14ac:dyDescent="0.3">
      <c r="A6407" s="4" t="s">
        <v>9206</v>
      </c>
      <c r="B6407">
        <v>3</v>
      </c>
      <c r="C6407">
        <v>2012</v>
      </c>
      <c r="D6407" t="s">
        <v>550</v>
      </c>
      <c r="E6407">
        <v>15</v>
      </c>
      <c r="F6407" t="s">
        <v>35881</v>
      </c>
      <c r="G6407" t="s">
        <v>35882</v>
      </c>
      <c r="H6407" s="4" t="s">
        <v>35883</v>
      </c>
      <c r="I6407" t="s">
        <v>71</v>
      </c>
      <c r="J6407" t="s">
        <v>10782</v>
      </c>
      <c r="K6407" t="s">
        <v>35884</v>
      </c>
    </row>
    <row r="6408" spans="1:11" ht="115.2" x14ac:dyDescent="0.3">
      <c r="A6408" s="4" t="s">
        <v>9207</v>
      </c>
      <c r="B6408">
        <v>3</v>
      </c>
      <c r="C6408">
        <v>2012</v>
      </c>
      <c r="D6408" t="s">
        <v>1570</v>
      </c>
      <c r="E6408">
        <v>14</v>
      </c>
      <c r="F6408" t="s">
        <v>35885</v>
      </c>
      <c r="G6408" t="s">
        <v>35886</v>
      </c>
      <c r="H6408" s="4" t="s">
        <v>35887</v>
      </c>
      <c r="I6408" t="s">
        <v>10823</v>
      </c>
      <c r="J6408" t="s">
        <v>10782</v>
      </c>
      <c r="K6408" t="s">
        <v>35888</v>
      </c>
    </row>
    <row r="6409" spans="1:11" ht="129.6" x14ac:dyDescent="0.3">
      <c r="A6409" s="4" t="s">
        <v>9208</v>
      </c>
      <c r="B6409">
        <v>3</v>
      </c>
      <c r="C6409">
        <v>2012</v>
      </c>
      <c r="D6409" t="s">
        <v>918</v>
      </c>
      <c r="E6409">
        <v>19</v>
      </c>
      <c r="F6409" t="s">
        <v>35889</v>
      </c>
      <c r="G6409" t="s">
        <v>35890</v>
      </c>
      <c r="H6409" s="4" t="s">
        <v>35891</v>
      </c>
      <c r="I6409" t="s">
        <v>71</v>
      </c>
      <c r="J6409" t="s">
        <v>10782</v>
      </c>
      <c r="K6409" t="s">
        <v>35892</v>
      </c>
    </row>
    <row r="6410" spans="1:11" ht="230.4" x14ac:dyDescent="0.3">
      <c r="A6410" s="4" t="s">
        <v>9209</v>
      </c>
      <c r="B6410">
        <v>3</v>
      </c>
      <c r="C6410">
        <v>2012</v>
      </c>
      <c r="D6410" t="s">
        <v>80</v>
      </c>
      <c r="E6410">
        <v>48</v>
      </c>
      <c r="F6410" t="s">
        <v>35893</v>
      </c>
      <c r="G6410" t="s">
        <v>35894</v>
      </c>
      <c r="H6410" s="4" t="s">
        <v>35895</v>
      </c>
      <c r="I6410" t="s">
        <v>71</v>
      </c>
      <c r="J6410" t="s">
        <v>10782</v>
      </c>
      <c r="K6410" t="s">
        <v>35896</v>
      </c>
    </row>
    <row r="6411" spans="1:11" ht="172.8" x14ac:dyDescent="0.3">
      <c r="A6411" s="4" t="s">
        <v>9210</v>
      </c>
      <c r="B6411">
        <v>3</v>
      </c>
      <c r="C6411">
        <v>2012</v>
      </c>
      <c r="D6411" t="s">
        <v>385</v>
      </c>
      <c r="E6411">
        <v>75</v>
      </c>
      <c r="F6411" t="s">
        <v>35897</v>
      </c>
      <c r="G6411" t="s">
        <v>35898</v>
      </c>
      <c r="H6411" s="4" t="s">
        <v>35899</v>
      </c>
      <c r="I6411" t="s">
        <v>71</v>
      </c>
      <c r="J6411" t="s">
        <v>10782</v>
      </c>
      <c r="K6411" t="s">
        <v>35900</v>
      </c>
    </row>
    <row r="6412" spans="1:11" ht="115.2" x14ac:dyDescent="0.3">
      <c r="A6412" s="4" t="s">
        <v>9211</v>
      </c>
      <c r="B6412">
        <v>3</v>
      </c>
      <c r="C6412">
        <v>2012</v>
      </c>
      <c r="D6412" t="s">
        <v>29359</v>
      </c>
      <c r="E6412">
        <v>0</v>
      </c>
      <c r="G6412" t="s">
        <v>35901</v>
      </c>
      <c r="H6412" s="4" t="s">
        <v>35902</v>
      </c>
      <c r="I6412" s="4" t="s">
        <v>71</v>
      </c>
      <c r="J6412" t="s">
        <v>10782</v>
      </c>
      <c r="K6412" t="s">
        <v>35903</v>
      </c>
    </row>
    <row r="6413" spans="1:11" ht="316.8" x14ac:dyDescent="0.3">
      <c r="A6413" s="4" t="s">
        <v>9212</v>
      </c>
      <c r="B6413">
        <v>3</v>
      </c>
      <c r="C6413">
        <v>2012</v>
      </c>
      <c r="D6413" t="s">
        <v>35904</v>
      </c>
      <c r="E6413">
        <v>42</v>
      </c>
      <c r="F6413" t="s">
        <v>35905</v>
      </c>
      <c r="G6413" t="s">
        <v>35906</v>
      </c>
      <c r="H6413" s="4" t="s">
        <v>35907</v>
      </c>
      <c r="I6413" t="s">
        <v>71</v>
      </c>
      <c r="J6413" t="s">
        <v>10782</v>
      </c>
      <c r="K6413" t="s">
        <v>35908</v>
      </c>
    </row>
    <row r="6414" spans="1:11" ht="144" x14ac:dyDescent="0.3">
      <c r="A6414" s="4" t="s">
        <v>9213</v>
      </c>
      <c r="B6414">
        <v>3</v>
      </c>
      <c r="C6414">
        <v>2012</v>
      </c>
      <c r="D6414" t="s">
        <v>14736</v>
      </c>
      <c r="E6414">
        <v>11</v>
      </c>
      <c r="F6414" t="s">
        <v>35909</v>
      </c>
      <c r="G6414" t="s">
        <v>35910</v>
      </c>
      <c r="H6414" s="4" t="s">
        <v>35911</v>
      </c>
      <c r="I6414" t="s">
        <v>71</v>
      </c>
      <c r="J6414" t="s">
        <v>10782</v>
      </c>
      <c r="K6414" t="s">
        <v>35912</v>
      </c>
    </row>
    <row r="6415" spans="1:11" ht="172.8" x14ac:dyDescent="0.3">
      <c r="A6415" s="4" t="s">
        <v>9214</v>
      </c>
      <c r="B6415">
        <v>3</v>
      </c>
      <c r="C6415">
        <v>2012</v>
      </c>
      <c r="D6415" t="s">
        <v>26952</v>
      </c>
      <c r="E6415">
        <v>85</v>
      </c>
      <c r="F6415" t="s">
        <v>35913</v>
      </c>
      <c r="G6415" t="s">
        <v>35914</v>
      </c>
      <c r="H6415" s="4" t="s">
        <v>35915</v>
      </c>
      <c r="I6415" t="s">
        <v>71</v>
      </c>
      <c r="J6415" t="s">
        <v>10782</v>
      </c>
      <c r="K6415" t="s">
        <v>35916</v>
      </c>
    </row>
    <row r="6416" spans="1:11" ht="187.2" x14ac:dyDescent="0.3">
      <c r="A6416" s="4" t="s">
        <v>9215</v>
      </c>
      <c r="B6416">
        <v>3</v>
      </c>
      <c r="C6416">
        <v>2012</v>
      </c>
      <c r="D6416" t="s">
        <v>11674</v>
      </c>
      <c r="E6416">
        <v>49</v>
      </c>
      <c r="F6416" t="s">
        <v>35917</v>
      </c>
      <c r="G6416" t="s">
        <v>35918</v>
      </c>
      <c r="H6416" s="4" t="s">
        <v>35919</v>
      </c>
      <c r="I6416" t="s">
        <v>71</v>
      </c>
      <c r="J6416" t="s">
        <v>10782</v>
      </c>
      <c r="K6416" t="s">
        <v>35920</v>
      </c>
    </row>
    <row r="6417" spans="1:11" ht="187.2" x14ac:dyDescent="0.3">
      <c r="A6417" s="4" t="s">
        <v>2087</v>
      </c>
      <c r="B6417">
        <v>1</v>
      </c>
      <c r="C6417">
        <v>2012</v>
      </c>
      <c r="D6417" t="s">
        <v>2282</v>
      </c>
      <c r="E6417">
        <v>44</v>
      </c>
      <c r="F6417" t="s">
        <v>35921</v>
      </c>
      <c r="G6417" t="s">
        <v>35922</v>
      </c>
      <c r="H6417" s="4" t="s">
        <v>35923</v>
      </c>
      <c r="I6417" t="s">
        <v>71</v>
      </c>
      <c r="J6417" t="s">
        <v>10782</v>
      </c>
      <c r="K6417" t="s">
        <v>35924</v>
      </c>
    </row>
    <row r="6418" spans="1:11" ht="158.4" x14ac:dyDescent="0.3">
      <c r="A6418" s="4" t="s">
        <v>9216</v>
      </c>
      <c r="B6418">
        <v>3</v>
      </c>
      <c r="C6418">
        <v>2012</v>
      </c>
      <c r="D6418" t="s">
        <v>2375</v>
      </c>
      <c r="E6418">
        <v>84</v>
      </c>
      <c r="F6418" t="s">
        <v>35925</v>
      </c>
      <c r="G6418" t="s">
        <v>35926</v>
      </c>
      <c r="H6418" s="4" t="s">
        <v>35927</v>
      </c>
      <c r="I6418" t="s">
        <v>71</v>
      </c>
      <c r="J6418" t="s">
        <v>10782</v>
      </c>
      <c r="K6418" t="s">
        <v>35928</v>
      </c>
    </row>
    <row r="6419" spans="1:11" ht="129.6" x14ac:dyDescent="0.3">
      <c r="A6419" s="4" t="s">
        <v>9217</v>
      </c>
      <c r="B6419">
        <v>3</v>
      </c>
      <c r="C6419">
        <v>2012</v>
      </c>
      <c r="D6419" t="s">
        <v>679</v>
      </c>
      <c r="E6419">
        <v>76</v>
      </c>
      <c r="F6419" t="s">
        <v>35929</v>
      </c>
      <c r="G6419" t="s">
        <v>35930</v>
      </c>
      <c r="H6419" s="4" t="s">
        <v>35931</v>
      </c>
    </row>
    <row r="6420" spans="1:11" ht="129.6" x14ac:dyDescent="0.3">
      <c r="A6420" s="4" t="s">
        <v>9218</v>
      </c>
      <c r="B6420">
        <v>3</v>
      </c>
      <c r="C6420">
        <v>2012</v>
      </c>
      <c r="D6420" t="s">
        <v>679</v>
      </c>
      <c r="E6420">
        <v>132</v>
      </c>
      <c r="F6420" t="s">
        <v>35932</v>
      </c>
      <c r="G6420" t="s">
        <v>35933</v>
      </c>
      <c r="H6420" s="4" t="s">
        <v>35934</v>
      </c>
      <c r="I6420" t="s">
        <v>71</v>
      </c>
      <c r="J6420" t="s">
        <v>10782</v>
      </c>
      <c r="K6420" t="s">
        <v>35935</v>
      </c>
    </row>
    <row r="6421" spans="1:11" ht="158.4" x14ac:dyDescent="0.3">
      <c r="A6421" s="4" t="s">
        <v>9219</v>
      </c>
      <c r="B6421">
        <v>3</v>
      </c>
      <c r="C6421">
        <v>2012</v>
      </c>
      <c r="D6421" t="s">
        <v>2585</v>
      </c>
      <c r="E6421">
        <v>55</v>
      </c>
      <c r="F6421" t="s">
        <v>35936</v>
      </c>
      <c r="G6421" t="s">
        <v>35937</v>
      </c>
      <c r="H6421" s="4" t="s">
        <v>35938</v>
      </c>
      <c r="I6421" t="s">
        <v>71</v>
      </c>
      <c r="J6421" t="s">
        <v>10782</v>
      </c>
      <c r="K6421" t="s">
        <v>35939</v>
      </c>
    </row>
    <row r="6422" spans="1:11" ht="172.8" x14ac:dyDescent="0.3">
      <c r="A6422" s="4" t="s">
        <v>9220</v>
      </c>
      <c r="B6422">
        <v>3</v>
      </c>
      <c r="C6422">
        <v>2012</v>
      </c>
      <c r="D6422" t="s">
        <v>550</v>
      </c>
      <c r="E6422">
        <v>20</v>
      </c>
      <c r="F6422" t="s">
        <v>35940</v>
      </c>
      <c r="G6422" t="s">
        <v>35941</v>
      </c>
      <c r="H6422" s="4" t="s">
        <v>35942</v>
      </c>
      <c r="I6422" t="s">
        <v>71</v>
      </c>
      <c r="J6422" t="s">
        <v>10782</v>
      </c>
      <c r="K6422" t="s">
        <v>35943</v>
      </c>
    </row>
    <row r="6423" spans="1:11" ht="129.6" x14ac:dyDescent="0.3">
      <c r="A6423" s="4" t="s">
        <v>2951</v>
      </c>
      <c r="B6423">
        <v>2</v>
      </c>
      <c r="C6423">
        <v>2012</v>
      </c>
      <c r="D6423" t="s">
        <v>3026</v>
      </c>
      <c r="E6423">
        <v>27</v>
      </c>
      <c r="F6423" t="s">
        <v>35944</v>
      </c>
      <c r="G6423" t="s">
        <v>35945</v>
      </c>
      <c r="H6423" s="4" t="s">
        <v>35946</v>
      </c>
    </row>
    <row r="6424" spans="1:11" ht="144" x14ac:dyDescent="0.3">
      <c r="A6424" s="4" t="s">
        <v>9221</v>
      </c>
      <c r="B6424">
        <v>3</v>
      </c>
      <c r="C6424">
        <v>2012</v>
      </c>
      <c r="D6424" t="s">
        <v>217</v>
      </c>
      <c r="E6424">
        <v>95</v>
      </c>
      <c r="F6424" t="s">
        <v>35947</v>
      </c>
      <c r="G6424" t="s">
        <v>35948</v>
      </c>
      <c r="H6424" s="4" t="s">
        <v>35949</v>
      </c>
      <c r="I6424" t="s">
        <v>71</v>
      </c>
      <c r="J6424" t="s">
        <v>10782</v>
      </c>
      <c r="K6424" t="s">
        <v>35950</v>
      </c>
    </row>
    <row r="6425" spans="1:11" ht="216" x14ac:dyDescent="0.3">
      <c r="A6425" s="4" t="s">
        <v>9222</v>
      </c>
      <c r="B6425">
        <v>3</v>
      </c>
      <c r="C6425">
        <v>2012</v>
      </c>
      <c r="D6425" t="s">
        <v>12318</v>
      </c>
      <c r="E6425">
        <v>122</v>
      </c>
      <c r="F6425" t="s">
        <v>35951</v>
      </c>
      <c r="G6425" t="s">
        <v>35952</v>
      </c>
      <c r="H6425" s="4" t="s">
        <v>35953</v>
      </c>
      <c r="I6425" t="s">
        <v>71</v>
      </c>
      <c r="J6425" t="s">
        <v>10782</v>
      </c>
      <c r="K6425" t="s">
        <v>35954</v>
      </c>
    </row>
    <row r="6426" spans="1:11" ht="115.2" x14ac:dyDescent="0.3">
      <c r="A6426" s="4" t="s">
        <v>9223</v>
      </c>
      <c r="B6426">
        <v>3</v>
      </c>
      <c r="C6426">
        <v>2012</v>
      </c>
      <c r="D6426" t="s">
        <v>217</v>
      </c>
      <c r="E6426">
        <v>70</v>
      </c>
      <c r="F6426" t="s">
        <v>35955</v>
      </c>
      <c r="G6426" t="s">
        <v>35956</v>
      </c>
      <c r="H6426" s="4" t="s">
        <v>35957</v>
      </c>
    </row>
    <row r="6427" spans="1:11" ht="158.4" x14ac:dyDescent="0.3">
      <c r="A6427" s="4" t="s">
        <v>2088</v>
      </c>
      <c r="B6427">
        <v>1</v>
      </c>
      <c r="C6427">
        <v>2012</v>
      </c>
      <c r="D6427" t="s">
        <v>550</v>
      </c>
      <c r="E6427">
        <v>139</v>
      </c>
      <c r="F6427" t="s">
        <v>35958</v>
      </c>
      <c r="G6427" t="s">
        <v>35959</v>
      </c>
      <c r="H6427" s="4" t="s">
        <v>35960</v>
      </c>
      <c r="I6427" t="s">
        <v>71</v>
      </c>
      <c r="J6427" t="s">
        <v>10782</v>
      </c>
      <c r="K6427" t="s">
        <v>35961</v>
      </c>
    </row>
    <row r="6428" spans="1:11" ht="115.2" x14ac:dyDescent="0.3">
      <c r="A6428" s="4" t="s">
        <v>9224</v>
      </c>
      <c r="B6428">
        <v>3</v>
      </c>
      <c r="C6428">
        <v>2012</v>
      </c>
      <c r="D6428" t="s">
        <v>799</v>
      </c>
      <c r="E6428">
        <v>32</v>
      </c>
      <c r="F6428" t="s">
        <v>35962</v>
      </c>
      <c r="G6428" t="s">
        <v>35963</v>
      </c>
      <c r="H6428" s="4" t="s">
        <v>35964</v>
      </c>
      <c r="I6428" t="s">
        <v>71</v>
      </c>
      <c r="J6428" t="s">
        <v>10782</v>
      </c>
      <c r="K6428" t="s">
        <v>35965</v>
      </c>
    </row>
    <row r="6429" spans="1:11" ht="72" x14ac:dyDescent="0.3">
      <c r="A6429" s="4" t="s">
        <v>9225</v>
      </c>
      <c r="B6429">
        <v>3</v>
      </c>
      <c r="C6429">
        <v>2012</v>
      </c>
      <c r="D6429" t="s">
        <v>19802</v>
      </c>
      <c r="E6429">
        <v>13</v>
      </c>
      <c r="F6429" t="s">
        <v>35966</v>
      </c>
      <c r="G6429" t="s">
        <v>35967</v>
      </c>
      <c r="H6429" s="4" t="s">
        <v>35968</v>
      </c>
      <c r="I6429" t="s">
        <v>71</v>
      </c>
      <c r="J6429" t="s">
        <v>10782</v>
      </c>
      <c r="K6429" t="s">
        <v>35969</v>
      </c>
    </row>
    <row r="6430" spans="1:11" ht="172.8" x14ac:dyDescent="0.3">
      <c r="A6430" s="4" t="s">
        <v>9226</v>
      </c>
      <c r="B6430">
        <v>3</v>
      </c>
      <c r="C6430">
        <v>2012</v>
      </c>
      <c r="D6430" t="s">
        <v>18480</v>
      </c>
      <c r="E6430">
        <v>19</v>
      </c>
      <c r="F6430" t="s">
        <v>35970</v>
      </c>
      <c r="G6430" t="s">
        <v>35971</v>
      </c>
      <c r="H6430" s="4" t="s">
        <v>35972</v>
      </c>
      <c r="I6430" t="s">
        <v>71</v>
      </c>
      <c r="J6430" t="s">
        <v>10782</v>
      </c>
      <c r="K6430" t="s">
        <v>35973</v>
      </c>
    </row>
    <row r="6431" spans="1:11" ht="172.8" x14ac:dyDescent="0.3">
      <c r="A6431" s="4" t="s">
        <v>9227</v>
      </c>
      <c r="B6431">
        <v>3</v>
      </c>
      <c r="C6431">
        <v>2012</v>
      </c>
      <c r="D6431" t="s">
        <v>35974</v>
      </c>
      <c r="E6431">
        <v>24</v>
      </c>
      <c r="F6431" t="s">
        <v>35975</v>
      </c>
      <c r="G6431" t="s">
        <v>35976</v>
      </c>
      <c r="H6431" s="4" t="s">
        <v>35977</v>
      </c>
    </row>
    <row r="6432" spans="1:11" ht="172.8" x14ac:dyDescent="0.3">
      <c r="A6432" s="4" t="s">
        <v>2089</v>
      </c>
      <c r="B6432">
        <v>1</v>
      </c>
      <c r="C6432">
        <v>2012</v>
      </c>
      <c r="D6432" t="s">
        <v>217</v>
      </c>
      <c r="E6432">
        <v>142</v>
      </c>
      <c r="F6432" t="s">
        <v>35978</v>
      </c>
      <c r="G6432" t="s">
        <v>35979</v>
      </c>
      <c r="H6432" s="4" t="s">
        <v>35980</v>
      </c>
      <c r="I6432" t="s">
        <v>71</v>
      </c>
      <c r="J6432" t="s">
        <v>10782</v>
      </c>
      <c r="K6432" t="s">
        <v>35981</v>
      </c>
    </row>
    <row r="6433" spans="1:11" ht="100.8" x14ac:dyDescent="0.3">
      <c r="A6433" s="4" t="s">
        <v>9228</v>
      </c>
      <c r="B6433">
        <v>3</v>
      </c>
      <c r="C6433">
        <v>2012</v>
      </c>
      <c r="D6433" t="s">
        <v>550</v>
      </c>
      <c r="E6433">
        <v>14</v>
      </c>
      <c r="F6433" t="s">
        <v>35982</v>
      </c>
      <c r="G6433" t="s">
        <v>35983</v>
      </c>
      <c r="H6433" s="4" t="s">
        <v>35984</v>
      </c>
      <c r="I6433" t="s">
        <v>71</v>
      </c>
      <c r="J6433" t="s">
        <v>10782</v>
      </c>
      <c r="K6433" t="s">
        <v>35985</v>
      </c>
    </row>
    <row r="6434" spans="1:11" ht="288" x14ac:dyDescent="0.3">
      <c r="A6434" s="4" t="s">
        <v>9229</v>
      </c>
      <c r="B6434">
        <v>3</v>
      </c>
      <c r="C6434">
        <v>2012</v>
      </c>
      <c r="D6434" t="s">
        <v>2416</v>
      </c>
      <c r="E6434">
        <v>61</v>
      </c>
      <c r="F6434" t="s">
        <v>35986</v>
      </c>
      <c r="G6434" t="s">
        <v>35987</v>
      </c>
      <c r="H6434" s="4" t="s">
        <v>35988</v>
      </c>
      <c r="I6434" t="s">
        <v>71</v>
      </c>
      <c r="J6434" t="s">
        <v>10782</v>
      </c>
      <c r="K6434" t="s">
        <v>35989</v>
      </c>
    </row>
    <row r="6435" spans="1:11" ht="216" x14ac:dyDescent="0.3">
      <c r="A6435" s="4" t="s">
        <v>2090</v>
      </c>
      <c r="B6435">
        <v>1</v>
      </c>
      <c r="C6435">
        <v>2012</v>
      </c>
      <c r="D6435" t="s">
        <v>799</v>
      </c>
      <c r="E6435">
        <v>47</v>
      </c>
      <c r="F6435" t="s">
        <v>35990</v>
      </c>
      <c r="G6435" t="s">
        <v>35991</v>
      </c>
      <c r="H6435" s="4" t="s">
        <v>35992</v>
      </c>
      <c r="I6435" t="s">
        <v>71</v>
      </c>
      <c r="J6435" t="s">
        <v>10782</v>
      </c>
      <c r="K6435" t="s">
        <v>35993</v>
      </c>
    </row>
    <row r="6436" spans="1:11" ht="172.8" x14ac:dyDescent="0.3">
      <c r="A6436" s="4" t="s">
        <v>9230</v>
      </c>
      <c r="B6436">
        <v>3</v>
      </c>
      <c r="C6436">
        <v>2012</v>
      </c>
      <c r="D6436" t="s">
        <v>1836</v>
      </c>
      <c r="E6436">
        <v>93</v>
      </c>
      <c r="F6436" t="s">
        <v>35994</v>
      </c>
      <c r="G6436" t="s">
        <v>35995</v>
      </c>
      <c r="H6436" s="4" t="s">
        <v>35996</v>
      </c>
      <c r="I6436" t="s">
        <v>71</v>
      </c>
      <c r="J6436" t="s">
        <v>10782</v>
      </c>
      <c r="K6436" t="s">
        <v>35997</v>
      </c>
    </row>
    <row r="6437" spans="1:11" ht="331.2" x14ac:dyDescent="0.3">
      <c r="A6437" s="4" t="s">
        <v>9231</v>
      </c>
      <c r="B6437">
        <v>3</v>
      </c>
      <c r="C6437">
        <v>2012</v>
      </c>
      <c r="D6437" t="s">
        <v>10924</v>
      </c>
      <c r="E6437">
        <v>112</v>
      </c>
      <c r="F6437" t="s">
        <v>35998</v>
      </c>
      <c r="G6437" t="s">
        <v>35999</v>
      </c>
      <c r="H6437" s="4" t="s">
        <v>36000</v>
      </c>
      <c r="I6437" t="s">
        <v>71</v>
      </c>
      <c r="J6437" t="s">
        <v>10782</v>
      </c>
      <c r="K6437" t="s">
        <v>36001</v>
      </c>
    </row>
    <row r="6438" spans="1:11" ht="187.2" x14ac:dyDescent="0.3">
      <c r="A6438" s="4" t="s">
        <v>9232</v>
      </c>
      <c r="B6438">
        <v>3</v>
      </c>
      <c r="C6438">
        <v>2012</v>
      </c>
      <c r="D6438" t="s">
        <v>2282</v>
      </c>
      <c r="E6438">
        <v>81</v>
      </c>
      <c r="F6438" t="s">
        <v>36002</v>
      </c>
      <c r="G6438" t="s">
        <v>36003</v>
      </c>
      <c r="H6438" s="4" t="s">
        <v>36004</v>
      </c>
      <c r="I6438" t="s">
        <v>71</v>
      </c>
      <c r="J6438" t="s">
        <v>10782</v>
      </c>
      <c r="K6438" t="s">
        <v>36005</v>
      </c>
    </row>
    <row r="6439" spans="1:11" ht="129.6" x14ac:dyDescent="0.3">
      <c r="A6439" s="4" t="s">
        <v>9233</v>
      </c>
      <c r="B6439">
        <v>3</v>
      </c>
      <c r="C6439">
        <v>2012</v>
      </c>
      <c r="D6439" t="s">
        <v>550</v>
      </c>
      <c r="E6439">
        <v>16</v>
      </c>
      <c r="F6439" t="s">
        <v>36006</v>
      </c>
      <c r="G6439" t="s">
        <v>36007</v>
      </c>
      <c r="H6439" s="4" t="s">
        <v>36008</v>
      </c>
    </row>
    <row r="6440" spans="1:11" ht="187.2" x14ac:dyDescent="0.3">
      <c r="A6440" s="4" t="s">
        <v>9234</v>
      </c>
      <c r="B6440">
        <v>3</v>
      </c>
      <c r="C6440">
        <v>2012</v>
      </c>
      <c r="D6440" t="s">
        <v>16780</v>
      </c>
      <c r="E6440">
        <v>25</v>
      </c>
      <c r="F6440" t="s">
        <v>36009</v>
      </c>
      <c r="G6440" t="s">
        <v>36010</v>
      </c>
      <c r="H6440" s="4" t="s">
        <v>36011</v>
      </c>
      <c r="I6440" t="s">
        <v>71</v>
      </c>
      <c r="J6440" t="s">
        <v>10782</v>
      </c>
      <c r="K6440" t="s">
        <v>36012</v>
      </c>
    </row>
    <row r="6441" spans="1:11" ht="144" x14ac:dyDescent="0.3">
      <c r="A6441" s="4" t="s">
        <v>9235</v>
      </c>
      <c r="B6441">
        <v>3</v>
      </c>
      <c r="C6441">
        <v>2012</v>
      </c>
      <c r="D6441" t="s">
        <v>217</v>
      </c>
      <c r="E6441">
        <v>22</v>
      </c>
      <c r="F6441" t="s">
        <v>36013</v>
      </c>
      <c r="G6441" t="s">
        <v>36014</v>
      </c>
      <c r="H6441" s="4" t="s">
        <v>36015</v>
      </c>
      <c r="I6441" t="s">
        <v>10823</v>
      </c>
      <c r="J6441" t="s">
        <v>10782</v>
      </c>
      <c r="K6441" t="s">
        <v>36016</v>
      </c>
    </row>
    <row r="6442" spans="1:11" ht="100.8" x14ac:dyDescent="0.3">
      <c r="A6442" s="4" t="s">
        <v>9236</v>
      </c>
      <c r="B6442">
        <v>3</v>
      </c>
      <c r="C6442">
        <v>2012</v>
      </c>
      <c r="D6442" t="s">
        <v>1570</v>
      </c>
      <c r="E6442">
        <v>31</v>
      </c>
      <c r="F6442" t="s">
        <v>36017</v>
      </c>
      <c r="G6442" t="s">
        <v>36018</v>
      </c>
      <c r="H6442" s="4" t="s">
        <v>36019</v>
      </c>
      <c r="I6442" t="s">
        <v>71</v>
      </c>
      <c r="J6442" t="s">
        <v>10782</v>
      </c>
      <c r="K6442" t="s">
        <v>36020</v>
      </c>
    </row>
    <row r="6443" spans="1:11" ht="172.8" x14ac:dyDescent="0.3">
      <c r="A6443" s="4" t="s">
        <v>9237</v>
      </c>
      <c r="B6443">
        <v>3</v>
      </c>
      <c r="C6443">
        <v>2012</v>
      </c>
      <c r="D6443" t="s">
        <v>2282</v>
      </c>
      <c r="E6443">
        <v>34</v>
      </c>
      <c r="F6443" t="s">
        <v>36021</v>
      </c>
      <c r="G6443" t="s">
        <v>36022</v>
      </c>
      <c r="H6443" s="4" t="s">
        <v>36023</v>
      </c>
      <c r="I6443" t="s">
        <v>71</v>
      </c>
      <c r="J6443" t="s">
        <v>10782</v>
      </c>
      <c r="K6443" t="s">
        <v>36024</v>
      </c>
    </row>
    <row r="6444" spans="1:11" ht="158.4" x14ac:dyDescent="0.3">
      <c r="A6444" s="4" t="s">
        <v>2092</v>
      </c>
      <c r="B6444">
        <v>1</v>
      </c>
      <c r="C6444">
        <v>2012</v>
      </c>
      <c r="D6444" t="s">
        <v>2222</v>
      </c>
      <c r="E6444">
        <v>5</v>
      </c>
      <c r="G6444" t="s">
        <v>2228</v>
      </c>
      <c r="H6444" s="4" t="s">
        <v>36025</v>
      </c>
      <c r="I6444" s="4" t="s">
        <v>71</v>
      </c>
      <c r="J6444" t="s">
        <v>10782</v>
      </c>
      <c r="K6444" t="s">
        <v>36026</v>
      </c>
    </row>
    <row r="6445" spans="1:11" ht="86.4" x14ac:dyDescent="0.3">
      <c r="A6445" s="4" t="s">
        <v>9238</v>
      </c>
      <c r="B6445">
        <v>3</v>
      </c>
      <c r="C6445">
        <v>2012</v>
      </c>
      <c r="D6445" t="s">
        <v>16327</v>
      </c>
      <c r="E6445">
        <v>21</v>
      </c>
      <c r="F6445" t="s">
        <v>36027</v>
      </c>
      <c r="G6445" t="s">
        <v>36028</v>
      </c>
      <c r="H6445" s="4" t="s">
        <v>36029</v>
      </c>
      <c r="I6445" t="s">
        <v>71</v>
      </c>
      <c r="J6445" t="s">
        <v>10782</v>
      </c>
      <c r="K6445" t="s">
        <v>36030</v>
      </c>
    </row>
    <row r="6446" spans="1:11" ht="230.4" x14ac:dyDescent="0.3">
      <c r="A6446" s="4" t="s">
        <v>9239</v>
      </c>
      <c r="B6446">
        <v>3</v>
      </c>
      <c r="C6446">
        <v>2012</v>
      </c>
      <c r="D6446" t="s">
        <v>11041</v>
      </c>
      <c r="E6446">
        <v>28</v>
      </c>
      <c r="F6446" t="s">
        <v>36031</v>
      </c>
      <c r="G6446" t="s">
        <v>36032</v>
      </c>
      <c r="H6446" s="4" t="s">
        <v>36033</v>
      </c>
      <c r="I6446" t="s">
        <v>71</v>
      </c>
      <c r="J6446" t="s">
        <v>10782</v>
      </c>
      <c r="K6446" t="s">
        <v>36034</v>
      </c>
    </row>
    <row r="6447" spans="1:11" ht="230.4" x14ac:dyDescent="0.3">
      <c r="A6447" s="4" t="s">
        <v>9240</v>
      </c>
      <c r="B6447">
        <v>3</v>
      </c>
      <c r="C6447">
        <v>2012</v>
      </c>
      <c r="D6447" t="s">
        <v>217</v>
      </c>
      <c r="E6447">
        <v>20</v>
      </c>
      <c r="F6447" t="s">
        <v>36035</v>
      </c>
      <c r="G6447" t="s">
        <v>36036</v>
      </c>
      <c r="H6447" s="4" t="s">
        <v>36037</v>
      </c>
      <c r="I6447" t="s">
        <v>71</v>
      </c>
      <c r="J6447" t="s">
        <v>10782</v>
      </c>
      <c r="K6447" t="s">
        <v>36038</v>
      </c>
    </row>
    <row r="6448" spans="1:11" ht="100.8" x14ac:dyDescent="0.3">
      <c r="A6448" s="4" t="s">
        <v>9241</v>
      </c>
      <c r="B6448">
        <v>3</v>
      </c>
      <c r="C6448">
        <v>2012</v>
      </c>
      <c r="D6448" t="s">
        <v>799</v>
      </c>
      <c r="E6448">
        <v>12</v>
      </c>
      <c r="F6448" t="s">
        <v>36039</v>
      </c>
      <c r="G6448" t="s">
        <v>36040</v>
      </c>
      <c r="H6448" s="4" t="s">
        <v>36041</v>
      </c>
      <c r="I6448" t="s">
        <v>71</v>
      </c>
      <c r="J6448" t="s">
        <v>10782</v>
      </c>
      <c r="K6448" t="s">
        <v>36042</v>
      </c>
    </row>
    <row r="6449" spans="1:11" ht="216" x14ac:dyDescent="0.3">
      <c r="A6449" s="4" t="s">
        <v>9242</v>
      </c>
      <c r="B6449">
        <v>3</v>
      </c>
      <c r="C6449">
        <v>2012</v>
      </c>
      <c r="D6449" t="s">
        <v>2282</v>
      </c>
      <c r="E6449">
        <v>155</v>
      </c>
      <c r="F6449" t="s">
        <v>36043</v>
      </c>
      <c r="G6449" t="s">
        <v>36044</v>
      </c>
      <c r="H6449" s="4" t="s">
        <v>36045</v>
      </c>
      <c r="I6449" t="s">
        <v>71</v>
      </c>
      <c r="J6449" t="s">
        <v>10782</v>
      </c>
      <c r="K6449" t="s">
        <v>36046</v>
      </c>
    </row>
    <row r="6450" spans="1:11" ht="187.2" x14ac:dyDescent="0.3">
      <c r="A6450" s="4" t="s">
        <v>9243</v>
      </c>
      <c r="B6450">
        <v>3</v>
      </c>
      <c r="C6450">
        <v>2012</v>
      </c>
      <c r="D6450" t="s">
        <v>21123</v>
      </c>
      <c r="E6450">
        <v>30</v>
      </c>
      <c r="F6450" t="s">
        <v>36047</v>
      </c>
      <c r="G6450" t="s">
        <v>36048</v>
      </c>
      <c r="H6450" s="4" t="s">
        <v>36049</v>
      </c>
      <c r="I6450" t="s">
        <v>71</v>
      </c>
      <c r="J6450" t="s">
        <v>10782</v>
      </c>
      <c r="K6450" t="s">
        <v>36050</v>
      </c>
    </row>
    <row r="6451" spans="1:11" ht="57.6" x14ac:dyDescent="0.3">
      <c r="A6451" s="4" t="s">
        <v>2091</v>
      </c>
      <c r="B6451">
        <v>1</v>
      </c>
      <c r="C6451">
        <v>2012</v>
      </c>
      <c r="D6451" t="s">
        <v>2233</v>
      </c>
      <c r="E6451">
        <v>171</v>
      </c>
      <c r="F6451" t="s">
        <v>36051</v>
      </c>
      <c r="G6451" t="s">
        <v>36052</v>
      </c>
      <c r="H6451" s="4" t="s">
        <v>36053</v>
      </c>
    </row>
    <row r="6452" spans="1:11" ht="115.2" x14ac:dyDescent="0.3">
      <c r="A6452" s="4" t="s">
        <v>9244</v>
      </c>
      <c r="B6452">
        <v>3</v>
      </c>
      <c r="C6452">
        <v>2012</v>
      </c>
      <c r="D6452" t="s">
        <v>29913</v>
      </c>
      <c r="E6452">
        <v>33</v>
      </c>
      <c r="F6452" t="s">
        <v>36054</v>
      </c>
      <c r="G6452" t="s">
        <v>36055</v>
      </c>
      <c r="H6452" s="4" t="s">
        <v>36056</v>
      </c>
      <c r="I6452" t="s">
        <v>71</v>
      </c>
      <c r="J6452" t="s">
        <v>10782</v>
      </c>
      <c r="K6452" t="s">
        <v>36057</v>
      </c>
    </row>
    <row r="6453" spans="1:11" ht="187.2" x14ac:dyDescent="0.3">
      <c r="A6453" s="4" t="s">
        <v>9245</v>
      </c>
      <c r="B6453">
        <v>3</v>
      </c>
      <c r="C6453">
        <v>2012</v>
      </c>
      <c r="D6453" t="s">
        <v>13914</v>
      </c>
      <c r="E6453">
        <v>53</v>
      </c>
      <c r="F6453" t="s">
        <v>36058</v>
      </c>
      <c r="G6453" t="s">
        <v>36059</v>
      </c>
      <c r="H6453" s="4" t="s">
        <v>36060</v>
      </c>
      <c r="I6453" t="s">
        <v>71</v>
      </c>
      <c r="J6453" t="s">
        <v>10782</v>
      </c>
      <c r="K6453" t="s">
        <v>36061</v>
      </c>
    </row>
    <row r="6454" spans="1:11" ht="172.8" x14ac:dyDescent="0.3">
      <c r="A6454" s="4" t="s">
        <v>9246</v>
      </c>
      <c r="B6454">
        <v>3</v>
      </c>
      <c r="C6454">
        <v>2012</v>
      </c>
      <c r="D6454" t="s">
        <v>80</v>
      </c>
      <c r="E6454">
        <v>106</v>
      </c>
      <c r="F6454" t="s">
        <v>36062</v>
      </c>
      <c r="G6454" t="s">
        <v>36063</v>
      </c>
      <c r="H6454" s="4" t="s">
        <v>36064</v>
      </c>
      <c r="I6454" t="s">
        <v>71</v>
      </c>
      <c r="J6454" t="s">
        <v>10782</v>
      </c>
      <c r="K6454" t="s">
        <v>36065</v>
      </c>
    </row>
    <row r="6455" spans="1:11" ht="158.4" x14ac:dyDescent="0.3">
      <c r="A6455" s="4" t="s">
        <v>2093</v>
      </c>
      <c r="B6455">
        <v>1</v>
      </c>
      <c r="C6455">
        <v>2012</v>
      </c>
      <c r="D6455" t="s">
        <v>2222</v>
      </c>
      <c r="E6455">
        <v>4</v>
      </c>
      <c r="G6455" t="s">
        <v>2223</v>
      </c>
      <c r="H6455" s="4" t="s">
        <v>36066</v>
      </c>
      <c r="I6455" s="4" t="s">
        <v>71</v>
      </c>
      <c r="J6455" t="s">
        <v>10782</v>
      </c>
      <c r="K6455" t="s">
        <v>36067</v>
      </c>
    </row>
    <row r="6456" spans="1:11" ht="129.6" x14ac:dyDescent="0.3">
      <c r="A6456" s="4" t="s">
        <v>9247</v>
      </c>
      <c r="B6456">
        <v>3</v>
      </c>
      <c r="C6456">
        <v>2012</v>
      </c>
      <c r="D6456" t="s">
        <v>679</v>
      </c>
      <c r="E6456">
        <v>25</v>
      </c>
      <c r="F6456" t="s">
        <v>36068</v>
      </c>
      <c r="G6456" t="s">
        <v>36069</v>
      </c>
      <c r="H6456" s="4" t="s">
        <v>36070</v>
      </c>
      <c r="I6456" t="s">
        <v>71</v>
      </c>
      <c r="J6456" t="s">
        <v>10782</v>
      </c>
      <c r="K6456" t="s">
        <v>36071</v>
      </c>
    </row>
    <row r="6457" spans="1:11" ht="115.2" x14ac:dyDescent="0.3">
      <c r="A6457" s="4" t="s">
        <v>9248</v>
      </c>
      <c r="B6457">
        <v>3</v>
      </c>
      <c r="C6457">
        <v>2012</v>
      </c>
      <c r="D6457" t="s">
        <v>12491</v>
      </c>
      <c r="E6457">
        <v>55</v>
      </c>
      <c r="F6457" t="s">
        <v>36072</v>
      </c>
      <c r="G6457" t="s">
        <v>36073</v>
      </c>
      <c r="H6457" s="4" t="s">
        <v>36074</v>
      </c>
      <c r="I6457" t="s">
        <v>71</v>
      </c>
      <c r="J6457" t="s">
        <v>10782</v>
      </c>
      <c r="K6457" t="s">
        <v>36075</v>
      </c>
    </row>
    <row r="6458" spans="1:11" ht="28.8" x14ac:dyDescent="0.3">
      <c r="A6458" s="4" t="s">
        <v>2094</v>
      </c>
      <c r="B6458">
        <v>1</v>
      </c>
      <c r="C6458">
        <v>2012</v>
      </c>
      <c r="D6458" t="s">
        <v>2210</v>
      </c>
      <c r="E6458">
        <v>1</v>
      </c>
      <c r="F6458" t="s">
        <v>2211</v>
      </c>
      <c r="G6458" t="s">
        <v>36076</v>
      </c>
      <c r="H6458" s="4" t="s">
        <v>71</v>
      </c>
      <c r="I6458" t="s">
        <v>10782</v>
      </c>
      <c r="J6458" t="s">
        <v>36077</v>
      </c>
    </row>
    <row r="6459" spans="1:11" ht="57.6" x14ac:dyDescent="0.3">
      <c r="A6459" s="4" t="s">
        <v>9249</v>
      </c>
      <c r="B6459">
        <v>3</v>
      </c>
      <c r="C6459">
        <v>2012</v>
      </c>
      <c r="D6459" t="s">
        <v>34606</v>
      </c>
      <c r="E6459">
        <v>6</v>
      </c>
      <c r="F6459" t="s">
        <v>36078</v>
      </c>
      <c r="G6459" t="s">
        <v>36079</v>
      </c>
      <c r="H6459" s="4" t="s">
        <v>36080</v>
      </c>
    </row>
    <row r="6460" spans="1:11" ht="187.2" x14ac:dyDescent="0.3">
      <c r="A6460" s="4" t="s">
        <v>9250</v>
      </c>
      <c r="B6460">
        <v>3</v>
      </c>
      <c r="C6460">
        <v>2012</v>
      </c>
      <c r="D6460" t="s">
        <v>1770</v>
      </c>
      <c r="E6460">
        <v>45</v>
      </c>
      <c r="F6460" t="s">
        <v>36081</v>
      </c>
      <c r="G6460" t="s">
        <v>36082</v>
      </c>
      <c r="H6460" s="4" t="s">
        <v>36083</v>
      </c>
      <c r="I6460" t="s">
        <v>71</v>
      </c>
      <c r="J6460" t="s">
        <v>10782</v>
      </c>
      <c r="K6460" t="s">
        <v>36084</v>
      </c>
    </row>
    <row r="6461" spans="1:11" ht="158.4" x14ac:dyDescent="0.3">
      <c r="A6461" s="4" t="s">
        <v>3660</v>
      </c>
      <c r="B6461">
        <v>2</v>
      </c>
      <c r="C6461">
        <v>2012</v>
      </c>
      <c r="D6461" t="s">
        <v>217</v>
      </c>
      <c r="E6461">
        <v>95</v>
      </c>
      <c r="F6461" t="s">
        <v>36085</v>
      </c>
      <c r="G6461" t="s">
        <v>36086</v>
      </c>
      <c r="H6461" s="4" t="s">
        <v>36087</v>
      </c>
    </row>
    <row r="6462" spans="1:11" ht="129.6" x14ac:dyDescent="0.3">
      <c r="A6462" s="4" t="s">
        <v>9251</v>
      </c>
      <c r="B6462">
        <v>3</v>
      </c>
      <c r="C6462">
        <v>2012</v>
      </c>
      <c r="D6462" t="s">
        <v>11779</v>
      </c>
      <c r="E6462">
        <v>45</v>
      </c>
      <c r="F6462" t="s">
        <v>36088</v>
      </c>
      <c r="G6462" t="s">
        <v>36089</v>
      </c>
      <c r="H6462" s="4" t="s">
        <v>36090</v>
      </c>
      <c r="I6462" t="s">
        <v>71</v>
      </c>
      <c r="J6462" t="s">
        <v>10782</v>
      </c>
      <c r="K6462" t="s">
        <v>36091</v>
      </c>
    </row>
    <row r="6463" spans="1:11" ht="144" x14ac:dyDescent="0.3">
      <c r="A6463" s="4" t="s">
        <v>9252</v>
      </c>
      <c r="B6463">
        <v>3</v>
      </c>
      <c r="C6463">
        <v>2012</v>
      </c>
      <c r="D6463" t="s">
        <v>217</v>
      </c>
      <c r="E6463">
        <v>53</v>
      </c>
      <c r="F6463" t="s">
        <v>36092</v>
      </c>
      <c r="G6463" t="s">
        <v>36093</v>
      </c>
      <c r="H6463" s="4" t="s">
        <v>36094</v>
      </c>
      <c r="I6463" t="s">
        <v>71</v>
      </c>
      <c r="J6463" t="s">
        <v>10782</v>
      </c>
      <c r="K6463" t="s">
        <v>36095</v>
      </c>
    </row>
    <row r="6464" spans="1:11" ht="172.8" x14ac:dyDescent="0.3">
      <c r="A6464" s="4" t="s">
        <v>3661</v>
      </c>
      <c r="B6464">
        <v>2</v>
      </c>
      <c r="C6464">
        <v>2012</v>
      </c>
      <c r="D6464" t="s">
        <v>2282</v>
      </c>
      <c r="E6464">
        <v>54</v>
      </c>
      <c r="F6464" t="s">
        <v>36096</v>
      </c>
      <c r="G6464" t="s">
        <v>36097</v>
      </c>
      <c r="H6464" s="4" t="s">
        <v>36098</v>
      </c>
      <c r="I6464" t="s">
        <v>71</v>
      </c>
      <c r="J6464" t="s">
        <v>10782</v>
      </c>
      <c r="K6464" t="s">
        <v>36099</v>
      </c>
    </row>
    <row r="6465" spans="1:11" ht="244.8" x14ac:dyDescent="0.3">
      <c r="A6465" s="4" t="s">
        <v>9253</v>
      </c>
      <c r="B6465">
        <v>3</v>
      </c>
      <c r="C6465">
        <v>2012</v>
      </c>
      <c r="D6465" t="s">
        <v>15254</v>
      </c>
      <c r="E6465">
        <v>46</v>
      </c>
      <c r="F6465" t="s">
        <v>36100</v>
      </c>
      <c r="G6465" t="s">
        <v>36101</v>
      </c>
      <c r="H6465" s="4" t="s">
        <v>36102</v>
      </c>
      <c r="I6465" t="s">
        <v>71</v>
      </c>
      <c r="J6465" t="s">
        <v>10782</v>
      </c>
      <c r="K6465" t="s">
        <v>36103</v>
      </c>
    </row>
    <row r="6466" spans="1:11" ht="100.8" x14ac:dyDescent="0.3">
      <c r="A6466" s="4" t="s">
        <v>9254</v>
      </c>
      <c r="B6466">
        <v>3</v>
      </c>
      <c r="C6466">
        <v>2012</v>
      </c>
      <c r="D6466" t="s">
        <v>2986</v>
      </c>
      <c r="E6466">
        <v>75</v>
      </c>
      <c r="F6466" t="s">
        <v>36104</v>
      </c>
      <c r="G6466" t="s">
        <v>36105</v>
      </c>
      <c r="H6466" s="4" t="s">
        <v>36106</v>
      </c>
      <c r="I6466" t="s">
        <v>71</v>
      </c>
      <c r="J6466" t="s">
        <v>10782</v>
      </c>
      <c r="K6466" t="s">
        <v>36107</v>
      </c>
    </row>
    <row r="6467" spans="1:11" ht="244.8" x14ac:dyDescent="0.3">
      <c r="A6467" s="4" t="s">
        <v>9255</v>
      </c>
      <c r="B6467">
        <v>3</v>
      </c>
      <c r="C6467">
        <v>2012</v>
      </c>
      <c r="D6467" t="s">
        <v>83</v>
      </c>
      <c r="E6467">
        <v>17</v>
      </c>
      <c r="F6467" t="s">
        <v>36108</v>
      </c>
      <c r="G6467" t="s">
        <v>36109</v>
      </c>
      <c r="H6467" s="4" t="s">
        <v>36110</v>
      </c>
      <c r="I6467" t="s">
        <v>71</v>
      </c>
      <c r="J6467" t="s">
        <v>10782</v>
      </c>
      <c r="K6467" t="s">
        <v>36111</v>
      </c>
    </row>
    <row r="6468" spans="1:11" ht="115.2" x14ac:dyDescent="0.3">
      <c r="A6468" s="4" t="s">
        <v>9256</v>
      </c>
      <c r="B6468">
        <v>3</v>
      </c>
      <c r="C6468">
        <v>2012</v>
      </c>
      <c r="D6468" t="s">
        <v>12593</v>
      </c>
      <c r="E6468">
        <v>10</v>
      </c>
      <c r="F6468" t="s">
        <v>36112</v>
      </c>
      <c r="G6468" t="s">
        <v>36113</v>
      </c>
      <c r="H6468" s="4" t="s">
        <v>36114</v>
      </c>
      <c r="I6468" t="s">
        <v>71</v>
      </c>
      <c r="J6468" t="s">
        <v>10782</v>
      </c>
      <c r="K6468" t="s">
        <v>36115</v>
      </c>
    </row>
    <row r="6469" spans="1:11" ht="115.2" x14ac:dyDescent="0.3">
      <c r="A6469" s="4" t="s">
        <v>9257</v>
      </c>
      <c r="B6469">
        <v>3</v>
      </c>
      <c r="C6469">
        <v>2012</v>
      </c>
      <c r="D6469" t="s">
        <v>550</v>
      </c>
      <c r="E6469">
        <v>26</v>
      </c>
      <c r="F6469" t="s">
        <v>36116</v>
      </c>
      <c r="G6469" t="s">
        <v>36117</v>
      </c>
      <c r="H6469" s="4" t="s">
        <v>36118</v>
      </c>
      <c r="I6469" t="s">
        <v>10823</v>
      </c>
      <c r="J6469" t="s">
        <v>10782</v>
      </c>
      <c r="K6469" t="s">
        <v>36119</v>
      </c>
    </row>
    <row r="6470" spans="1:11" ht="172.8" x14ac:dyDescent="0.3">
      <c r="A6470" s="4" t="s">
        <v>9258</v>
      </c>
      <c r="B6470">
        <v>3</v>
      </c>
      <c r="C6470">
        <v>2012</v>
      </c>
      <c r="D6470" t="s">
        <v>2742</v>
      </c>
      <c r="E6470">
        <v>101</v>
      </c>
      <c r="F6470" t="s">
        <v>36120</v>
      </c>
      <c r="G6470" t="s">
        <v>36121</v>
      </c>
      <c r="H6470" s="4" t="s">
        <v>36122</v>
      </c>
      <c r="I6470" t="s">
        <v>71</v>
      </c>
      <c r="J6470" t="s">
        <v>10782</v>
      </c>
      <c r="K6470" t="s">
        <v>36123</v>
      </c>
    </row>
    <row r="6471" spans="1:11" ht="115.2" x14ac:dyDescent="0.3">
      <c r="A6471" s="4" t="s">
        <v>9259</v>
      </c>
      <c r="B6471">
        <v>3</v>
      </c>
      <c r="C6471">
        <v>2012</v>
      </c>
      <c r="D6471" t="s">
        <v>11649</v>
      </c>
      <c r="E6471">
        <v>9</v>
      </c>
      <c r="F6471" t="s">
        <v>36124</v>
      </c>
      <c r="G6471" t="s">
        <v>36125</v>
      </c>
      <c r="H6471" s="4" t="s">
        <v>36126</v>
      </c>
      <c r="I6471" t="s">
        <v>71</v>
      </c>
      <c r="J6471" t="s">
        <v>10782</v>
      </c>
      <c r="K6471" t="s">
        <v>36127</v>
      </c>
    </row>
    <row r="6472" spans="1:11" ht="302.39999999999998" x14ac:dyDescent="0.3">
      <c r="A6472" s="4" t="s">
        <v>9260</v>
      </c>
      <c r="B6472">
        <v>3</v>
      </c>
      <c r="C6472">
        <v>2012</v>
      </c>
      <c r="D6472" t="s">
        <v>10924</v>
      </c>
      <c r="E6472">
        <v>45</v>
      </c>
      <c r="F6472" t="s">
        <v>36128</v>
      </c>
      <c r="G6472" t="s">
        <v>36129</v>
      </c>
      <c r="H6472" s="4" t="s">
        <v>36130</v>
      </c>
      <c r="I6472" t="s">
        <v>71</v>
      </c>
      <c r="J6472" t="s">
        <v>10782</v>
      </c>
      <c r="K6472" t="s">
        <v>36131</v>
      </c>
    </row>
    <row r="6473" spans="1:11" ht="244.8" x14ac:dyDescent="0.3">
      <c r="A6473" s="4" t="s">
        <v>9261</v>
      </c>
      <c r="B6473">
        <v>3</v>
      </c>
      <c r="C6473">
        <v>2012</v>
      </c>
      <c r="D6473" t="s">
        <v>10924</v>
      </c>
      <c r="E6473">
        <v>93</v>
      </c>
      <c r="F6473" t="s">
        <v>36132</v>
      </c>
      <c r="G6473" t="s">
        <v>36133</v>
      </c>
      <c r="H6473" s="4" t="s">
        <v>36134</v>
      </c>
      <c r="I6473" t="s">
        <v>71</v>
      </c>
      <c r="J6473" t="s">
        <v>10782</v>
      </c>
      <c r="K6473" t="s">
        <v>36135</v>
      </c>
    </row>
    <row r="6474" spans="1:11" ht="172.8" x14ac:dyDescent="0.3">
      <c r="A6474" s="4" t="s">
        <v>9262</v>
      </c>
      <c r="B6474">
        <v>3</v>
      </c>
      <c r="C6474">
        <v>2012</v>
      </c>
      <c r="D6474" t="s">
        <v>25007</v>
      </c>
      <c r="E6474">
        <v>75</v>
      </c>
      <c r="F6474" t="s">
        <v>36136</v>
      </c>
      <c r="G6474" t="s">
        <v>36137</v>
      </c>
      <c r="H6474" s="4" t="s">
        <v>36138</v>
      </c>
      <c r="I6474" t="s">
        <v>71</v>
      </c>
      <c r="J6474" t="s">
        <v>10782</v>
      </c>
      <c r="K6474" t="s">
        <v>36139</v>
      </c>
    </row>
    <row r="6475" spans="1:11" ht="172.8" x14ac:dyDescent="0.3">
      <c r="A6475" s="4" t="s">
        <v>9263</v>
      </c>
      <c r="B6475">
        <v>3</v>
      </c>
      <c r="C6475">
        <v>2012</v>
      </c>
      <c r="D6475" t="s">
        <v>2282</v>
      </c>
      <c r="E6475">
        <v>54</v>
      </c>
      <c r="F6475" t="s">
        <v>36140</v>
      </c>
      <c r="G6475" t="s">
        <v>36141</v>
      </c>
      <c r="H6475" s="4" t="s">
        <v>36142</v>
      </c>
      <c r="I6475" t="s">
        <v>71</v>
      </c>
      <c r="J6475" t="s">
        <v>10782</v>
      </c>
      <c r="K6475" t="s">
        <v>36143</v>
      </c>
    </row>
    <row r="6476" spans="1:11" ht="201.6" x14ac:dyDescent="0.3">
      <c r="A6476" s="4" t="s">
        <v>9264</v>
      </c>
      <c r="B6476">
        <v>3</v>
      </c>
      <c r="C6476">
        <v>2012</v>
      </c>
      <c r="D6476" t="s">
        <v>2282</v>
      </c>
      <c r="E6476">
        <v>23</v>
      </c>
      <c r="F6476" t="s">
        <v>36144</v>
      </c>
      <c r="G6476" t="s">
        <v>36145</v>
      </c>
      <c r="H6476" s="4" t="s">
        <v>36146</v>
      </c>
      <c r="I6476" t="s">
        <v>71</v>
      </c>
      <c r="J6476" t="s">
        <v>10782</v>
      </c>
      <c r="K6476" t="s">
        <v>36147</v>
      </c>
    </row>
    <row r="6477" spans="1:11" ht="259.2" x14ac:dyDescent="0.3">
      <c r="A6477" s="4" t="s">
        <v>2095</v>
      </c>
      <c r="B6477">
        <v>1</v>
      </c>
      <c r="C6477">
        <v>2012</v>
      </c>
      <c r="D6477" t="s">
        <v>217</v>
      </c>
      <c r="E6477">
        <v>19</v>
      </c>
      <c r="F6477" t="s">
        <v>36148</v>
      </c>
      <c r="G6477" t="s">
        <v>36149</v>
      </c>
      <c r="H6477" s="4" t="s">
        <v>36150</v>
      </c>
      <c r="I6477" t="s">
        <v>71</v>
      </c>
      <c r="J6477" t="s">
        <v>10782</v>
      </c>
      <c r="K6477" t="s">
        <v>36151</v>
      </c>
    </row>
    <row r="6478" spans="1:11" ht="187.2" x14ac:dyDescent="0.3">
      <c r="A6478" s="4" t="s">
        <v>9265</v>
      </c>
      <c r="B6478">
        <v>3</v>
      </c>
      <c r="C6478">
        <v>2012</v>
      </c>
      <c r="D6478" t="s">
        <v>217</v>
      </c>
      <c r="E6478">
        <v>51</v>
      </c>
      <c r="F6478" t="s">
        <v>36152</v>
      </c>
      <c r="G6478" t="s">
        <v>36153</v>
      </c>
      <c r="H6478" s="4" t="s">
        <v>36154</v>
      </c>
      <c r="I6478" t="s">
        <v>71</v>
      </c>
      <c r="J6478" t="s">
        <v>10782</v>
      </c>
      <c r="K6478" t="s">
        <v>36155</v>
      </c>
    </row>
    <row r="6479" spans="1:11" ht="144" x14ac:dyDescent="0.3">
      <c r="A6479" s="4" t="s">
        <v>3430</v>
      </c>
      <c r="B6479">
        <v>1</v>
      </c>
      <c r="C6479">
        <v>2012</v>
      </c>
      <c r="D6479" t="s">
        <v>1794</v>
      </c>
      <c r="E6479">
        <v>13</v>
      </c>
      <c r="F6479" t="s">
        <v>36156</v>
      </c>
      <c r="G6479" t="s">
        <v>36157</v>
      </c>
      <c r="H6479" s="4" t="s">
        <v>36158</v>
      </c>
      <c r="I6479" t="s">
        <v>71</v>
      </c>
      <c r="J6479" t="s">
        <v>10782</v>
      </c>
      <c r="K6479" t="s">
        <v>36159</v>
      </c>
    </row>
    <row r="6480" spans="1:11" ht="172.8" x14ac:dyDescent="0.3">
      <c r="A6480" s="4" t="s">
        <v>9266</v>
      </c>
      <c r="B6480">
        <v>3</v>
      </c>
      <c r="C6480">
        <v>2012</v>
      </c>
      <c r="D6480" t="s">
        <v>18742</v>
      </c>
      <c r="E6480">
        <v>19</v>
      </c>
      <c r="F6480" t="s">
        <v>36160</v>
      </c>
      <c r="G6480" t="s">
        <v>36161</v>
      </c>
      <c r="H6480" s="4" t="s">
        <v>36162</v>
      </c>
      <c r="I6480" t="s">
        <v>10823</v>
      </c>
      <c r="J6480" t="s">
        <v>10782</v>
      </c>
      <c r="K6480" t="s">
        <v>36163</v>
      </c>
    </row>
    <row r="6481" spans="1:11" ht="187.2" x14ac:dyDescent="0.3">
      <c r="A6481" s="4" t="s">
        <v>9267</v>
      </c>
      <c r="B6481">
        <v>3</v>
      </c>
      <c r="C6481">
        <v>2012</v>
      </c>
      <c r="D6481" t="s">
        <v>1836</v>
      </c>
      <c r="E6481">
        <v>24</v>
      </c>
      <c r="F6481" t="s">
        <v>36164</v>
      </c>
      <c r="G6481" t="s">
        <v>36165</v>
      </c>
      <c r="H6481" s="4" t="s">
        <v>36166</v>
      </c>
      <c r="I6481" t="s">
        <v>71</v>
      </c>
      <c r="J6481" t="s">
        <v>10782</v>
      </c>
      <c r="K6481" t="s">
        <v>36167</v>
      </c>
    </row>
    <row r="6482" spans="1:11" ht="86.4" x14ac:dyDescent="0.3">
      <c r="A6482" s="4" t="s">
        <v>9268</v>
      </c>
      <c r="B6482">
        <v>3</v>
      </c>
      <c r="C6482">
        <v>2012</v>
      </c>
      <c r="D6482" t="s">
        <v>363</v>
      </c>
      <c r="E6482">
        <v>3</v>
      </c>
      <c r="F6482" t="s">
        <v>36168</v>
      </c>
      <c r="G6482" t="s">
        <v>36169</v>
      </c>
      <c r="H6482" s="4" t="s">
        <v>36170</v>
      </c>
    </row>
    <row r="6483" spans="1:11" ht="158.4" x14ac:dyDescent="0.3">
      <c r="A6483" s="4" t="s">
        <v>9269</v>
      </c>
      <c r="B6483">
        <v>3</v>
      </c>
      <c r="C6483">
        <v>2012</v>
      </c>
      <c r="D6483" t="s">
        <v>11050</v>
      </c>
      <c r="E6483">
        <v>15</v>
      </c>
      <c r="F6483" t="s">
        <v>36171</v>
      </c>
      <c r="G6483" t="s">
        <v>36172</v>
      </c>
      <c r="H6483" s="4" t="s">
        <v>36173</v>
      </c>
      <c r="I6483" t="s">
        <v>71</v>
      </c>
      <c r="J6483" t="s">
        <v>10782</v>
      </c>
      <c r="K6483" t="s">
        <v>36174</v>
      </c>
    </row>
    <row r="6484" spans="1:11" ht="172.8" x14ac:dyDescent="0.3">
      <c r="A6484" s="4" t="s">
        <v>3431</v>
      </c>
      <c r="B6484">
        <v>1</v>
      </c>
      <c r="C6484">
        <v>2012</v>
      </c>
      <c r="D6484" t="s">
        <v>637</v>
      </c>
      <c r="E6484">
        <v>88</v>
      </c>
      <c r="F6484" t="s">
        <v>36175</v>
      </c>
      <c r="G6484" t="s">
        <v>36176</v>
      </c>
      <c r="H6484" s="4" t="s">
        <v>36177</v>
      </c>
      <c r="I6484" t="s">
        <v>71</v>
      </c>
      <c r="J6484" t="s">
        <v>10782</v>
      </c>
      <c r="K6484" t="s">
        <v>36178</v>
      </c>
    </row>
    <row r="6485" spans="1:11" ht="144" x14ac:dyDescent="0.3">
      <c r="A6485" s="4" t="s">
        <v>9270</v>
      </c>
      <c r="B6485">
        <v>3</v>
      </c>
      <c r="C6485">
        <v>2012</v>
      </c>
      <c r="D6485" t="s">
        <v>27619</v>
      </c>
      <c r="E6485">
        <v>46</v>
      </c>
      <c r="F6485" t="s">
        <v>36179</v>
      </c>
      <c r="G6485" t="s">
        <v>36180</v>
      </c>
      <c r="H6485" s="4" t="s">
        <v>36181</v>
      </c>
      <c r="I6485" t="s">
        <v>71</v>
      </c>
      <c r="J6485" t="s">
        <v>10782</v>
      </c>
      <c r="K6485" t="s">
        <v>36182</v>
      </c>
    </row>
    <row r="6486" spans="1:11" ht="86.4" x14ac:dyDescent="0.3">
      <c r="A6486" s="4" t="s">
        <v>9271</v>
      </c>
      <c r="B6486">
        <v>3</v>
      </c>
      <c r="C6486">
        <v>2012</v>
      </c>
      <c r="D6486" t="s">
        <v>799</v>
      </c>
      <c r="E6486">
        <v>10</v>
      </c>
      <c r="F6486" t="s">
        <v>36183</v>
      </c>
      <c r="G6486" t="s">
        <v>36184</v>
      </c>
      <c r="H6486" s="4" t="s">
        <v>36185</v>
      </c>
      <c r="I6486" t="s">
        <v>71</v>
      </c>
      <c r="J6486" t="s">
        <v>10782</v>
      </c>
      <c r="K6486" t="s">
        <v>36186</v>
      </c>
    </row>
    <row r="6487" spans="1:11" ht="144" x14ac:dyDescent="0.3">
      <c r="A6487" s="4" t="s">
        <v>9272</v>
      </c>
      <c r="B6487">
        <v>3</v>
      </c>
      <c r="C6487">
        <v>2012</v>
      </c>
      <c r="D6487" t="s">
        <v>2282</v>
      </c>
      <c r="E6487">
        <v>79</v>
      </c>
      <c r="F6487" t="s">
        <v>36187</v>
      </c>
      <c r="G6487" t="s">
        <v>36188</v>
      </c>
      <c r="H6487" s="4" t="s">
        <v>36189</v>
      </c>
      <c r="I6487" t="s">
        <v>71</v>
      </c>
      <c r="J6487" t="s">
        <v>10782</v>
      </c>
      <c r="K6487" t="s">
        <v>36190</v>
      </c>
    </row>
    <row r="6488" spans="1:11" ht="187.2" x14ac:dyDescent="0.3">
      <c r="A6488" s="4" t="s">
        <v>9273</v>
      </c>
      <c r="B6488">
        <v>3</v>
      </c>
      <c r="C6488">
        <v>2012</v>
      </c>
      <c r="D6488" t="s">
        <v>33894</v>
      </c>
      <c r="E6488">
        <v>21</v>
      </c>
      <c r="F6488" t="s">
        <v>36191</v>
      </c>
      <c r="G6488" t="s">
        <v>36192</v>
      </c>
      <c r="H6488" s="4" t="s">
        <v>36193</v>
      </c>
      <c r="I6488" t="s">
        <v>10823</v>
      </c>
      <c r="J6488" t="s">
        <v>10782</v>
      </c>
      <c r="K6488" t="s">
        <v>36194</v>
      </c>
    </row>
    <row r="6489" spans="1:11" ht="216" x14ac:dyDescent="0.3">
      <c r="A6489" s="4" t="s">
        <v>9274</v>
      </c>
      <c r="B6489">
        <v>3</v>
      </c>
      <c r="C6489">
        <v>2012</v>
      </c>
      <c r="D6489" t="s">
        <v>10924</v>
      </c>
      <c r="E6489">
        <v>17</v>
      </c>
      <c r="F6489" t="s">
        <v>36195</v>
      </c>
      <c r="G6489" t="s">
        <v>36196</v>
      </c>
      <c r="H6489" s="4" t="s">
        <v>36197</v>
      </c>
    </row>
    <row r="6490" spans="1:11" ht="201.6" x14ac:dyDescent="0.3">
      <c r="A6490" s="4" t="s">
        <v>2096</v>
      </c>
      <c r="B6490">
        <v>1</v>
      </c>
      <c r="C6490">
        <v>2012</v>
      </c>
      <c r="D6490" t="s">
        <v>2201</v>
      </c>
      <c r="E6490">
        <v>78</v>
      </c>
      <c r="F6490" t="s">
        <v>36198</v>
      </c>
      <c r="G6490" t="s">
        <v>36199</v>
      </c>
      <c r="H6490" s="4" t="s">
        <v>36200</v>
      </c>
    </row>
    <row r="6491" spans="1:11" ht="187.2" x14ac:dyDescent="0.3">
      <c r="A6491" s="4" t="s">
        <v>9275</v>
      </c>
      <c r="B6491">
        <v>3</v>
      </c>
      <c r="C6491">
        <v>2012</v>
      </c>
      <c r="D6491" t="s">
        <v>83</v>
      </c>
      <c r="E6491">
        <v>16</v>
      </c>
      <c r="F6491" t="s">
        <v>36201</v>
      </c>
      <c r="G6491" t="s">
        <v>36202</v>
      </c>
      <c r="H6491" s="4" t="s">
        <v>36203</v>
      </c>
      <c r="I6491" t="s">
        <v>71</v>
      </c>
      <c r="J6491" t="s">
        <v>10782</v>
      </c>
      <c r="K6491" t="s">
        <v>36204</v>
      </c>
    </row>
    <row r="6492" spans="1:11" ht="100.8" x14ac:dyDescent="0.3">
      <c r="A6492" s="4" t="s">
        <v>9276</v>
      </c>
      <c r="B6492">
        <v>3</v>
      </c>
      <c r="C6492">
        <v>2012</v>
      </c>
      <c r="D6492" t="s">
        <v>36205</v>
      </c>
      <c r="E6492">
        <v>0</v>
      </c>
      <c r="G6492" t="s">
        <v>36206</v>
      </c>
      <c r="H6492" s="4" t="s">
        <v>36207</v>
      </c>
      <c r="I6492" s="4" t="s">
        <v>71</v>
      </c>
      <c r="J6492" t="s">
        <v>10782</v>
      </c>
      <c r="K6492" t="s">
        <v>36208</v>
      </c>
    </row>
    <row r="6493" spans="1:11" ht="86.4" x14ac:dyDescent="0.3">
      <c r="A6493" s="4" t="s">
        <v>9277</v>
      </c>
      <c r="B6493">
        <v>3</v>
      </c>
      <c r="C6493">
        <v>2012</v>
      </c>
      <c r="D6493" t="s">
        <v>1570</v>
      </c>
      <c r="E6493">
        <v>22</v>
      </c>
      <c r="F6493" t="s">
        <v>36209</v>
      </c>
      <c r="G6493" t="s">
        <v>36210</v>
      </c>
      <c r="H6493" s="4" t="s">
        <v>36211</v>
      </c>
      <c r="I6493" t="s">
        <v>71</v>
      </c>
      <c r="J6493" t="s">
        <v>10782</v>
      </c>
      <c r="K6493" t="s">
        <v>36212</v>
      </c>
    </row>
    <row r="6494" spans="1:11" ht="201.6" x14ac:dyDescent="0.3">
      <c r="A6494" s="4" t="s">
        <v>9278</v>
      </c>
      <c r="B6494">
        <v>3</v>
      </c>
      <c r="C6494">
        <v>2012</v>
      </c>
      <c r="D6494" t="s">
        <v>36213</v>
      </c>
      <c r="E6494">
        <v>204</v>
      </c>
      <c r="F6494" t="s">
        <v>36214</v>
      </c>
      <c r="G6494" t="s">
        <v>36215</v>
      </c>
      <c r="H6494" s="4" t="s">
        <v>36216</v>
      </c>
      <c r="I6494" t="s">
        <v>71</v>
      </c>
      <c r="J6494" t="s">
        <v>10782</v>
      </c>
      <c r="K6494" t="s">
        <v>36217</v>
      </c>
    </row>
    <row r="6495" spans="1:11" ht="144" x14ac:dyDescent="0.3">
      <c r="A6495" s="4" t="s">
        <v>9279</v>
      </c>
      <c r="B6495">
        <v>3</v>
      </c>
      <c r="C6495">
        <v>2012</v>
      </c>
      <c r="D6495" t="s">
        <v>11310</v>
      </c>
      <c r="E6495">
        <v>42</v>
      </c>
      <c r="F6495" t="s">
        <v>36218</v>
      </c>
      <c r="G6495" t="s">
        <v>36219</v>
      </c>
      <c r="H6495" s="4" t="s">
        <v>36220</v>
      </c>
      <c r="I6495" t="s">
        <v>71</v>
      </c>
      <c r="J6495" t="s">
        <v>10782</v>
      </c>
      <c r="K6495" t="s">
        <v>36221</v>
      </c>
    </row>
    <row r="6496" spans="1:11" ht="288" x14ac:dyDescent="0.3">
      <c r="A6496" s="4" t="s">
        <v>9280</v>
      </c>
      <c r="B6496">
        <v>3</v>
      </c>
      <c r="C6496">
        <v>2012</v>
      </c>
      <c r="D6496" t="s">
        <v>2282</v>
      </c>
      <c r="E6496">
        <v>124</v>
      </c>
      <c r="F6496" t="s">
        <v>36222</v>
      </c>
      <c r="G6496" t="s">
        <v>36223</v>
      </c>
      <c r="H6496" s="4" t="s">
        <v>36224</v>
      </c>
      <c r="I6496" t="s">
        <v>71</v>
      </c>
      <c r="J6496" t="s">
        <v>10782</v>
      </c>
      <c r="K6496" t="s">
        <v>36225</v>
      </c>
    </row>
    <row r="6497" spans="1:11" ht="172.8" x14ac:dyDescent="0.3">
      <c r="A6497" s="4" t="s">
        <v>9281</v>
      </c>
      <c r="B6497">
        <v>3</v>
      </c>
      <c r="C6497">
        <v>2012</v>
      </c>
      <c r="D6497" t="s">
        <v>12593</v>
      </c>
      <c r="E6497">
        <v>10</v>
      </c>
      <c r="F6497" t="s">
        <v>36226</v>
      </c>
      <c r="G6497" t="s">
        <v>36227</v>
      </c>
      <c r="H6497" s="4" t="s">
        <v>36228</v>
      </c>
      <c r="I6497" t="s">
        <v>71</v>
      </c>
      <c r="J6497" t="s">
        <v>10782</v>
      </c>
      <c r="K6497" t="s">
        <v>36229</v>
      </c>
    </row>
    <row r="6498" spans="1:11" ht="187.2" x14ac:dyDescent="0.3">
      <c r="A6498" s="4" t="s">
        <v>2952</v>
      </c>
      <c r="B6498">
        <v>2</v>
      </c>
      <c r="C6498">
        <v>2012</v>
      </c>
      <c r="D6498" t="s">
        <v>217</v>
      </c>
      <c r="E6498">
        <v>24</v>
      </c>
      <c r="F6498" t="s">
        <v>36230</v>
      </c>
      <c r="G6498" t="s">
        <v>36231</v>
      </c>
      <c r="H6498" s="4" t="s">
        <v>36232</v>
      </c>
      <c r="I6498" t="s">
        <v>71</v>
      </c>
      <c r="J6498" t="s">
        <v>10782</v>
      </c>
      <c r="K6498" t="s">
        <v>36233</v>
      </c>
    </row>
    <row r="6499" spans="1:11" ht="201.6" x14ac:dyDescent="0.3">
      <c r="A6499" s="4" t="s">
        <v>9282</v>
      </c>
      <c r="B6499">
        <v>3</v>
      </c>
      <c r="C6499">
        <v>2012</v>
      </c>
      <c r="D6499" t="s">
        <v>36234</v>
      </c>
      <c r="E6499">
        <v>33</v>
      </c>
      <c r="F6499" t="s">
        <v>36235</v>
      </c>
      <c r="G6499" t="s">
        <v>36236</v>
      </c>
      <c r="H6499" s="4" t="s">
        <v>36237</v>
      </c>
      <c r="I6499" t="s">
        <v>71</v>
      </c>
      <c r="J6499" t="s">
        <v>10782</v>
      </c>
      <c r="K6499" t="s">
        <v>36238</v>
      </c>
    </row>
    <row r="6500" spans="1:11" ht="172.8" x14ac:dyDescent="0.3">
      <c r="A6500" s="4" t="s">
        <v>9283</v>
      </c>
      <c r="B6500">
        <v>3</v>
      </c>
      <c r="C6500">
        <v>2012</v>
      </c>
      <c r="D6500" t="s">
        <v>36239</v>
      </c>
      <c r="E6500">
        <v>33</v>
      </c>
      <c r="F6500" t="s">
        <v>36240</v>
      </c>
      <c r="G6500" t="s">
        <v>36241</v>
      </c>
      <c r="H6500" s="4" t="s">
        <v>36242</v>
      </c>
      <c r="I6500" t="s">
        <v>71</v>
      </c>
      <c r="J6500" t="s">
        <v>10782</v>
      </c>
      <c r="K6500" t="s">
        <v>36243</v>
      </c>
    </row>
    <row r="6501" spans="1:11" ht="115.2" x14ac:dyDescent="0.3">
      <c r="A6501" s="4" t="s">
        <v>9284</v>
      </c>
      <c r="B6501">
        <v>3</v>
      </c>
      <c r="C6501">
        <v>2012</v>
      </c>
      <c r="D6501" t="s">
        <v>21103</v>
      </c>
      <c r="E6501">
        <v>2</v>
      </c>
      <c r="F6501" t="s">
        <v>36244</v>
      </c>
      <c r="G6501" t="s">
        <v>36245</v>
      </c>
      <c r="H6501" s="4" t="s">
        <v>36246</v>
      </c>
      <c r="I6501" t="s">
        <v>71</v>
      </c>
      <c r="J6501" t="s">
        <v>10782</v>
      </c>
      <c r="K6501" t="s">
        <v>36247</v>
      </c>
    </row>
    <row r="6502" spans="1:11" ht="129.6" x14ac:dyDescent="0.3">
      <c r="A6502" s="4" t="s">
        <v>9285</v>
      </c>
      <c r="B6502">
        <v>3</v>
      </c>
      <c r="C6502">
        <v>2012</v>
      </c>
      <c r="D6502" t="s">
        <v>2375</v>
      </c>
      <c r="E6502">
        <v>23</v>
      </c>
      <c r="F6502" t="s">
        <v>36248</v>
      </c>
      <c r="G6502" t="s">
        <v>36249</v>
      </c>
      <c r="H6502" s="4" t="s">
        <v>36250</v>
      </c>
      <c r="I6502" t="s">
        <v>71</v>
      </c>
      <c r="J6502" t="s">
        <v>10782</v>
      </c>
      <c r="K6502" t="s">
        <v>36251</v>
      </c>
    </row>
    <row r="6503" spans="1:11" ht="216" x14ac:dyDescent="0.3">
      <c r="A6503" s="4" t="s">
        <v>9286</v>
      </c>
      <c r="B6503">
        <v>3</v>
      </c>
      <c r="C6503">
        <v>2012</v>
      </c>
      <c r="D6503" t="s">
        <v>36252</v>
      </c>
      <c r="E6503">
        <v>16</v>
      </c>
      <c r="F6503" t="s">
        <v>36253</v>
      </c>
      <c r="G6503" t="s">
        <v>36254</v>
      </c>
      <c r="H6503" s="4" t="s">
        <v>36255</v>
      </c>
      <c r="I6503" t="s">
        <v>71</v>
      </c>
      <c r="J6503" t="s">
        <v>10782</v>
      </c>
      <c r="K6503" t="s">
        <v>36256</v>
      </c>
    </row>
    <row r="6504" spans="1:11" ht="158.4" x14ac:dyDescent="0.3">
      <c r="A6504" s="4" t="s">
        <v>9287</v>
      </c>
      <c r="B6504">
        <v>3</v>
      </c>
      <c r="C6504">
        <v>2012</v>
      </c>
      <c r="D6504" t="s">
        <v>36257</v>
      </c>
      <c r="E6504">
        <v>0</v>
      </c>
      <c r="F6504" t="s">
        <v>36258</v>
      </c>
      <c r="G6504" t="s">
        <v>36259</v>
      </c>
      <c r="H6504" s="4" t="s">
        <v>36260</v>
      </c>
      <c r="I6504" t="s">
        <v>71</v>
      </c>
      <c r="J6504" t="s">
        <v>10782</v>
      </c>
      <c r="K6504" t="s">
        <v>36261</v>
      </c>
    </row>
    <row r="6505" spans="1:11" ht="172.8" x14ac:dyDescent="0.3">
      <c r="A6505" s="4" t="s">
        <v>9288</v>
      </c>
      <c r="B6505">
        <v>3</v>
      </c>
      <c r="C6505">
        <v>2012</v>
      </c>
      <c r="D6505" t="s">
        <v>35904</v>
      </c>
      <c r="E6505">
        <v>74</v>
      </c>
      <c r="F6505" t="s">
        <v>36262</v>
      </c>
      <c r="G6505" t="s">
        <v>36263</v>
      </c>
      <c r="H6505" s="4" t="s">
        <v>36264</v>
      </c>
      <c r="I6505" t="s">
        <v>71</v>
      </c>
      <c r="J6505" t="s">
        <v>10782</v>
      </c>
      <c r="K6505" t="s">
        <v>36265</v>
      </c>
    </row>
    <row r="6506" spans="1:11" ht="100.8" x14ac:dyDescent="0.3">
      <c r="A6506" s="4" t="s">
        <v>9289</v>
      </c>
      <c r="B6506">
        <v>3</v>
      </c>
      <c r="C6506">
        <v>2012</v>
      </c>
      <c r="D6506" t="s">
        <v>217</v>
      </c>
      <c r="E6506">
        <v>17</v>
      </c>
      <c r="F6506" t="s">
        <v>36266</v>
      </c>
      <c r="G6506" t="s">
        <v>36267</v>
      </c>
      <c r="H6506" s="4" t="s">
        <v>36268</v>
      </c>
      <c r="I6506" t="s">
        <v>71</v>
      </c>
      <c r="J6506" t="s">
        <v>10782</v>
      </c>
      <c r="K6506" t="s">
        <v>36269</v>
      </c>
    </row>
    <row r="6507" spans="1:11" ht="244.8" x14ac:dyDescent="0.3">
      <c r="A6507" s="4" t="s">
        <v>9290</v>
      </c>
      <c r="B6507">
        <v>3</v>
      </c>
      <c r="C6507">
        <v>2012</v>
      </c>
      <c r="D6507" t="s">
        <v>26572</v>
      </c>
      <c r="E6507">
        <v>2</v>
      </c>
      <c r="F6507" t="s">
        <v>36270</v>
      </c>
      <c r="G6507" t="s">
        <v>36271</v>
      </c>
      <c r="H6507" s="4" t="s">
        <v>36272</v>
      </c>
      <c r="I6507" t="s">
        <v>71</v>
      </c>
      <c r="J6507" t="s">
        <v>10782</v>
      </c>
      <c r="K6507" t="s">
        <v>36273</v>
      </c>
    </row>
    <row r="6508" spans="1:11" ht="158.4" x14ac:dyDescent="0.3">
      <c r="A6508" s="4" t="s">
        <v>9291</v>
      </c>
      <c r="B6508">
        <v>3</v>
      </c>
      <c r="C6508">
        <v>2012</v>
      </c>
      <c r="D6508" t="s">
        <v>12339</v>
      </c>
      <c r="E6508">
        <v>27</v>
      </c>
      <c r="F6508" t="s">
        <v>36274</v>
      </c>
      <c r="G6508" t="s">
        <v>36275</v>
      </c>
      <c r="H6508" s="4" t="s">
        <v>36276</v>
      </c>
      <c r="I6508" t="s">
        <v>71</v>
      </c>
      <c r="J6508" t="s">
        <v>10782</v>
      </c>
      <c r="K6508" t="s">
        <v>36277</v>
      </c>
    </row>
    <row r="6509" spans="1:11" ht="187.2" x14ac:dyDescent="0.3">
      <c r="A6509" s="4" t="s">
        <v>9292</v>
      </c>
      <c r="B6509">
        <v>3</v>
      </c>
      <c r="C6509">
        <v>2012</v>
      </c>
      <c r="D6509" t="s">
        <v>13776</v>
      </c>
      <c r="E6509">
        <v>0</v>
      </c>
      <c r="F6509" t="s">
        <v>36278</v>
      </c>
      <c r="G6509" t="s">
        <v>36279</v>
      </c>
      <c r="H6509" s="4" t="s">
        <v>36280</v>
      </c>
      <c r="I6509" t="s">
        <v>71</v>
      </c>
      <c r="J6509" t="s">
        <v>10782</v>
      </c>
      <c r="K6509" t="s">
        <v>36281</v>
      </c>
    </row>
    <row r="6510" spans="1:11" ht="144" x14ac:dyDescent="0.3">
      <c r="A6510" s="4" t="s">
        <v>9293</v>
      </c>
      <c r="B6510">
        <v>3</v>
      </c>
      <c r="C6510">
        <v>2012</v>
      </c>
      <c r="D6510" t="s">
        <v>19527</v>
      </c>
      <c r="E6510">
        <v>30</v>
      </c>
      <c r="F6510" t="s">
        <v>36282</v>
      </c>
      <c r="G6510" t="s">
        <v>36283</v>
      </c>
      <c r="H6510" s="4" t="s">
        <v>36284</v>
      </c>
      <c r="I6510" t="s">
        <v>71</v>
      </c>
      <c r="J6510" t="s">
        <v>10782</v>
      </c>
      <c r="K6510" t="s">
        <v>36285</v>
      </c>
    </row>
    <row r="6511" spans="1:11" ht="158.4" x14ac:dyDescent="0.3">
      <c r="A6511" s="4" t="s">
        <v>9294</v>
      </c>
      <c r="B6511">
        <v>3</v>
      </c>
      <c r="C6511">
        <v>2012</v>
      </c>
      <c r="D6511" t="s">
        <v>217</v>
      </c>
      <c r="E6511">
        <v>116</v>
      </c>
      <c r="F6511" t="s">
        <v>36286</v>
      </c>
      <c r="G6511" t="s">
        <v>36287</v>
      </c>
      <c r="H6511" s="4" t="s">
        <v>36288</v>
      </c>
      <c r="I6511" t="s">
        <v>71</v>
      </c>
      <c r="J6511" t="s">
        <v>10782</v>
      </c>
      <c r="K6511" t="s">
        <v>36289</v>
      </c>
    </row>
    <row r="6512" spans="1:11" ht="100.8" x14ac:dyDescent="0.3">
      <c r="A6512" s="4" t="s">
        <v>3432</v>
      </c>
      <c r="B6512">
        <v>1</v>
      </c>
      <c r="C6512">
        <v>2012</v>
      </c>
      <c r="D6512" t="s">
        <v>13066</v>
      </c>
      <c r="E6512">
        <v>13</v>
      </c>
      <c r="F6512" t="s">
        <v>36290</v>
      </c>
      <c r="G6512" t="s">
        <v>36291</v>
      </c>
      <c r="H6512" s="4" t="s">
        <v>36292</v>
      </c>
      <c r="I6512" t="s">
        <v>71</v>
      </c>
      <c r="J6512" t="s">
        <v>10782</v>
      </c>
      <c r="K6512" t="s">
        <v>36293</v>
      </c>
    </row>
    <row r="6513" spans="1:11" ht="129.6" x14ac:dyDescent="0.3">
      <c r="A6513" s="4" t="s">
        <v>9295</v>
      </c>
      <c r="B6513">
        <v>3</v>
      </c>
      <c r="C6513">
        <v>2012</v>
      </c>
      <c r="D6513" t="s">
        <v>217</v>
      </c>
      <c r="E6513">
        <v>7</v>
      </c>
      <c r="F6513" t="s">
        <v>36294</v>
      </c>
      <c r="G6513" t="s">
        <v>36295</v>
      </c>
      <c r="H6513" s="4" t="s">
        <v>36296</v>
      </c>
      <c r="I6513" t="s">
        <v>71</v>
      </c>
      <c r="J6513" t="s">
        <v>10782</v>
      </c>
      <c r="K6513" t="s">
        <v>36297</v>
      </c>
    </row>
    <row r="6514" spans="1:11" ht="201.6" x14ac:dyDescent="0.3">
      <c r="A6514" s="4" t="s">
        <v>9296</v>
      </c>
      <c r="B6514">
        <v>3</v>
      </c>
      <c r="C6514">
        <v>2012</v>
      </c>
      <c r="D6514" t="s">
        <v>2030</v>
      </c>
      <c r="E6514">
        <v>7</v>
      </c>
      <c r="F6514" t="s">
        <v>36298</v>
      </c>
      <c r="G6514" t="s">
        <v>36299</v>
      </c>
      <c r="H6514" s="4" t="s">
        <v>36300</v>
      </c>
      <c r="I6514" t="s">
        <v>71</v>
      </c>
      <c r="J6514" t="s">
        <v>10782</v>
      </c>
      <c r="K6514" t="s">
        <v>36301</v>
      </c>
    </row>
    <row r="6515" spans="1:11" ht="201.6" x14ac:dyDescent="0.3">
      <c r="A6515" s="4" t="s">
        <v>9297</v>
      </c>
      <c r="B6515">
        <v>3</v>
      </c>
      <c r="C6515">
        <v>2012</v>
      </c>
      <c r="D6515" t="s">
        <v>2585</v>
      </c>
      <c r="E6515">
        <v>13</v>
      </c>
      <c r="F6515" t="s">
        <v>36302</v>
      </c>
      <c r="G6515" t="s">
        <v>36303</v>
      </c>
      <c r="H6515" s="4" t="s">
        <v>36304</v>
      </c>
      <c r="I6515" t="s">
        <v>71</v>
      </c>
      <c r="J6515" t="s">
        <v>10782</v>
      </c>
      <c r="K6515" t="s">
        <v>36305</v>
      </c>
    </row>
    <row r="6516" spans="1:11" ht="158.4" x14ac:dyDescent="0.3">
      <c r="A6516" s="4" t="s">
        <v>9298</v>
      </c>
      <c r="B6516">
        <v>3</v>
      </c>
      <c r="C6516">
        <v>2012</v>
      </c>
      <c r="D6516" t="s">
        <v>26549</v>
      </c>
      <c r="E6516">
        <v>9</v>
      </c>
      <c r="F6516" t="s">
        <v>36306</v>
      </c>
      <c r="G6516" t="s">
        <v>36307</v>
      </c>
      <c r="H6516" s="4" t="s">
        <v>36308</v>
      </c>
      <c r="I6516" t="s">
        <v>71</v>
      </c>
      <c r="J6516" t="s">
        <v>10782</v>
      </c>
      <c r="K6516" t="s">
        <v>36309</v>
      </c>
    </row>
    <row r="6517" spans="1:11" ht="172.8" x14ac:dyDescent="0.3">
      <c r="A6517" s="4" t="s">
        <v>9299</v>
      </c>
      <c r="B6517">
        <v>3</v>
      </c>
      <c r="C6517">
        <v>2012</v>
      </c>
      <c r="D6517" t="s">
        <v>799</v>
      </c>
      <c r="E6517">
        <v>15</v>
      </c>
      <c r="F6517" t="s">
        <v>36310</v>
      </c>
      <c r="G6517" t="s">
        <v>36311</v>
      </c>
      <c r="H6517" s="4" t="s">
        <v>36312</v>
      </c>
      <c r="I6517" t="s">
        <v>71</v>
      </c>
      <c r="J6517" t="s">
        <v>10782</v>
      </c>
      <c r="K6517" t="s">
        <v>36313</v>
      </c>
    </row>
    <row r="6518" spans="1:11" ht="273.60000000000002" x14ac:dyDescent="0.3">
      <c r="A6518" s="4" t="s">
        <v>9300</v>
      </c>
      <c r="B6518">
        <v>3</v>
      </c>
      <c r="C6518">
        <v>2012</v>
      </c>
      <c r="D6518" t="s">
        <v>19978</v>
      </c>
      <c r="E6518">
        <v>3</v>
      </c>
      <c r="F6518" t="s">
        <v>36314</v>
      </c>
      <c r="G6518" t="s">
        <v>36315</v>
      </c>
      <c r="H6518" s="4" t="s">
        <v>36316</v>
      </c>
      <c r="I6518" t="s">
        <v>71</v>
      </c>
      <c r="J6518" t="s">
        <v>10782</v>
      </c>
      <c r="K6518" t="s">
        <v>36317</v>
      </c>
    </row>
    <row r="6519" spans="1:11" ht="129.6" x14ac:dyDescent="0.3">
      <c r="A6519" s="4" t="s">
        <v>9301</v>
      </c>
      <c r="B6519">
        <v>3</v>
      </c>
      <c r="C6519">
        <v>2012</v>
      </c>
      <c r="D6519" t="s">
        <v>2853</v>
      </c>
      <c r="E6519">
        <v>103</v>
      </c>
      <c r="F6519" t="s">
        <v>36318</v>
      </c>
      <c r="G6519" t="s">
        <v>36319</v>
      </c>
      <c r="H6519" s="4" t="s">
        <v>36320</v>
      </c>
      <c r="I6519" t="s">
        <v>71</v>
      </c>
      <c r="J6519" t="s">
        <v>10782</v>
      </c>
      <c r="K6519" t="s">
        <v>36321</v>
      </c>
    </row>
    <row r="6520" spans="1:11" ht="187.2" x14ac:dyDescent="0.3">
      <c r="A6520" s="4" t="s">
        <v>9302</v>
      </c>
      <c r="B6520">
        <v>3</v>
      </c>
      <c r="C6520">
        <v>2012</v>
      </c>
      <c r="D6520" t="s">
        <v>1570</v>
      </c>
      <c r="E6520">
        <v>23</v>
      </c>
      <c r="F6520" t="s">
        <v>36322</v>
      </c>
      <c r="G6520" t="s">
        <v>36323</v>
      </c>
      <c r="H6520" s="4" t="s">
        <v>36324</v>
      </c>
      <c r="I6520" t="s">
        <v>71</v>
      </c>
      <c r="J6520" t="s">
        <v>10782</v>
      </c>
      <c r="K6520" t="s">
        <v>36325</v>
      </c>
    </row>
    <row r="6521" spans="1:11" ht="172.8" x14ac:dyDescent="0.3">
      <c r="A6521" s="4" t="s">
        <v>9303</v>
      </c>
      <c r="B6521">
        <v>3</v>
      </c>
      <c r="C6521">
        <v>2012</v>
      </c>
      <c r="D6521" t="s">
        <v>2853</v>
      </c>
      <c r="E6521">
        <v>26</v>
      </c>
      <c r="F6521" t="s">
        <v>36326</v>
      </c>
      <c r="G6521" t="s">
        <v>36327</v>
      </c>
      <c r="H6521" s="4" t="s">
        <v>36328</v>
      </c>
      <c r="I6521" t="s">
        <v>71</v>
      </c>
      <c r="J6521" t="s">
        <v>10782</v>
      </c>
      <c r="K6521" t="s">
        <v>36329</v>
      </c>
    </row>
    <row r="6522" spans="1:11" ht="172.8" x14ac:dyDescent="0.3">
      <c r="A6522" s="4" t="s">
        <v>9304</v>
      </c>
      <c r="B6522">
        <v>3</v>
      </c>
      <c r="C6522">
        <v>2012</v>
      </c>
      <c r="D6522" t="s">
        <v>799</v>
      </c>
      <c r="E6522">
        <v>21</v>
      </c>
      <c r="F6522" t="s">
        <v>36330</v>
      </c>
      <c r="G6522" t="s">
        <v>36331</v>
      </c>
      <c r="H6522" s="4" t="s">
        <v>36332</v>
      </c>
      <c r="I6522" t="s">
        <v>71</v>
      </c>
      <c r="J6522" t="s">
        <v>10782</v>
      </c>
      <c r="K6522" t="s">
        <v>36333</v>
      </c>
    </row>
    <row r="6523" spans="1:11" ht="187.2" x14ac:dyDescent="0.3">
      <c r="A6523" s="4" t="s">
        <v>9305</v>
      </c>
      <c r="B6523">
        <v>3</v>
      </c>
      <c r="C6523">
        <v>2012</v>
      </c>
      <c r="D6523" t="s">
        <v>83</v>
      </c>
      <c r="E6523">
        <v>14</v>
      </c>
      <c r="F6523" t="s">
        <v>36334</v>
      </c>
      <c r="G6523" t="s">
        <v>36335</v>
      </c>
      <c r="H6523" s="4" t="s">
        <v>36336</v>
      </c>
      <c r="I6523" t="s">
        <v>71</v>
      </c>
      <c r="J6523" t="s">
        <v>10782</v>
      </c>
      <c r="K6523" t="s">
        <v>36337</v>
      </c>
    </row>
    <row r="6524" spans="1:11" ht="172.8" x14ac:dyDescent="0.3">
      <c r="A6524" s="4" t="s">
        <v>9306</v>
      </c>
      <c r="B6524">
        <v>3</v>
      </c>
      <c r="C6524">
        <v>2012</v>
      </c>
      <c r="D6524" t="s">
        <v>550</v>
      </c>
      <c r="E6524">
        <v>6</v>
      </c>
      <c r="F6524" t="s">
        <v>36338</v>
      </c>
      <c r="G6524" t="s">
        <v>36339</v>
      </c>
      <c r="H6524" s="4" t="s">
        <v>36340</v>
      </c>
      <c r="I6524" t="s">
        <v>71</v>
      </c>
      <c r="J6524" t="s">
        <v>10782</v>
      </c>
      <c r="K6524" t="s">
        <v>36341</v>
      </c>
    </row>
    <row r="6525" spans="1:11" ht="129.6" x14ac:dyDescent="0.3">
      <c r="A6525" s="4" t="s">
        <v>2097</v>
      </c>
      <c r="B6525">
        <v>1</v>
      </c>
      <c r="C6525">
        <v>2012</v>
      </c>
      <c r="D6525" t="s">
        <v>217</v>
      </c>
      <c r="E6525">
        <v>1</v>
      </c>
      <c r="F6525" t="s">
        <v>36342</v>
      </c>
      <c r="G6525" t="s">
        <v>36343</v>
      </c>
      <c r="H6525" s="4" t="s">
        <v>36344</v>
      </c>
      <c r="I6525" t="s">
        <v>71</v>
      </c>
      <c r="J6525" t="s">
        <v>10782</v>
      </c>
      <c r="K6525" t="s">
        <v>36345</v>
      </c>
    </row>
    <row r="6526" spans="1:11" ht="57.6" x14ac:dyDescent="0.3">
      <c r="A6526" s="4" t="s">
        <v>9307</v>
      </c>
      <c r="B6526">
        <v>3</v>
      </c>
      <c r="C6526">
        <v>2012</v>
      </c>
      <c r="D6526" t="s">
        <v>33818</v>
      </c>
      <c r="E6526">
        <v>3</v>
      </c>
      <c r="G6526" t="s">
        <v>36346</v>
      </c>
      <c r="H6526" t="s">
        <v>17311</v>
      </c>
      <c r="I6526" s="4" t="s">
        <v>71</v>
      </c>
      <c r="J6526" t="s">
        <v>10782</v>
      </c>
      <c r="K6526" t="s">
        <v>36347</v>
      </c>
    </row>
    <row r="6527" spans="1:11" ht="187.2" x14ac:dyDescent="0.3">
      <c r="A6527" s="4" t="s">
        <v>9308</v>
      </c>
      <c r="B6527">
        <v>3</v>
      </c>
      <c r="C6527">
        <v>2012</v>
      </c>
      <c r="D6527" t="s">
        <v>2585</v>
      </c>
      <c r="E6527">
        <v>23</v>
      </c>
      <c r="F6527" t="s">
        <v>36348</v>
      </c>
      <c r="G6527" t="s">
        <v>36349</v>
      </c>
      <c r="H6527" s="4" t="s">
        <v>36350</v>
      </c>
      <c r="I6527" t="s">
        <v>71</v>
      </c>
      <c r="J6527" t="s">
        <v>10782</v>
      </c>
      <c r="K6527" t="s">
        <v>36351</v>
      </c>
    </row>
    <row r="6528" spans="1:11" ht="86.4" x14ac:dyDescent="0.3">
      <c r="A6528" s="4" t="s">
        <v>9309</v>
      </c>
      <c r="B6528">
        <v>3</v>
      </c>
      <c r="C6528">
        <v>2012</v>
      </c>
      <c r="D6528" t="s">
        <v>28481</v>
      </c>
      <c r="E6528">
        <v>5</v>
      </c>
      <c r="G6528" t="s">
        <v>36352</v>
      </c>
      <c r="H6528" s="4" t="s">
        <v>36353</v>
      </c>
      <c r="I6528" s="4" t="s">
        <v>71</v>
      </c>
      <c r="J6528" t="s">
        <v>10782</v>
      </c>
      <c r="K6528" t="s">
        <v>36354</v>
      </c>
    </row>
    <row r="6529" spans="1:11" ht="144" x14ac:dyDescent="0.3">
      <c r="A6529" s="4" t="s">
        <v>9310</v>
      </c>
      <c r="B6529">
        <v>3</v>
      </c>
      <c r="C6529">
        <v>2012</v>
      </c>
      <c r="D6529" t="s">
        <v>2585</v>
      </c>
      <c r="E6529">
        <v>21</v>
      </c>
      <c r="F6529" t="s">
        <v>36355</v>
      </c>
      <c r="G6529" t="s">
        <v>36356</v>
      </c>
      <c r="H6529" s="4" t="s">
        <v>36357</v>
      </c>
    </row>
    <row r="6530" spans="1:11" ht="144" x14ac:dyDescent="0.3">
      <c r="A6530" s="4" t="s">
        <v>9311</v>
      </c>
      <c r="B6530">
        <v>3</v>
      </c>
      <c r="C6530">
        <v>2012</v>
      </c>
      <c r="D6530" t="s">
        <v>11432</v>
      </c>
      <c r="E6530">
        <v>36</v>
      </c>
      <c r="F6530" t="s">
        <v>36358</v>
      </c>
      <c r="G6530" t="s">
        <v>36359</v>
      </c>
      <c r="H6530" s="4" t="s">
        <v>36360</v>
      </c>
    </row>
    <row r="6531" spans="1:11" ht="158.4" x14ac:dyDescent="0.3">
      <c r="A6531" s="4" t="s">
        <v>9312</v>
      </c>
      <c r="B6531">
        <v>3</v>
      </c>
      <c r="C6531">
        <v>2012</v>
      </c>
      <c r="D6531" t="s">
        <v>2416</v>
      </c>
      <c r="E6531">
        <v>45</v>
      </c>
      <c r="F6531" t="s">
        <v>36361</v>
      </c>
      <c r="G6531" t="s">
        <v>36362</v>
      </c>
      <c r="H6531" s="4" t="s">
        <v>36363</v>
      </c>
      <c r="I6531" t="s">
        <v>71</v>
      </c>
      <c r="J6531" t="s">
        <v>10782</v>
      </c>
      <c r="K6531" t="s">
        <v>36364</v>
      </c>
    </row>
    <row r="6532" spans="1:11" ht="201.6" x14ac:dyDescent="0.3">
      <c r="A6532" s="4" t="s">
        <v>9313</v>
      </c>
      <c r="B6532">
        <v>3</v>
      </c>
      <c r="C6532">
        <v>2012</v>
      </c>
      <c r="D6532" t="s">
        <v>10924</v>
      </c>
      <c r="E6532">
        <v>29</v>
      </c>
      <c r="F6532" t="s">
        <v>36365</v>
      </c>
      <c r="G6532" t="s">
        <v>36366</v>
      </c>
      <c r="H6532" s="4" t="s">
        <v>36367</v>
      </c>
    </row>
    <row r="6533" spans="1:11" ht="100.8" x14ac:dyDescent="0.3">
      <c r="A6533" s="4" t="s">
        <v>9314</v>
      </c>
      <c r="B6533">
        <v>3</v>
      </c>
      <c r="C6533">
        <v>2012</v>
      </c>
      <c r="D6533" t="s">
        <v>12593</v>
      </c>
      <c r="E6533">
        <v>20</v>
      </c>
      <c r="F6533" t="s">
        <v>36368</v>
      </c>
      <c r="G6533" t="s">
        <v>36369</v>
      </c>
      <c r="H6533" s="4" t="s">
        <v>36370</v>
      </c>
    </row>
    <row r="6534" spans="1:11" ht="158.4" x14ac:dyDescent="0.3">
      <c r="A6534" s="4" t="s">
        <v>9315</v>
      </c>
      <c r="B6534">
        <v>3</v>
      </c>
      <c r="C6534">
        <v>2012</v>
      </c>
      <c r="D6534" t="s">
        <v>25039</v>
      </c>
      <c r="E6534">
        <v>36</v>
      </c>
      <c r="G6534" t="s">
        <v>36371</v>
      </c>
      <c r="H6534" s="4" t="s">
        <v>36372</v>
      </c>
      <c r="I6534" s="4" t="s">
        <v>71</v>
      </c>
      <c r="J6534" t="s">
        <v>10782</v>
      </c>
      <c r="K6534" t="s">
        <v>36373</v>
      </c>
    </row>
    <row r="6535" spans="1:11" ht="158.4" x14ac:dyDescent="0.3">
      <c r="A6535" s="4" t="s">
        <v>9316</v>
      </c>
      <c r="B6535">
        <v>3</v>
      </c>
      <c r="C6535">
        <v>2012</v>
      </c>
      <c r="D6535" t="s">
        <v>11263</v>
      </c>
      <c r="E6535">
        <v>14</v>
      </c>
      <c r="F6535" t="s">
        <v>36374</v>
      </c>
      <c r="G6535" t="s">
        <v>36375</v>
      </c>
      <c r="H6535" s="4" t="s">
        <v>36376</v>
      </c>
    </row>
    <row r="6536" spans="1:11" ht="43.2" x14ac:dyDescent="0.3">
      <c r="A6536" s="4" t="s">
        <v>9317</v>
      </c>
      <c r="B6536">
        <v>3</v>
      </c>
      <c r="C6536">
        <v>2012</v>
      </c>
      <c r="D6536" t="s">
        <v>2411</v>
      </c>
      <c r="E6536">
        <v>33</v>
      </c>
      <c r="F6536" t="s">
        <v>36377</v>
      </c>
      <c r="G6536" t="s">
        <v>36378</v>
      </c>
      <c r="H6536" s="4" t="s">
        <v>36379</v>
      </c>
    </row>
    <row r="6537" spans="1:11" ht="144" x14ac:dyDescent="0.3">
      <c r="A6537" s="4" t="s">
        <v>9318</v>
      </c>
      <c r="B6537">
        <v>3</v>
      </c>
      <c r="C6537">
        <v>2012</v>
      </c>
      <c r="D6537" t="s">
        <v>10924</v>
      </c>
      <c r="E6537">
        <v>101</v>
      </c>
      <c r="F6537" t="s">
        <v>36380</v>
      </c>
      <c r="G6537" t="s">
        <v>36381</v>
      </c>
      <c r="H6537" s="4" t="s">
        <v>36382</v>
      </c>
      <c r="I6537" t="s">
        <v>71</v>
      </c>
      <c r="J6537" t="s">
        <v>10782</v>
      </c>
      <c r="K6537" t="s">
        <v>36383</v>
      </c>
    </row>
    <row r="6538" spans="1:11" ht="158.4" x14ac:dyDescent="0.3">
      <c r="A6538" s="4" t="s">
        <v>9319</v>
      </c>
      <c r="B6538">
        <v>3</v>
      </c>
      <c r="C6538">
        <v>2012</v>
      </c>
      <c r="D6538" t="s">
        <v>217</v>
      </c>
      <c r="E6538">
        <v>18</v>
      </c>
      <c r="F6538" t="s">
        <v>36384</v>
      </c>
      <c r="G6538" t="s">
        <v>36385</v>
      </c>
      <c r="H6538" s="4" t="s">
        <v>36386</v>
      </c>
      <c r="I6538" t="s">
        <v>71</v>
      </c>
      <c r="J6538" t="s">
        <v>10782</v>
      </c>
      <c r="K6538" t="s">
        <v>36387</v>
      </c>
    </row>
    <row r="6539" spans="1:11" ht="144" x14ac:dyDescent="0.3">
      <c r="A6539" s="4" t="s">
        <v>9320</v>
      </c>
      <c r="B6539">
        <v>3</v>
      </c>
      <c r="C6539">
        <v>2012</v>
      </c>
      <c r="D6539" t="s">
        <v>23776</v>
      </c>
      <c r="E6539">
        <v>36</v>
      </c>
      <c r="F6539" t="s">
        <v>36388</v>
      </c>
      <c r="G6539" t="s">
        <v>36389</v>
      </c>
      <c r="H6539" s="4" t="s">
        <v>36390</v>
      </c>
      <c r="I6539" t="s">
        <v>71</v>
      </c>
      <c r="J6539" t="s">
        <v>10782</v>
      </c>
      <c r="K6539" t="s">
        <v>36391</v>
      </c>
    </row>
    <row r="6540" spans="1:11" ht="115.2" x14ac:dyDescent="0.3">
      <c r="A6540" s="4" t="s">
        <v>9321</v>
      </c>
      <c r="B6540">
        <v>3</v>
      </c>
      <c r="C6540">
        <v>2012</v>
      </c>
      <c r="D6540" t="s">
        <v>19414</v>
      </c>
      <c r="E6540">
        <v>0</v>
      </c>
      <c r="F6540" t="s">
        <v>36392</v>
      </c>
      <c r="G6540" t="s">
        <v>36393</v>
      </c>
      <c r="H6540" s="4" t="s">
        <v>36394</v>
      </c>
      <c r="I6540" t="s">
        <v>71</v>
      </c>
      <c r="J6540" t="s">
        <v>10782</v>
      </c>
      <c r="K6540" t="s">
        <v>36395</v>
      </c>
    </row>
    <row r="6541" spans="1:11" ht="158.4" x14ac:dyDescent="0.3">
      <c r="A6541" s="4" t="s">
        <v>9322</v>
      </c>
      <c r="B6541">
        <v>3</v>
      </c>
      <c r="C6541">
        <v>2012</v>
      </c>
      <c r="D6541" t="s">
        <v>1570</v>
      </c>
      <c r="E6541">
        <v>19</v>
      </c>
      <c r="F6541" t="s">
        <v>36396</v>
      </c>
      <c r="G6541" t="s">
        <v>36397</v>
      </c>
      <c r="H6541" s="4" t="s">
        <v>36398</v>
      </c>
      <c r="I6541" t="s">
        <v>71</v>
      </c>
      <c r="J6541" t="s">
        <v>10782</v>
      </c>
      <c r="K6541" t="s">
        <v>36399</v>
      </c>
    </row>
    <row r="6542" spans="1:11" ht="259.2" x14ac:dyDescent="0.3">
      <c r="A6542" s="4" t="s">
        <v>9323</v>
      </c>
      <c r="B6542">
        <v>3</v>
      </c>
      <c r="C6542">
        <v>2012</v>
      </c>
      <c r="D6542" t="s">
        <v>19414</v>
      </c>
      <c r="E6542">
        <v>5</v>
      </c>
      <c r="F6542" t="s">
        <v>36400</v>
      </c>
      <c r="G6542" t="s">
        <v>36401</v>
      </c>
      <c r="H6542" s="4" t="s">
        <v>36402</v>
      </c>
      <c r="I6542" t="s">
        <v>71</v>
      </c>
      <c r="J6542" t="s">
        <v>10782</v>
      </c>
      <c r="K6542" t="s">
        <v>36403</v>
      </c>
    </row>
    <row r="6543" spans="1:11" ht="187.2" x14ac:dyDescent="0.3">
      <c r="A6543" s="4" t="s">
        <v>9324</v>
      </c>
      <c r="B6543">
        <v>3</v>
      </c>
      <c r="C6543">
        <v>2012</v>
      </c>
      <c r="D6543" t="s">
        <v>1175</v>
      </c>
      <c r="E6543">
        <v>20</v>
      </c>
      <c r="F6543" t="s">
        <v>36404</v>
      </c>
      <c r="G6543" t="s">
        <v>36405</v>
      </c>
      <c r="H6543" s="4" t="s">
        <v>36406</v>
      </c>
      <c r="I6543" t="s">
        <v>71</v>
      </c>
      <c r="J6543" t="s">
        <v>10782</v>
      </c>
      <c r="K6543" t="s">
        <v>36407</v>
      </c>
    </row>
    <row r="6544" spans="1:11" ht="201.6" x14ac:dyDescent="0.3">
      <c r="A6544" s="4" t="s">
        <v>9325</v>
      </c>
      <c r="B6544">
        <v>3</v>
      </c>
      <c r="C6544">
        <v>2012</v>
      </c>
      <c r="D6544" t="s">
        <v>1570</v>
      </c>
      <c r="E6544">
        <v>37</v>
      </c>
      <c r="F6544" t="s">
        <v>36408</v>
      </c>
      <c r="G6544" t="s">
        <v>36409</v>
      </c>
      <c r="H6544" s="4" t="s">
        <v>36410</v>
      </c>
      <c r="I6544" t="s">
        <v>71</v>
      </c>
      <c r="J6544" t="s">
        <v>10782</v>
      </c>
      <c r="K6544" t="s">
        <v>36411</v>
      </c>
    </row>
    <row r="6545" spans="1:11" ht="201.6" x14ac:dyDescent="0.3">
      <c r="A6545" s="4" t="s">
        <v>9326</v>
      </c>
      <c r="B6545">
        <v>3</v>
      </c>
      <c r="C6545">
        <v>2012</v>
      </c>
      <c r="D6545" t="s">
        <v>11168</v>
      </c>
      <c r="E6545">
        <v>19</v>
      </c>
      <c r="F6545" t="s">
        <v>36412</v>
      </c>
      <c r="G6545" t="s">
        <v>36413</v>
      </c>
      <c r="H6545" s="4" t="s">
        <v>36414</v>
      </c>
    </row>
    <row r="6546" spans="1:11" ht="129.6" x14ac:dyDescent="0.3">
      <c r="A6546" s="4" t="s">
        <v>9327</v>
      </c>
      <c r="B6546">
        <v>3</v>
      </c>
      <c r="C6546">
        <v>2012</v>
      </c>
      <c r="D6546" t="s">
        <v>36415</v>
      </c>
      <c r="E6546">
        <v>20</v>
      </c>
      <c r="F6546" t="s">
        <v>36416</v>
      </c>
      <c r="G6546" t="s">
        <v>36417</v>
      </c>
      <c r="H6546" s="4" t="s">
        <v>36418</v>
      </c>
    </row>
    <row r="6547" spans="1:11" ht="187.2" x14ac:dyDescent="0.3">
      <c r="A6547" s="4" t="s">
        <v>9328</v>
      </c>
      <c r="B6547">
        <v>3</v>
      </c>
      <c r="C6547">
        <v>2012</v>
      </c>
      <c r="D6547" t="s">
        <v>36419</v>
      </c>
      <c r="E6547">
        <v>24</v>
      </c>
      <c r="F6547" t="s">
        <v>36420</v>
      </c>
      <c r="G6547" t="s">
        <v>36421</v>
      </c>
      <c r="H6547" s="4" t="s">
        <v>36422</v>
      </c>
      <c r="I6547" t="s">
        <v>71</v>
      </c>
      <c r="J6547" t="s">
        <v>10782</v>
      </c>
      <c r="K6547" t="s">
        <v>36423</v>
      </c>
    </row>
    <row r="6548" spans="1:11" ht="216" x14ac:dyDescent="0.3">
      <c r="A6548" s="4" t="s">
        <v>2099</v>
      </c>
      <c r="B6548">
        <v>1</v>
      </c>
      <c r="C6548">
        <v>2012</v>
      </c>
      <c r="D6548" t="s">
        <v>1570</v>
      </c>
      <c r="E6548">
        <v>32</v>
      </c>
      <c r="F6548" t="s">
        <v>36424</v>
      </c>
      <c r="G6548" t="s">
        <v>36425</v>
      </c>
      <c r="H6548" s="4" t="s">
        <v>36426</v>
      </c>
      <c r="I6548" t="s">
        <v>71</v>
      </c>
      <c r="J6548" t="s">
        <v>10782</v>
      </c>
      <c r="K6548" t="s">
        <v>36427</v>
      </c>
    </row>
    <row r="6549" spans="1:11" ht="244.8" x14ac:dyDescent="0.3">
      <c r="A6549" s="4" t="s">
        <v>9329</v>
      </c>
      <c r="B6549">
        <v>3</v>
      </c>
      <c r="C6549">
        <v>2012</v>
      </c>
      <c r="D6549" t="s">
        <v>11574</v>
      </c>
      <c r="E6549">
        <v>65</v>
      </c>
      <c r="F6549" t="s">
        <v>36428</v>
      </c>
      <c r="G6549" t="s">
        <v>36429</v>
      </c>
      <c r="H6549" s="4" t="s">
        <v>36430</v>
      </c>
      <c r="I6549" t="s">
        <v>10823</v>
      </c>
      <c r="J6549" t="s">
        <v>10782</v>
      </c>
      <c r="K6549" t="s">
        <v>36431</v>
      </c>
    </row>
    <row r="6550" spans="1:11" ht="158.4" x14ac:dyDescent="0.3">
      <c r="A6550" s="4" t="s">
        <v>9330</v>
      </c>
      <c r="B6550">
        <v>3</v>
      </c>
      <c r="C6550">
        <v>2012</v>
      </c>
      <c r="D6550" t="s">
        <v>19527</v>
      </c>
      <c r="E6550">
        <v>103</v>
      </c>
      <c r="F6550" t="s">
        <v>36432</v>
      </c>
      <c r="G6550" t="s">
        <v>36433</v>
      </c>
      <c r="H6550" s="4" t="s">
        <v>36434</v>
      </c>
      <c r="I6550" t="s">
        <v>71</v>
      </c>
      <c r="J6550" t="s">
        <v>10782</v>
      </c>
      <c r="K6550" t="s">
        <v>36435</v>
      </c>
    </row>
    <row r="6551" spans="1:11" ht="244.8" x14ac:dyDescent="0.3">
      <c r="A6551" s="4" t="s">
        <v>9331</v>
      </c>
      <c r="B6551">
        <v>3</v>
      </c>
      <c r="C6551">
        <v>2012</v>
      </c>
      <c r="D6551" t="s">
        <v>14863</v>
      </c>
      <c r="E6551">
        <v>51</v>
      </c>
      <c r="F6551" t="s">
        <v>36436</v>
      </c>
      <c r="G6551" t="s">
        <v>36437</v>
      </c>
      <c r="H6551" s="4" t="s">
        <v>36438</v>
      </c>
      <c r="I6551" t="s">
        <v>71</v>
      </c>
      <c r="J6551" t="s">
        <v>10782</v>
      </c>
      <c r="K6551" t="s">
        <v>36439</v>
      </c>
    </row>
    <row r="6552" spans="1:11" ht="244.8" x14ac:dyDescent="0.3">
      <c r="A6552" s="4" t="s">
        <v>9332</v>
      </c>
      <c r="B6552">
        <v>3</v>
      </c>
      <c r="C6552">
        <v>2012</v>
      </c>
      <c r="D6552" t="s">
        <v>19527</v>
      </c>
      <c r="E6552">
        <v>28</v>
      </c>
      <c r="F6552" t="s">
        <v>36440</v>
      </c>
      <c r="G6552" t="s">
        <v>36441</v>
      </c>
      <c r="H6552" s="4" t="s">
        <v>36442</v>
      </c>
      <c r="I6552" t="s">
        <v>71</v>
      </c>
      <c r="J6552" t="s">
        <v>10782</v>
      </c>
      <c r="K6552" t="s">
        <v>36443</v>
      </c>
    </row>
    <row r="6553" spans="1:11" ht="230.4" x14ac:dyDescent="0.3">
      <c r="A6553" s="4" t="s">
        <v>9333</v>
      </c>
      <c r="B6553">
        <v>3</v>
      </c>
      <c r="C6553">
        <v>2012</v>
      </c>
      <c r="D6553" t="s">
        <v>11574</v>
      </c>
      <c r="E6553">
        <v>76</v>
      </c>
      <c r="F6553" t="s">
        <v>36444</v>
      </c>
      <c r="G6553" t="s">
        <v>36445</v>
      </c>
      <c r="H6553" s="4" t="s">
        <v>36446</v>
      </c>
    </row>
    <row r="6554" spans="1:11" ht="100.8" x14ac:dyDescent="0.3">
      <c r="A6554" s="4" t="s">
        <v>2101</v>
      </c>
      <c r="B6554">
        <v>1</v>
      </c>
      <c r="C6554">
        <v>2012</v>
      </c>
      <c r="D6554" t="s">
        <v>217</v>
      </c>
      <c r="E6554">
        <v>135</v>
      </c>
      <c r="F6554" t="s">
        <v>36447</v>
      </c>
      <c r="G6554" t="s">
        <v>36448</v>
      </c>
      <c r="H6554" s="4" t="s">
        <v>36449</v>
      </c>
    </row>
    <row r="6555" spans="1:11" ht="28.8" x14ac:dyDescent="0.3">
      <c r="A6555" s="4" t="s">
        <v>9334</v>
      </c>
      <c r="B6555">
        <v>3</v>
      </c>
      <c r="C6555">
        <v>2012</v>
      </c>
      <c r="D6555" t="s">
        <v>36450</v>
      </c>
      <c r="E6555">
        <v>0</v>
      </c>
      <c r="F6555" t="s">
        <v>36451</v>
      </c>
      <c r="G6555" t="s">
        <v>36452</v>
      </c>
      <c r="H6555" s="4" t="s">
        <v>71</v>
      </c>
      <c r="I6555" t="s">
        <v>10782</v>
      </c>
      <c r="J6555" t="s">
        <v>36453</v>
      </c>
    </row>
    <row r="6556" spans="1:11" ht="172.8" x14ac:dyDescent="0.3">
      <c r="A6556" s="4" t="s">
        <v>9335</v>
      </c>
      <c r="B6556">
        <v>3</v>
      </c>
      <c r="C6556">
        <v>2012</v>
      </c>
      <c r="D6556" t="s">
        <v>11310</v>
      </c>
      <c r="E6556">
        <v>73</v>
      </c>
      <c r="F6556" t="s">
        <v>36454</v>
      </c>
      <c r="G6556" t="s">
        <v>36455</v>
      </c>
      <c r="H6556" s="4" t="s">
        <v>36456</v>
      </c>
      <c r="I6556" t="s">
        <v>71</v>
      </c>
      <c r="J6556" t="s">
        <v>10782</v>
      </c>
      <c r="K6556" t="s">
        <v>36457</v>
      </c>
    </row>
    <row r="6557" spans="1:11" ht="187.2" x14ac:dyDescent="0.3">
      <c r="A6557" s="4" t="s">
        <v>9336</v>
      </c>
      <c r="B6557">
        <v>3</v>
      </c>
      <c r="C6557">
        <v>2012</v>
      </c>
      <c r="D6557" t="s">
        <v>1936</v>
      </c>
      <c r="E6557">
        <v>63</v>
      </c>
      <c r="F6557" t="s">
        <v>36458</v>
      </c>
      <c r="G6557" t="s">
        <v>36459</v>
      </c>
      <c r="H6557" s="4" t="s">
        <v>36460</v>
      </c>
      <c r="I6557" t="s">
        <v>71</v>
      </c>
      <c r="J6557" t="s">
        <v>10782</v>
      </c>
      <c r="K6557" t="s">
        <v>36461</v>
      </c>
    </row>
    <row r="6558" spans="1:11" ht="28.8" x14ac:dyDescent="0.3">
      <c r="A6558" s="4" t="s">
        <v>9337</v>
      </c>
      <c r="B6558">
        <v>3</v>
      </c>
      <c r="C6558">
        <v>2012</v>
      </c>
      <c r="D6558" t="s">
        <v>2375</v>
      </c>
      <c r="E6558">
        <v>137</v>
      </c>
      <c r="F6558" t="s">
        <v>36462</v>
      </c>
      <c r="G6558" t="s">
        <v>36463</v>
      </c>
      <c r="H6558" s="4" t="s">
        <v>36464</v>
      </c>
    </row>
    <row r="6559" spans="1:11" ht="100.8" x14ac:dyDescent="0.3">
      <c r="A6559" s="4" t="s">
        <v>9338</v>
      </c>
      <c r="B6559">
        <v>3</v>
      </c>
      <c r="C6559">
        <v>2012</v>
      </c>
      <c r="D6559" t="s">
        <v>36465</v>
      </c>
      <c r="E6559">
        <v>17</v>
      </c>
      <c r="F6559" t="s">
        <v>36466</v>
      </c>
      <c r="G6559" t="s">
        <v>36467</v>
      </c>
      <c r="H6559" s="4" t="s">
        <v>36468</v>
      </c>
    </row>
    <row r="6560" spans="1:11" ht="100.8" x14ac:dyDescent="0.3">
      <c r="A6560" s="4" t="s">
        <v>9339</v>
      </c>
      <c r="B6560">
        <v>3</v>
      </c>
      <c r="C6560">
        <v>2012</v>
      </c>
      <c r="D6560" t="s">
        <v>918</v>
      </c>
      <c r="E6560">
        <v>165</v>
      </c>
      <c r="F6560" t="s">
        <v>36469</v>
      </c>
      <c r="G6560" t="s">
        <v>36470</v>
      </c>
      <c r="H6560" s="4" t="s">
        <v>36471</v>
      </c>
      <c r="I6560" t="s">
        <v>71</v>
      </c>
      <c r="J6560" t="s">
        <v>10782</v>
      </c>
      <c r="K6560" t="s">
        <v>36472</v>
      </c>
    </row>
    <row r="6561" spans="1:11" ht="158.4" x14ac:dyDescent="0.3">
      <c r="A6561" s="4" t="s">
        <v>9340</v>
      </c>
      <c r="B6561">
        <v>3</v>
      </c>
      <c r="C6561">
        <v>2012</v>
      </c>
      <c r="D6561" t="s">
        <v>799</v>
      </c>
      <c r="E6561">
        <v>136</v>
      </c>
      <c r="F6561" t="s">
        <v>36473</v>
      </c>
      <c r="G6561" t="s">
        <v>36474</v>
      </c>
      <c r="H6561" s="4" t="s">
        <v>36475</v>
      </c>
      <c r="I6561" t="s">
        <v>71</v>
      </c>
      <c r="J6561" t="s">
        <v>10782</v>
      </c>
      <c r="K6561" t="s">
        <v>36476</v>
      </c>
    </row>
    <row r="6562" spans="1:11" ht="57.6" x14ac:dyDescent="0.3">
      <c r="A6562" s="4" t="s">
        <v>9341</v>
      </c>
      <c r="B6562">
        <v>3</v>
      </c>
      <c r="C6562">
        <v>2012</v>
      </c>
      <c r="D6562" t="s">
        <v>36477</v>
      </c>
      <c r="E6562">
        <v>34</v>
      </c>
      <c r="F6562" t="s">
        <v>36478</v>
      </c>
      <c r="G6562" t="s">
        <v>36479</v>
      </c>
      <c r="H6562" s="4" t="s">
        <v>36480</v>
      </c>
      <c r="I6562" t="s">
        <v>71</v>
      </c>
      <c r="J6562" t="s">
        <v>10782</v>
      </c>
      <c r="K6562" t="s">
        <v>36481</v>
      </c>
    </row>
    <row r="6563" spans="1:11" ht="172.8" x14ac:dyDescent="0.3">
      <c r="A6563" s="4" t="s">
        <v>9342</v>
      </c>
      <c r="B6563">
        <v>3</v>
      </c>
      <c r="C6563">
        <v>2012</v>
      </c>
      <c r="D6563" t="s">
        <v>799</v>
      </c>
      <c r="E6563">
        <v>51</v>
      </c>
      <c r="F6563" t="s">
        <v>36482</v>
      </c>
      <c r="G6563" t="s">
        <v>36483</v>
      </c>
      <c r="H6563" s="4" t="s">
        <v>36484</v>
      </c>
      <c r="I6563" t="s">
        <v>71</v>
      </c>
      <c r="J6563" t="s">
        <v>10782</v>
      </c>
      <c r="K6563" t="s">
        <v>36485</v>
      </c>
    </row>
    <row r="6564" spans="1:11" ht="187.2" x14ac:dyDescent="0.3">
      <c r="A6564" s="4" t="s">
        <v>9343</v>
      </c>
      <c r="B6564">
        <v>3</v>
      </c>
      <c r="C6564">
        <v>2012</v>
      </c>
      <c r="D6564" t="s">
        <v>13721</v>
      </c>
      <c r="E6564">
        <v>7</v>
      </c>
      <c r="F6564" t="s">
        <v>36486</v>
      </c>
      <c r="G6564" t="s">
        <v>36487</v>
      </c>
      <c r="H6564" s="4" t="s">
        <v>36488</v>
      </c>
      <c r="I6564" t="s">
        <v>71</v>
      </c>
      <c r="J6564" t="s">
        <v>10782</v>
      </c>
      <c r="K6564" t="s">
        <v>36489</v>
      </c>
    </row>
    <row r="6565" spans="1:11" ht="172.8" x14ac:dyDescent="0.3">
      <c r="A6565" s="4" t="s">
        <v>9344</v>
      </c>
      <c r="B6565">
        <v>3</v>
      </c>
      <c r="C6565">
        <v>2012</v>
      </c>
      <c r="D6565" t="s">
        <v>2853</v>
      </c>
      <c r="E6565">
        <v>51</v>
      </c>
      <c r="F6565" t="s">
        <v>36490</v>
      </c>
      <c r="G6565" t="s">
        <v>36491</v>
      </c>
      <c r="H6565" s="4" t="s">
        <v>36492</v>
      </c>
      <c r="I6565" t="s">
        <v>71</v>
      </c>
      <c r="J6565" t="s">
        <v>10782</v>
      </c>
      <c r="K6565" t="s">
        <v>36493</v>
      </c>
    </row>
    <row r="6566" spans="1:11" ht="216" x14ac:dyDescent="0.3">
      <c r="A6566" s="4" t="s">
        <v>2102</v>
      </c>
      <c r="B6566">
        <v>1</v>
      </c>
      <c r="C6566">
        <v>2012</v>
      </c>
      <c r="D6566" t="s">
        <v>1525</v>
      </c>
      <c r="E6566">
        <v>59</v>
      </c>
      <c r="F6566" t="s">
        <v>36494</v>
      </c>
      <c r="G6566" t="s">
        <v>36495</v>
      </c>
      <c r="H6566" s="4" t="s">
        <v>36496</v>
      </c>
      <c r="I6566" t="s">
        <v>71</v>
      </c>
      <c r="J6566" t="s">
        <v>10782</v>
      </c>
      <c r="K6566" t="s">
        <v>36497</v>
      </c>
    </row>
    <row r="6567" spans="1:11" ht="158.4" x14ac:dyDescent="0.3">
      <c r="A6567" s="4" t="s">
        <v>9345</v>
      </c>
      <c r="B6567">
        <v>3</v>
      </c>
      <c r="C6567">
        <v>2012</v>
      </c>
      <c r="D6567" t="s">
        <v>2375</v>
      </c>
      <c r="E6567">
        <v>12</v>
      </c>
      <c r="F6567" t="s">
        <v>36498</v>
      </c>
      <c r="G6567" t="s">
        <v>36499</v>
      </c>
      <c r="H6567" s="4" t="s">
        <v>36500</v>
      </c>
      <c r="I6567" t="s">
        <v>71</v>
      </c>
      <c r="J6567" t="s">
        <v>10782</v>
      </c>
      <c r="K6567" t="s">
        <v>36501</v>
      </c>
    </row>
    <row r="6568" spans="1:11" ht="129.6" x14ac:dyDescent="0.3">
      <c r="A6568" s="4" t="s">
        <v>9346</v>
      </c>
      <c r="B6568">
        <v>3</v>
      </c>
      <c r="C6568">
        <v>2012</v>
      </c>
      <c r="D6568" t="s">
        <v>35451</v>
      </c>
      <c r="E6568">
        <v>67</v>
      </c>
      <c r="F6568" t="s">
        <v>36502</v>
      </c>
      <c r="G6568" t="s">
        <v>36503</v>
      </c>
      <c r="H6568" s="4" t="s">
        <v>36504</v>
      </c>
      <c r="I6568" t="s">
        <v>71</v>
      </c>
      <c r="J6568" t="s">
        <v>10782</v>
      </c>
      <c r="K6568" t="s">
        <v>36505</v>
      </c>
    </row>
    <row r="6569" spans="1:11" ht="288" x14ac:dyDescent="0.3">
      <c r="A6569" s="4" t="s">
        <v>9347</v>
      </c>
      <c r="B6569">
        <v>3</v>
      </c>
      <c r="C6569">
        <v>2012</v>
      </c>
      <c r="D6569" t="s">
        <v>11728</v>
      </c>
      <c r="E6569">
        <v>32</v>
      </c>
      <c r="F6569" t="s">
        <v>36506</v>
      </c>
      <c r="G6569" t="s">
        <v>36507</v>
      </c>
      <c r="H6569" s="4" t="s">
        <v>36508</v>
      </c>
      <c r="I6569" t="s">
        <v>10823</v>
      </c>
      <c r="J6569" t="s">
        <v>10782</v>
      </c>
      <c r="K6569" t="s">
        <v>36509</v>
      </c>
    </row>
    <row r="6570" spans="1:11" ht="100.8" x14ac:dyDescent="0.3">
      <c r="A6570" s="4" t="s">
        <v>9348</v>
      </c>
      <c r="B6570">
        <v>3</v>
      </c>
      <c r="C6570">
        <v>2012</v>
      </c>
      <c r="D6570" t="s">
        <v>799</v>
      </c>
      <c r="E6570">
        <v>194</v>
      </c>
      <c r="F6570" t="s">
        <v>36510</v>
      </c>
      <c r="G6570" t="s">
        <v>36511</v>
      </c>
      <c r="H6570" s="4" t="s">
        <v>36512</v>
      </c>
      <c r="I6570" t="s">
        <v>71</v>
      </c>
      <c r="J6570" t="s">
        <v>10782</v>
      </c>
      <c r="K6570" t="s">
        <v>36513</v>
      </c>
    </row>
    <row r="6571" spans="1:11" ht="158.4" x14ac:dyDescent="0.3">
      <c r="A6571" s="4" t="s">
        <v>9349</v>
      </c>
      <c r="B6571">
        <v>3</v>
      </c>
      <c r="C6571">
        <v>2012</v>
      </c>
      <c r="D6571" t="s">
        <v>217</v>
      </c>
      <c r="E6571">
        <v>255</v>
      </c>
      <c r="F6571" t="s">
        <v>36514</v>
      </c>
      <c r="G6571" t="s">
        <v>36515</v>
      </c>
      <c r="H6571" s="4" t="s">
        <v>36516</v>
      </c>
      <c r="I6571" t="s">
        <v>71</v>
      </c>
      <c r="J6571" t="s">
        <v>10782</v>
      </c>
      <c r="K6571" t="s">
        <v>36517</v>
      </c>
    </row>
    <row r="6572" spans="1:11" ht="172.8" x14ac:dyDescent="0.3">
      <c r="A6572" s="4" t="s">
        <v>9350</v>
      </c>
      <c r="B6572">
        <v>3</v>
      </c>
      <c r="C6572">
        <v>2012</v>
      </c>
      <c r="D6572" t="s">
        <v>17066</v>
      </c>
      <c r="E6572">
        <v>7</v>
      </c>
      <c r="F6572" t="s">
        <v>36518</v>
      </c>
      <c r="G6572" t="s">
        <v>36519</v>
      </c>
      <c r="H6572" s="4" t="s">
        <v>36520</v>
      </c>
      <c r="I6572" t="s">
        <v>71</v>
      </c>
      <c r="J6572" t="s">
        <v>10782</v>
      </c>
      <c r="K6572" t="s">
        <v>36521</v>
      </c>
    </row>
    <row r="6573" spans="1:11" ht="201.6" x14ac:dyDescent="0.3">
      <c r="A6573" s="4" t="s">
        <v>9351</v>
      </c>
      <c r="B6573">
        <v>3</v>
      </c>
      <c r="C6573">
        <v>2012</v>
      </c>
      <c r="D6573" t="s">
        <v>11556</v>
      </c>
      <c r="E6573">
        <v>31</v>
      </c>
      <c r="F6573" t="s">
        <v>36522</v>
      </c>
      <c r="G6573" t="s">
        <v>36523</v>
      </c>
      <c r="H6573" s="4" t="s">
        <v>36524</v>
      </c>
      <c r="I6573" t="s">
        <v>71</v>
      </c>
      <c r="J6573" t="s">
        <v>10782</v>
      </c>
      <c r="K6573" t="s">
        <v>36525</v>
      </c>
    </row>
    <row r="6574" spans="1:11" ht="129.6" x14ac:dyDescent="0.3">
      <c r="A6574" s="4" t="s">
        <v>9352</v>
      </c>
      <c r="B6574">
        <v>3</v>
      </c>
      <c r="C6574">
        <v>2012</v>
      </c>
      <c r="D6574" t="s">
        <v>830</v>
      </c>
      <c r="E6574">
        <v>31</v>
      </c>
      <c r="F6574" t="s">
        <v>36526</v>
      </c>
      <c r="G6574" t="s">
        <v>36527</v>
      </c>
      <c r="H6574" s="4" t="s">
        <v>36528</v>
      </c>
      <c r="I6574" t="s">
        <v>71</v>
      </c>
      <c r="J6574" t="s">
        <v>10782</v>
      </c>
      <c r="K6574" t="s">
        <v>36529</v>
      </c>
    </row>
    <row r="6575" spans="1:11" ht="129.6" x14ac:dyDescent="0.3">
      <c r="A6575" s="4" t="s">
        <v>9353</v>
      </c>
      <c r="B6575">
        <v>3</v>
      </c>
      <c r="C6575">
        <v>2012</v>
      </c>
      <c r="D6575" t="s">
        <v>105</v>
      </c>
      <c r="E6575">
        <v>9</v>
      </c>
      <c r="G6575" t="s">
        <v>36530</v>
      </c>
      <c r="H6575" s="4" t="s">
        <v>36531</v>
      </c>
      <c r="I6575" s="4" t="s">
        <v>71</v>
      </c>
      <c r="J6575" t="s">
        <v>10782</v>
      </c>
      <c r="K6575" t="s">
        <v>36532</v>
      </c>
    </row>
    <row r="6576" spans="1:11" ht="172.8" x14ac:dyDescent="0.3">
      <c r="A6576" s="4" t="s">
        <v>9354</v>
      </c>
      <c r="B6576">
        <v>3</v>
      </c>
      <c r="C6576">
        <v>2012</v>
      </c>
      <c r="D6576" t="s">
        <v>2853</v>
      </c>
      <c r="E6576">
        <v>64</v>
      </c>
      <c r="F6576" t="s">
        <v>36533</v>
      </c>
      <c r="G6576" t="s">
        <v>36534</v>
      </c>
      <c r="H6576" s="4" t="s">
        <v>36535</v>
      </c>
      <c r="I6576" t="s">
        <v>71</v>
      </c>
      <c r="J6576" t="s">
        <v>10782</v>
      </c>
      <c r="K6576" t="s">
        <v>36536</v>
      </c>
    </row>
    <row r="6577" spans="1:11" ht="187.2" x14ac:dyDescent="0.3">
      <c r="A6577" s="4" t="s">
        <v>9355</v>
      </c>
      <c r="B6577">
        <v>3</v>
      </c>
      <c r="C6577">
        <v>2012</v>
      </c>
      <c r="D6577" t="s">
        <v>1570</v>
      </c>
      <c r="E6577">
        <v>24</v>
      </c>
      <c r="F6577" t="s">
        <v>36537</v>
      </c>
      <c r="G6577" t="s">
        <v>36538</v>
      </c>
      <c r="H6577" s="4" t="s">
        <v>36539</v>
      </c>
      <c r="I6577" t="s">
        <v>71</v>
      </c>
      <c r="J6577" t="s">
        <v>10782</v>
      </c>
      <c r="K6577" t="s">
        <v>36540</v>
      </c>
    </row>
    <row r="6578" spans="1:11" ht="158.4" x14ac:dyDescent="0.3">
      <c r="A6578" s="4" t="s">
        <v>3662</v>
      </c>
      <c r="B6578">
        <v>2</v>
      </c>
      <c r="C6578">
        <v>2012</v>
      </c>
      <c r="D6578" t="s">
        <v>36541</v>
      </c>
      <c r="E6578">
        <v>9</v>
      </c>
      <c r="F6578" t="s">
        <v>36542</v>
      </c>
      <c r="G6578" t="s">
        <v>36543</v>
      </c>
      <c r="H6578" s="4" t="s">
        <v>36544</v>
      </c>
    </row>
    <row r="6579" spans="1:11" ht="187.2" x14ac:dyDescent="0.3">
      <c r="A6579" s="4" t="s">
        <v>9356</v>
      </c>
      <c r="B6579">
        <v>3</v>
      </c>
      <c r="C6579">
        <v>2012</v>
      </c>
      <c r="D6579" t="s">
        <v>1915</v>
      </c>
      <c r="E6579">
        <v>20</v>
      </c>
      <c r="F6579" t="s">
        <v>36545</v>
      </c>
      <c r="G6579" t="s">
        <v>36546</v>
      </c>
      <c r="H6579" s="4" t="s">
        <v>36547</v>
      </c>
      <c r="I6579" t="s">
        <v>71</v>
      </c>
      <c r="J6579" t="s">
        <v>10782</v>
      </c>
      <c r="K6579" t="s">
        <v>36548</v>
      </c>
    </row>
    <row r="6580" spans="1:11" ht="244.8" x14ac:dyDescent="0.3">
      <c r="A6580" s="4" t="s">
        <v>9357</v>
      </c>
      <c r="B6580">
        <v>3</v>
      </c>
      <c r="C6580">
        <v>2012</v>
      </c>
      <c r="D6580" t="s">
        <v>11658</v>
      </c>
      <c r="E6580">
        <v>51</v>
      </c>
      <c r="F6580" t="s">
        <v>36549</v>
      </c>
      <c r="G6580" t="s">
        <v>36550</v>
      </c>
      <c r="H6580" s="4" t="s">
        <v>36551</v>
      </c>
      <c r="I6580" t="s">
        <v>71</v>
      </c>
      <c r="J6580" t="s">
        <v>10782</v>
      </c>
      <c r="K6580" t="s">
        <v>36552</v>
      </c>
    </row>
    <row r="6581" spans="1:11" ht="115.2" x14ac:dyDescent="0.3">
      <c r="A6581" s="4" t="s">
        <v>9358</v>
      </c>
      <c r="B6581">
        <v>3</v>
      </c>
      <c r="C6581">
        <v>2012</v>
      </c>
      <c r="D6581" t="s">
        <v>12037</v>
      </c>
      <c r="E6581">
        <v>35</v>
      </c>
      <c r="F6581" t="s">
        <v>36553</v>
      </c>
      <c r="G6581" t="s">
        <v>36554</v>
      </c>
      <c r="H6581" s="4" t="s">
        <v>36555</v>
      </c>
      <c r="I6581" t="s">
        <v>71</v>
      </c>
      <c r="J6581" t="s">
        <v>10782</v>
      </c>
      <c r="K6581" t="s">
        <v>36556</v>
      </c>
    </row>
    <row r="6582" spans="1:11" ht="144" x14ac:dyDescent="0.3">
      <c r="A6582" s="4" t="s">
        <v>9359</v>
      </c>
      <c r="B6582">
        <v>3</v>
      </c>
      <c r="C6582">
        <v>2012</v>
      </c>
      <c r="D6582" t="s">
        <v>2853</v>
      </c>
      <c r="E6582">
        <v>106</v>
      </c>
      <c r="F6582" t="s">
        <v>36557</v>
      </c>
      <c r="G6582" t="s">
        <v>36558</v>
      </c>
      <c r="H6582" s="4" t="s">
        <v>36559</v>
      </c>
      <c r="I6582" t="s">
        <v>71</v>
      </c>
      <c r="J6582" t="s">
        <v>10782</v>
      </c>
      <c r="K6582" t="s">
        <v>36560</v>
      </c>
    </row>
    <row r="6583" spans="1:11" ht="115.2" x14ac:dyDescent="0.3">
      <c r="A6583" s="4" t="s">
        <v>3433</v>
      </c>
      <c r="B6583">
        <v>1</v>
      </c>
      <c r="C6583">
        <v>2012</v>
      </c>
      <c r="D6583" t="s">
        <v>2389</v>
      </c>
      <c r="E6583">
        <v>2</v>
      </c>
      <c r="F6583" t="s">
        <v>36561</v>
      </c>
      <c r="G6583" t="s">
        <v>36562</v>
      </c>
      <c r="H6583" s="4" t="s">
        <v>36563</v>
      </c>
      <c r="I6583" t="s">
        <v>71</v>
      </c>
      <c r="J6583" t="s">
        <v>10782</v>
      </c>
      <c r="K6583" t="s">
        <v>36564</v>
      </c>
    </row>
    <row r="6584" spans="1:11" ht="187.2" x14ac:dyDescent="0.3">
      <c r="A6584" s="4" t="s">
        <v>9360</v>
      </c>
      <c r="B6584">
        <v>3</v>
      </c>
      <c r="C6584">
        <v>2012</v>
      </c>
      <c r="D6584" t="s">
        <v>2389</v>
      </c>
      <c r="E6584">
        <v>12</v>
      </c>
      <c r="F6584" t="s">
        <v>36565</v>
      </c>
      <c r="G6584" t="s">
        <v>36566</v>
      </c>
      <c r="H6584" s="4" t="s">
        <v>36567</v>
      </c>
      <c r="I6584" t="s">
        <v>71</v>
      </c>
      <c r="J6584" t="s">
        <v>10782</v>
      </c>
      <c r="K6584" t="s">
        <v>36568</v>
      </c>
    </row>
    <row r="6585" spans="1:11" ht="158.4" x14ac:dyDescent="0.3">
      <c r="A6585" s="4" t="s">
        <v>9361</v>
      </c>
      <c r="B6585">
        <v>3</v>
      </c>
      <c r="C6585">
        <v>2012</v>
      </c>
      <c r="D6585" t="s">
        <v>12593</v>
      </c>
      <c r="E6585">
        <v>60</v>
      </c>
      <c r="F6585" t="s">
        <v>36569</v>
      </c>
      <c r="G6585" t="s">
        <v>36570</v>
      </c>
      <c r="H6585" s="4" t="s">
        <v>36571</v>
      </c>
      <c r="I6585" t="s">
        <v>71</v>
      </c>
      <c r="J6585" t="s">
        <v>10782</v>
      </c>
      <c r="K6585" t="s">
        <v>36572</v>
      </c>
    </row>
    <row r="6586" spans="1:11" ht="288" x14ac:dyDescent="0.3">
      <c r="A6586" s="4" t="s">
        <v>9362</v>
      </c>
      <c r="B6586">
        <v>3</v>
      </c>
      <c r="C6586">
        <v>2012</v>
      </c>
      <c r="D6586" t="s">
        <v>15271</v>
      </c>
      <c r="E6586">
        <v>41</v>
      </c>
      <c r="F6586" t="s">
        <v>36573</v>
      </c>
      <c r="G6586" t="s">
        <v>36574</v>
      </c>
      <c r="H6586" s="4" t="s">
        <v>36575</v>
      </c>
    </row>
    <row r="6587" spans="1:11" ht="115.2" x14ac:dyDescent="0.3">
      <c r="A6587" s="4" t="s">
        <v>9363</v>
      </c>
      <c r="B6587">
        <v>3</v>
      </c>
      <c r="C6587">
        <v>2012</v>
      </c>
      <c r="D6587" t="s">
        <v>16299</v>
      </c>
      <c r="E6587">
        <v>6</v>
      </c>
      <c r="F6587" t="s">
        <v>36576</v>
      </c>
      <c r="G6587" t="s">
        <v>36577</v>
      </c>
      <c r="H6587" s="4" t="s">
        <v>36578</v>
      </c>
      <c r="I6587" t="s">
        <v>71</v>
      </c>
      <c r="J6587" t="s">
        <v>10782</v>
      </c>
      <c r="K6587" t="s">
        <v>36579</v>
      </c>
    </row>
    <row r="6588" spans="1:11" ht="158.4" x14ac:dyDescent="0.3">
      <c r="A6588" s="4" t="s">
        <v>9364</v>
      </c>
      <c r="B6588">
        <v>3</v>
      </c>
      <c r="C6588">
        <v>2012</v>
      </c>
      <c r="D6588" t="s">
        <v>799</v>
      </c>
      <c r="E6588">
        <v>190</v>
      </c>
      <c r="F6588" t="s">
        <v>36580</v>
      </c>
      <c r="G6588" t="s">
        <v>36581</v>
      </c>
      <c r="H6588" s="4" t="s">
        <v>36582</v>
      </c>
      <c r="I6588" t="s">
        <v>71</v>
      </c>
      <c r="J6588" t="s">
        <v>10782</v>
      </c>
      <c r="K6588" t="s">
        <v>36583</v>
      </c>
    </row>
    <row r="6589" spans="1:11" ht="129.6" x14ac:dyDescent="0.3">
      <c r="A6589" s="4" t="s">
        <v>2103</v>
      </c>
      <c r="B6589">
        <v>1</v>
      </c>
      <c r="C6589">
        <v>2012</v>
      </c>
      <c r="D6589" t="s">
        <v>217</v>
      </c>
      <c r="E6589">
        <v>77</v>
      </c>
      <c r="F6589" t="s">
        <v>36584</v>
      </c>
      <c r="G6589" t="s">
        <v>36585</v>
      </c>
      <c r="H6589" s="4" t="s">
        <v>36586</v>
      </c>
      <c r="I6589" t="s">
        <v>71</v>
      </c>
      <c r="J6589" t="s">
        <v>10782</v>
      </c>
      <c r="K6589" t="s">
        <v>36587</v>
      </c>
    </row>
    <row r="6590" spans="1:11" ht="216" x14ac:dyDescent="0.3">
      <c r="A6590" s="4" t="s">
        <v>9365</v>
      </c>
      <c r="B6590">
        <v>3</v>
      </c>
      <c r="C6590">
        <v>2012</v>
      </c>
      <c r="D6590" t="s">
        <v>1570</v>
      </c>
      <c r="E6590">
        <v>16</v>
      </c>
      <c r="F6590" t="s">
        <v>36588</v>
      </c>
      <c r="G6590" t="s">
        <v>36589</v>
      </c>
      <c r="H6590" s="4" t="s">
        <v>36590</v>
      </c>
      <c r="I6590" t="s">
        <v>71</v>
      </c>
      <c r="J6590" t="s">
        <v>10782</v>
      </c>
      <c r="K6590" t="s">
        <v>36591</v>
      </c>
    </row>
    <row r="6591" spans="1:11" ht="100.8" x14ac:dyDescent="0.3">
      <c r="A6591" s="4" t="s">
        <v>9366</v>
      </c>
      <c r="B6591">
        <v>3</v>
      </c>
      <c r="C6591">
        <v>2012</v>
      </c>
      <c r="D6591" t="s">
        <v>16937</v>
      </c>
      <c r="E6591">
        <v>7</v>
      </c>
      <c r="F6591" t="s">
        <v>36592</v>
      </c>
      <c r="G6591" t="s">
        <v>36593</v>
      </c>
      <c r="H6591" s="4" t="s">
        <v>36594</v>
      </c>
      <c r="I6591" t="s">
        <v>71</v>
      </c>
      <c r="J6591" t="s">
        <v>10782</v>
      </c>
      <c r="K6591" t="s">
        <v>36595</v>
      </c>
    </row>
    <row r="6592" spans="1:11" ht="158.4" x14ac:dyDescent="0.3">
      <c r="A6592" s="4" t="s">
        <v>9367</v>
      </c>
      <c r="B6592">
        <v>3</v>
      </c>
      <c r="C6592">
        <v>2012</v>
      </c>
      <c r="D6592" t="s">
        <v>217</v>
      </c>
      <c r="E6592">
        <v>13</v>
      </c>
      <c r="F6592" t="s">
        <v>36596</v>
      </c>
      <c r="G6592" t="s">
        <v>36597</v>
      </c>
      <c r="H6592" s="4" t="s">
        <v>36598</v>
      </c>
      <c r="I6592" t="s">
        <v>71</v>
      </c>
      <c r="J6592" t="s">
        <v>10782</v>
      </c>
      <c r="K6592" t="s">
        <v>36599</v>
      </c>
    </row>
    <row r="6593" spans="1:11" ht="201.6" x14ac:dyDescent="0.3">
      <c r="A6593" s="4" t="s">
        <v>9368</v>
      </c>
      <c r="B6593">
        <v>3</v>
      </c>
      <c r="C6593">
        <v>2012</v>
      </c>
      <c r="D6593" t="s">
        <v>799</v>
      </c>
      <c r="E6593">
        <v>81</v>
      </c>
      <c r="F6593" t="s">
        <v>36600</v>
      </c>
      <c r="G6593" t="s">
        <v>36601</v>
      </c>
      <c r="H6593" s="4" t="s">
        <v>36602</v>
      </c>
      <c r="I6593" t="s">
        <v>71</v>
      </c>
      <c r="J6593" t="s">
        <v>10782</v>
      </c>
      <c r="K6593" t="s">
        <v>36603</v>
      </c>
    </row>
    <row r="6594" spans="1:11" ht="144" x14ac:dyDescent="0.3">
      <c r="A6594" s="4" t="s">
        <v>9369</v>
      </c>
      <c r="B6594">
        <v>3</v>
      </c>
      <c r="C6594">
        <v>2012</v>
      </c>
      <c r="D6594" t="s">
        <v>1570</v>
      </c>
      <c r="E6594">
        <v>136</v>
      </c>
      <c r="F6594" t="s">
        <v>36604</v>
      </c>
      <c r="G6594" t="s">
        <v>36605</v>
      </c>
      <c r="H6594" s="4" t="s">
        <v>36606</v>
      </c>
      <c r="I6594" t="s">
        <v>71</v>
      </c>
      <c r="J6594" t="s">
        <v>10782</v>
      </c>
      <c r="K6594" t="s">
        <v>36607</v>
      </c>
    </row>
    <row r="6595" spans="1:11" ht="244.8" x14ac:dyDescent="0.3">
      <c r="A6595" s="4" t="s">
        <v>9370</v>
      </c>
      <c r="B6595">
        <v>3</v>
      </c>
      <c r="C6595">
        <v>2012</v>
      </c>
      <c r="D6595" t="s">
        <v>2763</v>
      </c>
      <c r="E6595">
        <v>16</v>
      </c>
      <c r="F6595" t="s">
        <v>36608</v>
      </c>
      <c r="G6595" t="s">
        <v>36609</v>
      </c>
      <c r="H6595" s="4" t="s">
        <v>36610</v>
      </c>
      <c r="I6595" t="s">
        <v>71</v>
      </c>
      <c r="J6595" t="s">
        <v>10782</v>
      </c>
      <c r="K6595" t="s">
        <v>36611</v>
      </c>
    </row>
    <row r="6596" spans="1:11" ht="201.6" x14ac:dyDescent="0.3">
      <c r="A6596" s="4" t="s">
        <v>9371</v>
      </c>
      <c r="B6596">
        <v>3</v>
      </c>
      <c r="C6596">
        <v>2012</v>
      </c>
      <c r="D6596" t="s">
        <v>1570</v>
      </c>
      <c r="E6596">
        <v>16</v>
      </c>
      <c r="F6596" t="s">
        <v>36612</v>
      </c>
      <c r="G6596" t="s">
        <v>36613</v>
      </c>
      <c r="H6596" s="4" t="s">
        <v>36614</v>
      </c>
      <c r="I6596" t="s">
        <v>10823</v>
      </c>
      <c r="J6596" t="s">
        <v>10782</v>
      </c>
      <c r="K6596" t="s">
        <v>36615</v>
      </c>
    </row>
    <row r="6597" spans="1:11" ht="172.8" x14ac:dyDescent="0.3">
      <c r="A6597" s="4" t="s">
        <v>9372</v>
      </c>
      <c r="B6597">
        <v>3</v>
      </c>
      <c r="C6597">
        <v>2012</v>
      </c>
      <c r="D6597" t="s">
        <v>33052</v>
      </c>
      <c r="E6597">
        <v>55</v>
      </c>
      <c r="F6597" t="s">
        <v>36616</v>
      </c>
      <c r="G6597" t="s">
        <v>36617</v>
      </c>
      <c r="H6597" s="4" t="s">
        <v>36618</v>
      </c>
    </row>
    <row r="6598" spans="1:11" ht="172.8" x14ac:dyDescent="0.3">
      <c r="A6598" s="4" t="s">
        <v>9373</v>
      </c>
      <c r="B6598">
        <v>3</v>
      </c>
      <c r="C6598">
        <v>2012</v>
      </c>
      <c r="D6598" t="s">
        <v>27619</v>
      </c>
      <c r="E6598">
        <v>12</v>
      </c>
      <c r="F6598" t="s">
        <v>36619</v>
      </c>
      <c r="G6598" t="s">
        <v>36620</v>
      </c>
      <c r="H6598" s="4" t="s">
        <v>36621</v>
      </c>
    </row>
    <row r="6599" spans="1:11" ht="216" x14ac:dyDescent="0.3">
      <c r="A6599" s="4" t="s">
        <v>2104</v>
      </c>
      <c r="B6599">
        <v>1</v>
      </c>
      <c r="C6599">
        <v>2012</v>
      </c>
      <c r="D6599" t="s">
        <v>550</v>
      </c>
      <c r="E6599">
        <v>62</v>
      </c>
      <c r="F6599" t="s">
        <v>36622</v>
      </c>
      <c r="G6599" t="s">
        <v>36623</v>
      </c>
      <c r="H6599" s="4" t="s">
        <v>36624</v>
      </c>
      <c r="I6599" t="s">
        <v>71</v>
      </c>
      <c r="J6599" t="s">
        <v>10782</v>
      </c>
      <c r="K6599" t="s">
        <v>36625</v>
      </c>
    </row>
    <row r="6600" spans="1:11" ht="115.2" x14ac:dyDescent="0.3">
      <c r="A6600" s="4" t="s">
        <v>9374</v>
      </c>
      <c r="B6600">
        <v>3</v>
      </c>
      <c r="C6600">
        <v>2011</v>
      </c>
      <c r="D6600" t="s">
        <v>34235</v>
      </c>
      <c r="E6600">
        <v>3</v>
      </c>
      <c r="F6600" t="s">
        <v>36626</v>
      </c>
      <c r="G6600" t="s">
        <v>36627</v>
      </c>
      <c r="H6600" s="4" t="s">
        <v>36628</v>
      </c>
      <c r="I6600" t="s">
        <v>71</v>
      </c>
      <c r="J6600" t="s">
        <v>10782</v>
      </c>
      <c r="K6600" t="s">
        <v>36629</v>
      </c>
    </row>
    <row r="6601" spans="1:11" ht="129.6" x14ac:dyDescent="0.3">
      <c r="A6601" s="4" t="s">
        <v>9375</v>
      </c>
      <c r="B6601">
        <v>3</v>
      </c>
      <c r="C6601">
        <v>2011</v>
      </c>
      <c r="D6601" t="s">
        <v>36630</v>
      </c>
      <c r="E6601">
        <v>3</v>
      </c>
      <c r="G6601" t="s">
        <v>36631</v>
      </c>
      <c r="H6601" s="4" t="s">
        <v>36632</v>
      </c>
      <c r="I6601" s="4" t="s">
        <v>71</v>
      </c>
      <c r="J6601" t="s">
        <v>10782</v>
      </c>
      <c r="K6601" t="s">
        <v>36633</v>
      </c>
    </row>
    <row r="6602" spans="1:11" ht="144" x14ac:dyDescent="0.3">
      <c r="A6602" s="4" t="s">
        <v>9376</v>
      </c>
      <c r="B6602">
        <v>3</v>
      </c>
      <c r="C6602">
        <v>2011</v>
      </c>
      <c r="D6602" t="s">
        <v>217</v>
      </c>
      <c r="E6602">
        <v>7</v>
      </c>
      <c r="F6602" t="s">
        <v>36634</v>
      </c>
      <c r="G6602" t="s">
        <v>36635</v>
      </c>
      <c r="H6602" s="4" t="s">
        <v>36636</v>
      </c>
      <c r="I6602" t="s">
        <v>71</v>
      </c>
      <c r="J6602" t="s">
        <v>10782</v>
      </c>
      <c r="K6602" t="s">
        <v>36637</v>
      </c>
    </row>
    <row r="6603" spans="1:11" ht="216" x14ac:dyDescent="0.3">
      <c r="A6603" s="4" t="s">
        <v>9377</v>
      </c>
      <c r="B6603">
        <v>3</v>
      </c>
      <c r="C6603">
        <v>2011</v>
      </c>
      <c r="D6603" t="s">
        <v>217</v>
      </c>
      <c r="E6603">
        <v>32</v>
      </c>
      <c r="F6603" t="s">
        <v>36638</v>
      </c>
      <c r="G6603" t="s">
        <v>36639</v>
      </c>
      <c r="H6603" s="4" t="s">
        <v>36640</v>
      </c>
      <c r="I6603" t="s">
        <v>71</v>
      </c>
      <c r="J6603" t="s">
        <v>10782</v>
      </c>
      <c r="K6603" t="s">
        <v>36641</v>
      </c>
    </row>
    <row r="6604" spans="1:11" ht="172.8" x14ac:dyDescent="0.3">
      <c r="A6604" s="4" t="s">
        <v>9378</v>
      </c>
      <c r="B6604">
        <v>3</v>
      </c>
      <c r="C6604">
        <v>2011</v>
      </c>
      <c r="D6604" t="s">
        <v>637</v>
      </c>
      <c r="E6604">
        <v>56</v>
      </c>
      <c r="F6604" t="s">
        <v>36642</v>
      </c>
      <c r="G6604" t="s">
        <v>36643</v>
      </c>
      <c r="H6604" s="4" t="s">
        <v>36644</v>
      </c>
      <c r="I6604" t="s">
        <v>71</v>
      </c>
      <c r="J6604" t="s">
        <v>10782</v>
      </c>
      <c r="K6604" t="s">
        <v>36645</v>
      </c>
    </row>
    <row r="6605" spans="1:11" ht="172.8" x14ac:dyDescent="0.3">
      <c r="A6605" s="4" t="s">
        <v>9379</v>
      </c>
      <c r="B6605">
        <v>3</v>
      </c>
      <c r="C6605">
        <v>2011</v>
      </c>
      <c r="D6605" t="s">
        <v>11984</v>
      </c>
      <c r="E6605">
        <v>2</v>
      </c>
      <c r="F6605" t="s">
        <v>36646</v>
      </c>
      <c r="G6605" t="s">
        <v>36647</v>
      </c>
      <c r="H6605" s="4" t="s">
        <v>36648</v>
      </c>
      <c r="I6605" t="s">
        <v>71</v>
      </c>
      <c r="J6605" t="s">
        <v>10782</v>
      </c>
      <c r="K6605" t="s">
        <v>36649</v>
      </c>
    </row>
    <row r="6606" spans="1:11" ht="115.2" x14ac:dyDescent="0.3">
      <c r="A6606" s="4" t="s">
        <v>3663</v>
      </c>
      <c r="B6606">
        <v>2</v>
      </c>
      <c r="C6606">
        <v>2011</v>
      </c>
      <c r="D6606" t="s">
        <v>2282</v>
      </c>
      <c r="E6606">
        <v>39</v>
      </c>
      <c r="F6606" t="s">
        <v>36650</v>
      </c>
      <c r="G6606" t="s">
        <v>36651</v>
      </c>
      <c r="H6606" s="4" t="s">
        <v>36652</v>
      </c>
    </row>
    <row r="6607" spans="1:11" ht="129.6" x14ac:dyDescent="0.3">
      <c r="A6607" s="4" t="s">
        <v>9380</v>
      </c>
      <c r="B6607">
        <v>3</v>
      </c>
      <c r="C6607">
        <v>2011</v>
      </c>
      <c r="D6607" t="s">
        <v>2030</v>
      </c>
      <c r="E6607">
        <v>121</v>
      </c>
      <c r="F6607" t="s">
        <v>36653</v>
      </c>
      <c r="G6607" t="s">
        <v>36654</v>
      </c>
      <c r="H6607" s="4" t="s">
        <v>36655</v>
      </c>
    </row>
    <row r="6608" spans="1:11" ht="100.8" x14ac:dyDescent="0.3">
      <c r="A6608" s="4" t="s">
        <v>9381</v>
      </c>
      <c r="B6608">
        <v>3</v>
      </c>
      <c r="C6608">
        <v>2011</v>
      </c>
      <c r="D6608" t="s">
        <v>36656</v>
      </c>
      <c r="E6608">
        <v>0</v>
      </c>
      <c r="G6608" t="s">
        <v>36657</v>
      </c>
      <c r="H6608" s="4" t="s">
        <v>36658</v>
      </c>
      <c r="I6608" s="4" t="s">
        <v>10823</v>
      </c>
      <c r="J6608" t="s">
        <v>10782</v>
      </c>
      <c r="K6608" t="s">
        <v>36659</v>
      </c>
    </row>
    <row r="6609" spans="1:11" ht="28.8" x14ac:dyDescent="0.3">
      <c r="A6609" s="4" t="s">
        <v>9382</v>
      </c>
      <c r="B6609">
        <v>3</v>
      </c>
      <c r="C6609">
        <v>2011</v>
      </c>
      <c r="D6609" t="s">
        <v>34235</v>
      </c>
      <c r="E6609">
        <v>2</v>
      </c>
      <c r="F6609" t="s">
        <v>36660</v>
      </c>
      <c r="G6609" t="s">
        <v>36661</v>
      </c>
      <c r="H6609" s="4" t="s">
        <v>36662</v>
      </c>
    </row>
    <row r="6610" spans="1:11" ht="172.8" x14ac:dyDescent="0.3">
      <c r="A6610" s="4" t="s">
        <v>9383</v>
      </c>
      <c r="B6610">
        <v>3</v>
      </c>
      <c r="C6610">
        <v>2011</v>
      </c>
      <c r="D6610" t="s">
        <v>10924</v>
      </c>
      <c r="E6610">
        <v>31</v>
      </c>
      <c r="F6610" t="s">
        <v>36663</v>
      </c>
      <c r="G6610" t="s">
        <v>36664</v>
      </c>
      <c r="H6610" s="4" t="s">
        <v>36665</v>
      </c>
    </row>
    <row r="6611" spans="1:11" ht="115.2" x14ac:dyDescent="0.3">
      <c r="A6611" s="4" t="s">
        <v>9384</v>
      </c>
      <c r="B6611">
        <v>3</v>
      </c>
      <c r="C6611">
        <v>2011</v>
      </c>
      <c r="D6611" t="s">
        <v>385</v>
      </c>
      <c r="E6611">
        <v>184</v>
      </c>
      <c r="F6611" t="s">
        <v>36666</v>
      </c>
      <c r="G6611" t="s">
        <v>36667</v>
      </c>
      <c r="H6611" s="4" t="s">
        <v>36668</v>
      </c>
      <c r="I6611" t="s">
        <v>71</v>
      </c>
      <c r="J6611" t="s">
        <v>10782</v>
      </c>
      <c r="K6611" t="s">
        <v>36669</v>
      </c>
    </row>
    <row r="6612" spans="1:11" ht="28.8" x14ac:dyDescent="0.3">
      <c r="A6612" s="4" t="s">
        <v>9385</v>
      </c>
      <c r="B6612">
        <v>3</v>
      </c>
      <c r="C6612">
        <v>2011</v>
      </c>
      <c r="D6612" t="s">
        <v>637</v>
      </c>
      <c r="E6612">
        <v>39</v>
      </c>
      <c r="F6612" t="s">
        <v>36670</v>
      </c>
      <c r="G6612" t="s">
        <v>36671</v>
      </c>
      <c r="H6612" s="4" t="s">
        <v>36672</v>
      </c>
    </row>
    <row r="6613" spans="1:11" ht="158.4" x14ac:dyDescent="0.3">
      <c r="A6613" s="4" t="s">
        <v>9386</v>
      </c>
      <c r="B6613">
        <v>3</v>
      </c>
      <c r="C6613">
        <v>2011</v>
      </c>
      <c r="D6613" t="s">
        <v>11674</v>
      </c>
      <c r="E6613">
        <v>40</v>
      </c>
      <c r="F6613" t="s">
        <v>36673</v>
      </c>
      <c r="G6613" t="s">
        <v>36674</v>
      </c>
      <c r="H6613" s="4" t="s">
        <v>36675</v>
      </c>
      <c r="I6613" t="s">
        <v>71</v>
      </c>
      <c r="J6613" t="s">
        <v>10782</v>
      </c>
      <c r="K6613" t="s">
        <v>36676</v>
      </c>
    </row>
    <row r="6614" spans="1:11" ht="144" x14ac:dyDescent="0.3">
      <c r="A6614" s="4" t="s">
        <v>9387</v>
      </c>
      <c r="B6614">
        <v>3</v>
      </c>
      <c r="C6614">
        <v>2011</v>
      </c>
      <c r="D6614" t="s">
        <v>33788</v>
      </c>
      <c r="E6614">
        <v>50</v>
      </c>
      <c r="F6614" t="s">
        <v>36677</v>
      </c>
      <c r="G6614" t="s">
        <v>36678</v>
      </c>
      <c r="H6614" s="4" t="s">
        <v>36679</v>
      </c>
      <c r="I6614" t="s">
        <v>71</v>
      </c>
      <c r="J6614" t="s">
        <v>10782</v>
      </c>
      <c r="K6614" t="s">
        <v>36680</v>
      </c>
    </row>
    <row r="6615" spans="1:11" ht="115.2" x14ac:dyDescent="0.3">
      <c r="A6615" s="4" t="s">
        <v>3664</v>
      </c>
      <c r="B6615">
        <v>2</v>
      </c>
      <c r="C6615">
        <v>2011</v>
      </c>
      <c r="D6615" t="s">
        <v>2282</v>
      </c>
      <c r="E6615">
        <v>48</v>
      </c>
      <c r="F6615" t="s">
        <v>36681</v>
      </c>
      <c r="G6615" t="s">
        <v>36682</v>
      </c>
      <c r="H6615" s="4" t="s">
        <v>36683</v>
      </c>
    </row>
    <row r="6616" spans="1:11" ht="201.6" x14ac:dyDescent="0.3">
      <c r="A6616" s="4" t="s">
        <v>9388</v>
      </c>
      <c r="B6616">
        <v>3</v>
      </c>
      <c r="C6616">
        <v>2011</v>
      </c>
      <c r="D6616" t="s">
        <v>1570</v>
      </c>
      <c r="E6616">
        <v>127</v>
      </c>
      <c r="F6616" t="s">
        <v>36684</v>
      </c>
      <c r="G6616" t="s">
        <v>36685</v>
      </c>
      <c r="H6616" s="4" t="s">
        <v>36686</v>
      </c>
      <c r="I6616" t="s">
        <v>71</v>
      </c>
      <c r="J6616" t="s">
        <v>10782</v>
      </c>
      <c r="K6616" t="s">
        <v>36687</v>
      </c>
    </row>
    <row r="6617" spans="1:11" ht="187.2" x14ac:dyDescent="0.3">
      <c r="A6617" s="4" t="s">
        <v>2105</v>
      </c>
      <c r="B6617">
        <v>1</v>
      </c>
      <c r="C6617">
        <v>2011</v>
      </c>
      <c r="D6617" t="s">
        <v>550</v>
      </c>
      <c r="E6617">
        <v>35</v>
      </c>
      <c r="F6617" t="s">
        <v>36688</v>
      </c>
      <c r="G6617" t="s">
        <v>36689</v>
      </c>
      <c r="H6617" s="4" t="s">
        <v>36690</v>
      </c>
      <c r="I6617" t="s">
        <v>71</v>
      </c>
      <c r="J6617" t="s">
        <v>10782</v>
      </c>
      <c r="K6617" t="s">
        <v>36691</v>
      </c>
    </row>
    <row r="6618" spans="1:11" ht="129.6" x14ac:dyDescent="0.3">
      <c r="A6618" s="4" t="s">
        <v>9389</v>
      </c>
      <c r="B6618">
        <v>3</v>
      </c>
      <c r="C6618">
        <v>2011</v>
      </c>
      <c r="D6618" t="s">
        <v>12318</v>
      </c>
      <c r="E6618">
        <v>70</v>
      </c>
      <c r="F6618" t="s">
        <v>36692</v>
      </c>
      <c r="G6618" t="s">
        <v>36693</v>
      </c>
      <c r="H6618" s="4" t="s">
        <v>36694</v>
      </c>
      <c r="I6618" t="s">
        <v>71</v>
      </c>
      <c r="J6618" t="s">
        <v>10782</v>
      </c>
      <c r="K6618" t="s">
        <v>36695</v>
      </c>
    </row>
    <row r="6619" spans="1:11" ht="316.8" x14ac:dyDescent="0.3">
      <c r="A6619" s="4" t="s">
        <v>9390</v>
      </c>
      <c r="B6619">
        <v>3</v>
      </c>
      <c r="C6619">
        <v>2011</v>
      </c>
      <c r="D6619" t="s">
        <v>15454</v>
      </c>
      <c r="E6619">
        <v>25</v>
      </c>
      <c r="F6619" t="s">
        <v>36696</v>
      </c>
      <c r="G6619" t="s">
        <v>36697</v>
      </c>
      <c r="H6619" s="4" t="s">
        <v>36698</v>
      </c>
      <c r="I6619" t="s">
        <v>71</v>
      </c>
      <c r="J6619" t="s">
        <v>10782</v>
      </c>
      <c r="K6619" t="s">
        <v>36699</v>
      </c>
    </row>
    <row r="6620" spans="1:11" ht="100.8" x14ac:dyDescent="0.3">
      <c r="A6620" s="4" t="s">
        <v>9391</v>
      </c>
      <c r="B6620">
        <v>3</v>
      </c>
      <c r="C6620">
        <v>2011</v>
      </c>
      <c r="D6620" t="s">
        <v>329</v>
      </c>
      <c r="E6620">
        <v>77</v>
      </c>
      <c r="F6620" t="s">
        <v>36700</v>
      </c>
      <c r="G6620" t="s">
        <v>36701</v>
      </c>
      <c r="H6620" s="4" t="s">
        <v>36702</v>
      </c>
    </row>
    <row r="6621" spans="1:11" ht="158.4" x14ac:dyDescent="0.3">
      <c r="A6621" s="4" t="s">
        <v>9392</v>
      </c>
      <c r="B6621">
        <v>3</v>
      </c>
      <c r="C6621">
        <v>2011</v>
      </c>
      <c r="D6621" t="s">
        <v>36703</v>
      </c>
      <c r="E6621">
        <v>1</v>
      </c>
      <c r="F6621" t="s">
        <v>36704</v>
      </c>
      <c r="G6621" t="s">
        <v>36705</v>
      </c>
      <c r="H6621" s="4" t="s">
        <v>36706</v>
      </c>
      <c r="I6621" t="s">
        <v>71</v>
      </c>
      <c r="J6621" t="s">
        <v>10782</v>
      </c>
      <c r="K6621" t="s">
        <v>36707</v>
      </c>
    </row>
    <row r="6622" spans="1:11" ht="259.2" x14ac:dyDescent="0.3">
      <c r="A6622" s="4" t="s">
        <v>9393</v>
      </c>
      <c r="B6622">
        <v>3</v>
      </c>
      <c r="C6622">
        <v>2011</v>
      </c>
      <c r="D6622" t="s">
        <v>13951</v>
      </c>
      <c r="E6622">
        <v>75</v>
      </c>
      <c r="F6622" t="s">
        <v>36708</v>
      </c>
      <c r="G6622" t="s">
        <v>36709</v>
      </c>
      <c r="H6622" s="4" t="s">
        <v>36710</v>
      </c>
      <c r="I6622" t="s">
        <v>71</v>
      </c>
      <c r="J6622" t="s">
        <v>10782</v>
      </c>
      <c r="K6622" t="s">
        <v>36711</v>
      </c>
    </row>
    <row r="6623" spans="1:11" ht="158.4" x14ac:dyDescent="0.3">
      <c r="A6623" s="4" t="s">
        <v>9394</v>
      </c>
      <c r="B6623">
        <v>3</v>
      </c>
      <c r="C6623">
        <v>2011</v>
      </c>
      <c r="D6623" t="s">
        <v>217</v>
      </c>
      <c r="E6623">
        <v>40</v>
      </c>
      <c r="F6623" t="s">
        <v>36712</v>
      </c>
      <c r="G6623" t="s">
        <v>36713</v>
      </c>
      <c r="H6623" s="4" t="s">
        <v>36714</v>
      </c>
      <c r="I6623" t="s">
        <v>71</v>
      </c>
      <c r="J6623" t="s">
        <v>10782</v>
      </c>
      <c r="K6623" t="s">
        <v>36715</v>
      </c>
    </row>
    <row r="6624" spans="1:11" ht="187.2" x14ac:dyDescent="0.3">
      <c r="A6624" s="4" t="s">
        <v>9395</v>
      </c>
      <c r="B6624">
        <v>3</v>
      </c>
      <c r="C6624">
        <v>2011</v>
      </c>
      <c r="D6624" t="s">
        <v>36716</v>
      </c>
      <c r="E6624">
        <v>92</v>
      </c>
      <c r="F6624" t="s">
        <v>36717</v>
      </c>
      <c r="G6624" t="s">
        <v>36718</v>
      </c>
      <c r="H6624" s="4" t="s">
        <v>36719</v>
      </c>
      <c r="I6624" t="s">
        <v>71</v>
      </c>
      <c r="J6624" t="s">
        <v>10782</v>
      </c>
      <c r="K6624" t="s">
        <v>36720</v>
      </c>
    </row>
    <row r="6625" spans="1:11" ht="129.6" x14ac:dyDescent="0.3">
      <c r="A6625" s="4" t="s">
        <v>9396</v>
      </c>
      <c r="B6625">
        <v>3</v>
      </c>
      <c r="C6625">
        <v>2011</v>
      </c>
      <c r="D6625" t="s">
        <v>432</v>
      </c>
      <c r="E6625">
        <v>42</v>
      </c>
      <c r="F6625" t="s">
        <v>36721</v>
      </c>
      <c r="G6625" t="s">
        <v>36722</v>
      </c>
      <c r="H6625" s="4" t="s">
        <v>36723</v>
      </c>
      <c r="I6625" t="s">
        <v>71</v>
      </c>
      <c r="J6625" t="s">
        <v>10782</v>
      </c>
      <c r="K6625" t="s">
        <v>36724</v>
      </c>
    </row>
    <row r="6626" spans="1:11" ht="187.2" x14ac:dyDescent="0.3">
      <c r="A6626" s="4" t="s">
        <v>9397</v>
      </c>
      <c r="B6626">
        <v>3</v>
      </c>
      <c r="C6626">
        <v>2011</v>
      </c>
      <c r="D6626" t="s">
        <v>2585</v>
      </c>
      <c r="E6626">
        <v>62</v>
      </c>
      <c r="F6626" t="s">
        <v>36725</v>
      </c>
      <c r="G6626" t="s">
        <v>36726</v>
      </c>
      <c r="H6626" s="4" t="s">
        <v>36727</v>
      </c>
      <c r="I6626" t="s">
        <v>71</v>
      </c>
      <c r="J6626" t="s">
        <v>10782</v>
      </c>
      <c r="K6626" t="s">
        <v>36728</v>
      </c>
    </row>
    <row r="6627" spans="1:11" ht="259.2" x14ac:dyDescent="0.3">
      <c r="A6627" s="4" t="s">
        <v>9398</v>
      </c>
      <c r="B6627">
        <v>3</v>
      </c>
      <c r="C6627">
        <v>2011</v>
      </c>
      <c r="D6627" t="s">
        <v>2742</v>
      </c>
      <c r="E6627">
        <v>65</v>
      </c>
      <c r="F6627" t="s">
        <v>36729</v>
      </c>
      <c r="G6627" t="s">
        <v>36730</v>
      </c>
      <c r="H6627" s="4" t="s">
        <v>36731</v>
      </c>
      <c r="I6627" t="s">
        <v>71</v>
      </c>
      <c r="J6627" t="s">
        <v>10782</v>
      </c>
      <c r="K6627" t="s">
        <v>36732</v>
      </c>
    </row>
    <row r="6628" spans="1:11" ht="144" x14ac:dyDescent="0.3">
      <c r="A6628" s="4" t="s">
        <v>9399</v>
      </c>
      <c r="B6628">
        <v>3</v>
      </c>
      <c r="C6628">
        <v>2011</v>
      </c>
      <c r="D6628" t="s">
        <v>11728</v>
      </c>
      <c r="E6628">
        <v>1</v>
      </c>
      <c r="F6628" t="s">
        <v>36733</v>
      </c>
      <c r="G6628" t="s">
        <v>36734</v>
      </c>
      <c r="H6628" s="4" t="s">
        <v>36735</v>
      </c>
    </row>
    <row r="6629" spans="1:11" ht="129.6" x14ac:dyDescent="0.3">
      <c r="A6629" s="4" t="s">
        <v>9400</v>
      </c>
      <c r="B6629">
        <v>3</v>
      </c>
      <c r="C6629">
        <v>2011</v>
      </c>
      <c r="D6629" t="s">
        <v>34754</v>
      </c>
      <c r="E6629">
        <v>62</v>
      </c>
      <c r="F6629" t="s">
        <v>36736</v>
      </c>
      <c r="G6629" t="s">
        <v>36737</v>
      </c>
      <c r="H6629" s="4" t="s">
        <v>36738</v>
      </c>
      <c r="I6629" t="s">
        <v>71</v>
      </c>
      <c r="J6629" t="s">
        <v>10782</v>
      </c>
      <c r="K6629" t="s">
        <v>36739</v>
      </c>
    </row>
    <row r="6630" spans="1:11" ht="172.8" x14ac:dyDescent="0.3">
      <c r="A6630" s="4" t="s">
        <v>9401</v>
      </c>
      <c r="B6630">
        <v>3</v>
      </c>
      <c r="C6630">
        <v>2011</v>
      </c>
      <c r="D6630" t="s">
        <v>217</v>
      </c>
      <c r="E6630">
        <v>30</v>
      </c>
      <c r="F6630" t="s">
        <v>36740</v>
      </c>
      <c r="G6630" t="s">
        <v>36741</v>
      </c>
      <c r="H6630" s="4" t="s">
        <v>36742</v>
      </c>
      <c r="I6630" t="s">
        <v>71</v>
      </c>
      <c r="J6630" t="s">
        <v>10782</v>
      </c>
      <c r="K6630" t="s">
        <v>36743</v>
      </c>
    </row>
    <row r="6631" spans="1:11" ht="144" x14ac:dyDescent="0.3">
      <c r="A6631" s="4" t="s">
        <v>9402</v>
      </c>
      <c r="B6631">
        <v>3</v>
      </c>
      <c r="C6631">
        <v>2011</v>
      </c>
      <c r="D6631" t="s">
        <v>329</v>
      </c>
      <c r="E6631">
        <v>29</v>
      </c>
      <c r="F6631" t="s">
        <v>36744</v>
      </c>
      <c r="G6631" t="s">
        <v>36745</v>
      </c>
      <c r="H6631" s="4" t="s">
        <v>36746</v>
      </c>
      <c r="I6631" t="s">
        <v>71</v>
      </c>
      <c r="J6631" t="s">
        <v>10782</v>
      </c>
      <c r="K6631" t="s">
        <v>36747</v>
      </c>
    </row>
    <row r="6632" spans="1:11" ht="144" x14ac:dyDescent="0.3">
      <c r="A6632" s="4" t="s">
        <v>9403</v>
      </c>
      <c r="B6632">
        <v>3</v>
      </c>
      <c r="C6632">
        <v>2011</v>
      </c>
      <c r="D6632" t="s">
        <v>282</v>
      </c>
      <c r="E6632">
        <v>20</v>
      </c>
      <c r="F6632" t="s">
        <v>36748</v>
      </c>
      <c r="G6632" t="s">
        <v>36749</v>
      </c>
      <c r="H6632" s="4" t="s">
        <v>36750</v>
      </c>
      <c r="I6632" t="s">
        <v>71</v>
      </c>
      <c r="J6632" t="s">
        <v>10782</v>
      </c>
      <c r="K6632" t="s">
        <v>36751</v>
      </c>
    </row>
    <row r="6633" spans="1:11" ht="72" x14ac:dyDescent="0.3">
      <c r="A6633" s="4" t="s">
        <v>9404</v>
      </c>
      <c r="B6633">
        <v>3</v>
      </c>
      <c r="C6633">
        <v>2011</v>
      </c>
      <c r="D6633" t="s">
        <v>10057</v>
      </c>
      <c r="E6633">
        <v>14</v>
      </c>
      <c r="F6633" t="s">
        <v>36752</v>
      </c>
      <c r="G6633" t="s">
        <v>36753</v>
      </c>
      <c r="H6633" s="4" t="s">
        <v>36754</v>
      </c>
      <c r="I6633" t="s">
        <v>71</v>
      </c>
      <c r="J6633" t="s">
        <v>10782</v>
      </c>
      <c r="K6633" t="s">
        <v>36755</v>
      </c>
    </row>
    <row r="6634" spans="1:11" ht="172.8" x14ac:dyDescent="0.3">
      <c r="A6634" s="4" t="s">
        <v>9405</v>
      </c>
      <c r="B6634">
        <v>3</v>
      </c>
      <c r="C6634">
        <v>2011</v>
      </c>
      <c r="D6634" t="s">
        <v>35678</v>
      </c>
      <c r="E6634">
        <v>26</v>
      </c>
      <c r="F6634" t="s">
        <v>36756</v>
      </c>
      <c r="G6634" t="s">
        <v>36757</v>
      </c>
      <c r="H6634" s="4" t="s">
        <v>36758</v>
      </c>
      <c r="I6634" t="s">
        <v>71</v>
      </c>
      <c r="J6634" t="s">
        <v>10782</v>
      </c>
      <c r="K6634" t="s">
        <v>36759</v>
      </c>
    </row>
    <row r="6635" spans="1:11" ht="144" x14ac:dyDescent="0.3">
      <c r="A6635" s="4" t="s">
        <v>9406</v>
      </c>
      <c r="B6635">
        <v>3</v>
      </c>
      <c r="C6635">
        <v>2011</v>
      </c>
      <c r="D6635" t="s">
        <v>550</v>
      </c>
      <c r="E6635">
        <v>4</v>
      </c>
      <c r="F6635" t="s">
        <v>36760</v>
      </c>
      <c r="G6635" t="s">
        <v>36761</v>
      </c>
      <c r="H6635" s="4" t="s">
        <v>36762</v>
      </c>
      <c r="I6635" t="s">
        <v>71</v>
      </c>
      <c r="J6635" t="s">
        <v>10782</v>
      </c>
      <c r="K6635" t="s">
        <v>36763</v>
      </c>
    </row>
    <row r="6636" spans="1:11" ht="86.4" x14ac:dyDescent="0.3">
      <c r="A6636" s="4" t="s">
        <v>9407</v>
      </c>
      <c r="B6636">
        <v>3</v>
      </c>
      <c r="C6636">
        <v>2011</v>
      </c>
      <c r="D6636" t="s">
        <v>1015</v>
      </c>
      <c r="E6636">
        <v>7</v>
      </c>
      <c r="G6636" t="s">
        <v>36764</v>
      </c>
      <c r="H6636" s="4" t="s">
        <v>36765</v>
      </c>
      <c r="I6636" s="4" t="s">
        <v>71</v>
      </c>
      <c r="J6636" t="s">
        <v>10782</v>
      </c>
      <c r="K6636" t="s">
        <v>36766</v>
      </c>
    </row>
    <row r="6637" spans="1:11" ht="158.4" x14ac:dyDescent="0.3">
      <c r="A6637" s="4" t="s">
        <v>9408</v>
      </c>
      <c r="B6637">
        <v>3</v>
      </c>
      <c r="C6637">
        <v>2011</v>
      </c>
      <c r="D6637" t="s">
        <v>1841</v>
      </c>
      <c r="E6637">
        <v>14</v>
      </c>
      <c r="F6637" t="s">
        <v>36767</v>
      </c>
      <c r="G6637" t="s">
        <v>36768</v>
      </c>
      <c r="H6637" s="4" t="s">
        <v>36769</v>
      </c>
      <c r="I6637" t="s">
        <v>71</v>
      </c>
      <c r="J6637" t="s">
        <v>10782</v>
      </c>
      <c r="K6637" t="s">
        <v>36770</v>
      </c>
    </row>
    <row r="6638" spans="1:11" ht="158.4" x14ac:dyDescent="0.3">
      <c r="A6638" s="4" t="s">
        <v>9409</v>
      </c>
      <c r="B6638">
        <v>3</v>
      </c>
      <c r="C6638">
        <v>2011</v>
      </c>
      <c r="D6638" t="s">
        <v>14736</v>
      </c>
      <c r="E6638">
        <v>9</v>
      </c>
      <c r="F6638" t="s">
        <v>36771</v>
      </c>
      <c r="G6638" t="s">
        <v>36772</v>
      </c>
      <c r="H6638" s="4" t="s">
        <v>36773</v>
      </c>
      <c r="I6638" t="s">
        <v>71</v>
      </c>
      <c r="J6638" t="s">
        <v>10782</v>
      </c>
      <c r="K6638" t="s">
        <v>36774</v>
      </c>
    </row>
    <row r="6639" spans="1:11" ht="129.6" x14ac:dyDescent="0.3">
      <c r="A6639" s="4" t="s">
        <v>9410</v>
      </c>
      <c r="B6639">
        <v>3</v>
      </c>
      <c r="C6639">
        <v>2011</v>
      </c>
      <c r="D6639" t="s">
        <v>11728</v>
      </c>
      <c r="E6639">
        <v>15</v>
      </c>
      <c r="F6639" t="s">
        <v>36775</v>
      </c>
      <c r="G6639" t="s">
        <v>36776</v>
      </c>
      <c r="H6639" s="4" t="s">
        <v>36777</v>
      </c>
      <c r="I6639" t="s">
        <v>71</v>
      </c>
      <c r="J6639" t="s">
        <v>10782</v>
      </c>
      <c r="K6639" t="s">
        <v>36778</v>
      </c>
    </row>
    <row r="6640" spans="1:11" ht="28.8" x14ac:dyDescent="0.3">
      <c r="A6640" s="4" t="s">
        <v>9411</v>
      </c>
      <c r="B6640">
        <v>3</v>
      </c>
      <c r="C6640">
        <v>2011</v>
      </c>
      <c r="D6640" t="s">
        <v>33940</v>
      </c>
      <c r="E6640">
        <v>1</v>
      </c>
      <c r="F6640" t="s">
        <v>36779</v>
      </c>
      <c r="G6640" t="s">
        <v>36780</v>
      </c>
    </row>
    <row r="6641" spans="1:11" ht="172.8" x14ac:dyDescent="0.3">
      <c r="A6641" s="4" t="s">
        <v>9412</v>
      </c>
      <c r="B6641">
        <v>3</v>
      </c>
      <c r="C6641">
        <v>2011</v>
      </c>
      <c r="D6641" t="s">
        <v>83</v>
      </c>
      <c r="E6641">
        <v>17</v>
      </c>
      <c r="F6641" t="s">
        <v>36781</v>
      </c>
      <c r="G6641" t="s">
        <v>36782</v>
      </c>
      <c r="H6641" s="4" t="s">
        <v>36783</v>
      </c>
      <c r="I6641" t="s">
        <v>71</v>
      </c>
      <c r="J6641" t="s">
        <v>10782</v>
      </c>
      <c r="K6641" t="s">
        <v>36784</v>
      </c>
    </row>
    <row r="6642" spans="1:11" ht="28.8" x14ac:dyDescent="0.3">
      <c r="A6642" s="4" t="s">
        <v>9413</v>
      </c>
      <c r="B6642">
        <v>3</v>
      </c>
      <c r="C6642">
        <v>2011</v>
      </c>
      <c r="D6642" t="s">
        <v>33193</v>
      </c>
      <c r="E6642">
        <v>0</v>
      </c>
      <c r="F6642" t="s">
        <v>36785</v>
      </c>
      <c r="G6642" t="s">
        <v>36786</v>
      </c>
      <c r="H6642" s="4" t="s">
        <v>71</v>
      </c>
      <c r="I6642" t="s">
        <v>10782</v>
      </c>
      <c r="J6642" t="s">
        <v>36787</v>
      </c>
    </row>
    <row r="6643" spans="1:11" ht="100.8" x14ac:dyDescent="0.3">
      <c r="A6643" s="4" t="s">
        <v>9414</v>
      </c>
      <c r="B6643">
        <v>3</v>
      </c>
      <c r="C6643">
        <v>2011</v>
      </c>
      <c r="D6643" t="s">
        <v>26454</v>
      </c>
      <c r="E6643">
        <v>7</v>
      </c>
      <c r="F6643" t="s">
        <v>36788</v>
      </c>
      <c r="G6643" t="s">
        <v>36789</v>
      </c>
      <c r="H6643" s="4" t="s">
        <v>36790</v>
      </c>
      <c r="I6643" t="s">
        <v>10823</v>
      </c>
      <c r="J6643" t="s">
        <v>10782</v>
      </c>
      <c r="K6643" t="s">
        <v>36791</v>
      </c>
    </row>
    <row r="6644" spans="1:11" ht="86.4" x14ac:dyDescent="0.3">
      <c r="A6644" s="4" t="s">
        <v>9415</v>
      </c>
      <c r="B6644">
        <v>3</v>
      </c>
      <c r="C6644">
        <v>2011</v>
      </c>
      <c r="D6644" t="s">
        <v>10924</v>
      </c>
      <c r="E6644">
        <v>9</v>
      </c>
      <c r="F6644" t="s">
        <v>36792</v>
      </c>
      <c r="G6644" t="s">
        <v>36793</v>
      </c>
      <c r="H6644" s="4" t="s">
        <v>36794</v>
      </c>
      <c r="I6644" t="s">
        <v>71</v>
      </c>
      <c r="J6644" t="s">
        <v>10782</v>
      </c>
      <c r="K6644" t="s">
        <v>36795</v>
      </c>
    </row>
    <row r="6645" spans="1:11" ht="187.2" x14ac:dyDescent="0.3">
      <c r="A6645" s="4" t="s">
        <v>9416</v>
      </c>
      <c r="B6645">
        <v>3</v>
      </c>
      <c r="C6645">
        <v>2011</v>
      </c>
      <c r="D6645" t="s">
        <v>1746</v>
      </c>
      <c r="E6645">
        <v>119</v>
      </c>
      <c r="F6645" t="s">
        <v>36796</v>
      </c>
      <c r="G6645" t="s">
        <v>36797</v>
      </c>
      <c r="H6645" s="4" t="s">
        <v>36798</v>
      </c>
      <c r="I6645" t="s">
        <v>71</v>
      </c>
      <c r="J6645" t="s">
        <v>10782</v>
      </c>
      <c r="K6645" t="s">
        <v>36799</v>
      </c>
    </row>
    <row r="6646" spans="1:11" ht="129.6" x14ac:dyDescent="0.3">
      <c r="A6646" s="4" t="s">
        <v>9417</v>
      </c>
      <c r="B6646">
        <v>3</v>
      </c>
      <c r="C6646">
        <v>2011</v>
      </c>
      <c r="D6646" t="s">
        <v>28887</v>
      </c>
      <c r="E6646">
        <v>21</v>
      </c>
      <c r="F6646" t="s">
        <v>36800</v>
      </c>
      <c r="G6646" t="s">
        <v>36801</v>
      </c>
      <c r="H6646" s="4" t="s">
        <v>36802</v>
      </c>
      <c r="I6646" t="s">
        <v>71</v>
      </c>
      <c r="J6646" t="s">
        <v>10782</v>
      </c>
      <c r="K6646" t="s">
        <v>36803</v>
      </c>
    </row>
    <row r="6647" spans="1:11" ht="187.2" x14ac:dyDescent="0.3">
      <c r="A6647" s="4" t="s">
        <v>9418</v>
      </c>
      <c r="B6647">
        <v>3</v>
      </c>
      <c r="C6647">
        <v>2011</v>
      </c>
      <c r="D6647" t="s">
        <v>1570</v>
      </c>
      <c r="E6647">
        <v>29</v>
      </c>
      <c r="F6647" t="s">
        <v>36804</v>
      </c>
      <c r="G6647" t="s">
        <v>36805</v>
      </c>
      <c r="H6647" s="4" t="s">
        <v>36806</v>
      </c>
      <c r="I6647" t="s">
        <v>71</v>
      </c>
      <c r="J6647" t="s">
        <v>10782</v>
      </c>
      <c r="K6647" t="s">
        <v>36807</v>
      </c>
    </row>
    <row r="6648" spans="1:11" ht="129.6" x14ac:dyDescent="0.3">
      <c r="A6648" s="4" t="s">
        <v>9419</v>
      </c>
      <c r="B6648">
        <v>3</v>
      </c>
      <c r="C6648">
        <v>2011</v>
      </c>
      <c r="D6648" t="s">
        <v>550</v>
      </c>
      <c r="E6648">
        <v>50</v>
      </c>
      <c r="F6648" t="s">
        <v>36808</v>
      </c>
      <c r="G6648" t="s">
        <v>36809</v>
      </c>
      <c r="H6648" s="4" t="s">
        <v>36810</v>
      </c>
    </row>
    <row r="6649" spans="1:11" ht="86.4" x14ac:dyDescent="0.3">
      <c r="A6649" s="4" t="s">
        <v>9420</v>
      </c>
      <c r="B6649">
        <v>3</v>
      </c>
      <c r="C6649">
        <v>2011</v>
      </c>
      <c r="D6649" t="s">
        <v>550</v>
      </c>
      <c r="E6649">
        <v>34</v>
      </c>
      <c r="F6649" t="s">
        <v>36811</v>
      </c>
      <c r="G6649" t="s">
        <v>36812</v>
      </c>
      <c r="H6649" s="4" t="s">
        <v>36813</v>
      </c>
    </row>
    <row r="6650" spans="1:11" ht="172.8" x14ac:dyDescent="0.3">
      <c r="A6650" s="4" t="s">
        <v>9421</v>
      </c>
      <c r="B6650">
        <v>3</v>
      </c>
      <c r="C6650">
        <v>2011</v>
      </c>
      <c r="D6650" t="s">
        <v>83</v>
      </c>
      <c r="E6650">
        <v>34</v>
      </c>
      <c r="F6650" t="s">
        <v>36814</v>
      </c>
      <c r="G6650" t="s">
        <v>36815</v>
      </c>
      <c r="H6650" s="4" t="s">
        <v>36816</v>
      </c>
      <c r="I6650" t="s">
        <v>71</v>
      </c>
      <c r="J6650" t="s">
        <v>10782</v>
      </c>
      <c r="K6650" t="s">
        <v>36817</v>
      </c>
    </row>
    <row r="6651" spans="1:11" ht="172.8" x14ac:dyDescent="0.3">
      <c r="A6651" s="4" t="s">
        <v>3665</v>
      </c>
      <c r="B6651">
        <v>2</v>
      </c>
      <c r="C6651">
        <v>2011</v>
      </c>
      <c r="D6651" t="s">
        <v>432</v>
      </c>
      <c r="E6651">
        <v>24</v>
      </c>
      <c r="F6651" t="s">
        <v>36818</v>
      </c>
      <c r="G6651" t="s">
        <v>36819</v>
      </c>
      <c r="H6651" s="4" t="s">
        <v>36820</v>
      </c>
      <c r="I6651" t="s">
        <v>71</v>
      </c>
      <c r="J6651" t="s">
        <v>10782</v>
      </c>
      <c r="K6651" t="s">
        <v>36821</v>
      </c>
    </row>
    <row r="6652" spans="1:11" ht="144" x14ac:dyDescent="0.3">
      <c r="A6652" s="4" t="s">
        <v>9422</v>
      </c>
      <c r="B6652">
        <v>3</v>
      </c>
      <c r="C6652">
        <v>2011</v>
      </c>
      <c r="D6652" t="s">
        <v>80</v>
      </c>
      <c r="E6652">
        <v>213</v>
      </c>
      <c r="F6652" t="s">
        <v>36822</v>
      </c>
      <c r="G6652" t="s">
        <v>36823</v>
      </c>
      <c r="H6652" s="4" t="s">
        <v>36824</v>
      </c>
      <c r="I6652" t="s">
        <v>71</v>
      </c>
      <c r="J6652" t="s">
        <v>10782</v>
      </c>
      <c r="K6652" t="s">
        <v>36825</v>
      </c>
    </row>
    <row r="6653" spans="1:11" ht="216" x14ac:dyDescent="0.3">
      <c r="A6653" s="4" t="s">
        <v>9423</v>
      </c>
      <c r="B6653">
        <v>3</v>
      </c>
      <c r="C6653">
        <v>2011</v>
      </c>
      <c r="D6653" t="s">
        <v>83</v>
      </c>
      <c r="E6653">
        <v>2</v>
      </c>
      <c r="F6653" t="s">
        <v>36826</v>
      </c>
      <c r="G6653" t="s">
        <v>36827</v>
      </c>
      <c r="H6653" s="4" t="s">
        <v>36828</v>
      </c>
      <c r="I6653" t="s">
        <v>71</v>
      </c>
      <c r="J6653" t="s">
        <v>10782</v>
      </c>
      <c r="K6653" t="s">
        <v>36829</v>
      </c>
    </row>
    <row r="6654" spans="1:11" ht="115.2" x14ac:dyDescent="0.3">
      <c r="A6654" s="4" t="s">
        <v>3666</v>
      </c>
      <c r="B6654">
        <v>2</v>
      </c>
      <c r="C6654">
        <v>2011</v>
      </c>
      <c r="D6654" t="s">
        <v>177</v>
      </c>
      <c r="E6654">
        <v>15</v>
      </c>
      <c r="F6654" t="s">
        <v>36830</v>
      </c>
      <c r="G6654" t="s">
        <v>36831</v>
      </c>
      <c r="H6654" s="4" t="s">
        <v>36832</v>
      </c>
      <c r="I6654" t="s">
        <v>71</v>
      </c>
      <c r="J6654" t="s">
        <v>10782</v>
      </c>
      <c r="K6654" t="s">
        <v>36833</v>
      </c>
    </row>
    <row r="6655" spans="1:11" ht="172.8" x14ac:dyDescent="0.3">
      <c r="A6655" s="4" t="s">
        <v>3667</v>
      </c>
      <c r="B6655">
        <v>2</v>
      </c>
      <c r="C6655">
        <v>2011</v>
      </c>
      <c r="D6655" t="s">
        <v>799</v>
      </c>
      <c r="E6655">
        <v>95</v>
      </c>
      <c r="F6655" t="s">
        <v>36834</v>
      </c>
      <c r="G6655" t="s">
        <v>36835</v>
      </c>
      <c r="H6655" s="4" t="s">
        <v>36836</v>
      </c>
      <c r="I6655" t="s">
        <v>71</v>
      </c>
      <c r="J6655" t="s">
        <v>10782</v>
      </c>
      <c r="K6655" t="s">
        <v>36837</v>
      </c>
    </row>
    <row r="6656" spans="1:11" ht="144" x14ac:dyDescent="0.3">
      <c r="A6656" s="4" t="s">
        <v>9424</v>
      </c>
      <c r="B6656">
        <v>3</v>
      </c>
      <c r="C6656">
        <v>2011</v>
      </c>
      <c r="D6656" t="s">
        <v>11569</v>
      </c>
      <c r="E6656">
        <v>9</v>
      </c>
      <c r="F6656" t="s">
        <v>36838</v>
      </c>
      <c r="G6656" t="s">
        <v>36839</v>
      </c>
      <c r="H6656" s="4" t="s">
        <v>36840</v>
      </c>
      <c r="I6656" t="s">
        <v>10823</v>
      </c>
      <c r="J6656" t="s">
        <v>10782</v>
      </c>
      <c r="K6656" t="s">
        <v>36841</v>
      </c>
    </row>
    <row r="6657" spans="1:12" ht="230.4" x14ac:dyDescent="0.3">
      <c r="A6657" s="4" t="s">
        <v>9425</v>
      </c>
      <c r="B6657">
        <v>3</v>
      </c>
      <c r="C6657">
        <v>2011</v>
      </c>
      <c r="D6657" t="s">
        <v>1849</v>
      </c>
      <c r="E6657">
        <v>505</v>
      </c>
      <c r="F6657" t="s">
        <v>36842</v>
      </c>
      <c r="G6657" t="s">
        <v>36843</v>
      </c>
      <c r="H6657" s="4" t="s">
        <v>36844</v>
      </c>
      <c r="I6657" t="s">
        <v>10823</v>
      </c>
      <c r="J6657" t="s">
        <v>10782</v>
      </c>
      <c r="K6657" t="s">
        <v>36845</v>
      </c>
    </row>
    <row r="6658" spans="1:12" ht="129.6" x14ac:dyDescent="0.3">
      <c r="A6658" s="4" t="s">
        <v>9426</v>
      </c>
      <c r="B6658">
        <v>3</v>
      </c>
      <c r="C6658">
        <v>2011</v>
      </c>
      <c r="D6658" t="s">
        <v>217</v>
      </c>
      <c r="E6658">
        <v>28</v>
      </c>
      <c r="F6658" t="s">
        <v>36846</v>
      </c>
      <c r="G6658" t="s">
        <v>36847</v>
      </c>
      <c r="H6658" s="4" t="s">
        <v>36848</v>
      </c>
      <c r="I6658" t="s">
        <v>71</v>
      </c>
      <c r="J6658" t="s">
        <v>10782</v>
      </c>
      <c r="K6658" t="s">
        <v>36849</v>
      </c>
    </row>
    <row r="6659" spans="1:12" ht="100.8" x14ac:dyDescent="0.3">
      <c r="A6659" s="4" t="s">
        <v>9427</v>
      </c>
      <c r="B6659">
        <v>3</v>
      </c>
      <c r="C6659">
        <v>2011</v>
      </c>
      <c r="D6659" t="s">
        <v>34405</v>
      </c>
      <c r="E6659">
        <v>0</v>
      </c>
      <c r="F6659" t="s">
        <v>36850</v>
      </c>
      <c r="G6659" t="s">
        <v>36851</v>
      </c>
      <c r="H6659" s="4" t="s">
        <v>36852</v>
      </c>
      <c r="I6659" t="s">
        <v>71</v>
      </c>
      <c r="J6659" t="s">
        <v>10782</v>
      </c>
      <c r="K6659" t="s">
        <v>36853</v>
      </c>
    </row>
    <row r="6660" spans="1:12" ht="129.6" x14ac:dyDescent="0.3">
      <c r="A6660" s="4" t="s">
        <v>2287</v>
      </c>
      <c r="B6660">
        <v>1</v>
      </c>
      <c r="C6660">
        <v>2011</v>
      </c>
      <c r="D6660" t="s">
        <v>2328</v>
      </c>
      <c r="E6660">
        <v>71</v>
      </c>
      <c r="F6660" t="s">
        <v>36854</v>
      </c>
      <c r="G6660" t="s">
        <v>36855</v>
      </c>
      <c r="H6660" s="4" t="s">
        <v>36856</v>
      </c>
      <c r="I6660" t="s">
        <v>71</v>
      </c>
      <c r="J6660" t="s">
        <v>10782</v>
      </c>
      <c r="K6660" t="s">
        <v>36857</v>
      </c>
    </row>
    <row r="6661" spans="1:12" ht="187.2" x14ac:dyDescent="0.3">
      <c r="A6661" s="4" t="s">
        <v>9428</v>
      </c>
      <c r="B6661">
        <v>3</v>
      </c>
      <c r="C6661">
        <v>2011</v>
      </c>
      <c r="D6661" t="s">
        <v>528</v>
      </c>
      <c r="E6661">
        <v>25</v>
      </c>
      <c r="F6661" t="s">
        <v>36858</v>
      </c>
      <c r="G6661" t="s">
        <v>36859</v>
      </c>
      <c r="H6661" s="4" t="s">
        <v>36860</v>
      </c>
      <c r="I6661" t="s">
        <v>71</v>
      </c>
      <c r="J6661" t="s">
        <v>10782</v>
      </c>
      <c r="K6661" t="s">
        <v>36861</v>
      </c>
    </row>
    <row r="6662" spans="1:12" ht="129.6" x14ac:dyDescent="0.3">
      <c r="A6662" s="4" t="s">
        <v>9429</v>
      </c>
      <c r="B6662">
        <v>3</v>
      </c>
      <c r="C6662">
        <v>2011</v>
      </c>
      <c r="D6662" t="s">
        <v>1688</v>
      </c>
      <c r="E6662">
        <v>178</v>
      </c>
      <c r="F6662" t="s">
        <v>36862</v>
      </c>
      <c r="G6662" t="s">
        <v>36863</v>
      </c>
      <c r="H6662" s="4" t="s">
        <v>36864</v>
      </c>
      <c r="I6662" t="s">
        <v>71</v>
      </c>
      <c r="J6662" t="s">
        <v>10782</v>
      </c>
      <c r="K6662" t="s">
        <v>36865</v>
      </c>
    </row>
    <row r="6663" spans="1:12" ht="57.6" x14ac:dyDescent="0.3">
      <c r="A6663" s="4" t="s">
        <v>9430</v>
      </c>
      <c r="B6663">
        <v>3</v>
      </c>
      <c r="C6663">
        <v>2011</v>
      </c>
      <c r="D6663" t="s">
        <v>10924</v>
      </c>
      <c r="E6663">
        <v>43</v>
      </c>
      <c r="F6663" t="s">
        <v>36866</v>
      </c>
      <c r="G6663" t="s">
        <v>36867</v>
      </c>
      <c r="H6663" s="4" t="s">
        <v>36868</v>
      </c>
    </row>
    <row r="6664" spans="1:12" ht="187.2" x14ac:dyDescent="0.3">
      <c r="A6664" s="4" t="s">
        <v>9431</v>
      </c>
      <c r="B6664">
        <v>3</v>
      </c>
      <c r="C6664">
        <v>2011</v>
      </c>
      <c r="D6664" t="s">
        <v>637</v>
      </c>
      <c r="E6664">
        <v>76</v>
      </c>
      <c r="F6664" t="s">
        <v>36869</v>
      </c>
      <c r="G6664" t="s">
        <v>36870</v>
      </c>
      <c r="H6664" s="4" t="s">
        <v>36871</v>
      </c>
      <c r="I6664" t="s">
        <v>71</v>
      </c>
      <c r="J6664" t="s">
        <v>10782</v>
      </c>
      <c r="K6664" t="s">
        <v>36872</v>
      </c>
    </row>
    <row r="6665" spans="1:12" ht="201.6" x14ac:dyDescent="0.3">
      <c r="A6665" s="4" t="s">
        <v>3434</v>
      </c>
      <c r="B6665">
        <v>1</v>
      </c>
      <c r="C6665">
        <v>2011</v>
      </c>
      <c r="D6665" t="s">
        <v>25007</v>
      </c>
      <c r="E6665">
        <v>36</v>
      </c>
      <c r="F6665" t="s">
        <v>36873</v>
      </c>
      <c r="G6665" t="s">
        <v>36874</v>
      </c>
      <c r="H6665" s="4" t="s">
        <v>36875</v>
      </c>
      <c r="I6665" t="s">
        <v>71</v>
      </c>
      <c r="J6665" t="s">
        <v>10782</v>
      </c>
      <c r="K6665" t="s">
        <v>36876</v>
      </c>
    </row>
    <row r="6666" spans="1:12" ht="158.4" x14ac:dyDescent="0.3">
      <c r="A6666" s="4" t="s">
        <v>9432</v>
      </c>
      <c r="B6666">
        <v>3</v>
      </c>
      <c r="C6666">
        <v>2011</v>
      </c>
      <c r="D6666" t="s">
        <v>1570</v>
      </c>
      <c r="E6666">
        <v>62</v>
      </c>
      <c r="F6666" t="s">
        <v>36877</v>
      </c>
      <c r="G6666" t="s">
        <v>36878</v>
      </c>
      <c r="H6666" s="4" t="s">
        <v>36879</v>
      </c>
      <c r="I6666" t="s">
        <v>71</v>
      </c>
      <c r="J6666" t="s">
        <v>10782</v>
      </c>
      <c r="K6666" t="s">
        <v>36880</v>
      </c>
    </row>
    <row r="6667" spans="1:12" ht="129.6" x14ac:dyDescent="0.3">
      <c r="A6667" s="4" t="s">
        <v>9433</v>
      </c>
      <c r="B6667">
        <v>3</v>
      </c>
      <c r="C6667">
        <v>2011</v>
      </c>
      <c r="D6667" t="s">
        <v>16112</v>
      </c>
      <c r="E6667">
        <v>76</v>
      </c>
      <c r="F6667" t="s">
        <v>36881</v>
      </c>
      <c r="G6667" t="s">
        <v>36882</v>
      </c>
      <c r="H6667" s="4" t="s">
        <v>36883</v>
      </c>
      <c r="I6667" t="s">
        <v>71</v>
      </c>
      <c r="J6667" t="s">
        <v>10782</v>
      </c>
      <c r="K6667" t="s">
        <v>36884</v>
      </c>
    </row>
    <row r="6668" spans="1:12" ht="187.2" x14ac:dyDescent="0.3">
      <c r="A6668" s="4" t="s">
        <v>9434</v>
      </c>
      <c r="B6668">
        <v>3</v>
      </c>
      <c r="C6668">
        <v>2011</v>
      </c>
      <c r="D6668" t="s">
        <v>550</v>
      </c>
      <c r="E6668">
        <v>25</v>
      </c>
      <c r="F6668" t="s">
        <v>36885</v>
      </c>
      <c r="G6668" t="s">
        <v>36886</v>
      </c>
      <c r="H6668" s="4" t="s">
        <v>36887</v>
      </c>
      <c r="I6668" t="s">
        <v>71</v>
      </c>
      <c r="J6668" t="s">
        <v>10782</v>
      </c>
      <c r="K6668" t="s">
        <v>36888</v>
      </c>
    </row>
    <row r="6669" spans="1:12" ht="57.6" x14ac:dyDescent="0.3">
      <c r="A6669" s="4" t="s">
        <v>9435</v>
      </c>
      <c r="B6669">
        <v>3</v>
      </c>
      <c r="C6669">
        <v>2011</v>
      </c>
      <c r="D6669" t="s">
        <v>13049</v>
      </c>
      <c r="E6669">
        <v>16</v>
      </c>
      <c r="F6669" t="s">
        <v>36889</v>
      </c>
      <c r="G6669" t="s">
        <v>36890</v>
      </c>
      <c r="H6669" s="4" t="s">
        <v>36891</v>
      </c>
      <c r="L6669" t="s">
        <v>36892</v>
      </c>
    </row>
    <row r="6670" spans="1:12" ht="115.2" x14ac:dyDescent="0.3">
      <c r="A6670" s="4" t="s">
        <v>9436</v>
      </c>
      <c r="B6670">
        <v>3</v>
      </c>
      <c r="C6670">
        <v>2011</v>
      </c>
      <c r="D6670" t="s">
        <v>18825</v>
      </c>
      <c r="E6670">
        <v>29</v>
      </c>
      <c r="F6670" t="s">
        <v>36893</v>
      </c>
      <c r="G6670" t="s">
        <v>36894</v>
      </c>
      <c r="H6670" s="4" t="s">
        <v>36895</v>
      </c>
      <c r="I6670" t="s">
        <v>71</v>
      </c>
      <c r="J6670" t="s">
        <v>10782</v>
      </c>
      <c r="K6670" t="s">
        <v>36896</v>
      </c>
    </row>
    <row r="6671" spans="1:12" ht="172.8" x14ac:dyDescent="0.3">
      <c r="A6671" s="4" t="s">
        <v>2288</v>
      </c>
      <c r="B6671">
        <v>1</v>
      </c>
      <c r="C6671">
        <v>2011</v>
      </c>
      <c r="D6671" t="s">
        <v>1570</v>
      </c>
      <c r="E6671">
        <v>110</v>
      </c>
      <c r="F6671" t="s">
        <v>36897</v>
      </c>
      <c r="G6671" t="s">
        <v>36898</v>
      </c>
      <c r="H6671" s="4" t="s">
        <v>36899</v>
      </c>
      <c r="I6671" t="s">
        <v>71</v>
      </c>
      <c r="J6671" t="s">
        <v>10782</v>
      </c>
      <c r="K6671" t="s">
        <v>36900</v>
      </c>
    </row>
    <row r="6672" spans="1:12" ht="230.4" x14ac:dyDescent="0.3">
      <c r="A6672" s="4" t="s">
        <v>9437</v>
      </c>
      <c r="B6672">
        <v>3</v>
      </c>
      <c r="C6672">
        <v>2011</v>
      </c>
      <c r="D6672" t="s">
        <v>1570</v>
      </c>
      <c r="E6672">
        <v>7</v>
      </c>
      <c r="F6672" t="s">
        <v>36901</v>
      </c>
      <c r="G6672" t="s">
        <v>36902</v>
      </c>
      <c r="H6672" s="4" t="s">
        <v>36903</v>
      </c>
      <c r="I6672" t="s">
        <v>71</v>
      </c>
      <c r="J6672" t="s">
        <v>10782</v>
      </c>
      <c r="K6672" t="s">
        <v>36904</v>
      </c>
    </row>
    <row r="6673" spans="1:11" ht="43.2" x14ac:dyDescent="0.3">
      <c r="A6673" s="4" t="s">
        <v>9438</v>
      </c>
      <c r="B6673">
        <v>3</v>
      </c>
      <c r="C6673">
        <v>2011</v>
      </c>
      <c r="D6673" t="s">
        <v>799</v>
      </c>
      <c r="E6673">
        <v>63</v>
      </c>
      <c r="F6673" t="s">
        <v>36905</v>
      </c>
      <c r="G6673" t="s">
        <v>36906</v>
      </c>
      <c r="H6673" s="4" t="s">
        <v>36907</v>
      </c>
    </row>
    <row r="6674" spans="1:11" ht="100.8" x14ac:dyDescent="0.3">
      <c r="A6674" s="4" t="s">
        <v>9439</v>
      </c>
      <c r="B6674">
        <v>3</v>
      </c>
      <c r="C6674">
        <v>2011</v>
      </c>
      <c r="D6674" t="s">
        <v>16556</v>
      </c>
      <c r="E6674">
        <v>1</v>
      </c>
      <c r="G6674" t="s">
        <v>36908</v>
      </c>
      <c r="H6674" s="4" t="s">
        <v>36909</v>
      </c>
      <c r="I6674" s="4" t="s">
        <v>71</v>
      </c>
      <c r="J6674" t="s">
        <v>10782</v>
      </c>
      <c r="K6674" t="s">
        <v>36910</v>
      </c>
    </row>
    <row r="6675" spans="1:11" ht="273.60000000000002" x14ac:dyDescent="0.3">
      <c r="A6675" s="4" t="s">
        <v>9440</v>
      </c>
      <c r="B6675">
        <v>3</v>
      </c>
      <c r="C6675">
        <v>2011</v>
      </c>
      <c r="D6675" t="s">
        <v>1175</v>
      </c>
      <c r="E6675">
        <v>27</v>
      </c>
      <c r="F6675" t="s">
        <v>36911</v>
      </c>
      <c r="G6675" t="s">
        <v>36912</v>
      </c>
      <c r="H6675" s="4" t="s">
        <v>36913</v>
      </c>
      <c r="I6675" t="s">
        <v>71</v>
      </c>
      <c r="J6675" t="s">
        <v>10782</v>
      </c>
      <c r="K6675" t="s">
        <v>36914</v>
      </c>
    </row>
    <row r="6676" spans="1:11" ht="187.2" x14ac:dyDescent="0.3">
      <c r="A6676" s="4" t="s">
        <v>9441</v>
      </c>
      <c r="B6676">
        <v>3</v>
      </c>
      <c r="C6676">
        <v>2011</v>
      </c>
      <c r="D6676" t="s">
        <v>11310</v>
      </c>
      <c r="E6676">
        <v>20</v>
      </c>
      <c r="F6676" t="s">
        <v>36915</v>
      </c>
      <c r="G6676" t="s">
        <v>36916</v>
      </c>
      <c r="H6676" s="4" t="s">
        <v>36917</v>
      </c>
      <c r="I6676" t="s">
        <v>71</v>
      </c>
      <c r="J6676" t="s">
        <v>10782</v>
      </c>
      <c r="K6676" t="s">
        <v>36918</v>
      </c>
    </row>
    <row r="6677" spans="1:11" ht="288" x14ac:dyDescent="0.3">
      <c r="A6677" s="4" t="s">
        <v>9442</v>
      </c>
      <c r="B6677">
        <v>3</v>
      </c>
      <c r="C6677">
        <v>2011</v>
      </c>
      <c r="D6677" t="s">
        <v>10825</v>
      </c>
      <c r="E6677">
        <v>43</v>
      </c>
      <c r="F6677" t="s">
        <v>36919</v>
      </c>
      <c r="G6677" t="s">
        <v>36920</v>
      </c>
      <c r="H6677" s="4" t="s">
        <v>36921</v>
      </c>
      <c r="I6677" t="s">
        <v>71</v>
      </c>
      <c r="J6677" t="s">
        <v>10782</v>
      </c>
      <c r="K6677" t="s">
        <v>36922</v>
      </c>
    </row>
    <row r="6678" spans="1:11" ht="158.4" x14ac:dyDescent="0.3">
      <c r="A6678" s="4" t="s">
        <v>9443</v>
      </c>
      <c r="B6678">
        <v>3</v>
      </c>
      <c r="C6678">
        <v>2011</v>
      </c>
      <c r="D6678" t="s">
        <v>16112</v>
      </c>
      <c r="E6678">
        <v>49</v>
      </c>
      <c r="F6678" t="s">
        <v>36923</v>
      </c>
      <c r="G6678" t="s">
        <v>36924</v>
      </c>
      <c r="H6678" s="4" t="s">
        <v>36925</v>
      </c>
      <c r="I6678" t="s">
        <v>71</v>
      </c>
      <c r="J6678" t="s">
        <v>10782</v>
      </c>
      <c r="K6678" t="s">
        <v>36926</v>
      </c>
    </row>
    <row r="6679" spans="1:11" ht="230.4" x14ac:dyDescent="0.3">
      <c r="A6679" s="4" t="s">
        <v>9444</v>
      </c>
      <c r="B6679">
        <v>3</v>
      </c>
      <c r="C6679">
        <v>2011</v>
      </c>
      <c r="D6679" t="s">
        <v>36927</v>
      </c>
      <c r="E6679">
        <v>2</v>
      </c>
      <c r="F6679" t="s">
        <v>36928</v>
      </c>
      <c r="G6679" t="s">
        <v>36929</v>
      </c>
      <c r="H6679" s="4" t="s">
        <v>36930</v>
      </c>
    </row>
    <row r="6680" spans="1:11" ht="86.4" x14ac:dyDescent="0.3">
      <c r="A6680" s="4" t="s">
        <v>9445</v>
      </c>
      <c r="B6680">
        <v>3</v>
      </c>
      <c r="C6680">
        <v>2011</v>
      </c>
      <c r="D6680" t="s">
        <v>1175</v>
      </c>
      <c r="E6680">
        <v>19</v>
      </c>
      <c r="F6680" t="s">
        <v>36931</v>
      </c>
      <c r="G6680" t="s">
        <v>36932</v>
      </c>
      <c r="H6680" s="4" t="s">
        <v>36933</v>
      </c>
      <c r="I6680" t="s">
        <v>71</v>
      </c>
      <c r="J6680" t="s">
        <v>10782</v>
      </c>
      <c r="K6680" t="s">
        <v>36934</v>
      </c>
    </row>
    <row r="6681" spans="1:11" ht="144" x14ac:dyDescent="0.3">
      <c r="A6681" s="4" t="s">
        <v>3435</v>
      </c>
      <c r="B6681">
        <v>1</v>
      </c>
      <c r="C6681">
        <v>2011</v>
      </c>
      <c r="D6681" t="s">
        <v>329</v>
      </c>
      <c r="E6681">
        <v>35</v>
      </c>
      <c r="F6681" t="s">
        <v>36935</v>
      </c>
      <c r="G6681" t="s">
        <v>36936</v>
      </c>
      <c r="H6681" s="4" t="s">
        <v>36937</v>
      </c>
      <c r="I6681" t="s">
        <v>71</v>
      </c>
      <c r="J6681" t="s">
        <v>10782</v>
      </c>
      <c r="K6681" t="s">
        <v>36938</v>
      </c>
    </row>
    <row r="6682" spans="1:11" ht="115.2" x14ac:dyDescent="0.3">
      <c r="A6682" s="4" t="s">
        <v>9446</v>
      </c>
      <c r="B6682">
        <v>3</v>
      </c>
      <c r="C6682">
        <v>2011</v>
      </c>
      <c r="D6682" t="s">
        <v>329</v>
      </c>
      <c r="E6682">
        <v>31</v>
      </c>
      <c r="F6682" t="s">
        <v>36939</v>
      </c>
      <c r="G6682" t="s">
        <v>36940</v>
      </c>
      <c r="H6682" s="4" t="s">
        <v>36941</v>
      </c>
      <c r="I6682" t="s">
        <v>71</v>
      </c>
      <c r="J6682" t="s">
        <v>10782</v>
      </c>
      <c r="K6682" t="s">
        <v>36942</v>
      </c>
    </row>
    <row r="6683" spans="1:11" ht="28.8" x14ac:dyDescent="0.3">
      <c r="A6683" s="4" t="s">
        <v>9447</v>
      </c>
      <c r="B6683">
        <v>3</v>
      </c>
      <c r="C6683">
        <v>2011</v>
      </c>
      <c r="D6683" t="s">
        <v>29988</v>
      </c>
      <c r="E6683">
        <v>3</v>
      </c>
      <c r="F6683" t="s">
        <v>36943</v>
      </c>
      <c r="G6683" t="s">
        <v>36944</v>
      </c>
      <c r="H6683" s="4" t="s">
        <v>36945</v>
      </c>
    </row>
    <row r="6684" spans="1:11" ht="129.6" x14ac:dyDescent="0.3">
      <c r="A6684" s="4" t="s">
        <v>9448</v>
      </c>
      <c r="B6684">
        <v>3</v>
      </c>
      <c r="C6684">
        <v>2011</v>
      </c>
      <c r="D6684" t="s">
        <v>32695</v>
      </c>
      <c r="E6684">
        <v>4</v>
      </c>
      <c r="F6684" t="s">
        <v>36946</v>
      </c>
      <c r="G6684" t="s">
        <v>36947</v>
      </c>
      <c r="H6684" s="4" t="s">
        <v>36948</v>
      </c>
      <c r="I6684" t="s">
        <v>71</v>
      </c>
      <c r="J6684" t="s">
        <v>10782</v>
      </c>
      <c r="K6684" t="s">
        <v>36949</v>
      </c>
    </row>
    <row r="6685" spans="1:11" ht="172.8" x14ac:dyDescent="0.3">
      <c r="A6685" s="4" t="s">
        <v>9449</v>
      </c>
      <c r="B6685">
        <v>3</v>
      </c>
      <c r="C6685">
        <v>2011</v>
      </c>
      <c r="D6685" t="s">
        <v>36950</v>
      </c>
      <c r="E6685">
        <v>10</v>
      </c>
      <c r="F6685" t="s">
        <v>36951</v>
      </c>
      <c r="G6685" t="s">
        <v>36952</v>
      </c>
      <c r="H6685" s="4" t="s">
        <v>36953</v>
      </c>
      <c r="I6685" t="s">
        <v>71</v>
      </c>
      <c r="J6685" t="s">
        <v>10782</v>
      </c>
      <c r="K6685" t="s">
        <v>36954</v>
      </c>
    </row>
    <row r="6686" spans="1:11" ht="158.4" x14ac:dyDescent="0.3">
      <c r="A6686" s="4" t="s">
        <v>9450</v>
      </c>
      <c r="B6686">
        <v>3</v>
      </c>
      <c r="C6686">
        <v>2011</v>
      </c>
      <c r="D6686" t="s">
        <v>11521</v>
      </c>
      <c r="E6686">
        <v>23</v>
      </c>
      <c r="F6686" t="s">
        <v>36955</v>
      </c>
      <c r="G6686" t="s">
        <v>36956</v>
      </c>
      <c r="H6686" s="4" t="s">
        <v>36957</v>
      </c>
      <c r="I6686" t="s">
        <v>71</v>
      </c>
      <c r="J6686" t="s">
        <v>10782</v>
      </c>
      <c r="K6686" t="s">
        <v>36958</v>
      </c>
    </row>
    <row r="6687" spans="1:11" ht="144" x14ac:dyDescent="0.3">
      <c r="A6687" s="4" t="s">
        <v>9451</v>
      </c>
      <c r="B6687">
        <v>3</v>
      </c>
      <c r="C6687">
        <v>2011</v>
      </c>
      <c r="D6687" t="s">
        <v>36959</v>
      </c>
      <c r="E6687">
        <v>8</v>
      </c>
      <c r="F6687" t="s">
        <v>36960</v>
      </c>
      <c r="G6687" t="s">
        <v>36961</v>
      </c>
      <c r="H6687" s="4" t="s">
        <v>36962</v>
      </c>
      <c r="I6687" t="s">
        <v>71</v>
      </c>
      <c r="J6687" t="s">
        <v>10782</v>
      </c>
      <c r="K6687" t="s">
        <v>36963</v>
      </c>
    </row>
    <row r="6688" spans="1:11" ht="187.2" x14ac:dyDescent="0.3">
      <c r="A6688" s="4" t="s">
        <v>9452</v>
      </c>
      <c r="B6688">
        <v>3</v>
      </c>
      <c r="C6688">
        <v>2011</v>
      </c>
      <c r="D6688" t="s">
        <v>799</v>
      </c>
      <c r="E6688">
        <v>9</v>
      </c>
      <c r="F6688" t="s">
        <v>36964</v>
      </c>
      <c r="G6688" t="s">
        <v>36965</v>
      </c>
      <c r="H6688" s="4" t="s">
        <v>36966</v>
      </c>
      <c r="I6688" t="s">
        <v>71</v>
      </c>
      <c r="J6688" t="s">
        <v>10782</v>
      </c>
      <c r="K6688" t="s">
        <v>36967</v>
      </c>
    </row>
    <row r="6689" spans="1:11" ht="331.2" x14ac:dyDescent="0.3">
      <c r="A6689" s="4" t="s">
        <v>9453</v>
      </c>
      <c r="B6689">
        <v>3</v>
      </c>
      <c r="C6689">
        <v>2011</v>
      </c>
      <c r="D6689" t="s">
        <v>36968</v>
      </c>
      <c r="E6689">
        <v>67</v>
      </c>
      <c r="F6689" t="s">
        <v>36969</v>
      </c>
      <c r="G6689" t="s">
        <v>36970</v>
      </c>
      <c r="H6689" s="4" t="s">
        <v>36971</v>
      </c>
      <c r="I6689" t="s">
        <v>71</v>
      </c>
      <c r="J6689" t="s">
        <v>10782</v>
      </c>
      <c r="K6689" t="s">
        <v>36972</v>
      </c>
    </row>
    <row r="6690" spans="1:11" ht="115.2" x14ac:dyDescent="0.3">
      <c r="A6690" s="4" t="s">
        <v>9454</v>
      </c>
      <c r="B6690">
        <v>3</v>
      </c>
      <c r="C6690">
        <v>2011</v>
      </c>
      <c r="D6690" t="s">
        <v>12677</v>
      </c>
      <c r="E6690">
        <v>44</v>
      </c>
      <c r="F6690" t="s">
        <v>36973</v>
      </c>
      <c r="G6690" t="s">
        <v>36974</v>
      </c>
      <c r="H6690" s="4" t="s">
        <v>36975</v>
      </c>
      <c r="I6690" t="s">
        <v>71</v>
      </c>
      <c r="J6690" t="s">
        <v>10782</v>
      </c>
      <c r="K6690" t="s">
        <v>36976</v>
      </c>
    </row>
    <row r="6691" spans="1:11" ht="129.6" x14ac:dyDescent="0.3">
      <c r="A6691" s="4" t="s">
        <v>9455</v>
      </c>
      <c r="B6691">
        <v>3</v>
      </c>
      <c r="C6691">
        <v>2011</v>
      </c>
      <c r="D6691" t="s">
        <v>1570</v>
      </c>
      <c r="E6691">
        <v>9</v>
      </c>
      <c r="F6691" t="s">
        <v>36977</v>
      </c>
      <c r="G6691" t="s">
        <v>36978</v>
      </c>
      <c r="H6691" s="4" t="s">
        <v>36979</v>
      </c>
      <c r="I6691" t="s">
        <v>71</v>
      </c>
      <c r="J6691" t="s">
        <v>10782</v>
      </c>
      <c r="K6691" t="s">
        <v>36980</v>
      </c>
    </row>
    <row r="6692" spans="1:11" ht="115.2" x14ac:dyDescent="0.3">
      <c r="A6692" s="4" t="s">
        <v>9456</v>
      </c>
      <c r="B6692">
        <v>3</v>
      </c>
      <c r="C6692">
        <v>2011</v>
      </c>
      <c r="D6692" t="s">
        <v>1570</v>
      </c>
      <c r="E6692">
        <v>5</v>
      </c>
      <c r="F6692" t="s">
        <v>36981</v>
      </c>
      <c r="G6692" t="s">
        <v>36982</v>
      </c>
      <c r="H6692" s="4" t="s">
        <v>36983</v>
      </c>
      <c r="I6692" t="s">
        <v>71</v>
      </c>
      <c r="J6692" t="s">
        <v>10782</v>
      </c>
      <c r="K6692" t="s">
        <v>36984</v>
      </c>
    </row>
    <row r="6693" spans="1:11" ht="43.2" x14ac:dyDescent="0.3">
      <c r="A6693" s="4" t="s">
        <v>9457</v>
      </c>
      <c r="B6693">
        <v>3</v>
      </c>
      <c r="C6693">
        <v>2011</v>
      </c>
      <c r="D6693" t="s">
        <v>14276</v>
      </c>
      <c r="E6693">
        <v>43</v>
      </c>
      <c r="F6693" t="s">
        <v>36985</v>
      </c>
      <c r="G6693" t="s">
        <v>36986</v>
      </c>
      <c r="H6693" s="4" t="s">
        <v>36987</v>
      </c>
    </row>
    <row r="6694" spans="1:11" ht="86.4" x14ac:dyDescent="0.3">
      <c r="A6694" s="4" t="s">
        <v>9458</v>
      </c>
      <c r="B6694">
        <v>3</v>
      </c>
      <c r="C6694">
        <v>2011</v>
      </c>
      <c r="D6694" t="s">
        <v>217</v>
      </c>
      <c r="E6694">
        <v>11</v>
      </c>
      <c r="F6694" t="s">
        <v>36988</v>
      </c>
      <c r="G6694" t="s">
        <v>36989</v>
      </c>
      <c r="H6694" s="4" t="s">
        <v>36990</v>
      </c>
      <c r="I6694" t="s">
        <v>71</v>
      </c>
      <c r="J6694" t="s">
        <v>10782</v>
      </c>
      <c r="K6694" t="s">
        <v>36991</v>
      </c>
    </row>
    <row r="6695" spans="1:11" ht="100.8" x14ac:dyDescent="0.3">
      <c r="A6695" s="4" t="s">
        <v>9459</v>
      </c>
      <c r="B6695">
        <v>3</v>
      </c>
      <c r="C6695">
        <v>2011</v>
      </c>
      <c r="D6695" t="s">
        <v>1570</v>
      </c>
      <c r="E6695">
        <v>11</v>
      </c>
      <c r="F6695" t="s">
        <v>36992</v>
      </c>
      <c r="G6695" t="s">
        <v>36993</v>
      </c>
      <c r="H6695" s="4" t="s">
        <v>36994</v>
      </c>
    </row>
    <row r="6696" spans="1:11" ht="144" x14ac:dyDescent="0.3">
      <c r="A6696" s="4" t="s">
        <v>9460</v>
      </c>
      <c r="B6696">
        <v>3</v>
      </c>
      <c r="C6696">
        <v>2011</v>
      </c>
      <c r="D6696" t="s">
        <v>2282</v>
      </c>
      <c r="E6696">
        <v>25</v>
      </c>
      <c r="F6696" t="s">
        <v>36995</v>
      </c>
      <c r="G6696" t="s">
        <v>36996</v>
      </c>
      <c r="H6696" s="4" t="s">
        <v>36997</v>
      </c>
      <c r="I6696" t="s">
        <v>71</v>
      </c>
      <c r="J6696" t="s">
        <v>10782</v>
      </c>
      <c r="K6696" t="s">
        <v>36998</v>
      </c>
    </row>
    <row r="6697" spans="1:11" ht="100.8" x14ac:dyDescent="0.3">
      <c r="A6697" s="4" t="s">
        <v>9461</v>
      </c>
      <c r="B6697">
        <v>3</v>
      </c>
      <c r="C6697">
        <v>2011</v>
      </c>
      <c r="D6697" t="s">
        <v>21600</v>
      </c>
      <c r="E6697">
        <v>4</v>
      </c>
      <c r="F6697" t="s">
        <v>36999</v>
      </c>
      <c r="G6697" t="s">
        <v>37000</v>
      </c>
      <c r="H6697" s="4" t="s">
        <v>37001</v>
      </c>
      <c r="I6697" t="s">
        <v>71</v>
      </c>
      <c r="J6697" t="s">
        <v>10782</v>
      </c>
      <c r="K6697" t="s">
        <v>37002</v>
      </c>
    </row>
    <row r="6698" spans="1:11" ht="28.8" x14ac:dyDescent="0.3">
      <c r="A6698" s="4" t="s">
        <v>9462</v>
      </c>
      <c r="B6698">
        <v>3</v>
      </c>
      <c r="C6698">
        <v>2011</v>
      </c>
      <c r="D6698" t="s">
        <v>28481</v>
      </c>
      <c r="E6698">
        <v>12</v>
      </c>
      <c r="F6698" t="s">
        <v>37003</v>
      </c>
      <c r="G6698" t="s">
        <v>37004</v>
      </c>
      <c r="H6698" s="4" t="s">
        <v>71</v>
      </c>
      <c r="I6698" t="s">
        <v>10782</v>
      </c>
      <c r="J6698" t="s">
        <v>37005</v>
      </c>
    </row>
    <row r="6699" spans="1:11" ht="100.8" x14ac:dyDescent="0.3">
      <c r="A6699" s="4" t="s">
        <v>9463</v>
      </c>
      <c r="B6699">
        <v>3</v>
      </c>
      <c r="C6699">
        <v>2011</v>
      </c>
      <c r="D6699" t="s">
        <v>2416</v>
      </c>
      <c r="E6699">
        <v>79</v>
      </c>
      <c r="F6699" t="s">
        <v>37006</v>
      </c>
      <c r="G6699" t="s">
        <v>37007</v>
      </c>
      <c r="H6699" s="4" t="s">
        <v>37008</v>
      </c>
      <c r="I6699" t="s">
        <v>71</v>
      </c>
      <c r="J6699" t="s">
        <v>10782</v>
      </c>
      <c r="K6699" t="s">
        <v>37009</v>
      </c>
    </row>
    <row r="6700" spans="1:11" ht="129.6" x14ac:dyDescent="0.3">
      <c r="A6700" s="4" t="s">
        <v>9464</v>
      </c>
      <c r="B6700">
        <v>3</v>
      </c>
      <c r="C6700">
        <v>2011</v>
      </c>
      <c r="D6700" t="s">
        <v>12677</v>
      </c>
      <c r="E6700">
        <v>7</v>
      </c>
      <c r="F6700" t="s">
        <v>37010</v>
      </c>
      <c r="G6700" t="s">
        <v>37011</v>
      </c>
      <c r="H6700" s="4" t="s">
        <v>37012</v>
      </c>
      <c r="I6700" t="s">
        <v>71</v>
      </c>
      <c r="J6700" t="s">
        <v>10782</v>
      </c>
      <c r="K6700" t="s">
        <v>37013</v>
      </c>
    </row>
    <row r="6701" spans="1:11" ht="187.2" x14ac:dyDescent="0.3">
      <c r="A6701" s="4" t="s">
        <v>9465</v>
      </c>
      <c r="B6701">
        <v>3</v>
      </c>
      <c r="C6701">
        <v>2011</v>
      </c>
      <c r="D6701" t="s">
        <v>35904</v>
      </c>
      <c r="E6701">
        <v>49</v>
      </c>
      <c r="F6701" t="s">
        <v>37014</v>
      </c>
      <c r="G6701" t="s">
        <v>37015</v>
      </c>
      <c r="H6701" s="4" t="s">
        <v>37016</v>
      </c>
      <c r="I6701" t="s">
        <v>71</v>
      </c>
      <c r="J6701" t="s">
        <v>10782</v>
      </c>
      <c r="K6701" t="s">
        <v>37017</v>
      </c>
    </row>
    <row r="6702" spans="1:11" ht="57.6" x14ac:dyDescent="0.3">
      <c r="A6702" s="4" t="s">
        <v>9466</v>
      </c>
      <c r="B6702">
        <v>3</v>
      </c>
      <c r="C6702">
        <v>2011</v>
      </c>
      <c r="D6702" t="s">
        <v>10924</v>
      </c>
      <c r="E6702">
        <v>79</v>
      </c>
      <c r="F6702" t="s">
        <v>37018</v>
      </c>
      <c r="G6702" t="s">
        <v>37019</v>
      </c>
      <c r="H6702" s="4" t="s">
        <v>37020</v>
      </c>
    </row>
    <row r="6703" spans="1:11" ht="86.4" x14ac:dyDescent="0.3">
      <c r="A6703" s="4" t="s">
        <v>9467</v>
      </c>
      <c r="B6703">
        <v>3</v>
      </c>
      <c r="C6703">
        <v>2011</v>
      </c>
      <c r="D6703" t="s">
        <v>35451</v>
      </c>
      <c r="E6703">
        <v>78</v>
      </c>
      <c r="F6703" t="s">
        <v>37021</v>
      </c>
      <c r="G6703" t="s">
        <v>37022</v>
      </c>
      <c r="H6703" s="4" t="s">
        <v>37023</v>
      </c>
    </row>
    <row r="6704" spans="1:11" ht="158.4" x14ac:dyDescent="0.3">
      <c r="A6704" s="4" t="s">
        <v>9468</v>
      </c>
      <c r="B6704">
        <v>3</v>
      </c>
      <c r="C6704">
        <v>2011</v>
      </c>
      <c r="D6704" t="s">
        <v>1770</v>
      </c>
      <c r="E6704">
        <v>49</v>
      </c>
      <c r="F6704" t="s">
        <v>37024</v>
      </c>
      <c r="G6704" t="s">
        <v>37025</v>
      </c>
      <c r="H6704" s="4" t="s">
        <v>37026</v>
      </c>
      <c r="I6704" t="s">
        <v>71</v>
      </c>
      <c r="J6704" t="s">
        <v>10782</v>
      </c>
      <c r="K6704" t="s">
        <v>37027</v>
      </c>
    </row>
    <row r="6705" spans="1:11" ht="259.2" x14ac:dyDescent="0.3">
      <c r="A6705" s="4" t="s">
        <v>9469</v>
      </c>
      <c r="B6705">
        <v>3</v>
      </c>
      <c r="C6705">
        <v>2011</v>
      </c>
      <c r="D6705" t="s">
        <v>37028</v>
      </c>
      <c r="E6705">
        <v>20</v>
      </c>
      <c r="F6705" t="s">
        <v>37029</v>
      </c>
      <c r="G6705" t="s">
        <v>37030</v>
      </c>
      <c r="H6705" s="4" t="s">
        <v>37031</v>
      </c>
      <c r="I6705" t="s">
        <v>71</v>
      </c>
      <c r="J6705" t="s">
        <v>10782</v>
      </c>
      <c r="K6705" t="s">
        <v>37032</v>
      </c>
    </row>
    <row r="6706" spans="1:11" ht="216" x14ac:dyDescent="0.3">
      <c r="A6706" s="4" t="s">
        <v>9470</v>
      </c>
      <c r="B6706">
        <v>3</v>
      </c>
      <c r="C6706">
        <v>2011</v>
      </c>
      <c r="D6706" t="s">
        <v>679</v>
      </c>
      <c r="E6706">
        <v>15</v>
      </c>
      <c r="F6706" t="s">
        <v>37033</v>
      </c>
      <c r="G6706" t="s">
        <v>37034</v>
      </c>
      <c r="H6706" s="4" t="s">
        <v>37035</v>
      </c>
      <c r="I6706" t="s">
        <v>71</v>
      </c>
      <c r="J6706" t="s">
        <v>10782</v>
      </c>
      <c r="K6706" t="s">
        <v>37036</v>
      </c>
    </row>
    <row r="6707" spans="1:11" ht="201.6" x14ac:dyDescent="0.3">
      <c r="A6707" s="4" t="s">
        <v>9471</v>
      </c>
      <c r="B6707">
        <v>3</v>
      </c>
      <c r="C6707">
        <v>2011</v>
      </c>
      <c r="D6707" t="s">
        <v>2282</v>
      </c>
      <c r="E6707">
        <v>62</v>
      </c>
      <c r="F6707" t="s">
        <v>37037</v>
      </c>
      <c r="G6707" t="s">
        <v>37038</v>
      </c>
      <c r="H6707" s="4" t="s">
        <v>37039</v>
      </c>
      <c r="I6707" t="s">
        <v>10823</v>
      </c>
      <c r="J6707" t="s">
        <v>10782</v>
      </c>
      <c r="K6707" t="s">
        <v>37040</v>
      </c>
    </row>
    <row r="6708" spans="1:11" ht="230.4" x14ac:dyDescent="0.3">
      <c r="A6708" s="4" t="s">
        <v>9472</v>
      </c>
      <c r="B6708">
        <v>3</v>
      </c>
      <c r="C6708">
        <v>2011</v>
      </c>
      <c r="D6708" t="s">
        <v>36234</v>
      </c>
      <c r="E6708">
        <v>99</v>
      </c>
      <c r="F6708" t="s">
        <v>37041</v>
      </c>
      <c r="G6708" t="s">
        <v>37042</v>
      </c>
      <c r="H6708" s="4" t="s">
        <v>37043</v>
      </c>
      <c r="I6708" t="s">
        <v>71</v>
      </c>
      <c r="J6708" t="s">
        <v>10782</v>
      </c>
      <c r="K6708" t="s">
        <v>37044</v>
      </c>
    </row>
    <row r="6709" spans="1:11" ht="100.8" x14ac:dyDescent="0.3">
      <c r="A6709" s="4" t="s">
        <v>9473</v>
      </c>
      <c r="B6709">
        <v>3</v>
      </c>
      <c r="C6709">
        <v>2011</v>
      </c>
      <c r="D6709" t="s">
        <v>37045</v>
      </c>
      <c r="E6709">
        <v>2</v>
      </c>
      <c r="F6709" t="s">
        <v>37046</v>
      </c>
      <c r="G6709" t="s">
        <v>37047</v>
      </c>
      <c r="H6709" s="4" t="s">
        <v>37048</v>
      </c>
      <c r="I6709" t="s">
        <v>71</v>
      </c>
      <c r="J6709" t="s">
        <v>10782</v>
      </c>
      <c r="K6709" t="s">
        <v>37049</v>
      </c>
    </row>
    <row r="6710" spans="1:11" ht="115.2" x14ac:dyDescent="0.3">
      <c r="A6710" s="4" t="s">
        <v>9474</v>
      </c>
      <c r="B6710">
        <v>3</v>
      </c>
      <c r="C6710">
        <v>2011</v>
      </c>
      <c r="D6710" t="s">
        <v>12593</v>
      </c>
      <c r="E6710">
        <v>50</v>
      </c>
      <c r="F6710" t="s">
        <v>37050</v>
      </c>
      <c r="G6710" t="s">
        <v>37051</v>
      </c>
      <c r="H6710" s="4" t="s">
        <v>37052</v>
      </c>
    </row>
    <row r="6711" spans="1:11" ht="129.6" x14ac:dyDescent="0.3">
      <c r="A6711" s="4" t="s">
        <v>9475</v>
      </c>
      <c r="B6711">
        <v>3</v>
      </c>
      <c r="C6711">
        <v>2011</v>
      </c>
      <c r="D6711" t="s">
        <v>37053</v>
      </c>
      <c r="E6711">
        <v>1</v>
      </c>
      <c r="G6711" t="s">
        <v>37054</v>
      </c>
      <c r="H6711" s="4" t="s">
        <v>37055</v>
      </c>
      <c r="I6711" s="4" t="s">
        <v>71</v>
      </c>
      <c r="J6711" t="s">
        <v>10782</v>
      </c>
      <c r="K6711" t="s">
        <v>37056</v>
      </c>
    </row>
    <row r="6712" spans="1:11" ht="158.4" x14ac:dyDescent="0.3">
      <c r="A6712" s="4" t="s">
        <v>9476</v>
      </c>
      <c r="B6712">
        <v>3</v>
      </c>
      <c r="C6712">
        <v>2011</v>
      </c>
      <c r="D6712" t="s">
        <v>1525</v>
      </c>
      <c r="E6712">
        <v>37</v>
      </c>
      <c r="F6712" t="s">
        <v>37057</v>
      </c>
      <c r="G6712" t="s">
        <v>37058</v>
      </c>
      <c r="H6712" s="4" t="s">
        <v>37059</v>
      </c>
    </row>
    <row r="6713" spans="1:11" ht="259.2" x14ac:dyDescent="0.3">
      <c r="A6713" s="4" t="s">
        <v>9477</v>
      </c>
      <c r="B6713">
        <v>3</v>
      </c>
      <c r="C6713">
        <v>2011</v>
      </c>
      <c r="D6713" t="s">
        <v>21123</v>
      </c>
      <c r="E6713">
        <v>20</v>
      </c>
      <c r="F6713" t="s">
        <v>37060</v>
      </c>
      <c r="G6713" t="s">
        <v>37061</v>
      </c>
      <c r="H6713" s="4" t="s">
        <v>37062</v>
      </c>
      <c r="I6713" t="s">
        <v>71</v>
      </c>
      <c r="J6713" t="s">
        <v>10782</v>
      </c>
      <c r="K6713" t="s">
        <v>37063</v>
      </c>
    </row>
    <row r="6714" spans="1:11" ht="129.6" x14ac:dyDescent="0.3">
      <c r="A6714" s="4" t="s">
        <v>9478</v>
      </c>
      <c r="B6714">
        <v>3</v>
      </c>
      <c r="C6714">
        <v>2011</v>
      </c>
      <c r="D6714" t="s">
        <v>33269</v>
      </c>
      <c r="E6714">
        <v>0</v>
      </c>
      <c r="F6714" t="s">
        <v>37064</v>
      </c>
      <c r="G6714" t="s">
        <v>37065</v>
      </c>
      <c r="H6714" s="4" t="s">
        <v>37066</v>
      </c>
      <c r="I6714" t="s">
        <v>37067</v>
      </c>
    </row>
    <row r="6715" spans="1:11" ht="72" x14ac:dyDescent="0.3">
      <c r="A6715" s="4" t="s">
        <v>9479</v>
      </c>
      <c r="B6715">
        <v>3</v>
      </c>
      <c r="C6715">
        <v>2011</v>
      </c>
      <c r="D6715" t="s">
        <v>1794</v>
      </c>
      <c r="E6715">
        <v>2</v>
      </c>
      <c r="F6715" t="s">
        <v>37068</v>
      </c>
      <c r="G6715" t="s">
        <v>37069</v>
      </c>
      <c r="H6715" s="4" t="s">
        <v>37070</v>
      </c>
      <c r="I6715" t="s">
        <v>71</v>
      </c>
      <c r="J6715" t="s">
        <v>10782</v>
      </c>
      <c r="K6715" t="s">
        <v>37071</v>
      </c>
    </row>
    <row r="6716" spans="1:11" ht="43.2" x14ac:dyDescent="0.3">
      <c r="A6716" s="4" t="s">
        <v>9480</v>
      </c>
      <c r="B6716">
        <v>3</v>
      </c>
      <c r="C6716">
        <v>2011</v>
      </c>
      <c r="D6716" t="s">
        <v>37072</v>
      </c>
      <c r="E6716">
        <v>82</v>
      </c>
      <c r="F6716" t="s">
        <v>37073</v>
      </c>
      <c r="G6716" t="s">
        <v>37074</v>
      </c>
      <c r="H6716" s="4" t="s">
        <v>37075</v>
      </c>
    </row>
    <row r="6717" spans="1:11" ht="115.2" x14ac:dyDescent="0.3">
      <c r="A6717" s="4" t="s">
        <v>9481</v>
      </c>
      <c r="B6717">
        <v>3</v>
      </c>
      <c r="C6717">
        <v>2011</v>
      </c>
      <c r="D6717" t="s">
        <v>19499</v>
      </c>
      <c r="E6717">
        <v>0</v>
      </c>
      <c r="G6717" t="s">
        <v>37076</v>
      </c>
      <c r="H6717" s="4" t="s">
        <v>37077</v>
      </c>
      <c r="I6717" s="4" t="s">
        <v>71</v>
      </c>
      <c r="J6717" t="s">
        <v>10782</v>
      </c>
      <c r="K6717" t="s">
        <v>37078</v>
      </c>
    </row>
    <row r="6718" spans="1:11" ht="187.2" x14ac:dyDescent="0.3">
      <c r="A6718" s="4" t="s">
        <v>9482</v>
      </c>
      <c r="B6718">
        <v>3</v>
      </c>
      <c r="C6718">
        <v>2011</v>
      </c>
      <c r="D6718" t="s">
        <v>23247</v>
      </c>
      <c r="E6718">
        <v>14</v>
      </c>
      <c r="F6718" t="s">
        <v>37079</v>
      </c>
      <c r="G6718" t="s">
        <v>37080</v>
      </c>
      <c r="H6718" s="4" t="s">
        <v>37081</v>
      </c>
      <c r="I6718" t="s">
        <v>71</v>
      </c>
      <c r="J6718" t="s">
        <v>10782</v>
      </c>
      <c r="K6718" t="s">
        <v>37082</v>
      </c>
    </row>
    <row r="6719" spans="1:11" ht="216" x14ac:dyDescent="0.3">
      <c r="A6719" s="4" t="s">
        <v>9483</v>
      </c>
      <c r="B6719">
        <v>3</v>
      </c>
      <c r="C6719">
        <v>2011</v>
      </c>
      <c r="D6719" t="s">
        <v>2282</v>
      </c>
      <c r="E6719">
        <v>31</v>
      </c>
      <c r="F6719" t="s">
        <v>37083</v>
      </c>
      <c r="G6719" t="s">
        <v>37084</v>
      </c>
      <c r="H6719" s="4" t="s">
        <v>37085</v>
      </c>
      <c r="I6719" t="s">
        <v>71</v>
      </c>
      <c r="J6719" t="s">
        <v>10782</v>
      </c>
      <c r="K6719" t="s">
        <v>37086</v>
      </c>
    </row>
    <row r="6720" spans="1:11" ht="216" x14ac:dyDescent="0.3">
      <c r="A6720" s="4" t="s">
        <v>9484</v>
      </c>
      <c r="B6720">
        <v>3</v>
      </c>
      <c r="C6720">
        <v>2011</v>
      </c>
      <c r="D6720" t="s">
        <v>12491</v>
      </c>
      <c r="E6720">
        <v>130</v>
      </c>
      <c r="F6720" t="s">
        <v>37087</v>
      </c>
      <c r="G6720" t="s">
        <v>37088</v>
      </c>
      <c r="H6720" s="4" t="s">
        <v>37089</v>
      </c>
      <c r="I6720" t="s">
        <v>71</v>
      </c>
      <c r="J6720" t="s">
        <v>10782</v>
      </c>
      <c r="K6720" t="s">
        <v>37090</v>
      </c>
    </row>
    <row r="6721" spans="1:11" ht="216" x14ac:dyDescent="0.3">
      <c r="A6721" s="4" t="s">
        <v>9485</v>
      </c>
      <c r="B6721">
        <v>3</v>
      </c>
      <c r="C6721">
        <v>2011</v>
      </c>
      <c r="D6721" t="s">
        <v>11041</v>
      </c>
      <c r="E6721">
        <v>45</v>
      </c>
      <c r="F6721" t="s">
        <v>37091</v>
      </c>
      <c r="G6721" t="s">
        <v>37092</v>
      </c>
      <c r="H6721" s="4" t="s">
        <v>37093</v>
      </c>
      <c r="I6721" t="s">
        <v>71</v>
      </c>
      <c r="J6721" t="s">
        <v>10782</v>
      </c>
      <c r="K6721" t="s">
        <v>37094</v>
      </c>
    </row>
    <row r="6722" spans="1:11" ht="172.8" x14ac:dyDescent="0.3">
      <c r="A6722" s="4" t="s">
        <v>9486</v>
      </c>
      <c r="B6722">
        <v>3</v>
      </c>
      <c r="C6722">
        <v>2011</v>
      </c>
      <c r="D6722" t="s">
        <v>23247</v>
      </c>
      <c r="E6722">
        <v>13</v>
      </c>
      <c r="F6722" t="s">
        <v>37095</v>
      </c>
      <c r="G6722" t="s">
        <v>37096</v>
      </c>
      <c r="H6722" s="4" t="s">
        <v>37097</v>
      </c>
      <c r="I6722" t="s">
        <v>71</v>
      </c>
      <c r="J6722" t="s">
        <v>10782</v>
      </c>
      <c r="K6722" t="s">
        <v>37098</v>
      </c>
    </row>
    <row r="6723" spans="1:11" ht="172.8" x14ac:dyDescent="0.3">
      <c r="A6723" s="4" t="s">
        <v>9487</v>
      </c>
      <c r="B6723">
        <v>3</v>
      </c>
      <c r="C6723">
        <v>2011</v>
      </c>
      <c r="D6723" t="s">
        <v>799</v>
      </c>
      <c r="E6723">
        <v>119</v>
      </c>
      <c r="F6723" t="s">
        <v>37099</v>
      </c>
      <c r="G6723" t="s">
        <v>37100</v>
      </c>
      <c r="H6723" s="4" t="s">
        <v>37101</v>
      </c>
      <c r="I6723" t="s">
        <v>10823</v>
      </c>
      <c r="J6723" t="s">
        <v>10782</v>
      </c>
      <c r="K6723" t="s">
        <v>37102</v>
      </c>
    </row>
    <row r="6724" spans="1:11" ht="172.8" x14ac:dyDescent="0.3">
      <c r="A6724" s="4" t="s">
        <v>9488</v>
      </c>
      <c r="B6724">
        <v>3</v>
      </c>
      <c r="C6724">
        <v>2011</v>
      </c>
      <c r="D6724" t="s">
        <v>217</v>
      </c>
      <c r="E6724">
        <v>20</v>
      </c>
      <c r="F6724" t="s">
        <v>37103</v>
      </c>
      <c r="G6724" t="s">
        <v>37104</v>
      </c>
      <c r="H6724" s="4" t="s">
        <v>37105</v>
      </c>
      <c r="I6724" t="s">
        <v>71</v>
      </c>
      <c r="J6724" t="s">
        <v>10782</v>
      </c>
      <c r="K6724" t="s">
        <v>37106</v>
      </c>
    </row>
    <row r="6725" spans="1:11" ht="158.4" x14ac:dyDescent="0.3">
      <c r="A6725" s="4" t="s">
        <v>9489</v>
      </c>
      <c r="B6725">
        <v>3</v>
      </c>
      <c r="C6725">
        <v>2011</v>
      </c>
      <c r="D6725" t="s">
        <v>12593</v>
      </c>
      <c r="E6725">
        <v>42</v>
      </c>
      <c r="F6725" t="s">
        <v>37107</v>
      </c>
      <c r="G6725" t="s">
        <v>37108</v>
      </c>
      <c r="H6725" s="4" t="s">
        <v>37109</v>
      </c>
      <c r="I6725" t="s">
        <v>71</v>
      </c>
      <c r="J6725" t="s">
        <v>10782</v>
      </c>
      <c r="K6725" t="s">
        <v>37110</v>
      </c>
    </row>
    <row r="6726" spans="1:11" ht="230.4" x14ac:dyDescent="0.3">
      <c r="A6726" s="4" t="s">
        <v>9490</v>
      </c>
      <c r="B6726">
        <v>3</v>
      </c>
      <c r="C6726">
        <v>2011</v>
      </c>
      <c r="D6726" t="s">
        <v>1836</v>
      </c>
      <c r="E6726">
        <v>97</v>
      </c>
      <c r="F6726" t="s">
        <v>37111</v>
      </c>
      <c r="G6726" t="s">
        <v>37112</v>
      </c>
      <c r="H6726" s="4" t="s">
        <v>37113</v>
      </c>
      <c r="I6726" t="s">
        <v>71</v>
      </c>
      <c r="J6726" t="s">
        <v>10782</v>
      </c>
      <c r="K6726" t="s">
        <v>37114</v>
      </c>
    </row>
    <row r="6727" spans="1:11" ht="172.8" x14ac:dyDescent="0.3">
      <c r="A6727" s="4" t="s">
        <v>9491</v>
      </c>
      <c r="B6727">
        <v>3</v>
      </c>
      <c r="C6727">
        <v>2011</v>
      </c>
      <c r="D6727" t="s">
        <v>550</v>
      </c>
      <c r="E6727">
        <v>3</v>
      </c>
      <c r="F6727" t="s">
        <v>37115</v>
      </c>
      <c r="G6727" t="s">
        <v>37116</v>
      </c>
      <c r="H6727" s="4" t="s">
        <v>37117</v>
      </c>
      <c r="I6727" t="s">
        <v>71</v>
      </c>
      <c r="J6727" t="s">
        <v>10782</v>
      </c>
      <c r="K6727" t="s">
        <v>37118</v>
      </c>
    </row>
    <row r="6728" spans="1:11" ht="144" x14ac:dyDescent="0.3">
      <c r="A6728" s="4" t="s">
        <v>9492</v>
      </c>
      <c r="B6728">
        <v>3</v>
      </c>
      <c r="C6728">
        <v>2011</v>
      </c>
      <c r="D6728" t="s">
        <v>2282</v>
      </c>
      <c r="E6728">
        <v>33</v>
      </c>
      <c r="F6728" t="s">
        <v>37119</v>
      </c>
      <c r="G6728" t="s">
        <v>37120</v>
      </c>
      <c r="H6728" s="4" t="s">
        <v>37121</v>
      </c>
      <c r="I6728" t="s">
        <v>71</v>
      </c>
      <c r="J6728" t="s">
        <v>10782</v>
      </c>
      <c r="K6728" t="s">
        <v>37122</v>
      </c>
    </row>
    <row r="6729" spans="1:11" ht="158.4" x14ac:dyDescent="0.3">
      <c r="A6729" s="4" t="s">
        <v>9493</v>
      </c>
      <c r="B6729">
        <v>3</v>
      </c>
      <c r="C6729">
        <v>2011</v>
      </c>
      <c r="D6729" t="s">
        <v>217</v>
      </c>
      <c r="E6729">
        <v>20</v>
      </c>
      <c r="F6729" t="s">
        <v>37123</v>
      </c>
      <c r="G6729" t="s">
        <v>37124</v>
      </c>
      <c r="H6729" s="4" t="s">
        <v>37125</v>
      </c>
      <c r="I6729" t="s">
        <v>71</v>
      </c>
      <c r="J6729" t="s">
        <v>10782</v>
      </c>
      <c r="K6729" t="s">
        <v>37126</v>
      </c>
    </row>
    <row r="6730" spans="1:11" ht="158.4" x14ac:dyDescent="0.3">
      <c r="A6730" s="4" t="s">
        <v>9494</v>
      </c>
      <c r="B6730">
        <v>3</v>
      </c>
      <c r="C6730">
        <v>2011</v>
      </c>
      <c r="D6730" t="s">
        <v>385</v>
      </c>
      <c r="E6730">
        <v>122</v>
      </c>
      <c r="F6730" t="s">
        <v>37127</v>
      </c>
      <c r="G6730" t="s">
        <v>37128</v>
      </c>
      <c r="H6730" s="4" t="s">
        <v>37129</v>
      </c>
      <c r="I6730" t="s">
        <v>71</v>
      </c>
      <c r="J6730" t="s">
        <v>10782</v>
      </c>
      <c r="K6730" t="s">
        <v>37130</v>
      </c>
    </row>
    <row r="6731" spans="1:11" ht="201.6" x14ac:dyDescent="0.3">
      <c r="A6731" s="4" t="s">
        <v>9495</v>
      </c>
      <c r="B6731">
        <v>3</v>
      </c>
      <c r="C6731">
        <v>2011</v>
      </c>
      <c r="D6731" t="s">
        <v>799</v>
      </c>
      <c r="E6731">
        <v>63</v>
      </c>
      <c r="F6731" t="s">
        <v>37131</v>
      </c>
      <c r="G6731" t="s">
        <v>37132</v>
      </c>
      <c r="H6731" s="4" t="s">
        <v>37133</v>
      </c>
      <c r="I6731" t="s">
        <v>10823</v>
      </c>
      <c r="J6731" t="s">
        <v>10782</v>
      </c>
      <c r="K6731" t="s">
        <v>37134</v>
      </c>
    </row>
    <row r="6732" spans="1:11" ht="144" x14ac:dyDescent="0.3">
      <c r="A6732" s="4" t="s">
        <v>9496</v>
      </c>
      <c r="B6732">
        <v>3</v>
      </c>
      <c r="C6732">
        <v>2011</v>
      </c>
      <c r="D6732" t="s">
        <v>11598</v>
      </c>
      <c r="E6732">
        <v>382</v>
      </c>
      <c r="F6732" t="s">
        <v>37135</v>
      </c>
      <c r="G6732" t="s">
        <v>37136</v>
      </c>
      <c r="H6732" s="4" t="s">
        <v>37137</v>
      </c>
      <c r="I6732" t="s">
        <v>71</v>
      </c>
      <c r="J6732" t="s">
        <v>10782</v>
      </c>
      <c r="K6732" t="s">
        <v>37138</v>
      </c>
    </row>
    <row r="6733" spans="1:11" ht="115.2" x14ac:dyDescent="0.3">
      <c r="A6733" s="4" t="s">
        <v>9497</v>
      </c>
      <c r="B6733">
        <v>3</v>
      </c>
      <c r="C6733">
        <v>2011</v>
      </c>
      <c r="D6733" t="s">
        <v>1530</v>
      </c>
      <c r="E6733">
        <v>3</v>
      </c>
      <c r="F6733" t="s">
        <v>37139</v>
      </c>
      <c r="G6733" t="s">
        <v>37140</v>
      </c>
      <c r="H6733" s="4" t="s">
        <v>37141</v>
      </c>
    </row>
    <row r="6734" spans="1:11" ht="129.6" x14ac:dyDescent="0.3">
      <c r="A6734" s="4" t="s">
        <v>9498</v>
      </c>
      <c r="B6734">
        <v>3</v>
      </c>
      <c r="C6734">
        <v>2011</v>
      </c>
      <c r="D6734" t="s">
        <v>13210</v>
      </c>
      <c r="E6734">
        <v>29</v>
      </c>
      <c r="F6734" t="s">
        <v>37142</v>
      </c>
      <c r="G6734" t="s">
        <v>37143</v>
      </c>
      <c r="H6734" s="4" t="s">
        <v>37144</v>
      </c>
      <c r="I6734" t="s">
        <v>71</v>
      </c>
      <c r="J6734" t="s">
        <v>10782</v>
      </c>
      <c r="K6734" t="s">
        <v>37145</v>
      </c>
    </row>
    <row r="6735" spans="1:11" ht="86.4" x14ac:dyDescent="0.3">
      <c r="A6735" s="4" t="s">
        <v>9499</v>
      </c>
      <c r="B6735">
        <v>3</v>
      </c>
      <c r="C6735">
        <v>2011</v>
      </c>
      <c r="D6735" t="s">
        <v>217</v>
      </c>
      <c r="E6735">
        <v>27</v>
      </c>
      <c r="F6735" t="s">
        <v>37146</v>
      </c>
      <c r="G6735" t="s">
        <v>37147</v>
      </c>
      <c r="H6735" s="4" t="s">
        <v>37148</v>
      </c>
      <c r="I6735" t="s">
        <v>71</v>
      </c>
      <c r="J6735" t="s">
        <v>10782</v>
      </c>
      <c r="K6735" t="s">
        <v>37149</v>
      </c>
    </row>
    <row r="6736" spans="1:11" ht="129.6" x14ac:dyDescent="0.3">
      <c r="A6736" s="4" t="s">
        <v>9500</v>
      </c>
      <c r="B6736">
        <v>3</v>
      </c>
      <c r="C6736">
        <v>2011</v>
      </c>
      <c r="D6736" t="s">
        <v>23242</v>
      </c>
      <c r="E6736">
        <v>2</v>
      </c>
      <c r="F6736" t="s">
        <v>37150</v>
      </c>
      <c r="G6736" t="s">
        <v>37151</v>
      </c>
      <c r="H6736" s="4" t="s">
        <v>37152</v>
      </c>
      <c r="I6736" t="s">
        <v>71</v>
      </c>
      <c r="J6736" t="s">
        <v>10782</v>
      </c>
      <c r="K6736" t="s">
        <v>37153</v>
      </c>
    </row>
    <row r="6737" spans="1:11" ht="172.8" x14ac:dyDescent="0.3">
      <c r="A6737" s="4" t="s">
        <v>9501</v>
      </c>
      <c r="B6737">
        <v>3</v>
      </c>
      <c r="C6737">
        <v>2011</v>
      </c>
      <c r="D6737" t="s">
        <v>21027</v>
      </c>
      <c r="E6737">
        <v>261</v>
      </c>
      <c r="F6737" t="s">
        <v>37154</v>
      </c>
      <c r="G6737" t="s">
        <v>37155</v>
      </c>
      <c r="H6737" s="4" t="s">
        <v>37156</v>
      </c>
    </row>
    <row r="6738" spans="1:11" ht="144" x14ac:dyDescent="0.3">
      <c r="A6738" s="4" t="s">
        <v>9502</v>
      </c>
      <c r="B6738">
        <v>3</v>
      </c>
      <c r="C6738">
        <v>2011</v>
      </c>
      <c r="D6738" t="s">
        <v>19720</v>
      </c>
      <c r="E6738">
        <v>4</v>
      </c>
      <c r="F6738" t="s">
        <v>37157</v>
      </c>
      <c r="G6738" t="s">
        <v>37158</v>
      </c>
      <c r="H6738" s="4" t="s">
        <v>37159</v>
      </c>
      <c r="I6738" t="s">
        <v>71</v>
      </c>
      <c r="J6738" t="s">
        <v>10782</v>
      </c>
      <c r="K6738" t="s">
        <v>37160</v>
      </c>
    </row>
    <row r="6739" spans="1:11" ht="288" x14ac:dyDescent="0.3">
      <c r="A6739" s="4" t="s">
        <v>9503</v>
      </c>
      <c r="B6739">
        <v>3</v>
      </c>
      <c r="C6739">
        <v>2011</v>
      </c>
      <c r="D6739" t="s">
        <v>2222</v>
      </c>
      <c r="E6739">
        <v>2</v>
      </c>
      <c r="G6739" t="s">
        <v>37161</v>
      </c>
      <c r="H6739" s="4" t="s">
        <v>37162</v>
      </c>
      <c r="I6739" s="4" t="s">
        <v>71</v>
      </c>
      <c r="J6739" t="s">
        <v>10782</v>
      </c>
      <c r="K6739" t="s">
        <v>37163</v>
      </c>
    </row>
    <row r="6740" spans="1:11" ht="201.6" x14ac:dyDescent="0.3">
      <c r="A6740" s="4" t="s">
        <v>9504</v>
      </c>
      <c r="B6740">
        <v>3</v>
      </c>
      <c r="C6740">
        <v>2011</v>
      </c>
      <c r="D6740" t="s">
        <v>217</v>
      </c>
      <c r="E6740">
        <v>66</v>
      </c>
      <c r="F6740" t="s">
        <v>37164</v>
      </c>
      <c r="G6740" t="s">
        <v>37165</v>
      </c>
      <c r="H6740" s="4" t="s">
        <v>37166</v>
      </c>
      <c r="I6740" t="s">
        <v>71</v>
      </c>
      <c r="J6740" t="s">
        <v>10782</v>
      </c>
      <c r="K6740" t="s">
        <v>37167</v>
      </c>
    </row>
    <row r="6741" spans="1:11" ht="187.2" x14ac:dyDescent="0.3">
      <c r="A6741" s="4" t="s">
        <v>9505</v>
      </c>
      <c r="B6741">
        <v>3</v>
      </c>
      <c r="C6741">
        <v>2011</v>
      </c>
      <c r="D6741" t="s">
        <v>799</v>
      </c>
      <c r="E6741">
        <v>51</v>
      </c>
      <c r="F6741" t="s">
        <v>37168</v>
      </c>
      <c r="G6741" t="s">
        <v>37169</v>
      </c>
      <c r="H6741" s="4" t="s">
        <v>37170</v>
      </c>
      <c r="I6741" t="s">
        <v>71</v>
      </c>
      <c r="J6741" t="s">
        <v>10782</v>
      </c>
      <c r="K6741" t="s">
        <v>37171</v>
      </c>
    </row>
    <row r="6742" spans="1:11" ht="115.2" x14ac:dyDescent="0.3">
      <c r="A6742" s="4" t="s">
        <v>9506</v>
      </c>
      <c r="B6742">
        <v>3</v>
      </c>
      <c r="C6742">
        <v>2011</v>
      </c>
      <c r="D6742" t="s">
        <v>1525</v>
      </c>
      <c r="E6742">
        <v>290</v>
      </c>
      <c r="F6742" t="s">
        <v>37172</v>
      </c>
      <c r="G6742" t="s">
        <v>37173</v>
      </c>
      <c r="H6742" s="4" t="s">
        <v>37174</v>
      </c>
      <c r="I6742" t="s">
        <v>71</v>
      </c>
      <c r="J6742" t="s">
        <v>10782</v>
      </c>
      <c r="K6742" t="s">
        <v>37175</v>
      </c>
    </row>
    <row r="6743" spans="1:11" ht="187.2" x14ac:dyDescent="0.3">
      <c r="A6743" s="4" t="s">
        <v>9507</v>
      </c>
      <c r="B6743">
        <v>3</v>
      </c>
      <c r="C6743">
        <v>2011</v>
      </c>
      <c r="D6743" t="s">
        <v>25426</v>
      </c>
      <c r="E6743">
        <v>83</v>
      </c>
      <c r="F6743" t="s">
        <v>37176</v>
      </c>
      <c r="G6743" t="s">
        <v>37177</v>
      </c>
      <c r="H6743" s="4" t="s">
        <v>37178</v>
      </c>
      <c r="I6743" t="s">
        <v>71</v>
      </c>
      <c r="J6743" t="s">
        <v>10782</v>
      </c>
      <c r="K6743" t="s">
        <v>37179</v>
      </c>
    </row>
    <row r="6744" spans="1:11" ht="172.8" x14ac:dyDescent="0.3">
      <c r="A6744" s="4" t="s">
        <v>9508</v>
      </c>
      <c r="B6744">
        <v>3</v>
      </c>
      <c r="C6744">
        <v>2011</v>
      </c>
      <c r="D6744" t="s">
        <v>37180</v>
      </c>
      <c r="E6744">
        <v>118</v>
      </c>
      <c r="F6744" t="s">
        <v>37181</v>
      </c>
      <c r="G6744" t="s">
        <v>37182</v>
      </c>
      <c r="H6744" s="4" t="s">
        <v>37183</v>
      </c>
      <c r="I6744" t="s">
        <v>71</v>
      </c>
      <c r="J6744" t="s">
        <v>10782</v>
      </c>
      <c r="K6744" t="s">
        <v>37184</v>
      </c>
    </row>
    <row r="6745" spans="1:11" ht="129.6" x14ac:dyDescent="0.3">
      <c r="A6745" s="4" t="s">
        <v>9509</v>
      </c>
      <c r="B6745">
        <v>3</v>
      </c>
      <c r="C6745">
        <v>2011</v>
      </c>
      <c r="D6745" t="s">
        <v>2282</v>
      </c>
      <c r="E6745">
        <v>234</v>
      </c>
      <c r="F6745" t="s">
        <v>37185</v>
      </c>
      <c r="G6745" t="s">
        <v>37186</v>
      </c>
      <c r="H6745" s="4" t="s">
        <v>37187</v>
      </c>
      <c r="I6745" t="s">
        <v>71</v>
      </c>
      <c r="J6745" t="s">
        <v>10782</v>
      </c>
      <c r="K6745" t="s">
        <v>37188</v>
      </c>
    </row>
    <row r="6746" spans="1:11" ht="100.8" x14ac:dyDescent="0.3">
      <c r="A6746" s="4" t="s">
        <v>2289</v>
      </c>
      <c r="B6746">
        <v>1</v>
      </c>
      <c r="C6746">
        <v>2011</v>
      </c>
      <c r="D6746" t="s">
        <v>550</v>
      </c>
      <c r="E6746">
        <v>35</v>
      </c>
      <c r="F6746" t="s">
        <v>37189</v>
      </c>
      <c r="G6746" t="s">
        <v>37190</v>
      </c>
      <c r="H6746" s="4" t="s">
        <v>37191</v>
      </c>
      <c r="I6746" t="s">
        <v>71</v>
      </c>
      <c r="J6746" t="s">
        <v>10782</v>
      </c>
      <c r="K6746" t="s">
        <v>37192</v>
      </c>
    </row>
    <row r="6747" spans="1:11" ht="129.6" x14ac:dyDescent="0.3">
      <c r="A6747" s="4" t="s">
        <v>9510</v>
      </c>
      <c r="B6747">
        <v>3</v>
      </c>
      <c r="C6747">
        <v>2011</v>
      </c>
      <c r="D6747" t="s">
        <v>2375</v>
      </c>
      <c r="E6747">
        <v>10</v>
      </c>
      <c r="F6747" t="s">
        <v>37193</v>
      </c>
      <c r="G6747" t="s">
        <v>37194</v>
      </c>
      <c r="H6747" s="4" t="s">
        <v>37195</v>
      </c>
      <c r="I6747" t="s">
        <v>71</v>
      </c>
      <c r="J6747" t="s">
        <v>10782</v>
      </c>
      <c r="K6747" t="s">
        <v>37196</v>
      </c>
    </row>
    <row r="6748" spans="1:11" ht="144" x14ac:dyDescent="0.3">
      <c r="A6748" s="4" t="s">
        <v>3668</v>
      </c>
      <c r="B6748">
        <v>2</v>
      </c>
      <c r="C6748">
        <v>2011</v>
      </c>
      <c r="D6748" t="s">
        <v>2282</v>
      </c>
      <c r="E6748">
        <v>75</v>
      </c>
      <c r="F6748" t="s">
        <v>37197</v>
      </c>
      <c r="G6748" t="s">
        <v>37198</v>
      </c>
      <c r="H6748" s="4" t="s">
        <v>37199</v>
      </c>
      <c r="I6748" t="s">
        <v>71</v>
      </c>
      <c r="J6748" t="s">
        <v>10782</v>
      </c>
      <c r="K6748" t="s">
        <v>37200</v>
      </c>
    </row>
    <row r="6749" spans="1:11" ht="144" x14ac:dyDescent="0.3">
      <c r="A6749" s="4" t="s">
        <v>9511</v>
      </c>
      <c r="B6749">
        <v>3</v>
      </c>
      <c r="C6749">
        <v>2011</v>
      </c>
      <c r="D6749" t="s">
        <v>17476</v>
      </c>
      <c r="E6749">
        <v>52</v>
      </c>
      <c r="F6749" t="s">
        <v>37201</v>
      </c>
      <c r="G6749" t="s">
        <v>37202</v>
      </c>
      <c r="H6749" s="4" t="s">
        <v>37203</v>
      </c>
      <c r="I6749" t="s">
        <v>71</v>
      </c>
      <c r="J6749" t="s">
        <v>10782</v>
      </c>
      <c r="K6749" t="s">
        <v>37204</v>
      </c>
    </row>
    <row r="6750" spans="1:11" ht="187.2" x14ac:dyDescent="0.3">
      <c r="A6750" s="4" t="s">
        <v>9512</v>
      </c>
      <c r="B6750">
        <v>3</v>
      </c>
      <c r="C6750">
        <v>2011</v>
      </c>
      <c r="D6750" t="s">
        <v>1688</v>
      </c>
      <c r="E6750">
        <v>186</v>
      </c>
      <c r="F6750" t="s">
        <v>37205</v>
      </c>
      <c r="G6750" t="s">
        <v>37206</v>
      </c>
      <c r="H6750" s="4" t="s">
        <v>37207</v>
      </c>
      <c r="I6750" t="s">
        <v>71</v>
      </c>
      <c r="J6750" t="s">
        <v>10782</v>
      </c>
      <c r="K6750" t="s">
        <v>37208</v>
      </c>
    </row>
    <row r="6751" spans="1:11" ht="43.2" x14ac:dyDescent="0.3">
      <c r="A6751" s="4" t="s">
        <v>9513</v>
      </c>
      <c r="B6751">
        <v>3</v>
      </c>
      <c r="C6751">
        <v>2011</v>
      </c>
      <c r="D6751" t="s">
        <v>37209</v>
      </c>
      <c r="E6751">
        <v>0</v>
      </c>
      <c r="F6751" t="s">
        <v>37210</v>
      </c>
      <c r="G6751" t="s">
        <v>37211</v>
      </c>
      <c r="H6751" s="4" t="s">
        <v>71</v>
      </c>
      <c r="I6751" t="s">
        <v>10782</v>
      </c>
      <c r="J6751" t="s">
        <v>37212</v>
      </c>
    </row>
    <row r="6752" spans="1:11" ht="129.6" x14ac:dyDescent="0.3">
      <c r="A6752" s="4" t="s">
        <v>9514</v>
      </c>
      <c r="B6752">
        <v>3</v>
      </c>
      <c r="C6752">
        <v>2011</v>
      </c>
      <c r="D6752" t="s">
        <v>1570</v>
      </c>
      <c r="E6752">
        <v>45</v>
      </c>
      <c r="F6752" t="s">
        <v>37213</v>
      </c>
      <c r="G6752" t="s">
        <v>37214</v>
      </c>
      <c r="H6752" s="4" t="s">
        <v>37215</v>
      </c>
      <c r="I6752" t="s">
        <v>71</v>
      </c>
      <c r="J6752" t="s">
        <v>10782</v>
      </c>
      <c r="K6752" t="s">
        <v>37216</v>
      </c>
    </row>
    <row r="6753" spans="1:11" ht="129.6" x14ac:dyDescent="0.3">
      <c r="A6753" s="4" t="s">
        <v>9515</v>
      </c>
      <c r="B6753">
        <v>3</v>
      </c>
      <c r="C6753">
        <v>2011</v>
      </c>
      <c r="D6753" t="s">
        <v>799</v>
      </c>
      <c r="E6753">
        <v>51</v>
      </c>
      <c r="F6753" t="s">
        <v>37217</v>
      </c>
      <c r="G6753" t="s">
        <v>37218</v>
      </c>
      <c r="H6753" s="4" t="s">
        <v>37219</v>
      </c>
      <c r="I6753" t="s">
        <v>71</v>
      </c>
      <c r="J6753" t="s">
        <v>10782</v>
      </c>
      <c r="K6753" t="s">
        <v>37220</v>
      </c>
    </row>
    <row r="6754" spans="1:11" ht="86.4" x14ac:dyDescent="0.3">
      <c r="A6754" s="4" t="s">
        <v>9516</v>
      </c>
      <c r="B6754">
        <v>3</v>
      </c>
      <c r="C6754">
        <v>2011</v>
      </c>
      <c r="D6754" t="s">
        <v>1015</v>
      </c>
      <c r="E6754">
        <v>3</v>
      </c>
      <c r="G6754" t="s">
        <v>37221</v>
      </c>
      <c r="H6754" s="4" t="s">
        <v>37222</v>
      </c>
      <c r="I6754" s="4" t="s">
        <v>71</v>
      </c>
      <c r="J6754" t="s">
        <v>10782</v>
      </c>
      <c r="K6754" t="s">
        <v>37223</v>
      </c>
    </row>
    <row r="6755" spans="1:11" ht="86.4" x14ac:dyDescent="0.3">
      <c r="A6755" s="4" t="s">
        <v>9517</v>
      </c>
      <c r="B6755">
        <v>3</v>
      </c>
      <c r="C6755">
        <v>2011</v>
      </c>
      <c r="D6755" t="s">
        <v>217</v>
      </c>
      <c r="E6755">
        <v>57</v>
      </c>
      <c r="F6755" t="s">
        <v>37224</v>
      </c>
      <c r="G6755" t="s">
        <v>37225</v>
      </c>
      <c r="H6755" s="4" t="s">
        <v>37226</v>
      </c>
      <c r="I6755" t="s">
        <v>71</v>
      </c>
      <c r="J6755" t="s">
        <v>10782</v>
      </c>
      <c r="K6755" t="s">
        <v>37227</v>
      </c>
    </row>
    <row r="6756" spans="1:11" ht="28.8" x14ac:dyDescent="0.3">
      <c r="A6756" s="4" t="s">
        <v>9518</v>
      </c>
      <c r="B6756">
        <v>3</v>
      </c>
      <c r="C6756">
        <v>2011</v>
      </c>
      <c r="D6756" t="s">
        <v>37228</v>
      </c>
      <c r="E6756">
        <v>8</v>
      </c>
      <c r="F6756" t="s">
        <v>37229</v>
      </c>
      <c r="G6756" t="s">
        <v>37230</v>
      </c>
      <c r="H6756" s="4" t="s">
        <v>71</v>
      </c>
      <c r="I6756" t="s">
        <v>10782</v>
      </c>
      <c r="J6756" t="s">
        <v>37231</v>
      </c>
    </row>
    <row r="6757" spans="1:11" ht="129.6" x14ac:dyDescent="0.3">
      <c r="A6757" s="4" t="s">
        <v>9519</v>
      </c>
      <c r="B6757">
        <v>3</v>
      </c>
      <c r="C6757">
        <v>2011</v>
      </c>
      <c r="D6757" t="s">
        <v>21008</v>
      </c>
      <c r="E6757">
        <v>10</v>
      </c>
      <c r="F6757" t="s">
        <v>37232</v>
      </c>
      <c r="G6757" t="s">
        <v>37233</v>
      </c>
      <c r="H6757" s="4" t="s">
        <v>37234</v>
      </c>
    </row>
    <row r="6758" spans="1:11" ht="158.4" x14ac:dyDescent="0.3">
      <c r="A6758" s="4" t="s">
        <v>9520</v>
      </c>
      <c r="B6758">
        <v>3</v>
      </c>
      <c r="C6758">
        <v>2011</v>
      </c>
      <c r="D6758" t="s">
        <v>37235</v>
      </c>
      <c r="E6758">
        <v>67</v>
      </c>
      <c r="F6758" t="s">
        <v>37236</v>
      </c>
      <c r="G6758" t="s">
        <v>37237</v>
      </c>
      <c r="H6758" s="4" t="s">
        <v>37238</v>
      </c>
      <c r="I6758" t="s">
        <v>71</v>
      </c>
      <c r="J6758" t="s">
        <v>10782</v>
      </c>
      <c r="K6758" t="s">
        <v>37239</v>
      </c>
    </row>
    <row r="6759" spans="1:11" ht="201.6" x14ac:dyDescent="0.3">
      <c r="A6759" s="4" t="s">
        <v>9521</v>
      </c>
      <c r="B6759">
        <v>3</v>
      </c>
      <c r="C6759">
        <v>2011</v>
      </c>
      <c r="D6759" t="s">
        <v>24512</v>
      </c>
      <c r="E6759">
        <v>24</v>
      </c>
      <c r="G6759" t="s">
        <v>37240</v>
      </c>
      <c r="H6759" s="4" t="s">
        <v>37241</v>
      </c>
      <c r="I6759" s="4" t="s">
        <v>71</v>
      </c>
      <c r="J6759" t="s">
        <v>10782</v>
      </c>
      <c r="K6759" t="s">
        <v>37242</v>
      </c>
    </row>
    <row r="6760" spans="1:11" ht="158.4" x14ac:dyDescent="0.3">
      <c r="A6760" s="4" t="s">
        <v>9522</v>
      </c>
      <c r="B6760">
        <v>3</v>
      </c>
      <c r="C6760">
        <v>2011</v>
      </c>
      <c r="D6760" t="s">
        <v>550</v>
      </c>
      <c r="E6760">
        <v>23</v>
      </c>
      <c r="F6760" t="s">
        <v>37243</v>
      </c>
      <c r="G6760" t="s">
        <v>37244</v>
      </c>
      <c r="H6760" s="4" t="s">
        <v>37245</v>
      </c>
      <c r="I6760" t="s">
        <v>71</v>
      </c>
      <c r="J6760" t="s">
        <v>10782</v>
      </c>
      <c r="K6760" t="s">
        <v>37246</v>
      </c>
    </row>
    <row r="6761" spans="1:11" ht="172.8" x14ac:dyDescent="0.3">
      <c r="A6761" s="4" t="s">
        <v>9523</v>
      </c>
      <c r="B6761">
        <v>3</v>
      </c>
      <c r="C6761">
        <v>2011</v>
      </c>
      <c r="D6761" t="s">
        <v>14310</v>
      </c>
      <c r="E6761">
        <v>77</v>
      </c>
      <c r="F6761" t="s">
        <v>37247</v>
      </c>
      <c r="G6761" t="s">
        <v>37248</v>
      </c>
      <c r="H6761" s="4" t="s">
        <v>37249</v>
      </c>
      <c r="I6761" t="s">
        <v>71</v>
      </c>
      <c r="J6761" t="s">
        <v>10782</v>
      </c>
      <c r="K6761" t="s">
        <v>37250</v>
      </c>
    </row>
    <row r="6762" spans="1:11" ht="172.8" x14ac:dyDescent="0.3">
      <c r="A6762" s="4" t="s">
        <v>9524</v>
      </c>
      <c r="B6762">
        <v>3</v>
      </c>
      <c r="C6762">
        <v>2011</v>
      </c>
      <c r="D6762" t="s">
        <v>11574</v>
      </c>
      <c r="E6762">
        <v>764</v>
      </c>
      <c r="F6762" t="s">
        <v>37251</v>
      </c>
      <c r="G6762" t="s">
        <v>37252</v>
      </c>
      <c r="H6762" s="4" t="s">
        <v>37253</v>
      </c>
    </row>
    <row r="6763" spans="1:11" ht="187.2" x14ac:dyDescent="0.3">
      <c r="A6763" s="4" t="s">
        <v>3436</v>
      </c>
      <c r="B6763">
        <v>1</v>
      </c>
      <c r="C6763">
        <v>2011</v>
      </c>
      <c r="D6763" t="s">
        <v>1688</v>
      </c>
      <c r="E6763">
        <v>159</v>
      </c>
      <c r="F6763" t="s">
        <v>37254</v>
      </c>
      <c r="G6763" t="s">
        <v>37255</v>
      </c>
      <c r="H6763" s="4" t="s">
        <v>37256</v>
      </c>
      <c r="I6763" t="s">
        <v>71</v>
      </c>
      <c r="J6763" t="s">
        <v>10782</v>
      </c>
      <c r="K6763" t="s">
        <v>37257</v>
      </c>
    </row>
    <row r="6764" spans="1:11" ht="201.6" x14ac:dyDescent="0.3">
      <c r="A6764" s="4" t="s">
        <v>9525</v>
      </c>
      <c r="B6764">
        <v>3</v>
      </c>
      <c r="C6764">
        <v>2011</v>
      </c>
      <c r="D6764" t="s">
        <v>19743</v>
      </c>
      <c r="E6764">
        <v>33</v>
      </c>
      <c r="F6764" t="s">
        <v>37258</v>
      </c>
      <c r="G6764" t="s">
        <v>37259</v>
      </c>
      <c r="H6764" s="4" t="s">
        <v>37260</v>
      </c>
      <c r="I6764" t="s">
        <v>71</v>
      </c>
      <c r="J6764" t="s">
        <v>10782</v>
      </c>
      <c r="K6764" t="s">
        <v>37261</v>
      </c>
    </row>
    <row r="6765" spans="1:11" ht="86.4" x14ac:dyDescent="0.3">
      <c r="A6765" s="4" t="s">
        <v>9526</v>
      </c>
      <c r="B6765">
        <v>3</v>
      </c>
      <c r="C6765">
        <v>2011</v>
      </c>
      <c r="D6765" t="s">
        <v>1915</v>
      </c>
      <c r="E6765">
        <v>45</v>
      </c>
      <c r="F6765" t="s">
        <v>37262</v>
      </c>
      <c r="G6765" t="s">
        <v>37263</v>
      </c>
      <c r="H6765" s="4" t="s">
        <v>37264</v>
      </c>
      <c r="I6765" t="s">
        <v>71</v>
      </c>
      <c r="J6765" t="s">
        <v>10782</v>
      </c>
      <c r="K6765" t="s">
        <v>37265</v>
      </c>
    </row>
    <row r="6766" spans="1:11" ht="216" x14ac:dyDescent="0.3">
      <c r="A6766" s="4" t="s">
        <v>9527</v>
      </c>
      <c r="B6766">
        <v>3</v>
      </c>
      <c r="C6766">
        <v>2011</v>
      </c>
      <c r="D6766" t="s">
        <v>37180</v>
      </c>
      <c r="E6766">
        <v>37</v>
      </c>
      <c r="F6766" t="s">
        <v>37266</v>
      </c>
      <c r="G6766" t="s">
        <v>37267</v>
      </c>
      <c r="H6766" s="4" t="s">
        <v>37268</v>
      </c>
      <c r="I6766" t="s">
        <v>71</v>
      </c>
      <c r="J6766" t="s">
        <v>10782</v>
      </c>
      <c r="K6766" t="s">
        <v>37269</v>
      </c>
    </row>
    <row r="6767" spans="1:11" ht="187.2" x14ac:dyDescent="0.3">
      <c r="A6767" s="4" t="s">
        <v>9528</v>
      </c>
      <c r="B6767">
        <v>3</v>
      </c>
      <c r="C6767">
        <v>2011</v>
      </c>
      <c r="D6767" t="s">
        <v>37270</v>
      </c>
      <c r="E6767">
        <v>118</v>
      </c>
      <c r="F6767" t="s">
        <v>37271</v>
      </c>
      <c r="G6767" t="s">
        <v>37272</v>
      </c>
      <c r="H6767" s="4" t="s">
        <v>37273</v>
      </c>
    </row>
    <row r="6768" spans="1:11" ht="158.4" x14ac:dyDescent="0.3">
      <c r="A6768" s="4" t="s">
        <v>9529</v>
      </c>
      <c r="B6768">
        <v>3</v>
      </c>
      <c r="C6768">
        <v>2011</v>
      </c>
      <c r="D6768" t="s">
        <v>2384</v>
      </c>
      <c r="E6768">
        <v>37</v>
      </c>
      <c r="F6768" t="s">
        <v>37274</v>
      </c>
      <c r="G6768" t="s">
        <v>37275</v>
      </c>
      <c r="H6768" s="4" t="s">
        <v>37276</v>
      </c>
      <c r="I6768" t="s">
        <v>71</v>
      </c>
      <c r="J6768" t="s">
        <v>10782</v>
      </c>
      <c r="K6768" t="s">
        <v>37277</v>
      </c>
    </row>
    <row r="6769" spans="1:11" ht="129.6" x14ac:dyDescent="0.3">
      <c r="A6769" s="4" t="s">
        <v>9530</v>
      </c>
      <c r="B6769">
        <v>3</v>
      </c>
      <c r="C6769">
        <v>2011</v>
      </c>
      <c r="D6769" t="s">
        <v>14553</v>
      </c>
      <c r="E6769">
        <v>4</v>
      </c>
      <c r="F6769" t="s">
        <v>37278</v>
      </c>
      <c r="G6769" t="s">
        <v>37279</v>
      </c>
      <c r="H6769" s="4" t="s">
        <v>37280</v>
      </c>
      <c r="I6769" t="s">
        <v>71</v>
      </c>
      <c r="J6769" t="s">
        <v>10782</v>
      </c>
      <c r="K6769" t="s">
        <v>37281</v>
      </c>
    </row>
    <row r="6770" spans="1:11" ht="43.2" x14ac:dyDescent="0.3">
      <c r="A6770" s="4" t="s">
        <v>9531</v>
      </c>
      <c r="B6770">
        <v>3</v>
      </c>
      <c r="C6770">
        <v>2011</v>
      </c>
      <c r="D6770" t="s">
        <v>217</v>
      </c>
      <c r="E6770">
        <v>129</v>
      </c>
      <c r="F6770" t="s">
        <v>37282</v>
      </c>
      <c r="G6770" t="s">
        <v>37283</v>
      </c>
      <c r="H6770" s="4" t="s">
        <v>37284</v>
      </c>
    </row>
    <row r="6771" spans="1:11" ht="144" x14ac:dyDescent="0.3">
      <c r="A6771" s="4" t="s">
        <v>9532</v>
      </c>
      <c r="B6771">
        <v>3</v>
      </c>
      <c r="C6771">
        <v>2011</v>
      </c>
      <c r="D6771" t="s">
        <v>83</v>
      </c>
      <c r="E6771">
        <v>80</v>
      </c>
      <c r="F6771" t="s">
        <v>37285</v>
      </c>
      <c r="G6771" t="s">
        <v>37286</v>
      </c>
      <c r="H6771" s="4" t="s">
        <v>37287</v>
      </c>
      <c r="I6771" t="s">
        <v>71</v>
      </c>
      <c r="J6771" t="s">
        <v>10782</v>
      </c>
      <c r="K6771" t="s">
        <v>37288</v>
      </c>
    </row>
    <row r="6772" spans="1:11" ht="158.4" x14ac:dyDescent="0.3">
      <c r="A6772" s="4" t="s">
        <v>9533</v>
      </c>
      <c r="B6772">
        <v>3</v>
      </c>
      <c r="C6772">
        <v>2011</v>
      </c>
      <c r="D6772" t="s">
        <v>11414</v>
      </c>
      <c r="E6772">
        <v>54</v>
      </c>
      <c r="F6772" t="s">
        <v>37289</v>
      </c>
      <c r="G6772" t="s">
        <v>37290</v>
      </c>
      <c r="H6772" s="4" t="s">
        <v>37291</v>
      </c>
      <c r="I6772" t="s">
        <v>71</v>
      </c>
      <c r="J6772" t="s">
        <v>10782</v>
      </c>
      <c r="K6772" t="s">
        <v>37292</v>
      </c>
    </row>
    <row r="6773" spans="1:11" ht="144" x14ac:dyDescent="0.3">
      <c r="A6773" s="4" t="s">
        <v>9534</v>
      </c>
      <c r="B6773">
        <v>3</v>
      </c>
      <c r="C6773">
        <v>2011</v>
      </c>
      <c r="D6773" t="s">
        <v>622</v>
      </c>
      <c r="E6773">
        <v>1</v>
      </c>
      <c r="F6773" t="s">
        <v>37293</v>
      </c>
      <c r="G6773" t="s">
        <v>37294</v>
      </c>
      <c r="H6773" s="4" t="s">
        <v>37295</v>
      </c>
      <c r="I6773" t="s">
        <v>71</v>
      </c>
      <c r="J6773" t="s">
        <v>10782</v>
      </c>
      <c r="K6773" t="s">
        <v>37296</v>
      </c>
    </row>
    <row r="6774" spans="1:11" ht="288" x14ac:dyDescent="0.3">
      <c r="A6774" s="4" t="s">
        <v>9535</v>
      </c>
      <c r="B6774">
        <v>3</v>
      </c>
      <c r="C6774">
        <v>2011</v>
      </c>
      <c r="D6774" t="s">
        <v>17362</v>
      </c>
      <c r="E6774">
        <v>41</v>
      </c>
      <c r="F6774" t="s">
        <v>37297</v>
      </c>
      <c r="G6774" t="s">
        <v>37298</v>
      </c>
      <c r="H6774" s="4" t="s">
        <v>37299</v>
      </c>
      <c r="I6774" t="s">
        <v>71</v>
      </c>
      <c r="J6774" t="s">
        <v>10782</v>
      </c>
      <c r="K6774" t="s">
        <v>37300</v>
      </c>
    </row>
    <row r="6775" spans="1:11" ht="129.6" x14ac:dyDescent="0.3">
      <c r="A6775" s="4" t="s">
        <v>9536</v>
      </c>
      <c r="B6775">
        <v>3</v>
      </c>
      <c r="C6775">
        <v>2011</v>
      </c>
      <c r="D6775" t="s">
        <v>799</v>
      </c>
      <c r="E6775">
        <v>24</v>
      </c>
      <c r="F6775" t="s">
        <v>37301</v>
      </c>
      <c r="G6775" t="s">
        <v>37302</v>
      </c>
      <c r="H6775" s="4" t="s">
        <v>37303</v>
      </c>
      <c r="I6775" t="s">
        <v>10823</v>
      </c>
      <c r="J6775" t="s">
        <v>10782</v>
      </c>
      <c r="K6775" t="s">
        <v>37304</v>
      </c>
    </row>
    <row r="6776" spans="1:11" ht="100.8" x14ac:dyDescent="0.3">
      <c r="A6776" s="4" t="s">
        <v>9537</v>
      </c>
      <c r="B6776">
        <v>3</v>
      </c>
      <c r="C6776">
        <v>2011</v>
      </c>
      <c r="D6776" t="s">
        <v>37305</v>
      </c>
      <c r="E6776">
        <v>0</v>
      </c>
      <c r="G6776" t="s">
        <v>37306</v>
      </c>
      <c r="H6776" s="4" t="s">
        <v>37307</v>
      </c>
      <c r="I6776" s="4" t="s">
        <v>71</v>
      </c>
      <c r="J6776" t="s">
        <v>10782</v>
      </c>
      <c r="K6776" t="s">
        <v>37308</v>
      </c>
    </row>
    <row r="6777" spans="1:11" ht="100.8" x14ac:dyDescent="0.3">
      <c r="A6777" s="4" t="s">
        <v>9538</v>
      </c>
      <c r="B6777">
        <v>3</v>
      </c>
      <c r="C6777">
        <v>2011</v>
      </c>
      <c r="D6777" t="s">
        <v>11728</v>
      </c>
      <c r="E6777">
        <v>97</v>
      </c>
      <c r="F6777" t="s">
        <v>37309</v>
      </c>
      <c r="G6777" t="s">
        <v>37310</v>
      </c>
      <c r="H6777" s="4" t="s">
        <v>37311</v>
      </c>
      <c r="I6777" t="s">
        <v>71</v>
      </c>
      <c r="J6777" t="s">
        <v>10782</v>
      </c>
      <c r="K6777" t="s">
        <v>37312</v>
      </c>
    </row>
    <row r="6778" spans="1:11" ht="158.4" x14ac:dyDescent="0.3">
      <c r="A6778" s="4" t="s">
        <v>9539</v>
      </c>
      <c r="B6778">
        <v>3</v>
      </c>
      <c r="C6778">
        <v>2011</v>
      </c>
      <c r="D6778" t="s">
        <v>11674</v>
      </c>
      <c r="E6778">
        <v>454</v>
      </c>
      <c r="F6778" t="s">
        <v>37313</v>
      </c>
      <c r="G6778" t="s">
        <v>37314</v>
      </c>
      <c r="H6778" s="4" t="s">
        <v>37315</v>
      </c>
      <c r="I6778" t="s">
        <v>10823</v>
      </c>
      <c r="J6778" t="s">
        <v>10782</v>
      </c>
      <c r="K6778" t="s">
        <v>37316</v>
      </c>
    </row>
    <row r="6779" spans="1:11" ht="158.4" x14ac:dyDescent="0.3">
      <c r="A6779" s="4" t="s">
        <v>9540</v>
      </c>
      <c r="B6779">
        <v>3</v>
      </c>
      <c r="C6779">
        <v>2011</v>
      </c>
      <c r="D6779" t="s">
        <v>2282</v>
      </c>
      <c r="E6779">
        <v>16</v>
      </c>
      <c r="F6779" t="s">
        <v>37317</v>
      </c>
      <c r="G6779" t="s">
        <v>37318</v>
      </c>
      <c r="H6779" s="4" t="s">
        <v>37319</v>
      </c>
      <c r="I6779" t="s">
        <v>71</v>
      </c>
      <c r="J6779" t="s">
        <v>10782</v>
      </c>
      <c r="K6779" t="s">
        <v>37320</v>
      </c>
    </row>
    <row r="6780" spans="1:11" ht="216" x14ac:dyDescent="0.3">
      <c r="A6780" s="4" t="s">
        <v>9541</v>
      </c>
      <c r="B6780">
        <v>3</v>
      </c>
      <c r="C6780">
        <v>2011</v>
      </c>
      <c r="D6780" t="s">
        <v>23949</v>
      </c>
      <c r="E6780">
        <v>66</v>
      </c>
      <c r="F6780" t="s">
        <v>37321</v>
      </c>
      <c r="G6780" t="s">
        <v>37322</v>
      </c>
      <c r="H6780" s="4" t="s">
        <v>37323</v>
      </c>
      <c r="I6780" t="s">
        <v>71</v>
      </c>
      <c r="J6780" t="s">
        <v>10782</v>
      </c>
      <c r="K6780" t="s">
        <v>37324</v>
      </c>
    </row>
    <row r="6781" spans="1:11" ht="172.8" x14ac:dyDescent="0.3">
      <c r="A6781" s="4" t="s">
        <v>9542</v>
      </c>
      <c r="B6781">
        <v>3</v>
      </c>
      <c r="C6781">
        <v>2011</v>
      </c>
      <c r="D6781" t="s">
        <v>11574</v>
      </c>
      <c r="E6781">
        <v>125</v>
      </c>
      <c r="F6781" t="s">
        <v>37325</v>
      </c>
      <c r="G6781" t="s">
        <v>37326</v>
      </c>
      <c r="H6781" s="4" t="s">
        <v>37327</v>
      </c>
      <c r="I6781" t="s">
        <v>10823</v>
      </c>
      <c r="J6781" t="s">
        <v>10782</v>
      </c>
      <c r="K6781" t="s">
        <v>37328</v>
      </c>
    </row>
    <row r="6782" spans="1:11" ht="187.2" x14ac:dyDescent="0.3">
      <c r="A6782" s="4" t="s">
        <v>9543</v>
      </c>
      <c r="B6782">
        <v>3</v>
      </c>
      <c r="C6782">
        <v>2011</v>
      </c>
      <c r="D6782" t="s">
        <v>799</v>
      </c>
      <c r="E6782">
        <v>9</v>
      </c>
      <c r="F6782" t="s">
        <v>37329</v>
      </c>
      <c r="G6782" t="s">
        <v>37330</v>
      </c>
      <c r="H6782" s="4" t="s">
        <v>37331</v>
      </c>
      <c r="I6782" t="s">
        <v>71</v>
      </c>
      <c r="J6782" t="s">
        <v>10782</v>
      </c>
      <c r="K6782" t="s">
        <v>37332</v>
      </c>
    </row>
    <row r="6783" spans="1:11" ht="144" x14ac:dyDescent="0.3">
      <c r="A6783" s="4" t="s">
        <v>9544</v>
      </c>
      <c r="B6783">
        <v>3</v>
      </c>
      <c r="C6783">
        <v>2011</v>
      </c>
      <c r="D6783" t="s">
        <v>550</v>
      </c>
      <c r="E6783">
        <v>34</v>
      </c>
      <c r="F6783" t="s">
        <v>37333</v>
      </c>
      <c r="G6783" t="s">
        <v>37334</v>
      </c>
      <c r="H6783" s="4" t="s">
        <v>37335</v>
      </c>
      <c r="I6783" t="s">
        <v>71</v>
      </c>
      <c r="J6783" t="s">
        <v>10782</v>
      </c>
      <c r="K6783" t="s">
        <v>37336</v>
      </c>
    </row>
    <row r="6784" spans="1:11" ht="201.6" x14ac:dyDescent="0.3">
      <c r="A6784" s="4" t="s">
        <v>9545</v>
      </c>
      <c r="B6784">
        <v>3</v>
      </c>
      <c r="C6784">
        <v>2011</v>
      </c>
      <c r="D6784" t="s">
        <v>2763</v>
      </c>
      <c r="E6784">
        <v>28</v>
      </c>
      <c r="F6784" t="s">
        <v>37337</v>
      </c>
      <c r="G6784" t="s">
        <v>37338</v>
      </c>
      <c r="H6784" s="4" t="s">
        <v>37339</v>
      </c>
      <c r="I6784" t="s">
        <v>71</v>
      </c>
      <c r="J6784" t="s">
        <v>10782</v>
      </c>
      <c r="K6784" t="s">
        <v>37340</v>
      </c>
    </row>
    <row r="6785" spans="1:11" ht="158.4" x14ac:dyDescent="0.3">
      <c r="A6785" s="4" t="s">
        <v>9546</v>
      </c>
      <c r="B6785">
        <v>3</v>
      </c>
      <c r="C6785">
        <v>2011</v>
      </c>
      <c r="D6785" t="s">
        <v>14805</v>
      </c>
      <c r="E6785">
        <v>2</v>
      </c>
      <c r="F6785" t="s">
        <v>37341</v>
      </c>
      <c r="G6785" t="s">
        <v>37342</v>
      </c>
      <c r="H6785" s="4" t="s">
        <v>37343</v>
      </c>
      <c r="I6785" t="s">
        <v>71</v>
      </c>
      <c r="J6785" t="s">
        <v>10782</v>
      </c>
      <c r="K6785" t="s">
        <v>37344</v>
      </c>
    </row>
    <row r="6786" spans="1:11" ht="230.4" x14ac:dyDescent="0.3">
      <c r="A6786" s="4" t="s">
        <v>9547</v>
      </c>
      <c r="B6786">
        <v>3</v>
      </c>
      <c r="C6786">
        <v>2011</v>
      </c>
      <c r="D6786" t="s">
        <v>10825</v>
      </c>
      <c r="E6786">
        <v>144</v>
      </c>
      <c r="F6786" t="s">
        <v>37345</v>
      </c>
      <c r="G6786" t="s">
        <v>37346</v>
      </c>
      <c r="H6786" s="4" t="s">
        <v>37347</v>
      </c>
      <c r="I6786" t="s">
        <v>71</v>
      </c>
      <c r="J6786" t="s">
        <v>10782</v>
      </c>
      <c r="K6786" t="s">
        <v>37348</v>
      </c>
    </row>
    <row r="6787" spans="1:11" ht="172.8" x14ac:dyDescent="0.3">
      <c r="A6787" s="4" t="s">
        <v>3437</v>
      </c>
      <c r="B6787">
        <v>1</v>
      </c>
      <c r="C6787">
        <v>2011</v>
      </c>
      <c r="D6787" t="s">
        <v>217</v>
      </c>
      <c r="E6787">
        <v>137</v>
      </c>
      <c r="F6787" t="s">
        <v>37349</v>
      </c>
      <c r="G6787" t="s">
        <v>37350</v>
      </c>
      <c r="H6787" s="4" t="s">
        <v>37351</v>
      </c>
    </row>
    <row r="6788" spans="1:11" ht="144" x14ac:dyDescent="0.3">
      <c r="A6788" s="4" t="s">
        <v>2290</v>
      </c>
      <c r="B6788">
        <v>1</v>
      </c>
      <c r="C6788">
        <v>2011</v>
      </c>
      <c r="D6788" t="s">
        <v>2349</v>
      </c>
      <c r="E6788">
        <v>3</v>
      </c>
      <c r="F6788" t="s">
        <v>37352</v>
      </c>
      <c r="G6788" t="s">
        <v>37353</v>
      </c>
      <c r="H6788" s="4" t="s">
        <v>37354</v>
      </c>
      <c r="I6788" t="s">
        <v>71</v>
      </c>
      <c r="J6788" t="s">
        <v>10782</v>
      </c>
      <c r="K6788" t="s">
        <v>37355</v>
      </c>
    </row>
    <row r="6789" spans="1:11" ht="201.6" x14ac:dyDescent="0.3">
      <c r="A6789" s="4" t="s">
        <v>9548</v>
      </c>
      <c r="B6789">
        <v>3</v>
      </c>
      <c r="C6789">
        <v>2011</v>
      </c>
      <c r="D6789" t="s">
        <v>21027</v>
      </c>
      <c r="E6789">
        <v>10</v>
      </c>
      <c r="F6789" t="s">
        <v>37356</v>
      </c>
      <c r="G6789" t="s">
        <v>37357</v>
      </c>
      <c r="H6789" s="4" t="s">
        <v>37358</v>
      </c>
      <c r="I6789" t="s">
        <v>71</v>
      </c>
      <c r="J6789" t="s">
        <v>10782</v>
      </c>
      <c r="K6789" t="s">
        <v>37359</v>
      </c>
    </row>
    <row r="6790" spans="1:11" ht="187.2" x14ac:dyDescent="0.3">
      <c r="A6790" s="4" t="s">
        <v>2291</v>
      </c>
      <c r="B6790">
        <v>1</v>
      </c>
      <c r="C6790">
        <v>2011</v>
      </c>
      <c r="D6790" t="s">
        <v>2282</v>
      </c>
      <c r="E6790">
        <v>55</v>
      </c>
      <c r="F6790" t="s">
        <v>37360</v>
      </c>
      <c r="G6790" t="s">
        <v>37361</v>
      </c>
      <c r="H6790" s="4" t="s">
        <v>37362</v>
      </c>
      <c r="I6790" t="s">
        <v>71</v>
      </c>
      <c r="J6790" t="s">
        <v>10782</v>
      </c>
      <c r="K6790" t="s">
        <v>37363</v>
      </c>
    </row>
    <row r="6791" spans="1:11" ht="187.2" x14ac:dyDescent="0.3">
      <c r="A6791" s="4" t="s">
        <v>2292</v>
      </c>
      <c r="B6791">
        <v>1</v>
      </c>
      <c r="C6791">
        <v>2011</v>
      </c>
      <c r="D6791" t="s">
        <v>2361</v>
      </c>
      <c r="E6791">
        <v>334</v>
      </c>
      <c r="F6791" t="s">
        <v>37364</v>
      </c>
      <c r="G6791" t="s">
        <v>37365</v>
      </c>
      <c r="H6791" s="4" t="s">
        <v>37366</v>
      </c>
      <c r="I6791" t="s">
        <v>71</v>
      </c>
      <c r="J6791" t="s">
        <v>10782</v>
      </c>
      <c r="K6791" t="s">
        <v>37367</v>
      </c>
    </row>
    <row r="6792" spans="1:11" ht="172.8" x14ac:dyDescent="0.3">
      <c r="A6792" s="4" t="s">
        <v>9549</v>
      </c>
      <c r="B6792">
        <v>3</v>
      </c>
      <c r="C6792">
        <v>2011</v>
      </c>
      <c r="D6792" t="s">
        <v>217</v>
      </c>
      <c r="E6792">
        <v>36</v>
      </c>
      <c r="F6792" t="s">
        <v>37368</v>
      </c>
      <c r="G6792" t="s">
        <v>37369</v>
      </c>
      <c r="H6792" s="4" t="s">
        <v>37370</v>
      </c>
    </row>
    <row r="6793" spans="1:11" ht="302.39999999999998" x14ac:dyDescent="0.3">
      <c r="A6793" s="4" t="s">
        <v>9550</v>
      </c>
      <c r="B6793">
        <v>3</v>
      </c>
      <c r="C6793">
        <v>2011</v>
      </c>
      <c r="D6793" t="s">
        <v>10924</v>
      </c>
      <c r="E6793">
        <v>41</v>
      </c>
      <c r="F6793" t="s">
        <v>37371</v>
      </c>
      <c r="G6793" t="s">
        <v>37372</v>
      </c>
      <c r="H6793" s="4" t="s">
        <v>37373</v>
      </c>
      <c r="I6793" t="s">
        <v>71</v>
      </c>
      <c r="J6793" t="s">
        <v>10782</v>
      </c>
      <c r="K6793" t="s">
        <v>37374</v>
      </c>
    </row>
    <row r="6794" spans="1:11" ht="144" x14ac:dyDescent="0.3">
      <c r="A6794" s="4" t="s">
        <v>9551</v>
      </c>
      <c r="B6794">
        <v>3</v>
      </c>
      <c r="C6794">
        <v>2011</v>
      </c>
      <c r="D6794" t="s">
        <v>217</v>
      </c>
      <c r="E6794">
        <v>7</v>
      </c>
      <c r="F6794" t="s">
        <v>37375</v>
      </c>
      <c r="G6794" t="s">
        <v>37376</v>
      </c>
      <c r="H6794" s="4" t="s">
        <v>37377</v>
      </c>
      <c r="I6794" t="s">
        <v>71</v>
      </c>
      <c r="J6794" t="s">
        <v>10782</v>
      </c>
      <c r="K6794" t="s">
        <v>37378</v>
      </c>
    </row>
    <row r="6795" spans="1:11" ht="86.4" x14ac:dyDescent="0.3">
      <c r="A6795" s="4" t="s">
        <v>9552</v>
      </c>
      <c r="B6795">
        <v>3</v>
      </c>
      <c r="C6795">
        <v>2011</v>
      </c>
      <c r="D6795" t="s">
        <v>14863</v>
      </c>
      <c r="E6795">
        <v>12</v>
      </c>
      <c r="F6795" t="s">
        <v>37379</v>
      </c>
      <c r="G6795" t="s">
        <v>37380</v>
      </c>
      <c r="H6795" s="4" t="s">
        <v>37381</v>
      </c>
      <c r="I6795" t="s">
        <v>71</v>
      </c>
      <c r="J6795" t="s">
        <v>10782</v>
      </c>
      <c r="K6795" t="s">
        <v>37382</v>
      </c>
    </row>
    <row r="6796" spans="1:11" ht="216" x14ac:dyDescent="0.3">
      <c r="A6796" s="4" t="s">
        <v>9553</v>
      </c>
      <c r="B6796">
        <v>3</v>
      </c>
      <c r="C6796">
        <v>2011</v>
      </c>
      <c r="D6796" t="s">
        <v>17273</v>
      </c>
      <c r="E6796">
        <v>14</v>
      </c>
      <c r="F6796" t="s">
        <v>37383</v>
      </c>
      <c r="G6796" t="s">
        <v>37384</v>
      </c>
      <c r="H6796" s="4" t="s">
        <v>37385</v>
      </c>
    </row>
    <row r="6797" spans="1:11" ht="115.2" x14ac:dyDescent="0.3">
      <c r="A6797" s="4" t="s">
        <v>9554</v>
      </c>
      <c r="B6797">
        <v>3</v>
      </c>
      <c r="C6797">
        <v>2011</v>
      </c>
      <c r="D6797" t="s">
        <v>799</v>
      </c>
      <c r="E6797">
        <v>70</v>
      </c>
      <c r="F6797" t="s">
        <v>37386</v>
      </c>
      <c r="G6797" t="s">
        <v>37387</v>
      </c>
      <c r="H6797" s="4" t="s">
        <v>37388</v>
      </c>
      <c r="I6797" t="s">
        <v>71</v>
      </c>
      <c r="J6797" t="s">
        <v>10782</v>
      </c>
      <c r="K6797" t="s">
        <v>37389</v>
      </c>
    </row>
    <row r="6798" spans="1:11" ht="100.8" x14ac:dyDescent="0.3">
      <c r="A6798" s="4" t="s">
        <v>9555</v>
      </c>
      <c r="B6798">
        <v>3</v>
      </c>
      <c r="C6798">
        <v>2011</v>
      </c>
      <c r="D6798" t="s">
        <v>14796</v>
      </c>
      <c r="E6798">
        <v>14</v>
      </c>
      <c r="F6798" t="s">
        <v>37390</v>
      </c>
      <c r="G6798" t="s">
        <v>37391</v>
      </c>
      <c r="H6798" s="4" t="s">
        <v>37392</v>
      </c>
      <c r="I6798" t="s">
        <v>71</v>
      </c>
      <c r="J6798" t="s">
        <v>10782</v>
      </c>
      <c r="K6798" t="s">
        <v>37393</v>
      </c>
    </row>
    <row r="6799" spans="1:11" ht="187.2" x14ac:dyDescent="0.3">
      <c r="A6799" s="4" t="s">
        <v>3669</v>
      </c>
      <c r="B6799">
        <v>2</v>
      </c>
      <c r="C6799">
        <v>2011</v>
      </c>
      <c r="D6799" t="s">
        <v>10057</v>
      </c>
      <c r="E6799">
        <v>77</v>
      </c>
      <c r="F6799" t="s">
        <v>37394</v>
      </c>
      <c r="G6799" t="s">
        <v>37395</v>
      </c>
      <c r="H6799" s="4" t="s">
        <v>37396</v>
      </c>
      <c r="I6799" t="s">
        <v>71</v>
      </c>
      <c r="J6799" t="s">
        <v>10782</v>
      </c>
      <c r="K6799" t="s">
        <v>37397</v>
      </c>
    </row>
    <row r="6800" spans="1:11" ht="172.8" x14ac:dyDescent="0.3">
      <c r="A6800" s="4" t="s">
        <v>9556</v>
      </c>
      <c r="B6800">
        <v>3</v>
      </c>
      <c r="C6800">
        <v>2011</v>
      </c>
      <c r="D6800" t="s">
        <v>3061</v>
      </c>
      <c r="E6800">
        <v>6</v>
      </c>
      <c r="F6800" t="s">
        <v>37398</v>
      </c>
      <c r="G6800" t="s">
        <v>37399</v>
      </c>
      <c r="H6800" s="4" t="s">
        <v>37400</v>
      </c>
      <c r="I6800" t="s">
        <v>71</v>
      </c>
      <c r="J6800" t="s">
        <v>10782</v>
      </c>
      <c r="K6800" t="s">
        <v>37401</v>
      </c>
    </row>
    <row r="6801" spans="1:11" ht="129.6" x14ac:dyDescent="0.3">
      <c r="A6801" s="4" t="s">
        <v>9557</v>
      </c>
      <c r="B6801">
        <v>3</v>
      </c>
      <c r="C6801">
        <v>2011</v>
      </c>
      <c r="D6801" t="s">
        <v>17273</v>
      </c>
      <c r="E6801">
        <v>28</v>
      </c>
      <c r="F6801" t="s">
        <v>37402</v>
      </c>
      <c r="G6801" t="s">
        <v>37403</v>
      </c>
      <c r="H6801" s="4" t="s">
        <v>37404</v>
      </c>
      <c r="I6801" t="s">
        <v>71</v>
      </c>
      <c r="J6801" t="s">
        <v>10782</v>
      </c>
      <c r="K6801" t="s">
        <v>37405</v>
      </c>
    </row>
    <row r="6802" spans="1:11" ht="144" x14ac:dyDescent="0.3">
      <c r="A6802" s="4" t="s">
        <v>9558</v>
      </c>
      <c r="B6802">
        <v>3</v>
      </c>
      <c r="C6802">
        <v>2011</v>
      </c>
      <c r="D6802" t="s">
        <v>217</v>
      </c>
      <c r="E6802">
        <v>4</v>
      </c>
      <c r="F6802" t="s">
        <v>37406</v>
      </c>
      <c r="G6802" t="s">
        <v>37407</v>
      </c>
      <c r="H6802" s="4" t="s">
        <v>37408</v>
      </c>
      <c r="I6802" t="s">
        <v>71</v>
      </c>
      <c r="J6802" t="s">
        <v>10782</v>
      </c>
      <c r="K6802" t="s">
        <v>37409</v>
      </c>
    </row>
    <row r="6803" spans="1:11" ht="158.4" x14ac:dyDescent="0.3">
      <c r="A6803" s="4" t="s">
        <v>9559</v>
      </c>
      <c r="B6803">
        <v>3</v>
      </c>
      <c r="C6803">
        <v>2011</v>
      </c>
      <c r="D6803" t="s">
        <v>12466</v>
      </c>
      <c r="E6803">
        <v>20</v>
      </c>
      <c r="F6803" t="s">
        <v>37410</v>
      </c>
      <c r="G6803" t="s">
        <v>37411</v>
      </c>
      <c r="H6803" s="4" t="s">
        <v>37412</v>
      </c>
      <c r="I6803" t="s">
        <v>71</v>
      </c>
      <c r="J6803" t="s">
        <v>10782</v>
      </c>
      <c r="K6803" t="s">
        <v>37413</v>
      </c>
    </row>
    <row r="6804" spans="1:11" ht="129.6" x14ac:dyDescent="0.3">
      <c r="A6804" s="4" t="s">
        <v>9560</v>
      </c>
      <c r="B6804">
        <v>3</v>
      </c>
      <c r="C6804">
        <v>2011</v>
      </c>
      <c r="D6804" t="s">
        <v>1759</v>
      </c>
      <c r="E6804">
        <v>28</v>
      </c>
      <c r="F6804" t="s">
        <v>37414</v>
      </c>
      <c r="G6804" t="s">
        <v>37415</v>
      </c>
      <c r="H6804" s="4" t="s">
        <v>37416</v>
      </c>
    </row>
    <row r="6805" spans="1:11" ht="409.6" x14ac:dyDescent="0.3">
      <c r="A6805" s="4" t="s">
        <v>9561</v>
      </c>
      <c r="B6805">
        <v>3</v>
      </c>
      <c r="C6805">
        <v>2011</v>
      </c>
      <c r="D6805" t="s">
        <v>37417</v>
      </c>
      <c r="E6805">
        <v>19</v>
      </c>
      <c r="G6805" t="s">
        <v>37418</v>
      </c>
      <c r="H6805" s="4" t="s">
        <v>37419</v>
      </c>
      <c r="I6805" s="4" t="s">
        <v>71</v>
      </c>
      <c r="J6805" t="s">
        <v>10782</v>
      </c>
      <c r="K6805" t="s">
        <v>37420</v>
      </c>
    </row>
    <row r="6806" spans="1:11" ht="115.2" x14ac:dyDescent="0.3">
      <c r="A6806" s="4" t="s">
        <v>9562</v>
      </c>
      <c r="B6806">
        <v>3</v>
      </c>
      <c r="C6806">
        <v>2011</v>
      </c>
      <c r="D6806" t="s">
        <v>2389</v>
      </c>
      <c r="E6806">
        <v>22</v>
      </c>
      <c r="F6806" t="s">
        <v>37421</v>
      </c>
      <c r="G6806" t="s">
        <v>37422</v>
      </c>
      <c r="H6806" s="4" t="s">
        <v>37423</v>
      </c>
    </row>
    <row r="6807" spans="1:11" ht="100.8" x14ac:dyDescent="0.3">
      <c r="A6807" s="4" t="s">
        <v>9563</v>
      </c>
      <c r="B6807">
        <v>3</v>
      </c>
      <c r="C6807">
        <v>2011</v>
      </c>
      <c r="D6807" t="s">
        <v>11016</v>
      </c>
      <c r="E6807">
        <v>10</v>
      </c>
      <c r="F6807" t="s">
        <v>37424</v>
      </c>
      <c r="G6807" t="s">
        <v>37425</v>
      </c>
      <c r="H6807" s="4" t="s">
        <v>37426</v>
      </c>
      <c r="I6807" t="s">
        <v>71</v>
      </c>
      <c r="J6807" t="s">
        <v>10782</v>
      </c>
      <c r="K6807" t="s">
        <v>37427</v>
      </c>
    </row>
    <row r="6808" spans="1:11" ht="158.4" x14ac:dyDescent="0.3">
      <c r="A6808" s="4" t="s">
        <v>9564</v>
      </c>
      <c r="B6808">
        <v>3</v>
      </c>
      <c r="C6808">
        <v>2011</v>
      </c>
      <c r="D6808" t="s">
        <v>1877</v>
      </c>
      <c r="E6808">
        <v>11</v>
      </c>
      <c r="F6808" t="s">
        <v>37428</v>
      </c>
      <c r="G6808" t="s">
        <v>37429</v>
      </c>
      <c r="H6808" s="4" t="s">
        <v>37430</v>
      </c>
      <c r="I6808" t="s">
        <v>71</v>
      </c>
      <c r="J6808" t="s">
        <v>10782</v>
      </c>
      <c r="K6808" t="s">
        <v>37431</v>
      </c>
    </row>
    <row r="6809" spans="1:11" ht="288" x14ac:dyDescent="0.3">
      <c r="A6809" s="4" t="s">
        <v>9565</v>
      </c>
      <c r="B6809">
        <v>3</v>
      </c>
      <c r="C6809">
        <v>2011</v>
      </c>
      <c r="D6809" t="s">
        <v>37432</v>
      </c>
      <c r="E6809">
        <v>29</v>
      </c>
      <c r="F6809" t="s">
        <v>37433</v>
      </c>
      <c r="G6809" t="s">
        <v>37434</v>
      </c>
      <c r="H6809" s="4" t="s">
        <v>37435</v>
      </c>
      <c r="I6809" t="s">
        <v>71</v>
      </c>
      <c r="J6809" t="s">
        <v>10782</v>
      </c>
      <c r="K6809" t="s">
        <v>37436</v>
      </c>
    </row>
    <row r="6810" spans="1:11" ht="129.6" x14ac:dyDescent="0.3">
      <c r="A6810" s="4" t="s">
        <v>9566</v>
      </c>
      <c r="B6810">
        <v>3</v>
      </c>
      <c r="C6810">
        <v>2011</v>
      </c>
      <c r="D6810" t="s">
        <v>24577</v>
      </c>
      <c r="E6810">
        <v>1</v>
      </c>
      <c r="F6810" t="s">
        <v>37437</v>
      </c>
      <c r="G6810" t="s">
        <v>37438</v>
      </c>
      <c r="H6810" s="4" t="s">
        <v>37439</v>
      </c>
    </row>
    <row r="6811" spans="1:11" ht="129.6" x14ac:dyDescent="0.3">
      <c r="A6811" s="4" t="s">
        <v>9567</v>
      </c>
      <c r="B6811">
        <v>3</v>
      </c>
      <c r="C6811">
        <v>2011</v>
      </c>
      <c r="D6811" t="s">
        <v>13969</v>
      </c>
      <c r="E6811">
        <v>89</v>
      </c>
      <c r="F6811" t="s">
        <v>37440</v>
      </c>
      <c r="G6811" t="s">
        <v>37441</v>
      </c>
      <c r="H6811" s="4" t="s">
        <v>37442</v>
      </c>
      <c r="I6811" t="s">
        <v>71</v>
      </c>
      <c r="J6811" t="s">
        <v>10782</v>
      </c>
      <c r="K6811" t="s">
        <v>37443</v>
      </c>
    </row>
    <row r="6812" spans="1:11" ht="187.2" x14ac:dyDescent="0.3">
      <c r="A6812" s="4" t="s">
        <v>9568</v>
      </c>
      <c r="B6812">
        <v>3</v>
      </c>
      <c r="C6812">
        <v>2011</v>
      </c>
      <c r="D6812" t="s">
        <v>23256</v>
      </c>
      <c r="E6812">
        <v>20</v>
      </c>
      <c r="F6812" t="s">
        <v>37444</v>
      </c>
      <c r="G6812" t="s">
        <v>37445</v>
      </c>
      <c r="H6812" s="4" t="s">
        <v>37446</v>
      </c>
      <c r="I6812" t="s">
        <v>71</v>
      </c>
      <c r="J6812" t="s">
        <v>10782</v>
      </c>
      <c r="K6812" t="s">
        <v>37447</v>
      </c>
    </row>
    <row r="6813" spans="1:11" ht="172.8" x14ac:dyDescent="0.3">
      <c r="A6813" s="4" t="s">
        <v>9569</v>
      </c>
      <c r="B6813">
        <v>3</v>
      </c>
      <c r="C6813">
        <v>2011</v>
      </c>
      <c r="D6813" t="s">
        <v>2742</v>
      </c>
      <c r="E6813">
        <v>141</v>
      </c>
      <c r="F6813" t="s">
        <v>37448</v>
      </c>
      <c r="G6813" t="s">
        <v>37449</v>
      </c>
      <c r="H6813" s="4" t="s">
        <v>37450</v>
      </c>
      <c r="I6813" t="s">
        <v>71</v>
      </c>
      <c r="J6813" t="s">
        <v>10782</v>
      </c>
      <c r="K6813" t="s">
        <v>37451</v>
      </c>
    </row>
    <row r="6814" spans="1:11" ht="158.4" x14ac:dyDescent="0.3">
      <c r="A6814" s="4" t="s">
        <v>9570</v>
      </c>
      <c r="B6814">
        <v>3</v>
      </c>
      <c r="C6814">
        <v>2011</v>
      </c>
      <c r="D6814" t="s">
        <v>37452</v>
      </c>
      <c r="E6814">
        <v>4</v>
      </c>
      <c r="F6814" t="s">
        <v>37453</v>
      </c>
      <c r="G6814" t="s">
        <v>37454</v>
      </c>
      <c r="H6814" s="4" t="s">
        <v>37455</v>
      </c>
      <c r="I6814" t="s">
        <v>71</v>
      </c>
      <c r="J6814" t="s">
        <v>10782</v>
      </c>
      <c r="K6814" t="s">
        <v>37456</v>
      </c>
    </row>
    <row r="6815" spans="1:11" ht="129.6" x14ac:dyDescent="0.3">
      <c r="A6815" s="4" t="s">
        <v>9571</v>
      </c>
      <c r="B6815">
        <v>3</v>
      </c>
      <c r="C6815">
        <v>2011</v>
      </c>
      <c r="D6815" t="s">
        <v>36257</v>
      </c>
      <c r="E6815">
        <v>2</v>
      </c>
      <c r="F6815" t="s">
        <v>37457</v>
      </c>
      <c r="G6815" t="s">
        <v>37458</v>
      </c>
      <c r="H6815" s="4" t="s">
        <v>37459</v>
      </c>
      <c r="I6815" t="s">
        <v>71</v>
      </c>
      <c r="J6815" t="s">
        <v>10782</v>
      </c>
      <c r="K6815" t="s">
        <v>37460</v>
      </c>
    </row>
    <row r="6816" spans="1:11" ht="57.6" x14ac:dyDescent="0.3">
      <c r="A6816" s="4" t="s">
        <v>9572</v>
      </c>
      <c r="B6816">
        <v>3</v>
      </c>
      <c r="C6816">
        <v>2011</v>
      </c>
      <c r="D6816" t="s">
        <v>10924</v>
      </c>
      <c r="E6816">
        <v>40</v>
      </c>
      <c r="F6816" t="s">
        <v>37461</v>
      </c>
      <c r="G6816" t="s">
        <v>37462</v>
      </c>
      <c r="H6816" s="4" t="s">
        <v>37463</v>
      </c>
    </row>
    <row r="6817" spans="1:11" ht="172.8" x14ac:dyDescent="0.3">
      <c r="A6817" s="4" t="s">
        <v>9573</v>
      </c>
      <c r="B6817">
        <v>3</v>
      </c>
      <c r="C6817">
        <v>2011</v>
      </c>
      <c r="D6817" t="s">
        <v>24577</v>
      </c>
      <c r="E6817">
        <v>4</v>
      </c>
      <c r="F6817" t="s">
        <v>37464</v>
      </c>
      <c r="G6817" t="s">
        <v>37465</v>
      </c>
      <c r="H6817" s="4" t="s">
        <v>37466</v>
      </c>
      <c r="I6817" t="s">
        <v>71</v>
      </c>
      <c r="J6817" t="s">
        <v>10782</v>
      </c>
      <c r="K6817" t="s">
        <v>37467</v>
      </c>
    </row>
    <row r="6818" spans="1:11" ht="144" x14ac:dyDescent="0.3">
      <c r="A6818" s="4" t="s">
        <v>9574</v>
      </c>
      <c r="B6818">
        <v>3</v>
      </c>
      <c r="C6818">
        <v>2011</v>
      </c>
      <c r="D6818" t="s">
        <v>2375</v>
      </c>
      <c r="E6818">
        <v>27</v>
      </c>
      <c r="F6818" t="s">
        <v>37468</v>
      </c>
      <c r="G6818" t="s">
        <v>37469</v>
      </c>
      <c r="H6818" s="4" t="s">
        <v>37470</v>
      </c>
      <c r="I6818" t="s">
        <v>71</v>
      </c>
      <c r="J6818" t="s">
        <v>10782</v>
      </c>
      <c r="K6818" t="s">
        <v>37471</v>
      </c>
    </row>
    <row r="6819" spans="1:11" ht="129.6" x14ac:dyDescent="0.3">
      <c r="A6819" s="4" t="s">
        <v>9575</v>
      </c>
      <c r="B6819">
        <v>3</v>
      </c>
      <c r="C6819">
        <v>2011</v>
      </c>
      <c r="D6819" t="s">
        <v>21640</v>
      </c>
      <c r="E6819">
        <v>9</v>
      </c>
      <c r="F6819" t="s">
        <v>37472</v>
      </c>
      <c r="G6819" t="s">
        <v>37473</v>
      </c>
      <c r="H6819" s="4" t="s">
        <v>37474</v>
      </c>
      <c r="I6819" t="s">
        <v>71</v>
      </c>
      <c r="J6819" t="s">
        <v>10782</v>
      </c>
      <c r="K6819" t="s">
        <v>37475</v>
      </c>
    </row>
    <row r="6820" spans="1:11" ht="129.6" x14ac:dyDescent="0.3">
      <c r="A6820" s="4" t="s">
        <v>9576</v>
      </c>
      <c r="B6820">
        <v>3</v>
      </c>
      <c r="C6820">
        <v>2011</v>
      </c>
      <c r="D6820" t="s">
        <v>2389</v>
      </c>
      <c r="E6820">
        <v>0</v>
      </c>
      <c r="F6820" t="s">
        <v>37476</v>
      </c>
      <c r="G6820" t="s">
        <v>37477</v>
      </c>
      <c r="H6820" s="4" t="s">
        <v>37478</v>
      </c>
      <c r="I6820" t="s">
        <v>71</v>
      </c>
      <c r="J6820" t="s">
        <v>10782</v>
      </c>
      <c r="K6820" t="s">
        <v>37479</v>
      </c>
    </row>
    <row r="6821" spans="1:11" ht="129.6" x14ac:dyDescent="0.3">
      <c r="A6821" s="4" t="s">
        <v>9577</v>
      </c>
      <c r="B6821">
        <v>3</v>
      </c>
      <c r="C6821">
        <v>2011</v>
      </c>
      <c r="D6821" t="s">
        <v>11741</v>
      </c>
      <c r="E6821">
        <v>45</v>
      </c>
      <c r="F6821" t="s">
        <v>37480</v>
      </c>
      <c r="G6821" t="s">
        <v>37481</v>
      </c>
      <c r="H6821" s="4" t="s">
        <v>37482</v>
      </c>
      <c r="I6821" t="s">
        <v>71</v>
      </c>
      <c r="J6821" t="s">
        <v>10782</v>
      </c>
      <c r="K6821" t="s">
        <v>37483</v>
      </c>
    </row>
    <row r="6822" spans="1:11" ht="144" x14ac:dyDescent="0.3">
      <c r="A6822" s="4" t="s">
        <v>2293</v>
      </c>
      <c r="B6822">
        <v>1</v>
      </c>
      <c r="C6822">
        <v>2011</v>
      </c>
      <c r="D6822" t="s">
        <v>2375</v>
      </c>
      <c r="E6822">
        <v>21</v>
      </c>
      <c r="F6822" t="s">
        <v>37484</v>
      </c>
      <c r="G6822" t="s">
        <v>37485</v>
      </c>
      <c r="H6822" s="4" t="s">
        <v>37486</v>
      </c>
      <c r="I6822" t="s">
        <v>71</v>
      </c>
      <c r="J6822" t="s">
        <v>10782</v>
      </c>
      <c r="K6822" t="s">
        <v>37487</v>
      </c>
    </row>
    <row r="6823" spans="1:11" ht="115.2" x14ac:dyDescent="0.3">
      <c r="A6823" s="4" t="s">
        <v>9578</v>
      </c>
      <c r="B6823">
        <v>3</v>
      </c>
      <c r="C6823">
        <v>2011</v>
      </c>
      <c r="D6823" t="s">
        <v>12037</v>
      </c>
      <c r="E6823">
        <v>69</v>
      </c>
      <c r="F6823" t="s">
        <v>37488</v>
      </c>
      <c r="G6823" t="s">
        <v>37489</v>
      </c>
      <c r="H6823" s="4" t="s">
        <v>37490</v>
      </c>
      <c r="I6823" t="s">
        <v>71</v>
      </c>
      <c r="J6823" t="s">
        <v>10782</v>
      </c>
      <c r="K6823" t="s">
        <v>37491</v>
      </c>
    </row>
    <row r="6824" spans="1:11" ht="187.2" x14ac:dyDescent="0.3">
      <c r="A6824" s="4" t="s">
        <v>9579</v>
      </c>
      <c r="B6824">
        <v>3</v>
      </c>
      <c r="C6824">
        <v>2011</v>
      </c>
      <c r="D6824" t="s">
        <v>2853</v>
      </c>
      <c r="E6824">
        <v>34</v>
      </c>
      <c r="F6824" t="s">
        <v>37492</v>
      </c>
      <c r="G6824" t="s">
        <v>37493</v>
      </c>
      <c r="H6824" s="4" t="s">
        <v>37494</v>
      </c>
      <c r="I6824" t="s">
        <v>71</v>
      </c>
      <c r="J6824" t="s">
        <v>10782</v>
      </c>
      <c r="K6824" t="s">
        <v>37495</v>
      </c>
    </row>
    <row r="6825" spans="1:11" ht="115.2" x14ac:dyDescent="0.3">
      <c r="A6825" s="4" t="s">
        <v>9580</v>
      </c>
      <c r="B6825">
        <v>3</v>
      </c>
      <c r="C6825">
        <v>2011</v>
      </c>
      <c r="D6825" t="s">
        <v>24577</v>
      </c>
      <c r="E6825">
        <v>3</v>
      </c>
      <c r="F6825" t="s">
        <v>37496</v>
      </c>
      <c r="G6825" t="s">
        <v>37497</v>
      </c>
      <c r="H6825" s="4" t="s">
        <v>37498</v>
      </c>
      <c r="I6825" t="s">
        <v>71</v>
      </c>
      <c r="J6825" t="s">
        <v>10782</v>
      </c>
      <c r="K6825" t="s">
        <v>37499</v>
      </c>
    </row>
    <row r="6826" spans="1:11" ht="158.4" x14ac:dyDescent="0.3">
      <c r="A6826" s="4" t="s">
        <v>9581</v>
      </c>
      <c r="B6826">
        <v>3</v>
      </c>
      <c r="C6826">
        <v>2011</v>
      </c>
      <c r="D6826" t="s">
        <v>398</v>
      </c>
      <c r="E6826">
        <v>30</v>
      </c>
      <c r="F6826" t="s">
        <v>37500</v>
      </c>
      <c r="G6826" t="s">
        <v>37501</v>
      </c>
      <c r="H6826" s="4" t="s">
        <v>37502</v>
      </c>
      <c r="I6826" t="s">
        <v>71</v>
      </c>
      <c r="J6826" t="s">
        <v>10782</v>
      </c>
      <c r="K6826" t="s">
        <v>37503</v>
      </c>
    </row>
    <row r="6827" spans="1:11" ht="244.8" x14ac:dyDescent="0.3">
      <c r="A6827" s="4" t="s">
        <v>9582</v>
      </c>
      <c r="B6827">
        <v>3</v>
      </c>
      <c r="C6827">
        <v>2011</v>
      </c>
      <c r="D6827" t="s">
        <v>2389</v>
      </c>
      <c r="E6827">
        <v>6</v>
      </c>
      <c r="F6827" t="s">
        <v>37504</v>
      </c>
      <c r="G6827" t="s">
        <v>37505</v>
      </c>
      <c r="H6827" s="4" t="s">
        <v>37506</v>
      </c>
      <c r="I6827" t="s">
        <v>71</v>
      </c>
      <c r="J6827" t="s">
        <v>10782</v>
      </c>
      <c r="K6827" t="s">
        <v>37507</v>
      </c>
    </row>
    <row r="6828" spans="1:11" ht="115.2" x14ac:dyDescent="0.3">
      <c r="A6828" s="4" t="s">
        <v>9583</v>
      </c>
      <c r="B6828">
        <v>3</v>
      </c>
      <c r="C6828">
        <v>2011</v>
      </c>
      <c r="D6828" t="s">
        <v>1877</v>
      </c>
      <c r="E6828">
        <v>5</v>
      </c>
      <c r="F6828" t="s">
        <v>37508</v>
      </c>
      <c r="G6828" t="s">
        <v>37509</v>
      </c>
      <c r="H6828" s="4" t="s">
        <v>37510</v>
      </c>
      <c r="I6828" t="s">
        <v>71</v>
      </c>
      <c r="J6828" t="s">
        <v>10782</v>
      </c>
      <c r="K6828" t="s">
        <v>37511</v>
      </c>
    </row>
    <row r="6829" spans="1:11" ht="144" x14ac:dyDescent="0.3">
      <c r="A6829" s="4" t="s">
        <v>9584</v>
      </c>
      <c r="B6829">
        <v>3</v>
      </c>
      <c r="C6829">
        <v>2011</v>
      </c>
      <c r="D6829" t="s">
        <v>10456</v>
      </c>
      <c r="E6829">
        <v>69</v>
      </c>
      <c r="F6829" t="s">
        <v>37512</v>
      </c>
      <c r="G6829" t="s">
        <v>37513</v>
      </c>
      <c r="H6829" s="4" t="s">
        <v>37514</v>
      </c>
      <c r="I6829" t="s">
        <v>71</v>
      </c>
      <c r="J6829" t="s">
        <v>10782</v>
      </c>
      <c r="K6829" t="s">
        <v>37515</v>
      </c>
    </row>
    <row r="6830" spans="1:11" ht="230.4" x14ac:dyDescent="0.3">
      <c r="A6830" s="4" t="s">
        <v>9585</v>
      </c>
      <c r="B6830">
        <v>3</v>
      </c>
      <c r="C6830">
        <v>2011</v>
      </c>
      <c r="D6830" t="s">
        <v>1401</v>
      </c>
      <c r="E6830">
        <v>30</v>
      </c>
      <c r="F6830" t="s">
        <v>37516</v>
      </c>
      <c r="G6830" t="s">
        <v>37517</v>
      </c>
      <c r="H6830" s="4" t="s">
        <v>37518</v>
      </c>
      <c r="I6830" t="s">
        <v>71</v>
      </c>
      <c r="J6830" t="s">
        <v>10782</v>
      </c>
      <c r="K6830" t="s">
        <v>37519</v>
      </c>
    </row>
    <row r="6831" spans="1:11" ht="216" x14ac:dyDescent="0.3">
      <c r="A6831" s="4" t="s">
        <v>9586</v>
      </c>
      <c r="B6831">
        <v>3</v>
      </c>
      <c r="C6831">
        <v>2011</v>
      </c>
      <c r="D6831" t="s">
        <v>37520</v>
      </c>
      <c r="E6831">
        <v>20</v>
      </c>
      <c r="F6831" t="s">
        <v>37521</v>
      </c>
      <c r="G6831" t="s">
        <v>37522</v>
      </c>
      <c r="H6831" s="4" t="s">
        <v>37523</v>
      </c>
      <c r="I6831" t="s">
        <v>71</v>
      </c>
      <c r="J6831" t="s">
        <v>10782</v>
      </c>
      <c r="K6831" t="s">
        <v>37524</v>
      </c>
    </row>
    <row r="6832" spans="1:11" ht="129.6" x14ac:dyDescent="0.3">
      <c r="A6832" s="4" t="s">
        <v>9587</v>
      </c>
      <c r="B6832">
        <v>3</v>
      </c>
      <c r="C6832">
        <v>2011</v>
      </c>
      <c r="D6832" t="s">
        <v>19715</v>
      </c>
      <c r="E6832">
        <v>44</v>
      </c>
      <c r="F6832" t="s">
        <v>37525</v>
      </c>
      <c r="G6832" t="s">
        <v>37526</v>
      </c>
      <c r="H6832" s="4" t="s">
        <v>37527</v>
      </c>
      <c r="I6832" t="s">
        <v>71</v>
      </c>
      <c r="J6832" t="s">
        <v>10782</v>
      </c>
      <c r="K6832" t="s">
        <v>37528</v>
      </c>
    </row>
    <row r="6833" spans="1:11" ht="115.2" x14ac:dyDescent="0.3">
      <c r="A6833" s="4" t="s">
        <v>3438</v>
      </c>
      <c r="B6833">
        <v>1</v>
      </c>
      <c r="C6833">
        <v>2011</v>
      </c>
      <c r="D6833" t="s">
        <v>2375</v>
      </c>
      <c r="E6833">
        <v>29</v>
      </c>
      <c r="F6833" t="s">
        <v>37529</v>
      </c>
      <c r="G6833" t="s">
        <v>37530</v>
      </c>
      <c r="H6833" s="4" t="s">
        <v>37531</v>
      </c>
      <c r="I6833" t="s">
        <v>71</v>
      </c>
      <c r="J6833" t="s">
        <v>10782</v>
      </c>
      <c r="K6833" t="s">
        <v>37532</v>
      </c>
    </row>
    <row r="6834" spans="1:11" ht="72" x14ac:dyDescent="0.3">
      <c r="A6834" s="4" t="s">
        <v>9588</v>
      </c>
      <c r="B6834">
        <v>3</v>
      </c>
      <c r="C6834">
        <v>2011</v>
      </c>
      <c r="D6834" t="s">
        <v>11310</v>
      </c>
      <c r="E6834">
        <v>32</v>
      </c>
      <c r="F6834" t="s">
        <v>37533</v>
      </c>
      <c r="G6834" t="s">
        <v>37534</v>
      </c>
      <c r="H6834" s="4" t="s">
        <v>37535</v>
      </c>
    </row>
    <row r="6835" spans="1:11" ht="72" x14ac:dyDescent="0.3">
      <c r="A6835" s="4" t="s">
        <v>9589</v>
      </c>
      <c r="B6835">
        <v>3</v>
      </c>
      <c r="C6835">
        <v>2011</v>
      </c>
      <c r="D6835" t="s">
        <v>11404</v>
      </c>
      <c r="E6835">
        <v>13</v>
      </c>
      <c r="F6835" t="s">
        <v>37536</v>
      </c>
      <c r="G6835" t="s">
        <v>37537</v>
      </c>
      <c r="H6835" s="4" t="s">
        <v>37538</v>
      </c>
      <c r="I6835" t="s">
        <v>71</v>
      </c>
      <c r="J6835" t="s">
        <v>10782</v>
      </c>
      <c r="K6835" t="s">
        <v>37539</v>
      </c>
    </row>
    <row r="6836" spans="1:11" ht="187.2" x14ac:dyDescent="0.3">
      <c r="A6836" s="4" t="s">
        <v>9590</v>
      </c>
      <c r="B6836">
        <v>3</v>
      </c>
      <c r="C6836">
        <v>2011</v>
      </c>
      <c r="D6836" t="s">
        <v>2853</v>
      </c>
      <c r="E6836">
        <v>48</v>
      </c>
      <c r="F6836" t="s">
        <v>37540</v>
      </c>
      <c r="G6836" t="s">
        <v>37541</v>
      </c>
      <c r="H6836" s="4" t="s">
        <v>37542</v>
      </c>
      <c r="I6836" t="s">
        <v>71</v>
      </c>
      <c r="J6836" t="s">
        <v>10782</v>
      </c>
      <c r="K6836" t="s">
        <v>37543</v>
      </c>
    </row>
    <row r="6837" spans="1:11" ht="172.8" x14ac:dyDescent="0.3">
      <c r="A6837" s="4" t="s">
        <v>9591</v>
      </c>
      <c r="B6837">
        <v>3</v>
      </c>
      <c r="C6837">
        <v>2011</v>
      </c>
      <c r="D6837" t="s">
        <v>2375</v>
      </c>
      <c r="E6837">
        <v>41</v>
      </c>
      <c r="F6837" t="s">
        <v>37544</v>
      </c>
      <c r="G6837" t="s">
        <v>37545</v>
      </c>
      <c r="H6837" s="4" t="s">
        <v>37546</v>
      </c>
      <c r="I6837" t="s">
        <v>71</v>
      </c>
      <c r="J6837" t="s">
        <v>10782</v>
      </c>
      <c r="K6837" t="s">
        <v>37547</v>
      </c>
    </row>
    <row r="6838" spans="1:11" ht="158.4" x14ac:dyDescent="0.3">
      <c r="A6838" s="4" t="s">
        <v>9592</v>
      </c>
      <c r="B6838">
        <v>3</v>
      </c>
      <c r="C6838">
        <v>2011</v>
      </c>
      <c r="D6838" t="s">
        <v>37548</v>
      </c>
      <c r="E6838">
        <v>9</v>
      </c>
      <c r="F6838" t="s">
        <v>37549</v>
      </c>
      <c r="G6838" t="s">
        <v>37550</v>
      </c>
      <c r="H6838" s="4" t="s">
        <v>37551</v>
      </c>
      <c r="I6838" t="s">
        <v>71</v>
      </c>
      <c r="J6838" t="s">
        <v>10782</v>
      </c>
      <c r="K6838" t="s">
        <v>37552</v>
      </c>
    </row>
    <row r="6839" spans="1:11" ht="129.6" x14ac:dyDescent="0.3">
      <c r="A6839" s="4" t="s">
        <v>9593</v>
      </c>
      <c r="B6839">
        <v>3</v>
      </c>
      <c r="C6839">
        <v>2011</v>
      </c>
      <c r="D6839" t="s">
        <v>217</v>
      </c>
      <c r="E6839">
        <v>146</v>
      </c>
      <c r="F6839" t="s">
        <v>37553</v>
      </c>
      <c r="G6839" t="s">
        <v>37554</v>
      </c>
      <c r="H6839" s="4" t="s">
        <v>37555</v>
      </c>
      <c r="I6839" t="s">
        <v>71</v>
      </c>
      <c r="J6839" t="s">
        <v>10782</v>
      </c>
      <c r="K6839" t="s">
        <v>37556</v>
      </c>
    </row>
    <row r="6840" spans="1:11" ht="230.4" x14ac:dyDescent="0.3">
      <c r="A6840" s="4" t="s">
        <v>9594</v>
      </c>
      <c r="B6840">
        <v>3</v>
      </c>
      <c r="C6840">
        <v>2011</v>
      </c>
      <c r="D6840" t="s">
        <v>37557</v>
      </c>
      <c r="E6840">
        <v>42</v>
      </c>
      <c r="F6840" t="s">
        <v>37558</v>
      </c>
      <c r="G6840" t="s">
        <v>37559</v>
      </c>
      <c r="H6840" s="4" t="s">
        <v>37560</v>
      </c>
      <c r="I6840" t="s">
        <v>10823</v>
      </c>
      <c r="J6840" t="s">
        <v>10782</v>
      </c>
      <c r="K6840" t="s">
        <v>37561</v>
      </c>
    </row>
    <row r="6841" spans="1:11" ht="129.6" x14ac:dyDescent="0.3">
      <c r="A6841" s="4" t="s">
        <v>9595</v>
      </c>
      <c r="B6841">
        <v>3</v>
      </c>
      <c r="C6841">
        <v>2011</v>
      </c>
      <c r="D6841" t="s">
        <v>23256</v>
      </c>
      <c r="E6841">
        <v>28</v>
      </c>
      <c r="F6841" t="s">
        <v>37562</v>
      </c>
      <c r="G6841" t="s">
        <v>37563</v>
      </c>
      <c r="H6841" s="4" t="s">
        <v>37564</v>
      </c>
    </row>
    <row r="6842" spans="1:11" ht="86.4" x14ac:dyDescent="0.3">
      <c r="A6842" s="4" t="s">
        <v>9596</v>
      </c>
      <c r="B6842">
        <v>3</v>
      </c>
      <c r="C6842">
        <v>2011</v>
      </c>
      <c r="D6842" t="s">
        <v>2375</v>
      </c>
      <c r="E6842">
        <v>17</v>
      </c>
      <c r="F6842" t="s">
        <v>37565</v>
      </c>
      <c r="G6842" t="s">
        <v>37566</v>
      </c>
      <c r="H6842" s="4" t="s">
        <v>37567</v>
      </c>
    </row>
    <row r="6843" spans="1:11" ht="172.8" x14ac:dyDescent="0.3">
      <c r="A6843" s="4" t="s">
        <v>9597</v>
      </c>
      <c r="B6843">
        <v>3</v>
      </c>
      <c r="C6843">
        <v>2011</v>
      </c>
      <c r="D6843" t="s">
        <v>2389</v>
      </c>
      <c r="E6843">
        <v>6</v>
      </c>
      <c r="F6843" t="s">
        <v>37568</v>
      </c>
      <c r="G6843" t="s">
        <v>37569</v>
      </c>
      <c r="H6843" s="4" t="s">
        <v>37570</v>
      </c>
      <c r="I6843" t="s">
        <v>71</v>
      </c>
      <c r="J6843" t="s">
        <v>10782</v>
      </c>
      <c r="K6843" t="s">
        <v>37571</v>
      </c>
    </row>
    <row r="6844" spans="1:11" ht="172.8" x14ac:dyDescent="0.3">
      <c r="A6844" s="4" t="s">
        <v>9598</v>
      </c>
      <c r="B6844">
        <v>3</v>
      </c>
      <c r="C6844">
        <v>2011</v>
      </c>
      <c r="D6844" t="s">
        <v>2389</v>
      </c>
      <c r="E6844">
        <v>0</v>
      </c>
      <c r="F6844" t="s">
        <v>37572</v>
      </c>
      <c r="G6844" t="s">
        <v>37573</v>
      </c>
      <c r="H6844" s="4" t="s">
        <v>37574</v>
      </c>
      <c r="I6844" t="s">
        <v>71</v>
      </c>
      <c r="J6844" t="s">
        <v>10782</v>
      </c>
      <c r="K6844" t="s">
        <v>37575</v>
      </c>
    </row>
    <row r="6845" spans="1:11" ht="172.8" x14ac:dyDescent="0.3">
      <c r="A6845" s="4" t="s">
        <v>9599</v>
      </c>
      <c r="B6845">
        <v>3</v>
      </c>
      <c r="C6845">
        <v>2011</v>
      </c>
      <c r="D6845" t="s">
        <v>704</v>
      </c>
      <c r="E6845">
        <v>76</v>
      </c>
      <c r="F6845" t="s">
        <v>37576</v>
      </c>
      <c r="G6845" t="s">
        <v>37577</v>
      </c>
      <c r="H6845" s="4" t="s">
        <v>37578</v>
      </c>
      <c r="I6845" t="s">
        <v>71</v>
      </c>
      <c r="J6845" t="s">
        <v>10782</v>
      </c>
      <c r="K6845" t="s">
        <v>37579</v>
      </c>
    </row>
    <row r="6846" spans="1:11" ht="115.2" x14ac:dyDescent="0.3">
      <c r="A6846" s="4" t="s">
        <v>9600</v>
      </c>
      <c r="B6846">
        <v>3</v>
      </c>
      <c r="C6846">
        <v>2011</v>
      </c>
      <c r="D6846" t="s">
        <v>15544</v>
      </c>
      <c r="E6846">
        <v>173</v>
      </c>
      <c r="F6846" t="s">
        <v>37580</v>
      </c>
      <c r="G6846" t="s">
        <v>37581</v>
      </c>
      <c r="H6846" s="4" t="s">
        <v>37582</v>
      </c>
      <c r="I6846" t="s">
        <v>71</v>
      </c>
      <c r="J6846" t="s">
        <v>10782</v>
      </c>
      <c r="K6846" t="s">
        <v>37583</v>
      </c>
    </row>
    <row r="6847" spans="1:11" ht="201.6" x14ac:dyDescent="0.3">
      <c r="A6847" s="4" t="s">
        <v>2294</v>
      </c>
      <c r="B6847">
        <v>1</v>
      </c>
      <c r="C6847">
        <v>2011</v>
      </c>
      <c r="D6847" t="s">
        <v>799</v>
      </c>
      <c r="E6847">
        <v>567</v>
      </c>
      <c r="F6847" t="s">
        <v>37584</v>
      </c>
      <c r="G6847" t="s">
        <v>37585</v>
      </c>
      <c r="H6847" s="4" t="s">
        <v>37586</v>
      </c>
    </row>
    <row r="6848" spans="1:11" ht="244.8" x14ac:dyDescent="0.3">
      <c r="A6848" s="4" t="s">
        <v>9601</v>
      </c>
      <c r="B6848">
        <v>3</v>
      </c>
      <c r="C6848">
        <v>2011</v>
      </c>
      <c r="D6848" t="s">
        <v>15271</v>
      </c>
      <c r="E6848">
        <v>9</v>
      </c>
      <c r="F6848" t="s">
        <v>37587</v>
      </c>
      <c r="G6848" t="s">
        <v>37588</v>
      </c>
      <c r="H6848" s="4" t="s">
        <v>37589</v>
      </c>
      <c r="I6848" t="s">
        <v>71</v>
      </c>
      <c r="J6848" t="s">
        <v>10782</v>
      </c>
      <c r="K6848" t="s">
        <v>37590</v>
      </c>
    </row>
    <row r="6849" spans="1:11" ht="158.4" x14ac:dyDescent="0.3">
      <c r="A6849" s="4" t="s">
        <v>2298</v>
      </c>
      <c r="B6849">
        <v>1</v>
      </c>
      <c r="C6849">
        <v>2011</v>
      </c>
      <c r="D6849" t="s">
        <v>2389</v>
      </c>
      <c r="E6849">
        <v>10</v>
      </c>
      <c r="F6849" t="s">
        <v>37591</v>
      </c>
      <c r="G6849" t="s">
        <v>37592</v>
      </c>
      <c r="H6849" s="4" t="s">
        <v>37593</v>
      </c>
      <c r="I6849" t="s">
        <v>71</v>
      </c>
      <c r="J6849" t="s">
        <v>10782</v>
      </c>
      <c r="K6849" t="s">
        <v>37594</v>
      </c>
    </row>
    <row r="6850" spans="1:11" ht="158.4" x14ac:dyDescent="0.3">
      <c r="A6850" s="4" t="s">
        <v>9602</v>
      </c>
      <c r="B6850">
        <v>3</v>
      </c>
      <c r="C6850">
        <v>2011</v>
      </c>
      <c r="D6850" t="s">
        <v>37595</v>
      </c>
      <c r="E6850">
        <v>4</v>
      </c>
      <c r="G6850" t="s">
        <v>37596</v>
      </c>
      <c r="H6850" s="4" t="s">
        <v>37597</v>
      </c>
      <c r="I6850" s="4" t="s">
        <v>71</v>
      </c>
      <c r="J6850" t="s">
        <v>10782</v>
      </c>
      <c r="K6850" t="s">
        <v>37598</v>
      </c>
    </row>
    <row r="6851" spans="1:11" ht="86.4" x14ac:dyDescent="0.3">
      <c r="A6851" s="4" t="s">
        <v>9603</v>
      </c>
      <c r="B6851">
        <v>3</v>
      </c>
      <c r="C6851">
        <v>2011</v>
      </c>
      <c r="D6851" t="s">
        <v>37599</v>
      </c>
      <c r="E6851">
        <v>10</v>
      </c>
      <c r="G6851" t="s">
        <v>37600</v>
      </c>
      <c r="H6851" s="4" t="s">
        <v>37601</v>
      </c>
      <c r="I6851" s="4" t="s">
        <v>71</v>
      </c>
      <c r="J6851" t="s">
        <v>10782</v>
      </c>
      <c r="K6851" t="s">
        <v>37602</v>
      </c>
    </row>
    <row r="6852" spans="1:11" ht="172.8" x14ac:dyDescent="0.3">
      <c r="A6852" s="4" t="s">
        <v>9604</v>
      </c>
      <c r="B6852">
        <v>3</v>
      </c>
      <c r="C6852">
        <v>2011</v>
      </c>
      <c r="D6852" t="s">
        <v>33052</v>
      </c>
      <c r="E6852">
        <v>23</v>
      </c>
      <c r="F6852" t="s">
        <v>37603</v>
      </c>
      <c r="G6852" t="s">
        <v>37604</v>
      </c>
      <c r="H6852" s="4" t="s">
        <v>37605</v>
      </c>
      <c r="I6852" t="s">
        <v>10823</v>
      </c>
      <c r="J6852" t="s">
        <v>10782</v>
      </c>
      <c r="K6852" t="s">
        <v>37606</v>
      </c>
    </row>
    <row r="6853" spans="1:11" ht="115.2" x14ac:dyDescent="0.3">
      <c r="A6853" s="4" t="s">
        <v>9605</v>
      </c>
      <c r="B6853">
        <v>3</v>
      </c>
      <c r="C6853">
        <v>2011</v>
      </c>
      <c r="D6853" t="s">
        <v>11495</v>
      </c>
      <c r="E6853">
        <v>3</v>
      </c>
      <c r="F6853" t="s">
        <v>37607</v>
      </c>
      <c r="G6853" t="s">
        <v>37608</v>
      </c>
      <c r="H6853" s="4" t="s">
        <v>37609</v>
      </c>
      <c r="I6853" t="s">
        <v>71</v>
      </c>
      <c r="J6853" t="s">
        <v>10782</v>
      </c>
      <c r="K6853" t="s">
        <v>37610</v>
      </c>
    </row>
    <row r="6854" spans="1:11" ht="100.8" x14ac:dyDescent="0.3">
      <c r="A6854" s="4" t="s">
        <v>9606</v>
      </c>
      <c r="B6854">
        <v>3</v>
      </c>
      <c r="C6854">
        <v>2011</v>
      </c>
      <c r="D6854" t="s">
        <v>2411</v>
      </c>
      <c r="E6854">
        <v>18</v>
      </c>
      <c r="F6854" t="s">
        <v>37611</v>
      </c>
      <c r="G6854" t="s">
        <v>37612</v>
      </c>
      <c r="H6854" s="4" t="s">
        <v>37613</v>
      </c>
    </row>
    <row r="6855" spans="1:11" ht="100.8" x14ac:dyDescent="0.3">
      <c r="A6855" s="4" t="s">
        <v>9607</v>
      </c>
      <c r="B6855">
        <v>3</v>
      </c>
      <c r="C6855">
        <v>2010</v>
      </c>
      <c r="D6855" t="s">
        <v>35273</v>
      </c>
      <c r="E6855">
        <v>15</v>
      </c>
      <c r="G6855" t="s">
        <v>37614</v>
      </c>
      <c r="H6855" s="4" t="s">
        <v>37615</v>
      </c>
      <c r="I6855" s="4"/>
    </row>
    <row r="6856" spans="1:11" ht="115.2" x14ac:dyDescent="0.3">
      <c r="A6856" s="4" t="s">
        <v>9608</v>
      </c>
      <c r="B6856">
        <v>3</v>
      </c>
      <c r="C6856">
        <v>2010</v>
      </c>
      <c r="D6856" t="s">
        <v>10825</v>
      </c>
      <c r="E6856">
        <v>50</v>
      </c>
      <c r="F6856" t="s">
        <v>37616</v>
      </c>
      <c r="G6856" t="s">
        <v>37617</v>
      </c>
      <c r="H6856" s="4" t="s">
        <v>37618</v>
      </c>
      <c r="I6856" t="s">
        <v>71</v>
      </c>
      <c r="J6856" t="s">
        <v>10782</v>
      </c>
      <c r="K6856" t="s">
        <v>37619</v>
      </c>
    </row>
    <row r="6857" spans="1:11" ht="129.6" x14ac:dyDescent="0.3">
      <c r="A6857" s="4" t="s">
        <v>9609</v>
      </c>
      <c r="B6857">
        <v>3</v>
      </c>
      <c r="C6857">
        <v>2010</v>
      </c>
      <c r="D6857" t="s">
        <v>2210</v>
      </c>
      <c r="E6857">
        <v>10</v>
      </c>
      <c r="G6857" t="s">
        <v>37620</v>
      </c>
      <c r="H6857" s="4" t="s">
        <v>37621</v>
      </c>
      <c r="I6857" s="4" t="s">
        <v>71</v>
      </c>
      <c r="J6857" t="s">
        <v>10782</v>
      </c>
      <c r="K6857" t="s">
        <v>37622</v>
      </c>
    </row>
    <row r="6858" spans="1:11" ht="144" x14ac:dyDescent="0.3">
      <c r="A6858" s="4" t="s">
        <v>9610</v>
      </c>
      <c r="B6858">
        <v>3</v>
      </c>
      <c r="C6858">
        <v>2010</v>
      </c>
      <c r="D6858" t="s">
        <v>17273</v>
      </c>
      <c r="E6858">
        <v>34</v>
      </c>
      <c r="F6858" t="s">
        <v>37623</v>
      </c>
      <c r="G6858" t="s">
        <v>37624</v>
      </c>
      <c r="H6858" s="4" t="s">
        <v>37625</v>
      </c>
      <c r="I6858" t="s">
        <v>71</v>
      </c>
      <c r="J6858" t="s">
        <v>10782</v>
      </c>
      <c r="K6858" t="s">
        <v>37626</v>
      </c>
    </row>
    <row r="6859" spans="1:11" ht="129.6" x14ac:dyDescent="0.3">
      <c r="A6859" s="4" t="s">
        <v>9611</v>
      </c>
      <c r="B6859">
        <v>3</v>
      </c>
      <c r="C6859">
        <v>2010</v>
      </c>
      <c r="D6859" t="s">
        <v>2441</v>
      </c>
      <c r="E6859">
        <v>8</v>
      </c>
      <c r="G6859" t="s">
        <v>37627</v>
      </c>
      <c r="H6859" s="4" t="s">
        <v>37628</v>
      </c>
      <c r="I6859" s="4" t="s">
        <v>10823</v>
      </c>
      <c r="J6859" t="s">
        <v>10782</v>
      </c>
      <c r="K6859" t="s">
        <v>37629</v>
      </c>
    </row>
    <row r="6860" spans="1:11" ht="129.6" x14ac:dyDescent="0.3">
      <c r="A6860" s="4" t="s">
        <v>9612</v>
      </c>
      <c r="B6860">
        <v>3</v>
      </c>
      <c r="C6860">
        <v>2010</v>
      </c>
      <c r="D6860" t="s">
        <v>217</v>
      </c>
      <c r="E6860">
        <v>125</v>
      </c>
      <c r="F6860" t="s">
        <v>37630</v>
      </c>
      <c r="G6860" t="s">
        <v>37631</v>
      </c>
      <c r="H6860" s="4" t="s">
        <v>37632</v>
      </c>
      <c r="I6860" t="s">
        <v>71</v>
      </c>
      <c r="J6860" t="s">
        <v>10782</v>
      </c>
      <c r="K6860" t="s">
        <v>37633</v>
      </c>
    </row>
    <row r="6861" spans="1:11" ht="72" x14ac:dyDescent="0.3">
      <c r="A6861" s="4" t="s">
        <v>2299</v>
      </c>
      <c r="B6861">
        <v>1</v>
      </c>
      <c r="C6861">
        <v>2010</v>
      </c>
      <c r="D6861" t="s">
        <v>964</v>
      </c>
      <c r="E6861">
        <v>61</v>
      </c>
      <c r="F6861" t="s">
        <v>37634</v>
      </c>
      <c r="G6861" t="s">
        <v>37635</v>
      </c>
      <c r="H6861" s="4" t="s">
        <v>37636</v>
      </c>
      <c r="I6861" t="s">
        <v>71</v>
      </c>
      <c r="J6861" t="s">
        <v>10782</v>
      </c>
      <c r="K6861" t="s">
        <v>37637</v>
      </c>
    </row>
    <row r="6862" spans="1:11" ht="129.6" x14ac:dyDescent="0.3">
      <c r="A6862" s="4" t="s">
        <v>9613</v>
      </c>
      <c r="B6862">
        <v>3</v>
      </c>
      <c r="C6862">
        <v>2010</v>
      </c>
      <c r="D6862" t="s">
        <v>2282</v>
      </c>
      <c r="E6862">
        <v>4</v>
      </c>
      <c r="F6862" t="s">
        <v>37638</v>
      </c>
      <c r="G6862" t="s">
        <v>37639</v>
      </c>
      <c r="H6862" s="4" t="s">
        <v>37640</v>
      </c>
      <c r="I6862" t="s">
        <v>71</v>
      </c>
      <c r="J6862" t="s">
        <v>10782</v>
      </c>
      <c r="K6862" t="s">
        <v>37641</v>
      </c>
    </row>
    <row r="6863" spans="1:11" ht="259.2" x14ac:dyDescent="0.3">
      <c r="A6863" s="4" t="s">
        <v>9614</v>
      </c>
      <c r="B6863">
        <v>3</v>
      </c>
      <c r="C6863">
        <v>2010</v>
      </c>
      <c r="D6863" t="s">
        <v>3061</v>
      </c>
      <c r="E6863">
        <v>5</v>
      </c>
      <c r="F6863" t="s">
        <v>37642</v>
      </c>
      <c r="G6863" t="s">
        <v>37643</v>
      </c>
      <c r="H6863" s="4" t="s">
        <v>37644</v>
      </c>
      <c r="I6863" t="s">
        <v>71</v>
      </c>
      <c r="J6863" t="s">
        <v>10782</v>
      </c>
      <c r="K6863" t="s">
        <v>37645</v>
      </c>
    </row>
    <row r="6864" spans="1:11" ht="86.4" x14ac:dyDescent="0.3">
      <c r="A6864" s="4" t="s">
        <v>9615</v>
      </c>
      <c r="B6864">
        <v>3</v>
      </c>
      <c r="C6864">
        <v>2010</v>
      </c>
      <c r="D6864" t="s">
        <v>1570</v>
      </c>
      <c r="E6864">
        <v>54</v>
      </c>
      <c r="F6864" t="s">
        <v>37646</v>
      </c>
      <c r="G6864" t="s">
        <v>37647</v>
      </c>
      <c r="H6864" s="4" t="s">
        <v>37648</v>
      </c>
      <c r="I6864" t="s">
        <v>71</v>
      </c>
      <c r="J6864" t="s">
        <v>10782</v>
      </c>
      <c r="K6864" t="s">
        <v>37649</v>
      </c>
    </row>
    <row r="6865" spans="1:11" ht="129.6" x14ac:dyDescent="0.3">
      <c r="A6865" s="4" t="s">
        <v>9616</v>
      </c>
      <c r="B6865">
        <v>3</v>
      </c>
      <c r="C6865">
        <v>2010</v>
      </c>
      <c r="D6865" t="s">
        <v>24538</v>
      </c>
      <c r="E6865">
        <v>31</v>
      </c>
      <c r="F6865" t="s">
        <v>37650</v>
      </c>
      <c r="G6865" t="s">
        <v>37651</v>
      </c>
      <c r="H6865" s="4" t="s">
        <v>37652</v>
      </c>
      <c r="I6865" t="s">
        <v>71</v>
      </c>
      <c r="J6865" t="s">
        <v>10782</v>
      </c>
      <c r="K6865" t="s">
        <v>37653</v>
      </c>
    </row>
    <row r="6866" spans="1:11" ht="129.6" x14ac:dyDescent="0.3">
      <c r="A6866" s="4" t="s">
        <v>3439</v>
      </c>
      <c r="B6866">
        <v>1</v>
      </c>
      <c r="C6866">
        <v>2010</v>
      </c>
      <c r="D6866" t="s">
        <v>10805</v>
      </c>
      <c r="E6866">
        <v>74</v>
      </c>
      <c r="F6866" t="s">
        <v>37654</v>
      </c>
      <c r="G6866" t="s">
        <v>37655</v>
      </c>
      <c r="H6866" s="4" t="s">
        <v>37656</v>
      </c>
      <c r="I6866" t="s">
        <v>71</v>
      </c>
      <c r="J6866" t="s">
        <v>10782</v>
      </c>
      <c r="K6866" t="s">
        <v>37657</v>
      </c>
    </row>
    <row r="6867" spans="1:11" ht="216" x14ac:dyDescent="0.3">
      <c r="A6867" s="4" t="s">
        <v>9617</v>
      </c>
      <c r="B6867">
        <v>3</v>
      </c>
      <c r="C6867">
        <v>2010</v>
      </c>
      <c r="D6867" t="s">
        <v>2585</v>
      </c>
      <c r="E6867">
        <v>55</v>
      </c>
      <c r="F6867" t="s">
        <v>37658</v>
      </c>
      <c r="G6867" t="s">
        <v>37659</v>
      </c>
      <c r="H6867" s="4" t="s">
        <v>37660</v>
      </c>
      <c r="I6867" t="s">
        <v>71</v>
      </c>
      <c r="J6867" t="s">
        <v>10782</v>
      </c>
      <c r="K6867" t="s">
        <v>37661</v>
      </c>
    </row>
    <row r="6868" spans="1:11" ht="115.2" x14ac:dyDescent="0.3">
      <c r="A6868" s="4" t="s">
        <v>9618</v>
      </c>
      <c r="B6868">
        <v>3</v>
      </c>
      <c r="C6868">
        <v>2010</v>
      </c>
      <c r="D6868" t="s">
        <v>83</v>
      </c>
      <c r="E6868">
        <v>11</v>
      </c>
      <c r="F6868" t="s">
        <v>37662</v>
      </c>
      <c r="G6868" t="s">
        <v>37663</v>
      </c>
      <c r="H6868" s="4" t="s">
        <v>37664</v>
      </c>
      <c r="I6868" t="s">
        <v>71</v>
      </c>
      <c r="J6868" t="s">
        <v>10782</v>
      </c>
      <c r="K6868" t="s">
        <v>37665</v>
      </c>
    </row>
    <row r="6869" spans="1:11" ht="187.2" x14ac:dyDescent="0.3">
      <c r="A6869" s="4" t="s">
        <v>9619</v>
      </c>
      <c r="B6869">
        <v>3</v>
      </c>
      <c r="C6869">
        <v>2010</v>
      </c>
      <c r="D6869" t="s">
        <v>217</v>
      </c>
      <c r="E6869">
        <v>67</v>
      </c>
      <c r="F6869" t="s">
        <v>37666</v>
      </c>
      <c r="G6869" t="s">
        <v>37667</v>
      </c>
      <c r="H6869" s="4" t="s">
        <v>37668</v>
      </c>
      <c r="I6869" t="s">
        <v>71</v>
      </c>
      <c r="J6869" t="s">
        <v>10782</v>
      </c>
      <c r="K6869" t="s">
        <v>37669</v>
      </c>
    </row>
    <row r="6870" spans="1:11" ht="230.4" x14ac:dyDescent="0.3">
      <c r="A6870" s="4" t="s">
        <v>9620</v>
      </c>
      <c r="B6870">
        <v>3</v>
      </c>
      <c r="C6870">
        <v>2010</v>
      </c>
      <c r="D6870" t="s">
        <v>25292</v>
      </c>
      <c r="E6870">
        <v>26</v>
      </c>
      <c r="F6870" t="s">
        <v>37670</v>
      </c>
      <c r="G6870" t="s">
        <v>37671</v>
      </c>
      <c r="H6870" s="4" t="s">
        <v>37672</v>
      </c>
      <c r="I6870" t="s">
        <v>71</v>
      </c>
      <c r="J6870" t="s">
        <v>10782</v>
      </c>
      <c r="K6870" t="s">
        <v>37673</v>
      </c>
    </row>
    <row r="6871" spans="1:11" ht="129.6" x14ac:dyDescent="0.3">
      <c r="A6871" s="4" t="s">
        <v>9621</v>
      </c>
      <c r="B6871">
        <v>3</v>
      </c>
      <c r="C6871">
        <v>2010</v>
      </c>
      <c r="D6871" t="s">
        <v>1570</v>
      </c>
      <c r="E6871">
        <v>8</v>
      </c>
      <c r="F6871" t="s">
        <v>37674</v>
      </c>
      <c r="G6871" t="s">
        <v>37675</v>
      </c>
      <c r="H6871" s="4" t="s">
        <v>37676</v>
      </c>
      <c r="I6871" t="s">
        <v>71</v>
      </c>
      <c r="J6871" t="s">
        <v>10782</v>
      </c>
      <c r="K6871" t="s">
        <v>37677</v>
      </c>
    </row>
    <row r="6872" spans="1:11" ht="144" x14ac:dyDescent="0.3">
      <c r="A6872" s="4" t="s">
        <v>9622</v>
      </c>
      <c r="B6872">
        <v>3</v>
      </c>
      <c r="C6872">
        <v>2010</v>
      </c>
      <c r="D6872" t="s">
        <v>37678</v>
      </c>
      <c r="E6872">
        <v>13</v>
      </c>
      <c r="F6872" t="s">
        <v>37679</v>
      </c>
      <c r="G6872" t="s">
        <v>37680</v>
      </c>
      <c r="H6872" s="4" t="s">
        <v>37681</v>
      </c>
      <c r="I6872" t="s">
        <v>71</v>
      </c>
      <c r="J6872" t="s">
        <v>10782</v>
      </c>
      <c r="K6872" t="s">
        <v>37682</v>
      </c>
    </row>
    <row r="6873" spans="1:11" ht="72" x14ac:dyDescent="0.3">
      <c r="A6873" s="4" t="s">
        <v>9623</v>
      </c>
      <c r="B6873">
        <v>3</v>
      </c>
      <c r="C6873">
        <v>2010</v>
      </c>
      <c r="D6873" t="s">
        <v>11649</v>
      </c>
      <c r="E6873">
        <v>29</v>
      </c>
      <c r="F6873" t="s">
        <v>37683</v>
      </c>
      <c r="G6873" t="s">
        <v>37684</v>
      </c>
      <c r="H6873" s="4" t="s">
        <v>37685</v>
      </c>
    </row>
    <row r="6874" spans="1:11" ht="172.8" x14ac:dyDescent="0.3">
      <c r="A6874" s="4" t="s">
        <v>9624</v>
      </c>
      <c r="B6874">
        <v>3</v>
      </c>
      <c r="C6874">
        <v>2010</v>
      </c>
      <c r="D6874" t="s">
        <v>37686</v>
      </c>
      <c r="E6874">
        <v>12</v>
      </c>
      <c r="G6874" t="s">
        <v>37687</v>
      </c>
      <c r="H6874" s="4" t="s">
        <v>37688</v>
      </c>
      <c r="I6874" s="4" t="s">
        <v>71</v>
      </c>
      <c r="J6874" t="s">
        <v>10782</v>
      </c>
      <c r="K6874" t="s">
        <v>37689</v>
      </c>
    </row>
    <row r="6875" spans="1:11" ht="115.2" x14ac:dyDescent="0.3">
      <c r="A6875" s="4" t="s">
        <v>9625</v>
      </c>
      <c r="B6875">
        <v>3</v>
      </c>
      <c r="C6875">
        <v>2010</v>
      </c>
      <c r="D6875" t="s">
        <v>14692</v>
      </c>
      <c r="E6875">
        <v>1</v>
      </c>
      <c r="G6875" t="s">
        <v>37690</v>
      </c>
      <c r="H6875" s="4" t="s">
        <v>37691</v>
      </c>
      <c r="I6875" s="4" t="s">
        <v>71</v>
      </c>
      <c r="J6875" t="s">
        <v>10782</v>
      </c>
      <c r="K6875" t="s">
        <v>37692</v>
      </c>
    </row>
    <row r="6876" spans="1:11" ht="187.2" x14ac:dyDescent="0.3">
      <c r="A6876" s="4" t="s">
        <v>9626</v>
      </c>
      <c r="B6876">
        <v>3</v>
      </c>
      <c r="C6876">
        <v>2010</v>
      </c>
      <c r="D6876" t="s">
        <v>18377</v>
      </c>
      <c r="E6876">
        <v>41</v>
      </c>
      <c r="F6876" t="s">
        <v>37693</v>
      </c>
      <c r="G6876" t="s">
        <v>37694</v>
      </c>
      <c r="H6876" s="4" t="s">
        <v>37695</v>
      </c>
      <c r="I6876" t="s">
        <v>71</v>
      </c>
      <c r="J6876" t="s">
        <v>10782</v>
      </c>
      <c r="K6876" t="s">
        <v>37696</v>
      </c>
    </row>
    <row r="6877" spans="1:11" ht="43.2" x14ac:dyDescent="0.3">
      <c r="A6877" s="4" t="s">
        <v>9627</v>
      </c>
      <c r="B6877">
        <v>3</v>
      </c>
      <c r="C6877">
        <v>2010</v>
      </c>
      <c r="D6877" t="s">
        <v>10057</v>
      </c>
      <c r="E6877">
        <v>5</v>
      </c>
      <c r="F6877" t="s">
        <v>37697</v>
      </c>
      <c r="G6877" t="s">
        <v>37698</v>
      </c>
      <c r="H6877" s="4" t="s">
        <v>37699</v>
      </c>
    </row>
    <row r="6878" spans="1:11" ht="144" x14ac:dyDescent="0.3">
      <c r="A6878" s="4" t="s">
        <v>9628</v>
      </c>
      <c r="B6878">
        <v>3</v>
      </c>
      <c r="C6878">
        <v>2010</v>
      </c>
      <c r="D6878" t="s">
        <v>11741</v>
      </c>
      <c r="E6878">
        <v>44</v>
      </c>
      <c r="F6878" t="s">
        <v>37700</v>
      </c>
      <c r="G6878" t="s">
        <v>37701</v>
      </c>
      <c r="H6878" s="4" t="s">
        <v>37702</v>
      </c>
      <c r="I6878" t="s">
        <v>71</v>
      </c>
      <c r="J6878" t="s">
        <v>10782</v>
      </c>
      <c r="K6878" t="s">
        <v>37703</v>
      </c>
    </row>
    <row r="6879" spans="1:11" ht="115.2" x14ac:dyDescent="0.3">
      <c r="A6879" s="4" t="s">
        <v>9629</v>
      </c>
      <c r="B6879">
        <v>3</v>
      </c>
      <c r="C6879">
        <v>2010</v>
      </c>
      <c r="D6879" t="s">
        <v>385</v>
      </c>
      <c r="E6879">
        <v>71</v>
      </c>
      <c r="F6879" t="s">
        <v>37704</v>
      </c>
      <c r="G6879" t="s">
        <v>37705</v>
      </c>
      <c r="H6879" s="4" t="s">
        <v>37706</v>
      </c>
      <c r="I6879" t="s">
        <v>71</v>
      </c>
      <c r="J6879" t="s">
        <v>10782</v>
      </c>
      <c r="K6879" t="s">
        <v>37707</v>
      </c>
    </row>
    <row r="6880" spans="1:11" ht="374.4" x14ac:dyDescent="0.3">
      <c r="A6880" s="4" t="s">
        <v>9630</v>
      </c>
      <c r="B6880">
        <v>3</v>
      </c>
      <c r="C6880">
        <v>2010</v>
      </c>
      <c r="D6880" t="s">
        <v>217</v>
      </c>
      <c r="E6880">
        <v>348</v>
      </c>
      <c r="F6880" t="s">
        <v>37708</v>
      </c>
      <c r="G6880" t="s">
        <v>37709</v>
      </c>
      <c r="H6880" s="4" t="s">
        <v>37710</v>
      </c>
    </row>
    <row r="6881" spans="1:11" ht="115.2" x14ac:dyDescent="0.3">
      <c r="A6881" s="4" t="s">
        <v>9631</v>
      </c>
      <c r="B6881">
        <v>3</v>
      </c>
      <c r="C6881">
        <v>2010</v>
      </c>
      <c r="D6881" t="s">
        <v>37711</v>
      </c>
      <c r="E6881">
        <v>0</v>
      </c>
      <c r="G6881" t="s">
        <v>37712</v>
      </c>
      <c r="H6881" s="4" t="s">
        <v>37713</v>
      </c>
      <c r="I6881" s="4" t="s">
        <v>71</v>
      </c>
      <c r="J6881" t="s">
        <v>10782</v>
      </c>
      <c r="K6881" t="s">
        <v>37714</v>
      </c>
    </row>
    <row r="6882" spans="1:11" ht="100.8" x14ac:dyDescent="0.3">
      <c r="A6882" s="4" t="s">
        <v>9632</v>
      </c>
      <c r="B6882">
        <v>3</v>
      </c>
      <c r="C6882">
        <v>2010</v>
      </c>
      <c r="D6882" t="s">
        <v>2282</v>
      </c>
      <c r="E6882">
        <v>39</v>
      </c>
      <c r="F6882" t="s">
        <v>37715</v>
      </c>
      <c r="G6882" t="s">
        <v>37716</v>
      </c>
      <c r="H6882" s="4" t="s">
        <v>37717</v>
      </c>
      <c r="I6882" t="s">
        <v>71</v>
      </c>
      <c r="J6882" t="s">
        <v>10782</v>
      </c>
      <c r="K6882" t="s">
        <v>37718</v>
      </c>
    </row>
    <row r="6883" spans="1:11" ht="86.4" x14ac:dyDescent="0.3">
      <c r="A6883" s="4" t="s">
        <v>9633</v>
      </c>
      <c r="B6883">
        <v>3</v>
      </c>
      <c r="C6883">
        <v>2010</v>
      </c>
      <c r="D6883" t="s">
        <v>2282</v>
      </c>
      <c r="E6883">
        <v>28</v>
      </c>
      <c r="F6883" t="s">
        <v>37719</v>
      </c>
      <c r="G6883" t="s">
        <v>37720</v>
      </c>
      <c r="H6883" s="4" t="s">
        <v>37721</v>
      </c>
      <c r="I6883" t="s">
        <v>71</v>
      </c>
      <c r="J6883" t="s">
        <v>10782</v>
      </c>
      <c r="K6883" t="s">
        <v>37722</v>
      </c>
    </row>
    <row r="6884" spans="1:11" ht="201.6" x14ac:dyDescent="0.3">
      <c r="A6884" s="4" t="s">
        <v>9634</v>
      </c>
      <c r="B6884">
        <v>3</v>
      </c>
      <c r="C6884">
        <v>2010</v>
      </c>
      <c r="D6884" t="s">
        <v>24538</v>
      </c>
      <c r="E6884">
        <v>42</v>
      </c>
      <c r="F6884" t="s">
        <v>37723</v>
      </c>
      <c r="G6884" t="s">
        <v>37724</v>
      </c>
      <c r="H6884" s="4" t="s">
        <v>37725</v>
      </c>
      <c r="I6884" t="s">
        <v>71</v>
      </c>
      <c r="J6884" t="s">
        <v>10782</v>
      </c>
      <c r="K6884" t="s">
        <v>37726</v>
      </c>
    </row>
    <row r="6885" spans="1:11" ht="172.8" x14ac:dyDescent="0.3">
      <c r="A6885" s="4" t="s">
        <v>9635</v>
      </c>
      <c r="B6885">
        <v>3</v>
      </c>
      <c r="C6885">
        <v>2010</v>
      </c>
      <c r="D6885" t="s">
        <v>12984</v>
      </c>
      <c r="E6885">
        <v>36</v>
      </c>
      <c r="F6885" t="s">
        <v>37727</v>
      </c>
      <c r="G6885" t="s">
        <v>37728</v>
      </c>
      <c r="H6885" s="4" t="s">
        <v>37729</v>
      </c>
      <c r="I6885" t="s">
        <v>10823</v>
      </c>
      <c r="J6885" t="s">
        <v>10782</v>
      </c>
      <c r="K6885" t="s">
        <v>37730</v>
      </c>
    </row>
    <row r="6886" spans="1:11" ht="86.4" x14ac:dyDescent="0.3">
      <c r="A6886" s="4" t="s">
        <v>9636</v>
      </c>
      <c r="B6886">
        <v>3</v>
      </c>
      <c r="C6886">
        <v>2010</v>
      </c>
      <c r="D6886" t="s">
        <v>11649</v>
      </c>
      <c r="E6886">
        <v>13</v>
      </c>
      <c r="F6886" t="s">
        <v>37731</v>
      </c>
      <c r="G6886" t="s">
        <v>37732</v>
      </c>
      <c r="H6886" s="4" t="s">
        <v>37733</v>
      </c>
      <c r="I6886" t="s">
        <v>71</v>
      </c>
      <c r="J6886" t="s">
        <v>10782</v>
      </c>
      <c r="K6886" t="s">
        <v>37734</v>
      </c>
    </row>
    <row r="6887" spans="1:11" ht="187.2" x14ac:dyDescent="0.3">
      <c r="A6887" s="4" t="s">
        <v>2300</v>
      </c>
      <c r="B6887">
        <v>1</v>
      </c>
      <c r="C6887">
        <v>2010</v>
      </c>
      <c r="D6887" t="s">
        <v>622</v>
      </c>
      <c r="E6887">
        <v>4</v>
      </c>
      <c r="F6887" t="s">
        <v>37735</v>
      </c>
      <c r="G6887" t="s">
        <v>37736</v>
      </c>
      <c r="H6887" s="4" t="s">
        <v>37737</v>
      </c>
      <c r="I6887" t="s">
        <v>71</v>
      </c>
      <c r="J6887" t="s">
        <v>10782</v>
      </c>
      <c r="K6887" t="s">
        <v>37738</v>
      </c>
    </row>
    <row r="6888" spans="1:11" ht="302.39999999999998" x14ac:dyDescent="0.3">
      <c r="A6888" s="4" t="s">
        <v>9637</v>
      </c>
      <c r="B6888">
        <v>3</v>
      </c>
      <c r="C6888">
        <v>2010</v>
      </c>
      <c r="D6888" t="s">
        <v>17476</v>
      </c>
      <c r="E6888">
        <v>29</v>
      </c>
      <c r="F6888" t="s">
        <v>37739</v>
      </c>
      <c r="G6888" t="s">
        <v>37740</v>
      </c>
      <c r="H6888" s="4" t="s">
        <v>37741</v>
      </c>
      <c r="I6888" t="s">
        <v>71</v>
      </c>
      <c r="J6888" t="s">
        <v>10782</v>
      </c>
      <c r="K6888" t="s">
        <v>37742</v>
      </c>
    </row>
    <row r="6889" spans="1:11" ht="100.8" x14ac:dyDescent="0.3">
      <c r="A6889" s="4" t="s">
        <v>9638</v>
      </c>
      <c r="B6889">
        <v>3</v>
      </c>
      <c r="C6889">
        <v>2010</v>
      </c>
      <c r="D6889" t="s">
        <v>15254</v>
      </c>
      <c r="E6889">
        <v>237</v>
      </c>
      <c r="F6889" t="s">
        <v>37743</v>
      </c>
      <c r="G6889" t="s">
        <v>37744</v>
      </c>
      <c r="H6889" s="4" t="s">
        <v>37745</v>
      </c>
      <c r="I6889" t="s">
        <v>71</v>
      </c>
      <c r="J6889" t="s">
        <v>10782</v>
      </c>
      <c r="K6889" t="s">
        <v>37746</v>
      </c>
    </row>
    <row r="6890" spans="1:11" ht="86.4" x14ac:dyDescent="0.3">
      <c r="A6890" s="4" t="s">
        <v>9639</v>
      </c>
      <c r="B6890">
        <v>3</v>
      </c>
      <c r="C6890">
        <v>2010</v>
      </c>
      <c r="D6890" t="s">
        <v>14553</v>
      </c>
      <c r="E6890">
        <v>42</v>
      </c>
      <c r="F6890" t="s">
        <v>37747</v>
      </c>
      <c r="G6890" t="s">
        <v>37748</v>
      </c>
      <c r="H6890" s="4" t="s">
        <v>37749</v>
      </c>
    </row>
    <row r="6891" spans="1:11" ht="100.8" x14ac:dyDescent="0.3">
      <c r="A6891" s="4" t="s">
        <v>9640</v>
      </c>
      <c r="B6891">
        <v>3</v>
      </c>
      <c r="C6891">
        <v>2010</v>
      </c>
      <c r="D6891" t="s">
        <v>37750</v>
      </c>
      <c r="E6891">
        <v>0</v>
      </c>
      <c r="G6891" t="s">
        <v>37751</v>
      </c>
      <c r="H6891" s="4" t="s">
        <v>37752</v>
      </c>
      <c r="I6891" s="4" t="s">
        <v>71</v>
      </c>
      <c r="J6891" t="s">
        <v>10782</v>
      </c>
      <c r="K6891" t="s">
        <v>37753</v>
      </c>
    </row>
    <row r="6892" spans="1:11" ht="172.8" x14ac:dyDescent="0.3">
      <c r="A6892" s="4" t="s">
        <v>9641</v>
      </c>
      <c r="B6892">
        <v>3</v>
      </c>
      <c r="C6892">
        <v>2010</v>
      </c>
      <c r="D6892" t="s">
        <v>37754</v>
      </c>
      <c r="E6892">
        <v>24</v>
      </c>
      <c r="G6892" t="s">
        <v>37755</v>
      </c>
      <c r="H6892" s="4" t="s">
        <v>37756</v>
      </c>
      <c r="I6892" s="4" t="s">
        <v>71</v>
      </c>
      <c r="J6892" t="s">
        <v>10782</v>
      </c>
      <c r="K6892" t="s">
        <v>37757</v>
      </c>
    </row>
    <row r="6893" spans="1:11" ht="216" x14ac:dyDescent="0.3">
      <c r="A6893" s="4" t="s">
        <v>2301</v>
      </c>
      <c r="B6893">
        <v>1</v>
      </c>
      <c r="C6893">
        <v>2010</v>
      </c>
      <c r="D6893" t="s">
        <v>2416</v>
      </c>
      <c r="E6893">
        <v>79</v>
      </c>
      <c r="F6893" t="s">
        <v>37758</v>
      </c>
      <c r="G6893" t="s">
        <v>37759</v>
      </c>
      <c r="H6893" s="4" t="s">
        <v>37760</v>
      </c>
      <c r="I6893" t="s">
        <v>71</v>
      </c>
      <c r="J6893" t="s">
        <v>10782</v>
      </c>
      <c r="K6893" t="s">
        <v>37761</v>
      </c>
    </row>
    <row r="6894" spans="1:11" ht="172.8" x14ac:dyDescent="0.3">
      <c r="A6894" s="4" t="s">
        <v>9642</v>
      </c>
      <c r="B6894">
        <v>3</v>
      </c>
      <c r="C6894">
        <v>2010</v>
      </c>
      <c r="D6894" t="s">
        <v>830</v>
      </c>
      <c r="E6894">
        <v>104</v>
      </c>
      <c r="F6894" t="s">
        <v>37762</v>
      </c>
      <c r="G6894" t="s">
        <v>37763</v>
      </c>
      <c r="H6894" s="4" t="s">
        <v>37764</v>
      </c>
      <c r="I6894" t="s">
        <v>71</v>
      </c>
      <c r="J6894" t="s">
        <v>10782</v>
      </c>
      <c r="K6894" t="s">
        <v>37765</v>
      </c>
    </row>
    <row r="6895" spans="1:11" ht="144" x14ac:dyDescent="0.3">
      <c r="A6895" s="4" t="s">
        <v>2303</v>
      </c>
      <c r="B6895">
        <v>1</v>
      </c>
      <c r="C6895">
        <v>2010</v>
      </c>
      <c r="D6895" t="s">
        <v>2431</v>
      </c>
      <c r="E6895">
        <v>1</v>
      </c>
      <c r="G6895" t="s">
        <v>2432</v>
      </c>
      <c r="H6895" s="4" t="s">
        <v>37766</v>
      </c>
      <c r="I6895" s="4" t="s">
        <v>71</v>
      </c>
      <c r="J6895" t="s">
        <v>10782</v>
      </c>
      <c r="K6895" t="s">
        <v>37767</v>
      </c>
    </row>
    <row r="6896" spans="1:11" ht="230.4" x14ac:dyDescent="0.3">
      <c r="A6896" s="4" t="s">
        <v>2304</v>
      </c>
      <c r="B6896">
        <v>1</v>
      </c>
      <c r="C6896">
        <v>2010</v>
      </c>
      <c r="D6896" t="s">
        <v>2441</v>
      </c>
      <c r="E6896">
        <v>13</v>
      </c>
      <c r="G6896" t="s">
        <v>2443</v>
      </c>
      <c r="H6896" s="4" t="s">
        <v>37768</v>
      </c>
      <c r="I6896" s="4" t="s">
        <v>71</v>
      </c>
      <c r="J6896" t="s">
        <v>10782</v>
      </c>
      <c r="K6896" t="s">
        <v>37769</v>
      </c>
    </row>
    <row r="6897" spans="1:11" ht="187.2" x14ac:dyDescent="0.3">
      <c r="A6897" s="4" t="s">
        <v>9643</v>
      </c>
      <c r="B6897">
        <v>3</v>
      </c>
      <c r="C6897">
        <v>2010</v>
      </c>
      <c r="D6897" t="s">
        <v>83</v>
      </c>
      <c r="E6897">
        <v>36</v>
      </c>
      <c r="F6897" t="s">
        <v>37770</v>
      </c>
      <c r="G6897" t="s">
        <v>37771</v>
      </c>
      <c r="H6897" s="4" t="s">
        <v>37772</v>
      </c>
      <c r="I6897" t="s">
        <v>71</v>
      </c>
      <c r="J6897" t="s">
        <v>10782</v>
      </c>
      <c r="K6897" t="s">
        <v>37773</v>
      </c>
    </row>
    <row r="6898" spans="1:11" ht="115.2" x14ac:dyDescent="0.3">
      <c r="A6898" s="4" t="s">
        <v>3440</v>
      </c>
      <c r="B6898">
        <v>1</v>
      </c>
      <c r="C6898">
        <v>2010</v>
      </c>
      <c r="D6898" t="s">
        <v>14692</v>
      </c>
      <c r="E6898">
        <v>1</v>
      </c>
      <c r="G6898" t="s">
        <v>37774</v>
      </c>
      <c r="H6898" s="4" t="s">
        <v>37775</v>
      </c>
      <c r="I6898" s="4" t="s">
        <v>71</v>
      </c>
      <c r="J6898" t="s">
        <v>10782</v>
      </c>
      <c r="K6898" t="s">
        <v>37776</v>
      </c>
    </row>
    <row r="6899" spans="1:11" ht="57.6" x14ac:dyDescent="0.3">
      <c r="A6899" s="4" t="s">
        <v>9644</v>
      </c>
      <c r="B6899">
        <v>3</v>
      </c>
      <c r="C6899">
        <v>2010</v>
      </c>
      <c r="D6899" t="s">
        <v>1770</v>
      </c>
      <c r="E6899">
        <v>29</v>
      </c>
      <c r="F6899" t="s">
        <v>37777</v>
      </c>
      <c r="G6899" t="s">
        <v>37778</v>
      </c>
      <c r="H6899" s="4" t="s">
        <v>37779</v>
      </c>
    </row>
    <row r="6900" spans="1:11" ht="187.2" x14ac:dyDescent="0.3">
      <c r="A6900" s="4" t="s">
        <v>9645</v>
      </c>
      <c r="B6900">
        <v>3</v>
      </c>
      <c r="C6900">
        <v>2010</v>
      </c>
      <c r="D6900" t="s">
        <v>1770</v>
      </c>
      <c r="E6900">
        <v>79</v>
      </c>
      <c r="F6900" t="s">
        <v>37780</v>
      </c>
      <c r="G6900" t="s">
        <v>37781</v>
      </c>
      <c r="H6900" s="4" t="s">
        <v>37782</v>
      </c>
      <c r="I6900" t="s">
        <v>71</v>
      </c>
      <c r="J6900" t="s">
        <v>10782</v>
      </c>
      <c r="K6900" t="s">
        <v>37783</v>
      </c>
    </row>
    <row r="6901" spans="1:11" ht="144" x14ac:dyDescent="0.3">
      <c r="A6901" s="4" t="s">
        <v>2305</v>
      </c>
      <c r="B6901">
        <v>1</v>
      </c>
      <c r="C6901">
        <v>2010</v>
      </c>
      <c r="D6901" t="s">
        <v>432</v>
      </c>
      <c r="E6901">
        <v>142</v>
      </c>
      <c r="F6901" t="s">
        <v>37784</v>
      </c>
      <c r="G6901" t="s">
        <v>37785</v>
      </c>
      <c r="H6901" s="4" t="s">
        <v>37786</v>
      </c>
      <c r="I6901" t="s">
        <v>71</v>
      </c>
      <c r="J6901" t="s">
        <v>10782</v>
      </c>
      <c r="K6901" t="s">
        <v>37787</v>
      </c>
    </row>
    <row r="6902" spans="1:11" ht="115.2" x14ac:dyDescent="0.3">
      <c r="A6902" s="4" t="s">
        <v>2311</v>
      </c>
      <c r="B6902">
        <v>1</v>
      </c>
      <c r="C6902">
        <v>2010</v>
      </c>
      <c r="D6902" t="s">
        <v>1570</v>
      </c>
      <c r="E6902">
        <v>287</v>
      </c>
      <c r="F6902" t="s">
        <v>37788</v>
      </c>
      <c r="G6902" t="s">
        <v>37789</v>
      </c>
      <c r="H6902" s="4" t="s">
        <v>37790</v>
      </c>
    </row>
    <row r="6903" spans="1:11" ht="144" x14ac:dyDescent="0.3">
      <c r="A6903" s="4" t="s">
        <v>9646</v>
      </c>
      <c r="B6903">
        <v>3</v>
      </c>
      <c r="C6903">
        <v>2010</v>
      </c>
      <c r="D6903" t="s">
        <v>1770</v>
      </c>
      <c r="E6903">
        <v>26</v>
      </c>
      <c r="F6903" t="s">
        <v>37791</v>
      </c>
      <c r="G6903" t="s">
        <v>37792</v>
      </c>
      <c r="H6903" s="4" t="s">
        <v>37793</v>
      </c>
    </row>
    <row r="6904" spans="1:11" ht="158.4" x14ac:dyDescent="0.3">
      <c r="A6904" s="4" t="s">
        <v>9647</v>
      </c>
      <c r="B6904">
        <v>3</v>
      </c>
      <c r="C6904">
        <v>2010</v>
      </c>
      <c r="D6904" t="s">
        <v>37794</v>
      </c>
      <c r="E6904">
        <v>7</v>
      </c>
      <c r="F6904" t="s">
        <v>37795</v>
      </c>
      <c r="G6904" t="s">
        <v>37796</v>
      </c>
      <c r="H6904" s="4" t="s">
        <v>37797</v>
      </c>
      <c r="I6904" t="s">
        <v>71</v>
      </c>
      <c r="J6904" t="s">
        <v>10782</v>
      </c>
      <c r="K6904" t="s">
        <v>37798</v>
      </c>
    </row>
    <row r="6905" spans="1:11" ht="158.4" x14ac:dyDescent="0.3">
      <c r="A6905" s="4" t="s">
        <v>3670</v>
      </c>
      <c r="B6905">
        <v>2</v>
      </c>
      <c r="C6905">
        <v>2010</v>
      </c>
      <c r="D6905" t="s">
        <v>10815</v>
      </c>
      <c r="E6905">
        <v>28</v>
      </c>
      <c r="F6905" t="s">
        <v>37799</v>
      </c>
      <c r="G6905" t="s">
        <v>37800</v>
      </c>
      <c r="H6905" s="4" t="s">
        <v>37801</v>
      </c>
    </row>
    <row r="6906" spans="1:11" ht="144" x14ac:dyDescent="0.3">
      <c r="A6906" s="4" t="s">
        <v>9648</v>
      </c>
      <c r="B6906">
        <v>3</v>
      </c>
      <c r="C6906">
        <v>2010</v>
      </c>
      <c r="D6906" t="s">
        <v>11741</v>
      </c>
      <c r="E6906">
        <v>28</v>
      </c>
      <c r="F6906" t="s">
        <v>37802</v>
      </c>
      <c r="G6906" t="s">
        <v>37803</v>
      </c>
      <c r="H6906" s="4" t="s">
        <v>37804</v>
      </c>
      <c r="I6906" t="s">
        <v>71</v>
      </c>
      <c r="J6906" t="s">
        <v>10782</v>
      </c>
      <c r="K6906" t="s">
        <v>37805</v>
      </c>
    </row>
    <row r="6907" spans="1:11" ht="172.8" x14ac:dyDescent="0.3">
      <c r="A6907" s="4" t="s">
        <v>9649</v>
      </c>
      <c r="B6907">
        <v>3</v>
      </c>
      <c r="C6907">
        <v>2010</v>
      </c>
      <c r="D6907" t="s">
        <v>1746</v>
      </c>
      <c r="E6907">
        <v>60</v>
      </c>
      <c r="F6907" t="s">
        <v>37806</v>
      </c>
      <c r="G6907" t="s">
        <v>37807</v>
      </c>
      <c r="H6907" s="4" t="s">
        <v>37808</v>
      </c>
      <c r="I6907" t="s">
        <v>71</v>
      </c>
      <c r="J6907" t="s">
        <v>10782</v>
      </c>
      <c r="K6907" t="s">
        <v>37809</v>
      </c>
    </row>
    <row r="6908" spans="1:11" ht="144" x14ac:dyDescent="0.3">
      <c r="A6908" s="4" t="s">
        <v>9650</v>
      </c>
      <c r="B6908">
        <v>3</v>
      </c>
      <c r="C6908">
        <v>2010</v>
      </c>
      <c r="D6908" t="s">
        <v>21140</v>
      </c>
      <c r="E6908">
        <v>176</v>
      </c>
      <c r="F6908" t="s">
        <v>37810</v>
      </c>
      <c r="G6908" t="s">
        <v>37811</v>
      </c>
      <c r="H6908" s="4" t="s">
        <v>37812</v>
      </c>
      <c r="I6908" t="s">
        <v>71</v>
      </c>
      <c r="J6908" t="s">
        <v>10782</v>
      </c>
      <c r="K6908" t="s">
        <v>37813</v>
      </c>
    </row>
    <row r="6909" spans="1:11" ht="172.8" x14ac:dyDescent="0.3">
      <c r="A6909" s="4" t="s">
        <v>3671</v>
      </c>
      <c r="B6909">
        <v>2</v>
      </c>
      <c r="C6909">
        <v>2010</v>
      </c>
      <c r="D6909" t="s">
        <v>2030</v>
      </c>
      <c r="E6909">
        <v>93</v>
      </c>
      <c r="F6909" t="s">
        <v>37814</v>
      </c>
      <c r="G6909" t="s">
        <v>37815</v>
      </c>
      <c r="H6909" s="4" t="s">
        <v>37816</v>
      </c>
      <c r="I6909" t="s">
        <v>71</v>
      </c>
      <c r="J6909" t="s">
        <v>10782</v>
      </c>
      <c r="K6909" t="s">
        <v>37817</v>
      </c>
    </row>
    <row r="6910" spans="1:11" ht="158.4" x14ac:dyDescent="0.3">
      <c r="A6910" s="4" t="s">
        <v>9651</v>
      </c>
      <c r="B6910">
        <v>3</v>
      </c>
      <c r="C6910">
        <v>2010</v>
      </c>
      <c r="D6910" t="s">
        <v>21600</v>
      </c>
      <c r="E6910">
        <v>0</v>
      </c>
      <c r="F6910" t="s">
        <v>37818</v>
      </c>
      <c r="G6910" t="s">
        <v>37819</v>
      </c>
      <c r="H6910" s="4" t="s">
        <v>37820</v>
      </c>
    </row>
    <row r="6911" spans="1:11" ht="129.6" x14ac:dyDescent="0.3">
      <c r="A6911" s="4" t="s">
        <v>9652</v>
      </c>
      <c r="B6911">
        <v>3</v>
      </c>
      <c r="C6911">
        <v>2010</v>
      </c>
      <c r="D6911" t="s">
        <v>3026</v>
      </c>
      <c r="E6911">
        <v>12</v>
      </c>
      <c r="F6911" t="s">
        <v>37821</v>
      </c>
      <c r="G6911" t="s">
        <v>37822</v>
      </c>
      <c r="H6911" s="4" t="s">
        <v>37823</v>
      </c>
      <c r="I6911" t="s">
        <v>71</v>
      </c>
      <c r="J6911" t="s">
        <v>10782</v>
      </c>
      <c r="K6911" t="s">
        <v>37824</v>
      </c>
    </row>
    <row r="6912" spans="1:11" ht="115.2" x14ac:dyDescent="0.3">
      <c r="A6912" s="4" t="s">
        <v>3672</v>
      </c>
      <c r="B6912">
        <v>2</v>
      </c>
      <c r="C6912">
        <v>2010</v>
      </c>
      <c r="D6912" t="s">
        <v>37825</v>
      </c>
      <c r="E6912">
        <v>23</v>
      </c>
      <c r="G6912" t="s">
        <v>37826</v>
      </c>
      <c r="H6912" s="4" t="s">
        <v>37827</v>
      </c>
      <c r="I6912" s="4" t="s">
        <v>71</v>
      </c>
      <c r="J6912" t="s">
        <v>10782</v>
      </c>
      <c r="K6912" t="s">
        <v>37828</v>
      </c>
    </row>
    <row r="6913" spans="1:11" ht="172.8" x14ac:dyDescent="0.3">
      <c r="A6913" s="4" t="s">
        <v>9653</v>
      </c>
      <c r="B6913">
        <v>3</v>
      </c>
      <c r="C6913">
        <v>2010</v>
      </c>
      <c r="D6913" t="s">
        <v>550</v>
      </c>
      <c r="E6913">
        <v>11</v>
      </c>
      <c r="F6913" t="s">
        <v>37829</v>
      </c>
      <c r="G6913" t="s">
        <v>37830</v>
      </c>
      <c r="H6913" s="4" t="s">
        <v>37831</v>
      </c>
      <c r="I6913" t="s">
        <v>71</v>
      </c>
      <c r="J6913" t="s">
        <v>10782</v>
      </c>
      <c r="K6913" t="s">
        <v>37832</v>
      </c>
    </row>
    <row r="6914" spans="1:11" ht="115.2" x14ac:dyDescent="0.3">
      <c r="A6914" s="4" t="s">
        <v>9654</v>
      </c>
      <c r="B6914">
        <v>3</v>
      </c>
      <c r="C6914">
        <v>2010</v>
      </c>
      <c r="D6914" t="s">
        <v>19414</v>
      </c>
      <c r="E6914">
        <v>14</v>
      </c>
      <c r="F6914" t="s">
        <v>37833</v>
      </c>
      <c r="G6914" t="s">
        <v>37834</v>
      </c>
      <c r="H6914" s="4" t="s">
        <v>37835</v>
      </c>
      <c r="I6914" t="s">
        <v>71</v>
      </c>
      <c r="J6914" t="s">
        <v>10782</v>
      </c>
      <c r="K6914" t="s">
        <v>37836</v>
      </c>
    </row>
    <row r="6915" spans="1:11" ht="230.4" x14ac:dyDescent="0.3">
      <c r="A6915" s="4" t="s">
        <v>9655</v>
      </c>
      <c r="B6915">
        <v>3</v>
      </c>
      <c r="C6915">
        <v>2010</v>
      </c>
      <c r="D6915" t="s">
        <v>16189</v>
      </c>
      <c r="E6915">
        <v>87</v>
      </c>
      <c r="F6915" t="s">
        <v>37837</v>
      </c>
      <c r="G6915" t="s">
        <v>37838</v>
      </c>
      <c r="H6915" s="4" t="s">
        <v>37839</v>
      </c>
      <c r="I6915" t="s">
        <v>71</v>
      </c>
      <c r="J6915" t="s">
        <v>10782</v>
      </c>
      <c r="K6915" t="s">
        <v>37840</v>
      </c>
    </row>
    <row r="6916" spans="1:11" ht="144" x14ac:dyDescent="0.3">
      <c r="A6916" s="4" t="s">
        <v>9656</v>
      </c>
      <c r="B6916">
        <v>3</v>
      </c>
      <c r="C6916">
        <v>2010</v>
      </c>
      <c r="D6916" t="s">
        <v>28331</v>
      </c>
      <c r="E6916">
        <v>3</v>
      </c>
      <c r="G6916" t="s">
        <v>37841</v>
      </c>
      <c r="H6916" s="4" t="s">
        <v>37842</v>
      </c>
      <c r="I6916" s="4" t="s">
        <v>71</v>
      </c>
      <c r="J6916" t="s">
        <v>10782</v>
      </c>
      <c r="K6916" t="s">
        <v>37843</v>
      </c>
    </row>
    <row r="6917" spans="1:11" ht="100.8" x14ac:dyDescent="0.3">
      <c r="A6917" s="4" t="s">
        <v>9657</v>
      </c>
      <c r="B6917">
        <v>3</v>
      </c>
      <c r="C6917">
        <v>2010</v>
      </c>
      <c r="D6917" t="s">
        <v>30118</v>
      </c>
      <c r="E6917">
        <v>18</v>
      </c>
      <c r="F6917" t="s">
        <v>37844</v>
      </c>
      <c r="G6917" t="s">
        <v>37845</v>
      </c>
      <c r="H6917" s="4" t="s">
        <v>37846</v>
      </c>
      <c r="I6917" t="s">
        <v>71</v>
      </c>
      <c r="J6917" t="s">
        <v>10782</v>
      </c>
      <c r="K6917" t="s">
        <v>37847</v>
      </c>
    </row>
    <row r="6918" spans="1:11" ht="259.2" x14ac:dyDescent="0.3">
      <c r="A6918" s="4" t="s">
        <v>9658</v>
      </c>
      <c r="B6918">
        <v>3</v>
      </c>
      <c r="C6918">
        <v>2010</v>
      </c>
      <c r="D6918" t="s">
        <v>28331</v>
      </c>
      <c r="E6918">
        <v>7</v>
      </c>
      <c r="G6918" t="s">
        <v>37848</v>
      </c>
      <c r="H6918" s="4" t="s">
        <v>37849</v>
      </c>
      <c r="I6918" s="4"/>
    </row>
    <row r="6919" spans="1:11" ht="158.4" x14ac:dyDescent="0.3">
      <c r="A6919" s="4" t="s">
        <v>9659</v>
      </c>
      <c r="B6919">
        <v>3</v>
      </c>
      <c r="C6919">
        <v>2010</v>
      </c>
      <c r="D6919" t="s">
        <v>11658</v>
      </c>
      <c r="E6919">
        <v>818</v>
      </c>
      <c r="F6919" t="s">
        <v>37850</v>
      </c>
      <c r="G6919" t="s">
        <v>37851</v>
      </c>
      <c r="H6919" s="4" t="s">
        <v>37852</v>
      </c>
    </row>
    <row r="6920" spans="1:11" ht="259.2" x14ac:dyDescent="0.3">
      <c r="A6920" s="4" t="s">
        <v>9660</v>
      </c>
      <c r="B6920">
        <v>3</v>
      </c>
      <c r="C6920">
        <v>2010</v>
      </c>
      <c r="D6920" t="s">
        <v>80</v>
      </c>
      <c r="E6920">
        <v>60</v>
      </c>
      <c r="F6920" t="s">
        <v>37853</v>
      </c>
      <c r="G6920" t="s">
        <v>37854</v>
      </c>
      <c r="H6920" s="4" t="s">
        <v>37855</v>
      </c>
      <c r="I6920" t="s">
        <v>71</v>
      </c>
      <c r="J6920" t="s">
        <v>10782</v>
      </c>
      <c r="K6920" t="s">
        <v>37856</v>
      </c>
    </row>
    <row r="6921" spans="1:11" ht="273.60000000000002" x14ac:dyDescent="0.3">
      <c r="A6921" s="4" t="s">
        <v>9661</v>
      </c>
      <c r="B6921">
        <v>3</v>
      </c>
      <c r="C6921">
        <v>2010</v>
      </c>
      <c r="D6921" t="s">
        <v>80</v>
      </c>
      <c r="E6921">
        <v>3</v>
      </c>
      <c r="F6921" t="s">
        <v>37857</v>
      </c>
      <c r="G6921" t="s">
        <v>37858</v>
      </c>
      <c r="H6921" s="4" t="s">
        <v>37859</v>
      </c>
      <c r="I6921" t="s">
        <v>71</v>
      </c>
      <c r="J6921" t="s">
        <v>10782</v>
      </c>
      <c r="K6921" t="s">
        <v>37860</v>
      </c>
    </row>
    <row r="6922" spans="1:11" ht="158.4" x14ac:dyDescent="0.3">
      <c r="A6922" s="4" t="s">
        <v>9662</v>
      </c>
      <c r="B6922">
        <v>3</v>
      </c>
      <c r="C6922">
        <v>2010</v>
      </c>
      <c r="D6922" t="s">
        <v>1125</v>
      </c>
      <c r="E6922">
        <v>20</v>
      </c>
      <c r="F6922" t="s">
        <v>37861</v>
      </c>
      <c r="G6922" t="s">
        <v>37862</v>
      </c>
      <c r="H6922" s="4" t="s">
        <v>37863</v>
      </c>
      <c r="I6922" t="s">
        <v>71</v>
      </c>
      <c r="J6922" t="s">
        <v>10782</v>
      </c>
      <c r="K6922" t="s">
        <v>37864</v>
      </c>
    </row>
    <row r="6923" spans="1:11" ht="201.6" x14ac:dyDescent="0.3">
      <c r="A6923" s="4" t="s">
        <v>9663</v>
      </c>
      <c r="B6923">
        <v>3</v>
      </c>
      <c r="C6923">
        <v>2010</v>
      </c>
      <c r="D6923" t="s">
        <v>10924</v>
      </c>
      <c r="E6923">
        <v>58</v>
      </c>
      <c r="F6923" t="s">
        <v>37865</v>
      </c>
      <c r="G6923" t="s">
        <v>37866</v>
      </c>
      <c r="H6923" s="4" t="s">
        <v>37867</v>
      </c>
      <c r="I6923" t="s">
        <v>71</v>
      </c>
      <c r="J6923" t="s">
        <v>10782</v>
      </c>
      <c r="K6923" t="s">
        <v>37868</v>
      </c>
    </row>
    <row r="6924" spans="1:11" ht="129.6" x14ac:dyDescent="0.3">
      <c r="A6924" s="4" t="s">
        <v>9664</v>
      </c>
      <c r="B6924">
        <v>3</v>
      </c>
      <c r="C6924">
        <v>2010</v>
      </c>
      <c r="D6924" t="s">
        <v>1570</v>
      </c>
      <c r="E6924">
        <v>27</v>
      </c>
      <c r="F6924" t="s">
        <v>37869</v>
      </c>
      <c r="G6924" t="s">
        <v>37870</v>
      </c>
      <c r="H6924" s="4" t="s">
        <v>37871</v>
      </c>
      <c r="I6924" t="s">
        <v>71</v>
      </c>
      <c r="J6924" t="s">
        <v>10782</v>
      </c>
      <c r="K6924" t="s">
        <v>37872</v>
      </c>
    </row>
    <row r="6925" spans="1:11" ht="302.39999999999998" x14ac:dyDescent="0.3">
      <c r="A6925" s="4" t="s">
        <v>9665</v>
      </c>
      <c r="B6925">
        <v>3</v>
      </c>
      <c r="C6925">
        <v>2010</v>
      </c>
      <c r="D6925" t="s">
        <v>37873</v>
      </c>
      <c r="E6925">
        <v>3</v>
      </c>
      <c r="F6925" t="s">
        <v>37874</v>
      </c>
      <c r="G6925" t="s">
        <v>37875</v>
      </c>
      <c r="H6925" s="4" t="s">
        <v>37876</v>
      </c>
    </row>
    <row r="6926" spans="1:11" ht="158.4" x14ac:dyDescent="0.3">
      <c r="A6926" s="4" t="s">
        <v>9666</v>
      </c>
      <c r="B6926">
        <v>3</v>
      </c>
      <c r="C6926">
        <v>2010</v>
      </c>
      <c r="D6926" t="s">
        <v>14061</v>
      </c>
      <c r="E6926">
        <v>139</v>
      </c>
      <c r="F6926" t="s">
        <v>37877</v>
      </c>
      <c r="G6926" t="s">
        <v>37878</v>
      </c>
      <c r="H6926" s="4" t="s">
        <v>37879</v>
      </c>
      <c r="I6926" t="s">
        <v>71</v>
      </c>
      <c r="J6926" t="s">
        <v>10782</v>
      </c>
      <c r="K6926" t="s">
        <v>37880</v>
      </c>
    </row>
    <row r="6927" spans="1:11" ht="144" x14ac:dyDescent="0.3">
      <c r="A6927" s="4" t="s">
        <v>9667</v>
      </c>
      <c r="B6927">
        <v>3</v>
      </c>
      <c r="C6927">
        <v>2010</v>
      </c>
      <c r="D6927" t="s">
        <v>10924</v>
      </c>
      <c r="E6927">
        <v>21</v>
      </c>
      <c r="F6927" t="s">
        <v>37881</v>
      </c>
      <c r="G6927" t="s">
        <v>37882</v>
      </c>
      <c r="H6927" s="4" t="s">
        <v>37883</v>
      </c>
    </row>
    <row r="6928" spans="1:11" ht="129.6" x14ac:dyDescent="0.3">
      <c r="A6928" s="4" t="s">
        <v>9668</v>
      </c>
      <c r="B6928">
        <v>3</v>
      </c>
      <c r="C6928">
        <v>2010</v>
      </c>
      <c r="D6928" t="s">
        <v>37884</v>
      </c>
      <c r="E6928">
        <v>2</v>
      </c>
      <c r="F6928" t="s">
        <v>37885</v>
      </c>
      <c r="G6928" t="s">
        <v>37886</v>
      </c>
      <c r="H6928" s="4" t="s">
        <v>37887</v>
      </c>
      <c r="I6928" t="s">
        <v>71</v>
      </c>
      <c r="J6928" t="s">
        <v>10782</v>
      </c>
      <c r="K6928" t="s">
        <v>37888</v>
      </c>
    </row>
    <row r="6929" spans="1:11" ht="115.2" x14ac:dyDescent="0.3">
      <c r="A6929" s="4" t="s">
        <v>9669</v>
      </c>
      <c r="B6929">
        <v>3</v>
      </c>
      <c r="C6929">
        <v>2010</v>
      </c>
      <c r="D6929" t="s">
        <v>2375</v>
      </c>
      <c r="E6929">
        <v>22</v>
      </c>
      <c r="F6929" t="s">
        <v>37889</v>
      </c>
      <c r="G6929" t="s">
        <v>37890</v>
      </c>
      <c r="H6929" s="4" t="s">
        <v>37891</v>
      </c>
      <c r="I6929" t="s">
        <v>71</v>
      </c>
      <c r="J6929" t="s">
        <v>10782</v>
      </c>
      <c r="K6929" t="s">
        <v>37892</v>
      </c>
    </row>
    <row r="6930" spans="1:11" ht="115.2" x14ac:dyDescent="0.3">
      <c r="A6930" s="4" t="s">
        <v>3673</v>
      </c>
      <c r="B6930">
        <v>2</v>
      </c>
      <c r="C6930">
        <v>2010</v>
      </c>
      <c r="D6930" t="s">
        <v>550</v>
      </c>
      <c r="E6930">
        <v>25</v>
      </c>
      <c r="F6930" t="s">
        <v>37893</v>
      </c>
      <c r="G6930" t="s">
        <v>37894</v>
      </c>
      <c r="H6930" s="4" t="s">
        <v>37895</v>
      </c>
      <c r="I6930" t="s">
        <v>71</v>
      </c>
      <c r="J6930" t="s">
        <v>10782</v>
      </c>
      <c r="K6930" t="s">
        <v>37896</v>
      </c>
    </row>
    <row r="6931" spans="1:11" ht="187.2" x14ac:dyDescent="0.3">
      <c r="A6931" s="4" t="s">
        <v>9670</v>
      </c>
      <c r="B6931">
        <v>3</v>
      </c>
      <c r="C6931">
        <v>2010</v>
      </c>
      <c r="D6931" t="s">
        <v>10924</v>
      </c>
      <c r="E6931">
        <v>38</v>
      </c>
      <c r="F6931" t="s">
        <v>37897</v>
      </c>
      <c r="G6931" t="s">
        <v>37898</v>
      </c>
      <c r="H6931" s="4" t="s">
        <v>37899</v>
      </c>
      <c r="I6931" t="s">
        <v>71</v>
      </c>
      <c r="J6931" t="s">
        <v>10782</v>
      </c>
      <c r="K6931" t="s">
        <v>37900</v>
      </c>
    </row>
    <row r="6932" spans="1:11" ht="172.8" x14ac:dyDescent="0.3">
      <c r="A6932" s="4" t="s">
        <v>9671</v>
      </c>
      <c r="B6932">
        <v>3</v>
      </c>
      <c r="C6932">
        <v>2010</v>
      </c>
      <c r="D6932" t="s">
        <v>14061</v>
      </c>
      <c r="E6932">
        <v>3</v>
      </c>
      <c r="F6932" t="s">
        <v>37901</v>
      </c>
      <c r="G6932" t="s">
        <v>37902</v>
      </c>
      <c r="H6932" s="4" t="s">
        <v>37903</v>
      </c>
      <c r="I6932" t="s">
        <v>71</v>
      </c>
      <c r="J6932" t="s">
        <v>10782</v>
      </c>
      <c r="K6932" t="s">
        <v>37904</v>
      </c>
    </row>
    <row r="6933" spans="1:11" ht="187.2" x14ac:dyDescent="0.3">
      <c r="A6933" s="4" t="s">
        <v>9672</v>
      </c>
      <c r="B6933">
        <v>3</v>
      </c>
      <c r="C6933">
        <v>2010</v>
      </c>
      <c r="D6933" t="s">
        <v>11414</v>
      </c>
      <c r="E6933">
        <v>45</v>
      </c>
      <c r="F6933" t="s">
        <v>37905</v>
      </c>
      <c r="G6933" t="s">
        <v>37906</v>
      </c>
      <c r="H6933" s="4" t="s">
        <v>37907</v>
      </c>
      <c r="I6933" t="s">
        <v>71</v>
      </c>
      <c r="J6933" t="s">
        <v>10782</v>
      </c>
      <c r="K6933" t="s">
        <v>37908</v>
      </c>
    </row>
    <row r="6934" spans="1:11" ht="187.2" x14ac:dyDescent="0.3">
      <c r="A6934" s="4" t="s">
        <v>9673</v>
      </c>
      <c r="B6934">
        <v>3</v>
      </c>
      <c r="C6934">
        <v>2010</v>
      </c>
      <c r="D6934" t="s">
        <v>11674</v>
      </c>
      <c r="E6934">
        <v>50</v>
      </c>
      <c r="F6934" t="s">
        <v>37909</v>
      </c>
      <c r="G6934" t="s">
        <v>37910</v>
      </c>
      <c r="H6934" s="4" t="s">
        <v>37911</v>
      </c>
      <c r="I6934" t="s">
        <v>71</v>
      </c>
      <c r="J6934" t="s">
        <v>10782</v>
      </c>
      <c r="K6934" t="s">
        <v>37912</v>
      </c>
    </row>
    <row r="6935" spans="1:11" ht="201.6" x14ac:dyDescent="0.3">
      <c r="A6935" s="4" t="s">
        <v>9674</v>
      </c>
      <c r="B6935">
        <v>3</v>
      </c>
      <c r="C6935">
        <v>2010</v>
      </c>
      <c r="D6935" t="s">
        <v>19186</v>
      </c>
      <c r="E6935">
        <v>35</v>
      </c>
      <c r="F6935" t="s">
        <v>37913</v>
      </c>
      <c r="G6935" t="s">
        <v>37914</v>
      </c>
      <c r="H6935" s="4" t="s">
        <v>37915</v>
      </c>
      <c r="I6935" t="s">
        <v>71</v>
      </c>
      <c r="J6935" t="s">
        <v>10782</v>
      </c>
      <c r="K6935" t="s">
        <v>37916</v>
      </c>
    </row>
    <row r="6936" spans="1:11" ht="115.2" x14ac:dyDescent="0.3">
      <c r="A6936" s="4" t="s">
        <v>9675</v>
      </c>
      <c r="B6936">
        <v>3</v>
      </c>
      <c r="C6936">
        <v>2010</v>
      </c>
      <c r="D6936" t="s">
        <v>37917</v>
      </c>
      <c r="E6936">
        <v>17</v>
      </c>
      <c r="F6936" t="s">
        <v>37918</v>
      </c>
      <c r="G6936" t="s">
        <v>37919</v>
      </c>
      <c r="H6936" s="4" t="s">
        <v>37920</v>
      </c>
      <c r="I6936" t="s">
        <v>71</v>
      </c>
      <c r="J6936" t="s">
        <v>10782</v>
      </c>
      <c r="K6936" t="s">
        <v>37921</v>
      </c>
    </row>
    <row r="6937" spans="1:11" ht="230.4" x14ac:dyDescent="0.3">
      <c r="A6937" s="4" t="s">
        <v>9676</v>
      </c>
      <c r="B6937">
        <v>3</v>
      </c>
      <c r="C6937">
        <v>2010</v>
      </c>
      <c r="D6937" t="s">
        <v>637</v>
      </c>
      <c r="E6937">
        <v>26</v>
      </c>
      <c r="F6937" t="s">
        <v>37922</v>
      </c>
      <c r="G6937" t="s">
        <v>37923</v>
      </c>
      <c r="H6937" s="4" t="s">
        <v>37924</v>
      </c>
      <c r="I6937" t="s">
        <v>71</v>
      </c>
      <c r="J6937" t="s">
        <v>10782</v>
      </c>
      <c r="K6937" t="s">
        <v>37925</v>
      </c>
    </row>
    <row r="6938" spans="1:11" ht="129.6" x14ac:dyDescent="0.3">
      <c r="A6938" s="4" t="s">
        <v>9677</v>
      </c>
      <c r="B6938">
        <v>3</v>
      </c>
      <c r="C6938">
        <v>2010</v>
      </c>
      <c r="D6938" t="s">
        <v>1770</v>
      </c>
      <c r="E6938">
        <v>76</v>
      </c>
      <c r="F6938" t="s">
        <v>37926</v>
      </c>
      <c r="G6938" t="s">
        <v>37927</v>
      </c>
      <c r="H6938" s="4" t="s">
        <v>37928</v>
      </c>
      <c r="I6938" t="s">
        <v>71</v>
      </c>
      <c r="J6938" t="s">
        <v>10782</v>
      </c>
      <c r="K6938" t="s">
        <v>37929</v>
      </c>
    </row>
    <row r="6939" spans="1:11" ht="100.8" x14ac:dyDescent="0.3">
      <c r="A6939" s="4" t="s">
        <v>9678</v>
      </c>
      <c r="B6939">
        <v>3</v>
      </c>
      <c r="C6939">
        <v>2010</v>
      </c>
      <c r="D6939" t="s">
        <v>385</v>
      </c>
      <c r="E6939">
        <v>102</v>
      </c>
      <c r="F6939" t="s">
        <v>37930</v>
      </c>
      <c r="G6939" t="s">
        <v>37931</v>
      </c>
      <c r="H6939" s="4" t="s">
        <v>37932</v>
      </c>
    </row>
    <row r="6940" spans="1:11" ht="144" x14ac:dyDescent="0.3">
      <c r="A6940" s="4" t="s">
        <v>9679</v>
      </c>
      <c r="B6940">
        <v>3</v>
      </c>
      <c r="C6940">
        <v>2010</v>
      </c>
      <c r="D6940" t="s">
        <v>15454</v>
      </c>
      <c r="E6940">
        <v>42</v>
      </c>
      <c r="F6940" t="s">
        <v>37933</v>
      </c>
      <c r="G6940" t="s">
        <v>37934</v>
      </c>
      <c r="H6940" s="4" t="s">
        <v>37935</v>
      </c>
      <c r="I6940" t="s">
        <v>71</v>
      </c>
      <c r="J6940" t="s">
        <v>10782</v>
      </c>
      <c r="K6940" t="s">
        <v>37936</v>
      </c>
    </row>
    <row r="6941" spans="1:11" ht="86.4" x14ac:dyDescent="0.3">
      <c r="A6941" s="4" t="s">
        <v>9680</v>
      </c>
      <c r="B6941">
        <v>3</v>
      </c>
      <c r="C6941">
        <v>2010</v>
      </c>
      <c r="D6941" t="s">
        <v>14805</v>
      </c>
      <c r="E6941">
        <v>11</v>
      </c>
      <c r="F6941" t="s">
        <v>37937</v>
      </c>
      <c r="G6941" t="s">
        <v>37938</v>
      </c>
      <c r="H6941" s="4" t="s">
        <v>37939</v>
      </c>
      <c r="I6941" t="s">
        <v>71</v>
      </c>
      <c r="J6941" t="s">
        <v>10782</v>
      </c>
      <c r="K6941" t="s">
        <v>37940</v>
      </c>
    </row>
    <row r="6942" spans="1:11" ht="144" x14ac:dyDescent="0.3">
      <c r="A6942" s="4" t="s">
        <v>9681</v>
      </c>
      <c r="B6942">
        <v>3</v>
      </c>
      <c r="C6942">
        <v>2010</v>
      </c>
      <c r="D6942" t="s">
        <v>37941</v>
      </c>
      <c r="E6942">
        <v>49</v>
      </c>
      <c r="F6942" t="s">
        <v>37942</v>
      </c>
      <c r="G6942" t="s">
        <v>37943</v>
      </c>
      <c r="H6942" s="4" t="s">
        <v>37944</v>
      </c>
      <c r="I6942" t="s">
        <v>71</v>
      </c>
      <c r="J6942" t="s">
        <v>10782</v>
      </c>
      <c r="K6942" t="s">
        <v>37945</v>
      </c>
    </row>
    <row r="6943" spans="1:11" ht="201.6" x14ac:dyDescent="0.3">
      <c r="A6943" s="4" t="s">
        <v>9682</v>
      </c>
      <c r="B6943">
        <v>3</v>
      </c>
      <c r="C6943">
        <v>2010</v>
      </c>
      <c r="D6943" t="s">
        <v>10924</v>
      </c>
      <c r="E6943">
        <v>84</v>
      </c>
      <c r="F6943" t="s">
        <v>37946</v>
      </c>
      <c r="G6943" t="s">
        <v>37947</v>
      </c>
      <c r="H6943" s="4" t="s">
        <v>37948</v>
      </c>
      <c r="I6943" t="s">
        <v>71</v>
      </c>
      <c r="J6943" t="s">
        <v>10782</v>
      </c>
      <c r="K6943" t="s">
        <v>37949</v>
      </c>
    </row>
    <row r="6944" spans="1:11" ht="230.4" x14ac:dyDescent="0.3">
      <c r="A6944" s="4" t="s">
        <v>9683</v>
      </c>
      <c r="B6944">
        <v>3</v>
      </c>
      <c r="C6944">
        <v>2010</v>
      </c>
      <c r="D6944" t="s">
        <v>318</v>
      </c>
      <c r="E6944">
        <v>42</v>
      </c>
      <c r="F6944" t="s">
        <v>37950</v>
      </c>
      <c r="G6944" t="s">
        <v>37951</v>
      </c>
      <c r="H6944" s="4" t="s">
        <v>37952</v>
      </c>
      <c r="I6944" t="s">
        <v>71</v>
      </c>
      <c r="J6944" t="s">
        <v>10782</v>
      </c>
      <c r="K6944" t="s">
        <v>37953</v>
      </c>
    </row>
    <row r="6945" spans="1:11" ht="244.8" x14ac:dyDescent="0.3">
      <c r="A6945" s="4" t="s">
        <v>9684</v>
      </c>
      <c r="B6945">
        <v>3</v>
      </c>
      <c r="C6945">
        <v>2010</v>
      </c>
      <c r="D6945" t="s">
        <v>13951</v>
      </c>
      <c r="E6945">
        <v>13</v>
      </c>
      <c r="F6945" t="s">
        <v>37954</v>
      </c>
      <c r="G6945" t="s">
        <v>37955</v>
      </c>
      <c r="H6945" s="4" t="s">
        <v>37956</v>
      </c>
      <c r="I6945" t="s">
        <v>71</v>
      </c>
      <c r="J6945" t="s">
        <v>10782</v>
      </c>
      <c r="K6945" t="s">
        <v>37957</v>
      </c>
    </row>
    <row r="6946" spans="1:11" ht="201.6" x14ac:dyDescent="0.3">
      <c r="A6946" s="4" t="s">
        <v>9685</v>
      </c>
      <c r="B6946">
        <v>3</v>
      </c>
      <c r="C6946">
        <v>2010</v>
      </c>
      <c r="D6946" t="s">
        <v>10924</v>
      </c>
      <c r="E6946">
        <v>68</v>
      </c>
      <c r="F6946" t="s">
        <v>37958</v>
      </c>
      <c r="G6946" t="s">
        <v>37959</v>
      </c>
      <c r="H6946" s="4" t="s">
        <v>37960</v>
      </c>
      <c r="I6946" t="s">
        <v>10823</v>
      </c>
      <c r="J6946" t="s">
        <v>10782</v>
      </c>
      <c r="K6946" t="s">
        <v>37961</v>
      </c>
    </row>
    <row r="6947" spans="1:11" ht="28.8" x14ac:dyDescent="0.3">
      <c r="A6947" s="4" t="s">
        <v>9686</v>
      </c>
      <c r="B6947">
        <v>3</v>
      </c>
      <c r="C6947">
        <v>2010</v>
      </c>
      <c r="D6947" t="s">
        <v>24512</v>
      </c>
      <c r="E6947">
        <v>9</v>
      </c>
      <c r="F6947" t="s">
        <v>37962</v>
      </c>
      <c r="G6947" t="s">
        <v>37963</v>
      </c>
      <c r="H6947" s="4" t="s">
        <v>71</v>
      </c>
      <c r="I6947" t="s">
        <v>10782</v>
      </c>
      <c r="J6947" t="s">
        <v>37964</v>
      </c>
    </row>
    <row r="6948" spans="1:11" ht="172.8" x14ac:dyDescent="0.3">
      <c r="A6948" s="4" t="s">
        <v>9687</v>
      </c>
      <c r="B6948">
        <v>3</v>
      </c>
      <c r="C6948">
        <v>2010</v>
      </c>
      <c r="D6948" t="s">
        <v>550</v>
      </c>
      <c r="E6948">
        <v>11</v>
      </c>
      <c r="F6948" t="s">
        <v>37965</v>
      </c>
      <c r="G6948" t="s">
        <v>37966</v>
      </c>
      <c r="H6948" s="4" t="s">
        <v>37967</v>
      </c>
      <c r="I6948" t="s">
        <v>71</v>
      </c>
      <c r="J6948" t="s">
        <v>10782</v>
      </c>
      <c r="K6948" t="s">
        <v>37968</v>
      </c>
    </row>
    <row r="6949" spans="1:11" ht="144" x14ac:dyDescent="0.3">
      <c r="A6949" s="4" t="s">
        <v>9688</v>
      </c>
      <c r="B6949">
        <v>3</v>
      </c>
      <c r="C6949">
        <v>2010</v>
      </c>
      <c r="D6949" t="s">
        <v>1794</v>
      </c>
      <c r="E6949">
        <v>52</v>
      </c>
      <c r="F6949" t="s">
        <v>37969</v>
      </c>
      <c r="G6949" t="s">
        <v>37970</v>
      </c>
      <c r="H6949" s="4" t="s">
        <v>37971</v>
      </c>
      <c r="I6949" t="s">
        <v>71</v>
      </c>
      <c r="J6949" t="s">
        <v>10782</v>
      </c>
      <c r="K6949" t="s">
        <v>37972</v>
      </c>
    </row>
    <row r="6950" spans="1:11" ht="86.4" x14ac:dyDescent="0.3">
      <c r="A6950" s="4" t="s">
        <v>9689</v>
      </c>
      <c r="B6950">
        <v>3</v>
      </c>
      <c r="C6950">
        <v>2010</v>
      </c>
      <c r="D6950" t="s">
        <v>37053</v>
      </c>
      <c r="E6950">
        <v>2</v>
      </c>
      <c r="G6950" t="s">
        <v>37973</v>
      </c>
      <c r="H6950" s="4" t="s">
        <v>37974</v>
      </c>
      <c r="I6950" s="4" t="s">
        <v>71</v>
      </c>
      <c r="J6950" t="s">
        <v>10782</v>
      </c>
      <c r="K6950" t="s">
        <v>37975</v>
      </c>
    </row>
    <row r="6951" spans="1:11" x14ac:dyDescent="0.3">
      <c r="A6951" s="4" t="s">
        <v>9690</v>
      </c>
      <c r="B6951">
        <v>3</v>
      </c>
      <c r="C6951">
        <v>2010</v>
      </c>
      <c r="D6951" t="s">
        <v>33269</v>
      </c>
      <c r="E6951">
        <v>44</v>
      </c>
      <c r="F6951" t="s">
        <v>37976</v>
      </c>
      <c r="G6951" t="s">
        <v>37977</v>
      </c>
      <c r="H6951" s="4" t="s">
        <v>17311</v>
      </c>
      <c r="I6951" t="s">
        <v>71</v>
      </c>
      <c r="J6951" t="s">
        <v>10782</v>
      </c>
      <c r="K6951" t="s">
        <v>37978</v>
      </c>
    </row>
    <row r="6952" spans="1:11" ht="158.4" x14ac:dyDescent="0.3">
      <c r="A6952" s="4" t="s">
        <v>9691</v>
      </c>
      <c r="B6952">
        <v>3</v>
      </c>
      <c r="C6952">
        <v>2010</v>
      </c>
      <c r="D6952" t="s">
        <v>80</v>
      </c>
      <c r="E6952">
        <v>80</v>
      </c>
      <c r="F6952" t="s">
        <v>37979</v>
      </c>
      <c r="G6952" t="s">
        <v>37980</v>
      </c>
      <c r="H6952" s="4" t="s">
        <v>37981</v>
      </c>
      <c r="I6952" t="s">
        <v>71</v>
      </c>
      <c r="J6952" t="s">
        <v>10782</v>
      </c>
      <c r="K6952" t="s">
        <v>37982</v>
      </c>
    </row>
    <row r="6953" spans="1:11" ht="172.8" x14ac:dyDescent="0.3">
      <c r="A6953" s="4" t="s">
        <v>9692</v>
      </c>
      <c r="B6953">
        <v>3</v>
      </c>
      <c r="C6953">
        <v>2010</v>
      </c>
      <c r="D6953" t="s">
        <v>2267</v>
      </c>
      <c r="E6953">
        <v>82</v>
      </c>
      <c r="F6953" t="s">
        <v>37983</v>
      </c>
      <c r="G6953" t="s">
        <v>37984</v>
      </c>
      <c r="H6953" s="4" t="s">
        <v>37985</v>
      </c>
      <c r="I6953" t="s">
        <v>71</v>
      </c>
      <c r="J6953" t="s">
        <v>10782</v>
      </c>
      <c r="K6953" t="s">
        <v>37986</v>
      </c>
    </row>
    <row r="6954" spans="1:11" ht="86.4" x14ac:dyDescent="0.3">
      <c r="A6954" s="4" t="s">
        <v>9693</v>
      </c>
      <c r="B6954">
        <v>3</v>
      </c>
      <c r="C6954">
        <v>2010</v>
      </c>
      <c r="D6954" t="s">
        <v>37305</v>
      </c>
      <c r="E6954">
        <v>6</v>
      </c>
      <c r="G6954" t="s">
        <v>37987</v>
      </c>
      <c r="H6954" s="4" t="s">
        <v>37988</v>
      </c>
      <c r="I6954" s="4" t="s">
        <v>71</v>
      </c>
      <c r="J6954" t="s">
        <v>10782</v>
      </c>
      <c r="K6954" t="s">
        <v>37989</v>
      </c>
    </row>
    <row r="6955" spans="1:11" ht="86.4" x14ac:dyDescent="0.3">
      <c r="A6955" s="4" t="s">
        <v>9694</v>
      </c>
      <c r="B6955">
        <v>3</v>
      </c>
      <c r="C6955">
        <v>2010</v>
      </c>
      <c r="D6955" t="s">
        <v>10796</v>
      </c>
      <c r="E6955">
        <v>15</v>
      </c>
      <c r="F6955" t="s">
        <v>37990</v>
      </c>
      <c r="G6955" t="s">
        <v>37991</v>
      </c>
      <c r="H6955" s="4" t="s">
        <v>37992</v>
      </c>
      <c r="I6955" t="s">
        <v>71</v>
      </c>
      <c r="J6955" t="s">
        <v>10782</v>
      </c>
      <c r="K6955" t="s">
        <v>37993</v>
      </c>
    </row>
    <row r="6956" spans="1:11" ht="244.8" x14ac:dyDescent="0.3">
      <c r="A6956" s="4" t="s">
        <v>3441</v>
      </c>
      <c r="B6956">
        <v>1</v>
      </c>
      <c r="C6956">
        <v>2010</v>
      </c>
      <c r="D6956" t="s">
        <v>1570</v>
      </c>
      <c r="E6956">
        <v>99</v>
      </c>
      <c r="F6956" t="s">
        <v>37994</v>
      </c>
      <c r="G6956" t="s">
        <v>37995</v>
      </c>
      <c r="H6956" s="4" t="s">
        <v>37996</v>
      </c>
      <c r="I6956" t="s">
        <v>71</v>
      </c>
      <c r="J6956" t="s">
        <v>10782</v>
      </c>
      <c r="K6956" t="s">
        <v>37997</v>
      </c>
    </row>
    <row r="6957" spans="1:11" ht="115.2" x14ac:dyDescent="0.3">
      <c r="A6957" s="4" t="s">
        <v>9695</v>
      </c>
      <c r="B6957">
        <v>3</v>
      </c>
      <c r="C6957">
        <v>2010</v>
      </c>
      <c r="D6957" t="s">
        <v>217</v>
      </c>
      <c r="E6957">
        <v>8</v>
      </c>
      <c r="F6957" t="s">
        <v>37998</v>
      </c>
      <c r="G6957" t="s">
        <v>37999</v>
      </c>
      <c r="H6957" s="4" t="s">
        <v>38000</v>
      </c>
      <c r="I6957" t="s">
        <v>71</v>
      </c>
      <c r="J6957" t="s">
        <v>10782</v>
      </c>
      <c r="K6957" t="s">
        <v>38001</v>
      </c>
    </row>
    <row r="6958" spans="1:11" ht="172.8" x14ac:dyDescent="0.3">
      <c r="A6958" s="4" t="s">
        <v>3442</v>
      </c>
      <c r="B6958">
        <v>1</v>
      </c>
      <c r="C6958">
        <v>2010</v>
      </c>
      <c r="D6958" t="s">
        <v>2282</v>
      </c>
      <c r="E6958">
        <v>60</v>
      </c>
      <c r="F6958" t="s">
        <v>38002</v>
      </c>
      <c r="G6958" t="s">
        <v>38003</v>
      </c>
      <c r="H6958" s="4" t="s">
        <v>38004</v>
      </c>
      <c r="I6958" t="s">
        <v>71</v>
      </c>
      <c r="J6958" t="s">
        <v>10782</v>
      </c>
      <c r="K6958" t="s">
        <v>38005</v>
      </c>
    </row>
    <row r="6959" spans="1:11" ht="144" x14ac:dyDescent="0.3">
      <c r="A6959" s="4" t="s">
        <v>9696</v>
      </c>
      <c r="B6959">
        <v>3</v>
      </c>
      <c r="C6959">
        <v>2010</v>
      </c>
      <c r="D6959" t="s">
        <v>17688</v>
      </c>
      <c r="E6959">
        <v>10</v>
      </c>
      <c r="G6959" t="s">
        <v>38006</v>
      </c>
      <c r="H6959" s="4" t="s">
        <v>38007</v>
      </c>
      <c r="I6959" s="4" t="s">
        <v>71</v>
      </c>
      <c r="J6959" t="s">
        <v>10782</v>
      </c>
      <c r="K6959" t="s">
        <v>38008</v>
      </c>
    </row>
    <row r="6960" spans="1:11" ht="115.2" x14ac:dyDescent="0.3">
      <c r="A6960" s="4" t="s">
        <v>3674</v>
      </c>
      <c r="B6960">
        <v>2</v>
      </c>
      <c r="C6960">
        <v>2010</v>
      </c>
      <c r="D6960" t="s">
        <v>35974</v>
      </c>
      <c r="E6960">
        <v>8</v>
      </c>
      <c r="F6960" t="s">
        <v>38009</v>
      </c>
      <c r="G6960" t="s">
        <v>38010</v>
      </c>
      <c r="H6960" s="4" t="s">
        <v>38011</v>
      </c>
      <c r="I6960" t="s">
        <v>71</v>
      </c>
      <c r="J6960" t="s">
        <v>10782</v>
      </c>
      <c r="K6960" t="s">
        <v>38012</v>
      </c>
    </row>
    <row r="6961" spans="1:11" ht="72" x14ac:dyDescent="0.3">
      <c r="A6961" s="4" t="s">
        <v>9697</v>
      </c>
      <c r="B6961">
        <v>3</v>
      </c>
      <c r="C6961">
        <v>2010</v>
      </c>
      <c r="D6961" t="s">
        <v>3058</v>
      </c>
      <c r="E6961">
        <v>7</v>
      </c>
      <c r="F6961" t="s">
        <v>38013</v>
      </c>
      <c r="G6961" t="s">
        <v>38014</v>
      </c>
      <c r="H6961" s="4" t="s">
        <v>38015</v>
      </c>
      <c r="I6961" t="s">
        <v>71</v>
      </c>
      <c r="J6961" t="s">
        <v>10782</v>
      </c>
      <c r="K6961" t="s">
        <v>38016</v>
      </c>
    </row>
    <row r="6962" spans="1:11" ht="72" x14ac:dyDescent="0.3">
      <c r="A6962" s="4" t="s">
        <v>9698</v>
      </c>
      <c r="B6962">
        <v>3</v>
      </c>
      <c r="C6962">
        <v>2010</v>
      </c>
      <c r="D6962" t="s">
        <v>17487</v>
      </c>
      <c r="E6962">
        <v>10</v>
      </c>
      <c r="F6962" t="s">
        <v>38017</v>
      </c>
      <c r="G6962" t="s">
        <v>38018</v>
      </c>
      <c r="H6962" s="4" t="s">
        <v>38019</v>
      </c>
      <c r="I6962" t="s">
        <v>71</v>
      </c>
      <c r="J6962" t="s">
        <v>10782</v>
      </c>
      <c r="K6962" t="s">
        <v>38020</v>
      </c>
    </row>
    <row r="6963" spans="1:11" ht="144" x14ac:dyDescent="0.3">
      <c r="A6963" s="4" t="s">
        <v>9699</v>
      </c>
      <c r="B6963">
        <v>3</v>
      </c>
      <c r="C6963">
        <v>2010</v>
      </c>
      <c r="D6963" t="s">
        <v>550</v>
      </c>
      <c r="E6963">
        <v>10</v>
      </c>
      <c r="F6963" t="s">
        <v>38021</v>
      </c>
      <c r="G6963" t="s">
        <v>38022</v>
      </c>
      <c r="H6963" s="4" t="s">
        <v>38023</v>
      </c>
      <c r="I6963" t="s">
        <v>71</v>
      </c>
      <c r="J6963" t="s">
        <v>10782</v>
      </c>
      <c r="K6963" t="s">
        <v>38024</v>
      </c>
    </row>
    <row r="6964" spans="1:11" ht="230.4" x14ac:dyDescent="0.3">
      <c r="A6964" s="4" t="s">
        <v>3675</v>
      </c>
      <c r="B6964">
        <v>2</v>
      </c>
      <c r="C6964">
        <v>2010</v>
      </c>
      <c r="D6964" t="s">
        <v>550</v>
      </c>
      <c r="E6964">
        <v>130</v>
      </c>
      <c r="F6964" t="s">
        <v>38025</v>
      </c>
      <c r="G6964" t="s">
        <v>38026</v>
      </c>
      <c r="H6964" s="4" t="s">
        <v>38027</v>
      </c>
      <c r="I6964" t="s">
        <v>71</v>
      </c>
      <c r="J6964" t="s">
        <v>10782</v>
      </c>
      <c r="K6964" t="s">
        <v>38028</v>
      </c>
    </row>
    <row r="6965" spans="1:11" ht="259.2" x14ac:dyDescent="0.3">
      <c r="A6965" s="4" t="s">
        <v>2312</v>
      </c>
      <c r="B6965">
        <v>1</v>
      </c>
      <c r="C6965">
        <v>2010</v>
      </c>
      <c r="D6965" t="s">
        <v>1836</v>
      </c>
      <c r="E6965">
        <v>22</v>
      </c>
      <c r="F6965" t="s">
        <v>38029</v>
      </c>
      <c r="G6965" t="s">
        <v>38030</v>
      </c>
      <c r="H6965" s="4" t="s">
        <v>38031</v>
      </c>
      <c r="I6965" t="s">
        <v>71</v>
      </c>
      <c r="J6965" t="s">
        <v>10782</v>
      </c>
      <c r="K6965" t="s">
        <v>38032</v>
      </c>
    </row>
    <row r="6966" spans="1:11" ht="259.2" x14ac:dyDescent="0.3">
      <c r="A6966" s="4" t="s">
        <v>9700</v>
      </c>
      <c r="B6966">
        <v>3</v>
      </c>
      <c r="C6966">
        <v>2010</v>
      </c>
      <c r="D6966" t="s">
        <v>164</v>
      </c>
      <c r="E6966">
        <v>53</v>
      </c>
      <c r="F6966" t="s">
        <v>38033</v>
      </c>
      <c r="G6966" t="s">
        <v>38034</v>
      </c>
      <c r="H6966" s="4" t="s">
        <v>38035</v>
      </c>
    </row>
    <row r="6967" spans="1:11" ht="158.4" x14ac:dyDescent="0.3">
      <c r="A6967" s="4" t="s">
        <v>2953</v>
      </c>
      <c r="B6967">
        <v>2</v>
      </c>
      <c r="C6967">
        <v>2010</v>
      </c>
      <c r="D6967" t="s">
        <v>3061</v>
      </c>
      <c r="E6967">
        <v>3</v>
      </c>
      <c r="F6967" t="s">
        <v>38036</v>
      </c>
      <c r="G6967" t="s">
        <v>38037</v>
      </c>
      <c r="H6967" s="4" t="s">
        <v>38038</v>
      </c>
      <c r="I6967" t="s">
        <v>71</v>
      </c>
      <c r="J6967" t="s">
        <v>10782</v>
      </c>
      <c r="K6967" t="s">
        <v>38039</v>
      </c>
    </row>
    <row r="6968" spans="1:11" ht="230.4" x14ac:dyDescent="0.3">
      <c r="A6968" s="4" t="s">
        <v>2313</v>
      </c>
      <c r="B6968">
        <v>1</v>
      </c>
      <c r="C6968">
        <v>2010</v>
      </c>
      <c r="D6968" t="s">
        <v>1841</v>
      </c>
      <c r="E6968">
        <v>46</v>
      </c>
      <c r="F6968" t="s">
        <v>38040</v>
      </c>
      <c r="G6968" t="s">
        <v>38041</v>
      </c>
      <c r="H6968" s="4" t="s">
        <v>38042</v>
      </c>
      <c r="I6968" t="s">
        <v>71</v>
      </c>
      <c r="J6968" t="s">
        <v>10782</v>
      </c>
      <c r="K6968" t="s">
        <v>38043</v>
      </c>
    </row>
    <row r="6969" spans="1:11" ht="72" x14ac:dyDescent="0.3">
      <c r="A6969" s="4" t="s">
        <v>9701</v>
      </c>
      <c r="B6969">
        <v>3</v>
      </c>
      <c r="C6969">
        <v>2010</v>
      </c>
      <c r="D6969" t="s">
        <v>1877</v>
      </c>
      <c r="E6969">
        <v>13</v>
      </c>
      <c r="F6969" t="s">
        <v>38044</v>
      </c>
      <c r="G6969" t="s">
        <v>38045</v>
      </c>
      <c r="H6969" s="4" t="s">
        <v>38046</v>
      </c>
      <c r="I6969" t="s">
        <v>71</v>
      </c>
      <c r="J6969" t="s">
        <v>10782</v>
      </c>
      <c r="K6969" t="s">
        <v>38047</v>
      </c>
    </row>
    <row r="6970" spans="1:11" ht="86.4" x14ac:dyDescent="0.3">
      <c r="A6970" s="4" t="s">
        <v>9702</v>
      </c>
      <c r="B6970">
        <v>3</v>
      </c>
      <c r="C6970">
        <v>2010</v>
      </c>
      <c r="D6970" t="s">
        <v>80</v>
      </c>
      <c r="E6970">
        <v>20</v>
      </c>
      <c r="F6970" t="s">
        <v>38048</v>
      </c>
      <c r="G6970" t="s">
        <v>38049</v>
      </c>
      <c r="H6970" s="4" t="s">
        <v>38050</v>
      </c>
      <c r="I6970" t="s">
        <v>71</v>
      </c>
      <c r="J6970" t="s">
        <v>10782</v>
      </c>
      <c r="K6970" t="s">
        <v>38051</v>
      </c>
    </row>
    <row r="6971" spans="1:11" ht="259.2" x14ac:dyDescent="0.3">
      <c r="A6971" s="4" t="s">
        <v>9703</v>
      </c>
      <c r="B6971">
        <v>3</v>
      </c>
      <c r="C6971">
        <v>2010</v>
      </c>
      <c r="D6971" t="s">
        <v>80</v>
      </c>
      <c r="E6971">
        <v>127</v>
      </c>
      <c r="F6971" t="s">
        <v>38052</v>
      </c>
      <c r="G6971" t="s">
        <v>38053</v>
      </c>
      <c r="H6971" s="4" t="s">
        <v>38054</v>
      </c>
      <c r="I6971" t="s">
        <v>71</v>
      </c>
      <c r="J6971" t="s">
        <v>10782</v>
      </c>
      <c r="K6971" t="s">
        <v>38055</v>
      </c>
    </row>
    <row r="6972" spans="1:11" ht="144" x14ac:dyDescent="0.3">
      <c r="A6972" s="4" t="s">
        <v>9704</v>
      </c>
      <c r="B6972">
        <v>3</v>
      </c>
      <c r="C6972">
        <v>2010</v>
      </c>
      <c r="D6972" t="s">
        <v>3026</v>
      </c>
      <c r="E6972">
        <v>8</v>
      </c>
      <c r="F6972" t="s">
        <v>38056</v>
      </c>
      <c r="G6972" t="s">
        <v>38057</v>
      </c>
      <c r="H6972" s="4" t="s">
        <v>38058</v>
      </c>
      <c r="I6972" t="s">
        <v>71</v>
      </c>
      <c r="J6972" t="s">
        <v>10782</v>
      </c>
      <c r="K6972" t="s">
        <v>38059</v>
      </c>
    </row>
    <row r="6973" spans="1:11" ht="187.2" x14ac:dyDescent="0.3">
      <c r="A6973" s="4" t="s">
        <v>9705</v>
      </c>
      <c r="B6973">
        <v>3</v>
      </c>
      <c r="C6973">
        <v>2010</v>
      </c>
      <c r="D6973" t="s">
        <v>21123</v>
      </c>
      <c r="E6973">
        <v>42</v>
      </c>
      <c r="F6973" t="s">
        <v>38060</v>
      </c>
      <c r="G6973" t="s">
        <v>38061</v>
      </c>
      <c r="H6973" s="4" t="s">
        <v>38062</v>
      </c>
      <c r="I6973" t="s">
        <v>71</v>
      </c>
      <c r="J6973" t="s">
        <v>10782</v>
      </c>
      <c r="K6973" t="s">
        <v>38063</v>
      </c>
    </row>
    <row r="6974" spans="1:11" ht="187.2" x14ac:dyDescent="0.3">
      <c r="A6974" s="4" t="s">
        <v>9706</v>
      </c>
      <c r="B6974">
        <v>3</v>
      </c>
      <c r="C6974">
        <v>2010</v>
      </c>
      <c r="D6974" t="s">
        <v>26297</v>
      </c>
      <c r="E6974">
        <v>16</v>
      </c>
      <c r="F6974" t="s">
        <v>38064</v>
      </c>
      <c r="G6974" t="s">
        <v>38065</v>
      </c>
      <c r="H6974" s="4" t="s">
        <v>38066</v>
      </c>
      <c r="I6974" t="s">
        <v>71</v>
      </c>
      <c r="J6974" t="s">
        <v>10782</v>
      </c>
      <c r="K6974" t="s">
        <v>38067</v>
      </c>
    </row>
    <row r="6975" spans="1:11" ht="129.6" x14ac:dyDescent="0.3">
      <c r="A6975" s="4" t="s">
        <v>9707</v>
      </c>
      <c r="B6975">
        <v>3</v>
      </c>
      <c r="C6975">
        <v>2010</v>
      </c>
      <c r="D6975" t="s">
        <v>10924</v>
      </c>
      <c r="E6975">
        <v>8</v>
      </c>
      <c r="F6975" t="s">
        <v>38068</v>
      </c>
      <c r="G6975" t="s">
        <v>38069</v>
      </c>
      <c r="H6975" s="4" t="s">
        <v>38070</v>
      </c>
      <c r="I6975" t="s">
        <v>71</v>
      </c>
      <c r="J6975" t="s">
        <v>10782</v>
      </c>
      <c r="K6975" t="s">
        <v>38071</v>
      </c>
    </row>
    <row r="6976" spans="1:11" ht="244.8" x14ac:dyDescent="0.3">
      <c r="A6976" s="4" t="s">
        <v>9708</v>
      </c>
      <c r="B6976">
        <v>3</v>
      </c>
      <c r="C6976">
        <v>2010</v>
      </c>
      <c r="D6976" t="s">
        <v>11658</v>
      </c>
      <c r="E6976">
        <v>132</v>
      </c>
      <c r="F6976" t="s">
        <v>38072</v>
      </c>
      <c r="G6976" t="s">
        <v>38073</v>
      </c>
      <c r="H6976" s="4" t="s">
        <v>38074</v>
      </c>
      <c r="I6976" t="s">
        <v>71</v>
      </c>
      <c r="J6976" t="s">
        <v>10782</v>
      </c>
      <c r="K6976" t="s">
        <v>38075</v>
      </c>
    </row>
    <row r="6977" spans="1:11" ht="144" x14ac:dyDescent="0.3">
      <c r="A6977" s="4" t="s">
        <v>9709</v>
      </c>
      <c r="B6977">
        <v>3</v>
      </c>
      <c r="C6977">
        <v>2010</v>
      </c>
      <c r="D6977" t="s">
        <v>19725</v>
      </c>
      <c r="E6977">
        <v>18</v>
      </c>
      <c r="F6977" t="s">
        <v>38076</v>
      </c>
      <c r="G6977" t="s">
        <v>38077</v>
      </c>
      <c r="H6977" s="4" t="s">
        <v>38078</v>
      </c>
      <c r="I6977" t="s">
        <v>71</v>
      </c>
      <c r="J6977" t="s">
        <v>10782</v>
      </c>
      <c r="K6977" t="s">
        <v>38079</v>
      </c>
    </row>
    <row r="6978" spans="1:11" ht="129.6" x14ac:dyDescent="0.3">
      <c r="A6978" s="4" t="s">
        <v>9710</v>
      </c>
      <c r="B6978">
        <v>3</v>
      </c>
      <c r="C6978">
        <v>2010</v>
      </c>
      <c r="D6978" t="s">
        <v>11741</v>
      </c>
      <c r="E6978">
        <v>23</v>
      </c>
      <c r="F6978" t="s">
        <v>38080</v>
      </c>
      <c r="G6978" t="s">
        <v>38081</v>
      </c>
      <c r="H6978" s="4" t="s">
        <v>38082</v>
      </c>
    </row>
    <row r="6979" spans="1:11" ht="144" x14ac:dyDescent="0.3">
      <c r="A6979" s="4" t="s">
        <v>9711</v>
      </c>
      <c r="B6979">
        <v>3</v>
      </c>
      <c r="C6979">
        <v>2010</v>
      </c>
      <c r="D6979" t="s">
        <v>11235</v>
      </c>
      <c r="E6979">
        <v>54</v>
      </c>
      <c r="F6979" t="s">
        <v>38083</v>
      </c>
      <c r="G6979" t="s">
        <v>38084</v>
      </c>
      <c r="H6979" s="4" t="s">
        <v>38085</v>
      </c>
      <c r="I6979" t="s">
        <v>71</v>
      </c>
      <c r="J6979" t="s">
        <v>10782</v>
      </c>
      <c r="K6979" t="s">
        <v>38086</v>
      </c>
    </row>
    <row r="6980" spans="1:11" ht="216" x14ac:dyDescent="0.3">
      <c r="A6980" s="4" t="s">
        <v>9712</v>
      </c>
      <c r="B6980">
        <v>3</v>
      </c>
      <c r="C6980">
        <v>2010</v>
      </c>
      <c r="D6980" t="s">
        <v>38087</v>
      </c>
      <c r="E6980">
        <v>99</v>
      </c>
      <c r="F6980" t="s">
        <v>38088</v>
      </c>
      <c r="G6980" t="s">
        <v>38089</v>
      </c>
      <c r="H6980" s="4" t="s">
        <v>38090</v>
      </c>
      <c r="I6980" t="s">
        <v>71</v>
      </c>
      <c r="J6980" t="s">
        <v>10782</v>
      </c>
      <c r="K6980" t="s">
        <v>38091</v>
      </c>
    </row>
    <row r="6981" spans="1:11" ht="172.8" x14ac:dyDescent="0.3">
      <c r="A6981" s="4" t="s">
        <v>9713</v>
      </c>
      <c r="B6981">
        <v>3</v>
      </c>
      <c r="C6981">
        <v>2010</v>
      </c>
      <c r="D6981" t="s">
        <v>12491</v>
      </c>
      <c r="E6981">
        <v>51</v>
      </c>
      <c r="F6981" t="s">
        <v>38092</v>
      </c>
      <c r="G6981" t="s">
        <v>38093</v>
      </c>
      <c r="H6981" s="4" t="s">
        <v>38094</v>
      </c>
      <c r="I6981" t="s">
        <v>71</v>
      </c>
      <c r="J6981" t="s">
        <v>10782</v>
      </c>
      <c r="K6981" t="s">
        <v>38095</v>
      </c>
    </row>
    <row r="6982" spans="1:11" ht="201.6" x14ac:dyDescent="0.3">
      <c r="A6982" s="4" t="s">
        <v>9714</v>
      </c>
      <c r="B6982">
        <v>3</v>
      </c>
      <c r="C6982">
        <v>2010</v>
      </c>
      <c r="D6982" t="s">
        <v>1770</v>
      </c>
      <c r="E6982">
        <v>91</v>
      </c>
      <c r="F6982" t="s">
        <v>38096</v>
      </c>
      <c r="G6982" t="s">
        <v>38097</v>
      </c>
      <c r="H6982" s="4" t="s">
        <v>38098</v>
      </c>
      <c r="I6982" t="s">
        <v>71</v>
      </c>
      <c r="J6982" t="s">
        <v>10782</v>
      </c>
      <c r="K6982" t="s">
        <v>38099</v>
      </c>
    </row>
    <row r="6983" spans="1:11" ht="230.4" x14ac:dyDescent="0.3">
      <c r="A6983" s="4" t="s">
        <v>9715</v>
      </c>
      <c r="B6983">
        <v>3</v>
      </c>
      <c r="C6983">
        <v>2010</v>
      </c>
      <c r="D6983" t="s">
        <v>11007</v>
      </c>
      <c r="E6983">
        <v>17</v>
      </c>
      <c r="F6983" t="s">
        <v>38100</v>
      </c>
      <c r="G6983" t="s">
        <v>38101</v>
      </c>
      <c r="H6983" s="4" t="s">
        <v>38102</v>
      </c>
      <c r="I6983" t="s">
        <v>71</v>
      </c>
      <c r="J6983" t="s">
        <v>10782</v>
      </c>
      <c r="K6983" t="s">
        <v>38103</v>
      </c>
    </row>
    <row r="6984" spans="1:11" ht="100.8" x14ac:dyDescent="0.3">
      <c r="A6984" s="4" t="s">
        <v>2954</v>
      </c>
      <c r="B6984">
        <v>2</v>
      </c>
      <c r="C6984">
        <v>2010</v>
      </c>
      <c r="D6984" t="s">
        <v>3058</v>
      </c>
      <c r="E6984">
        <v>29</v>
      </c>
      <c r="F6984" t="s">
        <v>38104</v>
      </c>
      <c r="G6984" t="s">
        <v>38105</v>
      </c>
      <c r="H6984" s="4" t="s">
        <v>38106</v>
      </c>
      <c r="I6984" t="s">
        <v>71</v>
      </c>
      <c r="J6984" t="s">
        <v>10782</v>
      </c>
      <c r="K6984" t="s">
        <v>38107</v>
      </c>
    </row>
    <row r="6985" spans="1:11" ht="86.4" x14ac:dyDescent="0.3">
      <c r="A6985" s="4" t="s">
        <v>9716</v>
      </c>
      <c r="B6985">
        <v>3</v>
      </c>
      <c r="C6985">
        <v>2010</v>
      </c>
      <c r="D6985" t="s">
        <v>2986</v>
      </c>
      <c r="E6985">
        <v>1963</v>
      </c>
      <c r="F6985" t="s">
        <v>38108</v>
      </c>
      <c r="G6985" t="s">
        <v>38109</v>
      </c>
      <c r="H6985" s="4" t="s">
        <v>38110</v>
      </c>
    </row>
    <row r="6986" spans="1:11" ht="43.2" x14ac:dyDescent="0.3">
      <c r="A6986" s="4" t="s">
        <v>9717</v>
      </c>
      <c r="B6986">
        <v>3</v>
      </c>
      <c r="C6986">
        <v>2010</v>
      </c>
      <c r="D6986" t="s">
        <v>37053</v>
      </c>
      <c r="E6986">
        <v>1</v>
      </c>
      <c r="F6986" t="s">
        <v>38111</v>
      </c>
      <c r="G6986" t="s">
        <v>38112</v>
      </c>
    </row>
    <row r="6987" spans="1:11" ht="129.6" x14ac:dyDescent="0.3">
      <c r="A6987" s="4" t="s">
        <v>9718</v>
      </c>
      <c r="B6987">
        <v>3</v>
      </c>
      <c r="C6987">
        <v>2010</v>
      </c>
      <c r="D6987" t="s">
        <v>2384</v>
      </c>
      <c r="E6987">
        <v>276</v>
      </c>
      <c r="F6987" t="s">
        <v>38113</v>
      </c>
      <c r="G6987" t="s">
        <v>38114</v>
      </c>
      <c r="H6987" s="4" t="s">
        <v>38115</v>
      </c>
      <c r="I6987" t="s">
        <v>71</v>
      </c>
      <c r="J6987" t="s">
        <v>10782</v>
      </c>
      <c r="K6987" t="s">
        <v>38116</v>
      </c>
    </row>
    <row r="6988" spans="1:11" ht="172.8" x14ac:dyDescent="0.3">
      <c r="A6988" s="4" t="s">
        <v>9719</v>
      </c>
      <c r="B6988">
        <v>3</v>
      </c>
      <c r="C6988">
        <v>2010</v>
      </c>
      <c r="D6988" t="s">
        <v>83</v>
      </c>
      <c r="E6988">
        <v>1</v>
      </c>
      <c r="F6988" t="s">
        <v>38117</v>
      </c>
      <c r="G6988" t="s">
        <v>38118</v>
      </c>
      <c r="H6988" s="4" t="s">
        <v>38119</v>
      </c>
      <c r="I6988" t="s">
        <v>71</v>
      </c>
      <c r="J6988" t="s">
        <v>10782</v>
      </c>
      <c r="K6988" t="s">
        <v>38120</v>
      </c>
    </row>
    <row r="6989" spans="1:11" ht="144" x14ac:dyDescent="0.3">
      <c r="A6989" s="4" t="s">
        <v>9720</v>
      </c>
      <c r="B6989">
        <v>3</v>
      </c>
      <c r="C6989">
        <v>2010</v>
      </c>
      <c r="D6989" t="s">
        <v>1231</v>
      </c>
      <c r="E6989">
        <v>32</v>
      </c>
      <c r="F6989" t="s">
        <v>38121</v>
      </c>
      <c r="G6989" t="s">
        <v>38122</v>
      </c>
      <c r="H6989" s="4" t="s">
        <v>38123</v>
      </c>
    </row>
    <row r="6990" spans="1:11" ht="302.39999999999998" x14ac:dyDescent="0.3">
      <c r="A6990" s="4" t="s">
        <v>9721</v>
      </c>
      <c r="B6990">
        <v>3</v>
      </c>
      <c r="C6990">
        <v>2010</v>
      </c>
      <c r="D6990" t="s">
        <v>33818</v>
      </c>
      <c r="E6990">
        <v>12</v>
      </c>
      <c r="G6990" t="s">
        <v>38124</v>
      </c>
      <c r="H6990" s="4" t="s">
        <v>38125</v>
      </c>
      <c r="I6990" s="4" t="s">
        <v>71</v>
      </c>
      <c r="J6990" t="s">
        <v>10782</v>
      </c>
      <c r="K6990" t="s">
        <v>38126</v>
      </c>
    </row>
    <row r="6991" spans="1:11" ht="115.2" x14ac:dyDescent="0.3">
      <c r="A6991" s="4" t="s">
        <v>9722</v>
      </c>
      <c r="B6991">
        <v>3</v>
      </c>
      <c r="C6991">
        <v>2010</v>
      </c>
      <c r="D6991" t="s">
        <v>38127</v>
      </c>
      <c r="E6991">
        <v>81</v>
      </c>
      <c r="F6991" t="s">
        <v>38128</v>
      </c>
      <c r="G6991" t="s">
        <v>38129</v>
      </c>
      <c r="H6991" s="4" t="s">
        <v>38130</v>
      </c>
      <c r="I6991" t="s">
        <v>71</v>
      </c>
      <c r="J6991" t="s">
        <v>10782</v>
      </c>
      <c r="K6991" t="s">
        <v>38131</v>
      </c>
    </row>
    <row r="6992" spans="1:11" ht="158.4" x14ac:dyDescent="0.3">
      <c r="A6992" s="4" t="s">
        <v>9723</v>
      </c>
      <c r="B6992">
        <v>3</v>
      </c>
      <c r="C6992">
        <v>2010</v>
      </c>
      <c r="D6992" t="s">
        <v>15856</v>
      </c>
      <c r="E6992">
        <v>5</v>
      </c>
      <c r="F6992" t="s">
        <v>38132</v>
      </c>
      <c r="G6992" t="s">
        <v>38133</v>
      </c>
      <c r="H6992" s="4" t="s">
        <v>38134</v>
      </c>
      <c r="I6992" t="s">
        <v>71</v>
      </c>
      <c r="J6992" t="s">
        <v>10782</v>
      </c>
      <c r="K6992" t="s">
        <v>38135</v>
      </c>
    </row>
    <row r="6993" spans="1:11" ht="72" x14ac:dyDescent="0.3">
      <c r="A6993" s="4" t="s">
        <v>9724</v>
      </c>
      <c r="B6993">
        <v>3</v>
      </c>
      <c r="C6993">
        <v>2010</v>
      </c>
      <c r="D6993" t="s">
        <v>1877</v>
      </c>
      <c r="E6993">
        <v>8</v>
      </c>
      <c r="F6993" t="s">
        <v>38136</v>
      </c>
      <c r="G6993" t="s">
        <v>38137</v>
      </c>
      <c r="H6993" s="4" t="s">
        <v>38138</v>
      </c>
      <c r="I6993" t="s">
        <v>71</v>
      </c>
      <c r="J6993" t="s">
        <v>10782</v>
      </c>
      <c r="K6993" t="s">
        <v>38139</v>
      </c>
    </row>
    <row r="6994" spans="1:11" ht="144" x14ac:dyDescent="0.3">
      <c r="A6994" s="4" t="s">
        <v>9725</v>
      </c>
      <c r="B6994">
        <v>3</v>
      </c>
      <c r="C6994">
        <v>2010</v>
      </c>
      <c r="D6994" t="s">
        <v>3061</v>
      </c>
      <c r="E6994">
        <v>6</v>
      </c>
      <c r="F6994" t="s">
        <v>38140</v>
      </c>
      <c r="G6994" t="s">
        <v>38141</v>
      </c>
      <c r="H6994" s="4" t="s">
        <v>38142</v>
      </c>
      <c r="I6994" t="s">
        <v>71</v>
      </c>
      <c r="J6994" t="s">
        <v>10782</v>
      </c>
      <c r="K6994" t="s">
        <v>38143</v>
      </c>
    </row>
    <row r="6995" spans="1:11" ht="201.6" x14ac:dyDescent="0.3">
      <c r="A6995" s="4" t="s">
        <v>9726</v>
      </c>
      <c r="B6995">
        <v>3</v>
      </c>
      <c r="C6995">
        <v>2010</v>
      </c>
      <c r="D6995" t="s">
        <v>15454</v>
      </c>
      <c r="E6995">
        <v>45</v>
      </c>
      <c r="F6995" t="s">
        <v>38144</v>
      </c>
      <c r="G6995" t="s">
        <v>38145</v>
      </c>
      <c r="H6995" s="4" t="s">
        <v>38146</v>
      </c>
      <c r="I6995" t="s">
        <v>71</v>
      </c>
      <c r="J6995" t="s">
        <v>10782</v>
      </c>
      <c r="K6995" t="s">
        <v>38147</v>
      </c>
    </row>
    <row r="6996" spans="1:11" ht="230.4" x14ac:dyDescent="0.3">
      <c r="A6996" s="4" t="s">
        <v>9727</v>
      </c>
      <c r="B6996">
        <v>3</v>
      </c>
      <c r="C6996">
        <v>2010</v>
      </c>
      <c r="D6996" t="s">
        <v>14736</v>
      </c>
      <c r="E6996">
        <v>15</v>
      </c>
      <c r="F6996" t="s">
        <v>38148</v>
      </c>
      <c r="G6996" t="s">
        <v>38149</v>
      </c>
      <c r="H6996" s="4" t="s">
        <v>38150</v>
      </c>
      <c r="I6996" t="s">
        <v>71</v>
      </c>
      <c r="J6996" t="s">
        <v>10782</v>
      </c>
      <c r="K6996" t="s">
        <v>38151</v>
      </c>
    </row>
    <row r="6997" spans="1:11" ht="57.6" x14ac:dyDescent="0.3">
      <c r="A6997" s="4" t="s">
        <v>9728</v>
      </c>
      <c r="B6997">
        <v>3</v>
      </c>
      <c r="C6997">
        <v>2010</v>
      </c>
      <c r="D6997" t="s">
        <v>10924</v>
      </c>
      <c r="E6997">
        <v>6</v>
      </c>
      <c r="F6997" t="s">
        <v>38152</v>
      </c>
      <c r="G6997" t="s">
        <v>38153</v>
      </c>
      <c r="H6997" s="4" t="s">
        <v>38154</v>
      </c>
    </row>
    <row r="6998" spans="1:11" ht="86.4" x14ac:dyDescent="0.3">
      <c r="A6998" s="4" t="s">
        <v>9729</v>
      </c>
      <c r="B6998">
        <v>3</v>
      </c>
      <c r="C6998">
        <v>2010</v>
      </c>
      <c r="D6998" t="s">
        <v>21123</v>
      </c>
      <c r="E6998">
        <v>247</v>
      </c>
      <c r="F6998" t="s">
        <v>38155</v>
      </c>
      <c r="G6998" t="s">
        <v>38156</v>
      </c>
      <c r="H6998" s="4" t="s">
        <v>38157</v>
      </c>
      <c r="I6998" t="s">
        <v>71</v>
      </c>
      <c r="J6998" t="s">
        <v>10782</v>
      </c>
      <c r="K6998" t="s">
        <v>38158</v>
      </c>
    </row>
    <row r="6999" spans="1:11" ht="115.2" x14ac:dyDescent="0.3">
      <c r="A6999" s="4" t="s">
        <v>9730</v>
      </c>
      <c r="B6999">
        <v>3</v>
      </c>
      <c r="C6999">
        <v>2010</v>
      </c>
      <c r="D6999" t="s">
        <v>17476</v>
      </c>
      <c r="E6999">
        <v>11</v>
      </c>
      <c r="F6999" t="s">
        <v>38159</v>
      </c>
      <c r="G6999" t="s">
        <v>38160</v>
      </c>
      <c r="H6999" s="4" t="s">
        <v>38161</v>
      </c>
      <c r="I6999" t="s">
        <v>71</v>
      </c>
      <c r="J6999" t="s">
        <v>10782</v>
      </c>
      <c r="K6999" t="s">
        <v>38162</v>
      </c>
    </row>
    <row r="7000" spans="1:11" ht="244.8" x14ac:dyDescent="0.3">
      <c r="A7000" s="4" t="s">
        <v>9731</v>
      </c>
      <c r="B7000">
        <v>3</v>
      </c>
      <c r="C7000">
        <v>2010</v>
      </c>
      <c r="D7000" t="s">
        <v>26518</v>
      </c>
      <c r="E7000">
        <v>43</v>
      </c>
      <c r="F7000" t="s">
        <v>38163</v>
      </c>
      <c r="G7000" t="s">
        <v>38164</v>
      </c>
      <c r="H7000" s="4" t="s">
        <v>38165</v>
      </c>
      <c r="I7000" t="s">
        <v>71</v>
      </c>
      <c r="J7000" t="s">
        <v>10782</v>
      </c>
      <c r="K7000" t="s">
        <v>38166</v>
      </c>
    </row>
    <row r="7001" spans="1:11" ht="100.8" x14ac:dyDescent="0.3">
      <c r="A7001" s="4" t="s">
        <v>9732</v>
      </c>
      <c r="B7001">
        <v>3</v>
      </c>
      <c r="C7001">
        <v>2010</v>
      </c>
      <c r="D7001" t="s">
        <v>38167</v>
      </c>
      <c r="E7001">
        <v>84</v>
      </c>
      <c r="F7001" t="s">
        <v>38168</v>
      </c>
      <c r="G7001" t="s">
        <v>38169</v>
      </c>
      <c r="H7001" s="4" t="s">
        <v>38170</v>
      </c>
      <c r="I7001" t="s">
        <v>71</v>
      </c>
      <c r="J7001" t="s">
        <v>10782</v>
      </c>
      <c r="K7001" t="s">
        <v>38171</v>
      </c>
    </row>
    <row r="7002" spans="1:11" ht="158.4" x14ac:dyDescent="0.3">
      <c r="A7002" s="4" t="s">
        <v>9733</v>
      </c>
      <c r="B7002">
        <v>3</v>
      </c>
      <c r="C7002">
        <v>2010</v>
      </c>
      <c r="D7002" t="s">
        <v>2853</v>
      </c>
      <c r="E7002">
        <v>21</v>
      </c>
      <c r="F7002" t="s">
        <v>38172</v>
      </c>
      <c r="G7002" t="s">
        <v>38173</v>
      </c>
      <c r="H7002" s="4" t="s">
        <v>38174</v>
      </c>
      <c r="I7002" t="s">
        <v>71</v>
      </c>
      <c r="J7002" t="s">
        <v>10782</v>
      </c>
      <c r="K7002" t="s">
        <v>38175</v>
      </c>
    </row>
    <row r="7003" spans="1:11" ht="187.2" x14ac:dyDescent="0.3">
      <c r="A7003" s="4" t="s">
        <v>3676</v>
      </c>
      <c r="B7003">
        <v>2</v>
      </c>
      <c r="C7003">
        <v>2010</v>
      </c>
      <c r="D7003" t="s">
        <v>2853</v>
      </c>
      <c r="E7003">
        <v>120</v>
      </c>
      <c r="F7003" t="s">
        <v>38176</v>
      </c>
      <c r="G7003" t="s">
        <v>38177</v>
      </c>
      <c r="H7003" s="4" t="s">
        <v>38178</v>
      </c>
      <c r="I7003" t="s">
        <v>71</v>
      </c>
      <c r="J7003" t="s">
        <v>10782</v>
      </c>
      <c r="K7003" t="s">
        <v>38179</v>
      </c>
    </row>
    <row r="7004" spans="1:11" ht="201.6" x14ac:dyDescent="0.3">
      <c r="A7004" s="4" t="s">
        <v>9734</v>
      </c>
      <c r="B7004">
        <v>3</v>
      </c>
      <c r="C7004">
        <v>2010</v>
      </c>
      <c r="D7004" t="s">
        <v>2282</v>
      </c>
      <c r="E7004">
        <v>37</v>
      </c>
      <c r="F7004" t="s">
        <v>38180</v>
      </c>
      <c r="G7004" t="s">
        <v>38181</v>
      </c>
      <c r="H7004" s="4" t="s">
        <v>38182</v>
      </c>
      <c r="I7004" t="s">
        <v>71</v>
      </c>
      <c r="J7004" t="s">
        <v>10782</v>
      </c>
      <c r="K7004" t="s">
        <v>38183</v>
      </c>
    </row>
    <row r="7005" spans="1:11" ht="172.8" x14ac:dyDescent="0.3">
      <c r="A7005" s="4" t="s">
        <v>9735</v>
      </c>
      <c r="B7005">
        <v>3</v>
      </c>
      <c r="C7005">
        <v>2010</v>
      </c>
      <c r="D7005" t="s">
        <v>2853</v>
      </c>
      <c r="E7005">
        <v>59</v>
      </c>
      <c r="F7005" t="s">
        <v>38184</v>
      </c>
      <c r="G7005" t="s">
        <v>38185</v>
      </c>
      <c r="H7005" s="4" t="s">
        <v>38186</v>
      </c>
      <c r="I7005" t="s">
        <v>71</v>
      </c>
      <c r="J7005" t="s">
        <v>10782</v>
      </c>
      <c r="K7005" t="s">
        <v>38187</v>
      </c>
    </row>
    <row r="7006" spans="1:11" ht="172.8" x14ac:dyDescent="0.3">
      <c r="A7006" s="4" t="s">
        <v>9736</v>
      </c>
      <c r="B7006">
        <v>3</v>
      </c>
      <c r="C7006">
        <v>2010</v>
      </c>
      <c r="D7006" t="s">
        <v>2416</v>
      </c>
      <c r="E7006">
        <v>98</v>
      </c>
      <c r="F7006" t="s">
        <v>38188</v>
      </c>
      <c r="G7006" t="s">
        <v>38189</v>
      </c>
      <c r="H7006" s="4" t="s">
        <v>38190</v>
      </c>
    </row>
    <row r="7007" spans="1:11" ht="302.39999999999998" x14ac:dyDescent="0.3">
      <c r="A7007" s="4" t="s">
        <v>9737</v>
      </c>
      <c r="B7007">
        <v>3</v>
      </c>
      <c r="C7007">
        <v>2010</v>
      </c>
      <c r="D7007" t="s">
        <v>21008</v>
      </c>
      <c r="E7007">
        <v>38</v>
      </c>
      <c r="F7007" t="s">
        <v>38191</v>
      </c>
      <c r="G7007" t="s">
        <v>38192</v>
      </c>
      <c r="H7007" s="4" t="s">
        <v>38193</v>
      </c>
      <c r="I7007" t="s">
        <v>71</v>
      </c>
      <c r="J7007" t="s">
        <v>10782</v>
      </c>
      <c r="K7007" t="s">
        <v>38194</v>
      </c>
    </row>
    <row r="7008" spans="1:11" ht="172.8" x14ac:dyDescent="0.3">
      <c r="A7008" s="4" t="s">
        <v>9738</v>
      </c>
      <c r="B7008">
        <v>3</v>
      </c>
      <c r="C7008">
        <v>2010</v>
      </c>
      <c r="D7008" t="s">
        <v>2389</v>
      </c>
      <c r="E7008">
        <v>7</v>
      </c>
      <c r="F7008" t="s">
        <v>38195</v>
      </c>
      <c r="G7008" t="s">
        <v>38196</v>
      </c>
      <c r="H7008" s="4" t="s">
        <v>38197</v>
      </c>
      <c r="I7008" t="s">
        <v>71</v>
      </c>
      <c r="J7008" t="s">
        <v>10782</v>
      </c>
      <c r="K7008" t="s">
        <v>38198</v>
      </c>
    </row>
    <row r="7009" spans="1:11" ht="187.2" x14ac:dyDescent="0.3">
      <c r="A7009" s="4" t="s">
        <v>9739</v>
      </c>
      <c r="B7009">
        <v>3</v>
      </c>
      <c r="C7009">
        <v>2010</v>
      </c>
      <c r="D7009" t="s">
        <v>3061</v>
      </c>
      <c r="E7009">
        <v>8</v>
      </c>
      <c r="F7009" t="s">
        <v>38199</v>
      </c>
      <c r="G7009" t="s">
        <v>38200</v>
      </c>
      <c r="H7009" s="4" t="s">
        <v>38201</v>
      </c>
      <c r="I7009" t="s">
        <v>71</v>
      </c>
      <c r="J7009" t="s">
        <v>10782</v>
      </c>
      <c r="K7009" t="s">
        <v>38202</v>
      </c>
    </row>
    <row r="7010" spans="1:11" ht="144" x14ac:dyDescent="0.3">
      <c r="A7010" s="4" t="s">
        <v>9740</v>
      </c>
      <c r="B7010">
        <v>3</v>
      </c>
      <c r="C7010">
        <v>2010</v>
      </c>
      <c r="D7010" t="s">
        <v>38203</v>
      </c>
      <c r="E7010">
        <v>126</v>
      </c>
      <c r="F7010" t="s">
        <v>38204</v>
      </c>
      <c r="G7010" t="s">
        <v>38205</v>
      </c>
      <c r="H7010" s="4" t="s">
        <v>38206</v>
      </c>
    </row>
    <row r="7011" spans="1:11" ht="230.4" x14ac:dyDescent="0.3">
      <c r="A7011" s="4" t="s">
        <v>9741</v>
      </c>
      <c r="B7011">
        <v>3</v>
      </c>
      <c r="C7011">
        <v>2010</v>
      </c>
      <c r="D7011" t="s">
        <v>2389</v>
      </c>
      <c r="E7011">
        <v>2</v>
      </c>
      <c r="F7011" t="s">
        <v>38207</v>
      </c>
      <c r="G7011" t="s">
        <v>38208</v>
      </c>
      <c r="H7011" s="4" t="s">
        <v>38209</v>
      </c>
      <c r="I7011" t="s">
        <v>71</v>
      </c>
      <c r="J7011" t="s">
        <v>10782</v>
      </c>
      <c r="K7011" t="s">
        <v>38210</v>
      </c>
    </row>
    <row r="7012" spans="1:11" ht="172.8" x14ac:dyDescent="0.3">
      <c r="A7012" s="4" t="s">
        <v>9742</v>
      </c>
      <c r="B7012">
        <v>3</v>
      </c>
      <c r="C7012">
        <v>2010</v>
      </c>
      <c r="D7012" t="s">
        <v>2853</v>
      </c>
      <c r="E7012">
        <v>16</v>
      </c>
      <c r="F7012" t="s">
        <v>38211</v>
      </c>
      <c r="G7012" t="s">
        <v>38212</v>
      </c>
      <c r="H7012" s="4" t="s">
        <v>38213</v>
      </c>
      <c r="I7012" t="s">
        <v>71</v>
      </c>
      <c r="J7012" t="s">
        <v>10782</v>
      </c>
      <c r="K7012" t="s">
        <v>38214</v>
      </c>
    </row>
    <row r="7013" spans="1:11" ht="158.4" x14ac:dyDescent="0.3">
      <c r="A7013" s="4" t="s">
        <v>9743</v>
      </c>
      <c r="B7013">
        <v>3</v>
      </c>
      <c r="C7013">
        <v>2010</v>
      </c>
      <c r="D7013" t="s">
        <v>2853</v>
      </c>
      <c r="E7013">
        <v>110</v>
      </c>
      <c r="F7013" t="s">
        <v>38215</v>
      </c>
      <c r="G7013" t="s">
        <v>38216</v>
      </c>
      <c r="H7013" s="4" t="s">
        <v>38217</v>
      </c>
      <c r="I7013" t="s">
        <v>71</v>
      </c>
      <c r="J7013" t="s">
        <v>10782</v>
      </c>
      <c r="K7013" t="s">
        <v>38218</v>
      </c>
    </row>
    <row r="7014" spans="1:11" ht="144" x14ac:dyDescent="0.3">
      <c r="A7014" s="4" t="s">
        <v>9744</v>
      </c>
      <c r="B7014">
        <v>3</v>
      </c>
      <c r="C7014">
        <v>2010</v>
      </c>
      <c r="D7014" t="s">
        <v>1936</v>
      </c>
      <c r="E7014">
        <v>78</v>
      </c>
      <c r="F7014" t="s">
        <v>38219</v>
      </c>
      <c r="G7014" t="s">
        <v>38220</v>
      </c>
      <c r="H7014" s="4" t="s">
        <v>38221</v>
      </c>
      <c r="I7014" t="s">
        <v>71</v>
      </c>
      <c r="J7014" t="s">
        <v>10782</v>
      </c>
      <c r="K7014" t="s">
        <v>38222</v>
      </c>
    </row>
    <row r="7015" spans="1:11" ht="187.2" x14ac:dyDescent="0.3">
      <c r="A7015" s="4" t="s">
        <v>3677</v>
      </c>
      <c r="B7015">
        <v>2</v>
      </c>
      <c r="C7015">
        <v>2010</v>
      </c>
      <c r="D7015" t="s">
        <v>2853</v>
      </c>
      <c r="E7015">
        <v>33</v>
      </c>
      <c r="F7015" t="s">
        <v>38223</v>
      </c>
      <c r="G7015" t="s">
        <v>38224</v>
      </c>
      <c r="H7015" s="4" t="s">
        <v>38225</v>
      </c>
      <c r="I7015" t="s">
        <v>71</v>
      </c>
      <c r="J7015" t="s">
        <v>10782</v>
      </c>
      <c r="K7015" t="s">
        <v>38226</v>
      </c>
    </row>
    <row r="7016" spans="1:11" ht="115.2" x14ac:dyDescent="0.3">
      <c r="A7016" s="4" t="s">
        <v>9745</v>
      </c>
      <c r="B7016">
        <v>3</v>
      </c>
      <c r="C7016">
        <v>2010</v>
      </c>
      <c r="D7016" t="s">
        <v>14517</v>
      </c>
      <c r="E7016">
        <v>4</v>
      </c>
      <c r="F7016" t="s">
        <v>38227</v>
      </c>
      <c r="G7016" t="s">
        <v>38228</v>
      </c>
      <c r="H7016" s="4" t="s">
        <v>38229</v>
      </c>
    </row>
    <row r="7017" spans="1:11" ht="302.39999999999998" x14ac:dyDescent="0.3">
      <c r="A7017" s="4" t="s">
        <v>9746</v>
      </c>
      <c r="B7017">
        <v>3</v>
      </c>
      <c r="C7017">
        <v>2010</v>
      </c>
      <c r="D7017" t="s">
        <v>37873</v>
      </c>
      <c r="E7017">
        <v>9</v>
      </c>
      <c r="F7017" t="s">
        <v>38230</v>
      </c>
      <c r="G7017" t="s">
        <v>38231</v>
      </c>
      <c r="H7017" s="4" t="s">
        <v>38232</v>
      </c>
    </row>
    <row r="7018" spans="1:11" ht="144" x14ac:dyDescent="0.3">
      <c r="A7018" s="4" t="s">
        <v>9747</v>
      </c>
      <c r="B7018">
        <v>3</v>
      </c>
      <c r="C7018">
        <v>2010</v>
      </c>
      <c r="D7018" t="s">
        <v>26411</v>
      </c>
      <c r="E7018">
        <v>20</v>
      </c>
      <c r="F7018" t="s">
        <v>38233</v>
      </c>
      <c r="G7018" t="s">
        <v>38234</v>
      </c>
      <c r="H7018" s="4" t="s">
        <v>38235</v>
      </c>
      <c r="I7018" t="s">
        <v>71</v>
      </c>
      <c r="J7018" t="s">
        <v>10782</v>
      </c>
      <c r="K7018" t="s">
        <v>38236</v>
      </c>
    </row>
    <row r="7019" spans="1:11" ht="216" x14ac:dyDescent="0.3">
      <c r="A7019" s="4" t="s">
        <v>9748</v>
      </c>
      <c r="B7019">
        <v>3</v>
      </c>
      <c r="C7019">
        <v>2010</v>
      </c>
      <c r="D7019" t="s">
        <v>1570</v>
      </c>
      <c r="E7019">
        <v>73</v>
      </c>
      <c r="F7019" t="s">
        <v>38237</v>
      </c>
      <c r="G7019" t="s">
        <v>38238</v>
      </c>
      <c r="H7019" s="4" t="s">
        <v>38239</v>
      </c>
      <c r="I7019" t="s">
        <v>71</v>
      </c>
      <c r="J7019" t="s">
        <v>10782</v>
      </c>
      <c r="K7019" t="s">
        <v>38240</v>
      </c>
    </row>
    <row r="7020" spans="1:11" ht="158.4" x14ac:dyDescent="0.3">
      <c r="A7020" s="4" t="s">
        <v>9749</v>
      </c>
      <c r="B7020">
        <v>3</v>
      </c>
      <c r="C7020">
        <v>2010</v>
      </c>
      <c r="D7020" t="s">
        <v>1570</v>
      </c>
      <c r="E7020">
        <v>18</v>
      </c>
      <c r="F7020" t="s">
        <v>38241</v>
      </c>
      <c r="G7020" t="s">
        <v>38242</v>
      </c>
      <c r="H7020" s="4" t="s">
        <v>38243</v>
      </c>
      <c r="I7020" t="s">
        <v>71</v>
      </c>
      <c r="J7020" t="s">
        <v>10782</v>
      </c>
      <c r="K7020" t="s">
        <v>38244</v>
      </c>
    </row>
    <row r="7021" spans="1:11" ht="100.8" x14ac:dyDescent="0.3">
      <c r="A7021" s="4" t="s">
        <v>9750</v>
      </c>
      <c r="B7021">
        <v>3</v>
      </c>
      <c r="C7021">
        <v>2010</v>
      </c>
      <c r="D7021" t="s">
        <v>29683</v>
      </c>
      <c r="E7021">
        <v>0</v>
      </c>
      <c r="G7021" t="s">
        <v>38245</v>
      </c>
      <c r="H7021" s="4" t="s">
        <v>38246</v>
      </c>
      <c r="I7021" s="4" t="s">
        <v>71</v>
      </c>
      <c r="J7021" t="s">
        <v>10782</v>
      </c>
      <c r="K7021" t="s">
        <v>38247</v>
      </c>
    </row>
    <row r="7022" spans="1:11" ht="57.6" x14ac:dyDescent="0.3">
      <c r="A7022" s="4" t="s">
        <v>9751</v>
      </c>
      <c r="B7022">
        <v>3</v>
      </c>
      <c r="C7022">
        <v>2010</v>
      </c>
      <c r="D7022" t="s">
        <v>11235</v>
      </c>
      <c r="E7022">
        <v>153</v>
      </c>
      <c r="F7022" t="s">
        <v>38248</v>
      </c>
      <c r="G7022" t="s">
        <v>38249</v>
      </c>
      <c r="H7022" s="4" t="s">
        <v>38250</v>
      </c>
    </row>
    <row r="7023" spans="1:11" ht="144" x14ac:dyDescent="0.3">
      <c r="A7023" s="4" t="s">
        <v>9752</v>
      </c>
      <c r="B7023">
        <v>3</v>
      </c>
      <c r="C7023">
        <v>2010</v>
      </c>
      <c r="D7023" t="s">
        <v>27619</v>
      </c>
      <c r="E7023">
        <v>39</v>
      </c>
      <c r="F7023" t="s">
        <v>38251</v>
      </c>
      <c r="G7023" t="s">
        <v>38252</v>
      </c>
      <c r="H7023" s="4" t="s">
        <v>38253</v>
      </c>
      <c r="I7023" t="s">
        <v>71</v>
      </c>
      <c r="J7023" t="s">
        <v>10782</v>
      </c>
      <c r="K7023" t="s">
        <v>38254</v>
      </c>
    </row>
    <row r="7024" spans="1:11" ht="172.8" x14ac:dyDescent="0.3">
      <c r="A7024" s="4" t="s">
        <v>9753</v>
      </c>
      <c r="B7024">
        <v>3</v>
      </c>
      <c r="C7024">
        <v>2010</v>
      </c>
      <c r="D7024" t="s">
        <v>27619</v>
      </c>
      <c r="E7024">
        <v>12</v>
      </c>
      <c r="F7024" t="s">
        <v>38255</v>
      </c>
      <c r="G7024" t="s">
        <v>38256</v>
      </c>
      <c r="H7024" s="4" t="s">
        <v>38257</v>
      </c>
      <c r="I7024" t="s">
        <v>71</v>
      </c>
      <c r="J7024" t="s">
        <v>10782</v>
      </c>
      <c r="K7024" t="s">
        <v>38258</v>
      </c>
    </row>
    <row r="7025" spans="1:11" ht="100.8" x14ac:dyDescent="0.3">
      <c r="A7025" s="4" t="s">
        <v>9754</v>
      </c>
      <c r="B7025">
        <v>3</v>
      </c>
      <c r="C7025">
        <v>2010</v>
      </c>
      <c r="D7025" t="s">
        <v>217</v>
      </c>
      <c r="E7025">
        <v>26</v>
      </c>
      <c r="F7025" t="s">
        <v>38259</v>
      </c>
      <c r="G7025" t="s">
        <v>38260</v>
      </c>
      <c r="H7025" s="4" t="s">
        <v>38261</v>
      </c>
      <c r="I7025" t="s">
        <v>71</v>
      </c>
      <c r="J7025" t="s">
        <v>10782</v>
      </c>
      <c r="K7025" t="s">
        <v>38262</v>
      </c>
    </row>
    <row r="7026" spans="1:11" ht="172.8" x14ac:dyDescent="0.3">
      <c r="A7026" s="4" t="s">
        <v>9755</v>
      </c>
      <c r="B7026">
        <v>3</v>
      </c>
      <c r="C7026">
        <v>2010</v>
      </c>
      <c r="D7026" t="s">
        <v>22282</v>
      </c>
      <c r="E7026">
        <v>12</v>
      </c>
      <c r="F7026" t="s">
        <v>38263</v>
      </c>
      <c r="G7026" t="s">
        <v>38264</v>
      </c>
      <c r="H7026" s="4" t="s">
        <v>38265</v>
      </c>
      <c r="I7026" t="s">
        <v>71</v>
      </c>
      <c r="J7026" t="s">
        <v>10782</v>
      </c>
      <c r="K7026" t="s">
        <v>38266</v>
      </c>
    </row>
    <row r="7027" spans="1:11" ht="115.2" x14ac:dyDescent="0.3">
      <c r="A7027" s="4" t="s">
        <v>9756</v>
      </c>
      <c r="B7027">
        <v>3</v>
      </c>
      <c r="C7027">
        <v>2010</v>
      </c>
      <c r="D7027" t="s">
        <v>38267</v>
      </c>
      <c r="E7027">
        <v>12</v>
      </c>
      <c r="F7027" t="s">
        <v>38268</v>
      </c>
      <c r="G7027" t="s">
        <v>38269</v>
      </c>
      <c r="H7027" s="4" t="s">
        <v>38270</v>
      </c>
      <c r="I7027" t="s">
        <v>71</v>
      </c>
      <c r="J7027" t="s">
        <v>10782</v>
      </c>
      <c r="K7027" t="s">
        <v>38271</v>
      </c>
    </row>
    <row r="7028" spans="1:11" ht="115.2" x14ac:dyDescent="0.3">
      <c r="A7028" s="4" t="s">
        <v>9757</v>
      </c>
      <c r="B7028">
        <v>3</v>
      </c>
      <c r="C7028">
        <v>2010</v>
      </c>
      <c r="D7028" t="s">
        <v>2853</v>
      </c>
      <c r="E7028">
        <v>5</v>
      </c>
      <c r="F7028" t="s">
        <v>38272</v>
      </c>
      <c r="G7028" t="s">
        <v>38273</v>
      </c>
      <c r="H7028" s="4" t="s">
        <v>38274</v>
      </c>
      <c r="I7028" t="s">
        <v>71</v>
      </c>
      <c r="J7028" t="s">
        <v>10782</v>
      </c>
      <c r="K7028" t="s">
        <v>38275</v>
      </c>
    </row>
    <row r="7029" spans="1:11" ht="100.8" x14ac:dyDescent="0.3">
      <c r="A7029" s="4" t="s">
        <v>9758</v>
      </c>
      <c r="B7029">
        <v>3</v>
      </c>
      <c r="C7029">
        <v>2010</v>
      </c>
      <c r="D7029" t="s">
        <v>2375</v>
      </c>
      <c r="E7029">
        <v>23</v>
      </c>
      <c r="F7029" t="s">
        <v>38276</v>
      </c>
      <c r="G7029" t="s">
        <v>38277</v>
      </c>
      <c r="H7029" s="4" t="s">
        <v>38278</v>
      </c>
      <c r="I7029" t="s">
        <v>71</v>
      </c>
      <c r="J7029" t="s">
        <v>10782</v>
      </c>
      <c r="K7029" t="s">
        <v>38279</v>
      </c>
    </row>
    <row r="7030" spans="1:11" ht="172.8" x14ac:dyDescent="0.3">
      <c r="A7030" s="4" t="s">
        <v>9759</v>
      </c>
      <c r="B7030">
        <v>3</v>
      </c>
      <c r="C7030">
        <v>2010</v>
      </c>
      <c r="D7030" t="s">
        <v>20506</v>
      </c>
      <c r="E7030">
        <v>9</v>
      </c>
      <c r="F7030" t="s">
        <v>38280</v>
      </c>
      <c r="G7030" t="s">
        <v>38281</v>
      </c>
      <c r="H7030" s="4" t="s">
        <v>38282</v>
      </c>
      <c r="I7030" t="s">
        <v>71</v>
      </c>
      <c r="J7030" t="s">
        <v>10782</v>
      </c>
      <c r="K7030" t="s">
        <v>38283</v>
      </c>
    </row>
    <row r="7031" spans="1:11" ht="144" x14ac:dyDescent="0.3">
      <c r="A7031" s="4" t="s">
        <v>9760</v>
      </c>
      <c r="B7031">
        <v>3</v>
      </c>
      <c r="C7031">
        <v>2010</v>
      </c>
      <c r="D7031" t="s">
        <v>2389</v>
      </c>
      <c r="E7031">
        <v>0</v>
      </c>
      <c r="F7031" t="s">
        <v>38284</v>
      </c>
      <c r="G7031" t="s">
        <v>38285</v>
      </c>
      <c r="H7031" s="4" t="s">
        <v>38286</v>
      </c>
      <c r="I7031" t="s">
        <v>71</v>
      </c>
      <c r="J7031" t="s">
        <v>10782</v>
      </c>
      <c r="K7031" t="s">
        <v>38287</v>
      </c>
    </row>
    <row r="7032" spans="1:11" ht="144" x14ac:dyDescent="0.3">
      <c r="A7032" s="4" t="s">
        <v>9761</v>
      </c>
      <c r="B7032">
        <v>3</v>
      </c>
      <c r="C7032">
        <v>2010</v>
      </c>
      <c r="D7032" t="s">
        <v>2853</v>
      </c>
      <c r="E7032">
        <v>85</v>
      </c>
      <c r="F7032" t="s">
        <v>38288</v>
      </c>
      <c r="G7032" t="s">
        <v>38289</v>
      </c>
      <c r="H7032" s="4" t="s">
        <v>38290</v>
      </c>
      <c r="I7032" t="s">
        <v>71</v>
      </c>
      <c r="J7032" t="s">
        <v>10782</v>
      </c>
      <c r="K7032" t="s">
        <v>38291</v>
      </c>
    </row>
    <row r="7033" spans="1:11" ht="115.2" x14ac:dyDescent="0.3">
      <c r="A7033" s="4" t="s">
        <v>9762</v>
      </c>
      <c r="B7033">
        <v>3</v>
      </c>
      <c r="C7033">
        <v>2010</v>
      </c>
      <c r="D7033" t="s">
        <v>10825</v>
      </c>
      <c r="E7033">
        <v>192</v>
      </c>
      <c r="F7033" t="s">
        <v>38292</v>
      </c>
      <c r="G7033" t="s">
        <v>38293</v>
      </c>
      <c r="H7033" s="4" t="s">
        <v>38294</v>
      </c>
      <c r="I7033" t="s">
        <v>71</v>
      </c>
      <c r="J7033" t="s">
        <v>10782</v>
      </c>
      <c r="K7033" t="s">
        <v>38295</v>
      </c>
    </row>
    <row r="7034" spans="1:11" ht="302.39999999999998" x14ac:dyDescent="0.3">
      <c r="A7034" s="4" t="s">
        <v>9763</v>
      </c>
      <c r="B7034">
        <v>3</v>
      </c>
      <c r="C7034">
        <v>2010</v>
      </c>
      <c r="D7034" t="s">
        <v>27619</v>
      </c>
      <c r="E7034">
        <v>6</v>
      </c>
      <c r="F7034" t="s">
        <v>38296</v>
      </c>
      <c r="G7034" t="s">
        <v>38297</v>
      </c>
      <c r="H7034" s="4" t="s">
        <v>38298</v>
      </c>
      <c r="I7034" t="s">
        <v>71</v>
      </c>
      <c r="J7034" t="s">
        <v>10782</v>
      </c>
      <c r="K7034" t="s">
        <v>38299</v>
      </c>
    </row>
    <row r="7035" spans="1:11" ht="115.2" x14ac:dyDescent="0.3">
      <c r="A7035" s="4" t="s">
        <v>9764</v>
      </c>
      <c r="B7035">
        <v>3</v>
      </c>
      <c r="C7035">
        <v>2010</v>
      </c>
      <c r="D7035" t="s">
        <v>2853</v>
      </c>
      <c r="E7035">
        <v>22</v>
      </c>
      <c r="F7035" t="s">
        <v>38300</v>
      </c>
      <c r="G7035" t="s">
        <v>38301</v>
      </c>
      <c r="H7035" s="4" t="s">
        <v>38302</v>
      </c>
      <c r="I7035" t="s">
        <v>71</v>
      </c>
      <c r="J7035" t="s">
        <v>10782</v>
      </c>
      <c r="K7035" t="s">
        <v>38303</v>
      </c>
    </row>
    <row r="7036" spans="1:11" ht="86.4" x14ac:dyDescent="0.3">
      <c r="A7036" s="4" t="s">
        <v>9765</v>
      </c>
      <c r="B7036">
        <v>3</v>
      </c>
      <c r="C7036">
        <v>2010</v>
      </c>
      <c r="D7036" t="s">
        <v>11649</v>
      </c>
      <c r="E7036">
        <v>12</v>
      </c>
      <c r="F7036" t="s">
        <v>38304</v>
      </c>
      <c r="G7036" t="s">
        <v>38305</v>
      </c>
      <c r="H7036" s="4" t="s">
        <v>38306</v>
      </c>
    </row>
    <row r="7037" spans="1:11" ht="158.4" x14ac:dyDescent="0.3">
      <c r="A7037" s="4" t="s">
        <v>9766</v>
      </c>
      <c r="B7037">
        <v>3</v>
      </c>
      <c r="C7037">
        <v>2010</v>
      </c>
      <c r="D7037" t="s">
        <v>38307</v>
      </c>
      <c r="E7037">
        <v>1</v>
      </c>
      <c r="F7037" t="s">
        <v>38308</v>
      </c>
      <c r="G7037" t="s">
        <v>38309</v>
      </c>
      <c r="H7037" s="4" t="s">
        <v>38310</v>
      </c>
      <c r="I7037" t="s">
        <v>71</v>
      </c>
      <c r="J7037" t="s">
        <v>10782</v>
      </c>
      <c r="K7037" t="s">
        <v>38311</v>
      </c>
    </row>
    <row r="7038" spans="1:11" ht="129.6" x14ac:dyDescent="0.3">
      <c r="A7038" s="4" t="s">
        <v>9767</v>
      </c>
      <c r="B7038">
        <v>3</v>
      </c>
      <c r="C7038">
        <v>2010</v>
      </c>
      <c r="D7038" t="s">
        <v>38312</v>
      </c>
      <c r="E7038">
        <v>0</v>
      </c>
      <c r="F7038" t="s">
        <v>38313</v>
      </c>
      <c r="G7038" t="s">
        <v>38314</v>
      </c>
      <c r="H7038" s="4" t="s">
        <v>38315</v>
      </c>
      <c r="I7038" t="s">
        <v>71</v>
      </c>
      <c r="J7038" t="s">
        <v>10782</v>
      </c>
      <c r="K7038" t="s">
        <v>38316</v>
      </c>
    </row>
    <row r="7039" spans="1:11" ht="129.6" x14ac:dyDescent="0.3">
      <c r="A7039" s="4" t="s">
        <v>9768</v>
      </c>
      <c r="B7039">
        <v>3</v>
      </c>
      <c r="C7039">
        <v>2009</v>
      </c>
      <c r="D7039" t="s">
        <v>14138</v>
      </c>
      <c r="E7039">
        <v>4</v>
      </c>
      <c r="G7039" t="s">
        <v>38317</v>
      </c>
      <c r="H7039" s="4" t="s">
        <v>38318</v>
      </c>
      <c r="I7039" s="4" t="s">
        <v>71</v>
      </c>
      <c r="J7039" t="s">
        <v>10782</v>
      </c>
      <c r="K7039" t="s">
        <v>38319</v>
      </c>
    </row>
    <row r="7040" spans="1:11" ht="129.6" x14ac:dyDescent="0.3">
      <c r="A7040" s="4" t="s">
        <v>9769</v>
      </c>
      <c r="B7040">
        <v>3</v>
      </c>
      <c r="C7040">
        <v>2009</v>
      </c>
      <c r="D7040" t="s">
        <v>38320</v>
      </c>
      <c r="E7040">
        <v>7</v>
      </c>
      <c r="F7040" t="s">
        <v>38321</v>
      </c>
      <c r="G7040" t="s">
        <v>38322</v>
      </c>
      <c r="H7040" s="4" t="s">
        <v>38323</v>
      </c>
      <c r="I7040" t="s">
        <v>71</v>
      </c>
      <c r="J7040" t="s">
        <v>10782</v>
      </c>
      <c r="K7040" t="s">
        <v>38324</v>
      </c>
    </row>
    <row r="7041" spans="1:11" ht="72" x14ac:dyDescent="0.3">
      <c r="A7041" s="4" t="s">
        <v>9770</v>
      </c>
      <c r="B7041">
        <v>3</v>
      </c>
      <c r="C7041">
        <v>2009</v>
      </c>
      <c r="D7041" t="s">
        <v>38325</v>
      </c>
      <c r="E7041">
        <v>14</v>
      </c>
      <c r="F7041" t="s">
        <v>38326</v>
      </c>
      <c r="G7041" t="s">
        <v>38327</v>
      </c>
      <c r="H7041" s="4" t="s">
        <v>38328</v>
      </c>
    </row>
    <row r="7042" spans="1:11" ht="158.4" x14ac:dyDescent="0.3">
      <c r="A7042" s="4" t="s">
        <v>9771</v>
      </c>
      <c r="B7042">
        <v>3</v>
      </c>
      <c r="C7042">
        <v>2009</v>
      </c>
      <c r="D7042" t="s">
        <v>38329</v>
      </c>
      <c r="E7042">
        <v>76</v>
      </c>
      <c r="F7042" t="s">
        <v>38330</v>
      </c>
      <c r="G7042" t="s">
        <v>38331</v>
      </c>
      <c r="H7042" s="4" t="s">
        <v>38332</v>
      </c>
      <c r="I7042" t="s">
        <v>71</v>
      </c>
      <c r="J7042" t="s">
        <v>10782</v>
      </c>
      <c r="K7042" t="s">
        <v>38333</v>
      </c>
    </row>
    <row r="7043" spans="1:11" ht="115.2" x14ac:dyDescent="0.3">
      <c r="A7043" s="4" t="s">
        <v>9772</v>
      </c>
      <c r="B7043">
        <v>3</v>
      </c>
      <c r="C7043">
        <v>2009</v>
      </c>
      <c r="D7043" t="s">
        <v>12593</v>
      </c>
      <c r="E7043">
        <v>130</v>
      </c>
      <c r="F7043" t="s">
        <v>38334</v>
      </c>
      <c r="G7043" t="s">
        <v>38335</v>
      </c>
      <c r="H7043" s="4" t="s">
        <v>38336</v>
      </c>
    </row>
    <row r="7044" spans="1:11" ht="57.6" x14ac:dyDescent="0.3">
      <c r="A7044" s="4" t="s">
        <v>9773</v>
      </c>
      <c r="B7044">
        <v>3</v>
      </c>
      <c r="C7044">
        <v>2009</v>
      </c>
      <c r="D7044" t="s">
        <v>11332</v>
      </c>
      <c r="E7044">
        <v>12</v>
      </c>
      <c r="F7044" t="s">
        <v>38337</v>
      </c>
      <c r="G7044" t="s">
        <v>38338</v>
      </c>
      <c r="H7044" s="4" t="s">
        <v>38339</v>
      </c>
    </row>
    <row r="7045" spans="1:11" ht="144" x14ac:dyDescent="0.3">
      <c r="A7045" s="4" t="s">
        <v>9774</v>
      </c>
      <c r="B7045">
        <v>3</v>
      </c>
      <c r="C7045">
        <v>2009</v>
      </c>
      <c r="D7045" t="s">
        <v>1570</v>
      </c>
      <c r="E7045">
        <v>16</v>
      </c>
      <c r="F7045" t="s">
        <v>38340</v>
      </c>
      <c r="G7045" t="s">
        <v>38341</v>
      </c>
      <c r="H7045" s="4" t="s">
        <v>38342</v>
      </c>
      <c r="I7045" t="s">
        <v>71</v>
      </c>
      <c r="J7045" t="s">
        <v>10782</v>
      </c>
      <c r="K7045" t="s">
        <v>38343</v>
      </c>
    </row>
    <row r="7046" spans="1:11" ht="100.8" x14ac:dyDescent="0.3">
      <c r="A7046" s="4" t="s">
        <v>9775</v>
      </c>
      <c r="B7046">
        <v>3</v>
      </c>
      <c r="C7046">
        <v>2009</v>
      </c>
      <c r="D7046" t="s">
        <v>37711</v>
      </c>
      <c r="E7046">
        <v>0</v>
      </c>
      <c r="G7046" t="s">
        <v>38344</v>
      </c>
      <c r="H7046" s="4" t="s">
        <v>38345</v>
      </c>
      <c r="I7046" s="4" t="s">
        <v>71</v>
      </c>
      <c r="J7046" t="s">
        <v>10782</v>
      </c>
      <c r="K7046" t="s">
        <v>38346</v>
      </c>
    </row>
    <row r="7047" spans="1:11" ht="129.6" x14ac:dyDescent="0.3">
      <c r="A7047" s="4" t="s">
        <v>9776</v>
      </c>
      <c r="B7047">
        <v>3</v>
      </c>
      <c r="C7047">
        <v>2009</v>
      </c>
      <c r="D7047" t="s">
        <v>2853</v>
      </c>
      <c r="E7047">
        <v>232</v>
      </c>
      <c r="F7047" t="s">
        <v>38347</v>
      </c>
      <c r="G7047" t="s">
        <v>38348</v>
      </c>
      <c r="H7047" s="4" t="s">
        <v>38349</v>
      </c>
    </row>
    <row r="7048" spans="1:11" ht="172.8" x14ac:dyDescent="0.3">
      <c r="A7048" s="4" t="s">
        <v>9777</v>
      </c>
      <c r="B7048">
        <v>3</v>
      </c>
      <c r="C7048">
        <v>2009</v>
      </c>
      <c r="D7048" t="s">
        <v>1570</v>
      </c>
      <c r="E7048">
        <v>28</v>
      </c>
      <c r="F7048" t="s">
        <v>38350</v>
      </c>
      <c r="G7048" t="s">
        <v>38351</v>
      </c>
      <c r="H7048" s="4" t="s">
        <v>38352</v>
      </c>
      <c r="I7048" t="s">
        <v>71</v>
      </c>
      <c r="J7048" t="s">
        <v>10782</v>
      </c>
      <c r="K7048" t="s">
        <v>38353</v>
      </c>
    </row>
    <row r="7049" spans="1:11" ht="187.2" x14ac:dyDescent="0.3">
      <c r="A7049" s="4" t="s">
        <v>9778</v>
      </c>
      <c r="B7049">
        <v>3</v>
      </c>
      <c r="C7049">
        <v>2009</v>
      </c>
      <c r="D7049" t="s">
        <v>1570</v>
      </c>
      <c r="E7049">
        <v>100</v>
      </c>
      <c r="F7049" t="s">
        <v>38354</v>
      </c>
      <c r="G7049" t="s">
        <v>38355</v>
      </c>
      <c r="H7049" s="4" t="s">
        <v>38356</v>
      </c>
      <c r="I7049" t="s">
        <v>71</v>
      </c>
      <c r="J7049" t="s">
        <v>10782</v>
      </c>
      <c r="K7049" t="s">
        <v>38357</v>
      </c>
    </row>
    <row r="7050" spans="1:11" ht="129.6" x14ac:dyDescent="0.3">
      <c r="A7050" s="4" t="s">
        <v>9779</v>
      </c>
      <c r="B7050">
        <v>3</v>
      </c>
      <c r="C7050">
        <v>2009</v>
      </c>
      <c r="D7050" t="s">
        <v>16556</v>
      </c>
      <c r="E7050">
        <v>0</v>
      </c>
      <c r="G7050" t="s">
        <v>38358</v>
      </c>
      <c r="H7050" s="4" t="s">
        <v>38359</v>
      </c>
      <c r="I7050" s="4" t="s">
        <v>71</v>
      </c>
      <c r="J7050" t="s">
        <v>10782</v>
      </c>
      <c r="K7050" t="s">
        <v>38360</v>
      </c>
    </row>
    <row r="7051" spans="1:11" ht="230.4" x14ac:dyDescent="0.3">
      <c r="A7051" s="4" t="s">
        <v>9780</v>
      </c>
      <c r="B7051">
        <v>3</v>
      </c>
      <c r="C7051">
        <v>2009</v>
      </c>
      <c r="D7051" t="s">
        <v>80</v>
      </c>
      <c r="E7051">
        <v>41</v>
      </c>
      <c r="F7051" t="s">
        <v>38361</v>
      </c>
      <c r="G7051" t="s">
        <v>38362</v>
      </c>
      <c r="H7051" s="4" t="s">
        <v>38363</v>
      </c>
      <c r="I7051" t="s">
        <v>71</v>
      </c>
      <c r="J7051" t="s">
        <v>10782</v>
      </c>
      <c r="K7051" t="s">
        <v>38364</v>
      </c>
    </row>
    <row r="7052" spans="1:11" ht="72" x14ac:dyDescent="0.3">
      <c r="A7052" s="4" t="s">
        <v>9781</v>
      </c>
      <c r="B7052">
        <v>3</v>
      </c>
      <c r="C7052">
        <v>2009</v>
      </c>
      <c r="D7052" t="s">
        <v>2282</v>
      </c>
      <c r="E7052">
        <v>31</v>
      </c>
      <c r="F7052" t="s">
        <v>38365</v>
      </c>
      <c r="G7052" t="s">
        <v>38366</v>
      </c>
      <c r="H7052" s="4" t="s">
        <v>38367</v>
      </c>
      <c r="I7052" t="s">
        <v>71</v>
      </c>
      <c r="J7052" t="s">
        <v>10782</v>
      </c>
      <c r="K7052" t="s">
        <v>38368</v>
      </c>
    </row>
    <row r="7053" spans="1:11" ht="273.60000000000002" x14ac:dyDescent="0.3">
      <c r="A7053" s="4" t="s">
        <v>9782</v>
      </c>
      <c r="B7053">
        <v>3</v>
      </c>
      <c r="C7053">
        <v>2009</v>
      </c>
      <c r="D7053" t="s">
        <v>38369</v>
      </c>
      <c r="E7053">
        <v>0</v>
      </c>
      <c r="G7053" t="s">
        <v>38370</v>
      </c>
      <c r="H7053" s="4" t="s">
        <v>38371</v>
      </c>
      <c r="I7053" s="4" t="s">
        <v>71</v>
      </c>
      <c r="J7053" t="s">
        <v>10782</v>
      </c>
      <c r="K7053" t="s">
        <v>38372</v>
      </c>
    </row>
    <row r="7054" spans="1:11" ht="172.8" x14ac:dyDescent="0.3">
      <c r="A7054" s="4" t="s">
        <v>9783</v>
      </c>
      <c r="B7054">
        <v>3</v>
      </c>
      <c r="C7054">
        <v>2009</v>
      </c>
      <c r="D7054" t="s">
        <v>1530</v>
      </c>
      <c r="E7054">
        <v>1</v>
      </c>
      <c r="F7054" t="s">
        <v>38373</v>
      </c>
      <c r="G7054" t="s">
        <v>38374</v>
      </c>
      <c r="H7054" s="4" t="s">
        <v>38375</v>
      </c>
      <c r="I7054" t="s">
        <v>71</v>
      </c>
      <c r="J7054" t="s">
        <v>10782</v>
      </c>
      <c r="K7054" t="s">
        <v>38376</v>
      </c>
    </row>
    <row r="7055" spans="1:11" ht="158.4" x14ac:dyDescent="0.3">
      <c r="A7055" s="4" t="s">
        <v>9784</v>
      </c>
      <c r="B7055">
        <v>3</v>
      </c>
      <c r="C7055">
        <v>2009</v>
      </c>
      <c r="D7055" t="s">
        <v>10924</v>
      </c>
      <c r="E7055">
        <v>62</v>
      </c>
      <c r="F7055" t="s">
        <v>38377</v>
      </c>
      <c r="G7055" t="s">
        <v>38378</v>
      </c>
      <c r="H7055" s="4" t="s">
        <v>38379</v>
      </c>
    </row>
    <row r="7056" spans="1:11" ht="201.6" x14ac:dyDescent="0.3">
      <c r="A7056" s="4" t="s">
        <v>9785</v>
      </c>
      <c r="B7056">
        <v>3</v>
      </c>
      <c r="C7056">
        <v>2009</v>
      </c>
      <c r="D7056" t="s">
        <v>1570</v>
      </c>
      <c r="E7056">
        <v>35</v>
      </c>
      <c r="F7056" t="s">
        <v>38380</v>
      </c>
      <c r="G7056" t="s">
        <v>38381</v>
      </c>
      <c r="H7056" s="4" t="s">
        <v>38382</v>
      </c>
      <c r="I7056" t="s">
        <v>71</v>
      </c>
      <c r="J7056" t="s">
        <v>10782</v>
      </c>
      <c r="K7056" t="s">
        <v>38383</v>
      </c>
    </row>
    <row r="7057" spans="1:11" ht="288" x14ac:dyDescent="0.3">
      <c r="A7057" s="4" t="s">
        <v>9786</v>
      </c>
      <c r="B7057">
        <v>3</v>
      </c>
      <c r="C7057">
        <v>2009</v>
      </c>
      <c r="D7057" t="s">
        <v>38384</v>
      </c>
      <c r="E7057">
        <v>7</v>
      </c>
      <c r="G7057" t="s">
        <v>38385</v>
      </c>
      <c r="H7057" s="4" t="s">
        <v>38386</v>
      </c>
      <c r="I7057" s="4"/>
    </row>
    <row r="7058" spans="1:11" ht="201.6" x14ac:dyDescent="0.3">
      <c r="A7058" s="4" t="s">
        <v>9787</v>
      </c>
      <c r="B7058">
        <v>3</v>
      </c>
      <c r="C7058">
        <v>2009</v>
      </c>
      <c r="D7058" t="s">
        <v>11649</v>
      </c>
      <c r="E7058">
        <v>237</v>
      </c>
      <c r="F7058" t="s">
        <v>38387</v>
      </c>
      <c r="G7058" t="s">
        <v>38388</v>
      </c>
      <c r="H7058" s="4" t="s">
        <v>38389</v>
      </c>
      <c r="I7058" t="s">
        <v>71</v>
      </c>
      <c r="J7058" t="s">
        <v>10782</v>
      </c>
      <c r="K7058" t="s">
        <v>38390</v>
      </c>
    </row>
    <row r="7059" spans="1:11" ht="115.2" x14ac:dyDescent="0.3">
      <c r="A7059" s="4" t="s">
        <v>9788</v>
      </c>
      <c r="B7059">
        <v>3</v>
      </c>
      <c r="C7059">
        <v>2009</v>
      </c>
      <c r="D7059" t="s">
        <v>16556</v>
      </c>
      <c r="E7059">
        <v>0</v>
      </c>
      <c r="G7059" t="s">
        <v>38391</v>
      </c>
      <c r="H7059" s="4" t="s">
        <v>38392</v>
      </c>
      <c r="I7059" s="4" t="s">
        <v>71</v>
      </c>
      <c r="J7059" t="s">
        <v>10782</v>
      </c>
      <c r="K7059" t="s">
        <v>38393</v>
      </c>
    </row>
    <row r="7060" spans="1:11" ht="187.2" x14ac:dyDescent="0.3">
      <c r="A7060" s="4" t="s">
        <v>9789</v>
      </c>
      <c r="B7060">
        <v>3</v>
      </c>
      <c r="C7060">
        <v>2009</v>
      </c>
      <c r="D7060" t="s">
        <v>26297</v>
      </c>
      <c r="E7060">
        <v>13</v>
      </c>
      <c r="F7060" t="s">
        <v>38394</v>
      </c>
      <c r="G7060" t="s">
        <v>38395</v>
      </c>
      <c r="H7060" s="4" t="s">
        <v>38396</v>
      </c>
      <c r="I7060" t="s">
        <v>71</v>
      </c>
      <c r="J7060" t="s">
        <v>10782</v>
      </c>
      <c r="K7060" t="s">
        <v>38397</v>
      </c>
    </row>
    <row r="7061" spans="1:11" ht="187.2" x14ac:dyDescent="0.3">
      <c r="A7061" s="4" t="s">
        <v>9790</v>
      </c>
      <c r="B7061">
        <v>3</v>
      </c>
      <c r="C7061">
        <v>2009</v>
      </c>
      <c r="D7061" t="s">
        <v>38398</v>
      </c>
      <c r="E7061">
        <v>31</v>
      </c>
      <c r="F7061" t="s">
        <v>38399</v>
      </c>
      <c r="G7061" t="s">
        <v>38400</v>
      </c>
      <c r="H7061" s="4" t="s">
        <v>38401</v>
      </c>
      <c r="I7061" t="s">
        <v>71</v>
      </c>
      <c r="J7061" t="s">
        <v>10782</v>
      </c>
      <c r="K7061" t="s">
        <v>38402</v>
      </c>
    </row>
    <row r="7062" spans="1:11" ht="158.4" x14ac:dyDescent="0.3">
      <c r="A7062" s="4" t="s">
        <v>9791</v>
      </c>
      <c r="B7062">
        <v>3</v>
      </c>
      <c r="C7062">
        <v>2009</v>
      </c>
      <c r="D7062" t="s">
        <v>14715</v>
      </c>
      <c r="E7062">
        <v>50</v>
      </c>
      <c r="F7062" t="s">
        <v>38403</v>
      </c>
      <c r="G7062" t="s">
        <v>38404</v>
      </c>
      <c r="H7062" s="4" t="s">
        <v>38405</v>
      </c>
      <c r="I7062" t="s">
        <v>71</v>
      </c>
      <c r="J7062" t="s">
        <v>10782</v>
      </c>
      <c r="K7062" t="s">
        <v>38406</v>
      </c>
    </row>
    <row r="7063" spans="1:11" ht="216" x14ac:dyDescent="0.3">
      <c r="A7063" s="4" t="s">
        <v>9792</v>
      </c>
      <c r="B7063">
        <v>3</v>
      </c>
      <c r="C7063">
        <v>2009</v>
      </c>
      <c r="D7063" t="s">
        <v>12491</v>
      </c>
      <c r="E7063">
        <v>50</v>
      </c>
      <c r="F7063" t="s">
        <v>38407</v>
      </c>
      <c r="G7063" t="s">
        <v>38408</v>
      </c>
      <c r="H7063" s="4" t="s">
        <v>38409</v>
      </c>
      <c r="I7063" t="s">
        <v>71</v>
      </c>
      <c r="J7063" t="s">
        <v>10782</v>
      </c>
      <c r="K7063" t="s">
        <v>38410</v>
      </c>
    </row>
    <row r="7064" spans="1:11" ht="129.6" x14ac:dyDescent="0.3">
      <c r="A7064" s="4" t="s">
        <v>9793</v>
      </c>
      <c r="B7064">
        <v>3</v>
      </c>
      <c r="C7064">
        <v>2009</v>
      </c>
      <c r="D7064" t="s">
        <v>1570</v>
      </c>
      <c r="E7064">
        <v>35</v>
      </c>
      <c r="G7064" t="s">
        <v>38411</v>
      </c>
      <c r="H7064" s="4" t="s">
        <v>38412</v>
      </c>
      <c r="I7064" s="4" t="s">
        <v>71</v>
      </c>
      <c r="J7064" t="s">
        <v>10782</v>
      </c>
      <c r="K7064" t="s">
        <v>38413</v>
      </c>
    </row>
    <row r="7065" spans="1:11" ht="115.2" x14ac:dyDescent="0.3">
      <c r="A7065" s="4" t="s">
        <v>9794</v>
      </c>
      <c r="B7065">
        <v>3</v>
      </c>
      <c r="C7065">
        <v>2009</v>
      </c>
      <c r="D7065" t="s">
        <v>2853</v>
      </c>
      <c r="E7065">
        <v>37</v>
      </c>
      <c r="F7065" t="s">
        <v>38414</v>
      </c>
      <c r="G7065" t="s">
        <v>38415</v>
      </c>
      <c r="H7065" s="4" t="s">
        <v>38416</v>
      </c>
      <c r="I7065" t="s">
        <v>71</v>
      </c>
      <c r="J7065" t="s">
        <v>10782</v>
      </c>
      <c r="K7065" t="s">
        <v>38417</v>
      </c>
    </row>
    <row r="7066" spans="1:11" ht="129.6" x14ac:dyDescent="0.3">
      <c r="A7066" s="4" t="s">
        <v>9795</v>
      </c>
      <c r="B7066">
        <v>3</v>
      </c>
      <c r="C7066">
        <v>2009</v>
      </c>
      <c r="D7066" t="s">
        <v>38418</v>
      </c>
      <c r="E7066">
        <v>4</v>
      </c>
      <c r="G7066" t="s">
        <v>38419</v>
      </c>
      <c r="H7066" s="4" t="s">
        <v>38420</v>
      </c>
      <c r="I7066" s="4" t="s">
        <v>71</v>
      </c>
      <c r="J7066" t="s">
        <v>10782</v>
      </c>
      <c r="K7066" t="s">
        <v>38421</v>
      </c>
    </row>
    <row r="7067" spans="1:11" ht="100.8" x14ac:dyDescent="0.3">
      <c r="A7067" s="4" t="s">
        <v>9796</v>
      </c>
      <c r="B7067">
        <v>3</v>
      </c>
      <c r="C7067">
        <v>2009</v>
      </c>
      <c r="D7067" t="s">
        <v>38422</v>
      </c>
      <c r="E7067">
        <v>0</v>
      </c>
      <c r="G7067" t="s">
        <v>38423</v>
      </c>
      <c r="H7067" s="4" t="s">
        <v>38424</v>
      </c>
      <c r="I7067" s="4" t="s">
        <v>71</v>
      </c>
      <c r="J7067" t="s">
        <v>10782</v>
      </c>
      <c r="K7067" t="s">
        <v>38425</v>
      </c>
    </row>
    <row r="7068" spans="1:11" ht="201.6" x14ac:dyDescent="0.3">
      <c r="A7068" s="4" t="s">
        <v>9797</v>
      </c>
      <c r="B7068">
        <v>3</v>
      </c>
      <c r="C7068">
        <v>2009</v>
      </c>
      <c r="D7068" t="s">
        <v>318</v>
      </c>
      <c r="E7068">
        <v>30</v>
      </c>
      <c r="F7068" t="s">
        <v>38426</v>
      </c>
      <c r="G7068" t="s">
        <v>38427</v>
      </c>
      <c r="H7068" s="4" t="s">
        <v>38428</v>
      </c>
      <c r="I7068" t="s">
        <v>71</v>
      </c>
      <c r="J7068" t="s">
        <v>10782</v>
      </c>
      <c r="K7068" t="s">
        <v>38429</v>
      </c>
    </row>
    <row r="7069" spans="1:11" ht="115.2" x14ac:dyDescent="0.3">
      <c r="A7069" s="4" t="s">
        <v>9798</v>
      </c>
      <c r="B7069">
        <v>3</v>
      </c>
      <c r="C7069">
        <v>2009</v>
      </c>
      <c r="D7069" t="s">
        <v>11041</v>
      </c>
      <c r="E7069">
        <v>69</v>
      </c>
      <c r="F7069" t="s">
        <v>38430</v>
      </c>
      <c r="G7069" t="s">
        <v>38431</v>
      </c>
      <c r="H7069" s="4" t="s">
        <v>38432</v>
      </c>
      <c r="I7069" t="s">
        <v>71</v>
      </c>
      <c r="J7069" t="s">
        <v>10782</v>
      </c>
      <c r="K7069" t="s">
        <v>38433</v>
      </c>
    </row>
    <row r="7070" spans="1:11" ht="115.2" x14ac:dyDescent="0.3">
      <c r="A7070" s="4" t="s">
        <v>9799</v>
      </c>
      <c r="B7070">
        <v>3</v>
      </c>
      <c r="C7070">
        <v>2009</v>
      </c>
      <c r="D7070" t="s">
        <v>13299</v>
      </c>
      <c r="E7070">
        <v>21</v>
      </c>
      <c r="F7070" t="s">
        <v>38434</v>
      </c>
      <c r="G7070" t="s">
        <v>38435</v>
      </c>
      <c r="H7070" s="4" t="s">
        <v>38436</v>
      </c>
      <c r="I7070" t="s">
        <v>71</v>
      </c>
      <c r="J7070" t="s">
        <v>10782</v>
      </c>
      <c r="K7070" t="s">
        <v>38437</v>
      </c>
    </row>
    <row r="7071" spans="1:11" ht="201.6" x14ac:dyDescent="0.3">
      <c r="A7071" s="4" t="s">
        <v>9800</v>
      </c>
      <c r="B7071">
        <v>3</v>
      </c>
      <c r="C7071">
        <v>2009</v>
      </c>
      <c r="D7071" t="s">
        <v>2763</v>
      </c>
      <c r="E7071">
        <v>8</v>
      </c>
      <c r="F7071" t="s">
        <v>38438</v>
      </c>
      <c r="G7071" t="s">
        <v>38439</v>
      </c>
      <c r="H7071" s="4" t="s">
        <v>38440</v>
      </c>
      <c r="I7071" t="s">
        <v>71</v>
      </c>
      <c r="J7071" t="s">
        <v>10782</v>
      </c>
      <c r="K7071" t="s">
        <v>38441</v>
      </c>
    </row>
    <row r="7072" spans="1:11" ht="144" x14ac:dyDescent="0.3">
      <c r="A7072" s="4" t="s">
        <v>9801</v>
      </c>
      <c r="B7072">
        <v>3</v>
      </c>
      <c r="C7072">
        <v>2009</v>
      </c>
      <c r="D7072" t="s">
        <v>1570</v>
      </c>
      <c r="E7072">
        <v>97</v>
      </c>
      <c r="F7072" t="s">
        <v>38442</v>
      </c>
      <c r="G7072" t="s">
        <v>38443</v>
      </c>
      <c r="H7072" s="4" t="s">
        <v>38444</v>
      </c>
      <c r="I7072" t="s">
        <v>71</v>
      </c>
      <c r="J7072" t="s">
        <v>10782</v>
      </c>
      <c r="K7072" t="s">
        <v>38445</v>
      </c>
    </row>
    <row r="7073" spans="1:11" ht="172.8" x14ac:dyDescent="0.3">
      <c r="A7073" s="4" t="s">
        <v>9802</v>
      </c>
      <c r="B7073">
        <v>3</v>
      </c>
      <c r="C7073">
        <v>2009</v>
      </c>
      <c r="D7073" t="s">
        <v>12318</v>
      </c>
      <c r="E7073">
        <v>211</v>
      </c>
      <c r="F7073" t="s">
        <v>38446</v>
      </c>
      <c r="G7073" t="s">
        <v>38447</v>
      </c>
      <c r="H7073" s="4" t="s">
        <v>38448</v>
      </c>
      <c r="I7073" t="s">
        <v>71</v>
      </c>
      <c r="J7073" t="s">
        <v>10782</v>
      </c>
      <c r="K7073" t="s">
        <v>38449</v>
      </c>
    </row>
    <row r="7074" spans="1:11" ht="129.6" x14ac:dyDescent="0.3">
      <c r="A7074" s="4" t="s">
        <v>9803</v>
      </c>
      <c r="B7074">
        <v>3</v>
      </c>
      <c r="C7074">
        <v>2009</v>
      </c>
      <c r="D7074" t="s">
        <v>30074</v>
      </c>
      <c r="E7074">
        <v>76</v>
      </c>
      <c r="F7074" t="s">
        <v>38450</v>
      </c>
      <c r="G7074" t="s">
        <v>38451</v>
      </c>
      <c r="H7074" s="4" t="s">
        <v>38452</v>
      </c>
      <c r="I7074" t="s">
        <v>71</v>
      </c>
      <c r="J7074" t="s">
        <v>10782</v>
      </c>
      <c r="K7074" t="s">
        <v>38453</v>
      </c>
    </row>
    <row r="7075" spans="1:11" ht="129.6" x14ac:dyDescent="0.3">
      <c r="A7075" s="4" t="s">
        <v>9804</v>
      </c>
      <c r="B7075">
        <v>3</v>
      </c>
      <c r="C7075">
        <v>2009</v>
      </c>
      <c r="D7075" t="s">
        <v>34103</v>
      </c>
      <c r="E7075">
        <v>20</v>
      </c>
      <c r="F7075" t="s">
        <v>38454</v>
      </c>
      <c r="G7075" t="s">
        <v>38455</v>
      </c>
      <c r="H7075" s="4" t="s">
        <v>38456</v>
      </c>
      <c r="I7075" t="s">
        <v>71</v>
      </c>
      <c r="J7075" t="s">
        <v>10782</v>
      </c>
      <c r="K7075" t="s">
        <v>38457</v>
      </c>
    </row>
    <row r="7076" spans="1:11" ht="129.6" x14ac:dyDescent="0.3">
      <c r="A7076" s="4" t="s">
        <v>9805</v>
      </c>
      <c r="B7076">
        <v>3</v>
      </c>
      <c r="C7076">
        <v>2009</v>
      </c>
      <c r="D7076" t="s">
        <v>38458</v>
      </c>
      <c r="E7076">
        <v>6</v>
      </c>
      <c r="G7076" t="s">
        <v>38459</v>
      </c>
      <c r="H7076" s="4" t="s">
        <v>38460</v>
      </c>
      <c r="I7076" s="4" t="s">
        <v>71</v>
      </c>
      <c r="J7076" t="s">
        <v>10782</v>
      </c>
      <c r="K7076" t="s">
        <v>38461</v>
      </c>
    </row>
    <row r="7077" spans="1:11" ht="201.6" x14ac:dyDescent="0.3">
      <c r="A7077" s="4" t="s">
        <v>9806</v>
      </c>
      <c r="B7077">
        <v>3</v>
      </c>
      <c r="C7077">
        <v>2009</v>
      </c>
      <c r="D7077" t="s">
        <v>38462</v>
      </c>
      <c r="E7077">
        <v>5</v>
      </c>
      <c r="G7077" t="s">
        <v>38463</v>
      </c>
      <c r="H7077" s="4" t="s">
        <v>38464</v>
      </c>
      <c r="I7077" s="4" t="s">
        <v>71</v>
      </c>
      <c r="J7077" t="s">
        <v>10782</v>
      </c>
      <c r="K7077" t="s">
        <v>38465</v>
      </c>
    </row>
    <row r="7078" spans="1:11" ht="115.2" x14ac:dyDescent="0.3">
      <c r="A7078" s="4" t="s">
        <v>2316</v>
      </c>
      <c r="B7078">
        <v>1</v>
      </c>
      <c r="C7078">
        <v>2009</v>
      </c>
      <c r="D7078" t="s">
        <v>2384</v>
      </c>
      <c r="E7078">
        <v>1854</v>
      </c>
      <c r="F7078" t="s">
        <v>38466</v>
      </c>
      <c r="G7078" t="s">
        <v>38467</v>
      </c>
      <c r="H7078" s="4" t="s">
        <v>38468</v>
      </c>
      <c r="I7078" t="s">
        <v>71</v>
      </c>
      <c r="J7078" t="s">
        <v>10782</v>
      </c>
      <c r="K7078" t="s">
        <v>38469</v>
      </c>
    </row>
    <row r="7079" spans="1:11" ht="216" x14ac:dyDescent="0.3">
      <c r="A7079" s="4" t="s">
        <v>9807</v>
      </c>
      <c r="B7079">
        <v>3</v>
      </c>
      <c r="C7079">
        <v>2009</v>
      </c>
      <c r="D7079" t="s">
        <v>26297</v>
      </c>
      <c r="E7079">
        <v>5</v>
      </c>
      <c r="F7079" t="s">
        <v>38470</v>
      </c>
      <c r="G7079" t="s">
        <v>38471</v>
      </c>
      <c r="H7079" s="4" t="s">
        <v>38472</v>
      </c>
      <c r="I7079" t="s">
        <v>71</v>
      </c>
      <c r="J7079" t="s">
        <v>10782</v>
      </c>
      <c r="K7079" t="s">
        <v>38473</v>
      </c>
    </row>
    <row r="7080" spans="1:11" ht="100.8" x14ac:dyDescent="0.3">
      <c r="A7080" s="4" t="s">
        <v>9808</v>
      </c>
      <c r="B7080">
        <v>3</v>
      </c>
      <c r="C7080">
        <v>2009</v>
      </c>
      <c r="D7080" t="s">
        <v>385</v>
      </c>
      <c r="E7080">
        <v>33</v>
      </c>
      <c r="F7080" t="s">
        <v>38474</v>
      </c>
      <c r="G7080" t="s">
        <v>38475</v>
      </c>
      <c r="H7080" s="4" t="s">
        <v>38476</v>
      </c>
      <c r="I7080" t="s">
        <v>71</v>
      </c>
      <c r="J7080" t="s">
        <v>10782</v>
      </c>
      <c r="K7080" t="s">
        <v>38477</v>
      </c>
    </row>
    <row r="7081" spans="1:11" ht="172.8" x14ac:dyDescent="0.3">
      <c r="A7081" s="4" t="s">
        <v>9809</v>
      </c>
      <c r="B7081">
        <v>3</v>
      </c>
      <c r="C7081">
        <v>2009</v>
      </c>
      <c r="D7081" t="s">
        <v>34103</v>
      </c>
      <c r="E7081">
        <v>14</v>
      </c>
      <c r="F7081" t="s">
        <v>38478</v>
      </c>
      <c r="G7081" t="s">
        <v>38479</v>
      </c>
      <c r="H7081" s="4" t="s">
        <v>38480</v>
      </c>
      <c r="I7081" t="s">
        <v>71</v>
      </c>
      <c r="J7081" t="s">
        <v>10782</v>
      </c>
      <c r="K7081" t="s">
        <v>38481</v>
      </c>
    </row>
    <row r="7082" spans="1:11" ht="115.2" x14ac:dyDescent="0.3">
      <c r="A7082" s="4" t="s">
        <v>9810</v>
      </c>
      <c r="B7082">
        <v>3</v>
      </c>
      <c r="C7082">
        <v>2009</v>
      </c>
      <c r="D7082" t="s">
        <v>83</v>
      </c>
      <c r="E7082">
        <v>12</v>
      </c>
      <c r="F7082" t="s">
        <v>38482</v>
      </c>
      <c r="G7082" t="s">
        <v>38483</v>
      </c>
      <c r="H7082" s="4" t="s">
        <v>38484</v>
      </c>
    </row>
    <row r="7083" spans="1:11" ht="115.2" x14ac:dyDescent="0.3">
      <c r="A7083" s="4" t="s">
        <v>9811</v>
      </c>
      <c r="B7083">
        <v>3</v>
      </c>
      <c r="C7083">
        <v>2009</v>
      </c>
      <c r="D7083" t="s">
        <v>38485</v>
      </c>
      <c r="E7083">
        <v>3</v>
      </c>
      <c r="F7083" t="s">
        <v>38486</v>
      </c>
      <c r="G7083" t="s">
        <v>38487</v>
      </c>
      <c r="H7083" s="4" t="s">
        <v>38488</v>
      </c>
      <c r="I7083" t="s">
        <v>71</v>
      </c>
      <c r="J7083" t="s">
        <v>10782</v>
      </c>
      <c r="K7083" t="s">
        <v>38489</v>
      </c>
    </row>
    <row r="7084" spans="1:11" ht="158.4" x14ac:dyDescent="0.3">
      <c r="A7084" s="4" t="s">
        <v>9812</v>
      </c>
      <c r="B7084">
        <v>3</v>
      </c>
      <c r="C7084">
        <v>2009</v>
      </c>
      <c r="D7084" t="s">
        <v>12491</v>
      </c>
      <c r="E7084">
        <v>43</v>
      </c>
      <c r="F7084" t="s">
        <v>38490</v>
      </c>
      <c r="G7084" t="s">
        <v>38491</v>
      </c>
      <c r="H7084" s="4" t="s">
        <v>38492</v>
      </c>
      <c r="I7084" t="s">
        <v>71</v>
      </c>
      <c r="J7084" t="s">
        <v>10782</v>
      </c>
      <c r="K7084" t="s">
        <v>38493</v>
      </c>
    </row>
    <row r="7085" spans="1:11" ht="158.4" x14ac:dyDescent="0.3">
      <c r="A7085" s="4" t="s">
        <v>9813</v>
      </c>
      <c r="B7085">
        <v>3</v>
      </c>
      <c r="C7085">
        <v>2009</v>
      </c>
      <c r="D7085" t="s">
        <v>2853</v>
      </c>
      <c r="E7085">
        <v>62</v>
      </c>
      <c r="F7085" t="s">
        <v>38494</v>
      </c>
      <c r="G7085" t="s">
        <v>38495</v>
      </c>
      <c r="H7085" s="4" t="s">
        <v>38496</v>
      </c>
      <c r="I7085" t="s">
        <v>71</v>
      </c>
      <c r="J7085" t="s">
        <v>10782</v>
      </c>
      <c r="K7085" t="s">
        <v>38497</v>
      </c>
    </row>
    <row r="7086" spans="1:11" ht="115.2" x14ac:dyDescent="0.3">
      <c r="A7086" s="4" t="s">
        <v>9814</v>
      </c>
      <c r="B7086">
        <v>3</v>
      </c>
      <c r="C7086">
        <v>2009</v>
      </c>
      <c r="D7086" t="s">
        <v>18742</v>
      </c>
      <c r="E7086">
        <v>2</v>
      </c>
      <c r="F7086" t="s">
        <v>38498</v>
      </c>
      <c r="G7086" t="s">
        <v>38499</v>
      </c>
      <c r="H7086" s="4" t="s">
        <v>38500</v>
      </c>
      <c r="I7086" t="s">
        <v>71</v>
      </c>
      <c r="J7086" t="s">
        <v>10782</v>
      </c>
      <c r="K7086" t="s">
        <v>38501</v>
      </c>
    </row>
    <row r="7087" spans="1:11" ht="158.4" x14ac:dyDescent="0.3">
      <c r="A7087" s="4" t="s">
        <v>9815</v>
      </c>
      <c r="B7087">
        <v>3</v>
      </c>
      <c r="C7087">
        <v>2009</v>
      </c>
      <c r="D7087" t="s">
        <v>2282</v>
      </c>
      <c r="E7087">
        <v>41</v>
      </c>
      <c r="F7087" t="s">
        <v>38502</v>
      </c>
      <c r="G7087" t="s">
        <v>38503</v>
      </c>
      <c r="H7087" s="4" t="s">
        <v>38504</v>
      </c>
      <c r="I7087" t="s">
        <v>71</v>
      </c>
      <c r="J7087" t="s">
        <v>10782</v>
      </c>
      <c r="K7087" t="s">
        <v>38505</v>
      </c>
    </row>
    <row r="7088" spans="1:11" ht="115.2" x14ac:dyDescent="0.3">
      <c r="A7088" s="4" t="s">
        <v>9816</v>
      </c>
      <c r="B7088">
        <v>3</v>
      </c>
      <c r="C7088">
        <v>2009</v>
      </c>
      <c r="D7088" t="s">
        <v>13874</v>
      </c>
      <c r="E7088">
        <v>8</v>
      </c>
      <c r="F7088" t="s">
        <v>38506</v>
      </c>
      <c r="G7088" t="s">
        <v>38507</v>
      </c>
      <c r="H7088" s="4" t="s">
        <v>38508</v>
      </c>
      <c r="I7088" t="s">
        <v>71</v>
      </c>
      <c r="J7088" t="s">
        <v>10782</v>
      </c>
      <c r="K7088" t="s">
        <v>38509</v>
      </c>
    </row>
    <row r="7089" spans="1:11" ht="86.4" x14ac:dyDescent="0.3">
      <c r="A7089" s="4" t="s">
        <v>9817</v>
      </c>
      <c r="B7089">
        <v>3</v>
      </c>
      <c r="C7089">
        <v>2009</v>
      </c>
      <c r="D7089" t="s">
        <v>13826</v>
      </c>
      <c r="E7089">
        <v>26</v>
      </c>
      <c r="F7089" t="s">
        <v>38510</v>
      </c>
      <c r="G7089" t="s">
        <v>38511</v>
      </c>
      <c r="H7089" s="4" t="s">
        <v>38512</v>
      </c>
    </row>
    <row r="7090" spans="1:11" ht="201.6" x14ac:dyDescent="0.3">
      <c r="A7090" s="4" t="s">
        <v>9818</v>
      </c>
      <c r="B7090">
        <v>3</v>
      </c>
      <c r="C7090">
        <v>2009</v>
      </c>
      <c r="D7090" t="s">
        <v>23247</v>
      </c>
      <c r="E7090">
        <v>8</v>
      </c>
      <c r="F7090" t="s">
        <v>38513</v>
      </c>
      <c r="G7090" t="s">
        <v>38514</v>
      </c>
      <c r="H7090" s="4" t="s">
        <v>38515</v>
      </c>
      <c r="I7090" t="s">
        <v>71</v>
      </c>
      <c r="J7090" t="s">
        <v>10782</v>
      </c>
      <c r="K7090" t="s">
        <v>38516</v>
      </c>
    </row>
    <row r="7091" spans="1:11" ht="172.8" x14ac:dyDescent="0.3">
      <c r="A7091" s="4" t="s">
        <v>9819</v>
      </c>
      <c r="B7091">
        <v>3</v>
      </c>
      <c r="C7091">
        <v>2009</v>
      </c>
      <c r="D7091" t="s">
        <v>26504</v>
      </c>
      <c r="E7091">
        <v>10</v>
      </c>
      <c r="F7091" t="s">
        <v>38517</v>
      </c>
      <c r="G7091" t="s">
        <v>38518</v>
      </c>
      <c r="H7091" s="4" t="s">
        <v>38519</v>
      </c>
      <c r="I7091" t="s">
        <v>71</v>
      </c>
      <c r="J7091" t="s">
        <v>10782</v>
      </c>
      <c r="K7091" t="s">
        <v>38520</v>
      </c>
    </row>
    <row r="7092" spans="1:11" ht="129.6" x14ac:dyDescent="0.3">
      <c r="A7092" s="4" t="s">
        <v>9820</v>
      </c>
      <c r="B7092">
        <v>3</v>
      </c>
      <c r="C7092">
        <v>2009</v>
      </c>
      <c r="D7092" t="s">
        <v>2742</v>
      </c>
      <c r="E7092">
        <v>42</v>
      </c>
      <c r="F7092" t="s">
        <v>38521</v>
      </c>
      <c r="G7092" t="s">
        <v>38522</v>
      </c>
      <c r="H7092" s="4" t="s">
        <v>38523</v>
      </c>
      <c r="I7092" t="s">
        <v>71</v>
      </c>
      <c r="J7092" t="s">
        <v>10782</v>
      </c>
      <c r="K7092" t="s">
        <v>38524</v>
      </c>
    </row>
    <row r="7093" spans="1:11" ht="115.2" x14ac:dyDescent="0.3">
      <c r="A7093" s="4" t="s">
        <v>9821</v>
      </c>
      <c r="B7093">
        <v>3</v>
      </c>
      <c r="C7093">
        <v>2009</v>
      </c>
      <c r="D7093" t="s">
        <v>38525</v>
      </c>
      <c r="E7093">
        <v>24</v>
      </c>
      <c r="F7093" t="s">
        <v>38526</v>
      </c>
      <c r="G7093" t="s">
        <v>38527</v>
      </c>
      <c r="H7093" s="4" t="s">
        <v>38528</v>
      </c>
      <c r="I7093" t="s">
        <v>71</v>
      </c>
      <c r="J7093" t="s">
        <v>10782</v>
      </c>
      <c r="K7093" t="s">
        <v>38529</v>
      </c>
    </row>
    <row r="7094" spans="1:11" ht="158.4" x14ac:dyDescent="0.3">
      <c r="A7094" s="4" t="s">
        <v>9822</v>
      </c>
      <c r="B7094">
        <v>3</v>
      </c>
      <c r="C7094">
        <v>2009</v>
      </c>
      <c r="D7094" t="s">
        <v>24538</v>
      </c>
      <c r="E7094">
        <v>57</v>
      </c>
      <c r="F7094" t="s">
        <v>38530</v>
      </c>
      <c r="G7094" t="s">
        <v>38531</v>
      </c>
      <c r="H7094" s="4" t="s">
        <v>38532</v>
      </c>
      <c r="I7094" t="s">
        <v>71</v>
      </c>
      <c r="J7094" t="s">
        <v>10782</v>
      </c>
      <c r="K7094" t="s">
        <v>38533</v>
      </c>
    </row>
    <row r="7095" spans="1:11" ht="187.2" x14ac:dyDescent="0.3">
      <c r="A7095" s="4" t="s">
        <v>9823</v>
      </c>
      <c r="B7095">
        <v>3</v>
      </c>
      <c r="C7095">
        <v>2009</v>
      </c>
      <c r="D7095" t="s">
        <v>1570</v>
      </c>
      <c r="E7095">
        <v>188</v>
      </c>
      <c r="F7095" t="s">
        <v>38534</v>
      </c>
      <c r="G7095" t="s">
        <v>38535</v>
      </c>
      <c r="H7095" s="4" t="s">
        <v>38536</v>
      </c>
      <c r="I7095" t="s">
        <v>71</v>
      </c>
      <c r="J7095" t="s">
        <v>10782</v>
      </c>
      <c r="K7095" t="s">
        <v>38537</v>
      </c>
    </row>
    <row r="7096" spans="1:11" ht="201.6" x14ac:dyDescent="0.3">
      <c r="A7096" s="4" t="s">
        <v>9824</v>
      </c>
      <c r="B7096">
        <v>3</v>
      </c>
      <c r="C7096">
        <v>2009</v>
      </c>
      <c r="D7096" t="s">
        <v>38538</v>
      </c>
      <c r="E7096">
        <v>352</v>
      </c>
      <c r="G7096" t="s">
        <v>38539</v>
      </c>
      <c r="H7096" s="4" t="s">
        <v>38540</v>
      </c>
      <c r="I7096" s="4" t="s">
        <v>71</v>
      </c>
      <c r="J7096" t="s">
        <v>10782</v>
      </c>
      <c r="K7096" t="s">
        <v>38541</v>
      </c>
    </row>
    <row r="7097" spans="1:11" ht="86.4" x14ac:dyDescent="0.3">
      <c r="A7097" s="4" t="s">
        <v>9825</v>
      </c>
      <c r="B7097">
        <v>3</v>
      </c>
      <c r="C7097">
        <v>2009</v>
      </c>
      <c r="D7097" t="s">
        <v>1570</v>
      </c>
      <c r="E7097">
        <v>181</v>
      </c>
      <c r="F7097" t="s">
        <v>38542</v>
      </c>
      <c r="G7097" t="s">
        <v>38543</v>
      </c>
      <c r="H7097" s="4" t="s">
        <v>38544</v>
      </c>
      <c r="I7097" t="s">
        <v>71</v>
      </c>
      <c r="J7097" t="s">
        <v>10782</v>
      </c>
      <c r="K7097" t="s">
        <v>38545</v>
      </c>
    </row>
    <row r="7098" spans="1:11" ht="201.6" x14ac:dyDescent="0.3">
      <c r="A7098" s="4" t="s">
        <v>9826</v>
      </c>
      <c r="B7098">
        <v>3</v>
      </c>
      <c r="C7098">
        <v>2009</v>
      </c>
      <c r="D7098" t="s">
        <v>31561</v>
      </c>
      <c r="E7098">
        <v>4</v>
      </c>
      <c r="F7098" t="s">
        <v>38546</v>
      </c>
      <c r="G7098" t="s">
        <v>38547</v>
      </c>
      <c r="H7098" s="4" t="s">
        <v>38548</v>
      </c>
      <c r="I7098" t="s">
        <v>71</v>
      </c>
      <c r="J7098" t="s">
        <v>10782</v>
      </c>
      <c r="K7098" t="s">
        <v>38549</v>
      </c>
    </row>
    <row r="7099" spans="1:11" ht="316.8" x14ac:dyDescent="0.3">
      <c r="A7099" s="4" t="s">
        <v>9827</v>
      </c>
      <c r="B7099">
        <v>3</v>
      </c>
      <c r="C7099">
        <v>2009</v>
      </c>
      <c r="D7099" t="s">
        <v>830</v>
      </c>
      <c r="E7099">
        <v>83</v>
      </c>
      <c r="F7099" t="s">
        <v>38550</v>
      </c>
      <c r="G7099" t="s">
        <v>38551</v>
      </c>
      <c r="H7099" s="4" t="s">
        <v>38552</v>
      </c>
    </row>
    <row r="7100" spans="1:11" ht="115.2" x14ac:dyDescent="0.3">
      <c r="A7100" s="4" t="s">
        <v>9828</v>
      </c>
      <c r="B7100">
        <v>3</v>
      </c>
      <c r="C7100">
        <v>2009</v>
      </c>
      <c r="D7100" t="s">
        <v>38553</v>
      </c>
      <c r="E7100">
        <v>13</v>
      </c>
      <c r="G7100" t="s">
        <v>38554</v>
      </c>
      <c r="H7100" s="4" t="s">
        <v>38555</v>
      </c>
      <c r="I7100" s="4"/>
    </row>
    <row r="7101" spans="1:11" ht="172.8" x14ac:dyDescent="0.3">
      <c r="A7101" s="4" t="s">
        <v>9829</v>
      </c>
      <c r="B7101">
        <v>3</v>
      </c>
      <c r="C7101">
        <v>2009</v>
      </c>
      <c r="D7101" t="s">
        <v>80</v>
      </c>
      <c r="E7101">
        <v>47</v>
      </c>
      <c r="F7101" t="s">
        <v>38556</v>
      </c>
      <c r="G7101" t="s">
        <v>38557</v>
      </c>
      <c r="H7101" s="4" t="s">
        <v>38558</v>
      </c>
      <c r="I7101" t="s">
        <v>71</v>
      </c>
      <c r="J7101" t="s">
        <v>10782</v>
      </c>
      <c r="K7101" t="s">
        <v>38559</v>
      </c>
    </row>
    <row r="7102" spans="1:11" ht="100.8" x14ac:dyDescent="0.3">
      <c r="A7102" s="4" t="s">
        <v>9830</v>
      </c>
      <c r="B7102">
        <v>3</v>
      </c>
      <c r="C7102">
        <v>2009</v>
      </c>
      <c r="D7102" t="s">
        <v>38560</v>
      </c>
      <c r="E7102">
        <v>1</v>
      </c>
      <c r="F7102" t="s">
        <v>38561</v>
      </c>
      <c r="G7102" t="s">
        <v>38562</v>
      </c>
      <c r="H7102" s="4" t="s">
        <v>38563</v>
      </c>
      <c r="I7102" t="s">
        <v>71</v>
      </c>
      <c r="J7102" t="s">
        <v>10782</v>
      </c>
      <c r="K7102" t="s">
        <v>38564</v>
      </c>
    </row>
    <row r="7103" spans="1:11" ht="172.8" x14ac:dyDescent="0.3">
      <c r="A7103" s="4" t="s">
        <v>9831</v>
      </c>
      <c r="B7103">
        <v>3</v>
      </c>
      <c r="C7103">
        <v>2009</v>
      </c>
      <c r="D7103" t="s">
        <v>35624</v>
      </c>
      <c r="E7103">
        <v>4</v>
      </c>
      <c r="G7103" t="s">
        <v>38565</v>
      </c>
      <c r="H7103" s="4" t="s">
        <v>38566</v>
      </c>
      <c r="I7103" s="4" t="s">
        <v>71</v>
      </c>
      <c r="J7103" t="s">
        <v>10782</v>
      </c>
      <c r="K7103" t="s">
        <v>38567</v>
      </c>
    </row>
    <row r="7104" spans="1:11" ht="409.6" x14ac:dyDescent="0.3">
      <c r="A7104" s="4" t="s">
        <v>9832</v>
      </c>
      <c r="B7104">
        <v>3</v>
      </c>
      <c r="C7104">
        <v>2009</v>
      </c>
      <c r="D7104" t="s">
        <v>38422</v>
      </c>
      <c r="E7104">
        <v>2</v>
      </c>
      <c r="G7104" t="s">
        <v>38568</v>
      </c>
      <c r="H7104" s="4" t="s">
        <v>38569</v>
      </c>
      <c r="I7104" s="4" t="s">
        <v>71</v>
      </c>
      <c r="J7104" t="s">
        <v>10782</v>
      </c>
      <c r="K7104" t="s">
        <v>38570</v>
      </c>
    </row>
    <row r="7105" spans="1:11" ht="216" x14ac:dyDescent="0.3">
      <c r="A7105" s="4" t="s">
        <v>9833</v>
      </c>
      <c r="B7105">
        <v>3</v>
      </c>
      <c r="C7105">
        <v>2009</v>
      </c>
      <c r="D7105" t="s">
        <v>2763</v>
      </c>
      <c r="E7105">
        <v>7</v>
      </c>
      <c r="F7105" t="s">
        <v>38571</v>
      </c>
      <c r="G7105" t="s">
        <v>38572</v>
      </c>
      <c r="H7105" s="4" t="s">
        <v>38573</v>
      </c>
      <c r="I7105" t="s">
        <v>71</v>
      </c>
      <c r="J7105" t="s">
        <v>10782</v>
      </c>
      <c r="K7105" t="s">
        <v>38574</v>
      </c>
    </row>
    <row r="7106" spans="1:11" ht="172.8" x14ac:dyDescent="0.3">
      <c r="A7106" s="4" t="s">
        <v>9834</v>
      </c>
      <c r="B7106">
        <v>3</v>
      </c>
      <c r="C7106">
        <v>2009</v>
      </c>
      <c r="D7106" t="s">
        <v>2267</v>
      </c>
      <c r="E7106">
        <v>49</v>
      </c>
      <c r="F7106" t="s">
        <v>38575</v>
      </c>
      <c r="G7106" t="s">
        <v>38576</v>
      </c>
      <c r="H7106" s="4" t="s">
        <v>38577</v>
      </c>
      <c r="I7106" t="s">
        <v>71</v>
      </c>
      <c r="J7106" t="s">
        <v>10782</v>
      </c>
      <c r="K7106" t="s">
        <v>38578</v>
      </c>
    </row>
    <row r="7107" spans="1:11" ht="216" x14ac:dyDescent="0.3">
      <c r="A7107" s="4" t="s">
        <v>9835</v>
      </c>
      <c r="B7107">
        <v>3</v>
      </c>
      <c r="C7107">
        <v>2009</v>
      </c>
      <c r="D7107" t="s">
        <v>1877</v>
      </c>
      <c r="E7107">
        <v>28</v>
      </c>
      <c r="F7107" t="s">
        <v>38579</v>
      </c>
      <c r="G7107" t="s">
        <v>38580</v>
      </c>
      <c r="H7107" s="4" t="s">
        <v>38581</v>
      </c>
      <c r="I7107" t="s">
        <v>71</v>
      </c>
      <c r="J7107" t="s">
        <v>10782</v>
      </c>
      <c r="K7107" t="s">
        <v>38582</v>
      </c>
    </row>
    <row r="7108" spans="1:11" ht="115.2" x14ac:dyDescent="0.3">
      <c r="A7108" s="4" t="s">
        <v>9836</v>
      </c>
      <c r="B7108">
        <v>3</v>
      </c>
      <c r="C7108">
        <v>2009</v>
      </c>
      <c r="D7108" t="s">
        <v>38583</v>
      </c>
      <c r="E7108">
        <v>115</v>
      </c>
      <c r="F7108" t="s">
        <v>38584</v>
      </c>
      <c r="G7108" t="s">
        <v>38585</v>
      </c>
      <c r="H7108" s="4" t="s">
        <v>38586</v>
      </c>
    </row>
    <row r="7109" spans="1:11" ht="187.2" x14ac:dyDescent="0.3">
      <c r="A7109" s="4" t="s">
        <v>9837</v>
      </c>
      <c r="B7109">
        <v>3</v>
      </c>
      <c r="C7109">
        <v>2009</v>
      </c>
      <c r="D7109" t="s">
        <v>38587</v>
      </c>
      <c r="E7109">
        <v>19</v>
      </c>
      <c r="F7109" t="s">
        <v>38588</v>
      </c>
      <c r="G7109" t="s">
        <v>38589</v>
      </c>
      <c r="H7109" s="4" t="s">
        <v>38590</v>
      </c>
      <c r="I7109" t="s">
        <v>71</v>
      </c>
      <c r="J7109" t="s">
        <v>10782</v>
      </c>
      <c r="K7109" t="s">
        <v>38591</v>
      </c>
    </row>
    <row r="7110" spans="1:11" ht="187.2" x14ac:dyDescent="0.3">
      <c r="A7110" s="4" t="s">
        <v>9838</v>
      </c>
      <c r="B7110">
        <v>3</v>
      </c>
      <c r="C7110">
        <v>2009</v>
      </c>
      <c r="D7110" t="s">
        <v>15271</v>
      </c>
      <c r="E7110">
        <v>104</v>
      </c>
      <c r="F7110" t="s">
        <v>38592</v>
      </c>
      <c r="G7110" t="s">
        <v>38593</v>
      </c>
      <c r="H7110" s="4" t="s">
        <v>38594</v>
      </c>
      <c r="I7110" t="s">
        <v>71</v>
      </c>
      <c r="J7110" t="s">
        <v>10782</v>
      </c>
      <c r="K7110" t="s">
        <v>38595</v>
      </c>
    </row>
    <row r="7111" spans="1:11" ht="172.8" x14ac:dyDescent="0.3">
      <c r="A7111" s="4" t="s">
        <v>9839</v>
      </c>
      <c r="B7111">
        <v>3</v>
      </c>
      <c r="C7111">
        <v>2009</v>
      </c>
      <c r="D7111" t="s">
        <v>10825</v>
      </c>
      <c r="E7111">
        <v>42</v>
      </c>
      <c r="F7111" t="s">
        <v>38596</v>
      </c>
      <c r="G7111" t="s">
        <v>38597</v>
      </c>
      <c r="H7111" s="4" t="s">
        <v>38598</v>
      </c>
      <c r="I7111" t="s">
        <v>71</v>
      </c>
      <c r="J7111" t="s">
        <v>10782</v>
      </c>
      <c r="K7111" t="s">
        <v>38599</v>
      </c>
    </row>
    <row r="7112" spans="1:11" ht="201.6" x14ac:dyDescent="0.3">
      <c r="A7112" s="4" t="s">
        <v>9840</v>
      </c>
      <c r="B7112">
        <v>3</v>
      </c>
      <c r="C7112">
        <v>2009</v>
      </c>
      <c r="D7112" t="s">
        <v>1570</v>
      </c>
      <c r="E7112">
        <v>10</v>
      </c>
      <c r="F7112" t="s">
        <v>38600</v>
      </c>
      <c r="G7112" t="s">
        <v>38601</v>
      </c>
      <c r="H7112" s="4" t="s">
        <v>38602</v>
      </c>
      <c r="I7112" t="s">
        <v>10823</v>
      </c>
      <c r="J7112" t="s">
        <v>10782</v>
      </c>
      <c r="K7112" t="s">
        <v>38603</v>
      </c>
    </row>
    <row r="7113" spans="1:11" ht="302.39999999999998" x14ac:dyDescent="0.3">
      <c r="A7113" s="4" t="s">
        <v>9841</v>
      </c>
      <c r="B7113">
        <v>3</v>
      </c>
      <c r="C7113">
        <v>2009</v>
      </c>
      <c r="D7113" t="s">
        <v>38604</v>
      </c>
      <c r="E7113">
        <v>0</v>
      </c>
      <c r="F7113" t="s">
        <v>38605</v>
      </c>
      <c r="G7113" t="s">
        <v>38606</v>
      </c>
      <c r="H7113" s="4" t="s">
        <v>38607</v>
      </c>
      <c r="I7113" t="s">
        <v>71</v>
      </c>
      <c r="J7113" t="s">
        <v>10782</v>
      </c>
      <c r="K7113" t="s">
        <v>38608</v>
      </c>
    </row>
    <row r="7114" spans="1:11" ht="158.4" x14ac:dyDescent="0.3">
      <c r="A7114" s="4" t="s">
        <v>9842</v>
      </c>
      <c r="B7114">
        <v>3</v>
      </c>
      <c r="C7114">
        <v>2009</v>
      </c>
      <c r="D7114" t="s">
        <v>80</v>
      </c>
      <c r="E7114">
        <v>170</v>
      </c>
      <c r="F7114" t="s">
        <v>38609</v>
      </c>
      <c r="G7114" t="s">
        <v>38610</v>
      </c>
      <c r="H7114" s="4" t="s">
        <v>38611</v>
      </c>
      <c r="I7114" t="s">
        <v>71</v>
      </c>
      <c r="J7114" t="s">
        <v>10782</v>
      </c>
      <c r="K7114" t="s">
        <v>38612</v>
      </c>
    </row>
    <row r="7115" spans="1:11" ht="201.6" x14ac:dyDescent="0.3">
      <c r="A7115" s="4" t="s">
        <v>9843</v>
      </c>
      <c r="B7115">
        <v>3</v>
      </c>
      <c r="C7115">
        <v>2009</v>
      </c>
      <c r="D7115" t="s">
        <v>10924</v>
      </c>
      <c r="E7115">
        <v>146</v>
      </c>
      <c r="F7115" t="s">
        <v>38613</v>
      </c>
      <c r="G7115" t="s">
        <v>38614</v>
      </c>
      <c r="H7115" s="4" t="s">
        <v>38615</v>
      </c>
      <c r="I7115" t="s">
        <v>71</v>
      </c>
      <c r="J7115" t="s">
        <v>10782</v>
      </c>
      <c r="K7115" t="s">
        <v>38616</v>
      </c>
    </row>
    <row r="7116" spans="1:11" ht="172.8" x14ac:dyDescent="0.3">
      <c r="A7116" s="4" t="s">
        <v>9844</v>
      </c>
      <c r="B7116">
        <v>3</v>
      </c>
      <c r="C7116">
        <v>2009</v>
      </c>
      <c r="D7116" t="s">
        <v>18377</v>
      </c>
      <c r="E7116">
        <v>71</v>
      </c>
      <c r="F7116" t="s">
        <v>38617</v>
      </c>
      <c r="G7116" t="s">
        <v>38618</v>
      </c>
      <c r="H7116" s="4" t="s">
        <v>38619</v>
      </c>
      <c r="I7116" t="s">
        <v>71</v>
      </c>
      <c r="J7116" t="s">
        <v>10782</v>
      </c>
      <c r="K7116" t="s">
        <v>38620</v>
      </c>
    </row>
    <row r="7117" spans="1:11" ht="144" x14ac:dyDescent="0.3">
      <c r="A7117" s="4" t="s">
        <v>9845</v>
      </c>
      <c r="B7117">
        <v>3</v>
      </c>
      <c r="C7117">
        <v>2009</v>
      </c>
      <c r="D7117" t="s">
        <v>12593</v>
      </c>
      <c r="E7117">
        <v>115</v>
      </c>
      <c r="F7117" t="s">
        <v>38621</v>
      </c>
      <c r="G7117" t="s">
        <v>38622</v>
      </c>
      <c r="H7117" s="4" t="s">
        <v>38623</v>
      </c>
      <c r="I7117" t="s">
        <v>71</v>
      </c>
      <c r="J7117" t="s">
        <v>10782</v>
      </c>
      <c r="K7117" t="s">
        <v>38624</v>
      </c>
    </row>
    <row r="7118" spans="1:11" ht="244.8" x14ac:dyDescent="0.3">
      <c r="A7118" s="4" t="s">
        <v>9846</v>
      </c>
      <c r="B7118">
        <v>3</v>
      </c>
      <c r="C7118">
        <v>2009</v>
      </c>
      <c r="D7118" t="s">
        <v>11457</v>
      </c>
      <c r="E7118">
        <v>16</v>
      </c>
      <c r="F7118" t="s">
        <v>38625</v>
      </c>
      <c r="G7118" t="s">
        <v>38626</v>
      </c>
      <c r="H7118" s="4" t="s">
        <v>38627</v>
      </c>
      <c r="I7118" t="s">
        <v>71</v>
      </c>
      <c r="J7118" t="s">
        <v>10782</v>
      </c>
      <c r="K7118" t="s">
        <v>38628</v>
      </c>
    </row>
    <row r="7119" spans="1:11" ht="86.4" x14ac:dyDescent="0.3">
      <c r="A7119" s="4" t="s">
        <v>9847</v>
      </c>
      <c r="B7119">
        <v>3</v>
      </c>
      <c r="C7119">
        <v>2009</v>
      </c>
      <c r="D7119" t="s">
        <v>1877</v>
      </c>
      <c r="E7119">
        <v>13</v>
      </c>
      <c r="F7119" t="s">
        <v>38629</v>
      </c>
      <c r="G7119" t="s">
        <v>38630</v>
      </c>
      <c r="H7119" s="4" t="s">
        <v>38631</v>
      </c>
      <c r="I7119" t="s">
        <v>71</v>
      </c>
      <c r="J7119" t="s">
        <v>10782</v>
      </c>
      <c r="K7119" t="s">
        <v>38632</v>
      </c>
    </row>
    <row r="7120" spans="1:11" ht="72" x14ac:dyDescent="0.3">
      <c r="A7120" s="4" t="s">
        <v>9848</v>
      </c>
      <c r="B7120">
        <v>3</v>
      </c>
      <c r="C7120">
        <v>2009</v>
      </c>
      <c r="D7120" t="s">
        <v>38587</v>
      </c>
      <c r="E7120">
        <v>33</v>
      </c>
      <c r="F7120" t="s">
        <v>38633</v>
      </c>
      <c r="G7120" t="s">
        <v>38634</v>
      </c>
      <c r="H7120" s="4" t="s">
        <v>38635</v>
      </c>
    </row>
    <row r="7121" spans="1:11" ht="244.8" x14ac:dyDescent="0.3">
      <c r="A7121" s="4" t="s">
        <v>9849</v>
      </c>
      <c r="B7121">
        <v>3</v>
      </c>
      <c r="C7121">
        <v>2009</v>
      </c>
      <c r="D7121" t="s">
        <v>10057</v>
      </c>
      <c r="E7121">
        <v>44</v>
      </c>
      <c r="F7121" t="s">
        <v>38636</v>
      </c>
      <c r="G7121" t="s">
        <v>38637</v>
      </c>
      <c r="H7121" s="4" t="s">
        <v>38638</v>
      </c>
      <c r="I7121" t="s">
        <v>71</v>
      </c>
      <c r="J7121" t="s">
        <v>10782</v>
      </c>
      <c r="K7121" t="s">
        <v>38639</v>
      </c>
    </row>
    <row r="7122" spans="1:11" ht="129.6" x14ac:dyDescent="0.3">
      <c r="A7122" s="4" t="s">
        <v>9850</v>
      </c>
      <c r="B7122">
        <v>3</v>
      </c>
      <c r="C7122">
        <v>2009</v>
      </c>
      <c r="D7122" t="s">
        <v>38640</v>
      </c>
      <c r="E7122">
        <v>44</v>
      </c>
      <c r="F7122" t="s">
        <v>38641</v>
      </c>
      <c r="G7122" t="s">
        <v>38642</v>
      </c>
      <c r="H7122" s="4" t="s">
        <v>38643</v>
      </c>
    </row>
    <row r="7123" spans="1:11" ht="144" x14ac:dyDescent="0.3">
      <c r="A7123" s="4" t="s">
        <v>9851</v>
      </c>
      <c r="B7123">
        <v>3</v>
      </c>
      <c r="C7123">
        <v>2009</v>
      </c>
      <c r="D7123" t="s">
        <v>23720</v>
      </c>
      <c r="E7123">
        <v>141</v>
      </c>
      <c r="F7123" t="s">
        <v>38644</v>
      </c>
      <c r="G7123" t="s">
        <v>38645</v>
      </c>
      <c r="H7123" s="4" t="s">
        <v>38646</v>
      </c>
      <c r="I7123" t="s">
        <v>71</v>
      </c>
      <c r="J7123" t="s">
        <v>10782</v>
      </c>
      <c r="K7123" t="s">
        <v>38647</v>
      </c>
    </row>
    <row r="7124" spans="1:11" ht="244.8" x14ac:dyDescent="0.3">
      <c r="A7124" s="4" t="s">
        <v>9852</v>
      </c>
      <c r="B7124">
        <v>3</v>
      </c>
      <c r="C7124">
        <v>2009</v>
      </c>
      <c r="D7124" t="s">
        <v>13644</v>
      </c>
      <c r="E7124">
        <v>30</v>
      </c>
      <c r="F7124" t="s">
        <v>38648</v>
      </c>
      <c r="G7124" t="s">
        <v>38649</v>
      </c>
      <c r="H7124" s="4" t="s">
        <v>38650</v>
      </c>
      <c r="I7124" t="s">
        <v>71</v>
      </c>
      <c r="J7124" t="s">
        <v>10782</v>
      </c>
      <c r="K7124" t="s">
        <v>38651</v>
      </c>
    </row>
    <row r="7125" spans="1:11" ht="57.6" x14ac:dyDescent="0.3">
      <c r="A7125" s="4" t="s">
        <v>9853</v>
      </c>
      <c r="B7125">
        <v>3</v>
      </c>
      <c r="C7125">
        <v>2009</v>
      </c>
      <c r="D7125" t="s">
        <v>38167</v>
      </c>
      <c r="E7125">
        <v>3</v>
      </c>
      <c r="F7125" t="s">
        <v>38652</v>
      </c>
      <c r="G7125" t="s">
        <v>38653</v>
      </c>
      <c r="H7125" s="4" t="s">
        <v>38654</v>
      </c>
      <c r="I7125" t="s">
        <v>71</v>
      </c>
      <c r="J7125" t="s">
        <v>10782</v>
      </c>
      <c r="K7125" t="s">
        <v>38655</v>
      </c>
    </row>
    <row r="7126" spans="1:11" ht="273.60000000000002" x14ac:dyDescent="0.3">
      <c r="A7126" s="4" t="s">
        <v>9854</v>
      </c>
      <c r="B7126">
        <v>3</v>
      </c>
      <c r="C7126">
        <v>2009</v>
      </c>
      <c r="D7126" t="s">
        <v>38656</v>
      </c>
      <c r="E7126">
        <v>2</v>
      </c>
      <c r="G7126" t="s">
        <v>38657</v>
      </c>
      <c r="H7126" s="4" t="s">
        <v>38658</v>
      </c>
      <c r="I7126" s="4"/>
    </row>
    <row r="7127" spans="1:11" ht="230.4" x14ac:dyDescent="0.3">
      <c r="A7127" s="4" t="s">
        <v>9855</v>
      </c>
      <c r="B7127">
        <v>3</v>
      </c>
      <c r="C7127">
        <v>2009</v>
      </c>
      <c r="D7127" t="s">
        <v>10924</v>
      </c>
      <c r="E7127">
        <v>83</v>
      </c>
      <c r="F7127" t="s">
        <v>38659</v>
      </c>
      <c r="G7127" t="s">
        <v>38660</v>
      </c>
      <c r="H7127" s="4" t="s">
        <v>38661</v>
      </c>
      <c r="I7127" t="s">
        <v>71</v>
      </c>
      <c r="J7127" t="s">
        <v>10782</v>
      </c>
      <c r="K7127" t="s">
        <v>38662</v>
      </c>
    </row>
    <row r="7128" spans="1:11" ht="129.6" x14ac:dyDescent="0.3">
      <c r="A7128" s="4" t="s">
        <v>9856</v>
      </c>
      <c r="B7128">
        <v>3</v>
      </c>
      <c r="C7128">
        <v>2009</v>
      </c>
      <c r="D7128" t="s">
        <v>24538</v>
      </c>
      <c r="E7128">
        <v>28</v>
      </c>
      <c r="F7128" t="s">
        <v>38663</v>
      </c>
      <c r="G7128" t="s">
        <v>38664</v>
      </c>
      <c r="H7128" s="4" t="s">
        <v>38665</v>
      </c>
    </row>
    <row r="7129" spans="1:11" ht="158.4" x14ac:dyDescent="0.3">
      <c r="A7129" s="4" t="s">
        <v>9857</v>
      </c>
      <c r="B7129">
        <v>3</v>
      </c>
      <c r="C7129">
        <v>2009</v>
      </c>
      <c r="D7129" t="s">
        <v>10924</v>
      </c>
      <c r="E7129">
        <v>101</v>
      </c>
      <c r="F7129" t="s">
        <v>38666</v>
      </c>
      <c r="G7129" t="s">
        <v>38667</v>
      </c>
      <c r="H7129" s="4" t="s">
        <v>38668</v>
      </c>
      <c r="I7129" t="s">
        <v>71</v>
      </c>
      <c r="J7129" t="s">
        <v>10782</v>
      </c>
      <c r="K7129" t="s">
        <v>38669</v>
      </c>
    </row>
    <row r="7130" spans="1:11" ht="129.6" x14ac:dyDescent="0.3">
      <c r="A7130" s="4" t="s">
        <v>9858</v>
      </c>
      <c r="B7130">
        <v>3</v>
      </c>
      <c r="C7130">
        <v>2009</v>
      </c>
      <c r="D7130" t="s">
        <v>1877</v>
      </c>
      <c r="E7130">
        <v>5</v>
      </c>
      <c r="F7130" t="s">
        <v>38670</v>
      </c>
      <c r="G7130" t="s">
        <v>38671</v>
      </c>
      <c r="H7130" s="4" t="s">
        <v>38672</v>
      </c>
      <c r="I7130" t="s">
        <v>71</v>
      </c>
      <c r="J7130" t="s">
        <v>10782</v>
      </c>
      <c r="K7130" t="s">
        <v>38673</v>
      </c>
    </row>
    <row r="7131" spans="1:11" ht="115.2" x14ac:dyDescent="0.3">
      <c r="A7131" s="4" t="s">
        <v>9859</v>
      </c>
      <c r="B7131">
        <v>3</v>
      </c>
      <c r="C7131">
        <v>2009</v>
      </c>
      <c r="D7131" t="s">
        <v>37053</v>
      </c>
      <c r="E7131">
        <v>2</v>
      </c>
      <c r="G7131" t="s">
        <v>38674</v>
      </c>
      <c r="H7131" s="4" t="s">
        <v>38675</v>
      </c>
      <c r="I7131" s="4" t="s">
        <v>71</v>
      </c>
      <c r="J7131" t="s">
        <v>10782</v>
      </c>
      <c r="K7131" t="s">
        <v>38676</v>
      </c>
    </row>
    <row r="7132" spans="1:11" ht="100.8" x14ac:dyDescent="0.3">
      <c r="A7132" s="4" t="s">
        <v>9860</v>
      </c>
      <c r="B7132">
        <v>3</v>
      </c>
      <c r="C7132">
        <v>2009</v>
      </c>
      <c r="D7132" t="s">
        <v>31626</v>
      </c>
      <c r="E7132">
        <v>0</v>
      </c>
      <c r="G7132" t="s">
        <v>38677</v>
      </c>
      <c r="H7132" s="4" t="s">
        <v>38678</v>
      </c>
      <c r="I7132" s="4" t="s">
        <v>71</v>
      </c>
      <c r="J7132" t="s">
        <v>10782</v>
      </c>
      <c r="K7132" t="s">
        <v>38679</v>
      </c>
    </row>
    <row r="7133" spans="1:11" ht="172.8" x14ac:dyDescent="0.3">
      <c r="A7133" s="4" t="s">
        <v>9861</v>
      </c>
      <c r="B7133">
        <v>3</v>
      </c>
      <c r="C7133">
        <v>2009</v>
      </c>
      <c r="D7133" t="s">
        <v>10924</v>
      </c>
      <c r="E7133">
        <v>68</v>
      </c>
      <c r="F7133" t="s">
        <v>38680</v>
      </c>
      <c r="G7133" t="s">
        <v>38681</v>
      </c>
      <c r="H7133" s="4" t="s">
        <v>38682</v>
      </c>
    </row>
    <row r="7134" spans="1:11" ht="172.8" x14ac:dyDescent="0.3">
      <c r="A7134" s="4" t="s">
        <v>9862</v>
      </c>
      <c r="B7134">
        <v>3</v>
      </c>
      <c r="C7134">
        <v>2009</v>
      </c>
      <c r="D7134" t="s">
        <v>830</v>
      </c>
      <c r="E7134">
        <v>134</v>
      </c>
      <c r="F7134" t="s">
        <v>38683</v>
      </c>
      <c r="G7134" t="s">
        <v>38684</v>
      </c>
      <c r="H7134" s="4" t="s">
        <v>38685</v>
      </c>
    </row>
    <row r="7135" spans="1:11" ht="86.4" x14ac:dyDescent="0.3">
      <c r="A7135" s="4" t="s">
        <v>9863</v>
      </c>
      <c r="B7135">
        <v>3</v>
      </c>
      <c r="C7135">
        <v>2009</v>
      </c>
      <c r="D7135" t="s">
        <v>33718</v>
      </c>
      <c r="E7135">
        <v>20</v>
      </c>
      <c r="F7135" t="s">
        <v>38686</v>
      </c>
      <c r="G7135" t="s">
        <v>38687</v>
      </c>
      <c r="H7135" s="4" t="s">
        <v>38688</v>
      </c>
      <c r="I7135" t="s">
        <v>71</v>
      </c>
      <c r="J7135" t="s">
        <v>10782</v>
      </c>
      <c r="K7135" t="s">
        <v>38689</v>
      </c>
    </row>
    <row r="7136" spans="1:11" ht="172.8" x14ac:dyDescent="0.3">
      <c r="A7136" s="4" t="s">
        <v>9864</v>
      </c>
      <c r="B7136">
        <v>3</v>
      </c>
      <c r="C7136">
        <v>2009</v>
      </c>
      <c r="D7136" t="s">
        <v>10825</v>
      </c>
      <c r="E7136">
        <v>16</v>
      </c>
      <c r="F7136" t="s">
        <v>38690</v>
      </c>
      <c r="G7136" t="s">
        <v>38691</v>
      </c>
      <c r="H7136" s="4" t="s">
        <v>38692</v>
      </c>
      <c r="I7136" t="s">
        <v>71</v>
      </c>
      <c r="J7136" t="s">
        <v>10782</v>
      </c>
      <c r="K7136" t="s">
        <v>38693</v>
      </c>
    </row>
    <row r="7137" spans="1:11" ht="43.2" x14ac:dyDescent="0.3">
      <c r="A7137" s="4" t="s">
        <v>9865</v>
      </c>
      <c r="B7137">
        <v>3</v>
      </c>
      <c r="C7137">
        <v>2009</v>
      </c>
      <c r="D7137" t="s">
        <v>38694</v>
      </c>
      <c r="E7137">
        <v>10</v>
      </c>
      <c r="F7137" t="s">
        <v>38695</v>
      </c>
      <c r="G7137" t="s">
        <v>38696</v>
      </c>
      <c r="H7137" s="4" t="s">
        <v>38697</v>
      </c>
      <c r="I7137" t="s">
        <v>71</v>
      </c>
      <c r="J7137" t="s">
        <v>10782</v>
      </c>
      <c r="K7137" t="s">
        <v>38698</v>
      </c>
    </row>
    <row r="7138" spans="1:11" ht="158.4" x14ac:dyDescent="0.3">
      <c r="A7138" s="4" t="s">
        <v>3678</v>
      </c>
      <c r="B7138">
        <v>2</v>
      </c>
      <c r="C7138">
        <v>2009</v>
      </c>
      <c r="D7138" t="s">
        <v>10924</v>
      </c>
      <c r="E7138">
        <v>61</v>
      </c>
      <c r="F7138" t="s">
        <v>38699</v>
      </c>
      <c r="G7138" t="s">
        <v>38700</v>
      </c>
      <c r="H7138" s="4" t="s">
        <v>38701</v>
      </c>
      <c r="I7138" t="s">
        <v>71</v>
      </c>
      <c r="J7138" t="s">
        <v>10782</v>
      </c>
      <c r="K7138" t="s">
        <v>38702</v>
      </c>
    </row>
    <row r="7139" spans="1:11" ht="43.2" x14ac:dyDescent="0.3">
      <c r="A7139" s="4" t="s">
        <v>9866</v>
      </c>
      <c r="B7139">
        <v>3</v>
      </c>
      <c r="C7139">
        <v>2009</v>
      </c>
      <c r="D7139" t="s">
        <v>10924</v>
      </c>
      <c r="E7139">
        <v>22</v>
      </c>
      <c r="F7139" t="s">
        <v>38703</v>
      </c>
      <c r="G7139" t="s">
        <v>38704</v>
      </c>
      <c r="H7139" s="4" t="s">
        <v>38705</v>
      </c>
    </row>
    <row r="7140" spans="1:11" ht="144" x14ac:dyDescent="0.3">
      <c r="A7140" s="4" t="s">
        <v>9867</v>
      </c>
      <c r="B7140">
        <v>3</v>
      </c>
      <c r="C7140">
        <v>2009</v>
      </c>
      <c r="D7140" t="s">
        <v>217</v>
      </c>
      <c r="E7140">
        <v>238</v>
      </c>
      <c r="F7140" t="s">
        <v>38706</v>
      </c>
      <c r="G7140" t="s">
        <v>38707</v>
      </c>
      <c r="H7140" s="4" t="s">
        <v>38708</v>
      </c>
      <c r="I7140" t="s">
        <v>71</v>
      </c>
      <c r="J7140" t="s">
        <v>10782</v>
      </c>
      <c r="K7140" t="s">
        <v>38709</v>
      </c>
    </row>
    <row r="7141" spans="1:11" ht="172.8" x14ac:dyDescent="0.3">
      <c r="A7141" s="4" t="s">
        <v>9868</v>
      </c>
      <c r="B7141">
        <v>3</v>
      </c>
      <c r="C7141">
        <v>2009</v>
      </c>
      <c r="D7141" t="s">
        <v>799</v>
      </c>
      <c r="E7141">
        <v>44</v>
      </c>
      <c r="F7141" t="s">
        <v>38710</v>
      </c>
      <c r="G7141" t="s">
        <v>38711</v>
      </c>
      <c r="H7141" s="4" t="s">
        <v>38712</v>
      </c>
      <c r="I7141" t="s">
        <v>71</v>
      </c>
      <c r="J7141" t="s">
        <v>10782</v>
      </c>
      <c r="K7141" t="s">
        <v>38713</v>
      </c>
    </row>
    <row r="7142" spans="1:11" ht="129.6" x14ac:dyDescent="0.3">
      <c r="A7142" s="4" t="s">
        <v>9869</v>
      </c>
      <c r="B7142">
        <v>3</v>
      </c>
      <c r="C7142">
        <v>2009</v>
      </c>
      <c r="D7142" t="s">
        <v>2210</v>
      </c>
      <c r="E7142">
        <v>7</v>
      </c>
      <c r="G7142" t="s">
        <v>38714</v>
      </c>
      <c r="H7142" s="4" t="s">
        <v>38715</v>
      </c>
      <c r="I7142" s="4" t="s">
        <v>71</v>
      </c>
      <c r="J7142" t="s">
        <v>10782</v>
      </c>
      <c r="K7142" t="s">
        <v>38716</v>
      </c>
    </row>
    <row r="7143" spans="1:11" ht="273.60000000000002" x14ac:dyDescent="0.3">
      <c r="A7143" s="4" t="s">
        <v>9870</v>
      </c>
      <c r="B7143">
        <v>3</v>
      </c>
      <c r="C7143">
        <v>2009</v>
      </c>
      <c r="D7143" t="s">
        <v>3061</v>
      </c>
      <c r="E7143">
        <v>5</v>
      </c>
      <c r="F7143" t="s">
        <v>38717</v>
      </c>
      <c r="G7143" t="s">
        <v>38718</v>
      </c>
      <c r="H7143" s="4" t="s">
        <v>38719</v>
      </c>
    </row>
    <row r="7144" spans="1:11" ht="158.4" x14ac:dyDescent="0.3">
      <c r="A7144" s="4" t="s">
        <v>9871</v>
      </c>
      <c r="B7144">
        <v>3</v>
      </c>
      <c r="C7144">
        <v>2009</v>
      </c>
      <c r="D7144" t="s">
        <v>38720</v>
      </c>
      <c r="E7144">
        <v>4</v>
      </c>
      <c r="F7144" t="s">
        <v>38721</v>
      </c>
      <c r="G7144" t="s">
        <v>38722</v>
      </c>
      <c r="H7144" s="4" t="s">
        <v>38723</v>
      </c>
    </row>
    <row r="7145" spans="1:11" ht="129.6" x14ac:dyDescent="0.3">
      <c r="A7145" s="4" t="s">
        <v>9872</v>
      </c>
      <c r="B7145">
        <v>3</v>
      </c>
      <c r="C7145">
        <v>2009</v>
      </c>
      <c r="D7145" t="s">
        <v>38724</v>
      </c>
      <c r="E7145">
        <v>7</v>
      </c>
      <c r="F7145" t="s">
        <v>38725</v>
      </c>
      <c r="G7145" t="s">
        <v>38726</v>
      </c>
      <c r="H7145" s="4" t="s">
        <v>38727</v>
      </c>
    </row>
    <row r="7146" spans="1:11" ht="144" x14ac:dyDescent="0.3">
      <c r="A7146" s="4" t="s">
        <v>9873</v>
      </c>
      <c r="B7146">
        <v>3</v>
      </c>
      <c r="C7146">
        <v>2009</v>
      </c>
      <c r="D7146" t="s">
        <v>83</v>
      </c>
      <c r="E7146">
        <v>25</v>
      </c>
      <c r="F7146" t="s">
        <v>38728</v>
      </c>
      <c r="G7146" t="s">
        <v>38729</v>
      </c>
      <c r="H7146" s="4" t="s">
        <v>38730</v>
      </c>
      <c r="I7146" t="s">
        <v>71</v>
      </c>
      <c r="J7146" t="s">
        <v>10782</v>
      </c>
      <c r="K7146" t="s">
        <v>38731</v>
      </c>
    </row>
    <row r="7147" spans="1:11" ht="86.4" x14ac:dyDescent="0.3">
      <c r="A7147" s="4" t="s">
        <v>9874</v>
      </c>
      <c r="B7147">
        <v>3</v>
      </c>
      <c r="C7147">
        <v>2009</v>
      </c>
      <c r="D7147" t="s">
        <v>80</v>
      </c>
      <c r="E7147">
        <v>25</v>
      </c>
      <c r="F7147" t="s">
        <v>38732</v>
      </c>
      <c r="G7147" t="s">
        <v>38733</v>
      </c>
      <c r="H7147" s="4" t="s">
        <v>38734</v>
      </c>
    </row>
    <row r="7148" spans="1:11" ht="216" x14ac:dyDescent="0.3">
      <c r="A7148" s="4" t="s">
        <v>9875</v>
      </c>
      <c r="B7148">
        <v>3</v>
      </c>
      <c r="C7148">
        <v>2009</v>
      </c>
      <c r="D7148" t="s">
        <v>10924</v>
      </c>
      <c r="E7148">
        <v>39</v>
      </c>
      <c r="F7148" t="s">
        <v>38735</v>
      </c>
      <c r="G7148" t="s">
        <v>38736</v>
      </c>
      <c r="H7148" s="4" t="s">
        <v>38737</v>
      </c>
      <c r="I7148" t="s">
        <v>71</v>
      </c>
      <c r="J7148" t="s">
        <v>10782</v>
      </c>
      <c r="K7148" t="s">
        <v>38738</v>
      </c>
    </row>
    <row r="7149" spans="1:11" ht="115.2" x14ac:dyDescent="0.3">
      <c r="A7149" s="4" t="s">
        <v>9876</v>
      </c>
      <c r="B7149">
        <v>3</v>
      </c>
      <c r="C7149">
        <v>2009</v>
      </c>
      <c r="D7149" t="s">
        <v>38739</v>
      </c>
      <c r="E7149">
        <v>3</v>
      </c>
      <c r="F7149" t="s">
        <v>38740</v>
      </c>
      <c r="G7149" t="s">
        <v>38741</v>
      </c>
      <c r="H7149" s="4" t="s">
        <v>38742</v>
      </c>
      <c r="I7149" t="s">
        <v>71</v>
      </c>
      <c r="J7149" t="s">
        <v>10782</v>
      </c>
      <c r="K7149" t="s">
        <v>38743</v>
      </c>
    </row>
    <row r="7150" spans="1:11" ht="158.4" x14ac:dyDescent="0.3">
      <c r="A7150" s="4" t="s">
        <v>9877</v>
      </c>
      <c r="B7150">
        <v>3</v>
      </c>
      <c r="C7150">
        <v>2009</v>
      </c>
      <c r="D7150" t="s">
        <v>12593</v>
      </c>
      <c r="E7150">
        <v>111</v>
      </c>
      <c r="F7150" t="s">
        <v>38744</v>
      </c>
      <c r="G7150" t="s">
        <v>38745</v>
      </c>
      <c r="H7150" s="4" t="s">
        <v>38746</v>
      </c>
      <c r="I7150" t="s">
        <v>71</v>
      </c>
      <c r="J7150" t="s">
        <v>10782</v>
      </c>
      <c r="K7150" t="s">
        <v>38747</v>
      </c>
    </row>
    <row r="7151" spans="1:11" ht="86.4" x14ac:dyDescent="0.3">
      <c r="A7151" s="4" t="s">
        <v>9878</v>
      </c>
      <c r="B7151">
        <v>3</v>
      </c>
      <c r="C7151">
        <v>2009</v>
      </c>
      <c r="D7151" t="s">
        <v>16937</v>
      </c>
      <c r="E7151">
        <v>76</v>
      </c>
      <c r="F7151" t="s">
        <v>38748</v>
      </c>
      <c r="G7151" t="s">
        <v>38749</v>
      </c>
      <c r="H7151" s="4" t="s">
        <v>38750</v>
      </c>
      <c r="I7151" t="s">
        <v>71</v>
      </c>
      <c r="J7151" t="s">
        <v>10782</v>
      </c>
      <c r="K7151" t="s">
        <v>38751</v>
      </c>
    </row>
    <row r="7152" spans="1:11" ht="230.4" x14ac:dyDescent="0.3">
      <c r="A7152" s="4" t="s">
        <v>9879</v>
      </c>
      <c r="B7152">
        <v>3</v>
      </c>
      <c r="C7152">
        <v>2009</v>
      </c>
      <c r="D7152" t="s">
        <v>38752</v>
      </c>
      <c r="E7152">
        <v>40</v>
      </c>
      <c r="F7152" t="s">
        <v>38753</v>
      </c>
      <c r="G7152" t="s">
        <v>38754</v>
      </c>
      <c r="H7152" s="4" t="s">
        <v>38755</v>
      </c>
      <c r="I7152" t="s">
        <v>71</v>
      </c>
      <c r="J7152" t="s">
        <v>10782</v>
      </c>
      <c r="K7152" t="s">
        <v>38756</v>
      </c>
    </row>
    <row r="7153" spans="1:11" ht="115.2" x14ac:dyDescent="0.3">
      <c r="A7153" s="4" t="s">
        <v>9880</v>
      </c>
      <c r="B7153">
        <v>3</v>
      </c>
      <c r="C7153">
        <v>2009</v>
      </c>
      <c r="D7153" t="s">
        <v>10924</v>
      </c>
      <c r="E7153">
        <v>42</v>
      </c>
      <c r="F7153" t="s">
        <v>38757</v>
      </c>
      <c r="G7153" t="s">
        <v>38758</v>
      </c>
      <c r="H7153" s="4" t="s">
        <v>38759</v>
      </c>
    </row>
    <row r="7154" spans="1:11" ht="216" x14ac:dyDescent="0.3">
      <c r="A7154" s="4" t="s">
        <v>9881</v>
      </c>
      <c r="B7154">
        <v>3</v>
      </c>
      <c r="C7154">
        <v>2009</v>
      </c>
      <c r="D7154" t="s">
        <v>23247</v>
      </c>
      <c r="E7154">
        <v>54</v>
      </c>
      <c r="F7154" t="s">
        <v>38760</v>
      </c>
      <c r="G7154" t="s">
        <v>38761</v>
      </c>
      <c r="H7154" s="4" t="s">
        <v>38762</v>
      </c>
      <c r="I7154" t="s">
        <v>71</v>
      </c>
      <c r="J7154" t="s">
        <v>10782</v>
      </c>
      <c r="K7154" t="s">
        <v>38763</v>
      </c>
    </row>
    <row r="7155" spans="1:11" ht="187.2" x14ac:dyDescent="0.3">
      <c r="A7155" s="4" t="s">
        <v>9882</v>
      </c>
      <c r="B7155">
        <v>3</v>
      </c>
      <c r="C7155">
        <v>2009</v>
      </c>
      <c r="D7155" t="s">
        <v>2282</v>
      </c>
      <c r="E7155">
        <v>379</v>
      </c>
      <c r="F7155" t="s">
        <v>38764</v>
      </c>
      <c r="G7155" t="s">
        <v>38765</v>
      </c>
      <c r="H7155" s="4" t="s">
        <v>38766</v>
      </c>
      <c r="I7155" t="s">
        <v>71</v>
      </c>
      <c r="J7155" t="s">
        <v>10782</v>
      </c>
      <c r="K7155" t="s">
        <v>38767</v>
      </c>
    </row>
    <row r="7156" spans="1:11" ht="187.2" x14ac:dyDescent="0.3">
      <c r="A7156" s="4" t="s">
        <v>9883</v>
      </c>
      <c r="B7156">
        <v>3</v>
      </c>
      <c r="C7156">
        <v>2009</v>
      </c>
      <c r="D7156" t="s">
        <v>38739</v>
      </c>
      <c r="E7156">
        <v>2</v>
      </c>
      <c r="F7156" t="s">
        <v>38768</v>
      </c>
      <c r="G7156" t="s">
        <v>38769</v>
      </c>
      <c r="H7156" s="4" t="s">
        <v>38770</v>
      </c>
      <c r="I7156" t="s">
        <v>71</v>
      </c>
      <c r="J7156" t="s">
        <v>10782</v>
      </c>
      <c r="K7156" t="s">
        <v>38771</v>
      </c>
    </row>
    <row r="7157" spans="1:11" ht="158.4" x14ac:dyDescent="0.3">
      <c r="A7157" s="4" t="s">
        <v>2956</v>
      </c>
      <c r="B7157">
        <v>2</v>
      </c>
      <c r="C7157">
        <v>2009</v>
      </c>
      <c r="D7157" t="s">
        <v>2282</v>
      </c>
      <c r="E7157">
        <v>121</v>
      </c>
      <c r="F7157" t="s">
        <v>38772</v>
      </c>
      <c r="G7157" t="s">
        <v>38773</v>
      </c>
      <c r="H7157" s="4" t="s">
        <v>38774</v>
      </c>
      <c r="I7157" t="s">
        <v>71</v>
      </c>
      <c r="J7157" t="s">
        <v>10782</v>
      </c>
      <c r="K7157" t="s">
        <v>38775</v>
      </c>
    </row>
    <row r="7158" spans="1:11" ht="129.6" x14ac:dyDescent="0.3">
      <c r="A7158" s="4" t="s">
        <v>9884</v>
      </c>
      <c r="B7158">
        <v>3</v>
      </c>
      <c r="C7158">
        <v>2009</v>
      </c>
      <c r="D7158" t="s">
        <v>36656</v>
      </c>
      <c r="E7158">
        <v>10</v>
      </c>
      <c r="G7158" t="s">
        <v>38776</v>
      </c>
      <c r="H7158" s="4" t="s">
        <v>38777</v>
      </c>
      <c r="I7158" s="4"/>
    </row>
    <row r="7159" spans="1:11" ht="259.2" x14ac:dyDescent="0.3">
      <c r="A7159" s="4" t="s">
        <v>9885</v>
      </c>
      <c r="B7159">
        <v>3</v>
      </c>
      <c r="C7159">
        <v>2009</v>
      </c>
      <c r="D7159" t="s">
        <v>25039</v>
      </c>
      <c r="E7159">
        <v>43</v>
      </c>
      <c r="G7159" t="s">
        <v>38778</v>
      </c>
      <c r="H7159" s="4" t="s">
        <v>38779</v>
      </c>
      <c r="I7159" s="4" t="s">
        <v>71</v>
      </c>
      <c r="J7159" t="s">
        <v>10782</v>
      </c>
      <c r="K7159" t="s">
        <v>38780</v>
      </c>
    </row>
    <row r="7160" spans="1:11" ht="216" x14ac:dyDescent="0.3">
      <c r="A7160" s="4" t="s">
        <v>9886</v>
      </c>
      <c r="B7160">
        <v>3</v>
      </c>
      <c r="C7160">
        <v>2009</v>
      </c>
      <c r="D7160" t="s">
        <v>363</v>
      </c>
      <c r="E7160">
        <v>4</v>
      </c>
      <c r="F7160" t="s">
        <v>38781</v>
      </c>
      <c r="G7160" t="s">
        <v>38782</v>
      </c>
      <c r="H7160" s="4" t="s">
        <v>38783</v>
      </c>
      <c r="I7160" t="s">
        <v>71</v>
      </c>
      <c r="J7160" t="s">
        <v>10782</v>
      </c>
      <c r="K7160" t="s">
        <v>38784</v>
      </c>
    </row>
    <row r="7161" spans="1:11" ht="244.8" x14ac:dyDescent="0.3">
      <c r="A7161" s="4" t="s">
        <v>9887</v>
      </c>
      <c r="B7161">
        <v>3</v>
      </c>
      <c r="C7161">
        <v>2009</v>
      </c>
      <c r="D7161" t="s">
        <v>2914</v>
      </c>
      <c r="E7161">
        <v>21</v>
      </c>
      <c r="F7161" t="s">
        <v>38785</v>
      </c>
      <c r="G7161" t="s">
        <v>38786</v>
      </c>
      <c r="H7161" s="4" t="s">
        <v>38787</v>
      </c>
    </row>
    <row r="7162" spans="1:11" ht="115.2" x14ac:dyDescent="0.3">
      <c r="A7162" s="4" t="s">
        <v>3679</v>
      </c>
      <c r="B7162">
        <v>2</v>
      </c>
      <c r="C7162">
        <v>2009</v>
      </c>
      <c r="D7162" t="s">
        <v>38788</v>
      </c>
      <c r="E7162">
        <v>0</v>
      </c>
      <c r="G7162" t="s">
        <v>38789</v>
      </c>
      <c r="H7162" s="4" t="s">
        <v>38790</v>
      </c>
      <c r="I7162" s="4" t="s">
        <v>71</v>
      </c>
      <c r="J7162" t="s">
        <v>10782</v>
      </c>
      <c r="K7162" t="s">
        <v>38791</v>
      </c>
    </row>
    <row r="7163" spans="1:11" ht="187.2" x14ac:dyDescent="0.3">
      <c r="A7163" s="4" t="s">
        <v>9888</v>
      </c>
      <c r="B7163">
        <v>3</v>
      </c>
      <c r="C7163">
        <v>2009</v>
      </c>
      <c r="D7163" t="s">
        <v>38792</v>
      </c>
      <c r="E7163">
        <v>112</v>
      </c>
      <c r="F7163" t="s">
        <v>38793</v>
      </c>
      <c r="G7163" t="s">
        <v>38794</v>
      </c>
      <c r="H7163" s="4" t="s">
        <v>38795</v>
      </c>
      <c r="I7163" t="s">
        <v>71</v>
      </c>
      <c r="J7163" t="s">
        <v>10782</v>
      </c>
      <c r="K7163" t="s">
        <v>38796</v>
      </c>
    </row>
    <row r="7164" spans="1:11" ht="100.8" x14ac:dyDescent="0.3">
      <c r="A7164" s="4" t="s">
        <v>9889</v>
      </c>
      <c r="B7164">
        <v>3</v>
      </c>
      <c r="C7164">
        <v>2009</v>
      </c>
      <c r="D7164" t="s">
        <v>30118</v>
      </c>
      <c r="E7164">
        <v>16</v>
      </c>
      <c r="F7164" t="s">
        <v>38797</v>
      </c>
      <c r="G7164" t="s">
        <v>38798</v>
      </c>
      <c r="H7164" s="4" t="s">
        <v>38799</v>
      </c>
      <c r="I7164" t="s">
        <v>71</v>
      </c>
      <c r="J7164" t="s">
        <v>10782</v>
      </c>
      <c r="K7164" t="s">
        <v>38800</v>
      </c>
    </row>
    <row r="7165" spans="1:11" ht="43.2" x14ac:dyDescent="0.3">
      <c r="A7165" s="4" t="s">
        <v>9890</v>
      </c>
      <c r="B7165">
        <v>3</v>
      </c>
      <c r="C7165">
        <v>2009</v>
      </c>
      <c r="D7165" t="s">
        <v>19414</v>
      </c>
      <c r="E7165">
        <v>1</v>
      </c>
      <c r="F7165" t="s">
        <v>38801</v>
      </c>
      <c r="G7165" t="s">
        <v>38802</v>
      </c>
      <c r="H7165" s="4" t="s">
        <v>38803</v>
      </c>
      <c r="I7165" t="s">
        <v>71</v>
      </c>
      <c r="J7165" t="s">
        <v>10782</v>
      </c>
      <c r="K7165" t="s">
        <v>38804</v>
      </c>
    </row>
    <row r="7166" spans="1:11" ht="201.6" x14ac:dyDescent="0.3">
      <c r="A7166" s="4" t="s">
        <v>9891</v>
      </c>
      <c r="B7166">
        <v>3</v>
      </c>
      <c r="C7166">
        <v>2009</v>
      </c>
      <c r="D7166" t="s">
        <v>10057</v>
      </c>
      <c r="E7166">
        <v>68</v>
      </c>
      <c r="F7166" t="s">
        <v>38805</v>
      </c>
      <c r="G7166" t="s">
        <v>38806</v>
      </c>
      <c r="H7166" s="4" t="s">
        <v>38807</v>
      </c>
      <c r="I7166" t="s">
        <v>71</v>
      </c>
      <c r="J7166" t="s">
        <v>10782</v>
      </c>
      <c r="K7166" t="s">
        <v>38808</v>
      </c>
    </row>
    <row r="7167" spans="1:11" ht="144" x14ac:dyDescent="0.3">
      <c r="A7167" s="4" t="s">
        <v>9892</v>
      </c>
      <c r="B7167">
        <v>3</v>
      </c>
      <c r="C7167">
        <v>2009</v>
      </c>
      <c r="D7167" t="s">
        <v>10456</v>
      </c>
      <c r="E7167">
        <v>61</v>
      </c>
      <c r="F7167" t="s">
        <v>38809</v>
      </c>
      <c r="G7167" t="s">
        <v>38810</v>
      </c>
      <c r="H7167" s="4" t="s">
        <v>38811</v>
      </c>
      <c r="I7167" t="s">
        <v>71</v>
      </c>
      <c r="J7167" t="s">
        <v>10782</v>
      </c>
      <c r="K7167" t="s">
        <v>38812</v>
      </c>
    </row>
    <row r="7168" spans="1:11" ht="86.4" x14ac:dyDescent="0.3">
      <c r="A7168" s="4" t="s">
        <v>9893</v>
      </c>
      <c r="B7168">
        <v>3</v>
      </c>
      <c r="C7168">
        <v>2009</v>
      </c>
      <c r="D7168" t="s">
        <v>83</v>
      </c>
      <c r="E7168">
        <v>22</v>
      </c>
      <c r="F7168" t="s">
        <v>38813</v>
      </c>
      <c r="G7168" t="s">
        <v>38814</v>
      </c>
      <c r="H7168" s="4" t="s">
        <v>38815</v>
      </c>
      <c r="I7168" t="s">
        <v>71</v>
      </c>
      <c r="J7168" t="s">
        <v>10782</v>
      </c>
      <c r="K7168" t="s">
        <v>38816</v>
      </c>
    </row>
    <row r="7169" spans="1:11" ht="216" x14ac:dyDescent="0.3">
      <c r="A7169" s="4" t="s">
        <v>9894</v>
      </c>
      <c r="B7169">
        <v>3</v>
      </c>
      <c r="C7169">
        <v>2009</v>
      </c>
      <c r="D7169" t="s">
        <v>10057</v>
      </c>
      <c r="E7169">
        <v>17</v>
      </c>
      <c r="F7169" t="s">
        <v>38817</v>
      </c>
      <c r="G7169" t="s">
        <v>38818</v>
      </c>
      <c r="H7169" s="4" t="s">
        <v>38819</v>
      </c>
      <c r="I7169" t="s">
        <v>10823</v>
      </c>
      <c r="J7169" t="s">
        <v>10782</v>
      </c>
      <c r="K7169" t="s">
        <v>38820</v>
      </c>
    </row>
    <row r="7170" spans="1:11" ht="57.6" x14ac:dyDescent="0.3">
      <c r="A7170" s="4" t="s">
        <v>9895</v>
      </c>
      <c r="B7170">
        <v>3</v>
      </c>
      <c r="C7170">
        <v>2009</v>
      </c>
      <c r="D7170" t="s">
        <v>38587</v>
      </c>
      <c r="E7170">
        <v>3</v>
      </c>
      <c r="F7170" t="s">
        <v>38821</v>
      </c>
      <c r="G7170" t="s">
        <v>38822</v>
      </c>
      <c r="H7170" s="4" t="s">
        <v>38823</v>
      </c>
    </row>
    <row r="7171" spans="1:11" ht="72" x14ac:dyDescent="0.3">
      <c r="A7171" s="4" t="s">
        <v>9896</v>
      </c>
      <c r="B7171">
        <v>3</v>
      </c>
      <c r="C7171">
        <v>2009</v>
      </c>
      <c r="D7171" t="s">
        <v>1175</v>
      </c>
      <c r="E7171">
        <v>14</v>
      </c>
      <c r="F7171" t="s">
        <v>38824</v>
      </c>
      <c r="G7171" t="s">
        <v>38825</v>
      </c>
      <c r="H7171" s="4" t="s">
        <v>38826</v>
      </c>
      <c r="I7171" t="s">
        <v>71</v>
      </c>
      <c r="J7171" t="s">
        <v>10782</v>
      </c>
      <c r="K7171" t="s">
        <v>38827</v>
      </c>
    </row>
    <row r="7172" spans="1:11" ht="201.6" x14ac:dyDescent="0.3">
      <c r="A7172" s="4" t="s">
        <v>9897</v>
      </c>
      <c r="B7172">
        <v>3</v>
      </c>
      <c r="C7172">
        <v>2009</v>
      </c>
      <c r="D7172" t="s">
        <v>1570</v>
      </c>
      <c r="E7172">
        <v>26</v>
      </c>
      <c r="F7172" t="s">
        <v>38828</v>
      </c>
      <c r="G7172" t="s">
        <v>38829</v>
      </c>
      <c r="H7172" s="4" t="s">
        <v>38830</v>
      </c>
    </row>
    <row r="7173" spans="1:11" ht="129.6" x14ac:dyDescent="0.3">
      <c r="A7173" s="4" t="s">
        <v>9898</v>
      </c>
      <c r="B7173">
        <v>3</v>
      </c>
      <c r="C7173">
        <v>2009</v>
      </c>
      <c r="D7173" t="s">
        <v>12491</v>
      </c>
      <c r="E7173">
        <v>73</v>
      </c>
      <c r="F7173" t="s">
        <v>38831</v>
      </c>
      <c r="G7173" t="s">
        <v>38832</v>
      </c>
      <c r="H7173" s="4" t="s">
        <v>38833</v>
      </c>
    </row>
    <row r="7174" spans="1:11" ht="115.2" x14ac:dyDescent="0.3">
      <c r="A7174" s="4" t="s">
        <v>9899</v>
      </c>
      <c r="B7174">
        <v>3</v>
      </c>
      <c r="C7174">
        <v>2009</v>
      </c>
      <c r="D7174" t="s">
        <v>23292</v>
      </c>
      <c r="E7174">
        <v>24</v>
      </c>
      <c r="G7174" t="s">
        <v>38834</v>
      </c>
      <c r="H7174" s="4" t="s">
        <v>38835</v>
      </c>
      <c r="I7174" s="4" t="s">
        <v>71</v>
      </c>
      <c r="J7174" t="s">
        <v>10782</v>
      </c>
      <c r="K7174" t="s">
        <v>38836</v>
      </c>
    </row>
    <row r="7175" spans="1:11" ht="72" x14ac:dyDescent="0.3">
      <c r="A7175" s="4" t="s">
        <v>9900</v>
      </c>
      <c r="B7175">
        <v>3</v>
      </c>
      <c r="C7175">
        <v>2009</v>
      </c>
      <c r="D7175" t="s">
        <v>38837</v>
      </c>
      <c r="E7175">
        <v>23</v>
      </c>
      <c r="F7175" t="s">
        <v>38838</v>
      </c>
      <c r="G7175" t="s">
        <v>38839</v>
      </c>
      <c r="H7175" s="4" t="s">
        <v>38840</v>
      </c>
    </row>
    <row r="7176" spans="1:11" ht="115.2" x14ac:dyDescent="0.3">
      <c r="A7176" s="4" t="s">
        <v>9901</v>
      </c>
      <c r="B7176">
        <v>3</v>
      </c>
      <c r="C7176">
        <v>2009</v>
      </c>
      <c r="D7176" t="s">
        <v>38841</v>
      </c>
      <c r="E7176">
        <v>0</v>
      </c>
      <c r="G7176" t="s">
        <v>38842</v>
      </c>
      <c r="H7176" s="4" t="s">
        <v>38843</v>
      </c>
      <c r="I7176" s="4" t="s">
        <v>71</v>
      </c>
      <c r="J7176" t="s">
        <v>10782</v>
      </c>
      <c r="K7176" t="s">
        <v>38844</v>
      </c>
    </row>
    <row r="7177" spans="1:11" ht="144" x14ac:dyDescent="0.3">
      <c r="A7177" s="4" t="s">
        <v>9902</v>
      </c>
      <c r="B7177">
        <v>3</v>
      </c>
      <c r="C7177">
        <v>2009</v>
      </c>
      <c r="D7177" t="s">
        <v>10924</v>
      </c>
      <c r="E7177">
        <v>40</v>
      </c>
      <c r="F7177" t="s">
        <v>38845</v>
      </c>
      <c r="G7177" t="s">
        <v>38846</v>
      </c>
      <c r="H7177" s="4" t="s">
        <v>38847</v>
      </c>
      <c r="I7177" t="s">
        <v>71</v>
      </c>
      <c r="J7177" t="s">
        <v>10782</v>
      </c>
      <c r="K7177" t="s">
        <v>38848</v>
      </c>
    </row>
    <row r="7178" spans="1:11" ht="201.6" x14ac:dyDescent="0.3">
      <c r="A7178" s="4" t="s">
        <v>9903</v>
      </c>
      <c r="B7178">
        <v>3</v>
      </c>
      <c r="C7178">
        <v>2009</v>
      </c>
      <c r="D7178" t="s">
        <v>10924</v>
      </c>
      <c r="E7178">
        <v>34</v>
      </c>
      <c r="F7178" t="s">
        <v>38849</v>
      </c>
      <c r="G7178" t="s">
        <v>38850</v>
      </c>
      <c r="H7178" s="4" t="s">
        <v>38851</v>
      </c>
      <c r="I7178" t="s">
        <v>71</v>
      </c>
      <c r="J7178" t="s">
        <v>10782</v>
      </c>
      <c r="K7178" t="s">
        <v>38852</v>
      </c>
    </row>
    <row r="7179" spans="1:11" x14ac:dyDescent="0.3">
      <c r="A7179" s="4" t="s">
        <v>9904</v>
      </c>
      <c r="B7179">
        <v>3</v>
      </c>
      <c r="C7179">
        <v>2009</v>
      </c>
      <c r="D7179" t="s">
        <v>37417</v>
      </c>
      <c r="E7179">
        <v>17</v>
      </c>
      <c r="G7179" t="s">
        <v>38853</v>
      </c>
      <c r="H7179" t="s">
        <v>38854</v>
      </c>
      <c r="I7179" s="4"/>
    </row>
    <row r="7180" spans="1:11" ht="273.60000000000002" x14ac:dyDescent="0.3">
      <c r="A7180" s="4" t="s">
        <v>9905</v>
      </c>
      <c r="B7180">
        <v>3</v>
      </c>
      <c r="C7180">
        <v>2009</v>
      </c>
      <c r="D7180" t="s">
        <v>26411</v>
      </c>
      <c r="E7180">
        <v>19</v>
      </c>
      <c r="F7180" t="s">
        <v>38855</v>
      </c>
      <c r="G7180" t="s">
        <v>38856</v>
      </c>
      <c r="H7180" s="4" t="s">
        <v>38857</v>
      </c>
      <c r="I7180" t="s">
        <v>71</v>
      </c>
      <c r="J7180" t="s">
        <v>10782</v>
      </c>
      <c r="K7180" t="s">
        <v>38858</v>
      </c>
    </row>
    <row r="7181" spans="1:11" ht="158.4" x14ac:dyDescent="0.3">
      <c r="A7181" s="4" t="s">
        <v>9906</v>
      </c>
      <c r="B7181">
        <v>3</v>
      </c>
      <c r="C7181">
        <v>2009</v>
      </c>
      <c r="D7181" t="s">
        <v>217</v>
      </c>
      <c r="E7181">
        <v>112</v>
      </c>
      <c r="F7181" t="s">
        <v>38859</v>
      </c>
      <c r="G7181" t="s">
        <v>38860</v>
      </c>
      <c r="H7181" s="4" t="s">
        <v>38861</v>
      </c>
    </row>
    <row r="7182" spans="1:11" ht="100.8" x14ac:dyDescent="0.3">
      <c r="A7182" s="4" t="s">
        <v>3680</v>
      </c>
      <c r="B7182">
        <v>2</v>
      </c>
      <c r="C7182">
        <v>2009</v>
      </c>
      <c r="D7182" t="s">
        <v>11310</v>
      </c>
      <c r="E7182">
        <v>9</v>
      </c>
      <c r="F7182" t="s">
        <v>38862</v>
      </c>
      <c r="G7182" t="s">
        <v>38863</v>
      </c>
      <c r="H7182" s="4" t="s">
        <v>38864</v>
      </c>
      <c r="I7182" t="s">
        <v>71</v>
      </c>
      <c r="J7182" t="s">
        <v>10782</v>
      </c>
      <c r="K7182" t="s">
        <v>38865</v>
      </c>
    </row>
    <row r="7183" spans="1:11" ht="129.6" x14ac:dyDescent="0.3">
      <c r="A7183" s="4" t="s">
        <v>9907</v>
      </c>
      <c r="B7183">
        <v>3</v>
      </c>
      <c r="C7183">
        <v>2009</v>
      </c>
      <c r="D7183" t="s">
        <v>1877</v>
      </c>
      <c r="E7183">
        <v>44</v>
      </c>
      <c r="F7183" t="s">
        <v>38866</v>
      </c>
      <c r="G7183" t="s">
        <v>38867</v>
      </c>
      <c r="H7183" s="4" t="s">
        <v>38868</v>
      </c>
      <c r="I7183" t="s">
        <v>71</v>
      </c>
      <c r="J7183" t="s">
        <v>10782</v>
      </c>
      <c r="K7183" t="s">
        <v>38869</v>
      </c>
    </row>
    <row r="7184" spans="1:11" ht="288" x14ac:dyDescent="0.3">
      <c r="A7184" s="4" t="s">
        <v>9908</v>
      </c>
      <c r="B7184">
        <v>3</v>
      </c>
      <c r="C7184">
        <v>2009</v>
      </c>
      <c r="D7184" t="s">
        <v>21008</v>
      </c>
      <c r="E7184">
        <v>107</v>
      </c>
      <c r="F7184" t="s">
        <v>38870</v>
      </c>
      <c r="G7184" t="s">
        <v>38871</v>
      </c>
      <c r="H7184" s="4" t="s">
        <v>38872</v>
      </c>
      <c r="I7184" t="s">
        <v>71</v>
      </c>
      <c r="J7184" t="s">
        <v>10782</v>
      </c>
      <c r="K7184" t="s">
        <v>38873</v>
      </c>
    </row>
    <row r="7185" spans="1:11" ht="244.8" x14ac:dyDescent="0.3">
      <c r="A7185" s="4" t="s">
        <v>9909</v>
      </c>
      <c r="B7185">
        <v>3</v>
      </c>
      <c r="C7185">
        <v>2009</v>
      </c>
      <c r="D7185" t="s">
        <v>10924</v>
      </c>
      <c r="E7185">
        <v>56</v>
      </c>
      <c r="F7185" t="s">
        <v>38874</v>
      </c>
      <c r="G7185" t="s">
        <v>38875</v>
      </c>
      <c r="H7185" s="4" t="s">
        <v>38876</v>
      </c>
      <c r="I7185" t="s">
        <v>71</v>
      </c>
      <c r="J7185" t="s">
        <v>10782</v>
      </c>
      <c r="K7185" t="s">
        <v>38877</v>
      </c>
    </row>
    <row r="7186" spans="1:11" ht="172.8" x14ac:dyDescent="0.3">
      <c r="A7186" s="4" t="s">
        <v>9910</v>
      </c>
      <c r="B7186">
        <v>3</v>
      </c>
      <c r="C7186">
        <v>2009</v>
      </c>
      <c r="D7186" t="s">
        <v>38878</v>
      </c>
      <c r="E7186">
        <v>20</v>
      </c>
      <c r="F7186" t="s">
        <v>38879</v>
      </c>
      <c r="G7186" t="s">
        <v>38880</v>
      </c>
      <c r="H7186" s="4" t="s">
        <v>38881</v>
      </c>
      <c r="I7186" t="s">
        <v>71</v>
      </c>
      <c r="J7186" t="s">
        <v>10782</v>
      </c>
      <c r="K7186" t="s">
        <v>38882</v>
      </c>
    </row>
    <row r="7187" spans="1:11" ht="158.4" x14ac:dyDescent="0.3">
      <c r="A7187" s="4" t="s">
        <v>9911</v>
      </c>
      <c r="B7187">
        <v>3</v>
      </c>
      <c r="C7187">
        <v>2009</v>
      </c>
      <c r="D7187" t="s">
        <v>10924</v>
      </c>
      <c r="E7187">
        <v>38</v>
      </c>
      <c r="F7187" t="s">
        <v>38883</v>
      </c>
      <c r="G7187" t="s">
        <v>38884</v>
      </c>
      <c r="H7187" s="4" t="s">
        <v>38885</v>
      </c>
      <c r="I7187" t="s">
        <v>10823</v>
      </c>
      <c r="J7187" t="s">
        <v>10782</v>
      </c>
      <c r="K7187" t="s">
        <v>38886</v>
      </c>
    </row>
    <row r="7188" spans="1:11" ht="216" x14ac:dyDescent="0.3">
      <c r="A7188" s="4" t="s">
        <v>9912</v>
      </c>
      <c r="B7188">
        <v>3</v>
      </c>
      <c r="C7188">
        <v>2009</v>
      </c>
      <c r="D7188" t="s">
        <v>23247</v>
      </c>
      <c r="E7188">
        <v>58</v>
      </c>
      <c r="F7188" t="s">
        <v>38887</v>
      </c>
      <c r="G7188" t="s">
        <v>38888</v>
      </c>
      <c r="H7188" s="4" t="s">
        <v>38889</v>
      </c>
      <c r="I7188" t="s">
        <v>71</v>
      </c>
      <c r="J7188" t="s">
        <v>10782</v>
      </c>
      <c r="K7188" t="s">
        <v>38890</v>
      </c>
    </row>
    <row r="7189" spans="1:11" ht="158.4" x14ac:dyDescent="0.3">
      <c r="A7189" s="4" t="s">
        <v>9913</v>
      </c>
      <c r="B7189">
        <v>3</v>
      </c>
      <c r="C7189">
        <v>2009</v>
      </c>
      <c r="D7189" t="s">
        <v>14805</v>
      </c>
      <c r="E7189">
        <v>15</v>
      </c>
      <c r="F7189" t="s">
        <v>38891</v>
      </c>
      <c r="G7189" t="s">
        <v>38892</v>
      </c>
      <c r="H7189" s="4" t="s">
        <v>38893</v>
      </c>
      <c r="I7189" t="s">
        <v>71</v>
      </c>
      <c r="J7189" t="s">
        <v>10782</v>
      </c>
      <c r="K7189" t="s">
        <v>38894</v>
      </c>
    </row>
    <row r="7190" spans="1:11" ht="216" x14ac:dyDescent="0.3">
      <c r="A7190" s="4" t="s">
        <v>9914</v>
      </c>
      <c r="B7190">
        <v>3</v>
      </c>
      <c r="C7190">
        <v>2009</v>
      </c>
      <c r="D7190" t="s">
        <v>29053</v>
      </c>
      <c r="E7190">
        <v>49</v>
      </c>
      <c r="F7190" t="s">
        <v>38895</v>
      </c>
      <c r="G7190" t="s">
        <v>38896</v>
      </c>
      <c r="H7190" s="4" t="s">
        <v>38897</v>
      </c>
      <c r="I7190" t="s">
        <v>71</v>
      </c>
      <c r="J7190" t="s">
        <v>10782</v>
      </c>
      <c r="K7190" t="s">
        <v>38898</v>
      </c>
    </row>
    <row r="7191" spans="1:11" ht="100.8" x14ac:dyDescent="0.3">
      <c r="A7191" s="4" t="s">
        <v>9915</v>
      </c>
      <c r="B7191">
        <v>3</v>
      </c>
      <c r="C7191">
        <v>2009</v>
      </c>
      <c r="D7191" t="s">
        <v>15454</v>
      </c>
      <c r="E7191">
        <v>2</v>
      </c>
      <c r="F7191" t="s">
        <v>38899</v>
      </c>
      <c r="G7191" t="s">
        <v>38900</v>
      </c>
      <c r="H7191" s="4" t="s">
        <v>38901</v>
      </c>
      <c r="I7191" t="s">
        <v>71</v>
      </c>
      <c r="J7191" t="s">
        <v>10782</v>
      </c>
      <c r="K7191" t="s">
        <v>38902</v>
      </c>
    </row>
    <row r="7192" spans="1:11" ht="172.8" x14ac:dyDescent="0.3">
      <c r="A7192" s="4" t="s">
        <v>9916</v>
      </c>
      <c r="B7192">
        <v>3</v>
      </c>
      <c r="C7192">
        <v>2009</v>
      </c>
      <c r="D7192" t="s">
        <v>11310</v>
      </c>
      <c r="E7192">
        <v>38</v>
      </c>
      <c r="F7192" t="s">
        <v>38903</v>
      </c>
      <c r="G7192" t="s">
        <v>38904</v>
      </c>
      <c r="H7192" s="4" t="s">
        <v>38905</v>
      </c>
      <c r="I7192" t="s">
        <v>71</v>
      </c>
      <c r="J7192" t="s">
        <v>10782</v>
      </c>
      <c r="K7192" t="s">
        <v>38906</v>
      </c>
    </row>
    <row r="7193" spans="1:11" ht="129.6" x14ac:dyDescent="0.3">
      <c r="A7193" s="4" t="s">
        <v>9917</v>
      </c>
      <c r="B7193">
        <v>3</v>
      </c>
      <c r="C7193">
        <v>2009</v>
      </c>
      <c r="D7193" t="s">
        <v>2233</v>
      </c>
      <c r="E7193">
        <v>199</v>
      </c>
      <c r="F7193" t="s">
        <v>38907</v>
      </c>
      <c r="G7193" t="s">
        <v>38908</v>
      </c>
      <c r="H7193" s="4" t="s">
        <v>38909</v>
      </c>
      <c r="I7193" t="s">
        <v>71</v>
      </c>
      <c r="J7193" t="s">
        <v>10782</v>
      </c>
      <c r="K7193" t="s">
        <v>38910</v>
      </c>
    </row>
    <row r="7194" spans="1:11" ht="100.8" x14ac:dyDescent="0.3">
      <c r="A7194" s="4" t="s">
        <v>9918</v>
      </c>
      <c r="B7194">
        <v>3</v>
      </c>
      <c r="C7194">
        <v>2009</v>
      </c>
      <c r="D7194" t="s">
        <v>15454</v>
      </c>
      <c r="E7194">
        <v>67</v>
      </c>
      <c r="F7194" t="s">
        <v>38911</v>
      </c>
      <c r="G7194" t="s">
        <v>38912</v>
      </c>
      <c r="H7194" s="4" t="s">
        <v>38913</v>
      </c>
      <c r="I7194" t="s">
        <v>71</v>
      </c>
      <c r="J7194" t="s">
        <v>10782</v>
      </c>
      <c r="K7194" t="s">
        <v>38914</v>
      </c>
    </row>
    <row r="7195" spans="1:11" ht="129.6" x14ac:dyDescent="0.3">
      <c r="A7195" s="4" t="s">
        <v>9919</v>
      </c>
      <c r="B7195">
        <v>3</v>
      </c>
      <c r="C7195">
        <v>2009</v>
      </c>
      <c r="D7195" t="s">
        <v>38587</v>
      </c>
      <c r="E7195">
        <v>4</v>
      </c>
      <c r="F7195" t="s">
        <v>38915</v>
      </c>
      <c r="G7195" t="s">
        <v>38916</v>
      </c>
      <c r="H7195" s="4" t="s">
        <v>38917</v>
      </c>
    </row>
    <row r="7196" spans="1:11" ht="129.6" x14ac:dyDescent="0.3">
      <c r="A7196" s="4" t="s">
        <v>9920</v>
      </c>
      <c r="B7196">
        <v>3</v>
      </c>
      <c r="C7196">
        <v>2009</v>
      </c>
      <c r="D7196" t="s">
        <v>11728</v>
      </c>
      <c r="E7196">
        <v>7</v>
      </c>
      <c r="F7196" t="s">
        <v>38918</v>
      </c>
      <c r="G7196" t="s">
        <v>38919</v>
      </c>
      <c r="H7196" s="4" t="s">
        <v>38920</v>
      </c>
      <c r="I7196" t="s">
        <v>71</v>
      </c>
      <c r="J7196" t="s">
        <v>10782</v>
      </c>
      <c r="K7196" t="s">
        <v>38921</v>
      </c>
    </row>
    <row r="7197" spans="1:11" ht="187.2" x14ac:dyDescent="0.3">
      <c r="A7197" s="4" t="s">
        <v>9921</v>
      </c>
      <c r="B7197">
        <v>3</v>
      </c>
      <c r="C7197">
        <v>2009</v>
      </c>
      <c r="D7197" t="s">
        <v>17487</v>
      </c>
      <c r="E7197">
        <v>314</v>
      </c>
      <c r="F7197" t="s">
        <v>38922</v>
      </c>
      <c r="G7197" t="s">
        <v>38923</v>
      </c>
      <c r="H7197" s="4" t="s">
        <v>38924</v>
      </c>
      <c r="I7197" t="s">
        <v>71</v>
      </c>
      <c r="J7197" t="s">
        <v>10782</v>
      </c>
      <c r="K7197" t="s">
        <v>38925</v>
      </c>
    </row>
    <row r="7198" spans="1:11" ht="144" x14ac:dyDescent="0.3">
      <c r="A7198" s="4" t="s">
        <v>9922</v>
      </c>
      <c r="B7198">
        <v>3</v>
      </c>
      <c r="C7198">
        <v>2009</v>
      </c>
      <c r="D7198" t="s">
        <v>1570</v>
      </c>
      <c r="E7198">
        <v>27</v>
      </c>
      <c r="F7198" t="s">
        <v>38926</v>
      </c>
      <c r="G7198" t="s">
        <v>38927</v>
      </c>
      <c r="H7198" s="4" t="s">
        <v>38928</v>
      </c>
      <c r="I7198" t="s">
        <v>71</v>
      </c>
      <c r="J7198" t="s">
        <v>10782</v>
      </c>
      <c r="K7198" t="s">
        <v>38929</v>
      </c>
    </row>
    <row r="7199" spans="1:11" ht="172.8" x14ac:dyDescent="0.3">
      <c r="A7199" s="4" t="s">
        <v>9923</v>
      </c>
      <c r="B7199">
        <v>3</v>
      </c>
      <c r="C7199">
        <v>2009</v>
      </c>
      <c r="D7199" t="s">
        <v>2853</v>
      </c>
      <c r="E7199">
        <v>151</v>
      </c>
      <c r="F7199" t="s">
        <v>38930</v>
      </c>
      <c r="G7199" t="s">
        <v>38931</v>
      </c>
      <c r="H7199" s="4" t="s">
        <v>38932</v>
      </c>
      <c r="I7199" t="s">
        <v>71</v>
      </c>
      <c r="J7199" t="s">
        <v>10782</v>
      </c>
      <c r="K7199" t="s">
        <v>38933</v>
      </c>
    </row>
    <row r="7200" spans="1:11" ht="201.6" x14ac:dyDescent="0.3">
      <c r="A7200" s="4" t="s">
        <v>9924</v>
      </c>
      <c r="B7200">
        <v>3</v>
      </c>
      <c r="C7200">
        <v>2009</v>
      </c>
      <c r="D7200" t="s">
        <v>10057</v>
      </c>
      <c r="E7200">
        <v>55</v>
      </c>
      <c r="F7200" t="s">
        <v>38934</v>
      </c>
      <c r="G7200" t="s">
        <v>38935</v>
      </c>
      <c r="H7200" s="4" t="s">
        <v>38936</v>
      </c>
      <c r="I7200" t="s">
        <v>71</v>
      </c>
      <c r="J7200" t="s">
        <v>10782</v>
      </c>
      <c r="K7200" t="s">
        <v>38937</v>
      </c>
    </row>
    <row r="7201" spans="1:11" ht="216" x14ac:dyDescent="0.3">
      <c r="A7201" s="4" t="s">
        <v>9925</v>
      </c>
      <c r="B7201">
        <v>3</v>
      </c>
      <c r="C7201">
        <v>2009</v>
      </c>
      <c r="D7201" t="s">
        <v>14909</v>
      </c>
      <c r="E7201">
        <v>48</v>
      </c>
      <c r="F7201" t="s">
        <v>38938</v>
      </c>
      <c r="G7201" t="s">
        <v>38939</v>
      </c>
      <c r="H7201" s="4" t="s">
        <v>38940</v>
      </c>
      <c r="I7201" t="s">
        <v>71</v>
      </c>
      <c r="J7201" t="s">
        <v>10782</v>
      </c>
      <c r="K7201" t="s">
        <v>38941</v>
      </c>
    </row>
    <row r="7202" spans="1:11" ht="129.6" x14ac:dyDescent="0.3">
      <c r="A7202" s="4" t="s">
        <v>9926</v>
      </c>
      <c r="B7202">
        <v>3</v>
      </c>
      <c r="C7202">
        <v>2009</v>
      </c>
      <c r="D7202" t="s">
        <v>217</v>
      </c>
      <c r="E7202">
        <v>28</v>
      </c>
      <c r="F7202" t="s">
        <v>38942</v>
      </c>
      <c r="G7202" t="s">
        <v>38943</v>
      </c>
      <c r="H7202" s="4" t="s">
        <v>38944</v>
      </c>
      <c r="I7202" t="s">
        <v>71</v>
      </c>
      <c r="J7202" t="s">
        <v>10782</v>
      </c>
      <c r="K7202" t="s">
        <v>38945</v>
      </c>
    </row>
    <row r="7203" spans="1:11" ht="129.6" x14ac:dyDescent="0.3">
      <c r="A7203" s="4" t="s">
        <v>9927</v>
      </c>
      <c r="B7203">
        <v>3</v>
      </c>
      <c r="C7203">
        <v>2009</v>
      </c>
      <c r="D7203" t="s">
        <v>38946</v>
      </c>
      <c r="E7203">
        <v>36</v>
      </c>
      <c r="F7203" t="s">
        <v>38947</v>
      </c>
      <c r="G7203" t="s">
        <v>38948</v>
      </c>
      <c r="H7203" s="4" t="s">
        <v>38949</v>
      </c>
      <c r="I7203" t="s">
        <v>71</v>
      </c>
      <c r="J7203" t="s">
        <v>10782</v>
      </c>
      <c r="K7203" t="s">
        <v>38950</v>
      </c>
    </row>
    <row r="7204" spans="1:11" ht="244.8" x14ac:dyDescent="0.3">
      <c r="A7204" s="4" t="s">
        <v>9928</v>
      </c>
      <c r="B7204">
        <v>3</v>
      </c>
      <c r="C7204">
        <v>2009</v>
      </c>
      <c r="D7204" t="s">
        <v>33052</v>
      </c>
      <c r="E7204">
        <v>46</v>
      </c>
      <c r="F7204" t="s">
        <v>38951</v>
      </c>
      <c r="G7204" t="s">
        <v>38952</v>
      </c>
      <c r="H7204" s="4" t="s">
        <v>38953</v>
      </c>
    </row>
    <row r="7205" spans="1:11" ht="172.8" x14ac:dyDescent="0.3">
      <c r="A7205" s="4" t="s">
        <v>9929</v>
      </c>
      <c r="B7205">
        <v>3</v>
      </c>
      <c r="C7205">
        <v>2009</v>
      </c>
      <c r="D7205" t="s">
        <v>29993</v>
      </c>
      <c r="E7205">
        <v>0</v>
      </c>
      <c r="F7205" t="s">
        <v>38954</v>
      </c>
      <c r="G7205" t="s">
        <v>38955</v>
      </c>
      <c r="H7205" s="4" t="s">
        <v>38956</v>
      </c>
      <c r="I7205" t="s">
        <v>71</v>
      </c>
      <c r="J7205" t="s">
        <v>10782</v>
      </c>
      <c r="K7205" t="s">
        <v>38957</v>
      </c>
    </row>
    <row r="7206" spans="1:11" ht="100.8" x14ac:dyDescent="0.3">
      <c r="A7206" s="4" t="s">
        <v>9930</v>
      </c>
      <c r="B7206">
        <v>3</v>
      </c>
      <c r="C7206">
        <v>2009</v>
      </c>
      <c r="D7206" t="s">
        <v>38958</v>
      </c>
      <c r="E7206">
        <v>10</v>
      </c>
      <c r="G7206" t="s">
        <v>38959</v>
      </c>
      <c r="H7206" s="4" t="s">
        <v>38960</v>
      </c>
      <c r="I7206" s="4" t="s">
        <v>71</v>
      </c>
      <c r="J7206" t="s">
        <v>10782</v>
      </c>
      <c r="K7206" t="s">
        <v>38961</v>
      </c>
    </row>
    <row r="7207" spans="1:11" ht="100.8" x14ac:dyDescent="0.3">
      <c r="A7207" s="4" t="s">
        <v>9931</v>
      </c>
      <c r="B7207">
        <v>3</v>
      </c>
      <c r="C7207">
        <v>2009</v>
      </c>
      <c r="D7207" t="s">
        <v>704</v>
      </c>
      <c r="E7207">
        <v>38</v>
      </c>
      <c r="F7207" t="s">
        <v>38962</v>
      </c>
      <c r="G7207" t="s">
        <v>38963</v>
      </c>
      <c r="H7207" s="4" t="s">
        <v>38964</v>
      </c>
      <c r="I7207" t="s">
        <v>71</v>
      </c>
      <c r="J7207" t="s">
        <v>10782</v>
      </c>
      <c r="K7207" t="s">
        <v>38965</v>
      </c>
    </row>
    <row r="7208" spans="1:11" ht="144" x14ac:dyDescent="0.3">
      <c r="A7208" s="4" t="s">
        <v>9932</v>
      </c>
      <c r="B7208">
        <v>3</v>
      </c>
      <c r="C7208">
        <v>2009</v>
      </c>
      <c r="D7208" t="s">
        <v>15544</v>
      </c>
      <c r="E7208">
        <v>40</v>
      </c>
      <c r="F7208" t="s">
        <v>38966</v>
      </c>
      <c r="G7208" t="s">
        <v>38967</v>
      </c>
      <c r="H7208" s="4" t="s">
        <v>38968</v>
      </c>
      <c r="I7208" t="s">
        <v>71</v>
      </c>
      <c r="J7208" t="s">
        <v>10782</v>
      </c>
      <c r="K7208" t="s">
        <v>38969</v>
      </c>
    </row>
    <row r="7209" spans="1:11" ht="187.2" x14ac:dyDescent="0.3">
      <c r="A7209" s="4" t="s">
        <v>9933</v>
      </c>
      <c r="B7209">
        <v>3</v>
      </c>
      <c r="C7209">
        <v>2009</v>
      </c>
      <c r="D7209" t="s">
        <v>2416</v>
      </c>
      <c r="E7209">
        <v>82</v>
      </c>
      <c r="F7209" t="s">
        <v>38970</v>
      </c>
      <c r="G7209" t="s">
        <v>38971</v>
      </c>
      <c r="H7209" s="4" t="s">
        <v>38972</v>
      </c>
      <c r="I7209" t="s">
        <v>71</v>
      </c>
      <c r="J7209" t="s">
        <v>10782</v>
      </c>
      <c r="K7209" t="s">
        <v>38973</v>
      </c>
    </row>
    <row r="7210" spans="1:11" ht="115.2" x14ac:dyDescent="0.3">
      <c r="A7210" s="4" t="s">
        <v>9934</v>
      </c>
      <c r="B7210">
        <v>3</v>
      </c>
      <c r="C7210">
        <v>2009</v>
      </c>
      <c r="D7210" t="s">
        <v>1570</v>
      </c>
      <c r="E7210">
        <v>26</v>
      </c>
      <c r="F7210" t="s">
        <v>38974</v>
      </c>
      <c r="G7210" t="s">
        <v>38975</v>
      </c>
      <c r="H7210" s="4" t="s">
        <v>38976</v>
      </c>
      <c r="I7210" t="s">
        <v>71</v>
      </c>
      <c r="J7210" t="s">
        <v>10782</v>
      </c>
      <c r="K7210" t="s">
        <v>38977</v>
      </c>
    </row>
    <row r="7211" spans="1:11" ht="158.4" x14ac:dyDescent="0.3">
      <c r="A7211" s="4" t="s">
        <v>9935</v>
      </c>
      <c r="B7211">
        <v>3</v>
      </c>
      <c r="C7211">
        <v>2009</v>
      </c>
      <c r="D7211" t="s">
        <v>2375</v>
      </c>
      <c r="E7211">
        <v>10</v>
      </c>
      <c r="F7211" t="s">
        <v>38978</v>
      </c>
      <c r="G7211" t="s">
        <v>38979</v>
      </c>
      <c r="H7211" s="4" t="s">
        <v>38980</v>
      </c>
      <c r="I7211" t="s">
        <v>71</v>
      </c>
      <c r="J7211" t="s">
        <v>10782</v>
      </c>
      <c r="K7211" t="s">
        <v>38981</v>
      </c>
    </row>
    <row r="7212" spans="1:11" ht="129.6" x14ac:dyDescent="0.3">
      <c r="A7212" s="4" t="s">
        <v>9936</v>
      </c>
      <c r="B7212">
        <v>3</v>
      </c>
      <c r="C7212">
        <v>2009</v>
      </c>
      <c r="D7212" t="s">
        <v>2389</v>
      </c>
      <c r="E7212">
        <v>3</v>
      </c>
      <c r="F7212" t="s">
        <v>38982</v>
      </c>
      <c r="G7212" t="s">
        <v>38983</v>
      </c>
      <c r="H7212" s="4" t="s">
        <v>38984</v>
      </c>
      <c r="I7212" t="s">
        <v>71</v>
      </c>
      <c r="J7212" t="s">
        <v>10782</v>
      </c>
      <c r="K7212" t="s">
        <v>38985</v>
      </c>
    </row>
    <row r="7213" spans="1:11" ht="86.4" x14ac:dyDescent="0.3">
      <c r="A7213" s="4" t="s">
        <v>9937</v>
      </c>
      <c r="B7213">
        <v>3</v>
      </c>
      <c r="C7213">
        <v>2009</v>
      </c>
      <c r="D7213" t="s">
        <v>2389</v>
      </c>
      <c r="E7213">
        <v>0</v>
      </c>
      <c r="F7213" t="s">
        <v>38986</v>
      </c>
      <c r="G7213" t="s">
        <v>38987</v>
      </c>
      <c r="H7213" s="4" t="s">
        <v>38988</v>
      </c>
      <c r="I7213" t="s">
        <v>71</v>
      </c>
      <c r="J7213" t="s">
        <v>10782</v>
      </c>
      <c r="K7213" t="s">
        <v>38989</v>
      </c>
    </row>
    <row r="7214" spans="1:11" ht="115.2" x14ac:dyDescent="0.3">
      <c r="A7214" s="4" t="s">
        <v>9938</v>
      </c>
      <c r="B7214">
        <v>3</v>
      </c>
      <c r="C7214">
        <v>2009</v>
      </c>
      <c r="D7214" t="s">
        <v>1802</v>
      </c>
      <c r="E7214">
        <v>25</v>
      </c>
      <c r="F7214" t="s">
        <v>38990</v>
      </c>
      <c r="G7214" t="s">
        <v>38991</v>
      </c>
      <c r="H7214" s="4" t="s">
        <v>38992</v>
      </c>
      <c r="I7214" t="s">
        <v>71</v>
      </c>
      <c r="J7214" t="s">
        <v>10782</v>
      </c>
      <c r="K7214" t="s">
        <v>38993</v>
      </c>
    </row>
    <row r="7215" spans="1:11" ht="129.6" x14ac:dyDescent="0.3">
      <c r="A7215" s="4" t="s">
        <v>9939</v>
      </c>
      <c r="B7215">
        <v>3</v>
      </c>
      <c r="C7215">
        <v>2009</v>
      </c>
      <c r="D7215" t="s">
        <v>36716</v>
      </c>
      <c r="E7215">
        <v>16</v>
      </c>
      <c r="F7215" t="s">
        <v>38994</v>
      </c>
      <c r="G7215" t="s">
        <v>38995</v>
      </c>
      <c r="H7215" s="4" t="s">
        <v>38996</v>
      </c>
      <c r="I7215" t="s">
        <v>71</v>
      </c>
      <c r="J7215" t="s">
        <v>10782</v>
      </c>
      <c r="K7215" t="s">
        <v>38997</v>
      </c>
    </row>
    <row r="7216" spans="1:11" ht="115.2" x14ac:dyDescent="0.3">
      <c r="A7216" s="4" t="s">
        <v>9940</v>
      </c>
      <c r="B7216">
        <v>3</v>
      </c>
      <c r="C7216">
        <v>2009</v>
      </c>
      <c r="D7216" t="s">
        <v>2389</v>
      </c>
      <c r="E7216">
        <v>1</v>
      </c>
      <c r="F7216" t="s">
        <v>38998</v>
      </c>
      <c r="G7216" t="s">
        <v>38999</v>
      </c>
      <c r="H7216" s="4" t="s">
        <v>39000</v>
      </c>
      <c r="I7216" t="s">
        <v>71</v>
      </c>
      <c r="J7216" t="s">
        <v>10782</v>
      </c>
      <c r="K7216" t="s">
        <v>39001</v>
      </c>
    </row>
    <row r="7217" spans="1:11" ht="144" x14ac:dyDescent="0.3">
      <c r="A7217" s="4" t="s">
        <v>9941</v>
      </c>
      <c r="B7217">
        <v>3</v>
      </c>
      <c r="C7217">
        <v>2009</v>
      </c>
      <c r="D7217" t="s">
        <v>38312</v>
      </c>
      <c r="E7217">
        <v>6</v>
      </c>
      <c r="F7217" t="s">
        <v>39002</v>
      </c>
      <c r="G7217" t="s">
        <v>39003</v>
      </c>
      <c r="H7217" s="4" t="s">
        <v>39004</v>
      </c>
      <c r="I7217" t="s">
        <v>71</v>
      </c>
      <c r="J7217" t="s">
        <v>10782</v>
      </c>
      <c r="K7217" t="s">
        <v>39005</v>
      </c>
    </row>
    <row r="7218" spans="1:11" ht="172.8" x14ac:dyDescent="0.3">
      <c r="A7218" s="4" t="s">
        <v>9942</v>
      </c>
      <c r="B7218">
        <v>3</v>
      </c>
      <c r="C7218">
        <v>2009</v>
      </c>
      <c r="D7218" t="s">
        <v>704</v>
      </c>
      <c r="E7218">
        <v>56</v>
      </c>
      <c r="F7218" t="s">
        <v>39006</v>
      </c>
      <c r="G7218" t="s">
        <v>39007</v>
      </c>
      <c r="H7218" s="4" t="s">
        <v>39008</v>
      </c>
      <c r="I7218" t="s">
        <v>71</v>
      </c>
      <c r="J7218" t="s">
        <v>10782</v>
      </c>
      <c r="K7218" t="s">
        <v>39009</v>
      </c>
    </row>
    <row r="7219" spans="1:11" ht="172.8" x14ac:dyDescent="0.3">
      <c r="A7219" s="4" t="s">
        <v>9943</v>
      </c>
      <c r="B7219">
        <v>3</v>
      </c>
      <c r="C7219">
        <v>2009</v>
      </c>
      <c r="D7219" t="s">
        <v>26411</v>
      </c>
      <c r="E7219">
        <v>18</v>
      </c>
      <c r="F7219" t="s">
        <v>39010</v>
      </c>
      <c r="G7219" t="s">
        <v>39011</v>
      </c>
      <c r="H7219" s="4" t="s">
        <v>39012</v>
      </c>
    </row>
    <row r="7220" spans="1:11" ht="216" x14ac:dyDescent="0.3">
      <c r="A7220" s="4" t="s">
        <v>9944</v>
      </c>
      <c r="B7220">
        <v>3</v>
      </c>
      <c r="C7220">
        <v>2009</v>
      </c>
      <c r="D7220" t="s">
        <v>2389</v>
      </c>
      <c r="E7220">
        <v>2</v>
      </c>
      <c r="F7220" t="s">
        <v>39013</v>
      </c>
      <c r="G7220" t="s">
        <v>39014</v>
      </c>
      <c r="H7220" s="4" t="s">
        <v>39015</v>
      </c>
      <c r="I7220" t="s">
        <v>71</v>
      </c>
      <c r="J7220" t="s">
        <v>10782</v>
      </c>
      <c r="K7220" t="s">
        <v>39016</v>
      </c>
    </row>
    <row r="7221" spans="1:11" ht="244.8" x14ac:dyDescent="0.3">
      <c r="A7221" s="4" t="s">
        <v>9945</v>
      </c>
      <c r="B7221">
        <v>3</v>
      </c>
      <c r="C7221">
        <v>2009</v>
      </c>
      <c r="D7221" t="s">
        <v>10057</v>
      </c>
      <c r="E7221">
        <v>76</v>
      </c>
      <c r="F7221" t="s">
        <v>39017</v>
      </c>
      <c r="G7221" t="s">
        <v>39018</v>
      </c>
      <c r="H7221" s="4" t="s">
        <v>39019</v>
      </c>
      <c r="I7221" t="s">
        <v>71</v>
      </c>
      <c r="J7221" t="s">
        <v>10782</v>
      </c>
      <c r="K7221" t="s">
        <v>39020</v>
      </c>
    </row>
    <row r="7222" spans="1:11" ht="129.6" x14ac:dyDescent="0.3">
      <c r="A7222" s="4" t="s">
        <v>9946</v>
      </c>
      <c r="B7222">
        <v>3</v>
      </c>
      <c r="C7222">
        <v>2009</v>
      </c>
      <c r="D7222" t="s">
        <v>2416</v>
      </c>
      <c r="E7222">
        <v>19</v>
      </c>
      <c r="F7222" t="s">
        <v>39021</v>
      </c>
      <c r="G7222" t="s">
        <v>39022</v>
      </c>
      <c r="H7222" s="4" t="s">
        <v>39023</v>
      </c>
    </row>
    <row r="7223" spans="1:11" ht="201.6" x14ac:dyDescent="0.3">
      <c r="A7223" s="4" t="s">
        <v>9947</v>
      </c>
      <c r="B7223">
        <v>3</v>
      </c>
      <c r="C7223">
        <v>2009</v>
      </c>
      <c r="D7223" t="s">
        <v>19414</v>
      </c>
      <c r="E7223">
        <v>7</v>
      </c>
      <c r="F7223" t="s">
        <v>39024</v>
      </c>
      <c r="G7223" t="s">
        <v>39025</v>
      </c>
      <c r="H7223" s="4" t="s">
        <v>39026</v>
      </c>
      <c r="I7223" t="s">
        <v>71</v>
      </c>
      <c r="J7223" t="s">
        <v>10782</v>
      </c>
      <c r="K7223" t="s">
        <v>39027</v>
      </c>
    </row>
    <row r="7224" spans="1:11" ht="244.8" x14ac:dyDescent="0.3">
      <c r="A7224" s="4" t="s">
        <v>9948</v>
      </c>
      <c r="B7224">
        <v>3</v>
      </c>
      <c r="C7224">
        <v>2009</v>
      </c>
      <c r="D7224" t="s">
        <v>39028</v>
      </c>
      <c r="E7224">
        <v>22</v>
      </c>
      <c r="F7224" t="s">
        <v>39029</v>
      </c>
      <c r="G7224" t="s">
        <v>39030</v>
      </c>
      <c r="H7224" s="4" t="s">
        <v>39031</v>
      </c>
      <c r="I7224" t="s">
        <v>71</v>
      </c>
      <c r="J7224" t="s">
        <v>10782</v>
      </c>
      <c r="K7224" t="s">
        <v>39032</v>
      </c>
    </row>
    <row r="7225" spans="1:11" ht="72" x14ac:dyDescent="0.3">
      <c r="A7225" s="4" t="s">
        <v>9949</v>
      </c>
      <c r="B7225">
        <v>3</v>
      </c>
      <c r="C7225">
        <v>2009</v>
      </c>
      <c r="D7225" t="s">
        <v>24396</v>
      </c>
      <c r="E7225">
        <v>2</v>
      </c>
      <c r="F7225" t="s">
        <v>39033</v>
      </c>
      <c r="G7225" t="s">
        <v>39034</v>
      </c>
      <c r="H7225" s="4" t="s">
        <v>39035</v>
      </c>
      <c r="I7225" t="s">
        <v>71</v>
      </c>
      <c r="J7225" t="s">
        <v>10782</v>
      </c>
      <c r="K7225" t="s">
        <v>39036</v>
      </c>
    </row>
    <row r="7226" spans="1:11" ht="273.60000000000002" x14ac:dyDescent="0.3">
      <c r="A7226" s="4" t="s">
        <v>9950</v>
      </c>
      <c r="B7226">
        <v>3</v>
      </c>
      <c r="C7226">
        <v>2009</v>
      </c>
      <c r="D7226" t="s">
        <v>2742</v>
      </c>
      <c r="E7226">
        <v>5</v>
      </c>
      <c r="F7226" t="s">
        <v>39037</v>
      </c>
      <c r="G7226" t="s">
        <v>39038</v>
      </c>
      <c r="H7226" s="4" t="s">
        <v>39039</v>
      </c>
      <c r="I7226" t="s">
        <v>71</v>
      </c>
      <c r="J7226" t="s">
        <v>10782</v>
      </c>
      <c r="K7226" t="s">
        <v>39040</v>
      </c>
    </row>
    <row r="7227" spans="1:11" ht="158.4" x14ac:dyDescent="0.3">
      <c r="A7227" s="4" t="s">
        <v>9951</v>
      </c>
      <c r="B7227">
        <v>3</v>
      </c>
      <c r="C7227">
        <v>2009</v>
      </c>
      <c r="D7227" t="s">
        <v>217</v>
      </c>
      <c r="E7227">
        <v>136</v>
      </c>
      <c r="F7227" t="s">
        <v>39041</v>
      </c>
      <c r="G7227" t="s">
        <v>39042</v>
      </c>
      <c r="H7227" s="4" t="s">
        <v>39043</v>
      </c>
      <c r="I7227" t="s">
        <v>71</v>
      </c>
      <c r="J7227" t="s">
        <v>10782</v>
      </c>
      <c r="K7227" t="s">
        <v>39044</v>
      </c>
    </row>
    <row r="7228" spans="1:11" ht="172.8" x14ac:dyDescent="0.3">
      <c r="A7228" s="4" t="s">
        <v>9952</v>
      </c>
      <c r="B7228">
        <v>3</v>
      </c>
      <c r="C7228">
        <v>2009</v>
      </c>
      <c r="D7228" t="s">
        <v>2389</v>
      </c>
      <c r="E7228">
        <v>4</v>
      </c>
      <c r="F7228" t="s">
        <v>39045</v>
      </c>
      <c r="G7228" t="s">
        <v>39046</v>
      </c>
      <c r="H7228" s="4" t="s">
        <v>39047</v>
      </c>
      <c r="I7228" t="s">
        <v>71</v>
      </c>
      <c r="J7228" t="s">
        <v>10782</v>
      </c>
      <c r="K7228" t="s">
        <v>39048</v>
      </c>
    </row>
    <row r="7229" spans="1:11" ht="172.8" x14ac:dyDescent="0.3">
      <c r="A7229" s="4" t="s">
        <v>9953</v>
      </c>
      <c r="B7229">
        <v>3</v>
      </c>
      <c r="C7229">
        <v>2009</v>
      </c>
      <c r="D7229" t="s">
        <v>38312</v>
      </c>
      <c r="E7229">
        <v>46</v>
      </c>
      <c r="F7229" t="s">
        <v>39049</v>
      </c>
      <c r="G7229" t="s">
        <v>39050</v>
      </c>
      <c r="H7229" s="4" t="s">
        <v>39051</v>
      </c>
    </row>
    <row r="7230" spans="1:11" ht="100.8" x14ac:dyDescent="0.3">
      <c r="A7230" s="4" t="s">
        <v>2317</v>
      </c>
      <c r="B7230">
        <v>1</v>
      </c>
      <c r="C7230">
        <v>2009</v>
      </c>
      <c r="D7230" t="s">
        <v>2411</v>
      </c>
      <c r="E7230">
        <v>65</v>
      </c>
      <c r="F7230" t="s">
        <v>39052</v>
      </c>
      <c r="G7230" t="s">
        <v>39053</v>
      </c>
      <c r="H7230" s="4" t="s">
        <v>39054</v>
      </c>
      <c r="I7230" t="s">
        <v>71</v>
      </c>
      <c r="J7230" t="s">
        <v>10782</v>
      </c>
      <c r="K7230" t="s">
        <v>39055</v>
      </c>
    </row>
    <row r="7231" spans="1:11" ht="187.2" x14ac:dyDescent="0.3">
      <c r="A7231" s="4" t="s">
        <v>9954</v>
      </c>
      <c r="B7231">
        <v>3</v>
      </c>
      <c r="C7231">
        <v>2009</v>
      </c>
      <c r="D7231" t="s">
        <v>14863</v>
      </c>
      <c r="E7231">
        <v>217</v>
      </c>
      <c r="F7231" t="s">
        <v>39056</v>
      </c>
      <c r="G7231" t="s">
        <v>39057</v>
      </c>
      <c r="H7231" s="4" t="s">
        <v>39058</v>
      </c>
      <c r="I7231" t="s">
        <v>71</v>
      </c>
      <c r="J7231" t="s">
        <v>10782</v>
      </c>
      <c r="K7231" t="s">
        <v>39059</v>
      </c>
    </row>
    <row r="7232" spans="1:11" ht="144" x14ac:dyDescent="0.3">
      <c r="A7232" s="4" t="s">
        <v>9955</v>
      </c>
      <c r="B7232">
        <v>3</v>
      </c>
      <c r="C7232">
        <v>2009</v>
      </c>
      <c r="D7232" t="s">
        <v>39060</v>
      </c>
      <c r="E7232">
        <v>1</v>
      </c>
      <c r="G7232" t="s">
        <v>39061</v>
      </c>
      <c r="H7232" s="4" t="s">
        <v>39062</v>
      </c>
      <c r="I7232" s="4" t="s">
        <v>71</v>
      </c>
      <c r="J7232" t="s">
        <v>10782</v>
      </c>
      <c r="K7232" t="s">
        <v>39063</v>
      </c>
    </row>
    <row r="7233" spans="1:11" ht="115.2" x14ac:dyDescent="0.3">
      <c r="A7233" s="4" t="s">
        <v>9956</v>
      </c>
      <c r="B7233">
        <v>3</v>
      </c>
      <c r="C7233">
        <v>2009</v>
      </c>
      <c r="D7233" t="s">
        <v>13771</v>
      </c>
      <c r="E7233">
        <v>33</v>
      </c>
      <c r="F7233" t="s">
        <v>39064</v>
      </c>
      <c r="G7233" t="s">
        <v>39065</v>
      </c>
      <c r="H7233" s="4" t="s">
        <v>39066</v>
      </c>
      <c r="I7233" t="s">
        <v>71</v>
      </c>
      <c r="J7233" t="s">
        <v>10782</v>
      </c>
      <c r="K7233" t="s">
        <v>39067</v>
      </c>
    </row>
    <row r="7234" spans="1:11" ht="144" x14ac:dyDescent="0.3">
      <c r="A7234" s="4" t="s">
        <v>9957</v>
      </c>
      <c r="B7234">
        <v>3</v>
      </c>
      <c r="C7234">
        <v>2009</v>
      </c>
      <c r="D7234" t="s">
        <v>1570</v>
      </c>
      <c r="E7234">
        <v>30</v>
      </c>
      <c r="F7234" t="s">
        <v>39068</v>
      </c>
      <c r="G7234" t="s">
        <v>39069</v>
      </c>
      <c r="H7234" s="4" t="s">
        <v>39070</v>
      </c>
      <c r="I7234" t="s">
        <v>71</v>
      </c>
      <c r="J7234" t="s">
        <v>10782</v>
      </c>
      <c r="K7234" t="s">
        <v>39071</v>
      </c>
    </row>
    <row r="7235" spans="1:11" ht="259.2" x14ac:dyDescent="0.3">
      <c r="A7235" s="4" t="s">
        <v>9958</v>
      </c>
      <c r="B7235">
        <v>3</v>
      </c>
      <c r="C7235">
        <v>2009</v>
      </c>
      <c r="D7235" t="s">
        <v>217</v>
      </c>
      <c r="E7235">
        <v>456</v>
      </c>
      <c r="F7235" t="s">
        <v>39072</v>
      </c>
      <c r="G7235" t="s">
        <v>39073</v>
      </c>
      <c r="H7235" s="4" t="s">
        <v>39074</v>
      </c>
      <c r="I7235" t="s">
        <v>71</v>
      </c>
      <c r="J7235" t="s">
        <v>10782</v>
      </c>
      <c r="K7235" t="s">
        <v>39075</v>
      </c>
    </row>
    <row r="7236" spans="1:11" ht="129.6" x14ac:dyDescent="0.3">
      <c r="A7236" s="4" t="s">
        <v>9959</v>
      </c>
      <c r="B7236">
        <v>3</v>
      </c>
      <c r="C7236">
        <v>2009</v>
      </c>
      <c r="D7236" t="s">
        <v>39076</v>
      </c>
      <c r="E7236">
        <v>29</v>
      </c>
      <c r="F7236" t="s">
        <v>39077</v>
      </c>
      <c r="G7236" t="s">
        <v>39078</v>
      </c>
      <c r="H7236" s="4" t="s">
        <v>39079</v>
      </c>
      <c r="I7236" t="s">
        <v>10823</v>
      </c>
      <c r="J7236" t="s">
        <v>10782</v>
      </c>
      <c r="K7236" t="s">
        <v>39080</v>
      </c>
    </row>
    <row r="7237" spans="1:11" ht="129.6" x14ac:dyDescent="0.3">
      <c r="A7237" s="4" t="s">
        <v>2318</v>
      </c>
      <c r="B7237">
        <v>1</v>
      </c>
      <c r="C7237">
        <v>2009</v>
      </c>
      <c r="D7237" t="s">
        <v>1802</v>
      </c>
      <c r="E7237">
        <v>11</v>
      </c>
      <c r="F7237" t="s">
        <v>39081</v>
      </c>
      <c r="G7237" t="s">
        <v>39082</v>
      </c>
      <c r="H7237" s="4" t="s">
        <v>39083</v>
      </c>
      <c r="I7237" t="s">
        <v>71</v>
      </c>
      <c r="J7237" t="s">
        <v>10782</v>
      </c>
      <c r="K7237" t="s">
        <v>39084</v>
      </c>
    </row>
    <row r="7238" spans="1:11" ht="172.8" x14ac:dyDescent="0.3">
      <c r="A7238" s="4" t="s">
        <v>9960</v>
      </c>
      <c r="B7238">
        <v>3</v>
      </c>
      <c r="C7238">
        <v>2009</v>
      </c>
      <c r="D7238" t="s">
        <v>1936</v>
      </c>
      <c r="E7238">
        <v>3</v>
      </c>
      <c r="F7238" t="s">
        <v>39085</v>
      </c>
      <c r="G7238" t="s">
        <v>39086</v>
      </c>
      <c r="H7238" s="4" t="s">
        <v>39087</v>
      </c>
      <c r="I7238" t="s">
        <v>71</v>
      </c>
      <c r="J7238" t="s">
        <v>10782</v>
      </c>
      <c r="K7238" t="s">
        <v>39088</v>
      </c>
    </row>
    <row r="7239" spans="1:11" ht="158.4" x14ac:dyDescent="0.3">
      <c r="A7239" s="4" t="s">
        <v>9961</v>
      </c>
      <c r="B7239">
        <v>3</v>
      </c>
      <c r="C7239">
        <v>2009</v>
      </c>
      <c r="D7239" t="s">
        <v>704</v>
      </c>
      <c r="E7239">
        <v>43</v>
      </c>
      <c r="F7239" t="s">
        <v>39089</v>
      </c>
      <c r="G7239" t="s">
        <v>39090</v>
      </c>
      <c r="H7239" s="4" t="s">
        <v>39091</v>
      </c>
      <c r="I7239" t="s">
        <v>71</v>
      </c>
      <c r="J7239" t="s">
        <v>10782</v>
      </c>
      <c r="K7239" t="s">
        <v>39092</v>
      </c>
    </row>
    <row r="7240" spans="1:11" ht="115.2" x14ac:dyDescent="0.3">
      <c r="A7240" s="4" t="s">
        <v>9962</v>
      </c>
      <c r="B7240">
        <v>3</v>
      </c>
      <c r="C7240">
        <v>2009</v>
      </c>
      <c r="D7240" t="s">
        <v>1357</v>
      </c>
      <c r="E7240">
        <v>37</v>
      </c>
      <c r="F7240" t="s">
        <v>39093</v>
      </c>
      <c r="G7240" t="s">
        <v>39094</v>
      </c>
      <c r="H7240" s="4" t="s">
        <v>39095</v>
      </c>
      <c r="I7240" t="s">
        <v>71</v>
      </c>
      <c r="J7240" t="s">
        <v>10782</v>
      </c>
      <c r="K7240" t="s">
        <v>39096</v>
      </c>
    </row>
    <row r="7241" spans="1:11" ht="86.4" x14ac:dyDescent="0.3">
      <c r="A7241" s="4" t="s">
        <v>9963</v>
      </c>
      <c r="B7241">
        <v>3</v>
      </c>
      <c r="C7241">
        <v>2009</v>
      </c>
      <c r="D7241" t="s">
        <v>19527</v>
      </c>
      <c r="E7241">
        <v>2</v>
      </c>
      <c r="F7241" t="s">
        <v>39097</v>
      </c>
      <c r="G7241" t="s">
        <v>39098</v>
      </c>
      <c r="H7241" s="4" t="s">
        <v>39099</v>
      </c>
      <c r="I7241" t="s">
        <v>71</v>
      </c>
      <c r="J7241" t="s">
        <v>10782</v>
      </c>
      <c r="K7241" t="s">
        <v>39100</v>
      </c>
    </row>
    <row r="7242" spans="1:11" ht="144" x14ac:dyDescent="0.3">
      <c r="A7242" s="4" t="s">
        <v>9964</v>
      </c>
      <c r="B7242">
        <v>3</v>
      </c>
      <c r="C7242">
        <v>2009</v>
      </c>
      <c r="D7242" t="s">
        <v>1936</v>
      </c>
      <c r="E7242">
        <v>44</v>
      </c>
      <c r="F7242" t="s">
        <v>39101</v>
      </c>
      <c r="G7242" t="s">
        <v>39102</v>
      </c>
      <c r="H7242" s="4" t="s">
        <v>39103</v>
      </c>
      <c r="I7242" t="s">
        <v>71</v>
      </c>
      <c r="J7242" t="s">
        <v>10782</v>
      </c>
      <c r="K7242" t="s">
        <v>39104</v>
      </c>
    </row>
    <row r="7244" spans="1:11" x14ac:dyDescent="0.3">
      <c r="A7244" s="4" t="s">
        <v>39105</v>
      </c>
      <c r="B7244" s="2">
        <f>COUNTIF(B2:B7242,1)</f>
        <v>630</v>
      </c>
    </row>
    <row r="7245" spans="1:11" x14ac:dyDescent="0.3">
      <c r="A7245" s="4" t="s">
        <v>39106</v>
      </c>
      <c r="B7245" s="2">
        <f>COUNTIF(B2:B7242,2)</f>
        <v>326</v>
      </c>
    </row>
    <row r="7246" spans="1:11" x14ac:dyDescent="0.3">
      <c r="A7246" s="4" t="s">
        <v>39107</v>
      </c>
      <c r="B7246">
        <f>COUNTIF(B2:B7242,3)</f>
        <v>6285</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ACB90-C8BF-4EEF-8603-8BA7A104D0A5}">
  <dimension ref="A1:AU414"/>
  <sheetViews>
    <sheetView topLeftCell="AB1" zoomScaleNormal="100" workbookViewId="0">
      <pane ySplit="1" topLeftCell="A4" activePane="bottomLeft" state="frozen"/>
      <selection pane="bottomLeft" activeCell="AJ2" sqref="AJ2"/>
    </sheetView>
  </sheetViews>
  <sheetFormatPr baseColWidth="10" defaultRowHeight="14.4" x14ac:dyDescent="0.3"/>
  <cols>
    <col min="1" max="1" width="20.33203125" bestFit="1" customWidth="1"/>
    <col min="2" max="2" width="11.5546875" style="3"/>
    <col min="3" max="3" width="16.88671875" style="3" bestFit="1" customWidth="1"/>
    <col min="4" max="4" width="21.77734375" style="3" bestFit="1" customWidth="1"/>
    <col min="5" max="5" width="13.109375" style="3" customWidth="1"/>
    <col min="6" max="6" width="27.77734375" style="3" bestFit="1" customWidth="1"/>
    <col min="7" max="7" width="24" style="3" bestFit="1" customWidth="1"/>
    <col min="8" max="8" width="20.21875" style="3" customWidth="1"/>
    <col min="9" max="10" width="11.5546875" style="3"/>
    <col min="11" max="11" width="18" style="3" bestFit="1" customWidth="1"/>
    <col min="13" max="13" width="53.44140625" bestFit="1" customWidth="1"/>
    <col min="15" max="15" width="13.5546875" bestFit="1" customWidth="1"/>
    <col min="16" max="16" width="16.88671875" bestFit="1" customWidth="1"/>
    <col min="17" max="17" width="53.44140625" bestFit="1" customWidth="1"/>
    <col min="19" max="19" width="13.5546875" bestFit="1" customWidth="1"/>
    <col min="20" max="20" width="53.44140625" bestFit="1" customWidth="1"/>
    <col min="21" max="21" width="18.6640625" bestFit="1" customWidth="1"/>
    <col min="23" max="23" width="13.5546875" bestFit="1" customWidth="1"/>
    <col min="24" max="24" width="18.6640625" bestFit="1" customWidth="1"/>
    <col min="25" max="25" width="26.6640625" bestFit="1" customWidth="1"/>
    <col min="27" max="27" width="13.5546875" bestFit="1" customWidth="1"/>
    <col min="28" max="28" width="26.6640625" customWidth="1"/>
    <col min="29" max="29" width="24" bestFit="1" customWidth="1"/>
    <col min="31" max="31" width="13.5546875" bestFit="1" customWidth="1"/>
    <col min="32" max="32" width="24" bestFit="1" customWidth="1"/>
    <col min="33" max="33" width="52" customWidth="1"/>
    <col min="35" max="35" width="13.5546875" bestFit="1" customWidth="1"/>
    <col min="36" max="36" width="24" bestFit="1" customWidth="1"/>
    <col min="37" max="37" width="31" customWidth="1"/>
    <col min="39" max="39" width="13.5546875" bestFit="1" customWidth="1"/>
    <col min="40" max="40" width="52" customWidth="1"/>
    <col min="41" max="41" width="18.33203125" bestFit="1" customWidth="1"/>
    <col min="43" max="43" width="13.5546875" bestFit="1" customWidth="1"/>
    <col min="44" max="44" width="31" customWidth="1"/>
    <col min="45" max="45" width="26.77734375" customWidth="1"/>
    <col min="47" max="47" width="13.5546875" bestFit="1" customWidth="1"/>
  </cols>
  <sheetData>
    <row r="1" spans="1:47" x14ac:dyDescent="0.3">
      <c r="A1" s="2" t="s">
        <v>55</v>
      </c>
      <c r="B1" s="1" t="s">
        <v>0</v>
      </c>
      <c r="C1" s="1" t="s">
        <v>3084</v>
      </c>
      <c r="D1" s="1" t="s">
        <v>3</v>
      </c>
      <c r="E1" s="9" t="s">
        <v>2</v>
      </c>
      <c r="F1" s="1" t="s">
        <v>6</v>
      </c>
      <c r="G1" s="1" t="s">
        <v>39119</v>
      </c>
      <c r="H1" s="1" t="s">
        <v>7</v>
      </c>
      <c r="I1" s="1" t="s">
        <v>3092</v>
      </c>
      <c r="J1" s="1" t="s">
        <v>3091</v>
      </c>
      <c r="K1" s="1" t="s">
        <v>39118</v>
      </c>
      <c r="L1" s="22" t="s">
        <v>0</v>
      </c>
      <c r="M1" s="22" t="s">
        <v>3088</v>
      </c>
      <c r="N1" s="22" t="s">
        <v>3073</v>
      </c>
      <c r="O1" s="22" t="s">
        <v>3089</v>
      </c>
      <c r="P1" s="23" t="s">
        <v>3084</v>
      </c>
      <c r="Q1" s="23" t="s">
        <v>3088</v>
      </c>
      <c r="R1" s="23" t="s">
        <v>3073</v>
      </c>
      <c r="S1" s="23" t="s">
        <v>3089</v>
      </c>
      <c r="T1" s="22" t="s">
        <v>3088</v>
      </c>
      <c r="U1" s="22" t="s">
        <v>2</v>
      </c>
      <c r="V1" s="22" t="s">
        <v>3073</v>
      </c>
      <c r="W1" s="22" t="s">
        <v>3089</v>
      </c>
      <c r="X1" s="23" t="s">
        <v>2</v>
      </c>
      <c r="Y1" s="23" t="s">
        <v>6</v>
      </c>
      <c r="Z1" s="23" t="s">
        <v>3073</v>
      </c>
      <c r="AA1" s="23" t="s">
        <v>3089</v>
      </c>
      <c r="AB1" s="22" t="s">
        <v>6</v>
      </c>
      <c r="AC1" s="22" t="s">
        <v>39119</v>
      </c>
      <c r="AD1" s="22" t="s">
        <v>3073</v>
      </c>
      <c r="AE1" s="22" t="s">
        <v>3089</v>
      </c>
      <c r="AF1" s="23" t="s">
        <v>39119</v>
      </c>
      <c r="AG1" s="23" t="s">
        <v>7</v>
      </c>
      <c r="AH1" s="23" t="s">
        <v>3073</v>
      </c>
      <c r="AI1" s="23" t="s">
        <v>3089</v>
      </c>
      <c r="AJ1" s="22" t="s">
        <v>39119</v>
      </c>
      <c r="AK1" s="22" t="s">
        <v>3091</v>
      </c>
      <c r="AL1" s="22" t="s">
        <v>3073</v>
      </c>
      <c r="AM1" s="22" t="s">
        <v>3089</v>
      </c>
      <c r="AN1" s="23" t="s">
        <v>7</v>
      </c>
      <c r="AO1" s="23" t="s">
        <v>39165</v>
      </c>
      <c r="AP1" s="23" t="s">
        <v>3073</v>
      </c>
      <c r="AQ1" s="23" t="s">
        <v>3089</v>
      </c>
      <c r="AR1" s="22" t="s">
        <v>3091</v>
      </c>
      <c r="AS1" s="22" t="s">
        <v>39165</v>
      </c>
      <c r="AT1" s="22" t="s">
        <v>3073</v>
      </c>
      <c r="AU1" s="22" t="s">
        <v>3089</v>
      </c>
    </row>
    <row r="2" spans="1:47" ht="43.2" x14ac:dyDescent="0.3">
      <c r="A2" t="s">
        <v>3010</v>
      </c>
      <c r="B2" s="7">
        <v>7</v>
      </c>
      <c r="C2" s="3">
        <v>19</v>
      </c>
      <c r="D2" s="3">
        <v>15</v>
      </c>
      <c r="E2" s="3">
        <v>1</v>
      </c>
      <c r="F2" s="3">
        <v>3</v>
      </c>
      <c r="G2" s="3">
        <v>3</v>
      </c>
      <c r="H2" s="3">
        <v>17</v>
      </c>
      <c r="I2" s="3">
        <v>17</v>
      </c>
      <c r="J2" s="3">
        <v>17</v>
      </c>
      <c r="K2" s="3">
        <v>4</v>
      </c>
      <c r="L2">
        <v>2009</v>
      </c>
      <c r="M2" t="s">
        <v>11</v>
      </c>
      <c r="N2">
        <f>COUNTIFS($B$2:$B$386,1,$D$2:$D$386,1)</f>
        <v>2</v>
      </c>
      <c r="O2" s="34">
        <f>(N2/385)*100</f>
        <v>0.51948051948051943</v>
      </c>
      <c r="P2" t="s">
        <v>3080</v>
      </c>
      <c r="Q2" t="s">
        <v>11</v>
      </c>
      <c r="R2">
        <f>COUNTIFS($C$2:$C$386,18,$D$2:$D$386,1)</f>
        <v>12</v>
      </c>
      <c r="S2" s="34">
        <f>(R2/385)*100</f>
        <v>3.116883116883117</v>
      </c>
      <c r="T2" t="s">
        <v>11</v>
      </c>
      <c r="U2" t="s">
        <v>10</v>
      </c>
      <c r="V2">
        <f>COUNTIFS($D$2:$D$386,1,$E$2:$E$386,1)</f>
        <v>5</v>
      </c>
      <c r="W2" s="34">
        <f>(V2/385)*100</f>
        <v>1.2987012987012987</v>
      </c>
      <c r="X2" t="s">
        <v>10</v>
      </c>
      <c r="Y2" t="s">
        <v>13</v>
      </c>
      <c r="Z2">
        <f>COUNTIFS($E$2:$E$386,1,$F$2:$F$386,1)</f>
        <v>15</v>
      </c>
      <c r="AA2" s="34">
        <f>(Z2/385)*100</f>
        <v>3.8961038961038961</v>
      </c>
      <c r="AB2" t="s">
        <v>13</v>
      </c>
      <c r="AC2" s="4" t="s">
        <v>39605</v>
      </c>
      <c r="AD2">
        <f>COUNTIFS($F$2:$F$386,1,$G$2:$G$386,1)</f>
        <v>3</v>
      </c>
      <c r="AE2" s="34">
        <f>(AD2/385)*100</f>
        <v>0.77922077922077926</v>
      </c>
      <c r="AF2" s="4" t="s">
        <v>39605</v>
      </c>
      <c r="AG2" t="s">
        <v>14</v>
      </c>
      <c r="AH2">
        <f>COUNTIFS($G$2:$G$386,1,$H$2:$H$386,1)</f>
        <v>0</v>
      </c>
      <c r="AI2" s="34">
        <f>(AH2/385)*100</f>
        <v>0</v>
      </c>
      <c r="AJ2" s="4" t="s">
        <v>39605</v>
      </c>
      <c r="AK2" t="s">
        <v>14</v>
      </c>
      <c r="AL2">
        <f>COUNTIFS($G$2:$G$386,1,$J$2:$J$386,1)</f>
        <v>0</v>
      </c>
      <c r="AM2" s="34">
        <f>(AL2/385)*100</f>
        <v>0</v>
      </c>
      <c r="AN2" t="s">
        <v>14</v>
      </c>
      <c r="AO2" s="4" t="s">
        <v>39120</v>
      </c>
      <c r="AP2">
        <f>COUNTIFS($H$2:$H$386,1,$K$2:$K$386,1)</f>
        <v>0</v>
      </c>
      <c r="AQ2" s="34">
        <f>(AP2/385)*100</f>
        <v>0</v>
      </c>
      <c r="AR2" t="s">
        <v>14</v>
      </c>
      <c r="AS2" s="4" t="s">
        <v>39120</v>
      </c>
      <c r="AT2">
        <f>COUNTIFS($J$2:$J$386,1,$K$2:$K$386,1)</f>
        <v>0</v>
      </c>
      <c r="AU2" s="34">
        <f>(AT2/385)*100</f>
        <v>0</v>
      </c>
    </row>
    <row r="3" spans="1:47" ht="72" x14ac:dyDescent="0.3">
      <c r="A3" s="6" t="s">
        <v>848</v>
      </c>
      <c r="B3" s="7">
        <v>15</v>
      </c>
      <c r="C3" s="3">
        <v>21</v>
      </c>
      <c r="D3" s="11">
        <v>4</v>
      </c>
      <c r="E3" s="11">
        <v>3</v>
      </c>
      <c r="F3" s="7">
        <v>3</v>
      </c>
      <c r="G3" s="7">
        <v>3</v>
      </c>
      <c r="H3" s="7">
        <v>17</v>
      </c>
      <c r="I3" s="3">
        <v>17</v>
      </c>
      <c r="J3" s="3">
        <v>17</v>
      </c>
      <c r="K3" s="7">
        <v>4</v>
      </c>
      <c r="M3" t="s">
        <v>18</v>
      </c>
      <c r="N3">
        <f>COUNTIFS($B$2:$B$386,1,$D$2:$D$386,2)</f>
        <v>0</v>
      </c>
      <c r="O3" s="34">
        <f t="shared" ref="O3:O67" si="0">(N3/385)*100</f>
        <v>0</v>
      </c>
      <c r="Q3" t="s">
        <v>18</v>
      </c>
      <c r="R3">
        <f>COUNTIFS($C$2:$C$386,18,$D$2:$D$386,2)</f>
        <v>3</v>
      </c>
      <c r="S3" s="34">
        <f t="shared" ref="S3:S65" si="1">(R3/385)*100</f>
        <v>0.77922077922077926</v>
      </c>
      <c r="U3" t="s">
        <v>17</v>
      </c>
      <c r="V3">
        <f>COUNTIFS($D$2:$D$386,1,$E$2:$E$386,2)</f>
        <v>0</v>
      </c>
      <c r="W3" s="34">
        <f t="shared" ref="W3:W66" si="2">(V3/385)*100</f>
        <v>0</v>
      </c>
      <c r="Y3" s="4" t="s">
        <v>20</v>
      </c>
      <c r="Z3">
        <f>COUNTIFS($E$2:$E$386,1,$F$2:$F$386,2)</f>
        <v>5</v>
      </c>
      <c r="AA3" s="34">
        <f t="shared" ref="AA3:AA37" si="3">(Z3/385)*100</f>
        <v>1.2987012987012987</v>
      </c>
      <c r="AC3" s="4" t="s">
        <v>39606</v>
      </c>
      <c r="AD3">
        <f>COUNTIFS($F$2:$F$386,1,$G$2:$G$386,2)</f>
        <v>5</v>
      </c>
      <c r="AE3" s="34">
        <f t="shared" ref="AE3:AE16" si="4">(AD3/385)*100</f>
        <v>1.2987012987012987</v>
      </c>
      <c r="AG3" t="s">
        <v>21</v>
      </c>
      <c r="AH3">
        <f>COUNTIFS($G$2:$G$386,1,$H$2:$H$386,2)</f>
        <v>0</v>
      </c>
      <c r="AI3" s="34">
        <f t="shared" ref="AI3:AI66" si="5">(AH3/385)*100</f>
        <v>0</v>
      </c>
      <c r="AK3" t="s">
        <v>21</v>
      </c>
      <c r="AL3">
        <f>COUNTIFS($G$2:$G$386,1,$J$2:$J$386,2)</f>
        <v>0</v>
      </c>
      <c r="AM3" s="34">
        <f t="shared" ref="AM3:AM8" si="6">(AL3/385)*100</f>
        <v>0</v>
      </c>
      <c r="AO3" s="4" t="s">
        <v>39121</v>
      </c>
      <c r="AP3">
        <f>COUNTIFS($H$2:$H$386,1,$K$2:$K$386,2)</f>
        <v>0</v>
      </c>
      <c r="AQ3" s="34">
        <f t="shared" ref="AQ3:AQ66" si="7">(AP3/385)*100</f>
        <v>0</v>
      </c>
      <c r="AS3" s="4" t="s">
        <v>39121</v>
      </c>
      <c r="AT3">
        <f>COUNTIFS($J$2:$J$386,1,$K$2:$K$386,2)</f>
        <v>0</v>
      </c>
      <c r="AU3" s="34">
        <f t="shared" ref="AU3:AU43" si="8">(AT3/385)*100</f>
        <v>0</v>
      </c>
    </row>
    <row r="4" spans="1:47" ht="72" x14ac:dyDescent="0.3">
      <c r="A4" s="6" t="s">
        <v>388</v>
      </c>
      <c r="B4" s="7">
        <v>16</v>
      </c>
      <c r="C4" s="3">
        <v>21</v>
      </c>
      <c r="D4" s="11">
        <v>4</v>
      </c>
      <c r="E4" s="11">
        <v>8</v>
      </c>
      <c r="F4" s="7">
        <v>1</v>
      </c>
      <c r="G4" s="7">
        <v>3</v>
      </c>
      <c r="H4" s="7">
        <v>1</v>
      </c>
      <c r="I4" s="3">
        <v>1</v>
      </c>
      <c r="J4" s="3">
        <v>1</v>
      </c>
      <c r="K4" s="7">
        <v>5</v>
      </c>
      <c r="M4" t="s">
        <v>150</v>
      </c>
      <c r="N4">
        <f>COUNTIFS($B$2:$B$386,1,$D$2:$D$386,3)</f>
        <v>0</v>
      </c>
      <c r="O4" s="34">
        <f t="shared" si="0"/>
        <v>0</v>
      </c>
      <c r="Q4" t="s">
        <v>150</v>
      </c>
      <c r="R4">
        <f>COUNTIFS($C$2:$C$386,18,$D$2:$D$386,3)</f>
        <v>8</v>
      </c>
      <c r="S4" s="34">
        <f t="shared" si="1"/>
        <v>2.0779220779220777</v>
      </c>
      <c r="U4" t="s">
        <v>24</v>
      </c>
      <c r="V4">
        <f>COUNTIFS($D$2:$D$386,1,$E$2:$E$386,3)</f>
        <v>24</v>
      </c>
      <c r="W4" s="34">
        <f t="shared" si="2"/>
        <v>6.2337662337662341</v>
      </c>
      <c r="Y4" t="s">
        <v>27</v>
      </c>
      <c r="Z4">
        <f>COUNTIFS($E$2:$E$386,1,$F$2:$F$386,3)</f>
        <v>33</v>
      </c>
      <c r="AA4" s="34">
        <f t="shared" si="3"/>
        <v>8.5714285714285712</v>
      </c>
      <c r="AC4" s="4" t="s">
        <v>39602</v>
      </c>
      <c r="AD4">
        <f>COUNTIFS($F$2:$F$386,1,$G$2:$G$386,3)</f>
        <v>95</v>
      </c>
      <c r="AE4" s="34">
        <f t="shared" si="4"/>
        <v>24.675324675324674</v>
      </c>
      <c r="AG4" t="s">
        <v>28</v>
      </c>
      <c r="AH4">
        <f>COUNTIFS($G$2:$G$386,1,$H$2:$H$386,3)</f>
        <v>0</v>
      </c>
      <c r="AI4" s="34">
        <f t="shared" si="5"/>
        <v>0</v>
      </c>
      <c r="AK4" t="s">
        <v>28</v>
      </c>
      <c r="AL4">
        <f>COUNTIFS($G$2:$G$386,1,$J$2:$J$386,3)</f>
        <v>0</v>
      </c>
      <c r="AM4" s="34">
        <f t="shared" si="6"/>
        <v>0</v>
      </c>
      <c r="AO4" s="4" t="s">
        <v>39125</v>
      </c>
      <c r="AP4">
        <f>COUNTIFS($H$2:$H$386,1,$K$2:$K$386,3)</f>
        <v>3</v>
      </c>
      <c r="AQ4" s="34">
        <f t="shared" si="7"/>
        <v>0.77922077922077926</v>
      </c>
      <c r="AS4" s="4" t="s">
        <v>39125</v>
      </c>
      <c r="AT4">
        <f>COUNTIFS($J$2:$J$386,1,$K$2:$K$386,3)</f>
        <v>3</v>
      </c>
      <c r="AU4" s="34">
        <f t="shared" si="8"/>
        <v>0.77922077922077926</v>
      </c>
    </row>
    <row r="5" spans="1:47" ht="28.8" x14ac:dyDescent="0.3">
      <c r="A5" s="6" t="s">
        <v>910</v>
      </c>
      <c r="B5" s="7">
        <v>15</v>
      </c>
      <c r="C5" s="3">
        <v>21</v>
      </c>
      <c r="D5" s="11">
        <v>1</v>
      </c>
      <c r="E5" s="7">
        <v>1</v>
      </c>
      <c r="F5" s="7">
        <v>3</v>
      </c>
      <c r="G5" s="7">
        <v>3</v>
      </c>
      <c r="H5" s="7">
        <v>17</v>
      </c>
      <c r="I5" s="3">
        <v>17</v>
      </c>
      <c r="J5" s="3">
        <v>17</v>
      </c>
      <c r="K5" s="7">
        <v>4</v>
      </c>
      <c r="M5" t="s">
        <v>25</v>
      </c>
      <c r="N5">
        <f>COUNTIFS($B$2:$B$386,1,$D$2:$D$386,4)</f>
        <v>1</v>
      </c>
      <c r="O5" s="34">
        <f t="shared" si="0"/>
        <v>0.25974025974025972</v>
      </c>
      <c r="Q5" t="s">
        <v>25</v>
      </c>
      <c r="R5">
        <f>COUNTIFS($C$2:$C$386,18,$D$2:$D$386,4)</f>
        <v>14</v>
      </c>
      <c r="S5" s="34">
        <f t="shared" si="1"/>
        <v>3.6363636363636362</v>
      </c>
      <c r="U5" t="s">
        <v>31</v>
      </c>
      <c r="V5">
        <f>COUNTIFS($D$2:$D$386,1,$E$2:$E$386,4)</f>
        <v>1</v>
      </c>
      <c r="W5" s="34">
        <f t="shared" si="2"/>
        <v>0.25974025974025972</v>
      </c>
      <c r="Z5" s="23">
        <f>SUM(Z2:Z4)</f>
        <v>53</v>
      </c>
      <c r="AA5" s="37">
        <f t="shared" si="3"/>
        <v>13.766233766233766</v>
      </c>
      <c r="AC5" s="4" t="s">
        <v>34</v>
      </c>
      <c r="AD5">
        <f>COUNTIFS($F$2:$F$386,1,$G$2:$G$386,4)</f>
        <v>0</v>
      </c>
      <c r="AE5" s="34">
        <f t="shared" si="4"/>
        <v>0</v>
      </c>
      <c r="AG5" t="s">
        <v>35</v>
      </c>
      <c r="AH5">
        <f>COUNTIFS($G$2:$G$386,1,$H$2:$H$386,4)</f>
        <v>0</v>
      </c>
      <c r="AI5" s="34">
        <f t="shared" si="5"/>
        <v>0</v>
      </c>
      <c r="AK5" t="s">
        <v>3093</v>
      </c>
      <c r="AL5">
        <f>COUNTIFS($G$2:$G$386,1,$J$2:$J$386,18)</f>
        <v>3</v>
      </c>
      <c r="AM5" s="34">
        <f t="shared" si="6"/>
        <v>0.77922077922077926</v>
      </c>
      <c r="AO5" s="4" t="s">
        <v>39122</v>
      </c>
      <c r="AP5">
        <f>COUNTIFS($H$2:$H$386,1,$K$2:$K$386,4)</f>
        <v>0</v>
      </c>
      <c r="AQ5" s="34">
        <f t="shared" si="7"/>
        <v>0</v>
      </c>
      <c r="AS5" s="4" t="s">
        <v>39122</v>
      </c>
      <c r="AT5">
        <f>COUNTIFS($J$2:$J$386,1,$K$2:$K$386,4)</f>
        <v>0</v>
      </c>
      <c r="AU5" s="34">
        <f t="shared" si="8"/>
        <v>0</v>
      </c>
    </row>
    <row r="6" spans="1:47" ht="28.8" x14ac:dyDescent="0.3">
      <c r="A6" t="s">
        <v>1623</v>
      </c>
      <c r="B6" s="7">
        <v>11</v>
      </c>
      <c r="C6" s="3">
        <v>20</v>
      </c>
      <c r="D6" s="3">
        <v>4</v>
      </c>
      <c r="E6" s="3">
        <v>4</v>
      </c>
      <c r="F6" s="3">
        <v>1</v>
      </c>
      <c r="G6" s="3">
        <v>3</v>
      </c>
      <c r="H6" s="3">
        <v>1</v>
      </c>
      <c r="I6" s="3">
        <v>1</v>
      </c>
      <c r="J6" s="3">
        <v>1</v>
      </c>
      <c r="K6" s="3">
        <v>5</v>
      </c>
      <c r="M6" t="s">
        <v>32</v>
      </c>
      <c r="N6">
        <f>COUNTIFS($B$2:$B$386,1,$D$2:$D$386,5)</f>
        <v>0</v>
      </c>
      <c r="O6" s="34">
        <f t="shared" si="0"/>
        <v>0</v>
      </c>
      <c r="Q6" t="s">
        <v>32</v>
      </c>
      <c r="R6">
        <f>COUNTIFS($C$2:$C$386,18,$D$2:$D$386,5)</f>
        <v>1</v>
      </c>
      <c r="S6" s="34">
        <f t="shared" si="1"/>
        <v>0.25974025974025972</v>
      </c>
      <c r="U6" t="s">
        <v>37</v>
      </c>
      <c r="V6">
        <f>COUNTIFS($D$2:$D$386,1,$E$2:$E$386,5)</f>
        <v>4</v>
      </c>
      <c r="W6" s="34">
        <f t="shared" si="2"/>
        <v>1.0389610389610389</v>
      </c>
      <c r="X6" t="s">
        <v>17</v>
      </c>
      <c r="Y6" t="s">
        <v>13</v>
      </c>
      <c r="Z6">
        <f>COUNTIFS($E$2:$E$386,2,$F$2:$F$386,1)</f>
        <v>0</v>
      </c>
      <c r="AA6" s="34">
        <f>(Z6/385)*100</f>
        <v>0</v>
      </c>
      <c r="AD6" s="22">
        <f>SUM(AD2:AD5)</f>
        <v>103</v>
      </c>
      <c r="AE6" s="35">
        <f t="shared" si="4"/>
        <v>26.753246753246749</v>
      </c>
      <c r="AG6" t="s">
        <v>40</v>
      </c>
      <c r="AH6">
        <f>COUNTIFS($G$2:$G$386,1,$H$2:$H$386,5)</f>
        <v>0</v>
      </c>
      <c r="AI6" s="34">
        <f t="shared" si="5"/>
        <v>0</v>
      </c>
      <c r="AK6" t="s">
        <v>3094</v>
      </c>
      <c r="AL6">
        <f>COUNTIFS($G$2:$G$386,1,$J$2:$J$386,19)</f>
        <v>0</v>
      </c>
      <c r="AM6" s="34">
        <f t="shared" si="6"/>
        <v>0</v>
      </c>
      <c r="AO6" s="4" t="s">
        <v>39123</v>
      </c>
      <c r="AP6">
        <f>COUNTIFS($H$2:$H$386,1,$K$2:$K$386,5)</f>
        <v>72</v>
      </c>
      <c r="AQ6" s="34">
        <f t="shared" si="7"/>
        <v>18.7012987012987</v>
      </c>
      <c r="AS6" s="4" t="s">
        <v>39123</v>
      </c>
      <c r="AT6">
        <f>COUNTIFS($J$2:$J$386,1,$K$2:$K$386,5)</f>
        <v>72</v>
      </c>
      <c r="AU6" s="34">
        <f t="shared" si="8"/>
        <v>18.7012987012987</v>
      </c>
    </row>
    <row r="7" spans="1:47" ht="43.2" x14ac:dyDescent="0.3">
      <c r="A7" t="s">
        <v>2075</v>
      </c>
      <c r="B7" s="7">
        <v>6</v>
      </c>
      <c r="C7" s="3">
        <v>19</v>
      </c>
      <c r="D7" s="3">
        <v>1</v>
      </c>
      <c r="E7" s="3">
        <v>3</v>
      </c>
      <c r="F7" s="3">
        <v>2</v>
      </c>
      <c r="G7" s="3">
        <v>3</v>
      </c>
      <c r="H7" s="3">
        <v>17</v>
      </c>
      <c r="I7" s="3">
        <v>17</v>
      </c>
      <c r="J7" s="3">
        <v>17</v>
      </c>
      <c r="K7" s="3">
        <v>4</v>
      </c>
      <c r="M7" t="s">
        <v>38</v>
      </c>
      <c r="N7">
        <f>COUNTIFS($B$2:$B$386,1,$D$2:$D$386,6)</f>
        <v>0</v>
      </c>
      <c r="O7" s="34">
        <f t="shared" si="0"/>
        <v>0</v>
      </c>
      <c r="Q7" t="s">
        <v>38</v>
      </c>
      <c r="R7">
        <f>COUNTIFS($C$2:$C$386,18,$D$2:$D$386,6)</f>
        <v>0</v>
      </c>
      <c r="S7" s="34">
        <f t="shared" si="1"/>
        <v>0</v>
      </c>
      <c r="U7" t="s">
        <v>42</v>
      </c>
      <c r="V7">
        <f>COUNTIFS($D$2:$D$386,1,$E$2:$E$386,6)</f>
        <v>4</v>
      </c>
      <c r="W7" s="34">
        <f t="shared" si="2"/>
        <v>1.0389610389610389</v>
      </c>
      <c r="Y7" s="4" t="s">
        <v>20</v>
      </c>
      <c r="Z7">
        <f>COUNTIFS($E$2:$E$386,2,$F$2:$F$386,2)</f>
        <v>0</v>
      </c>
      <c r="AA7" s="34">
        <f t="shared" si="3"/>
        <v>0</v>
      </c>
      <c r="AB7" s="4" t="s">
        <v>20</v>
      </c>
      <c r="AC7" s="4" t="s">
        <v>39605</v>
      </c>
      <c r="AD7">
        <f>COUNTIFS($F$2:$F$386,2,$G$2:$G$386,1)</f>
        <v>0</v>
      </c>
      <c r="AE7" s="34">
        <f>(AD7/385)*100</f>
        <v>0</v>
      </c>
      <c r="AG7" t="s">
        <v>44</v>
      </c>
      <c r="AH7">
        <f>COUNTIFS($G$2:$G$386,1,$H$2:$H$386,6)</f>
        <v>0</v>
      </c>
      <c r="AI7" s="34">
        <f t="shared" si="5"/>
        <v>0</v>
      </c>
      <c r="AK7" t="s">
        <v>50</v>
      </c>
      <c r="AL7">
        <f>COUNTIFS($G$2:$G$386,1,$J$2:$J$386,16)</f>
        <v>0</v>
      </c>
      <c r="AM7" s="34">
        <f t="shared" si="6"/>
        <v>0</v>
      </c>
      <c r="AP7" s="23">
        <f>SUM(AP2:AP6)</f>
        <v>75</v>
      </c>
      <c r="AQ7" s="37">
        <f t="shared" si="7"/>
        <v>19.480519480519483</v>
      </c>
      <c r="AT7" s="22">
        <f>SUM(AT2:AT6)</f>
        <v>75</v>
      </c>
      <c r="AU7" s="35">
        <f t="shared" si="8"/>
        <v>19.480519480519483</v>
      </c>
    </row>
    <row r="8" spans="1:47" ht="72" x14ac:dyDescent="0.3">
      <c r="A8" t="s">
        <v>1532</v>
      </c>
      <c r="B8" s="7">
        <v>12</v>
      </c>
      <c r="C8" s="3">
        <v>20</v>
      </c>
      <c r="D8" s="3">
        <v>6</v>
      </c>
      <c r="E8" s="3">
        <v>1</v>
      </c>
      <c r="F8" s="7">
        <v>3</v>
      </c>
      <c r="G8" s="7">
        <v>3</v>
      </c>
      <c r="H8" s="7">
        <v>17</v>
      </c>
      <c r="I8" s="3">
        <v>17</v>
      </c>
      <c r="J8" s="3">
        <v>17</v>
      </c>
      <c r="K8" s="7">
        <v>4</v>
      </c>
      <c r="M8" t="s">
        <v>151</v>
      </c>
      <c r="N8">
        <f>COUNTIFS($B$2:$B$386,1,$D$2:$D$386,7)</f>
        <v>0</v>
      </c>
      <c r="O8" s="34">
        <f t="shared" si="0"/>
        <v>0</v>
      </c>
      <c r="Q8" t="s">
        <v>151</v>
      </c>
      <c r="R8">
        <f>COUNTIFS($C$2:$C$386,18,$D$2:$D$386,7)</f>
        <v>0</v>
      </c>
      <c r="S8" s="34">
        <f t="shared" si="1"/>
        <v>0</v>
      </c>
      <c r="U8" t="s">
        <v>45</v>
      </c>
      <c r="V8">
        <f>COUNTIFS($D$2:$D$386,1,$E$2:$E$386,7)</f>
        <v>4</v>
      </c>
      <c r="W8" s="34">
        <f t="shared" si="2"/>
        <v>1.0389610389610389</v>
      </c>
      <c r="Y8" t="s">
        <v>27</v>
      </c>
      <c r="Z8">
        <f>COUNTIFS($E$2:$E$386,2,$F$2:$F$386,3)</f>
        <v>0</v>
      </c>
      <c r="AA8" s="34">
        <f t="shared" si="3"/>
        <v>0</v>
      </c>
      <c r="AC8" s="4" t="s">
        <v>39606</v>
      </c>
      <c r="AD8">
        <f>COUNTIFS($F$2:$F$386,2,$G$2:$G$386,2)</f>
        <v>27</v>
      </c>
      <c r="AE8" s="34">
        <f t="shared" si="4"/>
        <v>7.0129870129870122</v>
      </c>
      <c r="AG8" t="s">
        <v>47</v>
      </c>
      <c r="AH8">
        <f>COUNTIFS($G$2:$G$386,1,$H$2:$H$386,7)</f>
        <v>0</v>
      </c>
      <c r="AI8" s="34">
        <f t="shared" si="5"/>
        <v>0</v>
      </c>
      <c r="AK8" t="s">
        <v>3095</v>
      </c>
      <c r="AL8">
        <f>COUNTIFS($G$2:$G$386,1,$J$2:$J$386,17)</f>
        <v>0</v>
      </c>
      <c r="AM8" s="34">
        <f t="shared" si="6"/>
        <v>0</v>
      </c>
      <c r="AN8" t="s">
        <v>21</v>
      </c>
      <c r="AO8" s="4" t="s">
        <v>39120</v>
      </c>
      <c r="AP8">
        <f>COUNTIFS($H$2:$H$386,2,$K$2:$K$386,1)</f>
        <v>0</v>
      </c>
      <c r="AQ8" s="34">
        <f>(AP8/385)*100</f>
        <v>0</v>
      </c>
      <c r="AR8" t="s">
        <v>21</v>
      </c>
      <c r="AS8" s="4" t="s">
        <v>39120</v>
      </c>
      <c r="AT8">
        <f>COUNTIFS($J$2:$J$386,2,$K$2:$K$386,1)</f>
        <v>0</v>
      </c>
      <c r="AU8" s="34">
        <f>(AT8/385)*100</f>
        <v>0</v>
      </c>
    </row>
    <row r="9" spans="1:47" ht="72" x14ac:dyDescent="0.3">
      <c r="A9" t="s">
        <v>1323</v>
      </c>
      <c r="B9" s="7">
        <v>13</v>
      </c>
      <c r="C9" s="3">
        <v>21</v>
      </c>
      <c r="D9" s="3">
        <v>2</v>
      </c>
      <c r="E9" s="3">
        <v>3</v>
      </c>
      <c r="F9" s="7">
        <v>3</v>
      </c>
      <c r="G9" s="7">
        <v>3</v>
      </c>
      <c r="H9" s="7">
        <v>17</v>
      </c>
      <c r="I9" s="3">
        <v>17</v>
      </c>
      <c r="J9" s="3">
        <v>17</v>
      </c>
      <c r="K9" s="7">
        <v>4</v>
      </c>
      <c r="M9" t="s">
        <v>43</v>
      </c>
      <c r="N9">
        <f>COUNTIFS($B$2:$B$386,1,$D$2:$D$386,8)</f>
        <v>0</v>
      </c>
      <c r="O9" s="34">
        <f t="shared" si="0"/>
        <v>0</v>
      </c>
      <c r="Q9" t="s">
        <v>43</v>
      </c>
      <c r="R9">
        <f>COUNTIFS($C$2:$C$386,18,$D$2:$D$386,8)</f>
        <v>1</v>
      </c>
      <c r="S9" s="34">
        <f t="shared" si="1"/>
        <v>0.25974025974025972</v>
      </c>
      <c r="U9" t="s">
        <v>48</v>
      </c>
      <c r="V9">
        <f>COUNTIFS($D$2:$D$386,1,$E$2:$E$386,8)</f>
        <v>7</v>
      </c>
      <c r="W9" s="34">
        <f t="shared" si="2"/>
        <v>1.8181818181818181</v>
      </c>
      <c r="Z9" s="23">
        <f>SUM(Z6:Z8)</f>
        <v>0</v>
      </c>
      <c r="AA9" s="37">
        <f t="shared" si="3"/>
        <v>0</v>
      </c>
      <c r="AC9" s="4" t="s">
        <v>39602</v>
      </c>
      <c r="AD9">
        <f>COUNTIFS($F$2:$F$386,2,$G$2:$G$386,3)</f>
        <v>23</v>
      </c>
      <c r="AE9" s="34">
        <f t="shared" si="4"/>
        <v>5.9740259740259738</v>
      </c>
      <c r="AG9" t="s">
        <v>1637</v>
      </c>
      <c r="AH9">
        <f>COUNTIFS($G$2:$G$386,1,$H$2:$H$386,8)</f>
        <v>1</v>
      </c>
      <c r="AI9" s="34">
        <f t="shared" si="5"/>
        <v>0.25974025974025972</v>
      </c>
      <c r="AL9" s="22">
        <f>SUM(AL2:AL8)</f>
        <v>3</v>
      </c>
      <c r="AM9" s="35">
        <f>(AL9/385)*100</f>
        <v>0.77922077922077926</v>
      </c>
      <c r="AO9" s="4" t="s">
        <v>39121</v>
      </c>
      <c r="AP9">
        <f>COUNTIFS($H$2:$H$386,2,$K$2:$K$386,2)</f>
        <v>0</v>
      </c>
      <c r="AQ9" s="34">
        <f t="shared" si="7"/>
        <v>0</v>
      </c>
      <c r="AS9" s="4" t="s">
        <v>39121</v>
      </c>
      <c r="AT9">
        <f>COUNTIFS($J$2:$J$386,2,$K$2:$K$386,2)</f>
        <v>0</v>
      </c>
      <c r="AU9" s="34">
        <f t="shared" si="8"/>
        <v>0</v>
      </c>
    </row>
    <row r="10" spans="1:47" ht="72" x14ac:dyDescent="0.3">
      <c r="A10" s="6" t="s">
        <v>275</v>
      </c>
      <c r="B10" s="7">
        <v>17</v>
      </c>
      <c r="C10" s="3">
        <v>21</v>
      </c>
      <c r="D10" s="11">
        <v>15</v>
      </c>
      <c r="E10" s="11">
        <v>3</v>
      </c>
      <c r="F10" s="7">
        <v>3</v>
      </c>
      <c r="G10" s="7">
        <v>3</v>
      </c>
      <c r="H10" s="7">
        <v>17</v>
      </c>
      <c r="I10" s="3">
        <v>17</v>
      </c>
      <c r="J10" s="3">
        <v>17</v>
      </c>
      <c r="K10" s="7">
        <v>4</v>
      </c>
      <c r="M10" t="s">
        <v>46</v>
      </c>
      <c r="N10">
        <f>COUNTIFS($B$2:$B$386,1,$D$2:$D$386,9)</f>
        <v>0</v>
      </c>
      <c r="O10" s="34">
        <f t="shared" si="0"/>
        <v>0</v>
      </c>
      <c r="Q10" t="s">
        <v>46</v>
      </c>
      <c r="R10">
        <f>COUNTIFS($C$2:$C$386,18,$D$2:$D$386,9)</f>
        <v>1</v>
      </c>
      <c r="S10" s="34">
        <f t="shared" si="1"/>
        <v>0.25974025974025972</v>
      </c>
      <c r="U10" t="s">
        <v>50</v>
      </c>
      <c r="V10">
        <f>COUNTIFS($D$2:$D$386,1,$E$2:$E$386,9)</f>
        <v>4</v>
      </c>
      <c r="W10" s="34">
        <f t="shared" si="2"/>
        <v>1.0389610389610389</v>
      </c>
      <c r="X10" t="s">
        <v>24</v>
      </c>
      <c r="Y10" t="s">
        <v>13</v>
      </c>
      <c r="Z10">
        <f>COUNTIFS($E$2:$E$386,3,$F$2:$F$386,1)</f>
        <v>57</v>
      </c>
      <c r="AA10" s="34">
        <f>(Z10/385)*100</f>
        <v>14.805194805194805</v>
      </c>
      <c r="AC10" s="4" t="s">
        <v>34</v>
      </c>
      <c r="AD10">
        <f>COUNTIFS($F$2:$F$386,2,$G$2:$G$386,4)</f>
        <v>0</v>
      </c>
      <c r="AE10" s="34">
        <f t="shared" si="4"/>
        <v>0</v>
      </c>
      <c r="AG10" t="s">
        <v>1638</v>
      </c>
      <c r="AH10">
        <f>COUNTIFS($G$2:$G$386,1,$H$2:$H$386,9)</f>
        <v>0</v>
      </c>
      <c r="AI10" s="34">
        <f t="shared" si="5"/>
        <v>0</v>
      </c>
      <c r="AJ10" s="4" t="s">
        <v>39606</v>
      </c>
      <c r="AK10" t="s">
        <v>14</v>
      </c>
      <c r="AL10">
        <f>COUNTIFS($G$2:$G$386,2,$J$2:$J$386,1)</f>
        <v>2</v>
      </c>
      <c r="AM10" s="34">
        <f>(AL10/385)*100</f>
        <v>0.51948051948051943</v>
      </c>
      <c r="AO10" s="4" t="s">
        <v>39125</v>
      </c>
      <c r="AP10">
        <f>COUNTIFS($H$2:$H$386,2,$K$2:$K$386,3)</f>
        <v>0</v>
      </c>
      <c r="AQ10" s="34">
        <f t="shared" si="7"/>
        <v>0</v>
      </c>
      <c r="AS10" s="4" t="s">
        <v>39125</v>
      </c>
      <c r="AT10">
        <f>COUNTIFS($J$2:$J$386,2,$K$2:$K$386,3)</f>
        <v>0</v>
      </c>
      <c r="AU10" s="34">
        <f t="shared" si="8"/>
        <v>0</v>
      </c>
    </row>
    <row r="11" spans="1:47" ht="28.8" x14ac:dyDescent="0.3">
      <c r="A11" t="s">
        <v>2347</v>
      </c>
      <c r="B11" s="7">
        <v>3</v>
      </c>
      <c r="C11" s="3">
        <v>18</v>
      </c>
      <c r="D11" s="3">
        <v>1</v>
      </c>
      <c r="E11" s="3">
        <v>4</v>
      </c>
      <c r="F11" s="7">
        <v>3</v>
      </c>
      <c r="G11" s="7">
        <v>3</v>
      </c>
      <c r="H11" s="7">
        <v>17</v>
      </c>
      <c r="I11" s="3">
        <v>17</v>
      </c>
      <c r="J11" s="3">
        <v>17</v>
      </c>
      <c r="K11" s="7">
        <v>4</v>
      </c>
      <c r="M11" t="s">
        <v>152</v>
      </c>
      <c r="N11">
        <f>COUNTIFS($B$2:$B$386,1,$D$2:$D$386,10)</f>
        <v>0</v>
      </c>
      <c r="O11" s="34">
        <f t="shared" si="0"/>
        <v>0</v>
      </c>
      <c r="Q11" t="s">
        <v>152</v>
      </c>
      <c r="R11">
        <f>COUNTIFS($C$2:$C$386,18,$D$2:$D$386,10)</f>
        <v>0</v>
      </c>
      <c r="S11" s="34">
        <f t="shared" si="1"/>
        <v>0</v>
      </c>
      <c r="V11" s="22">
        <f>SUM(V2:V10)</f>
        <v>53</v>
      </c>
      <c r="W11" s="35">
        <f t="shared" si="2"/>
        <v>13.766233766233766</v>
      </c>
      <c r="Y11" s="4" t="s">
        <v>20</v>
      </c>
      <c r="Z11">
        <f>COUNTIFS($E$2:$E$386,3,$F$2:$F$386,2)</f>
        <v>16</v>
      </c>
      <c r="AA11" s="34">
        <f t="shared" si="3"/>
        <v>4.1558441558441555</v>
      </c>
      <c r="AD11" s="22">
        <f>SUM(AD7:AD10)</f>
        <v>50</v>
      </c>
      <c r="AE11" s="35">
        <f t="shared" si="4"/>
        <v>12.987012987012985</v>
      </c>
      <c r="AG11" t="s">
        <v>1639</v>
      </c>
      <c r="AH11">
        <f>COUNTIFS($G$2:$G$386,1,$H$2:$H$386,10)</f>
        <v>1</v>
      </c>
      <c r="AI11" s="34">
        <f t="shared" si="5"/>
        <v>0.25974025974025972</v>
      </c>
      <c r="AK11" t="s">
        <v>21</v>
      </c>
      <c r="AL11">
        <f>COUNTIFS($G$2:$G$386,2,$J$2:$J$386,2)</f>
        <v>1</v>
      </c>
      <c r="AM11" s="34">
        <f t="shared" ref="AM11:AM16" si="9">(AL11/385)*100</f>
        <v>0.25974025974025972</v>
      </c>
      <c r="AO11" s="4" t="s">
        <v>39122</v>
      </c>
      <c r="AP11">
        <f>COUNTIFS($H$2:$H$386,2,$K$2:$K$386,4)</f>
        <v>0</v>
      </c>
      <c r="AQ11" s="34">
        <f t="shared" si="7"/>
        <v>0</v>
      </c>
      <c r="AS11" s="4" t="s">
        <v>39122</v>
      </c>
      <c r="AT11">
        <f>COUNTIFS($J$2:$J$386,2,$K$2:$K$386,4)</f>
        <v>0</v>
      </c>
      <c r="AU11" s="34">
        <f t="shared" si="8"/>
        <v>0</v>
      </c>
    </row>
    <row r="12" spans="1:47" ht="43.2" x14ac:dyDescent="0.3">
      <c r="A12" s="6" t="s">
        <v>254</v>
      </c>
      <c r="B12" s="7">
        <v>17</v>
      </c>
      <c r="C12" s="3">
        <v>21</v>
      </c>
      <c r="D12" s="11">
        <v>5</v>
      </c>
      <c r="E12" s="11">
        <v>5</v>
      </c>
      <c r="F12" s="11">
        <v>2</v>
      </c>
      <c r="G12" s="11">
        <v>3</v>
      </c>
      <c r="H12" s="11">
        <v>17</v>
      </c>
      <c r="I12" s="3">
        <v>17</v>
      </c>
      <c r="J12" s="3">
        <v>17</v>
      </c>
      <c r="K12" s="11">
        <v>4</v>
      </c>
      <c r="M12" t="s">
        <v>49</v>
      </c>
      <c r="N12">
        <f>COUNTIFS($B$2:$B$386,1,$D$2:$D$386,11)</f>
        <v>0</v>
      </c>
      <c r="O12" s="34">
        <f t="shared" si="0"/>
        <v>0</v>
      </c>
      <c r="Q12" t="s">
        <v>49</v>
      </c>
      <c r="R12">
        <f>COUNTIFS($C$2:$C$386,18,$D$2:$D$386,11)</f>
        <v>0</v>
      </c>
      <c r="S12" s="34">
        <f t="shared" si="1"/>
        <v>0</v>
      </c>
      <c r="T12" t="s">
        <v>18</v>
      </c>
      <c r="U12" t="s">
        <v>10</v>
      </c>
      <c r="V12">
        <f>COUNTIFS($D$2:$D$386,2,$E$2:$E$386,1)</f>
        <v>0</v>
      </c>
      <c r="W12" s="34">
        <f>(V12/385)*100</f>
        <v>0</v>
      </c>
      <c r="Y12" t="s">
        <v>27</v>
      </c>
      <c r="Z12">
        <f>COUNTIFS($E$2:$E$386,3,$F$2:$F$386,3)</f>
        <v>148</v>
      </c>
      <c r="AA12" s="34">
        <f t="shared" si="3"/>
        <v>38.441558441558442</v>
      </c>
      <c r="AB12" t="s">
        <v>27</v>
      </c>
      <c r="AC12" s="4" t="s">
        <v>39605</v>
      </c>
      <c r="AD12">
        <f>COUNTIFS($F$2:$F$386,3,$G$2:$G$386,1)</f>
        <v>0</v>
      </c>
      <c r="AE12" s="34">
        <f>(AD12/385)*100</f>
        <v>0</v>
      </c>
      <c r="AG12" t="s">
        <v>1640</v>
      </c>
      <c r="AH12">
        <f>COUNTIFS($G$2:$G$386,1,$H$2:$H$386,11)</f>
        <v>0</v>
      </c>
      <c r="AI12" s="34">
        <f t="shared" si="5"/>
        <v>0</v>
      </c>
      <c r="AK12" t="s">
        <v>28</v>
      </c>
      <c r="AL12">
        <f>COUNTIFS($G$2:$G$386,2,$J$2:$J$386,3)</f>
        <v>0</v>
      </c>
      <c r="AM12" s="34">
        <f t="shared" si="9"/>
        <v>0</v>
      </c>
      <c r="AO12" s="4" t="s">
        <v>39123</v>
      </c>
      <c r="AP12">
        <f>COUNTIFS($H$2:$H$386,2,$K$2:$K$386,5)</f>
        <v>15</v>
      </c>
      <c r="AQ12" s="34">
        <f t="shared" si="7"/>
        <v>3.8961038961038961</v>
      </c>
      <c r="AS12" s="4" t="s">
        <v>39123</v>
      </c>
      <c r="AT12">
        <f>COUNTIFS($J$2:$J$386,2,$K$2:$K$386,5)</f>
        <v>15</v>
      </c>
      <c r="AU12" s="34">
        <f t="shared" si="8"/>
        <v>3.8961038961038961</v>
      </c>
    </row>
    <row r="13" spans="1:47" ht="72" x14ac:dyDescent="0.3">
      <c r="A13" t="s">
        <v>2911</v>
      </c>
      <c r="B13" s="7">
        <v>10</v>
      </c>
      <c r="C13" s="3">
        <v>20</v>
      </c>
      <c r="D13" s="3">
        <v>4</v>
      </c>
      <c r="E13" s="3">
        <v>3</v>
      </c>
      <c r="F13" s="3">
        <v>3</v>
      </c>
      <c r="G13" s="3">
        <v>3</v>
      </c>
      <c r="H13" s="3">
        <v>17</v>
      </c>
      <c r="I13" s="3">
        <v>17</v>
      </c>
      <c r="J13" s="3">
        <v>17</v>
      </c>
      <c r="K13" s="3">
        <v>4</v>
      </c>
      <c r="M13" t="s">
        <v>51</v>
      </c>
      <c r="N13">
        <f>COUNTIFS($B$2:$B$386,1,$D$2:$D$386,12)</f>
        <v>0</v>
      </c>
      <c r="O13" s="34">
        <f t="shared" si="0"/>
        <v>0</v>
      </c>
      <c r="Q13" t="s">
        <v>51</v>
      </c>
      <c r="R13">
        <f>COUNTIFS($C$2:$C$386,18,$D$2:$D$386,12)</f>
        <v>1</v>
      </c>
      <c r="S13" s="34">
        <f t="shared" si="1"/>
        <v>0.25974025974025972</v>
      </c>
      <c r="U13" t="s">
        <v>17</v>
      </c>
      <c r="V13">
        <f>COUNTIFS($D$2:$D$386,2,$E$2:$E$386,2)</f>
        <v>0</v>
      </c>
      <c r="W13" s="34">
        <f t="shared" si="2"/>
        <v>0</v>
      </c>
      <c r="Z13" s="23">
        <f>SUM(Z10:Z12)</f>
        <v>221</v>
      </c>
      <c r="AA13" s="37">
        <f t="shared" si="3"/>
        <v>57.402597402597401</v>
      </c>
      <c r="AC13" s="4" t="s">
        <v>39606</v>
      </c>
      <c r="AD13">
        <f>COUNTIFS($F$2:$F$386,3,$G$2:$G$386,2)</f>
        <v>1</v>
      </c>
      <c r="AE13" s="34">
        <f t="shared" si="4"/>
        <v>0.25974025974025972</v>
      </c>
      <c r="AG13" t="s">
        <v>1641</v>
      </c>
      <c r="AH13">
        <f>COUNTIFS($G$2:$G$386,1,$H$2:$H$386,12)</f>
        <v>1</v>
      </c>
      <c r="AI13" s="34">
        <f t="shared" si="5"/>
        <v>0.25974025974025972</v>
      </c>
      <c r="AK13" t="s">
        <v>3093</v>
      </c>
      <c r="AL13">
        <f>COUNTIFS($G$2:$G$386,2,$J$2:$J$386,18)</f>
        <v>3</v>
      </c>
      <c r="AM13" s="34">
        <f t="shared" si="9"/>
        <v>0.77922077922077926</v>
      </c>
      <c r="AP13" s="23">
        <f>SUM(AP8:AP12)</f>
        <v>15</v>
      </c>
      <c r="AQ13" s="37">
        <f t="shared" si="7"/>
        <v>3.8961038961038961</v>
      </c>
      <c r="AT13" s="22">
        <f>SUM(AT8:AT12)</f>
        <v>15</v>
      </c>
      <c r="AU13" s="35">
        <f t="shared" si="8"/>
        <v>3.8961038961038961</v>
      </c>
    </row>
    <row r="14" spans="1:47" ht="72" x14ac:dyDescent="0.3">
      <c r="A14" s="6" t="s">
        <v>1469</v>
      </c>
      <c r="B14" s="7">
        <v>15</v>
      </c>
      <c r="C14" s="3">
        <v>21</v>
      </c>
      <c r="D14" s="11">
        <v>1</v>
      </c>
      <c r="E14" s="11">
        <v>3</v>
      </c>
      <c r="F14" s="7">
        <v>3</v>
      </c>
      <c r="G14" s="7">
        <v>3</v>
      </c>
      <c r="H14" s="7">
        <v>17</v>
      </c>
      <c r="I14" s="3">
        <v>17</v>
      </c>
      <c r="J14" s="3">
        <v>17</v>
      </c>
      <c r="K14" s="7">
        <v>4</v>
      </c>
      <c r="M14" t="s">
        <v>153</v>
      </c>
      <c r="N14">
        <f>COUNTIFS($B$2:$B$386,1,$D$2:$D$386,13)</f>
        <v>0</v>
      </c>
      <c r="O14" s="34">
        <f t="shared" si="0"/>
        <v>0</v>
      </c>
      <c r="Q14" t="s">
        <v>153</v>
      </c>
      <c r="R14">
        <f>COUNTIFS($C$2:$C$386,18,$D$2:$D$386,13)</f>
        <v>2</v>
      </c>
      <c r="S14" s="34">
        <f t="shared" si="1"/>
        <v>0.51948051948051943</v>
      </c>
      <c r="U14" t="s">
        <v>24</v>
      </c>
      <c r="V14">
        <f>COUNTIFS($D$2:$D$386,2,$E$2:$E$386,3)</f>
        <v>25</v>
      </c>
      <c r="W14" s="34">
        <f t="shared" si="2"/>
        <v>6.4935064935064926</v>
      </c>
      <c r="X14" t="s">
        <v>31</v>
      </c>
      <c r="Y14" t="s">
        <v>13</v>
      </c>
      <c r="Z14">
        <f>COUNTIFS($E$2:$E$386,4,$F$2:$F$386,1)</f>
        <v>2</v>
      </c>
      <c r="AA14" s="34">
        <f>(Z14/385)*100</f>
        <v>0.51948051948051943</v>
      </c>
      <c r="AC14" s="4" t="s">
        <v>39602</v>
      </c>
      <c r="AD14">
        <f>COUNTIFS($F$2:$F$386,3,$G$2:$G$386,3)</f>
        <v>231</v>
      </c>
      <c r="AE14" s="34">
        <f t="shared" si="4"/>
        <v>60</v>
      </c>
      <c r="AG14" t="s">
        <v>1642</v>
      </c>
      <c r="AH14">
        <f>COUNTIFS($G$2:$G$386,1,$H$2:$H$386,13)</f>
        <v>0</v>
      </c>
      <c r="AI14" s="34">
        <f t="shared" si="5"/>
        <v>0</v>
      </c>
      <c r="AK14" t="s">
        <v>3094</v>
      </c>
      <c r="AL14">
        <f>COUNTIFS($G$2:$G$386,2,$J$2:$J$386,19)</f>
        <v>2</v>
      </c>
      <c r="AM14" s="34">
        <f t="shared" si="9"/>
        <v>0.51948051948051943</v>
      </c>
      <c r="AN14" t="s">
        <v>28</v>
      </c>
      <c r="AO14" s="4" t="s">
        <v>39120</v>
      </c>
      <c r="AP14">
        <f>COUNTIFS($H$2:$H$386,3,$K$2:$K$386,1)</f>
        <v>0</v>
      </c>
      <c r="AQ14" s="34">
        <f>(AP14/385)*100</f>
        <v>0</v>
      </c>
      <c r="AR14" t="s">
        <v>28</v>
      </c>
      <c r="AS14" s="4" t="s">
        <v>39120</v>
      </c>
      <c r="AT14">
        <f>COUNTIFS($J$2:$J$386,3,$K$2:$K$386,1)</f>
        <v>0</v>
      </c>
      <c r="AU14" s="34">
        <f>(AT14/385)*100</f>
        <v>0</v>
      </c>
    </row>
    <row r="15" spans="1:47" ht="43.2" x14ac:dyDescent="0.3">
      <c r="A15" t="s">
        <v>1952</v>
      </c>
      <c r="B15" s="7">
        <v>8</v>
      </c>
      <c r="C15" s="3">
        <v>19</v>
      </c>
      <c r="D15" s="3">
        <v>1</v>
      </c>
      <c r="E15" s="3">
        <v>3</v>
      </c>
      <c r="F15" s="7">
        <v>3</v>
      </c>
      <c r="G15" s="7">
        <v>3</v>
      </c>
      <c r="H15" s="7">
        <v>17</v>
      </c>
      <c r="I15" s="3">
        <v>17</v>
      </c>
      <c r="J15" s="3">
        <v>17</v>
      </c>
      <c r="K15" s="7">
        <v>4</v>
      </c>
      <c r="M15" t="s">
        <v>154</v>
      </c>
      <c r="N15">
        <f>COUNTIFS($B$2:$B$386,1,$D$2:$D$386,14)</f>
        <v>1</v>
      </c>
      <c r="O15" s="34">
        <f t="shared" si="0"/>
        <v>0.25974025974025972</v>
      </c>
      <c r="Q15" t="s">
        <v>154</v>
      </c>
      <c r="R15">
        <f>COUNTIFS($C$2:$C$386,18,$D$2:$D$386,14)</f>
        <v>3</v>
      </c>
      <c r="S15" s="34">
        <f t="shared" si="1"/>
        <v>0.77922077922077926</v>
      </c>
      <c r="U15" t="s">
        <v>31</v>
      </c>
      <c r="V15">
        <f>COUNTIFS($D$2:$D$386,2,$E$2:$E$386,4)</f>
        <v>0</v>
      </c>
      <c r="W15" s="34">
        <f t="shared" si="2"/>
        <v>0</v>
      </c>
      <c r="Y15" s="4" t="s">
        <v>20</v>
      </c>
      <c r="Z15">
        <f>COUNTIFS($E$2:$E$386,4,$F$2:$F$386,2)</f>
        <v>1</v>
      </c>
      <c r="AA15" s="34">
        <f t="shared" si="3"/>
        <v>0.25974025974025972</v>
      </c>
      <c r="AC15" s="4" t="s">
        <v>34</v>
      </c>
      <c r="AD15">
        <f>COUNTIFS($F$2:$F$386,3,$G$2:$G$386,4)</f>
        <v>0</v>
      </c>
      <c r="AE15" s="34">
        <f t="shared" si="4"/>
        <v>0</v>
      </c>
      <c r="AG15" t="s">
        <v>1643</v>
      </c>
      <c r="AH15">
        <f>COUNTIFS($G$2:$G$386,1,$H$2:$H$386,14)</f>
        <v>0</v>
      </c>
      <c r="AI15" s="34">
        <f t="shared" si="5"/>
        <v>0</v>
      </c>
      <c r="AK15" t="s">
        <v>50</v>
      </c>
      <c r="AL15">
        <f>COUNTIFS($G$2:$G$386,2,$J$2:$J$386,16)</f>
        <v>20</v>
      </c>
      <c r="AM15" s="34">
        <f t="shared" si="9"/>
        <v>5.1948051948051948</v>
      </c>
      <c r="AO15" s="4" t="s">
        <v>39121</v>
      </c>
      <c r="AP15">
        <f>COUNTIFS($H$2:$H$386,3,$K$2:$K$386,2)</f>
        <v>0</v>
      </c>
      <c r="AQ15" s="34">
        <f t="shared" si="7"/>
        <v>0</v>
      </c>
      <c r="AS15" s="4" t="s">
        <v>39121</v>
      </c>
      <c r="AT15">
        <f>COUNTIFS($J$2:$J$386,3,$K$2:$K$386,2)</f>
        <v>0</v>
      </c>
      <c r="AU15" s="34">
        <f t="shared" si="8"/>
        <v>0</v>
      </c>
    </row>
    <row r="16" spans="1:47" ht="57.6" x14ac:dyDescent="0.3">
      <c r="A16" t="s">
        <v>2229</v>
      </c>
      <c r="B16" s="7">
        <v>4</v>
      </c>
      <c r="C16" s="3">
        <v>18</v>
      </c>
      <c r="D16" s="3">
        <v>14</v>
      </c>
      <c r="E16" s="3">
        <v>1</v>
      </c>
      <c r="F16" s="7">
        <v>3</v>
      </c>
      <c r="G16" s="7">
        <v>3</v>
      </c>
      <c r="H16" s="7">
        <v>17</v>
      </c>
      <c r="I16" s="3">
        <v>17</v>
      </c>
      <c r="J16" s="3">
        <v>17</v>
      </c>
      <c r="K16" s="7">
        <v>4</v>
      </c>
      <c r="M16" t="s">
        <v>52</v>
      </c>
      <c r="N16">
        <f>COUNTIFS($B$2:$B$386,1,$D$2:$D$386,15)</f>
        <v>0</v>
      </c>
      <c r="O16" s="34">
        <f t="shared" si="0"/>
        <v>0</v>
      </c>
      <c r="Q16" t="s">
        <v>52</v>
      </c>
      <c r="R16">
        <f>COUNTIFS($C$2:$C$386,18,$D$2:$D$386,15)</f>
        <v>1</v>
      </c>
      <c r="S16" s="34">
        <f t="shared" si="1"/>
        <v>0.25974025974025972</v>
      </c>
      <c r="U16" t="s">
        <v>37</v>
      </c>
      <c r="V16">
        <f>COUNTIFS($D$2:$D$386,2,$E$2:$E$386,5)</f>
        <v>1</v>
      </c>
      <c r="W16" s="34">
        <f t="shared" si="2"/>
        <v>0.25974025974025972</v>
      </c>
      <c r="Y16" t="s">
        <v>27</v>
      </c>
      <c r="Z16">
        <f>COUNTIFS($E$2:$E$386,4,$F$2:$F$386,3)</f>
        <v>2</v>
      </c>
      <c r="AA16" s="34">
        <f t="shared" si="3"/>
        <v>0.51948051948051943</v>
      </c>
      <c r="AD16" s="22">
        <f>SUM(AD12:AD15)</f>
        <v>232</v>
      </c>
      <c r="AE16" s="35">
        <f t="shared" si="4"/>
        <v>60.259740259740255</v>
      </c>
      <c r="AG16" t="s">
        <v>1644</v>
      </c>
      <c r="AH16">
        <f>COUNTIFS($G$2:$G$386,1,$H$2:$H$386,15)</f>
        <v>0</v>
      </c>
      <c r="AI16" s="34">
        <f t="shared" si="5"/>
        <v>0</v>
      </c>
      <c r="AK16" t="s">
        <v>3095</v>
      </c>
      <c r="AL16">
        <f>COUNTIFS($G$2:$G$386,2,$J$2:$J$386,17)</f>
        <v>5</v>
      </c>
      <c r="AM16" s="34">
        <f t="shared" si="9"/>
        <v>1.2987012987012987</v>
      </c>
      <c r="AO16" s="4" t="s">
        <v>39125</v>
      </c>
      <c r="AP16">
        <f>COUNTIFS($H$2:$H$386,3,$K$2:$K$386,3)</f>
        <v>0</v>
      </c>
      <c r="AQ16" s="34">
        <f t="shared" si="7"/>
        <v>0</v>
      </c>
      <c r="AS16" s="4" t="s">
        <v>39125</v>
      </c>
      <c r="AT16">
        <f>COUNTIFS($J$2:$J$386,3,$K$2:$K$386,3)</f>
        <v>0</v>
      </c>
      <c r="AU16" s="34">
        <f t="shared" si="8"/>
        <v>0</v>
      </c>
    </row>
    <row r="17" spans="1:47" ht="28.8" x14ac:dyDescent="0.3">
      <c r="A17" s="6" t="s">
        <v>200</v>
      </c>
      <c r="B17" s="7">
        <v>17</v>
      </c>
      <c r="C17" s="3">
        <v>21</v>
      </c>
      <c r="D17" s="11">
        <v>14</v>
      </c>
      <c r="E17" s="11">
        <v>3</v>
      </c>
      <c r="F17" s="11">
        <v>2</v>
      </c>
      <c r="G17" s="11">
        <v>2</v>
      </c>
      <c r="H17" s="11">
        <v>2</v>
      </c>
      <c r="I17" s="3">
        <v>2</v>
      </c>
      <c r="J17" s="3">
        <v>2</v>
      </c>
      <c r="K17" s="11">
        <v>5</v>
      </c>
      <c r="N17" s="22">
        <f>SUM(N2:N16)</f>
        <v>4</v>
      </c>
      <c r="O17" s="35">
        <f t="shared" si="0"/>
        <v>1.0389610389610389</v>
      </c>
      <c r="R17" s="23">
        <f>SUM(R2:R16)</f>
        <v>47</v>
      </c>
      <c r="S17" s="37">
        <f t="shared" si="1"/>
        <v>12.207792207792208</v>
      </c>
      <c r="U17" t="s">
        <v>42</v>
      </c>
      <c r="V17">
        <f>COUNTIFS($D$2:$D$386,2,$E$2:$E$386,6)</f>
        <v>3</v>
      </c>
      <c r="W17" s="34">
        <f t="shared" si="2"/>
        <v>0.77922077922077926</v>
      </c>
      <c r="Z17" s="23">
        <f>SUM(Z14:Z16)</f>
        <v>5</v>
      </c>
      <c r="AA17" s="37">
        <f t="shared" si="3"/>
        <v>1.2987012987012987</v>
      </c>
      <c r="AG17" t="s">
        <v>29</v>
      </c>
      <c r="AH17">
        <f>COUNTIFS($G$2:$G$386,1,$H$2:$H$386,16)</f>
        <v>0</v>
      </c>
      <c r="AI17" s="34">
        <f t="shared" si="5"/>
        <v>0</v>
      </c>
      <c r="AL17" s="22">
        <f>SUM(AL10:AL16)</f>
        <v>33</v>
      </c>
      <c r="AM17" s="35">
        <f>(AL17/385)*100</f>
        <v>8.5714285714285712</v>
      </c>
      <c r="AO17" s="4" t="s">
        <v>39122</v>
      </c>
      <c r="AP17">
        <f>COUNTIFS($H$2:$H$386,3,$K$2:$K$386,4)</f>
        <v>0</v>
      </c>
      <c r="AQ17" s="34">
        <f t="shared" si="7"/>
        <v>0</v>
      </c>
      <c r="AS17" s="4" t="s">
        <v>39122</v>
      </c>
      <c r="AT17">
        <f>COUNTIFS($J$2:$J$386,3,$K$2:$K$386,4)</f>
        <v>0</v>
      </c>
      <c r="AU17" s="34">
        <f t="shared" si="8"/>
        <v>0</v>
      </c>
    </row>
    <row r="18" spans="1:47" ht="72" x14ac:dyDescent="0.3">
      <c r="A18" s="6" t="s">
        <v>327</v>
      </c>
      <c r="B18" s="7">
        <v>16</v>
      </c>
      <c r="C18" s="3">
        <v>21</v>
      </c>
      <c r="D18" s="11">
        <v>1</v>
      </c>
      <c r="E18" s="11">
        <v>5</v>
      </c>
      <c r="F18" s="7">
        <v>3</v>
      </c>
      <c r="G18" s="7">
        <v>3</v>
      </c>
      <c r="H18" s="7">
        <v>17</v>
      </c>
      <c r="I18" s="3">
        <v>17</v>
      </c>
      <c r="J18" s="3">
        <v>17</v>
      </c>
      <c r="K18" s="7">
        <v>4</v>
      </c>
      <c r="L18">
        <v>2010</v>
      </c>
      <c r="M18" t="s">
        <v>11</v>
      </c>
      <c r="N18">
        <f>COUNTIFS($B$2:$B$386,2,$D$2:$D$386,1)</f>
        <v>3</v>
      </c>
      <c r="O18" s="34">
        <f>(N18/385)*100</f>
        <v>0.77922077922077926</v>
      </c>
      <c r="P18" t="s">
        <v>3081</v>
      </c>
      <c r="Q18" t="s">
        <v>11</v>
      </c>
      <c r="R18">
        <f>COUNTIFS($C$2:$C$386,19,$D$2:$D$386,1)</f>
        <v>8</v>
      </c>
      <c r="S18" s="34">
        <f>(R18/385)*100</f>
        <v>2.0779220779220777</v>
      </c>
      <c r="U18" t="s">
        <v>45</v>
      </c>
      <c r="V18">
        <f>COUNTIFS($D$2:$D$386,2,$E$2:$E$386,7)</f>
        <v>0</v>
      </c>
      <c r="W18" s="34">
        <f t="shared" si="2"/>
        <v>0</v>
      </c>
      <c r="X18" t="s">
        <v>37</v>
      </c>
      <c r="Y18" t="s">
        <v>13</v>
      </c>
      <c r="Z18">
        <f>COUNTIFS($E$2:$E$386,5,$F$2:$F$386,1)</f>
        <v>3</v>
      </c>
      <c r="AA18" s="34">
        <f>(Z18/385)*100</f>
        <v>0.77922077922077926</v>
      </c>
      <c r="AG18" t="s">
        <v>54</v>
      </c>
      <c r="AH18">
        <f>COUNTIFS($G$2:$G$386,1,$H$2:$H$386,17)</f>
        <v>0</v>
      </c>
      <c r="AI18" s="34">
        <f t="shared" si="5"/>
        <v>0</v>
      </c>
      <c r="AJ18" s="4" t="s">
        <v>39602</v>
      </c>
      <c r="AK18" t="s">
        <v>14</v>
      </c>
      <c r="AL18">
        <f>COUNTIFS($G$2:$G$386,3,$J$2:$J$386,1)</f>
        <v>73</v>
      </c>
      <c r="AM18" s="34">
        <f>(AL18/385)*100</f>
        <v>18.961038961038962</v>
      </c>
      <c r="AO18" s="4" t="s">
        <v>39123</v>
      </c>
      <c r="AP18">
        <f>COUNTIFS($H$2:$H$386,3,$K$2:$K$386,5)</f>
        <v>6</v>
      </c>
      <c r="AQ18" s="34">
        <f t="shared" si="7"/>
        <v>1.5584415584415585</v>
      </c>
      <c r="AS18" s="4" t="s">
        <v>39123</v>
      </c>
      <c r="AT18">
        <f>COUNTIFS($J$2:$J$386,3,$K$2:$K$386,5)</f>
        <v>6</v>
      </c>
      <c r="AU18" s="34">
        <f t="shared" si="8"/>
        <v>1.5584415584415585</v>
      </c>
    </row>
    <row r="19" spans="1:47" x14ac:dyDescent="0.3">
      <c r="A19" t="s">
        <v>2618</v>
      </c>
      <c r="B19" s="7">
        <v>14</v>
      </c>
      <c r="C19" s="3">
        <v>21</v>
      </c>
      <c r="D19" s="3">
        <v>4</v>
      </c>
      <c r="E19" s="3">
        <v>3</v>
      </c>
      <c r="F19" s="3">
        <v>3</v>
      </c>
      <c r="G19" s="3">
        <v>3</v>
      </c>
      <c r="H19" s="3">
        <v>17</v>
      </c>
      <c r="I19" s="3">
        <v>17</v>
      </c>
      <c r="J19" s="3">
        <v>17</v>
      </c>
      <c r="K19" s="3">
        <v>4</v>
      </c>
      <c r="M19" t="s">
        <v>18</v>
      </c>
      <c r="N19">
        <f>COUNTIFS($B$2:$B$386,2,$D$2:$D$386,2)</f>
        <v>1</v>
      </c>
      <c r="O19" s="34">
        <f t="shared" si="0"/>
        <v>0.25974025974025972</v>
      </c>
      <c r="Q19" t="s">
        <v>18</v>
      </c>
      <c r="R19">
        <f>COUNTIFS($C$2:$C$386,19,$D$2:$D$386,2)</f>
        <v>4</v>
      </c>
      <c r="S19" s="34">
        <f t="shared" si="1"/>
        <v>1.0389610389610389</v>
      </c>
      <c r="U19" t="s">
        <v>48</v>
      </c>
      <c r="V19">
        <f>COUNTIFS($D$2:$D$386,2,$E$2:$E$386,8)</f>
        <v>1</v>
      </c>
      <c r="W19" s="34">
        <f t="shared" si="2"/>
        <v>0.25974025974025972</v>
      </c>
      <c r="Y19" s="4" t="s">
        <v>20</v>
      </c>
      <c r="Z19">
        <f>COUNTIFS($E$2:$E$386,5,$F$2:$F$386,2)</f>
        <v>6</v>
      </c>
      <c r="AA19" s="34">
        <f t="shared" si="3"/>
        <v>1.5584415584415585</v>
      </c>
      <c r="AH19" s="23">
        <f>SUM(AH2:AH18)</f>
        <v>3</v>
      </c>
      <c r="AI19" s="37">
        <f t="shared" si="5"/>
        <v>0.77922077922077926</v>
      </c>
      <c r="AK19" t="s">
        <v>21</v>
      </c>
      <c r="AL19">
        <f>COUNTIFS($G$2:$G$386,3,$J$2:$J$386,2)</f>
        <v>14</v>
      </c>
      <c r="AM19" s="34">
        <f t="shared" ref="AM19:AM24" si="10">(AL19/385)*100</f>
        <v>3.6363636363636362</v>
      </c>
      <c r="AP19" s="23">
        <f>SUM(AP14:AP18)</f>
        <v>6</v>
      </c>
      <c r="AQ19" s="37">
        <f t="shared" si="7"/>
        <v>1.5584415584415585</v>
      </c>
      <c r="AT19" s="22">
        <f>SUM(AT14:AT18)</f>
        <v>6</v>
      </c>
      <c r="AU19" s="35">
        <f t="shared" si="8"/>
        <v>1.5584415584415585</v>
      </c>
    </row>
    <row r="20" spans="1:47" ht="72" x14ac:dyDescent="0.3">
      <c r="A20" s="6" t="s">
        <v>107</v>
      </c>
      <c r="B20" s="7">
        <v>17</v>
      </c>
      <c r="C20" s="3">
        <v>21</v>
      </c>
      <c r="D20" s="11">
        <v>4</v>
      </c>
      <c r="E20" s="11">
        <v>3</v>
      </c>
      <c r="F20" s="7">
        <v>3</v>
      </c>
      <c r="G20" s="7">
        <v>3</v>
      </c>
      <c r="H20" s="7">
        <v>17</v>
      </c>
      <c r="I20" s="3">
        <v>17</v>
      </c>
      <c r="J20" s="3">
        <v>17</v>
      </c>
      <c r="K20" s="7">
        <v>4</v>
      </c>
      <c r="M20" t="s">
        <v>150</v>
      </c>
      <c r="N20">
        <f>COUNTIFS($B$2:$B$386,2,$D$2:$D$386,3)</f>
        <v>2</v>
      </c>
      <c r="O20" s="34">
        <f t="shared" si="0"/>
        <v>0.51948051948051943</v>
      </c>
      <c r="Q20" t="s">
        <v>150</v>
      </c>
      <c r="R20">
        <f>COUNTIFS($C$2:$C$386,19,$D$2:$D$386,3)</f>
        <v>5</v>
      </c>
      <c r="S20" s="34">
        <f t="shared" si="1"/>
        <v>1.2987012987012987</v>
      </c>
      <c r="U20" t="s">
        <v>50</v>
      </c>
      <c r="V20">
        <f>COUNTIFS($D$2:$D$386,2,$E$2:$E$386,9)</f>
        <v>0</v>
      </c>
      <c r="W20" s="34">
        <f t="shared" si="2"/>
        <v>0</v>
      </c>
      <c r="Y20" t="s">
        <v>27</v>
      </c>
      <c r="Z20">
        <f>COUNTIFS($E$2:$E$386,5,$F$2:$F$386,3)</f>
        <v>14</v>
      </c>
      <c r="AA20" s="34">
        <f t="shared" si="3"/>
        <v>3.6363636363636362</v>
      </c>
      <c r="AF20" s="4" t="s">
        <v>39606</v>
      </c>
      <c r="AG20" t="s">
        <v>14</v>
      </c>
      <c r="AH20">
        <f>COUNTIFS($G$2:$G$386,2,$H$2:$H$386,1)</f>
        <v>2</v>
      </c>
      <c r="AI20" s="34">
        <f>(AH20/385)*100</f>
        <v>0.51948051948051943</v>
      </c>
      <c r="AK20" t="s">
        <v>28</v>
      </c>
      <c r="AL20">
        <f>COUNTIFS($G$2:$G$386,3,$J$2:$J$386,3)</f>
        <v>6</v>
      </c>
      <c r="AM20" s="34">
        <f t="shared" si="10"/>
        <v>1.5584415584415585</v>
      </c>
      <c r="AN20" t="s">
        <v>35</v>
      </c>
      <c r="AO20" s="4" t="s">
        <v>39120</v>
      </c>
      <c r="AP20">
        <f>COUNTIFS($H$2:$H$386,4,$K$2:$K$386,1)</f>
        <v>0</v>
      </c>
      <c r="AQ20" s="34">
        <f>(AP20/385)*100</f>
        <v>0</v>
      </c>
      <c r="AR20" t="s">
        <v>3093</v>
      </c>
      <c r="AS20" s="4" t="s">
        <v>39120</v>
      </c>
      <c r="AT20">
        <f>COUNTIFS($J$2:$J$386,18,$K$2:$K$386,1)</f>
        <v>1</v>
      </c>
      <c r="AU20" s="34">
        <f>(AT20/385)*100</f>
        <v>0.25974025974025972</v>
      </c>
    </row>
    <row r="21" spans="1:47" ht="43.2" x14ac:dyDescent="0.3">
      <c r="A21" s="6" t="s">
        <v>1084</v>
      </c>
      <c r="B21" s="7">
        <v>14</v>
      </c>
      <c r="C21" s="3">
        <v>21</v>
      </c>
      <c r="D21" s="11">
        <v>4</v>
      </c>
      <c r="E21" s="11">
        <v>1</v>
      </c>
      <c r="F21" s="7">
        <v>3</v>
      </c>
      <c r="G21" s="7">
        <v>3</v>
      </c>
      <c r="H21" s="7">
        <v>17</v>
      </c>
      <c r="I21" s="3">
        <v>17</v>
      </c>
      <c r="J21" s="3">
        <v>17</v>
      </c>
      <c r="K21" s="7">
        <v>4</v>
      </c>
      <c r="M21" t="s">
        <v>25</v>
      </c>
      <c r="N21">
        <f>COUNTIFS($B$2:$B$386,2,$D$2:$D$386,4)</f>
        <v>4</v>
      </c>
      <c r="O21" s="34">
        <f t="shared" si="0"/>
        <v>1.0389610389610389</v>
      </c>
      <c r="Q21" t="s">
        <v>25</v>
      </c>
      <c r="R21">
        <f>COUNTIFS($C$2:$C$386,19,$D$2:$D$386,4)</f>
        <v>25</v>
      </c>
      <c r="S21" s="34">
        <f t="shared" si="1"/>
        <v>6.4935064935064926</v>
      </c>
      <c r="V21" s="22">
        <f>SUM(V12:V20)</f>
        <v>30</v>
      </c>
      <c r="W21" s="35">
        <f t="shared" si="2"/>
        <v>7.7922077922077921</v>
      </c>
      <c r="Z21" s="23">
        <f>SUM(Z18:Z20)</f>
        <v>23</v>
      </c>
      <c r="AA21" s="37">
        <f t="shared" si="3"/>
        <v>5.9740259740259738</v>
      </c>
      <c r="AG21" t="s">
        <v>21</v>
      </c>
      <c r="AH21">
        <f>COUNTIFS($G$2:$G$386,2,$H$2:$H$386,2)</f>
        <v>1</v>
      </c>
      <c r="AI21" s="34">
        <f t="shared" si="5"/>
        <v>0.25974025974025972</v>
      </c>
      <c r="AK21" t="s">
        <v>3093</v>
      </c>
      <c r="AL21">
        <f>COUNTIFS($G$2:$G$386,3,$J$2:$J$386,18)</f>
        <v>0</v>
      </c>
      <c r="AM21" s="34">
        <f t="shared" si="10"/>
        <v>0</v>
      </c>
      <c r="AO21" s="4" t="s">
        <v>39121</v>
      </c>
      <c r="AP21">
        <f>COUNTIFS($H$2:$H$386,4,$K$2:$K$386,2)</f>
        <v>2</v>
      </c>
      <c r="AQ21" s="34">
        <f t="shared" si="7"/>
        <v>0.51948051948051943</v>
      </c>
      <c r="AS21" s="4" t="s">
        <v>39121</v>
      </c>
      <c r="AT21">
        <f>COUNTIFS($J$2:$J$386,18,$K$2:$K$386,2)</f>
        <v>4</v>
      </c>
      <c r="AU21" s="34">
        <f t="shared" si="8"/>
        <v>1.0389610389610389</v>
      </c>
    </row>
    <row r="22" spans="1:47" ht="57.6" x14ac:dyDescent="0.3">
      <c r="A22" t="s">
        <v>2905</v>
      </c>
      <c r="B22" s="7">
        <v>10</v>
      </c>
      <c r="C22" s="3">
        <v>20</v>
      </c>
      <c r="D22" s="3">
        <v>15</v>
      </c>
      <c r="E22" s="3">
        <v>3</v>
      </c>
      <c r="F22" s="3">
        <v>3</v>
      </c>
      <c r="G22" s="3">
        <v>3</v>
      </c>
      <c r="H22" s="3">
        <v>17</v>
      </c>
      <c r="I22" s="3">
        <v>17</v>
      </c>
      <c r="J22" s="3">
        <v>17</v>
      </c>
      <c r="K22" s="3">
        <v>4</v>
      </c>
      <c r="M22" t="s">
        <v>32</v>
      </c>
      <c r="N22">
        <f>COUNTIFS($B$2:$B$386,2,$D$2:$D$386,5)</f>
        <v>0</v>
      </c>
      <c r="O22" s="34">
        <f t="shared" si="0"/>
        <v>0</v>
      </c>
      <c r="Q22" t="s">
        <v>32</v>
      </c>
      <c r="R22">
        <f>COUNTIFS($C$2:$C$386,19,$D$2:$D$386,5)</f>
        <v>4</v>
      </c>
      <c r="S22" s="34">
        <f t="shared" si="1"/>
        <v>1.0389610389610389</v>
      </c>
      <c r="T22" t="s">
        <v>150</v>
      </c>
      <c r="U22" t="s">
        <v>10</v>
      </c>
      <c r="V22">
        <f>COUNTIFS($D$2:$D$386,3,$E$2:$E$386,1)</f>
        <v>3</v>
      </c>
      <c r="W22" s="34">
        <f>(V22/385)*100</f>
        <v>0.77922077922077926</v>
      </c>
      <c r="X22" t="s">
        <v>42</v>
      </c>
      <c r="Y22" t="s">
        <v>13</v>
      </c>
      <c r="Z22">
        <f>COUNTIFS($E$2:$E$386,6,$F$2:$F$386,1)</f>
        <v>6</v>
      </c>
      <c r="AA22" s="34">
        <f>(Z22/385)*100</f>
        <v>1.5584415584415585</v>
      </c>
      <c r="AG22" t="s">
        <v>28</v>
      </c>
      <c r="AH22">
        <f>COUNTIFS($G$2:$G$386,2,$H$2:$H$386,3)</f>
        <v>0</v>
      </c>
      <c r="AI22" s="34">
        <f t="shared" si="5"/>
        <v>0</v>
      </c>
      <c r="AK22" t="s">
        <v>3094</v>
      </c>
      <c r="AL22">
        <f>COUNTIFS($G$2:$G$386,3,$J$2:$J$386,19)</f>
        <v>3</v>
      </c>
      <c r="AM22" s="34">
        <f t="shared" si="10"/>
        <v>0.77922077922077926</v>
      </c>
      <c r="AO22" s="4" t="s">
        <v>39125</v>
      </c>
      <c r="AP22">
        <f>COUNTIFS($H$2:$H$386,4,$K$2:$K$386,3)</f>
        <v>1</v>
      </c>
      <c r="AQ22" s="34">
        <f t="shared" si="7"/>
        <v>0.25974025974025972</v>
      </c>
      <c r="AS22" s="4" t="s">
        <v>39125</v>
      </c>
      <c r="AT22">
        <f>COUNTIFS($J$2:$J$386,18,$K$2:$K$386,3)</f>
        <v>1</v>
      </c>
      <c r="AU22" s="34">
        <f t="shared" si="8"/>
        <v>0.25974025974025972</v>
      </c>
    </row>
    <row r="23" spans="1:47" ht="28.8" x14ac:dyDescent="0.3">
      <c r="A23" s="6" t="s">
        <v>758</v>
      </c>
      <c r="B23" s="7">
        <v>15</v>
      </c>
      <c r="C23" s="3">
        <v>21</v>
      </c>
      <c r="D23" s="11">
        <v>2</v>
      </c>
      <c r="E23" s="7">
        <v>3</v>
      </c>
      <c r="F23" s="11">
        <v>1</v>
      </c>
      <c r="G23" s="11">
        <v>3</v>
      </c>
      <c r="H23" s="11">
        <v>1</v>
      </c>
      <c r="I23" s="3">
        <v>1</v>
      </c>
      <c r="J23" s="3">
        <v>1</v>
      </c>
      <c r="K23" s="11">
        <v>5</v>
      </c>
      <c r="M23" t="s">
        <v>38</v>
      </c>
      <c r="N23">
        <f>COUNTIFS($B$2:$B$386,2,$D$2:$D$386,6)</f>
        <v>0</v>
      </c>
      <c r="O23" s="34">
        <f t="shared" si="0"/>
        <v>0</v>
      </c>
      <c r="Q23" t="s">
        <v>38</v>
      </c>
      <c r="R23">
        <f>COUNTIFS($C$2:$C$386,19,$D$2:$D$386,6)</f>
        <v>0</v>
      </c>
      <c r="S23" s="34">
        <f t="shared" si="1"/>
        <v>0</v>
      </c>
      <c r="U23" t="s">
        <v>17</v>
      </c>
      <c r="V23">
        <f>COUNTIFS($D$2:$D$386,3,$E$2:$E$386,2)</f>
        <v>0</v>
      </c>
      <c r="W23" s="34">
        <f t="shared" si="2"/>
        <v>0</v>
      </c>
      <c r="Y23" s="4" t="s">
        <v>20</v>
      </c>
      <c r="Z23">
        <f>COUNTIFS($E$2:$E$386,6,$F$2:$F$386,2)</f>
        <v>4</v>
      </c>
      <c r="AA23" s="34">
        <f t="shared" si="3"/>
        <v>1.0389610389610389</v>
      </c>
      <c r="AG23" t="s">
        <v>35</v>
      </c>
      <c r="AH23">
        <f>COUNTIFS($G$2:$G$386,2,$H$2:$H$386,4)</f>
        <v>3</v>
      </c>
      <c r="AI23" s="34">
        <f t="shared" si="5"/>
        <v>0.77922077922077926</v>
      </c>
      <c r="AK23" t="s">
        <v>50</v>
      </c>
      <c r="AL23">
        <f>COUNTIFS($G$2:$G$386,3,$J$2:$J$386,16)</f>
        <v>16</v>
      </c>
      <c r="AM23" s="34">
        <f t="shared" si="10"/>
        <v>4.1558441558441555</v>
      </c>
      <c r="AO23" s="4" t="s">
        <v>39122</v>
      </c>
      <c r="AP23">
        <f>COUNTIFS($H$2:$H$386,4,$K$2:$K$386,4)</f>
        <v>0</v>
      </c>
      <c r="AQ23" s="34">
        <f t="shared" si="7"/>
        <v>0</v>
      </c>
      <c r="AS23" s="4" t="s">
        <v>39122</v>
      </c>
      <c r="AT23">
        <f>COUNTIFS($J$2:$J$386,18,$K$2:$K$386,4)</f>
        <v>0</v>
      </c>
      <c r="AU23" s="34">
        <f t="shared" si="8"/>
        <v>0</v>
      </c>
    </row>
    <row r="24" spans="1:47" ht="28.8" x14ac:dyDescent="0.3">
      <c r="A24" s="6" t="s">
        <v>495</v>
      </c>
      <c r="B24" s="7">
        <v>16</v>
      </c>
      <c r="C24" s="3">
        <v>21</v>
      </c>
      <c r="D24" s="11">
        <v>4</v>
      </c>
      <c r="E24" s="11">
        <v>1</v>
      </c>
      <c r="F24" s="7">
        <v>3</v>
      </c>
      <c r="G24" s="7">
        <v>3</v>
      </c>
      <c r="H24" s="7">
        <v>17</v>
      </c>
      <c r="I24" s="3">
        <v>17</v>
      </c>
      <c r="J24" s="3">
        <v>17</v>
      </c>
      <c r="K24" s="7">
        <v>4</v>
      </c>
      <c r="M24" t="s">
        <v>151</v>
      </c>
      <c r="N24">
        <f>COUNTIFS($B$2:$B$386,2,$D$2:$D$386,7)</f>
        <v>0</v>
      </c>
      <c r="O24" s="34">
        <f t="shared" si="0"/>
        <v>0</v>
      </c>
      <c r="Q24" t="s">
        <v>151</v>
      </c>
      <c r="R24">
        <f>COUNTIFS($C$2:$C$386,19,$D$2:$D$386,7)</f>
        <v>0</v>
      </c>
      <c r="S24" s="34">
        <f t="shared" si="1"/>
        <v>0</v>
      </c>
      <c r="U24" t="s">
        <v>24</v>
      </c>
      <c r="V24">
        <f>COUNTIFS($D$2:$D$386,3,$E$2:$E$386,3)</f>
        <v>20</v>
      </c>
      <c r="W24" s="34">
        <f t="shared" si="2"/>
        <v>5.1948051948051948</v>
      </c>
      <c r="Y24" t="s">
        <v>27</v>
      </c>
      <c r="Z24">
        <f>COUNTIFS($E$2:$E$386,6,$F$2:$F$386,3)</f>
        <v>12</v>
      </c>
      <c r="AA24" s="34">
        <f t="shared" si="3"/>
        <v>3.116883116883117</v>
      </c>
      <c r="AG24" t="s">
        <v>40</v>
      </c>
      <c r="AH24">
        <f>COUNTIFS($G$2:$G$386,2,$H$2:$H$386,5)</f>
        <v>0</v>
      </c>
      <c r="AI24" s="34">
        <f t="shared" si="5"/>
        <v>0</v>
      </c>
      <c r="AK24" t="s">
        <v>3095</v>
      </c>
      <c r="AL24">
        <f>COUNTIFS($G$2:$G$386,3,$J$2:$J$386,17)</f>
        <v>237</v>
      </c>
      <c r="AM24" s="34">
        <f t="shared" si="10"/>
        <v>61.558441558441558</v>
      </c>
      <c r="AO24" s="4" t="s">
        <v>39123</v>
      </c>
      <c r="AP24">
        <f>COUNTIFS($H$2:$H$386,4,$K$2:$K$386,5)</f>
        <v>0</v>
      </c>
      <c r="AQ24" s="34">
        <f t="shared" si="7"/>
        <v>0</v>
      </c>
      <c r="AS24" s="4" t="s">
        <v>39123</v>
      </c>
      <c r="AT24">
        <f>COUNTIFS($J$2:$J$386,18,$K$2:$K$386,5)</f>
        <v>0</v>
      </c>
      <c r="AU24" s="34">
        <f t="shared" si="8"/>
        <v>0</v>
      </c>
    </row>
    <row r="25" spans="1:47" x14ac:dyDescent="0.3">
      <c r="A25" t="s">
        <v>1363</v>
      </c>
      <c r="B25" s="7">
        <v>13</v>
      </c>
      <c r="C25" s="3">
        <v>21</v>
      </c>
      <c r="D25" s="3">
        <v>4</v>
      </c>
      <c r="E25" s="3">
        <v>3</v>
      </c>
      <c r="F25" s="7">
        <v>3</v>
      </c>
      <c r="G25" s="7">
        <v>3</v>
      </c>
      <c r="H25" s="7">
        <v>17</v>
      </c>
      <c r="I25" s="3">
        <v>17</v>
      </c>
      <c r="J25" s="3">
        <v>17</v>
      </c>
      <c r="K25" s="7">
        <v>4</v>
      </c>
      <c r="M25" t="s">
        <v>43</v>
      </c>
      <c r="N25">
        <f>COUNTIFS($B$2:$B$386,2,$D$2:$D$386,8)</f>
        <v>0</v>
      </c>
      <c r="O25" s="34">
        <f t="shared" si="0"/>
        <v>0</v>
      </c>
      <c r="Q25" t="s">
        <v>43</v>
      </c>
      <c r="R25">
        <f>COUNTIFS($C$2:$C$386,19,$D$2:$D$386,8)</f>
        <v>1</v>
      </c>
      <c r="S25" s="34">
        <f t="shared" si="1"/>
        <v>0.25974025974025972</v>
      </c>
      <c r="U25" t="s">
        <v>31</v>
      </c>
      <c r="V25">
        <f>COUNTIFS($D$2:$D$386,3,$E$2:$E$386,4)</f>
        <v>0</v>
      </c>
      <c r="W25" s="34">
        <f t="shared" si="2"/>
        <v>0</v>
      </c>
      <c r="Z25" s="23">
        <f>SUM(Z22:Z24)</f>
        <v>22</v>
      </c>
      <c r="AA25" s="37">
        <f t="shared" si="3"/>
        <v>5.7142857142857144</v>
      </c>
      <c r="AG25" t="s">
        <v>44</v>
      </c>
      <c r="AH25">
        <f>COUNTIFS($G$2:$G$386,2,$H$2:$H$386,6)</f>
        <v>0</v>
      </c>
      <c r="AI25" s="34">
        <f t="shared" si="5"/>
        <v>0</v>
      </c>
      <c r="AL25" s="22">
        <f>SUM(AL18:AL24)</f>
        <v>349</v>
      </c>
      <c r="AM25" s="35">
        <f>(AL25/385)*100</f>
        <v>90.649350649350652</v>
      </c>
      <c r="AP25" s="23">
        <f>SUM(AP20:AP24)</f>
        <v>3</v>
      </c>
      <c r="AQ25" s="37">
        <f t="shared" si="7"/>
        <v>0.77922077922077926</v>
      </c>
      <c r="AT25" s="22">
        <f>SUM(AT20:AT24)</f>
        <v>6</v>
      </c>
      <c r="AU25" s="35">
        <f t="shared" si="8"/>
        <v>1.5584415584415585</v>
      </c>
    </row>
    <row r="26" spans="1:47" ht="43.2" x14ac:dyDescent="0.3">
      <c r="A26" s="6" t="s">
        <v>780</v>
      </c>
      <c r="B26" s="7">
        <v>15</v>
      </c>
      <c r="C26" s="3">
        <v>21</v>
      </c>
      <c r="D26" s="11">
        <v>14</v>
      </c>
      <c r="E26" s="7">
        <v>1</v>
      </c>
      <c r="F26" s="7">
        <v>2</v>
      </c>
      <c r="G26" s="7">
        <v>3</v>
      </c>
      <c r="H26" s="7">
        <v>17</v>
      </c>
      <c r="I26" s="3">
        <v>17</v>
      </c>
      <c r="J26" s="3">
        <v>17</v>
      </c>
      <c r="K26" s="7">
        <v>4</v>
      </c>
      <c r="M26" t="s">
        <v>46</v>
      </c>
      <c r="N26">
        <f>COUNTIFS($B$2:$B$386,2,$D$2:$D$386,9)</f>
        <v>0</v>
      </c>
      <c r="O26" s="34">
        <f t="shared" si="0"/>
        <v>0</v>
      </c>
      <c r="Q26" t="s">
        <v>46</v>
      </c>
      <c r="R26">
        <f>COUNTIFS($C$2:$C$386,19,$D$2:$D$386,9)</f>
        <v>2</v>
      </c>
      <c r="S26" s="34">
        <f t="shared" si="1"/>
        <v>0.51948051948051943</v>
      </c>
      <c r="U26" t="s">
        <v>37</v>
      </c>
      <c r="V26">
        <f>COUNTIFS($D$2:$D$386,3,$E$2:$E$386,5)</f>
        <v>4</v>
      </c>
      <c r="W26" s="34">
        <f t="shared" si="2"/>
        <v>1.0389610389610389</v>
      </c>
      <c r="X26" t="s">
        <v>45</v>
      </c>
      <c r="Y26" t="s">
        <v>13</v>
      </c>
      <c r="Z26">
        <f>COUNTIFS($E$2:$E$386,7,$F$2:$F$386,1)</f>
        <v>4</v>
      </c>
      <c r="AA26" s="34">
        <f>(Z26/385)*100</f>
        <v>1.0389610389610389</v>
      </c>
      <c r="AG26" t="s">
        <v>47</v>
      </c>
      <c r="AH26">
        <f>COUNTIFS($G$2:$G$386,2,$H$2:$H$386,7)</f>
        <v>0</v>
      </c>
      <c r="AI26" s="34">
        <f t="shared" si="5"/>
        <v>0</v>
      </c>
      <c r="AJ26" s="4" t="s">
        <v>34</v>
      </c>
      <c r="AK26" t="s">
        <v>14</v>
      </c>
      <c r="AL26">
        <f>COUNTIFS($G$2:$G$386,4,$J$2:$J$386,1)</f>
        <v>0</v>
      </c>
      <c r="AM26" s="34">
        <f>(AL26/385)*100</f>
        <v>0</v>
      </c>
      <c r="AN26" t="s">
        <v>40</v>
      </c>
      <c r="AO26" s="4" t="s">
        <v>39120</v>
      </c>
      <c r="AP26">
        <f>COUNTIFS($H$2:$H$386,5,$K$2:$K$386,1)</f>
        <v>0</v>
      </c>
      <c r="AQ26" s="34">
        <f>(AP26/385)*100</f>
        <v>0</v>
      </c>
      <c r="AR26" t="s">
        <v>3094</v>
      </c>
      <c r="AS26" s="4" t="s">
        <v>39120</v>
      </c>
      <c r="AT26">
        <f>COUNTIFS($J$2:$J$386,19,$K$2:$K$386,1)</f>
        <v>0</v>
      </c>
      <c r="AU26" s="34">
        <f>(AT26/385)*100</f>
        <v>0</v>
      </c>
    </row>
    <row r="27" spans="1:47" ht="43.2" x14ac:dyDescent="0.3">
      <c r="A27" t="s">
        <v>1627</v>
      </c>
      <c r="B27" s="7">
        <v>11</v>
      </c>
      <c r="C27" s="3">
        <v>20</v>
      </c>
      <c r="D27" s="3">
        <v>4</v>
      </c>
      <c r="E27" s="3">
        <v>3</v>
      </c>
      <c r="F27" s="3">
        <v>3</v>
      </c>
      <c r="G27" s="3">
        <v>3</v>
      </c>
      <c r="H27" s="3">
        <v>17</v>
      </c>
      <c r="I27" s="3">
        <v>17</v>
      </c>
      <c r="J27" s="3">
        <v>17</v>
      </c>
      <c r="K27" s="3">
        <v>4</v>
      </c>
      <c r="M27" t="s">
        <v>152</v>
      </c>
      <c r="N27">
        <f>COUNTIFS($B$2:$B$386,2,$D$2:$D$386,10)</f>
        <v>0</v>
      </c>
      <c r="O27" s="34">
        <f t="shared" si="0"/>
        <v>0</v>
      </c>
      <c r="Q27" t="s">
        <v>152</v>
      </c>
      <c r="R27">
        <f>COUNTIFS($C$2:$C$386,19,$D$2:$D$386,10)</f>
        <v>0</v>
      </c>
      <c r="S27" s="34">
        <f t="shared" si="1"/>
        <v>0</v>
      </c>
      <c r="U27" t="s">
        <v>42</v>
      </c>
      <c r="V27">
        <f>COUNTIFS($D$2:$D$386,3,$E$2:$E$386,6)</f>
        <v>3</v>
      </c>
      <c r="W27" s="34">
        <f t="shared" si="2"/>
        <v>0.77922077922077926</v>
      </c>
      <c r="Y27" s="4" t="s">
        <v>20</v>
      </c>
      <c r="Z27">
        <f>COUNTIFS($E$2:$E$386,7,$F$2:$F$386,2)</f>
        <v>0</v>
      </c>
      <c r="AA27" s="34">
        <f t="shared" si="3"/>
        <v>0</v>
      </c>
      <c r="AG27" t="s">
        <v>1637</v>
      </c>
      <c r="AH27">
        <f>COUNTIFS($G$2:$G$386,2,$H$2:$H$386,8)</f>
        <v>0</v>
      </c>
      <c r="AI27" s="34">
        <f t="shared" si="5"/>
        <v>0</v>
      </c>
      <c r="AK27" t="s">
        <v>21</v>
      </c>
      <c r="AL27">
        <f>COUNTIFS($G$2:$G$386,4,$J$2:$J$386,2)</f>
        <v>0</v>
      </c>
      <c r="AM27" s="34">
        <f t="shared" ref="AM27:AM32" si="11">(AL27/385)*100</f>
        <v>0</v>
      </c>
      <c r="AO27" s="4" t="s">
        <v>39121</v>
      </c>
      <c r="AP27">
        <f>COUNTIFS($H$2:$H$386,5,$K$2:$K$386,2)</f>
        <v>0</v>
      </c>
      <c r="AQ27" s="34">
        <f t="shared" si="7"/>
        <v>0</v>
      </c>
      <c r="AS27" s="4" t="s">
        <v>39121</v>
      </c>
      <c r="AT27">
        <f>COUNTIFS($J$2:$J$386,19,$K$2:$K$386,2)</f>
        <v>0</v>
      </c>
      <c r="AU27" s="34">
        <f t="shared" si="8"/>
        <v>0</v>
      </c>
    </row>
    <row r="28" spans="1:47" ht="57.6" x14ac:dyDescent="0.3">
      <c r="A28" s="6" t="s">
        <v>488</v>
      </c>
      <c r="B28" s="7">
        <v>16</v>
      </c>
      <c r="C28" s="3">
        <v>21</v>
      </c>
      <c r="D28" s="11">
        <v>4</v>
      </c>
      <c r="E28" s="11">
        <v>1</v>
      </c>
      <c r="F28" s="7">
        <v>3</v>
      </c>
      <c r="G28" s="7">
        <v>3</v>
      </c>
      <c r="H28" s="7">
        <v>17</v>
      </c>
      <c r="I28" s="3">
        <v>17</v>
      </c>
      <c r="J28" s="3">
        <v>17</v>
      </c>
      <c r="K28" s="7">
        <v>4</v>
      </c>
      <c r="M28" t="s">
        <v>49</v>
      </c>
      <c r="N28">
        <f>COUNTIFS($B$2:$B$386,2,$D$2:$D$386,11)</f>
        <v>0</v>
      </c>
      <c r="O28" s="34">
        <f t="shared" si="0"/>
        <v>0</v>
      </c>
      <c r="Q28" t="s">
        <v>49</v>
      </c>
      <c r="R28">
        <f>COUNTIFS($C$2:$C$386,19,$D$2:$D$386,11)</f>
        <v>0</v>
      </c>
      <c r="S28" s="34">
        <f t="shared" si="1"/>
        <v>0</v>
      </c>
      <c r="U28" t="s">
        <v>45</v>
      </c>
      <c r="V28">
        <f>COUNTIFS($D$2:$D$386,3,$E$2:$E$386,7)</f>
        <v>0</v>
      </c>
      <c r="W28" s="34">
        <f t="shared" si="2"/>
        <v>0</v>
      </c>
      <c r="Y28" t="s">
        <v>27</v>
      </c>
      <c r="Z28">
        <f>COUNTIFS($E$2:$E$386,7,$F$2:$F$386,3)</f>
        <v>9</v>
      </c>
      <c r="AA28" s="34">
        <f t="shared" si="3"/>
        <v>2.3376623376623376</v>
      </c>
      <c r="AG28" t="s">
        <v>1638</v>
      </c>
      <c r="AH28">
        <f>COUNTIFS($G$2:$G$386,2,$H$2:$H$386,9)</f>
        <v>2</v>
      </c>
      <c r="AI28" s="34">
        <f t="shared" si="5"/>
        <v>0.51948051948051943</v>
      </c>
      <c r="AK28" t="s">
        <v>28</v>
      </c>
      <c r="AL28">
        <f>COUNTIFS($G$2:$G$386,4,$J$2:$J$386,3)</f>
        <v>0</v>
      </c>
      <c r="AM28" s="34">
        <f t="shared" si="11"/>
        <v>0</v>
      </c>
      <c r="AO28" s="4" t="s">
        <v>39125</v>
      </c>
      <c r="AP28">
        <f>COUNTIFS($H$2:$H$386,5,$K$2:$K$386,3)</f>
        <v>0</v>
      </c>
      <c r="AQ28" s="34">
        <f t="shared" si="7"/>
        <v>0</v>
      </c>
      <c r="AS28" s="4" t="s">
        <v>39125</v>
      </c>
      <c r="AT28">
        <f>COUNTIFS($J$2:$J$386,19,$K$2:$K$386,3)</f>
        <v>3</v>
      </c>
      <c r="AU28" s="34">
        <f t="shared" si="8"/>
        <v>0.77922077922077926</v>
      </c>
    </row>
    <row r="29" spans="1:47" ht="28.8" x14ac:dyDescent="0.3">
      <c r="A29" t="s">
        <v>2175</v>
      </c>
      <c r="B29" s="7">
        <v>4</v>
      </c>
      <c r="C29" s="3">
        <v>18</v>
      </c>
      <c r="D29" s="3">
        <v>8</v>
      </c>
      <c r="E29" s="3">
        <v>3</v>
      </c>
      <c r="F29" s="7">
        <v>3</v>
      </c>
      <c r="G29" s="7">
        <v>3</v>
      </c>
      <c r="H29" s="7">
        <v>17</v>
      </c>
      <c r="I29" s="3">
        <v>17</v>
      </c>
      <c r="J29" s="3">
        <v>17</v>
      </c>
      <c r="K29" s="7">
        <v>4</v>
      </c>
      <c r="M29" t="s">
        <v>51</v>
      </c>
      <c r="N29">
        <f>COUNTIFS($B$2:$B$386,2,$D$2:$D$386,12)</f>
        <v>0</v>
      </c>
      <c r="O29" s="34">
        <f t="shared" si="0"/>
        <v>0</v>
      </c>
      <c r="Q29" t="s">
        <v>51</v>
      </c>
      <c r="R29">
        <f>COUNTIFS($C$2:$C$386,19,$D$2:$D$386,12)</f>
        <v>0</v>
      </c>
      <c r="S29" s="34">
        <f t="shared" si="1"/>
        <v>0</v>
      </c>
      <c r="U29" t="s">
        <v>48</v>
      </c>
      <c r="V29">
        <f>COUNTIFS($D$2:$D$386,3,$E$2:$E$386,8)</f>
        <v>0</v>
      </c>
      <c r="W29" s="34">
        <f t="shared" si="2"/>
        <v>0</v>
      </c>
      <c r="Z29" s="23">
        <f>SUM(Z26:Z28)</f>
        <v>13</v>
      </c>
      <c r="AA29" s="37">
        <f t="shared" si="3"/>
        <v>3.3766233766233764</v>
      </c>
      <c r="AG29" t="s">
        <v>1639</v>
      </c>
      <c r="AH29">
        <f>COUNTIFS($G$2:$G$386,2,$H$2:$H$386,10)</f>
        <v>0</v>
      </c>
      <c r="AI29" s="34">
        <f t="shared" si="5"/>
        <v>0</v>
      </c>
      <c r="AK29" t="s">
        <v>3093</v>
      </c>
      <c r="AL29">
        <f>COUNTIFS($G$2:$G$386,4,$J$2:$J$386,18)</f>
        <v>0</v>
      </c>
      <c r="AM29" s="34">
        <f t="shared" si="11"/>
        <v>0</v>
      </c>
      <c r="AO29" s="4" t="s">
        <v>39122</v>
      </c>
      <c r="AP29">
        <f>COUNTIFS($H$2:$H$386,5,$K$2:$K$386,4)</f>
        <v>0</v>
      </c>
      <c r="AQ29" s="34">
        <f t="shared" si="7"/>
        <v>0</v>
      </c>
      <c r="AS29" s="4" t="s">
        <v>39122</v>
      </c>
      <c r="AT29">
        <f>COUNTIFS($J$2:$J$386,19,$K$2:$K$386,4)</f>
        <v>2</v>
      </c>
      <c r="AU29" s="34">
        <f t="shared" si="8"/>
        <v>0.51948051948051943</v>
      </c>
    </row>
    <row r="30" spans="1:47" ht="28.8" x14ac:dyDescent="0.3">
      <c r="A30" t="s">
        <v>2977</v>
      </c>
      <c r="B30" s="7">
        <v>6</v>
      </c>
      <c r="C30" s="3">
        <v>19</v>
      </c>
      <c r="D30" s="3">
        <v>4</v>
      </c>
      <c r="E30" s="3">
        <v>3</v>
      </c>
      <c r="F30" s="3">
        <v>3</v>
      </c>
      <c r="G30" s="3">
        <v>3</v>
      </c>
      <c r="H30" s="3">
        <v>17</v>
      </c>
      <c r="I30" s="3">
        <v>17</v>
      </c>
      <c r="J30" s="3">
        <v>17</v>
      </c>
      <c r="K30" s="3">
        <v>4</v>
      </c>
      <c r="M30" t="s">
        <v>153</v>
      </c>
      <c r="N30">
        <f>COUNTIFS($B$2:$B$386,2,$D$2:$D$386,13)</f>
        <v>1</v>
      </c>
      <c r="O30" s="34">
        <f t="shared" si="0"/>
        <v>0.25974025974025972</v>
      </c>
      <c r="Q30" t="s">
        <v>153</v>
      </c>
      <c r="R30">
        <f>COUNTIFS($C$2:$C$386,19,$D$2:$D$386,13)</f>
        <v>0</v>
      </c>
      <c r="S30" s="34">
        <f t="shared" si="1"/>
        <v>0</v>
      </c>
      <c r="U30" t="s">
        <v>50</v>
      </c>
      <c r="V30">
        <f>COUNTIFS($D$2:$D$386,3,$E$2:$E$386,9)</f>
        <v>2</v>
      </c>
      <c r="W30" s="34">
        <f t="shared" si="2"/>
        <v>0.51948051948051943</v>
      </c>
      <c r="X30" t="s">
        <v>48</v>
      </c>
      <c r="Y30" t="s">
        <v>13</v>
      </c>
      <c r="Z30">
        <f>COUNTIFS($E$2:$E$386,8,$F$2:$F$386,1)</f>
        <v>11</v>
      </c>
      <c r="AA30" s="34">
        <f>(Z30/385)*100</f>
        <v>2.8571428571428572</v>
      </c>
      <c r="AG30" t="s">
        <v>1640</v>
      </c>
      <c r="AH30">
        <f>COUNTIFS($G$2:$G$386,2,$H$2:$H$386,11)</f>
        <v>0</v>
      </c>
      <c r="AI30" s="34">
        <f t="shared" si="5"/>
        <v>0</v>
      </c>
      <c r="AK30" t="s">
        <v>3094</v>
      </c>
      <c r="AL30">
        <f>COUNTIFS($G$2:$G$386,4,$J$2:$J$386,19)</f>
        <v>0</v>
      </c>
      <c r="AM30" s="34">
        <f t="shared" si="11"/>
        <v>0</v>
      </c>
      <c r="AO30" s="4" t="s">
        <v>39123</v>
      </c>
      <c r="AP30">
        <f>COUNTIFS($H$2:$H$386,5,$K$2:$K$386,5)</f>
        <v>0</v>
      </c>
      <c r="AQ30" s="34">
        <f t="shared" si="7"/>
        <v>0</v>
      </c>
      <c r="AS30" s="4" t="s">
        <v>39123</v>
      </c>
      <c r="AT30">
        <f>COUNTIFS($J$2:$J$386,19,$K$2:$K$386,5)</f>
        <v>0</v>
      </c>
      <c r="AU30" s="34">
        <f t="shared" si="8"/>
        <v>0</v>
      </c>
    </row>
    <row r="31" spans="1:47" x14ac:dyDescent="0.3">
      <c r="A31" t="s">
        <v>2109</v>
      </c>
      <c r="B31" s="7">
        <v>4</v>
      </c>
      <c r="C31" s="3">
        <v>18</v>
      </c>
      <c r="D31" s="3">
        <v>1</v>
      </c>
      <c r="E31" s="3">
        <v>1</v>
      </c>
      <c r="F31" s="3">
        <v>3</v>
      </c>
      <c r="G31" s="3">
        <v>3</v>
      </c>
      <c r="H31" s="3">
        <v>17</v>
      </c>
      <c r="I31" s="3">
        <v>17</v>
      </c>
      <c r="J31" s="3">
        <v>17</v>
      </c>
      <c r="K31" s="3">
        <v>4</v>
      </c>
      <c r="M31" t="s">
        <v>154</v>
      </c>
      <c r="N31">
        <f>COUNTIFS($B$2:$B$386,2,$D$2:$D$386,14)</f>
        <v>0</v>
      </c>
      <c r="O31" s="34">
        <f t="shared" si="0"/>
        <v>0</v>
      </c>
      <c r="Q31" t="s">
        <v>154</v>
      </c>
      <c r="R31">
        <f>COUNTIFS($C$2:$C$386,19,$D$2:$D$386,14)</f>
        <v>1</v>
      </c>
      <c r="S31" s="34">
        <f t="shared" si="1"/>
        <v>0.25974025974025972</v>
      </c>
      <c r="V31" s="22">
        <f>SUM(V22:V30)</f>
        <v>32</v>
      </c>
      <c r="W31" s="35">
        <f t="shared" si="2"/>
        <v>8.3116883116883109</v>
      </c>
      <c r="Y31" s="4" t="s">
        <v>20</v>
      </c>
      <c r="Z31">
        <f>COUNTIFS($E$2:$E$386,8,$F$2:$F$386,2)</f>
        <v>17</v>
      </c>
      <c r="AA31" s="34">
        <f t="shared" si="3"/>
        <v>4.4155844155844157</v>
      </c>
      <c r="AG31" t="s">
        <v>1641</v>
      </c>
      <c r="AH31">
        <f>COUNTIFS($G$2:$G$386,2,$H$2:$H$386,12)</f>
        <v>0</v>
      </c>
      <c r="AI31" s="34">
        <f t="shared" si="5"/>
        <v>0</v>
      </c>
      <c r="AK31" t="s">
        <v>50</v>
      </c>
      <c r="AL31">
        <f>COUNTIFS($G$2:$G$386,4,$J$2:$J$386,16)</f>
        <v>0</v>
      </c>
      <c r="AM31" s="34">
        <f t="shared" si="11"/>
        <v>0</v>
      </c>
      <c r="AP31" s="23">
        <f>SUM(AP26:AP30)</f>
        <v>0</v>
      </c>
      <c r="AQ31" s="37">
        <f t="shared" si="7"/>
        <v>0</v>
      </c>
      <c r="AT31" s="22">
        <f>SUM(AT26:AT30)</f>
        <v>5</v>
      </c>
      <c r="AU31" s="35">
        <f t="shared" si="8"/>
        <v>1.2987012987012987</v>
      </c>
    </row>
    <row r="32" spans="1:47" ht="43.2" x14ac:dyDescent="0.3">
      <c r="A32" t="s">
        <v>2109</v>
      </c>
      <c r="B32" s="7">
        <v>4</v>
      </c>
      <c r="C32" s="3">
        <v>18</v>
      </c>
      <c r="D32" s="3">
        <v>4</v>
      </c>
      <c r="E32" s="3">
        <v>3</v>
      </c>
      <c r="F32" s="7">
        <v>3</v>
      </c>
      <c r="G32" s="7">
        <v>3</v>
      </c>
      <c r="H32" s="7">
        <v>17</v>
      </c>
      <c r="I32" s="3">
        <v>17</v>
      </c>
      <c r="J32" s="3">
        <v>17</v>
      </c>
      <c r="K32" s="7">
        <v>4</v>
      </c>
      <c r="M32" t="s">
        <v>52</v>
      </c>
      <c r="N32">
        <f>COUNTIFS($B$2:$B$386,2,$D$2:$D$386,15)</f>
        <v>0</v>
      </c>
      <c r="O32" s="34">
        <f t="shared" si="0"/>
        <v>0</v>
      </c>
      <c r="Q32" t="s">
        <v>52</v>
      </c>
      <c r="R32">
        <f>COUNTIFS($C$2:$C$386,19,$D$2:$D$386,15)</f>
        <v>5</v>
      </c>
      <c r="S32" s="34">
        <f t="shared" si="1"/>
        <v>1.2987012987012987</v>
      </c>
      <c r="T32" t="s">
        <v>25</v>
      </c>
      <c r="U32" t="s">
        <v>10</v>
      </c>
      <c r="V32">
        <f>COUNTIFS($D$2:$D$386,4,$E$2:$E$386,1)</f>
        <v>28</v>
      </c>
      <c r="W32" s="34">
        <f>(V32/385)*100</f>
        <v>7.2727272727272725</v>
      </c>
      <c r="Y32" t="s">
        <v>27</v>
      </c>
      <c r="Z32">
        <f>COUNTIFS($E$2:$E$386,8,$F$2:$F$386,3)</f>
        <v>10</v>
      </c>
      <c r="AA32" s="34">
        <f t="shared" si="3"/>
        <v>2.5974025974025974</v>
      </c>
      <c r="AG32" t="s">
        <v>1642</v>
      </c>
      <c r="AH32">
        <f>COUNTIFS($G$2:$G$386,2,$H$2:$H$386,13)</f>
        <v>0</v>
      </c>
      <c r="AI32" s="34">
        <f t="shared" si="5"/>
        <v>0</v>
      </c>
      <c r="AK32" t="s">
        <v>3095</v>
      </c>
      <c r="AL32">
        <f>COUNTIFS($G$2:$G$386,4,$J$2:$J$386,17)</f>
        <v>0</v>
      </c>
      <c r="AM32" s="34">
        <f t="shared" si="11"/>
        <v>0</v>
      </c>
      <c r="AN32" t="s">
        <v>44</v>
      </c>
      <c r="AO32" s="4" t="s">
        <v>39120</v>
      </c>
      <c r="AP32">
        <f>COUNTIFS($H$2:$H$386,6,$K$2:$K$386,1)</f>
        <v>0</v>
      </c>
      <c r="AQ32" s="34">
        <f>(AP32/385)*100</f>
        <v>0</v>
      </c>
      <c r="AR32" t="s">
        <v>50</v>
      </c>
      <c r="AS32" s="4" t="s">
        <v>39120</v>
      </c>
      <c r="AT32">
        <f>COUNTIFS($J$2:$J$386,16,$K$2:$K$386,1)</f>
        <v>0</v>
      </c>
      <c r="AU32" s="34">
        <f>(AT32/385)*100</f>
        <v>0</v>
      </c>
    </row>
    <row r="33" spans="1:47" ht="43.2" x14ac:dyDescent="0.3">
      <c r="A33" t="s">
        <v>1377</v>
      </c>
      <c r="B33" s="7">
        <v>13</v>
      </c>
      <c r="C33" s="3">
        <v>21</v>
      </c>
      <c r="D33" s="3">
        <v>8</v>
      </c>
      <c r="E33" s="3">
        <v>3</v>
      </c>
      <c r="F33" s="7">
        <v>3</v>
      </c>
      <c r="G33" s="7">
        <v>3</v>
      </c>
      <c r="H33" s="7">
        <v>17</v>
      </c>
      <c r="I33" s="3">
        <v>17</v>
      </c>
      <c r="J33" s="3">
        <v>17</v>
      </c>
      <c r="K33" s="7">
        <v>4</v>
      </c>
      <c r="N33" s="22">
        <f>SUM(N18:N32)</f>
        <v>11</v>
      </c>
      <c r="O33" s="35">
        <f t="shared" si="0"/>
        <v>2.8571428571428572</v>
      </c>
      <c r="R33" s="23">
        <f>SUM(R18:R32)</f>
        <v>55</v>
      </c>
      <c r="S33" s="37">
        <f t="shared" si="1"/>
        <v>14.285714285714285</v>
      </c>
      <c r="U33" t="s">
        <v>17</v>
      </c>
      <c r="V33">
        <f>COUNTIFS($D$2:$D$386,4,$E$2:$E$386,2)</f>
        <v>0</v>
      </c>
      <c r="W33" s="34">
        <f t="shared" si="2"/>
        <v>0</v>
      </c>
      <c r="Z33" s="23">
        <f>SUM(Z30:Z32)</f>
        <v>38</v>
      </c>
      <c r="AA33" s="37">
        <f t="shared" si="3"/>
        <v>9.8701298701298708</v>
      </c>
      <c r="AG33" t="s">
        <v>1643</v>
      </c>
      <c r="AH33">
        <f>COUNTIFS($G$2:$G$386,2,$H$2:$H$386,14)</f>
        <v>0</v>
      </c>
      <c r="AI33" s="34">
        <f t="shared" si="5"/>
        <v>0</v>
      </c>
      <c r="AL33" s="22">
        <f>SUM(AL26:AL32)</f>
        <v>0</v>
      </c>
      <c r="AM33" s="35">
        <f>(AL33/385)*100</f>
        <v>0</v>
      </c>
      <c r="AO33" s="4" t="s">
        <v>39121</v>
      </c>
      <c r="AP33">
        <f>COUNTIFS($H$2:$H$386,6,$K$2:$K$386,2)</f>
        <v>0</v>
      </c>
      <c r="AQ33" s="34">
        <f t="shared" si="7"/>
        <v>0</v>
      </c>
      <c r="AS33" s="4" t="s">
        <v>39121</v>
      </c>
      <c r="AT33">
        <f>COUNTIFS($J$2:$J$386,16,$K$2:$K$386,2)</f>
        <v>0</v>
      </c>
      <c r="AU33" s="34">
        <f t="shared" si="8"/>
        <v>0</v>
      </c>
    </row>
    <row r="34" spans="1:47" ht="57.6" x14ac:dyDescent="0.3">
      <c r="A34" t="s">
        <v>3053</v>
      </c>
      <c r="B34" s="7">
        <v>4</v>
      </c>
      <c r="C34" s="3">
        <v>18</v>
      </c>
      <c r="D34" s="3">
        <v>1</v>
      </c>
      <c r="E34" s="3">
        <v>5</v>
      </c>
      <c r="F34" s="3">
        <v>3</v>
      </c>
      <c r="G34" s="3">
        <v>3</v>
      </c>
      <c r="H34" s="3">
        <v>17</v>
      </c>
      <c r="I34" s="3">
        <v>17</v>
      </c>
      <c r="J34" s="3">
        <v>17</v>
      </c>
      <c r="K34" s="3">
        <v>4</v>
      </c>
      <c r="L34">
        <v>2011</v>
      </c>
      <c r="M34" t="s">
        <v>11</v>
      </c>
      <c r="N34">
        <f>COUNTIFS($B$2:$B$386,3,$D$2:$D$386,1)</f>
        <v>3</v>
      </c>
      <c r="O34" s="34">
        <f>(N34/385)*100</f>
        <v>0.77922077922077926</v>
      </c>
      <c r="P34" t="s">
        <v>3082</v>
      </c>
      <c r="Q34" t="s">
        <v>11</v>
      </c>
      <c r="R34">
        <f>COUNTIFS($C$2:$C$386,20,$D$2:$D$386,1)</f>
        <v>16</v>
      </c>
      <c r="S34" s="34">
        <f>(R34/385)*100</f>
        <v>4.1558441558441555</v>
      </c>
      <c r="U34" t="s">
        <v>24</v>
      </c>
      <c r="V34">
        <f>COUNTIFS($D$2:$D$386,4,$E$2:$E$386,3)</f>
        <v>97</v>
      </c>
      <c r="W34" s="34">
        <f t="shared" si="2"/>
        <v>25.194805194805191</v>
      </c>
      <c r="X34" t="s">
        <v>50</v>
      </c>
      <c r="Y34" t="s">
        <v>13</v>
      </c>
      <c r="Z34">
        <f>COUNTIFS($E$2:$E$386,9,$F$2:$F$386,1)</f>
        <v>5</v>
      </c>
      <c r="AA34" s="34">
        <f>(Z34/385)*100</f>
        <v>1.2987012987012987</v>
      </c>
      <c r="AG34" t="s">
        <v>1644</v>
      </c>
      <c r="AH34">
        <f>COUNTIFS($G$2:$G$386,2,$H$2:$H$386,15)</f>
        <v>0</v>
      </c>
      <c r="AI34" s="34">
        <f t="shared" si="5"/>
        <v>0</v>
      </c>
      <c r="AO34" s="4" t="s">
        <v>39125</v>
      </c>
      <c r="AP34">
        <f>COUNTIFS($H$2:$H$386,6,$K$2:$K$386,3)</f>
        <v>0</v>
      </c>
      <c r="AQ34" s="34">
        <f t="shared" si="7"/>
        <v>0</v>
      </c>
      <c r="AS34" s="4" t="s">
        <v>39125</v>
      </c>
      <c r="AT34">
        <f>COUNTIFS($J$2:$J$386,16,$K$2:$K$386,3)</f>
        <v>20</v>
      </c>
      <c r="AU34" s="34">
        <f t="shared" si="8"/>
        <v>5.1948051948051948</v>
      </c>
    </row>
    <row r="35" spans="1:47" ht="28.8" x14ac:dyDescent="0.3">
      <c r="A35" t="s">
        <v>1739</v>
      </c>
      <c r="B35" s="7">
        <v>10</v>
      </c>
      <c r="C35" s="3">
        <v>20</v>
      </c>
      <c r="D35" s="3">
        <v>1</v>
      </c>
      <c r="E35" s="3">
        <v>3</v>
      </c>
      <c r="F35" s="3">
        <v>2</v>
      </c>
      <c r="G35" s="3">
        <v>3</v>
      </c>
      <c r="H35" s="3">
        <v>16</v>
      </c>
      <c r="I35" s="3">
        <v>16</v>
      </c>
      <c r="J35" s="3">
        <v>16</v>
      </c>
      <c r="K35" s="3">
        <v>3</v>
      </c>
      <c r="M35" t="s">
        <v>18</v>
      </c>
      <c r="N35">
        <f>COUNTIFS($B$2:$B$386,3,$D$2:$D$386,2)</f>
        <v>2</v>
      </c>
      <c r="O35" s="34">
        <f t="shared" si="0"/>
        <v>0.51948051948051943</v>
      </c>
      <c r="Q35" t="s">
        <v>18</v>
      </c>
      <c r="R35">
        <f>COUNTIFS($C$2:$C$386,20,$D$2:$D$386,2)</f>
        <v>8</v>
      </c>
      <c r="S35" s="34">
        <f t="shared" si="1"/>
        <v>2.0779220779220777</v>
      </c>
      <c r="U35" t="s">
        <v>31</v>
      </c>
      <c r="V35">
        <f>COUNTIFS($D$2:$D$386,4,$E$2:$E$386,4)</f>
        <v>1</v>
      </c>
      <c r="W35" s="34">
        <f t="shared" si="2"/>
        <v>0.25974025974025972</v>
      </c>
      <c r="Y35" s="4" t="s">
        <v>20</v>
      </c>
      <c r="Z35">
        <f>COUNTIFS($E$2:$E$386,9,$F$2:$F$386,2)</f>
        <v>1</v>
      </c>
      <c r="AA35" s="34">
        <f t="shared" si="3"/>
        <v>0.25974025974025972</v>
      </c>
      <c r="AG35" t="s">
        <v>29</v>
      </c>
      <c r="AH35">
        <f>COUNTIFS($G$2:$G$386,2,$H$2:$H$386,16)</f>
        <v>20</v>
      </c>
      <c r="AI35" s="34">
        <f t="shared" si="5"/>
        <v>5.1948051948051948</v>
      </c>
      <c r="AO35" s="4" t="s">
        <v>39122</v>
      </c>
      <c r="AP35">
        <f>COUNTIFS($H$2:$H$386,6,$K$2:$K$386,4)</f>
        <v>0</v>
      </c>
      <c r="AQ35" s="34">
        <f t="shared" si="7"/>
        <v>0</v>
      </c>
      <c r="AS35" s="4" t="s">
        <v>39122</v>
      </c>
      <c r="AT35">
        <f>COUNTIFS($J$2:$J$386,16,$K$2:$K$386,4)</f>
        <v>13</v>
      </c>
      <c r="AU35" s="34">
        <f t="shared" si="8"/>
        <v>3.3766233766233764</v>
      </c>
    </row>
    <row r="36" spans="1:47" ht="28.8" x14ac:dyDescent="0.3">
      <c r="A36" t="s">
        <v>1822</v>
      </c>
      <c r="B36" s="7">
        <v>8</v>
      </c>
      <c r="C36" s="3">
        <v>19</v>
      </c>
      <c r="D36" s="3">
        <v>14</v>
      </c>
      <c r="E36" s="3">
        <v>3</v>
      </c>
      <c r="F36" s="7">
        <v>3</v>
      </c>
      <c r="G36" s="7">
        <v>3</v>
      </c>
      <c r="H36" s="7">
        <v>17</v>
      </c>
      <c r="I36" s="3">
        <v>17</v>
      </c>
      <c r="J36" s="3">
        <v>17</v>
      </c>
      <c r="K36" s="7">
        <v>4</v>
      </c>
      <c r="M36" t="s">
        <v>150</v>
      </c>
      <c r="N36">
        <f>COUNTIFS($B$2:$B$386,3,$D$2:$D$386,3)</f>
        <v>1</v>
      </c>
      <c r="O36" s="34">
        <f t="shared" si="0"/>
        <v>0.25974025974025972</v>
      </c>
      <c r="Q36" t="s">
        <v>150</v>
      </c>
      <c r="R36">
        <f>COUNTIFS($C$2:$C$386,20,$D$2:$D$386,3)</f>
        <v>4</v>
      </c>
      <c r="S36" s="34">
        <f t="shared" si="1"/>
        <v>1.0389610389610389</v>
      </c>
      <c r="U36" t="s">
        <v>37</v>
      </c>
      <c r="V36">
        <f>COUNTIFS($D$2:$D$386,4,$E$2:$E$386,5)</f>
        <v>7</v>
      </c>
      <c r="W36" s="34">
        <f t="shared" si="2"/>
        <v>1.8181818181818181</v>
      </c>
      <c r="Y36" t="s">
        <v>27</v>
      </c>
      <c r="Z36">
        <f>COUNTIFS($E$2:$E$386,9,$F$2:$F$386,3)</f>
        <v>4</v>
      </c>
      <c r="AA36" s="34">
        <f t="shared" si="3"/>
        <v>1.0389610389610389</v>
      </c>
      <c r="AG36" t="s">
        <v>54</v>
      </c>
      <c r="AH36">
        <f>COUNTIFS($G$2:$G$386,2,$H$2:$H$386,17)</f>
        <v>5</v>
      </c>
      <c r="AI36" s="34">
        <f t="shared" si="5"/>
        <v>1.2987012987012987</v>
      </c>
      <c r="AO36" s="4" t="s">
        <v>39123</v>
      </c>
      <c r="AP36">
        <f>COUNTIFS($H$2:$H$386,6,$K$2:$K$386,5)</f>
        <v>0</v>
      </c>
      <c r="AQ36" s="34">
        <f t="shared" si="7"/>
        <v>0</v>
      </c>
      <c r="AS36" s="4" t="s">
        <v>39123</v>
      </c>
      <c r="AT36">
        <f>COUNTIFS($J$2:$J$386,16,$K$2:$K$386,5)</f>
        <v>3</v>
      </c>
      <c r="AU36" s="34">
        <f t="shared" si="8"/>
        <v>0.77922077922077926</v>
      </c>
    </row>
    <row r="37" spans="1:47" x14ac:dyDescent="0.3">
      <c r="A37" t="s">
        <v>2760</v>
      </c>
      <c r="B37" s="7">
        <v>13</v>
      </c>
      <c r="C37" s="3">
        <v>21</v>
      </c>
      <c r="D37" s="3">
        <v>3</v>
      </c>
      <c r="E37" s="3">
        <v>5</v>
      </c>
      <c r="F37" s="3">
        <v>3</v>
      </c>
      <c r="G37" s="3">
        <v>3</v>
      </c>
      <c r="H37" s="3">
        <v>17</v>
      </c>
      <c r="I37" s="3">
        <v>17</v>
      </c>
      <c r="J37" s="3">
        <v>17</v>
      </c>
      <c r="K37" s="3">
        <v>4</v>
      </c>
      <c r="M37" t="s">
        <v>25</v>
      </c>
      <c r="N37">
        <f>COUNTIFS($B$2:$B$386,3,$D$2:$D$386,4)</f>
        <v>2</v>
      </c>
      <c r="O37" s="34">
        <f t="shared" si="0"/>
        <v>0.51948051948051943</v>
      </c>
      <c r="Q37" t="s">
        <v>25</v>
      </c>
      <c r="R37">
        <f>COUNTIFS($C$2:$C$386,20,$D$2:$D$386,4)</f>
        <v>28</v>
      </c>
      <c r="S37" s="34">
        <f t="shared" si="1"/>
        <v>7.2727272727272725</v>
      </c>
      <c r="U37" t="s">
        <v>42</v>
      </c>
      <c r="V37">
        <f>COUNTIFS($D$2:$D$386,4,$E$2:$E$386,6)</f>
        <v>4</v>
      </c>
      <c r="W37" s="34">
        <f t="shared" si="2"/>
        <v>1.0389610389610389</v>
      </c>
      <c r="Z37" s="23">
        <f>SUM(Z34:Z36)</f>
        <v>10</v>
      </c>
      <c r="AA37" s="37">
        <f t="shared" si="3"/>
        <v>2.5974025974025974</v>
      </c>
      <c r="AH37" s="23">
        <f>SUM(AH20:AH36)</f>
        <v>33</v>
      </c>
      <c r="AI37" s="37">
        <f t="shared" si="5"/>
        <v>8.5714285714285712</v>
      </c>
      <c r="AP37" s="23">
        <f>SUM(AP32:AP36)</f>
        <v>0</v>
      </c>
      <c r="AQ37" s="37">
        <f t="shared" si="7"/>
        <v>0</v>
      </c>
      <c r="AT37" s="22">
        <f>SUM(AT32:AT36)</f>
        <v>36</v>
      </c>
      <c r="AU37" s="35">
        <f t="shared" si="8"/>
        <v>9.3506493506493502</v>
      </c>
    </row>
    <row r="38" spans="1:47" ht="72" x14ac:dyDescent="0.3">
      <c r="A38" t="s">
        <v>2048</v>
      </c>
      <c r="B38" s="7">
        <v>7</v>
      </c>
      <c r="C38" s="3">
        <v>19</v>
      </c>
      <c r="D38" s="3">
        <v>4</v>
      </c>
      <c r="E38" s="3">
        <v>3</v>
      </c>
      <c r="F38" s="7">
        <v>3</v>
      </c>
      <c r="G38" s="7">
        <v>3</v>
      </c>
      <c r="H38" s="7">
        <v>17</v>
      </c>
      <c r="I38" s="3">
        <v>17</v>
      </c>
      <c r="J38" s="3">
        <v>17</v>
      </c>
      <c r="K38" s="7">
        <v>4</v>
      </c>
      <c r="M38" t="s">
        <v>32</v>
      </c>
      <c r="N38">
        <f>COUNTIFS($B$2:$B$386,3,$D$2:$D$386,5)</f>
        <v>1</v>
      </c>
      <c r="O38" s="34">
        <f t="shared" si="0"/>
        <v>0.25974025974025972</v>
      </c>
      <c r="Q38" t="s">
        <v>32</v>
      </c>
      <c r="R38">
        <f>COUNTIFS($C$2:$C$386,20,$D$2:$D$386,5)</f>
        <v>2</v>
      </c>
      <c r="S38" s="34">
        <f t="shared" si="1"/>
        <v>0.51948051948051943</v>
      </c>
      <c r="U38" t="s">
        <v>45</v>
      </c>
      <c r="V38">
        <f>COUNTIFS($D$2:$D$386,4,$E$2:$E$386,7)</f>
        <v>4</v>
      </c>
      <c r="W38" s="34">
        <f t="shared" si="2"/>
        <v>1.0389610389610389</v>
      </c>
      <c r="AF38" s="4" t="s">
        <v>39602</v>
      </c>
      <c r="AG38" t="s">
        <v>14</v>
      </c>
      <c r="AH38">
        <f>COUNTIFS($G$2:$G$386,3,$H$2:$H$386,1)</f>
        <v>73</v>
      </c>
      <c r="AI38" s="34">
        <f>(AH38/385)*100</f>
        <v>18.961038961038962</v>
      </c>
      <c r="AN38" t="s">
        <v>47</v>
      </c>
      <c r="AO38" s="4" t="s">
        <v>39120</v>
      </c>
      <c r="AP38">
        <f>COUNTIFS($H$2:$H$386,7,$K$2:$K$386,1)</f>
        <v>0</v>
      </c>
      <c r="AQ38" s="34">
        <f>(AP38/385)*100</f>
        <v>0</v>
      </c>
      <c r="AR38" t="s">
        <v>3095</v>
      </c>
      <c r="AS38" s="4" t="s">
        <v>39120</v>
      </c>
      <c r="AT38">
        <f>COUNTIFS($J$2:$J$386,17,$K$2:$K$386,1)</f>
        <v>0</v>
      </c>
      <c r="AU38" s="34">
        <f>(AT38/385)*100</f>
        <v>0</v>
      </c>
    </row>
    <row r="39" spans="1:47" ht="43.2" x14ac:dyDescent="0.3">
      <c r="A39" t="s">
        <v>2740</v>
      </c>
      <c r="B39" s="7">
        <v>13</v>
      </c>
      <c r="C39" s="3">
        <v>21</v>
      </c>
      <c r="D39" s="3">
        <v>4</v>
      </c>
      <c r="E39" s="3">
        <v>5</v>
      </c>
      <c r="F39" s="7">
        <v>3</v>
      </c>
      <c r="G39" s="7">
        <v>3</v>
      </c>
      <c r="H39" s="7">
        <v>17</v>
      </c>
      <c r="I39" s="3">
        <v>17</v>
      </c>
      <c r="J39" s="3">
        <v>17</v>
      </c>
      <c r="K39" s="7">
        <v>3</v>
      </c>
      <c r="M39" t="s">
        <v>38</v>
      </c>
      <c r="N39">
        <f>COUNTIFS($B$2:$B$386,3,$D$2:$D$386,6)</f>
        <v>0</v>
      </c>
      <c r="O39" s="34">
        <f t="shared" si="0"/>
        <v>0</v>
      </c>
      <c r="Q39" t="s">
        <v>38</v>
      </c>
      <c r="R39">
        <f>COUNTIFS($C$2:$C$386,20,$D$2:$D$386,6)</f>
        <v>2</v>
      </c>
      <c r="S39" s="34">
        <f t="shared" si="1"/>
        <v>0.51948051948051943</v>
      </c>
      <c r="U39" t="s">
        <v>48</v>
      </c>
      <c r="V39">
        <f>COUNTIFS($D$2:$D$386,4,$E$2:$E$386,8)</f>
        <v>15</v>
      </c>
      <c r="W39" s="34">
        <f t="shared" si="2"/>
        <v>3.8961038961038961</v>
      </c>
      <c r="AG39" t="s">
        <v>21</v>
      </c>
      <c r="AH39">
        <f>COUNTIFS($G$2:$G$386,3,$H$2:$H$386,2)</f>
        <v>14</v>
      </c>
      <c r="AI39" s="34">
        <f t="shared" si="5"/>
        <v>3.6363636363636362</v>
      </c>
      <c r="AO39" s="4" t="s">
        <v>39121</v>
      </c>
      <c r="AP39">
        <f>COUNTIFS($H$2:$H$386,7,$K$2:$K$386,2)</f>
        <v>0</v>
      </c>
      <c r="AQ39" s="34">
        <f t="shared" si="7"/>
        <v>0</v>
      </c>
      <c r="AS39" s="4" t="s">
        <v>39121</v>
      </c>
      <c r="AT39">
        <f>COUNTIFS($J$2:$J$386,17,$K$2:$K$386,2)</f>
        <v>0</v>
      </c>
      <c r="AU39" s="34">
        <f t="shared" si="8"/>
        <v>0</v>
      </c>
    </row>
    <row r="40" spans="1:47" ht="57.6" x14ac:dyDescent="0.3">
      <c r="A40" s="6" t="s">
        <v>302</v>
      </c>
      <c r="B40" s="7">
        <v>16</v>
      </c>
      <c r="C40" s="3">
        <v>21</v>
      </c>
      <c r="D40" s="11">
        <v>4</v>
      </c>
      <c r="E40" s="11">
        <v>3</v>
      </c>
      <c r="F40" s="7">
        <v>3</v>
      </c>
      <c r="G40" s="7">
        <v>3</v>
      </c>
      <c r="H40" s="7">
        <v>17</v>
      </c>
      <c r="I40" s="3">
        <v>17</v>
      </c>
      <c r="J40" s="3">
        <v>17</v>
      </c>
      <c r="K40" s="7">
        <v>4</v>
      </c>
      <c r="M40" t="s">
        <v>151</v>
      </c>
      <c r="N40">
        <f>COUNTIFS($B$2:$B$386,3,$D$2:$D$386,7)</f>
        <v>0</v>
      </c>
      <c r="O40" s="34">
        <f t="shared" si="0"/>
        <v>0</v>
      </c>
      <c r="Q40" t="s">
        <v>151</v>
      </c>
      <c r="R40">
        <f>COUNTIFS($C$2:$C$386,20,$D$2:$D$386,7)</f>
        <v>0</v>
      </c>
      <c r="S40" s="34">
        <f t="shared" si="1"/>
        <v>0</v>
      </c>
      <c r="U40" t="s">
        <v>50</v>
      </c>
      <c r="V40">
        <f>COUNTIFS($D$2:$D$386,4,$E$2:$E$386,9)</f>
        <v>1</v>
      </c>
      <c r="W40" s="34">
        <f t="shared" si="2"/>
        <v>0.25974025974025972</v>
      </c>
      <c r="AG40" t="s">
        <v>28</v>
      </c>
      <c r="AH40">
        <f>COUNTIFS($G$2:$G$386,3,$H$2:$H$386,3)</f>
        <v>6</v>
      </c>
      <c r="AI40" s="34">
        <f t="shared" si="5"/>
        <v>1.5584415584415585</v>
      </c>
      <c r="AO40" s="4" t="s">
        <v>39125</v>
      </c>
      <c r="AP40">
        <f>COUNTIFS($H$2:$H$386,7,$K$2:$K$386,3)</f>
        <v>0</v>
      </c>
      <c r="AQ40" s="34">
        <f t="shared" si="7"/>
        <v>0</v>
      </c>
      <c r="AS40" s="4" t="s">
        <v>39125</v>
      </c>
      <c r="AT40">
        <f>COUNTIFS($J$2:$J$386,17,$K$2:$K$386,3)</f>
        <v>6</v>
      </c>
      <c r="AU40" s="34">
        <f t="shared" si="8"/>
        <v>1.5584415584415585</v>
      </c>
    </row>
    <row r="41" spans="1:47" ht="28.8" x14ac:dyDescent="0.3">
      <c r="A41" s="6" t="s">
        <v>322</v>
      </c>
      <c r="B41" s="7">
        <v>16</v>
      </c>
      <c r="C41" s="3">
        <v>21</v>
      </c>
      <c r="D41" s="11">
        <v>15</v>
      </c>
      <c r="E41" s="11">
        <v>9</v>
      </c>
      <c r="F41" s="11">
        <v>1</v>
      </c>
      <c r="G41" s="11">
        <v>3</v>
      </c>
      <c r="H41" s="11">
        <v>2</v>
      </c>
      <c r="I41" s="3">
        <v>2</v>
      </c>
      <c r="J41" s="3">
        <v>2</v>
      </c>
      <c r="K41" s="11">
        <v>5</v>
      </c>
      <c r="M41" t="s">
        <v>43</v>
      </c>
      <c r="N41">
        <f>COUNTIFS($B$2:$B$386,3,$D$2:$D$386,8)</f>
        <v>0</v>
      </c>
      <c r="O41" s="34">
        <f t="shared" si="0"/>
        <v>0</v>
      </c>
      <c r="Q41" t="s">
        <v>43</v>
      </c>
      <c r="R41">
        <f>COUNTIFS($C$2:$C$386,20,$D$2:$D$386,8)</f>
        <v>3</v>
      </c>
      <c r="S41" s="34">
        <f t="shared" si="1"/>
        <v>0.77922077922077926</v>
      </c>
      <c r="V41" s="22">
        <f>SUM(V32:V40)</f>
        <v>157</v>
      </c>
      <c r="W41" s="35">
        <f t="shared" si="2"/>
        <v>40.779220779220779</v>
      </c>
      <c r="AG41" t="s">
        <v>35</v>
      </c>
      <c r="AH41">
        <f>COUNTIFS($G$2:$G$386,3,$H$2:$H$386,4)</f>
        <v>0</v>
      </c>
      <c r="AI41" s="34">
        <f t="shared" si="5"/>
        <v>0</v>
      </c>
      <c r="AO41" s="4" t="s">
        <v>39122</v>
      </c>
      <c r="AP41">
        <f>COUNTIFS($H$2:$H$386,7,$K$2:$K$386,4)</f>
        <v>0</v>
      </c>
      <c r="AQ41" s="34">
        <f t="shared" si="7"/>
        <v>0</v>
      </c>
      <c r="AS41" s="4" t="s">
        <v>39122</v>
      </c>
      <c r="AT41">
        <f>COUNTIFS($J$2:$J$386,17,$K$2:$K$386,4)</f>
        <v>236</v>
      </c>
      <c r="AU41" s="34">
        <f t="shared" si="8"/>
        <v>61.298701298701296</v>
      </c>
    </row>
    <row r="42" spans="1:47" ht="28.8" x14ac:dyDescent="0.3">
      <c r="A42" t="s">
        <v>1682</v>
      </c>
      <c r="B42" s="7">
        <v>11</v>
      </c>
      <c r="C42" s="3">
        <v>20</v>
      </c>
      <c r="D42" s="11">
        <v>1</v>
      </c>
      <c r="E42" s="11">
        <v>9</v>
      </c>
      <c r="F42" s="7">
        <v>3</v>
      </c>
      <c r="G42" s="7">
        <v>3</v>
      </c>
      <c r="H42" s="7">
        <v>17</v>
      </c>
      <c r="I42" s="3">
        <v>17</v>
      </c>
      <c r="J42" s="3">
        <v>17</v>
      </c>
      <c r="K42" s="7">
        <v>4</v>
      </c>
      <c r="M42" t="s">
        <v>46</v>
      </c>
      <c r="N42">
        <f>COUNTIFS($B$2:$B$386,3,$D$2:$D$386,9)</f>
        <v>0</v>
      </c>
      <c r="O42" s="34">
        <f t="shared" si="0"/>
        <v>0</v>
      </c>
      <c r="Q42" t="s">
        <v>46</v>
      </c>
      <c r="R42">
        <f>COUNTIFS($C$2:$C$386,20,$D$2:$D$386,9)</f>
        <v>2</v>
      </c>
      <c r="S42" s="34">
        <f t="shared" si="1"/>
        <v>0.51948051948051943</v>
      </c>
      <c r="T42" t="s">
        <v>32</v>
      </c>
      <c r="U42" t="s">
        <v>10</v>
      </c>
      <c r="V42">
        <f>COUNTIFS($D$2:$D$386,5,$E$2:$E$386,1)</f>
        <v>2</v>
      </c>
      <c r="W42" s="34">
        <f>(V42/385)*100</f>
        <v>0.51948051948051943</v>
      </c>
      <c r="AG42" t="s">
        <v>40</v>
      </c>
      <c r="AH42">
        <f>COUNTIFS($G$2:$G$386,3,$H$2:$H$386,5)</f>
        <v>0</v>
      </c>
      <c r="AI42" s="34">
        <f t="shared" si="5"/>
        <v>0</v>
      </c>
      <c r="AO42" s="4" t="s">
        <v>39123</v>
      </c>
      <c r="AP42">
        <f>COUNTIFS($H$2:$H$386,7,$K$2:$K$386,5)</f>
        <v>0</v>
      </c>
      <c r="AQ42" s="34">
        <f t="shared" si="7"/>
        <v>0</v>
      </c>
      <c r="AS42" s="4" t="s">
        <v>39123</v>
      </c>
      <c r="AT42">
        <f>COUNTIFS($J$2:$J$386,17,$K$2:$K$386,5)</f>
        <v>0</v>
      </c>
      <c r="AU42" s="34">
        <f t="shared" si="8"/>
        <v>0</v>
      </c>
    </row>
    <row r="43" spans="1:47" x14ac:dyDescent="0.3">
      <c r="A43" s="6" t="s">
        <v>1004</v>
      </c>
      <c r="B43" s="7">
        <v>14</v>
      </c>
      <c r="C43" s="3">
        <v>21</v>
      </c>
      <c r="D43" s="11">
        <v>15</v>
      </c>
      <c r="E43" s="7">
        <v>1</v>
      </c>
      <c r="F43" s="11">
        <v>1</v>
      </c>
      <c r="G43" s="11">
        <v>3</v>
      </c>
      <c r="H43" s="11">
        <v>2</v>
      </c>
      <c r="I43" s="3">
        <v>2</v>
      </c>
      <c r="J43" s="3">
        <v>2</v>
      </c>
      <c r="K43" s="11">
        <v>5</v>
      </c>
      <c r="M43" t="s">
        <v>152</v>
      </c>
      <c r="N43">
        <f>COUNTIFS($B$2:$B$386,3,$D$2:$D$386,10)</f>
        <v>0</v>
      </c>
      <c r="O43" s="34">
        <f t="shared" si="0"/>
        <v>0</v>
      </c>
      <c r="Q43" t="s">
        <v>152</v>
      </c>
      <c r="R43">
        <f>COUNTIFS($C$2:$C$386,20,$D$2:$D$386,10)</f>
        <v>0</v>
      </c>
      <c r="S43" s="34">
        <f t="shared" si="1"/>
        <v>0</v>
      </c>
      <c r="U43" t="s">
        <v>17</v>
      </c>
      <c r="V43">
        <f>COUNTIFS($D$2:$D$386,5,$E$2:$E$386,2)</f>
        <v>0</v>
      </c>
      <c r="W43" s="34">
        <f t="shared" si="2"/>
        <v>0</v>
      </c>
      <c r="AG43" t="s">
        <v>44</v>
      </c>
      <c r="AH43">
        <f>COUNTIFS($G$2:$G$386,3,$H$2:$H$386,6)</f>
        <v>0</v>
      </c>
      <c r="AI43" s="34">
        <f t="shared" si="5"/>
        <v>0</v>
      </c>
      <c r="AP43" s="23">
        <f>SUM(AP38:AP42)</f>
        <v>0</v>
      </c>
      <c r="AQ43" s="37">
        <f t="shared" si="7"/>
        <v>0</v>
      </c>
      <c r="AT43" s="22">
        <f>SUM(AT38:AT42)</f>
        <v>242</v>
      </c>
      <c r="AU43" s="35">
        <f t="shared" si="8"/>
        <v>62.857142857142854</v>
      </c>
    </row>
    <row r="44" spans="1:47" ht="43.2" x14ac:dyDescent="0.3">
      <c r="A44" t="s">
        <v>1514</v>
      </c>
      <c r="B44" s="7">
        <v>12</v>
      </c>
      <c r="C44" s="3">
        <v>20</v>
      </c>
      <c r="D44" s="11">
        <v>4</v>
      </c>
      <c r="E44" s="7">
        <v>1</v>
      </c>
      <c r="F44" s="7">
        <v>3</v>
      </c>
      <c r="G44" s="7">
        <v>3</v>
      </c>
      <c r="H44" s="7">
        <v>17</v>
      </c>
      <c r="I44" s="3">
        <v>17</v>
      </c>
      <c r="J44" s="3">
        <v>17</v>
      </c>
      <c r="K44" s="7">
        <v>4</v>
      </c>
      <c r="M44" t="s">
        <v>49</v>
      </c>
      <c r="N44">
        <f>COUNTIFS($B$2:$B$386,3,$D$2:$D$386,11)</f>
        <v>0</v>
      </c>
      <c r="O44" s="34">
        <f t="shared" si="0"/>
        <v>0</v>
      </c>
      <c r="Q44" t="s">
        <v>49</v>
      </c>
      <c r="R44">
        <f>COUNTIFS($C$2:$C$386,20,$D$2:$D$386,11)</f>
        <v>0</v>
      </c>
      <c r="S44" s="34">
        <f t="shared" si="1"/>
        <v>0</v>
      </c>
      <c r="U44" t="s">
        <v>24</v>
      </c>
      <c r="V44">
        <f>COUNTIFS($D$2:$D$386,5,$E$2:$E$386,3)</f>
        <v>4</v>
      </c>
      <c r="W44" s="34">
        <f t="shared" si="2"/>
        <v>1.0389610389610389</v>
      </c>
      <c r="AG44" t="s">
        <v>47</v>
      </c>
      <c r="AH44">
        <f>COUNTIFS($G$2:$G$386,3,$H$2:$H$386,7)</f>
        <v>0</v>
      </c>
      <c r="AI44" s="34">
        <f t="shared" si="5"/>
        <v>0</v>
      </c>
      <c r="AN44" t="s">
        <v>1637</v>
      </c>
      <c r="AO44" s="4" t="s">
        <v>39120</v>
      </c>
      <c r="AP44">
        <f>COUNTIFS($H$2:$H$386,8,$K$2:$K$386,1)</f>
        <v>0</v>
      </c>
      <c r="AQ44" s="34">
        <f>(AP44/385)*100</f>
        <v>0</v>
      </c>
    </row>
    <row r="45" spans="1:47" ht="43.2" x14ac:dyDescent="0.3">
      <c r="A45" t="s">
        <v>2476</v>
      </c>
      <c r="B45" s="7">
        <v>16</v>
      </c>
      <c r="C45" s="3">
        <v>21</v>
      </c>
      <c r="D45" s="3">
        <v>11</v>
      </c>
      <c r="E45" s="3">
        <v>3</v>
      </c>
      <c r="F45" s="7">
        <v>1</v>
      </c>
      <c r="G45" s="7">
        <v>3</v>
      </c>
      <c r="H45" s="7">
        <v>1</v>
      </c>
      <c r="I45" s="3">
        <v>1</v>
      </c>
      <c r="J45" s="3">
        <v>1</v>
      </c>
      <c r="K45" s="7">
        <v>5</v>
      </c>
      <c r="M45" t="s">
        <v>51</v>
      </c>
      <c r="N45">
        <f>COUNTIFS($B$2:$B$386,3,$D$2:$D$386,12)</f>
        <v>0</v>
      </c>
      <c r="O45" s="34">
        <f t="shared" si="0"/>
        <v>0</v>
      </c>
      <c r="Q45" t="s">
        <v>51</v>
      </c>
      <c r="R45">
        <f>COUNTIFS($C$2:$C$386,20,$D$2:$D$386,12)</f>
        <v>3</v>
      </c>
      <c r="S45" s="34">
        <f t="shared" si="1"/>
        <v>0.77922077922077926</v>
      </c>
      <c r="U45" t="s">
        <v>31</v>
      </c>
      <c r="V45">
        <f>COUNTIFS($D$2:$D$386,5,$E$2:$E$386,4)</f>
        <v>0</v>
      </c>
      <c r="W45" s="34">
        <f t="shared" si="2"/>
        <v>0</v>
      </c>
      <c r="AG45" t="s">
        <v>1637</v>
      </c>
      <c r="AH45">
        <f>COUNTIFS($G$2:$G$386,3,$H$2:$H$386,8)</f>
        <v>0</v>
      </c>
      <c r="AI45" s="34">
        <f t="shared" si="5"/>
        <v>0</v>
      </c>
      <c r="AO45" s="4" t="s">
        <v>39121</v>
      </c>
      <c r="AP45">
        <f>COUNTIFS($H$2:$H$386,8,$K$2:$K$386,2)</f>
        <v>1</v>
      </c>
      <c r="AQ45" s="34">
        <f t="shared" si="7"/>
        <v>0.25974025974025972</v>
      </c>
    </row>
    <row r="46" spans="1:47" ht="57.6" x14ac:dyDescent="0.3">
      <c r="A46" s="6" t="s">
        <v>962</v>
      </c>
      <c r="B46" s="7">
        <v>15</v>
      </c>
      <c r="C46" s="3">
        <v>21</v>
      </c>
      <c r="D46" s="11">
        <v>12</v>
      </c>
      <c r="E46" s="11">
        <v>3</v>
      </c>
      <c r="F46" s="11">
        <v>1</v>
      </c>
      <c r="G46" s="11">
        <v>3</v>
      </c>
      <c r="H46" s="11">
        <v>2</v>
      </c>
      <c r="I46" s="3">
        <v>2</v>
      </c>
      <c r="J46" s="3">
        <v>2</v>
      </c>
      <c r="K46" s="11">
        <v>5</v>
      </c>
      <c r="M46" t="s">
        <v>153</v>
      </c>
      <c r="N46">
        <f>COUNTIFS($B$2:$B$386,3,$D$2:$D$386,13)</f>
        <v>0</v>
      </c>
      <c r="O46" s="34">
        <f t="shared" si="0"/>
        <v>0</v>
      </c>
      <c r="Q46" t="s">
        <v>153</v>
      </c>
      <c r="R46">
        <f>COUNTIFS($C$2:$C$386,20,$D$2:$D$386,13)</f>
        <v>0</v>
      </c>
      <c r="S46" s="34">
        <f t="shared" si="1"/>
        <v>0</v>
      </c>
      <c r="U46" t="s">
        <v>37</v>
      </c>
      <c r="V46">
        <f>COUNTIFS($D$2:$D$386,5,$E$2:$E$386,5)</f>
        <v>2</v>
      </c>
      <c r="W46" s="34">
        <f t="shared" si="2"/>
        <v>0.51948051948051943</v>
      </c>
      <c r="AG46" t="s">
        <v>1638</v>
      </c>
      <c r="AH46">
        <f>COUNTIFS($G$2:$G$386,3,$H$2:$H$386,9)</f>
        <v>2</v>
      </c>
      <c r="AI46" s="34">
        <f t="shared" si="5"/>
        <v>0.51948051948051943</v>
      </c>
      <c r="AO46" s="4" t="s">
        <v>39125</v>
      </c>
      <c r="AP46">
        <f>COUNTIFS($H$2:$H$386,8,$K$2:$K$386,3)</f>
        <v>0</v>
      </c>
      <c r="AQ46" s="34">
        <f t="shared" si="7"/>
        <v>0</v>
      </c>
    </row>
    <row r="47" spans="1:47" ht="28.8" x14ac:dyDescent="0.3">
      <c r="A47" s="6" t="s">
        <v>443</v>
      </c>
      <c r="B47" s="7">
        <v>16</v>
      </c>
      <c r="C47" s="3">
        <v>21</v>
      </c>
      <c r="D47" s="11">
        <v>12</v>
      </c>
      <c r="E47" s="11">
        <v>3</v>
      </c>
      <c r="F47" s="7">
        <v>3</v>
      </c>
      <c r="G47" s="7">
        <v>3</v>
      </c>
      <c r="H47" s="7">
        <v>17</v>
      </c>
      <c r="I47" s="3">
        <v>17</v>
      </c>
      <c r="J47" s="3">
        <v>17</v>
      </c>
      <c r="K47" s="7">
        <v>4</v>
      </c>
      <c r="M47" t="s">
        <v>154</v>
      </c>
      <c r="N47">
        <f>COUNTIFS($B$2:$B$386,3,$D$2:$D$386,14)</f>
        <v>0</v>
      </c>
      <c r="O47" s="34">
        <f t="shared" si="0"/>
        <v>0</v>
      </c>
      <c r="Q47" t="s">
        <v>154</v>
      </c>
      <c r="R47">
        <f>COUNTIFS($C$2:$C$386,20,$D$2:$D$386,14)</f>
        <v>2</v>
      </c>
      <c r="S47" s="34">
        <f t="shared" si="1"/>
        <v>0.51948051948051943</v>
      </c>
      <c r="U47" t="s">
        <v>42</v>
      </c>
      <c r="V47">
        <f>COUNTIFS($D$2:$D$386,5,$E$2:$E$386,6)</f>
        <v>2</v>
      </c>
      <c r="W47" s="34">
        <f t="shared" si="2"/>
        <v>0.51948051948051943</v>
      </c>
      <c r="AG47" t="s">
        <v>1639</v>
      </c>
      <c r="AH47">
        <f>COUNTIFS($G$2:$G$386,3,$H$2:$H$386,10)</f>
        <v>0</v>
      </c>
      <c r="AI47" s="34">
        <f t="shared" si="5"/>
        <v>0</v>
      </c>
      <c r="AO47" s="4" t="s">
        <v>39122</v>
      </c>
      <c r="AP47">
        <f>COUNTIFS($H$2:$H$386,8,$K$2:$K$386,4)</f>
        <v>0</v>
      </c>
      <c r="AQ47" s="34">
        <f t="shared" si="7"/>
        <v>0</v>
      </c>
    </row>
    <row r="48" spans="1:47" ht="28.8" x14ac:dyDescent="0.3">
      <c r="A48" s="6" t="s">
        <v>1240</v>
      </c>
      <c r="B48" s="7">
        <v>13</v>
      </c>
      <c r="C48" s="3">
        <v>21</v>
      </c>
      <c r="D48" s="3">
        <v>15</v>
      </c>
      <c r="E48" s="11">
        <v>3</v>
      </c>
      <c r="F48" s="7">
        <v>3</v>
      </c>
      <c r="G48" s="7">
        <v>3</v>
      </c>
      <c r="H48" s="7">
        <v>17</v>
      </c>
      <c r="I48" s="3">
        <v>17</v>
      </c>
      <c r="J48" s="3">
        <v>17</v>
      </c>
      <c r="K48" s="7">
        <v>4</v>
      </c>
      <c r="M48" t="s">
        <v>52</v>
      </c>
      <c r="N48">
        <f>COUNTIFS($B$2:$B$386,3,$D$2:$D$386,15)</f>
        <v>1</v>
      </c>
      <c r="O48" s="34">
        <f t="shared" si="0"/>
        <v>0.25974025974025972</v>
      </c>
      <c r="Q48" t="s">
        <v>52</v>
      </c>
      <c r="R48">
        <f>COUNTIFS($C$2:$C$386,20,$D$2:$D$386,15)</f>
        <v>7</v>
      </c>
      <c r="S48" s="34">
        <f t="shared" si="1"/>
        <v>1.8181818181818181</v>
      </c>
      <c r="U48" t="s">
        <v>45</v>
      </c>
      <c r="V48">
        <f>COUNTIFS($D$2:$D$386,5,$E$2:$E$386,7)</f>
        <v>0</v>
      </c>
      <c r="W48" s="34">
        <f t="shared" si="2"/>
        <v>0</v>
      </c>
      <c r="AG48" t="s">
        <v>1640</v>
      </c>
      <c r="AH48">
        <f>COUNTIFS($G$2:$G$386,3,$H$2:$H$386,11)</f>
        <v>1</v>
      </c>
      <c r="AI48" s="34">
        <f t="shared" si="5"/>
        <v>0.25974025974025972</v>
      </c>
      <c r="AO48" s="4" t="s">
        <v>39123</v>
      </c>
      <c r="AP48">
        <f>COUNTIFS($H$2:$H$386,8,$K$2:$K$386,5)</f>
        <v>0</v>
      </c>
      <c r="AQ48" s="34">
        <f t="shared" si="7"/>
        <v>0</v>
      </c>
    </row>
    <row r="49" spans="1:43" x14ac:dyDescent="0.3">
      <c r="A49" t="s">
        <v>1304</v>
      </c>
      <c r="B49" s="7">
        <v>13</v>
      </c>
      <c r="C49" s="3">
        <v>21</v>
      </c>
      <c r="D49" s="3">
        <v>4</v>
      </c>
      <c r="E49" s="3">
        <v>3</v>
      </c>
      <c r="F49" s="7">
        <v>3</v>
      </c>
      <c r="G49" s="7">
        <v>3</v>
      </c>
      <c r="H49" s="7">
        <v>17</v>
      </c>
      <c r="I49" s="3">
        <v>17</v>
      </c>
      <c r="J49" s="3">
        <v>17</v>
      </c>
      <c r="K49" s="7">
        <v>4</v>
      </c>
      <c r="N49" s="22">
        <f>SUM(N34:N48)</f>
        <v>10</v>
      </c>
      <c r="O49" s="35">
        <f t="shared" si="0"/>
        <v>2.5974025974025974</v>
      </c>
      <c r="R49" s="23">
        <f>SUM(R34:R48)</f>
        <v>77</v>
      </c>
      <c r="S49" s="37">
        <f t="shared" si="1"/>
        <v>20</v>
      </c>
      <c r="U49" t="s">
        <v>48</v>
      </c>
      <c r="V49">
        <f>COUNTIFS($D$2:$D$386,5,$E$2:$E$386,8)</f>
        <v>2</v>
      </c>
      <c r="W49" s="34">
        <f t="shared" si="2"/>
        <v>0.51948051948051943</v>
      </c>
      <c r="AG49" t="s">
        <v>1641</v>
      </c>
      <c r="AH49">
        <f>COUNTIFS($G$2:$G$386,3,$H$2:$H$386,12)</f>
        <v>0</v>
      </c>
      <c r="AI49" s="34">
        <f t="shared" si="5"/>
        <v>0</v>
      </c>
      <c r="AP49" s="23">
        <f>SUM(AP44:AP48)</f>
        <v>1</v>
      </c>
      <c r="AQ49" s="37">
        <f t="shared" si="7"/>
        <v>0.25974025974025972</v>
      </c>
    </row>
    <row r="50" spans="1:43" ht="43.2" x14ac:dyDescent="0.3">
      <c r="A50" t="s">
        <v>2363</v>
      </c>
      <c r="B50" s="7">
        <v>3</v>
      </c>
      <c r="C50" s="3">
        <v>18</v>
      </c>
      <c r="D50" s="3">
        <v>4</v>
      </c>
      <c r="E50" s="3">
        <v>5</v>
      </c>
      <c r="F50" s="3">
        <v>3</v>
      </c>
      <c r="G50" s="3">
        <v>3</v>
      </c>
      <c r="H50" s="3">
        <v>17</v>
      </c>
      <c r="I50" s="3">
        <v>17</v>
      </c>
      <c r="J50" s="3">
        <v>17</v>
      </c>
      <c r="K50" s="3">
        <v>4</v>
      </c>
      <c r="L50">
        <v>2012</v>
      </c>
      <c r="M50" t="s">
        <v>11</v>
      </c>
      <c r="N50">
        <f>COUNTIFS($B$2:$B$386,4,$D$2:$D$386,1)</f>
        <v>4</v>
      </c>
      <c r="O50" s="34">
        <f>(N50/385)*100</f>
        <v>1.0389610389610389</v>
      </c>
      <c r="P50" t="s">
        <v>3083</v>
      </c>
      <c r="Q50" t="s">
        <v>11</v>
      </c>
      <c r="R50">
        <f>COUNTIFS($C$2:$C$386,21,$D$2:$D$386,1)</f>
        <v>17</v>
      </c>
      <c r="S50" s="34">
        <f>(R50/385)*100</f>
        <v>4.4155844155844157</v>
      </c>
      <c r="U50" t="s">
        <v>50</v>
      </c>
      <c r="V50">
        <f>COUNTIFS($D$2:$D$386,5,$E$2:$E$386,9)</f>
        <v>1</v>
      </c>
      <c r="W50" s="34">
        <f t="shared" si="2"/>
        <v>0.25974025974025972</v>
      </c>
      <c r="AG50" t="s">
        <v>1642</v>
      </c>
      <c r="AH50">
        <f>COUNTIFS($G$2:$G$386,3,$H$2:$H$386,13)</f>
        <v>0</v>
      </c>
      <c r="AI50" s="34">
        <f t="shared" si="5"/>
        <v>0</v>
      </c>
      <c r="AN50" t="s">
        <v>1638</v>
      </c>
      <c r="AO50" s="4" t="s">
        <v>39120</v>
      </c>
      <c r="AP50">
        <f>COUNTIFS($H$2:$H$386,9,$K$2:$K$386,1)</f>
        <v>0</v>
      </c>
      <c r="AQ50" s="34">
        <f>(AP50/385)*100</f>
        <v>0</v>
      </c>
    </row>
    <row r="51" spans="1:43" ht="43.2" x14ac:dyDescent="0.3">
      <c r="A51" s="6" t="s">
        <v>735</v>
      </c>
      <c r="B51" s="7">
        <v>15</v>
      </c>
      <c r="C51" s="3">
        <v>21</v>
      </c>
      <c r="D51" s="11">
        <v>8</v>
      </c>
      <c r="E51" s="7">
        <v>4</v>
      </c>
      <c r="F51" s="7">
        <v>3</v>
      </c>
      <c r="G51" s="7">
        <v>3</v>
      </c>
      <c r="H51" s="7">
        <v>17</v>
      </c>
      <c r="I51" s="3">
        <v>17</v>
      </c>
      <c r="J51" s="3">
        <v>17</v>
      </c>
      <c r="K51" s="7">
        <v>4</v>
      </c>
      <c r="M51" t="s">
        <v>18</v>
      </c>
      <c r="N51">
        <f>COUNTIFS($B$2:$B$386,4,$D$2:$D$386,2)</f>
        <v>0</v>
      </c>
      <c r="O51" s="34">
        <f t="shared" si="0"/>
        <v>0</v>
      </c>
      <c r="Q51" t="s">
        <v>18</v>
      </c>
      <c r="R51">
        <f>COUNTIFS($C$2:$C$386,21,$D$2:$D$386,2)</f>
        <v>15</v>
      </c>
      <c r="S51" s="34">
        <f t="shared" si="1"/>
        <v>3.8961038961038961</v>
      </c>
      <c r="V51" s="22">
        <f>SUM(V42:V50)</f>
        <v>13</v>
      </c>
      <c r="W51" s="35">
        <f t="shared" si="2"/>
        <v>3.3766233766233764</v>
      </c>
      <c r="AG51" t="s">
        <v>1643</v>
      </c>
      <c r="AH51">
        <f>COUNTIFS($G$2:$G$386,3,$H$2:$H$386,14)</f>
        <v>0</v>
      </c>
      <c r="AI51" s="34">
        <f t="shared" si="5"/>
        <v>0</v>
      </c>
      <c r="AO51" s="4" t="s">
        <v>39121</v>
      </c>
      <c r="AP51">
        <f>COUNTIFS($H$2:$H$386,9,$K$2:$K$386,2)</f>
        <v>0</v>
      </c>
      <c r="AQ51" s="34">
        <f t="shared" si="7"/>
        <v>0</v>
      </c>
    </row>
    <row r="52" spans="1:43" ht="57.6" x14ac:dyDescent="0.3">
      <c r="A52" t="s">
        <v>1677</v>
      </c>
      <c r="B52" s="7">
        <v>11</v>
      </c>
      <c r="C52" s="3">
        <v>20</v>
      </c>
      <c r="D52" s="3">
        <v>2</v>
      </c>
      <c r="E52" s="3">
        <v>6</v>
      </c>
      <c r="F52" s="7">
        <v>3</v>
      </c>
      <c r="G52" s="7">
        <v>3</v>
      </c>
      <c r="H52" s="7">
        <v>17</v>
      </c>
      <c r="I52" s="3">
        <v>17</v>
      </c>
      <c r="J52" s="3">
        <v>17</v>
      </c>
      <c r="K52" s="7">
        <v>4</v>
      </c>
      <c r="M52" t="s">
        <v>150</v>
      </c>
      <c r="N52">
        <f>COUNTIFS($B$2:$B$386,4,$D$2:$D$386,3)</f>
        <v>5</v>
      </c>
      <c r="O52" s="34">
        <f t="shared" si="0"/>
        <v>1.2987012987012987</v>
      </c>
      <c r="Q52" t="s">
        <v>150</v>
      </c>
      <c r="R52">
        <f>COUNTIFS($C$2:$C$386,21,$D$2:$D$386,3)</f>
        <v>15</v>
      </c>
      <c r="S52" s="34">
        <f t="shared" si="1"/>
        <v>3.8961038961038961</v>
      </c>
      <c r="T52" t="s">
        <v>38</v>
      </c>
      <c r="U52" t="s">
        <v>10</v>
      </c>
      <c r="V52">
        <f>COUNTIFS($D$2:$D$386,6,$E$2:$E$386,1)</f>
        <v>1</v>
      </c>
      <c r="W52" s="34">
        <f>(V52/385)*100</f>
        <v>0.25974025974025972</v>
      </c>
      <c r="AG52" t="s">
        <v>1644</v>
      </c>
      <c r="AH52">
        <f>COUNTIFS($G$2:$G$386,3,$H$2:$H$386,15)</f>
        <v>0</v>
      </c>
      <c r="AI52" s="34">
        <f t="shared" si="5"/>
        <v>0</v>
      </c>
      <c r="AO52" s="4" t="s">
        <v>39125</v>
      </c>
      <c r="AP52">
        <f>COUNTIFS($H$2:$H$386,9,$K$2:$K$386,3)</f>
        <v>2</v>
      </c>
      <c r="AQ52" s="34">
        <f t="shared" si="7"/>
        <v>0.51948051948051943</v>
      </c>
    </row>
    <row r="53" spans="1:43" ht="28.8" x14ac:dyDescent="0.3">
      <c r="A53" t="s">
        <v>2330</v>
      </c>
      <c r="B53" s="7">
        <v>3</v>
      </c>
      <c r="C53" s="3">
        <v>18</v>
      </c>
      <c r="D53" s="3">
        <v>1</v>
      </c>
      <c r="E53" s="3">
        <v>6</v>
      </c>
      <c r="F53" s="7">
        <v>3</v>
      </c>
      <c r="G53" s="7">
        <v>3</v>
      </c>
      <c r="H53" s="7">
        <v>17</v>
      </c>
      <c r="I53" s="3">
        <v>17</v>
      </c>
      <c r="J53" s="3">
        <v>17</v>
      </c>
      <c r="K53" s="7">
        <v>4</v>
      </c>
      <c r="M53" t="s">
        <v>25</v>
      </c>
      <c r="N53">
        <f>COUNTIFS($B$2:$B$386,4,$D$2:$D$386,4)</f>
        <v>7</v>
      </c>
      <c r="O53" s="34">
        <f t="shared" si="0"/>
        <v>1.8181818181818181</v>
      </c>
      <c r="Q53" t="s">
        <v>25</v>
      </c>
      <c r="R53">
        <f>COUNTIFS($C$2:$C$386,21,$D$2:$D$386,4)</f>
        <v>90</v>
      </c>
      <c r="S53" s="34">
        <f t="shared" si="1"/>
        <v>23.376623376623375</v>
      </c>
      <c r="U53" t="s">
        <v>17</v>
      </c>
      <c r="V53">
        <f>COUNTIFS($D$2:$D$386,6,$E$2:$E$386,2)</f>
        <v>0</v>
      </c>
      <c r="W53" s="34">
        <f t="shared" si="2"/>
        <v>0</v>
      </c>
      <c r="AG53" t="s">
        <v>29</v>
      </c>
      <c r="AH53">
        <f>COUNTIFS($G$2:$G$386,3,$H$2:$H$386,16)</f>
        <v>16</v>
      </c>
      <c r="AI53" s="34">
        <f t="shared" si="5"/>
        <v>4.1558441558441555</v>
      </c>
      <c r="AO53" s="4" t="s">
        <v>39122</v>
      </c>
      <c r="AP53">
        <f>COUNTIFS($H$2:$H$386,9,$K$2:$K$386,4)</f>
        <v>2</v>
      </c>
      <c r="AQ53" s="34">
        <f t="shared" si="7"/>
        <v>0.51948051948051943</v>
      </c>
    </row>
    <row r="54" spans="1:43" ht="28.8" x14ac:dyDescent="0.3">
      <c r="A54" s="6" t="s">
        <v>349</v>
      </c>
      <c r="B54" s="7">
        <v>16</v>
      </c>
      <c r="C54" s="3">
        <v>21</v>
      </c>
      <c r="D54" s="11">
        <v>4</v>
      </c>
      <c r="E54" s="11">
        <v>1</v>
      </c>
      <c r="F54" s="11">
        <v>2</v>
      </c>
      <c r="G54" s="11">
        <v>2</v>
      </c>
      <c r="H54" s="11">
        <v>17</v>
      </c>
      <c r="I54" s="3">
        <v>17</v>
      </c>
      <c r="J54" s="3">
        <v>17</v>
      </c>
      <c r="K54" s="11">
        <v>3</v>
      </c>
      <c r="M54" t="s">
        <v>32</v>
      </c>
      <c r="N54">
        <f>COUNTIFS($B$2:$B$386,4,$D$2:$D$386,5)</f>
        <v>0</v>
      </c>
      <c r="O54" s="34">
        <f t="shared" si="0"/>
        <v>0</v>
      </c>
      <c r="Q54" t="s">
        <v>32</v>
      </c>
      <c r="R54">
        <f>COUNTIFS($C$2:$C$386,21,$D$2:$D$386,5)</f>
        <v>6</v>
      </c>
      <c r="S54" s="34">
        <f t="shared" si="1"/>
        <v>1.5584415584415585</v>
      </c>
      <c r="U54" t="s">
        <v>24</v>
      </c>
      <c r="V54">
        <f>COUNTIFS($D$2:$D$386,6,$E$2:$E$386,3)</f>
        <v>2</v>
      </c>
      <c r="W54" s="34">
        <f t="shared" si="2"/>
        <v>0.51948051948051943</v>
      </c>
      <c r="AG54" t="s">
        <v>54</v>
      </c>
      <c r="AH54">
        <f>COUNTIFS($G$2:$G$386,3,$H$2:$H$386,17)</f>
        <v>237</v>
      </c>
      <c r="AI54" s="34">
        <f t="shared" si="5"/>
        <v>61.558441558441558</v>
      </c>
      <c r="AO54" s="4" t="s">
        <v>39123</v>
      </c>
      <c r="AP54">
        <f>COUNTIFS($H$2:$H$386,9,$K$2:$K$386,5)</f>
        <v>0</v>
      </c>
      <c r="AQ54" s="34">
        <f t="shared" si="7"/>
        <v>0</v>
      </c>
    </row>
    <row r="55" spans="1:43" x14ac:dyDescent="0.3">
      <c r="A55" t="s">
        <v>2744</v>
      </c>
      <c r="B55" s="7">
        <v>13</v>
      </c>
      <c r="C55" s="3">
        <v>21</v>
      </c>
      <c r="D55" s="3">
        <v>3</v>
      </c>
      <c r="E55" s="3">
        <v>3</v>
      </c>
      <c r="F55" s="7">
        <v>3</v>
      </c>
      <c r="G55" s="7">
        <v>3</v>
      </c>
      <c r="H55" s="7">
        <v>17</v>
      </c>
      <c r="I55" s="3">
        <v>17</v>
      </c>
      <c r="J55" s="3">
        <v>17</v>
      </c>
      <c r="K55" s="7">
        <v>4</v>
      </c>
      <c r="M55" t="s">
        <v>38</v>
      </c>
      <c r="N55">
        <f>COUNTIFS($B$2:$B$386,4,$D$2:$D$386,6)</f>
        <v>0</v>
      </c>
      <c r="O55" s="34">
        <f t="shared" si="0"/>
        <v>0</v>
      </c>
      <c r="Q55" t="s">
        <v>38</v>
      </c>
      <c r="R55">
        <f>COUNTIFS($C$2:$C$386,21,$D$2:$D$386,6)</f>
        <v>2</v>
      </c>
      <c r="S55" s="34">
        <f t="shared" si="1"/>
        <v>0.51948051948051943</v>
      </c>
      <c r="U55" t="s">
        <v>31</v>
      </c>
      <c r="V55">
        <f>COUNTIFS($D$2:$D$386,6,$E$2:$E$386,4)</f>
        <v>1</v>
      </c>
      <c r="W55" s="34">
        <f t="shared" si="2"/>
        <v>0.25974025974025972</v>
      </c>
      <c r="AH55" s="23">
        <f>SUM(AH38:AH54)</f>
        <v>349</v>
      </c>
      <c r="AI55" s="37">
        <f t="shared" si="5"/>
        <v>90.649350649350652</v>
      </c>
      <c r="AP55" s="23">
        <f>SUM(AP50:AP54)</f>
        <v>4</v>
      </c>
      <c r="AQ55" s="37">
        <f t="shared" si="7"/>
        <v>1.0389610389610389</v>
      </c>
    </row>
    <row r="56" spans="1:43" ht="43.2" x14ac:dyDescent="0.3">
      <c r="A56" t="s">
        <v>1743</v>
      </c>
      <c r="B56" s="7">
        <v>10</v>
      </c>
      <c r="C56" s="3">
        <v>20</v>
      </c>
      <c r="D56" s="11">
        <v>1</v>
      </c>
      <c r="E56" s="7">
        <v>3</v>
      </c>
      <c r="F56" s="7">
        <v>3</v>
      </c>
      <c r="G56" s="7">
        <v>3</v>
      </c>
      <c r="H56" s="7">
        <v>17</v>
      </c>
      <c r="I56" s="3">
        <v>17</v>
      </c>
      <c r="J56" s="3">
        <v>17</v>
      </c>
      <c r="K56" s="7">
        <v>4</v>
      </c>
      <c r="M56" t="s">
        <v>151</v>
      </c>
      <c r="N56">
        <f>COUNTIFS($B$2:$B$386,4,$D$2:$D$386,7)</f>
        <v>0</v>
      </c>
      <c r="O56" s="34">
        <f t="shared" si="0"/>
        <v>0</v>
      </c>
      <c r="Q56" t="s">
        <v>151</v>
      </c>
      <c r="R56">
        <f>COUNTIFS($C$2:$C$386,21,$D$2:$D$386,7)</f>
        <v>0</v>
      </c>
      <c r="S56" s="34">
        <f t="shared" si="1"/>
        <v>0</v>
      </c>
      <c r="U56" t="s">
        <v>37</v>
      </c>
      <c r="V56">
        <f>COUNTIFS($D$2:$D$386,6,$E$2:$E$386,5)</f>
        <v>0</v>
      </c>
      <c r="W56" s="34">
        <f t="shared" si="2"/>
        <v>0</v>
      </c>
      <c r="AF56" s="4" t="s">
        <v>34</v>
      </c>
      <c r="AG56" t="s">
        <v>14</v>
      </c>
      <c r="AH56">
        <f>COUNTIFS($G$2:$G$386,4,$H$2:$H$386,1)</f>
        <v>0</v>
      </c>
      <c r="AI56" s="34">
        <f>(AH56/385)*100</f>
        <v>0</v>
      </c>
      <c r="AN56" t="s">
        <v>1639</v>
      </c>
      <c r="AO56" s="4" t="s">
        <v>39120</v>
      </c>
      <c r="AP56">
        <f>COUNTIFS($H$2:$H$386,10,$K$2:$K$386,1)</f>
        <v>0</v>
      </c>
      <c r="AQ56" s="34">
        <f>(AP56/385)*100</f>
        <v>0</v>
      </c>
    </row>
    <row r="57" spans="1:43" ht="43.2" x14ac:dyDescent="0.3">
      <c r="A57" t="s">
        <v>1781</v>
      </c>
      <c r="B57" s="7">
        <v>9</v>
      </c>
      <c r="C57" s="3">
        <v>20</v>
      </c>
      <c r="D57" s="3">
        <v>8</v>
      </c>
      <c r="E57" s="3">
        <v>1</v>
      </c>
      <c r="F57" s="7">
        <v>1</v>
      </c>
      <c r="G57" s="7">
        <v>3</v>
      </c>
      <c r="H57" s="7">
        <v>1</v>
      </c>
      <c r="I57" s="3">
        <v>1</v>
      </c>
      <c r="J57" s="3">
        <v>1</v>
      </c>
      <c r="K57" s="7">
        <v>5</v>
      </c>
      <c r="M57" t="s">
        <v>43</v>
      </c>
      <c r="N57">
        <f>COUNTIFS($B$2:$B$386,4,$D$2:$D$386,8)</f>
        <v>1</v>
      </c>
      <c r="O57" s="34">
        <f t="shared" si="0"/>
        <v>0.25974025974025972</v>
      </c>
      <c r="Q57" t="s">
        <v>43</v>
      </c>
      <c r="R57">
        <f>COUNTIFS($C$2:$C$386,21,$D$2:$D$386,8)</f>
        <v>13</v>
      </c>
      <c r="S57" s="34">
        <f t="shared" si="1"/>
        <v>3.3766233766233764</v>
      </c>
      <c r="U57" t="s">
        <v>42</v>
      </c>
      <c r="V57">
        <f>COUNTIFS($D$2:$D$386,6,$E$2:$E$386,6)</f>
        <v>0</v>
      </c>
      <c r="W57" s="34">
        <f t="shared" si="2"/>
        <v>0</v>
      </c>
      <c r="AG57" t="s">
        <v>21</v>
      </c>
      <c r="AH57">
        <f>COUNTIFS($G$2:$G$386,4,$H$2:$H$386,2)</f>
        <v>0</v>
      </c>
      <c r="AI57" s="34">
        <f t="shared" si="5"/>
        <v>0</v>
      </c>
      <c r="AO57" s="4" t="s">
        <v>39121</v>
      </c>
      <c r="AP57">
        <f>COUNTIFS($H$2:$H$386,10,$K$2:$K$386,2)</f>
        <v>1</v>
      </c>
      <c r="AQ57" s="34">
        <f t="shared" si="7"/>
        <v>0.25974025974025972</v>
      </c>
    </row>
    <row r="58" spans="1:43" ht="57.6" x14ac:dyDescent="0.3">
      <c r="A58" s="6" t="s">
        <v>997</v>
      </c>
      <c r="B58" s="7">
        <v>14</v>
      </c>
      <c r="C58" s="3">
        <v>21</v>
      </c>
      <c r="D58" s="11">
        <v>8</v>
      </c>
      <c r="E58" s="7">
        <v>1</v>
      </c>
      <c r="F58" s="7">
        <v>3</v>
      </c>
      <c r="G58" s="7">
        <v>3</v>
      </c>
      <c r="H58" s="7">
        <v>17</v>
      </c>
      <c r="I58" s="3">
        <v>17</v>
      </c>
      <c r="J58" s="3">
        <v>17</v>
      </c>
      <c r="K58" s="7">
        <v>4</v>
      </c>
      <c r="M58" t="s">
        <v>46</v>
      </c>
      <c r="N58">
        <f>COUNTIFS($B$2:$B$386,4,$D$2:$D$386,9)</f>
        <v>1</v>
      </c>
      <c r="O58" s="34">
        <f t="shared" si="0"/>
        <v>0.25974025974025972</v>
      </c>
      <c r="Q58" t="s">
        <v>46</v>
      </c>
      <c r="R58">
        <f>COUNTIFS($C$2:$C$386,21,$D$2:$D$386,9)</f>
        <v>5</v>
      </c>
      <c r="S58" s="34">
        <f t="shared" si="1"/>
        <v>1.2987012987012987</v>
      </c>
      <c r="U58" t="s">
        <v>45</v>
      </c>
      <c r="V58">
        <f>COUNTIFS($D$2:$D$386,6,$E$2:$E$386,7)</f>
        <v>0</v>
      </c>
      <c r="W58" s="34">
        <f t="shared" si="2"/>
        <v>0</v>
      </c>
      <c r="AG58" t="s">
        <v>28</v>
      </c>
      <c r="AH58">
        <f>COUNTIFS($G$2:$G$386,4,$H$2:$H$386,3)</f>
        <v>0</v>
      </c>
      <c r="AI58" s="34">
        <f t="shared" si="5"/>
        <v>0</v>
      </c>
      <c r="AO58" s="4" t="s">
        <v>39125</v>
      </c>
      <c r="AP58">
        <f>COUNTIFS($H$2:$H$386,10,$K$2:$K$386,3)</f>
        <v>0</v>
      </c>
      <c r="AQ58" s="34">
        <f t="shared" si="7"/>
        <v>0</v>
      </c>
    </row>
    <row r="59" spans="1:43" ht="28.8" x14ac:dyDescent="0.3">
      <c r="A59" t="s">
        <v>2960</v>
      </c>
      <c r="B59" s="7">
        <v>10</v>
      </c>
      <c r="C59" s="3">
        <v>20</v>
      </c>
      <c r="D59" s="3">
        <v>4</v>
      </c>
      <c r="E59" s="3">
        <v>3</v>
      </c>
      <c r="F59" s="7">
        <v>1</v>
      </c>
      <c r="G59" s="7">
        <v>3</v>
      </c>
      <c r="H59" s="7">
        <v>1</v>
      </c>
      <c r="I59" s="3">
        <v>1</v>
      </c>
      <c r="J59" s="3">
        <v>1</v>
      </c>
      <c r="K59" s="7">
        <v>5</v>
      </c>
      <c r="M59" t="s">
        <v>152</v>
      </c>
      <c r="N59">
        <f>COUNTIFS($B$2:$B$386,4,$D$2:$D$386,10)</f>
        <v>0</v>
      </c>
      <c r="O59" s="34">
        <f t="shared" si="0"/>
        <v>0</v>
      </c>
      <c r="Q59" t="s">
        <v>152</v>
      </c>
      <c r="R59">
        <f>COUNTIFS($C$2:$C$386,21,$D$2:$D$386,10)</f>
        <v>0</v>
      </c>
      <c r="S59" s="34">
        <f t="shared" si="1"/>
        <v>0</v>
      </c>
      <c r="U59" t="s">
        <v>48</v>
      </c>
      <c r="V59">
        <f>COUNTIFS($D$2:$D$386,6,$E$2:$E$386,8)</f>
        <v>0</v>
      </c>
      <c r="W59" s="34">
        <f t="shared" si="2"/>
        <v>0</v>
      </c>
      <c r="AG59" t="s">
        <v>35</v>
      </c>
      <c r="AH59">
        <f>COUNTIFS($G$2:$G$386,4,$H$2:$H$386,4)</f>
        <v>0</v>
      </c>
      <c r="AI59" s="34">
        <f t="shared" si="5"/>
        <v>0</v>
      </c>
      <c r="AO59" s="4" t="s">
        <v>39122</v>
      </c>
      <c r="AP59">
        <f>COUNTIFS($H$2:$H$386,10,$K$2:$K$386,4)</f>
        <v>0</v>
      </c>
      <c r="AQ59" s="34">
        <f t="shared" si="7"/>
        <v>0</v>
      </c>
    </row>
    <row r="60" spans="1:43" ht="28.8" x14ac:dyDescent="0.3">
      <c r="A60" t="s">
        <v>1832</v>
      </c>
      <c r="B60" s="7">
        <v>8</v>
      </c>
      <c r="C60" s="3">
        <v>19</v>
      </c>
      <c r="D60" s="3">
        <v>4</v>
      </c>
      <c r="E60" s="3">
        <v>3</v>
      </c>
      <c r="F60" s="7">
        <v>1</v>
      </c>
      <c r="G60" s="7">
        <v>3</v>
      </c>
      <c r="H60" s="7">
        <v>1</v>
      </c>
      <c r="I60" s="3">
        <v>1</v>
      </c>
      <c r="J60" s="3">
        <v>1</v>
      </c>
      <c r="K60" s="7">
        <v>5</v>
      </c>
      <c r="M60" t="s">
        <v>49</v>
      </c>
      <c r="N60">
        <f>COUNTIFS($B$2:$B$386,4,$D$2:$D$386,11)</f>
        <v>0</v>
      </c>
      <c r="O60" s="34">
        <f t="shared" si="0"/>
        <v>0</v>
      </c>
      <c r="Q60" t="s">
        <v>49</v>
      </c>
      <c r="R60">
        <f>COUNTIFS($C$2:$C$386,21,$D$2:$D$386,11)</f>
        <v>5</v>
      </c>
      <c r="S60" s="34">
        <f t="shared" si="1"/>
        <v>1.2987012987012987</v>
      </c>
      <c r="U60" t="s">
        <v>50</v>
      </c>
      <c r="V60">
        <f>COUNTIFS($D$2:$D$386,6,$E$2:$E$386,9)</f>
        <v>0</v>
      </c>
      <c r="W60" s="34">
        <f t="shared" si="2"/>
        <v>0</v>
      </c>
      <c r="AG60" t="s">
        <v>40</v>
      </c>
      <c r="AH60">
        <f>COUNTIFS($G$2:$G$386,4,$H$2:$H$386,5)</f>
        <v>0</v>
      </c>
      <c r="AI60" s="34">
        <f t="shared" si="5"/>
        <v>0</v>
      </c>
      <c r="AO60" s="4" t="s">
        <v>39123</v>
      </c>
      <c r="AP60">
        <f>COUNTIFS($H$2:$H$386,10,$K$2:$K$386,5)</f>
        <v>0</v>
      </c>
      <c r="AQ60" s="34">
        <f t="shared" si="7"/>
        <v>0</v>
      </c>
    </row>
    <row r="61" spans="1:43" x14ac:dyDescent="0.3">
      <c r="A61" t="s">
        <v>1313</v>
      </c>
      <c r="B61" s="7">
        <v>13</v>
      </c>
      <c r="C61" s="3">
        <v>21</v>
      </c>
      <c r="D61" s="3">
        <v>15</v>
      </c>
      <c r="E61" s="3">
        <v>3</v>
      </c>
      <c r="F61" s="3">
        <v>1</v>
      </c>
      <c r="G61" s="3">
        <v>3</v>
      </c>
      <c r="H61" s="3">
        <v>1</v>
      </c>
      <c r="I61" s="3">
        <v>1</v>
      </c>
      <c r="J61" s="3">
        <v>1</v>
      </c>
      <c r="K61" s="3">
        <v>5</v>
      </c>
      <c r="M61" t="s">
        <v>51</v>
      </c>
      <c r="N61">
        <f>COUNTIFS($B$2:$B$386,4,$D$2:$D$386,12)</f>
        <v>1</v>
      </c>
      <c r="O61" s="34">
        <f t="shared" si="0"/>
        <v>0.25974025974025972</v>
      </c>
      <c r="Q61" t="s">
        <v>51</v>
      </c>
      <c r="R61">
        <f>COUNTIFS($C$2:$C$386,21,$D$2:$D$386,12)</f>
        <v>6</v>
      </c>
      <c r="S61" s="34">
        <f t="shared" si="1"/>
        <v>1.5584415584415585</v>
      </c>
      <c r="V61" s="22">
        <f>SUM(V52:V60)</f>
        <v>4</v>
      </c>
      <c r="W61" s="35">
        <f t="shared" si="2"/>
        <v>1.0389610389610389</v>
      </c>
      <c r="AG61" t="s">
        <v>44</v>
      </c>
      <c r="AH61">
        <f>COUNTIFS($G$2:$G$386,4,$H$2:$H$386,6)</f>
        <v>0</v>
      </c>
      <c r="AI61" s="34">
        <f t="shared" si="5"/>
        <v>0</v>
      </c>
      <c r="AP61" s="23">
        <f>SUM(AP56:AP60)</f>
        <v>1</v>
      </c>
      <c r="AQ61" s="37">
        <f t="shared" si="7"/>
        <v>0.25974025974025972</v>
      </c>
    </row>
    <row r="62" spans="1:43" ht="43.2" x14ac:dyDescent="0.3">
      <c r="A62" s="6" t="s">
        <v>531</v>
      </c>
      <c r="B62" s="7">
        <v>16</v>
      </c>
      <c r="C62" s="3">
        <v>21</v>
      </c>
      <c r="D62" s="3">
        <v>4</v>
      </c>
      <c r="E62" s="3">
        <v>1</v>
      </c>
      <c r="F62" s="7">
        <v>3</v>
      </c>
      <c r="G62" s="7">
        <v>3</v>
      </c>
      <c r="H62" s="7">
        <v>17</v>
      </c>
      <c r="I62" s="3">
        <v>17</v>
      </c>
      <c r="J62" s="3">
        <v>17</v>
      </c>
      <c r="K62" s="7">
        <v>4</v>
      </c>
      <c r="M62" t="s">
        <v>153</v>
      </c>
      <c r="N62">
        <f>COUNTIFS($B$2:$B$386,4,$D$2:$D$386,13)</f>
        <v>1</v>
      </c>
      <c r="O62" s="34">
        <f t="shared" si="0"/>
        <v>0.25974025974025972</v>
      </c>
      <c r="Q62" t="s">
        <v>153</v>
      </c>
      <c r="R62">
        <f>COUNTIFS($C$2:$C$386,21,$D$2:$D$386,13)</f>
        <v>0</v>
      </c>
      <c r="S62" s="34">
        <f t="shared" si="1"/>
        <v>0</v>
      </c>
      <c r="T62" t="s">
        <v>151</v>
      </c>
      <c r="U62" t="s">
        <v>10</v>
      </c>
      <c r="V62">
        <f>COUNTIFS($D$2:$D$386,7,$E$2:$E$386,1)</f>
        <v>0</v>
      </c>
      <c r="W62" s="34">
        <f>(V62/385)*100</f>
        <v>0</v>
      </c>
      <c r="AG62" t="s">
        <v>47</v>
      </c>
      <c r="AH62">
        <f>COUNTIFS($G$2:$G$386,4,$H$2:$H$386,7)</f>
        <v>0</v>
      </c>
      <c r="AI62" s="34">
        <f t="shared" si="5"/>
        <v>0</v>
      </c>
      <c r="AN62" t="s">
        <v>1640</v>
      </c>
      <c r="AO62" s="4" t="s">
        <v>39120</v>
      </c>
      <c r="AP62">
        <f>COUNTIFS($H$2:$H$386,11,$K$2:$K$386,1)</f>
        <v>0</v>
      </c>
      <c r="AQ62" s="34">
        <f>(AP62/385)*100</f>
        <v>0</v>
      </c>
    </row>
    <row r="63" spans="1:43" ht="43.2" x14ac:dyDescent="0.3">
      <c r="A63" s="6" t="s">
        <v>786</v>
      </c>
      <c r="B63" s="7">
        <v>15</v>
      </c>
      <c r="C63" s="3">
        <v>21</v>
      </c>
      <c r="D63" s="11">
        <v>1</v>
      </c>
      <c r="E63" s="7">
        <v>6</v>
      </c>
      <c r="F63" s="11">
        <v>1</v>
      </c>
      <c r="G63" s="11">
        <v>3</v>
      </c>
      <c r="H63" s="11">
        <v>1</v>
      </c>
      <c r="I63" s="3">
        <v>1</v>
      </c>
      <c r="J63" s="3">
        <v>1</v>
      </c>
      <c r="K63" s="11">
        <v>5</v>
      </c>
      <c r="M63" t="s">
        <v>154</v>
      </c>
      <c r="N63">
        <f>COUNTIFS($B$2:$B$386,4,$D$2:$D$386,14)</f>
        <v>2</v>
      </c>
      <c r="O63" s="34">
        <f t="shared" si="0"/>
        <v>0.51948051948051943</v>
      </c>
      <c r="Q63" t="s">
        <v>154</v>
      </c>
      <c r="R63">
        <f>COUNTIFS($C$2:$C$386,21,$D$2:$D$386,14)</f>
        <v>4</v>
      </c>
      <c r="S63" s="34">
        <f t="shared" si="1"/>
        <v>1.0389610389610389</v>
      </c>
      <c r="U63" t="s">
        <v>17</v>
      </c>
      <c r="V63">
        <f>COUNTIFS($D$2:$D$386,7,$E$2:$E$386,2)</f>
        <v>0</v>
      </c>
      <c r="W63" s="34">
        <f t="shared" si="2"/>
        <v>0</v>
      </c>
      <c r="AG63" t="s">
        <v>1637</v>
      </c>
      <c r="AH63">
        <f>COUNTIFS($G$2:$G$386,4,$H$2:$H$386,8)</f>
        <v>0</v>
      </c>
      <c r="AI63" s="34">
        <f t="shared" si="5"/>
        <v>0</v>
      </c>
      <c r="AO63" s="4" t="s">
        <v>39121</v>
      </c>
      <c r="AP63">
        <f>COUNTIFS($H$2:$H$386,11,$K$2:$K$386,2)</f>
        <v>0</v>
      </c>
      <c r="AQ63" s="34">
        <f t="shared" si="7"/>
        <v>0</v>
      </c>
    </row>
    <row r="64" spans="1:43" ht="57.6" x14ac:dyDescent="0.3">
      <c r="A64" t="s">
        <v>1923</v>
      </c>
      <c r="B64" s="7">
        <v>8</v>
      </c>
      <c r="C64" s="3">
        <v>19</v>
      </c>
      <c r="D64" s="3">
        <v>4</v>
      </c>
      <c r="E64" s="3">
        <v>3</v>
      </c>
      <c r="F64" s="7">
        <v>1</v>
      </c>
      <c r="G64" s="7">
        <v>3</v>
      </c>
      <c r="H64" s="7">
        <v>1</v>
      </c>
      <c r="I64" s="3">
        <v>1</v>
      </c>
      <c r="J64" s="3">
        <v>1</v>
      </c>
      <c r="K64" s="7">
        <v>5</v>
      </c>
      <c r="M64" t="s">
        <v>52</v>
      </c>
      <c r="N64">
        <f>COUNTIFS($B$2:$B$386,4,$D$2:$D$386,15)</f>
        <v>0</v>
      </c>
      <c r="O64" s="34">
        <f t="shared" si="0"/>
        <v>0</v>
      </c>
      <c r="Q64" t="s">
        <v>52</v>
      </c>
      <c r="R64">
        <f>COUNTIFS($C$2:$C$386,21,$D$2:$D$386,15)</f>
        <v>28</v>
      </c>
      <c r="S64" s="34">
        <f t="shared" si="1"/>
        <v>7.2727272727272725</v>
      </c>
      <c r="U64" t="s">
        <v>24</v>
      </c>
      <c r="V64">
        <f>COUNTIFS($D$2:$D$386,7,$E$2:$E$386,3)</f>
        <v>0</v>
      </c>
      <c r="W64" s="34">
        <f t="shared" si="2"/>
        <v>0</v>
      </c>
      <c r="AG64" t="s">
        <v>1638</v>
      </c>
      <c r="AH64">
        <f>COUNTIFS($G$2:$G$386,4,$H$2:$H$386,9)</f>
        <v>0</v>
      </c>
      <c r="AI64" s="34">
        <f t="shared" si="5"/>
        <v>0</v>
      </c>
      <c r="AO64" s="4" t="s">
        <v>39125</v>
      </c>
      <c r="AP64">
        <f>COUNTIFS($H$2:$H$386,11,$K$2:$K$386,3)</f>
        <v>1</v>
      </c>
      <c r="AQ64" s="34">
        <f t="shared" si="7"/>
        <v>0.25974025974025972</v>
      </c>
    </row>
    <row r="65" spans="1:43" ht="28.8" x14ac:dyDescent="0.3">
      <c r="A65" t="s">
        <v>2490</v>
      </c>
      <c r="B65" s="7">
        <v>16</v>
      </c>
      <c r="C65" s="3">
        <v>21</v>
      </c>
      <c r="D65" s="3">
        <v>15</v>
      </c>
      <c r="E65" s="3">
        <v>3</v>
      </c>
      <c r="F65" s="7">
        <v>3</v>
      </c>
      <c r="G65" s="7">
        <v>3</v>
      </c>
      <c r="H65" s="7">
        <v>17</v>
      </c>
      <c r="I65" s="3">
        <v>17</v>
      </c>
      <c r="J65" s="3">
        <v>17</v>
      </c>
      <c r="K65" s="7">
        <v>4</v>
      </c>
      <c r="N65" s="22">
        <f>SUM(N50:N64)</f>
        <v>22</v>
      </c>
      <c r="O65" s="35">
        <f t="shared" si="0"/>
        <v>5.7142857142857144</v>
      </c>
      <c r="R65" s="23">
        <f>SUM(R50:R64)</f>
        <v>206</v>
      </c>
      <c r="S65" s="37">
        <f t="shared" si="1"/>
        <v>53.506493506493499</v>
      </c>
      <c r="U65" t="s">
        <v>31</v>
      </c>
      <c r="V65">
        <f>COUNTIFS($D$2:$D$386,7,$E$2:$E$386,4)</f>
        <v>0</v>
      </c>
      <c r="W65" s="34">
        <f t="shared" si="2"/>
        <v>0</v>
      </c>
      <c r="AG65" t="s">
        <v>1639</v>
      </c>
      <c r="AH65">
        <f>COUNTIFS($G$2:$G$386,4,$H$2:$H$386,10)</f>
        <v>0</v>
      </c>
      <c r="AI65" s="34">
        <f t="shared" si="5"/>
        <v>0</v>
      </c>
      <c r="AO65" s="4" t="s">
        <v>39122</v>
      </c>
      <c r="AP65">
        <f>COUNTIFS($H$2:$H$386,11,$K$2:$K$386,4)</f>
        <v>0</v>
      </c>
      <c r="AQ65" s="34">
        <f t="shared" si="7"/>
        <v>0</v>
      </c>
    </row>
    <row r="66" spans="1:43" ht="28.8" x14ac:dyDescent="0.3">
      <c r="A66" s="6" t="s">
        <v>798</v>
      </c>
      <c r="B66" s="7">
        <v>15</v>
      </c>
      <c r="C66" s="3">
        <v>21</v>
      </c>
      <c r="D66" s="11">
        <v>15</v>
      </c>
      <c r="E66" s="7">
        <v>8</v>
      </c>
      <c r="F66" s="11">
        <v>1</v>
      </c>
      <c r="G66" s="11">
        <v>2</v>
      </c>
      <c r="H66" s="11">
        <v>4</v>
      </c>
      <c r="I66" s="3">
        <v>18</v>
      </c>
      <c r="J66" s="3">
        <v>18</v>
      </c>
      <c r="K66" s="11">
        <v>3</v>
      </c>
      <c r="L66">
        <v>2013</v>
      </c>
      <c r="M66" t="s">
        <v>11</v>
      </c>
      <c r="N66">
        <f>COUNTIFS($B$2:$B$386,5,$D$2:$D$386,1)</f>
        <v>2</v>
      </c>
      <c r="O66" s="34">
        <f>(N66/385)*100</f>
        <v>0.51948051948051943</v>
      </c>
      <c r="U66" t="s">
        <v>37</v>
      </c>
      <c r="V66">
        <f>COUNTIFS($D$2:$D$386,7,$E$2:$E$386,5)</f>
        <v>0</v>
      </c>
      <c r="W66" s="34">
        <f t="shared" si="2"/>
        <v>0</v>
      </c>
      <c r="AG66" t="s">
        <v>1640</v>
      </c>
      <c r="AH66">
        <f>COUNTIFS($G$2:$G$386,4,$H$2:$H$386,11)</f>
        <v>0</v>
      </c>
      <c r="AI66" s="34">
        <f t="shared" si="5"/>
        <v>0</v>
      </c>
      <c r="AO66" s="4" t="s">
        <v>39123</v>
      </c>
      <c r="AP66">
        <f>COUNTIFS($H$2:$H$386,11,$K$2:$K$386,5)</f>
        <v>0</v>
      </c>
      <c r="AQ66" s="34">
        <f t="shared" si="7"/>
        <v>0</v>
      </c>
    </row>
    <row r="67" spans="1:43" x14ac:dyDescent="0.3">
      <c r="A67" t="s">
        <v>2993</v>
      </c>
      <c r="B67" s="7">
        <v>8</v>
      </c>
      <c r="C67" s="3">
        <v>19</v>
      </c>
      <c r="D67" s="3">
        <v>9</v>
      </c>
      <c r="E67" s="3">
        <v>8</v>
      </c>
      <c r="F67" s="7">
        <v>3</v>
      </c>
      <c r="G67" s="7">
        <v>3</v>
      </c>
      <c r="H67" s="7">
        <v>17</v>
      </c>
      <c r="I67" s="3">
        <v>17</v>
      </c>
      <c r="J67" s="3">
        <v>17</v>
      </c>
      <c r="K67" s="7">
        <v>4</v>
      </c>
      <c r="M67" t="s">
        <v>18</v>
      </c>
      <c r="N67">
        <f>COUNTIFS($B$2:$B$386,5,$D$2:$D$386,2)</f>
        <v>1</v>
      </c>
      <c r="O67" s="34">
        <f t="shared" si="0"/>
        <v>0.25974025974025972</v>
      </c>
      <c r="U67" t="s">
        <v>42</v>
      </c>
      <c r="V67">
        <f>COUNTIFS($D$2:$D$386,7,$E$2:$E$386,6)</f>
        <v>0</v>
      </c>
      <c r="W67" s="34">
        <f t="shared" ref="W67:W71" si="12">(V67/385)*100</f>
        <v>0</v>
      </c>
      <c r="AG67" t="s">
        <v>1641</v>
      </c>
      <c r="AH67">
        <f>COUNTIFS($G$2:$G$386,4,$H$2:$H$386,12)</f>
        <v>0</v>
      </c>
      <c r="AI67" s="34">
        <f t="shared" ref="AI67:AI73" si="13">(AH67/385)*100</f>
        <v>0</v>
      </c>
      <c r="AP67" s="23">
        <f>SUM(AP62:AP66)</f>
        <v>1</v>
      </c>
      <c r="AQ67" s="37">
        <f t="shared" ref="AQ67" si="14">(AP67/385)*100</f>
        <v>0.25974025974025972</v>
      </c>
    </row>
    <row r="68" spans="1:43" ht="43.2" x14ac:dyDescent="0.3">
      <c r="A68" s="6" t="s">
        <v>569</v>
      </c>
      <c r="B68" s="7">
        <v>16</v>
      </c>
      <c r="C68" s="3">
        <v>21</v>
      </c>
      <c r="D68" s="11">
        <v>15</v>
      </c>
      <c r="E68" s="11">
        <v>3</v>
      </c>
      <c r="F68" s="11">
        <v>1</v>
      </c>
      <c r="G68" s="11">
        <v>3</v>
      </c>
      <c r="H68" s="11">
        <v>1</v>
      </c>
      <c r="I68" s="3">
        <v>1</v>
      </c>
      <c r="J68" s="3">
        <v>1</v>
      </c>
      <c r="K68" s="11">
        <v>5</v>
      </c>
      <c r="M68" t="s">
        <v>150</v>
      </c>
      <c r="N68">
        <f>COUNTIFS($B$2:$B$386,5,$D$2:$D$386,3)</f>
        <v>1</v>
      </c>
      <c r="O68" s="34">
        <f t="shared" ref="O68:O81" si="15">(N68/385)*100</f>
        <v>0.25974025974025972</v>
      </c>
      <c r="U68" t="s">
        <v>45</v>
      </c>
      <c r="V68">
        <f>COUNTIFS($D$2:$D$386,7,$E$2:$E$386,7)</f>
        <v>0</v>
      </c>
      <c r="W68" s="34">
        <f t="shared" si="12"/>
        <v>0</v>
      </c>
      <c r="AG68" t="s">
        <v>1642</v>
      </c>
      <c r="AH68">
        <f>COUNTIFS($G$2:$G$386,4,$H$2:$H$386,13)</f>
        <v>0</v>
      </c>
      <c r="AI68" s="34">
        <f t="shared" si="13"/>
        <v>0</v>
      </c>
      <c r="AN68" t="s">
        <v>1641</v>
      </c>
      <c r="AO68" s="4" t="s">
        <v>39120</v>
      </c>
      <c r="AP68">
        <f>COUNTIFS($H$2:$H$386,12,$K$2:$K$386,1)</f>
        <v>1</v>
      </c>
      <c r="AQ68" s="34">
        <f>(AP68/385)*100</f>
        <v>0.25974025974025972</v>
      </c>
    </row>
    <row r="69" spans="1:43" ht="43.2" x14ac:dyDescent="0.3">
      <c r="A69" t="s">
        <v>2028</v>
      </c>
      <c r="B69" s="7">
        <v>7</v>
      </c>
      <c r="C69" s="3">
        <v>19</v>
      </c>
      <c r="D69" s="3">
        <v>3</v>
      </c>
      <c r="E69" s="3">
        <v>3</v>
      </c>
      <c r="F69" s="3">
        <v>2</v>
      </c>
      <c r="G69" s="3">
        <v>3</v>
      </c>
      <c r="H69" s="3">
        <v>9</v>
      </c>
      <c r="I69" s="3">
        <v>9</v>
      </c>
      <c r="J69" s="3">
        <v>19</v>
      </c>
      <c r="K69" s="3">
        <v>4</v>
      </c>
      <c r="M69" t="s">
        <v>25</v>
      </c>
      <c r="N69">
        <f>COUNTIFS($B$2:$B$386,5,$D$2:$D$386,4)</f>
        <v>6</v>
      </c>
      <c r="O69" s="34">
        <f t="shared" si="15"/>
        <v>1.5584415584415585</v>
      </c>
      <c r="U69" t="s">
        <v>48</v>
      </c>
      <c r="V69">
        <f>COUNTIFS($D$2:$D$386,7,$E$2:$E$386,8)</f>
        <v>0</v>
      </c>
      <c r="W69" s="34">
        <f t="shared" si="12"/>
        <v>0</v>
      </c>
      <c r="AG69" t="s">
        <v>1643</v>
      </c>
      <c r="AH69">
        <f>COUNTIFS($G$2:$G$386,4,$H$2:$H$386,14)</f>
        <v>0</v>
      </c>
      <c r="AI69" s="34">
        <f t="shared" si="13"/>
        <v>0</v>
      </c>
      <c r="AO69" s="4" t="s">
        <v>39121</v>
      </c>
      <c r="AP69">
        <f>COUNTIFS($H$2:$H$386,12,$K$2:$K$386,2)</f>
        <v>0</v>
      </c>
      <c r="AQ69" s="34">
        <f t="shared" ref="AQ69:AQ73" si="16">(AP69/385)*100</f>
        <v>0</v>
      </c>
    </row>
    <row r="70" spans="1:43" ht="57.6" x14ac:dyDescent="0.3">
      <c r="A70" s="6" t="s">
        <v>500</v>
      </c>
      <c r="B70" s="7">
        <v>16</v>
      </c>
      <c r="C70" s="3">
        <v>21</v>
      </c>
      <c r="D70" s="11">
        <v>4</v>
      </c>
      <c r="E70" s="7">
        <v>3</v>
      </c>
      <c r="F70" s="7">
        <v>1</v>
      </c>
      <c r="G70" s="7">
        <v>3</v>
      </c>
      <c r="H70" s="7">
        <v>1</v>
      </c>
      <c r="I70" s="3">
        <v>1</v>
      </c>
      <c r="J70" s="3">
        <v>1</v>
      </c>
      <c r="K70" s="7">
        <v>5</v>
      </c>
      <c r="M70" t="s">
        <v>32</v>
      </c>
      <c r="N70">
        <f>COUNTIFS($B$2:$B$386,5,$D$2:$D$386,5)</f>
        <v>0</v>
      </c>
      <c r="O70" s="34">
        <f t="shared" si="15"/>
        <v>0</v>
      </c>
      <c r="U70" t="s">
        <v>50</v>
      </c>
      <c r="V70">
        <f>COUNTIFS($D$2:$D$386,7,$E$2:$E$386,9)</f>
        <v>0</v>
      </c>
      <c r="W70" s="34">
        <f t="shared" si="12"/>
        <v>0</v>
      </c>
      <c r="AG70" t="s">
        <v>1644</v>
      </c>
      <c r="AH70">
        <f>COUNTIFS($G$2:$G$386,4,$H$2:$H$386,15)</f>
        <v>0</v>
      </c>
      <c r="AI70" s="34">
        <f t="shared" si="13"/>
        <v>0</v>
      </c>
      <c r="AO70" s="4" t="s">
        <v>39125</v>
      </c>
      <c r="AP70">
        <f>COUNTIFS($H$2:$H$386,12,$K$2:$K$386,3)</f>
        <v>0</v>
      </c>
      <c r="AQ70" s="34">
        <f t="shared" si="16"/>
        <v>0</v>
      </c>
    </row>
    <row r="71" spans="1:43" ht="28.8" x14ac:dyDescent="0.3">
      <c r="A71" t="s">
        <v>1655</v>
      </c>
      <c r="B71" s="7">
        <v>11</v>
      </c>
      <c r="C71" s="3">
        <v>20</v>
      </c>
      <c r="D71" s="3">
        <v>1</v>
      </c>
      <c r="E71" s="3">
        <v>7</v>
      </c>
      <c r="F71" s="3">
        <v>3</v>
      </c>
      <c r="G71" s="3">
        <v>3</v>
      </c>
      <c r="H71" s="3">
        <v>17</v>
      </c>
      <c r="I71" s="3">
        <v>17</v>
      </c>
      <c r="J71" s="3">
        <v>17</v>
      </c>
      <c r="K71" s="3">
        <v>4</v>
      </c>
      <c r="M71" t="s">
        <v>38</v>
      </c>
      <c r="N71">
        <f>COUNTIFS($B$2:$B$386,5,$D$2:$D$386,6)</f>
        <v>0</v>
      </c>
      <c r="O71" s="34">
        <f t="shared" si="15"/>
        <v>0</v>
      </c>
      <c r="V71" s="22">
        <f>SUM(V62:V70)</f>
        <v>0</v>
      </c>
      <c r="W71" s="35">
        <f t="shared" si="12"/>
        <v>0</v>
      </c>
      <c r="AG71" t="s">
        <v>29</v>
      </c>
      <c r="AH71">
        <f>COUNTIFS($G$2:$G$386,4,$H$2:$H$386,16)</f>
        <v>0</v>
      </c>
      <c r="AI71" s="34">
        <f t="shared" si="13"/>
        <v>0</v>
      </c>
      <c r="AO71" s="4" t="s">
        <v>39122</v>
      </c>
      <c r="AP71">
        <f>COUNTIFS($H$2:$H$386,12,$K$2:$K$386,4)</f>
        <v>0</v>
      </c>
      <c r="AQ71" s="34">
        <f t="shared" si="16"/>
        <v>0</v>
      </c>
    </row>
    <row r="72" spans="1:43" ht="28.8" x14ac:dyDescent="0.3">
      <c r="A72" t="s">
        <v>2704</v>
      </c>
      <c r="B72" s="7">
        <v>13</v>
      </c>
      <c r="C72" s="3">
        <v>21</v>
      </c>
      <c r="D72" s="3">
        <v>4</v>
      </c>
      <c r="E72" s="3">
        <v>8</v>
      </c>
      <c r="F72" s="3">
        <v>3</v>
      </c>
      <c r="G72" s="3">
        <v>3</v>
      </c>
      <c r="H72" s="3">
        <v>17</v>
      </c>
      <c r="I72" s="3">
        <v>17</v>
      </c>
      <c r="J72" s="3">
        <v>17</v>
      </c>
      <c r="K72" s="3">
        <v>4</v>
      </c>
      <c r="M72" t="s">
        <v>151</v>
      </c>
      <c r="N72">
        <f>COUNTIFS($B$2:$B$386,5,$D$2:$D$386,7)</f>
        <v>0</v>
      </c>
      <c r="O72" s="34">
        <f t="shared" si="15"/>
        <v>0</v>
      </c>
      <c r="T72" t="s">
        <v>43</v>
      </c>
      <c r="U72" t="s">
        <v>10</v>
      </c>
      <c r="V72">
        <f>COUNTIFS($D$2:$D$386,8,$E$2:$E$386,1)</f>
        <v>5</v>
      </c>
      <c r="W72" s="34">
        <f>(V72/385)*100</f>
        <v>1.2987012987012987</v>
      </c>
      <c r="AG72" t="s">
        <v>54</v>
      </c>
      <c r="AH72">
        <f>COUNTIFS($G$2:$G$386,4,$H$2:$H$386,17)</f>
        <v>0</v>
      </c>
      <c r="AI72" s="34">
        <f t="shared" si="13"/>
        <v>0</v>
      </c>
      <c r="AO72" s="4" t="s">
        <v>39123</v>
      </c>
      <c r="AP72">
        <f>COUNTIFS($H$2:$H$386,12,$K$2:$K$386,5)</f>
        <v>0</v>
      </c>
      <c r="AQ72" s="34">
        <f t="shared" si="16"/>
        <v>0</v>
      </c>
    </row>
    <row r="73" spans="1:43" x14ac:dyDescent="0.3">
      <c r="A73" t="s">
        <v>1520</v>
      </c>
      <c r="B73" s="7">
        <v>12</v>
      </c>
      <c r="C73" s="3">
        <v>20</v>
      </c>
      <c r="D73" s="3">
        <v>2</v>
      </c>
      <c r="E73" s="3">
        <v>3</v>
      </c>
      <c r="F73" s="3">
        <v>3</v>
      </c>
      <c r="G73" s="3">
        <v>3</v>
      </c>
      <c r="H73" s="3">
        <v>17</v>
      </c>
      <c r="I73" s="3">
        <v>17</v>
      </c>
      <c r="J73" s="3">
        <v>17</v>
      </c>
      <c r="K73" s="3">
        <v>4</v>
      </c>
      <c r="M73" t="s">
        <v>43</v>
      </c>
      <c r="N73">
        <f>COUNTIFS($B$2:$B$386,5,$D$2:$D$386,8)</f>
        <v>1</v>
      </c>
      <c r="O73" s="34">
        <f t="shared" si="15"/>
        <v>0.25974025974025972</v>
      </c>
      <c r="U73" t="s">
        <v>17</v>
      </c>
      <c r="V73">
        <f>COUNTIFS($D$2:$D$386,8,$E$2:$E$386,2)</f>
        <v>0</v>
      </c>
      <c r="W73" s="34">
        <f t="shared" ref="W73:W81" si="17">(V73/385)*100</f>
        <v>0</v>
      </c>
      <c r="AH73" s="23">
        <f>SUM(AH56:AH72)</f>
        <v>0</v>
      </c>
      <c r="AI73" s="37">
        <f t="shared" si="13"/>
        <v>0</v>
      </c>
      <c r="AP73" s="23">
        <f>SUM(AP68:AP72)</f>
        <v>1</v>
      </c>
      <c r="AQ73" s="37">
        <f t="shared" si="16"/>
        <v>0.25974025974025972</v>
      </c>
    </row>
    <row r="74" spans="1:43" ht="43.2" x14ac:dyDescent="0.3">
      <c r="A74" s="6" t="s">
        <v>1131</v>
      </c>
      <c r="B74" s="7">
        <v>13</v>
      </c>
      <c r="C74" s="3">
        <v>21</v>
      </c>
      <c r="D74" s="3">
        <v>2</v>
      </c>
      <c r="E74" s="3">
        <v>8</v>
      </c>
      <c r="F74" s="11">
        <v>2</v>
      </c>
      <c r="G74" s="11">
        <v>2</v>
      </c>
      <c r="H74" s="11">
        <v>16</v>
      </c>
      <c r="I74" s="3">
        <v>16</v>
      </c>
      <c r="J74" s="3">
        <v>16</v>
      </c>
      <c r="K74" s="11">
        <v>3</v>
      </c>
      <c r="M74" t="s">
        <v>46</v>
      </c>
      <c r="N74">
        <f>COUNTIFS($B$2:$B$386,5,$D$2:$D$386,9)</f>
        <v>0</v>
      </c>
      <c r="O74" s="34">
        <f t="shared" si="15"/>
        <v>0</v>
      </c>
      <c r="U74" t="s">
        <v>24</v>
      </c>
      <c r="V74">
        <f>COUNTIFS($D$2:$D$386,8,$E$2:$E$386,3)</f>
        <v>4</v>
      </c>
      <c r="W74" s="34">
        <f t="shared" si="17"/>
        <v>1.0389610389610389</v>
      </c>
      <c r="AN74" t="s">
        <v>1642</v>
      </c>
      <c r="AO74" s="4" t="s">
        <v>39120</v>
      </c>
      <c r="AP74">
        <f>COUNTIFS($H$2:$H$386,13,$K$2:$K$386,1)</f>
        <v>0</v>
      </c>
      <c r="AQ74" s="34">
        <f>(AP74/385)*100</f>
        <v>0</v>
      </c>
    </row>
    <row r="75" spans="1:43" ht="43.2" x14ac:dyDescent="0.3">
      <c r="A75" s="6" t="s">
        <v>540</v>
      </c>
      <c r="B75" s="7">
        <v>16</v>
      </c>
      <c r="C75" s="3">
        <v>21</v>
      </c>
      <c r="D75" s="11">
        <v>4</v>
      </c>
      <c r="E75" s="11">
        <v>1</v>
      </c>
      <c r="F75" s="7">
        <v>1</v>
      </c>
      <c r="G75" s="7">
        <v>3</v>
      </c>
      <c r="H75" s="7">
        <v>1</v>
      </c>
      <c r="I75" s="3">
        <v>1</v>
      </c>
      <c r="J75" s="3">
        <v>1</v>
      </c>
      <c r="K75" s="7">
        <v>5</v>
      </c>
      <c r="M75" t="s">
        <v>152</v>
      </c>
      <c r="N75">
        <f>COUNTIFS($B$2:$B$386,5,$D$2:$D$386,10)</f>
        <v>0</v>
      </c>
      <c r="O75" s="34">
        <f t="shared" si="15"/>
        <v>0</v>
      </c>
      <c r="U75" t="s">
        <v>31</v>
      </c>
      <c r="V75">
        <f>COUNTIFS($D$2:$D$386,8,$E$2:$E$386,4)</f>
        <v>1</v>
      </c>
      <c r="W75" s="34">
        <f t="shared" si="17"/>
        <v>0.25974025974025972</v>
      </c>
      <c r="AO75" s="4" t="s">
        <v>39121</v>
      </c>
      <c r="AP75">
        <f>COUNTIFS($H$2:$H$386,13,$K$2:$K$386,2)</f>
        <v>0</v>
      </c>
      <c r="AQ75" s="34">
        <f t="shared" ref="AQ75:AQ79" si="18">(AP75/385)*100</f>
        <v>0</v>
      </c>
    </row>
    <row r="76" spans="1:43" ht="57.6" x14ac:dyDescent="0.3">
      <c r="A76" s="6" t="s">
        <v>899</v>
      </c>
      <c r="B76" s="7">
        <v>15</v>
      </c>
      <c r="C76" s="3">
        <v>21</v>
      </c>
      <c r="D76" s="11">
        <v>15</v>
      </c>
      <c r="E76" s="7">
        <v>1</v>
      </c>
      <c r="F76" s="11">
        <v>2</v>
      </c>
      <c r="G76" s="11">
        <v>2</v>
      </c>
      <c r="H76" s="11">
        <v>16</v>
      </c>
      <c r="I76" s="3">
        <v>16</v>
      </c>
      <c r="J76" s="3">
        <v>16</v>
      </c>
      <c r="K76" s="11">
        <v>3</v>
      </c>
      <c r="M76" t="s">
        <v>49</v>
      </c>
      <c r="N76">
        <f>COUNTIFS($B$2:$B$386,5,$D$2:$D$386,11)</f>
        <v>0</v>
      </c>
      <c r="O76" s="34">
        <f t="shared" si="15"/>
        <v>0</v>
      </c>
      <c r="U76" t="s">
        <v>37</v>
      </c>
      <c r="V76">
        <f>COUNTIFS($D$2:$D$386,8,$E$2:$E$386,5)</f>
        <v>2</v>
      </c>
      <c r="W76" s="34">
        <f t="shared" si="17"/>
        <v>0.51948051948051943</v>
      </c>
      <c r="AO76" s="4" t="s">
        <v>39125</v>
      </c>
      <c r="AP76">
        <f>COUNTIFS($H$2:$H$386,13,$K$2:$K$386,3)</f>
        <v>0</v>
      </c>
      <c r="AQ76" s="34">
        <f t="shared" si="18"/>
        <v>0</v>
      </c>
    </row>
    <row r="77" spans="1:43" ht="28.8" x14ac:dyDescent="0.3">
      <c r="A77" s="6" t="s">
        <v>837</v>
      </c>
      <c r="B77" s="7">
        <v>15</v>
      </c>
      <c r="C77" s="3">
        <v>21</v>
      </c>
      <c r="D77" s="11">
        <v>15</v>
      </c>
      <c r="E77" s="7">
        <v>1</v>
      </c>
      <c r="F77" s="7">
        <v>1</v>
      </c>
      <c r="G77" s="7">
        <v>3</v>
      </c>
      <c r="H77" s="7">
        <v>1</v>
      </c>
      <c r="I77" s="3">
        <v>1</v>
      </c>
      <c r="J77" s="3">
        <v>1</v>
      </c>
      <c r="K77" s="7">
        <v>3</v>
      </c>
      <c r="M77" t="s">
        <v>51</v>
      </c>
      <c r="N77">
        <f>COUNTIFS($B$2:$B$386,5,$D$2:$D$386,12)</f>
        <v>0</v>
      </c>
      <c r="O77" s="34">
        <f t="shared" si="15"/>
        <v>0</v>
      </c>
      <c r="U77" t="s">
        <v>42</v>
      </c>
      <c r="V77">
        <f>COUNTIFS($D$2:$D$386,8,$E$2:$E$386,6)</f>
        <v>1</v>
      </c>
      <c r="W77" s="34">
        <f t="shared" si="17"/>
        <v>0.25974025974025972</v>
      </c>
      <c r="AO77" s="4" t="s">
        <v>39122</v>
      </c>
      <c r="AP77">
        <f>COUNTIFS($H$2:$H$386,13,$K$2:$K$386,4)</f>
        <v>0</v>
      </c>
      <c r="AQ77" s="34">
        <f t="shared" si="18"/>
        <v>0</v>
      </c>
    </row>
    <row r="78" spans="1:43" ht="28.8" x14ac:dyDescent="0.3">
      <c r="A78" t="s">
        <v>2020</v>
      </c>
      <c r="B78" s="7">
        <v>6</v>
      </c>
      <c r="C78" s="3">
        <v>19</v>
      </c>
      <c r="D78" s="3">
        <v>4</v>
      </c>
      <c r="E78" s="3">
        <v>1</v>
      </c>
      <c r="F78" s="7">
        <v>3</v>
      </c>
      <c r="G78" s="7">
        <v>3</v>
      </c>
      <c r="H78" s="7">
        <v>17</v>
      </c>
      <c r="I78" s="3">
        <v>17</v>
      </c>
      <c r="J78" s="3">
        <v>17</v>
      </c>
      <c r="K78" s="7">
        <v>4</v>
      </c>
      <c r="M78" t="s">
        <v>153</v>
      </c>
      <c r="N78">
        <f>COUNTIFS($B$2:$B$386,5,$D$2:$D$386,13)</f>
        <v>0</v>
      </c>
      <c r="O78" s="34">
        <f t="shared" si="15"/>
        <v>0</v>
      </c>
      <c r="U78" t="s">
        <v>45</v>
      </c>
      <c r="V78">
        <f>COUNTIFS($D$2:$D$386,8,$E$2:$E$386,7)</f>
        <v>1</v>
      </c>
      <c r="W78" s="34">
        <f t="shared" si="17"/>
        <v>0.25974025974025972</v>
      </c>
      <c r="AO78" s="4" t="s">
        <v>39123</v>
      </c>
      <c r="AP78">
        <f>COUNTIFS($H$2:$H$386,13,$K$2:$K$386,5)</f>
        <v>0</v>
      </c>
      <c r="AQ78" s="34">
        <f t="shared" si="18"/>
        <v>0</v>
      </c>
    </row>
    <row r="79" spans="1:43" x14ac:dyDescent="0.3">
      <c r="A79" s="6" t="s">
        <v>82</v>
      </c>
      <c r="B79" s="7">
        <v>17</v>
      </c>
      <c r="C79" s="3">
        <v>21</v>
      </c>
      <c r="D79" s="11">
        <v>6</v>
      </c>
      <c r="E79" s="11">
        <v>3</v>
      </c>
      <c r="F79" s="7">
        <v>3</v>
      </c>
      <c r="G79" s="7">
        <v>3</v>
      </c>
      <c r="H79" s="7">
        <v>17</v>
      </c>
      <c r="I79" s="3">
        <v>17</v>
      </c>
      <c r="J79" s="3">
        <v>17</v>
      </c>
      <c r="K79" s="7">
        <v>4</v>
      </c>
      <c r="M79" t="s">
        <v>154</v>
      </c>
      <c r="N79">
        <f>COUNTIFS($B$2:$B$386,5,$D$2:$D$386,14)</f>
        <v>0</v>
      </c>
      <c r="O79" s="34">
        <f t="shared" si="15"/>
        <v>0</v>
      </c>
      <c r="U79" t="s">
        <v>48</v>
      </c>
      <c r="V79">
        <f>COUNTIFS($D$2:$D$386,8,$E$2:$E$386,8)</f>
        <v>4</v>
      </c>
      <c r="W79" s="34">
        <f t="shared" si="17"/>
        <v>1.0389610389610389</v>
      </c>
      <c r="AP79" s="23">
        <f>SUM(AP74:AP78)</f>
        <v>0</v>
      </c>
      <c r="AQ79" s="37">
        <f t="shared" si="18"/>
        <v>0</v>
      </c>
    </row>
    <row r="80" spans="1:43" ht="43.2" x14ac:dyDescent="0.3">
      <c r="A80" t="s">
        <v>2391</v>
      </c>
      <c r="B80" s="7">
        <v>3</v>
      </c>
      <c r="C80" s="3">
        <v>18</v>
      </c>
      <c r="D80" s="3">
        <v>1</v>
      </c>
      <c r="E80" s="3">
        <v>1</v>
      </c>
      <c r="F80" s="3">
        <v>3</v>
      </c>
      <c r="G80" s="3">
        <v>3</v>
      </c>
      <c r="H80" s="3">
        <v>17</v>
      </c>
      <c r="I80" s="3">
        <v>17</v>
      </c>
      <c r="J80" s="3">
        <v>17</v>
      </c>
      <c r="K80" s="3">
        <v>4</v>
      </c>
      <c r="M80" t="s">
        <v>52</v>
      </c>
      <c r="N80">
        <f>COUNTIFS($B$2:$B$386,5,$D$2:$D$386,15)</f>
        <v>1</v>
      </c>
      <c r="O80" s="34">
        <f t="shared" si="15"/>
        <v>0.25974025974025972</v>
      </c>
      <c r="U80" t="s">
        <v>50</v>
      </c>
      <c r="V80">
        <f>COUNTIFS($D$2:$D$386,8,$E$2:$E$386,9)</f>
        <v>0</v>
      </c>
      <c r="W80" s="34">
        <f t="shared" si="17"/>
        <v>0</v>
      </c>
      <c r="AN80" t="s">
        <v>1643</v>
      </c>
      <c r="AO80" s="4" t="s">
        <v>39120</v>
      </c>
      <c r="AP80">
        <f>COUNTIFS($H$2:$H$386,14,$K$2:$K$386,1)</f>
        <v>0</v>
      </c>
      <c r="AQ80" s="34">
        <f>(AP80/385)*100</f>
        <v>0</v>
      </c>
    </row>
    <row r="81" spans="1:43" ht="43.2" x14ac:dyDescent="0.3">
      <c r="A81" s="6" t="s">
        <v>1113</v>
      </c>
      <c r="B81" s="7">
        <v>14</v>
      </c>
      <c r="C81" s="3">
        <v>21</v>
      </c>
      <c r="D81" s="3">
        <v>8</v>
      </c>
      <c r="E81" s="3">
        <v>1</v>
      </c>
      <c r="F81" s="7">
        <v>3</v>
      </c>
      <c r="G81" s="7">
        <v>3</v>
      </c>
      <c r="H81" s="7">
        <v>17</v>
      </c>
      <c r="I81" s="3">
        <v>17</v>
      </c>
      <c r="J81" s="3">
        <v>17</v>
      </c>
      <c r="K81" s="7">
        <v>4</v>
      </c>
      <c r="N81" s="22">
        <f>SUM(N66:N80)</f>
        <v>12</v>
      </c>
      <c r="O81" s="35">
        <f t="shared" si="15"/>
        <v>3.116883116883117</v>
      </c>
      <c r="V81" s="22">
        <f>SUM(V72:V80)</f>
        <v>18</v>
      </c>
      <c r="W81" s="35">
        <f t="shared" si="17"/>
        <v>4.6753246753246751</v>
      </c>
      <c r="AO81" s="4" t="s">
        <v>39121</v>
      </c>
      <c r="AP81">
        <f>COUNTIFS($H$2:$H$386,14,$K$2:$K$386,2)</f>
        <v>0</v>
      </c>
      <c r="AQ81" s="34">
        <f t="shared" ref="AQ81:AQ85" si="19">(AP81/385)*100</f>
        <v>0</v>
      </c>
    </row>
    <row r="82" spans="1:43" ht="57.6" x14ac:dyDescent="0.3">
      <c r="A82" t="s">
        <v>1328</v>
      </c>
      <c r="B82" s="7">
        <v>13</v>
      </c>
      <c r="C82" s="3">
        <v>21</v>
      </c>
      <c r="D82" s="11">
        <v>4</v>
      </c>
      <c r="E82" s="7">
        <v>1</v>
      </c>
      <c r="F82" s="7">
        <v>3</v>
      </c>
      <c r="G82" s="7">
        <v>3</v>
      </c>
      <c r="H82" s="7">
        <v>17</v>
      </c>
      <c r="I82" s="3">
        <v>17</v>
      </c>
      <c r="J82" s="3">
        <v>17</v>
      </c>
      <c r="K82" s="7">
        <v>4</v>
      </c>
      <c r="L82">
        <v>2014</v>
      </c>
      <c r="M82" t="s">
        <v>11</v>
      </c>
      <c r="N82">
        <f>COUNTIFS($B$2:$B$386,6,$D$2:$D$386,1)</f>
        <v>2</v>
      </c>
      <c r="O82" s="34">
        <f>(N82/385)*100</f>
        <v>0.51948051948051943</v>
      </c>
      <c r="T82" t="s">
        <v>46</v>
      </c>
      <c r="U82" t="s">
        <v>10</v>
      </c>
      <c r="V82">
        <f>COUNTIFS($D$2:$D$386,9,$E$2:$E$386,1)</f>
        <v>1</v>
      </c>
      <c r="W82" s="34">
        <f>(V82/385)*100</f>
        <v>0.25974025974025972</v>
      </c>
      <c r="AO82" s="4" t="s">
        <v>39125</v>
      </c>
      <c r="AP82">
        <f>COUNTIFS($H$2:$H$386,14,$K$2:$K$386,3)</f>
        <v>0</v>
      </c>
      <c r="AQ82" s="34">
        <f t="shared" si="19"/>
        <v>0</v>
      </c>
    </row>
    <row r="83" spans="1:43" ht="28.8" x14ac:dyDescent="0.3">
      <c r="A83" s="6" t="s">
        <v>369</v>
      </c>
      <c r="B83" s="7">
        <v>16</v>
      </c>
      <c r="C83" s="3">
        <v>21</v>
      </c>
      <c r="D83" s="11">
        <v>4</v>
      </c>
      <c r="E83" s="11">
        <v>1</v>
      </c>
      <c r="F83" s="7">
        <v>3</v>
      </c>
      <c r="G83" s="7">
        <v>3</v>
      </c>
      <c r="H83" s="7">
        <v>17</v>
      </c>
      <c r="I83" s="3">
        <v>17</v>
      </c>
      <c r="J83" s="3">
        <v>17</v>
      </c>
      <c r="K83" s="7">
        <v>4</v>
      </c>
      <c r="M83" t="s">
        <v>18</v>
      </c>
      <c r="N83">
        <f>COUNTIFS($B$2:$B$386,6,$D$2:$D$386,2)</f>
        <v>0</v>
      </c>
      <c r="O83" s="34">
        <f t="shared" ref="O83:O97" si="20">(N83/385)*100</f>
        <v>0</v>
      </c>
      <c r="U83" t="s">
        <v>17</v>
      </c>
      <c r="V83">
        <f>COUNTIFS($D$2:$D$386,9,$E$2:$E$386,2)</f>
        <v>0</v>
      </c>
      <c r="W83" s="34">
        <f t="shared" ref="W83:W91" si="21">(V83/385)*100</f>
        <v>0</v>
      </c>
      <c r="AO83" s="4" t="s">
        <v>39122</v>
      </c>
      <c r="AP83">
        <f>COUNTIFS($H$2:$H$386,14,$K$2:$K$386,4)</f>
        <v>0</v>
      </c>
      <c r="AQ83" s="34">
        <f t="shared" si="19"/>
        <v>0</v>
      </c>
    </row>
    <row r="84" spans="1:43" ht="28.8" x14ac:dyDescent="0.3">
      <c r="A84" t="s">
        <v>1572</v>
      </c>
      <c r="B84" s="7">
        <v>12</v>
      </c>
      <c r="C84" s="3">
        <v>20</v>
      </c>
      <c r="D84" s="3">
        <v>1</v>
      </c>
      <c r="E84" s="3">
        <v>5</v>
      </c>
      <c r="F84" s="3">
        <v>3</v>
      </c>
      <c r="G84" s="3">
        <v>3</v>
      </c>
      <c r="H84" s="3">
        <v>17</v>
      </c>
      <c r="I84" s="3">
        <v>17</v>
      </c>
      <c r="J84" s="3">
        <v>17</v>
      </c>
      <c r="K84" s="3">
        <v>4</v>
      </c>
      <c r="M84" t="s">
        <v>150</v>
      </c>
      <c r="N84">
        <f>COUNTIFS($B$2:$B$386,6,$D$2:$D$386,3)</f>
        <v>0</v>
      </c>
      <c r="O84" s="34">
        <f t="shared" si="20"/>
        <v>0</v>
      </c>
      <c r="U84" t="s">
        <v>24</v>
      </c>
      <c r="V84">
        <f>COUNTIFS($D$2:$D$386,9,$E$2:$E$386,3)</f>
        <v>3</v>
      </c>
      <c r="W84" s="34">
        <f t="shared" si="21"/>
        <v>0.77922077922077926</v>
      </c>
      <c r="AO84" s="4" t="s">
        <v>39123</v>
      </c>
      <c r="AP84">
        <f>COUNTIFS($H$2:$H$386,14,$K$2:$K$386,5)</f>
        <v>0</v>
      </c>
      <c r="AQ84" s="34">
        <f t="shared" si="19"/>
        <v>0</v>
      </c>
    </row>
    <row r="85" spans="1:43" x14ac:dyDescent="0.3">
      <c r="A85" s="6" t="s">
        <v>1108</v>
      </c>
      <c r="B85" s="7">
        <v>14</v>
      </c>
      <c r="C85" s="3">
        <v>21</v>
      </c>
      <c r="D85" s="3">
        <v>2</v>
      </c>
      <c r="E85" s="3">
        <v>3</v>
      </c>
      <c r="F85" s="7">
        <v>3</v>
      </c>
      <c r="G85" s="7">
        <v>3</v>
      </c>
      <c r="H85" s="7">
        <v>17</v>
      </c>
      <c r="I85" s="3">
        <v>17</v>
      </c>
      <c r="J85" s="3">
        <v>17</v>
      </c>
      <c r="K85" s="7">
        <v>4</v>
      </c>
      <c r="M85" t="s">
        <v>25</v>
      </c>
      <c r="N85">
        <f>COUNTIFS($B$2:$B$386,6,$D$2:$D$386,4)</f>
        <v>4</v>
      </c>
      <c r="O85" s="34">
        <f t="shared" si="20"/>
        <v>1.0389610389610389</v>
      </c>
      <c r="U85" t="s">
        <v>31</v>
      </c>
      <c r="V85">
        <f>COUNTIFS($D$2:$D$386,9,$E$2:$E$386,4)</f>
        <v>0</v>
      </c>
      <c r="W85" s="34">
        <f t="shared" si="21"/>
        <v>0</v>
      </c>
      <c r="AP85" s="23">
        <f>SUM(AP80:AP84)</f>
        <v>0</v>
      </c>
      <c r="AQ85" s="37">
        <f t="shared" si="19"/>
        <v>0</v>
      </c>
    </row>
    <row r="86" spans="1:43" ht="43.2" x14ac:dyDescent="0.3">
      <c r="A86" s="6" t="s">
        <v>1074</v>
      </c>
      <c r="B86" s="7">
        <v>14</v>
      </c>
      <c r="C86" s="3">
        <v>21</v>
      </c>
      <c r="D86" s="11">
        <v>8</v>
      </c>
      <c r="E86" s="11">
        <v>1</v>
      </c>
      <c r="F86" s="11">
        <v>1</v>
      </c>
      <c r="G86" s="11">
        <v>3</v>
      </c>
      <c r="H86" s="11">
        <v>2</v>
      </c>
      <c r="I86" s="3">
        <v>2</v>
      </c>
      <c r="J86" s="3">
        <v>2</v>
      </c>
      <c r="K86" s="11">
        <v>5</v>
      </c>
      <c r="M86" t="s">
        <v>32</v>
      </c>
      <c r="N86">
        <f>COUNTIFS($B$2:$B$386,6,$D$2:$D$386,5)</f>
        <v>0</v>
      </c>
      <c r="O86" s="34">
        <f t="shared" si="20"/>
        <v>0</v>
      </c>
      <c r="U86" t="s">
        <v>37</v>
      </c>
      <c r="V86">
        <f>COUNTIFS($D$2:$D$386,9,$E$2:$E$386,5)</f>
        <v>0</v>
      </c>
      <c r="W86" s="34">
        <f t="shared" si="21"/>
        <v>0</v>
      </c>
      <c r="AN86" t="s">
        <v>1644</v>
      </c>
      <c r="AO86" s="4" t="s">
        <v>39120</v>
      </c>
      <c r="AP86">
        <f>COUNTIFS($H$2:$H$386,15,$K$2:$K$386,1)</f>
        <v>0</v>
      </c>
      <c r="AQ86" s="34">
        <f>(AP86/385)*100</f>
        <v>0</v>
      </c>
    </row>
    <row r="87" spans="1:43" ht="43.2" x14ac:dyDescent="0.3">
      <c r="A87" t="s">
        <v>1574</v>
      </c>
      <c r="B87" s="7">
        <v>12</v>
      </c>
      <c r="C87" s="3">
        <v>20</v>
      </c>
      <c r="D87" s="11">
        <v>4</v>
      </c>
      <c r="E87" s="11">
        <v>3</v>
      </c>
      <c r="F87" s="11">
        <v>2</v>
      </c>
      <c r="G87" s="11">
        <v>2</v>
      </c>
      <c r="H87" s="11">
        <v>16</v>
      </c>
      <c r="I87" s="3">
        <v>16</v>
      </c>
      <c r="J87" s="3">
        <v>16</v>
      </c>
      <c r="K87" s="11">
        <v>3</v>
      </c>
      <c r="M87" t="s">
        <v>38</v>
      </c>
      <c r="N87">
        <f>COUNTIFS($B$2:$B$386,6,$D$2:$D$386,6)</f>
        <v>0</v>
      </c>
      <c r="O87" s="34">
        <f t="shared" si="20"/>
        <v>0</v>
      </c>
      <c r="U87" t="s">
        <v>42</v>
      </c>
      <c r="V87">
        <f>COUNTIFS($D$2:$D$386,9,$E$2:$E$386,6)</f>
        <v>1</v>
      </c>
      <c r="W87" s="34">
        <f t="shared" si="21"/>
        <v>0.25974025974025972</v>
      </c>
      <c r="AO87" s="4" t="s">
        <v>39121</v>
      </c>
      <c r="AP87">
        <f>COUNTIFS($H$2:$H$386,15,$K$2:$K$386,2)</f>
        <v>0</v>
      </c>
      <c r="AQ87" s="34">
        <f t="shared" ref="AQ87:AQ91" si="22">(AP87/385)*100</f>
        <v>0</v>
      </c>
    </row>
    <row r="88" spans="1:43" ht="57.6" x14ac:dyDescent="0.3">
      <c r="A88" s="6" t="s">
        <v>909</v>
      </c>
      <c r="B88" s="7">
        <v>15</v>
      </c>
      <c r="C88" s="3">
        <v>21</v>
      </c>
      <c r="D88" s="11">
        <v>4</v>
      </c>
      <c r="E88" s="11">
        <v>3</v>
      </c>
      <c r="F88" s="7">
        <v>3</v>
      </c>
      <c r="G88" s="7">
        <v>3</v>
      </c>
      <c r="H88" s="7">
        <v>17</v>
      </c>
      <c r="I88" s="3">
        <v>17</v>
      </c>
      <c r="J88" s="3">
        <v>17</v>
      </c>
      <c r="K88" s="7">
        <v>4</v>
      </c>
      <c r="M88" t="s">
        <v>151</v>
      </c>
      <c r="N88">
        <f>COUNTIFS($B$2:$B$386,6,$D$2:$D$386,7)</f>
        <v>0</v>
      </c>
      <c r="O88" s="34">
        <f t="shared" si="20"/>
        <v>0</v>
      </c>
      <c r="U88" t="s">
        <v>45</v>
      </c>
      <c r="V88">
        <f>COUNTIFS($D$2:$D$386,9,$E$2:$E$386,7)</f>
        <v>1</v>
      </c>
      <c r="W88" s="34">
        <f t="shared" si="21"/>
        <v>0.25974025974025972</v>
      </c>
      <c r="AO88" s="4" t="s">
        <v>39125</v>
      </c>
      <c r="AP88">
        <f>COUNTIFS($H$2:$H$386,15,$K$2:$K$386,3)</f>
        <v>0</v>
      </c>
      <c r="AQ88" s="34">
        <f t="shared" si="22"/>
        <v>0</v>
      </c>
    </row>
    <row r="89" spans="1:43" ht="28.8" x14ac:dyDescent="0.3">
      <c r="A89" t="s">
        <v>1813</v>
      </c>
      <c r="B89" s="7">
        <v>8</v>
      </c>
      <c r="C89" s="3">
        <v>19</v>
      </c>
      <c r="D89" s="3">
        <v>4</v>
      </c>
      <c r="E89" s="3">
        <v>3</v>
      </c>
      <c r="F89" s="7">
        <v>3</v>
      </c>
      <c r="G89" s="7">
        <v>3</v>
      </c>
      <c r="H89" s="7">
        <v>17</v>
      </c>
      <c r="I89" s="3">
        <v>17</v>
      </c>
      <c r="J89" s="3">
        <v>17</v>
      </c>
      <c r="K89" s="7">
        <v>4</v>
      </c>
      <c r="M89" t="s">
        <v>43</v>
      </c>
      <c r="N89">
        <f>COUNTIFS($B$2:$B$386,6,$D$2:$D$386,8)</f>
        <v>0</v>
      </c>
      <c r="O89" s="34">
        <f t="shared" si="20"/>
        <v>0</v>
      </c>
      <c r="U89" t="s">
        <v>48</v>
      </c>
      <c r="V89">
        <f>COUNTIFS($D$2:$D$386,9,$E$2:$E$386,8)</f>
        <v>4</v>
      </c>
      <c r="W89" s="34">
        <f t="shared" si="21"/>
        <v>1.0389610389610389</v>
      </c>
      <c r="AO89" s="4" t="s">
        <v>39122</v>
      </c>
      <c r="AP89">
        <f>COUNTIFS($H$2:$H$386,15,$K$2:$K$386,4)</f>
        <v>0</v>
      </c>
      <c r="AQ89" s="34">
        <f t="shared" si="22"/>
        <v>0</v>
      </c>
    </row>
    <row r="90" spans="1:43" ht="28.8" x14ac:dyDescent="0.3">
      <c r="A90" t="s">
        <v>2681</v>
      </c>
      <c r="B90" s="7">
        <v>14</v>
      </c>
      <c r="C90" s="3">
        <v>21</v>
      </c>
      <c r="D90" s="3">
        <v>3</v>
      </c>
      <c r="E90" s="3">
        <v>3</v>
      </c>
      <c r="F90" s="11">
        <v>1</v>
      </c>
      <c r="G90" s="11">
        <v>3</v>
      </c>
      <c r="H90" s="11">
        <v>2</v>
      </c>
      <c r="I90" s="3">
        <v>2</v>
      </c>
      <c r="J90" s="3">
        <v>2</v>
      </c>
      <c r="K90" s="11">
        <v>5</v>
      </c>
      <c r="M90" t="s">
        <v>46</v>
      </c>
      <c r="N90">
        <f>COUNTIFS($B$2:$B$386,6,$D$2:$D$386,9)</f>
        <v>0</v>
      </c>
      <c r="O90" s="34">
        <f t="shared" si="20"/>
        <v>0</v>
      </c>
      <c r="U90" t="s">
        <v>50</v>
      </c>
      <c r="V90">
        <f>COUNTIFS($D$2:$D$386,9,$E$2:$E$386,9)</f>
        <v>0</v>
      </c>
      <c r="W90" s="34">
        <f t="shared" si="21"/>
        <v>0</v>
      </c>
      <c r="AO90" s="4" t="s">
        <v>39123</v>
      </c>
      <c r="AP90">
        <f>COUNTIFS($H$2:$H$386,15,$K$2:$K$386,5)</f>
        <v>0</v>
      </c>
      <c r="AQ90" s="34">
        <f t="shared" si="22"/>
        <v>0</v>
      </c>
    </row>
    <row r="91" spans="1:43" x14ac:dyDescent="0.3">
      <c r="A91" t="s">
        <v>2224</v>
      </c>
      <c r="B91" s="7">
        <v>4</v>
      </c>
      <c r="C91" s="3">
        <v>18</v>
      </c>
      <c r="D91" s="3">
        <v>3</v>
      </c>
      <c r="E91" s="3">
        <v>9</v>
      </c>
      <c r="F91" s="3">
        <v>3</v>
      </c>
      <c r="G91" s="3">
        <v>3</v>
      </c>
      <c r="H91" s="3">
        <v>17</v>
      </c>
      <c r="I91" s="3">
        <v>17</v>
      </c>
      <c r="J91" s="3">
        <v>17</v>
      </c>
      <c r="K91" s="3">
        <v>4</v>
      </c>
      <c r="M91" t="s">
        <v>152</v>
      </c>
      <c r="N91">
        <f>COUNTIFS($B$2:$B$386,6,$D$2:$D$386,10)</f>
        <v>0</v>
      </c>
      <c r="O91" s="34">
        <f t="shared" si="20"/>
        <v>0</v>
      </c>
      <c r="V91" s="22">
        <f>SUM(V82:V90)</f>
        <v>10</v>
      </c>
      <c r="W91" s="35">
        <f t="shared" si="21"/>
        <v>2.5974025974025974</v>
      </c>
      <c r="AP91" s="23">
        <f>SUM(AP86:AP90)</f>
        <v>0</v>
      </c>
      <c r="AQ91" s="37">
        <f t="shared" si="22"/>
        <v>0</v>
      </c>
    </row>
    <row r="92" spans="1:43" ht="43.2" x14ac:dyDescent="0.3">
      <c r="A92" t="s">
        <v>1184</v>
      </c>
      <c r="B92" s="7">
        <v>13</v>
      </c>
      <c r="C92" s="3">
        <v>21</v>
      </c>
      <c r="D92" s="3">
        <v>15</v>
      </c>
      <c r="E92" s="3">
        <v>5</v>
      </c>
      <c r="F92" s="7">
        <v>3</v>
      </c>
      <c r="G92" s="7">
        <v>3</v>
      </c>
      <c r="H92" s="7">
        <v>17</v>
      </c>
      <c r="I92" s="3">
        <v>17</v>
      </c>
      <c r="J92" s="3">
        <v>17</v>
      </c>
      <c r="K92" s="7">
        <v>4</v>
      </c>
      <c r="M92" t="s">
        <v>49</v>
      </c>
      <c r="N92">
        <f>COUNTIFS($B$2:$B$386,6,$D$2:$D$386,11)</f>
        <v>0</v>
      </c>
      <c r="O92" s="34">
        <f t="shared" si="20"/>
        <v>0</v>
      </c>
      <c r="T92" t="s">
        <v>152</v>
      </c>
      <c r="U92" t="s">
        <v>10</v>
      </c>
      <c r="V92">
        <f>COUNTIFS($D$2:$D$386,10,$E$2:$E$386,1)</f>
        <v>0</v>
      </c>
      <c r="W92" s="34">
        <f>(V92/385)*100</f>
        <v>0</v>
      </c>
      <c r="AN92" t="s">
        <v>29</v>
      </c>
      <c r="AO92" s="4" t="s">
        <v>39120</v>
      </c>
      <c r="AP92">
        <f>COUNTIFS($H$2:$H$386,16,$K$2:$K$386,1)</f>
        <v>0</v>
      </c>
      <c r="AQ92" s="34">
        <f>(AP92/385)*100</f>
        <v>0</v>
      </c>
    </row>
    <row r="93" spans="1:43" ht="43.2" x14ac:dyDescent="0.3">
      <c r="A93" s="6" t="s">
        <v>548</v>
      </c>
      <c r="B93" s="7">
        <v>16</v>
      </c>
      <c r="C93" s="3">
        <v>21</v>
      </c>
      <c r="D93" s="11">
        <v>12</v>
      </c>
      <c r="E93" s="11">
        <v>3</v>
      </c>
      <c r="F93" s="7">
        <v>3</v>
      </c>
      <c r="G93" s="7">
        <v>3</v>
      </c>
      <c r="H93" s="7">
        <v>17</v>
      </c>
      <c r="I93" s="3">
        <v>17</v>
      </c>
      <c r="J93" s="3">
        <v>17</v>
      </c>
      <c r="K93" s="7">
        <v>4</v>
      </c>
      <c r="M93" t="s">
        <v>51</v>
      </c>
      <c r="N93">
        <f>COUNTIFS($B$2:$B$386,6,$D$2:$D$386,12)</f>
        <v>0</v>
      </c>
      <c r="O93" s="34">
        <f t="shared" si="20"/>
        <v>0</v>
      </c>
      <c r="U93" t="s">
        <v>17</v>
      </c>
      <c r="V93">
        <f>COUNTIFS($D$2:$D$386,10,$E$2:$E$386,2)</f>
        <v>0</v>
      </c>
      <c r="W93" s="34">
        <f t="shared" ref="W93:W101" si="23">(V93/385)*100</f>
        <v>0</v>
      </c>
      <c r="AO93" s="4" t="s">
        <v>39121</v>
      </c>
      <c r="AP93">
        <f>COUNTIFS($H$2:$H$386,16,$K$2:$K$386,2)</f>
        <v>0</v>
      </c>
      <c r="AQ93" s="34">
        <f t="shared" ref="AQ93:AQ97" si="24">(AP93/385)*100</f>
        <v>0</v>
      </c>
    </row>
    <row r="94" spans="1:43" ht="57.6" x14ac:dyDescent="0.3">
      <c r="A94" t="s">
        <v>1917</v>
      </c>
      <c r="B94" s="7">
        <v>8</v>
      </c>
      <c r="C94" s="3">
        <v>19</v>
      </c>
      <c r="D94" s="3">
        <v>2</v>
      </c>
      <c r="E94" s="3">
        <v>3</v>
      </c>
      <c r="F94" s="7">
        <v>3</v>
      </c>
      <c r="G94" s="7">
        <v>3</v>
      </c>
      <c r="H94" s="7">
        <v>17</v>
      </c>
      <c r="I94" s="3">
        <v>17</v>
      </c>
      <c r="J94" s="3">
        <v>17</v>
      </c>
      <c r="K94" s="7">
        <v>4</v>
      </c>
      <c r="M94" t="s">
        <v>153</v>
      </c>
      <c r="N94">
        <f>COUNTIFS($B$2:$B$386,6,$D$2:$D$386,13)</f>
        <v>0</v>
      </c>
      <c r="O94" s="34">
        <f t="shared" si="20"/>
        <v>0</v>
      </c>
      <c r="U94" t="s">
        <v>24</v>
      </c>
      <c r="V94">
        <f>COUNTIFS($D$2:$D$386,10,$E$2:$E$386,3)</f>
        <v>0</v>
      </c>
      <c r="W94" s="34">
        <f t="shared" si="23"/>
        <v>0</v>
      </c>
      <c r="AO94" s="4" t="s">
        <v>39125</v>
      </c>
      <c r="AP94">
        <f>COUNTIFS($H$2:$H$386,16,$K$2:$K$386,3)</f>
        <v>20</v>
      </c>
      <c r="AQ94" s="34">
        <f t="shared" si="24"/>
        <v>5.1948051948051948</v>
      </c>
    </row>
    <row r="95" spans="1:43" ht="28.8" x14ac:dyDescent="0.3">
      <c r="A95" t="s">
        <v>1747</v>
      </c>
      <c r="B95" s="7">
        <v>10</v>
      </c>
      <c r="C95" s="3">
        <v>20</v>
      </c>
      <c r="D95" s="11">
        <v>1</v>
      </c>
      <c r="E95" s="11">
        <v>1</v>
      </c>
      <c r="F95" s="11">
        <v>1</v>
      </c>
      <c r="G95" s="11">
        <v>3</v>
      </c>
      <c r="H95" s="11">
        <v>2</v>
      </c>
      <c r="I95" s="3">
        <v>2</v>
      </c>
      <c r="J95" s="3">
        <v>2</v>
      </c>
      <c r="K95" s="11">
        <v>5</v>
      </c>
      <c r="M95" t="s">
        <v>154</v>
      </c>
      <c r="N95">
        <f>COUNTIFS($B$2:$B$386,6,$D$2:$D$386,14)</f>
        <v>0</v>
      </c>
      <c r="O95" s="34">
        <f t="shared" si="20"/>
        <v>0</v>
      </c>
      <c r="U95" t="s">
        <v>31</v>
      </c>
      <c r="V95">
        <f>COUNTIFS($D$2:$D$386,10,$E$2:$E$386,4)</f>
        <v>0</v>
      </c>
      <c r="W95" s="34">
        <f t="shared" si="23"/>
        <v>0</v>
      </c>
      <c r="AO95" s="4" t="s">
        <v>39122</v>
      </c>
      <c r="AP95">
        <f>COUNTIFS($H$2:$H$386,16,$K$2:$K$386,4)</f>
        <v>13</v>
      </c>
      <c r="AQ95" s="34">
        <f t="shared" si="24"/>
        <v>3.3766233766233764</v>
      </c>
    </row>
    <row r="96" spans="1:43" ht="28.8" x14ac:dyDescent="0.3">
      <c r="A96" s="6" t="s">
        <v>1067</v>
      </c>
      <c r="B96" s="7">
        <v>14</v>
      </c>
      <c r="C96" s="3">
        <v>21</v>
      </c>
      <c r="D96" s="11">
        <v>4</v>
      </c>
      <c r="E96" s="11">
        <v>3</v>
      </c>
      <c r="F96" s="7">
        <v>3</v>
      </c>
      <c r="G96" s="7">
        <v>3</v>
      </c>
      <c r="H96" s="7">
        <v>17</v>
      </c>
      <c r="I96" s="3">
        <v>17</v>
      </c>
      <c r="J96" s="3">
        <v>17</v>
      </c>
      <c r="K96" s="7">
        <v>4</v>
      </c>
      <c r="M96" t="s">
        <v>52</v>
      </c>
      <c r="N96">
        <f>COUNTIFS($B$2:$B$386,6,$D$2:$D$386,15)</f>
        <v>1</v>
      </c>
      <c r="O96" s="34">
        <f t="shared" si="20"/>
        <v>0.25974025974025972</v>
      </c>
      <c r="U96" t="s">
        <v>37</v>
      </c>
      <c r="V96">
        <f>COUNTIFS($D$2:$D$386,10,$E$2:$E$386,5)</f>
        <v>0</v>
      </c>
      <c r="W96" s="34">
        <f t="shared" si="23"/>
        <v>0</v>
      </c>
      <c r="AO96" s="4" t="s">
        <v>39123</v>
      </c>
      <c r="AP96">
        <f>COUNTIFS($H$2:$H$386,16,$K$2:$K$386,5)</f>
        <v>3</v>
      </c>
      <c r="AQ96" s="34">
        <f t="shared" si="24"/>
        <v>0.77922077922077926</v>
      </c>
    </row>
    <row r="97" spans="1:43" x14ac:dyDescent="0.3">
      <c r="A97" t="s">
        <v>2844</v>
      </c>
      <c r="B97" s="7">
        <v>12</v>
      </c>
      <c r="C97" s="3">
        <v>20</v>
      </c>
      <c r="D97" s="3">
        <v>15</v>
      </c>
      <c r="E97" s="3">
        <v>4</v>
      </c>
      <c r="F97" s="11">
        <v>2</v>
      </c>
      <c r="G97" s="11">
        <v>2</v>
      </c>
      <c r="H97" s="11">
        <v>17</v>
      </c>
      <c r="I97" s="3">
        <v>17</v>
      </c>
      <c r="J97" s="3">
        <v>17</v>
      </c>
      <c r="K97" s="11">
        <v>3</v>
      </c>
      <c r="N97" s="22">
        <f>SUM(N82:N96)</f>
        <v>7</v>
      </c>
      <c r="O97" s="35">
        <f t="shared" si="20"/>
        <v>1.8181818181818181</v>
      </c>
      <c r="U97" t="s">
        <v>42</v>
      </c>
      <c r="V97">
        <f>COUNTIFS($D$2:$D$386,10,$E$2:$E$386,6)</f>
        <v>0</v>
      </c>
      <c r="W97" s="34">
        <f t="shared" si="23"/>
        <v>0</v>
      </c>
      <c r="AP97" s="23">
        <f>SUM(AP92:AP96)</f>
        <v>36</v>
      </c>
      <c r="AQ97" s="37">
        <f t="shared" si="24"/>
        <v>9.3506493506493502</v>
      </c>
    </row>
    <row r="98" spans="1:43" ht="43.2" x14ac:dyDescent="0.3">
      <c r="A98" s="6" t="s">
        <v>199</v>
      </c>
      <c r="B98" s="7">
        <v>17</v>
      </c>
      <c r="C98" s="3">
        <v>21</v>
      </c>
      <c r="D98" s="11">
        <v>15</v>
      </c>
      <c r="E98" s="11">
        <v>3</v>
      </c>
      <c r="F98" s="7">
        <v>3</v>
      </c>
      <c r="G98" s="7">
        <v>3</v>
      </c>
      <c r="H98" s="7">
        <v>17</v>
      </c>
      <c r="I98" s="3">
        <v>17</v>
      </c>
      <c r="J98" s="3">
        <v>17</v>
      </c>
      <c r="K98" s="7">
        <v>4</v>
      </c>
      <c r="L98">
        <v>2015</v>
      </c>
      <c r="M98" t="s">
        <v>11</v>
      </c>
      <c r="N98">
        <f>COUNTIFS($B$2:$B$386,7,$D$2:$D$386,1)</f>
        <v>1</v>
      </c>
      <c r="O98" s="34">
        <f>(N98/385)*100</f>
        <v>0.25974025974025972</v>
      </c>
      <c r="U98" t="s">
        <v>45</v>
      </c>
      <c r="V98">
        <f>COUNTIFS($D$2:$D$386,10,$E$2:$E$386,7)</f>
        <v>0</v>
      </c>
      <c r="W98" s="34">
        <f t="shared" si="23"/>
        <v>0</v>
      </c>
      <c r="AN98" t="s">
        <v>54</v>
      </c>
      <c r="AO98" s="4" t="s">
        <v>39120</v>
      </c>
      <c r="AP98">
        <f>COUNTIFS($H$2:$H$386,17,$K$2:$K$386,1)</f>
        <v>0</v>
      </c>
      <c r="AQ98" s="34">
        <f>(AP98/385)*100</f>
        <v>0</v>
      </c>
    </row>
    <row r="99" spans="1:43" ht="43.2" x14ac:dyDescent="0.3">
      <c r="A99" s="6" t="s">
        <v>310</v>
      </c>
      <c r="B99" s="7">
        <v>16</v>
      </c>
      <c r="C99" s="3">
        <v>21</v>
      </c>
      <c r="D99" s="11">
        <v>4</v>
      </c>
      <c r="E99" s="11">
        <v>1</v>
      </c>
      <c r="F99" s="11">
        <v>1</v>
      </c>
      <c r="G99" s="11">
        <v>3</v>
      </c>
      <c r="H99" s="11">
        <v>2</v>
      </c>
      <c r="I99" s="3">
        <v>2</v>
      </c>
      <c r="J99" s="3">
        <v>2</v>
      </c>
      <c r="K99" s="11">
        <v>5</v>
      </c>
      <c r="M99" t="s">
        <v>18</v>
      </c>
      <c r="N99">
        <f>COUNTIFS($B$2:$B$386,7,$D$2:$D$386,2)</f>
        <v>1</v>
      </c>
      <c r="O99" s="34">
        <f t="shared" ref="O99:O113" si="25">(N99/385)*100</f>
        <v>0.25974025974025972</v>
      </c>
      <c r="U99" t="s">
        <v>48</v>
      </c>
      <c r="V99">
        <f>COUNTIFS($D$2:$D$386,10,$E$2:$E$386,8)</f>
        <v>0</v>
      </c>
      <c r="W99" s="34">
        <f t="shared" si="23"/>
        <v>0</v>
      </c>
      <c r="AO99" s="4" t="s">
        <v>39121</v>
      </c>
      <c r="AP99">
        <f>COUNTIFS($H$2:$H$386,17,$K$2:$K$386,2)</f>
        <v>0</v>
      </c>
      <c r="AQ99" s="34">
        <f t="shared" ref="AQ99:AQ103" si="26">(AP99/385)*100</f>
        <v>0</v>
      </c>
    </row>
    <row r="100" spans="1:43" ht="57.6" x14ac:dyDescent="0.3">
      <c r="A100" s="6" t="s">
        <v>865</v>
      </c>
      <c r="B100" s="7">
        <v>15</v>
      </c>
      <c r="C100" s="3">
        <v>21</v>
      </c>
      <c r="D100" s="11">
        <v>11</v>
      </c>
      <c r="E100" s="7">
        <v>3</v>
      </c>
      <c r="F100" s="11">
        <v>1</v>
      </c>
      <c r="G100" s="11">
        <v>3</v>
      </c>
      <c r="H100" s="11">
        <v>1</v>
      </c>
      <c r="I100" s="3">
        <v>1</v>
      </c>
      <c r="J100" s="3">
        <v>1</v>
      </c>
      <c r="K100" s="11">
        <v>5</v>
      </c>
      <c r="M100" t="s">
        <v>150</v>
      </c>
      <c r="N100">
        <f>COUNTIFS($B$2:$B$386,7,$D$2:$D$386,3)</f>
        <v>3</v>
      </c>
      <c r="O100" s="34">
        <f t="shared" si="25"/>
        <v>0.77922077922077926</v>
      </c>
      <c r="U100" t="s">
        <v>50</v>
      </c>
      <c r="V100">
        <f>COUNTIFS($D$2:$D$386,10,$E$2:$E$386,9)</f>
        <v>0</v>
      </c>
      <c r="W100" s="34">
        <f t="shared" si="23"/>
        <v>0</v>
      </c>
      <c r="AO100" s="4" t="s">
        <v>39125</v>
      </c>
      <c r="AP100">
        <f>COUNTIFS($H$2:$H$386,17,$K$2:$K$386,3)</f>
        <v>6</v>
      </c>
      <c r="AQ100" s="34">
        <f t="shared" si="26"/>
        <v>1.5584415584415585</v>
      </c>
    </row>
    <row r="101" spans="1:43" ht="28.8" x14ac:dyDescent="0.3">
      <c r="A101" t="s">
        <v>2495</v>
      </c>
      <c r="B101" s="7">
        <v>16</v>
      </c>
      <c r="C101" s="3">
        <v>21</v>
      </c>
      <c r="D101" s="3">
        <v>15</v>
      </c>
      <c r="E101" s="3">
        <v>3</v>
      </c>
      <c r="F101" s="7">
        <v>1</v>
      </c>
      <c r="G101" s="7">
        <v>3</v>
      </c>
      <c r="H101" s="7">
        <v>1</v>
      </c>
      <c r="I101" s="3">
        <v>1</v>
      </c>
      <c r="J101" s="3">
        <v>1</v>
      </c>
      <c r="K101" s="7">
        <v>5</v>
      </c>
      <c r="M101" t="s">
        <v>25</v>
      </c>
      <c r="N101">
        <f>COUNTIFS($B$2:$B$386,7,$D$2:$D$386,4)</f>
        <v>6</v>
      </c>
      <c r="O101" s="34">
        <f t="shared" si="25"/>
        <v>1.5584415584415585</v>
      </c>
      <c r="V101" s="22">
        <f>SUM(V92:V100)</f>
        <v>0</v>
      </c>
      <c r="W101" s="35">
        <f t="shared" si="23"/>
        <v>0</v>
      </c>
      <c r="AO101" s="4" t="s">
        <v>39122</v>
      </c>
      <c r="AP101">
        <f>COUNTIFS($H$2:$H$386,17,$K$2:$K$386,4)</f>
        <v>236</v>
      </c>
      <c r="AQ101" s="34">
        <f t="shared" si="26"/>
        <v>61.298701298701296</v>
      </c>
    </row>
    <row r="102" spans="1:43" ht="28.8" x14ac:dyDescent="0.3">
      <c r="A102" t="s">
        <v>2677</v>
      </c>
      <c r="B102" s="7">
        <v>14</v>
      </c>
      <c r="C102" s="3">
        <v>21</v>
      </c>
      <c r="D102" s="3">
        <v>3</v>
      </c>
      <c r="E102" s="3">
        <v>6</v>
      </c>
      <c r="F102" s="7">
        <v>3</v>
      </c>
      <c r="G102" s="7">
        <v>3</v>
      </c>
      <c r="H102" s="7">
        <v>17</v>
      </c>
      <c r="I102" s="3">
        <v>17</v>
      </c>
      <c r="J102" s="3">
        <v>17</v>
      </c>
      <c r="K102" s="7">
        <v>4</v>
      </c>
      <c r="M102" t="s">
        <v>32</v>
      </c>
      <c r="N102">
        <f>COUNTIFS($B$2:$B$386,7,$D$2:$D$386,5)</f>
        <v>1</v>
      </c>
      <c r="O102" s="34">
        <f t="shared" si="25"/>
        <v>0.25974025974025972</v>
      </c>
      <c r="T102" t="s">
        <v>49</v>
      </c>
      <c r="U102" t="s">
        <v>10</v>
      </c>
      <c r="V102">
        <f>COUNTIFS($D$2:$D$386,11,$E$2:$E$386,1)</f>
        <v>1</v>
      </c>
      <c r="W102" s="34">
        <f>(V102/385)*100</f>
        <v>0.25974025974025972</v>
      </c>
      <c r="AO102" s="4" t="s">
        <v>39123</v>
      </c>
      <c r="AP102">
        <f>COUNTIFS($H$2:$H$386,17,$K$2:$K$386,5)</f>
        <v>0</v>
      </c>
      <c r="AQ102" s="34">
        <f t="shared" si="26"/>
        <v>0</v>
      </c>
    </row>
    <row r="103" spans="1:43" x14ac:dyDescent="0.3">
      <c r="A103" s="6" t="s">
        <v>662</v>
      </c>
      <c r="B103" s="7">
        <v>16</v>
      </c>
      <c r="C103" s="3">
        <v>21</v>
      </c>
      <c r="D103" s="11">
        <v>2</v>
      </c>
      <c r="E103" s="11">
        <v>3</v>
      </c>
      <c r="F103" s="7">
        <v>3</v>
      </c>
      <c r="G103" s="7">
        <v>3</v>
      </c>
      <c r="H103" s="7">
        <v>17</v>
      </c>
      <c r="I103" s="3">
        <v>17</v>
      </c>
      <c r="J103" s="3">
        <v>17</v>
      </c>
      <c r="K103" s="7">
        <v>4</v>
      </c>
      <c r="M103" t="s">
        <v>38</v>
      </c>
      <c r="N103">
        <f>COUNTIFS($B$2:$B$386,7,$D$2:$D$386,6)</f>
        <v>0</v>
      </c>
      <c r="O103" s="34">
        <f t="shared" si="25"/>
        <v>0</v>
      </c>
      <c r="U103" t="s">
        <v>17</v>
      </c>
      <c r="V103">
        <f>COUNTIFS($D$2:$D$386,11,$E$2:$E$386,2)</f>
        <v>0</v>
      </c>
      <c r="W103" s="34">
        <f t="shared" ref="W103:W111" si="27">(V103/385)*100</f>
        <v>0</v>
      </c>
      <c r="AP103" s="23">
        <f>SUM(AP98:AP102)</f>
        <v>242</v>
      </c>
      <c r="AQ103" s="37">
        <f t="shared" si="26"/>
        <v>62.857142857142854</v>
      </c>
    </row>
    <row r="104" spans="1:43" x14ac:dyDescent="0.3">
      <c r="A104" s="6" t="s">
        <v>1160</v>
      </c>
      <c r="B104" s="7">
        <v>13</v>
      </c>
      <c r="C104" s="3">
        <v>21</v>
      </c>
      <c r="D104" s="3">
        <v>2</v>
      </c>
      <c r="E104" s="3">
        <v>3</v>
      </c>
      <c r="F104" s="7">
        <v>3</v>
      </c>
      <c r="G104" s="7">
        <v>3</v>
      </c>
      <c r="H104" s="7">
        <v>17</v>
      </c>
      <c r="I104" s="3">
        <v>17</v>
      </c>
      <c r="J104" s="3">
        <v>17</v>
      </c>
      <c r="K104" s="7">
        <v>4</v>
      </c>
      <c r="M104" t="s">
        <v>151</v>
      </c>
      <c r="N104">
        <f>COUNTIFS($B$2:$B$386,7,$D$2:$D$386,7)</f>
        <v>0</v>
      </c>
      <c r="O104" s="34">
        <f t="shared" si="25"/>
        <v>0</v>
      </c>
      <c r="U104" t="s">
        <v>24</v>
      </c>
      <c r="V104">
        <f>COUNTIFS($D$2:$D$386,11,$E$2:$E$386,3)</f>
        <v>3</v>
      </c>
      <c r="W104" s="34">
        <f t="shared" si="27"/>
        <v>0.77922077922077926</v>
      </c>
    </row>
    <row r="105" spans="1:43" x14ac:dyDescent="0.3">
      <c r="A105" t="s">
        <v>2502</v>
      </c>
      <c r="B105" s="7">
        <v>16</v>
      </c>
      <c r="C105" s="3">
        <v>21</v>
      </c>
      <c r="D105" s="3">
        <v>8</v>
      </c>
      <c r="E105" s="3">
        <v>8</v>
      </c>
      <c r="F105" s="7">
        <v>1</v>
      </c>
      <c r="G105" s="7">
        <v>3</v>
      </c>
      <c r="H105" s="7">
        <v>1</v>
      </c>
      <c r="I105" s="3">
        <v>1</v>
      </c>
      <c r="J105" s="3">
        <v>1</v>
      </c>
      <c r="K105" s="7">
        <v>5</v>
      </c>
      <c r="M105" t="s">
        <v>43</v>
      </c>
      <c r="N105">
        <f>COUNTIFS($B$2:$B$386,7,$D$2:$D$386,8)</f>
        <v>0</v>
      </c>
      <c r="O105" s="34">
        <f t="shared" si="25"/>
        <v>0</v>
      </c>
      <c r="U105" t="s">
        <v>31</v>
      </c>
      <c r="V105">
        <f>COUNTIFS($D$2:$D$386,11,$E$2:$E$386,4)</f>
        <v>0</v>
      </c>
      <c r="W105" s="34">
        <f t="shared" si="27"/>
        <v>0</v>
      </c>
    </row>
    <row r="106" spans="1:43" x14ac:dyDescent="0.3">
      <c r="A106" s="6" t="s">
        <v>430</v>
      </c>
      <c r="B106" s="7">
        <v>16</v>
      </c>
      <c r="C106" s="3">
        <v>21</v>
      </c>
      <c r="D106" s="11">
        <v>3</v>
      </c>
      <c r="E106" s="11">
        <v>3</v>
      </c>
      <c r="F106" s="11">
        <v>3</v>
      </c>
      <c r="G106" s="11">
        <v>3</v>
      </c>
      <c r="H106" s="11">
        <v>17</v>
      </c>
      <c r="I106" s="3">
        <v>17</v>
      </c>
      <c r="J106" s="3">
        <v>17</v>
      </c>
      <c r="K106" s="11">
        <v>4</v>
      </c>
      <c r="M106" t="s">
        <v>46</v>
      </c>
      <c r="N106">
        <f>COUNTIFS($B$2:$B$386,7,$D$2:$D$386,9)</f>
        <v>1</v>
      </c>
      <c r="O106" s="34">
        <f t="shared" si="25"/>
        <v>0.25974025974025972</v>
      </c>
      <c r="U106" t="s">
        <v>37</v>
      </c>
      <c r="V106">
        <f>COUNTIFS($D$2:$D$386,11,$E$2:$E$386,5)</f>
        <v>0</v>
      </c>
      <c r="W106" s="34">
        <f t="shared" si="27"/>
        <v>0</v>
      </c>
    </row>
    <row r="107" spans="1:43" x14ac:dyDescent="0.3">
      <c r="A107" s="6" t="s">
        <v>430</v>
      </c>
      <c r="B107" s="7">
        <v>15</v>
      </c>
      <c r="C107" s="3">
        <v>21</v>
      </c>
      <c r="D107" s="11">
        <v>3</v>
      </c>
      <c r="E107" s="7">
        <v>3</v>
      </c>
      <c r="F107" s="7">
        <v>3</v>
      </c>
      <c r="G107" s="7">
        <v>3</v>
      </c>
      <c r="H107" s="7">
        <v>17</v>
      </c>
      <c r="I107" s="3">
        <v>17</v>
      </c>
      <c r="J107" s="3">
        <v>17</v>
      </c>
      <c r="K107" s="7">
        <v>4</v>
      </c>
      <c r="M107" t="s">
        <v>152</v>
      </c>
      <c r="N107">
        <f>COUNTIFS($B$2:$B$386,7,$D$2:$D$386,10)</f>
        <v>0</v>
      </c>
      <c r="O107" s="34">
        <f t="shared" si="25"/>
        <v>0</v>
      </c>
      <c r="U107" t="s">
        <v>42</v>
      </c>
      <c r="V107">
        <f>COUNTIFS($D$2:$D$386,11,$E$2:$E$386,6)</f>
        <v>1</v>
      </c>
      <c r="W107" s="34">
        <f t="shared" si="27"/>
        <v>0.25974025974025972</v>
      </c>
    </row>
    <row r="108" spans="1:43" x14ac:dyDescent="0.3">
      <c r="A108" t="s">
        <v>2008</v>
      </c>
      <c r="B108" s="7">
        <v>5</v>
      </c>
      <c r="C108" s="3">
        <v>19</v>
      </c>
      <c r="D108" s="11">
        <v>4</v>
      </c>
      <c r="E108" s="7">
        <v>8</v>
      </c>
      <c r="F108" s="11">
        <v>3</v>
      </c>
      <c r="G108" s="11">
        <v>3</v>
      </c>
      <c r="H108" s="11">
        <v>17</v>
      </c>
      <c r="I108" s="3">
        <v>17</v>
      </c>
      <c r="J108" s="3">
        <v>17</v>
      </c>
      <c r="K108" s="11">
        <v>4</v>
      </c>
      <c r="M108" t="s">
        <v>49</v>
      </c>
      <c r="N108">
        <f>COUNTIFS($B$2:$B$386,7,$D$2:$D$386,11)</f>
        <v>0</v>
      </c>
      <c r="O108" s="34">
        <f t="shared" si="25"/>
        <v>0</v>
      </c>
      <c r="U108" t="s">
        <v>45</v>
      </c>
      <c r="V108">
        <f>COUNTIFS($D$2:$D$386,11,$E$2:$E$386,7)</f>
        <v>0</v>
      </c>
      <c r="W108" s="34">
        <f t="shared" si="27"/>
        <v>0</v>
      </c>
    </row>
    <row r="109" spans="1:43" x14ac:dyDescent="0.3">
      <c r="A109" s="6" t="s">
        <v>1117</v>
      </c>
      <c r="B109" s="7">
        <v>14</v>
      </c>
      <c r="C109" s="3">
        <v>21</v>
      </c>
      <c r="D109" s="3">
        <v>15</v>
      </c>
      <c r="E109" s="3">
        <v>3</v>
      </c>
      <c r="F109" s="11">
        <v>1</v>
      </c>
      <c r="G109" s="11">
        <v>3</v>
      </c>
      <c r="H109" s="11">
        <v>2</v>
      </c>
      <c r="I109" s="3">
        <v>2</v>
      </c>
      <c r="J109" s="3">
        <v>2</v>
      </c>
      <c r="K109" s="11">
        <v>5</v>
      </c>
      <c r="M109" t="s">
        <v>51</v>
      </c>
      <c r="N109">
        <f>COUNTIFS($B$2:$B$386,7,$D$2:$D$386,12)</f>
        <v>0</v>
      </c>
      <c r="O109" s="34">
        <f t="shared" si="25"/>
        <v>0</v>
      </c>
      <c r="U109" t="s">
        <v>48</v>
      </c>
      <c r="V109">
        <f>COUNTIFS($D$2:$D$386,11,$E$2:$E$386,8)</f>
        <v>0</v>
      </c>
      <c r="W109" s="34">
        <f t="shared" si="27"/>
        <v>0</v>
      </c>
    </row>
    <row r="110" spans="1:43" x14ac:dyDescent="0.3">
      <c r="A110" t="s">
        <v>2379</v>
      </c>
      <c r="B110" s="7">
        <v>3</v>
      </c>
      <c r="C110" s="3">
        <v>18</v>
      </c>
      <c r="D110" s="11">
        <v>4</v>
      </c>
      <c r="E110" s="7">
        <v>8</v>
      </c>
      <c r="F110" s="7">
        <v>3</v>
      </c>
      <c r="G110" s="7">
        <v>3</v>
      </c>
      <c r="H110" s="7">
        <v>17</v>
      </c>
      <c r="I110" s="3">
        <v>17</v>
      </c>
      <c r="J110" s="3">
        <v>17</v>
      </c>
      <c r="K110" s="7">
        <v>4</v>
      </c>
      <c r="M110" t="s">
        <v>153</v>
      </c>
      <c r="N110">
        <f>COUNTIFS($B$2:$B$386,7,$D$2:$D$386,13)</f>
        <v>0</v>
      </c>
      <c r="O110" s="34">
        <f t="shared" si="25"/>
        <v>0</v>
      </c>
      <c r="U110" t="s">
        <v>50</v>
      </c>
      <c r="V110">
        <f>COUNTIFS($D$2:$D$386,11,$E$2:$E$386,9)</f>
        <v>0</v>
      </c>
      <c r="W110" s="34">
        <f t="shared" si="27"/>
        <v>0</v>
      </c>
    </row>
    <row r="111" spans="1:43" x14ac:dyDescent="0.3">
      <c r="A111" t="s">
        <v>2813</v>
      </c>
      <c r="B111" s="7">
        <v>12</v>
      </c>
      <c r="C111" s="3">
        <v>20</v>
      </c>
      <c r="D111" s="3">
        <v>4</v>
      </c>
      <c r="E111" s="3">
        <v>1</v>
      </c>
      <c r="F111" s="7">
        <v>1</v>
      </c>
      <c r="G111" s="7">
        <v>3</v>
      </c>
      <c r="H111" s="7">
        <v>1</v>
      </c>
      <c r="I111" s="3">
        <v>1</v>
      </c>
      <c r="J111" s="3">
        <v>1</v>
      </c>
      <c r="K111" s="7">
        <v>5</v>
      </c>
      <c r="M111" t="s">
        <v>154</v>
      </c>
      <c r="N111">
        <f>COUNTIFS($B$2:$B$386,7,$D$2:$D$386,14)</f>
        <v>0</v>
      </c>
      <c r="O111" s="34">
        <f t="shared" si="25"/>
        <v>0</v>
      </c>
      <c r="V111" s="22">
        <f>SUM(V102:V110)</f>
        <v>5</v>
      </c>
      <c r="W111" s="35">
        <f t="shared" si="27"/>
        <v>1.2987012987012987</v>
      </c>
    </row>
    <row r="112" spans="1:43" x14ac:dyDescent="0.3">
      <c r="A112" t="s">
        <v>1980</v>
      </c>
      <c r="B112" s="7">
        <v>7</v>
      </c>
      <c r="C112" s="3">
        <v>19</v>
      </c>
      <c r="D112" s="3">
        <v>9</v>
      </c>
      <c r="E112" s="3">
        <v>1</v>
      </c>
      <c r="F112" s="7">
        <v>3</v>
      </c>
      <c r="G112" s="7">
        <v>3</v>
      </c>
      <c r="H112" s="7">
        <v>17</v>
      </c>
      <c r="I112" s="3">
        <v>17</v>
      </c>
      <c r="J112" s="3">
        <v>17</v>
      </c>
      <c r="K112" s="7">
        <v>4</v>
      </c>
      <c r="M112" t="s">
        <v>52</v>
      </c>
      <c r="N112">
        <f>COUNTIFS($B$2:$B$386,7,$D$2:$D$386,15)</f>
        <v>2</v>
      </c>
      <c r="O112" s="34">
        <f t="shared" si="25"/>
        <v>0.51948051948051943</v>
      </c>
      <c r="T112" t="s">
        <v>51</v>
      </c>
      <c r="U112" t="s">
        <v>10</v>
      </c>
      <c r="V112">
        <f>COUNTIFS($D$2:$D$386,12,$E$2:$E$386,1)</f>
        <v>0</v>
      </c>
      <c r="W112" s="34">
        <f>(V112/385)*100</f>
        <v>0</v>
      </c>
    </row>
    <row r="113" spans="1:23" x14ac:dyDescent="0.3">
      <c r="A113" s="6" t="s">
        <v>448</v>
      </c>
      <c r="B113" s="7">
        <v>16</v>
      </c>
      <c r="C113" s="3">
        <v>21</v>
      </c>
      <c r="D113" s="11">
        <v>4</v>
      </c>
      <c r="E113" s="11">
        <v>3</v>
      </c>
      <c r="F113" s="7">
        <v>1</v>
      </c>
      <c r="G113" s="7">
        <v>3</v>
      </c>
      <c r="H113" s="7">
        <v>1</v>
      </c>
      <c r="I113" s="3">
        <v>1</v>
      </c>
      <c r="J113" s="3">
        <v>1</v>
      </c>
      <c r="K113" s="7">
        <v>5</v>
      </c>
      <c r="N113" s="22">
        <f>SUM(N98:N112)</f>
        <v>15</v>
      </c>
      <c r="O113" s="35">
        <f t="shared" si="25"/>
        <v>3.8961038961038961</v>
      </c>
      <c r="U113" t="s">
        <v>17</v>
      </c>
      <c r="V113">
        <f>COUNTIFS($D$2:$D$386,12,$E$2:$E$386,2)</f>
        <v>0</v>
      </c>
      <c r="W113" s="34">
        <f t="shared" ref="W113:W121" si="28">(V113/385)*100</f>
        <v>0</v>
      </c>
    </row>
    <row r="114" spans="1:23" x14ac:dyDescent="0.3">
      <c r="A114" s="6" t="s">
        <v>730</v>
      </c>
      <c r="B114" s="7">
        <v>15</v>
      </c>
      <c r="C114" s="3">
        <v>21</v>
      </c>
      <c r="D114" s="11">
        <v>4</v>
      </c>
      <c r="E114" s="7">
        <v>3</v>
      </c>
      <c r="F114" s="7">
        <v>3</v>
      </c>
      <c r="G114" s="7">
        <v>3</v>
      </c>
      <c r="H114" s="7">
        <v>17</v>
      </c>
      <c r="I114" s="3">
        <v>17</v>
      </c>
      <c r="J114" s="3">
        <v>17</v>
      </c>
      <c r="K114" s="7">
        <v>4</v>
      </c>
      <c r="L114">
        <v>2016</v>
      </c>
      <c r="M114" t="s">
        <v>11</v>
      </c>
      <c r="N114">
        <f>COUNTIFS($B$2:$B$386,8,$D$2:$D$386,1)</f>
        <v>3</v>
      </c>
      <c r="O114" s="34">
        <f>(N114/385)*100</f>
        <v>0.77922077922077926</v>
      </c>
      <c r="U114" t="s">
        <v>24</v>
      </c>
      <c r="V114">
        <f>COUNTIFS($D$2:$D$386,12,$E$2:$E$386,3)</f>
        <v>9</v>
      </c>
      <c r="W114" s="34">
        <f t="shared" si="28"/>
        <v>2.3376623376623376</v>
      </c>
    </row>
    <row r="115" spans="1:23" x14ac:dyDescent="0.3">
      <c r="A115" t="s">
        <v>1612</v>
      </c>
      <c r="B115" s="7">
        <v>12</v>
      </c>
      <c r="C115" s="3">
        <v>20</v>
      </c>
      <c r="D115" s="3">
        <v>1</v>
      </c>
      <c r="E115" s="3">
        <v>3</v>
      </c>
      <c r="F115" s="3">
        <v>1</v>
      </c>
      <c r="G115" s="3">
        <v>3</v>
      </c>
      <c r="H115" s="3">
        <v>1</v>
      </c>
      <c r="I115" s="3">
        <v>1</v>
      </c>
      <c r="J115" s="3">
        <v>1</v>
      </c>
      <c r="K115" s="3">
        <v>5</v>
      </c>
      <c r="M115" t="s">
        <v>18</v>
      </c>
      <c r="N115">
        <f>COUNTIFS($B$2:$B$386,8,$D$2:$D$386,2)</f>
        <v>2</v>
      </c>
      <c r="O115" s="34">
        <f t="shared" ref="O115:O129" si="29">(N115/385)*100</f>
        <v>0.51948051948051943</v>
      </c>
      <c r="U115" t="s">
        <v>31</v>
      </c>
      <c r="V115">
        <f>COUNTIFS($D$2:$D$386,12,$E$2:$E$386,4)</f>
        <v>0</v>
      </c>
      <c r="W115" s="34">
        <f t="shared" si="28"/>
        <v>0</v>
      </c>
    </row>
    <row r="116" spans="1:23" x14ac:dyDescent="0.3">
      <c r="A116" s="6" t="s">
        <v>860</v>
      </c>
      <c r="B116" s="7">
        <v>15</v>
      </c>
      <c r="C116" s="3">
        <v>21</v>
      </c>
      <c r="D116" s="11">
        <v>3</v>
      </c>
      <c r="E116" s="7">
        <v>1</v>
      </c>
      <c r="F116" s="7">
        <v>3</v>
      </c>
      <c r="G116" s="7">
        <v>3</v>
      </c>
      <c r="H116" s="7">
        <v>17</v>
      </c>
      <c r="I116" s="3">
        <v>17</v>
      </c>
      <c r="J116" s="3">
        <v>17</v>
      </c>
      <c r="K116" s="7">
        <v>4</v>
      </c>
      <c r="M116" t="s">
        <v>150</v>
      </c>
      <c r="N116">
        <f>COUNTIFS($B$2:$B$386,8,$D$2:$D$386,3)</f>
        <v>1</v>
      </c>
      <c r="O116" s="34">
        <f t="shared" si="29"/>
        <v>0.25974025974025972</v>
      </c>
      <c r="U116" t="s">
        <v>37</v>
      </c>
      <c r="V116">
        <f>COUNTIFS($D$2:$D$386,12,$E$2:$E$386,5)</f>
        <v>0</v>
      </c>
      <c r="W116" s="34">
        <f t="shared" si="28"/>
        <v>0</v>
      </c>
    </row>
    <row r="117" spans="1:23" x14ac:dyDescent="0.3">
      <c r="A117" s="6" t="s">
        <v>1033</v>
      </c>
      <c r="B117" s="7">
        <v>14</v>
      </c>
      <c r="C117" s="3">
        <v>21</v>
      </c>
      <c r="D117" s="11">
        <v>4</v>
      </c>
      <c r="E117" s="11">
        <v>3</v>
      </c>
      <c r="F117" s="11">
        <v>1</v>
      </c>
      <c r="G117" s="11">
        <v>3</v>
      </c>
      <c r="H117" s="11">
        <v>2</v>
      </c>
      <c r="I117" s="3">
        <v>2</v>
      </c>
      <c r="J117" s="3">
        <v>2</v>
      </c>
      <c r="K117" s="11">
        <v>5</v>
      </c>
      <c r="M117" t="s">
        <v>25</v>
      </c>
      <c r="N117">
        <f>COUNTIFS($B$2:$B$386,8,$D$2:$D$386,4)</f>
        <v>9</v>
      </c>
      <c r="O117" s="34">
        <f t="shared" si="29"/>
        <v>2.3376623376623376</v>
      </c>
      <c r="U117" t="s">
        <v>42</v>
      </c>
      <c r="V117">
        <f>COUNTIFS($D$2:$D$386,12,$E$2:$E$386,6)</f>
        <v>0</v>
      </c>
      <c r="W117" s="34">
        <f t="shared" si="28"/>
        <v>0</v>
      </c>
    </row>
    <row r="118" spans="1:23" x14ac:dyDescent="0.3">
      <c r="A118" s="6" t="s">
        <v>1049</v>
      </c>
      <c r="B118" s="7">
        <v>14</v>
      </c>
      <c r="C118" s="3">
        <v>21</v>
      </c>
      <c r="D118" s="11">
        <v>4</v>
      </c>
      <c r="E118" s="11">
        <v>3</v>
      </c>
      <c r="F118" s="7">
        <v>3</v>
      </c>
      <c r="G118" s="7">
        <v>3</v>
      </c>
      <c r="H118" s="7">
        <v>17</v>
      </c>
      <c r="I118" s="3">
        <v>17</v>
      </c>
      <c r="J118" s="3">
        <v>17</v>
      </c>
      <c r="K118" s="7">
        <v>4</v>
      </c>
      <c r="M118" t="s">
        <v>32</v>
      </c>
      <c r="N118">
        <f>COUNTIFS($B$2:$B$386,8,$D$2:$D$386,5)</f>
        <v>3</v>
      </c>
      <c r="O118" s="34">
        <f t="shared" si="29"/>
        <v>0.77922077922077926</v>
      </c>
      <c r="U118" t="s">
        <v>45</v>
      </c>
      <c r="V118">
        <f>COUNTIFS($D$2:$D$386,12,$E$2:$E$386,7)</f>
        <v>0</v>
      </c>
      <c r="W118" s="34">
        <f t="shared" si="28"/>
        <v>0</v>
      </c>
    </row>
    <row r="119" spans="1:23" x14ac:dyDescent="0.3">
      <c r="A119" s="6" t="s">
        <v>582</v>
      </c>
      <c r="B119" s="7">
        <v>16</v>
      </c>
      <c r="C119" s="3">
        <v>21</v>
      </c>
      <c r="D119" s="11">
        <v>8</v>
      </c>
      <c r="E119" s="11">
        <v>7</v>
      </c>
      <c r="F119" s="11">
        <v>1</v>
      </c>
      <c r="G119" s="11">
        <v>3</v>
      </c>
      <c r="H119" s="11">
        <v>1</v>
      </c>
      <c r="I119" s="3">
        <v>1</v>
      </c>
      <c r="J119" s="3">
        <v>1</v>
      </c>
      <c r="K119" s="11">
        <v>5</v>
      </c>
      <c r="M119" t="s">
        <v>38</v>
      </c>
      <c r="N119">
        <f>COUNTIFS($B$2:$B$386,8,$D$2:$D$386,6)</f>
        <v>0</v>
      </c>
      <c r="O119" s="34">
        <f t="shared" si="29"/>
        <v>0</v>
      </c>
      <c r="U119" t="s">
        <v>48</v>
      </c>
      <c r="V119">
        <f>COUNTIFS($D$2:$D$386,12,$E$2:$E$386,8)</f>
        <v>1</v>
      </c>
      <c r="W119" s="34">
        <f t="shared" si="28"/>
        <v>0.25974025974025972</v>
      </c>
    </row>
    <row r="120" spans="1:23" x14ac:dyDescent="0.3">
      <c r="A120" t="s">
        <v>2484</v>
      </c>
      <c r="B120" s="7">
        <v>16</v>
      </c>
      <c r="C120" s="3">
        <v>21</v>
      </c>
      <c r="D120" s="3">
        <v>4</v>
      </c>
      <c r="E120" s="3">
        <v>7</v>
      </c>
      <c r="F120" s="3">
        <v>3</v>
      </c>
      <c r="G120" s="3">
        <v>3</v>
      </c>
      <c r="H120" s="3">
        <v>17</v>
      </c>
      <c r="I120" s="3">
        <v>17</v>
      </c>
      <c r="J120" s="3">
        <v>17</v>
      </c>
      <c r="K120" s="3">
        <v>4</v>
      </c>
      <c r="M120" t="s">
        <v>151</v>
      </c>
      <c r="N120">
        <f>COUNTIFS($B$2:$B$386,8,$D$2:$D$386,7)</f>
        <v>0</v>
      </c>
      <c r="O120" s="34">
        <f t="shared" si="29"/>
        <v>0</v>
      </c>
      <c r="U120" t="s">
        <v>50</v>
      </c>
      <c r="V120">
        <f>COUNTIFS($D$2:$D$386,12,$E$2:$E$386,9)</f>
        <v>0</v>
      </c>
      <c r="W120" s="34">
        <f t="shared" si="28"/>
        <v>0</v>
      </c>
    </row>
    <row r="121" spans="1:23" x14ac:dyDescent="0.3">
      <c r="A121" t="s">
        <v>2445</v>
      </c>
      <c r="B121" s="7">
        <v>2</v>
      </c>
      <c r="C121" s="3">
        <v>18</v>
      </c>
      <c r="D121" s="3">
        <v>1</v>
      </c>
      <c r="E121" s="3">
        <v>1</v>
      </c>
      <c r="F121" s="7">
        <v>1</v>
      </c>
      <c r="G121" s="7">
        <v>3</v>
      </c>
      <c r="H121" s="7">
        <v>1</v>
      </c>
      <c r="I121" s="3">
        <v>1</v>
      </c>
      <c r="J121" s="3">
        <v>1</v>
      </c>
      <c r="K121" s="7">
        <v>5</v>
      </c>
      <c r="M121" t="s">
        <v>43</v>
      </c>
      <c r="N121">
        <f>COUNTIFS($B$2:$B$386,8,$D$2:$D$386,8)</f>
        <v>0</v>
      </c>
      <c r="O121" s="34">
        <f t="shared" si="29"/>
        <v>0</v>
      </c>
      <c r="V121" s="22">
        <f>SUM(V112:V120)</f>
        <v>10</v>
      </c>
      <c r="W121" s="35">
        <f t="shared" si="28"/>
        <v>2.5974025974025974</v>
      </c>
    </row>
    <row r="122" spans="1:23" x14ac:dyDescent="0.3">
      <c r="A122" t="s">
        <v>2445</v>
      </c>
      <c r="B122" s="7">
        <v>12</v>
      </c>
      <c r="C122" s="3">
        <v>20</v>
      </c>
      <c r="D122" s="3">
        <v>3</v>
      </c>
      <c r="E122" s="3">
        <v>3</v>
      </c>
      <c r="F122" s="7">
        <v>1</v>
      </c>
      <c r="G122" s="7">
        <v>3</v>
      </c>
      <c r="H122" s="7">
        <v>1</v>
      </c>
      <c r="I122" s="3">
        <v>1</v>
      </c>
      <c r="J122" s="3">
        <v>1</v>
      </c>
      <c r="K122" s="7">
        <v>5</v>
      </c>
      <c r="M122" t="s">
        <v>46</v>
      </c>
      <c r="N122">
        <f>COUNTIFS($B$2:$B$386,8,$D$2:$D$386,9)</f>
        <v>1</v>
      </c>
      <c r="O122" s="34">
        <f t="shared" si="29"/>
        <v>0.25974025974025972</v>
      </c>
      <c r="T122" t="s">
        <v>153</v>
      </c>
      <c r="U122" t="s">
        <v>10</v>
      </c>
      <c r="V122">
        <f>COUNTIFS($D$2:$D$386,13,$E$2:$E$386,1)</f>
        <v>0</v>
      </c>
      <c r="W122" s="34">
        <f>(V122/385)*100</f>
        <v>0</v>
      </c>
    </row>
    <row r="123" spans="1:23" x14ac:dyDescent="0.3">
      <c r="A123" t="s">
        <v>1851</v>
      </c>
      <c r="B123" s="7">
        <v>8</v>
      </c>
      <c r="C123" s="3">
        <v>19</v>
      </c>
      <c r="D123" s="3">
        <v>4</v>
      </c>
      <c r="E123" s="3">
        <v>6</v>
      </c>
      <c r="F123" s="7">
        <v>1</v>
      </c>
      <c r="G123" s="7">
        <v>3</v>
      </c>
      <c r="H123" s="7">
        <v>1</v>
      </c>
      <c r="I123" s="3">
        <v>1</v>
      </c>
      <c r="J123" s="3">
        <v>1</v>
      </c>
      <c r="K123" s="7">
        <v>5</v>
      </c>
      <c r="M123" t="s">
        <v>152</v>
      </c>
      <c r="N123">
        <f>COUNTIFS($B$2:$B$386,8,$D$2:$D$386,10)</f>
        <v>0</v>
      </c>
      <c r="O123" s="34">
        <f t="shared" si="29"/>
        <v>0</v>
      </c>
      <c r="U123" t="s">
        <v>17</v>
      </c>
      <c r="V123">
        <f>COUNTIFS($D$2:$D$386,13,$E$2:$E$386,2)</f>
        <v>0</v>
      </c>
      <c r="W123" s="34">
        <f t="shared" ref="W123:W131" si="30">(V123/385)*100</f>
        <v>0</v>
      </c>
    </row>
    <row r="124" spans="1:23" x14ac:dyDescent="0.3">
      <c r="A124" t="s">
        <v>1938</v>
      </c>
      <c r="B124" s="7">
        <v>8</v>
      </c>
      <c r="C124" s="3">
        <v>19</v>
      </c>
      <c r="D124" s="3">
        <v>5</v>
      </c>
      <c r="E124" s="3">
        <v>3</v>
      </c>
      <c r="F124" s="7">
        <v>1</v>
      </c>
      <c r="G124" s="7">
        <v>3</v>
      </c>
      <c r="H124" s="7">
        <v>1</v>
      </c>
      <c r="I124" s="3">
        <v>1</v>
      </c>
      <c r="J124" s="3">
        <v>1</v>
      </c>
      <c r="K124" s="7">
        <v>5</v>
      </c>
      <c r="M124" t="s">
        <v>49</v>
      </c>
      <c r="N124">
        <f>COUNTIFS($B$2:$B$386,8,$D$2:$D$386,11)</f>
        <v>0</v>
      </c>
      <c r="O124" s="34">
        <f t="shared" si="29"/>
        <v>0</v>
      </c>
      <c r="U124" t="s">
        <v>24</v>
      </c>
      <c r="V124">
        <f>COUNTIFS($D$2:$D$386,13,$E$2:$E$386,3)</f>
        <v>2</v>
      </c>
      <c r="W124" s="34">
        <f t="shared" si="30"/>
        <v>0.51948051948051943</v>
      </c>
    </row>
    <row r="125" spans="1:23" x14ac:dyDescent="0.3">
      <c r="A125" t="s">
        <v>2991</v>
      </c>
      <c r="B125" s="7">
        <v>5</v>
      </c>
      <c r="C125" s="3">
        <v>19</v>
      </c>
      <c r="D125" s="3">
        <v>8</v>
      </c>
      <c r="E125" s="3">
        <v>8</v>
      </c>
      <c r="F125" s="7">
        <v>3</v>
      </c>
      <c r="G125" s="7">
        <v>3</v>
      </c>
      <c r="H125" s="7">
        <v>17</v>
      </c>
      <c r="I125" s="3">
        <v>17</v>
      </c>
      <c r="J125" s="3">
        <v>17</v>
      </c>
      <c r="K125" s="7">
        <v>4</v>
      </c>
      <c r="M125" t="s">
        <v>51</v>
      </c>
      <c r="N125">
        <f>COUNTIFS($B$2:$B$386,8,$D$2:$D$386,12)</f>
        <v>0</v>
      </c>
      <c r="O125" s="34">
        <f t="shared" si="29"/>
        <v>0</v>
      </c>
      <c r="U125" t="s">
        <v>31</v>
      </c>
      <c r="V125">
        <f>COUNTIFS($D$2:$D$386,13,$E$2:$E$386,4)</f>
        <v>0</v>
      </c>
      <c r="W125" s="34">
        <f t="shared" si="30"/>
        <v>0</v>
      </c>
    </row>
    <row r="126" spans="1:23" x14ac:dyDescent="0.3">
      <c r="A126" t="s">
        <v>2133</v>
      </c>
      <c r="B126" s="7">
        <v>5</v>
      </c>
      <c r="C126" s="3">
        <v>19</v>
      </c>
      <c r="D126" s="3">
        <v>4</v>
      </c>
      <c r="E126" s="3">
        <v>3</v>
      </c>
      <c r="F126" s="7">
        <v>3</v>
      </c>
      <c r="G126" s="7">
        <v>3</v>
      </c>
      <c r="H126" s="7">
        <v>17</v>
      </c>
      <c r="I126" s="3">
        <v>17</v>
      </c>
      <c r="J126" s="3">
        <v>17</v>
      </c>
      <c r="K126" s="7">
        <v>4</v>
      </c>
      <c r="M126" t="s">
        <v>153</v>
      </c>
      <c r="N126">
        <f>COUNTIFS($B$2:$B$386,8,$D$2:$D$386,13)</f>
        <v>0</v>
      </c>
      <c r="O126" s="34">
        <f t="shared" si="29"/>
        <v>0</v>
      </c>
      <c r="U126" t="s">
        <v>37</v>
      </c>
      <c r="V126">
        <f>COUNTIFS($D$2:$D$386,13,$E$2:$E$386,5)</f>
        <v>0</v>
      </c>
      <c r="W126" s="34">
        <f t="shared" si="30"/>
        <v>0</v>
      </c>
    </row>
    <row r="127" spans="1:23" x14ac:dyDescent="0.3">
      <c r="A127" s="6" t="s">
        <v>1045</v>
      </c>
      <c r="B127" s="7">
        <v>14</v>
      </c>
      <c r="C127" s="3">
        <v>21</v>
      </c>
      <c r="D127" s="11">
        <v>4</v>
      </c>
      <c r="E127" s="11">
        <v>3</v>
      </c>
      <c r="F127" s="7">
        <v>3</v>
      </c>
      <c r="G127" s="7">
        <v>3</v>
      </c>
      <c r="H127" s="7">
        <v>17</v>
      </c>
      <c r="I127" s="3">
        <v>17</v>
      </c>
      <c r="J127" s="3">
        <v>17</v>
      </c>
      <c r="K127" s="7">
        <v>4</v>
      </c>
      <c r="M127" t="s">
        <v>154</v>
      </c>
      <c r="N127">
        <f>COUNTIFS($B$2:$B$386,8,$D$2:$D$386,14)</f>
        <v>1</v>
      </c>
      <c r="O127" s="34">
        <f t="shared" si="29"/>
        <v>0.25974025974025972</v>
      </c>
      <c r="U127" t="s">
        <v>42</v>
      </c>
      <c r="V127">
        <f>COUNTIFS($D$2:$D$386,13,$E$2:$E$386,6)</f>
        <v>0</v>
      </c>
      <c r="W127" s="34">
        <f t="shared" si="30"/>
        <v>0</v>
      </c>
    </row>
    <row r="128" spans="1:23" x14ac:dyDescent="0.3">
      <c r="A128" s="6" t="s">
        <v>878</v>
      </c>
      <c r="B128" s="7">
        <v>15</v>
      </c>
      <c r="C128" s="3">
        <v>21</v>
      </c>
      <c r="D128" s="11">
        <v>3</v>
      </c>
      <c r="E128" s="7">
        <v>3</v>
      </c>
      <c r="F128" s="7">
        <v>2</v>
      </c>
      <c r="G128" s="7">
        <v>3</v>
      </c>
      <c r="H128" s="7">
        <v>16</v>
      </c>
      <c r="I128" s="3">
        <v>16</v>
      </c>
      <c r="J128" s="3">
        <v>16</v>
      </c>
      <c r="K128" s="7">
        <v>4</v>
      </c>
      <c r="M128" t="s">
        <v>52</v>
      </c>
      <c r="N128">
        <f>COUNTIFS($B$2:$B$386,8,$D$2:$D$386,15)</f>
        <v>1</v>
      </c>
      <c r="O128" s="34">
        <f t="shared" si="29"/>
        <v>0.25974025974025972</v>
      </c>
      <c r="U128" t="s">
        <v>45</v>
      </c>
      <c r="V128">
        <f>COUNTIFS($D$2:$D$386,13,$E$2:$E$386,7)</f>
        <v>0</v>
      </c>
      <c r="W128" s="34">
        <f t="shared" si="30"/>
        <v>0</v>
      </c>
    </row>
    <row r="129" spans="1:23" x14ac:dyDescent="0.3">
      <c r="A129" s="6" t="s">
        <v>707</v>
      </c>
      <c r="B129" s="7">
        <v>16</v>
      </c>
      <c r="C129" s="3">
        <v>21</v>
      </c>
      <c r="D129" s="11">
        <v>15</v>
      </c>
      <c r="E129" s="7">
        <v>3</v>
      </c>
      <c r="F129" s="7">
        <v>3</v>
      </c>
      <c r="G129" s="7">
        <v>3</v>
      </c>
      <c r="H129" s="7">
        <v>17</v>
      </c>
      <c r="I129" s="3">
        <v>17</v>
      </c>
      <c r="J129" s="3">
        <v>17</v>
      </c>
      <c r="K129" s="7">
        <v>4</v>
      </c>
      <c r="N129" s="22">
        <f>SUM(N114:N128)</f>
        <v>21</v>
      </c>
      <c r="O129" s="35">
        <f t="shared" si="29"/>
        <v>5.4545454545454541</v>
      </c>
      <c r="U129" t="s">
        <v>48</v>
      </c>
      <c r="V129">
        <f>COUNTIFS($D$2:$D$386,13,$E$2:$E$386,8)</f>
        <v>0</v>
      </c>
      <c r="W129" s="34">
        <f t="shared" si="30"/>
        <v>0</v>
      </c>
    </row>
    <row r="130" spans="1:23" x14ac:dyDescent="0.3">
      <c r="A130" t="s">
        <v>2207</v>
      </c>
      <c r="B130" s="7">
        <v>4</v>
      </c>
      <c r="C130" s="3">
        <v>18</v>
      </c>
      <c r="D130" s="3">
        <v>3</v>
      </c>
      <c r="E130" s="3">
        <v>3</v>
      </c>
      <c r="F130" s="7">
        <v>3</v>
      </c>
      <c r="G130" s="7">
        <v>3</v>
      </c>
      <c r="H130" s="7">
        <v>17</v>
      </c>
      <c r="I130" s="3">
        <v>17</v>
      </c>
      <c r="J130" s="3">
        <v>17</v>
      </c>
      <c r="K130" s="7">
        <v>4</v>
      </c>
      <c r="L130">
        <v>2017</v>
      </c>
      <c r="M130" t="s">
        <v>11</v>
      </c>
      <c r="N130">
        <f>COUNTIFS($B$2:$B$386,9,$D$2:$D$386,1)</f>
        <v>2</v>
      </c>
      <c r="O130" s="34">
        <f>(N130/385)*100</f>
        <v>0.51948051948051943</v>
      </c>
      <c r="U130" t="s">
        <v>50</v>
      </c>
      <c r="V130">
        <f>COUNTIFS($D$2:$D$386,13,$E$2:$E$386,9)</f>
        <v>0</v>
      </c>
      <c r="W130" s="34">
        <f t="shared" si="30"/>
        <v>0</v>
      </c>
    </row>
    <row r="131" spans="1:23" x14ac:dyDescent="0.3">
      <c r="A131" s="6" t="s">
        <v>145</v>
      </c>
      <c r="B131" s="7">
        <v>17</v>
      </c>
      <c r="C131" s="3">
        <v>21</v>
      </c>
      <c r="D131" s="11">
        <v>15</v>
      </c>
      <c r="E131" s="11">
        <v>6</v>
      </c>
      <c r="F131" s="7">
        <v>3</v>
      </c>
      <c r="G131" s="7">
        <v>3</v>
      </c>
      <c r="H131" s="7">
        <v>17</v>
      </c>
      <c r="I131" s="3">
        <v>17</v>
      </c>
      <c r="J131" s="3">
        <v>17</v>
      </c>
      <c r="K131" s="7">
        <v>4</v>
      </c>
      <c r="M131" t="s">
        <v>18</v>
      </c>
      <c r="N131">
        <f>COUNTIFS($B$2:$B$386,9,$D$2:$D$386,2)</f>
        <v>2</v>
      </c>
      <c r="O131" s="34">
        <f t="shared" ref="O131:O145" si="31">(N131/385)*100</f>
        <v>0.51948051948051943</v>
      </c>
      <c r="V131" s="22">
        <f>SUM(V122:V130)</f>
        <v>2</v>
      </c>
      <c r="W131" s="35">
        <f t="shared" si="30"/>
        <v>0.51948051948051943</v>
      </c>
    </row>
    <row r="132" spans="1:23" x14ac:dyDescent="0.3">
      <c r="A132" t="s">
        <v>3071</v>
      </c>
      <c r="B132" s="7">
        <v>4</v>
      </c>
      <c r="C132" s="3">
        <v>18</v>
      </c>
      <c r="D132" s="3">
        <v>4</v>
      </c>
      <c r="E132" s="3">
        <v>8</v>
      </c>
      <c r="F132" s="11">
        <v>2</v>
      </c>
      <c r="G132" s="11">
        <v>3</v>
      </c>
      <c r="H132" s="11">
        <v>16</v>
      </c>
      <c r="I132" s="3">
        <v>16</v>
      </c>
      <c r="J132" s="3">
        <v>16</v>
      </c>
      <c r="K132" s="11">
        <v>3</v>
      </c>
      <c r="M132" t="s">
        <v>150</v>
      </c>
      <c r="N132">
        <f>COUNTIFS($B$2:$B$386,9,$D$2:$D$386,3)</f>
        <v>0</v>
      </c>
      <c r="O132" s="34">
        <f t="shared" si="31"/>
        <v>0</v>
      </c>
      <c r="T132" t="s">
        <v>154</v>
      </c>
      <c r="U132" t="s">
        <v>10</v>
      </c>
      <c r="V132">
        <f>COUNTIFS($D$2:$D$386,14,$E$2:$E$386,1)</f>
        <v>2</v>
      </c>
      <c r="W132" s="34">
        <f>(V132/385)*100</f>
        <v>0.51948051948051943</v>
      </c>
    </row>
    <row r="133" spans="1:23" x14ac:dyDescent="0.3">
      <c r="A133" t="s">
        <v>1867</v>
      </c>
      <c r="B133" s="7">
        <v>8</v>
      </c>
      <c r="C133" s="3">
        <v>19</v>
      </c>
      <c r="D133" s="3">
        <v>1</v>
      </c>
      <c r="E133" s="3">
        <v>9</v>
      </c>
      <c r="F133" s="7">
        <v>2</v>
      </c>
      <c r="G133" s="7">
        <v>3</v>
      </c>
      <c r="H133" s="7">
        <v>16</v>
      </c>
      <c r="I133" s="3">
        <v>16</v>
      </c>
      <c r="J133" s="3">
        <v>16</v>
      </c>
      <c r="K133" s="7">
        <v>4</v>
      </c>
      <c r="M133" t="s">
        <v>25</v>
      </c>
      <c r="N133">
        <f>COUNTIFS($B$2:$B$386,9,$D$2:$D$386,4)</f>
        <v>6</v>
      </c>
      <c r="O133" s="34">
        <f t="shared" si="31"/>
        <v>1.5584415584415585</v>
      </c>
      <c r="U133" t="s">
        <v>17</v>
      </c>
      <c r="V133">
        <f>COUNTIFS($D$2:$D$386,14,$E$2:$E$386,2)</f>
        <v>0</v>
      </c>
      <c r="W133" s="34">
        <f t="shared" ref="W133:W141" si="32">(V133/385)*100</f>
        <v>0</v>
      </c>
    </row>
    <row r="134" spans="1:23" x14ac:dyDescent="0.3">
      <c r="A134" t="s">
        <v>2900</v>
      </c>
      <c r="B134" s="7">
        <v>10</v>
      </c>
      <c r="C134" s="3">
        <v>20</v>
      </c>
      <c r="D134" s="3">
        <v>3</v>
      </c>
      <c r="E134" s="3">
        <v>3</v>
      </c>
      <c r="F134" s="7">
        <v>1</v>
      </c>
      <c r="G134" s="7">
        <v>2</v>
      </c>
      <c r="H134" s="7">
        <v>16</v>
      </c>
      <c r="I134" s="3">
        <v>16</v>
      </c>
      <c r="J134" s="3">
        <v>16</v>
      </c>
      <c r="K134" s="7">
        <v>5</v>
      </c>
      <c r="M134" t="s">
        <v>32</v>
      </c>
      <c r="N134">
        <f>COUNTIFS($B$2:$B$386,9,$D$2:$D$386,5)</f>
        <v>0</v>
      </c>
      <c r="O134" s="34">
        <f t="shared" si="31"/>
        <v>0</v>
      </c>
      <c r="U134" t="s">
        <v>24</v>
      </c>
      <c r="V134">
        <f>COUNTIFS($D$2:$D$386,14,$E$2:$E$386,3)</f>
        <v>7</v>
      </c>
      <c r="W134" s="34">
        <f t="shared" si="32"/>
        <v>1.8181818181818181</v>
      </c>
    </row>
    <row r="135" spans="1:23" x14ac:dyDescent="0.3">
      <c r="A135" t="s">
        <v>1541</v>
      </c>
      <c r="B135" s="7">
        <v>12</v>
      </c>
      <c r="C135" s="3">
        <v>20</v>
      </c>
      <c r="D135" s="3">
        <v>1</v>
      </c>
      <c r="E135" s="3">
        <v>3</v>
      </c>
      <c r="F135" s="3">
        <v>3</v>
      </c>
      <c r="G135" s="3">
        <v>3</v>
      </c>
      <c r="H135" s="3">
        <v>17</v>
      </c>
      <c r="I135" s="3">
        <v>17</v>
      </c>
      <c r="J135" s="3">
        <v>17</v>
      </c>
      <c r="K135" s="3">
        <v>4</v>
      </c>
      <c r="M135" t="s">
        <v>38</v>
      </c>
      <c r="N135">
        <f>COUNTIFS($B$2:$B$386,9,$D$2:$D$386,6)</f>
        <v>0</v>
      </c>
      <c r="O135" s="34">
        <f t="shared" si="31"/>
        <v>0</v>
      </c>
      <c r="U135" t="s">
        <v>31</v>
      </c>
      <c r="V135">
        <f>COUNTIFS($D$2:$D$386,14,$E$2:$E$386,4)</f>
        <v>0</v>
      </c>
      <c r="W135" s="34">
        <f t="shared" si="32"/>
        <v>0</v>
      </c>
    </row>
    <row r="136" spans="1:23" x14ac:dyDescent="0.3">
      <c r="A136" t="s">
        <v>1398</v>
      </c>
      <c r="B136" s="7">
        <v>13</v>
      </c>
      <c r="C136" s="3">
        <v>21</v>
      </c>
      <c r="D136" s="3">
        <v>9</v>
      </c>
      <c r="E136" s="3">
        <v>6</v>
      </c>
      <c r="F136" s="3">
        <v>2</v>
      </c>
      <c r="G136" s="3">
        <v>3</v>
      </c>
      <c r="H136" s="3">
        <v>16</v>
      </c>
      <c r="I136" s="3">
        <v>16</v>
      </c>
      <c r="J136" s="3">
        <v>16</v>
      </c>
      <c r="K136" s="3">
        <v>4</v>
      </c>
      <c r="M136" t="s">
        <v>151</v>
      </c>
      <c r="N136">
        <f>COUNTIFS($B$2:$B$386,9,$D$2:$D$386,7)</f>
        <v>0</v>
      </c>
      <c r="O136" s="34">
        <f t="shared" si="31"/>
        <v>0</v>
      </c>
      <c r="U136" t="s">
        <v>37</v>
      </c>
      <c r="V136">
        <f>COUNTIFS($D$2:$D$386,14,$E$2:$E$386,5)</f>
        <v>0</v>
      </c>
      <c r="W136" s="34">
        <f t="shared" si="32"/>
        <v>0</v>
      </c>
    </row>
    <row r="137" spans="1:23" x14ac:dyDescent="0.3">
      <c r="A137" t="s">
        <v>2377</v>
      </c>
      <c r="B137" s="7">
        <v>3</v>
      </c>
      <c r="C137" s="3">
        <v>18</v>
      </c>
      <c r="D137" s="3">
        <v>5</v>
      </c>
      <c r="E137" s="3">
        <v>1</v>
      </c>
      <c r="F137" s="7">
        <v>3</v>
      </c>
      <c r="G137" s="7">
        <v>3</v>
      </c>
      <c r="H137" s="7">
        <v>17</v>
      </c>
      <c r="I137" s="3">
        <v>17</v>
      </c>
      <c r="J137" s="3">
        <v>17</v>
      </c>
      <c r="K137" s="7">
        <v>4</v>
      </c>
      <c r="M137" t="s">
        <v>43</v>
      </c>
      <c r="N137">
        <f>COUNTIFS($B$2:$B$386,9,$D$2:$D$386,8)</f>
        <v>1</v>
      </c>
      <c r="O137" s="34">
        <f t="shared" si="31"/>
        <v>0.25974025974025972</v>
      </c>
      <c r="U137" t="s">
        <v>42</v>
      </c>
      <c r="V137">
        <f>COUNTIFS($D$2:$D$386,14,$E$2:$E$386,6)</f>
        <v>0</v>
      </c>
      <c r="W137" s="34">
        <f t="shared" si="32"/>
        <v>0</v>
      </c>
    </row>
    <row r="138" spans="1:23" x14ac:dyDescent="0.3">
      <c r="A138" t="s">
        <v>2178</v>
      </c>
      <c r="B138" s="7">
        <v>4</v>
      </c>
      <c r="C138" s="3">
        <v>18</v>
      </c>
      <c r="D138" s="3">
        <v>4</v>
      </c>
      <c r="E138" s="3">
        <v>1</v>
      </c>
      <c r="F138" s="7">
        <v>1</v>
      </c>
      <c r="G138" s="7">
        <v>3</v>
      </c>
      <c r="H138" s="7">
        <v>1</v>
      </c>
      <c r="I138" s="3">
        <v>1</v>
      </c>
      <c r="J138" s="3">
        <v>1</v>
      </c>
      <c r="K138" s="7">
        <v>5</v>
      </c>
      <c r="M138" t="s">
        <v>46</v>
      </c>
      <c r="N138">
        <f>COUNTIFS($B$2:$B$386,9,$D$2:$D$386,9)</f>
        <v>0</v>
      </c>
      <c r="O138" s="34">
        <f t="shared" si="31"/>
        <v>0</v>
      </c>
      <c r="U138" t="s">
        <v>45</v>
      </c>
      <c r="V138">
        <f>COUNTIFS($D$2:$D$386,14,$E$2:$E$386,7)</f>
        <v>0</v>
      </c>
      <c r="W138" s="34">
        <f t="shared" si="32"/>
        <v>0</v>
      </c>
    </row>
    <row r="139" spans="1:23" x14ac:dyDescent="0.3">
      <c r="A139" t="s">
        <v>2184</v>
      </c>
      <c r="B139" s="7">
        <v>4</v>
      </c>
      <c r="C139" s="3">
        <v>18</v>
      </c>
      <c r="D139" s="3">
        <v>4</v>
      </c>
      <c r="E139" s="3">
        <v>1</v>
      </c>
      <c r="F139" s="7">
        <v>3</v>
      </c>
      <c r="G139" s="7">
        <v>3</v>
      </c>
      <c r="H139" s="7">
        <v>17</v>
      </c>
      <c r="I139" s="3">
        <v>17</v>
      </c>
      <c r="J139" s="3">
        <v>17</v>
      </c>
      <c r="K139" s="7">
        <v>4</v>
      </c>
      <c r="M139" t="s">
        <v>152</v>
      </c>
      <c r="N139">
        <f>COUNTIFS($B$2:$B$386,9,$D$2:$D$386,10)</f>
        <v>0</v>
      </c>
      <c r="O139" s="34">
        <f t="shared" si="31"/>
        <v>0</v>
      </c>
      <c r="U139" t="s">
        <v>48</v>
      </c>
      <c r="V139">
        <f>COUNTIFS($D$2:$D$386,14,$E$2:$E$386,8)</f>
        <v>0</v>
      </c>
      <c r="W139" s="34">
        <f t="shared" si="32"/>
        <v>0</v>
      </c>
    </row>
    <row r="140" spans="1:23" x14ac:dyDescent="0.3">
      <c r="A140" t="s">
        <v>1194</v>
      </c>
      <c r="B140" s="7">
        <v>13</v>
      </c>
      <c r="C140" s="3">
        <v>21</v>
      </c>
      <c r="D140" s="3">
        <v>2</v>
      </c>
      <c r="E140" s="11">
        <v>3</v>
      </c>
      <c r="F140" s="7">
        <v>3</v>
      </c>
      <c r="G140" s="7">
        <v>3</v>
      </c>
      <c r="H140" s="7">
        <v>17</v>
      </c>
      <c r="I140" s="3">
        <v>17</v>
      </c>
      <c r="J140" s="3">
        <v>17</v>
      </c>
      <c r="K140" s="7">
        <v>4</v>
      </c>
      <c r="M140" t="s">
        <v>49</v>
      </c>
      <c r="N140">
        <f>COUNTIFS($B$2:$B$386,9,$D$2:$D$386,11)</f>
        <v>0</v>
      </c>
      <c r="O140" s="34">
        <f t="shared" si="31"/>
        <v>0</v>
      </c>
      <c r="U140" t="s">
        <v>50</v>
      </c>
      <c r="V140">
        <f>COUNTIFS($D$2:$D$386,14,$E$2:$E$386,9)</f>
        <v>1</v>
      </c>
      <c r="W140" s="34">
        <f t="shared" si="32"/>
        <v>0.25974025974025972</v>
      </c>
    </row>
    <row r="141" spans="1:23" x14ac:dyDescent="0.3">
      <c r="A141" s="6" t="s">
        <v>1023</v>
      </c>
      <c r="B141" s="7">
        <v>14</v>
      </c>
      <c r="C141" s="3">
        <v>21</v>
      </c>
      <c r="D141" s="11">
        <v>2</v>
      </c>
      <c r="E141" s="11">
        <v>3</v>
      </c>
      <c r="F141" s="7">
        <v>3</v>
      </c>
      <c r="G141" s="7">
        <v>3</v>
      </c>
      <c r="H141" s="7">
        <v>17</v>
      </c>
      <c r="I141" s="3">
        <v>17</v>
      </c>
      <c r="J141" s="3">
        <v>17</v>
      </c>
      <c r="K141" s="7">
        <v>4</v>
      </c>
      <c r="M141" t="s">
        <v>51</v>
      </c>
      <c r="N141">
        <f>COUNTIFS($B$2:$B$386,9,$D$2:$D$386,12)</f>
        <v>0</v>
      </c>
      <c r="O141" s="34">
        <f t="shared" si="31"/>
        <v>0</v>
      </c>
      <c r="V141" s="22">
        <f>SUM(V132:V140)</f>
        <v>10</v>
      </c>
      <c r="W141" s="35">
        <f t="shared" si="32"/>
        <v>2.5974025974025974</v>
      </c>
    </row>
    <row r="142" spans="1:23" x14ac:dyDescent="0.3">
      <c r="A142" t="s">
        <v>1352</v>
      </c>
      <c r="B142" s="7">
        <v>13</v>
      </c>
      <c r="C142" s="3">
        <v>21</v>
      </c>
      <c r="D142" s="3">
        <v>1</v>
      </c>
      <c r="E142" s="3">
        <v>3</v>
      </c>
      <c r="F142" s="7">
        <v>3</v>
      </c>
      <c r="G142" s="7">
        <v>3</v>
      </c>
      <c r="H142" s="7">
        <v>17</v>
      </c>
      <c r="I142" s="3">
        <v>17</v>
      </c>
      <c r="J142" s="3">
        <v>17</v>
      </c>
      <c r="K142" s="7">
        <v>4</v>
      </c>
      <c r="M142" t="s">
        <v>153</v>
      </c>
      <c r="N142">
        <f>COUNTIFS($B$2:$B$386,9,$D$2:$D$386,13)</f>
        <v>0</v>
      </c>
      <c r="O142" s="34">
        <f t="shared" si="31"/>
        <v>0</v>
      </c>
      <c r="T142" t="s">
        <v>52</v>
      </c>
      <c r="U142" t="s">
        <v>10</v>
      </c>
      <c r="V142">
        <f>COUNTIFS($D$2:$D$386,15,$E$2:$E$386,1)</f>
        <v>5</v>
      </c>
      <c r="W142" s="34">
        <f>(V142/385)*100</f>
        <v>1.2987012987012987</v>
      </c>
    </row>
    <row r="143" spans="1:23" x14ac:dyDescent="0.3">
      <c r="A143" s="6" t="s">
        <v>95</v>
      </c>
      <c r="B143" s="7">
        <v>17</v>
      </c>
      <c r="C143" s="3">
        <v>21</v>
      </c>
      <c r="D143" s="7">
        <v>4</v>
      </c>
      <c r="E143" s="11">
        <v>8</v>
      </c>
      <c r="F143" s="7">
        <v>2</v>
      </c>
      <c r="G143" s="7">
        <v>2</v>
      </c>
      <c r="H143" s="7">
        <v>16</v>
      </c>
      <c r="I143" s="3">
        <v>16</v>
      </c>
      <c r="J143" s="3">
        <v>16</v>
      </c>
      <c r="K143" s="7">
        <v>3</v>
      </c>
      <c r="M143" t="s">
        <v>154</v>
      </c>
      <c r="N143">
        <f>COUNTIFS($B$2:$B$386,9,$D$2:$D$386,14)</f>
        <v>0</v>
      </c>
      <c r="O143" s="34">
        <f t="shared" si="31"/>
        <v>0</v>
      </c>
      <c r="U143" t="s">
        <v>17</v>
      </c>
      <c r="V143">
        <f>COUNTIFS($D$2:$D$386,15,$E$2:$E$386,2)</f>
        <v>0</v>
      </c>
      <c r="W143" s="34">
        <f t="shared" ref="W143:W151" si="33">(V143/385)*100</f>
        <v>0</v>
      </c>
    </row>
    <row r="144" spans="1:23" x14ac:dyDescent="0.3">
      <c r="A144" t="s">
        <v>1442</v>
      </c>
      <c r="B144" s="7">
        <v>12</v>
      </c>
      <c r="C144" s="3">
        <v>20</v>
      </c>
      <c r="D144" s="11">
        <v>4</v>
      </c>
      <c r="E144" s="11">
        <v>8</v>
      </c>
      <c r="F144" s="11">
        <v>2</v>
      </c>
      <c r="G144" s="11">
        <v>2</v>
      </c>
      <c r="H144" s="11">
        <v>16</v>
      </c>
      <c r="I144" s="3">
        <v>16</v>
      </c>
      <c r="J144" s="3">
        <v>16</v>
      </c>
      <c r="K144" s="11">
        <v>3</v>
      </c>
      <c r="M144" t="s">
        <v>52</v>
      </c>
      <c r="N144">
        <f>COUNTIFS($B$2:$B$386,9,$D$2:$D$386,15)</f>
        <v>1</v>
      </c>
      <c r="O144" s="34">
        <f t="shared" si="31"/>
        <v>0.25974025974025972</v>
      </c>
      <c r="U144" t="s">
        <v>24</v>
      </c>
      <c r="V144">
        <f>COUNTIFS($D$2:$D$386,15,$E$2:$E$386,3)</f>
        <v>21</v>
      </c>
      <c r="W144" s="34">
        <f t="shared" si="33"/>
        <v>5.4545454545454541</v>
      </c>
    </row>
    <row r="145" spans="1:23" x14ac:dyDescent="0.3">
      <c r="A145" t="s">
        <v>2116</v>
      </c>
      <c r="B145" s="7">
        <v>3</v>
      </c>
      <c r="C145" s="3">
        <v>18</v>
      </c>
      <c r="D145" s="3">
        <v>2</v>
      </c>
      <c r="E145" s="3">
        <v>5</v>
      </c>
      <c r="F145" s="7">
        <v>2</v>
      </c>
      <c r="G145" s="7">
        <v>3</v>
      </c>
      <c r="H145" s="7">
        <v>17</v>
      </c>
      <c r="I145" s="3">
        <v>17</v>
      </c>
      <c r="J145" s="3">
        <v>17</v>
      </c>
      <c r="K145" s="7">
        <v>3</v>
      </c>
      <c r="N145" s="22">
        <f>SUM(N130:N144)</f>
        <v>12</v>
      </c>
      <c r="O145" s="35">
        <f t="shared" si="31"/>
        <v>3.116883116883117</v>
      </c>
      <c r="U145" t="s">
        <v>31</v>
      </c>
      <c r="V145">
        <f>COUNTIFS($D$2:$D$386,15,$E$2:$E$386,4)</f>
        <v>1</v>
      </c>
      <c r="W145" s="34">
        <f t="shared" si="33"/>
        <v>0.25974025974025972</v>
      </c>
    </row>
    <row r="146" spans="1:23" x14ac:dyDescent="0.3">
      <c r="A146" t="s">
        <v>2887</v>
      </c>
      <c r="B146" s="7">
        <v>11</v>
      </c>
      <c r="C146" s="3">
        <v>20</v>
      </c>
      <c r="D146" s="3">
        <v>15</v>
      </c>
      <c r="E146" s="3">
        <v>3</v>
      </c>
      <c r="F146" s="7">
        <v>1</v>
      </c>
      <c r="G146" s="7">
        <v>3</v>
      </c>
      <c r="H146" s="7">
        <v>3</v>
      </c>
      <c r="I146" s="3">
        <v>3</v>
      </c>
      <c r="J146" s="3">
        <v>3</v>
      </c>
      <c r="K146" s="7">
        <v>5</v>
      </c>
      <c r="L146">
        <v>2018</v>
      </c>
      <c r="M146" t="s">
        <v>11</v>
      </c>
      <c r="N146">
        <f>COUNTIFS($B$2:$B$386,10,$D$2:$D$386,1)</f>
        <v>4</v>
      </c>
      <c r="O146" s="34">
        <f>(N146/385)*100</f>
        <v>1.0389610389610389</v>
      </c>
      <c r="U146" t="s">
        <v>37</v>
      </c>
      <c r="V146">
        <f>COUNTIFS($D$2:$D$386,15,$E$2:$E$386,5)</f>
        <v>3</v>
      </c>
      <c r="W146" s="34">
        <f t="shared" si="33"/>
        <v>0.77922077922077926</v>
      </c>
    </row>
    <row r="147" spans="1:23" x14ac:dyDescent="0.3">
      <c r="A147" t="s">
        <v>2402</v>
      </c>
      <c r="B147" s="7">
        <v>1</v>
      </c>
      <c r="C147" s="3">
        <v>18</v>
      </c>
      <c r="D147" s="3">
        <v>1</v>
      </c>
      <c r="E147" s="3">
        <v>3</v>
      </c>
      <c r="F147" s="7">
        <v>1</v>
      </c>
      <c r="G147" s="7">
        <v>3</v>
      </c>
      <c r="H147" s="7">
        <v>1</v>
      </c>
      <c r="I147" s="3">
        <v>1</v>
      </c>
      <c r="J147" s="3">
        <v>1</v>
      </c>
      <c r="K147" s="7">
        <v>5</v>
      </c>
      <c r="M147" t="s">
        <v>18</v>
      </c>
      <c r="N147">
        <f>COUNTIFS($B$2:$B$386,10,$D$2:$D$386,2)</f>
        <v>1</v>
      </c>
      <c r="O147" s="34">
        <f t="shared" ref="O147:O161" si="34">(N147/385)*100</f>
        <v>0.25974025974025972</v>
      </c>
      <c r="U147" t="s">
        <v>42</v>
      </c>
      <c r="V147">
        <f>COUNTIFS($D$2:$D$386,15,$E$2:$E$386,6)</f>
        <v>3</v>
      </c>
      <c r="W147" s="34">
        <f t="shared" si="33"/>
        <v>0.77922077922077926</v>
      </c>
    </row>
    <row r="148" spans="1:23" x14ac:dyDescent="0.3">
      <c r="A148" t="s">
        <v>1913</v>
      </c>
      <c r="B148" s="7">
        <v>8</v>
      </c>
      <c r="C148" s="3">
        <v>19</v>
      </c>
      <c r="D148" s="3">
        <v>5</v>
      </c>
      <c r="E148" s="3">
        <v>6</v>
      </c>
      <c r="F148" s="3">
        <v>1</v>
      </c>
      <c r="G148" s="3">
        <v>1</v>
      </c>
      <c r="H148" s="3">
        <v>12</v>
      </c>
      <c r="I148" s="3">
        <v>18</v>
      </c>
      <c r="J148" s="3">
        <v>18</v>
      </c>
      <c r="K148" s="3">
        <v>1</v>
      </c>
      <c r="M148" t="s">
        <v>150</v>
      </c>
      <c r="N148">
        <f>COUNTIFS($B$2:$B$386,10,$D$2:$D$386,3)</f>
        <v>1</v>
      </c>
      <c r="O148" s="34">
        <f t="shared" si="34"/>
        <v>0.25974025974025972</v>
      </c>
      <c r="U148" t="s">
        <v>45</v>
      </c>
      <c r="V148">
        <f>COUNTIFS($D$2:$D$386,15,$E$2:$E$386,7)</f>
        <v>3</v>
      </c>
      <c r="W148" s="34">
        <f t="shared" si="33"/>
        <v>0.77922077922077926</v>
      </c>
    </row>
    <row r="149" spans="1:23" x14ac:dyDescent="0.3">
      <c r="A149" t="s">
        <v>2248</v>
      </c>
      <c r="B149" s="7">
        <v>4</v>
      </c>
      <c r="C149" s="3">
        <v>18</v>
      </c>
      <c r="D149" s="3">
        <v>4</v>
      </c>
      <c r="E149" s="3">
        <v>3</v>
      </c>
      <c r="F149" s="7">
        <v>3</v>
      </c>
      <c r="G149" s="7">
        <v>3</v>
      </c>
      <c r="H149" s="7">
        <v>17</v>
      </c>
      <c r="I149" s="3">
        <v>17</v>
      </c>
      <c r="J149" s="3">
        <v>17</v>
      </c>
      <c r="K149" s="7">
        <v>4</v>
      </c>
      <c r="M149" t="s">
        <v>25</v>
      </c>
      <c r="N149">
        <f>COUNTIFS($B$2:$B$386,10,$D$2:$D$386,4)</f>
        <v>8</v>
      </c>
      <c r="O149" s="34">
        <f t="shared" si="34"/>
        <v>2.0779220779220777</v>
      </c>
      <c r="U149" t="s">
        <v>48</v>
      </c>
      <c r="V149">
        <f>COUNTIFS($D$2:$D$386,15,$E$2:$E$386,8)</f>
        <v>4</v>
      </c>
      <c r="W149" s="34">
        <f t="shared" si="33"/>
        <v>1.0389610389610389</v>
      </c>
    </row>
    <row r="150" spans="1:23" x14ac:dyDescent="0.3">
      <c r="A150" t="s">
        <v>2381</v>
      </c>
      <c r="B150" s="7">
        <v>2</v>
      </c>
      <c r="C150" s="3">
        <v>18</v>
      </c>
      <c r="D150" s="11">
        <v>4</v>
      </c>
      <c r="E150" s="11">
        <v>3</v>
      </c>
      <c r="F150" s="7">
        <v>3</v>
      </c>
      <c r="G150" s="7">
        <v>3</v>
      </c>
      <c r="H150" s="7">
        <v>17</v>
      </c>
      <c r="I150" s="3">
        <v>17</v>
      </c>
      <c r="J150" s="3">
        <v>17</v>
      </c>
      <c r="K150" s="7">
        <v>4</v>
      </c>
      <c r="M150" t="s">
        <v>32</v>
      </c>
      <c r="N150">
        <f>COUNTIFS($B$2:$B$386,10,$D$2:$D$386,5)</f>
        <v>1</v>
      </c>
      <c r="O150" s="34">
        <f t="shared" si="34"/>
        <v>0.25974025974025972</v>
      </c>
      <c r="U150" t="s">
        <v>50</v>
      </c>
      <c r="V150">
        <f>COUNTIFS($D$2:$D$386,15,$E$2:$E$386,9)</f>
        <v>1</v>
      </c>
      <c r="W150" s="34">
        <f t="shared" si="33"/>
        <v>0.25974025974025972</v>
      </c>
    </row>
    <row r="151" spans="1:23" x14ac:dyDescent="0.3">
      <c r="A151" t="s">
        <v>2829</v>
      </c>
      <c r="B151" s="7">
        <v>12</v>
      </c>
      <c r="C151" s="3">
        <v>20</v>
      </c>
      <c r="D151" s="3">
        <v>1</v>
      </c>
      <c r="E151" s="3">
        <v>3</v>
      </c>
      <c r="F151" s="3">
        <v>2</v>
      </c>
      <c r="G151" s="3">
        <v>3</v>
      </c>
      <c r="H151" s="3">
        <v>16</v>
      </c>
      <c r="I151" s="3">
        <v>16</v>
      </c>
      <c r="J151" s="3">
        <v>16</v>
      </c>
      <c r="K151" s="3">
        <v>3</v>
      </c>
      <c r="M151" t="s">
        <v>38</v>
      </c>
      <c r="N151">
        <f>COUNTIFS($B$2:$B$386,10,$D$2:$D$386,6)</f>
        <v>0</v>
      </c>
      <c r="O151" s="34">
        <f t="shared" si="34"/>
        <v>0</v>
      </c>
      <c r="V151" s="22">
        <f>SUM(V142:V150)</f>
        <v>41</v>
      </c>
      <c r="W151" s="35">
        <f t="shared" si="33"/>
        <v>10.649350649350648</v>
      </c>
    </row>
    <row r="152" spans="1:23" x14ac:dyDescent="0.3">
      <c r="A152" t="s">
        <v>2797</v>
      </c>
      <c r="B152" s="7">
        <v>12</v>
      </c>
      <c r="C152" s="3">
        <v>20</v>
      </c>
      <c r="D152" s="3">
        <v>4</v>
      </c>
      <c r="E152" s="3">
        <v>3</v>
      </c>
      <c r="F152" s="3">
        <v>3</v>
      </c>
      <c r="G152" s="3">
        <v>3</v>
      </c>
      <c r="H152" s="3">
        <v>17</v>
      </c>
      <c r="I152" s="3">
        <v>17</v>
      </c>
      <c r="J152" s="3">
        <v>17</v>
      </c>
      <c r="K152" s="3">
        <v>4</v>
      </c>
      <c r="M152" t="s">
        <v>151</v>
      </c>
      <c r="N152">
        <f>COUNTIFS($B$2:$B$386,10,$D$2:$D$386,7)</f>
        <v>0</v>
      </c>
      <c r="O152" s="34">
        <f t="shared" si="34"/>
        <v>0</v>
      </c>
    </row>
    <row r="153" spans="1:23" x14ac:dyDescent="0.3">
      <c r="A153" s="6" t="s">
        <v>747</v>
      </c>
      <c r="B153" s="7">
        <v>15</v>
      </c>
      <c r="C153" s="3">
        <v>21</v>
      </c>
      <c r="D153" s="11">
        <v>4</v>
      </c>
      <c r="E153" s="7">
        <v>5</v>
      </c>
      <c r="F153" s="11">
        <v>1</v>
      </c>
      <c r="G153" s="11">
        <v>3</v>
      </c>
      <c r="H153" s="11">
        <v>2</v>
      </c>
      <c r="I153" s="3">
        <v>2</v>
      </c>
      <c r="J153" s="3">
        <v>2</v>
      </c>
      <c r="K153" s="11">
        <v>5</v>
      </c>
      <c r="M153" t="s">
        <v>43</v>
      </c>
      <c r="N153">
        <f>COUNTIFS($B$2:$B$386,10,$D$2:$D$386,8)</f>
        <v>1</v>
      </c>
      <c r="O153" s="34">
        <f t="shared" si="34"/>
        <v>0.25974025974025972</v>
      </c>
    </row>
    <row r="154" spans="1:23" x14ac:dyDescent="0.3">
      <c r="A154" t="s">
        <v>2271</v>
      </c>
      <c r="B154" s="7">
        <v>5</v>
      </c>
      <c r="C154" s="3">
        <v>19</v>
      </c>
      <c r="D154" s="3">
        <v>15</v>
      </c>
      <c r="E154" s="3">
        <v>3</v>
      </c>
      <c r="F154" s="7">
        <v>2</v>
      </c>
      <c r="G154" s="7">
        <v>2</v>
      </c>
      <c r="H154" s="7">
        <v>17</v>
      </c>
      <c r="I154" s="3">
        <v>17</v>
      </c>
      <c r="J154" s="3">
        <v>17</v>
      </c>
      <c r="K154" s="7">
        <v>4</v>
      </c>
      <c r="M154" t="s">
        <v>46</v>
      </c>
      <c r="N154">
        <f>COUNTIFS($B$2:$B$386,10,$D$2:$D$386,9)</f>
        <v>1</v>
      </c>
      <c r="O154" s="34">
        <f t="shared" si="34"/>
        <v>0.25974025974025972</v>
      </c>
    </row>
    <row r="155" spans="1:23" x14ac:dyDescent="0.3">
      <c r="A155" t="s">
        <v>2351</v>
      </c>
      <c r="B155" s="7">
        <v>3</v>
      </c>
      <c r="C155" s="3">
        <v>18</v>
      </c>
      <c r="D155" s="3">
        <v>2</v>
      </c>
      <c r="E155" s="3">
        <v>3</v>
      </c>
      <c r="F155" s="7">
        <v>3</v>
      </c>
      <c r="G155" s="7">
        <v>3</v>
      </c>
      <c r="H155" s="7">
        <v>17</v>
      </c>
      <c r="I155" s="3">
        <v>17</v>
      </c>
      <c r="J155" s="3">
        <v>17</v>
      </c>
      <c r="K155" s="7">
        <v>4</v>
      </c>
      <c r="M155" t="s">
        <v>152</v>
      </c>
      <c r="N155">
        <f>COUNTIFS($B$2:$B$386,10,$D$2:$D$386,10)</f>
        <v>0</v>
      </c>
      <c r="O155" s="34">
        <f t="shared" si="34"/>
        <v>0</v>
      </c>
    </row>
    <row r="156" spans="1:23" x14ac:dyDescent="0.3">
      <c r="A156" s="6" t="s">
        <v>920</v>
      </c>
      <c r="B156" s="7">
        <v>15</v>
      </c>
      <c r="C156" s="3">
        <v>21</v>
      </c>
      <c r="D156" s="11">
        <v>9</v>
      </c>
      <c r="E156" s="7">
        <v>3</v>
      </c>
      <c r="F156" s="11">
        <v>1</v>
      </c>
      <c r="G156" s="11">
        <v>3</v>
      </c>
      <c r="H156" s="11">
        <v>1</v>
      </c>
      <c r="I156" s="3">
        <v>1</v>
      </c>
      <c r="J156" s="3">
        <v>1</v>
      </c>
      <c r="K156" s="11">
        <v>5</v>
      </c>
      <c r="M156" t="s">
        <v>49</v>
      </c>
      <c r="N156">
        <f>COUNTIFS($B$2:$B$386,10,$D$2:$D$386,11)</f>
        <v>0</v>
      </c>
      <c r="O156" s="34">
        <f t="shared" si="34"/>
        <v>0</v>
      </c>
    </row>
    <row r="157" spans="1:23" x14ac:dyDescent="0.3">
      <c r="A157" t="s">
        <v>2413</v>
      </c>
      <c r="B157" s="7">
        <v>1</v>
      </c>
      <c r="C157" s="3">
        <v>18</v>
      </c>
      <c r="D157" s="3">
        <v>1</v>
      </c>
      <c r="E157" s="3">
        <v>8</v>
      </c>
      <c r="F157" s="7">
        <v>2</v>
      </c>
      <c r="G157" s="7">
        <v>3</v>
      </c>
      <c r="H157" s="7">
        <v>16</v>
      </c>
      <c r="I157" s="3">
        <v>16</v>
      </c>
      <c r="J157" s="3">
        <v>16</v>
      </c>
      <c r="K157" s="7">
        <v>4</v>
      </c>
      <c r="M157" t="s">
        <v>51</v>
      </c>
      <c r="N157">
        <f>COUNTIFS($B$2:$B$386,10,$D$2:$D$386,12)</f>
        <v>0</v>
      </c>
      <c r="O157" s="34">
        <f t="shared" si="34"/>
        <v>0</v>
      </c>
    </row>
    <row r="158" spans="1:23" x14ac:dyDescent="0.3">
      <c r="A158" t="s">
        <v>2342</v>
      </c>
      <c r="B158" s="7">
        <v>3</v>
      </c>
      <c r="C158" s="3">
        <v>18</v>
      </c>
      <c r="D158" s="3">
        <v>15</v>
      </c>
      <c r="E158" s="3">
        <v>8</v>
      </c>
      <c r="F158" s="3">
        <v>2</v>
      </c>
      <c r="G158" s="3">
        <v>3</v>
      </c>
      <c r="H158" s="3">
        <v>16</v>
      </c>
      <c r="I158" s="3">
        <v>16</v>
      </c>
      <c r="J158" s="3">
        <v>16</v>
      </c>
      <c r="K158" s="3">
        <v>4</v>
      </c>
      <c r="M158" t="s">
        <v>153</v>
      </c>
      <c r="N158">
        <f>COUNTIFS($B$2:$B$386,10,$D$2:$D$386,13)</f>
        <v>0</v>
      </c>
      <c r="O158" s="34">
        <f t="shared" si="34"/>
        <v>0</v>
      </c>
    </row>
    <row r="159" spans="1:23" x14ac:dyDescent="0.3">
      <c r="A159" t="s">
        <v>1429</v>
      </c>
      <c r="B159" s="7">
        <v>13</v>
      </c>
      <c r="C159" s="3">
        <v>21</v>
      </c>
      <c r="D159" s="11">
        <v>4</v>
      </c>
      <c r="E159" s="11">
        <v>8</v>
      </c>
      <c r="F159" s="11">
        <v>3</v>
      </c>
      <c r="G159" s="11">
        <v>3</v>
      </c>
      <c r="H159" s="11">
        <v>17</v>
      </c>
      <c r="I159" s="3">
        <v>17</v>
      </c>
      <c r="J159" s="3">
        <v>17</v>
      </c>
      <c r="K159" s="11">
        <v>3</v>
      </c>
      <c r="M159" t="s">
        <v>154</v>
      </c>
      <c r="N159">
        <f>COUNTIFS($B$2:$B$386,10,$D$2:$D$386,14)</f>
        <v>1</v>
      </c>
      <c r="O159" s="34">
        <f t="shared" si="34"/>
        <v>0.25974025974025972</v>
      </c>
    </row>
    <row r="160" spans="1:23" x14ac:dyDescent="0.3">
      <c r="A160" t="s">
        <v>1429</v>
      </c>
      <c r="B160" s="7">
        <v>10</v>
      </c>
      <c r="C160" s="3">
        <v>20</v>
      </c>
      <c r="D160" s="11">
        <v>4</v>
      </c>
      <c r="E160" s="11">
        <v>8</v>
      </c>
      <c r="F160" s="7">
        <v>1</v>
      </c>
      <c r="G160" s="7">
        <v>3</v>
      </c>
      <c r="H160" s="7">
        <v>3</v>
      </c>
      <c r="I160" s="3">
        <v>3</v>
      </c>
      <c r="J160" s="3">
        <v>3</v>
      </c>
      <c r="K160" s="7">
        <v>5</v>
      </c>
      <c r="M160" t="s">
        <v>52</v>
      </c>
      <c r="N160">
        <f>COUNTIFS($B$2:$B$386,10,$D$2:$D$386,15)</f>
        <v>1</v>
      </c>
      <c r="O160" s="34">
        <f t="shared" si="34"/>
        <v>0.25974025974025972</v>
      </c>
    </row>
    <row r="161" spans="1:15" x14ac:dyDescent="0.3">
      <c r="A161" s="6" t="s">
        <v>990</v>
      </c>
      <c r="B161" s="7">
        <v>14</v>
      </c>
      <c r="C161" s="3">
        <v>21</v>
      </c>
      <c r="D161" s="11">
        <v>4</v>
      </c>
      <c r="E161" s="7">
        <v>8</v>
      </c>
      <c r="F161" s="11">
        <v>2</v>
      </c>
      <c r="G161" s="11">
        <v>2</v>
      </c>
      <c r="H161" s="11">
        <v>16</v>
      </c>
      <c r="I161" s="3">
        <v>16</v>
      </c>
      <c r="J161" s="3">
        <v>16</v>
      </c>
      <c r="K161" s="11">
        <v>3</v>
      </c>
      <c r="N161" s="22">
        <f>SUM(N146:N160)</f>
        <v>19</v>
      </c>
      <c r="O161" s="35">
        <f t="shared" si="34"/>
        <v>4.9350649350649354</v>
      </c>
    </row>
    <row r="162" spans="1:15" x14ac:dyDescent="0.3">
      <c r="A162" t="s">
        <v>1527</v>
      </c>
      <c r="B162" s="7">
        <v>12</v>
      </c>
      <c r="C162" s="3">
        <v>20</v>
      </c>
      <c r="D162" s="3">
        <v>8</v>
      </c>
      <c r="E162" s="3">
        <v>5</v>
      </c>
      <c r="F162" s="3">
        <v>2</v>
      </c>
      <c r="G162" s="3">
        <v>2</v>
      </c>
      <c r="H162" s="3">
        <v>16</v>
      </c>
      <c r="I162" s="3">
        <v>16</v>
      </c>
      <c r="J162" s="3">
        <v>16</v>
      </c>
      <c r="K162" s="3">
        <v>3</v>
      </c>
      <c r="L162">
        <v>2019</v>
      </c>
      <c r="M162" t="s">
        <v>11</v>
      </c>
      <c r="N162">
        <f>COUNTIFS($B$2:$B$386,11,$D$2:$D$386,1)</f>
        <v>5</v>
      </c>
      <c r="O162" s="34">
        <f>(N162/385)*100</f>
        <v>1.2987012987012987</v>
      </c>
    </row>
    <row r="163" spans="1:15" x14ac:dyDescent="0.3">
      <c r="A163" t="s">
        <v>1787</v>
      </c>
      <c r="B163" s="7">
        <v>9</v>
      </c>
      <c r="C163" s="3">
        <v>20</v>
      </c>
      <c r="D163" s="3">
        <v>2</v>
      </c>
      <c r="E163" s="3">
        <v>3</v>
      </c>
      <c r="F163" s="7">
        <v>3</v>
      </c>
      <c r="G163" s="7">
        <v>3</v>
      </c>
      <c r="H163" s="7">
        <v>17</v>
      </c>
      <c r="I163" s="3">
        <v>17</v>
      </c>
      <c r="J163" s="3">
        <v>17</v>
      </c>
      <c r="K163" s="7">
        <v>4</v>
      </c>
      <c r="M163" t="s">
        <v>18</v>
      </c>
      <c r="N163">
        <f>COUNTIFS($B$2:$B$386,11,$D$2:$D$386,2)</f>
        <v>2</v>
      </c>
      <c r="O163" s="34">
        <f t="shared" ref="O163:O177" si="35">(N163/385)*100</f>
        <v>0.51948051948051943</v>
      </c>
    </row>
    <row r="164" spans="1:15" x14ac:dyDescent="0.3">
      <c r="A164" t="s">
        <v>2032</v>
      </c>
      <c r="B164" s="7">
        <v>7</v>
      </c>
      <c r="C164" s="3">
        <v>19</v>
      </c>
      <c r="D164" s="3">
        <v>4</v>
      </c>
      <c r="E164" s="3">
        <v>3</v>
      </c>
      <c r="F164" s="7">
        <v>1</v>
      </c>
      <c r="G164" s="7">
        <v>3</v>
      </c>
      <c r="H164" s="7">
        <v>1</v>
      </c>
      <c r="I164" s="3">
        <v>1</v>
      </c>
      <c r="J164" s="3">
        <v>1</v>
      </c>
      <c r="K164" s="7">
        <v>5</v>
      </c>
      <c r="M164" t="s">
        <v>150</v>
      </c>
      <c r="N164">
        <f>COUNTIFS($B$2:$B$386,11,$D$2:$D$386,3)</f>
        <v>2</v>
      </c>
      <c r="O164" s="34">
        <f t="shared" si="35"/>
        <v>0.51948051948051943</v>
      </c>
    </row>
    <row r="165" spans="1:15" x14ac:dyDescent="0.3">
      <c r="A165" s="6" t="s">
        <v>722</v>
      </c>
      <c r="B165" s="7">
        <v>15</v>
      </c>
      <c r="C165" s="3">
        <v>21</v>
      </c>
      <c r="D165" s="11">
        <v>4</v>
      </c>
      <c r="E165" s="11">
        <v>3</v>
      </c>
      <c r="F165" s="7">
        <v>3</v>
      </c>
      <c r="G165" s="7">
        <v>3</v>
      </c>
      <c r="H165" s="7">
        <v>17</v>
      </c>
      <c r="I165" s="3">
        <v>17</v>
      </c>
      <c r="J165" s="3">
        <v>17</v>
      </c>
      <c r="K165" s="7">
        <v>4</v>
      </c>
      <c r="M165" t="s">
        <v>25</v>
      </c>
      <c r="N165">
        <f>COUNTIFS($B$2:$B$386,11,$D$2:$D$386,4)</f>
        <v>4</v>
      </c>
      <c r="O165" s="34">
        <f t="shared" si="35"/>
        <v>1.0389610389610389</v>
      </c>
    </row>
    <row r="166" spans="1:15" x14ac:dyDescent="0.3">
      <c r="A166" s="6" t="s">
        <v>763</v>
      </c>
      <c r="B166" s="7">
        <v>15</v>
      </c>
      <c r="C166" s="3">
        <v>21</v>
      </c>
      <c r="D166" s="11">
        <v>11</v>
      </c>
      <c r="E166" s="7">
        <v>3</v>
      </c>
      <c r="F166" s="7">
        <v>3</v>
      </c>
      <c r="G166" s="7">
        <v>3</v>
      </c>
      <c r="H166" s="7">
        <v>17</v>
      </c>
      <c r="I166" s="3">
        <v>17</v>
      </c>
      <c r="J166" s="3">
        <v>17</v>
      </c>
      <c r="K166" s="7">
        <v>4</v>
      </c>
      <c r="M166" t="s">
        <v>32</v>
      </c>
      <c r="N166">
        <f>COUNTIFS($B$2:$B$386,11,$D$2:$D$386,5)</f>
        <v>1</v>
      </c>
      <c r="O166" s="34">
        <f t="shared" si="35"/>
        <v>0.25974025974025972</v>
      </c>
    </row>
    <row r="167" spans="1:15" x14ac:dyDescent="0.3">
      <c r="A167" t="s">
        <v>1537</v>
      </c>
      <c r="B167" s="7">
        <v>12</v>
      </c>
      <c r="C167" s="3">
        <v>20</v>
      </c>
      <c r="D167" s="3">
        <v>12</v>
      </c>
      <c r="E167" s="3">
        <v>3</v>
      </c>
      <c r="F167" s="3">
        <v>1</v>
      </c>
      <c r="G167" s="3">
        <v>3</v>
      </c>
      <c r="H167" s="3">
        <v>3</v>
      </c>
      <c r="I167" s="3">
        <v>3</v>
      </c>
      <c r="J167" s="3">
        <v>3</v>
      </c>
      <c r="K167" s="3">
        <v>5</v>
      </c>
      <c r="M167" t="s">
        <v>38</v>
      </c>
      <c r="N167">
        <f>COUNTIFS($B$2:$B$386,11,$D$2:$D$386,6)</f>
        <v>0</v>
      </c>
      <c r="O167" s="34">
        <f t="shared" si="35"/>
        <v>0</v>
      </c>
    </row>
    <row r="168" spans="1:15" x14ac:dyDescent="0.3">
      <c r="A168" t="s">
        <v>1504</v>
      </c>
      <c r="B168" s="7">
        <v>12</v>
      </c>
      <c r="C168" s="3">
        <v>20</v>
      </c>
      <c r="D168" s="3">
        <v>4</v>
      </c>
      <c r="E168" s="3">
        <v>3</v>
      </c>
      <c r="F168" s="3">
        <v>1</v>
      </c>
      <c r="G168" s="3">
        <v>3</v>
      </c>
      <c r="H168" s="3">
        <v>1</v>
      </c>
      <c r="I168" s="3">
        <v>1</v>
      </c>
      <c r="J168" s="3">
        <v>1</v>
      </c>
      <c r="K168" s="3">
        <v>5</v>
      </c>
      <c r="M168" t="s">
        <v>151</v>
      </c>
      <c r="N168">
        <f>COUNTIFS($B$2:$B$386,11,$D$2:$D$386,7)</f>
        <v>0</v>
      </c>
      <c r="O168" s="34">
        <f t="shared" si="35"/>
        <v>0</v>
      </c>
    </row>
    <row r="169" spans="1:15" x14ac:dyDescent="0.3">
      <c r="A169" t="s">
        <v>2657</v>
      </c>
      <c r="B169" s="7">
        <v>14</v>
      </c>
      <c r="C169" s="3">
        <v>21</v>
      </c>
      <c r="D169" s="3">
        <v>4</v>
      </c>
      <c r="E169" s="3">
        <v>1</v>
      </c>
      <c r="F169" s="3">
        <v>3</v>
      </c>
      <c r="G169" s="3">
        <v>3</v>
      </c>
      <c r="H169" s="3">
        <v>17</v>
      </c>
      <c r="I169" s="3">
        <v>17</v>
      </c>
      <c r="J169" s="3">
        <v>17</v>
      </c>
      <c r="K169" s="3">
        <v>4</v>
      </c>
      <c r="M169" t="s">
        <v>43</v>
      </c>
      <c r="N169">
        <f>COUNTIFS($B$2:$B$386,11,$D$2:$D$386,8)</f>
        <v>0</v>
      </c>
      <c r="O169" s="34">
        <f t="shared" si="35"/>
        <v>0</v>
      </c>
    </row>
    <row r="170" spans="1:15" x14ac:dyDescent="0.3">
      <c r="A170" t="s">
        <v>3003</v>
      </c>
      <c r="B170" s="7">
        <v>7</v>
      </c>
      <c r="C170" s="3">
        <v>19</v>
      </c>
      <c r="D170" s="3">
        <v>3</v>
      </c>
      <c r="E170" s="3">
        <v>6</v>
      </c>
      <c r="F170" s="3">
        <v>2</v>
      </c>
      <c r="G170" s="3">
        <v>3</v>
      </c>
      <c r="H170" s="3">
        <v>11</v>
      </c>
      <c r="I170" s="3">
        <v>11</v>
      </c>
      <c r="J170" s="3">
        <v>19</v>
      </c>
      <c r="K170" s="3">
        <v>3</v>
      </c>
      <c r="M170" t="s">
        <v>46</v>
      </c>
      <c r="N170">
        <f>COUNTIFS($B$2:$B$386,11,$D$2:$D$386,9)</f>
        <v>0</v>
      </c>
      <c r="O170" s="34">
        <f t="shared" si="35"/>
        <v>0</v>
      </c>
    </row>
    <row r="171" spans="1:15" x14ac:dyDescent="0.3">
      <c r="A171" t="s">
        <v>2587</v>
      </c>
      <c r="B171" s="7">
        <v>15</v>
      </c>
      <c r="C171" s="3">
        <v>21</v>
      </c>
      <c r="D171" s="3">
        <v>15</v>
      </c>
      <c r="E171" s="3">
        <v>3</v>
      </c>
      <c r="F171" s="3">
        <v>3</v>
      </c>
      <c r="G171" s="3">
        <v>3</v>
      </c>
      <c r="H171" s="3">
        <v>17</v>
      </c>
      <c r="I171" s="3">
        <v>17</v>
      </c>
      <c r="J171" s="3">
        <v>17</v>
      </c>
      <c r="K171" s="3">
        <v>4</v>
      </c>
      <c r="M171" t="s">
        <v>152</v>
      </c>
      <c r="N171">
        <f>COUNTIFS($B$2:$B$386,11,$D$2:$D$386,10)</f>
        <v>0</v>
      </c>
      <c r="O171" s="34">
        <f t="shared" si="35"/>
        <v>0</v>
      </c>
    </row>
    <row r="172" spans="1:15" x14ac:dyDescent="0.3">
      <c r="A172" s="6" t="s">
        <v>620</v>
      </c>
      <c r="B172" s="7">
        <v>16</v>
      </c>
      <c r="C172" s="3">
        <v>21</v>
      </c>
      <c r="D172" s="11">
        <v>4</v>
      </c>
      <c r="E172" s="11">
        <v>3</v>
      </c>
      <c r="F172" s="7">
        <v>1</v>
      </c>
      <c r="G172" s="7">
        <v>3</v>
      </c>
      <c r="H172" s="7">
        <v>1</v>
      </c>
      <c r="I172" s="3">
        <v>1</v>
      </c>
      <c r="J172" s="3">
        <v>1</v>
      </c>
      <c r="K172" s="7">
        <v>5</v>
      </c>
      <c r="M172" t="s">
        <v>49</v>
      </c>
      <c r="N172">
        <f>COUNTIFS($B$2:$B$386,11,$D$2:$D$386,11)</f>
        <v>0</v>
      </c>
      <c r="O172" s="34">
        <f t="shared" si="35"/>
        <v>0</v>
      </c>
    </row>
    <row r="173" spans="1:15" x14ac:dyDescent="0.3">
      <c r="A173" s="6" t="s">
        <v>588</v>
      </c>
      <c r="B173" s="7">
        <v>16</v>
      </c>
      <c r="C173" s="3">
        <v>21</v>
      </c>
      <c r="D173" s="11">
        <v>15</v>
      </c>
      <c r="E173" s="11">
        <v>3</v>
      </c>
      <c r="F173" s="7">
        <v>3</v>
      </c>
      <c r="G173" s="7">
        <v>3</v>
      </c>
      <c r="H173" s="7">
        <v>17</v>
      </c>
      <c r="I173" s="3">
        <v>17</v>
      </c>
      <c r="J173" s="3">
        <v>17</v>
      </c>
      <c r="K173" s="7">
        <v>4</v>
      </c>
      <c r="M173" t="s">
        <v>51</v>
      </c>
      <c r="N173">
        <f>COUNTIFS($B$2:$B$386,11,$D$2:$D$386,12)</f>
        <v>1</v>
      </c>
      <c r="O173" s="34">
        <f t="shared" si="35"/>
        <v>0.25974025974025972</v>
      </c>
    </row>
    <row r="174" spans="1:15" x14ac:dyDescent="0.3">
      <c r="A174" t="s">
        <v>1434</v>
      </c>
      <c r="B174" s="7">
        <v>13</v>
      </c>
      <c r="C174" s="3">
        <v>21</v>
      </c>
      <c r="D174" s="11">
        <v>8</v>
      </c>
      <c r="E174" s="11">
        <v>3</v>
      </c>
      <c r="F174" s="11">
        <v>2</v>
      </c>
      <c r="G174" s="11">
        <v>2</v>
      </c>
      <c r="H174" s="11">
        <v>16</v>
      </c>
      <c r="I174" s="3">
        <v>16</v>
      </c>
      <c r="J174" s="3">
        <v>16</v>
      </c>
      <c r="K174" s="11">
        <v>3</v>
      </c>
      <c r="M174" t="s">
        <v>153</v>
      </c>
      <c r="N174">
        <f>COUNTIFS($B$2:$B$386,11,$D$2:$D$386,13)</f>
        <v>0</v>
      </c>
      <c r="O174" s="34">
        <f t="shared" si="35"/>
        <v>0</v>
      </c>
    </row>
    <row r="175" spans="1:15" x14ac:dyDescent="0.3">
      <c r="A175" s="6" t="s">
        <v>1127</v>
      </c>
      <c r="B175" s="7">
        <v>13</v>
      </c>
      <c r="C175" s="3">
        <v>21</v>
      </c>
      <c r="D175" s="3">
        <v>15</v>
      </c>
      <c r="E175" s="3">
        <v>8</v>
      </c>
      <c r="F175" s="3">
        <v>1</v>
      </c>
      <c r="G175" s="3">
        <v>3</v>
      </c>
      <c r="H175" s="3">
        <v>1</v>
      </c>
      <c r="I175" s="3">
        <v>1</v>
      </c>
      <c r="J175" s="3">
        <v>1</v>
      </c>
      <c r="K175" s="3">
        <v>5</v>
      </c>
      <c r="M175" t="s">
        <v>154</v>
      </c>
      <c r="N175">
        <f>COUNTIFS($B$2:$B$386,11,$D$2:$D$386,14)</f>
        <v>0</v>
      </c>
      <c r="O175" s="34">
        <f t="shared" si="35"/>
        <v>0</v>
      </c>
    </row>
    <row r="176" spans="1:15" x14ac:dyDescent="0.3">
      <c r="A176" s="6" t="s">
        <v>1216</v>
      </c>
      <c r="B176" s="7">
        <v>13</v>
      </c>
      <c r="C176" s="3">
        <v>21</v>
      </c>
      <c r="D176" s="3">
        <v>8</v>
      </c>
      <c r="E176" s="3">
        <v>3</v>
      </c>
      <c r="F176" s="3">
        <v>3</v>
      </c>
      <c r="G176" s="3">
        <v>3</v>
      </c>
      <c r="H176" s="3">
        <v>17</v>
      </c>
      <c r="I176" s="3">
        <v>17</v>
      </c>
      <c r="J176" s="3">
        <v>17</v>
      </c>
      <c r="K176" s="3">
        <v>4</v>
      </c>
      <c r="M176" t="s">
        <v>52</v>
      </c>
      <c r="N176">
        <f>COUNTIFS($B$2:$B$386,11,$D$2:$D$386,15)</f>
        <v>2</v>
      </c>
      <c r="O176" s="34">
        <f t="shared" si="35"/>
        <v>0.51948051948051943</v>
      </c>
    </row>
    <row r="177" spans="1:15" x14ac:dyDescent="0.3">
      <c r="A177" s="6" t="s">
        <v>971</v>
      </c>
      <c r="B177" s="7">
        <v>14</v>
      </c>
      <c r="C177" s="3">
        <v>21</v>
      </c>
      <c r="D177" s="11">
        <v>1</v>
      </c>
      <c r="E177" s="7">
        <v>8</v>
      </c>
      <c r="F177" s="7">
        <v>2</v>
      </c>
      <c r="G177" s="7">
        <v>3</v>
      </c>
      <c r="H177" s="7">
        <v>16</v>
      </c>
      <c r="I177" s="3">
        <v>16</v>
      </c>
      <c r="J177" s="3">
        <v>16</v>
      </c>
      <c r="K177" s="7">
        <v>4</v>
      </c>
      <c r="N177" s="22">
        <f>SUM(N162:N176)</f>
        <v>17</v>
      </c>
      <c r="O177" s="35">
        <f t="shared" si="35"/>
        <v>4.4155844155844157</v>
      </c>
    </row>
    <row r="178" spans="1:15" x14ac:dyDescent="0.3">
      <c r="A178" t="s">
        <v>3006</v>
      </c>
      <c r="B178" s="7">
        <v>9</v>
      </c>
      <c r="C178" s="3">
        <v>20</v>
      </c>
      <c r="D178" s="3">
        <v>4</v>
      </c>
      <c r="E178" s="3">
        <v>3</v>
      </c>
      <c r="F178" s="3">
        <v>3</v>
      </c>
      <c r="G178" s="3">
        <v>3</v>
      </c>
      <c r="H178" s="3">
        <v>17</v>
      </c>
      <c r="I178" s="3">
        <v>17</v>
      </c>
      <c r="J178" s="3">
        <v>17</v>
      </c>
      <c r="K178" s="3">
        <v>4</v>
      </c>
      <c r="L178">
        <v>2020</v>
      </c>
      <c r="M178" t="s">
        <v>11</v>
      </c>
      <c r="N178">
        <f>COUNTIFS($B$2:$B$386,12,$D$2:$D$386,1)</f>
        <v>5</v>
      </c>
      <c r="O178" s="34">
        <f>(N178/385)*100</f>
        <v>1.2987012987012987</v>
      </c>
    </row>
    <row r="179" spans="1:15" x14ac:dyDescent="0.3">
      <c r="A179" t="s">
        <v>3060</v>
      </c>
      <c r="B179" s="7">
        <v>2</v>
      </c>
      <c r="C179" s="3">
        <v>18</v>
      </c>
      <c r="D179" s="3">
        <v>4</v>
      </c>
      <c r="E179" s="3">
        <v>3</v>
      </c>
      <c r="F179" s="3">
        <v>3</v>
      </c>
      <c r="G179" s="3">
        <v>3</v>
      </c>
      <c r="H179" s="3">
        <v>17</v>
      </c>
      <c r="I179" s="3">
        <v>17</v>
      </c>
      <c r="J179" s="3">
        <v>17</v>
      </c>
      <c r="K179" s="3">
        <v>4</v>
      </c>
      <c r="M179" t="s">
        <v>18</v>
      </c>
      <c r="N179">
        <f>COUNTIFS($B$2:$B$386,12,$D$2:$D$386,2)</f>
        <v>3</v>
      </c>
      <c r="O179" s="34">
        <f t="shared" ref="O179:O193" si="36">(N179/385)*100</f>
        <v>0.77922077922077926</v>
      </c>
    </row>
    <row r="180" spans="1:15" x14ac:dyDescent="0.3">
      <c r="A180" t="s">
        <v>2564</v>
      </c>
      <c r="B180" s="7">
        <v>16</v>
      </c>
      <c r="C180" s="3">
        <v>21</v>
      </c>
      <c r="D180" s="3">
        <v>2</v>
      </c>
      <c r="E180" s="3">
        <v>3</v>
      </c>
      <c r="F180" s="7">
        <v>1</v>
      </c>
      <c r="G180" s="7">
        <v>3</v>
      </c>
      <c r="H180" s="7">
        <v>1</v>
      </c>
      <c r="I180" s="3">
        <v>1</v>
      </c>
      <c r="J180" s="3">
        <v>1</v>
      </c>
      <c r="K180" s="7">
        <v>5</v>
      </c>
      <c r="M180" t="s">
        <v>150</v>
      </c>
      <c r="N180">
        <f>COUNTIFS($B$2:$B$386,12,$D$2:$D$386,3)</f>
        <v>1</v>
      </c>
      <c r="O180" s="34">
        <f t="shared" si="36"/>
        <v>0.25974025974025972</v>
      </c>
    </row>
    <row r="181" spans="1:15" x14ac:dyDescent="0.3">
      <c r="A181" t="s">
        <v>1487</v>
      </c>
      <c r="B181" s="7">
        <v>12</v>
      </c>
      <c r="C181" s="3">
        <v>20</v>
      </c>
      <c r="D181" s="3">
        <v>2</v>
      </c>
      <c r="E181" s="3">
        <v>3</v>
      </c>
      <c r="F181" s="7">
        <v>3</v>
      </c>
      <c r="G181" s="7">
        <v>3</v>
      </c>
      <c r="H181" s="7">
        <v>17</v>
      </c>
      <c r="I181" s="3">
        <v>17</v>
      </c>
      <c r="J181" s="3">
        <v>17</v>
      </c>
      <c r="K181" s="7">
        <v>4</v>
      </c>
      <c r="M181" t="s">
        <v>25</v>
      </c>
      <c r="N181">
        <f>COUNTIFS($B$2:$B$386,12,$D$2:$D$386,4)</f>
        <v>10</v>
      </c>
      <c r="O181" s="34">
        <f t="shared" si="36"/>
        <v>2.5974025974025974</v>
      </c>
    </row>
    <row r="182" spans="1:15" x14ac:dyDescent="0.3">
      <c r="A182" t="s">
        <v>1843</v>
      </c>
      <c r="B182" s="7">
        <v>8</v>
      </c>
      <c r="C182" s="3">
        <v>19</v>
      </c>
      <c r="D182" s="3">
        <v>4</v>
      </c>
      <c r="E182" s="3">
        <v>7</v>
      </c>
      <c r="F182" s="7">
        <v>3</v>
      </c>
      <c r="G182" s="7">
        <v>3</v>
      </c>
      <c r="H182" s="7">
        <v>17</v>
      </c>
      <c r="I182" s="3">
        <v>17</v>
      </c>
      <c r="J182" s="3">
        <v>17</v>
      </c>
      <c r="K182" s="7">
        <v>4</v>
      </c>
      <c r="M182" t="s">
        <v>32</v>
      </c>
      <c r="N182">
        <f>COUNTIFS($B$2:$B$386,12,$D$2:$D$386,5)</f>
        <v>0</v>
      </c>
      <c r="O182" s="34">
        <f t="shared" si="36"/>
        <v>0</v>
      </c>
    </row>
    <row r="183" spans="1:15" x14ac:dyDescent="0.3">
      <c r="A183" t="s">
        <v>1247</v>
      </c>
      <c r="B183" s="7">
        <v>13</v>
      </c>
      <c r="C183" s="3">
        <v>21</v>
      </c>
      <c r="D183" s="11">
        <v>1</v>
      </c>
      <c r="E183" s="7">
        <v>8</v>
      </c>
      <c r="F183" s="3">
        <v>1</v>
      </c>
      <c r="G183" s="3">
        <v>3</v>
      </c>
      <c r="H183" s="3">
        <v>1</v>
      </c>
      <c r="I183" s="3">
        <v>1</v>
      </c>
      <c r="J183" s="3">
        <v>1</v>
      </c>
      <c r="K183" s="3">
        <v>5</v>
      </c>
      <c r="M183" t="s">
        <v>38</v>
      </c>
      <c r="N183">
        <f>COUNTIFS($B$2:$B$386,12,$D$2:$D$386,6)</f>
        <v>2</v>
      </c>
      <c r="O183" s="34">
        <f t="shared" si="36"/>
        <v>0.51948051948051943</v>
      </c>
    </row>
    <row r="184" spans="1:15" x14ac:dyDescent="0.3">
      <c r="A184" t="s">
        <v>2167</v>
      </c>
      <c r="B184" s="7">
        <v>4</v>
      </c>
      <c r="C184" s="3">
        <v>18</v>
      </c>
      <c r="D184" s="3">
        <v>4</v>
      </c>
      <c r="E184" s="3">
        <v>3</v>
      </c>
      <c r="F184" s="7">
        <v>3</v>
      </c>
      <c r="G184" s="7">
        <v>3</v>
      </c>
      <c r="H184" s="7">
        <v>17</v>
      </c>
      <c r="I184" s="3">
        <v>17</v>
      </c>
      <c r="J184" s="3">
        <v>17</v>
      </c>
      <c r="K184" s="7">
        <v>4</v>
      </c>
      <c r="M184" t="s">
        <v>151</v>
      </c>
      <c r="N184">
        <f>COUNTIFS($B$2:$B$386,12,$D$2:$D$386,7)</f>
        <v>0</v>
      </c>
      <c r="O184" s="34">
        <f t="shared" si="36"/>
        <v>0</v>
      </c>
    </row>
    <row r="185" spans="1:15" x14ac:dyDescent="0.3">
      <c r="A185" s="6" t="s">
        <v>819</v>
      </c>
      <c r="B185" s="7">
        <v>15</v>
      </c>
      <c r="C185" s="3">
        <v>21</v>
      </c>
      <c r="D185" s="11">
        <v>2</v>
      </c>
      <c r="E185" s="7">
        <v>6</v>
      </c>
      <c r="F185" s="7">
        <v>3</v>
      </c>
      <c r="G185" s="7">
        <v>3</v>
      </c>
      <c r="H185" s="7">
        <v>17</v>
      </c>
      <c r="I185" s="3">
        <v>17</v>
      </c>
      <c r="J185" s="3">
        <v>17</v>
      </c>
      <c r="K185" s="7">
        <v>4</v>
      </c>
      <c r="M185" t="s">
        <v>43</v>
      </c>
      <c r="N185">
        <f>COUNTIFS($B$2:$B$386,12,$D$2:$D$386,8)</f>
        <v>1</v>
      </c>
      <c r="O185" s="34">
        <f t="shared" si="36"/>
        <v>0.25974025974025972</v>
      </c>
    </row>
    <row r="186" spans="1:15" x14ac:dyDescent="0.3">
      <c r="A186" t="s">
        <v>2427</v>
      </c>
      <c r="B186" s="7">
        <v>2</v>
      </c>
      <c r="C186" s="3">
        <v>18</v>
      </c>
      <c r="D186" s="3">
        <v>1</v>
      </c>
      <c r="E186" s="3">
        <v>9</v>
      </c>
      <c r="F186" s="7">
        <v>1</v>
      </c>
      <c r="G186" s="7">
        <v>3</v>
      </c>
      <c r="H186" s="7">
        <v>3</v>
      </c>
      <c r="I186" s="3">
        <v>3</v>
      </c>
      <c r="J186" s="3">
        <v>3</v>
      </c>
      <c r="K186" s="7">
        <v>5</v>
      </c>
      <c r="M186" t="s">
        <v>46</v>
      </c>
      <c r="N186">
        <f>COUNTIFS($B$2:$B$386,12,$D$2:$D$386,9)</f>
        <v>1</v>
      </c>
      <c r="O186" s="34">
        <f t="shared" si="36"/>
        <v>0.25974025974025972</v>
      </c>
    </row>
    <row r="187" spans="1:15" x14ac:dyDescent="0.3">
      <c r="A187" t="s">
        <v>1673</v>
      </c>
      <c r="B187" s="7">
        <v>10</v>
      </c>
      <c r="C187" s="3">
        <v>20</v>
      </c>
      <c r="D187" s="3">
        <v>9</v>
      </c>
      <c r="E187" s="3">
        <v>3</v>
      </c>
      <c r="F187" s="7">
        <v>3</v>
      </c>
      <c r="G187" s="7">
        <v>3</v>
      </c>
      <c r="H187" s="7">
        <v>17</v>
      </c>
      <c r="I187" s="3">
        <v>17</v>
      </c>
      <c r="J187" s="3">
        <v>17</v>
      </c>
      <c r="K187" s="7">
        <v>4</v>
      </c>
      <c r="M187" t="s">
        <v>152</v>
      </c>
      <c r="N187">
        <f>COUNTIFS($B$2:$B$386,12,$D$2:$D$386,10)</f>
        <v>0</v>
      </c>
      <c r="O187" s="34">
        <f t="shared" si="36"/>
        <v>0</v>
      </c>
    </row>
    <row r="188" spans="1:15" x14ac:dyDescent="0.3">
      <c r="A188" t="s">
        <v>1650</v>
      </c>
      <c r="B188" s="7">
        <v>11</v>
      </c>
      <c r="C188" s="3">
        <v>20</v>
      </c>
      <c r="D188" s="3">
        <v>1</v>
      </c>
      <c r="E188" s="3">
        <v>3</v>
      </c>
      <c r="F188" s="11">
        <v>1</v>
      </c>
      <c r="G188" s="11">
        <v>3</v>
      </c>
      <c r="H188" s="11">
        <v>2</v>
      </c>
      <c r="I188" s="3">
        <v>2</v>
      </c>
      <c r="J188" s="3">
        <v>2</v>
      </c>
      <c r="K188" s="11">
        <v>5</v>
      </c>
      <c r="M188" t="s">
        <v>49</v>
      </c>
      <c r="N188">
        <f>COUNTIFS($B$2:$B$386,12,$D$2:$D$386,11)</f>
        <v>0</v>
      </c>
      <c r="O188" s="34">
        <f t="shared" si="36"/>
        <v>0</v>
      </c>
    </row>
    <row r="189" spans="1:15" x14ac:dyDescent="0.3">
      <c r="A189" t="s">
        <v>1685</v>
      </c>
      <c r="B189" s="7">
        <v>10</v>
      </c>
      <c r="C189" s="3">
        <v>20</v>
      </c>
      <c r="D189" s="11">
        <v>8</v>
      </c>
      <c r="E189" s="11">
        <v>8</v>
      </c>
      <c r="F189" s="11">
        <v>2</v>
      </c>
      <c r="G189" s="11">
        <v>3</v>
      </c>
      <c r="H189" s="11">
        <v>16</v>
      </c>
      <c r="I189" s="3">
        <v>16</v>
      </c>
      <c r="J189" s="3">
        <v>16</v>
      </c>
      <c r="K189" s="11">
        <v>4</v>
      </c>
      <c r="M189" t="s">
        <v>51</v>
      </c>
      <c r="N189">
        <f>COUNTIFS($B$2:$B$386,12,$D$2:$D$386,12)</f>
        <v>2</v>
      </c>
      <c r="O189" s="34">
        <f t="shared" si="36"/>
        <v>0.51948051948051943</v>
      </c>
    </row>
    <row r="190" spans="1:15" x14ac:dyDescent="0.3">
      <c r="A190" t="s">
        <v>1881</v>
      </c>
      <c r="B190" s="7">
        <v>8</v>
      </c>
      <c r="C190" s="3">
        <v>19</v>
      </c>
      <c r="D190" s="11">
        <v>4</v>
      </c>
      <c r="E190" s="11">
        <v>8</v>
      </c>
      <c r="F190" s="11">
        <v>2</v>
      </c>
      <c r="G190" s="11">
        <v>3</v>
      </c>
      <c r="H190" s="11">
        <v>16</v>
      </c>
      <c r="I190" s="3">
        <v>16</v>
      </c>
      <c r="J190" s="3">
        <v>16</v>
      </c>
      <c r="K190" s="11">
        <v>4</v>
      </c>
      <c r="M190" t="s">
        <v>153</v>
      </c>
      <c r="N190">
        <f>COUNTIFS($B$2:$B$386,12,$D$2:$D$386,13)</f>
        <v>0</v>
      </c>
      <c r="O190" s="34">
        <f t="shared" si="36"/>
        <v>0</v>
      </c>
    </row>
    <row r="191" spans="1:15" x14ac:dyDescent="0.3">
      <c r="A191" t="s">
        <v>1403</v>
      </c>
      <c r="B191" s="7">
        <v>13</v>
      </c>
      <c r="C191" s="3">
        <v>21</v>
      </c>
      <c r="D191" s="3">
        <v>11</v>
      </c>
      <c r="E191" s="3">
        <v>1</v>
      </c>
      <c r="F191" s="7">
        <v>3</v>
      </c>
      <c r="G191" s="7">
        <v>3</v>
      </c>
      <c r="H191" s="7">
        <v>17</v>
      </c>
      <c r="I191" s="3">
        <v>17</v>
      </c>
      <c r="J191" s="3">
        <v>17</v>
      </c>
      <c r="K191" s="7">
        <v>4</v>
      </c>
      <c r="M191" t="s">
        <v>154</v>
      </c>
      <c r="N191">
        <f>COUNTIFS($B$2:$B$386,12,$D$2:$D$386,14)</f>
        <v>1</v>
      </c>
      <c r="O191" s="34">
        <f t="shared" si="36"/>
        <v>0.25974025974025972</v>
      </c>
    </row>
    <row r="192" spans="1:15" x14ac:dyDescent="0.3">
      <c r="A192" t="s">
        <v>1407</v>
      </c>
      <c r="B192" s="7">
        <v>12</v>
      </c>
      <c r="C192" s="3">
        <v>20</v>
      </c>
      <c r="D192" s="3">
        <v>4</v>
      </c>
      <c r="E192" s="3">
        <v>3</v>
      </c>
      <c r="F192" s="7">
        <v>3</v>
      </c>
      <c r="G192" s="7">
        <v>3</v>
      </c>
      <c r="H192" s="7">
        <v>17</v>
      </c>
      <c r="I192" s="3">
        <v>17</v>
      </c>
      <c r="J192" s="3">
        <v>17</v>
      </c>
      <c r="K192" s="7">
        <v>4</v>
      </c>
      <c r="M192" t="s">
        <v>52</v>
      </c>
      <c r="N192">
        <f>COUNTIFS($B$2:$B$386,12,$D$2:$D$386,15)</f>
        <v>3</v>
      </c>
      <c r="O192" s="34">
        <f t="shared" si="36"/>
        <v>0.77922077922077926</v>
      </c>
    </row>
    <row r="193" spans="1:15" x14ac:dyDescent="0.3">
      <c r="A193" t="s">
        <v>3068</v>
      </c>
      <c r="B193" s="7">
        <v>5</v>
      </c>
      <c r="C193" s="3">
        <v>19</v>
      </c>
      <c r="D193" s="3">
        <v>1</v>
      </c>
      <c r="E193" s="3">
        <v>8</v>
      </c>
      <c r="F193" s="7">
        <v>2</v>
      </c>
      <c r="G193" s="7">
        <v>3</v>
      </c>
      <c r="H193" s="7">
        <v>16</v>
      </c>
      <c r="I193" s="3">
        <v>16</v>
      </c>
      <c r="J193" s="3">
        <v>16</v>
      </c>
      <c r="K193" s="7">
        <v>4</v>
      </c>
      <c r="N193" s="22">
        <f>SUM(N178:N192)</f>
        <v>29</v>
      </c>
      <c r="O193" s="35">
        <f t="shared" si="36"/>
        <v>7.5324675324675319</v>
      </c>
    </row>
    <row r="194" spans="1:15" x14ac:dyDescent="0.3">
      <c r="A194" s="6" t="s">
        <v>511</v>
      </c>
      <c r="B194" s="7">
        <v>16</v>
      </c>
      <c r="C194" s="3">
        <v>21</v>
      </c>
      <c r="D194" s="11">
        <v>1</v>
      </c>
      <c r="E194" s="7">
        <v>3</v>
      </c>
      <c r="F194" s="7">
        <v>3</v>
      </c>
      <c r="G194" s="7">
        <v>3</v>
      </c>
      <c r="H194" s="7">
        <v>17</v>
      </c>
      <c r="I194" s="3">
        <v>17</v>
      </c>
      <c r="J194" s="3">
        <v>17</v>
      </c>
      <c r="K194" s="7">
        <v>4</v>
      </c>
      <c r="L194">
        <v>2021</v>
      </c>
      <c r="M194" t="s">
        <v>11</v>
      </c>
      <c r="N194">
        <f>COUNTIFS($B$2:$B$386,13,$D$2:$D$386,1)</f>
        <v>4</v>
      </c>
      <c r="O194" s="34">
        <f>(N194/385)*100</f>
        <v>1.0389610389610389</v>
      </c>
    </row>
    <row r="195" spans="1:15" x14ac:dyDescent="0.3">
      <c r="A195" t="s">
        <v>1556</v>
      </c>
      <c r="B195" s="7">
        <v>12</v>
      </c>
      <c r="C195" s="3">
        <v>20</v>
      </c>
      <c r="D195" s="3">
        <v>4</v>
      </c>
      <c r="E195" s="3">
        <v>1</v>
      </c>
      <c r="F195" s="3">
        <v>3</v>
      </c>
      <c r="G195" s="3">
        <v>3</v>
      </c>
      <c r="H195" s="3">
        <v>17</v>
      </c>
      <c r="I195" s="3">
        <v>17</v>
      </c>
      <c r="J195" s="3">
        <v>17</v>
      </c>
      <c r="K195" s="3">
        <v>4</v>
      </c>
      <c r="M195" t="s">
        <v>18</v>
      </c>
      <c r="N195">
        <f>COUNTIFS($B$2:$B$386,13,$D$2:$D$386,2)</f>
        <v>6</v>
      </c>
      <c r="O195" s="34">
        <f t="shared" ref="O195:O209" si="37">(N195/385)*100</f>
        <v>1.5584415584415585</v>
      </c>
    </row>
    <row r="196" spans="1:15" x14ac:dyDescent="0.3">
      <c r="A196" t="s">
        <v>2572</v>
      </c>
      <c r="B196" s="7">
        <v>15</v>
      </c>
      <c r="C196" s="3">
        <v>21</v>
      </c>
      <c r="D196" s="3">
        <v>4</v>
      </c>
      <c r="E196" s="3">
        <v>3</v>
      </c>
      <c r="F196" s="7">
        <v>1</v>
      </c>
      <c r="G196" s="7">
        <v>3</v>
      </c>
      <c r="H196" s="7">
        <v>1</v>
      </c>
      <c r="I196" s="3">
        <v>1</v>
      </c>
      <c r="J196" s="3">
        <v>1</v>
      </c>
      <c r="K196" s="7">
        <v>5</v>
      </c>
      <c r="M196" t="s">
        <v>150</v>
      </c>
      <c r="N196">
        <f>COUNTIFS($B$2:$B$386,13,$D$2:$D$386,3)</f>
        <v>3</v>
      </c>
      <c r="O196" s="34">
        <f t="shared" si="37"/>
        <v>0.77922077922077926</v>
      </c>
    </row>
    <row r="197" spans="1:15" x14ac:dyDescent="0.3">
      <c r="A197" s="6" t="s">
        <v>894</v>
      </c>
      <c r="B197" s="7">
        <v>15</v>
      </c>
      <c r="C197" s="3">
        <v>21</v>
      </c>
      <c r="D197" s="11">
        <v>4</v>
      </c>
      <c r="E197" s="11">
        <v>3</v>
      </c>
      <c r="F197" s="7">
        <v>3</v>
      </c>
      <c r="G197" s="7">
        <v>3</v>
      </c>
      <c r="H197" s="7">
        <v>17</v>
      </c>
      <c r="I197" s="3">
        <v>17</v>
      </c>
      <c r="J197" s="3">
        <v>17</v>
      </c>
      <c r="K197" s="7">
        <v>4</v>
      </c>
      <c r="M197" t="s">
        <v>25</v>
      </c>
      <c r="N197">
        <f>COUNTIFS($B$2:$B$386,13,$D$2:$D$386,4)</f>
        <v>17</v>
      </c>
      <c r="O197" s="34">
        <f t="shared" si="37"/>
        <v>4.4155844155844157</v>
      </c>
    </row>
    <row r="198" spans="1:15" x14ac:dyDescent="0.3">
      <c r="A198" t="s">
        <v>2971</v>
      </c>
      <c r="B198" s="7">
        <v>7</v>
      </c>
      <c r="C198" s="3">
        <v>19</v>
      </c>
      <c r="D198" s="3">
        <v>15</v>
      </c>
      <c r="E198" s="3">
        <v>5</v>
      </c>
      <c r="F198" s="3">
        <v>3</v>
      </c>
      <c r="G198" s="3">
        <v>3</v>
      </c>
      <c r="H198" s="3">
        <v>17</v>
      </c>
      <c r="I198" s="3">
        <v>17</v>
      </c>
      <c r="J198" s="3">
        <v>17</v>
      </c>
      <c r="K198" s="3">
        <v>4</v>
      </c>
      <c r="M198" t="s">
        <v>32</v>
      </c>
      <c r="N198">
        <f>COUNTIFS($B$2:$B$386,13,$D$2:$D$386,5)</f>
        <v>2</v>
      </c>
      <c r="O198" s="34">
        <f t="shared" si="37"/>
        <v>0.51948051948051943</v>
      </c>
    </row>
    <row r="199" spans="1:15" x14ac:dyDescent="0.3">
      <c r="A199" s="6" t="s">
        <v>476</v>
      </c>
      <c r="B199" s="7">
        <v>16</v>
      </c>
      <c r="C199" s="3">
        <v>21</v>
      </c>
      <c r="D199" s="11">
        <v>4</v>
      </c>
      <c r="E199" s="11">
        <v>3</v>
      </c>
      <c r="F199" s="7">
        <v>1</v>
      </c>
      <c r="G199" s="7">
        <v>3</v>
      </c>
      <c r="H199" s="7">
        <v>1</v>
      </c>
      <c r="I199" s="3">
        <v>1</v>
      </c>
      <c r="J199" s="3">
        <v>1</v>
      </c>
      <c r="K199" s="7">
        <v>5</v>
      </c>
      <c r="M199" t="s">
        <v>38</v>
      </c>
      <c r="N199">
        <f>COUNTIFS($B$2:$B$386,13,$D$2:$D$386,6)</f>
        <v>0</v>
      </c>
      <c r="O199" s="34">
        <f t="shared" si="37"/>
        <v>0</v>
      </c>
    </row>
    <row r="200" spans="1:15" x14ac:dyDescent="0.3">
      <c r="A200" s="6" t="s">
        <v>1104</v>
      </c>
      <c r="B200" s="7">
        <v>14</v>
      </c>
      <c r="C200" s="3">
        <v>21</v>
      </c>
      <c r="D200" s="11">
        <v>4</v>
      </c>
      <c r="E200" s="3">
        <v>3</v>
      </c>
      <c r="F200" s="3">
        <v>1</v>
      </c>
      <c r="G200" s="3">
        <v>3</v>
      </c>
      <c r="H200" s="3">
        <v>1</v>
      </c>
      <c r="I200" s="3">
        <v>1</v>
      </c>
      <c r="J200" s="3">
        <v>1</v>
      </c>
      <c r="K200" s="3">
        <v>5</v>
      </c>
      <c r="M200" t="s">
        <v>151</v>
      </c>
      <c r="N200">
        <f>COUNTIFS($B$2:$B$386,13,$D$2:$D$386,7)</f>
        <v>0</v>
      </c>
      <c r="O200" s="34">
        <f t="shared" si="37"/>
        <v>0</v>
      </c>
    </row>
    <row r="201" spans="1:15" x14ac:dyDescent="0.3">
      <c r="A201" t="s">
        <v>1648</v>
      </c>
      <c r="B201" s="7">
        <v>10</v>
      </c>
      <c r="C201" s="3">
        <v>20</v>
      </c>
      <c r="D201" s="3">
        <v>4</v>
      </c>
      <c r="E201" s="3">
        <v>6</v>
      </c>
      <c r="F201" s="3">
        <v>2</v>
      </c>
      <c r="G201" s="3">
        <v>2</v>
      </c>
      <c r="H201" s="3">
        <v>9</v>
      </c>
      <c r="I201" s="3">
        <v>9</v>
      </c>
      <c r="J201" s="3">
        <v>19</v>
      </c>
      <c r="K201" s="3">
        <v>3</v>
      </c>
      <c r="M201" t="s">
        <v>43</v>
      </c>
      <c r="N201">
        <f>COUNTIFS($B$2:$B$386,13,$D$2:$D$386,8)</f>
        <v>5</v>
      </c>
      <c r="O201" s="34">
        <f t="shared" si="37"/>
        <v>1.2987012987012987</v>
      </c>
    </row>
    <row r="202" spans="1:15" x14ac:dyDescent="0.3">
      <c r="A202" t="s">
        <v>2507</v>
      </c>
      <c r="B202" s="7">
        <v>16</v>
      </c>
      <c r="C202" s="3">
        <v>21</v>
      </c>
      <c r="D202" s="3">
        <v>15</v>
      </c>
      <c r="E202" s="3">
        <v>5</v>
      </c>
      <c r="F202" s="3">
        <v>3</v>
      </c>
      <c r="G202" s="3">
        <v>3</v>
      </c>
      <c r="H202" s="3">
        <v>17</v>
      </c>
      <c r="I202" s="3">
        <v>17</v>
      </c>
      <c r="J202" s="3">
        <v>17</v>
      </c>
      <c r="K202" s="3">
        <v>4</v>
      </c>
      <c r="M202" t="s">
        <v>46</v>
      </c>
      <c r="N202">
        <f>COUNTIFS($B$2:$B$386,13,$D$2:$D$386,9)</f>
        <v>2</v>
      </c>
      <c r="O202" s="34">
        <f t="shared" si="37"/>
        <v>0.51948051948051943</v>
      </c>
    </row>
    <row r="203" spans="1:15" x14ac:dyDescent="0.3">
      <c r="A203" t="s">
        <v>1796</v>
      </c>
      <c r="B203" s="7">
        <v>9</v>
      </c>
      <c r="C203" s="3">
        <v>20</v>
      </c>
      <c r="D203" s="3">
        <v>1</v>
      </c>
      <c r="E203" s="3">
        <v>7</v>
      </c>
      <c r="F203" s="7">
        <v>3</v>
      </c>
      <c r="G203" s="7">
        <v>3</v>
      </c>
      <c r="H203" s="7">
        <v>17</v>
      </c>
      <c r="I203" s="3">
        <v>17</v>
      </c>
      <c r="J203" s="3">
        <v>17</v>
      </c>
      <c r="K203" s="7">
        <v>4</v>
      </c>
      <c r="M203" t="s">
        <v>152</v>
      </c>
      <c r="N203">
        <f>COUNTIFS($B$2:$B$386,13,$D$2:$D$386,10)</f>
        <v>0</v>
      </c>
      <c r="O203" s="34">
        <f t="shared" si="37"/>
        <v>0</v>
      </c>
    </row>
    <row r="204" spans="1:15" x14ac:dyDescent="0.3">
      <c r="A204" s="6" t="s">
        <v>279</v>
      </c>
      <c r="B204" s="7">
        <v>16</v>
      </c>
      <c r="C204" s="3">
        <v>21</v>
      </c>
      <c r="D204" s="11">
        <v>4</v>
      </c>
      <c r="E204" s="11">
        <v>8</v>
      </c>
      <c r="F204" s="7">
        <v>2</v>
      </c>
      <c r="G204" s="7">
        <v>2</v>
      </c>
      <c r="H204" s="7">
        <v>16</v>
      </c>
      <c r="I204" s="3">
        <v>16</v>
      </c>
      <c r="J204" s="3">
        <v>16</v>
      </c>
      <c r="K204" s="7">
        <v>4</v>
      </c>
      <c r="M204" t="s">
        <v>49</v>
      </c>
      <c r="N204">
        <f>COUNTIFS($B$2:$B$386,13,$D$2:$D$386,11)</f>
        <v>1</v>
      </c>
      <c r="O204" s="34">
        <f t="shared" si="37"/>
        <v>0.25974025974025972</v>
      </c>
    </row>
    <row r="205" spans="1:15" x14ac:dyDescent="0.3">
      <c r="A205" t="s">
        <v>1883</v>
      </c>
      <c r="B205" s="7">
        <v>9</v>
      </c>
      <c r="C205" s="3">
        <v>20</v>
      </c>
      <c r="D205" s="11">
        <v>15</v>
      </c>
      <c r="E205" s="11">
        <v>8</v>
      </c>
      <c r="F205" s="11">
        <v>2</v>
      </c>
      <c r="G205" s="11">
        <v>2</v>
      </c>
      <c r="H205" s="11">
        <v>16</v>
      </c>
      <c r="I205" s="3">
        <v>16</v>
      </c>
      <c r="J205" s="3">
        <v>16</v>
      </c>
      <c r="K205" s="11">
        <v>3</v>
      </c>
      <c r="M205" t="s">
        <v>51</v>
      </c>
      <c r="N205">
        <f>COUNTIFS($B$2:$B$386,13,$D$2:$D$386,12)</f>
        <v>2</v>
      </c>
      <c r="O205" s="34">
        <f t="shared" si="37"/>
        <v>0.51948051948051943</v>
      </c>
    </row>
    <row r="206" spans="1:15" x14ac:dyDescent="0.3">
      <c r="A206" t="s">
        <v>1943</v>
      </c>
      <c r="B206" s="7">
        <v>8</v>
      </c>
      <c r="C206" s="3">
        <v>19</v>
      </c>
      <c r="D206" s="3">
        <v>4</v>
      </c>
      <c r="E206" s="3">
        <v>3</v>
      </c>
      <c r="F206" s="7">
        <v>3</v>
      </c>
      <c r="G206" s="7">
        <v>3</v>
      </c>
      <c r="H206" s="7">
        <v>17</v>
      </c>
      <c r="I206" s="3">
        <v>17</v>
      </c>
      <c r="J206" s="3">
        <v>17</v>
      </c>
      <c r="K206" s="7">
        <v>4</v>
      </c>
      <c r="M206" t="s">
        <v>153</v>
      </c>
      <c r="N206">
        <f>COUNTIFS($B$2:$B$386,13,$D$2:$D$386,13)</f>
        <v>0</v>
      </c>
      <c r="O206" s="34">
        <f t="shared" si="37"/>
        <v>0</v>
      </c>
    </row>
    <row r="207" spans="1:15" x14ac:dyDescent="0.3">
      <c r="A207" t="s">
        <v>2916</v>
      </c>
      <c r="B207" s="7">
        <v>10</v>
      </c>
      <c r="C207" s="3">
        <v>20</v>
      </c>
      <c r="D207" s="3">
        <v>14</v>
      </c>
      <c r="E207" s="3">
        <v>3</v>
      </c>
      <c r="F207" s="3">
        <v>3</v>
      </c>
      <c r="G207" s="3">
        <v>3</v>
      </c>
      <c r="H207" s="3">
        <v>17</v>
      </c>
      <c r="I207" s="3">
        <v>17</v>
      </c>
      <c r="J207" s="3">
        <v>17</v>
      </c>
      <c r="K207" s="3">
        <v>4</v>
      </c>
      <c r="M207" t="s">
        <v>154</v>
      </c>
      <c r="N207">
        <f>COUNTIFS($B$2:$B$386,13,$D$2:$D$386,14)</f>
        <v>0</v>
      </c>
      <c r="O207" s="34">
        <f t="shared" si="37"/>
        <v>0</v>
      </c>
    </row>
    <row r="208" spans="1:15" x14ac:dyDescent="0.3">
      <c r="A208" t="s">
        <v>2015</v>
      </c>
      <c r="B208" s="7">
        <v>5</v>
      </c>
      <c r="C208" s="3">
        <v>19</v>
      </c>
      <c r="D208" s="3">
        <v>4</v>
      </c>
      <c r="E208" s="3">
        <v>3</v>
      </c>
      <c r="F208" s="7">
        <v>1</v>
      </c>
      <c r="G208" s="7">
        <v>3</v>
      </c>
      <c r="H208" s="7">
        <v>1</v>
      </c>
      <c r="I208" s="3">
        <v>1</v>
      </c>
      <c r="J208" s="3">
        <v>1</v>
      </c>
      <c r="K208" s="7">
        <v>5</v>
      </c>
      <c r="M208" t="s">
        <v>52</v>
      </c>
      <c r="N208">
        <f>COUNTIFS($B$2:$B$386,13,$D$2:$D$386,15)</f>
        <v>6</v>
      </c>
      <c r="O208" s="34">
        <f t="shared" si="37"/>
        <v>1.5584415584415585</v>
      </c>
    </row>
    <row r="209" spans="1:15" x14ac:dyDescent="0.3">
      <c r="A209" t="s">
        <v>2012</v>
      </c>
      <c r="B209" s="7">
        <v>7</v>
      </c>
      <c r="C209" s="3">
        <v>19</v>
      </c>
      <c r="D209" s="3">
        <v>1</v>
      </c>
      <c r="E209" s="3">
        <v>3</v>
      </c>
      <c r="F209" s="7">
        <v>3</v>
      </c>
      <c r="G209" s="7">
        <v>3</v>
      </c>
      <c r="H209" s="7">
        <v>17</v>
      </c>
      <c r="I209" s="3">
        <v>17</v>
      </c>
      <c r="J209" s="3">
        <v>17</v>
      </c>
      <c r="K209" s="7">
        <v>4</v>
      </c>
      <c r="N209" s="22">
        <f>SUM(N194:N208)</f>
        <v>48</v>
      </c>
      <c r="O209" s="35">
        <f t="shared" si="37"/>
        <v>12.467532467532468</v>
      </c>
    </row>
    <row r="210" spans="1:15" x14ac:dyDescent="0.3">
      <c r="A210" s="6" t="s">
        <v>1010</v>
      </c>
      <c r="B210" s="7">
        <v>14</v>
      </c>
      <c r="C210" s="3">
        <v>21</v>
      </c>
      <c r="D210" s="11">
        <v>4</v>
      </c>
      <c r="E210" s="7">
        <v>3</v>
      </c>
      <c r="F210" s="7">
        <v>3</v>
      </c>
      <c r="G210" s="7">
        <v>3</v>
      </c>
      <c r="H210" s="7">
        <v>17</v>
      </c>
      <c r="I210" s="3">
        <v>17</v>
      </c>
      <c r="J210" s="3">
        <v>17</v>
      </c>
      <c r="K210" s="7">
        <v>4</v>
      </c>
      <c r="L210">
        <v>2022</v>
      </c>
      <c r="M210" t="s">
        <v>11</v>
      </c>
      <c r="N210">
        <f>COUNTIFS($B$2:$B$386,14,$D$2:$D$386,1)</f>
        <v>2</v>
      </c>
      <c r="O210" s="34">
        <f>(N210/385)*100</f>
        <v>0.51948051948051943</v>
      </c>
    </row>
    <row r="211" spans="1:15" x14ac:dyDescent="0.3">
      <c r="A211" t="s">
        <v>2630</v>
      </c>
      <c r="B211" s="7">
        <v>14</v>
      </c>
      <c r="C211" s="3">
        <v>21</v>
      </c>
      <c r="D211" s="3">
        <v>3</v>
      </c>
      <c r="E211" s="3">
        <v>3</v>
      </c>
      <c r="F211" s="3">
        <v>3</v>
      </c>
      <c r="G211" s="3">
        <v>3</v>
      </c>
      <c r="H211" s="3">
        <v>17</v>
      </c>
      <c r="I211" s="3">
        <v>17</v>
      </c>
      <c r="J211" s="3">
        <v>17</v>
      </c>
      <c r="K211" s="3">
        <v>4</v>
      </c>
      <c r="M211" t="s">
        <v>18</v>
      </c>
      <c r="N211">
        <f>COUNTIFS($B$2:$B$386,14,$D$2:$D$386,2)</f>
        <v>2</v>
      </c>
      <c r="O211" s="34">
        <f t="shared" ref="O211:O225" si="38">(N211/385)*100</f>
        <v>0.51948051948051943</v>
      </c>
    </row>
    <row r="212" spans="1:15" x14ac:dyDescent="0.3">
      <c r="A212" t="s">
        <v>2057</v>
      </c>
      <c r="B212" s="7">
        <v>6</v>
      </c>
      <c r="C212" s="3">
        <v>19</v>
      </c>
      <c r="D212" s="3">
        <v>4</v>
      </c>
      <c r="E212" s="3">
        <v>1</v>
      </c>
      <c r="F212" s="7">
        <v>1</v>
      </c>
      <c r="G212" s="7">
        <v>3</v>
      </c>
      <c r="H212" s="7">
        <v>1</v>
      </c>
      <c r="I212" s="3">
        <v>1</v>
      </c>
      <c r="J212" s="3">
        <v>1</v>
      </c>
      <c r="K212" s="7">
        <v>5</v>
      </c>
      <c r="M212" t="s">
        <v>150</v>
      </c>
      <c r="N212">
        <f>COUNTIFS($B$2:$B$386,14,$D$2:$D$386,3)</f>
        <v>6</v>
      </c>
      <c r="O212" s="34">
        <f t="shared" si="38"/>
        <v>1.5584415584415585</v>
      </c>
    </row>
    <row r="213" spans="1:15" x14ac:dyDescent="0.3">
      <c r="A213" t="s">
        <v>2261</v>
      </c>
      <c r="B213" s="7">
        <v>5</v>
      </c>
      <c r="C213" s="3">
        <v>19</v>
      </c>
      <c r="D213" s="3">
        <v>4</v>
      </c>
      <c r="E213" s="3">
        <v>3</v>
      </c>
      <c r="F213" s="7">
        <v>3</v>
      </c>
      <c r="G213" s="7">
        <v>3</v>
      </c>
      <c r="H213" s="7">
        <v>17</v>
      </c>
      <c r="I213" s="3">
        <v>17</v>
      </c>
      <c r="J213" s="3">
        <v>17</v>
      </c>
      <c r="K213" s="7">
        <v>4</v>
      </c>
      <c r="M213" t="s">
        <v>25</v>
      </c>
      <c r="N213">
        <f>COUNTIFS($B$2:$B$386,14,$D$2:$D$386,4)</f>
        <v>14</v>
      </c>
      <c r="O213" s="34">
        <f t="shared" si="38"/>
        <v>3.6363636363636362</v>
      </c>
    </row>
    <row r="214" spans="1:15" x14ac:dyDescent="0.3">
      <c r="A214" s="6" t="s">
        <v>469</v>
      </c>
      <c r="B214" s="7">
        <v>16</v>
      </c>
      <c r="C214" s="3">
        <v>21</v>
      </c>
      <c r="D214" s="11">
        <v>5</v>
      </c>
      <c r="E214" s="11">
        <v>3</v>
      </c>
      <c r="F214" s="11">
        <v>1</v>
      </c>
      <c r="G214" s="11">
        <v>3</v>
      </c>
      <c r="H214" s="11">
        <v>16</v>
      </c>
      <c r="I214" s="3">
        <v>16</v>
      </c>
      <c r="J214" s="3">
        <v>16</v>
      </c>
      <c r="K214" s="11">
        <v>5</v>
      </c>
      <c r="M214" t="s">
        <v>32</v>
      </c>
      <c r="N214">
        <f>COUNTIFS($B$2:$B$386,14,$D$2:$D$386,5)</f>
        <v>1</v>
      </c>
      <c r="O214" s="34">
        <f t="shared" si="38"/>
        <v>0.25974025974025972</v>
      </c>
    </row>
    <row r="215" spans="1:15" x14ac:dyDescent="0.3">
      <c r="A215" s="6" t="s">
        <v>554</v>
      </c>
      <c r="B215" s="7">
        <v>16</v>
      </c>
      <c r="C215" s="3">
        <v>21</v>
      </c>
      <c r="D215" s="11">
        <v>6</v>
      </c>
      <c r="E215" s="11">
        <v>3</v>
      </c>
      <c r="F215" s="7">
        <v>3</v>
      </c>
      <c r="G215" s="7">
        <v>3</v>
      </c>
      <c r="H215" s="7">
        <v>17</v>
      </c>
      <c r="I215" s="3">
        <v>17</v>
      </c>
      <c r="J215" s="3">
        <v>17</v>
      </c>
      <c r="K215" s="7">
        <v>4</v>
      </c>
      <c r="M215" t="s">
        <v>38</v>
      </c>
      <c r="N215">
        <f>COUNTIFS($B$2:$B$386,14,$D$2:$D$386,6)</f>
        <v>0</v>
      </c>
      <c r="O215" s="34">
        <f t="shared" si="38"/>
        <v>0</v>
      </c>
    </row>
    <row r="216" spans="1:15" x14ac:dyDescent="0.3">
      <c r="A216" t="s">
        <v>1190</v>
      </c>
      <c r="B216" s="7">
        <v>13</v>
      </c>
      <c r="C216" s="3">
        <v>21</v>
      </c>
      <c r="D216" s="3">
        <v>4</v>
      </c>
      <c r="E216" s="3">
        <v>3</v>
      </c>
      <c r="F216" s="7">
        <v>3</v>
      </c>
      <c r="G216" s="7">
        <v>3</v>
      </c>
      <c r="H216" s="7">
        <v>17</v>
      </c>
      <c r="I216" s="3">
        <v>17</v>
      </c>
      <c r="J216" s="3">
        <v>17</v>
      </c>
      <c r="K216" s="7">
        <v>4</v>
      </c>
      <c r="M216" t="s">
        <v>151</v>
      </c>
      <c r="N216">
        <f>COUNTIFS($B$2:$B$386,14,$D$2:$D$386,7)</f>
        <v>0</v>
      </c>
      <c r="O216" s="34">
        <f t="shared" si="38"/>
        <v>0</v>
      </c>
    </row>
    <row r="217" spans="1:15" x14ac:dyDescent="0.3">
      <c r="A217" t="s">
        <v>3049</v>
      </c>
      <c r="B217" s="7">
        <v>4</v>
      </c>
      <c r="C217" s="3">
        <v>18</v>
      </c>
      <c r="D217" s="3">
        <v>3</v>
      </c>
      <c r="E217" s="3">
        <v>3</v>
      </c>
      <c r="F217" s="3">
        <v>3</v>
      </c>
      <c r="G217" s="3">
        <v>3</v>
      </c>
      <c r="H217" s="3">
        <v>17</v>
      </c>
      <c r="I217" s="3">
        <v>17</v>
      </c>
      <c r="J217" s="3">
        <v>17</v>
      </c>
      <c r="K217" s="3">
        <v>4</v>
      </c>
      <c r="M217" t="s">
        <v>43</v>
      </c>
      <c r="N217">
        <f>COUNTIFS($B$2:$B$386,14,$D$2:$D$386,8)</f>
        <v>4</v>
      </c>
      <c r="O217" s="34">
        <f t="shared" si="38"/>
        <v>1.0389610389610389</v>
      </c>
    </row>
    <row r="218" spans="1:15" x14ac:dyDescent="0.3">
      <c r="A218" t="s">
        <v>1982</v>
      </c>
      <c r="B218" s="7">
        <v>7</v>
      </c>
      <c r="C218" s="3">
        <v>19</v>
      </c>
      <c r="D218" s="11">
        <v>4</v>
      </c>
      <c r="E218" s="11">
        <v>8</v>
      </c>
      <c r="F218" s="11">
        <v>3</v>
      </c>
      <c r="G218" s="11">
        <v>3</v>
      </c>
      <c r="H218" s="11">
        <v>17</v>
      </c>
      <c r="I218" s="3">
        <v>17</v>
      </c>
      <c r="J218" s="3">
        <v>17</v>
      </c>
      <c r="K218" s="11">
        <v>4</v>
      </c>
      <c r="M218" t="s">
        <v>46</v>
      </c>
      <c r="N218">
        <f>COUNTIFS($B$2:$B$386,14,$D$2:$D$386,9)</f>
        <v>0</v>
      </c>
      <c r="O218" s="34">
        <f t="shared" si="38"/>
        <v>0</v>
      </c>
    </row>
    <row r="219" spans="1:15" x14ac:dyDescent="0.3">
      <c r="A219" s="6" t="s">
        <v>932</v>
      </c>
      <c r="B219" s="7">
        <v>15</v>
      </c>
      <c r="C219" s="3">
        <v>21</v>
      </c>
      <c r="D219" s="11">
        <v>1</v>
      </c>
      <c r="E219" s="11">
        <v>7</v>
      </c>
      <c r="F219" s="11">
        <v>1</v>
      </c>
      <c r="G219" s="11">
        <v>3</v>
      </c>
      <c r="H219" s="11">
        <v>1</v>
      </c>
      <c r="I219" s="3">
        <v>1</v>
      </c>
      <c r="J219" s="3">
        <v>1</v>
      </c>
      <c r="K219" s="11">
        <v>5</v>
      </c>
      <c r="M219" t="s">
        <v>152</v>
      </c>
      <c r="N219">
        <f>COUNTIFS($B$2:$B$386,14,$D$2:$D$386,10)</f>
        <v>0</v>
      </c>
      <c r="O219" s="34">
        <f t="shared" si="38"/>
        <v>0</v>
      </c>
    </row>
    <row r="220" spans="1:15" x14ac:dyDescent="0.3">
      <c r="A220" t="s">
        <v>2399</v>
      </c>
      <c r="B220" s="7">
        <v>2</v>
      </c>
      <c r="C220" s="3">
        <v>18</v>
      </c>
      <c r="D220" s="3">
        <v>4</v>
      </c>
      <c r="E220" s="3">
        <v>1</v>
      </c>
      <c r="F220" s="3">
        <v>3</v>
      </c>
      <c r="G220" s="3">
        <v>3</v>
      </c>
      <c r="H220" s="3">
        <v>17</v>
      </c>
      <c r="I220" s="3">
        <v>17</v>
      </c>
      <c r="J220" s="3">
        <v>17</v>
      </c>
      <c r="K220" s="3">
        <v>4</v>
      </c>
      <c r="M220" t="s">
        <v>49</v>
      </c>
      <c r="N220">
        <f>COUNTIFS($B$2:$B$386,14,$D$2:$D$386,11)</f>
        <v>0</v>
      </c>
      <c r="O220" s="34">
        <f t="shared" si="38"/>
        <v>0</v>
      </c>
    </row>
    <row r="221" spans="1:15" x14ac:dyDescent="0.3">
      <c r="A221" t="s">
        <v>1427</v>
      </c>
      <c r="B221" s="7">
        <v>13</v>
      </c>
      <c r="C221" s="3">
        <v>21</v>
      </c>
      <c r="D221" s="11">
        <v>8</v>
      </c>
      <c r="E221" s="11">
        <v>8</v>
      </c>
      <c r="F221" s="11">
        <v>1</v>
      </c>
      <c r="G221" s="11">
        <v>2</v>
      </c>
      <c r="H221" s="11">
        <v>1</v>
      </c>
      <c r="I221" s="3">
        <v>1</v>
      </c>
      <c r="J221" s="3">
        <v>1</v>
      </c>
      <c r="K221" s="11">
        <v>3</v>
      </c>
      <c r="M221" t="s">
        <v>51</v>
      </c>
      <c r="N221">
        <f>COUNTIFS($B$2:$B$386,14,$D$2:$D$386,12)</f>
        <v>0</v>
      </c>
      <c r="O221" s="34">
        <f t="shared" si="38"/>
        <v>0</v>
      </c>
    </row>
    <row r="222" spans="1:15" x14ac:dyDescent="0.3">
      <c r="A222" s="6" t="s">
        <v>648</v>
      </c>
      <c r="B222" s="7">
        <v>16</v>
      </c>
      <c r="C222" s="3">
        <v>21</v>
      </c>
      <c r="D222" s="11">
        <v>4</v>
      </c>
      <c r="E222" s="11">
        <v>3</v>
      </c>
      <c r="F222" s="7">
        <v>3</v>
      </c>
      <c r="G222" s="7">
        <v>3</v>
      </c>
      <c r="H222" s="7">
        <v>17</v>
      </c>
      <c r="I222" s="3">
        <v>17</v>
      </c>
      <c r="J222" s="3">
        <v>17</v>
      </c>
      <c r="K222" s="7">
        <v>4</v>
      </c>
      <c r="M222" t="s">
        <v>153</v>
      </c>
      <c r="N222">
        <f>COUNTIFS($B$2:$B$386,14,$D$2:$D$386,13)</f>
        <v>0</v>
      </c>
      <c r="O222" s="34">
        <f t="shared" si="38"/>
        <v>0</v>
      </c>
    </row>
    <row r="223" spans="1:15" x14ac:dyDescent="0.3">
      <c r="A223" t="s">
        <v>2808</v>
      </c>
      <c r="B223" s="7">
        <v>12</v>
      </c>
      <c r="C223" s="3">
        <v>20</v>
      </c>
      <c r="D223" s="3">
        <v>4</v>
      </c>
      <c r="E223" s="3">
        <v>1</v>
      </c>
      <c r="F223" s="3">
        <v>3</v>
      </c>
      <c r="G223" s="3">
        <v>3</v>
      </c>
      <c r="H223" s="3">
        <v>17</v>
      </c>
      <c r="I223" s="3">
        <v>17</v>
      </c>
      <c r="J223" s="3">
        <v>17</v>
      </c>
      <c r="K223" s="3">
        <v>4</v>
      </c>
      <c r="M223" t="s">
        <v>154</v>
      </c>
      <c r="N223">
        <f>COUNTIFS($B$2:$B$386,14,$D$2:$D$386,14)</f>
        <v>1</v>
      </c>
      <c r="O223" s="34">
        <f t="shared" si="38"/>
        <v>0.25974025974025972</v>
      </c>
    </row>
    <row r="224" spans="1:15" x14ac:dyDescent="0.3">
      <c r="A224" t="s">
        <v>1250</v>
      </c>
      <c r="B224" s="7">
        <v>13</v>
      </c>
      <c r="C224" s="3">
        <v>21</v>
      </c>
      <c r="D224" s="11">
        <v>4</v>
      </c>
      <c r="E224" s="11">
        <v>1</v>
      </c>
      <c r="F224" s="7">
        <v>3</v>
      </c>
      <c r="G224" s="7">
        <v>3</v>
      </c>
      <c r="H224" s="7">
        <v>17</v>
      </c>
      <c r="I224" s="3">
        <v>17</v>
      </c>
      <c r="J224" s="3">
        <v>17</v>
      </c>
      <c r="K224" s="7">
        <v>4</v>
      </c>
      <c r="M224" t="s">
        <v>52</v>
      </c>
      <c r="N224">
        <f>COUNTIFS($B$2:$B$386,14,$D$2:$D$386,15)</f>
        <v>3</v>
      </c>
      <c r="O224" s="34">
        <f t="shared" si="38"/>
        <v>0.77922077922077926</v>
      </c>
    </row>
    <row r="225" spans="1:15" x14ac:dyDescent="0.3">
      <c r="A225" s="6" t="s">
        <v>961</v>
      </c>
      <c r="B225" s="7">
        <v>15</v>
      </c>
      <c r="C225" s="3">
        <v>21</v>
      </c>
      <c r="D225" s="11">
        <v>4</v>
      </c>
      <c r="E225" s="7">
        <v>1</v>
      </c>
      <c r="F225" s="7">
        <v>1</v>
      </c>
      <c r="G225" s="7">
        <v>3</v>
      </c>
      <c r="H225" s="7">
        <v>3</v>
      </c>
      <c r="I225" s="3">
        <v>3</v>
      </c>
      <c r="J225" s="3">
        <v>3</v>
      </c>
      <c r="K225" s="7">
        <v>5</v>
      </c>
      <c r="N225" s="22">
        <f>SUM(N210:N224)</f>
        <v>33</v>
      </c>
      <c r="O225" s="35">
        <f t="shared" si="38"/>
        <v>8.5714285714285712</v>
      </c>
    </row>
    <row r="226" spans="1:15" x14ac:dyDescent="0.3">
      <c r="A226" s="6" t="s">
        <v>188</v>
      </c>
      <c r="B226" s="7">
        <v>17</v>
      </c>
      <c r="C226" s="3">
        <v>21</v>
      </c>
      <c r="D226" s="11">
        <v>3</v>
      </c>
      <c r="E226" s="11">
        <v>1</v>
      </c>
      <c r="F226" s="7">
        <v>3</v>
      </c>
      <c r="G226" s="7">
        <v>3</v>
      </c>
      <c r="H226" s="7">
        <v>17</v>
      </c>
      <c r="I226" s="3">
        <v>17</v>
      </c>
      <c r="J226" s="3">
        <v>17</v>
      </c>
      <c r="K226" s="7">
        <v>4</v>
      </c>
      <c r="L226">
        <v>2023</v>
      </c>
      <c r="M226" t="s">
        <v>11</v>
      </c>
      <c r="N226">
        <f>COUNTIFS($B$2:$B$386,15,$D$2:$D$386,1)</f>
        <v>7</v>
      </c>
      <c r="O226" s="34">
        <f>(N226/385)*100</f>
        <v>1.8181818181818181</v>
      </c>
    </row>
    <row r="227" spans="1:15" x14ac:dyDescent="0.3">
      <c r="A227" t="s">
        <v>2881</v>
      </c>
      <c r="B227" s="7">
        <v>11</v>
      </c>
      <c r="C227" s="3">
        <v>20</v>
      </c>
      <c r="D227" s="3">
        <v>3</v>
      </c>
      <c r="E227" s="3">
        <v>3</v>
      </c>
      <c r="F227" s="3">
        <v>3</v>
      </c>
      <c r="G227" s="3">
        <v>3</v>
      </c>
      <c r="H227" s="3">
        <v>17</v>
      </c>
      <c r="I227" s="3">
        <v>17</v>
      </c>
      <c r="J227" s="3">
        <v>17</v>
      </c>
      <c r="K227" s="3">
        <v>4</v>
      </c>
      <c r="M227" t="s">
        <v>18</v>
      </c>
      <c r="N227">
        <f>COUNTIFS($B$2:$B$386,15,$D$2:$D$386,2)</f>
        <v>3</v>
      </c>
      <c r="O227" s="34">
        <f t="shared" ref="O227:O241" si="39">(N227/385)*100</f>
        <v>0.77922077922077926</v>
      </c>
    </row>
    <row r="228" spans="1:15" x14ac:dyDescent="0.3">
      <c r="A228" s="6" t="s">
        <v>1028</v>
      </c>
      <c r="B228" s="7">
        <v>14</v>
      </c>
      <c r="C228" s="3">
        <v>21</v>
      </c>
      <c r="D228" s="11">
        <v>4</v>
      </c>
      <c r="E228" s="11">
        <v>3</v>
      </c>
      <c r="F228" s="7">
        <v>3</v>
      </c>
      <c r="G228" s="7">
        <v>3</v>
      </c>
      <c r="H228" s="7">
        <v>17</v>
      </c>
      <c r="I228" s="3">
        <v>17</v>
      </c>
      <c r="J228" s="3">
        <v>17</v>
      </c>
      <c r="K228" s="7">
        <v>4</v>
      </c>
      <c r="M228" t="s">
        <v>150</v>
      </c>
      <c r="N228">
        <f>COUNTIFS($B$2:$B$386,15,$D$2:$D$386,3)</f>
        <v>4</v>
      </c>
      <c r="O228" s="34">
        <f t="shared" si="39"/>
        <v>1.0389610389610389</v>
      </c>
    </row>
    <row r="229" spans="1:15" x14ac:dyDescent="0.3">
      <c r="A229" s="6" t="s">
        <v>240</v>
      </c>
      <c r="B229" s="7">
        <v>17</v>
      </c>
      <c r="C229" s="3">
        <v>21</v>
      </c>
      <c r="D229" s="11">
        <v>15</v>
      </c>
      <c r="E229" s="11">
        <v>7</v>
      </c>
      <c r="F229" s="7">
        <v>3</v>
      </c>
      <c r="G229" s="7">
        <v>3</v>
      </c>
      <c r="H229" s="7">
        <v>17</v>
      </c>
      <c r="I229" s="3">
        <v>17</v>
      </c>
      <c r="J229" s="3">
        <v>17</v>
      </c>
      <c r="K229" s="7">
        <v>4</v>
      </c>
      <c r="M229" t="s">
        <v>25</v>
      </c>
      <c r="N229">
        <f>COUNTIFS($B$2:$B$386,15,$D$2:$D$386,4)</f>
        <v>14</v>
      </c>
      <c r="O229" s="34">
        <f t="shared" si="39"/>
        <v>3.6363636363636362</v>
      </c>
    </row>
    <row r="230" spans="1:15" x14ac:dyDescent="0.3">
      <c r="A230" t="s">
        <v>3065</v>
      </c>
      <c r="B230" s="7">
        <v>2</v>
      </c>
      <c r="C230" s="3">
        <v>18</v>
      </c>
      <c r="D230" s="3">
        <v>3</v>
      </c>
      <c r="E230" s="3">
        <v>3</v>
      </c>
      <c r="F230" s="7">
        <v>3</v>
      </c>
      <c r="G230" s="7">
        <v>3</v>
      </c>
      <c r="H230" s="7">
        <v>17</v>
      </c>
      <c r="I230" s="3">
        <v>17</v>
      </c>
      <c r="J230" s="3">
        <v>17</v>
      </c>
      <c r="K230" s="7">
        <v>4</v>
      </c>
      <c r="M230" t="s">
        <v>32</v>
      </c>
      <c r="N230">
        <f>COUNTIFS($B$2:$B$386,15,$D$2:$D$386,5)</f>
        <v>0</v>
      </c>
      <c r="O230" s="34">
        <f t="shared" si="39"/>
        <v>0</v>
      </c>
    </row>
    <row r="231" spans="1:15" x14ac:dyDescent="0.3">
      <c r="A231" s="6" t="s">
        <v>686</v>
      </c>
      <c r="B231" s="7">
        <v>16</v>
      </c>
      <c r="C231" s="3">
        <v>21</v>
      </c>
      <c r="D231" s="3">
        <v>4</v>
      </c>
      <c r="E231" s="3">
        <v>3</v>
      </c>
      <c r="F231" s="7">
        <v>3</v>
      </c>
      <c r="G231" s="7">
        <v>3</v>
      </c>
      <c r="H231" s="7">
        <v>17</v>
      </c>
      <c r="I231" s="3">
        <v>17</v>
      </c>
      <c r="J231" s="3">
        <v>17</v>
      </c>
      <c r="K231" s="7">
        <v>4</v>
      </c>
      <c r="M231" t="s">
        <v>38</v>
      </c>
      <c r="N231">
        <f>COUNTIFS($B$2:$B$386,15,$D$2:$D$386,6)</f>
        <v>0</v>
      </c>
      <c r="O231" s="34">
        <f t="shared" si="39"/>
        <v>0</v>
      </c>
    </row>
    <row r="232" spans="1:15" x14ac:dyDescent="0.3">
      <c r="A232" t="s">
        <v>1500</v>
      </c>
      <c r="B232" s="7">
        <v>12</v>
      </c>
      <c r="C232" s="3">
        <v>20</v>
      </c>
      <c r="D232" s="3">
        <v>15</v>
      </c>
      <c r="E232" s="3">
        <v>1</v>
      </c>
      <c r="F232" s="3">
        <v>2</v>
      </c>
      <c r="G232" s="3">
        <v>2</v>
      </c>
      <c r="H232" s="3">
        <v>16</v>
      </c>
      <c r="I232" s="3">
        <v>16</v>
      </c>
      <c r="J232" s="3">
        <v>16</v>
      </c>
      <c r="K232" s="3">
        <v>4</v>
      </c>
      <c r="M232" t="s">
        <v>151</v>
      </c>
      <c r="N232">
        <f>COUNTIFS($B$2:$B$386,15,$D$2:$D$386,7)</f>
        <v>0</v>
      </c>
      <c r="O232" s="34">
        <f t="shared" si="39"/>
        <v>0</v>
      </c>
    </row>
    <row r="233" spans="1:15" x14ac:dyDescent="0.3">
      <c r="A233" t="s">
        <v>1318</v>
      </c>
      <c r="B233" s="7">
        <v>13</v>
      </c>
      <c r="C233" s="3">
        <v>21</v>
      </c>
      <c r="D233" s="3">
        <v>4</v>
      </c>
      <c r="E233" s="3">
        <v>6</v>
      </c>
      <c r="F233" s="7">
        <v>3</v>
      </c>
      <c r="G233" s="7">
        <v>3</v>
      </c>
      <c r="H233" s="7">
        <v>17</v>
      </c>
      <c r="I233" s="3">
        <v>17</v>
      </c>
      <c r="J233" s="3">
        <v>17</v>
      </c>
      <c r="K233" s="7">
        <v>4</v>
      </c>
      <c r="M233" t="s">
        <v>43</v>
      </c>
      <c r="N233">
        <f>COUNTIFS($B$2:$B$386,15,$D$2:$D$386,8)</f>
        <v>1</v>
      </c>
      <c r="O233" s="34">
        <f t="shared" si="39"/>
        <v>0.25974025974025972</v>
      </c>
    </row>
    <row r="234" spans="1:15" x14ac:dyDescent="0.3">
      <c r="A234" t="s">
        <v>1177</v>
      </c>
      <c r="B234" s="7">
        <v>13</v>
      </c>
      <c r="C234" s="3">
        <v>21</v>
      </c>
      <c r="D234" s="3">
        <v>5</v>
      </c>
      <c r="E234" s="3">
        <v>3</v>
      </c>
      <c r="F234" s="3">
        <v>1</v>
      </c>
      <c r="G234" s="3">
        <v>3</v>
      </c>
      <c r="H234" s="3">
        <v>1</v>
      </c>
      <c r="I234" s="3">
        <v>1</v>
      </c>
      <c r="J234" s="3">
        <v>1</v>
      </c>
      <c r="K234" s="3">
        <v>5</v>
      </c>
      <c r="M234" t="s">
        <v>46</v>
      </c>
      <c r="N234">
        <f>COUNTIFS($B$2:$B$386,15,$D$2:$D$386,9)</f>
        <v>2</v>
      </c>
      <c r="O234" s="34">
        <f t="shared" si="39"/>
        <v>0.51948051948051943</v>
      </c>
    </row>
    <row r="235" spans="1:15" x14ac:dyDescent="0.3">
      <c r="A235" t="s">
        <v>2709</v>
      </c>
      <c r="B235" s="7">
        <v>13</v>
      </c>
      <c r="C235" s="3">
        <v>21</v>
      </c>
      <c r="D235" s="3">
        <v>2</v>
      </c>
      <c r="E235" s="3">
        <v>3</v>
      </c>
      <c r="F235" s="3">
        <v>3</v>
      </c>
      <c r="G235" s="3">
        <v>3</v>
      </c>
      <c r="H235" s="3">
        <v>17</v>
      </c>
      <c r="I235" s="3">
        <v>17</v>
      </c>
      <c r="J235" s="3">
        <v>17</v>
      </c>
      <c r="K235" s="3">
        <v>4</v>
      </c>
      <c r="M235" t="s">
        <v>152</v>
      </c>
      <c r="N235">
        <f>COUNTIFS($B$2:$B$386,15,$D$2:$D$386,10)</f>
        <v>0</v>
      </c>
      <c r="O235" s="34">
        <f t="shared" si="39"/>
        <v>0</v>
      </c>
    </row>
    <row r="236" spans="1:15" x14ac:dyDescent="0.3">
      <c r="A236" s="6" t="s">
        <v>813</v>
      </c>
      <c r="B236" s="7">
        <v>15</v>
      </c>
      <c r="C236" s="3">
        <v>21</v>
      </c>
      <c r="D236" s="11">
        <v>4</v>
      </c>
      <c r="E236" s="11">
        <v>3</v>
      </c>
      <c r="F236" s="7">
        <v>3</v>
      </c>
      <c r="G236" s="7">
        <v>3</v>
      </c>
      <c r="H236" s="7">
        <v>17</v>
      </c>
      <c r="I236" s="3">
        <v>17</v>
      </c>
      <c r="J236" s="3">
        <v>17</v>
      </c>
      <c r="K236" s="7">
        <v>4</v>
      </c>
      <c r="M236" t="s">
        <v>49</v>
      </c>
      <c r="N236">
        <f>COUNTIFS($B$2:$B$386,15,$D$2:$D$386,11)</f>
        <v>2</v>
      </c>
      <c r="O236" s="34">
        <f t="shared" si="39"/>
        <v>0.51948051948051943</v>
      </c>
    </row>
    <row r="237" spans="1:15" x14ac:dyDescent="0.3">
      <c r="A237" t="s">
        <v>2694</v>
      </c>
      <c r="B237" s="7">
        <v>13</v>
      </c>
      <c r="C237" s="3">
        <v>21</v>
      </c>
      <c r="D237" s="3">
        <v>4</v>
      </c>
      <c r="E237" s="3">
        <v>3</v>
      </c>
      <c r="F237" s="7">
        <v>3</v>
      </c>
      <c r="G237" s="7">
        <v>3</v>
      </c>
      <c r="H237" s="7">
        <v>17</v>
      </c>
      <c r="I237" s="3">
        <v>17</v>
      </c>
      <c r="J237" s="3">
        <v>17</v>
      </c>
      <c r="K237" s="7">
        <v>4</v>
      </c>
      <c r="M237" t="s">
        <v>51</v>
      </c>
      <c r="N237">
        <f>COUNTIFS($B$2:$B$386,15,$D$2:$D$386,12)</f>
        <v>1</v>
      </c>
      <c r="O237" s="34">
        <f t="shared" si="39"/>
        <v>0.25974025974025972</v>
      </c>
    </row>
    <row r="238" spans="1:15" x14ac:dyDescent="0.3">
      <c r="A238" t="s">
        <v>1791</v>
      </c>
      <c r="B238" s="7">
        <v>9</v>
      </c>
      <c r="C238" s="3">
        <v>20</v>
      </c>
      <c r="D238" s="3">
        <v>1</v>
      </c>
      <c r="E238" s="3">
        <v>3</v>
      </c>
      <c r="F238" s="7">
        <v>3</v>
      </c>
      <c r="G238" s="7">
        <v>3</v>
      </c>
      <c r="H238" s="7">
        <v>17</v>
      </c>
      <c r="I238" s="3">
        <v>17</v>
      </c>
      <c r="J238" s="3">
        <v>17</v>
      </c>
      <c r="K238" s="7">
        <v>4</v>
      </c>
      <c r="M238" t="s">
        <v>153</v>
      </c>
      <c r="N238">
        <f>COUNTIFS($B$2:$B$386,15,$D$2:$D$386,13)</f>
        <v>0</v>
      </c>
      <c r="O238" s="34">
        <f t="shared" si="39"/>
        <v>0</v>
      </c>
    </row>
    <row r="239" spans="1:15" x14ac:dyDescent="0.3">
      <c r="A239" t="s">
        <v>1871</v>
      </c>
      <c r="B239" s="7">
        <v>8</v>
      </c>
      <c r="C239" s="3">
        <v>19</v>
      </c>
      <c r="D239" s="3">
        <v>4</v>
      </c>
      <c r="E239" s="3">
        <v>3</v>
      </c>
      <c r="F239" s="7">
        <v>3</v>
      </c>
      <c r="G239" s="7">
        <v>3</v>
      </c>
      <c r="H239" s="7">
        <v>17</v>
      </c>
      <c r="I239" s="3">
        <v>17</v>
      </c>
      <c r="J239" s="3">
        <v>17</v>
      </c>
      <c r="K239" s="7">
        <v>4</v>
      </c>
      <c r="M239" t="s">
        <v>154</v>
      </c>
      <c r="N239">
        <f>COUNTIFS($B$2:$B$386,15,$D$2:$D$386,14)</f>
        <v>1</v>
      </c>
      <c r="O239" s="34">
        <f t="shared" si="39"/>
        <v>0.25974025974025972</v>
      </c>
    </row>
    <row r="240" spans="1:15" x14ac:dyDescent="0.3">
      <c r="A240" t="s">
        <v>2433</v>
      </c>
      <c r="B240" s="7">
        <v>2</v>
      </c>
      <c r="C240" s="3">
        <v>18</v>
      </c>
      <c r="D240" s="3">
        <v>3</v>
      </c>
      <c r="E240" s="3">
        <v>3</v>
      </c>
      <c r="F240" s="7">
        <v>1</v>
      </c>
      <c r="G240" s="7">
        <v>3</v>
      </c>
      <c r="H240" s="7">
        <v>1</v>
      </c>
      <c r="I240" s="3">
        <v>1</v>
      </c>
      <c r="J240" s="3">
        <v>1</v>
      </c>
      <c r="K240" s="7">
        <v>5</v>
      </c>
      <c r="M240" t="s">
        <v>52</v>
      </c>
      <c r="N240">
        <f>COUNTIFS($B$2:$B$386,15,$D$2:$D$386,15)</f>
        <v>5</v>
      </c>
      <c r="O240" s="34">
        <f t="shared" si="39"/>
        <v>1.2987012987012987</v>
      </c>
    </row>
    <row r="241" spans="1:15" x14ac:dyDescent="0.3">
      <c r="A241" t="s">
        <v>2566</v>
      </c>
      <c r="B241" s="7">
        <v>15</v>
      </c>
      <c r="C241" s="3">
        <v>21</v>
      </c>
      <c r="D241" s="3">
        <v>3</v>
      </c>
      <c r="E241" s="3">
        <v>3</v>
      </c>
      <c r="F241" s="3">
        <v>3</v>
      </c>
      <c r="G241" s="3">
        <v>3</v>
      </c>
      <c r="H241" s="3">
        <v>17</v>
      </c>
      <c r="I241" s="3">
        <v>17</v>
      </c>
      <c r="J241" s="3">
        <v>17</v>
      </c>
      <c r="K241" s="3">
        <v>4</v>
      </c>
      <c r="N241" s="22">
        <f>SUM(N226:N240)</f>
        <v>40</v>
      </c>
      <c r="O241" s="35">
        <f t="shared" si="39"/>
        <v>10.38961038961039</v>
      </c>
    </row>
    <row r="242" spans="1:15" x14ac:dyDescent="0.3">
      <c r="A242" s="6" t="s">
        <v>232</v>
      </c>
      <c r="B242" s="7">
        <v>17</v>
      </c>
      <c r="C242" s="3">
        <v>21</v>
      </c>
      <c r="D242" s="11">
        <v>4</v>
      </c>
      <c r="E242" s="11">
        <v>3</v>
      </c>
      <c r="F242" s="7">
        <v>3</v>
      </c>
      <c r="G242" s="7">
        <v>3</v>
      </c>
      <c r="H242" s="7">
        <v>17</v>
      </c>
      <c r="I242" s="3">
        <v>17</v>
      </c>
      <c r="J242" s="3">
        <v>17</v>
      </c>
      <c r="K242" s="7">
        <v>4</v>
      </c>
      <c r="L242">
        <v>2024</v>
      </c>
      <c r="M242" t="s">
        <v>11</v>
      </c>
      <c r="N242">
        <f>COUNTIFS($B$2:$B$386,16,$D$2:$D$386,1)</f>
        <v>4</v>
      </c>
      <c r="O242" s="34">
        <f>(N242/385)*100</f>
        <v>1.0389610389610389</v>
      </c>
    </row>
    <row r="243" spans="1:15" x14ac:dyDescent="0.3">
      <c r="A243" s="6" t="s">
        <v>290</v>
      </c>
      <c r="B243" s="7">
        <v>16</v>
      </c>
      <c r="C243" s="3">
        <v>21</v>
      </c>
      <c r="D243" s="11">
        <v>4</v>
      </c>
      <c r="E243" s="11">
        <v>3</v>
      </c>
      <c r="F243" s="11">
        <v>1</v>
      </c>
      <c r="G243" s="11">
        <v>3</v>
      </c>
      <c r="H243" s="11">
        <v>1</v>
      </c>
      <c r="I243" s="3">
        <v>1</v>
      </c>
      <c r="J243" s="3">
        <v>1</v>
      </c>
      <c r="K243" s="11">
        <v>5</v>
      </c>
      <c r="M243" t="s">
        <v>18</v>
      </c>
      <c r="N243">
        <f>COUNTIFS($B$2:$B$386,16,$D$2:$D$386,2)</f>
        <v>3</v>
      </c>
      <c r="O243" s="34">
        <f t="shared" ref="O243:O257" si="40">(N243/385)*100</f>
        <v>0.77922077922077926</v>
      </c>
    </row>
    <row r="244" spans="1:15" x14ac:dyDescent="0.3">
      <c r="A244" s="6" t="s">
        <v>1017</v>
      </c>
      <c r="B244" s="7">
        <v>14</v>
      </c>
      <c r="C244" s="3">
        <v>21</v>
      </c>
      <c r="D244" s="11">
        <v>4</v>
      </c>
      <c r="E244" s="11">
        <v>3</v>
      </c>
      <c r="F244" s="7">
        <v>3</v>
      </c>
      <c r="G244" s="7">
        <v>3</v>
      </c>
      <c r="H244" s="7">
        <v>17</v>
      </c>
      <c r="I244" s="3">
        <v>17</v>
      </c>
      <c r="J244" s="3">
        <v>17</v>
      </c>
      <c r="K244" s="7">
        <v>4</v>
      </c>
      <c r="M244" t="s">
        <v>150</v>
      </c>
      <c r="N244">
        <f>COUNTIFS($B$2:$B$386,16,$D$2:$D$386,3)</f>
        <v>1</v>
      </c>
      <c r="O244" s="34">
        <f t="shared" si="40"/>
        <v>0.25974025974025972</v>
      </c>
    </row>
    <row r="245" spans="1:15" x14ac:dyDescent="0.3">
      <c r="A245" t="s">
        <v>2198</v>
      </c>
      <c r="B245" s="7">
        <v>4</v>
      </c>
      <c r="C245" s="3">
        <v>18</v>
      </c>
      <c r="D245" s="3">
        <v>3</v>
      </c>
      <c r="E245" s="3">
        <v>3</v>
      </c>
      <c r="F245" s="3">
        <v>3</v>
      </c>
      <c r="G245" s="3">
        <v>2</v>
      </c>
      <c r="H245" s="3">
        <v>17</v>
      </c>
      <c r="I245" s="3">
        <v>17</v>
      </c>
      <c r="J245" s="3">
        <v>17</v>
      </c>
      <c r="K245" s="3">
        <v>4</v>
      </c>
      <c r="M245" t="s">
        <v>25</v>
      </c>
      <c r="N245">
        <f>COUNTIFS($B$2:$B$386,16,$D$2:$D$386,4)</f>
        <v>40</v>
      </c>
      <c r="O245" s="34">
        <f t="shared" si="40"/>
        <v>10.38961038961039</v>
      </c>
    </row>
    <row r="246" spans="1:15" x14ac:dyDescent="0.3">
      <c r="A246" t="s">
        <v>2424</v>
      </c>
      <c r="B246" s="7">
        <v>2</v>
      </c>
      <c r="C246" s="3">
        <v>18</v>
      </c>
      <c r="D246" s="3">
        <v>1</v>
      </c>
      <c r="E246" s="3">
        <v>3</v>
      </c>
      <c r="F246" s="7">
        <v>1</v>
      </c>
      <c r="G246" s="7">
        <v>3</v>
      </c>
      <c r="H246" s="7">
        <v>1</v>
      </c>
      <c r="I246" s="3">
        <v>1</v>
      </c>
      <c r="J246" s="3">
        <v>1</v>
      </c>
      <c r="K246" s="7">
        <v>5</v>
      </c>
      <c r="M246" t="s">
        <v>32</v>
      </c>
      <c r="N246">
        <f>COUNTIFS($B$2:$B$386,16,$D$2:$D$386,5)</f>
        <v>1</v>
      </c>
      <c r="O246" s="34">
        <f t="shared" si="40"/>
        <v>0.25974025974025972</v>
      </c>
    </row>
    <row r="247" spans="1:15" x14ac:dyDescent="0.3">
      <c r="A247" t="s">
        <v>2144</v>
      </c>
      <c r="B247" s="7">
        <v>5</v>
      </c>
      <c r="C247" s="3">
        <v>19</v>
      </c>
      <c r="D247" s="3">
        <v>3</v>
      </c>
      <c r="E247" s="3">
        <v>3</v>
      </c>
      <c r="F247" s="7">
        <v>1</v>
      </c>
      <c r="G247" s="7">
        <v>3</v>
      </c>
      <c r="H247" s="7">
        <v>1</v>
      </c>
      <c r="I247" s="3">
        <v>1</v>
      </c>
      <c r="J247" s="3">
        <v>1</v>
      </c>
      <c r="K247" s="7">
        <v>5</v>
      </c>
      <c r="M247" t="s">
        <v>38</v>
      </c>
      <c r="N247">
        <f>COUNTIFS($B$2:$B$386,16,$D$2:$D$386,6)</f>
        <v>1</v>
      </c>
      <c r="O247" s="34">
        <f t="shared" si="40"/>
        <v>0.25974025974025972</v>
      </c>
    </row>
    <row r="248" spans="1:15" x14ac:dyDescent="0.3">
      <c r="A248" t="s">
        <v>1661</v>
      </c>
      <c r="B248" s="7">
        <v>10</v>
      </c>
      <c r="C248" s="3">
        <v>20</v>
      </c>
      <c r="D248" s="3">
        <v>4</v>
      </c>
      <c r="E248" s="3">
        <v>3</v>
      </c>
      <c r="F248" s="3">
        <v>3</v>
      </c>
      <c r="G248" s="3">
        <v>3</v>
      </c>
      <c r="H248" s="3">
        <v>17</v>
      </c>
      <c r="I248" s="3">
        <v>17</v>
      </c>
      <c r="J248" s="3">
        <v>17</v>
      </c>
      <c r="K248" s="3">
        <v>4</v>
      </c>
      <c r="M248" t="s">
        <v>151</v>
      </c>
      <c r="N248">
        <f>COUNTIFS($B$2:$B$386,16,$D$2:$D$386,7)</f>
        <v>0</v>
      </c>
      <c r="O248" s="34">
        <f t="shared" si="40"/>
        <v>0</v>
      </c>
    </row>
    <row r="249" spans="1:15" x14ac:dyDescent="0.3">
      <c r="A249" t="s">
        <v>2160</v>
      </c>
      <c r="B249" s="7">
        <v>5</v>
      </c>
      <c r="C249" s="3">
        <v>19</v>
      </c>
      <c r="D249" s="3">
        <v>2</v>
      </c>
      <c r="E249" s="3">
        <v>3</v>
      </c>
      <c r="F249" s="7">
        <v>3</v>
      </c>
      <c r="G249" s="7">
        <v>3</v>
      </c>
      <c r="H249" s="7">
        <v>17</v>
      </c>
      <c r="I249" s="3">
        <v>17</v>
      </c>
      <c r="J249" s="3">
        <v>17</v>
      </c>
      <c r="K249" s="7">
        <v>4</v>
      </c>
      <c r="M249" t="s">
        <v>43</v>
      </c>
      <c r="N249">
        <f>COUNTIFS($B$2:$B$386,16,$D$2:$D$386,8)</f>
        <v>3</v>
      </c>
      <c r="O249" s="34">
        <f t="shared" si="40"/>
        <v>0.77922077922077926</v>
      </c>
    </row>
    <row r="250" spans="1:15" x14ac:dyDescent="0.3">
      <c r="A250" t="s">
        <v>1560</v>
      </c>
      <c r="B250" s="7">
        <v>12</v>
      </c>
      <c r="C250" s="3">
        <v>20</v>
      </c>
      <c r="D250" s="3">
        <v>2</v>
      </c>
      <c r="E250" s="3">
        <v>3</v>
      </c>
      <c r="F250" s="3">
        <v>3</v>
      </c>
      <c r="G250" s="3">
        <v>3</v>
      </c>
      <c r="H250" s="3">
        <v>17</v>
      </c>
      <c r="I250" s="3">
        <v>17</v>
      </c>
      <c r="J250" s="3">
        <v>17</v>
      </c>
      <c r="K250" s="3">
        <v>4</v>
      </c>
      <c r="M250" t="s">
        <v>46</v>
      </c>
      <c r="N250">
        <f>COUNTIFS($B$2:$B$386,16,$D$2:$D$386,9)</f>
        <v>1</v>
      </c>
      <c r="O250" s="34">
        <f t="shared" si="40"/>
        <v>0.25974025974025972</v>
      </c>
    </row>
    <row r="251" spans="1:15" x14ac:dyDescent="0.3">
      <c r="A251" t="s">
        <v>1879</v>
      </c>
      <c r="B251" s="7">
        <v>8</v>
      </c>
      <c r="C251" s="3">
        <v>19</v>
      </c>
      <c r="D251" s="3">
        <v>5</v>
      </c>
      <c r="E251" s="3">
        <v>1</v>
      </c>
      <c r="F251" s="11">
        <v>2</v>
      </c>
      <c r="G251" s="11">
        <v>3</v>
      </c>
      <c r="H251" s="11">
        <v>16</v>
      </c>
      <c r="I251" s="3">
        <v>16</v>
      </c>
      <c r="J251" s="3">
        <v>16</v>
      </c>
      <c r="K251" s="11">
        <v>4</v>
      </c>
      <c r="M251" t="s">
        <v>152</v>
      </c>
      <c r="N251">
        <f>COUNTIFS($B$2:$B$386,16,$D$2:$D$386,10)</f>
        <v>0</v>
      </c>
      <c r="O251" s="34">
        <f t="shared" si="40"/>
        <v>0</v>
      </c>
    </row>
    <row r="252" spans="1:15" x14ac:dyDescent="0.3">
      <c r="A252" t="s">
        <v>2736</v>
      </c>
      <c r="B252" s="7">
        <v>13</v>
      </c>
      <c r="C252" s="3">
        <v>21</v>
      </c>
      <c r="D252" s="3">
        <v>4</v>
      </c>
      <c r="E252" s="3">
        <v>3</v>
      </c>
      <c r="F252" s="3">
        <v>3</v>
      </c>
      <c r="G252" s="3">
        <v>3</v>
      </c>
      <c r="H252" s="3">
        <v>17</v>
      </c>
      <c r="I252" s="3">
        <v>17</v>
      </c>
      <c r="J252" s="3">
        <v>17</v>
      </c>
      <c r="K252" s="3">
        <v>4</v>
      </c>
      <c r="M252" t="s">
        <v>49</v>
      </c>
      <c r="N252">
        <f>COUNTIFS($B$2:$B$386,16,$D$2:$D$386,11)</f>
        <v>2</v>
      </c>
      <c r="O252" s="34">
        <f t="shared" si="40"/>
        <v>0.51948051948051943</v>
      </c>
    </row>
    <row r="253" spans="1:15" x14ac:dyDescent="0.3">
      <c r="A253" t="s">
        <v>1765</v>
      </c>
      <c r="B253" s="7">
        <v>10</v>
      </c>
      <c r="C253" s="3">
        <v>20</v>
      </c>
      <c r="D253" s="3">
        <v>4</v>
      </c>
      <c r="E253" s="3">
        <v>5</v>
      </c>
      <c r="F253" s="7">
        <v>1</v>
      </c>
      <c r="G253" s="7">
        <v>3</v>
      </c>
      <c r="H253" s="7">
        <v>1</v>
      </c>
      <c r="I253" s="3">
        <v>1</v>
      </c>
      <c r="J253" s="3">
        <v>1</v>
      </c>
      <c r="K253" s="7">
        <v>5</v>
      </c>
      <c r="M253" t="s">
        <v>51</v>
      </c>
      <c r="N253">
        <f>COUNTIFS($B$2:$B$386,16,$D$2:$D$386,12)</f>
        <v>3</v>
      </c>
      <c r="O253" s="34">
        <f t="shared" si="40"/>
        <v>0.77922077922077926</v>
      </c>
    </row>
    <row r="254" spans="1:15" x14ac:dyDescent="0.3">
      <c r="A254" t="s">
        <v>1233</v>
      </c>
      <c r="B254" s="7">
        <v>13</v>
      </c>
      <c r="C254" s="3">
        <v>21</v>
      </c>
      <c r="D254" s="3">
        <v>4</v>
      </c>
      <c r="E254" s="3">
        <v>3</v>
      </c>
      <c r="F254" s="7">
        <v>3</v>
      </c>
      <c r="G254" s="7">
        <v>3</v>
      </c>
      <c r="H254" s="7">
        <v>17</v>
      </c>
      <c r="I254" s="3">
        <v>17</v>
      </c>
      <c r="J254" s="3">
        <v>17</v>
      </c>
      <c r="K254" s="7">
        <v>4</v>
      </c>
      <c r="M254" t="s">
        <v>153</v>
      </c>
      <c r="N254">
        <f>COUNTIFS($B$2:$B$386,16,$D$2:$D$386,13)</f>
        <v>0</v>
      </c>
      <c r="O254" s="34">
        <f t="shared" si="40"/>
        <v>0</v>
      </c>
    </row>
    <row r="255" spans="1:15" x14ac:dyDescent="0.3">
      <c r="A255" t="s">
        <v>2121</v>
      </c>
      <c r="B255" s="7">
        <v>5</v>
      </c>
      <c r="C255" s="3">
        <v>19</v>
      </c>
      <c r="D255" s="3">
        <v>4</v>
      </c>
      <c r="E255" s="3">
        <v>5</v>
      </c>
      <c r="F255" s="7">
        <v>3</v>
      </c>
      <c r="G255" s="7">
        <v>3</v>
      </c>
      <c r="H255" s="7">
        <v>17</v>
      </c>
      <c r="I255" s="3">
        <v>17</v>
      </c>
      <c r="J255" s="3">
        <v>17</v>
      </c>
      <c r="K255" s="7">
        <v>4</v>
      </c>
      <c r="M255" t="s">
        <v>154</v>
      </c>
      <c r="N255">
        <f>COUNTIFS($B$2:$B$386,16,$D$2:$D$386,14)</f>
        <v>0</v>
      </c>
      <c r="O255" s="34">
        <f t="shared" si="40"/>
        <v>0</v>
      </c>
    </row>
    <row r="256" spans="1:15" x14ac:dyDescent="0.3">
      <c r="A256" t="s">
        <v>2284</v>
      </c>
      <c r="B256" s="7">
        <v>4</v>
      </c>
      <c r="C256" s="3">
        <v>18</v>
      </c>
      <c r="D256" s="3">
        <v>13</v>
      </c>
      <c r="E256" s="3">
        <v>3</v>
      </c>
      <c r="F256" s="7">
        <v>3</v>
      </c>
      <c r="G256" s="7">
        <v>3</v>
      </c>
      <c r="H256" s="7">
        <v>17</v>
      </c>
      <c r="I256" s="3">
        <v>17</v>
      </c>
      <c r="J256" s="3">
        <v>17</v>
      </c>
      <c r="K256" s="7">
        <v>4</v>
      </c>
      <c r="M256" t="s">
        <v>52</v>
      </c>
      <c r="N256">
        <f>COUNTIFS($B$2:$B$386,16,$D$2:$D$386,15)</f>
        <v>10</v>
      </c>
      <c r="O256" s="34">
        <f t="shared" si="40"/>
        <v>2.5974025974025974</v>
      </c>
    </row>
    <row r="257" spans="1:15" x14ac:dyDescent="0.3">
      <c r="A257" t="s">
        <v>2984</v>
      </c>
      <c r="B257" s="7">
        <v>7</v>
      </c>
      <c r="C257" s="3">
        <v>19</v>
      </c>
      <c r="D257" s="3">
        <v>5</v>
      </c>
      <c r="E257" s="3">
        <v>9</v>
      </c>
      <c r="F257" s="7">
        <v>3</v>
      </c>
      <c r="G257" s="7">
        <v>3</v>
      </c>
      <c r="H257" s="7">
        <v>17</v>
      </c>
      <c r="I257" s="3">
        <v>17</v>
      </c>
      <c r="J257" s="3">
        <v>17</v>
      </c>
      <c r="K257" s="7">
        <v>4</v>
      </c>
      <c r="N257" s="22">
        <f>SUM(N242:N256)</f>
        <v>69</v>
      </c>
      <c r="O257" s="35">
        <f t="shared" si="40"/>
        <v>17.922077922077921</v>
      </c>
    </row>
    <row r="258" spans="1:15" x14ac:dyDescent="0.3">
      <c r="A258" t="s">
        <v>1818</v>
      </c>
      <c r="B258" s="7">
        <v>8</v>
      </c>
      <c r="C258" s="3">
        <v>19</v>
      </c>
      <c r="D258" s="3">
        <v>3</v>
      </c>
      <c r="E258" s="3">
        <v>3</v>
      </c>
      <c r="F258" s="7">
        <v>1</v>
      </c>
      <c r="G258" s="7">
        <v>3</v>
      </c>
      <c r="H258" s="7">
        <v>1</v>
      </c>
      <c r="I258" s="3">
        <v>1</v>
      </c>
      <c r="J258" s="3">
        <v>1</v>
      </c>
      <c r="K258" s="7">
        <v>5</v>
      </c>
      <c r="L258">
        <v>2025</v>
      </c>
      <c r="M258" t="s">
        <v>11</v>
      </c>
      <c r="N258">
        <f>COUNTIFS($B$2:$B$386,17,$D$2:$D$386,1)</f>
        <v>0</v>
      </c>
      <c r="O258" s="34">
        <f>(N258/385)*100</f>
        <v>0</v>
      </c>
    </row>
    <row r="259" spans="1:15" x14ac:dyDescent="0.3">
      <c r="A259" t="s">
        <v>2593</v>
      </c>
      <c r="B259" s="7">
        <v>15</v>
      </c>
      <c r="C259" s="3">
        <v>21</v>
      </c>
      <c r="D259" s="3">
        <v>4</v>
      </c>
      <c r="E259" s="3">
        <v>3</v>
      </c>
      <c r="F259" s="7">
        <v>1</v>
      </c>
      <c r="G259" s="7">
        <v>3</v>
      </c>
      <c r="H259" s="7">
        <v>1</v>
      </c>
      <c r="I259" s="3">
        <v>1</v>
      </c>
      <c r="J259" s="3">
        <v>1</v>
      </c>
      <c r="K259" s="7">
        <v>5</v>
      </c>
      <c r="M259" t="s">
        <v>18</v>
      </c>
      <c r="N259">
        <f>COUNTIFS($B$2:$B$386,17,$D$2:$D$386,2)</f>
        <v>1</v>
      </c>
      <c r="O259" s="34">
        <f t="shared" ref="O259:O273" si="41">(N259/385)*100</f>
        <v>0.25974025974025972</v>
      </c>
    </row>
    <row r="260" spans="1:15" x14ac:dyDescent="0.3">
      <c r="A260" t="s">
        <v>2054</v>
      </c>
      <c r="B260" s="7">
        <v>6</v>
      </c>
      <c r="C260" s="3">
        <v>19</v>
      </c>
      <c r="D260" s="3">
        <v>15</v>
      </c>
      <c r="E260" s="3">
        <v>7</v>
      </c>
      <c r="F260" s="7">
        <v>1</v>
      </c>
      <c r="G260" s="7">
        <v>3</v>
      </c>
      <c r="H260" s="7">
        <v>1</v>
      </c>
      <c r="I260" s="3">
        <v>1</v>
      </c>
      <c r="J260" s="3">
        <v>1</v>
      </c>
      <c r="K260" s="7">
        <v>5</v>
      </c>
      <c r="M260" t="s">
        <v>150</v>
      </c>
      <c r="N260">
        <f>COUNTIFS($B$2:$B$386,17,$D$2:$D$386,3)</f>
        <v>1</v>
      </c>
      <c r="O260" s="34">
        <f t="shared" si="41"/>
        <v>0.25974025974025972</v>
      </c>
    </row>
    <row r="261" spans="1:15" x14ac:dyDescent="0.3">
      <c r="A261" t="s">
        <v>1440</v>
      </c>
      <c r="B261" s="7">
        <v>12</v>
      </c>
      <c r="C261" s="3">
        <v>20</v>
      </c>
      <c r="D261" s="11">
        <v>6</v>
      </c>
      <c r="E261" s="11">
        <v>4</v>
      </c>
      <c r="F261" s="11">
        <v>1</v>
      </c>
      <c r="G261" s="11">
        <v>3</v>
      </c>
      <c r="H261" s="11">
        <v>1</v>
      </c>
      <c r="I261" s="3">
        <v>1</v>
      </c>
      <c r="J261" s="3">
        <v>1</v>
      </c>
      <c r="K261" s="11">
        <v>5</v>
      </c>
      <c r="M261" t="s">
        <v>25</v>
      </c>
      <c r="N261">
        <f>COUNTIFS($B$2:$B$386,17,$D$2:$D$386,4)</f>
        <v>5</v>
      </c>
      <c r="O261" s="34">
        <f t="shared" si="41"/>
        <v>1.2987012987012987</v>
      </c>
    </row>
    <row r="262" spans="1:15" x14ac:dyDescent="0.3">
      <c r="A262" s="6" t="s">
        <v>643</v>
      </c>
      <c r="B262" s="7">
        <v>16</v>
      </c>
      <c r="C262" s="3">
        <v>21</v>
      </c>
      <c r="D262" s="11">
        <v>4</v>
      </c>
      <c r="E262" s="11">
        <v>3</v>
      </c>
      <c r="F262" s="7">
        <v>3</v>
      </c>
      <c r="G262" s="7">
        <v>3</v>
      </c>
      <c r="H262" s="7">
        <v>17</v>
      </c>
      <c r="I262" s="3">
        <v>17</v>
      </c>
      <c r="J262" s="3">
        <v>17</v>
      </c>
      <c r="K262" s="7">
        <v>4</v>
      </c>
      <c r="M262" t="s">
        <v>32</v>
      </c>
      <c r="N262">
        <f>COUNTIFS($B$2:$B$386,17,$D$2:$D$386,5)</f>
        <v>2</v>
      </c>
      <c r="O262" s="34">
        <f t="shared" si="41"/>
        <v>0.51948051948051943</v>
      </c>
    </row>
    <row r="263" spans="1:15" x14ac:dyDescent="0.3">
      <c r="A263" t="s">
        <v>1368</v>
      </c>
      <c r="B263" s="7">
        <v>13</v>
      </c>
      <c r="C263" s="3">
        <v>21</v>
      </c>
      <c r="D263" s="3">
        <v>4</v>
      </c>
      <c r="E263" s="3">
        <v>3</v>
      </c>
      <c r="F263" s="7">
        <v>3</v>
      </c>
      <c r="G263" s="7">
        <v>3</v>
      </c>
      <c r="H263" s="7">
        <v>17</v>
      </c>
      <c r="I263" s="3">
        <v>17</v>
      </c>
      <c r="J263" s="3">
        <v>17</v>
      </c>
      <c r="K263" s="7">
        <v>4</v>
      </c>
      <c r="M263" t="s">
        <v>38</v>
      </c>
      <c r="N263">
        <f>COUNTIFS($B$2:$B$386,17,$D$2:$D$386,6)</f>
        <v>1</v>
      </c>
      <c r="O263" s="34">
        <f t="shared" si="41"/>
        <v>0.25974025974025972</v>
      </c>
    </row>
    <row r="264" spans="1:15" x14ac:dyDescent="0.3">
      <c r="A264" t="s">
        <v>1761</v>
      </c>
      <c r="B264" s="7">
        <v>10</v>
      </c>
      <c r="C264" s="3">
        <v>20</v>
      </c>
      <c r="D264" s="3">
        <v>2</v>
      </c>
      <c r="E264" s="3">
        <v>3</v>
      </c>
      <c r="F264" s="7">
        <v>3</v>
      </c>
      <c r="G264" s="7">
        <v>3</v>
      </c>
      <c r="H264" s="7">
        <v>17</v>
      </c>
      <c r="I264" s="3">
        <v>17</v>
      </c>
      <c r="J264" s="3">
        <v>17</v>
      </c>
      <c r="K264" s="7">
        <v>4</v>
      </c>
      <c r="M264" t="s">
        <v>151</v>
      </c>
      <c r="N264">
        <f>COUNTIFS($B$2:$B$386,17,$D$2:$D$386,7)</f>
        <v>0</v>
      </c>
      <c r="O264" s="34">
        <f t="shared" si="41"/>
        <v>0</v>
      </c>
    </row>
    <row r="265" spans="1:15" x14ac:dyDescent="0.3">
      <c r="A265" t="s">
        <v>1761</v>
      </c>
      <c r="B265" s="7">
        <v>11</v>
      </c>
      <c r="C265" s="3">
        <v>20</v>
      </c>
      <c r="D265" s="3">
        <v>12</v>
      </c>
      <c r="E265" s="3">
        <v>3</v>
      </c>
      <c r="F265" s="3">
        <v>3</v>
      </c>
      <c r="G265" s="3">
        <v>3</v>
      </c>
      <c r="H265" s="3">
        <v>17</v>
      </c>
      <c r="I265" s="3">
        <v>17</v>
      </c>
      <c r="J265" s="3">
        <v>17</v>
      </c>
      <c r="K265" s="3">
        <v>4</v>
      </c>
      <c r="M265" t="s">
        <v>43</v>
      </c>
      <c r="N265">
        <f>COUNTIFS($B$2:$B$386,17,$D$2:$D$386,8)</f>
        <v>0</v>
      </c>
      <c r="O265" s="34">
        <f t="shared" si="41"/>
        <v>0</v>
      </c>
    </row>
    <row r="266" spans="1:15" x14ac:dyDescent="0.3">
      <c r="A266" s="6" t="s">
        <v>594</v>
      </c>
      <c r="B266" s="7">
        <v>16</v>
      </c>
      <c r="C266" s="3">
        <v>21</v>
      </c>
      <c r="D266" s="11">
        <v>1</v>
      </c>
      <c r="E266" s="11">
        <v>3</v>
      </c>
      <c r="F266" s="7">
        <v>3</v>
      </c>
      <c r="G266" s="7">
        <v>3</v>
      </c>
      <c r="H266" s="7">
        <v>17</v>
      </c>
      <c r="I266" s="3">
        <v>17</v>
      </c>
      <c r="J266" s="3">
        <v>17</v>
      </c>
      <c r="K266" s="7">
        <v>4</v>
      </c>
      <c r="M266" t="s">
        <v>46</v>
      </c>
      <c r="N266">
        <f>COUNTIFS($B$2:$B$386,17,$D$2:$D$386,9)</f>
        <v>0</v>
      </c>
      <c r="O266" s="34">
        <f t="shared" si="41"/>
        <v>0</v>
      </c>
    </row>
    <row r="267" spans="1:15" x14ac:dyDescent="0.3">
      <c r="A267" t="s">
        <v>2964</v>
      </c>
      <c r="B267" s="7">
        <v>10</v>
      </c>
      <c r="C267" s="3">
        <v>20</v>
      </c>
      <c r="D267" s="3">
        <v>4</v>
      </c>
      <c r="E267" s="3">
        <v>3</v>
      </c>
      <c r="F267" s="3">
        <v>3</v>
      </c>
      <c r="G267" s="3">
        <v>3</v>
      </c>
      <c r="H267" s="3">
        <v>17</v>
      </c>
      <c r="I267" s="3">
        <v>17</v>
      </c>
      <c r="J267" s="3">
        <v>17</v>
      </c>
      <c r="K267" s="3">
        <v>4</v>
      </c>
      <c r="M267" t="s">
        <v>152</v>
      </c>
      <c r="N267">
        <f>COUNTIFS($B$2:$B$386,17,$D$2:$D$386,10)</f>
        <v>0</v>
      </c>
      <c r="O267" s="34">
        <f t="shared" si="41"/>
        <v>0</v>
      </c>
    </row>
    <row r="268" spans="1:15" x14ac:dyDescent="0.3">
      <c r="A268" s="6" t="s">
        <v>600</v>
      </c>
      <c r="B268" s="7">
        <v>16</v>
      </c>
      <c r="C268" s="3">
        <v>21</v>
      </c>
      <c r="D268" s="11">
        <v>11</v>
      </c>
      <c r="E268" s="11">
        <v>6</v>
      </c>
      <c r="F268" s="7">
        <v>3</v>
      </c>
      <c r="G268" s="7">
        <v>3</v>
      </c>
      <c r="H268" s="7">
        <v>17</v>
      </c>
      <c r="I268" s="3">
        <v>17</v>
      </c>
      <c r="J268" s="3">
        <v>17</v>
      </c>
      <c r="K268" s="7">
        <v>4</v>
      </c>
      <c r="M268" t="s">
        <v>49</v>
      </c>
      <c r="N268">
        <f>COUNTIFS($B$2:$B$386,17,$D$2:$D$386,11)</f>
        <v>0</v>
      </c>
      <c r="O268" s="34">
        <f t="shared" si="41"/>
        <v>0</v>
      </c>
    </row>
    <row r="269" spans="1:15" x14ac:dyDescent="0.3">
      <c r="A269" s="6" t="s">
        <v>225</v>
      </c>
      <c r="B269" s="7">
        <v>17</v>
      </c>
      <c r="C269" s="3">
        <v>21</v>
      </c>
      <c r="D269" s="11">
        <v>4</v>
      </c>
      <c r="E269" s="11">
        <v>3</v>
      </c>
      <c r="F269" s="7">
        <v>3</v>
      </c>
      <c r="G269" s="7">
        <v>3</v>
      </c>
      <c r="H269" s="7">
        <v>17</v>
      </c>
      <c r="I269" s="3">
        <v>17</v>
      </c>
      <c r="J269" s="3">
        <v>17</v>
      </c>
      <c r="K269" s="7">
        <v>4</v>
      </c>
      <c r="M269" t="s">
        <v>51</v>
      </c>
      <c r="N269">
        <f>COUNTIFS($B$2:$B$386,17,$D$2:$D$386,12)</f>
        <v>0</v>
      </c>
      <c r="O269" s="34">
        <f t="shared" si="41"/>
        <v>0</v>
      </c>
    </row>
    <row r="270" spans="1:15" x14ac:dyDescent="0.3">
      <c r="A270" t="s">
        <v>1960</v>
      </c>
      <c r="B270" s="7">
        <v>7</v>
      </c>
      <c r="C270" s="3">
        <v>19</v>
      </c>
      <c r="D270" s="3">
        <v>3</v>
      </c>
      <c r="E270" s="3">
        <v>5</v>
      </c>
      <c r="F270" s="7">
        <v>3</v>
      </c>
      <c r="G270" s="7">
        <v>3</v>
      </c>
      <c r="H270" s="7">
        <v>17</v>
      </c>
      <c r="I270" s="3">
        <v>17</v>
      </c>
      <c r="J270" s="3">
        <v>17</v>
      </c>
      <c r="K270" s="7">
        <v>4</v>
      </c>
      <c r="M270" t="s">
        <v>153</v>
      </c>
      <c r="N270">
        <f>COUNTIFS($B$2:$B$386,17,$D$2:$D$386,13)</f>
        <v>0</v>
      </c>
      <c r="O270" s="34">
        <f t="shared" si="41"/>
        <v>0</v>
      </c>
    </row>
    <row r="271" spans="1:15" x14ac:dyDescent="0.3">
      <c r="A271" s="6" t="s">
        <v>1040</v>
      </c>
      <c r="B271" s="7">
        <v>14</v>
      </c>
      <c r="C271" s="3">
        <v>21</v>
      </c>
      <c r="D271" s="11">
        <v>15</v>
      </c>
      <c r="E271" s="11">
        <v>3</v>
      </c>
      <c r="F271" s="11">
        <v>1</v>
      </c>
      <c r="G271" s="11">
        <v>3</v>
      </c>
      <c r="H271" s="11">
        <v>1</v>
      </c>
      <c r="I271" s="3">
        <v>1</v>
      </c>
      <c r="J271" s="3">
        <v>1</v>
      </c>
      <c r="K271" s="11">
        <v>5</v>
      </c>
      <c r="M271" t="s">
        <v>154</v>
      </c>
      <c r="N271">
        <f>COUNTIFS($B$2:$B$386,17,$D$2:$D$386,14)</f>
        <v>2</v>
      </c>
      <c r="O271" s="34">
        <f t="shared" si="41"/>
        <v>0.51948051948051943</v>
      </c>
    </row>
    <row r="272" spans="1:15" x14ac:dyDescent="0.3">
      <c r="A272" t="s">
        <v>1804</v>
      </c>
      <c r="B272" s="7">
        <v>9</v>
      </c>
      <c r="C272" s="3">
        <v>20</v>
      </c>
      <c r="D272" s="3">
        <v>4</v>
      </c>
      <c r="E272" s="3">
        <v>1</v>
      </c>
      <c r="F272" s="7">
        <v>3</v>
      </c>
      <c r="G272" s="7">
        <v>3</v>
      </c>
      <c r="H272" s="7">
        <v>17</v>
      </c>
      <c r="I272" s="3">
        <v>17</v>
      </c>
      <c r="J272" s="3">
        <v>17</v>
      </c>
      <c r="K272" s="7">
        <v>4</v>
      </c>
      <c r="M272" t="s">
        <v>52</v>
      </c>
      <c r="N272">
        <f>COUNTIFS($B$2:$B$386,17,$D$2:$D$386,15)</f>
        <v>4</v>
      </c>
      <c r="O272" s="34">
        <f t="shared" si="41"/>
        <v>1.0389610389610389</v>
      </c>
    </row>
    <row r="273" spans="1:15" x14ac:dyDescent="0.3">
      <c r="A273" t="s">
        <v>1341</v>
      </c>
      <c r="B273" s="7">
        <v>13</v>
      </c>
      <c r="C273" s="3">
        <v>21</v>
      </c>
      <c r="D273" s="3">
        <v>8</v>
      </c>
      <c r="E273" s="3">
        <v>1</v>
      </c>
      <c r="F273" s="3">
        <v>3</v>
      </c>
      <c r="G273" s="3">
        <v>3</v>
      </c>
      <c r="H273" s="3">
        <v>17</v>
      </c>
      <c r="I273" s="3">
        <v>17</v>
      </c>
      <c r="J273" s="3">
        <v>17</v>
      </c>
      <c r="K273" s="3">
        <v>4</v>
      </c>
      <c r="N273" s="22">
        <f>SUM(N258:N272)</f>
        <v>16</v>
      </c>
      <c r="O273" s="35">
        <f t="shared" si="41"/>
        <v>4.1558441558441555</v>
      </c>
    </row>
    <row r="274" spans="1:15" x14ac:dyDescent="0.3">
      <c r="A274" s="6" t="s">
        <v>717</v>
      </c>
      <c r="B274" s="7">
        <v>15</v>
      </c>
      <c r="C274" s="3">
        <v>21</v>
      </c>
      <c r="D274" s="11">
        <v>1</v>
      </c>
      <c r="E274" s="7">
        <v>6</v>
      </c>
      <c r="F274" s="7">
        <v>2</v>
      </c>
      <c r="G274" s="7">
        <v>3</v>
      </c>
      <c r="H274" s="7">
        <v>17</v>
      </c>
      <c r="I274" s="3">
        <v>17</v>
      </c>
      <c r="J274" s="3">
        <v>17</v>
      </c>
      <c r="K274" s="7">
        <v>4</v>
      </c>
    </row>
    <row r="275" spans="1:15" x14ac:dyDescent="0.3">
      <c r="A275" s="6" t="s">
        <v>1090</v>
      </c>
      <c r="B275" s="7">
        <v>14</v>
      </c>
      <c r="C275" s="3">
        <v>21</v>
      </c>
      <c r="D275" s="3">
        <v>4</v>
      </c>
      <c r="E275" s="3">
        <v>3</v>
      </c>
      <c r="F275" s="7">
        <v>3</v>
      </c>
      <c r="G275" s="7">
        <v>3</v>
      </c>
      <c r="H275" s="7">
        <v>17</v>
      </c>
      <c r="I275" s="3">
        <v>17</v>
      </c>
      <c r="J275" s="3">
        <v>17</v>
      </c>
      <c r="K275" s="7">
        <v>4</v>
      </c>
    </row>
    <row r="276" spans="1:15" x14ac:dyDescent="0.3">
      <c r="A276" t="s">
        <v>2066</v>
      </c>
      <c r="B276" s="7">
        <v>6</v>
      </c>
      <c r="C276" s="3">
        <v>19</v>
      </c>
      <c r="D276" s="3">
        <v>1</v>
      </c>
      <c r="E276" s="3">
        <v>3</v>
      </c>
      <c r="F276" s="7">
        <v>3</v>
      </c>
      <c r="G276" s="7">
        <v>3</v>
      </c>
      <c r="H276" s="7">
        <v>17</v>
      </c>
      <c r="I276" s="3">
        <v>17</v>
      </c>
      <c r="J276" s="3">
        <v>17</v>
      </c>
      <c r="K276" s="7">
        <v>4</v>
      </c>
    </row>
    <row r="277" spans="1:15" x14ac:dyDescent="0.3">
      <c r="A277" t="s">
        <v>1308</v>
      </c>
      <c r="B277" s="7">
        <v>13</v>
      </c>
      <c r="C277" s="3">
        <v>21</v>
      </c>
      <c r="D277" s="3">
        <v>4</v>
      </c>
      <c r="E277" s="3">
        <v>1</v>
      </c>
      <c r="F277" s="7">
        <v>3</v>
      </c>
      <c r="G277" s="7">
        <v>3</v>
      </c>
      <c r="H277" s="7">
        <v>17</v>
      </c>
      <c r="I277" s="3">
        <v>17</v>
      </c>
      <c r="J277" s="3">
        <v>17</v>
      </c>
      <c r="K277" s="7">
        <v>4</v>
      </c>
    </row>
    <row r="278" spans="1:15" x14ac:dyDescent="0.3">
      <c r="A278" t="s">
        <v>1799</v>
      </c>
      <c r="B278" s="7">
        <v>9</v>
      </c>
      <c r="C278" s="3">
        <v>20</v>
      </c>
      <c r="D278" s="3">
        <v>4</v>
      </c>
      <c r="E278" s="3">
        <v>5</v>
      </c>
      <c r="F278" s="7">
        <v>3</v>
      </c>
      <c r="G278" s="7">
        <v>3</v>
      </c>
      <c r="H278" s="7">
        <v>17</v>
      </c>
      <c r="I278" s="3">
        <v>17</v>
      </c>
      <c r="J278" s="3">
        <v>17</v>
      </c>
      <c r="K278" s="7">
        <v>4</v>
      </c>
    </row>
    <row r="279" spans="1:15" x14ac:dyDescent="0.3">
      <c r="A279" t="s">
        <v>2480</v>
      </c>
      <c r="B279" s="7">
        <v>16</v>
      </c>
      <c r="C279" s="3">
        <v>21</v>
      </c>
      <c r="D279" s="3">
        <v>4</v>
      </c>
      <c r="E279" s="3">
        <v>3</v>
      </c>
      <c r="F279" s="3">
        <v>3</v>
      </c>
      <c r="G279" s="3">
        <v>3</v>
      </c>
      <c r="H279" s="3">
        <v>17</v>
      </c>
      <c r="I279" s="3">
        <v>17</v>
      </c>
      <c r="J279" s="3">
        <v>17</v>
      </c>
      <c r="K279" s="3">
        <v>4</v>
      </c>
    </row>
    <row r="280" spans="1:15" x14ac:dyDescent="0.3">
      <c r="A280" t="s">
        <v>1414</v>
      </c>
      <c r="B280" s="7">
        <v>12</v>
      </c>
      <c r="C280" s="3">
        <v>20</v>
      </c>
      <c r="D280" s="3">
        <v>1</v>
      </c>
      <c r="E280" s="3">
        <v>5</v>
      </c>
      <c r="F280" s="11">
        <v>2</v>
      </c>
      <c r="G280" s="11">
        <v>2</v>
      </c>
      <c r="H280" s="11">
        <v>16</v>
      </c>
      <c r="I280" s="3">
        <v>16</v>
      </c>
      <c r="J280" s="3">
        <v>16</v>
      </c>
      <c r="K280" s="11">
        <v>3</v>
      </c>
    </row>
    <row r="281" spans="1:15" x14ac:dyDescent="0.3">
      <c r="A281" t="s">
        <v>1757</v>
      </c>
      <c r="B281" s="7">
        <v>10</v>
      </c>
      <c r="C281" s="3">
        <v>20</v>
      </c>
      <c r="D281" s="3">
        <v>4</v>
      </c>
      <c r="E281" s="3">
        <v>3</v>
      </c>
      <c r="F281" s="7">
        <v>1</v>
      </c>
      <c r="G281" s="7">
        <v>3</v>
      </c>
      <c r="H281" s="7">
        <v>1</v>
      </c>
      <c r="I281" s="3">
        <v>1</v>
      </c>
      <c r="J281" s="3">
        <v>1</v>
      </c>
      <c r="K281" s="7">
        <v>5</v>
      </c>
    </row>
    <row r="282" spans="1:15" x14ac:dyDescent="0.3">
      <c r="A282" t="s">
        <v>2235</v>
      </c>
      <c r="B282" s="7">
        <v>4</v>
      </c>
      <c r="C282" s="3">
        <v>18</v>
      </c>
      <c r="D282" s="3">
        <v>9</v>
      </c>
      <c r="E282" s="3">
        <v>7</v>
      </c>
      <c r="F282" s="7">
        <v>3</v>
      </c>
      <c r="G282" s="7">
        <v>3</v>
      </c>
      <c r="H282" s="7">
        <v>17</v>
      </c>
      <c r="I282" s="3">
        <v>17</v>
      </c>
      <c r="J282" s="3">
        <v>17</v>
      </c>
      <c r="K282" s="7">
        <v>4</v>
      </c>
    </row>
    <row r="283" spans="1:15" x14ac:dyDescent="0.3">
      <c r="A283" t="s">
        <v>1772</v>
      </c>
      <c r="B283" s="7">
        <v>9</v>
      </c>
      <c r="C283" s="3">
        <v>20</v>
      </c>
      <c r="D283" s="3">
        <v>4</v>
      </c>
      <c r="E283" s="3">
        <v>3</v>
      </c>
      <c r="F283" s="7">
        <v>3</v>
      </c>
      <c r="G283" s="7">
        <v>3</v>
      </c>
      <c r="H283" s="7">
        <v>17</v>
      </c>
      <c r="I283" s="3">
        <v>17</v>
      </c>
      <c r="J283" s="3">
        <v>17</v>
      </c>
      <c r="K283" s="7">
        <v>4</v>
      </c>
    </row>
    <row r="284" spans="1:15" x14ac:dyDescent="0.3">
      <c r="A284" s="6" t="s">
        <v>791</v>
      </c>
      <c r="B284" s="7">
        <v>15</v>
      </c>
      <c r="C284" s="3">
        <v>21</v>
      </c>
      <c r="D284" s="11">
        <v>4</v>
      </c>
      <c r="E284" s="7">
        <v>3</v>
      </c>
      <c r="F284" s="7">
        <v>3</v>
      </c>
      <c r="G284" s="7">
        <v>3</v>
      </c>
      <c r="H284" s="7">
        <v>17</v>
      </c>
      <c r="I284" s="3">
        <v>17</v>
      </c>
      <c r="J284" s="3">
        <v>17</v>
      </c>
      <c r="K284" s="7">
        <v>4</v>
      </c>
    </row>
    <row r="285" spans="1:15" x14ac:dyDescent="0.3">
      <c r="A285" s="6" t="s">
        <v>374</v>
      </c>
      <c r="B285" s="7">
        <v>16</v>
      </c>
      <c r="C285" s="3">
        <v>21</v>
      </c>
      <c r="D285" s="11">
        <v>4</v>
      </c>
      <c r="E285" s="11">
        <v>7</v>
      </c>
      <c r="F285" s="7">
        <v>1</v>
      </c>
      <c r="G285" s="7">
        <v>3</v>
      </c>
      <c r="H285" s="7">
        <v>1</v>
      </c>
      <c r="I285" s="3">
        <v>1</v>
      </c>
      <c r="J285" s="3">
        <v>1</v>
      </c>
      <c r="K285" s="7">
        <v>5</v>
      </c>
    </row>
    <row r="286" spans="1:15" x14ac:dyDescent="0.3">
      <c r="A286" t="s">
        <v>2527</v>
      </c>
      <c r="B286" s="7">
        <v>16</v>
      </c>
      <c r="C286" s="3">
        <v>21</v>
      </c>
      <c r="D286" s="3">
        <v>15</v>
      </c>
      <c r="E286" s="3">
        <v>3</v>
      </c>
      <c r="F286" s="3">
        <v>3</v>
      </c>
      <c r="G286" s="3">
        <v>3</v>
      </c>
      <c r="H286" s="3">
        <v>17</v>
      </c>
      <c r="I286" s="3">
        <v>17</v>
      </c>
      <c r="J286" s="3">
        <v>17</v>
      </c>
      <c r="K286" s="3">
        <v>4</v>
      </c>
    </row>
    <row r="287" spans="1:15" x14ac:dyDescent="0.3">
      <c r="A287" t="s">
        <v>1858</v>
      </c>
      <c r="B287" s="7">
        <v>8</v>
      </c>
      <c r="C287" s="3">
        <v>19</v>
      </c>
      <c r="D287" s="3">
        <v>2</v>
      </c>
      <c r="E287" s="3">
        <v>3</v>
      </c>
      <c r="F287" s="7">
        <v>3</v>
      </c>
      <c r="G287" s="7">
        <v>3</v>
      </c>
      <c r="H287" s="7">
        <v>17</v>
      </c>
      <c r="I287" s="3">
        <v>17</v>
      </c>
      <c r="J287" s="3">
        <v>17</v>
      </c>
      <c r="K287" s="7">
        <v>4</v>
      </c>
    </row>
    <row r="288" spans="1:15" x14ac:dyDescent="0.3">
      <c r="A288" t="s">
        <v>2419</v>
      </c>
      <c r="B288" s="7">
        <v>2</v>
      </c>
      <c r="C288" s="3">
        <v>18</v>
      </c>
      <c r="D288" s="3">
        <v>2</v>
      </c>
      <c r="E288" s="3">
        <v>6</v>
      </c>
      <c r="F288" s="3">
        <v>1</v>
      </c>
      <c r="G288" s="3">
        <v>1</v>
      </c>
      <c r="H288" s="3">
        <v>10</v>
      </c>
      <c r="I288" s="3">
        <v>18</v>
      </c>
      <c r="J288" s="3">
        <v>18</v>
      </c>
      <c r="K288" s="3">
        <v>2</v>
      </c>
    </row>
    <row r="289" spans="1:11" x14ac:dyDescent="0.3">
      <c r="A289" t="s">
        <v>2442</v>
      </c>
      <c r="B289" s="7">
        <v>2</v>
      </c>
      <c r="C289" s="3">
        <v>18</v>
      </c>
      <c r="D289" s="3">
        <v>13</v>
      </c>
      <c r="E289" s="3">
        <v>3</v>
      </c>
      <c r="F289" s="7">
        <v>3</v>
      </c>
      <c r="G289" s="7">
        <v>3</v>
      </c>
      <c r="H289" s="7">
        <v>17</v>
      </c>
      <c r="I289" s="3">
        <v>17</v>
      </c>
      <c r="J289" s="3">
        <v>17</v>
      </c>
      <c r="K289" s="7">
        <v>4</v>
      </c>
    </row>
    <row r="290" spans="1:11" x14ac:dyDescent="0.3">
      <c r="A290" s="6" t="s">
        <v>316</v>
      </c>
      <c r="B290" s="7">
        <v>16</v>
      </c>
      <c r="C290" s="3">
        <v>21</v>
      </c>
      <c r="D290" s="11">
        <v>4</v>
      </c>
      <c r="E290" s="11">
        <v>3</v>
      </c>
      <c r="F290" s="7">
        <v>1</v>
      </c>
      <c r="G290" s="7">
        <v>3</v>
      </c>
      <c r="H290" s="7">
        <v>1</v>
      </c>
      <c r="I290" s="3">
        <v>1</v>
      </c>
      <c r="J290" s="3">
        <v>1</v>
      </c>
      <c r="K290" s="7">
        <v>5</v>
      </c>
    </row>
    <row r="291" spans="1:11" x14ac:dyDescent="0.3">
      <c r="A291" t="s">
        <v>2648</v>
      </c>
      <c r="B291" s="7">
        <v>14</v>
      </c>
      <c r="C291" s="3">
        <v>21</v>
      </c>
      <c r="D291" s="3">
        <v>3</v>
      </c>
      <c r="E291" s="3">
        <v>6</v>
      </c>
      <c r="F291" s="3">
        <v>3</v>
      </c>
      <c r="G291" s="3">
        <v>3</v>
      </c>
      <c r="H291" s="3">
        <v>17</v>
      </c>
      <c r="I291" s="3">
        <v>17</v>
      </c>
      <c r="J291" s="3">
        <v>17</v>
      </c>
      <c r="K291" s="3">
        <v>4</v>
      </c>
    </row>
    <row r="292" spans="1:11" x14ac:dyDescent="0.3">
      <c r="A292" t="s">
        <v>2861</v>
      </c>
      <c r="B292" s="7">
        <v>11</v>
      </c>
      <c r="C292" s="3">
        <v>20</v>
      </c>
      <c r="D292" s="3">
        <v>4</v>
      </c>
      <c r="E292" s="3">
        <v>3</v>
      </c>
      <c r="F292" s="3">
        <v>3</v>
      </c>
      <c r="G292" s="3">
        <v>3</v>
      </c>
      <c r="H292" s="3">
        <v>17</v>
      </c>
      <c r="I292" s="3">
        <v>17</v>
      </c>
      <c r="J292" s="3">
        <v>17</v>
      </c>
      <c r="K292" s="3">
        <v>4</v>
      </c>
    </row>
    <row r="293" spans="1:11" x14ac:dyDescent="0.3">
      <c r="A293" t="s">
        <v>2997</v>
      </c>
      <c r="B293" s="7">
        <v>8</v>
      </c>
      <c r="C293" s="3">
        <v>19</v>
      </c>
      <c r="D293" s="3">
        <v>15</v>
      </c>
      <c r="E293" s="3">
        <v>6</v>
      </c>
      <c r="F293" s="3">
        <v>3</v>
      </c>
      <c r="G293" s="3">
        <v>3</v>
      </c>
      <c r="H293" s="3">
        <v>17</v>
      </c>
      <c r="I293" s="3">
        <v>17</v>
      </c>
      <c r="J293" s="3">
        <v>17</v>
      </c>
      <c r="K293" s="3">
        <v>4</v>
      </c>
    </row>
    <row r="294" spans="1:11" x14ac:dyDescent="0.3">
      <c r="A294" t="s">
        <v>1809</v>
      </c>
      <c r="B294" s="7">
        <v>9</v>
      </c>
      <c r="C294" s="3">
        <v>20</v>
      </c>
      <c r="D294" s="3">
        <v>4</v>
      </c>
      <c r="E294" s="3">
        <v>7</v>
      </c>
      <c r="F294" s="7">
        <v>3</v>
      </c>
      <c r="G294" s="7">
        <v>3</v>
      </c>
      <c r="H294" s="7">
        <v>17</v>
      </c>
      <c r="I294" s="3">
        <v>17</v>
      </c>
      <c r="J294" s="3">
        <v>17</v>
      </c>
      <c r="K294" s="7">
        <v>4</v>
      </c>
    </row>
    <row r="295" spans="1:11" x14ac:dyDescent="0.3">
      <c r="A295" t="s">
        <v>1957</v>
      </c>
      <c r="B295" s="7">
        <v>7</v>
      </c>
      <c r="C295" s="3">
        <v>19</v>
      </c>
      <c r="D295" s="3">
        <v>4</v>
      </c>
      <c r="E295" s="3">
        <v>3</v>
      </c>
      <c r="F295" s="7">
        <v>3</v>
      </c>
      <c r="G295" s="7">
        <v>3</v>
      </c>
      <c r="H295" s="7">
        <v>17</v>
      </c>
      <c r="I295" s="3">
        <v>17</v>
      </c>
      <c r="J295" s="3">
        <v>17</v>
      </c>
      <c r="K295" s="7">
        <v>4</v>
      </c>
    </row>
    <row r="296" spans="1:11" x14ac:dyDescent="0.3">
      <c r="A296" s="6" t="s">
        <v>526</v>
      </c>
      <c r="B296" s="7">
        <v>16</v>
      </c>
      <c r="C296" s="3">
        <v>21</v>
      </c>
      <c r="D296" s="11">
        <v>4</v>
      </c>
      <c r="E296" s="11">
        <v>3</v>
      </c>
      <c r="F296" s="7">
        <v>3</v>
      </c>
      <c r="G296" s="7">
        <v>3</v>
      </c>
      <c r="H296" s="7">
        <v>17</v>
      </c>
      <c r="I296" s="3">
        <v>17</v>
      </c>
      <c r="J296" s="3">
        <v>17</v>
      </c>
      <c r="K296" s="7">
        <v>4</v>
      </c>
    </row>
    <row r="297" spans="1:11" x14ac:dyDescent="0.3">
      <c r="A297" s="6" t="s">
        <v>161</v>
      </c>
      <c r="B297" s="7">
        <v>17</v>
      </c>
      <c r="C297" s="3">
        <v>21</v>
      </c>
      <c r="D297" s="11">
        <v>14</v>
      </c>
      <c r="E297" s="11">
        <v>3</v>
      </c>
      <c r="F297" s="11">
        <v>1</v>
      </c>
      <c r="G297" s="11">
        <v>3</v>
      </c>
      <c r="H297" s="11">
        <v>2</v>
      </c>
      <c r="I297" s="3">
        <v>2</v>
      </c>
      <c r="J297" s="3">
        <v>2</v>
      </c>
      <c r="K297" s="11">
        <v>5</v>
      </c>
    </row>
    <row r="298" spans="1:11" x14ac:dyDescent="0.3">
      <c r="A298" t="s">
        <v>3027</v>
      </c>
      <c r="B298" s="7">
        <v>4</v>
      </c>
      <c r="C298" s="3">
        <v>18</v>
      </c>
      <c r="D298" s="3">
        <v>14</v>
      </c>
      <c r="E298" s="3">
        <v>3</v>
      </c>
      <c r="F298" s="3">
        <v>3</v>
      </c>
      <c r="G298" s="3">
        <v>3</v>
      </c>
      <c r="H298" s="3">
        <v>17</v>
      </c>
      <c r="I298" s="3">
        <v>17</v>
      </c>
      <c r="J298" s="3">
        <v>17</v>
      </c>
      <c r="K298" s="3">
        <v>4</v>
      </c>
    </row>
    <row r="299" spans="1:11" x14ac:dyDescent="0.3">
      <c r="A299" t="s">
        <v>2386</v>
      </c>
      <c r="B299" s="7">
        <v>1</v>
      </c>
      <c r="C299" s="3">
        <v>18</v>
      </c>
      <c r="D299" s="11">
        <v>4</v>
      </c>
      <c r="E299" s="11">
        <v>8</v>
      </c>
      <c r="F299" s="7">
        <v>1</v>
      </c>
      <c r="G299" s="7">
        <v>3</v>
      </c>
      <c r="H299" s="7">
        <v>1</v>
      </c>
      <c r="I299" s="3">
        <v>1</v>
      </c>
      <c r="J299" s="3">
        <v>1</v>
      </c>
      <c r="K299" s="7">
        <v>5</v>
      </c>
    </row>
    <row r="300" spans="1:11" x14ac:dyDescent="0.3">
      <c r="A300" t="s">
        <v>2043</v>
      </c>
      <c r="B300" s="7">
        <v>7</v>
      </c>
      <c r="C300" s="3">
        <v>19</v>
      </c>
      <c r="D300" s="3">
        <v>2</v>
      </c>
      <c r="E300" s="3">
        <v>3</v>
      </c>
      <c r="F300" s="7">
        <v>3</v>
      </c>
      <c r="G300" s="7">
        <v>3</v>
      </c>
      <c r="H300" s="7">
        <v>17</v>
      </c>
      <c r="I300" s="3">
        <v>17</v>
      </c>
      <c r="J300" s="3">
        <v>17</v>
      </c>
      <c r="K300" s="7">
        <v>4</v>
      </c>
    </row>
    <row r="301" spans="1:11" x14ac:dyDescent="0.3">
      <c r="A301" t="s">
        <v>2647</v>
      </c>
      <c r="B301" s="7">
        <v>14</v>
      </c>
      <c r="C301" s="3">
        <v>21</v>
      </c>
      <c r="D301" s="3">
        <v>3</v>
      </c>
      <c r="E301" s="3">
        <v>9</v>
      </c>
      <c r="F301" s="7">
        <v>3</v>
      </c>
      <c r="G301" s="7">
        <v>3</v>
      </c>
      <c r="H301" s="7">
        <v>17</v>
      </c>
      <c r="I301" s="3">
        <v>17</v>
      </c>
      <c r="J301" s="3">
        <v>17</v>
      </c>
      <c r="K301" s="7">
        <v>4</v>
      </c>
    </row>
    <row r="302" spans="1:11" x14ac:dyDescent="0.3">
      <c r="A302" s="6" t="s">
        <v>903</v>
      </c>
      <c r="B302" s="7">
        <v>15</v>
      </c>
      <c r="C302" s="3">
        <v>21</v>
      </c>
      <c r="D302" s="11">
        <v>4</v>
      </c>
      <c r="E302" s="7">
        <v>6</v>
      </c>
      <c r="F302" s="7">
        <v>1</v>
      </c>
      <c r="G302" s="7">
        <v>3</v>
      </c>
      <c r="H302" s="7">
        <v>1</v>
      </c>
      <c r="I302" s="3">
        <v>1</v>
      </c>
      <c r="J302" s="3">
        <v>1</v>
      </c>
      <c r="K302" s="7">
        <v>5</v>
      </c>
    </row>
    <row r="303" spans="1:11" x14ac:dyDescent="0.3">
      <c r="A303" t="s">
        <v>2685</v>
      </c>
      <c r="B303" s="7">
        <v>14</v>
      </c>
      <c r="C303" s="3">
        <v>21</v>
      </c>
      <c r="D303" s="3">
        <v>3</v>
      </c>
      <c r="E303" s="3">
        <v>1</v>
      </c>
      <c r="F303" s="7">
        <v>3</v>
      </c>
      <c r="G303" s="7">
        <v>3</v>
      </c>
      <c r="H303" s="7">
        <v>17</v>
      </c>
      <c r="I303" s="3">
        <v>17</v>
      </c>
      <c r="J303" s="3">
        <v>17</v>
      </c>
      <c r="K303" s="7">
        <v>4</v>
      </c>
    </row>
    <row r="304" spans="1:11" x14ac:dyDescent="0.3">
      <c r="A304" t="s">
        <v>2726</v>
      </c>
      <c r="B304" s="7">
        <v>13</v>
      </c>
      <c r="C304" s="3">
        <v>21</v>
      </c>
      <c r="D304" s="3">
        <v>4</v>
      </c>
      <c r="E304" s="3">
        <v>3</v>
      </c>
      <c r="F304" s="3">
        <v>3</v>
      </c>
      <c r="G304" s="3">
        <v>3</v>
      </c>
      <c r="H304" s="3">
        <v>17</v>
      </c>
      <c r="I304" s="3">
        <v>17</v>
      </c>
      <c r="J304" s="3">
        <v>17</v>
      </c>
      <c r="K304" s="3">
        <v>4</v>
      </c>
    </row>
    <row r="305" spans="1:11" x14ac:dyDescent="0.3">
      <c r="A305" t="s">
        <v>1679</v>
      </c>
      <c r="B305" s="7">
        <v>11</v>
      </c>
      <c r="C305" s="3">
        <v>20</v>
      </c>
      <c r="D305" s="11">
        <v>1</v>
      </c>
      <c r="E305" s="11">
        <v>8</v>
      </c>
      <c r="F305" s="7">
        <v>2</v>
      </c>
      <c r="G305" s="7">
        <v>2</v>
      </c>
      <c r="H305" s="7">
        <v>16</v>
      </c>
      <c r="I305" s="3">
        <v>16</v>
      </c>
      <c r="J305" s="3">
        <v>16</v>
      </c>
      <c r="K305" s="7">
        <v>3</v>
      </c>
    </row>
    <row r="306" spans="1:11" x14ac:dyDescent="0.3">
      <c r="A306" t="s">
        <v>2765</v>
      </c>
      <c r="B306" s="7">
        <v>13</v>
      </c>
      <c r="C306" s="3">
        <v>21</v>
      </c>
      <c r="D306" s="3">
        <v>2</v>
      </c>
      <c r="E306" s="3">
        <v>3</v>
      </c>
      <c r="F306" s="3">
        <v>3</v>
      </c>
      <c r="G306" s="3">
        <v>3</v>
      </c>
      <c r="H306" s="3">
        <v>17</v>
      </c>
      <c r="I306" s="3">
        <v>17</v>
      </c>
      <c r="J306" s="3">
        <v>17</v>
      </c>
      <c r="K306" s="3">
        <v>4</v>
      </c>
    </row>
    <row r="307" spans="1:11" x14ac:dyDescent="0.3">
      <c r="A307" t="s">
        <v>1100</v>
      </c>
      <c r="B307" s="7">
        <v>14</v>
      </c>
      <c r="C307" s="3">
        <v>21</v>
      </c>
      <c r="D307" s="3">
        <v>4</v>
      </c>
      <c r="E307" s="3">
        <v>3</v>
      </c>
      <c r="F307" s="3">
        <v>1</v>
      </c>
      <c r="G307" s="3">
        <v>2</v>
      </c>
      <c r="H307" s="3">
        <v>1</v>
      </c>
      <c r="I307" s="3">
        <v>1</v>
      </c>
      <c r="J307" s="3">
        <v>1</v>
      </c>
      <c r="K307" s="3">
        <v>3</v>
      </c>
    </row>
    <row r="308" spans="1:11" x14ac:dyDescent="0.3">
      <c r="A308" s="6" t="s">
        <v>803</v>
      </c>
      <c r="B308" s="7">
        <v>15</v>
      </c>
      <c r="C308" s="3">
        <v>21</v>
      </c>
      <c r="D308" s="11">
        <v>1</v>
      </c>
      <c r="E308" s="7">
        <v>6</v>
      </c>
      <c r="F308" s="7">
        <v>3</v>
      </c>
      <c r="G308" s="7">
        <v>3</v>
      </c>
      <c r="H308" s="7">
        <v>17</v>
      </c>
      <c r="I308" s="3">
        <v>17</v>
      </c>
      <c r="J308" s="3">
        <v>17</v>
      </c>
      <c r="K308" s="7">
        <v>4</v>
      </c>
    </row>
    <row r="309" spans="1:11" x14ac:dyDescent="0.3">
      <c r="A309" t="s">
        <v>3023</v>
      </c>
      <c r="B309" s="7">
        <v>1</v>
      </c>
      <c r="C309" s="3">
        <v>18</v>
      </c>
      <c r="D309" s="3">
        <v>14</v>
      </c>
      <c r="E309" s="3">
        <v>3</v>
      </c>
      <c r="F309" s="3">
        <v>3</v>
      </c>
      <c r="G309" s="3">
        <v>3</v>
      </c>
      <c r="H309" s="3">
        <v>17</v>
      </c>
      <c r="I309" s="3">
        <v>17</v>
      </c>
      <c r="J309" s="3">
        <v>17</v>
      </c>
      <c r="K309" s="3">
        <v>4</v>
      </c>
    </row>
    <row r="310" spans="1:11" x14ac:dyDescent="0.3">
      <c r="A310" s="6" t="s">
        <v>262</v>
      </c>
      <c r="B310" s="7">
        <v>17</v>
      </c>
      <c r="C310" s="3">
        <v>21</v>
      </c>
      <c r="D310" s="7">
        <v>4</v>
      </c>
      <c r="E310" s="11">
        <v>3</v>
      </c>
      <c r="F310" s="7">
        <v>3</v>
      </c>
      <c r="G310" s="7">
        <v>3</v>
      </c>
      <c r="H310" s="7">
        <v>17</v>
      </c>
      <c r="I310" s="3">
        <v>17</v>
      </c>
      <c r="J310" s="3">
        <v>17</v>
      </c>
      <c r="K310" s="7">
        <v>4</v>
      </c>
    </row>
    <row r="311" spans="1:11" x14ac:dyDescent="0.3">
      <c r="A311" t="s">
        <v>2988</v>
      </c>
      <c r="B311" s="7">
        <v>7</v>
      </c>
      <c r="C311" s="3">
        <v>19</v>
      </c>
      <c r="D311" s="3">
        <v>4</v>
      </c>
      <c r="E311" s="3">
        <v>8</v>
      </c>
      <c r="F311" s="3">
        <v>3</v>
      </c>
      <c r="G311" s="3">
        <v>3</v>
      </c>
      <c r="H311" s="3">
        <v>17</v>
      </c>
      <c r="I311" s="3">
        <v>17</v>
      </c>
      <c r="J311" s="3">
        <v>17</v>
      </c>
      <c r="K311" s="3">
        <v>4</v>
      </c>
    </row>
    <row r="312" spans="1:11" x14ac:dyDescent="0.3">
      <c r="A312" t="s">
        <v>2869</v>
      </c>
      <c r="B312" s="7">
        <v>11</v>
      </c>
      <c r="C312" s="3">
        <v>20</v>
      </c>
      <c r="D312" s="3">
        <v>4</v>
      </c>
      <c r="E312" s="3">
        <v>3</v>
      </c>
      <c r="F312" s="3">
        <v>3</v>
      </c>
      <c r="G312" s="3">
        <v>3</v>
      </c>
      <c r="H312" s="3">
        <v>17</v>
      </c>
      <c r="I312" s="3">
        <v>17</v>
      </c>
      <c r="J312" s="3">
        <v>17</v>
      </c>
      <c r="K312" s="3">
        <v>4</v>
      </c>
    </row>
    <row r="313" spans="1:11" x14ac:dyDescent="0.3">
      <c r="A313" t="s">
        <v>1616</v>
      </c>
      <c r="B313" s="7">
        <v>11</v>
      </c>
      <c r="C313" s="3">
        <v>20</v>
      </c>
      <c r="D313" s="3">
        <v>15</v>
      </c>
      <c r="E313" s="3">
        <v>7</v>
      </c>
      <c r="F313" s="7">
        <v>3</v>
      </c>
      <c r="G313" s="7">
        <v>3</v>
      </c>
      <c r="H313" s="7">
        <v>17</v>
      </c>
      <c r="I313" s="3">
        <v>17</v>
      </c>
      <c r="J313" s="3">
        <v>17</v>
      </c>
      <c r="K313" s="7">
        <v>4</v>
      </c>
    </row>
    <row r="314" spans="1:11" x14ac:dyDescent="0.3">
      <c r="A314" t="s">
        <v>2539</v>
      </c>
      <c r="B314" s="7">
        <v>16</v>
      </c>
      <c r="C314" s="3">
        <v>21</v>
      </c>
      <c r="D314" s="3">
        <v>8</v>
      </c>
      <c r="E314" s="3">
        <v>5</v>
      </c>
      <c r="F314" s="11">
        <v>2</v>
      </c>
      <c r="G314" s="11">
        <v>2</v>
      </c>
      <c r="H314" s="11">
        <v>4</v>
      </c>
      <c r="I314" s="3">
        <v>18</v>
      </c>
      <c r="J314" s="3">
        <v>18</v>
      </c>
      <c r="K314" s="11">
        <v>2</v>
      </c>
    </row>
    <row r="315" spans="1:11" x14ac:dyDescent="0.3">
      <c r="A315" s="6" t="s">
        <v>162</v>
      </c>
      <c r="B315" s="7">
        <v>17</v>
      </c>
      <c r="C315" s="3">
        <v>21</v>
      </c>
      <c r="D315" s="11">
        <v>2</v>
      </c>
      <c r="E315" s="11">
        <v>3</v>
      </c>
      <c r="F315" s="7">
        <v>3</v>
      </c>
      <c r="G315" s="7">
        <v>3</v>
      </c>
      <c r="H315" s="7">
        <v>17</v>
      </c>
      <c r="I315" s="3">
        <v>17</v>
      </c>
      <c r="J315" s="3">
        <v>17</v>
      </c>
      <c r="K315" s="7">
        <v>4</v>
      </c>
    </row>
    <row r="316" spans="1:11" x14ac:dyDescent="0.3">
      <c r="A316" t="s">
        <v>2358</v>
      </c>
      <c r="B316" s="7">
        <v>3</v>
      </c>
      <c r="C316" s="3">
        <v>18</v>
      </c>
      <c r="D316" s="3">
        <v>3</v>
      </c>
      <c r="E316" s="3">
        <v>5</v>
      </c>
      <c r="F316" s="3">
        <v>3</v>
      </c>
      <c r="G316" s="3">
        <v>3</v>
      </c>
      <c r="H316" s="3">
        <v>17</v>
      </c>
      <c r="I316" s="3">
        <v>17</v>
      </c>
      <c r="J316" s="3">
        <v>17</v>
      </c>
      <c r="K316" s="3">
        <v>4</v>
      </c>
    </row>
    <row r="317" spans="1:11" x14ac:dyDescent="0.3">
      <c r="A317" t="s">
        <v>2152</v>
      </c>
      <c r="B317" s="7">
        <v>5</v>
      </c>
      <c r="C317" s="3">
        <v>19</v>
      </c>
      <c r="D317" s="3">
        <v>1</v>
      </c>
      <c r="E317" s="3">
        <v>7</v>
      </c>
      <c r="F317" s="11">
        <v>3</v>
      </c>
      <c r="G317" s="11">
        <v>3</v>
      </c>
      <c r="H317" s="11">
        <v>17</v>
      </c>
      <c r="I317" s="3">
        <v>17</v>
      </c>
      <c r="J317" s="3">
        <v>17</v>
      </c>
      <c r="K317" s="11">
        <v>4</v>
      </c>
    </row>
    <row r="318" spans="1:11" x14ac:dyDescent="0.3">
      <c r="A318" s="6" t="s">
        <v>655</v>
      </c>
      <c r="B318" s="7">
        <v>16</v>
      </c>
      <c r="C318" s="3">
        <v>21</v>
      </c>
      <c r="D318" s="11">
        <v>4</v>
      </c>
      <c r="E318" s="11">
        <v>3</v>
      </c>
      <c r="F318" s="7">
        <v>3</v>
      </c>
      <c r="G318" s="7">
        <v>3</v>
      </c>
      <c r="H318" s="7">
        <v>17</v>
      </c>
      <c r="I318" s="3">
        <v>17</v>
      </c>
      <c r="J318" s="3">
        <v>17</v>
      </c>
      <c r="K318" s="7">
        <v>4</v>
      </c>
    </row>
    <row r="319" spans="1:11" x14ac:dyDescent="0.3">
      <c r="A319" t="s">
        <v>2722</v>
      </c>
      <c r="B319" s="7">
        <v>13</v>
      </c>
      <c r="C319" s="3">
        <v>21</v>
      </c>
      <c r="D319" s="3">
        <v>4</v>
      </c>
      <c r="E319" s="3">
        <v>3</v>
      </c>
      <c r="F319" s="3">
        <v>3</v>
      </c>
      <c r="G319" s="3">
        <v>3</v>
      </c>
      <c r="H319" s="3">
        <v>17</v>
      </c>
      <c r="I319" s="3">
        <v>17</v>
      </c>
      <c r="J319" s="3">
        <v>17</v>
      </c>
      <c r="K319" s="3">
        <v>4</v>
      </c>
    </row>
    <row r="320" spans="1:11" x14ac:dyDescent="0.3">
      <c r="A320" s="6" t="s">
        <v>987</v>
      </c>
      <c r="B320" s="7">
        <v>14</v>
      </c>
      <c r="C320" s="3">
        <v>21</v>
      </c>
      <c r="D320" s="11">
        <v>14</v>
      </c>
      <c r="E320" s="11">
        <v>3</v>
      </c>
      <c r="F320" s="7">
        <v>2</v>
      </c>
      <c r="G320" s="7">
        <v>2</v>
      </c>
      <c r="H320" s="7">
        <v>16</v>
      </c>
      <c r="I320" s="3">
        <v>16</v>
      </c>
      <c r="J320" s="3">
        <v>16</v>
      </c>
      <c r="K320" s="7">
        <v>3</v>
      </c>
    </row>
    <row r="321" spans="1:11" x14ac:dyDescent="0.3">
      <c r="A321" s="6" t="s">
        <v>382</v>
      </c>
      <c r="B321" s="7">
        <v>16</v>
      </c>
      <c r="C321" s="3">
        <v>21</v>
      </c>
      <c r="D321" s="11">
        <v>4</v>
      </c>
      <c r="E321" s="11">
        <v>1</v>
      </c>
      <c r="F321" s="7">
        <v>1</v>
      </c>
      <c r="G321" s="7">
        <v>3</v>
      </c>
      <c r="H321" s="7">
        <v>1</v>
      </c>
      <c r="I321" s="3">
        <v>1</v>
      </c>
      <c r="J321" s="3">
        <v>1</v>
      </c>
      <c r="K321" s="7">
        <v>5</v>
      </c>
    </row>
    <row r="322" spans="1:11" x14ac:dyDescent="0.3">
      <c r="A322" t="s">
        <v>1548</v>
      </c>
      <c r="B322" s="7">
        <v>12</v>
      </c>
      <c r="C322" s="3">
        <v>20</v>
      </c>
      <c r="D322" s="3">
        <v>4</v>
      </c>
      <c r="E322" s="3">
        <v>3</v>
      </c>
      <c r="F322" s="3">
        <v>1</v>
      </c>
      <c r="G322" s="3">
        <v>3</v>
      </c>
      <c r="H322" s="3">
        <v>1</v>
      </c>
      <c r="I322" s="3">
        <v>1</v>
      </c>
      <c r="J322" s="3">
        <v>1</v>
      </c>
      <c r="K322" s="3">
        <v>5</v>
      </c>
    </row>
    <row r="323" spans="1:11" x14ac:dyDescent="0.3">
      <c r="A323" s="6" t="s">
        <v>701</v>
      </c>
      <c r="B323" s="7">
        <v>16</v>
      </c>
      <c r="C323" s="3">
        <v>21</v>
      </c>
      <c r="D323" s="11">
        <v>4</v>
      </c>
      <c r="E323" s="7">
        <v>9</v>
      </c>
      <c r="F323" s="11">
        <v>1</v>
      </c>
      <c r="G323" s="11">
        <v>3</v>
      </c>
      <c r="H323" s="11">
        <v>16</v>
      </c>
      <c r="I323" s="3">
        <v>16</v>
      </c>
      <c r="J323" s="3">
        <v>16</v>
      </c>
      <c r="K323" s="11">
        <v>5</v>
      </c>
    </row>
    <row r="324" spans="1:11" x14ac:dyDescent="0.3">
      <c r="A324" t="s">
        <v>2212</v>
      </c>
      <c r="B324" s="7">
        <v>4</v>
      </c>
      <c r="C324" s="3">
        <v>18</v>
      </c>
      <c r="D324" s="3">
        <v>1</v>
      </c>
      <c r="E324" s="3">
        <v>3</v>
      </c>
      <c r="F324" s="7">
        <v>3</v>
      </c>
      <c r="G324" s="7">
        <v>3</v>
      </c>
      <c r="H324" s="7">
        <v>17</v>
      </c>
      <c r="I324" s="3">
        <v>17</v>
      </c>
      <c r="J324" s="3">
        <v>17</v>
      </c>
      <c r="K324" s="7">
        <v>4</v>
      </c>
    </row>
    <row r="325" spans="1:11" x14ac:dyDescent="0.3">
      <c r="A325" t="s">
        <v>1658</v>
      </c>
      <c r="B325" s="7">
        <v>11</v>
      </c>
      <c r="C325" s="3">
        <v>20</v>
      </c>
      <c r="D325" s="3">
        <v>5</v>
      </c>
      <c r="E325" s="3">
        <v>8</v>
      </c>
      <c r="F325" s="3">
        <v>1</v>
      </c>
      <c r="G325" s="3">
        <v>3</v>
      </c>
      <c r="H325" s="3">
        <v>1</v>
      </c>
      <c r="I325" s="3">
        <v>1</v>
      </c>
      <c r="J325" s="3">
        <v>1</v>
      </c>
      <c r="K325" s="3">
        <v>5</v>
      </c>
    </row>
    <row r="326" spans="1:11" x14ac:dyDescent="0.3">
      <c r="A326" s="6" t="s">
        <v>606</v>
      </c>
      <c r="B326" s="7">
        <v>16</v>
      </c>
      <c r="C326" s="3">
        <v>21</v>
      </c>
      <c r="D326" s="11">
        <v>4</v>
      </c>
      <c r="E326" s="11">
        <v>3</v>
      </c>
      <c r="F326" s="7">
        <v>3</v>
      </c>
      <c r="G326" s="7">
        <v>3</v>
      </c>
      <c r="H326" s="7">
        <v>17</v>
      </c>
      <c r="I326" s="3">
        <v>17</v>
      </c>
      <c r="J326" s="3">
        <v>17</v>
      </c>
      <c r="K326" s="7">
        <v>4</v>
      </c>
    </row>
    <row r="327" spans="1:11" x14ac:dyDescent="0.3">
      <c r="A327" t="s">
        <v>1383</v>
      </c>
      <c r="B327" s="7">
        <v>13</v>
      </c>
      <c r="C327" s="3">
        <v>21</v>
      </c>
      <c r="D327" s="3">
        <v>12</v>
      </c>
      <c r="E327" s="3">
        <v>3</v>
      </c>
      <c r="F327" s="7">
        <v>3</v>
      </c>
      <c r="G327" s="7">
        <v>3</v>
      </c>
      <c r="H327" s="7">
        <v>17</v>
      </c>
      <c r="I327" s="3">
        <v>17</v>
      </c>
      <c r="J327" s="3">
        <v>17</v>
      </c>
      <c r="K327" s="7">
        <v>4</v>
      </c>
    </row>
    <row r="328" spans="1:11" x14ac:dyDescent="0.3">
      <c r="A328" t="s">
        <v>2437</v>
      </c>
      <c r="B328" s="7">
        <v>2</v>
      </c>
      <c r="C328" s="3">
        <v>18</v>
      </c>
      <c r="D328" s="3">
        <v>4</v>
      </c>
      <c r="E328" s="3">
        <v>3</v>
      </c>
      <c r="F328" s="3">
        <v>3</v>
      </c>
      <c r="G328" s="3">
        <v>3</v>
      </c>
      <c r="H328" s="3">
        <v>17</v>
      </c>
      <c r="I328" s="3">
        <v>17</v>
      </c>
      <c r="J328" s="3">
        <v>17</v>
      </c>
      <c r="K328" s="3">
        <v>4</v>
      </c>
    </row>
    <row r="329" spans="1:11" x14ac:dyDescent="0.3">
      <c r="A329" s="6" t="s">
        <v>928</v>
      </c>
      <c r="B329" s="7">
        <v>15</v>
      </c>
      <c r="C329" s="3">
        <v>21</v>
      </c>
      <c r="D329" s="11">
        <v>9</v>
      </c>
      <c r="E329" s="7">
        <v>8</v>
      </c>
      <c r="F329" s="11">
        <v>2</v>
      </c>
      <c r="G329" s="11">
        <v>2</v>
      </c>
      <c r="H329" s="11">
        <v>16</v>
      </c>
      <c r="I329" s="3">
        <v>16</v>
      </c>
      <c r="J329" s="3">
        <v>16</v>
      </c>
      <c r="K329" s="11">
        <v>3</v>
      </c>
    </row>
    <row r="330" spans="1:11" x14ac:dyDescent="0.3">
      <c r="A330" t="s">
        <v>1512</v>
      </c>
      <c r="B330" s="7">
        <v>12</v>
      </c>
      <c r="C330" s="3">
        <v>20</v>
      </c>
      <c r="D330" s="11">
        <v>9</v>
      </c>
      <c r="E330" s="11">
        <v>8</v>
      </c>
      <c r="F330" s="11">
        <v>2</v>
      </c>
      <c r="G330" s="11">
        <v>2</v>
      </c>
      <c r="H330" s="11">
        <v>16</v>
      </c>
      <c r="I330" s="3">
        <v>16</v>
      </c>
      <c r="J330" s="3">
        <v>16</v>
      </c>
      <c r="K330" s="11">
        <v>3</v>
      </c>
    </row>
    <row r="331" spans="1:11" x14ac:dyDescent="0.3">
      <c r="A331" t="s">
        <v>3033</v>
      </c>
      <c r="B331" s="7">
        <v>4</v>
      </c>
      <c r="C331" s="3">
        <v>18</v>
      </c>
      <c r="D331" s="3">
        <v>3</v>
      </c>
      <c r="E331" s="3">
        <v>3</v>
      </c>
      <c r="F331" s="3">
        <v>3</v>
      </c>
      <c r="G331" s="3">
        <v>3</v>
      </c>
      <c r="H331" s="3">
        <v>17</v>
      </c>
      <c r="I331" s="3">
        <v>17</v>
      </c>
      <c r="J331" s="3">
        <v>17</v>
      </c>
      <c r="K331" s="3">
        <v>4</v>
      </c>
    </row>
    <row r="332" spans="1:11" x14ac:dyDescent="0.3">
      <c r="A332" t="s">
        <v>2472</v>
      </c>
      <c r="B332" s="7">
        <v>16</v>
      </c>
      <c r="C332" s="3">
        <v>21</v>
      </c>
      <c r="D332" s="3">
        <v>12</v>
      </c>
      <c r="E332" s="3">
        <v>8</v>
      </c>
      <c r="F332" s="7">
        <v>1</v>
      </c>
      <c r="G332" s="7">
        <v>3</v>
      </c>
      <c r="H332" s="7">
        <v>1</v>
      </c>
      <c r="I332" s="3">
        <v>1</v>
      </c>
      <c r="J332" s="3">
        <v>1</v>
      </c>
      <c r="K332" s="7">
        <v>5</v>
      </c>
    </row>
    <row r="333" spans="1:11" x14ac:dyDescent="0.3">
      <c r="A333" t="s">
        <v>2929</v>
      </c>
      <c r="B333" s="7">
        <v>10</v>
      </c>
      <c r="C333" s="3">
        <v>20</v>
      </c>
      <c r="D333" s="3">
        <v>5</v>
      </c>
      <c r="E333" s="3">
        <v>5</v>
      </c>
      <c r="F333" s="7">
        <v>1</v>
      </c>
      <c r="G333" s="7">
        <v>2</v>
      </c>
      <c r="H333" s="7">
        <v>16</v>
      </c>
      <c r="I333" s="3">
        <v>16</v>
      </c>
      <c r="J333" s="3">
        <v>16</v>
      </c>
      <c r="K333" s="7">
        <v>3</v>
      </c>
    </row>
    <row r="334" spans="1:11" x14ac:dyDescent="0.3">
      <c r="A334" t="s">
        <v>1827</v>
      </c>
      <c r="B334" s="7">
        <v>8</v>
      </c>
      <c r="C334" s="3">
        <v>19</v>
      </c>
      <c r="D334" s="3">
        <v>4</v>
      </c>
      <c r="E334" s="3">
        <v>5</v>
      </c>
      <c r="F334" s="7">
        <v>3</v>
      </c>
      <c r="G334" s="7">
        <v>3</v>
      </c>
      <c r="H334" s="7">
        <v>17</v>
      </c>
      <c r="I334" s="3">
        <v>17</v>
      </c>
      <c r="J334" s="3">
        <v>17</v>
      </c>
      <c r="K334" s="7">
        <v>3</v>
      </c>
    </row>
    <row r="335" spans="1:11" x14ac:dyDescent="0.3">
      <c r="A335" t="s">
        <v>2597</v>
      </c>
      <c r="B335" s="7">
        <v>15</v>
      </c>
      <c r="C335" s="3">
        <v>21</v>
      </c>
      <c r="D335" s="3">
        <v>4</v>
      </c>
      <c r="E335" s="3">
        <v>3</v>
      </c>
      <c r="F335" s="3">
        <v>3</v>
      </c>
      <c r="G335" s="3">
        <v>3</v>
      </c>
      <c r="H335" s="3">
        <v>17</v>
      </c>
      <c r="I335" s="3">
        <v>17</v>
      </c>
      <c r="J335" s="3">
        <v>17</v>
      </c>
      <c r="K335" s="3">
        <v>4</v>
      </c>
    </row>
    <row r="336" spans="1:11" x14ac:dyDescent="0.3">
      <c r="A336" s="6" t="s">
        <v>519</v>
      </c>
      <c r="B336" s="7">
        <v>16</v>
      </c>
      <c r="C336" s="3">
        <v>21</v>
      </c>
      <c r="D336" s="11">
        <v>2</v>
      </c>
      <c r="E336" s="11">
        <v>3</v>
      </c>
      <c r="F336" s="7">
        <v>3</v>
      </c>
      <c r="G336" s="7">
        <v>3</v>
      </c>
      <c r="H336" s="7">
        <v>17</v>
      </c>
      <c r="I336" s="3">
        <v>17</v>
      </c>
      <c r="J336" s="3">
        <v>17</v>
      </c>
      <c r="K336" s="7">
        <v>4</v>
      </c>
    </row>
    <row r="337" spans="1:11" x14ac:dyDescent="0.3">
      <c r="A337" t="s">
        <v>3037</v>
      </c>
      <c r="B337" s="7">
        <v>5</v>
      </c>
      <c r="C337" s="3">
        <v>19</v>
      </c>
      <c r="D337" s="3">
        <v>4</v>
      </c>
      <c r="E337" s="3">
        <v>3</v>
      </c>
      <c r="F337" s="3">
        <v>3</v>
      </c>
      <c r="G337" s="3">
        <v>3</v>
      </c>
      <c r="H337" s="3">
        <v>17</v>
      </c>
      <c r="I337" s="3">
        <v>17</v>
      </c>
      <c r="J337" s="3">
        <v>17</v>
      </c>
      <c r="K337" s="3">
        <v>4</v>
      </c>
    </row>
    <row r="338" spans="1:11" x14ac:dyDescent="0.3">
      <c r="A338" t="s">
        <v>1741</v>
      </c>
      <c r="B338" s="7">
        <v>10</v>
      </c>
      <c r="C338" s="3">
        <v>20</v>
      </c>
      <c r="D338" s="11">
        <v>1</v>
      </c>
      <c r="E338" s="7">
        <v>3</v>
      </c>
      <c r="F338" s="11">
        <v>3</v>
      </c>
      <c r="G338" s="11">
        <v>3</v>
      </c>
      <c r="H338" s="11">
        <v>17</v>
      </c>
      <c r="I338" s="3">
        <v>17</v>
      </c>
      <c r="J338" s="3">
        <v>17</v>
      </c>
      <c r="K338" s="11">
        <v>4</v>
      </c>
    </row>
    <row r="339" spans="1:11" x14ac:dyDescent="0.3">
      <c r="A339" t="s">
        <v>2258</v>
      </c>
      <c r="B339" s="7">
        <v>4</v>
      </c>
      <c r="C339" s="3">
        <v>18</v>
      </c>
      <c r="D339" s="3">
        <v>12</v>
      </c>
      <c r="E339" s="3">
        <v>3</v>
      </c>
      <c r="F339" s="7">
        <v>3</v>
      </c>
      <c r="G339" s="7">
        <v>3</v>
      </c>
      <c r="H339" s="7">
        <v>17</v>
      </c>
      <c r="I339" s="3">
        <v>17</v>
      </c>
      <c r="J339" s="3">
        <v>17</v>
      </c>
      <c r="K339" s="7">
        <v>4</v>
      </c>
    </row>
    <row r="340" spans="1:11" x14ac:dyDescent="0.3">
      <c r="A340" t="s">
        <v>1204</v>
      </c>
      <c r="B340" s="7">
        <v>13</v>
      </c>
      <c r="C340" s="3">
        <v>21</v>
      </c>
      <c r="D340" s="3">
        <v>12</v>
      </c>
      <c r="E340" s="3">
        <v>3</v>
      </c>
      <c r="F340" s="7">
        <v>3</v>
      </c>
      <c r="G340" s="7">
        <v>3</v>
      </c>
      <c r="H340" s="7">
        <v>17</v>
      </c>
      <c r="I340" s="3">
        <v>17</v>
      </c>
      <c r="J340" s="3">
        <v>17</v>
      </c>
      <c r="K340" s="7">
        <v>4</v>
      </c>
    </row>
    <row r="341" spans="1:11" x14ac:dyDescent="0.3">
      <c r="A341" s="6" t="s">
        <v>634</v>
      </c>
      <c r="B341" s="7">
        <v>16</v>
      </c>
      <c r="C341" s="3">
        <v>21</v>
      </c>
      <c r="D341" s="11">
        <v>4</v>
      </c>
      <c r="E341" s="11">
        <v>3</v>
      </c>
      <c r="F341" s="7">
        <v>1</v>
      </c>
      <c r="G341" s="7">
        <v>3</v>
      </c>
      <c r="H341" s="7">
        <v>1</v>
      </c>
      <c r="I341" s="3">
        <v>1</v>
      </c>
      <c r="J341" s="3">
        <v>1</v>
      </c>
      <c r="K341" s="7">
        <v>5</v>
      </c>
    </row>
    <row r="342" spans="1:11" x14ac:dyDescent="0.3">
      <c r="A342" s="6" t="s">
        <v>288</v>
      </c>
      <c r="B342" s="7">
        <v>16</v>
      </c>
      <c r="C342" s="3">
        <v>21</v>
      </c>
      <c r="D342" s="11">
        <v>4</v>
      </c>
      <c r="E342" s="11">
        <v>1</v>
      </c>
      <c r="F342" s="7">
        <v>3</v>
      </c>
      <c r="G342" s="7">
        <v>3</v>
      </c>
      <c r="H342" s="7">
        <v>17</v>
      </c>
      <c r="I342" s="3">
        <v>17</v>
      </c>
      <c r="J342" s="3">
        <v>17</v>
      </c>
      <c r="K342" s="7">
        <v>4</v>
      </c>
    </row>
    <row r="343" spans="1:11" x14ac:dyDescent="0.3">
      <c r="A343" t="s">
        <v>2203</v>
      </c>
      <c r="B343" s="7">
        <v>4</v>
      </c>
      <c r="C343" s="3">
        <v>18</v>
      </c>
      <c r="D343" s="3">
        <v>1</v>
      </c>
      <c r="E343" s="3">
        <v>9</v>
      </c>
      <c r="F343" s="11">
        <v>1</v>
      </c>
      <c r="G343" s="11">
        <v>3</v>
      </c>
      <c r="H343" s="11">
        <v>1</v>
      </c>
      <c r="I343" s="3">
        <v>1</v>
      </c>
      <c r="J343" s="3">
        <v>1</v>
      </c>
      <c r="K343" s="11">
        <v>5</v>
      </c>
    </row>
    <row r="344" spans="1:11" x14ac:dyDescent="0.3">
      <c r="A344" s="6" t="s">
        <v>575</v>
      </c>
      <c r="B344" s="7">
        <v>16</v>
      </c>
      <c r="C344" s="3">
        <v>21</v>
      </c>
      <c r="D344" s="11">
        <v>4</v>
      </c>
      <c r="E344" s="11">
        <v>3</v>
      </c>
      <c r="F344" s="7">
        <v>3</v>
      </c>
      <c r="G344" s="7">
        <v>3</v>
      </c>
      <c r="H344" s="7">
        <v>17</v>
      </c>
      <c r="I344" s="3">
        <v>17</v>
      </c>
      <c r="J344" s="3">
        <v>17</v>
      </c>
      <c r="K344" s="7">
        <v>4</v>
      </c>
    </row>
    <row r="345" spans="1:11" x14ac:dyDescent="0.3">
      <c r="A345" t="s">
        <v>2613</v>
      </c>
      <c r="B345" s="7">
        <v>14</v>
      </c>
      <c r="C345" s="3">
        <v>21</v>
      </c>
      <c r="D345" s="3">
        <v>5</v>
      </c>
      <c r="E345" s="3">
        <v>8</v>
      </c>
      <c r="F345" s="7">
        <v>3</v>
      </c>
      <c r="G345" s="7">
        <v>3</v>
      </c>
      <c r="H345" s="7">
        <v>17</v>
      </c>
      <c r="I345" s="3">
        <v>17</v>
      </c>
      <c r="J345" s="3">
        <v>17</v>
      </c>
      <c r="K345" s="7">
        <v>4</v>
      </c>
    </row>
    <row r="346" spans="1:11" x14ac:dyDescent="0.3">
      <c r="A346" s="6" t="s">
        <v>337</v>
      </c>
      <c r="B346" s="7">
        <v>16</v>
      </c>
      <c r="C346" s="3">
        <v>21</v>
      </c>
      <c r="D346" s="11">
        <v>4</v>
      </c>
      <c r="E346" s="11">
        <v>3</v>
      </c>
      <c r="F346" s="11">
        <v>1</v>
      </c>
      <c r="G346" s="11">
        <v>1</v>
      </c>
      <c r="H346" s="11">
        <v>8</v>
      </c>
      <c r="I346" s="3">
        <v>18</v>
      </c>
      <c r="J346" s="3">
        <v>18</v>
      </c>
      <c r="K346" s="11">
        <v>2</v>
      </c>
    </row>
    <row r="347" spans="1:11" x14ac:dyDescent="0.3">
      <c r="A347" s="6" t="s">
        <v>362</v>
      </c>
      <c r="B347" s="7">
        <v>16</v>
      </c>
      <c r="C347" s="3">
        <v>21</v>
      </c>
      <c r="D347" s="11">
        <v>4</v>
      </c>
      <c r="E347" s="11">
        <v>3</v>
      </c>
      <c r="F347" s="11">
        <v>2</v>
      </c>
      <c r="G347" s="11">
        <v>2</v>
      </c>
      <c r="H347" s="11">
        <v>16</v>
      </c>
      <c r="I347" s="3">
        <v>16</v>
      </c>
      <c r="J347" s="3">
        <v>16</v>
      </c>
      <c r="K347" s="11">
        <v>3</v>
      </c>
    </row>
    <row r="348" spans="1:11" x14ac:dyDescent="0.3">
      <c r="A348" t="s">
        <v>1930</v>
      </c>
      <c r="B348" s="7">
        <v>8</v>
      </c>
      <c r="C348" s="3">
        <v>19</v>
      </c>
      <c r="D348" s="3">
        <v>1</v>
      </c>
      <c r="E348" s="3">
        <v>3</v>
      </c>
      <c r="F348" s="7">
        <v>3</v>
      </c>
      <c r="G348" s="7">
        <v>3</v>
      </c>
      <c r="H348" s="7">
        <v>17</v>
      </c>
      <c r="I348" s="3">
        <v>17</v>
      </c>
      <c r="J348" s="3">
        <v>17</v>
      </c>
      <c r="K348" s="7">
        <v>4</v>
      </c>
    </row>
    <row r="349" spans="1:11" x14ac:dyDescent="0.3">
      <c r="A349" s="6" t="s">
        <v>702</v>
      </c>
      <c r="B349" s="7">
        <v>16</v>
      </c>
      <c r="C349" s="3">
        <v>21</v>
      </c>
      <c r="D349" s="11">
        <v>4</v>
      </c>
      <c r="E349" s="7">
        <v>3</v>
      </c>
      <c r="F349" s="7">
        <v>3</v>
      </c>
      <c r="G349" s="7">
        <v>3</v>
      </c>
      <c r="H349" s="7">
        <v>17</v>
      </c>
      <c r="I349" s="3">
        <v>17</v>
      </c>
      <c r="J349" s="3">
        <v>17</v>
      </c>
      <c r="K349" s="7">
        <v>4</v>
      </c>
    </row>
    <row r="350" spans="1:11" x14ac:dyDescent="0.3">
      <c r="A350" s="6" t="s">
        <v>451</v>
      </c>
      <c r="B350" s="7">
        <v>16</v>
      </c>
      <c r="C350" s="3">
        <v>21</v>
      </c>
      <c r="D350" s="11">
        <v>4</v>
      </c>
      <c r="E350" s="11">
        <v>3</v>
      </c>
      <c r="F350" s="7">
        <v>3</v>
      </c>
      <c r="G350" s="7">
        <v>3</v>
      </c>
      <c r="H350" s="7">
        <v>17</v>
      </c>
      <c r="I350" s="3">
        <v>17</v>
      </c>
      <c r="J350" s="3">
        <v>17</v>
      </c>
      <c r="K350" s="7">
        <v>4</v>
      </c>
    </row>
    <row r="351" spans="1:11" x14ac:dyDescent="0.3">
      <c r="A351" t="s">
        <v>2515</v>
      </c>
      <c r="B351" s="7">
        <v>16</v>
      </c>
      <c r="C351" s="3">
        <v>21</v>
      </c>
      <c r="D351" s="3">
        <v>9</v>
      </c>
      <c r="E351" s="3">
        <v>8</v>
      </c>
      <c r="F351" s="7">
        <v>1</v>
      </c>
      <c r="G351" s="7">
        <v>3</v>
      </c>
      <c r="H351" s="7">
        <v>1</v>
      </c>
      <c r="I351" s="3">
        <v>1</v>
      </c>
      <c r="J351" s="3">
        <v>1</v>
      </c>
      <c r="K351" s="7">
        <v>5</v>
      </c>
    </row>
    <row r="352" spans="1:11" x14ac:dyDescent="0.3">
      <c r="A352" t="s">
        <v>2534</v>
      </c>
      <c r="B352" s="7">
        <v>16</v>
      </c>
      <c r="C352" s="3">
        <v>21</v>
      </c>
      <c r="D352" s="3">
        <v>4</v>
      </c>
      <c r="E352" s="3">
        <v>3</v>
      </c>
      <c r="F352" s="7">
        <v>1</v>
      </c>
      <c r="G352" s="7">
        <v>3</v>
      </c>
      <c r="H352" s="7">
        <v>1</v>
      </c>
      <c r="I352" s="3">
        <v>1</v>
      </c>
      <c r="J352" s="3">
        <v>1</v>
      </c>
      <c r="K352" s="7">
        <v>5</v>
      </c>
    </row>
    <row r="353" spans="1:11" x14ac:dyDescent="0.3">
      <c r="A353" s="6" t="s">
        <v>1172</v>
      </c>
      <c r="B353" s="7">
        <v>13</v>
      </c>
      <c r="C353" s="3">
        <v>21</v>
      </c>
      <c r="D353" s="3">
        <v>5</v>
      </c>
      <c r="E353" s="3">
        <v>3</v>
      </c>
      <c r="F353" s="3">
        <v>1</v>
      </c>
      <c r="G353" s="3">
        <v>3</v>
      </c>
      <c r="H353" s="3">
        <v>1</v>
      </c>
      <c r="I353" s="3">
        <v>1</v>
      </c>
      <c r="J353" s="3">
        <v>1</v>
      </c>
      <c r="K353" s="3">
        <v>5</v>
      </c>
    </row>
    <row r="354" spans="1:11" x14ac:dyDescent="0.3">
      <c r="A354" t="s">
        <v>2855</v>
      </c>
      <c r="B354" s="7">
        <v>11</v>
      </c>
      <c r="C354" s="3">
        <v>20</v>
      </c>
      <c r="D354" s="3">
        <v>2</v>
      </c>
      <c r="E354" s="3">
        <v>3</v>
      </c>
      <c r="F354" s="7">
        <v>2</v>
      </c>
      <c r="G354" s="7">
        <v>3</v>
      </c>
      <c r="H354" s="7">
        <v>9</v>
      </c>
      <c r="I354" s="3">
        <v>9</v>
      </c>
      <c r="J354" s="3">
        <v>19</v>
      </c>
      <c r="K354" s="7">
        <v>3</v>
      </c>
    </row>
    <row r="355" spans="1:11" x14ac:dyDescent="0.3">
      <c r="A355" t="s">
        <v>2981</v>
      </c>
      <c r="B355" s="7">
        <v>7</v>
      </c>
      <c r="C355" s="3">
        <v>19</v>
      </c>
      <c r="D355" s="3">
        <v>4</v>
      </c>
      <c r="E355" s="3">
        <v>3</v>
      </c>
      <c r="F355" s="7">
        <v>3</v>
      </c>
      <c r="G355" s="7">
        <v>3</v>
      </c>
      <c r="H355" s="7">
        <v>17</v>
      </c>
      <c r="I355" s="3">
        <v>17</v>
      </c>
      <c r="J355" s="3">
        <v>17</v>
      </c>
      <c r="K355" s="7">
        <v>4</v>
      </c>
    </row>
    <row r="356" spans="1:11" x14ac:dyDescent="0.3">
      <c r="A356" s="6" t="s">
        <v>1078</v>
      </c>
      <c r="B356" s="7">
        <v>14</v>
      </c>
      <c r="C356" s="3">
        <v>21</v>
      </c>
      <c r="D356" s="11">
        <v>8</v>
      </c>
      <c r="E356" s="11">
        <v>6</v>
      </c>
      <c r="F356" s="7">
        <v>1</v>
      </c>
      <c r="G356" s="7">
        <v>3</v>
      </c>
      <c r="H356" s="7">
        <v>1</v>
      </c>
      <c r="I356" s="3">
        <v>1</v>
      </c>
      <c r="J356" s="3">
        <v>1</v>
      </c>
      <c r="K356" s="7">
        <v>5</v>
      </c>
    </row>
    <row r="357" spans="1:11" x14ac:dyDescent="0.3">
      <c r="A357" t="s">
        <v>1776</v>
      </c>
      <c r="B357" s="7">
        <v>9</v>
      </c>
      <c r="C357" s="3">
        <v>20</v>
      </c>
      <c r="D357" s="3">
        <v>4</v>
      </c>
      <c r="E357" s="3">
        <v>1</v>
      </c>
      <c r="F357" s="7">
        <v>1</v>
      </c>
      <c r="G357" s="7">
        <v>3</v>
      </c>
      <c r="H357" s="7">
        <v>1</v>
      </c>
      <c r="I357" s="3">
        <v>1</v>
      </c>
      <c r="J357" s="3">
        <v>1</v>
      </c>
      <c r="K357" s="7">
        <v>5</v>
      </c>
    </row>
    <row r="358" spans="1:11" x14ac:dyDescent="0.3">
      <c r="A358" t="s">
        <v>2801</v>
      </c>
      <c r="B358" s="7">
        <v>12</v>
      </c>
      <c r="C358" s="3">
        <v>20</v>
      </c>
      <c r="D358" s="3">
        <v>14</v>
      </c>
      <c r="E358" s="3">
        <v>9</v>
      </c>
      <c r="F358" s="7">
        <v>1</v>
      </c>
      <c r="G358" s="7">
        <v>3</v>
      </c>
      <c r="H358" s="7">
        <v>1</v>
      </c>
      <c r="I358" s="3">
        <v>1</v>
      </c>
      <c r="J358" s="3">
        <v>1</v>
      </c>
      <c r="K358" s="7">
        <v>5</v>
      </c>
    </row>
    <row r="359" spans="1:11" x14ac:dyDescent="0.3">
      <c r="A359" s="6" t="s">
        <v>419</v>
      </c>
      <c r="B359" s="7">
        <v>16</v>
      </c>
      <c r="C359" s="3">
        <v>21</v>
      </c>
      <c r="D359" s="11">
        <v>4</v>
      </c>
      <c r="E359" s="11">
        <v>3</v>
      </c>
      <c r="F359" s="11">
        <v>2</v>
      </c>
      <c r="G359" s="11">
        <v>2</v>
      </c>
      <c r="H359" s="11">
        <v>4</v>
      </c>
      <c r="I359" s="3">
        <v>18</v>
      </c>
      <c r="J359" s="3">
        <v>18</v>
      </c>
      <c r="K359" s="11">
        <v>2</v>
      </c>
    </row>
    <row r="360" spans="1:11" x14ac:dyDescent="0.3">
      <c r="A360" t="s">
        <v>1431</v>
      </c>
      <c r="B360" s="7">
        <v>13</v>
      </c>
      <c r="C360" s="3">
        <v>21</v>
      </c>
      <c r="D360" s="11">
        <v>1</v>
      </c>
      <c r="E360" s="7">
        <v>8</v>
      </c>
      <c r="F360" s="11">
        <v>3</v>
      </c>
      <c r="G360" s="11">
        <v>3</v>
      </c>
      <c r="H360" s="11">
        <v>17</v>
      </c>
      <c r="I360" s="3">
        <v>17</v>
      </c>
      <c r="J360" s="3">
        <v>17</v>
      </c>
      <c r="K360" s="11">
        <v>4</v>
      </c>
    </row>
    <row r="361" spans="1:11" x14ac:dyDescent="0.3">
      <c r="A361" t="s">
        <v>2252</v>
      </c>
      <c r="B361" s="7">
        <v>4</v>
      </c>
      <c r="C361" s="3">
        <v>18</v>
      </c>
      <c r="D361" s="3">
        <v>4</v>
      </c>
      <c r="E361" s="3">
        <v>3</v>
      </c>
      <c r="F361" s="11">
        <v>1</v>
      </c>
      <c r="G361" s="11">
        <v>3</v>
      </c>
      <c r="H361" s="11">
        <v>1</v>
      </c>
      <c r="I361" s="3">
        <v>1</v>
      </c>
      <c r="J361" s="3">
        <v>1</v>
      </c>
      <c r="K361" s="11">
        <v>5</v>
      </c>
    </row>
    <row r="362" spans="1:11" x14ac:dyDescent="0.3">
      <c r="A362" t="s">
        <v>1668</v>
      </c>
      <c r="B362" s="7">
        <v>11</v>
      </c>
      <c r="C362" s="3">
        <v>20</v>
      </c>
      <c r="D362" s="3">
        <v>1</v>
      </c>
      <c r="E362" s="3">
        <v>3</v>
      </c>
      <c r="F362" s="3">
        <v>1</v>
      </c>
      <c r="G362" s="3">
        <v>3</v>
      </c>
      <c r="H362" s="3">
        <v>3</v>
      </c>
      <c r="I362" s="3">
        <v>3</v>
      </c>
      <c r="J362" s="3">
        <v>3</v>
      </c>
      <c r="K362" s="3">
        <v>5</v>
      </c>
    </row>
    <row r="363" spans="1:11" x14ac:dyDescent="0.3">
      <c r="A363" t="s">
        <v>2062</v>
      </c>
      <c r="B363" s="7">
        <v>6</v>
      </c>
      <c r="C363" s="3">
        <v>19</v>
      </c>
      <c r="D363" s="3">
        <v>4</v>
      </c>
      <c r="E363" s="3">
        <v>3</v>
      </c>
      <c r="F363" s="7">
        <v>2</v>
      </c>
      <c r="G363" s="7">
        <v>3</v>
      </c>
      <c r="H363" s="7">
        <v>16</v>
      </c>
      <c r="I363" s="3">
        <v>16</v>
      </c>
      <c r="J363" s="3">
        <v>16</v>
      </c>
      <c r="K363" s="7">
        <v>4</v>
      </c>
    </row>
    <row r="364" spans="1:11" x14ac:dyDescent="0.3">
      <c r="A364" t="s">
        <v>2521</v>
      </c>
      <c r="B364" s="7">
        <v>16</v>
      </c>
      <c r="C364" s="3">
        <v>21</v>
      </c>
      <c r="D364" s="3">
        <v>4</v>
      </c>
      <c r="E364" s="3">
        <v>1</v>
      </c>
      <c r="F364" s="7">
        <v>3</v>
      </c>
      <c r="G364" s="7">
        <v>3</v>
      </c>
      <c r="H364" s="7">
        <v>17</v>
      </c>
      <c r="I364" s="3">
        <v>17</v>
      </c>
      <c r="J364" s="3">
        <v>17</v>
      </c>
      <c r="K364" s="7">
        <v>4</v>
      </c>
    </row>
    <row r="365" spans="1:11" x14ac:dyDescent="0.3">
      <c r="A365" t="s">
        <v>1199</v>
      </c>
      <c r="B365" s="7">
        <v>13</v>
      </c>
      <c r="C365" s="3">
        <v>21</v>
      </c>
      <c r="D365" s="3">
        <v>4</v>
      </c>
      <c r="E365" s="3">
        <v>1</v>
      </c>
      <c r="F365" s="3">
        <v>1</v>
      </c>
      <c r="G365" s="3">
        <v>3</v>
      </c>
      <c r="H365" s="3">
        <v>1</v>
      </c>
      <c r="I365" s="3">
        <v>1</v>
      </c>
      <c r="J365" s="3">
        <v>1</v>
      </c>
      <c r="K365" s="3">
        <v>5</v>
      </c>
    </row>
    <row r="366" spans="1:11" x14ac:dyDescent="0.3">
      <c r="A366" t="s">
        <v>2640</v>
      </c>
      <c r="B366" s="7">
        <v>14</v>
      </c>
      <c r="C366" s="3">
        <v>21</v>
      </c>
      <c r="D366" s="3">
        <v>1</v>
      </c>
      <c r="E366" s="3">
        <v>3</v>
      </c>
      <c r="F366" s="7">
        <v>1</v>
      </c>
      <c r="G366" s="7">
        <v>3</v>
      </c>
      <c r="H366" s="7">
        <v>1</v>
      </c>
      <c r="I366" s="3">
        <v>1</v>
      </c>
      <c r="J366" s="3">
        <v>1</v>
      </c>
      <c r="K366" s="7">
        <v>5</v>
      </c>
    </row>
    <row r="367" spans="1:11" x14ac:dyDescent="0.3">
      <c r="A367" t="s">
        <v>2749</v>
      </c>
      <c r="B367" s="7">
        <v>13</v>
      </c>
      <c r="C367" s="3">
        <v>21</v>
      </c>
      <c r="D367" s="3">
        <v>3</v>
      </c>
      <c r="E367" s="3">
        <v>3</v>
      </c>
      <c r="F367" s="7">
        <v>3</v>
      </c>
      <c r="G367" s="7">
        <v>3</v>
      </c>
      <c r="H367" s="7">
        <v>17</v>
      </c>
      <c r="I367" s="3">
        <v>17</v>
      </c>
      <c r="J367" s="3">
        <v>17</v>
      </c>
      <c r="K367" s="7">
        <v>4</v>
      </c>
    </row>
    <row r="368" spans="1:11" x14ac:dyDescent="0.3">
      <c r="A368" t="s">
        <v>2543</v>
      </c>
      <c r="B368" s="7">
        <v>16</v>
      </c>
      <c r="C368" s="3">
        <v>21</v>
      </c>
      <c r="D368" s="3">
        <v>15</v>
      </c>
      <c r="E368" s="3">
        <v>3</v>
      </c>
      <c r="F368" s="11">
        <v>1</v>
      </c>
      <c r="G368" s="11">
        <v>3</v>
      </c>
      <c r="H368" s="11">
        <v>2</v>
      </c>
      <c r="I368" s="3">
        <v>2</v>
      </c>
      <c r="J368" s="3">
        <v>2</v>
      </c>
      <c r="K368" s="11">
        <v>5</v>
      </c>
    </row>
    <row r="369" spans="1:11" x14ac:dyDescent="0.3">
      <c r="A369" s="6" t="s">
        <v>619</v>
      </c>
      <c r="B369" s="7">
        <v>16</v>
      </c>
      <c r="C369" s="3">
        <v>21</v>
      </c>
      <c r="D369" s="11">
        <v>4</v>
      </c>
      <c r="E369" s="11">
        <v>3</v>
      </c>
      <c r="F369" s="11">
        <v>1</v>
      </c>
      <c r="G369" s="11">
        <v>3</v>
      </c>
      <c r="H369" s="11">
        <v>2</v>
      </c>
      <c r="I369" s="3">
        <v>2</v>
      </c>
      <c r="J369" s="3">
        <v>2</v>
      </c>
      <c r="K369" s="11">
        <v>5</v>
      </c>
    </row>
    <row r="370" spans="1:11" x14ac:dyDescent="0.3">
      <c r="A370" t="s">
        <v>2770</v>
      </c>
      <c r="B370" s="7">
        <v>12</v>
      </c>
      <c r="C370" s="3">
        <v>20</v>
      </c>
      <c r="D370" s="3">
        <v>12</v>
      </c>
      <c r="E370" s="3">
        <v>3</v>
      </c>
      <c r="F370" s="7">
        <v>1</v>
      </c>
      <c r="G370" s="7">
        <v>3</v>
      </c>
      <c r="H370" s="7">
        <v>1</v>
      </c>
      <c r="I370" s="3">
        <v>1</v>
      </c>
      <c r="J370" s="3">
        <v>1</v>
      </c>
      <c r="K370" s="7">
        <v>5</v>
      </c>
    </row>
    <row r="371" spans="1:11" x14ac:dyDescent="0.3">
      <c r="A371" s="6" t="s">
        <v>677</v>
      </c>
      <c r="B371" s="7">
        <v>16</v>
      </c>
      <c r="C371" s="3">
        <v>21</v>
      </c>
      <c r="D371" s="11">
        <v>1</v>
      </c>
      <c r="E371" s="7">
        <v>8</v>
      </c>
      <c r="F371" s="11">
        <v>2</v>
      </c>
      <c r="G371" s="11">
        <v>2</v>
      </c>
      <c r="H371" s="11">
        <v>17</v>
      </c>
      <c r="I371" s="3">
        <v>17</v>
      </c>
      <c r="J371" s="3">
        <v>17</v>
      </c>
      <c r="K371" s="11">
        <v>4</v>
      </c>
    </row>
    <row r="372" spans="1:11" x14ac:dyDescent="0.3">
      <c r="A372" s="6" t="s">
        <v>103</v>
      </c>
      <c r="B372" s="7">
        <v>17</v>
      </c>
      <c r="C372" s="3">
        <v>21</v>
      </c>
      <c r="D372" s="11">
        <v>5</v>
      </c>
      <c r="E372" s="11">
        <v>6</v>
      </c>
      <c r="F372" s="7">
        <v>3</v>
      </c>
      <c r="G372" s="7">
        <v>3</v>
      </c>
      <c r="H372" s="7">
        <v>17</v>
      </c>
      <c r="I372" s="3">
        <v>17</v>
      </c>
      <c r="J372" s="3">
        <v>17</v>
      </c>
      <c r="K372" s="7">
        <v>4</v>
      </c>
    </row>
    <row r="373" spans="1:11" x14ac:dyDescent="0.3">
      <c r="A373" t="s">
        <v>2875</v>
      </c>
      <c r="B373" s="7">
        <v>11</v>
      </c>
      <c r="C373" s="3">
        <v>20</v>
      </c>
      <c r="D373" s="3">
        <v>3</v>
      </c>
      <c r="E373" s="3">
        <v>5</v>
      </c>
      <c r="F373" s="7">
        <v>2</v>
      </c>
      <c r="G373" s="7">
        <v>3</v>
      </c>
      <c r="H373" s="7">
        <v>17</v>
      </c>
      <c r="I373" s="3">
        <v>17</v>
      </c>
      <c r="J373" s="3">
        <v>17</v>
      </c>
      <c r="K373" s="7">
        <v>4</v>
      </c>
    </row>
    <row r="374" spans="1:11" x14ac:dyDescent="0.3">
      <c r="A374" s="6" t="s">
        <v>822</v>
      </c>
      <c r="B374" s="7">
        <v>15</v>
      </c>
      <c r="C374" s="3">
        <v>21</v>
      </c>
      <c r="D374" s="11">
        <v>1</v>
      </c>
      <c r="E374" s="7">
        <v>3</v>
      </c>
      <c r="F374" s="7">
        <v>3</v>
      </c>
      <c r="G374" s="7">
        <v>3</v>
      </c>
      <c r="H374" s="7">
        <v>17</v>
      </c>
      <c r="I374" s="3">
        <v>17</v>
      </c>
      <c r="J374" s="3">
        <v>17</v>
      </c>
      <c r="K374" s="7">
        <v>4</v>
      </c>
    </row>
    <row r="375" spans="1:11" x14ac:dyDescent="0.3">
      <c r="A375" t="s">
        <v>1838</v>
      </c>
      <c r="B375" s="7">
        <v>9</v>
      </c>
      <c r="C375" s="3">
        <v>20</v>
      </c>
      <c r="D375" s="3">
        <v>2</v>
      </c>
      <c r="E375" s="3">
        <v>3</v>
      </c>
      <c r="F375" s="7">
        <v>3</v>
      </c>
      <c r="G375" s="7">
        <v>3</v>
      </c>
      <c r="H375" s="7">
        <v>17</v>
      </c>
      <c r="I375" s="3">
        <v>17</v>
      </c>
      <c r="J375" s="3">
        <v>17</v>
      </c>
      <c r="K375" s="7">
        <v>4</v>
      </c>
    </row>
    <row r="376" spans="1:11" x14ac:dyDescent="0.3">
      <c r="A376" t="s">
        <v>2607</v>
      </c>
      <c r="B376" s="7">
        <v>15</v>
      </c>
      <c r="C376" s="3">
        <v>21</v>
      </c>
      <c r="D376" s="3">
        <v>2</v>
      </c>
      <c r="E376" s="3">
        <v>3</v>
      </c>
      <c r="F376" s="3">
        <v>2</v>
      </c>
      <c r="G376" s="3">
        <v>2</v>
      </c>
      <c r="H376" s="3">
        <v>16</v>
      </c>
      <c r="I376" s="3">
        <v>16</v>
      </c>
      <c r="J376" s="3">
        <v>16</v>
      </c>
      <c r="K376" s="3">
        <v>3</v>
      </c>
    </row>
    <row r="377" spans="1:11" x14ac:dyDescent="0.3">
      <c r="A377" t="s">
        <v>1359</v>
      </c>
      <c r="B377" s="7">
        <v>13</v>
      </c>
      <c r="C377" s="3">
        <v>21</v>
      </c>
      <c r="D377" s="3">
        <v>15</v>
      </c>
      <c r="E377" s="3">
        <v>3</v>
      </c>
      <c r="F377" s="7">
        <v>3</v>
      </c>
      <c r="G377" s="7">
        <v>3</v>
      </c>
      <c r="H377" s="7">
        <v>17</v>
      </c>
      <c r="I377" s="3">
        <v>17</v>
      </c>
      <c r="J377" s="3">
        <v>17</v>
      </c>
      <c r="K377" s="7">
        <v>4</v>
      </c>
    </row>
    <row r="378" spans="1:11" x14ac:dyDescent="0.3">
      <c r="A378" t="s">
        <v>1423</v>
      </c>
      <c r="B378" s="7">
        <v>12</v>
      </c>
      <c r="C378" s="3">
        <v>20</v>
      </c>
      <c r="D378" s="3">
        <v>15</v>
      </c>
      <c r="E378" s="3">
        <v>6</v>
      </c>
      <c r="F378" s="3">
        <v>3</v>
      </c>
      <c r="G378" s="3">
        <v>3</v>
      </c>
      <c r="H378" s="3">
        <v>17</v>
      </c>
      <c r="I378" s="3">
        <v>17</v>
      </c>
      <c r="J378" s="3">
        <v>17</v>
      </c>
      <c r="K378" s="3">
        <v>4</v>
      </c>
    </row>
    <row r="379" spans="1:11" x14ac:dyDescent="0.3">
      <c r="A379" s="6" t="s">
        <v>1228</v>
      </c>
      <c r="B379" s="7">
        <v>13</v>
      </c>
      <c r="C379" s="3">
        <v>21</v>
      </c>
      <c r="D379" s="3">
        <v>1</v>
      </c>
      <c r="E379" s="3">
        <v>3</v>
      </c>
      <c r="F379" s="3">
        <v>3</v>
      </c>
      <c r="G379" s="3">
        <v>3</v>
      </c>
      <c r="H379" s="3">
        <v>17</v>
      </c>
      <c r="I379" s="3">
        <v>17</v>
      </c>
      <c r="J379" s="3">
        <v>17</v>
      </c>
      <c r="K379" s="3">
        <v>4</v>
      </c>
    </row>
    <row r="380" spans="1:11" x14ac:dyDescent="0.3">
      <c r="A380" t="s">
        <v>1347</v>
      </c>
      <c r="B380" s="7">
        <v>13</v>
      </c>
      <c r="C380" s="3">
        <v>21</v>
      </c>
      <c r="D380" s="3">
        <v>9</v>
      </c>
      <c r="E380" s="3">
        <v>3</v>
      </c>
      <c r="F380" s="3">
        <v>1</v>
      </c>
      <c r="G380" s="3">
        <v>3</v>
      </c>
      <c r="H380" s="3">
        <v>1</v>
      </c>
      <c r="I380" s="3">
        <v>1</v>
      </c>
      <c r="J380" s="3">
        <v>1</v>
      </c>
      <c r="K380" s="3">
        <v>5</v>
      </c>
    </row>
    <row r="381" spans="1:11" x14ac:dyDescent="0.3">
      <c r="A381" s="6" t="s">
        <v>411</v>
      </c>
      <c r="B381" s="7">
        <v>16</v>
      </c>
      <c r="C381" s="3">
        <v>21</v>
      </c>
      <c r="D381" s="11">
        <v>15</v>
      </c>
      <c r="E381" s="7">
        <v>3</v>
      </c>
      <c r="F381" s="7">
        <v>2</v>
      </c>
      <c r="G381" s="7">
        <v>2</v>
      </c>
      <c r="H381" s="7">
        <v>9</v>
      </c>
      <c r="I381" s="3">
        <v>9</v>
      </c>
      <c r="J381" s="3">
        <v>19</v>
      </c>
      <c r="K381" s="7">
        <v>4</v>
      </c>
    </row>
    <row r="382" spans="1:11" x14ac:dyDescent="0.3">
      <c r="A382" s="6" t="s">
        <v>401</v>
      </c>
      <c r="B382" s="7">
        <v>16</v>
      </c>
      <c r="C382" s="3">
        <v>21</v>
      </c>
      <c r="D382" s="11">
        <v>4</v>
      </c>
      <c r="E382" s="11">
        <v>3</v>
      </c>
      <c r="F382" s="7">
        <v>3</v>
      </c>
      <c r="G382" s="7">
        <v>3</v>
      </c>
      <c r="H382" s="7">
        <v>17</v>
      </c>
      <c r="I382" s="3">
        <v>17</v>
      </c>
      <c r="J382" s="3">
        <v>17</v>
      </c>
      <c r="K382" s="7">
        <v>4</v>
      </c>
    </row>
    <row r="383" spans="1:11" x14ac:dyDescent="0.3">
      <c r="A383" s="6" t="s">
        <v>394</v>
      </c>
      <c r="B383" s="7">
        <v>16</v>
      </c>
      <c r="C383" s="3">
        <v>21</v>
      </c>
      <c r="D383" s="11">
        <v>4</v>
      </c>
      <c r="E383" s="11">
        <v>3</v>
      </c>
      <c r="F383" s="7">
        <v>3</v>
      </c>
      <c r="G383" s="7">
        <v>3</v>
      </c>
      <c r="H383" s="7">
        <v>17</v>
      </c>
      <c r="I383" s="3">
        <v>17</v>
      </c>
      <c r="J383" s="3">
        <v>17</v>
      </c>
      <c r="K383" s="7">
        <v>4</v>
      </c>
    </row>
    <row r="384" spans="1:11" x14ac:dyDescent="0.3">
      <c r="A384" t="s">
        <v>2731</v>
      </c>
      <c r="B384" s="7">
        <v>13</v>
      </c>
      <c r="C384" s="3">
        <v>21</v>
      </c>
      <c r="D384" s="3">
        <v>15</v>
      </c>
      <c r="E384" s="3">
        <v>3</v>
      </c>
      <c r="F384" s="7">
        <v>3</v>
      </c>
      <c r="G384" s="7">
        <v>3</v>
      </c>
      <c r="H384" s="7">
        <v>17</v>
      </c>
      <c r="I384" s="3">
        <v>17</v>
      </c>
      <c r="J384" s="3">
        <v>17</v>
      </c>
      <c r="K384" s="7">
        <v>4</v>
      </c>
    </row>
    <row r="385" spans="1:11" x14ac:dyDescent="0.3">
      <c r="A385" t="s">
        <v>2582</v>
      </c>
      <c r="B385" s="7">
        <v>15</v>
      </c>
      <c r="C385" s="3">
        <v>21</v>
      </c>
      <c r="D385" s="3">
        <v>15</v>
      </c>
      <c r="E385" s="3">
        <v>3</v>
      </c>
      <c r="F385" s="3">
        <v>3</v>
      </c>
      <c r="G385" s="3">
        <v>3</v>
      </c>
      <c r="H385" s="3">
        <v>17</v>
      </c>
      <c r="I385" s="3">
        <v>17</v>
      </c>
      <c r="J385" s="3">
        <v>17</v>
      </c>
      <c r="K385" s="3">
        <v>4</v>
      </c>
    </row>
    <row r="386" spans="1:11" x14ac:dyDescent="0.3">
      <c r="A386" t="s">
        <v>2601</v>
      </c>
      <c r="B386" s="7">
        <v>15</v>
      </c>
      <c r="C386" s="3">
        <v>21</v>
      </c>
      <c r="D386" s="3">
        <v>4</v>
      </c>
      <c r="E386" s="3">
        <v>3</v>
      </c>
      <c r="F386" s="3">
        <v>3</v>
      </c>
      <c r="G386" s="3">
        <v>3</v>
      </c>
      <c r="H386" s="3">
        <v>17</v>
      </c>
      <c r="I386" s="3">
        <v>17</v>
      </c>
      <c r="J386" s="3">
        <v>17</v>
      </c>
      <c r="K386" s="3">
        <v>4</v>
      </c>
    </row>
    <row r="388" spans="1:11" x14ac:dyDescent="0.3">
      <c r="A388" s="2"/>
    </row>
    <row r="391" spans="1:11" x14ac:dyDescent="0.3">
      <c r="F391" s="1"/>
    </row>
    <row r="392" spans="1:11" x14ac:dyDescent="0.3">
      <c r="G392" s="1"/>
    </row>
    <row r="393" spans="1:11" x14ac:dyDescent="0.3">
      <c r="F393" s="1"/>
      <c r="K393" s="1"/>
    </row>
    <row r="394" spans="1:11" x14ac:dyDescent="0.3">
      <c r="G394" s="1"/>
    </row>
    <row r="397" spans="1:11" x14ac:dyDescent="0.3">
      <c r="E397" s="1"/>
    </row>
    <row r="403" spans="2:8" x14ac:dyDescent="0.3">
      <c r="D403" s="1"/>
    </row>
    <row r="405" spans="2:8" x14ac:dyDescent="0.3">
      <c r="B405" s="1"/>
      <c r="H405" s="1"/>
    </row>
    <row r="407" spans="2:8" x14ac:dyDescent="0.3">
      <c r="G407" s="21"/>
    </row>
    <row r="408" spans="2:8" x14ac:dyDescent="0.3">
      <c r="H408" s="1"/>
    </row>
    <row r="409" spans="2:8" x14ac:dyDescent="0.3">
      <c r="H409" s="1"/>
    </row>
    <row r="410" spans="2:8" x14ac:dyDescent="0.3">
      <c r="H410" s="1"/>
    </row>
    <row r="411" spans="2:8" x14ac:dyDescent="0.3">
      <c r="H411" s="1"/>
    </row>
    <row r="412" spans="2:8" x14ac:dyDescent="0.3">
      <c r="H412" s="1"/>
    </row>
    <row r="413" spans="2:8" x14ac:dyDescent="0.3">
      <c r="H413" s="1"/>
    </row>
    <row r="414" spans="2:8" x14ac:dyDescent="0.3">
      <c r="G414" s="21"/>
    </row>
  </sheetData>
  <pageMargins left="0.7" right="0.7" top="0.78740157499999996" bottom="0.78740157499999996"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9C0C7-6C21-468E-AC28-FCAC44F3F75C}">
  <dimension ref="A1:AH427"/>
  <sheetViews>
    <sheetView topLeftCell="C1" zoomScaleNormal="100" workbookViewId="0">
      <pane ySplit="1" topLeftCell="A3" activePane="bottomLeft" state="frozen"/>
      <selection pane="bottomLeft" activeCell="H6" sqref="H6"/>
    </sheetView>
  </sheetViews>
  <sheetFormatPr baseColWidth="10" defaultRowHeight="14.4" x14ac:dyDescent="0.3"/>
  <cols>
    <col min="1" max="1" width="20.33203125" bestFit="1" customWidth="1"/>
    <col min="2" max="2" width="27.77734375" style="3" bestFit="1" customWidth="1"/>
    <col min="3" max="3" width="24" style="3" bestFit="1" customWidth="1"/>
    <col min="4" max="4" width="20.21875" style="3" customWidth="1"/>
    <col min="5" max="5" width="32.88671875" style="3" bestFit="1" customWidth="1"/>
    <col min="6" max="6" width="31.109375" style="3" bestFit="1" customWidth="1"/>
    <col min="7" max="7" width="18" style="3" bestFit="1" customWidth="1"/>
    <col min="8" max="8" width="26.6640625" customWidth="1"/>
    <col min="9" max="9" width="24" bestFit="1" customWidth="1"/>
    <col min="11" max="11" width="13.5546875" customWidth="1"/>
    <col min="12" max="12" width="24" bestFit="1" customWidth="1"/>
    <col min="13" max="13" width="52" customWidth="1"/>
    <col min="15" max="15" width="13.5546875" customWidth="1"/>
    <col min="16" max="16" width="24" bestFit="1" customWidth="1"/>
    <col min="17" max="17" width="31" customWidth="1"/>
    <col min="19" max="19" width="13.5546875" customWidth="1"/>
    <col min="20" max="20" width="52" customWidth="1"/>
    <col min="21" max="21" width="18.33203125" bestFit="1" customWidth="1"/>
    <col min="23" max="23" width="13.5546875" customWidth="1"/>
    <col min="24" max="24" width="31" customWidth="1"/>
    <col min="25" max="25" width="26.77734375" customWidth="1"/>
    <col min="27" max="27" width="13.5546875" customWidth="1"/>
    <col min="28" max="28" width="53.88671875" customWidth="1"/>
    <col min="29" max="29" width="11.5546875" style="6"/>
    <col min="30" max="30" width="13.5546875" bestFit="1" customWidth="1"/>
    <col min="32" max="32" width="55.33203125" bestFit="1" customWidth="1"/>
  </cols>
  <sheetData>
    <row r="1" spans="1:34" x14ac:dyDescent="0.3">
      <c r="A1" s="2" t="s">
        <v>55</v>
      </c>
      <c r="B1" s="1" t="s">
        <v>6</v>
      </c>
      <c r="C1" s="1" t="s">
        <v>39119</v>
      </c>
      <c r="D1" s="1" t="s">
        <v>7</v>
      </c>
      <c r="E1" s="1" t="s">
        <v>3092</v>
      </c>
      <c r="F1" s="1" t="s">
        <v>3091</v>
      </c>
      <c r="G1" s="1" t="s">
        <v>39118</v>
      </c>
      <c r="H1" s="22" t="s">
        <v>6</v>
      </c>
      <c r="I1" s="22" t="s">
        <v>39119</v>
      </c>
      <c r="J1" s="22" t="s">
        <v>3073</v>
      </c>
      <c r="K1" s="22" t="s">
        <v>3089</v>
      </c>
      <c r="L1" s="23" t="s">
        <v>39119</v>
      </c>
      <c r="M1" s="23" t="s">
        <v>7</v>
      </c>
      <c r="N1" s="23" t="s">
        <v>3073</v>
      </c>
      <c r="O1" s="23" t="s">
        <v>3089</v>
      </c>
      <c r="P1" s="22" t="s">
        <v>39119</v>
      </c>
      <c r="Q1" s="22" t="s">
        <v>3091</v>
      </c>
      <c r="R1" s="22" t="s">
        <v>3073</v>
      </c>
      <c r="S1" s="22" t="s">
        <v>3089</v>
      </c>
      <c r="T1" s="23" t="s">
        <v>7</v>
      </c>
      <c r="U1" s="23" t="s">
        <v>39165</v>
      </c>
      <c r="V1" s="23" t="s">
        <v>3073</v>
      </c>
      <c r="W1" s="23" t="s">
        <v>3089</v>
      </c>
      <c r="X1" s="22" t="s">
        <v>3091</v>
      </c>
      <c r="Y1" s="22" t="s">
        <v>39165</v>
      </c>
      <c r="Z1" s="22" t="s">
        <v>3073</v>
      </c>
      <c r="AA1" s="22" t="s">
        <v>3089</v>
      </c>
      <c r="AB1" s="2" t="s">
        <v>3096</v>
      </c>
      <c r="AC1" s="13" t="s">
        <v>3073</v>
      </c>
      <c r="AD1" s="2" t="s">
        <v>3089</v>
      </c>
      <c r="AF1" s="1" t="s">
        <v>3098</v>
      </c>
      <c r="AG1" s="1"/>
      <c r="AH1" s="1"/>
    </row>
    <row r="2" spans="1:34" ht="43.2" x14ac:dyDescent="0.3">
      <c r="A2" t="s">
        <v>3010</v>
      </c>
      <c r="B2" s="3">
        <v>3</v>
      </c>
      <c r="C2" s="3">
        <v>3</v>
      </c>
      <c r="D2" s="3">
        <v>17</v>
      </c>
      <c r="E2" s="3">
        <f>IF(OR(D2=4, D2=6, D2=8, D2=10, D2=12, D2=14), 18, D2)</f>
        <v>17</v>
      </c>
      <c r="F2" s="3">
        <f>IF(OR(E2=5, E2=7, E2=9, E2=11, E2=13, E2=15), 19, E2)</f>
        <v>17</v>
      </c>
      <c r="G2" s="3">
        <v>4</v>
      </c>
      <c r="H2" t="s">
        <v>13</v>
      </c>
      <c r="I2" s="4" t="s">
        <v>39605</v>
      </c>
      <c r="J2">
        <f>COUNTIFS($B$2:$B$386,1,$C$2:$C$386,1)</f>
        <v>3</v>
      </c>
      <c r="K2">
        <f>(J2/385)*100</f>
        <v>0.77922077922077926</v>
      </c>
      <c r="L2" s="4" t="s">
        <v>39605</v>
      </c>
      <c r="M2" t="s">
        <v>14</v>
      </c>
      <c r="N2">
        <f>COUNTIFS($C$2:$C$386,1,$D$2:$D$386,1)</f>
        <v>0</v>
      </c>
      <c r="O2">
        <f>(N2/385)*100</f>
        <v>0</v>
      </c>
      <c r="P2" s="4" t="s">
        <v>39605</v>
      </c>
      <c r="Q2" t="s">
        <v>14</v>
      </c>
      <c r="R2">
        <f>COUNTIFS($C$2:$C$386,1,$F$2:$F$386,1)</f>
        <v>0</v>
      </c>
      <c r="S2">
        <f>(R2/385)*100</f>
        <v>0</v>
      </c>
      <c r="T2" t="s">
        <v>14</v>
      </c>
      <c r="U2" s="4" t="s">
        <v>39120</v>
      </c>
      <c r="V2">
        <f>COUNTIFS($D$2:$D$386,1,$G$2:$G$386,1)</f>
        <v>0</v>
      </c>
      <c r="W2">
        <f>(V2/385)*100</f>
        <v>0</v>
      </c>
      <c r="X2" t="s">
        <v>14</v>
      </c>
      <c r="Y2" s="4" t="s">
        <v>39120</v>
      </c>
      <c r="Z2">
        <f>COUNTIFS($F$2:$F$386,1,$G$2:$G$386,1)</f>
        <v>0</v>
      </c>
      <c r="AA2">
        <f>(Z2/385)*100</f>
        <v>0</v>
      </c>
      <c r="AB2" s="30" t="s">
        <v>39166</v>
      </c>
      <c r="AC2" s="31">
        <f>COUNTIFS($B$2:$B$386,1,$C$2:$C$386,1,$F$2:$F$386,18,$G$2:$G$386,1)</f>
        <v>1</v>
      </c>
      <c r="AD2" s="6">
        <f>(AC2/385)*100</f>
        <v>0.25974025974025972</v>
      </c>
      <c r="AF2">
        <f t="shared" ref="AF2:AF65" si="0">IF(AND(B2=1, C2=1, F2=18, G2=1), 1, 2)</f>
        <v>2</v>
      </c>
      <c r="AG2" s="13">
        <f>COUNTIF($AF$2:$AF$386, 1)</f>
        <v>1</v>
      </c>
      <c r="AH2" s="13">
        <f>AG2/385</f>
        <v>2.5974025974025974E-3</v>
      </c>
    </row>
    <row r="3" spans="1:34" ht="57.6" x14ac:dyDescent="0.3">
      <c r="A3" s="6" t="s">
        <v>848</v>
      </c>
      <c r="B3" s="7">
        <v>3</v>
      </c>
      <c r="C3" s="7">
        <v>3</v>
      </c>
      <c r="D3" s="7">
        <v>17</v>
      </c>
      <c r="E3" s="3">
        <f t="shared" ref="E3:E66" si="1">IF(OR(D3=4, D3=6, D3=8, D3=10, D3=12, D3=14), 18, D3)</f>
        <v>17</v>
      </c>
      <c r="F3" s="3">
        <f t="shared" ref="F3:F66" si="2">IF(OR(E3=5, E3=7, E3=9, E3=11, E3=13, E3=15), 19, E3)</f>
        <v>17</v>
      </c>
      <c r="G3" s="7">
        <v>4</v>
      </c>
      <c r="I3" s="4" t="s">
        <v>39606</v>
      </c>
      <c r="J3">
        <f>COUNTIFS($B$2:$B$386,1,$C$2:$C$386,2)</f>
        <v>5</v>
      </c>
      <c r="K3">
        <f t="shared" ref="K3:K16" si="3">(J3/385)*100</f>
        <v>1.2987012987012987</v>
      </c>
      <c r="M3" t="s">
        <v>21</v>
      </c>
      <c r="N3">
        <f>COUNTIFS($C$2:$C$386,1,$D$2:$D$386,2)</f>
        <v>0</v>
      </c>
      <c r="O3">
        <f t="shared" ref="O3:O66" si="4">(N3/385)*100</f>
        <v>0</v>
      </c>
      <c r="Q3" t="s">
        <v>21</v>
      </c>
      <c r="R3">
        <f>COUNTIFS($C$2:$C$386,1,$F$2:$F$386,2)</f>
        <v>0</v>
      </c>
      <c r="S3">
        <f t="shared" ref="S3:S8" si="5">(R3/385)*100</f>
        <v>0</v>
      </c>
      <c r="U3" s="4" t="s">
        <v>39121</v>
      </c>
      <c r="V3">
        <f>COUNTIFS($D$2:$D$386,1,$G$2:$G$386,2)</f>
        <v>0</v>
      </c>
      <c r="W3">
        <f t="shared" ref="W3:W66" si="6">(V3/385)*100</f>
        <v>0</v>
      </c>
      <c r="Y3" s="4" t="s">
        <v>39121</v>
      </c>
      <c r="Z3">
        <f>COUNTIFS($F$2:$F$386,1,$G$2:$G$386,2)</f>
        <v>0</v>
      </c>
      <c r="AA3">
        <f t="shared" ref="AA3:AA43" si="7">(Z3/385)*100</f>
        <v>0</v>
      </c>
      <c r="AB3" s="4" t="s">
        <v>39167</v>
      </c>
      <c r="AC3" s="6">
        <f>COUNTIFS($B$2:$B$386,2,$C$2:$C$386,1,$F$2:$F$386,18,$G$2:$G$386,1)</f>
        <v>0</v>
      </c>
      <c r="AD3" s="6">
        <f t="shared" ref="AD3:AD66" si="8">(AC3/385)*100</f>
        <v>0</v>
      </c>
      <c r="AF3">
        <f t="shared" si="0"/>
        <v>2</v>
      </c>
      <c r="AG3" s="13">
        <f>COUNTIF($AF$2:$AF$386, 2)</f>
        <v>384</v>
      </c>
      <c r="AH3" s="13">
        <f>AG3/385</f>
        <v>0.9974025974025974</v>
      </c>
    </row>
    <row r="4" spans="1:34" ht="86.4" x14ac:dyDescent="0.3">
      <c r="A4" s="6" t="s">
        <v>388</v>
      </c>
      <c r="B4" s="7">
        <v>1</v>
      </c>
      <c r="C4" s="7">
        <v>3</v>
      </c>
      <c r="D4" s="7">
        <v>1</v>
      </c>
      <c r="E4" s="3">
        <f t="shared" si="1"/>
        <v>1</v>
      </c>
      <c r="F4" s="3">
        <f t="shared" si="2"/>
        <v>1</v>
      </c>
      <c r="G4" s="7">
        <v>5</v>
      </c>
      <c r="I4" s="4" t="s">
        <v>39602</v>
      </c>
      <c r="J4">
        <f>COUNTIFS($B$2:$B$386,1,$C$2:$C$386,3)</f>
        <v>95</v>
      </c>
      <c r="K4">
        <f t="shared" si="3"/>
        <v>24.675324675324674</v>
      </c>
      <c r="M4" t="s">
        <v>28</v>
      </c>
      <c r="N4">
        <f>COUNTIFS($C$2:$C$386,1,$D$2:$D$386,3)</f>
        <v>0</v>
      </c>
      <c r="O4">
        <f t="shared" si="4"/>
        <v>0</v>
      </c>
      <c r="Q4" t="s">
        <v>28</v>
      </c>
      <c r="R4">
        <f>COUNTIFS($C$2:$C$386,1,$F$2:$F$386,3)</f>
        <v>0</v>
      </c>
      <c r="S4">
        <f t="shared" si="5"/>
        <v>0</v>
      </c>
      <c r="U4" s="4" t="s">
        <v>39125</v>
      </c>
      <c r="V4">
        <f>COUNTIFS($D$2:$D$386,1,$G$2:$G$386,3)</f>
        <v>3</v>
      </c>
      <c r="W4">
        <f t="shared" si="6"/>
        <v>0.77922077922077926</v>
      </c>
      <c r="Y4" s="4" t="s">
        <v>39125</v>
      </c>
      <c r="Z4">
        <f>COUNTIFS($F$2:$F$386,1,$G$2:$G$386,3)</f>
        <v>3</v>
      </c>
      <c r="AA4">
        <f t="shared" si="7"/>
        <v>0.77922077922077926</v>
      </c>
      <c r="AB4" s="4" t="s">
        <v>39168</v>
      </c>
      <c r="AC4" s="6">
        <f>COUNTIFS($B$2:$B$386,3,$C$2:$C$386,1,$F$2:$F$386,18,$G$2:$G$386,1)</f>
        <v>0</v>
      </c>
      <c r="AD4" s="6">
        <f t="shared" si="8"/>
        <v>0</v>
      </c>
      <c r="AF4">
        <f t="shared" si="0"/>
        <v>2</v>
      </c>
    </row>
    <row r="5" spans="1:34" ht="43.2" x14ac:dyDescent="0.3">
      <c r="A5" s="6" t="s">
        <v>910</v>
      </c>
      <c r="B5" s="7">
        <v>3</v>
      </c>
      <c r="C5" s="7">
        <v>3</v>
      </c>
      <c r="D5" s="7">
        <v>17</v>
      </c>
      <c r="E5" s="3">
        <f t="shared" si="1"/>
        <v>17</v>
      </c>
      <c r="F5" s="3">
        <f t="shared" si="2"/>
        <v>17</v>
      </c>
      <c r="G5" s="7">
        <v>4</v>
      </c>
      <c r="I5" s="4" t="s">
        <v>34</v>
      </c>
      <c r="J5">
        <f>COUNTIFS($B$2:$B$386,1,$C$2:$C$386,4)</f>
        <v>0</v>
      </c>
      <c r="K5">
        <f t="shared" si="3"/>
        <v>0</v>
      </c>
      <c r="M5" t="s">
        <v>35</v>
      </c>
      <c r="N5">
        <f>COUNTIFS($C$2:$C$386,1,$D$2:$D$386,4)</f>
        <v>0</v>
      </c>
      <c r="O5">
        <f t="shared" si="4"/>
        <v>0</v>
      </c>
      <c r="Q5" t="s">
        <v>3093</v>
      </c>
      <c r="R5">
        <f>COUNTIFS($C$2:$C$386,1,$F$2:$F$386,18)</f>
        <v>3</v>
      </c>
      <c r="S5">
        <f t="shared" si="5"/>
        <v>0.77922077922077926</v>
      </c>
      <c r="U5" s="4" t="s">
        <v>39122</v>
      </c>
      <c r="V5">
        <f>COUNTIFS($D$2:$D$386,1,$G$2:$G$386,4)</f>
        <v>0</v>
      </c>
      <c r="W5">
        <f t="shared" si="6"/>
        <v>0</v>
      </c>
      <c r="Y5" s="4" t="s">
        <v>39122</v>
      </c>
      <c r="Z5">
        <f>COUNTIFS($F$2:$F$386,1,$G$2:$G$386,4)</f>
        <v>0</v>
      </c>
      <c r="AA5">
        <f t="shared" si="7"/>
        <v>0</v>
      </c>
      <c r="AB5" s="4" t="s">
        <v>39169</v>
      </c>
      <c r="AC5" s="6">
        <f>COUNTIFS($B$2:$B$386,1,$C$2:$C$386,2,$F$2:$F$386,18,$G$2:$G$386,1)</f>
        <v>0</v>
      </c>
      <c r="AD5" s="6">
        <f t="shared" si="8"/>
        <v>0</v>
      </c>
      <c r="AF5">
        <f t="shared" si="0"/>
        <v>2</v>
      </c>
    </row>
    <row r="6" spans="1:34" ht="43.2" x14ac:dyDescent="0.3">
      <c r="A6" t="s">
        <v>1623</v>
      </c>
      <c r="B6" s="3">
        <v>1</v>
      </c>
      <c r="C6" s="3">
        <v>3</v>
      </c>
      <c r="D6" s="3">
        <v>1</v>
      </c>
      <c r="E6" s="3">
        <f t="shared" si="1"/>
        <v>1</v>
      </c>
      <c r="F6" s="3">
        <f t="shared" si="2"/>
        <v>1</v>
      </c>
      <c r="G6" s="3">
        <v>5</v>
      </c>
      <c r="J6" s="22">
        <f>SUM(J2:J5)</f>
        <v>103</v>
      </c>
      <c r="K6" s="22">
        <f t="shared" si="3"/>
        <v>26.753246753246749</v>
      </c>
      <c r="M6" t="s">
        <v>40</v>
      </c>
      <c r="N6">
        <f>COUNTIFS($C$2:$C$386,1,$D$2:$D$386,5)</f>
        <v>0</v>
      </c>
      <c r="O6">
        <f t="shared" si="4"/>
        <v>0</v>
      </c>
      <c r="Q6" t="s">
        <v>3094</v>
      </c>
      <c r="R6">
        <f>COUNTIFS($C$2:$C$386,1,$F$2:$F$386,19)</f>
        <v>0</v>
      </c>
      <c r="S6">
        <f t="shared" si="5"/>
        <v>0</v>
      </c>
      <c r="U6" s="4" t="s">
        <v>39123</v>
      </c>
      <c r="V6">
        <f>COUNTIFS($D$2:$D$386,1,$G$2:$G$386,5)</f>
        <v>72</v>
      </c>
      <c r="W6">
        <f t="shared" si="6"/>
        <v>18.7012987012987</v>
      </c>
      <c r="Y6" s="4" t="s">
        <v>39123</v>
      </c>
      <c r="Z6">
        <f>COUNTIFS($F$2:$F$386,1,$G$2:$G$386,5)</f>
        <v>72</v>
      </c>
      <c r="AA6">
        <f t="shared" si="7"/>
        <v>18.7012987012987</v>
      </c>
      <c r="AB6" s="4" t="s">
        <v>39170</v>
      </c>
      <c r="AC6" s="6">
        <f>COUNTIFS($B$2:$B$386,2,$C$2:$C$386,2,$F$2:$F$386,18,$G$2:$G$386,1)</f>
        <v>0</v>
      </c>
      <c r="AD6" s="6">
        <f t="shared" si="8"/>
        <v>0</v>
      </c>
      <c r="AF6">
        <f t="shared" si="0"/>
        <v>2</v>
      </c>
    </row>
    <row r="7" spans="1:34" ht="43.2" x14ac:dyDescent="0.3">
      <c r="A7" t="s">
        <v>2075</v>
      </c>
      <c r="B7" s="3">
        <v>2</v>
      </c>
      <c r="C7" s="3">
        <v>3</v>
      </c>
      <c r="D7" s="3">
        <v>17</v>
      </c>
      <c r="E7" s="3">
        <f t="shared" si="1"/>
        <v>17</v>
      </c>
      <c r="F7" s="3">
        <f t="shared" si="2"/>
        <v>17</v>
      </c>
      <c r="G7" s="3">
        <v>4</v>
      </c>
      <c r="H7" s="4" t="s">
        <v>20</v>
      </c>
      <c r="I7" s="4" t="s">
        <v>39605</v>
      </c>
      <c r="J7">
        <f>COUNTIFS($B$2:$B$386,2,$C$2:$C$386,1)</f>
        <v>0</v>
      </c>
      <c r="K7">
        <f>(J7/385)*100</f>
        <v>0</v>
      </c>
      <c r="M7" t="s">
        <v>44</v>
      </c>
      <c r="N7">
        <f>COUNTIFS($C$2:$C$386,1,$D$2:$D$386,6)</f>
        <v>0</v>
      </c>
      <c r="O7">
        <f t="shared" si="4"/>
        <v>0</v>
      </c>
      <c r="Q7" t="s">
        <v>50</v>
      </c>
      <c r="R7">
        <f>COUNTIFS($C$2:$C$386,1,$F$2:$F$386,16)</f>
        <v>0</v>
      </c>
      <c r="S7">
        <f t="shared" si="5"/>
        <v>0</v>
      </c>
      <c r="V7" s="23">
        <f>SUM(V2:V6)</f>
        <v>75</v>
      </c>
      <c r="W7" s="23">
        <f t="shared" si="6"/>
        <v>19.480519480519483</v>
      </c>
      <c r="Z7" s="22">
        <f>SUM(Z2:Z6)</f>
        <v>75</v>
      </c>
      <c r="AA7" s="22">
        <f t="shared" si="7"/>
        <v>19.480519480519483</v>
      </c>
      <c r="AB7" s="4" t="s">
        <v>39171</v>
      </c>
      <c r="AC7" s="6">
        <f>COUNTIFS($B$2:$B$386,3,$C$2:$C$386,2,$F$2:$F$386,18,$G$2:$G$386,1)</f>
        <v>0</v>
      </c>
      <c r="AD7" s="6">
        <f t="shared" si="8"/>
        <v>0</v>
      </c>
      <c r="AF7">
        <f t="shared" si="0"/>
        <v>2</v>
      </c>
    </row>
    <row r="8" spans="1:34" ht="57.6" x14ac:dyDescent="0.3">
      <c r="A8" t="s">
        <v>1532</v>
      </c>
      <c r="B8" s="7">
        <v>3</v>
      </c>
      <c r="C8" s="7">
        <v>3</v>
      </c>
      <c r="D8" s="7">
        <v>17</v>
      </c>
      <c r="E8" s="3">
        <f t="shared" si="1"/>
        <v>17</v>
      </c>
      <c r="F8" s="3">
        <f t="shared" si="2"/>
        <v>17</v>
      </c>
      <c r="G8" s="7">
        <v>4</v>
      </c>
      <c r="I8" s="4" t="s">
        <v>39606</v>
      </c>
      <c r="J8">
        <f>COUNTIFS($B$2:$B$386,2,$C$2:$C$386,2)</f>
        <v>27</v>
      </c>
      <c r="K8">
        <f t="shared" si="3"/>
        <v>7.0129870129870122</v>
      </c>
      <c r="M8" t="s">
        <v>47</v>
      </c>
      <c r="N8">
        <f>COUNTIFS($C$2:$C$386,1,$D$2:$D$386,7)</f>
        <v>0</v>
      </c>
      <c r="O8">
        <f t="shared" si="4"/>
        <v>0</v>
      </c>
      <c r="Q8" t="s">
        <v>3095</v>
      </c>
      <c r="R8">
        <f>COUNTIFS($C$2:$C$386,1,$F$2:$F$386,17)</f>
        <v>0</v>
      </c>
      <c r="S8">
        <f t="shared" si="5"/>
        <v>0</v>
      </c>
      <c r="T8" t="s">
        <v>21</v>
      </c>
      <c r="U8" s="4" t="s">
        <v>39120</v>
      </c>
      <c r="V8">
        <f>COUNTIFS($D$2:$D$386,2,$G$2:$G$386,1)</f>
        <v>0</v>
      </c>
      <c r="W8">
        <f>(V8/385)*100</f>
        <v>0</v>
      </c>
      <c r="X8" t="s">
        <v>21</v>
      </c>
      <c r="Y8" s="4" t="s">
        <v>39120</v>
      </c>
      <c r="Z8">
        <f>COUNTIFS($F$2:$F$386,2,$G$2:$G$386,1)</f>
        <v>0</v>
      </c>
      <c r="AA8">
        <f>(Z8/385)*100</f>
        <v>0</v>
      </c>
      <c r="AB8" s="4" t="s">
        <v>39172</v>
      </c>
      <c r="AC8" s="6">
        <f>COUNTIFS($B$2:$B$386,1,$C$2:$C$386,3,$F$2:$F$386,18,$G$2:$G$386,1)</f>
        <v>0</v>
      </c>
      <c r="AD8" s="6">
        <f t="shared" si="8"/>
        <v>0</v>
      </c>
      <c r="AF8">
        <f t="shared" si="0"/>
        <v>2</v>
      </c>
    </row>
    <row r="9" spans="1:34" ht="86.4" x14ac:dyDescent="0.3">
      <c r="A9" t="s">
        <v>1323</v>
      </c>
      <c r="B9" s="7">
        <v>3</v>
      </c>
      <c r="C9" s="7">
        <v>3</v>
      </c>
      <c r="D9" s="7">
        <v>17</v>
      </c>
      <c r="E9" s="3">
        <f t="shared" si="1"/>
        <v>17</v>
      </c>
      <c r="F9" s="3">
        <f t="shared" si="2"/>
        <v>17</v>
      </c>
      <c r="G9" s="7">
        <v>4</v>
      </c>
      <c r="I9" s="4" t="s">
        <v>39602</v>
      </c>
      <c r="J9">
        <f>COUNTIFS($B$2:$B$386,2,$C$2:$C$386,3)</f>
        <v>23</v>
      </c>
      <c r="K9">
        <f t="shared" si="3"/>
        <v>5.9740259740259738</v>
      </c>
      <c r="M9" t="s">
        <v>1637</v>
      </c>
      <c r="N9">
        <f>COUNTIFS($C$2:$C$386,1,$D$2:$D$386,8)</f>
        <v>1</v>
      </c>
      <c r="O9">
        <f t="shared" si="4"/>
        <v>0.25974025974025972</v>
      </c>
      <c r="R9" s="22">
        <f>SUM(R2:R8)</f>
        <v>3</v>
      </c>
      <c r="S9" s="22">
        <f>(R9/385)*100</f>
        <v>0.77922077922077926</v>
      </c>
      <c r="U9" s="4" t="s">
        <v>39121</v>
      </c>
      <c r="V9">
        <f>COUNTIFS($D$2:$D$386,2,$G$2:$G$386,2)</f>
        <v>0</v>
      </c>
      <c r="W9">
        <f t="shared" si="6"/>
        <v>0</v>
      </c>
      <c r="Y9" s="4" t="s">
        <v>39121</v>
      </c>
      <c r="Z9">
        <f>COUNTIFS($F$2:$F$386,2,$G$2:$G$386,2)</f>
        <v>0</v>
      </c>
      <c r="AA9">
        <f t="shared" si="7"/>
        <v>0</v>
      </c>
      <c r="AB9" s="4" t="s">
        <v>39173</v>
      </c>
      <c r="AC9" s="6">
        <f>COUNTIFS($B$2:$B$386,2,$C$2:$C$386,3,$F$2:$F$386,18,$G$2:$G$386,1)</f>
        <v>0</v>
      </c>
      <c r="AD9" s="6">
        <f t="shared" si="8"/>
        <v>0</v>
      </c>
      <c r="AF9">
        <f t="shared" si="0"/>
        <v>2</v>
      </c>
    </row>
    <row r="10" spans="1:34" ht="57.6" x14ac:dyDescent="0.3">
      <c r="A10" s="6" t="s">
        <v>275</v>
      </c>
      <c r="B10" s="7">
        <v>3</v>
      </c>
      <c r="C10" s="7">
        <v>3</v>
      </c>
      <c r="D10" s="7">
        <v>17</v>
      </c>
      <c r="E10" s="3">
        <f t="shared" si="1"/>
        <v>17</v>
      </c>
      <c r="F10" s="3">
        <f t="shared" si="2"/>
        <v>17</v>
      </c>
      <c r="G10" s="7">
        <v>4</v>
      </c>
      <c r="I10" s="4" t="s">
        <v>34</v>
      </c>
      <c r="J10">
        <f>COUNTIFS($B$2:$B$386,2,$C$2:$C$386,4)</f>
        <v>0</v>
      </c>
      <c r="K10">
        <f t="shared" si="3"/>
        <v>0</v>
      </c>
      <c r="M10" t="s">
        <v>1638</v>
      </c>
      <c r="N10">
        <f>COUNTIFS($C$2:$C$386,1,$D$2:$D$386,9)</f>
        <v>0</v>
      </c>
      <c r="O10">
        <f t="shared" si="4"/>
        <v>0</v>
      </c>
      <c r="P10" s="4" t="s">
        <v>39606</v>
      </c>
      <c r="Q10" t="s">
        <v>14</v>
      </c>
      <c r="R10">
        <f>COUNTIFS($C$2:$C$386,2,$F$2:$F$386,1)</f>
        <v>2</v>
      </c>
      <c r="S10">
        <f>(R10/385)*100</f>
        <v>0.51948051948051943</v>
      </c>
      <c r="U10" s="4" t="s">
        <v>39125</v>
      </c>
      <c r="V10">
        <f>COUNTIFS($D$2:$D$386,2,$G$2:$G$386,3)</f>
        <v>0</v>
      </c>
      <c r="W10">
        <f t="shared" si="6"/>
        <v>0</v>
      </c>
      <c r="Y10" s="4" t="s">
        <v>39125</v>
      </c>
      <c r="Z10">
        <f>COUNTIFS($F$2:$F$386,2,$G$2:$G$386,3)</f>
        <v>0</v>
      </c>
      <c r="AA10">
        <f t="shared" si="7"/>
        <v>0</v>
      </c>
      <c r="AB10" s="4" t="s">
        <v>39174</v>
      </c>
      <c r="AC10" s="6">
        <f>COUNTIFS($B$2:$B$386,3,$C$2:$C$386,3,$F$2:$F$386,18,$G$2:$G$386,1)</f>
        <v>0</v>
      </c>
      <c r="AD10" s="6">
        <f t="shared" si="8"/>
        <v>0</v>
      </c>
      <c r="AF10">
        <f t="shared" si="0"/>
        <v>2</v>
      </c>
    </row>
    <row r="11" spans="1:34" ht="43.2" x14ac:dyDescent="0.3">
      <c r="A11" t="s">
        <v>2347</v>
      </c>
      <c r="B11" s="7">
        <v>3</v>
      </c>
      <c r="C11" s="7">
        <v>3</v>
      </c>
      <c r="D11" s="7">
        <v>17</v>
      </c>
      <c r="E11" s="3">
        <f t="shared" si="1"/>
        <v>17</v>
      </c>
      <c r="F11" s="3">
        <f t="shared" si="2"/>
        <v>17</v>
      </c>
      <c r="G11" s="7">
        <v>4</v>
      </c>
      <c r="J11" s="22">
        <f>SUM(J7:J10)</f>
        <v>50</v>
      </c>
      <c r="K11" s="22">
        <f t="shared" si="3"/>
        <v>12.987012987012985</v>
      </c>
      <c r="M11" t="s">
        <v>1639</v>
      </c>
      <c r="N11">
        <f>COUNTIFS($C$2:$C$386,1,$D$2:$D$386,10)</f>
        <v>1</v>
      </c>
      <c r="O11">
        <f t="shared" si="4"/>
        <v>0.25974025974025972</v>
      </c>
      <c r="Q11" t="s">
        <v>21</v>
      </c>
      <c r="R11">
        <f>COUNTIFS($C$2:$C$386,2,$F$2:$F$386,2)</f>
        <v>1</v>
      </c>
      <c r="S11">
        <f t="shared" ref="S11:S16" si="9">(R11/385)*100</f>
        <v>0.25974025974025972</v>
      </c>
      <c r="U11" s="4" t="s">
        <v>39122</v>
      </c>
      <c r="V11">
        <f>COUNTIFS($D$2:$D$386,2,$G$2:$G$386,4)</f>
        <v>0</v>
      </c>
      <c r="W11">
        <f t="shared" si="6"/>
        <v>0</v>
      </c>
      <c r="Y11" s="4" t="s">
        <v>39122</v>
      </c>
      <c r="Z11">
        <f>COUNTIFS($F$2:$F$386,2,$G$2:$G$386,4)</f>
        <v>0</v>
      </c>
      <c r="AA11">
        <f t="shared" si="7"/>
        <v>0</v>
      </c>
      <c r="AB11" s="4" t="s">
        <v>39175</v>
      </c>
      <c r="AC11" s="6">
        <f>COUNTIFS($B$2:$B$386,1,$C$2:$C$386,4,$F$2:$F$386,18,$G$2:$G$386,1)</f>
        <v>0</v>
      </c>
      <c r="AD11" s="6">
        <f t="shared" si="8"/>
        <v>0</v>
      </c>
      <c r="AF11">
        <f t="shared" si="0"/>
        <v>2</v>
      </c>
    </row>
    <row r="12" spans="1:34" ht="43.2" x14ac:dyDescent="0.3">
      <c r="A12" s="6" t="s">
        <v>254</v>
      </c>
      <c r="B12" s="11">
        <v>2</v>
      </c>
      <c r="C12" s="11">
        <v>3</v>
      </c>
      <c r="D12" s="11">
        <v>17</v>
      </c>
      <c r="E12" s="3">
        <f t="shared" si="1"/>
        <v>17</v>
      </c>
      <c r="F12" s="3">
        <f t="shared" si="2"/>
        <v>17</v>
      </c>
      <c r="G12" s="11">
        <v>4</v>
      </c>
      <c r="H12" t="s">
        <v>27</v>
      </c>
      <c r="I12" s="4" t="s">
        <v>39605</v>
      </c>
      <c r="J12">
        <f>COUNTIFS($B$2:$B$386,3,$C$2:$C$386,1)</f>
        <v>0</v>
      </c>
      <c r="K12">
        <f>(J12/385)*100</f>
        <v>0</v>
      </c>
      <c r="M12" t="s">
        <v>1640</v>
      </c>
      <c r="N12">
        <f>COUNTIFS($C$2:$C$386,1,$D$2:$D$386,11)</f>
        <v>0</v>
      </c>
      <c r="O12">
        <f t="shared" si="4"/>
        <v>0</v>
      </c>
      <c r="Q12" t="s">
        <v>28</v>
      </c>
      <c r="R12">
        <f>COUNTIFS($C$2:$C$386,2,$F$2:$F$386,3)</f>
        <v>0</v>
      </c>
      <c r="S12">
        <f t="shared" si="9"/>
        <v>0</v>
      </c>
      <c r="U12" s="4" t="s">
        <v>39123</v>
      </c>
      <c r="V12">
        <f>COUNTIFS($D$2:$D$386,2,$G$2:$G$386,5)</f>
        <v>15</v>
      </c>
      <c r="W12">
        <f t="shared" si="6"/>
        <v>3.8961038961038961</v>
      </c>
      <c r="Y12" s="4" t="s">
        <v>39123</v>
      </c>
      <c r="Z12">
        <f>COUNTIFS($F$2:$F$386,2,$G$2:$G$386,5)</f>
        <v>15</v>
      </c>
      <c r="AA12">
        <f t="shared" si="7"/>
        <v>3.8961038961038961</v>
      </c>
      <c r="AB12" s="4" t="s">
        <v>39176</v>
      </c>
      <c r="AC12" s="6">
        <f>COUNTIFS($B$2:$B$386,2,$C$2:$C$386,4,$F$2:$F$386,18,$G$2:$G$386,1)</f>
        <v>0</v>
      </c>
      <c r="AD12" s="6">
        <f t="shared" si="8"/>
        <v>0</v>
      </c>
      <c r="AF12">
        <f t="shared" si="0"/>
        <v>2</v>
      </c>
    </row>
    <row r="13" spans="1:34" ht="57.6" x14ac:dyDescent="0.3">
      <c r="A13" t="s">
        <v>2911</v>
      </c>
      <c r="B13" s="3">
        <v>3</v>
      </c>
      <c r="C13" s="3">
        <v>3</v>
      </c>
      <c r="D13" s="3">
        <v>17</v>
      </c>
      <c r="E13" s="3">
        <f t="shared" si="1"/>
        <v>17</v>
      </c>
      <c r="F13" s="3">
        <f t="shared" si="2"/>
        <v>17</v>
      </c>
      <c r="G13" s="3">
        <v>4</v>
      </c>
      <c r="I13" s="4" t="s">
        <v>39606</v>
      </c>
      <c r="J13">
        <f>COUNTIFS($B$2:$B$386,3,$C$2:$C$386,2)</f>
        <v>1</v>
      </c>
      <c r="K13">
        <f t="shared" si="3"/>
        <v>0.25974025974025972</v>
      </c>
      <c r="M13" t="s">
        <v>1641</v>
      </c>
      <c r="N13">
        <f>COUNTIFS($C$2:$C$386,1,$D$2:$D$386,12)</f>
        <v>1</v>
      </c>
      <c r="O13">
        <f t="shared" si="4"/>
        <v>0.25974025974025972</v>
      </c>
      <c r="Q13" t="s">
        <v>3093</v>
      </c>
      <c r="R13">
        <f>COUNTIFS($C$2:$C$386,2,$F$2:$F$386,18)</f>
        <v>3</v>
      </c>
      <c r="S13">
        <f t="shared" si="9"/>
        <v>0.77922077922077926</v>
      </c>
      <c r="V13" s="23">
        <f>SUM(V8:V12)</f>
        <v>15</v>
      </c>
      <c r="W13" s="23">
        <f t="shared" si="6"/>
        <v>3.8961038961038961</v>
      </c>
      <c r="Z13" s="22">
        <f>SUM(Z8:Z12)</f>
        <v>15</v>
      </c>
      <c r="AA13" s="22">
        <f t="shared" si="7"/>
        <v>3.8961038961038961</v>
      </c>
      <c r="AB13" s="4" t="s">
        <v>39178</v>
      </c>
      <c r="AC13" s="6">
        <f>COUNTIFS($B$2:$B$386,3,$C$2:$C$386,4,$F$2:$F$386,18,$G$2:$G$386,1)</f>
        <v>0</v>
      </c>
      <c r="AD13" s="6">
        <f t="shared" si="8"/>
        <v>0</v>
      </c>
      <c r="AF13">
        <f t="shared" si="0"/>
        <v>2</v>
      </c>
    </row>
    <row r="14" spans="1:34" ht="86.4" x14ac:dyDescent="0.3">
      <c r="A14" s="6" t="s">
        <v>1469</v>
      </c>
      <c r="B14" s="7">
        <v>3</v>
      </c>
      <c r="C14" s="7">
        <v>3</v>
      </c>
      <c r="D14" s="7">
        <v>17</v>
      </c>
      <c r="E14" s="3">
        <f t="shared" si="1"/>
        <v>17</v>
      </c>
      <c r="F14" s="3">
        <f t="shared" si="2"/>
        <v>17</v>
      </c>
      <c r="G14" s="7">
        <v>4</v>
      </c>
      <c r="I14" s="4" t="s">
        <v>39602</v>
      </c>
      <c r="J14">
        <f>COUNTIFS($B$2:$B$386,3,$C$2:$C$386,3)</f>
        <v>231</v>
      </c>
      <c r="K14">
        <f t="shared" si="3"/>
        <v>60</v>
      </c>
      <c r="M14" t="s">
        <v>1642</v>
      </c>
      <c r="N14">
        <f>COUNTIFS($C$2:$C$386,1,$D$2:$D$386,13)</f>
        <v>0</v>
      </c>
      <c r="O14">
        <f t="shared" si="4"/>
        <v>0</v>
      </c>
      <c r="Q14" t="s">
        <v>3094</v>
      </c>
      <c r="R14">
        <f>COUNTIFS($C$2:$C$386,2,$F$2:$F$386,19)</f>
        <v>2</v>
      </c>
      <c r="S14">
        <f t="shared" si="9"/>
        <v>0.51948051948051943</v>
      </c>
      <c r="T14" t="s">
        <v>28</v>
      </c>
      <c r="U14" s="4" t="s">
        <v>39120</v>
      </c>
      <c r="V14">
        <f>COUNTIFS($D$2:$D$386,3,$G$2:$G$386,1)</f>
        <v>0</v>
      </c>
      <c r="W14">
        <f>(V14/385)*100</f>
        <v>0</v>
      </c>
      <c r="X14" t="s">
        <v>28</v>
      </c>
      <c r="Y14" s="4" t="s">
        <v>39120</v>
      </c>
      <c r="Z14">
        <f>COUNTIFS($F$2:$F$386,3,$G$2:$G$386,1)</f>
        <v>0</v>
      </c>
      <c r="AA14">
        <f>(Z14/385)*100</f>
        <v>0</v>
      </c>
      <c r="AB14" s="4" t="s">
        <v>39177</v>
      </c>
      <c r="AC14" s="6">
        <f>COUNTIFS($B$2:$B$386,1,$C$2:$C$386,1,$F$2:$F$386,19,$G$2:$G$386,1)</f>
        <v>0</v>
      </c>
      <c r="AD14" s="6">
        <f t="shared" si="8"/>
        <v>0</v>
      </c>
      <c r="AF14">
        <f t="shared" si="0"/>
        <v>2</v>
      </c>
    </row>
    <row r="15" spans="1:34" ht="43.2" x14ac:dyDescent="0.3">
      <c r="A15" t="s">
        <v>1952</v>
      </c>
      <c r="B15" s="7">
        <v>3</v>
      </c>
      <c r="C15" s="7">
        <v>3</v>
      </c>
      <c r="D15" s="7">
        <v>17</v>
      </c>
      <c r="E15" s="3">
        <f t="shared" si="1"/>
        <v>17</v>
      </c>
      <c r="F15" s="3">
        <f t="shared" si="2"/>
        <v>17</v>
      </c>
      <c r="G15" s="7">
        <v>4</v>
      </c>
      <c r="I15" s="4" t="s">
        <v>34</v>
      </c>
      <c r="J15">
        <f>COUNTIFS($B$2:$B$386,3,$C$2:$C$386,4)</f>
        <v>0</v>
      </c>
      <c r="K15">
        <f t="shared" si="3"/>
        <v>0</v>
      </c>
      <c r="M15" t="s">
        <v>1643</v>
      </c>
      <c r="N15">
        <f>COUNTIFS($C$2:$C$386,1,$D$2:$D$386,14)</f>
        <v>0</v>
      </c>
      <c r="O15">
        <f t="shared" si="4"/>
        <v>0</v>
      </c>
      <c r="Q15" t="s">
        <v>50</v>
      </c>
      <c r="R15">
        <f>COUNTIFS($C$2:$C$386,2,$F$2:$F$386,16)</f>
        <v>20</v>
      </c>
      <c r="S15">
        <f t="shared" si="9"/>
        <v>5.1948051948051948</v>
      </c>
      <c r="U15" s="4" t="s">
        <v>39121</v>
      </c>
      <c r="V15">
        <f>COUNTIFS($D$2:$D$386,3,$G$2:$G$386,2)</f>
        <v>0</v>
      </c>
      <c r="W15">
        <f t="shared" si="6"/>
        <v>0</v>
      </c>
      <c r="Y15" s="4" t="s">
        <v>39121</v>
      </c>
      <c r="Z15">
        <f>COUNTIFS($F$2:$F$386,3,$G$2:$G$386,2)</f>
        <v>0</v>
      </c>
      <c r="AA15">
        <f t="shared" si="7"/>
        <v>0</v>
      </c>
      <c r="AB15" s="4" t="s">
        <v>39179</v>
      </c>
      <c r="AC15" s="6">
        <f>COUNTIFS($B$2:$B$386,2,$C$2:$C$386,1,$F$2:$F$386,19,$G$2:$G$386,1)</f>
        <v>0</v>
      </c>
      <c r="AD15" s="6">
        <f t="shared" si="8"/>
        <v>0</v>
      </c>
      <c r="AF15">
        <f t="shared" si="0"/>
        <v>2</v>
      </c>
    </row>
    <row r="16" spans="1:34" ht="57.6" x14ac:dyDescent="0.3">
      <c r="A16" t="s">
        <v>2229</v>
      </c>
      <c r="B16" s="7">
        <v>3</v>
      </c>
      <c r="C16" s="7">
        <v>3</v>
      </c>
      <c r="D16" s="7">
        <v>17</v>
      </c>
      <c r="E16" s="3">
        <f t="shared" si="1"/>
        <v>17</v>
      </c>
      <c r="F16" s="3">
        <f t="shared" si="2"/>
        <v>17</v>
      </c>
      <c r="G16" s="7">
        <v>4</v>
      </c>
      <c r="J16" s="22">
        <f>SUM(J12:J15)</f>
        <v>232</v>
      </c>
      <c r="K16" s="22">
        <f t="shared" si="3"/>
        <v>60.259740259740255</v>
      </c>
      <c r="M16" t="s">
        <v>1644</v>
      </c>
      <c r="N16">
        <f>COUNTIFS($C$2:$C$386,1,$D$2:$D$386,15)</f>
        <v>0</v>
      </c>
      <c r="O16">
        <f t="shared" si="4"/>
        <v>0</v>
      </c>
      <c r="Q16" t="s">
        <v>3095</v>
      </c>
      <c r="R16">
        <f>COUNTIFS($C$2:$C$386,2,$F$2:$F$386,17)</f>
        <v>5</v>
      </c>
      <c r="S16">
        <f t="shared" si="9"/>
        <v>1.2987012987012987</v>
      </c>
      <c r="U16" s="4" t="s">
        <v>39125</v>
      </c>
      <c r="V16">
        <f>COUNTIFS($D$2:$D$386,3,$G$2:$G$386,3)</f>
        <v>0</v>
      </c>
      <c r="W16">
        <f t="shared" si="6"/>
        <v>0</v>
      </c>
      <c r="Y16" s="4" t="s">
        <v>39125</v>
      </c>
      <c r="Z16">
        <f>COUNTIFS($F$2:$F$386,3,$G$2:$G$386,3)</f>
        <v>0</v>
      </c>
      <c r="AA16">
        <f t="shared" si="7"/>
        <v>0</v>
      </c>
      <c r="AB16" s="4" t="s">
        <v>39180</v>
      </c>
      <c r="AC16" s="6">
        <f>COUNTIFS($B$2:$B$386,3,$C$2:$C$386,1,$F$2:$F$386,19,$G$2:$G$386,1)</f>
        <v>0</v>
      </c>
      <c r="AD16" s="6">
        <f t="shared" si="8"/>
        <v>0</v>
      </c>
      <c r="AF16">
        <f t="shared" si="0"/>
        <v>2</v>
      </c>
    </row>
    <row r="17" spans="1:32" ht="43.2" x14ac:dyDescent="0.3">
      <c r="A17" s="6" t="s">
        <v>200</v>
      </c>
      <c r="B17" s="11">
        <v>2</v>
      </c>
      <c r="C17" s="11">
        <v>2</v>
      </c>
      <c r="D17" s="11">
        <v>2</v>
      </c>
      <c r="E17" s="3">
        <f t="shared" si="1"/>
        <v>2</v>
      </c>
      <c r="F17" s="3">
        <f t="shared" si="2"/>
        <v>2</v>
      </c>
      <c r="G17" s="11">
        <v>5</v>
      </c>
      <c r="M17" t="s">
        <v>29</v>
      </c>
      <c r="N17">
        <f>COUNTIFS($C$2:$C$386,1,$D$2:$D$386,16)</f>
        <v>0</v>
      </c>
      <c r="O17">
        <f t="shared" si="4"/>
        <v>0</v>
      </c>
      <c r="R17" s="22">
        <f>SUM(R10:R16)</f>
        <v>33</v>
      </c>
      <c r="S17" s="22">
        <f>(R17/385)*100</f>
        <v>8.5714285714285712</v>
      </c>
      <c r="U17" s="4" t="s">
        <v>39122</v>
      </c>
      <c r="V17">
        <f>COUNTIFS($D$2:$D$386,3,$G$2:$G$386,4)</f>
        <v>0</v>
      </c>
      <c r="W17">
        <f t="shared" si="6"/>
        <v>0</v>
      </c>
      <c r="Y17" s="4" t="s">
        <v>39122</v>
      </c>
      <c r="Z17">
        <f>COUNTIFS($F$2:$F$386,3,$G$2:$G$386,4)</f>
        <v>0</v>
      </c>
      <c r="AA17">
        <f t="shared" si="7"/>
        <v>0</v>
      </c>
      <c r="AB17" s="4" t="s">
        <v>39181</v>
      </c>
      <c r="AC17" s="6">
        <f>COUNTIFS($B$2:$B$386,1,$C$2:$C$386,2,$F$2:$F$386,19,$G$2:$G$386,1)</f>
        <v>0</v>
      </c>
      <c r="AD17" s="6">
        <f t="shared" si="8"/>
        <v>0</v>
      </c>
      <c r="AF17">
        <f t="shared" si="0"/>
        <v>2</v>
      </c>
    </row>
    <row r="18" spans="1:32" ht="86.4" x14ac:dyDescent="0.3">
      <c r="A18" s="6" t="s">
        <v>327</v>
      </c>
      <c r="B18" s="7">
        <v>3</v>
      </c>
      <c r="C18" s="7">
        <v>3</v>
      </c>
      <c r="D18" s="7">
        <v>17</v>
      </c>
      <c r="E18" s="3">
        <f t="shared" si="1"/>
        <v>17</v>
      </c>
      <c r="F18" s="3">
        <f t="shared" si="2"/>
        <v>17</v>
      </c>
      <c r="G18" s="7">
        <v>4</v>
      </c>
      <c r="M18" t="s">
        <v>54</v>
      </c>
      <c r="N18">
        <f>COUNTIFS($C$2:$C$386,1,$D$2:$D$386,17)</f>
        <v>0</v>
      </c>
      <c r="O18">
        <f t="shared" si="4"/>
        <v>0</v>
      </c>
      <c r="P18" s="4" t="s">
        <v>39602</v>
      </c>
      <c r="Q18" t="s">
        <v>14</v>
      </c>
      <c r="R18">
        <f>COUNTIFS($C$2:$C$386,3,$F$2:$F$386,1)</f>
        <v>73</v>
      </c>
      <c r="S18">
        <f>(R18/385)*100</f>
        <v>18.961038961038962</v>
      </c>
      <c r="U18" s="4" t="s">
        <v>39123</v>
      </c>
      <c r="V18">
        <f>COUNTIFS($D$2:$D$386,3,$G$2:$G$386,5)</f>
        <v>6</v>
      </c>
      <c r="W18">
        <f t="shared" si="6"/>
        <v>1.5584415584415585</v>
      </c>
      <c r="Y18" s="4" t="s">
        <v>39123</v>
      </c>
      <c r="Z18">
        <f>COUNTIFS($F$2:$F$386,3,$G$2:$G$386,5)</f>
        <v>6</v>
      </c>
      <c r="AA18">
        <f t="shared" si="7"/>
        <v>1.5584415584415585</v>
      </c>
      <c r="AB18" s="4" t="s">
        <v>39182</v>
      </c>
      <c r="AC18" s="6">
        <f>COUNTIFS($B$2:$B$386,2,$C$2:$C$386,2,$F$2:$F$386,19,$G$2:$G$386,1)</f>
        <v>0</v>
      </c>
      <c r="AD18" s="6">
        <f t="shared" si="8"/>
        <v>0</v>
      </c>
      <c r="AF18">
        <f t="shared" si="0"/>
        <v>2</v>
      </c>
    </row>
    <row r="19" spans="1:32" ht="43.2" x14ac:dyDescent="0.3">
      <c r="A19" t="s">
        <v>2618</v>
      </c>
      <c r="B19" s="3">
        <v>3</v>
      </c>
      <c r="C19" s="3">
        <v>3</v>
      </c>
      <c r="D19" s="3">
        <v>17</v>
      </c>
      <c r="E19" s="3">
        <f t="shared" si="1"/>
        <v>17</v>
      </c>
      <c r="F19" s="3">
        <f t="shared" si="2"/>
        <v>17</v>
      </c>
      <c r="G19" s="3">
        <v>4</v>
      </c>
      <c r="N19" s="23">
        <f>SUM(N2:N18)</f>
        <v>3</v>
      </c>
      <c r="O19" s="23">
        <f t="shared" si="4"/>
        <v>0.77922077922077926</v>
      </c>
      <c r="Q19" t="s">
        <v>21</v>
      </c>
      <c r="R19">
        <f>COUNTIFS($C$2:$C$386,3,$F$2:$F$386,2)</f>
        <v>14</v>
      </c>
      <c r="S19">
        <f t="shared" ref="S19:S24" si="10">(R19/385)*100</f>
        <v>3.6363636363636362</v>
      </c>
      <c r="V19" s="23">
        <f>SUM(V14:V18)</f>
        <v>6</v>
      </c>
      <c r="W19" s="23">
        <f t="shared" si="6"/>
        <v>1.5584415584415585</v>
      </c>
      <c r="Z19" s="22">
        <f>SUM(Z14:Z18)</f>
        <v>6</v>
      </c>
      <c r="AA19" s="22">
        <f t="shared" si="7"/>
        <v>1.5584415584415585</v>
      </c>
      <c r="AB19" s="4" t="s">
        <v>39183</v>
      </c>
      <c r="AC19" s="6">
        <f>COUNTIFS($B$2:$B$386,3,$C$2:$C$386,2,$F$2:$F$386,19,$G$2:$G$386,1)</f>
        <v>0</v>
      </c>
      <c r="AD19" s="6">
        <f t="shared" si="8"/>
        <v>0</v>
      </c>
      <c r="AF19">
        <f t="shared" si="0"/>
        <v>2</v>
      </c>
    </row>
    <row r="20" spans="1:32" ht="57.6" x14ac:dyDescent="0.3">
      <c r="A20" s="6" t="s">
        <v>107</v>
      </c>
      <c r="B20" s="7">
        <v>3</v>
      </c>
      <c r="C20" s="7">
        <v>3</v>
      </c>
      <c r="D20" s="7">
        <v>17</v>
      </c>
      <c r="E20" s="3">
        <f t="shared" si="1"/>
        <v>17</v>
      </c>
      <c r="F20" s="3">
        <f t="shared" si="2"/>
        <v>17</v>
      </c>
      <c r="G20" s="7">
        <v>4</v>
      </c>
      <c r="L20" s="4" t="s">
        <v>39606</v>
      </c>
      <c r="M20" t="s">
        <v>14</v>
      </c>
      <c r="N20">
        <f>COUNTIFS($C$2:$C$386,2,$D$2:$D$386,1)</f>
        <v>2</v>
      </c>
      <c r="O20">
        <f>(N20/385)*100</f>
        <v>0.51948051948051943</v>
      </c>
      <c r="Q20" t="s">
        <v>28</v>
      </c>
      <c r="R20">
        <f>COUNTIFS($C$2:$C$386,3,$F$2:$F$386,3)</f>
        <v>6</v>
      </c>
      <c r="S20">
        <f t="shared" si="10"/>
        <v>1.5584415584415585</v>
      </c>
      <c r="T20" t="s">
        <v>35</v>
      </c>
      <c r="U20" s="4" t="s">
        <v>39120</v>
      </c>
      <c r="V20">
        <f>COUNTIFS($D$2:$D$386,4,$G$2:$G$386,1)</f>
        <v>0</v>
      </c>
      <c r="W20">
        <f>(V20/385)*100</f>
        <v>0</v>
      </c>
      <c r="X20" t="s">
        <v>3093</v>
      </c>
      <c r="Y20" s="4" t="s">
        <v>39120</v>
      </c>
      <c r="Z20">
        <f>COUNTIFS($F$2:$F$386,18,$G$2:$G$386,1)</f>
        <v>1</v>
      </c>
      <c r="AA20">
        <f>(Z20/385)*100</f>
        <v>0.25974025974025972</v>
      </c>
      <c r="AB20" s="4" t="s">
        <v>39184</v>
      </c>
      <c r="AC20" s="6">
        <f>COUNTIFS($B$2:$B$386,1,$C$2:$C$386,3,$F$2:$F$386,19,$G$2:$G$386,1)</f>
        <v>0</v>
      </c>
      <c r="AD20" s="6">
        <f t="shared" si="8"/>
        <v>0</v>
      </c>
      <c r="AF20">
        <f t="shared" si="0"/>
        <v>2</v>
      </c>
    </row>
    <row r="21" spans="1:32" ht="43.2" x14ac:dyDescent="0.3">
      <c r="A21" s="6" t="s">
        <v>1084</v>
      </c>
      <c r="B21" s="7">
        <v>3</v>
      </c>
      <c r="C21" s="7">
        <v>3</v>
      </c>
      <c r="D21" s="7">
        <v>17</v>
      </c>
      <c r="E21" s="3">
        <f t="shared" si="1"/>
        <v>17</v>
      </c>
      <c r="F21" s="3">
        <f t="shared" si="2"/>
        <v>17</v>
      </c>
      <c r="G21" s="7">
        <v>4</v>
      </c>
      <c r="M21" t="s">
        <v>21</v>
      </c>
      <c r="N21">
        <f>COUNTIFS($C$2:$C$386,2,$D$2:$D$386,2)</f>
        <v>1</v>
      </c>
      <c r="O21">
        <f t="shared" si="4"/>
        <v>0.25974025974025972</v>
      </c>
      <c r="Q21" t="s">
        <v>3093</v>
      </c>
      <c r="R21">
        <f>COUNTIFS($C$2:$C$386,3,$F$2:$F$386,18)</f>
        <v>0</v>
      </c>
      <c r="S21">
        <f t="shared" si="10"/>
        <v>0</v>
      </c>
      <c r="U21" s="4" t="s">
        <v>39121</v>
      </c>
      <c r="V21">
        <f>COUNTIFS($D$2:$D$386,4,$G$2:$G$386,2)</f>
        <v>2</v>
      </c>
      <c r="W21">
        <f t="shared" si="6"/>
        <v>0.51948051948051943</v>
      </c>
      <c r="Y21" s="4" t="s">
        <v>39121</v>
      </c>
      <c r="Z21">
        <f>COUNTIFS($F$2:$F$386,18,$G$2:$G$386,2)</f>
        <v>4</v>
      </c>
      <c r="AA21">
        <f t="shared" si="7"/>
        <v>1.0389610389610389</v>
      </c>
      <c r="AB21" s="4" t="s">
        <v>39185</v>
      </c>
      <c r="AC21" s="6">
        <f>COUNTIFS($B$2:$B$386,2,$C$2:$C$386,3,$F$2:$F$386,19,$G$2:$G$386,1)</f>
        <v>0</v>
      </c>
      <c r="AD21" s="6">
        <f t="shared" si="8"/>
        <v>0</v>
      </c>
      <c r="AF21">
        <f t="shared" si="0"/>
        <v>2</v>
      </c>
    </row>
    <row r="22" spans="1:32" ht="57.6" x14ac:dyDescent="0.3">
      <c r="A22" t="s">
        <v>2905</v>
      </c>
      <c r="B22" s="3">
        <v>3</v>
      </c>
      <c r="C22" s="3">
        <v>3</v>
      </c>
      <c r="D22" s="3">
        <v>17</v>
      </c>
      <c r="E22" s="3">
        <f t="shared" si="1"/>
        <v>17</v>
      </c>
      <c r="F22" s="3">
        <f t="shared" si="2"/>
        <v>17</v>
      </c>
      <c r="G22" s="3">
        <v>4</v>
      </c>
      <c r="M22" t="s">
        <v>28</v>
      </c>
      <c r="N22">
        <f>COUNTIFS($C$2:$C$386,2,$D$2:$D$386,3)</f>
        <v>0</v>
      </c>
      <c r="O22">
        <f t="shared" si="4"/>
        <v>0</v>
      </c>
      <c r="Q22" t="s">
        <v>3094</v>
      </c>
      <c r="R22">
        <f>COUNTIFS($C$2:$C$386,3,$F$2:$F$386,19)</f>
        <v>3</v>
      </c>
      <c r="S22">
        <f t="shared" si="10"/>
        <v>0.77922077922077926</v>
      </c>
      <c r="U22" s="4" t="s">
        <v>39125</v>
      </c>
      <c r="V22">
        <f>COUNTIFS($D$2:$D$386,4,$G$2:$G$386,3)</f>
        <v>1</v>
      </c>
      <c r="W22">
        <f t="shared" si="6"/>
        <v>0.25974025974025972</v>
      </c>
      <c r="Y22" s="4" t="s">
        <v>39125</v>
      </c>
      <c r="Z22">
        <f>COUNTIFS($F$2:$F$386,18,$G$2:$G$386,3)</f>
        <v>1</v>
      </c>
      <c r="AA22">
        <f t="shared" si="7"/>
        <v>0.25974025974025972</v>
      </c>
      <c r="AB22" s="4" t="s">
        <v>39186</v>
      </c>
      <c r="AC22" s="6">
        <f>COUNTIFS($B$2:$B$386,3,$C$2:$C$386,3,$F$2:$F$386,19,$G$2:$G$386,1)</f>
        <v>0</v>
      </c>
      <c r="AD22" s="6">
        <f t="shared" si="8"/>
        <v>0</v>
      </c>
      <c r="AF22">
        <f t="shared" si="0"/>
        <v>2</v>
      </c>
    </row>
    <row r="23" spans="1:32" ht="43.2" x14ac:dyDescent="0.3">
      <c r="A23" s="6" t="s">
        <v>758</v>
      </c>
      <c r="B23" s="11">
        <v>1</v>
      </c>
      <c r="C23" s="11">
        <v>3</v>
      </c>
      <c r="D23" s="11">
        <v>1</v>
      </c>
      <c r="E23" s="3">
        <f t="shared" si="1"/>
        <v>1</v>
      </c>
      <c r="F23" s="3">
        <f t="shared" si="2"/>
        <v>1</v>
      </c>
      <c r="G23" s="11">
        <v>5</v>
      </c>
      <c r="M23" t="s">
        <v>35</v>
      </c>
      <c r="N23">
        <f>COUNTIFS($C$2:$C$386,2,$D$2:$D$386,4)</f>
        <v>3</v>
      </c>
      <c r="O23">
        <f t="shared" si="4"/>
        <v>0.77922077922077926</v>
      </c>
      <c r="Q23" t="s">
        <v>50</v>
      </c>
      <c r="R23">
        <f>COUNTIFS($C$2:$C$386,3,$F$2:$F$386,16)</f>
        <v>16</v>
      </c>
      <c r="S23">
        <f t="shared" si="10"/>
        <v>4.1558441558441555</v>
      </c>
      <c r="U23" s="4" t="s">
        <v>39122</v>
      </c>
      <c r="V23">
        <f>COUNTIFS($D$2:$D$386,4,$G$2:$G$386,4)</f>
        <v>0</v>
      </c>
      <c r="W23">
        <f t="shared" si="6"/>
        <v>0</v>
      </c>
      <c r="Y23" s="4" t="s">
        <v>39122</v>
      </c>
      <c r="Z23">
        <f>COUNTIFS($F$2:$F$386,18,$G$2:$G$386,4)</f>
        <v>0</v>
      </c>
      <c r="AA23">
        <f t="shared" si="7"/>
        <v>0</v>
      </c>
      <c r="AB23" s="4" t="s">
        <v>39187</v>
      </c>
      <c r="AC23" s="6">
        <f>COUNTIFS($B$2:$B$386,1,$C$2:$C$386,4,$F$2:$F$386,19,$G$2:$G$386,1)</f>
        <v>0</v>
      </c>
      <c r="AD23" s="6">
        <f t="shared" si="8"/>
        <v>0</v>
      </c>
      <c r="AF23">
        <f t="shared" si="0"/>
        <v>2</v>
      </c>
    </row>
    <row r="24" spans="1:32" ht="43.2" x14ac:dyDescent="0.3">
      <c r="A24" s="6" t="s">
        <v>495</v>
      </c>
      <c r="B24" s="7">
        <v>3</v>
      </c>
      <c r="C24" s="7">
        <v>3</v>
      </c>
      <c r="D24" s="7">
        <v>17</v>
      </c>
      <c r="E24" s="3">
        <f t="shared" si="1"/>
        <v>17</v>
      </c>
      <c r="F24" s="3">
        <f t="shared" si="2"/>
        <v>17</v>
      </c>
      <c r="G24" s="7">
        <v>4</v>
      </c>
      <c r="M24" t="s">
        <v>40</v>
      </c>
      <c r="N24">
        <f>COUNTIFS($C$2:$C$386,2,$D$2:$D$386,5)</f>
        <v>0</v>
      </c>
      <c r="O24">
        <f t="shared" si="4"/>
        <v>0</v>
      </c>
      <c r="Q24" t="s">
        <v>3095</v>
      </c>
      <c r="R24">
        <f>COUNTIFS($C$2:$C$386,3,$F$2:$F$386,17)</f>
        <v>237</v>
      </c>
      <c r="S24">
        <f t="shared" si="10"/>
        <v>61.558441558441558</v>
      </c>
      <c r="U24" s="4" t="s">
        <v>39123</v>
      </c>
      <c r="V24">
        <f>COUNTIFS($D$2:$D$386,4,$G$2:$G$386,5)</f>
        <v>0</v>
      </c>
      <c r="W24">
        <f t="shared" si="6"/>
        <v>0</v>
      </c>
      <c r="Y24" s="4" t="s">
        <v>39123</v>
      </c>
      <c r="Z24">
        <f>COUNTIFS($F$2:$F$386,18,$G$2:$G$386,5)</f>
        <v>0</v>
      </c>
      <c r="AA24">
        <f t="shared" si="7"/>
        <v>0</v>
      </c>
      <c r="AB24" s="4" t="s">
        <v>39188</v>
      </c>
      <c r="AC24" s="6">
        <f>COUNTIFS($B$2:$B$386,2,$C$2:$C$386,4,$F$2:$F$386,19,$G$2:$G$386,1)</f>
        <v>0</v>
      </c>
      <c r="AD24" s="6">
        <f t="shared" si="8"/>
        <v>0</v>
      </c>
      <c r="AF24">
        <f t="shared" si="0"/>
        <v>2</v>
      </c>
    </row>
    <row r="25" spans="1:32" ht="43.2" x14ac:dyDescent="0.3">
      <c r="A25" t="s">
        <v>1363</v>
      </c>
      <c r="B25" s="7">
        <v>3</v>
      </c>
      <c r="C25" s="7">
        <v>3</v>
      </c>
      <c r="D25" s="7">
        <v>17</v>
      </c>
      <c r="E25" s="3">
        <f t="shared" si="1"/>
        <v>17</v>
      </c>
      <c r="F25" s="3">
        <f t="shared" si="2"/>
        <v>17</v>
      </c>
      <c r="G25" s="7">
        <v>4</v>
      </c>
      <c r="M25" t="s">
        <v>44</v>
      </c>
      <c r="N25">
        <f>COUNTIFS($C$2:$C$386,2,$D$2:$D$386,6)</f>
        <v>0</v>
      </c>
      <c r="O25">
        <f t="shared" si="4"/>
        <v>0</v>
      </c>
      <c r="R25" s="22">
        <f>SUM(R18:R24)</f>
        <v>349</v>
      </c>
      <c r="S25" s="22">
        <f>(R25/385)*100</f>
        <v>90.649350649350652</v>
      </c>
      <c r="V25" s="23">
        <f>SUM(V20:V24)</f>
        <v>3</v>
      </c>
      <c r="W25" s="23">
        <f t="shared" si="6"/>
        <v>0.77922077922077926</v>
      </c>
      <c r="Z25" s="22">
        <f>SUM(Z20:Z24)</f>
        <v>6</v>
      </c>
      <c r="AA25" s="22">
        <f t="shared" si="7"/>
        <v>1.5584415584415585</v>
      </c>
      <c r="AB25" s="4" t="s">
        <v>39189</v>
      </c>
      <c r="AC25" s="6">
        <f>COUNTIFS($B$2:$B$386,3,$C$2:$C$386,4,$F$2:$F$386,19,$G$2:$G$386,1)</f>
        <v>0</v>
      </c>
      <c r="AD25" s="6">
        <f t="shared" si="8"/>
        <v>0</v>
      </c>
      <c r="AF25">
        <f t="shared" si="0"/>
        <v>2</v>
      </c>
    </row>
    <row r="26" spans="1:32" ht="43.2" x14ac:dyDescent="0.3">
      <c r="A26" s="6" t="s">
        <v>780</v>
      </c>
      <c r="B26" s="7">
        <v>2</v>
      </c>
      <c r="C26" s="7">
        <v>3</v>
      </c>
      <c r="D26" s="7">
        <v>17</v>
      </c>
      <c r="E26" s="3">
        <f t="shared" si="1"/>
        <v>17</v>
      </c>
      <c r="F26" s="3">
        <f t="shared" si="2"/>
        <v>17</v>
      </c>
      <c r="G26" s="7">
        <v>4</v>
      </c>
      <c r="M26" t="s">
        <v>47</v>
      </c>
      <c r="N26">
        <f>COUNTIFS($C$2:$C$386,2,$D$2:$D$386,7)</f>
        <v>0</v>
      </c>
      <c r="O26">
        <f t="shared" si="4"/>
        <v>0</v>
      </c>
      <c r="P26" s="4" t="s">
        <v>34</v>
      </c>
      <c r="Q26" t="s">
        <v>14</v>
      </c>
      <c r="R26">
        <f>COUNTIFS($C$2:$C$386,4,$F$2:$F$386,1)</f>
        <v>0</v>
      </c>
      <c r="S26">
        <f>(R26/385)*100</f>
        <v>0</v>
      </c>
      <c r="T26" t="s">
        <v>40</v>
      </c>
      <c r="U26" s="4" t="s">
        <v>39120</v>
      </c>
      <c r="V26">
        <f>COUNTIFS($D$2:$D$386,5,$G$2:$G$386,1)</f>
        <v>0</v>
      </c>
      <c r="W26">
        <f>(V26/385)*100</f>
        <v>0</v>
      </c>
      <c r="X26" t="s">
        <v>3094</v>
      </c>
      <c r="Y26" s="4" t="s">
        <v>39120</v>
      </c>
      <c r="Z26">
        <f>COUNTIFS($F$2:$F$386,19,$G$2:$G$386,1)</f>
        <v>0</v>
      </c>
      <c r="AA26">
        <f>(Z26/385)*100</f>
        <v>0</v>
      </c>
      <c r="AB26" s="4" t="s">
        <v>39190</v>
      </c>
      <c r="AC26" s="6">
        <f>COUNTIFS($B$2:$B$386,1,$C$2:$C$386,1,$F$2:$F$386,1,$G$2:$G$386,1)</f>
        <v>0</v>
      </c>
      <c r="AD26" s="6">
        <f t="shared" si="8"/>
        <v>0</v>
      </c>
      <c r="AF26">
        <f t="shared" si="0"/>
        <v>2</v>
      </c>
    </row>
    <row r="27" spans="1:32" ht="43.2" x14ac:dyDescent="0.3">
      <c r="A27" t="s">
        <v>1627</v>
      </c>
      <c r="B27" s="3">
        <v>3</v>
      </c>
      <c r="C27" s="3">
        <v>3</v>
      </c>
      <c r="D27" s="3">
        <v>17</v>
      </c>
      <c r="E27" s="3">
        <f t="shared" si="1"/>
        <v>17</v>
      </c>
      <c r="F27" s="3">
        <f t="shared" si="2"/>
        <v>17</v>
      </c>
      <c r="G27" s="3">
        <v>4</v>
      </c>
      <c r="M27" t="s">
        <v>1637</v>
      </c>
      <c r="N27">
        <f>COUNTIFS($C$2:$C$386,2,$D$2:$D$386,8)</f>
        <v>0</v>
      </c>
      <c r="O27">
        <f t="shared" si="4"/>
        <v>0</v>
      </c>
      <c r="Q27" t="s">
        <v>21</v>
      </c>
      <c r="R27">
        <f>COUNTIFS($C$2:$C$386,4,$F$2:$F$386,2)</f>
        <v>0</v>
      </c>
      <c r="S27">
        <f t="shared" ref="S27:S32" si="11">(R27/385)*100</f>
        <v>0</v>
      </c>
      <c r="U27" s="4" t="s">
        <v>39121</v>
      </c>
      <c r="V27">
        <f>COUNTIFS($D$2:$D$386,5,$G$2:$G$386,2)</f>
        <v>0</v>
      </c>
      <c r="W27">
        <f t="shared" si="6"/>
        <v>0</v>
      </c>
      <c r="Y27" s="4" t="s">
        <v>39121</v>
      </c>
      <c r="Z27">
        <f>COUNTIFS($F$2:$F$386,19,$G$2:$G$386,2)</f>
        <v>0</v>
      </c>
      <c r="AA27">
        <f t="shared" si="7"/>
        <v>0</v>
      </c>
      <c r="AB27" s="4" t="s">
        <v>39191</v>
      </c>
      <c r="AC27" s="6">
        <f>COUNTIFS($B$2:$B$386,2,$C$2:$C$386,1,$F$2:$F$386,1,$G$2:$G$386,1)</f>
        <v>0</v>
      </c>
      <c r="AD27" s="6">
        <f t="shared" si="8"/>
        <v>0</v>
      </c>
      <c r="AF27">
        <f t="shared" si="0"/>
        <v>2</v>
      </c>
    </row>
    <row r="28" spans="1:32" ht="57.6" x14ac:dyDescent="0.3">
      <c r="A28" s="6" t="s">
        <v>488</v>
      </c>
      <c r="B28" s="7">
        <v>3</v>
      </c>
      <c r="C28" s="7">
        <v>3</v>
      </c>
      <c r="D28" s="7">
        <v>17</v>
      </c>
      <c r="E28" s="3">
        <f t="shared" si="1"/>
        <v>17</v>
      </c>
      <c r="F28" s="3">
        <f t="shared" si="2"/>
        <v>17</v>
      </c>
      <c r="G28" s="7">
        <v>4</v>
      </c>
      <c r="M28" t="s">
        <v>1638</v>
      </c>
      <c r="N28">
        <f>COUNTIFS($C$2:$C$386,2,$D$2:$D$386,9)</f>
        <v>2</v>
      </c>
      <c r="O28">
        <f t="shared" si="4"/>
        <v>0.51948051948051943</v>
      </c>
      <c r="Q28" t="s">
        <v>28</v>
      </c>
      <c r="R28">
        <f>COUNTIFS($C$2:$C$386,4,$F$2:$F$386,3)</f>
        <v>0</v>
      </c>
      <c r="S28">
        <f t="shared" si="11"/>
        <v>0</v>
      </c>
      <c r="U28" s="4" t="s">
        <v>39125</v>
      </c>
      <c r="V28">
        <f>COUNTIFS($D$2:$D$386,5,$G$2:$G$386,3)</f>
        <v>0</v>
      </c>
      <c r="W28">
        <f t="shared" si="6"/>
        <v>0</v>
      </c>
      <c r="Y28" s="4" t="s">
        <v>39125</v>
      </c>
      <c r="Z28">
        <f>COUNTIFS($F$2:$F$386,19,$G$2:$G$386,3)</f>
        <v>3</v>
      </c>
      <c r="AA28">
        <f t="shared" si="7"/>
        <v>0.77922077922077926</v>
      </c>
      <c r="AB28" s="4" t="s">
        <v>39192</v>
      </c>
      <c r="AC28" s="6">
        <f>COUNTIFS($B$2:$B$386,3,$C$2:$C$386,1,$F$2:$F$386,1,$G$2:$G$386,1)</f>
        <v>0</v>
      </c>
      <c r="AD28" s="6">
        <f t="shared" si="8"/>
        <v>0</v>
      </c>
      <c r="AF28">
        <f t="shared" si="0"/>
        <v>2</v>
      </c>
    </row>
    <row r="29" spans="1:32" ht="43.2" x14ac:dyDescent="0.3">
      <c r="A29" t="s">
        <v>2175</v>
      </c>
      <c r="B29" s="7">
        <v>3</v>
      </c>
      <c r="C29" s="7">
        <v>3</v>
      </c>
      <c r="D29" s="7">
        <v>17</v>
      </c>
      <c r="E29" s="3">
        <f t="shared" si="1"/>
        <v>17</v>
      </c>
      <c r="F29" s="3">
        <f t="shared" si="2"/>
        <v>17</v>
      </c>
      <c r="G29" s="7">
        <v>4</v>
      </c>
      <c r="M29" t="s">
        <v>1639</v>
      </c>
      <c r="N29">
        <f>COUNTIFS($C$2:$C$386,2,$D$2:$D$386,10)</f>
        <v>0</v>
      </c>
      <c r="O29">
        <f t="shared" si="4"/>
        <v>0</v>
      </c>
      <c r="Q29" t="s">
        <v>3093</v>
      </c>
      <c r="R29">
        <f>COUNTIFS($C$2:$C$386,4,$F$2:$F$386,18)</f>
        <v>0</v>
      </c>
      <c r="S29">
        <f t="shared" si="11"/>
        <v>0</v>
      </c>
      <c r="U29" s="4" t="s">
        <v>39122</v>
      </c>
      <c r="V29">
        <f>COUNTIFS($D$2:$D$386,5,$G$2:$G$386,4)</f>
        <v>0</v>
      </c>
      <c r="W29">
        <f t="shared" si="6"/>
        <v>0</v>
      </c>
      <c r="Y29" s="4" t="s">
        <v>39122</v>
      </c>
      <c r="Z29">
        <f>COUNTIFS($F$2:$F$386,19,$G$2:$G$386,4)</f>
        <v>2</v>
      </c>
      <c r="AA29">
        <f t="shared" si="7"/>
        <v>0.51948051948051943</v>
      </c>
      <c r="AB29" s="4" t="s">
        <v>39193</v>
      </c>
      <c r="AC29" s="6">
        <f>COUNTIFS($B$2:$B$386,1,$C$2:$C$386,2,$F$2:$F$386,1,$G$2:$G$386,1)</f>
        <v>0</v>
      </c>
      <c r="AD29" s="6">
        <f t="shared" si="8"/>
        <v>0</v>
      </c>
      <c r="AF29">
        <f t="shared" si="0"/>
        <v>2</v>
      </c>
    </row>
    <row r="30" spans="1:32" ht="43.2" x14ac:dyDescent="0.3">
      <c r="A30" t="s">
        <v>2977</v>
      </c>
      <c r="B30" s="3">
        <v>3</v>
      </c>
      <c r="C30" s="3">
        <v>3</v>
      </c>
      <c r="D30" s="3">
        <v>17</v>
      </c>
      <c r="E30" s="3">
        <f t="shared" si="1"/>
        <v>17</v>
      </c>
      <c r="F30" s="3">
        <f t="shared" si="2"/>
        <v>17</v>
      </c>
      <c r="G30" s="3">
        <v>4</v>
      </c>
      <c r="M30" t="s">
        <v>1640</v>
      </c>
      <c r="N30">
        <f>COUNTIFS($C$2:$C$386,2,$D$2:$D$386,11)</f>
        <v>0</v>
      </c>
      <c r="O30">
        <f t="shared" si="4"/>
        <v>0</v>
      </c>
      <c r="Q30" t="s">
        <v>3094</v>
      </c>
      <c r="R30">
        <f>COUNTIFS($C$2:$C$386,4,$F$2:$F$386,19)</f>
        <v>0</v>
      </c>
      <c r="S30">
        <f t="shared" si="11"/>
        <v>0</v>
      </c>
      <c r="U30" s="4" t="s">
        <v>39123</v>
      </c>
      <c r="V30">
        <f>COUNTIFS($D$2:$D$386,5,$G$2:$G$386,5)</f>
        <v>0</v>
      </c>
      <c r="W30">
        <f t="shared" si="6"/>
        <v>0</v>
      </c>
      <c r="Y30" s="4" t="s">
        <v>39123</v>
      </c>
      <c r="Z30">
        <f>COUNTIFS($F$2:$F$386,19,$G$2:$G$386,5)</f>
        <v>0</v>
      </c>
      <c r="AA30">
        <f t="shared" si="7"/>
        <v>0</v>
      </c>
      <c r="AB30" s="4" t="s">
        <v>39194</v>
      </c>
      <c r="AC30" s="6">
        <f>COUNTIFS($B$2:$B$386,2,$C$2:$C$386,2,$F$2:$F$386,1,$G$2:$G$386,1)</f>
        <v>0</v>
      </c>
      <c r="AD30" s="6">
        <f t="shared" si="8"/>
        <v>0</v>
      </c>
      <c r="AF30">
        <f t="shared" si="0"/>
        <v>2</v>
      </c>
    </row>
    <row r="31" spans="1:32" ht="43.2" x14ac:dyDescent="0.3">
      <c r="A31" t="s">
        <v>2109</v>
      </c>
      <c r="B31" s="3">
        <v>3</v>
      </c>
      <c r="C31" s="3">
        <v>3</v>
      </c>
      <c r="D31" s="3">
        <v>17</v>
      </c>
      <c r="E31" s="3">
        <f t="shared" si="1"/>
        <v>17</v>
      </c>
      <c r="F31" s="3">
        <f t="shared" si="2"/>
        <v>17</v>
      </c>
      <c r="G31" s="3">
        <v>4</v>
      </c>
      <c r="M31" t="s">
        <v>1641</v>
      </c>
      <c r="N31">
        <f>COUNTIFS($C$2:$C$386,2,$D$2:$D$386,12)</f>
        <v>0</v>
      </c>
      <c r="O31">
        <f t="shared" si="4"/>
        <v>0</v>
      </c>
      <c r="Q31" t="s">
        <v>50</v>
      </c>
      <c r="R31">
        <f>COUNTIFS($C$2:$C$386,4,$F$2:$F$386,16)</f>
        <v>0</v>
      </c>
      <c r="S31">
        <f t="shared" si="11"/>
        <v>0</v>
      </c>
      <c r="V31" s="23">
        <f>SUM(V26:V30)</f>
        <v>0</v>
      </c>
      <c r="W31" s="23">
        <f t="shared" si="6"/>
        <v>0</v>
      </c>
      <c r="Z31" s="22">
        <f>SUM(Z26:Z30)</f>
        <v>5</v>
      </c>
      <c r="AA31" s="22">
        <f t="shared" si="7"/>
        <v>1.2987012987012987</v>
      </c>
      <c r="AB31" s="4" t="s">
        <v>39196</v>
      </c>
      <c r="AC31" s="6">
        <f>COUNTIFS($B$2:$B$386,3,$C$2:$C$386,2,$F$2:$F$386,1,$G$2:$G$386,1)</f>
        <v>0</v>
      </c>
      <c r="AD31" s="6">
        <f t="shared" si="8"/>
        <v>0</v>
      </c>
      <c r="AF31">
        <f t="shared" si="0"/>
        <v>2</v>
      </c>
    </row>
    <row r="32" spans="1:32" ht="43.2" x14ac:dyDescent="0.3">
      <c r="A32" t="s">
        <v>2109</v>
      </c>
      <c r="B32" s="7">
        <v>3</v>
      </c>
      <c r="C32" s="7">
        <v>3</v>
      </c>
      <c r="D32" s="7">
        <v>17</v>
      </c>
      <c r="E32" s="3">
        <f t="shared" si="1"/>
        <v>17</v>
      </c>
      <c r="F32" s="3">
        <f t="shared" si="2"/>
        <v>17</v>
      </c>
      <c r="G32" s="7">
        <v>4</v>
      </c>
      <c r="M32" t="s">
        <v>1642</v>
      </c>
      <c r="N32">
        <f>COUNTIFS($C$2:$C$386,2,$D$2:$D$386,13)</f>
        <v>0</v>
      </c>
      <c r="O32">
        <f t="shared" si="4"/>
        <v>0</v>
      </c>
      <c r="Q32" t="s">
        <v>3095</v>
      </c>
      <c r="R32">
        <f>COUNTIFS($C$2:$C$386,4,$F$2:$F$386,17)</f>
        <v>0</v>
      </c>
      <c r="S32">
        <f t="shared" si="11"/>
        <v>0</v>
      </c>
      <c r="T32" t="s">
        <v>44</v>
      </c>
      <c r="U32" s="4" t="s">
        <v>39120</v>
      </c>
      <c r="V32">
        <f>COUNTIFS($D$2:$D$386,6,$G$2:$G$386,1)</f>
        <v>0</v>
      </c>
      <c r="W32">
        <f>(V32/385)*100</f>
        <v>0</v>
      </c>
      <c r="X32" t="s">
        <v>50</v>
      </c>
      <c r="Y32" s="4" t="s">
        <v>39120</v>
      </c>
      <c r="Z32">
        <f>COUNTIFS($F$2:$F$386,16,$G$2:$G$386,1)</f>
        <v>0</v>
      </c>
      <c r="AA32">
        <f>(Z32/385)*100</f>
        <v>0</v>
      </c>
      <c r="AB32" s="4" t="s">
        <v>39195</v>
      </c>
      <c r="AC32" s="6">
        <f>COUNTIFS($B$2:$B$386,1,$C$2:$C$386,3,$F$2:$F$386,1,$G$2:$G$386,1)</f>
        <v>0</v>
      </c>
      <c r="AD32" s="6">
        <f t="shared" si="8"/>
        <v>0</v>
      </c>
      <c r="AF32">
        <f t="shared" si="0"/>
        <v>2</v>
      </c>
    </row>
    <row r="33" spans="1:32" ht="43.2" x14ac:dyDescent="0.3">
      <c r="A33" t="s">
        <v>1377</v>
      </c>
      <c r="B33" s="7">
        <v>3</v>
      </c>
      <c r="C33" s="7">
        <v>3</v>
      </c>
      <c r="D33" s="7">
        <v>17</v>
      </c>
      <c r="E33" s="3">
        <f t="shared" si="1"/>
        <v>17</v>
      </c>
      <c r="F33" s="3">
        <f t="shared" si="2"/>
        <v>17</v>
      </c>
      <c r="G33" s="7">
        <v>4</v>
      </c>
      <c r="M33" t="s">
        <v>1643</v>
      </c>
      <c r="N33">
        <f>COUNTIFS($C$2:$C$386,2,$D$2:$D$386,14)</f>
        <v>0</v>
      </c>
      <c r="O33">
        <f t="shared" si="4"/>
        <v>0</v>
      </c>
      <c r="R33" s="22">
        <f>SUM(R26:R32)</f>
        <v>0</v>
      </c>
      <c r="S33" s="22">
        <f>(R33/385)*100</f>
        <v>0</v>
      </c>
      <c r="U33" s="4" t="s">
        <v>39121</v>
      </c>
      <c r="V33">
        <f>COUNTIFS($D$2:$D$386,6,$G$2:$G$386,2)</f>
        <v>0</v>
      </c>
      <c r="W33">
        <f t="shared" si="6"/>
        <v>0</v>
      </c>
      <c r="Y33" s="4" t="s">
        <v>39121</v>
      </c>
      <c r="Z33">
        <f>COUNTIFS($F$2:$F$386,16,$G$2:$G$386,2)</f>
        <v>0</v>
      </c>
      <c r="AA33">
        <f t="shared" si="7"/>
        <v>0</v>
      </c>
      <c r="AB33" s="4" t="s">
        <v>3097</v>
      </c>
      <c r="AC33" s="6">
        <f>COUNTIFS($B$2:$B$386,2,$C$2:$C$386,3,$F$2:$F$386,1,$G$2:$G$386,1)</f>
        <v>0</v>
      </c>
      <c r="AD33" s="6">
        <f t="shared" si="8"/>
        <v>0</v>
      </c>
      <c r="AF33">
        <f t="shared" si="0"/>
        <v>2</v>
      </c>
    </row>
    <row r="34" spans="1:32" ht="57.6" x14ac:dyDescent="0.3">
      <c r="A34" t="s">
        <v>3053</v>
      </c>
      <c r="B34" s="3">
        <v>3</v>
      </c>
      <c r="C34" s="3">
        <v>3</v>
      </c>
      <c r="D34" s="3">
        <v>17</v>
      </c>
      <c r="E34" s="3">
        <f t="shared" si="1"/>
        <v>17</v>
      </c>
      <c r="F34" s="3">
        <f t="shared" si="2"/>
        <v>17</v>
      </c>
      <c r="G34" s="3">
        <v>4</v>
      </c>
      <c r="M34" t="s">
        <v>1644</v>
      </c>
      <c r="N34">
        <f>COUNTIFS($C$2:$C$386,2,$D$2:$D$386,15)</f>
        <v>0</v>
      </c>
      <c r="O34">
        <f t="shared" si="4"/>
        <v>0</v>
      </c>
      <c r="U34" s="4" t="s">
        <v>39125</v>
      </c>
      <c r="V34">
        <f>COUNTIFS($D$2:$D$386,6,$G$2:$G$386,3)</f>
        <v>0</v>
      </c>
      <c r="W34">
        <f t="shared" si="6"/>
        <v>0</v>
      </c>
      <c r="Y34" s="4" t="s">
        <v>39125</v>
      </c>
      <c r="Z34">
        <f>COUNTIFS($F$2:$F$386,16,$G$2:$G$386,3)</f>
        <v>20</v>
      </c>
      <c r="AA34">
        <f t="shared" si="7"/>
        <v>5.1948051948051948</v>
      </c>
      <c r="AB34" s="4" t="s">
        <v>39197</v>
      </c>
      <c r="AC34" s="6">
        <f>COUNTIFS($B$2:$B$386,3,$C$2:$C$386,3,$F$2:$F$386,1,$G$2:$G$386,1)</f>
        <v>0</v>
      </c>
      <c r="AD34" s="6">
        <f t="shared" si="8"/>
        <v>0</v>
      </c>
      <c r="AF34">
        <f t="shared" si="0"/>
        <v>2</v>
      </c>
    </row>
    <row r="35" spans="1:32" ht="43.2" x14ac:dyDescent="0.3">
      <c r="A35" t="s">
        <v>1739</v>
      </c>
      <c r="B35" s="3">
        <v>2</v>
      </c>
      <c r="C35" s="3">
        <v>3</v>
      </c>
      <c r="D35" s="3">
        <v>16</v>
      </c>
      <c r="E35" s="3">
        <f t="shared" si="1"/>
        <v>16</v>
      </c>
      <c r="F35" s="3">
        <f t="shared" si="2"/>
        <v>16</v>
      </c>
      <c r="G35" s="3">
        <v>3</v>
      </c>
      <c r="M35" t="s">
        <v>29</v>
      </c>
      <c r="N35">
        <f>COUNTIFS($C$2:$C$386,2,$D$2:$D$386,16)</f>
        <v>20</v>
      </c>
      <c r="O35">
        <f t="shared" si="4"/>
        <v>5.1948051948051948</v>
      </c>
      <c r="U35" s="4" t="s">
        <v>39122</v>
      </c>
      <c r="V35">
        <f>COUNTIFS($D$2:$D$386,6,$G$2:$G$386,4)</f>
        <v>0</v>
      </c>
      <c r="W35">
        <f t="shared" si="6"/>
        <v>0</v>
      </c>
      <c r="Y35" s="4" t="s">
        <v>39122</v>
      </c>
      <c r="Z35">
        <f>COUNTIFS($F$2:$F$386,16,$G$2:$G$386,4)</f>
        <v>13</v>
      </c>
      <c r="AA35">
        <f t="shared" si="7"/>
        <v>3.3766233766233764</v>
      </c>
      <c r="AB35" s="4" t="s">
        <v>39198</v>
      </c>
      <c r="AC35" s="6">
        <f>COUNTIFS($B$2:$B$386,1,$C$2:$C$386,4,$F$2:$F$386,1,$G$2:$G$386,1)</f>
        <v>0</v>
      </c>
      <c r="AD35" s="6">
        <f t="shared" si="8"/>
        <v>0</v>
      </c>
      <c r="AF35">
        <f t="shared" si="0"/>
        <v>2</v>
      </c>
    </row>
    <row r="36" spans="1:32" ht="43.2" x14ac:dyDescent="0.3">
      <c r="A36" t="s">
        <v>1822</v>
      </c>
      <c r="B36" s="7">
        <v>3</v>
      </c>
      <c r="C36" s="7">
        <v>3</v>
      </c>
      <c r="D36" s="7">
        <v>17</v>
      </c>
      <c r="E36" s="3">
        <f t="shared" si="1"/>
        <v>17</v>
      </c>
      <c r="F36" s="3">
        <f t="shared" si="2"/>
        <v>17</v>
      </c>
      <c r="G36" s="7">
        <v>4</v>
      </c>
      <c r="M36" t="s">
        <v>54</v>
      </c>
      <c r="N36">
        <f>COUNTIFS($C$2:$C$386,2,$D$2:$D$386,17)</f>
        <v>5</v>
      </c>
      <c r="O36">
        <f t="shared" si="4"/>
        <v>1.2987012987012987</v>
      </c>
      <c r="U36" s="4" t="s">
        <v>39123</v>
      </c>
      <c r="V36">
        <f>COUNTIFS($D$2:$D$386,6,$G$2:$G$386,5)</f>
        <v>0</v>
      </c>
      <c r="W36">
        <f t="shared" si="6"/>
        <v>0</v>
      </c>
      <c r="Y36" s="4" t="s">
        <v>39123</v>
      </c>
      <c r="Z36">
        <f>COUNTIFS($F$2:$F$386,16,$G$2:$G$386,5)</f>
        <v>3</v>
      </c>
      <c r="AA36">
        <f t="shared" si="7"/>
        <v>0.77922077922077926</v>
      </c>
      <c r="AB36" s="4" t="s">
        <v>39199</v>
      </c>
      <c r="AC36" s="6">
        <f>COUNTIFS($B$2:$B$386,2,$C$2:$C$386,4,$F$2:$F$386,1,$G$2:$G$386,1)</f>
        <v>0</v>
      </c>
      <c r="AD36" s="6">
        <f t="shared" si="8"/>
        <v>0</v>
      </c>
      <c r="AF36">
        <f t="shared" si="0"/>
        <v>2</v>
      </c>
    </row>
    <row r="37" spans="1:32" ht="43.2" x14ac:dyDescent="0.3">
      <c r="A37" t="s">
        <v>2760</v>
      </c>
      <c r="B37" s="3">
        <v>3</v>
      </c>
      <c r="C37" s="3">
        <v>3</v>
      </c>
      <c r="D37" s="3">
        <v>17</v>
      </c>
      <c r="E37" s="3">
        <f t="shared" si="1"/>
        <v>17</v>
      </c>
      <c r="F37" s="3">
        <f t="shared" si="2"/>
        <v>17</v>
      </c>
      <c r="G37" s="3">
        <v>4</v>
      </c>
      <c r="N37" s="23">
        <f>SUM(N20:N36)</f>
        <v>33</v>
      </c>
      <c r="O37" s="23">
        <f t="shared" si="4"/>
        <v>8.5714285714285712</v>
      </c>
      <c r="V37" s="23">
        <f>SUM(V32:V36)</f>
        <v>0</v>
      </c>
      <c r="W37" s="23">
        <f t="shared" si="6"/>
        <v>0</v>
      </c>
      <c r="Z37" s="22">
        <f>SUM(Z32:Z36)</f>
        <v>36</v>
      </c>
      <c r="AA37" s="22">
        <f t="shared" si="7"/>
        <v>9.3506493506493502</v>
      </c>
      <c r="AB37" s="4" t="s">
        <v>39200</v>
      </c>
      <c r="AC37" s="6">
        <f>COUNTIFS($B$2:$B$386,3,$C$2:$C$386,4,$F$2:$F$386,1,$G$2:$G$386,1)</f>
        <v>0</v>
      </c>
      <c r="AD37" s="6">
        <f t="shared" si="8"/>
        <v>0</v>
      </c>
      <c r="AF37">
        <f t="shared" si="0"/>
        <v>2</v>
      </c>
    </row>
    <row r="38" spans="1:32" ht="86.4" x14ac:dyDescent="0.3">
      <c r="A38" t="s">
        <v>2048</v>
      </c>
      <c r="B38" s="7">
        <v>3</v>
      </c>
      <c r="C38" s="7">
        <v>3</v>
      </c>
      <c r="D38" s="7">
        <v>17</v>
      </c>
      <c r="E38" s="3">
        <f t="shared" si="1"/>
        <v>17</v>
      </c>
      <c r="F38" s="3">
        <f t="shared" si="2"/>
        <v>17</v>
      </c>
      <c r="G38" s="7">
        <v>4</v>
      </c>
      <c r="L38" s="4" t="s">
        <v>39602</v>
      </c>
      <c r="M38" t="s">
        <v>14</v>
      </c>
      <c r="N38">
        <f>COUNTIFS($C$2:$C$386,3,$D$2:$D$386,1)</f>
        <v>73</v>
      </c>
      <c r="O38">
        <f>(N38/385)*100</f>
        <v>18.961038961038962</v>
      </c>
      <c r="T38" t="s">
        <v>47</v>
      </c>
      <c r="U38" s="4" t="s">
        <v>39120</v>
      </c>
      <c r="V38">
        <f>COUNTIFS($D$2:$D$386,7,$G$2:$G$386,1)</f>
        <v>0</v>
      </c>
      <c r="W38">
        <f>(V38/385)*100</f>
        <v>0</v>
      </c>
      <c r="X38" t="s">
        <v>3095</v>
      </c>
      <c r="Y38" s="4" t="s">
        <v>39120</v>
      </c>
      <c r="Z38">
        <f>COUNTIFS($F$2:$F$386,17,$G$2:$G$386,1)</f>
        <v>0</v>
      </c>
      <c r="AA38">
        <f>(Z38/385)*100</f>
        <v>0</v>
      </c>
      <c r="AB38" s="4" t="s">
        <v>39201</v>
      </c>
      <c r="AC38" s="6">
        <f>COUNTIFS($B$2:$B$386,1,$C$2:$C$386,1,$F$2:$F$386,2,$G$2:$G$386,1)</f>
        <v>0</v>
      </c>
      <c r="AD38" s="6">
        <f t="shared" si="8"/>
        <v>0</v>
      </c>
      <c r="AF38">
        <f t="shared" si="0"/>
        <v>2</v>
      </c>
    </row>
    <row r="39" spans="1:32" ht="43.2" x14ac:dyDescent="0.3">
      <c r="A39" t="s">
        <v>2740</v>
      </c>
      <c r="B39" s="7">
        <v>3</v>
      </c>
      <c r="C39" s="7">
        <v>3</v>
      </c>
      <c r="D39" s="7">
        <v>17</v>
      </c>
      <c r="E39" s="3">
        <f t="shared" si="1"/>
        <v>17</v>
      </c>
      <c r="F39" s="3">
        <f t="shared" si="2"/>
        <v>17</v>
      </c>
      <c r="G39" s="7">
        <v>3</v>
      </c>
      <c r="M39" t="s">
        <v>21</v>
      </c>
      <c r="N39">
        <f>COUNTIFS($C$2:$C$386,3,$D$2:$D$386,2)</f>
        <v>14</v>
      </c>
      <c r="O39">
        <f t="shared" si="4"/>
        <v>3.6363636363636362</v>
      </c>
      <c r="U39" s="4" t="s">
        <v>39121</v>
      </c>
      <c r="V39">
        <f>COUNTIFS($D$2:$D$386,7,$G$2:$G$386,2)</f>
        <v>0</v>
      </c>
      <c r="W39">
        <f t="shared" si="6"/>
        <v>0</v>
      </c>
      <c r="Y39" s="4" t="s">
        <v>39121</v>
      </c>
      <c r="Z39">
        <f>COUNTIFS($F$2:$F$386,17,$G$2:$G$386,2)</f>
        <v>0</v>
      </c>
      <c r="AA39">
        <f t="shared" si="7"/>
        <v>0</v>
      </c>
      <c r="AB39" s="4" t="s">
        <v>39202</v>
      </c>
      <c r="AC39" s="6">
        <f>COUNTIFS($B$2:$B$386,2,$C$2:$C$386,1,$F$2:$F$386,2,$G$2:$G$386,1)</f>
        <v>0</v>
      </c>
      <c r="AD39" s="6">
        <f t="shared" si="8"/>
        <v>0</v>
      </c>
      <c r="AF39">
        <f t="shared" si="0"/>
        <v>2</v>
      </c>
    </row>
    <row r="40" spans="1:32" ht="57.6" x14ac:dyDescent="0.3">
      <c r="A40" s="6" t="s">
        <v>302</v>
      </c>
      <c r="B40" s="7">
        <v>3</v>
      </c>
      <c r="C40" s="7">
        <v>3</v>
      </c>
      <c r="D40" s="7">
        <v>17</v>
      </c>
      <c r="E40" s="3">
        <f t="shared" si="1"/>
        <v>17</v>
      </c>
      <c r="F40" s="3">
        <f t="shared" si="2"/>
        <v>17</v>
      </c>
      <c r="G40" s="7">
        <v>4</v>
      </c>
      <c r="M40" t="s">
        <v>28</v>
      </c>
      <c r="N40">
        <f>COUNTIFS($C$2:$C$386,3,$D$2:$D$386,3)</f>
        <v>6</v>
      </c>
      <c r="O40">
        <f t="shared" si="4"/>
        <v>1.5584415584415585</v>
      </c>
      <c r="U40" s="4" t="s">
        <v>39125</v>
      </c>
      <c r="V40">
        <f>COUNTIFS($D$2:$D$386,7,$G$2:$G$386,3)</f>
        <v>0</v>
      </c>
      <c r="W40">
        <f t="shared" si="6"/>
        <v>0</v>
      </c>
      <c r="Y40" s="4" t="s">
        <v>39125</v>
      </c>
      <c r="Z40">
        <f>COUNTIFS($F$2:$F$386,17,$G$2:$G$386,3)</f>
        <v>6</v>
      </c>
      <c r="AA40">
        <f t="shared" si="7"/>
        <v>1.5584415584415585</v>
      </c>
      <c r="AB40" s="4" t="s">
        <v>39203</v>
      </c>
      <c r="AC40" s="6">
        <f>COUNTIFS($B$2:$B$386,3,$C$2:$C$386,1,$F$2:$F$386,2,$G$2:$G$386,1)</f>
        <v>0</v>
      </c>
      <c r="AD40" s="6">
        <f t="shared" si="8"/>
        <v>0</v>
      </c>
      <c r="AF40">
        <f t="shared" si="0"/>
        <v>2</v>
      </c>
    </row>
    <row r="41" spans="1:32" ht="43.2" x14ac:dyDescent="0.3">
      <c r="A41" s="6" t="s">
        <v>322</v>
      </c>
      <c r="B41" s="11">
        <v>1</v>
      </c>
      <c r="C41" s="11">
        <v>3</v>
      </c>
      <c r="D41" s="11">
        <v>2</v>
      </c>
      <c r="E41" s="3">
        <f t="shared" si="1"/>
        <v>2</v>
      </c>
      <c r="F41" s="3">
        <f t="shared" si="2"/>
        <v>2</v>
      </c>
      <c r="G41" s="11">
        <v>5</v>
      </c>
      <c r="M41" t="s">
        <v>35</v>
      </c>
      <c r="N41">
        <f>COUNTIFS($C$2:$C$386,3,$D$2:$D$386,4)</f>
        <v>0</v>
      </c>
      <c r="O41">
        <f t="shared" si="4"/>
        <v>0</v>
      </c>
      <c r="U41" s="4" t="s">
        <v>39122</v>
      </c>
      <c r="V41">
        <f>COUNTIFS($D$2:$D$386,7,$G$2:$G$386,4)</f>
        <v>0</v>
      </c>
      <c r="W41">
        <f t="shared" si="6"/>
        <v>0</v>
      </c>
      <c r="Y41" s="4" t="s">
        <v>39122</v>
      </c>
      <c r="Z41">
        <f>COUNTIFS($F$2:$F$386,17,$G$2:$G$386,4)</f>
        <v>236</v>
      </c>
      <c r="AA41">
        <f t="shared" si="7"/>
        <v>61.298701298701296</v>
      </c>
      <c r="AB41" s="4" t="s">
        <v>39204</v>
      </c>
      <c r="AC41" s="6">
        <f>COUNTIFS($B$2:$B$386,1,$C$2:$C$386,2,$F$2:$F$386,2,$G$2:$G$386,1)</f>
        <v>0</v>
      </c>
      <c r="AD41" s="6">
        <f t="shared" si="8"/>
        <v>0</v>
      </c>
      <c r="AF41">
        <f t="shared" si="0"/>
        <v>2</v>
      </c>
    </row>
    <row r="42" spans="1:32" ht="43.2" x14ac:dyDescent="0.3">
      <c r="A42" t="s">
        <v>1682</v>
      </c>
      <c r="B42" s="7">
        <v>3</v>
      </c>
      <c r="C42" s="7">
        <v>3</v>
      </c>
      <c r="D42" s="7">
        <v>17</v>
      </c>
      <c r="E42" s="3">
        <f t="shared" si="1"/>
        <v>17</v>
      </c>
      <c r="F42" s="3">
        <f t="shared" si="2"/>
        <v>17</v>
      </c>
      <c r="G42" s="7">
        <v>4</v>
      </c>
      <c r="M42" t="s">
        <v>40</v>
      </c>
      <c r="N42">
        <f>COUNTIFS($C$2:$C$386,3,$D$2:$D$386,5)</f>
        <v>0</v>
      </c>
      <c r="O42">
        <f t="shared" si="4"/>
        <v>0</v>
      </c>
      <c r="U42" s="4" t="s">
        <v>39123</v>
      </c>
      <c r="V42">
        <f>COUNTIFS($D$2:$D$386,7,$G$2:$G$386,5)</f>
        <v>0</v>
      </c>
      <c r="W42">
        <f t="shared" si="6"/>
        <v>0</v>
      </c>
      <c r="Y42" s="4" t="s">
        <v>39123</v>
      </c>
      <c r="Z42">
        <f>COUNTIFS($F$2:$F$386,17,$G$2:$G$386,5)</f>
        <v>0</v>
      </c>
      <c r="AA42">
        <f t="shared" si="7"/>
        <v>0</v>
      </c>
      <c r="AB42" s="4" t="s">
        <v>39205</v>
      </c>
      <c r="AC42" s="6">
        <f>COUNTIFS($B$2:$B$386,2,$C$2:$C$386,2,$F$2:$F$386,2,$G$2:$G$386,1)</f>
        <v>0</v>
      </c>
      <c r="AD42" s="6">
        <f t="shared" si="8"/>
        <v>0</v>
      </c>
      <c r="AF42">
        <f t="shared" si="0"/>
        <v>2</v>
      </c>
    </row>
    <row r="43" spans="1:32" ht="43.2" x14ac:dyDescent="0.3">
      <c r="A43" s="6" t="s">
        <v>1004</v>
      </c>
      <c r="B43" s="11">
        <v>1</v>
      </c>
      <c r="C43" s="11">
        <v>3</v>
      </c>
      <c r="D43" s="11">
        <v>2</v>
      </c>
      <c r="E43" s="3">
        <f t="shared" si="1"/>
        <v>2</v>
      </c>
      <c r="F43" s="3">
        <f t="shared" si="2"/>
        <v>2</v>
      </c>
      <c r="G43" s="11">
        <v>5</v>
      </c>
      <c r="M43" t="s">
        <v>44</v>
      </c>
      <c r="N43">
        <f>COUNTIFS($C$2:$C$386,3,$D$2:$D$386,6)</f>
        <v>0</v>
      </c>
      <c r="O43">
        <f t="shared" si="4"/>
        <v>0</v>
      </c>
      <c r="V43" s="23">
        <f>SUM(V38:V42)</f>
        <v>0</v>
      </c>
      <c r="W43" s="23">
        <f t="shared" si="6"/>
        <v>0</v>
      </c>
      <c r="Z43" s="22">
        <f>SUM(Z38:Z42)</f>
        <v>242</v>
      </c>
      <c r="AA43" s="22">
        <f t="shared" si="7"/>
        <v>62.857142857142854</v>
      </c>
      <c r="AB43" s="4" t="s">
        <v>39206</v>
      </c>
      <c r="AC43" s="6">
        <f>COUNTIFS($B$2:$B$386,3,$C$2:$C$386,2,$F$2:$F$386,2,$G$2:$G$386,1)</f>
        <v>0</v>
      </c>
      <c r="AD43" s="6">
        <f t="shared" si="8"/>
        <v>0</v>
      </c>
      <c r="AF43">
        <f t="shared" si="0"/>
        <v>2</v>
      </c>
    </row>
    <row r="44" spans="1:32" ht="43.2" x14ac:dyDescent="0.3">
      <c r="A44" t="s">
        <v>1514</v>
      </c>
      <c r="B44" s="7">
        <v>3</v>
      </c>
      <c r="C44" s="7">
        <v>3</v>
      </c>
      <c r="D44" s="7">
        <v>17</v>
      </c>
      <c r="E44" s="3">
        <f t="shared" si="1"/>
        <v>17</v>
      </c>
      <c r="F44" s="3">
        <f t="shared" si="2"/>
        <v>17</v>
      </c>
      <c r="G44" s="7">
        <v>4</v>
      </c>
      <c r="M44" t="s">
        <v>47</v>
      </c>
      <c r="N44">
        <f>COUNTIFS($C$2:$C$386,3,$D$2:$D$386,7)</f>
        <v>0</v>
      </c>
      <c r="O44">
        <f t="shared" si="4"/>
        <v>0</v>
      </c>
      <c r="T44" t="s">
        <v>1637</v>
      </c>
      <c r="U44" s="4" t="s">
        <v>39120</v>
      </c>
      <c r="V44">
        <f>COUNTIFS($D$2:$D$386,8,$G$2:$G$386,1)</f>
        <v>0</v>
      </c>
      <c r="W44">
        <f>(V44/385)*100</f>
        <v>0</v>
      </c>
      <c r="AB44" s="4" t="s">
        <v>39207</v>
      </c>
      <c r="AC44" s="6">
        <f>COUNTIFS($B$2:$B$386,1,$C$2:$C$386,3,$F$2:$F$386,2,$G$2:$G$386,1)</f>
        <v>0</v>
      </c>
      <c r="AD44" s="6">
        <f t="shared" si="8"/>
        <v>0</v>
      </c>
      <c r="AF44">
        <f t="shared" si="0"/>
        <v>2</v>
      </c>
    </row>
    <row r="45" spans="1:32" ht="43.2" x14ac:dyDescent="0.3">
      <c r="A45" t="s">
        <v>2476</v>
      </c>
      <c r="B45" s="7">
        <v>1</v>
      </c>
      <c r="C45" s="7">
        <v>3</v>
      </c>
      <c r="D45" s="7">
        <v>1</v>
      </c>
      <c r="E45" s="3">
        <f t="shared" si="1"/>
        <v>1</v>
      </c>
      <c r="F45" s="3">
        <f t="shared" si="2"/>
        <v>1</v>
      </c>
      <c r="G45" s="7">
        <v>5</v>
      </c>
      <c r="M45" t="s">
        <v>1637</v>
      </c>
      <c r="N45">
        <f>COUNTIFS($C$2:$C$386,3,$D$2:$D$386,8)</f>
        <v>0</v>
      </c>
      <c r="O45">
        <f t="shared" si="4"/>
        <v>0</v>
      </c>
      <c r="U45" s="4" t="s">
        <v>39121</v>
      </c>
      <c r="V45">
        <f>COUNTIFS($D$2:$D$386,8,$G$2:$G$386,2)</f>
        <v>1</v>
      </c>
      <c r="W45">
        <f t="shared" si="6"/>
        <v>0.25974025974025972</v>
      </c>
      <c r="AB45" s="4" t="s">
        <v>39208</v>
      </c>
      <c r="AC45" s="6">
        <f>COUNTIFS($B$2:$B$386,2,$C$2:$C$386,3,$F$2:$F$386,2,$G$2:$G$386,1)</f>
        <v>0</v>
      </c>
      <c r="AD45" s="6">
        <f t="shared" si="8"/>
        <v>0</v>
      </c>
      <c r="AF45">
        <f t="shared" si="0"/>
        <v>2</v>
      </c>
    </row>
    <row r="46" spans="1:32" ht="57.6" x14ac:dyDescent="0.3">
      <c r="A46" s="6" t="s">
        <v>962</v>
      </c>
      <c r="B46" s="11">
        <v>1</v>
      </c>
      <c r="C46" s="11">
        <v>3</v>
      </c>
      <c r="D46" s="11">
        <v>2</v>
      </c>
      <c r="E46" s="3">
        <f t="shared" si="1"/>
        <v>2</v>
      </c>
      <c r="F46" s="3">
        <f t="shared" si="2"/>
        <v>2</v>
      </c>
      <c r="G46" s="11">
        <v>5</v>
      </c>
      <c r="M46" t="s">
        <v>1638</v>
      </c>
      <c r="N46">
        <f>COUNTIFS($C$2:$C$386,3,$D$2:$D$386,9)</f>
        <v>2</v>
      </c>
      <c r="O46">
        <f t="shared" si="4"/>
        <v>0.51948051948051943</v>
      </c>
      <c r="U46" s="4" t="s">
        <v>39125</v>
      </c>
      <c r="V46">
        <f>COUNTIFS($D$2:$D$386,8,$G$2:$G$386,3)</f>
        <v>0</v>
      </c>
      <c r="W46">
        <f t="shared" si="6"/>
        <v>0</v>
      </c>
      <c r="AB46" s="4" t="s">
        <v>39209</v>
      </c>
      <c r="AC46" s="6">
        <f>COUNTIFS($B$2:$B$386,3,$C$2:$C$386,3,$F$2:$F$386,2,$G$2:$G$386,1)</f>
        <v>0</v>
      </c>
      <c r="AD46" s="6">
        <f t="shared" si="8"/>
        <v>0</v>
      </c>
      <c r="AF46">
        <f t="shared" si="0"/>
        <v>2</v>
      </c>
    </row>
    <row r="47" spans="1:32" ht="43.2" x14ac:dyDescent="0.3">
      <c r="A47" s="6" t="s">
        <v>443</v>
      </c>
      <c r="B47" s="7">
        <v>3</v>
      </c>
      <c r="C47" s="7">
        <v>3</v>
      </c>
      <c r="D47" s="7">
        <v>17</v>
      </c>
      <c r="E47" s="3">
        <f t="shared" si="1"/>
        <v>17</v>
      </c>
      <c r="F47" s="3">
        <f t="shared" si="2"/>
        <v>17</v>
      </c>
      <c r="G47" s="7">
        <v>4</v>
      </c>
      <c r="M47" t="s">
        <v>1639</v>
      </c>
      <c r="N47">
        <f>COUNTIFS($C$2:$C$386,3,$D$2:$D$386,10)</f>
        <v>0</v>
      </c>
      <c r="O47">
        <f t="shared" si="4"/>
        <v>0</v>
      </c>
      <c r="U47" s="4" t="s">
        <v>39122</v>
      </c>
      <c r="V47">
        <f>COUNTIFS($D$2:$D$386,8,$G$2:$G$386,4)</f>
        <v>0</v>
      </c>
      <c r="W47">
        <f t="shared" si="6"/>
        <v>0</v>
      </c>
      <c r="AB47" s="4" t="s">
        <v>39210</v>
      </c>
      <c r="AC47" s="6">
        <f>COUNTIFS($B$2:$B$386,1,$C$2:$C$386,4,$F$2:$F$386,2,$G$2:$G$386,1)</f>
        <v>0</v>
      </c>
      <c r="AD47" s="6">
        <f t="shared" si="8"/>
        <v>0</v>
      </c>
      <c r="AF47">
        <f t="shared" si="0"/>
        <v>2</v>
      </c>
    </row>
    <row r="48" spans="1:32" ht="43.2" x14ac:dyDescent="0.3">
      <c r="A48" s="6" t="s">
        <v>1240</v>
      </c>
      <c r="B48" s="7">
        <v>3</v>
      </c>
      <c r="C48" s="7">
        <v>3</v>
      </c>
      <c r="D48" s="7">
        <v>17</v>
      </c>
      <c r="E48" s="3">
        <f t="shared" si="1"/>
        <v>17</v>
      </c>
      <c r="F48" s="3">
        <f t="shared" si="2"/>
        <v>17</v>
      </c>
      <c r="G48" s="7">
        <v>4</v>
      </c>
      <c r="M48" t="s">
        <v>1640</v>
      </c>
      <c r="N48">
        <f>COUNTIFS($C$2:$C$386,3,$D$2:$D$386,11)</f>
        <v>1</v>
      </c>
      <c r="O48">
        <f t="shared" si="4"/>
        <v>0.25974025974025972</v>
      </c>
      <c r="U48" s="4" t="s">
        <v>39123</v>
      </c>
      <c r="V48">
        <f>COUNTIFS($D$2:$D$386,8,$G$2:$G$386,5)</f>
        <v>0</v>
      </c>
      <c r="W48">
        <f t="shared" si="6"/>
        <v>0</v>
      </c>
      <c r="AB48" s="4" t="s">
        <v>39211</v>
      </c>
      <c r="AC48" s="6">
        <f>COUNTIFS($B$2:$B$386,2,$C$2:$C$386,4,$F$2:$F$386,2,$G$2:$G$386,1)</f>
        <v>0</v>
      </c>
      <c r="AD48" s="6">
        <f t="shared" si="8"/>
        <v>0</v>
      </c>
      <c r="AF48">
        <f t="shared" si="0"/>
        <v>2</v>
      </c>
    </row>
    <row r="49" spans="1:32" ht="43.2" x14ac:dyDescent="0.3">
      <c r="A49" t="s">
        <v>1304</v>
      </c>
      <c r="B49" s="7">
        <v>3</v>
      </c>
      <c r="C49" s="7">
        <v>3</v>
      </c>
      <c r="D49" s="7">
        <v>17</v>
      </c>
      <c r="E49" s="3">
        <f t="shared" si="1"/>
        <v>17</v>
      </c>
      <c r="F49" s="3">
        <f t="shared" si="2"/>
        <v>17</v>
      </c>
      <c r="G49" s="7">
        <v>4</v>
      </c>
      <c r="M49" t="s">
        <v>1641</v>
      </c>
      <c r="N49">
        <f>COUNTIFS($C$2:$C$386,3,$D$2:$D$386,12)</f>
        <v>0</v>
      </c>
      <c r="O49">
        <f t="shared" si="4"/>
        <v>0</v>
      </c>
      <c r="V49" s="23">
        <f>SUM(V44:V48)</f>
        <v>1</v>
      </c>
      <c r="W49" s="23">
        <f t="shared" si="6"/>
        <v>0.25974025974025972</v>
      </c>
      <c r="AB49" s="4" t="s">
        <v>39212</v>
      </c>
      <c r="AC49" s="6">
        <f>COUNTIFS($B$2:$B$386,3,$C$2:$C$386,4,$F$2:$F$386,2,$G$2:$G$386,1)</f>
        <v>0</v>
      </c>
      <c r="AD49" s="6">
        <f t="shared" si="8"/>
        <v>0</v>
      </c>
      <c r="AF49">
        <f t="shared" si="0"/>
        <v>2</v>
      </c>
    </row>
    <row r="50" spans="1:32" ht="43.2" x14ac:dyDescent="0.3">
      <c r="A50" t="s">
        <v>2363</v>
      </c>
      <c r="B50" s="3">
        <v>3</v>
      </c>
      <c r="C50" s="3">
        <v>3</v>
      </c>
      <c r="D50" s="3">
        <v>17</v>
      </c>
      <c r="E50" s="3">
        <f t="shared" si="1"/>
        <v>17</v>
      </c>
      <c r="F50" s="3">
        <f t="shared" si="2"/>
        <v>17</v>
      </c>
      <c r="G50" s="3">
        <v>4</v>
      </c>
      <c r="M50" t="s">
        <v>1642</v>
      </c>
      <c r="N50">
        <f>COUNTIFS($C$2:$C$386,3,$D$2:$D$386,13)</f>
        <v>0</v>
      </c>
      <c r="O50">
        <f t="shared" si="4"/>
        <v>0</v>
      </c>
      <c r="T50" t="s">
        <v>1638</v>
      </c>
      <c r="U50" s="4" t="s">
        <v>39120</v>
      </c>
      <c r="V50">
        <f>COUNTIFS($D$2:$D$386,9,$G$2:$G$386,1)</f>
        <v>0</v>
      </c>
      <c r="W50">
        <f>(V50/385)*100</f>
        <v>0</v>
      </c>
      <c r="AB50" s="4" t="s">
        <v>39213</v>
      </c>
      <c r="AC50" s="6">
        <f>COUNTIFS($B$2:$B$386,1,$C$2:$C$386,1,$F$2:$F$386,3,$G$2:$G$386,1)</f>
        <v>0</v>
      </c>
      <c r="AD50" s="6">
        <f t="shared" si="8"/>
        <v>0</v>
      </c>
      <c r="AF50">
        <f t="shared" si="0"/>
        <v>2</v>
      </c>
    </row>
    <row r="51" spans="1:32" ht="43.2" x14ac:dyDescent="0.3">
      <c r="A51" s="6" t="s">
        <v>735</v>
      </c>
      <c r="B51" s="7">
        <v>3</v>
      </c>
      <c r="C51" s="7">
        <v>3</v>
      </c>
      <c r="D51" s="7">
        <v>17</v>
      </c>
      <c r="E51" s="3">
        <f t="shared" si="1"/>
        <v>17</v>
      </c>
      <c r="F51" s="3">
        <f t="shared" si="2"/>
        <v>17</v>
      </c>
      <c r="G51" s="7">
        <v>4</v>
      </c>
      <c r="M51" t="s">
        <v>1643</v>
      </c>
      <c r="N51">
        <f>COUNTIFS($C$2:$C$386,3,$D$2:$D$386,14)</f>
        <v>0</v>
      </c>
      <c r="O51">
        <f t="shared" si="4"/>
        <v>0</v>
      </c>
      <c r="U51" s="4" t="s">
        <v>39121</v>
      </c>
      <c r="V51">
        <f>COUNTIFS($D$2:$D$386,9,$G$2:$G$386,2)</f>
        <v>0</v>
      </c>
      <c r="W51">
        <f t="shared" si="6"/>
        <v>0</v>
      </c>
      <c r="AB51" s="4" t="s">
        <v>39214</v>
      </c>
      <c r="AC51" s="6">
        <f>COUNTIFS($B$2:$B$386,2,$C$2:$C$386,1,$F$2:$F$386,3,$G$2:$G$386,1)</f>
        <v>0</v>
      </c>
      <c r="AD51" s="6">
        <f t="shared" si="8"/>
        <v>0</v>
      </c>
      <c r="AF51">
        <f t="shared" si="0"/>
        <v>2</v>
      </c>
    </row>
    <row r="52" spans="1:32" ht="57.6" x14ac:dyDescent="0.3">
      <c r="A52" t="s">
        <v>1677</v>
      </c>
      <c r="B52" s="7">
        <v>3</v>
      </c>
      <c r="C52" s="7">
        <v>3</v>
      </c>
      <c r="D52" s="7">
        <v>17</v>
      </c>
      <c r="E52" s="3">
        <f t="shared" si="1"/>
        <v>17</v>
      </c>
      <c r="F52" s="3">
        <f t="shared" si="2"/>
        <v>17</v>
      </c>
      <c r="G52" s="7">
        <v>4</v>
      </c>
      <c r="M52" t="s">
        <v>1644</v>
      </c>
      <c r="N52">
        <f>COUNTIFS($C$2:$C$386,3,$D$2:$D$386,15)</f>
        <v>0</v>
      </c>
      <c r="O52">
        <f t="shared" si="4"/>
        <v>0</v>
      </c>
      <c r="U52" s="4" t="s">
        <v>39125</v>
      </c>
      <c r="V52">
        <f>COUNTIFS($D$2:$D$386,9,$G$2:$G$386,3)</f>
        <v>2</v>
      </c>
      <c r="W52">
        <f t="shared" si="6"/>
        <v>0.51948051948051943</v>
      </c>
      <c r="AB52" s="4" t="s">
        <v>39215</v>
      </c>
      <c r="AC52" s="6">
        <f>COUNTIFS($B$2:$B$386,3,$C$2:$C$386,1,$F$2:$F$386,3,$G$2:$G$386,1)</f>
        <v>0</v>
      </c>
      <c r="AD52" s="6">
        <f t="shared" si="8"/>
        <v>0</v>
      </c>
      <c r="AF52">
        <f t="shared" si="0"/>
        <v>2</v>
      </c>
    </row>
    <row r="53" spans="1:32" ht="43.2" x14ac:dyDescent="0.3">
      <c r="A53" t="s">
        <v>2330</v>
      </c>
      <c r="B53" s="7">
        <v>3</v>
      </c>
      <c r="C53" s="7">
        <v>3</v>
      </c>
      <c r="D53" s="7">
        <v>17</v>
      </c>
      <c r="E53" s="3">
        <f t="shared" si="1"/>
        <v>17</v>
      </c>
      <c r="F53" s="3">
        <f t="shared" si="2"/>
        <v>17</v>
      </c>
      <c r="G53" s="7">
        <v>4</v>
      </c>
      <c r="M53" t="s">
        <v>29</v>
      </c>
      <c r="N53">
        <f>COUNTIFS($C$2:$C$386,3,$D$2:$D$386,16)</f>
        <v>16</v>
      </c>
      <c r="O53">
        <f t="shared" si="4"/>
        <v>4.1558441558441555</v>
      </c>
      <c r="U53" s="4" t="s">
        <v>39122</v>
      </c>
      <c r="V53">
        <f>COUNTIFS($D$2:$D$386,9,$G$2:$G$386,4)</f>
        <v>2</v>
      </c>
      <c r="W53">
        <f t="shared" si="6"/>
        <v>0.51948051948051943</v>
      </c>
      <c r="AB53" s="4" t="s">
        <v>39216</v>
      </c>
      <c r="AC53" s="6">
        <f>COUNTIFS($B$2:$B$386,1,$C$2:$C$386,2,$F$2:$F$386,3,$G$2:$G$386,1)</f>
        <v>0</v>
      </c>
      <c r="AD53" s="6">
        <f t="shared" si="8"/>
        <v>0</v>
      </c>
      <c r="AF53">
        <f t="shared" si="0"/>
        <v>2</v>
      </c>
    </row>
    <row r="54" spans="1:32" ht="43.2" x14ac:dyDescent="0.3">
      <c r="A54" s="6" t="s">
        <v>349</v>
      </c>
      <c r="B54" s="11">
        <v>2</v>
      </c>
      <c r="C54" s="11">
        <v>2</v>
      </c>
      <c r="D54" s="11">
        <v>17</v>
      </c>
      <c r="E54" s="3">
        <f t="shared" si="1"/>
        <v>17</v>
      </c>
      <c r="F54" s="3">
        <f t="shared" si="2"/>
        <v>17</v>
      </c>
      <c r="G54" s="11">
        <v>3</v>
      </c>
      <c r="M54" t="s">
        <v>54</v>
      </c>
      <c r="N54">
        <f>COUNTIFS($C$2:$C$386,3,$D$2:$D$386,17)</f>
        <v>237</v>
      </c>
      <c r="O54">
        <f t="shared" si="4"/>
        <v>61.558441558441558</v>
      </c>
      <c r="U54" s="4" t="s">
        <v>39123</v>
      </c>
      <c r="V54">
        <f>COUNTIFS($D$2:$D$386,9,$G$2:$G$386,5)</f>
        <v>0</v>
      </c>
      <c r="W54">
        <f t="shared" si="6"/>
        <v>0</v>
      </c>
      <c r="AB54" s="4" t="s">
        <v>39217</v>
      </c>
      <c r="AC54" s="6">
        <f>COUNTIFS($B$2:$B$386,2,$C$2:$C$386,2,$F$2:$F$386,3,$G$2:$G$386,1)</f>
        <v>0</v>
      </c>
      <c r="AD54" s="6">
        <f t="shared" si="8"/>
        <v>0</v>
      </c>
      <c r="AF54">
        <f t="shared" si="0"/>
        <v>2</v>
      </c>
    </row>
    <row r="55" spans="1:32" ht="43.2" x14ac:dyDescent="0.3">
      <c r="A55" t="s">
        <v>2744</v>
      </c>
      <c r="B55" s="7">
        <v>3</v>
      </c>
      <c r="C55" s="7">
        <v>3</v>
      </c>
      <c r="D55" s="7">
        <v>17</v>
      </c>
      <c r="E55" s="3">
        <f t="shared" si="1"/>
        <v>17</v>
      </c>
      <c r="F55" s="3">
        <f t="shared" si="2"/>
        <v>17</v>
      </c>
      <c r="G55" s="7">
        <v>4</v>
      </c>
      <c r="N55" s="23">
        <f>SUM(N38:N54)</f>
        <v>349</v>
      </c>
      <c r="O55" s="23">
        <f t="shared" si="4"/>
        <v>90.649350649350652</v>
      </c>
      <c r="V55" s="23">
        <f>SUM(V50:V54)</f>
        <v>4</v>
      </c>
      <c r="W55" s="23">
        <f t="shared" si="6"/>
        <v>1.0389610389610389</v>
      </c>
      <c r="AB55" s="4" t="s">
        <v>39218</v>
      </c>
      <c r="AC55" s="6">
        <f>COUNTIFS($B$2:$B$386,3,$C$2:$C$386,2,$F$2:$F$386,3,$G$2:$G$386,1)</f>
        <v>0</v>
      </c>
      <c r="AD55" s="6">
        <f t="shared" si="8"/>
        <v>0</v>
      </c>
      <c r="AF55">
        <f t="shared" si="0"/>
        <v>2</v>
      </c>
    </row>
    <row r="56" spans="1:32" ht="43.2" x14ac:dyDescent="0.3">
      <c r="A56" t="s">
        <v>1743</v>
      </c>
      <c r="B56" s="7">
        <v>3</v>
      </c>
      <c r="C56" s="7">
        <v>3</v>
      </c>
      <c r="D56" s="7">
        <v>17</v>
      </c>
      <c r="E56" s="3">
        <f t="shared" si="1"/>
        <v>17</v>
      </c>
      <c r="F56" s="3">
        <f t="shared" si="2"/>
        <v>17</v>
      </c>
      <c r="G56" s="7">
        <v>4</v>
      </c>
      <c r="L56" s="4" t="s">
        <v>34</v>
      </c>
      <c r="M56" t="s">
        <v>14</v>
      </c>
      <c r="N56">
        <f>COUNTIFS($C$2:$C$386,4,$D$2:$D$386,1)</f>
        <v>0</v>
      </c>
      <c r="O56">
        <f>(N56/385)*100</f>
        <v>0</v>
      </c>
      <c r="T56" t="s">
        <v>1639</v>
      </c>
      <c r="U56" s="4" t="s">
        <v>39120</v>
      </c>
      <c r="V56">
        <f>COUNTIFS($D$2:$D$386,10,$G$2:$G$386,1)</f>
        <v>0</v>
      </c>
      <c r="W56">
        <f>(V56/385)*100</f>
        <v>0</v>
      </c>
      <c r="AB56" s="4" t="s">
        <v>39219</v>
      </c>
      <c r="AC56" s="6">
        <f>COUNTIFS($B$2:$B$386,1,$C$2:$C$386,3,$F$2:$F$386,3,$G$2:$G$386,1)</f>
        <v>0</v>
      </c>
      <c r="AD56" s="6">
        <f t="shared" si="8"/>
        <v>0</v>
      </c>
      <c r="AF56">
        <f t="shared" si="0"/>
        <v>2</v>
      </c>
    </row>
    <row r="57" spans="1:32" ht="43.2" x14ac:dyDescent="0.3">
      <c r="A57" t="s">
        <v>1781</v>
      </c>
      <c r="B57" s="7">
        <v>1</v>
      </c>
      <c r="C57" s="7">
        <v>3</v>
      </c>
      <c r="D57" s="7">
        <v>1</v>
      </c>
      <c r="E57" s="3">
        <f t="shared" si="1"/>
        <v>1</v>
      </c>
      <c r="F57" s="3">
        <f t="shared" si="2"/>
        <v>1</v>
      </c>
      <c r="G57" s="7">
        <v>5</v>
      </c>
      <c r="M57" t="s">
        <v>21</v>
      </c>
      <c r="N57">
        <f>COUNTIFS($C$2:$C$386,4,$D$2:$D$386,2)</f>
        <v>0</v>
      </c>
      <c r="O57">
        <f t="shared" si="4"/>
        <v>0</v>
      </c>
      <c r="U57" s="4" t="s">
        <v>39121</v>
      </c>
      <c r="V57">
        <f>COUNTIFS($D$2:$D$386,10,$G$2:$G$386,2)</f>
        <v>1</v>
      </c>
      <c r="W57">
        <f t="shared" si="6"/>
        <v>0.25974025974025972</v>
      </c>
      <c r="AB57" s="4" t="s">
        <v>39220</v>
      </c>
      <c r="AC57" s="6">
        <f>COUNTIFS($B$2:$B$386,2,$C$2:$C$386,3,$F$2:$F$386,3,$G$2:$G$386,1)</f>
        <v>0</v>
      </c>
      <c r="AD57" s="6">
        <f t="shared" si="8"/>
        <v>0</v>
      </c>
      <c r="AF57">
        <f t="shared" si="0"/>
        <v>2</v>
      </c>
    </row>
    <row r="58" spans="1:32" ht="57.6" x14ac:dyDescent="0.3">
      <c r="A58" s="6" t="s">
        <v>997</v>
      </c>
      <c r="B58" s="7">
        <v>3</v>
      </c>
      <c r="C58" s="7">
        <v>3</v>
      </c>
      <c r="D58" s="7">
        <v>17</v>
      </c>
      <c r="E58" s="3">
        <f t="shared" si="1"/>
        <v>17</v>
      </c>
      <c r="F58" s="3">
        <f t="shared" si="2"/>
        <v>17</v>
      </c>
      <c r="G58" s="7">
        <v>4</v>
      </c>
      <c r="M58" t="s">
        <v>28</v>
      </c>
      <c r="N58">
        <f>COUNTIFS($C$2:$C$386,4,$D$2:$D$386,3)</f>
        <v>0</v>
      </c>
      <c r="O58">
        <f t="shared" si="4"/>
        <v>0</v>
      </c>
      <c r="U58" s="4" t="s">
        <v>39125</v>
      </c>
      <c r="V58">
        <f>COUNTIFS($D$2:$D$386,10,$G$2:$G$386,3)</f>
        <v>0</v>
      </c>
      <c r="W58">
        <f t="shared" si="6"/>
        <v>0</v>
      </c>
      <c r="AB58" s="4" t="s">
        <v>39221</v>
      </c>
      <c r="AC58" s="6">
        <f>COUNTIFS($B$2:$B$386,3,$C$2:$C$386,3,$F$2:$F$386,3,$G$2:$G$386,1)</f>
        <v>0</v>
      </c>
      <c r="AD58" s="6">
        <f t="shared" si="8"/>
        <v>0</v>
      </c>
      <c r="AF58">
        <f t="shared" si="0"/>
        <v>2</v>
      </c>
    </row>
    <row r="59" spans="1:32" ht="43.2" x14ac:dyDescent="0.3">
      <c r="A59" t="s">
        <v>2960</v>
      </c>
      <c r="B59" s="7">
        <v>1</v>
      </c>
      <c r="C59" s="7">
        <v>3</v>
      </c>
      <c r="D59" s="7">
        <v>1</v>
      </c>
      <c r="E59" s="3">
        <f t="shared" si="1"/>
        <v>1</v>
      </c>
      <c r="F59" s="3">
        <f t="shared" si="2"/>
        <v>1</v>
      </c>
      <c r="G59" s="7">
        <v>5</v>
      </c>
      <c r="M59" t="s">
        <v>35</v>
      </c>
      <c r="N59">
        <f>COUNTIFS($C$2:$C$386,4,$D$2:$D$386,4)</f>
        <v>0</v>
      </c>
      <c r="O59">
        <f t="shared" si="4"/>
        <v>0</v>
      </c>
      <c r="U59" s="4" t="s">
        <v>39122</v>
      </c>
      <c r="V59">
        <f>COUNTIFS($D$2:$D$386,10,$G$2:$G$386,4)</f>
        <v>0</v>
      </c>
      <c r="W59">
        <f t="shared" si="6"/>
        <v>0</v>
      </c>
      <c r="AB59" s="4" t="s">
        <v>39222</v>
      </c>
      <c r="AC59" s="6">
        <f>COUNTIFS($B$2:$B$386,1,$C$2:$C$386,4,$F$2:$F$386,3,$G$2:$G$386,1)</f>
        <v>0</v>
      </c>
      <c r="AD59" s="6">
        <f t="shared" si="8"/>
        <v>0</v>
      </c>
      <c r="AF59">
        <f t="shared" si="0"/>
        <v>2</v>
      </c>
    </row>
    <row r="60" spans="1:32" ht="43.2" x14ac:dyDescent="0.3">
      <c r="A60" t="s">
        <v>1832</v>
      </c>
      <c r="B60" s="7">
        <v>1</v>
      </c>
      <c r="C60" s="7">
        <v>3</v>
      </c>
      <c r="D60" s="7">
        <v>1</v>
      </c>
      <c r="E60" s="3">
        <f t="shared" si="1"/>
        <v>1</v>
      </c>
      <c r="F60" s="3">
        <f t="shared" si="2"/>
        <v>1</v>
      </c>
      <c r="G60" s="7">
        <v>5</v>
      </c>
      <c r="M60" t="s">
        <v>40</v>
      </c>
      <c r="N60">
        <f>COUNTIFS($C$2:$C$386,4,$D$2:$D$386,5)</f>
        <v>0</v>
      </c>
      <c r="O60">
        <f t="shared" si="4"/>
        <v>0</v>
      </c>
      <c r="U60" s="4" t="s">
        <v>39123</v>
      </c>
      <c r="V60">
        <f>COUNTIFS($D$2:$D$386,10,$G$2:$G$386,5)</f>
        <v>0</v>
      </c>
      <c r="W60">
        <f t="shared" si="6"/>
        <v>0</v>
      </c>
      <c r="AB60" s="4" t="s">
        <v>39223</v>
      </c>
      <c r="AC60" s="6">
        <f>COUNTIFS($B$2:$B$386,2,$C$2:$C$386,4,$F$2:$F$386,3,$G$2:$G$386,1)</f>
        <v>0</v>
      </c>
      <c r="AD60" s="6">
        <f t="shared" si="8"/>
        <v>0</v>
      </c>
      <c r="AF60">
        <f t="shared" si="0"/>
        <v>2</v>
      </c>
    </row>
    <row r="61" spans="1:32" ht="43.2" x14ac:dyDescent="0.3">
      <c r="A61" t="s">
        <v>1313</v>
      </c>
      <c r="B61" s="3">
        <v>1</v>
      </c>
      <c r="C61" s="3">
        <v>3</v>
      </c>
      <c r="D61" s="3">
        <v>1</v>
      </c>
      <c r="E61" s="3">
        <f t="shared" si="1"/>
        <v>1</v>
      </c>
      <c r="F61" s="3">
        <f t="shared" si="2"/>
        <v>1</v>
      </c>
      <c r="G61" s="3">
        <v>5</v>
      </c>
      <c r="M61" t="s">
        <v>44</v>
      </c>
      <c r="N61">
        <f>COUNTIFS($C$2:$C$386,4,$D$2:$D$386,6)</f>
        <v>0</v>
      </c>
      <c r="O61">
        <f t="shared" si="4"/>
        <v>0</v>
      </c>
      <c r="V61" s="23">
        <f>SUM(V56:V60)</f>
        <v>1</v>
      </c>
      <c r="W61" s="23">
        <f t="shared" si="6"/>
        <v>0.25974025974025972</v>
      </c>
      <c r="AB61" s="4" t="s">
        <v>39224</v>
      </c>
      <c r="AC61" s="6">
        <f>COUNTIFS($B$2:$B$386,3,$C$2:$C$386,4,$F$2:$F$386,3,$G$2:$G$386,1)</f>
        <v>0</v>
      </c>
      <c r="AD61" s="6">
        <f t="shared" si="8"/>
        <v>0</v>
      </c>
      <c r="AF61">
        <f t="shared" si="0"/>
        <v>2</v>
      </c>
    </row>
    <row r="62" spans="1:32" ht="43.2" x14ac:dyDescent="0.3">
      <c r="A62" s="6" t="s">
        <v>531</v>
      </c>
      <c r="B62" s="7">
        <v>3</v>
      </c>
      <c r="C62" s="7">
        <v>3</v>
      </c>
      <c r="D62" s="7">
        <v>17</v>
      </c>
      <c r="E62" s="3">
        <f t="shared" si="1"/>
        <v>17</v>
      </c>
      <c r="F62" s="3">
        <f t="shared" si="2"/>
        <v>17</v>
      </c>
      <c r="G62" s="7">
        <v>4</v>
      </c>
      <c r="M62" t="s">
        <v>47</v>
      </c>
      <c r="N62">
        <f>COUNTIFS($C$2:$C$386,4,$D$2:$D$386,7)</f>
        <v>0</v>
      </c>
      <c r="O62">
        <f t="shared" si="4"/>
        <v>0</v>
      </c>
      <c r="T62" t="s">
        <v>1640</v>
      </c>
      <c r="U62" s="4" t="s">
        <v>39120</v>
      </c>
      <c r="V62">
        <f>COUNTIFS($D$2:$D$386,11,$G$2:$G$386,1)</f>
        <v>0</v>
      </c>
      <c r="W62">
        <f>(V62/385)*100</f>
        <v>0</v>
      </c>
      <c r="AB62" s="4" t="s">
        <v>39225</v>
      </c>
      <c r="AC62" s="6">
        <f>COUNTIFS($B$2:$B$386,1,$C$2:$C$386,1,$F$2:$F$386,16,$G$2:$G$386,1)</f>
        <v>0</v>
      </c>
      <c r="AD62" s="6">
        <f t="shared" si="8"/>
        <v>0</v>
      </c>
      <c r="AF62">
        <f t="shared" si="0"/>
        <v>2</v>
      </c>
    </row>
    <row r="63" spans="1:32" ht="43.2" x14ac:dyDescent="0.3">
      <c r="A63" s="6" t="s">
        <v>786</v>
      </c>
      <c r="B63" s="11">
        <v>1</v>
      </c>
      <c r="C63" s="11">
        <v>3</v>
      </c>
      <c r="D63" s="11">
        <v>1</v>
      </c>
      <c r="E63" s="3">
        <f t="shared" si="1"/>
        <v>1</v>
      </c>
      <c r="F63" s="3">
        <f t="shared" si="2"/>
        <v>1</v>
      </c>
      <c r="G63" s="11">
        <v>5</v>
      </c>
      <c r="M63" t="s">
        <v>1637</v>
      </c>
      <c r="N63">
        <f>COUNTIFS($C$2:$C$386,4,$D$2:$D$386,8)</f>
        <v>0</v>
      </c>
      <c r="O63">
        <f t="shared" si="4"/>
        <v>0</v>
      </c>
      <c r="U63" s="4" t="s">
        <v>39121</v>
      </c>
      <c r="V63">
        <f>COUNTIFS($D$2:$D$386,11,$G$2:$G$386,2)</f>
        <v>0</v>
      </c>
      <c r="W63">
        <f t="shared" si="6"/>
        <v>0</v>
      </c>
      <c r="AB63" s="4" t="s">
        <v>39226</v>
      </c>
      <c r="AC63" s="6">
        <f>COUNTIFS($B$2:$B$386,2,$C$2:$C$386,1,$F$2:$F$386,16,$G$2:$G$386,1)</f>
        <v>0</v>
      </c>
      <c r="AD63" s="6">
        <f t="shared" si="8"/>
        <v>0</v>
      </c>
      <c r="AF63">
        <f t="shared" si="0"/>
        <v>2</v>
      </c>
    </row>
    <row r="64" spans="1:32" ht="57.6" x14ac:dyDescent="0.3">
      <c r="A64" t="s">
        <v>1923</v>
      </c>
      <c r="B64" s="7">
        <v>1</v>
      </c>
      <c r="C64" s="7">
        <v>3</v>
      </c>
      <c r="D64" s="7">
        <v>1</v>
      </c>
      <c r="E64" s="3">
        <f t="shared" si="1"/>
        <v>1</v>
      </c>
      <c r="F64" s="3">
        <f t="shared" si="2"/>
        <v>1</v>
      </c>
      <c r="G64" s="7">
        <v>5</v>
      </c>
      <c r="M64" t="s">
        <v>1638</v>
      </c>
      <c r="N64">
        <f>COUNTIFS($C$2:$C$386,4,$D$2:$D$386,9)</f>
        <v>0</v>
      </c>
      <c r="O64">
        <f t="shared" si="4"/>
        <v>0</v>
      </c>
      <c r="U64" s="4" t="s">
        <v>39125</v>
      </c>
      <c r="V64">
        <f>COUNTIFS($D$2:$D$386,11,$G$2:$G$386,3)</f>
        <v>1</v>
      </c>
      <c r="W64">
        <f t="shared" si="6"/>
        <v>0.25974025974025972</v>
      </c>
      <c r="AB64" s="4" t="s">
        <v>39227</v>
      </c>
      <c r="AC64" s="6">
        <f>COUNTIFS($B$2:$B$386,3,$C$2:$C$386,1,$F$2:$F$386,16,$G$2:$G$386,1)</f>
        <v>0</v>
      </c>
      <c r="AD64" s="6">
        <f t="shared" si="8"/>
        <v>0</v>
      </c>
      <c r="AF64">
        <f t="shared" si="0"/>
        <v>2</v>
      </c>
    </row>
    <row r="65" spans="1:32" ht="43.2" x14ac:dyDescent="0.3">
      <c r="A65" t="s">
        <v>2490</v>
      </c>
      <c r="B65" s="7">
        <v>3</v>
      </c>
      <c r="C65" s="7">
        <v>3</v>
      </c>
      <c r="D65" s="7">
        <v>17</v>
      </c>
      <c r="E65" s="3">
        <f t="shared" si="1"/>
        <v>17</v>
      </c>
      <c r="F65" s="3">
        <f t="shared" si="2"/>
        <v>17</v>
      </c>
      <c r="G65" s="7">
        <v>4</v>
      </c>
      <c r="M65" t="s">
        <v>1639</v>
      </c>
      <c r="N65">
        <f>COUNTIFS($C$2:$C$386,4,$D$2:$D$386,10)</f>
        <v>0</v>
      </c>
      <c r="O65">
        <f t="shared" si="4"/>
        <v>0</v>
      </c>
      <c r="U65" s="4" t="s">
        <v>39122</v>
      </c>
      <c r="V65">
        <f>COUNTIFS($D$2:$D$386,11,$G$2:$G$386,4)</f>
        <v>0</v>
      </c>
      <c r="W65">
        <f t="shared" si="6"/>
        <v>0</v>
      </c>
      <c r="AB65" s="4" t="s">
        <v>39228</v>
      </c>
      <c r="AC65" s="6">
        <f>COUNTIFS($B$2:$B$386,1,$C$2:$C$386,2,$F$2:$F$386,16,$G$2:$G$386,1)</f>
        <v>0</v>
      </c>
      <c r="AD65" s="6">
        <f t="shared" si="8"/>
        <v>0</v>
      </c>
      <c r="AF65">
        <f t="shared" si="0"/>
        <v>2</v>
      </c>
    </row>
    <row r="66" spans="1:32" ht="43.2" x14ac:dyDescent="0.3">
      <c r="A66" s="6" t="s">
        <v>798</v>
      </c>
      <c r="B66" s="11">
        <v>1</v>
      </c>
      <c r="C66" s="11">
        <v>2</v>
      </c>
      <c r="D66" s="11">
        <v>4</v>
      </c>
      <c r="E66" s="3">
        <f t="shared" si="1"/>
        <v>18</v>
      </c>
      <c r="F66" s="3">
        <f t="shared" si="2"/>
        <v>18</v>
      </c>
      <c r="G66" s="11">
        <v>3</v>
      </c>
      <c r="M66" t="s">
        <v>1640</v>
      </c>
      <c r="N66">
        <f>COUNTIFS($C$2:$C$386,4,$D$2:$D$386,11)</f>
        <v>0</v>
      </c>
      <c r="O66">
        <f t="shared" si="4"/>
        <v>0</v>
      </c>
      <c r="U66" s="4" t="s">
        <v>39123</v>
      </c>
      <c r="V66">
        <f>COUNTIFS($D$2:$D$386,11,$G$2:$G$386,5)</f>
        <v>0</v>
      </c>
      <c r="W66">
        <f t="shared" si="6"/>
        <v>0</v>
      </c>
      <c r="AB66" s="4" t="s">
        <v>39229</v>
      </c>
      <c r="AC66" s="6">
        <f>COUNTIFS($B$2:$B$386,2,$C$2:$C$386,2,$F$2:$F$386,16,$G$2:$G$386,1)</f>
        <v>0</v>
      </c>
      <c r="AD66" s="6">
        <f t="shared" si="8"/>
        <v>0</v>
      </c>
      <c r="AF66">
        <f t="shared" ref="AF66:AF129" si="12">IF(AND(B66=1, C66=1, F66=18, G66=1), 1, 2)</f>
        <v>2</v>
      </c>
    </row>
    <row r="67" spans="1:32" ht="43.2" x14ac:dyDescent="0.3">
      <c r="A67" t="s">
        <v>2993</v>
      </c>
      <c r="B67" s="7">
        <v>3</v>
      </c>
      <c r="C67" s="7">
        <v>3</v>
      </c>
      <c r="D67" s="7">
        <v>17</v>
      </c>
      <c r="E67" s="3">
        <f t="shared" ref="E67:E130" si="13">IF(OR(D67=4, D67=6, D67=8, D67=10, D67=12, D67=14), 18, D67)</f>
        <v>17</v>
      </c>
      <c r="F67" s="3">
        <f t="shared" ref="F67:F130" si="14">IF(OR(E67=5, E67=7, E67=9, E67=11, E67=13, E67=15), 19, E67)</f>
        <v>17</v>
      </c>
      <c r="G67" s="7">
        <v>4</v>
      </c>
      <c r="M67" t="s">
        <v>1641</v>
      </c>
      <c r="N67">
        <f>COUNTIFS($C$2:$C$386,4,$D$2:$D$386,12)</f>
        <v>0</v>
      </c>
      <c r="O67">
        <f t="shared" ref="O67:O73" si="15">(N67/385)*100</f>
        <v>0</v>
      </c>
      <c r="V67" s="23">
        <f>SUM(V62:V66)</f>
        <v>1</v>
      </c>
      <c r="W67" s="23">
        <f t="shared" ref="W67" si="16">(V67/385)*100</f>
        <v>0.25974025974025972</v>
      </c>
      <c r="AB67" s="4" t="s">
        <v>39230</v>
      </c>
      <c r="AC67" s="6">
        <f>COUNTIFS($B$2:$B$386,3,$C$2:$C$386,2,$F$2:$F$386,16,$G$2:$G$386,1)</f>
        <v>0</v>
      </c>
      <c r="AD67" s="6">
        <f t="shared" ref="AD67:AD130" si="17">(AC67/385)*100</f>
        <v>0</v>
      </c>
      <c r="AF67">
        <f t="shared" si="12"/>
        <v>2</v>
      </c>
    </row>
    <row r="68" spans="1:32" ht="43.2" x14ac:dyDescent="0.3">
      <c r="A68" s="6" t="s">
        <v>569</v>
      </c>
      <c r="B68" s="11">
        <v>1</v>
      </c>
      <c r="C68" s="11">
        <v>3</v>
      </c>
      <c r="D68" s="11">
        <v>1</v>
      </c>
      <c r="E68" s="3">
        <f t="shared" si="13"/>
        <v>1</v>
      </c>
      <c r="F68" s="3">
        <f t="shared" si="14"/>
        <v>1</v>
      </c>
      <c r="G68" s="11">
        <v>5</v>
      </c>
      <c r="M68" t="s">
        <v>1642</v>
      </c>
      <c r="N68">
        <f>COUNTIFS($C$2:$C$386,4,$D$2:$D$386,13)</f>
        <v>0</v>
      </c>
      <c r="O68">
        <f t="shared" si="15"/>
        <v>0</v>
      </c>
      <c r="T68" t="s">
        <v>1641</v>
      </c>
      <c r="U68" s="4" t="s">
        <v>39120</v>
      </c>
      <c r="V68">
        <f>COUNTIFS($D$2:$D$386,12,$G$2:$G$386,1)</f>
        <v>1</v>
      </c>
      <c r="W68">
        <f>(V68/385)*100</f>
        <v>0.25974025974025972</v>
      </c>
      <c r="AB68" s="4" t="s">
        <v>39231</v>
      </c>
      <c r="AC68" s="6">
        <f>COUNTIFS($B$2:$B$386,1,$C$2:$C$386,3,$F$2:$F$386,16,$G$2:$G$386,1)</f>
        <v>0</v>
      </c>
      <c r="AD68" s="6">
        <f t="shared" si="17"/>
        <v>0</v>
      </c>
      <c r="AF68">
        <f t="shared" si="12"/>
        <v>2</v>
      </c>
    </row>
    <row r="69" spans="1:32" ht="43.2" x14ac:dyDescent="0.3">
      <c r="A69" t="s">
        <v>2028</v>
      </c>
      <c r="B69" s="3">
        <v>2</v>
      </c>
      <c r="C69" s="3">
        <v>3</v>
      </c>
      <c r="D69" s="3">
        <v>9</v>
      </c>
      <c r="E69" s="3">
        <f t="shared" si="13"/>
        <v>9</v>
      </c>
      <c r="F69" s="3">
        <f t="shared" si="14"/>
        <v>19</v>
      </c>
      <c r="G69" s="3">
        <v>4</v>
      </c>
      <c r="M69" t="s">
        <v>1643</v>
      </c>
      <c r="N69">
        <f>COUNTIFS($C$2:$C$386,4,$D$2:$D$386,14)</f>
        <v>0</v>
      </c>
      <c r="O69">
        <f t="shared" si="15"/>
        <v>0</v>
      </c>
      <c r="U69" s="4" t="s">
        <v>39121</v>
      </c>
      <c r="V69">
        <f>COUNTIFS($D$2:$D$386,12,$G$2:$G$386,2)</f>
        <v>0</v>
      </c>
      <c r="W69">
        <f t="shared" ref="W69:W73" si="18">(V69/385)*100</f>
        <v>0</v>
      </c>
      <c r="AB69" s="4" t="s">
        <v>39232</v>
      </c>
      <c r="AC69" s="6">
        <f>COUNTIFS($B$2:$B$386,2,$C$2:$C$386,3,$F$2:$F$386,16,$G$2:$G$386,1)</f>
        <v>0</v>
      </c>
      <c r="AD69" s="6">
        <f t="shared" si="17"/>
        <v>0</v>
      </c>
      <c r="AF69">
        <f t="shared" si="12"/>
        <v>2</v>
      </c>
    </row>
    <row r="70" spans="1:32" ht="57.6" x14ac:dyDescent="0.3">
      <c r="A70" s="6" t="s">
        <v>500</v>
      </c>
      <c r="B70" s="7">
        <v>1</v>
      </c>
      <c r="C70" s="7">
        <v>3</v>
      </c>
      <c r="D70" s="7">
        <v>1</v>
      </c>
      <c r="E70" s="3">
        <f t="shared" si="13"/>
        <v>1</v>
      </c>
      <c r="F70" s="3">
        <f t="shared" si="14"/>
        <v>1</v>
      </c>
      <c r="G70" s="7">
        <v>5</v>
      </c>
      <c r="M70" t="s">
        <v>1644</v>
      </c>
      <c r="N70">
        <f>COUNTIFS($C$2:$C$386,4,$D$2:$D$386,15)</f>
        <v>0</v>
      </c>
      <c r="O70">
        <f t="shared" si="15"/>
        <v>0</v>
      </c>
      <c r="U70" s="4" t="s">
        <v>39125</v>
      </c>
      <c r="V70">
        <f>COUNTIFS($D$2:$D$386,12,$G$2:$G$386,3)</f>
        <v>0</v>
      </c>
      <c r="W70">
        <f t="shared" si="18"/>
        <v>0</v>
      </c>
      <c r="AB70" s="4" t="s">
        <v>39233</v>
      </c>
      <c r="AC70" s="6">
        <f>COUNTIFS($B$2:$B$386,3,$C$2:$C$386,3,$F$2:$F$386,16,$G$2:$G$386,1)</f>
        <v>0</v>
      </c>
      <c r="AD70" s="6">
        <f t="shared" si="17"/>
        <v>0</v>
      </c>
      <c r="AF70">
        <f t="shared" si="12"/>
        <v>2</v>
      </c>
    </row>
    <row r="71" spans="1:32" ht="43.2" x14ac:dyDescent="0.3">
      <c r="A71" t="s">
        <v>1655</v>
      </c>
      <c r="B71" s="3">
        <v>3</v>
      </c>
      <c r="C71" s="3">
        <v>3</v>
      </c>
      <c r="D71" s="3">
        <v>17</v>
      </c>
      <c r="E71" s="3">
        <f t="shared" si="13"/>
        <v>17</v>
      </c>
      <c r="F71" s="3">
        <f t="shared" si="14"/>
        <v>17</v>
      </c>
      <c r="G71" s="3">
        <v>4</v>
      </c>
      <c r="M71" t="s">
        <v>29</v>
      </c>
      <c r="N71">
        <f>COUNTIFS($C$2:$C$386,4,$D$2:$D$386,16)</f>
        <v>0</v>
      </c>
      <c r="O71">
        <f t="shared" si="15"/>
        <v>0</v>
      </c>
      <c r="U71" s="4" t="s">
        <v>39122</v>
      </c>
      <c r="V71">
        <f>COUNTIFS($D$2:$D$386,12,$G$2:$G$386,4)</f>
        <v>0</v>
      </c>
      <c r="W71">
        <f t="shared" si="18"/>
        <v>0</v>
      </c>
      <c r="AB71" s="4" t="s">
        <v>39234</v>
      </c>
      <c r="AC71" s="6">
        <f>COUNTIFS($B$2:$B$386,1,$C$2:$C$386,4,$F$2:$F$386,16,$G$2:$G$386,1)</f>
        <v>0</v>
      </c>
      <c r="AD71" s="6">
        <f t="shared" si="17"/>
        <v>0</v>
      </c>
      <c r="AF71">
        <f t="shared" si="12"/>
        <v>2</v>
      </c>
    </row>
    <row r="72" spans="1:32" ht="43.2" x14ac:dyDescent="0.3">
      <c r="A72" t="s">
        <v>2704</v>
      </c>
      <c r="B72" s="3">
        <v>3</v>
      </c>
      <c r="C72" s="3">
        <v>3</v>
      </c>
      <c r="D72" s="3">
        <v>17</v>
      </c>
      <c r="E72" s="3">
        <f t="shared" si="13"/>
        <v>17</v>
      </c>
      <c r="F72" s="3">
        <f t="shared" si="14"/>
        <v>17</v>
      </c>
      <c r="G72" s="3">
        <v>4</v>
      </c>
      <c r="M72" t="s">
        <v>54</v>
      </c>
      <c r="N72">
        <f>COUNTIFS($C$2:$C$386,4,$D$2:$D$386,17)</f>
        <v>0</v>
      </c>
      <c r="O72">
        <f t="shared" si="15"/>
        <v>0</v>
      </c>
      <c r="U72" s="4" t="s">
        <v>39123</v>
      </c>
      <c r="V72">
        <f>COUNTIFS($D$2:$D$386,12,$G$2:$G$386,5)</f>
        <v>0</v>
      </c>
      <c r="W72">
        <f t="shared" si="18"/>
        <v>0</v>
      </c>
      <c r="AB72" s="4" t="s">
        <v>39235</v>
      </c>
      <c r="AC72" s="6">
        <f>COUNTIFS($B$2:$B$386,2,$C$2:$C$386,4,$F$2:$F$386,16,$G$2:$G$386,1)</f>
        <v>0</v>
      </c>
      <c r="AD72" s="6">
        <f t="shared" si="17"/>
        <v>0</v>
      </c>
      <c r="AF72">
        <f t="shared" si="12"/>
        <v>2</v>
      </c>
    </row>
    <row r="73" spans="1:32" ht="43.2" x14ac:dyDescent="0.3">
      <c r="A73" t="s">
        <v>1520</v>
      </c>
      <c r="B73" s="3">
        <v>3</v>
      </c>
      <c r="C73" s="3">
        <v>3</v>
      </c>
      <c r="D73" s="3">
        <v>17</v>
      </c>
      <c r="E73" s="3">
        <f t="shared" si="13"/>
        <v>17</v>
      </c>
      <c r="F73" s="3">
        <f t="shared" si="14"/>
        <v>17</v>
      </c>
      <c r="G73" s="3">
        <v>4</v>
      </c>
      <c r="N73" s="23">
        <f>SUM(N56:N72)</f>
        <v>0</v>
      </c>
      <c r="O73" s="23">
        <f t="shared" si="15"/>
        <v>0</v>
      </c>
      <c r="V73" s="23">
        <f>SUM(V68:V72)</f>
        <v>1</v>
      </c>
      <c r="W73" s="23">
        <f t="shared" si="18"/>
        <v>0.25974025974025972</v>
      </c>
      <c r="AB73" s="4" t="s">
        <v>39236</v>
      </c>
      <c r="AC73" s="6">
        <f>COUNTIFS($B$2:$B$386,3,$C$2:$C$386,4,$F$2:$F$386,16,$G$2:$G$386,1)</f>
        <v>0</v>
      </c>
      <c r="AD73" s="6">
        <f t="shared" si="17"/>
        <v>0</v>
      </c>
      <c r="AF73">
        <f t="shared" si="12"/>
        <v>2</v>
      </c>
    </row>
    <row r="74" spans="1:32" ht="43.2" x14ac:dyDescent="0.3">
      <c r="A74" s="6" t="s">
        <v>1131</v>
      </c>
      <c r="B74" s="11">
        <v>2</v>
      </c>
      <c r="C74" s="11">
        <v>2</v>
      </c>
      <c r="D74" s="11">
        <v>16</v>
      </c>
      <c r="E74" s="3">
        <f t="shared" si="13"/>
        <v>16</v>
      </c>
      <c r="F74" s="3">
        <f t="shared" si="14"/>
        <v>16</v>
      </c>
      <c r="G74" s="11">
        <v>3</v>
      </c>
      <c r="T74" t="s">
        <v>1642</v>
      </c>
      <c r="U74" s="4" t="s">
        <v>39120</v>
      </c>
      <c r="V74">
        <f>COUNTIFS($D$2:$D$386,13,$G$2:$G$386,1)</f>
        <v>0</v>
      </c>
      <c r="W74">
        <f>(V74/385)*100</f>
        <v>0</v>
      </c>
      <c r="AB74" s="4" t="s">
        <v>39237</v>
      </c>
      <c r="AC74" s="6">
        <f>COUNTIFS($B$2:$B$386,1,$C$2:$C$386,1,$F$2:$F$386,17,$G$2:$G$386,1)</f>
        <v>0</v>
      </c>
      <c r="AD74" s="6">
        <f t="shared" si="17"/>
        <v>0</v>
      </c>
      <c r="AF74">
        <f t="shared" si="12"/>
        <v>2</v>
      </c>
    </row>
    <row r="75" spans="1:32" ht="43.2" x14ac:dyDescent="0.3">
      <c r="A75" s="6" t="s">
        <v>540</v>
      </c>
      <c r="B75" s="7">
        <v>1</v>
      </c>
      <c r="C75" s="7">
        <v>3</v>
      </c>
      <c r="D75" s="7">
        <v>1</v>
      </c>
      <c r="E75" s="3">
        <f t="shared" si="13"/>
        <v>1</v>
      </c>
      <c r="F75" s="3">
        <f t="shared" si="14"/>
        <v>1</v>
      </c>
      <c r="G75" s="7">
        <v>5</v>
      </c>
      <c r="U75" s="4" t="s">
        <v>39121</v>
      </c>
      <c r="V75">
        <f>COUNTIFS($D$2:$D$386,13,$G$2:$G$386,2)</f>
        <v>0</v>
      </c>
      <c r="W75">
        <f t="shared" ref="W75:W79" si="19">(V75/385)*100</f>
        <v>0</v>
      </c>
      <c r="AB75" s="4" t="s">
        <v>39238</v>
      </c>
      <c r="AC75" s="6">
        <f>COUNTIFS($B$2:$B$386,2,$C$2:$C$386,1,$F$2:$F$386,17,$G$2:$G$386,1)</f>
        <v>0</v>
      </c>
      <c r="AD75" s="6">
        <f t="shared" si="17"/>
        <v>0</v>
      </c>
      <c r="AF75">
        <f t="shared" si="12"/>
        <v>2</v>
      </c>
    </row>
    <row r="76" spans="1:32" ht="57.6" x14ac:dyDescent="0.3">
      <c r="A76" s="6" t="s">
        <v>899</v>
      </c>
      <c r="B76" s="11">
        <v>2</v>
      </c>
      <c r="C76" s="11">
        <v>2</v>
      </c>
      <c r="D76" s="11">
        <v>16</v>
      </c>
      <c r="E76" s="3">
        <f t="shared" si="13"/>
        <v>16</v>
      </c>
      <c r="F76" s="3">
        <f t="shared" si="14"/>
        <v>16</v>
      </c>
      <c r="G76" s="11">
        <v>3</v>
      </c>
      <c r="U76" s="4" t="s">
        <v>39125</v>
      </c>
      <c r="V76">
        <f>COUNTIFS($D$2:$D$386,13,$G$2:$G$386,3)</f>
        <v>0</v>
      </c>
      <c r="W76">
        <f t="shared" si="19"/>
        <v>0</v>
      </c>
      <c r="AB76" s="4" t="s">
        <v>39239</v>
      </c>
      <c r="AC76" s="6">
        <f>COUNTIFS($B$2:$B$386,3,$C$2:$C$386,1,$F$2:$F$386,17,$G$2:$G$386,1)</f>
        <v>0</v>
      </c>
      <c r="AD76" s="6">
        <f t="shared" si="17"/>
        <v>0</v>
      </c>
      <c r="AF76">
        <f t="shared" si="12"/>
        <v>2</v>
      </c>
    </row>
    <row r="77" spans="1:32" ht="43.2" x14ac:dyDescent="0.3">
      <c r="A77" s="6" t="s">
        <v>837</v>
      </c>
      <c r="B77" s="7">
        <v>1</v>
      </c>
      <c r="C77" s="7">
        <v>3</v>
      </c>
      <c r="D77" s="7">
        <v>1</v>
      </c>
      <c r="E77" s="3">
        <f t="shared" si="13"/>
        <v>1</v>
      </c>
      <c r="F77" s="3">
        <f t="shared" si="14"/>
        <v>1</v>
      </c>
      <c r="G77" s="7">
        <v>3</v>
      </c>
      <c r="U77" s="4" t="s">
        <v>39122</v>
      </c>
      <c r="V77">
        <f>COUNTIFS($D$2:$D$386,13,$G$2:$G$386,4)</f>
        <v>0</v>
      </c>
      <c r="W77">
        <f t="shared" si="19"/>
        <v>0</v>
      </c>
      <c r="AB77" s="4" t="s">
        <v>39240</v>
      </c>
      <c r="AC77" s="6">
        <f>COUNTIFS($B$2:$B$386,1,$C$2:$C$386,2,$F$2:$F$386,17,$G$2:$G$386,1)</f>
        <v>0</v>
      </c>
      <c r="AD77" s="6">
        <f t="shared" si="17"/>
        <v>0</v>
      </c>
      <c r="AF77">
        <f t="shared" si="12"/>
        <v>2</v>
      </c>
    </row>
    <row r="78" spans="1:32" ht="43.2" x14ac:dyDescent="0.3">
      <c r="A78" t="s">
        <v>2020</v>
      </c>
      <c r="B78" s="7">
        <v>3</v>
      </c>
      <c r="C78" s="7">
        <v>3</v>
      </c>
      <c r="D78" s="7">
        <v>17</v>
      </c>
      <c r="E78" s="3">
        <f t="shared" si="13"/>
        <v>17</v>
      </c>
      <c r="F78" s="3">
        <f t="shared" si="14"/>
        <v>17</v>
      </c>
      <c r="G78" s="7">
        <v>4</v>
      </c>
      <c r="U78" s="4" t="s">
        <v>39123</v>
      </c>
      <c r="V78">
        <f>COUNTIFS($D$2:$D$386,13,$G$2:$G$386,5)</f>
        <v>0</v>
      </c>
      <c r="W78">
        <f t="shared" si="19"/>
        <v>0</v>
      </c>
      <c r="AB78" s="4" t="s">
        <v>39241</v>
      </c>
      <c r="AC78" s="6">
        <f>COUNTIFS($B$2:$B$386,2,$C$2:$C$386,2,$F$2:$F$386,17,$G$2:$G$386,1)</f>
        <v>0</v>
      </c>
      <c r="AD78" s="6">
        <f t="shared" si="17"/>
        <v>0</v>
      </c>
      <c r="AF78">
        <f t="shared" si="12"/>
        <v>2</v>
      </c>
    </row>
    <row r="79" spans="1:32" ht="43.2" x14ac:dyDescent="0.3">
      <c r="A79" s="6" t="s">
        <v>82</v>
      </c>
      <c r="B79" s="7">
        <v>3</v>
      </c>
      <c r="C79" s="7">
        <v>3</v>
      </c>
      <c r="D79" s="7">
        <v>17</v>
      </c>
      <c r="E79" s="3">
        <f t="shared" si="13"/>
        <v>17</v>
      </c>
      <c r="F79" s="3">
        <f t="shared" si="14"/>
        <v>17</v>
      </c>
      <c r="G79" s="7">
        <v>4</v>
      </c>
      <c r="V79" s="23">
        <f>SUM(V74:V78)</f>
        <v>0</v>
      </c>
      <c r="W79" s="23">
        <f t="shared" si="19"/>
        <v>0</v>
      </c>
      <c r="AB79" s="4" t="s">
        <v>39242</v>
      </c>
      <c r="AC79" s="6">
        <f>COUNTIFS($B$2:$B$386,3,$C$2:$C$386,2,$F$2:$F$386,17,$G$2:$G$386,1)</f>
        <v>0</v>
      </c>
      <c r="AD79" s="6">
        <f t="shared" si="17"/>
        <v>0</v>
      </c>
      <c r="AF79">
        <f t="shared" si="12"/>
        <v>2</v>
      </c>
    </row>
    <row r="80" spans="1:32" ht="43.2" x14ac:dyDescent="0.3">
      <c r="A80" t="s">
        <v>2391</v>
      </c>
      <c r="B80" s="3">
        <v>3</v>
      </c>
      <c r="C80" s="3">
        <v>3</v>
      </c>
      <c r="D80" s="3">
        <v>17</v>
      </c>
      <c r="E80" s="3">
        <f t="shared" si="13"/>
        <v>17</v>
      </c>
      <c r="F80" s="3">
        <f t="shared" si="14"/>
        <v>17</v>
      </c>
      <c r="G80" s="3">
        <v>4</v>
      </c>
      <c r="T80" t="s">
        <v>1643</v>
      </c>
      <c r="U80" s="4" t="s">
        <v>39120</v>
      </c>
      <c r="V80">
        <f>COUNTIFS($D$2:$D$386,14,$G$2:$G$386,1)</f>
        <v>0</v>
      </c>
      <c r="W80">
        <f>(V80/385)*100</f>
        <v>0</v>
      </c>
      <c r="AB80" s="4" t="s">
        <v>39243</v>
      </c>
      <c r="AC80" s="6">
        <f>COUNTIFS($B$2:$B$386,1,$C$2:$C$386,3,$F$2:$F$386,17,$G$2:$G$386,1)</f>
        <v>0</v>
      </c>
      <c r="AD80" s="6">
        <f t="shared" si="17"/>
        <v>0</v>
      </c>
      <c r="AF80">
        <f t="shared" si="12"/>
        <v>2</v>
      </c>
    </row>
    <row r="81" spans="1:32" ht="43.2" x14ac:dyDescent="0.3">
      <c r="A81" s="6" t="s">
        <v>1113</v>
      </c>
      <c r="B81" s="7">
        <v>3</v>
      </c>
      <c r="C81" s="7">
        <v>3</v>
      </c>
      <c r="D81" s="7">
        <v>17</v>
      </c>
      <c r="E81" s="3">
        <f t="shared" si="13"/>
        <v>17</v>
      </c>
      <c r="F81" s="3">
        <f t="shared" si="14"/>
        <v>17</v>
      </c>
      <c r="G81" s="7">
        <v>4</v>
      </c>
      <c r="U81" s="4" t="s">
        <v>39121</v>
      </c>
      <c r="V81">
        <f>COUNTIFS($D$2:$D$386,14,$G$2:$G$386,2)</f>
        <v>0</v>
      </c>
      <c r="W81">
        <f t="shared" ref="W81:W85" si="20">(V81/385)*100</f>
        <v>0</v>
      </c>
      <c r="AB81" s="4" t="s">
        <v>39244</v>
      </c>
      <c r="AC81" s="6">
        <f>COUNTIFS($B$2:$B$386,2,$C$2:$C$386,3,$F$2:$F$386,17,$G$2:$G$386,1)</f>
        <v>0</v>
      </c>
      <c r="AD81" s="6">
        <f t="shared" si="17"/>
        <v>0</v>
      </c>
      <c r="AF81">
        <f t="shared" si="12"/>
        <v>2</v>
      </c>
    </row>
    <row r="82" spans="1:32" ht="57.6" x14ac:dyDescent="0.3">
      <c r="A82" t="s">
        <v>1328</v>
      </c>
      <c r="B82" s="7">
        <v>3</v>
      </c>
      <c r="C82" s="7">
        <v>3</v>
      </c>
      <c r="D82" s="7">
        <v>17</v>
      </c>
      <c r="E82" s="3">
        <f t="shared" si="13"/>
        <v>17</v>
      </c>
      <c r="F82" s="3">
        <f t="shared" si="14"/>
        <v>17</v>
      </c>
      <c r="G82" s="7">
        <v>4</v>
      </c>
      <c r="U82" s="4" t="s">
        <v>39125</v>
      </c>
      <c r="V82">
        <f>COUNTIFS($D$2:$D$386,14,$G$2:$G$386,3)</f>
        <v>0</v>
      </c>
      <c r="W82">
        <f t="shared" si="20"/>
        <v>0</v>
      </c>
      <c r="AB82" s="4" t="s">
        <v>39245</v>
      </c>
      <c r="AC82" s="6">
        <f>COUNTIFS($B$2:$B$386,3,$C$2:$C$386,3,$F$2:$F$386,17,$G$2:$G$386,1)</f>
        <v>0</v>
      </c>
      <c r="AD82" s="6">
        <f t="shared" si="17"/>
        <v>0</v>
      </c>
      <c r="AF82">
        <f t="shared" si="12"/>
        <v>2</v>
      </c>
    </row>
    <row r="83" spans="1:32" ht="43.2" x14ac:dyDescent="0.3">
      <c r="A83" s="6" t="s">
        <v>369</v>
      </c>
      <c r="B83" s="7">
        <v>3</v>
      </c>
      <c r="C83" s="7">
        <v>3</v>
      </c>
      <c r="D83" s="7">
        <v>17</v>
      </c>
      <c r="E83" s="3">
        <f t="shared" si="13"/>
        <v>17</v>
      </c>
      <c r="F83" s="3">
        <f t="shared" si="14"/>
        <v>17</v>
      </c>
      <c r="G83" s="7">
        <v>4</v>
      </c>
      <c r="U83" s="4" t="s">
        <v>39122</v>
      </c>
      <c r="V83">
        <f>COUNTIFS($D$2:$D$386,14,$G$2:$G$386,4)</f>
        <v>0</v>
      </c>
      <c r="W83">
        <f t="shared" si="20"/>
        <v>0</v>
      </c>
      <c r="AB83" s="4" t="s">
        <v>39246</v>
      </c>
      <c r="AC83" s="6">
        <f>COUNTIFS($B$2:$B$386,1,$C$2:$C$386,4,$F$2:$F$386,17,$G$2:$G$386,1)</f>
        <v>0</v>
      </c>
      <c r="AD83" s="6">
        <f t="shared" si="17"/>
        <v>0</v>
      </c>
      <c r="AF83">
        <f t="shared" si="12"/>
        <v>2</v>
      </c>
    </row>
    <row r="84" spans="1:32" ht="43.2" x14ac:dyDescent="0.3">
      <c r="A84" t="s">
        <v>1572</v>
      </c>
      <c r="B84" s="3">
        <v>3</v>
      </c>
      <c r="C84" s="3">
        <v>3</v>
      </c>
      <c r="D84" s="3">
        <v>17</v>
      </c>
      <c r="E84" s="3">
        <f t="shared" si="13"/>
        <v>17</v>
      </c>
      <c r="F84" s="3">
        <f t="shared" si="14"/>
        <v>17</v>
      </c>
      <c r="G84" s="3">
        <v>4</v>
      </c>
      <c r="U84" s="4" t="s">
        <v>39123</v>
      </c>
      <c r="V84">
        <f>COUNTIFS($D$2:$D$386,14,$G$2:$G$386,5)</f>
        <v>0</v>
      </c>
      <c r="W84">
        <f t="shared" si="20"/>
        <v>0</v>
      </c>
      <c r="AB84" s="4" t="s">
        <v>39247</v>
      </c>
      <c r="AC84" s="6">
        <f>COUNTIFS($B$2:$B$386,2,$C$2:$C$386,4,$F$2:$F$386,17,$G$2:$G$386,1)</f>
        <v>0</v>
      </c>
      <c r="AD84" s="6">
        <f t="shared" si="17"/>
        <v>0</v>
      </c>
      <c r="AF84">
        <f t="shared" si="12"/>
        <v>2</v>
      </c>
    </row>
    <row r="85" spans="1:32" ht="43.2" x14ac:dyDescent="0.3">
      <c r="A85" s="6" t="s">
        <v>1108</v>
      </c>
      <c r="B85" s="7">
        <v>3</v>
      </c>
      <c r="C85" s="7">
        <v>3</v>
      </c>
      <c r="D85" s="7">
        <v>17</v>
      </c>
      <c r="E85" s="3">
        <f t="shared" si="13"/>
        <v>17</v>
      </c>
      <c r="F85" s="3">
        <f t="shared" si="14"/>
        <v>17</v>
      </c>
      <c r="G85" s="7">
        <v>4</v>
      </c>
      <c r="V85" s="23">
        <f>SUM(V80:V84)</f>
        <v>0</v>
      </c>
      <c r="W85" s="23">
        <f t="shared" si="20"/>
        <v>0</v>
      </c>
      <c r="AB85" s="4" t="s">
        <v>39248</v>
      </c>
      <c r="AC85" s="6">
        <f>COUNTIFS($B$2:$B$386,3,$C$2:$C$386,4,$F$2:$F$386,17,$G$2:$G$386,1)</f>
        <v>0</v>
      </c>
      <c r="AD85" s="6">
        <f t="shared" si="17"/>
        <v>0</v>
      </c>
      <c r="AF85">
        <f t="shared" si="12"/>
        <v>2</v>
      </c>
    </row>
    <row r="86" spans="1:32" ht="43.2" x14ac:dyDescent="0.3">
      <c r="A86" s="6" t="s">
        <v>1074</v>
      </c>
      <c r="B86" s="11">
        <v>1</v>
      </c>
      <c r="C86" s="11">
        <v>3</v>
      </c>
      <c r="D86" s="11">
        <v>2</v>
      </c>
      <c r="E86" s="3">
        <f t="shared" si="13"/>
        <v>2</v>
      </c>
      <c r="F86" s="3">
        <f t="shared" si="14"/>
        <v>2</v>
      </c>
      <c r="G86" s="11">
        <v>5</v>
      </c>
      <c r="T86" t="s">
        <v>1644</v>
      </c>
      <c r="U86" s="4" t="s">
        <v>39120</v>
      </c>
      <c r="V86">
        <f>COUNTIFS($D$2:$D$386,15,$G$2:$G$386,1)</f>
        <v>0</v>
      </c>
      <c r="W86">
        <f>(V86/385)*100</f>
        <v>0</v>
      </c>
      <c r="AB86" s="6"/>
      <c r="AD86" s="6"/>
      <c r="AF86">
        <f t="shared" si="12"/>
        <v>2</v>
      </c>
    </row>
    <row r="87" spans="1:32" ht="43.2" x14ac:dyDescent="0.3">
      <c r="A87" t="s">
        <v>1574</v>
      </c>
      <c r="B87" s="11">
        <v>2</v>
      </c>
      <c r="C87" s="11">
        <v>2</v>
      </c>
      <c r="D87" s="11">
        <v>16</v>
      </c>
      <c r="E87" s="3">
        <f t="shared" si="13"/>
        <v>16</v>
      </c>
      <c r="F87" s="3">
        <f t="shared" si="14"/>
        <v>16</v>
      </c>
      <c r="G87" s="11">
        <v>3</v>
      </c>
      <c r="U87" s="4" t="s">
        <v>39121</v>
      </c>
      <c r="V87">
        <f>COUNTIFS($D$2:$D$386,15,$G$2:$G$386,2)</f>
        <v>0</v>
      </c>
      <c r="W87">
        <f t="shared" ref="W87:W91" si="21">(V87/385)*100</f>
        <v>0</v>
      </c>
      <c r="AB87" s="4" t="s">
        <v>39249</v>
      </c>
      <c r="AC87" s="6">
        <f>COUNTIFS($B$2:$B$386,1,$C$2:$C$386,1,$F$2:$F$386,18,$G$2:$G$386,2)</f>
        <v>2</v>
      </c>
      <c r="AD87" s="6">
        <f t="shared" si="17"/>
        <v>0.51948051948051943</v>
      </c>
      <c r="AF87">
        <f t="shared" si="12"/>
        <v>2</v>
      </c>
    </row>
    <row r="88" spans="1:32" ht="57.6" x14ac:dyDescent="0.3">
      <c r="A88" s="6" t="s">
        <v>909</v>
      </c>
      <c r="B88" s="7">
        <v>3</v>
      </c>
      <c r="C88" s="7">
        <v>3</v>
      </c>
      <c r="D88" s="7">
        <v>17</v>
      </c>
      <c r="E88" s="3">
        <f t="shared" si="13"/>
        <v>17</v>
      </c>
      <c r="F88" s="3">
        <f t="shared" si="14"/>
        <v>17</v>
      </c>
      <c r="G88" s="7">
        <v>4</v>
      </c>
      <c r="U88" s="4" t="s">
        <v>39125</v>
      </c>
      <c r="V88">
        <f>COUNTIFS($D$2:$D$386,15,$G$2:$G$386,3)</f>
        <v>0</v>
      </c>
      <c r="W88">
        <f t="shared" si="21"/>
        <v>0</v>
      </c>
      <c r="AB88" s="4" t="s">
        <v>39250</v>
      </c>
      <c r="AC88" s="6">
        <f>COUNTIFS($B$2:$B$386,2,$C$2:$C$386,1,$F$2:$F$386,18,$G$2:$G$386,2)</f>
        <v>0</v>
      </c>
      <c r="AD88" s="6">
        <f t="shared" si="17"/>
        <v>0</v>
      </c>
      <c r="AF88">
        <f t="shared" si="12"/>
        <v>2</v>
      </c>
    </row>
    <row r="89" spans="1:32" ht="43.2" x14ac:dyDescent="0.3">
      <c r="A89" t="s">
        <v>1813</v>
      </c>
      <c r="B89" s="7">
        <v>3</v>
      </c>
      <c r="C89" s="7">
        <v>3</v>
      </c>
      <c r="D89" s="7">
        <v>17</v>
      </c>
      <c r="E89" s="3">
        <f t="shared" si="13"/>
        <v>17</v>
      </c>
      <c r="F89" s="3">
        <f t="shared" si="14"/>
        <v>17</v>
      </c>
      <c r="G89" s="7">
        <v>4</v>
      </c>
      <c r="U89" s="4" t="s">
        <v>39122</v>
      </c>
      <c r="V89">
        <f>COUNTIFS($D$2:$D$386,15,$G$2:$G$386,4)</f>
        <v>0</v>
      </c>
      <c r="W89">
        <f t="shared" si="21"/>
        <v>0</v>
      </c>
      <c r="AB89" s="4" t="s">
        <v>39251</v>
      </c>
      <c r="AC89" s="6">
        <f>COUNTIFS($B$2:$B$386,3,$C$2:$C$386,1,$F$2:$F$386,18,$G$2:$G$386,2)</f>
        <v>0</v>
      </c>
      <c r="AD89" s="6">
        <f t="shared" si="17"/>
        <v>0</v>
      </c>
      <c r="AF89">
        <f t="shared" si="12"/>
        <v>2</v>
      </c>
    </row>
    <row r="90" spans="1:32" ht="43.2" x14ac:dyDescent="0.3">
      <c r="A90" t="s">
        <v>2681</v>
      </c>
      <c r="B90" s="11">
        <v>1</v>
      </c>
      <c r="C90" s="11">
        <v>3</v>
      </c>
      <c r="D90" s="11">
        <v>2</v>
      </c>
      <c r="E90" s="3">
        <f t="shared" si="13"/>
        <v>2</v>
      </c>
      <c r="F90" s="3">
        <f t="shared" si="14"/>
        <v>2</v>
      </c>
      <c r="G90" s="11">
        <v>5</v>
      </c>
      <c r="U90" s="4" t="s">
        <v>39123</v>
      </c>
      <c r="V90">
        <f>COUNTIFS($D$2:$D$386,15,$G$2:$G$386,5)</f>
        <v>0</v>
      </c>
      <c r="W90">
        <f t="shared" si="21"/>
        <v>0</v>
      </c>
      <c r="AB90" s="4" t="s">
        <v>39252</v>
      </c>
      <c r="AC90" s="6">
        <f>COUNTIFS($B$2:$B$386,1,$C$2:$C$386,2,$F$2:$F$386,18,$G$2:$G$386,2)</f>
        <v>0</v>
      </c>
      <c r="AD90" s="6">
        <f t="shared" si="17"/>
        <v>0</v>
      </c>
      <c r="AF90">
        <f t="shared" si="12"/>
        <v>2</v>
      </c>
    </row>
    <row r="91" spans="1:32" ht="43.2" x14ac:dyDescent="0.3">
      <c r="A91" t="s">
        <v>2224</v>
      </c>
      <c r="B91" s="3">
        <v>3</v>
      </c>
      <c r="C91" s="3">
        <v>3</v>
      </c>
      <c r="D91" s="3">
        <v>17</v>
      </c>
      <c r="E91" s="3">
        <f t="shared" si="13"/>
        <v>17</v>
      </c>
      <c r="F91" s="3">
        <f t="shared" si="14"/>
        <v>17</v>
      </c>
      <c r="G91" s="3">
        <v>4</v>
      </c>
      <c r="V91" s="23">
        <f>SUM(V86:V90)</f>
        <v>0</v>
      </c>
      <c r="W91" s="23">
        <f t="shared" si="21"/>
        <v>0</v>
      </c>
      <c r="AB91" s="4" t="s">
        <v>39253</v>
      </c>
      <c r="AC91" s="6">
        <f>COUNTIFS($B$2:$B$386,2,$C$2:$C$386,2,$F$2:$F$386,18,$G$2:$G$386,2)</f>
        <v>2</v>
      </c>
      <c r="AD91" s="6">
        <f t="shared" si="17"/>
        <v>0.51948051948051943</v>
      </c>
      <c r="AF91">
        <f t="shared" si="12"/>
        <v>2</v>
      </c>
    </row>
    <row r="92" spans="1:32" ht="43.2" x14ac:dyDescent="0.3">
      <c r="A92" t="s">
        <v>1184</v>
      </c>
      <c r="B92" s="7">
        <v>3</v>
      </c>
      <c r="C92" s="7">
        <v>3</v>
      </c>
      <c r="D92" s="7">
        <v>17</v>
      </c>
      <c r="E92" s="3">
        <f t="shared" si="13"/>
        <v>17</v>
      </c>
      <c r="F92" s="3">
        <f t="shared" si="14"/>
        <v>17</v>
      </c>
      <c r="G92" s="7">
        <v>4</v>
      </c>
      <c r="T92" t="s">
        <v>29</v>
      </c>
      <c r="U92" s="4" t="s">
        <v>39120</v>
      </c>
      <c r="V92">
        <f>COUNTIFS($D$2:$D$386,16,$G$2:$G$386,1)</f>
        <v>0</v>
      </c>
      <c r="W92">
        <f>(V92/385)*100</f>
        <v>0</v>
      </c>
      <c r="AB92" s="4" t="s">
        <v>39254</v>
      </c>
      <c r="AC92" s="6">
        <f>COUNTIFS($B$2:$B$386,3,$C$2:$C$386,2,$F$2:$F$386,18,$G$2:$G$386,2)</f>
        <v>0</v>
      </c>
      <c r="AD92" s="6">
        <f t="shared" si="17"/>
        <v>0</v>
      </c>
      <c r="AF92">
        <f t="shared" si="12"/>
        <v>2</v>
      </c>
    </row>
    <row r="93" spans="1:32" ht="43.2" x14ac:dyDescent="0.3">
      <c r="A93" s="6" t="s">
        <v>548</v>
      </c>
      <c r="B93" s="7">
        <v>3</v>
      </c>
      <c r="C93" s="7">
        <v>3</v>
      </c>
      <c r="D93" s="7">
        <v>17</v>
      </c>
      <c r="E93" s="3">
        <f t="shared" si="13"/>
        <v>17</v>
      </c>
      <c r="F93" s="3">
        <f t="shared" si="14"/>
        <v>17</v>
      </c>
      <c r="G93" s="7">
        <v>4</v>
      </c>
      <c r="U93" s="4" t="s">
        <v>39121</v>
      </c>
      <c r="V93">
        <f>COUNTIFS($D$2:$D$386,16,$G$2:$G$386,2)</f>
        <v>0</v>
      </c>
      <c r="W93">
        <f t="shared" ref="W93:W97" si="22">(V93/385)*100</f>
        <v>0</v>
      </c>
      <c r="AB93" s="4" t="s">
        <v>39255</v>
      </c>
      <c r="AC93" s="6">
        <f>COUNTIFS($B$2:$B$386,1,$C$2:$C$386,3,$F$2:$F$386,18,$G$2:$G$386,2)</f>
        <v>0</v>
      </c>
      <c r="AD93" s="6">
        <f t="shared" si="17"/>
        <v>0</v>
      </c>
      <c r="AF93">
        <f t="shared" si="12"/>
        <v>2</v>
      </c>
    </row>
    <row r="94" spans="1:32" ht="57.6" x14ac:dyDescent="0.3">
      <c r="A94" t="s">
        <v>1917</v>
      </c>
      <c r="B94" s="7">
        <v>3</v>
      </c>
      <c r="C94" s="7">
        <v>3</v>
      </c>
      <c r="D94" s="7">
        <v>17</v>
      </c>
      <c r="E94" s="3">
        <f t="shared" si="13"/>
        <v>17</v>
      </c>
      <c r="F94" s="3">
        <f t="shared" si="14"/>
        <v>17</v>
      </c>
      <c r="G94" s="7">
        <v>4</v>
      </c>
      <c r="U94" s="4" t="s">
        <v>39125</v>
      </c>
      <c r="V94">
        <f>COUNTIFS($D$2:$D$386,16,$G$2:$G$386,3)</f>
        <v>20</v>
      </c>
      <c r="W94">
        <f t="shared" si="22"/>
        <v>5.1948051948051948</v>
      </c>
      <c r="AB94" s="4" t="s">
        <v>39256</v>
      </c>
      <c r="AC94" s="6">
        <f>COUNTIFS($B$2:$B$386,2,$C$2:$C$386,3,$F$2:$F$386,18,$G$2:$G$386,2)</f>
        <v>0</v>
      </c>
      <c r="AD94" s="6">
        <f t="shared" si="17"/>
        <v>0</v>
      </c>
      <c r="AF94">
        <f t="shared" si="12"/>
        <v>2</v>
      </c>
    </row>
    <row r="95" spans="1:32" ht="43.2" x14ac:dyDescent="0.3">
      <c r="A95" t="s">
        <v>1747</v>
      </c>
      <c r="B95" s="11">
        <v>1</v>
      </c>
      <c r="C95" s="11">
        <v>3</v>
      </c>
      <c r="D95" s="11">
        <v>2</v>
      </c>
      <c r="E95" s="3">
        <f t="shared" si="13"/>
        <v>2</v>
      </c>
      <c r="F95" s="3">
        <f t="shared" si="14"/>
        <v>2</v>
      </c>
      <c r="G95" s="11">
        <v>5</v>
      </c>
      <c r="U95" s="4" t="s">
        <v>39122</v>
      </c>
      <c r="V95">
        <f>COUNTIFS($D$2:$D$386,16,$G$2:$G$386,4)</f>
        <v>13</v>
      </c>
      <c r="W95">
        <f t="shared" si="22"/>
        <v>3.3766233766233764</v>
      </c>
      <c r="AB95" s="4" t="s">
        <v>39257</v>
      </c>
      <c r="AC95" s="6">
        <f>COUNTIFS($B$2:$B$386,3,$C$2:$C$386,3,$F$2:$F$386,18,$G$2:$G$386,2)</f>
        <v>0</v>
      </c>
      <c r="AD95" s="6">
        <f t="shared" si="17"/>
        <v>0</v>
      </c>
      <c r="AF95">
        <f t="shared" si="12"/>
        <v>2</v>
      </c>
    </row>
    <row r="96" spans="1:32" ht="43.2" x14ac:dyDescent="0.3">
      <c r="A96" s="6" t="s">
        <v>1067</v>
      </c>
      <c r="B96" s="7">
        <v>3</v>
      </c>
      <c r="C96" s="7">
        <v>3</v>
      </c>
      <c r="D96" s="7">
        <v>17</v>
      </c>
      <c r="E96" s="3">
        <f t="shared" si="13"/>
        <v>17</v>
      </c>
      <c r="F96" s="3">
        <f t="shared" si="14"/>
        <v>17</v>
      </c>
      <c r="G96" s="7">
        <v>4</v>
      </c>
      <c r="U96" s="4" t="s">
        <v>39123</v>
      </c>
      <c r="V96">
        <f>COUNTIFS($D$2:$D$386,16,$G$2:$G$386,5)</f>
        <v>3</v>
      </c>
      <c r="W96">
        <f t="shared" si="22"/>
        <v>0.77922077922077926</v>
      </c>
      <c r="AB96" s="4" t="s">
        <v>39258</v>
      </c>
      <c r="AC96" s="6">
        <f>COUNTIFS($B$2:$B$386,1,$C$2:$C$386,4,$F$2:$F$386,18,$G$2:$G$386,2)</f>
        <v>0</v>
      </c>
      <c r="AD96" s="6">
        <f t="shared" si="17"/>
        <v>0</v>
      </c>
      <c r="AF96">
        <f t="shared" si="12"/>
        <v>2</v>
      </c>
    </row>
    <row r="97" spans="1:32" ht="43.2" x14ac:dyDescent="0.3">
      <c r="A97" t="s">
        <v>2844</v>
      </c>
      <c r="B97" s="11">
        <v>2</v>
      </c>
      <c r="C97" s="11">
        <v>2</v>
      </c>
      <c r="D97" s="11">
        <v>17</v>
      </c>
      <c r="E97" s="3">
        <f t="shared" si="13"/>
        <v>17</v>
      </c>
      <c r="F97" s="3">
        <f t="shared" si="14"/>
        <v>17</v>
      </c>
      <c r="G97" s="11">
        <v>3</v>
      </c>
      <c r="V97" s="23">
        <f>SUM(V92:V96)</f>
        <v>36</v>
      </c>
      <c r="W97" s="23">
        <f t="shared" si="22"/>
        <v>9.3506493506493502</v>
      </c>
      <c r="AB97" s="4" t="s">
        <v>39259</v>
      </c>
      <c r="AC97" s="6">
        <f>COUNTIFS($B$2:$B$386,2,$C$2:$C$386,4,$F$2:$F$386,18,$G$2:$G$386,2)</f>
        <v>0</v>
      </c>
      <c r="AD97" s="6">
        <f t="shared" si="17"/>
        <v>0</v>
      </c>
      <c r="AF97">
        <f t="shared" si="12"/>
        <v>2</v>
      </c>
    </row>
    <row r="98" spans="1:32" ht="43.2" x14ac:dyDescent="0.3">
      <c r="A98" s="6" t="s">
        <v>199</v>
      </c>
      <c r="B98" s="7">
        <v>3</v>
      </c>
      <c r="C98" s="7">
        <v>3</v>
      </c>
      <c r="D98" s="7">
        <v>17</v>
      </c>
      <c r="E98" s="3">
        <f t="shared" si="13"/>
        <v>17</v>
      </c>
      <c r="F98" s="3">
        <f t="shared" si="14"/>
        <v>17</v>
      </c>
      <c r="G98" s="7">
        <v>4</v>
      </c>
      <c r="T98" t="s">
        <v>54</v>
      </c>
      <c r="U98" s="4" t="s">
        <v>39120</v>
      </c>
      <c r="V98">
        <f>COUNTIFS($D$2:$D$386,17,$G$2:$G$386,1)</f>
        <v>0</v>
      </c>
      <c r="W98">
        <f>(V98/385)*100</f>
        <v>0</v>
      </c>
      <c r="AB98" s="4" t="s">
        <v>39260</v>
      </c>
      <c r="AC98" s="6">
        <f>COUNTIFS($B$2:$B$386,3,$C$2:$C$386,4,$F$2:$F$386,18,$G$2:$G$386,2)</f>
        <v>0</v>
      </c>
      <c r="AD98" s="6">
        <f t="shared" si="17"/>
        <v>0</v>
      </c>
      <c r="AF98">
        <f t="shared" si="12"/>
        <v>2</v>
      </c>
    </row>
    <row r="99" spans="1:32" ht="43.2" x14ac:dyDescent="0.3">
      <c r="A99" s="6" t="s">
        <v>310</v>
      </c>
      <c r="B99" s="11">
        <v>1</v>
      </c>
      <c r="C99" s="11">
        <v>3</v>
      </c>
      <c r="D99" s="11">
        <v>2</v>
      </c>
      <c r="E99" s="3">
        <f t="shared" si="13"/>
        <v>2</v>
      </c>
      <c r="F99" s="3">
        <f t="shared" si="14"/>
        <v>2</v>
      </c>
      <c r="G99" s="11">
        <v>5</v>
      </c>
      <c r="U99" s="4" t="s">
        <v>39121</v>
      </c>
      <c r="V99">
        <f>COUNTIFS($D$2:$D$386,17,$G$2:$G$386,2)</f>
        <v>0</v>
      </c>
      <c r="W99">
        <f t="shared" ref="W99:W103" si="23">(V99/385)*100</f>
        <v>0</v>
      </c>
      <c r="AB99" s="4" t="s">
        <v>39261</v>
      </c>
      <c r="AC99" s="6">
        <f>COUNTIFS($B$2:$B$386,1,$C$2:$C$386,1,$F$2:$F$386,19,$G$2:$G$386,2)</f>
        <v>0</v>
      </c>
      <c r="AD99" s="6">
        <f t="shared" si="17"/>
        <v>0</v>
      </c>
      <c r="AF99">
        <f t="shared" si="12"/>
        <v>2</v>
      </c>
    </row>
    <row r="100" spans="1:32" ht="57.6" x14ac:dyDescent="0.3">
      <c r="A100" s="6" t="s">
        <v>865</v>
      </c>
      <c r="B100" s="11">
        <v>1</v>
      </c>
      <c r="C100" s="11">
        <v>3</v>
      </c>
      <c r="D100" s="11">
        <v>1</v>
      </c>
      <c r="E100" s="3">
        <f t="shared" si="13"/>
        <v>1</v>
      </c>
      <c r="F100" s="3">
        <f t="shared" si="14"/>
        <v>1</v>
      </c>
      <c r="G100" s="11">
        <v>5</v>
      </c>
      <c r="U100" s="4" t="s">
        <v>39125</v>
      </c>
      <c r="V100">
        <f>COUNTIFS($D$2:$D$386,17,$G$2:$G$386,3)</f>
        <v>6</v>
      </c>
      <c r="W100">
        <f t="shared" si="23"/>
        <v>1.5584415584415585</v>
      </c>
      <c r="AB100" s="4" t="s">
        <v>39262</v>
      </c>
      <c r="AC100" s="6">
        <f>COUNTIFS($B$2:$B$386,2,$C$2:$C$386,1,$F$2:$F$386,19,$G$2:$G$386,2)</f>
        <v>0</v>
      </c>
      <c r="AD100" s="6">
        <f t="shared" si="17"/>
        <v>0</v>
      </c>
      <c r="AF100">
        <f t="shared" si="12"/>
        <v>2</v>
      </c>
    </row>
    <row r="101" spans="1:32" ht="43.2" x14ac:dyDescent="0.3">
      <c r="A101" t="s">
        <v>2495</v>
      </c>
      <c r="B101" s="7">
        <v>1</v>
      </c>
      <c r="C101" s="7">
        <v>3</v>
      </c>
      <c r="D101" s="7">
        <v>1</v>
      </c>
      <c r="E101" s="3">
        <f t="shared" si="13"/>
        <v>1</v>
      </c>
      <c r="F101" s="3">
        <f t="shared" si="14"/>
        <v>1</v>
      </c>
      <c r="G101" s="7">
        <v>5</v>
      </c>
      <c r="U101" s="4" t="s">
        <v>39122</v>
      </c>
      <c r="V101">
        <f>COUNTIFS($D$2:$D$386,17,$G$2:$G$386,4)</f>
        <v>236</v>
      </c>
      <c r="W101">
        <f t="shared" si="23"/>
        <v>61.298701298701296</v>
      </c>
      <c r="AB101" s="4" t="s">
        <v>39263</v>
      </c>
      <c r="AC101" s="6">
        <f>COUNTIFS($B$2:$B$386,3,$C$2:$C$386,1,$F$2:$F$386,19,$G$2:$G$386,2)</f>
        <v>0</v>
      </c>
      <c r="AD101" s="6">
        <f t="shared" si="17"/>
        <v>0</v>
      </c>
      <c r="AF101">
        <f t="shared" si="12"/>
        <v>2</v>
      </c>
    </row>
    <row r="102" spans="1:32" ht="43.2" x14ac:dyDescent="0.3">
      <c r="A102" t="s">
        <v>2677</v>
      </c>
      <c r="B102" s="7">
        <v>3</v>
      </c>
      <c r="C102" s="7">
        <v>3</v>
      </c>
      <c r="D102" s="7">
        <v>17</v>
      </c>
      <c r="E102" s="3">
        <f t="shared" si="13"/>
        <v>17</v>
      </c>
      <c r="F102" s="3">
        <f t="shared" si="14"/>
        <v>17</v>
      </c>
      <c r="G102" s="7">
        <v>4</v>
      </c>
      <c r="U102" s="4" t="s">
        <v>39123</v>
      </c>
      <c r="V102">
        <f>COUNTIFS($D$2:$D$386,17,$G$2:$G$386,5)</f>
        <v>0</v>
      </c>
      <c r="W102">
        <f t="shared" si="23"/>
        <v>0</v>
      </c>
      <c r="AB102" s="4" t="s">
        <v>39264</v>
      </c>
      <c r="AC102" s="6">
        <f>COUNTIFS($B$2:$B$386,1,$C$2:$C$386,2,$F$2:$F$386,19,$G$2:$G$386,2)</f>
        <v>0</v>
      </c>
      <c r="AD102" s="6">
        <f t="shared" si="17"/>
        <v>0</v>
      </c>
      <c r="AF102">
        <f t="shared" si="12"/>
        <v>2</v>
      </c>
    </row>
    <row r="103" spans="1:32" ht="43.2" x14ac:dyDescent="0.3">
      <c r="A103" s="6" t="s">
        <v>662</v>
      </c>
      <c r="B103" s="7">
        <v>3</v>
      </c>
      <c r="C103" s="7">
        <v>3</v>
      </c>
      <c r="D103" s="7">
        <v>17</v>
      </c>
      <c r="E103" s="3">
        <f t="shared" si="13"/>
        <v>17</v>
      </c>
      <c r="F103" s="3">
        <f t="shared" si="14"/>
        <v>17</v>
      </c>
      <c r="G103" s="7">
        <v>4</v>
      </c>
      <c r="V103" s="23">
        <f>SUM(V98:V102)</f>
        <v>242</v>
      </c>
      <c r="W103" s="23">
        <f t="shared" si="23"/>
        <v>62.857142857142854</v>
      </c>
      <c r="AB103" s="4" t="s">
        <v>39265</v>
      </c>
      <c r="AC103" s="6">
        <f>COUNTIFS($B$2:$B$386,2,$C$2:$C$386,2,$F$2:$F$386,19,$G$2:$G$386,2)</f>
        <v>0</v>
      </c>
      <c r="AD103" s="6">
        <f t="shared" si="17"/>
        <v>0</v>
      </c>
      <c r="AF103">
        <f t="shared" si="12"/>
        <v>2</v>
      </c>
    </row>
    <row r="104" spans="1:32" ht="43.2" x14ac:dyDescent="0.3">
      <c r="A104" s="6" t="s">
        <v>1160</v>
      </c>
      <c r="B104" s="7">
        <v>3</v>
      </c>
      <c r="C104" s="7">
        <v>3</v>
      </c>
      <c r="D104" s="7">
        <v>17</v>
      </c>
      <c r="E104" s="3">
        <f t="shared" si="13"/>
        <v>17</v>
      </c>
      <c r="F104" s="3">
        <f t="shared" si="14"/>
        <v>17</v>
      </c>
      <c r="G104" s="7">
        <v>4</v>
      </c>
      <c r="AB104" s="4" t="s">
        <v>39266</v>
      </c>
      <c r="AC104" s="6">
        <f>COUNTIFS($B$2:$B$386,3,$C$2:$C$386,2,$F$2:$F$386,19,$G$2:$G$386,2)</f>
        <v>0</v>
      </c>
      <c r="AD104" s="6">
        <f t="shared" si="17"/>
        <v>0</v>
      </c>
      <c r="AF104">
        <f t="shared" si="12"/>
        <v>2</v>
      </c>
    </row>
    <row r="105" spans="1:32" ht="43.2" x14ac:dyDescent="0.3">
      <c r="A105" t="s">
        <v>2502</v>
      </c>
      <c r="B105" s="7">
        <v>1</v>
      </c>
      <c r="C105" s="7">
        <v>3</v>
      </c>
      <c r="D105" s="7">
        <v>1</v>
      </c>
      <c r="E105" s="3">
        <f t="shared" si="13"/>
        <v>1</v>
      </c>
      <c r="F105" s="3">
        <f t="shared" si="14"/>
        <v>1</v>
      </c>
      <c r="G105" s="7">
        <v>5</v>
      </c>
      <c r="AB105" s="4" t="s">
        <v>39267</v>
      </c>
      <c r="AC105" s="6">
        <f>COUNTIFS($B$2:$B$386,1,$C$2:$C$386,3,$F$2:$F$386,19,$G$2:$G$386,2)</f>
        <v>0</v>
      </c>
      <c r="AD105" s="6">
        <f t="shared" si="17"/>
        <v>0</v>
      </c>
      <c r="AF105">
        <f t="shared" si="12"/>
        <v>2</v>
      </c>
    </row>
    <row r="106" spans="1:32" ht="43.2" x14ac:dyDescent="0.3">
      <c r="A106" s="6" t="s">
        <v>430</v>
      </c>
      <c r="B106" s="11">
        <v>3</v>
      </c>
      <c r="C106" s="11">
        <v>3</v>
      </c>
      <c r="D106" s="11">
        <v>17</v>
      </c>
      <c r="E106" s="3">
        <f t="shared" si="13"/>
        <v>17</v>
      </c>
      <c r="F106" s="3">
        <f t="shared" si="14"/>
        <v>17</v>
      </c>
      <c r="G106" s="11">
        <v>4</v>
      </c>
      <c r="AB106" s="4" t="s">
        <v>39268</v>
      </c>
      <c r="AC106" s="6">
        <f>COUNTIFS($B$2:$B$386,2,$C$2:$C$386,3,$F$2:$F$386,19,$G$2:$G$386,2)</f>
        <v>0</v>
      </c>
      <c r="AD106" s="6">
        <f t="shared" si="17"/>
        <v>0</v>
      </c>
      <c r="AF106">
        <f t="shared" si="12"/>
        <v>2</v>
      </c>
    </row>
    <row r="107" spans="1:32" ht="43.2" x14ac:dyDescent="0.3">
      <c r="A107" s="6" t="s">
        <v>430</v>
      </c>
      <c r="B107" s="7">
        <v>3</v>
      </c>
      <c r="C107" s="7">
        <v>3</v>
      </c>
      <c r="D107" s="7">
        <v>17</v>
      </c>
      <c r="E107" s="3">
        <f t="shared" si="13"/>
        <v>17</v>
      </c>
      <c r="F107" s="3">
        <f t="shared" si="14"/>
        <v>17</v>
      </c>
      <c r="G107" s="7">
        <v>4</v>
      </c>
      <c r="AB107" s="4" t="s">
        <v>39269</v>
      </c>
      <c r="AC107" s="6">
        <f>COUNTIFS($B$2:$B$386,3,$C$2:$C$386,3,$F$2:$F$386,19,$G$2:$G$386,2)</f>
        <v>0</v>
      </c>
      <c r="AD107" s="6">
        <f t="shared" si="17"/>
        <v>0</v>
      </c>
      <c r="AF107">
        <f t="shared" si="12"/>
        <v>2</v>
      </c>
    </row>
    <row r="108" spans="1:32" ht="43.2" x14ac:dyDescent="0.3">
      <c r="A108" t="s">
        <v>2008</v>
      </c>
      <c r="B108" s="11">
        <v>3</v>
      </c>
      <c r="C108" s="11">
        <v>3</v>
      </c>
      <c r="D108" s="11">
        <v>17</v>
      </c>
      <c r="E108" s="3">
        <f t="shared" si="13"/>
        <v>17</v>
      </c>
      <c r="F108" s="3">
        <f t="shared" si="14"/>
        <v>17</v>
      </c>
      <c r="G108" s="11">
        <v>4</v>
      </c>
      <c r="AB108" s="4" t="s">
        <v>39270</v>
      </c>
      <c r="AC108" s="6">
        <f>COUNTIFS($B$2:$B$386,1,$C$2:$C$386,4,$F$2:$F$386,19,$G$2:$G$386,2)</f>
        <v>0</v>
      </c>
      <c r="AD108" s="6">
        <f t="shared" si="17"/>
        <v>0</v>
      </c>
      <c r="AF108">
        <f t="shared" si="12"/>
        <v>2</v>
      </c>
    </row>
    <row r="109" spans="1:32" ht="43.2" x14ac:dyDescent="0.3">
      <c r="A109" s="6" t="s">
        <v>1117</v>
      </c>
      <c r="B109" s="11">
        <v>1</v>
      </c>
      <c r="C109" s="11">
        <v>3</v>
      </c>
      <c r="D109" s="11">
        <v>2</v>
      </c>
      <c r="E109" s="3">
        <f t="shared" si="13"/>
        <v>2</v>
      </c>
      <c r="F109" s="3">
        <f t="shared" si="14"/>
        <v>2</v>
      </c>
      <c r="G109" s="11">
        <v>5</v>
      </c>
      <c r="AB109" s="4" t="s">
        <v>39271</v>
      </c>
      <c r="AC109" s="6">
        <f>COUNTIFS($B$2:$B$386,2,$C$2:$C$386,4,$F$2:$F$386,19,$G$2:$G$386,2)</f>
        <v>0</v>
      </c>
      <c r="AD109" s="6">
        <f t="shared" si="17"/>
        <v>0</v>
      </c>
      <c r="AF109">
        <f t="shared" si="12"/>
        <v>2</v>
      </c>
    </row>
    <row r="110" spans="1:32" ht="43.2" x14ac:dyDescent="0.3">
      <c r="A110" t="s">
        <v>2379</v>
      </c>
      <c r="B110" s="7">
        <v>3</v>
      </c>
      <c r="C110" s="7">
        <v>3</v>
      </c>
      <c r="D110" s="7">
        <v>17</v>
      </c>
      <c r="E110" s="3">
        <f t="shared" si="13"/>
        <v>17</v>
      </c>
      <c r="F110" s="3">
        <f t="shared" si="14"/>
        <v>17</v>
      </c>
      <c r="G110" s="7">
        <v>4</v>
      </c>
      <c r="AB110" s="4" t="s">
        <v>39272</v>
      </c>
      <c r="AC110" s="6">
        <f>COUNTIFS($B$2:$B$386,3,$C$2:$C$386,4,$F$2:$F$386,19,$G$2:$G$386,2)</f>
        <v>0</v>
      </c>
      <c r="AD110" s="6">
        <f t="shared" si="17"/>
        <v>0</v>
      </c>
      <c r="AF110">
        <f t="shared" si="12"/>
        <v>2</v>
      </c>
    </row>
    <row r="111" spans="1:32" ht="28.8" x14ac:dyDescent="0.3">
      <c r="A111" t="s">
        <v>2813</v>
      </c>
      <c r="B111" s="7">
        <v>1</v>
      </c>
      <c r="C111" s="7">
        <v>3</v>
      </c>
      <c r="D111" s="7">
        <v>1</v>
      </c>
      <c r="E111" s="3">
        <f t="shared" si="13"/>
        <v>1</v>
      </c>
      <c r="F111" s="3">
        <f t="shared" si="14"/>
        <v>1</v>
      </c>
      <c r="G111" s="7">
        <v>5</v>
      </c>
      <c r="AB111" s="4" t="s">
        <v>39273</v>
      </c>
      <c r="AC111" s="6">
        <f>COUNTIFS($B$2:$B$386,1,$C$2:$C$386,1,$F$2:$F$386,1,$G$2:$G$386,2)</f>
        <v>0</v>
      </c>
      <c r="AD111" s="6">
        <f t="shared" si="17"/>
        <v>0</v>
      </c>
      <c r="AF111">
        <f t="shared" si="12"/>
        <v>2</v>
      </c>
    </row>
    <row r="112" spans="1:32" ht="28.8" x14ac:dyDescent="0.3">
      <c r="A112" t="s">
        <v>1980</v>
      </c>
      <c r="B112" s="7">
        <v>3</v>
      </c>
      <c r="C112" s="7">
        <v>3</v>
      </c>
      <c r="D112" s="7">
        <v>17</v>
      </c>
      <c r="E112" s="3">
        <f t="shared" si="13"/>
        <v>17</v>
      </c>
      <c r="F112" s="3">
        <f t="shared" si="14"/>
        <v>17</v>
      </c>
      <c r="G112" s="7">
        <v>4</v>
      </c>
      <c r="AB112" s="4" t="s">
        <v>39274</v>
      </c>
      <c r="AC112" s="6">
        <f>COUNTIFS($B$2:$B$386,2,$C$2:$C$386,1,$F$2:$F$386,1,$G$2:$G$386,2)</f>
        <v>0</v>
      </c>
      <c r="AD112" s="6">
        <f t="shared" si="17"/>
        <v>0</v>
      </c>
      <c r="AF112">
        <f t="shared" si="12"/>
        <v>2</v>
      </c>
    </row>
    <row r="113" spans="1:32" ht="28.8" x14ac:dyDescent="0.3">
      <c r="A113" s="6" t="s">
        <v>448</v>
      </c>
      <c r="B113" s="7">
        <v>1</v>
      </c>
      <c r="C113" s="7">
        <v>3</v>
      </c>
      <c r="D113" s="7">
        <v>1</v>
      </c>
      <c r="E113" s="3">
        <f t="shared" si="13"/>
        <v>1</v>
      </c>
      <c r="F113" s="3">
        <f t="shared" si="14"/>
        <v>1</v>
      </c>
      <c r="G113" s="7">
        <v>5</v>
      </c>
      <c r="AB113" s="4" t="s">
        <v>39275</v>
      </c>
      <c r="AC113" s="6">
        <f>COUNTIFS($B$2:$B$386,3,$C$2:$C$386,1,$F$2:$F$386,1,$G$2:$G$386,2)</f>
        <v>0</v>
      </c>
      <c r="AD113" s="6">
        <f t="shared" si="17"/>
        <v>0</v>
      </c>
      <c r="AF113">
        <f t="shared" si="12"/>
        <v>2</v>
      </c>
    </row>
    <row r="114" spans="1:32" ht="43.2" x14ac:dyDescent="0.3">
      <c r="A114" s="6" t="s">
        <v>730</v>
      </c>
      <c r="B114" s="7">
        <v>3</v>
      </c>
      <c r="C114" s="7">
        <v>3</v>
      </c>
      <c r="D114" s="7">
        <v>17</v>
      </c>
      <c r="E114" s="3">
        <f t="shared" si="13"/>
        <v>17</v>
      </c>
      <c r="F114" s="3">
        <f t="shared" si="14"/>
        <v>17</v>
      </c>
      <c r="G114" s="7">
        <v>4</v>
      </c>
      <c r="AB114" s="4" t="s">
        <v>39276</v>
      </c>
      <c r="AC114" s="6">
        <f>COUNTIFS($B$2:$B$386,1,$C$2:$C$386,2,$F$2:$F$386,1,$G$2:$G$386,2)</f>
        <v>0</v>
      </c>
      <c r="AD114" s="6">
        <f t="shared" si="17"/>
        <v>0</v>
      </c>
      <c r="AF114">
        <f t="shared" si="12"/>
        <v>2</v>
      </c>
    </row>
    <row r="115" spans="1:32" ht="43.2" x14ac:dyDescent="0.3">
      <c r="A115" t="s">
        <v>1612</v>
      </c>
      <c r="B115" s="3">
        <v>1</v>
      </c>
      <c r="C115" s="3">
        <v>3</v>
      </c>
      <c r="D115" s="3">
        <v>1</v>
      </c>
      <c r="E115" s="3">
        <f t="shared" si="13"/>
        <v>1</v>
      </c>
      <c r="F115" s="3">
        <f t="shared" si="14"/>
        <v>1</v>
      </c>
      <c r="G115" s="3">
        <v>5</v>
      </c>
      <c r="AB115" s="4" t="s">
        <v>39277</v>
      </c>
      <c r="AC115" s="6">
        <f>COUNTIFS($B$2:$B$386,2,$C$2:$C$386,2,$F$2:$F$386,1,$G$2:$G$386,2)</f>
        <v>0</v>
      </c>
      <c r="AD115" s="6">
        <f t="shared" si="17"/>
        <v>0</v>
      </c>
      <c r="AF115">
        <f t="shared" si="12"/>
        <v>2</v>
      </c>
    </row>
    <row r="116" spans="1:32" ht="43.2" x14ac:dyDescent="0.3">
      <c r="A116" s="6" t="s">
        <v>860</v>
      </c>
      <c r="B116" s="7">
        <v>3</v>
      </c>
      <c r="C116" s="7">
        <v>3</v>
      </c>
      <c r="D116" s="7">
        <v>17</v>
      </c>
      <c r="E116" s="3">
        <f t="shared" si="13"/>
        <v>17</v>
      </c>
      <c r="F116" s="3">
        <f t="shared" si="14"/>
        <v>17</v>
      </c>
      <c r="G116" s="7">
        <v>4</v>
      </c>
      <c r="AB116" s="4" t="s">
        <v>39278</v>
      </c>
      <c r="AC116" s="6">
        <f>COUNTIFS($B$2:$B$386,3,$C$2:$C$386,2,$F$2:$F$386,1,$G$2:$G$386,2)</f>
        <v>0</v>
      </c>
      <c r="AD116" s="6">
        <f t="shared" si="17"/>
        <v>0</v>
      </c>
      <c r="AF116">
        <f t="shared" si="12"/>
        <v>2</v>
      </c>
    </row>
    <row r="117" spans="1:32" ht="43.2" x14ac:dyDescent="0.3">
      <c r="A117" s="6" t="s">
        <v>1033</v>
      </c>
      <c r="B117" s="11">
        <v>1</v>
      </c>
      <c r="C117" s="11">
        <v>3</v>
      </c>
      <c r="D117" s="11">
        <v>2</v>
      </c>
      <c r="E117" s="3">
        <f t="shared" si="13"/>
        <v>2</v>
      </c>
      <c r="F117" s="3">
        <f t="shared" si="14"/>
        <v>2</v>
      </c>
      <c r="G117" s="11">
        <v>5</v>
      </c>
      <c r="AB117" s="4" t="s">
        <v>39279</v>
      </c>
      <c r="AC117" s="6">
        <f>COUNTIFS($B$2:$B$386,1,$C$2:$C$386,3,$F$2:$F$386,1,$G$2:$G$386,2)</f>
        <v>0</v>
      </c>
      <c r="AD117" s="6">
        <f t="shared" si="17"/>
        <v>0</v>
      </c>
      <c r="AF117">
        <f t="shared" si="12"/>
        <v>2</v>
      </c>
    </row>
    <row r="118" spans="1:32" ht="43.2" x14ac:dyDescent="0.3">
      <c r="A118" s="6" t="s">
        <v>1049</v>
      </c>
      <c r="B118" s="7">
        <v>3</v>
      </c>
      <c r="C118" s="7">
        <v>3</v>
      </c>
      <c r="D118" s="7">
        <v>17</v>
      </c>
      <c r="E118" s="3">
        <f t="shared" si="13"/>
        <v>17</v>
      </c>
      <c r="F118" s="3">
        <f t="shared" si="14"/>
        <v>17</v>
      </c>
      <c r="G118" s="7">
        <v>4</v>
      </c>
      <c r="AB118" s="4" t="s">
        <v>39280</v>
      </c>
      <c r="AC118" s="6">
        <f>COUNTIFS($B$2:$B$386,2,$C$2:$C$386,3,$F$2:$F$386,1,$G$2:$G$386,2)</f>
        <v>0</v>
      </c>
      <c r="AD118" s="6">
        <f t="shared" si="17"/>
        <v>0</v>
      </c>
      <c r="AF118">
        <f t="shared" si="12"/>
        <v>2</v>
      </c>
    </row>
    <row r="119" spans="1:32" ht="43.2" x14ac:dyDescent="0.3">
      <c r="A119" s="6" t="s">
        <v>582</v>
      </c>
      <c r="B119" s="11">
        <v>1</v>
      </c>
      <c r="C119" s="11">
        <v>3</v>
      </c>
      <c r="D119" s="11">
        <v>1</v>
      </c>
      <c r="E119" s="3">
        <f t="shared" si="13"/>
        <v>1</v>
      </c>
      <c r="F119" s="3">
        <f t="shared" si="14"/>
        <v>1</v>
      </c>
      <c r="G119" s="11">
        <v>5</v>
      </c>
      <c r="AB119" s="4" t="s">
        <v>39281</v>
      </c>
      <c r="AC119" s="6">
        <f>COUNTIFS($B$2:$B$386,3,$C$2:$C$386,3,$F$2:$F$386,1,$G$2:$G$386,2)</f>
        <v>0</v>
      </c>
      <c r="AD119" s="6">
        <f t="shared" si="17"/>
        <v>0</v>
      </c>
      <c r="AF119">
        <f t="shared" si="12"/>
        <v>2</v>
      </c>
    </row>
    <row r="120" spans="1:32" ht="43.2" x14ac:dyDescent="0.3">
      <c r="A120" t="s">
        <v>2484</v>
      </c>
      <c r="B120" s="3">
        <v>3</v>
      </c>
      <c r="C120" s="3">
        <v>3</v>
      </c>
      <c r="D120" s="3">
        <v>17</v>
      </c>
      <c r="E120" s="3">
        <f t="shared" si="13"/>
        <v>17</v>
      </c>
      <c r="F120" s="3">
        <f t="shared" si="14"/>
        <v>17</v>
      </c>
      <c r="G120" s="3">
        <v>4</v>
      </c>
      <c r="AB120" s="4" t="s">
        <v>39282</v>
      </c>
      <c r="AC120" s="6">
        <f>COUNTIFS($B$2:$B$386,1,$C$2:$C$386,4,$F$2:$F$386,1,$G$2:$G$386,2)</f>
        <v>0</v>
      </c>
      <c r="AD120" s="6">
        <f t="shared" si="17"/>
        <v>0</v>
      </c>
      <c r="AF120">
        <f t="shared" si="12"/>
        <v>2</v>
      </c>
    </row>
    <row r="121" spans="1:32" ht="43.2" x14ac:dyDescent="0.3">
      <c r="A121" t="s">
        <v>2445</v>
      </c>
      <c r="B121" s="7">
        <v>1</v>
      </c>
      <c r="C121" s="7">
        <v>3</v>
      </c>
      <c r="D121" s="7">
        <v>1</v>
      </c>
      <c r="E121" s="3">
        <f t="shared" si="13"/>
        <v>1</v>
      </c>
      <c r="F121" s="3">
        <f t="shared" si="14"/>
        <v>1</v>
      </c>
      <c r="G121" s="7">
        <v>5</v>
      </c>
      <c r="AB121" s="4" t="s">
        <v>39283</v>
      </c>
      <c r="AC121" s="6">
        <f>COUNTIFS($B$2:$B$386,2,$C$2:$C$386,4,$F$2:$F$386,1,$G$2:$G$386,2)</f>
        <v>0</v>
      </c>
      <c r="AD121" s="6">
        <f t="shared" si="17"/>
        <v>0</v>
      </c>
      <c r="AF121">
        <f t="shared" si="12"/>
        <v>2</v>
      </c>
    </row>
    <row r="122" spans="1:32" ht="43.2" x14ac:dyDescent="0.3">
      <c r="A122" t="s">
        <v>2445</v>
      </c>
      <c r="B122" s="7">
        <v>1</v>
      </c>
      <c r="C122" s="7">
        <v>3</v>
      </c>
      <c r="D122" s="7">
        <v>1</v>
      </c>
      <c r="E122" s="3">
        <f t="shared" si="13"/>
        <v>1</v>
      </c>
      <c r="F122" s="3">
        <f t="shared" si="14"/>
        <v>1</v>
      </c>
      <c r="G122" s="7">
        <v>5</v>
      </c>
      <c r="AB122" s="4" t="s">
        <v>39284</v>
      </c>
      <c r="AC122" s="6">
        <f>COUNTIFS($B$2:$B$386,3,$C$2:$C$386,4,$F$2:$F$386,1,$G$2:$G$386,2)</f>
        <v>0</v>
      </c>
      <c r="AD122" s="6">
        <f t="shared" si="17"/>
        <v>0</v>
      </c>
      <c r="AF122">
        <f t="shared" si="12"/>
        <v>2</v>
      </c>
    </row>
    <row r="123" spans="1:32" ht="43.2" x14ac:dyDescent="0.3">
      <c r="A123" t="s">
        <v>1851</v>
      </c>
      <c r="B123" s="7">
        <v>1</v>
      </c>
      <c r="C123" s="7">
        <v>3</v>
      </c>
      <c r="D123" s="7">
        <v>1</v>
      </c>
      <c r="E123" s="3">
        <f t="shared" si="13"/>
        <v>1</v>
      </c>
      <c r="F123" s="3">
        <f t="shared" si="14"/>
        <v>1</v>
      </c>
      <c r="G123" s="7">
        <v>5</v>
      </c>
      <c r="AB123" s="4" t="s">
        <v>39285</v>
      </c>
      <c r="AC123" s="6">
        <f>COUNTIFS($B$2:$B$386,1,$C$2:$C$386,1,$F$2:$F$386,2,$G$2:$G$386,2)</f>
        <v>0</v>
      </c>
      <c r="AD123" s="6">
        <f t="shared" si="17"/>
        <v>0</v>
      </c>
      <c r="AF123">
        <f t="shared" si="12"/>
        <v>2</v>
      </c>
    </row>
    <row r="124" spans="1:32" ht="43.2" x14ac:dyDescent="0.3">
      <c r="A124" t="s">
        <v>1938</v>
      </c>
      <c r="B124" s="7">
        <v>1</v>
      </c>
      <c r="C124" s="7">
        <v>3</v>
      </c>
      <c r="D124" s="7">
        <v>1</v>
      </c>
      <c r="E124" s="3">
        <f t="shared" si="13"/>
        <v>1</v>
      </c>
      <c r="F124" s="3">
        <f t="shared" si="14"/>
        <v>1</v>
      </c>
      <c r="G124" s="7">
        <v>5</v>
      </c>
      <c r="AB124" s="4" t="s">
        <v>39286</v>
      </c>
      <c r="AC124" s="6">
        <f>COUNTIFS($B$2:$B$386,2,$C$2:$C$386,1,$F$2:$F$386,2,$G$2:$G$386,2)</f>
        <v>0</v>
      </c>
      <c r="AD124" s="6">
        <f t="shared" si="17"/>
        <v>0</v>
      </c>
      <c r="AF124">
        <f t="shared" si="12"/>
        <v>2</v>
      </c>
    </row>
    <row r="125" spans="1:32" ht="43.2" x14ac:dyDescent="0.3">
      <c r="A125" t="s">
        <v>2991</v>
      </c>
      <c r="B125" s="7">
        <v>3</v>
      </c>
      <c r="C125" s="7">
        <v>3</v>
      </c>
      <c r="D125" s="7">
        <v>17</v>
      </c>
      <c r="E125" s="3">
        <f t="shared" si="13"/>
        <v>17</v>
      </c>
      <c r="F125" s="3">
        <f t="shared" si="14"/>
        <v>17</v>
      </c>
      <c r="G125" s="7">
        <v>4</v>
      </c>
      <c r="AB125" s="4" t="s">
        <v>39287</v>
      </c>
      <c r="AC125" s="6">
        <f>COUNTIFS($B$2:$B$386,3,$C$2:$C$386,1,$F$2:$F$386,2,$G$2:$G$386,2)</f>
        <v>0</v>
      </c>
      <c r="AD125" s="6">
        <f t="shared" si="17"/>
        <v>0</v>
      </c>
      <c r="AF125">
        <f t="shared" si="12"/>
        <v>2</v>
      </c>
    </row>
    <row r="126" spans="1:32" ht="43.2" x14ac:dyDescent="0.3">
      <c r="A126" t="s">
        <v>2133</v>
      </c>
      <c r="B126" s="7">
        <v>3</v>
      </c>
      <c r="C126" s="7">
        <v>3</v>
      </c>
      <c r="D126" s="7">
        <v>17</v>
      </c>
      <c r="E126" s="3">
        <f t="shared" si="13"/>
        <v>17</v>
      </c>
      <c r="F126" s="3">
        <f t="shared" si="14"/>
        <v>17</v>
      </c>
      <c r="G126" s="7">
        <v>4</v>
      </c>
      <c r="AB126" s="4" t="s">
        <v>39288</v>
      </c>
      <c r="AC126" s="6">
        <f>COUNTIFS($B$2:$B$386,1,$C$2:$C$386,2,$F$2:$F$386,2,$G$2:$G$386,2)</f>
        <v>0</v>
      </c>
      <c r="AD126" s="6">
        <f t="shared" si="17"/>
        <v>0</v>
      </c>
      <c r="AF126">
        <f t="shared" si="12"/>
        <v>2</v>
      </c>
    </row>
    <row r="127" spans="1:32" ht="43.2" x14ac:dyDescent="0.3">
      <c r="A127" s="6" t="s">
        <v>1045</v>
      </c>
      <c r="B127" s="7">
        <v>3</v>
      </c>
      <c r="C127" s="7">
        <v>3</v>
      </c>
      <c r="D127" s="7">
        <v>17</v>
      </c>
      <c r="E127" s="3">
        <f t="shared" si="13"/>
        <v>17</v>
      </c>
      <c r="F127" s="3">
        <f t="shared" si="14"/>
        <v>17</v>
      </c>
      <c r="G127" s="7">
        <v>4</v>
      </c>
      <c r="AB127" s="4" t="s">
        <v>39289</v>
      </c>
      <c r="AC127" s="6">
        <f>COUNTIFS($B$2:$B$386,2,$C$2:$C$386,2,$F$2:$F$386,2,$G$2:$G$386,2)</f>
        <v>0</v>
      </c>
      <c r="AD127" s="6">
        <f t="shared" si="17"/>
        <v>0</v>
      </c>
      <c r="AF127">
        <f t="shared" si="12"/>
        <v>2</v>
      </c>
    </row>
    <row r="128" spans="1:32" ht="43.2" x14ac:dyDescent="0.3">
      <c r="A128" s="6" t="s">
        <v>878</v>
      </c>
      <c r="B128" s="7">
        <v>2</v>
      </c>
      <c r="C128" s="7">
        <v>3</v>
      </c>
      <c r="D128" s="7">
        <v>16</v>
      </c>
      <c r="E128" s="3">
        <f t="shared" si="13"/>
        <v>16</v>
      </c>
      <c r="F128" s="3">
        <f t="shared" si="14"/>
        <v>16</v>
      </c>
      <c r="G128" s="7">
        <v>4</v>
      </c>
      <c r="AB128" s="4" t="s">
        <v>39290</v>
      </c>
      <c r="AC128" s="6">
        <f>COUNTIFS($B$2:$B$386,3,$C$2:$C$386,2,$F$2:$F$386,2,$G$2:$G$386,2)</f>
        <v>0</v>
      </c>
      <c r="AD128" s="6">
        <f t="shared" si="17"/>
        <v>0</v>
      </c>
      <c r="AF128">
        <f t="shared" si="12"/>
        <v>2</v>
      </c>
    </row>
    <row r="129" spans="1:32" ht="43.2" x14ac:dyDescent="0.3">
      <c r="A129" s="6" t="s">
        <v>707</v>
      </c>
      <c r="B129" s="7">
        <v>3</v>
      </c>
      <c r="C129" s="7">
        <v>3</v>
      </c>
      <c r="D129" s="7">
        <v>17</v>
      </c>
      <c r="E129" s="3">
        <f t="shared" si="13"/>
        <v>17</v>
      </c>
      <c r="F129" s="3">
        <f t="shared" si="14"/>
        <v>17</v>
      </c>
      <c r="G129" s="7">
        <v>4</v>
      </c>
      <c r="AB129" s="4" t="s">
        <v>39291</v>
      </c>
      <c r="AC129" s="6">
        <f>COUNTIFS($B$2:$B$386,1,$C$2:$C$386,3,$F$2:$F$386,2,$G$2:$G$386,2)</f>
        <v>0</v>
      </c>
      <c r="AD129" s="6">
        <f t="shared" si="17"/>
        <v>0</v>
      </c>
      <c r="AF129">
        <f t="shared" si="12"/>
        <v>2</v>
      </c>
    </row>
    <row r="130" spans="1:32" ht="43.2" x14ac:dyDescent="0.3">
      <c r="A130" t="s">
        <v>2207</v>
      </c>
      <c r="B130" s="7">
        <v>3</v>
      </c>
      <c r="C130" s="7">
        <v>3</v>
      </c>
      <c r="D130" s="7">
        <v>17</v>
      </c>
      <c r="E130" s="3">
        <f t="shared" si="13"/>
        <v>17</v>
      </c>
      <c r="F130" s="3">
        <f t="shared" si="14"/>
        <v>17</v>
      </c>
      <c r="G130" s="7">
        <v>4</v>
      </c>
      <c r="AB130" s="4" t="s">
        <v>39292</v>
      </c>
      <c r="AC130" s="6">
        <f>COUNTIFS($B$2:$B$386,2,$C$2:$C$386,3,$F$2:$F$386,2,$G$2:$G$386,2)</f>
        <v>0</v>
      </c>
      <c r="AD130" s="6">
        <f t="shared" si="17"/>
        <v>0</v>
      </c>
      <c r="AF130">
        <f t="shared" ref="AF130:AF193" si="24">IF(AND(B130=1, C130=1, F130=18, G130=1), 1, 2)</f>
        <v>2</v>
      </c>
    </row>
    <row r="131" spans="1:32" ht="43.2" x14ac:dyDescent="0.3">
      <c r="A131" s="6" t="s">
        <v>145</v>
      </c>
      <c r="B131" s="7">
        <v>3</v>
      </c>
      <c r="C131" s="7">
        <v>3</v>
      </c>
      <c r="D131" s="7">
        <v>17</v>
      </c>
      <c r="E131" s="3">
        <f t="shared" ref="E131:E194" si="25">IF(OR(D131=4, D131=6, D131=8, D131=10, D131=12, D131=14), 18, D131)</f>
        <v>17</v>
      </c>
      <c r="F131" s="3">
        <f t="shared" ref="F131:F194" si="26">IF(OR(E131=5, E131=7, E131=9, E131=11, E131=13, E131=15), 19, E131)</f>
        <v>17</v>
      </c>
      <c r="G131" s="7">
        <v>4</v>
      </c>
      <c r="AB131" s="4" t="s">
        <v>39293</v>
      </c>
      <c r="AC131" s="6">
        <f>COUNTIFS($B$2:$B$386,3,$C$2:$C$386,3,$F$2:$F$386,2,$G$2:$G$386,2)</f>
        <v>0</v>
      </c>
      <c r="AD131" s="6">
        <f t="shared" ref="AD131:AD194" si="27">(AC131/385)*100</f>
        <v>0</v>
      </c>
      <c r="AF131">
        <f t="shared" si="24"/>
        <v>2</v>
      </c>
    </row>
    <row r="132" spans="1:32" ht="43.2" x14ac:dyDescent="0.3">
      <c r="A132" t="s">
        <v>3071</v>
      </c>
      <c r="B132" s="11">
        <v>2</v>
      </c>
      <c r="C132" s="11">
        <v>3</v>
      </c>
      <c r="D132" s="11">
        <v>16</v>
      </c>
      <c r="E132" s="3">
        <f t="shared" si="25"/>
        <v>16</v>
      </c>
      <c r="F132" s="3">
        <f t="shared" si="26"/>
        <v>16</v>
      </c>
      <c r="G132" s="11">
        <v>3</v>
      </c>
      <c r="AB132" s="4" t="s">
        <v>39294</v>
      </c>
      <c r="AC132" s="6">
        <f>COUNTIFS($B$2:$B$386,1,$C$2:$C$386,4,$F$2:$F$386,2,$G$2:$G$386,2)</f>
        <v>0</v>
      </c>
      <c r="AD132" s="6">
        <f t="shared" si="27"/>
        <v>0</v>
      </c>
      <c r="AF132">
        <f t="shared" si="24"/>
        <v>2</v>
      </c>
    </row>
    <row r="133" spans="1:32" ht="43.2" x14ac:dyDescent="0.3">
      <c r="A133" t="s">
        <v>1867</v>
      </c>
      <c r="B133" s="7">
        <v>2</v>
      </c>
      <c r="C133" s="7">
        <v>3</v>
      </c>
      <c r="D133" s="7">
        <v>16</v>
      </c>
      <c r="E133" s="3">
        <f t="shared" si="25"/>
        <v>16</v>
      </c>
      <c r="F133" s="3">
        <f t="shared" si="26"/>
        <v>16</v>
      </c>
      <c r="G133" s="7">
        <v>4</v>
      </c>
      <c r="AB133" s="4" t="s">
        <v>39295</v>
      </c>
      <c r="AC133" s="6">
        <f>COUNTIFS($B$2:$B$386,2,$C$2:$C$386,4,$F$2:$F$386,2,$G$2:$G$386,2)</f>
        <v>0</v>
      </c>
      <c r="AD133" s="6">
        <f t="shared" si="27"/>
        <v>0</v>
      </c>
      <c r="AF133">
        <f t="shared" si="24"/>
        <v>2</v>
      </c>
    </row>
    <row r="134" spans="1:32" ht="43.2" x14ac:dyDescent="0.3">
      <c r="A134" t="s">
        <v>2900</v>
      </c>
      <c r="B134" s="7">
        <v>1</v>
      </c>
      <c r="C134" s="7">
        <v>2</v>
      </c>
      <c r="D134" s="7">
        <v>16</v>
      </c>
      <c r="E134" s="3">
        <f t="shared" si="25"/>
        <v>16</v>
      </c>
      <c r="F134" s="3">
        <f t="shared" si="26"/>
        <v>16</v>
      </c>
      <c r="G134" s="7">
        <v>5</v>
      </c>
      <c r="AB134" s="4" t="s">
        <v>39296</v>
      </c>
      <c r="AC134" s="6">
        <f>COUNTIFS($B$2:$B$386,3,$C$2:$C$386,4,$F$2:$F$386,2,$G$2:$G$386,2)</f>
        <v>0</v>
      </c>
      <c r="AD134" s="6">
        <f t="shared" si="27"/>
        <v>0</v>
      </c>
      <c r="AF134">
        <f t="shared" si="24"/>
        <v>2</v>
      </c>
    </row>
    <row r="135" spans="1:32" ht="43.2" x14ac:dyDescent="0.3">
      <c r="A135" t="s">
        <v>1541</v>
      </c>
      <c r="B135" s="3">
        <v>3</v>
      </c>
      <c r="C135" s="3">
        <v>3</v>
      </c>
      <c r="D135" s="3">
        <v>17</v>
      </c>
      <c r="E135" s="3">
        <f t="shared" si="25"/>
        <v>17</v>
      </c>
      <c r="F135" s="3">
        <f t="shared" si="26"/>
        <v>17</v>
      </c>
      <c r="G135" s="3">
        <v>4</v>
      </c>
      <c r="AB135" s="4" t="s">
        <v>39297</v>
      </c>
      <c r="AC135" s="6">
        <f>COUNTIFS($B$2:$B$386,1,$C$2:$C$386,1,$F$2:$F$386,3,$G$2:$G$386,2)</f>
        <v>0</v>
      </c>
      <c r="AD135" s="6">
        <f t="shared" si="27"/>
        <v>0</v>
      </c>
      <c r="AF135">
        <f t="shared" si="24"/>
        <v>2</v>
      </c>
    </row>
    <row r="136" spans="1:32" ht="43.2" x14ac:dyDescent="0.3">
      <c r="A136" t="s">
        <v>1398</v>
      </c>
      <c r="B136" s="3">
        <v>2</v>
      </c>
      <c r="C136" s="3">
        <v>3</v>
      </c>
      <c r="D136" s="3">
        <v>16</v>
      </c>
      <c r="E136" s="3">
        <f t="shared" si="25"/>
        <v>16</v>
      </c>
      <c r="F136" s="3">
        <f t="shared" si="26"/>
        <v>16</v>
      </c>
      <c r="G136" s="3">
        <v>4</v>
      </c>
      <c r="AB136" s="4" t="s">
        <v>39298</v>
      </c>
      <c r="AC136" s="6">
        <f>COUNTIFS($B$2:$B$386,2,$C$2:$C$386,1,$F$2:$F$386,3,$G$2:$G$386,2)</f>
        <v>0</v>
      </c>
      <c r="AD136" s="6">
        <f t="shared" si="27"/>
        <v>0</v>
      </c>
      <c r="AF136">
        <f t="shared" si="24"/>
        <v>2</v>
      </c>
    </row>
    <row r="137" spans="1:32" ht="43.2" x14ac:dyDescent="0.3">
      <c r="A137" t="s">
        <v>2377</v>
      </c>
      <c r="B137" s="7">
        <v>3</v>
      </c>
      <c r="C137" s="7">
        <v>3</v>
      </c>
      <c r="D137" s="7">
        <v>17</v>
      </c>
      <c r="E137" s="3">
        <f t="shared" si="25"/>
        <v>17</v>
      </c>
      <c r="F137" s="3">
        <f t="shared" si="26"/>
        <v>17</v>
      </c>
      <c r="G137" s="7">
        <v>4</v>
      </c>
      <c r="AB137" s="4" t="s">
        <v>39299</v>
      </c>
      <c r="AC137" s="6">
        <f>COUNTIFS($B$2:$B$386,3,$C$2:$C$386,1,$F$2:$F$386,3,$G$2:$G$386,2)</f>
        <v>0</v>
      </c>
      <c r="AD137" s="6">
        <f t="shared" si="27"/>
        <v>0</v>
      </c>
      <c r="AF137">
        <f t="shared" si="24"/>
        <v>2</v>
      </c>
    </row>
    <row r="138" spans="1:32" ht="43.2" x14ac:dyDescent="0.3">
      <c r="A138" t="s">
        <v>2178</v>
      </c>
      <c r="B138" s="7">
        <v>1</v>
      </c>
      <c r="C138" s="7">
        <v>3</v>
      </c>
      <c r="D138" s="7">
        <v>1</v>
      </c>
      <c r="E138" s="3">
        <f t="shared" si="25"/>
        <v>1</v>
      </c>
      <c r="F138" s="3">
        <f t="shared" si="26"/>
        <v>1</v>
      </c>
      <c r="G138" s="7">
        <v>5</v>
      </c>
      <c r="AB138" s="4" t="s">
        <v>39300</v>
      </c>
      <c r="AC138" s="6">
        <f>COUNTIFS($B$2:$B$386,1,$C$2:$C$386,2,$F$2:$F$386,3,$G$2:$G$386,2)</f>
        <v>0</v>
      </c>
      <c r="AD138" s="6">
        <f t="shared" si="27"/>
        <v>0</v>
      </c>
      <c r="AF138">
        <f t="shared" si="24"/>
        <v>2</v>
      </c>
    </row>
    <row r="139" spans="1:32" ht="43.2" x14ac:dyDescent="0.3">
      <c r="A139" t="s">
        <v>2184</v>
      </c>
      <c r="B139" s="7">
        <v>3</v>
      </c>
      <c r="C139" s="7">
        <v>3</v>
      </c>
      <c r="D139" s="7">
        <v>17</v>
      </c>
      <c r="E139" s="3">
        <f t="shared" si="25"/>
        <v>17</v>
      </c>
      <c r="F139" s="3">
        <f t="shared" si="26"/>
        <v>17</v>
      </c>
      <c r="G139" s="7">
        <v>4</v>
      </c>
      <c r="AB139" s="4" t="s">
        <v>39301</v>
      </c>
      <c r="AC139" s="6">
        <f>COUNTIFS($B$2:$B$386,2,$C$2:$C$386,2,$F$2:$F$386,3,$G$2:$G$386,2)</f>
        <v>0</v>
      </c>
      <c r="AD139" s="6">
        <f t="shared" si="27"/>
        <v>0</v>
      </c>
      <c r="AF139">
        <f t="shared" si="24"/>
        <v>2</v>
      </c>
    </row>
    <row r="140" spans="1:32" ht="43.2" x14ac:dyDescent="0.3">
      <c r="A140" t="s">
        <v>1194</v>
      </c>
      <c r="B140" s="7">
        <v>3</v>
      </c>
      <c r="C140" s="7">
        <v>3</v>
      </c>
      <c r="D140" s="7">
        <v>17</v>
      </c>
      <c r="E140" s="3">
        <f t="shared" si="25"/>
        <v>17</v>
      </c>
      <c r="F140" s="3">
        <f t="shared" si="26"/>
        <v>17</v>
      </c>
      <c r="G140" s="7">
        <v>4</v>
      </c>
      <c r="AB140" s="4" t="s">
        <v>39302</v>
      </c>
      <c r="AC140" s="6">
        <f>COUNTIFS($B$2:$B$386,3,$C$2:$C$386,2,$F$2:$F$386,3,$G$2:$G$386,2)</f>
        <v>0</v>
      </c>
      <c r="AD140" s="6">
        <f t="shared" si="27"/>
        <v>0</v>
      </c>
      <c r="AF140">
        <f t="shared" si="24"/>
        <v>2</v>
      </c>
    </row>
    <row r="141" spans="1:32" ht="43.2" x14ac:dyDescent="0.3">
      <c r="A141" s="6" t="s">
        <v>1023</v>
      </c>
      <c r="B141" s="7">
        <v>3</v>
      </c>
      <c r="C141" s="7">
        <v>3</v>
      </c>
      <c r="D141" s="7">
        <v>17</v>
      </c>
      <c r="E141" s="3">
        <f t="shared" si="25"/>
        <v>17</v>
      </c>
      <c r="F141" s="3">
        <f t="shared" si="26"/>
        <v>17</v>
      </c>
      <c r="G141" s="7">
        <v>4</v>
      </c>
      <c r="AB141" s="4" t="s">
        <v>39303</v>
      </c>
      <c r="AC141" s="6">
        <f>COUNTIFS($B$2:$B$386,1,$C$2:$C$386,3,$F$2:$F$386,3,$G$2:$G$386,2)</f>
        <v>0</v>
      </c>
      <c r="AD141" s="6">
        <f t="shared" si="27"/>
        <v>0</v>
      </c>
      <c r="AF141">
        <f t="shared" si="24"/>
        <v>2</v>
      </c>
    </row>
    <row r="142" spans="1:32" ht="43.2" x14ac:dyDescent="0.3">
      <c r="A142" t="s">
        <v>1352</v>
      </c>
      <c r="B142" s="7">
        <v>3</v>
      </c>
      <c r="C142" s="7">
        <v>3</v>
      </c>
      <c r="D142" s="7">
        <v>17</v>
      </c>
      <c r="E142" s="3">
        <f t="shared" si="25"/>
        <v>17</v>
      </c>
      <c r="F142" s="3">
        <f t="shared" si="26"/>
        <v>17</v>
      </c>
      <c r="G142" s="7">
        <v>4</v>
      </c>
      <c r="AB142" s="4" t="s">
        <v>39304</v>
      </c>
      <c r="AC142" s="6">
        <f>COUNTIFS($B$2:$B$386,2,$C$2:$C$386,3,$F$2:$F$386,3,$G$2:$G$386,2)</f>
        <v>0</v>
      </c>
      <c r="AD142" s="6">
        <f t="shared" si="27"/>
        <v>0</v>
      </c>
      <c r="AF142">
        <f t="shared" si="24"/>
        <v>2</v>
      </c>
    </row>
    <row r="143" spans="1:32" ht="43.2" x14ac:dyDescent="0.3">
      <c r="A143" s="6" t="s">
        <v>95</v>
      </c>
      <c r="B143" s="7">
        <v>2</v>
      </c>
      <c r="C143" s="7">
        <v>2</v>
      </c>
      <c r="D143" s="7">
        <v>16</v>
      </c>
      <c r="E143" s="3">
        <f t="shared" si="25"/>
        <v>16</v>
      </c>
      <c r="F143" s="3">
        <f t="shared" si="26"/>
        <v>16</v>
      </c>
      <c r="G143" s="7">
        <v>3</v>
      </c>
      <c r="AB143" s="4" t="s">
        <v>39305</v>
      </c>
      <c r="AC143" s="6">
        <f>COUNTIFS($B$2:$B$386,3,$C$2:$C$386,3,$F$2:$F$386,3,$G$2:$G$386,2)</f>
        <v>0</v>
      </c>
      <c r="AD143" s="6">
        <f t="shared" si="27"/>
        <v>0</v>
      </c>
      <c r="AF143">
        <f t="shared" si="24"/>
        <v>2</v>
      </c>
    </row>
    <row r="144" spans="1:32" ht="43.2" x14ac:dyDescent="0.3">
      <c r="A144" t="s">
        <v>1442</v>
      </c>
      <c r="B144" s="11">
        <v>2</v>
      </c>
      <c r="C144" s="11">
        <v>2</v>
      </c>
      <c r="D144" s="11">
        <v>16</v>
      </c>
      <c r="E144" s="3">
        <f t="shared" si="25"/>
        <v>16</v>
      </c>
      <c r="F144" s="3">
        <f t="shared" si="26"/>
        <v>16</v>
      </c>
      <c r="G144" s="11">
        <v>3</v>
      </c>
      <c r="AB144" s="4" t="s">
        <v>39306</v>
      </c>
      <c r="AC144" s="6">
        <f>COUNTIFS($B$2:$B$386,1,$C$2:$C$386,4,$F$2:$F$386,3,$G$2:$G$386,2)</f>
        <v>0</v>
      </c>
      <c r="AD144" s="6">
        <f t="shared" si="27"/>
        <v>0</v>
      </c>
      <c r="AF144">
        <f t="shared" si="24"/>
        <v>2</v>
      </c>
    </row>
    <row r="145" spans="1:32" ht="43.2" x14ac:dyDescent="0.3">
      <c r="A145" t="s">
        <v>2116</v>
      </c>
      <c r="B145" s="7">
        <v>2</v>
      </c>
      <c r="C145" s="7">
        <v>3</v>
      </c>
      <c r="D145" s="7">
        <v>17</v>
      </c>
      <c r="E145" s="3">
        <f t="shared" si="25"/>
        <v>17</v>
      </c>
      <c r="F145" s="3">
        <f t="shared" si="26"/>
        <v>17</v>
      </c>
      <c r="G145" s="7">
        <v>3</v>
      </c>
      <c r="AB145" s="4" t="s">
        <v>39307</v>
      </c>
      <c r="AC145" s="6">
        <f>COUNTIFS($B$2:$B$386,2,$C$2:$C$386,4,$F$2:$F$386,3,$G$2:$G$386,2)</f>
        <v>0</v>
      </c>
      <c r="AD145" s="6">
        <f t="shared" si="27"/>
        <v>0</v>
      </c>
      <c r="AF145">
        <f t="shared" si="24"/>
        <v>2</v>
      </c>
    </row>
    <row r="146" spans="1:32" ht="43.2" x14ac:dyDescent="0.3">
      <c r="A146" t="s">
        <v>2887</v>
      </c>
      <c r="B146" s="7">
        <v>1</v>
      </c>
      <c r="C146" s="7">
        <v>3</v>
      </c>
      <c r="D146" s="7">
        <v>3</v>
      </c>
      <c r="E146" s="3">
        <f t="shared" si="25"/>
        <v>3</v>
      </c>
      <c r="F146" s="3">
        <f t="shared" si="26"/>
        <v>3</v>
      </c>
      <c r="G146" s="7">
        <v>5</v>
      </c>
      <c r="AB146" s="4" t="s">
        <v>39308</v>
      </c>
      <c r="AC146" s="6">
        <f>COUNTIFS($B$2:$B$386,3,$C$2:$C$386,4,$F$2:$F$386,3,$G$2:$G$386,2)</f>
        <v>0</v>
      </c>
      <c r="AD146" s="6">
        <f t="shared" si="27"/>
        <v>0</v>
      </c>
      <c r="AF146">
        <f t="shared" si="24"/>
        <v>2</v>
      </c>
    </row>
    <row r="147" spans="1:32" ht="43.2" x14ac:dyDescent="0.3">
      <c r="A147" t="s">
        <v>2402</v>
      </c>
      <c r="B147" s="7">
        <v>1</v>
      </c>
      <c r="C147" s="7">
        <v>3</v>
      </c>
      <c r="D147" s="7">
        <v>1</v>
      </c>
      <c r="E147" s="3">
        <f t="shared" si="25"/>
        <v>1</v>
      </c>
      <c r="F147" s="3">
        <f t="shared" si="26"/>
        <v>1</v>
      </c>
      <c r="G147" s="7">
        <v>5</v>
      </c>
      <c r="AB147" s="4" t="s">
        <v>39309</v>
      </c>
      <c r="AC147" s="6">
        <f>COUNTIFS($B$2:$B$386,1,$C$2:$C$386,1,$F$2:$F$386,16,$G$2:$G$386,2)</f>
        <v>0</v>
      </c>
      <c r="AD147" s="6">
        <f t="shared" si="27"/>
        <v>0</v>
      </c>
      <c r="AF147">
        <f t="shared" si="24"/>
        <v>2</v>
      </c>
    </row>
    <row r="148" spans="1:32" ht="43.2" x14ac:dyDescent="0.3">
      <c r="A148" t="s">
        <v>1913</v>
      </c>
      <c r="B148" s="3">
        <v>1</v>
      </c>
      <c r="C148" s="3">
        <v>1</v>
      </c>
      <c r="D148" s="3">
        <v>12</v>
      </c>
      <c r="E148" s="3">
        <f t="shared" si="25"/>
        <v>18</v>
      </c>
      <c r="F148" s="3">
        <f t="shared" si="26"/>
        <v>18</v>
      </c>
      <c r="G148" s="3">
        <v>1</v>
      </c>
      <c r="AB148" s="4" t="s">
        <v>39310</v>
      </c>
      <c r="AC148" s="6">
        <f>COUNTIFS($B$2:$B$386,2,$C$2:$C$386,1,$F$2:$F$386,16,$G$2:$G$386,2)</f>
        <v>0</v>
      </c>
      <c r="AD148" s="6">
        <f t="shared" si="27"/>
        <v>0</v>
      </c>
      <c r="AF148">
        <f t="shared" si="24"/>
        <v>1</v>
      </c>
    </row>
    <row r="149" spans="1:32" ht="43.2" x14ac:dyDescent="0.3">
      <c r="A149" t="s">
        <v>2248</v>
      </c>
      <c r="B149" s="7">
        <v>3</v>
      </c>
      <c r="C149" s="7">
        <v>3</v>
      </c>
      <c r="D149" s="7">
        <v>17</v>
      </c>
      <c r="E149" s="3">
        <f t="shared" si="25"/>
        <v>17</v>
      </c>
      <c r="F149" s="3">
        <f t="shared" si="26"/>
        <v>17</v>
      </c>
      <c r="G149" s="7">
        <v>4</v>
      </c>
      <c r="AB149" s="4" t="s">
        <v>39311</v>
      </c>
      <c r="AC149" s="6">
        <f>COUNTIFS($B$2:$B$386,3,$C$2:$C$386,1,$F$2:$F$386,16,$G$2:$G$386,2)</f>
        <v>0</v>
      </c>
      <c r="AD149" s="6">
        <f t="shared" si="27"/>
        <v>0</v>
      </c>
      <c r="AF149">
        <f t="shared" si="24"/>
        <v>2</v>
      </c>
    </row>
    <row r="150" spans="1:32" ht="43.2" x14ac:dyDescent="0.3">
      <c r="A150" t="s">
        <v>2381</v>
      </c>
      <c r="B150" s="7">
        <v>3</v>
      </c>
      <c r="C150" s="7">
        <v>3</v>
      </c>
      <c r="D150" s="7">
        <v>17</v>
      </c>
      <c r="E150" s="3">
        <f t="shared" si="25"/>
        <v>17</v>
      </c>
      <c r="F150" s="3">
        <f t="shared" si="26"/>
        <v>17</v>
      </c>
      <c r="G150" s="7">
        <v>4</v>
      </c>
      <c r="AB150" s="4" t="s">
        <v>39312</v>
      </c>
      <c r="AC150" s="6">
        <f>COUNTIFS($B$2:$B$386,1,$C$2:$C$386,2,$F$2:$F$386,16,$G$2:$G$386,2)</f>
        <v>0</v>
      </c>
      <c r="AD150" s="6">
        <f t="shared" si="27"/>
        <v>0</v>
      </c>
      <c r="AF150">
        <f t="shared" si="24"/>
        <v>2</v>
      </c>
    </row>
    <row r="151" spans="1:32" ht="43.2" x14ac:dyDescent="0.3">
      <c r="A151" t="s">
        <v>2829</v>
      </c>
      <c r="B151" s="3">
        <v>2</v>
      </c>
      <c r="C151" s="3">
        <v>3</v>
      </c>
      <c r="D151" s="3">
        <v>16</v>
      </c>
      <c r="E151" s="3">
        <f t="shared" si="25"/>
        <v>16</v>
      </c>
      <c r="F151" s="3">
        <f t="shared" si="26"/>
        <v>16</v>
      </c>
      <c r="G151" s="3">
        <v>3</v>
      </c>
      <c r="AB151" s="4" t="s">
        <v>39313</v>
      </c>
      <c r="AC151" s="6">
        <f>COUNTIFS($B$2:$B$386,2,$C$2:$C$386,2,$F$2:$F$386,16,$G$2:$G$386,2)</f>
        <v>0</v>
      </c>
      <c r="AD151" s="6">
        <f t="shared" si="27"/>
        <v>0</v>
      </c>
      <c r="AF151">
        <f t="shared" si="24"/>
        <v>2</v>
      </c>
    </row>
    <row r="152" spans="1:32" ht="43.2" x14ac:dyDescent="0.3">
      <c r="A152" t="s">
        <v>2797</v>
      </c>
      <c r="B152" s="3">
        <v>3</v>
      </c>
      <c r="C152" s="3">
        <v>3</v>
      </c>
      <c r="D152" s="3">
        <v>17</v>
      </c>
      <c r="E152" s="3">
        <f t="shared" si="25"/>
        <v>17</v>
      </c>
      <c r="F152" s="3">
        <f t="shared" si="26"/>
        <v>17</v>
      </c>
      <c r="G152" s="3">
        <v>4</v>
      </c>
      <c r="AB152" s="4" t="s">
        <v>39314</v>
      </c>
      <c r="AC152" s="6">
        <f>COUNTIFS($B$2:$B$386,3,$C$2:$C$386,2,$F$2:$F$386,16,$G$2:$G$386,2)</f>
        <v>0</v>
      </c>
      <c r="AD152" s="6">
        <f t="shared" si="27"/>
        <v>0</v>
      </c>
      <c r="AF152">
        <f t="shared" si="24"/>
        <v>2</v>
      </c>
    </row>
    <row r="153" spans="1:32" ht="43.2" x14ac:dyDescent="0.3">
      <c r="A153" s="6" t="s">
        <v>747</v>
      </c>
      <c r="B153" s="11">
        <v>1</v>
      </c>
      <c r="C153" s="11">
        <v>3</v>
      </c>
      <c r="D153" s="11">
        <v>2</v>
      </c>
      <c r="E153" s="3">
        <f t="shared" si="25"/>
        <v>2</v>
      </c>
      <c r="F153" s="3">
        <f t="shared" si="26"/>
        <v>2</v>
      </c>
      <c r="G153" s="11">
        <v>5</v>
      </c>
      <c r="AB153" s="4" t="s">
        <v>39315</v>
      </c>
      <c r="AC153" s="6">
        <f>COUNTIFS($B$2:$B$386,1,$C$2:$C$386,3,$F$2:$F$386,16,$G$2:$G$386,2)</f>
        <v>0</v>
      </c>
      <c r="AD153" s="6">
        <f t="shared" si="27"/>
        <v>0</v>
      </c>
      <c r="AF153">
        <f t="shared" si="24"/>
        <v>2</v>
      </c>
    </row>
    <row r="154" spans="1:32" ht="43.2" x14ac:dyDescent="0.3">
      <c r="A154" t="s">
        <v>2271</v>
      </c>
      <c r="B154" s="7">
        <v>2</v>
      </c>
      <c r="C154" s="7">
        <v>2</v>
      </c>
      <c r="D154" s="7">
        <v>17</v>
      </c>
      <c r="E154" s="3">
        <f t="shared" si="25"/>
        <v>17</v>
      </c>
      <c r="F154" s="3">
        <f t="shared" si="26"/>
        <v>17</v>
      </c>
      <c r="G154" s="7">
        <v>4</v>
      </c>
      <c r="AB154" s="4" t="s">
        <v>39316</v>
      </c>
      <c r="AC154" s="6">
        <f>COUNTIFS($B$2:$B$386,2,$C$2:$C$386,3,$F$2:$F$386,16,$G$2:$G$386,2)</f>
        <v>0</v>
      </c>
      <c r="AD154" s="6">
        <f t="shared" si="27"/>
        <v>0</v>
      </c>
      <c r="AF154">
        <f t="shared" si="24"/>
        <v>2</v>
      </c>
    </row>
    <row r="155" spans="1:32" ht="43.2" x14ac:dyDescent="0.3">
      <c r="A155" t="s">
        <v>2351</v>
      </c>
      <c r="B155" s="7">
        <v>3</v>
      </c>
      <c r="C155" s="7">
        <v>3</v>
      </c>
      <c r="D155" s="7">
        <v>17</v>
      </c>
      <c r="E155" s="3">
        <f t="shared" si="25"/>
        <v>17</v>
      </c>
      <c r="F155" s="3">
        <f t="shared" si="26"/>
        <v>17</v>
      </c>
      <c r="G155" s="7">
        <v>4</v>
      </c>
      <c r="AB155" s="4" t="s">
        <v>39317</v>
      </c>
      <c r="AC155" s="6">
        <f>COUNTIFS($B$2:$B$386,3,$C$2:$C$386,3,$F$2:$F$386,16,$G$2:$G$386,2)</f>
        <v>0</v>
      </c>
      <c r="AD155" s="6">
        <f t="shared" si="27"/>
        <v>0</v>
      </c>
      <c r="AF155">
        <f t="shared" si="24"/>
        <v>2</v>
      </c>
    </row>
    <row r="156" spans="1:32" ht="43.2" x14ac:dyDescent="0.3">
      <c r="A156" s="6" t="s">
        <v>920</v>
      </c>
      <c r="B156" s="11">
        <v>1</v>
      </c>
      <c r="C156" s="11">
        <v>3</v>
      </c>
      <c r="D156" s="11">
        <v>1</v>
      </c>
      <c r="E156" s="3">
        <f t="shared" si="25"/>
        <v>1</v>
      </c>
      <c r="F156" s="3">
        <f t="shared" si="26"/>
        <v>1</v>
      </c>
      <c r="G156" s="11">
        <v>5</v>
      </c>
      <c r="AB156" s="4" t="s">
        <v>39318</v>
      </c>
      <c r="AC156" s="6">
        <f>COUNTIFS($B$2:$B$386,1,$C$2:$C$386,4,$F$2:$F$386,16,$G$2:$G$386,2)</f>
        <v>0</v>
      </c>
      <c r="AD156" s="6">
        <f t="shared" si="27"/>
        <v>0</v>
      </c>
      <c r="AF156">
        <f t="shared" si="24"/>
        <v>2</v>
      </c>
    </row>
    <row r="157" spans="1:32" ht="43.2" x14ac:dyDescent="0.3">
      <c r="A157" t="s">
        <v>2413</v>
      </c>
      <c r="B157" s="7">
        <v>2</v>
      </c>
      <c r="C157" s="7">
        <v>3</v>
      </c>
      <c r="D157" s="7">
        <v>16</v>
      </c>
      <c r="E157" s="3">
        <f t="shared" si="25"/>
        <v>16</v>
      </c>
      <c r="F157" s="3">
        <f t="shared" si="26"/>
        <v>16</v>
      </c>
      <c r="G157" s="7">
        <v>4</v>
      </c>
      <c r="AB157" s="4" t="s">
        <v>39319</v>
      </c>
      <c r="AC157" s="6">
        <f>COUNTIFS($B$2:$B$386,2,$C$2:$C$386,4,$F$2:$F$386,16,$G$2:$G$386,2)</f>
        <v>0</v>
      </c>
      <c r="AD157" s="6">
        <f t="shared" si="27"/>
        <v>0</v>
      </c>
      <c r="AF157">
        <f t="shared" si="24"/>
        <v>2</v>
      </c>
    </row>
    <row r="158" spans="1:32" ht="43.2" x14ac:dyDescent="0.3">
      <c r="A158" t="s">
        <v>2342</v>
      </c>
      <c r="B158" s="3">
        <v>2</v>
      </c>
      <c r="C158" s="3">
        <v>3</v>
      </c>
      <c r="D158" s="3">
        <v>16</v>
      </c>
      <c r="E158" s="3">
        <f t="shared" si="25"/>
        <v>16</v>
      </c>
      <c r="F158" s="3">
        <f t="shared" si="26"/>
        <v>16</v>
      </c>
      <c r="G158" s="3">
        <v>4</v>
      </c>
      <c r="AB158" s="4" t="s">
        <v>39320</v>
      </c>
      <c r="AC158" s="6">
        <f>COUNTIFS($B$2:$B$386,3,$C$2:$C$386,4,$F$2:$F$386,16,$G$2:$G$386,2)</f>
        <v>0</v>
      </c>
      <c r="AD158" s="6">
        <f t="shared" si="27"/>
        <v>0</v>
      </c>
      <c r="AF158">
        <f t="shared" si="24"/>
        <v>2</v>
      </c>
    </row>
    <row r="159" spans="1:32" ht="43.2" x14ac:dyDescent="0.3">
      <c r="A159" t="s">
        <v>1429</v>
      </c>
      <c r="B159" s="11">
        <v>3</v>
      </c>
      <c r="C159" s="11">
        <v>3</v>
      </c>
      <c r="D159" s="11">
        <v>17</v>
      </c>
      <c r="E159" s="3">
        <f t="shared" si="25"/>
        <v>17</v>
      </c>
      <c r="F159" s="3">
        <f t="shared" si="26"/>
        <v>17</v>
      </c>
      <c r="G159" s="11">
        <v>3</v>
      </c>
      <c r="AB159" s="4" t="s">
        <v>39321</v>
      </c>
      <c r="AC159" s="6">
        <f>COUNTIFS($B$2:$B$386,1,$C$2:$C$386,1,$F$2:$F$386,17,$G$2:$G$386,2)</f>
        <v>0</v>
      </c>
      <c r="AD159" s="6">
        <f t="shared" si="27"/>
        <v>0</v>
      </c>
      <c r="AF159">
        <f t="shared" si="24"/>
        <v>2</v>
      </c>
    </row>
    <row r="160" spans="1:32" ht="43.2" x14ac:dyDescent="0.3">
      <c r="A160" t="s">
        <v>1429</v>
      </c>
      <c r="B160" s="7">
        <v>1</v>
      </c>
      <c r="C160" s="7">
        <v>3</v>
      </c>
      <c r="D160" s="7">
        <v>3</v>
      </c>
      <c r="E160" s="3">
        <f t="shared" si="25"/>
        <v>3</v>
      </c>
      <c r="F160" s="3">
        <f t="shared" si="26"/>
        <v>3</v>
      </c>
      <c r="G160" s="7">
        <v>5</v>
      </c>
      <c r="AB160" s="4" t="s">
        <v>39322</v>
      </c>
      <c r="AC160" s="6">
        <f>COUNTIFS($B$2:$B$386,2,$C$2:$C$386,1,$F$2:$F$386,17,$G$2:$G$386,2)</f>
        <v>0</v>
      </c>
      <c r="AD160" s="6">
        <f t="shared" si="27"/>
        <v>0</v>
      </c>
      <c r="AF160">
        <f t="shared" si="24"/>
        <v>2</v>
      </c>
    </row>
    <row r="161" spans="1:32" ht="43.2" x14ac:dyDescent="0.3">
      <c r="A161" s="6" t="s">
        <v>990</v>
      </c>
      <c r="B161" s="11">
        <v>2</v>
      </c>
      <c r="C161" s="11">
        <v>2</v>
      </c>
      <c r="D161" s="11">
        <v>16</v>
      </c>
      <c r="E161" s="3">
        <f t="shared" si="25"/>
        <v>16</v>
      </c>
      <c r="F161" s="3">
        <f t="shared" si="26"/>
        <v>16</v>
      </c>
      <c r="G161" s="11">
        <v>3</v>
      </c>
      <c r="AB161" s="4" t="s">
        <v>39323</v>
      </c>
      <c r="AC161" s="6">
        <f>COUNTIFS($B$2:$B$386,3,$C$2:$C$386,1,$F$2:$F$386,17,$G$2:$G$386,2)</f>
        <v>0</v>
      </c>
      <c r="AD161" s="6">
        <f t="shared" si="27"/>
        <v>0</v>
      </c>
      <c r="AF161">
        <f t="shared" si="24"/>
        <v>2</v>
      </c>
    </row>
    <row r="162" spans="1:32" ht="43.2" x14ac:dyDescent="0.3">
      <c r="A162" t="s">
        <v>1527</v>
      </c>
      <c r="B162" s="3">
        <v>2</v>
      </c>
      <c r="C162" s="3">
        <v>2</v>
      </c>
      <c r="D162" s="3">
        <v>16</v>
      </c>
      <c r="E162" s="3">
        <f t="shared" si="25"/>
        <v>16</v>
      </c>
      <c r="F162" s="3">
        <f t="shared" si="26"/>
        <v>16</v>
      </c>
      <c r="G162" s="3">
        <v>3</v>
      </c>
      <c r="AB162" s="4" t="s">
        <v>39324</v>
      </c>
      <c r="AC162" s="6">
        <f>COUNTIFS($B$2:$B$386,1,$C$2:$C$386,2,$F$2:$F$386,17,$G$2:$G$386,2)</f>
        <v>0</v>
      </c>
      <c r="AD162" s="6">
        <f t="shared" si="27"/>
        <v>0</v>
      </c>
      <c r="AF162">
        <f t="shared" si="24"/>
        <v>2</v>
      </c>
    </row>
    <row r="163" spans="1:32" ht="43.2" x14ac:dyDescent="0.3">
      <c r="A163" t="s">
        <v>1787</v>
      </c>
      <c r="B163" s="7">
        <v>3</v>
      </c>
      <c r="C163" s="7">
        <v>3</v>
      </c>
      <c r="D163" s="7">
        <v>17</v>
      </c>
      <c r="E163" s="3">
        <f t="shared" si="25"/>
        <v>17</v>
      </c>
      <c r="F163" s="3">
        <f t="shared" si="26"/>
        <v>17</v>
      </c>
      <c r="G163" s="7">
        <v>4</v>
      </c>
      <c r="AB163" s="4" t="s">
        <v>39325</v>
      </c>
      <c r="AC163" s="6">
        <f>COUNTIFS($B$2:$B$386,2,$C$2:$C$386,2,$F$2:$F$386,17,$G$2:$G$386,2)</f>
        <v>0</v>
      </c>
      <c r="AD163" s="6">
        <f t="shared" si="27"/>
        <v>0</v>
      </c>
      <c r="AF163">
        <f t="shared" si="24"/>
        <v>2</v>
      </c>
    </row>
    <row r="164" spans="1:32" ht="43.2" x14ac:dyDescent="0.3">
      <c r="A164" t="s">
        <v>2032</v>
      </c>
      <c r="B164" s="7">
        <v>1</v>
      </c>
      <c r="C164" s="7">
        <v>3</v>
      </c>
      <c r="D164" s="7">
        <v>1</v>
      </c>
      <c r="E164" s="3">
        <f t="shared" si="25"/>
        <v>1</v>
      </c>
      <c r="F164" s="3">
        <f t="shared" si="26"/>
        <v>1</v>
      </c>
      <c r="G164" s="7">
        <v>5</v>
      </c>
      <c r="AB164" s="4" t="s">
        <v>39326</v>
      </c>
      <c r="AC164" s="6">
        <f>COUNTIFS($B$2:$B$386,3,$C$2:$C$386,2,$F$2:$F$386,17,$G$2:$G$386,2)</f>
        <v>0</v>
      </c>
      <c r="AD164" s="6">
        <f t="shared" si="27"/>
        <v>0</v>
      </c>
      <c r="AF164">
        <f t="shared" si="24"/>
        <v>2</v>
      </c>
    </row>
    <row r="165" spans="1:32" ht="43.2" x14ac:dyDescent="0.3">
      <c r="A165" s="6" t="s">
        <v>722</v>
      </c>
      <c r="B165" s="7">
        <v>3</v>
      </c>
      <c r="C165" s="7">
        <v>3</v>
      </c>
      <c r="D165" s="7">
        <v>17</v>
      </c>
      <c r="E165" s="3">
        <f t="shared" si="25"/>
        <v>17</v>
      </c>
      <c r="F165" s="3">
        <f t="shared" si="26"/>
        <v>17</v>
      </c>
      <c r="G165" s="7">
        <v>4</v>
      </c>
      <c r="AB165" s="4" t="s">
        <v>39327</v>
      </c>
      <c r="AC165" s="6">
        <f>COUNTIFS($B$2:$B$386,1,$C$2:$C$386,3,$F$2:$F$386,17,$G$2:$G$386,2)</f>
        <v>0</v>
      </c>
      <c r="AD165" s="6">
        <f t="shared" si="27"/>
        <v>0</v>
      </c>
      <c r="AF165">
        <f t="shared" si="24"/>
        <v>2</v>
      </c>
    </row>
    <row r="166" spans="1:32" ht="43.2" x14ac:dyDescent="0.3">
      <c r="A166" s="6" t="s">
        <v>763</v>
      </c>
      <c r="B166" s="7">
        <v>3</v>
      </c>
      <c r="C166" s="7">
        <v>3</v>
      </c>
      <c r="D166" s="7">
        <v>17</v>
      </c>
      <c r="E166" s="3">
        <f t="shared" si="25"/>
        <v>17</v>
      </c>
      <c r="F166" s="3">
        <f t="shared" si="26"/>
        <v>17</v>
      </c>
      <c r="G166" s="7">
        <v>4</v>
      </c>
      <c r="AB166" s="4" t="s">
        <v>39328</v>
      </c>
      <c r="AC166" s="6">
        <f>COUNTIFS($B$2:$B$386,2,$C$2:$C$386,3,$F$2:$F$386,17,$G$2:$G$386,2)</f>
        <v>0</v>
      </c>
      <c r="AD166" s="6">
        <f t="shared" si="27"/>
        <v>0</v>
      </c>
      <c r="AF166">
        <f t="shared" si="24"/>
        <v>2</v>
      </c>
    </row>
    <row r="167" spans="1:32" ht="43.2" x14ac:dyDescent="0.3">
      <c r="A167" t="s">
        <v>1537</v>
      </c>
      <c r="B167" s="3">
        <v>1</v>
      </c>
      <c r="C167" s="3">
        <v>3</v>
      </c>
      <c r="D167" s="3">
        <v>3</v>
      </c>
      <c r="E167" s="3">
        <f t="shared" si="25"/>
        <v>3</v>
      </c>
      <c r="F167" s="3">
        <f t="shared" si="26"/>
        <v>3</v>
      </c>
      <c r="G167" s="3">
        <v>5</v>
      </c>
      <c r="AB167" s="4" t="s">
        <v>39329</v>
      </c>
      <c r="AC167" s="6">
        <f>COUNTIFS($B$2:$B$386,3,$C$2:$C$386,3,$F$2:$F$386,17,$G$2:$G$386,2)</f>
        <v>0</v>
      </c>
      <c r="AD167" s="6">
        <f t="shared" si="27"/>
        <v>0</v>
      </c>
      <c r="AF167">
        <f t="shared" si="24"/>
        <v>2</v>
      </c>
    </row>
    <row r="168" spans="1:32" ht="43.2" x14ac:dyDescent="0.3">
      <c r="A168" t="s">
        <v>1504</v>
      </c>
      <c r="B168" s="3">
        <v>1</v>
      </c>
      <c r="C168" s="3">
        <v>3</v>
      </c>
      <c r="D168" s="3">
        <v>1</v>
      </c>
      <c r="E168" s="3">
        <f t="shared" si="25"/>
        <v>1</v>
      </c>
      <c r="F168" s="3">
        <f t="shared" si="26"/>
        <v>1</v>
      </c>
      <c r="G168" s="3">
        <v>5</v>
      </c>
      <c r="AB168" s="4" t="s">
        <v>39330</v>
      </c>
      <c r="AC168" s="6">
        <f>COUNTIFS($B$2:$B$386,1,$C$2:$C$386,4,$F$2:$F$386,17,$G$2:$G$386,2)</f>
        <v>0</v>
      </c>
      <c r="AD168" s="6">
        <f t="shared" si="27"/>
        <v>0</v>
      </c>
      <c r="AF168">
        <f t="shared" si="24"/>
        <v>2</v>
      </c>
    </row>
    <row r="169" spans="1:32" ht="43.2" x14ac:dyDescent="0.3">
      <c r="A169" t="s">
        <v>2657</v>
      </c>
      <c r="B169" s="3">
        <v>3</v>
      </c>
      <c r="C169" s="3">
        <v>3</v>
      </c>
      <c r="D169" s="3">
        <v>17</v>
      </c>
      <c r="E169" s="3">
        <f t="shared" si="25"/>
        <v>17</v>
      </c>
      <c r="F169" s="3">
        <f t="shared" si="26"/>
        <v>17</v>
      </c>
      <c r="G169" s="3">
        <v>4</v>
      </c>
      <c r="AB169" s="4" t="s">
        <v>39332</v>
      </c>
      <c r="AC169" s="6">
        <f>COUNTIFS($B$2:$B$386,2,$C$2:$C$386,4,$F$2:$F$386,17,$G$2:$G$386,2)</f>
        <v>0</v>
      </c>
      <c r="AD169" s="6">
        <f t="shared" si="27"/>
        <v>0</v>
      </c>
      <c r="AF169">
        <f t="shared" si="24"/>
        <v>2</v>
      </c>
    </row>
    <row r="170" spans="1:32" ht="43.2" x14ac:dyDescent="0.3">
      <c r="A170" t="s">
        <v>3003</v>
      </c>
      <c r="B170" s="3">
        <v>2</v>
      </c>
      <c r="C170" s="3">
        <v>3</v>
      </c>
      <c r="D170" s="3">
        <v>11</v>
      </c>
      <c r="E170" s="3">
        <f t="shared" si="25"/>
        <v>11</v>
      </c>
      <c r="F170" s="3">
        <f t="shared" si="26"/>
        <v>19</v>
      </c>
      <c r="G170" s="3">
        <v>3</v>
      </c>
      <c r="AB170" s="4" t="s">
        <v>39331</v>
      </c>
      <c r="AC170" s="6">
        <f>COUNTIFS($B$2:$B$386,3,$C$2:$C$386,4,$F$2:$F$386,17,$G$2:$G$386,2)</f>
        <v>0</v>
      </c>
      <c r="AD170" s="6">
        <f t="shared" si="27"/>
        <v>0</v>
      </c>
      <c r="AF170">
        <f t="shared" si="24"/>
        <v>2</v>
      </c>
    </row>
    <row r="171" spans="1:32" x14ac:dyDescent="0.3">
      <c r="A171" t="s">
        <v>2587</v>
      </c>
      <c r="B171" s="3">
        <v>3</v>
      </c>
      <c r="C171" s="3">
        <v>3</v>
      </c>
      <c r="D171" s="3">
        <v>17</v>
      </c>
      <c r="E171" s="3">
        <f t="shared" si="25"/>
        <v>17</v>
      </c>
      <c r="F171" s="3">
        <f t="shared" si="26"/>
        <v>17</v>
      </c>
      <c r="G171" s="3">
        <v>4</v>
      </c>
      <c r="AD171" s="6"/>
      <c r="AF171">
        <f t="shared" si="24"/>
        <v>2</v>
      </c>
    </row>
    <row r="172" spans="1:32" ht="43.2" x14ac:dyDescent="0.3">
      <c r="A172" s="6" t="s">
        <v>620</v>
      </c>
      <c r="B172" s="7">
        <v>1</v>
      </c>
      <c r="C172" s="7">
        <v>3</v>
      </c>
      <c r="D172" s="7">
        <v>1</v>
      </c>
      <c r="E172" s="3">
        <f t="shared" si="25"/>
        <v>1</v>
      </c>
      <c r="F172" s="3">
        <f t="shared" si="26"/>
        <v>1</v>
      </c>
      <c r="G172" s="7">
        <v>5</v>
      </c>
      <c r="AB172" s="4" t="s">
        <v>39333</v>
      </c>
      <c r="AC172" s="6">
        <f>COUNTIFS($B$2:$B$386,1,$C$2:$C$386,1,$F$2:$F$386,18,$G$2:$G$386,3)</f>
        <v>0</v>
      </c>
      <c r="AD172" s="6">
        <f t="shared" si="27"/>
        <v>0</v>
      </c>
      <c r="AF172">
        <f t="shared" si="24"/>
        <v>2</v>
      </c>
    </row>
    <row r="173" spans="1:32" ht="43.2" x14ac:dyDescent="0.3">
      <c r="A173" s="6" t="s">
        <v>588</v>
      </c>
      <c r="B173" s="7">
        <v>3</v>
      </c>
      <c r="C173" s="7">
        <v>3</v>
      </c>
      <c r="D173" s="7">
        <v>17</v>
      </c>
      <c r="E173" s="3">
        <f t="shared" si="25"/>
        <v>17</v>
      </c>
      <c r="F173" s="3">
        <f t="shared" si="26"/>
        <v>17</v>
      </c>
      <c r="G173" s="7">
        <v>4</v>
      </c>
      <c r="AB173" s="4" t="s">
        <v>39334</v>
      </c>
      <c r="AC173" s="6">
        <f>COUNTIFS($B$2:$B$386,2,$C$2:$C$386,1,$F$2:$F$386,18,$G$2:$G$386,3)</f>
        <v>0</v>
      </c>
      <c r="AD173" s="6">
        <f t="shared" si="27"/>
        <v>0</v>
      </c>
      <c r="AF173">
        <f t="shared" si="24"/>
        <v>2</v>
      </c>
    </row>
    <row r="174" spans="1:32" ht="43.2" x14ac:dyDescent="0.3">
      <c r="A174" t="s">
        <v>1434</v>
      </c>
      <c r="B174" s="11">
        <v>2</v>
      </c>
      <c r="C174" s="11">
        <v>2</v>
      </c>
      <c r="D174" s="11">
        <v>16</v>
      </c>
      <c r="E174" s="3">
        <f t="shared" si="25"/>
        <v>16</v>
      </c>
      <c r="F174" s="3">
        <f t="shared" si="26"/>
        <v>16</v>
      </c>
      <c r="G174" s="11">
        <v>3</v>
      </c>
      <c r="AB174" s="4" t="s">
        <v>39335</v>
      </c>
      <c r="AC174" s="6">
        <f>COUNTIFS($B$2:$B$386,3,$C$2:$C$386,1,$F$2:$F$386,18,$G$2:$G$386,3)</f>
        <v>0</v>
      </c>
      <c r="AD174" s="6">
        <f t="shared" si="27"/>
        <v>0</v>
      </c>
      <c r="AF174">
        <f t="shared" si="24"/>
        <v>2</v>
      </c>
    </row>
    <row r="175" spans="1:32" ht="43.2" x14ac:dyDescent="0.3">
      <c r="A175" s="6" t="s">
        <v>1127</v>
      </c>
      <c r="B175" s="3">
        <v>1</v>
      </c>
      <c r="C175" s="3">
        <v>3</v>
      </c>
      <c r="D175" s="3">
        <v>1</v>
      </c>
      <c r="E175" s="3">
        <f t="shared" si="25"/>
        <v>1</v>
      </c>
      <c r="F175" s="3">
        <f t="shared" si="26"/>
        <v>1</v>
      </c>
      <c r="G175" s="3">
        <v>5</v>
      </c>
      <c r="AB175" s="4" t="s">
        <v>39336</v>
      </c>
      <c r="AC175" s="6">
        <f>COUNTIFS($B$2:$B$386,1,$C$2:$C$386,2,$F$2:$F$386,18,$G$2:$G$386,3)</f>
        <v>1</v>
      </c>
      <c r="AD175" s="6">
        <f t="shared" si="27"/>
        <v>0.25974025974025972</v>
      </c>
      <c r="AF175">
        <f t="shared" si="24"/>
        <v>2</v>
      </c>
    </row>
    <row r="176" spans="1:32" ht="43.2" x14ac:dyDescent="0.3">
      <c r="A176" s="6" t="s">
        <v>1216</v>
      </c>
      <c r="B176" s="3">
        <v>3</v>
      </c>
      <c r="C176" s="3">
        <v>3</v>
      </c>
      <c r="D176" s="3">
        <v>17</v>
      </c>
      <c r="E176" s="3">
        <f t="shared" si="25"/>
        <v>17</v>
      </c>
      <c r="F176" s="3">
        <f t="shared" si="26"/>
        <v>17</v>
      </c>
      <c r="G176" s="3">
        <v>4</v>
      </c>
      <c r="AB176" s="4" t="s">
        <v>39337</v>
      </c>
      <c r="AC176" s="6">
        <f>COUNTIFS($B$2:$B$386,2,$C$2:$C$386,2,$F$2:$F$386,18,$G$2:$G$386,3)</f>
        <v>0</v>
      </c>
      <c r="AD176" s="6">
        <f t="shared" si="27"/>
        <v>0</v>
      </c>
      <c r="AF176">
        <f t="shared" si="24"/>
        <v>2</v>
      </c>
    </row>
    <row r="177" spans="1:32" ht="43.2" x14ac:dyDescent="0.3">
      <c r="A177" s="6" t="s">
        <v>971</v>
      </c>
      <c r="B177" s="7">
        <v>2</v>
      </c>
      <c r="C177" s="7">
        <v>3</v>
      </c>
      <c r="D177" s="7">
        <v>16</v>
      </c>
      <c r="E177" s="3">
        <f t="shared" si="25"/>
        <v>16</v>
      </c>
      <c r="F177" s="3">
        <f t="shared" si="26"/>
        <v>16</v>
      </c>
      <c r="G177" s="7">
        <v>4</v>
      </c>
      <c r="AB177" s="4" t="s">
        <v>39338</v>
      </c>
      <c r="AC177" s="6">
        <f>COUNTIFS($B$2:$B$386,3,$C$2:$C$386,2,$F$2:$F$386,18,$G$2:$G$386,3)</f>
        <v>0</v>
      </c>
      <c r="AD177" s="6">
        <f t="shared" si="27"/>
        <v>0</v>
      </c>
      <c r="AF177">
        <f t="shared" si="24"/>
        <v>2</v>
      </c>
    </row>
    <row r="178" spans="1:32" ht="43.2" x14ac:dyDescent="0.3">
      <c r="A178" t="s">
        <v>3006</v>
      </c>
      <c r="B178" s="3">
        <v>3</v>
      </c>
      <c r="C178" s="3">
        <v>3</v>
      </c>
      <c r="D178" s="3">
        <v>17</v>
      </c>
      <c r="E178" s="3">
        <f t="shared" si="25"/>
        <v>17</v>
      </c>
      <c r="F178" s="3">
        <f t="shared" si="26"/>
        <v>17</v>
      </c>
      <c r="G178" s="3">
        <v>4</v>
      </c>
      <c r="AB178" s="4" t="s">
        <v>39339</v>
      </c>
      <c r="AC178" s="6">
        <f>COUNTIFS($B$2:$B$386,1,$C$2:$C$386,3,$F$2:$F$386,18,$G$2:$G$386,3)</f>
        <v>0</v>
      </c>
      <c r="AD178" s="6">
        <f t="shared" si="27"/>
        <v>0</v>
      </c>
      <c r="AF178">
        <f t="shared" si="24"/>
        <v>2</v>
      </c>
    </row>
    <row r="179" spans="1:32" ht="43.2" x14ac:dyDescent="0.3">
      <c r="A179" t="s">
        <v>3060</v>
      </c>
      <c r="B179" s="3">
        <v>3</v>
      </c>
      <c r="C179" s="3">
        <v>3</v>
      </c>
      <c r="D179" s="3">
        <v>17</v>
      </c>
      <c r="E179" s="3">
        <f t="shared" si="25"/>
        <v>17</v>
      </c>
      <c r="F179" s="3">
        <f t="shared" si="26"/>
        <v>17</v>
      </c>
      <c r="G179" s="3">
        <v>4</v>
      </c>
      <c r="AB179" s="4" t="s">
        <v>39340</v>
      </c>
      <c r="AC179" s="6">
        <f>COUNTIFS($B$2:$B$386,2,$C$2:$C$386,3,$F$2:$F$386,18,$G$2:$G$386,3)</f>
        <v>0</v>
      </c>
      <c r="AD179" s="6">
        <f t="shared" si="27"/>
        <v>0</v>
      </c>
      <c r="AF179">
        <f t="shared" si="24"/>
        <v>2</v>
      </c>
    </row>
    <row r="180" spans="1:32" ht="43.2" x14ac:dyDescent="0.3">
      <c r="A180" t="s">
        <v>2564</v>
      </c>
      <c r="B180" s="7">
        <v>1</v>
      </c>
      <c r="C180" s="7">
        <v>3</v>
      </c>
      <c r="D180" s="7">
        <v>1</v>
      </c>
      <c r="E180" s="3">
        <f t="shared" si="25"/>
        <v>1</v>
      </c>
      <c r="F180" s="3">
        <f t="shared" si="26"/>
        <v>1</v>
      </c>
      <c r="G180" s="7">
        <v>5</v>
      </c>
      <c r="AB180" s="4" t="s">
        <v>39341</v>
      </c>
      <c r="AC180" s="6">
        <f>COUNTIFS($B$2:$B$386,3,$C$2:$C$386,3,$F$2:$F$386,18,$G$2:$G$386,3)</f>
        <v>0</v>
      </c>
      <c r="AD180" s="6">
        <f t="shared" si="27"/>
        <v>0</v>
      </c>
      <c r="AF180">
        <f t="shared" si="24"/>
        <v>2</v>
      </c>
    </row>
    <row r="181" spans="1:32" ht="43.2" x14ac:dyDescent="0.3">
      <c r="A181" t="s">
        <v>1487</v>
      </c>
      <c r="B181" s="7">
        <v>3</v>
      </c>
      <c r="C181" s="7">
        <v>3</v>
      </c>
      <c r="D181" s="7">
        <v>17</v>
      </c>
      <c r="E181" s="3">
        <f t="shared" si="25"/>
        <v>17</v>
      </c>
      <c r="F181" s="3">
        <f t="shared" si="26"/>
        <v>17</v>
      </c>
      <c r="G181" s="7">
        <v>4</v>
      </c>
      <c r="AB181" s="4" t="s">
        <v>39342</v>
      </c>
      <c r="AC181" s="6">
        <f>COUNTIFS($B$2:$B$386,1,$C$2:$C$386,4,$F$2:$F$386,18,$G$2:$G$386,3)</f>
        <v>0</v>
      </c>
      <c r="AD181" s="6">
        <f t="shared" si="27"/>
        <v>0</v>
      </c>
      <c r="AF181">
        <f t="shared" si="24"/>
        <v>2</v>
      </c>
    </row>
    <row r="182" spans="1:32" ht="43.2" x14ac:dyDescent="0.3">
      <c r="A182" t="s">
        <v>1843</v>
      </c>
      <c r="B182" s="7">
        <v>3</v>
      </c>
      <c r="C182" s="7">
        <v>3</v>
      </c>
      <c r="D182" s="7">
        <v>17</v>
      </c>
      <c r="E182" s="3">
        <f t="shared" si="25"/>
        <v>17</v>
      </c>
      <c r="F182" s="3">
        <f t="shared" si="26"/>
        <v>17</v>
      </c>
      <c r="G182" s="7">
        <v>4</v>
      </c>
      <c r="AB182" s="4" t="s">
        <v>39343</v>
      </c>
      <c r="AC182" s="6">
        <f>COUNTIFS($B$2:$B$386,2,$C$2:$C$386,4,$F$2:$F$386,18,$G$2:$G$386,3)</f>
        <v>0</v>
      </c>
      <c r="AD182" s="6">
        <f t="shared" si="27"/>
        <v>0</v>
      </c>
      <c r="AF182">
        <f t="shared" si="24"/>
        <v>2</v>
      </c>
    </row>
    <row r="183" spans="1:32" ht="43.2" x14ac:dyDescent="0.3">
      <c r="A183" t="s">
        <v>1247</v>
      </c>
      <c r="B183" s="3">
        <v>1</v>
      </c>
      <c r="C183" s="3">
        <v>3</v>
      </c>
      <c r="D183" s="3">
        <v>1</v>
      </c>
      <c r="E183" s="3">
        <f t="shared" si="25"/>
        <v>1</v>
      </c>
      <c r="F183" s="3">
        <f t="shared" si="26"/>
        <v>1</v>
      </c>
      <c r="G183" s="3">
        <v>5</v>
      </c>
      <c r="AB183" s="4" t="s">
        <v>39344</v>
      </c>
      <c r="AC183" s="6">
        <f>COUNTIFS($B$2:$B$386,3,$C$2:$C$386,4,$F$2:$F$386,18,$G$2:$G$386,3)</f>
        <v>0</v>
      </c>
      <c r="AD183" s="6">
        <f t="shared" si="27"/>
        <v>0</v>
      </c>
      <c r="AF183">
        <f t="shared" si="24"/>
        <v>2</v>
      </c>
    </row>
    <row r="184" spans="1:32" ht="43.2" x14ac:dyDescent="0.3">
      <c r="A184" t="s">
        <v>2167</v>
      </c>
      <c r="B184" s="7">
        <v>3</v>
      </c>
      <c r="C184" s="7">
        <v>3</v>
      </c>
      <c r="D184" s="7">
        <v>17</v>
      </c>
      <c r="E184" s="3">
        <f t="shared" si="25"/>
        <v>17</v>
      </c>
      <c r="F184" s="3">
        <f t="shared" si="26"/>
        <v>17</v>
      </c>
      <c r="G184" s="7">
        <v>4</v>
      </c>
      <c r="AB184" s="4" t="s">
        <v>39345</v>
      </c>
      <c r="AC184" s="6">
        <f>COUNTIFS($B$2:$B$386,1,$C$2:$C$386,1,$F$2:$F$386,19,$G$2:$G$386,3)</f>
        <v>0</v>
      </c>
      <c r="AD184" s="6">
        <f t="shared" si="27"/>
        <v>0</v>
      </c>
      <c r="AF184">
        <f t="shared" si="24"/>
        <v>2</v>
      </c>
    </row>
    <row r="185" spans="1:32" ht="43.2" x14ac:dyDescent="0.3">
      <c r="A185" s="6" t="s">
        <v>819</v>
      </c>
      <c r="B185" s="7">
        <v>3</v>
      </c>
      <c r="C185" s="7">
        <v>3</v>
      </c>
      <c r="D185" s="7">
        <v>17</v>
      </c>
      <c r="E185" s="3">
        <f t="shared" si="25"/>
        <v>17</v>
      </c>
      <c r="F185" s="3">
        <f t="shared" si="26"/>
        <v>17</v>
      </c>
      <c r="G185" s="7">
        <v>4</v>
      </c>
      <c r="AB185" s="4" t="s">
        <v>39346</v>
      </c>
      <c r="AC185" s="6">
        <f>COUNTIFS($B$2:$B$386,2,$C$2:$C$386,1,$F$2:$F$386,19,$G$2:$G$386,3)</f>
        <v>0</v>
      </c>
      <c r="AD185" s="6">
        <f t="shared" si="27"/>
        <v>0</v>
      </c>
      <c r="AF185">
        <f t="shared" si="24"/>
        <v>2</v>
      </c>
    </row>
    <row r="186" spans="1:32" ht="43.2" x14ac:dyDescent="0.3">
      <c r="A186" t="s">
        <v>2427</v>
      </c>
      <c r="B186" s="7">
        <v>1</v>
      </c>
      <c r="C186" s="7">
        <v>3</v>
      </c>
      <c r="D186" s="7">
        <v>3</v>
      </c>
      <c r="E186" s="3">
        <f t="shared" si="25"/>
        <v>3</v>
      </c>
      <c r="F186" s="3">
        <f t="shared" si="26"/>
        <v>3</v>
      </c>
      <c r="G186" s="7">
        <v>5</v>
      </c>
      <c r="AB186" s="4" t="s">
        <v>39347</v>
      </c>
      <c r="AC186" s="6">
        <f>COUNTIFS($B$2:$B$386,3,$C$2:$C$386,1,$F$2:$F$386,19,$G$2:$G$386,3)</f>
        <v>0</v>
      </c>
      <c r="AD186" s="6">
        <f t="shared" si="27"/>
        <v>0</v>
      </c>
      <c r="AF186">
        <f t="shared" si="24"/>
        <v>2</v>
      </c>
    </row>
    <row r="187" spans="1:32" ht="43.2" x14ac:dyDescent="0.3">
      <c r="A187" t="s">
        <v>1673</v>
      </c>
      <c r="B187" s="7">
        <v>3</v>
      </c>
      <c r="C187" s="7">
        <v>3</v>
      </c>
      <c r="D187" s="7">
        <v>17</v>
      </c>
      <c r="E187" s="3">
        <f t="shared" si="25"/>
        <v>17</v>
      </c>
      <c r="F187" s="3">
        <f t="shared" si="26"/>
        <v>17</v>
      </c>
      <c r="G187" s="7">
        <v>4</v>
      </c>
      <c r="AB187" s="4" t="s">
        <v>39348</v>
      </c>
      <c r="AC187" s="6">
        <f>COUNTIFS($B$2:$B$386,1,$C$2:$C$386,2,$F$2:$F$386,19,$G$2:$G$386,3)</f>
        <v>0</v>
      </c>
      <c r="AD187" s="6">
        <f t="shared" si="27"/>
        <v>0</v>
      </c>
      <c r="AF187">
        <f t="shared" si="24"/>
        <v>2</v>
      </c>
    </row>
    <row r="188" spans="1:32" ht="43.2" x14ac:dyDescent="0.3">
      <c r="A188" t="s">
        <v>1650</v>
      </c>
      <c r="B188" s="11">
        <v>1</v>
      </c>
      <c r="C188" s="11">
        <v>3</v>
      </c>
      <c r="D188" s="11">
        <v>2</v>
      </c>
      <c r="E188" s="3">
        <f t="shared" si="25"/>
        <v>2</v>
      </c>
      <c r="F188" s="3">
        <f t="shared" si="26"/>
        <v>2</v>
      </c>
      <c r="G188" s="11">
        <v>5</v>
      </c>
      <c r="AB188" s="4" t="s">
        <v>39349</v>
      </c>
      <c r="AC188" s="6">
        <f>COUNTIFS($B$2:$B$386,2,$C$2:$C$386,2,$F$2:$F$386,19,$G$2:$G$386,3)</f>
        <v>1</v>
      </c>
      <c r="AD188" s="6">
        <f t="shared" si="27"/>
        <v>0.25974025974025972</v>
      </c>
      <c r="AF188">
        <f t="shared" si="24"/>
        <v>2</v>
      </c>
    </row>
    <row r="189" spans="1:32" ht="43.2" x14ac:dyDescent="0.3">
      <c r="A189" t="s">
        <v>1685</v>
      </c>
      <c r="B189" s="11">
        <v>2</v>
      </c>
      <c r="C189" s="11">
        <v>3</v>
      </c>
      <c r="D189" s="11">
        <v>16</v>
      </c>
      <c r="E189" s="3">
        <f t="shared" si="25"/>
        <v>16</v>
      </c>
      <c r="F189" s="3">
        <f t="shared" si="26"/>
        <v>16</v>
      </c>
      <c r="G189" s="11">
        <v>4</v>
      </c>
      <c r="AB189" s="4" t="s">
        <v>39350</v>
      </c>
      <c r="AC189" s="6">
        <f>COUNTIFS($B$2:$B$386,3,$C$2:$C$386,2,$F$2:$F$386,19,$G$2:$G$386,3)</f>
        <v>0</v>
      </c>
      <c r="AD189" s="6">
        <f t="shared" si="27"/>
        <v>0</v>
      </c>
      <c r="AF189">
        <f t="shared" si="24"/>
        <v>2</v>
      </c>
    </row>
    <row r="190" spans="1:32" ht="43.2" x14ac:dyDescent="0.3">
      <c r="A190" t="s">
        <v>1881</v>
      </c>
      <c r="B190" s="11">
        <v>2</v>
      </c>
      <c r="C190" s="11">
        <v>3</v>
      </c>
      <c r="D190" s="11">
        <v>16</v>
      </c>
      <c r="E190" s="3">
        <f t="shared" si="25"/>
        <v>16</v>
      </c>
      <c r="F190" s="3">
        <f t="shared" si="26"/>
        <v>16</v>
      </c>
      <c r="G190" s="11">
        <v>4</v>
      </c>
      <c r="AB190" s="4" t="s">
        <v>39351</v>
      </c>
      <c r="AC190" s="6">
        <f>COUNTIFS($B$2:$B$386,1,$C$2:$C$386,3,$F$2:$F$386,19,$G$2:$G$386,3)</f>
        <v>0</v>
      </c>
      <c r="AD190" s="6">
        <f t="shared" si="27"/>
        <v>0</v>
      </c>
      <c r="AF190">
        <f t="shared" si="24"/>
        <v>2</v>
      </c>
    </row>
    <row r="191" spans="1:32" ht="43.2" x14ac:dyDescent="0.3">
      <c r="A191" t="s">
        <v>1403</v>
      </c>
      <c r="B191" s="7">
        <v>3</v>
      </c>
      <c r="C191" s="7">
        <v>3</v>
      </c>
      <c r="D191" s="7">
        <v>17</v>
      </c>
      <c r="E191" s="3">
        <f t="shared" si="25"/>
        <v>17</v>
      </c>
      <c r="F191" s="3">
        <f t="shared" si="26"/>
        <v>17</v>
      </c>
      <c r="G191" s="7">
        <v>4</v>
      </c>
      <c r="AB191" s="4" t="s">
        <v>39352</v>
      </c>
      <c r="AC191" s="6">
        <f>COUNTIFS($B$2:$B$386,2,$C$2:$C$386,3,$F$2:$F$386,19,$G$2:$G$386,3)</f>
        <v>2</v>
      </c>
      <c r="AD191" s="6">
        <f t="shared" si="27"/>
        <v>0.51948051948051943</v>
      </c>
      <c r="AF191">
        <f t="shared" si="24"/>
        <v>2</v>
      </c>
    </row>
    <row r="192" spans="1:32" ht="43.2" x14ac:dyDescent="0.3">
      <c r="A192" t="s">
        <v>1407</v>
      </c>
      <c r="B192" s="7">
        <v>3</v>
      </c>
      <c r="C192" s="7">
        <v>3</v>
      </c>
      <c r="D192" s="7">
        <v>17</v>
      </c>
      <c r="E192" s="3">
        <f t="shared" si="25"/>
        <v>17</v>
      </c>
      <c r="F192" s="3">
        <f t="shared" si="26"/>
        <v>17</v>
      </c>
      <c r="G192" s="7">
        <v>4</v>
      </c>
      <c r="AB192" s="4" t="s">
        <v>39353</v>
      </c>
      <c r="AC192" s="6">
        <f>COUNTIFS($B$2:$B$386,3,$C$2:$C$386,3,$F$2:$F$386,19,$G$2:$G$386,3)</f>
        <v>0</v>
      </c>
      <c r="AD192" s="6">
        <f t="shared" si="27"/>
        <v>0</v>
      </c>
      <c r="AF192">
        <f t="shared" si="24"/>
        <v>2</v>
      </c>
    </row>
    <row r="193" spans="1:32" ht="43.2" x14ac:dyDescent="0.3">
      <c r="A193" t="s">
        <v>3068</v>
      </c>
      <c r="B193" s="7">
        <v>2</v>
      </c>
      <c r="C193" s="7">
        <v>3</v>
      </c>
      <c r="D193" s="7">
        <v>16</v>
      </c>
      <c r="E193" s="3">
        <f t="shared" si="25"/>
        <v>16</v>
      </c>
      <c r="F193" s="3">
        <f t="shared" si="26"/>
        <v>16</v>
      </c>
      <c r="G193" s="7">
        <v>4</v>
      </c>
      <c r="AB193" s="4" t="s">
        <v>39354</v>
      </c>
      <c r="AC193" s="6">
        <f>COUNTIFS($B$2:$B$386,1,$C$2:$C$386,4,$F$2:$F$386,19,$G$2:$G$386,3)</f>
        <v>0</v>
      </c>
      <c r="AD193" s="6">
        <f t="shared" si="27"/>
        <v>0</v>
      </c>
      <c r="AF193">
        <f t="shared" si="24"/>
        <v>2</v>
      </c>
    </row>
    <row r="194" spans="1:32" ht="43.2" x14ac:dyDescent="0.3">
      <c r="A194" s="6" t="s">
        <v>511</v>
      </c>
      <c r="B194" s="7">
        <v>3</v>
      </c>
      <c r="C194" s="7">
        <v>3</v>
      </c>
      <c r="D194" s="7">
        <v>17</v>
      </c>
      <c r="E194" s="3">
        <f t="shared" si="25"/>
        <v>17</v>
      </c>
      <c r="F194" s="3">
        <f t="shared" si="26"/>
        <v>17</v>
      </c>
      <c r="G194" s="7">
        <v>4</v>
      </c>
      <c r="AB194" s="4" t="s">
        <v>39355</v>
      </c>
      <c r="AC194" s="6">
        <f>COUNTIFS($B$2:$B$386,2,$C$2:$C$386,4,$F$2:$F$386,19,$G$2:$G$386,3)</f>
        <v>0</v>
      </c>
      <c r="AD194" s="6">
        <f t="shared" si="27"/>
        <v>0</v>
      </c>
      <c r="AF194">
        <f t="shared" ref="AF194:AF257" si="28">IF(AND(B194=1, C194=1, F194=18, G194=1), 1, 2)</f>
        <v>2</v>
      </c>
    </row>
    <row r="195" spans="1:32" ht="43.2" x14ac:dyDescent="0.3">
      <c r="A195" t="s">
        <v>1556</v>
      </c>
      <c r="B195" s="3">
        <v>3</v>
      </c>
      <c r="C195" s="3">
        <v>3</v>
      </c>
      <c r="D195" s="3">
        <v>17</v>
      </c>
      <c r="E195" s="3">
        <f t="shared" ref="E195:E258" si="29">IF(OR(D195=4, D195=6, D195=8, D195=10, D195=12, D195=14), 18, D195)</f>
        <v>17</v>
      </c>
      <c r="F195" s="3">
        <f t="shared" ref="F195:F258" si="30">IF(OR(E195=5, E195=7, E195=9, E195=11, E195=13, E195=15), 19, E195)</f>
        <v>17</v>
      </c>
      <c r="G195" s="3">
        <v>4</v>
      </c>
      <c r="AB195" s="4" t="s">
        <v>39356</v>
      </c>
      <c r="AC195" s="6">
        <f>COUNTIFS($B$2:$B$386,3,$C$2:$C$386,4,$F$2:$F$386,19,$G$2:$G$386,3)</f>
        <v>0</v>
      </c>
      <c r="AD195" s="6">
        <f t="shared" ref="AD195:AD258" si="31">(AC195/385)*100</f>
        <v>0</v>
      </c>
      <c r="AF195">
        <f t="shared" si="28"/>
        <v>2</v>
      </c>
    </row>
    <row r="196" spans="1:32" ht="43.2" x14ac:dyDescent="0.3">
      <c r="A196" t="s">
        <v>2572</v>
      </c>
      <c r="B196" s="7">
        <v>1</v>
      </c>
      <c r="C196" s="7">
        <v>3</v>
      </c>
      <c r="D196" s="7">
        <v>1</v>
      </c>
      <c r="E196" s="3">
        <f t="shared" si="29"/>
        <v>1</v>
      </c>
      <c r="F196" s="3">
        <f t="shared" si="30"/>
        <v>1</v>
      </c>
      <c r="G196" s="7">
        <v>5</v>
      </c>
      <c r="AB196" s="4" t="s">
        <v>39357</v>
      </c>
      <c r="AC196" s="6">
        <f>COUNTIFS($B$2:$B$386,1,$C$2:$C$386,1,$F$2:$F$386,1,$G$2:$G$386,3)</f>
        <v>0</v>
      </c>
      <c r="AD196" s="6">
        <f t="shared" si="31"/>
        <v>0</v>
      </c>
      <c r="AF196">
        <f t="shared" si="28"/>
        <v>2</v>
      </c>
    </row>
    <row r="197" spans="1:32" ht="43.2" x14ac:dyDescent="0.3">
      <c r="A197" s="6" t="s">
        <v>894</v>
      </c>
      <c r="B197" s="7">
        <v>3</v>
      </c>
      <c r="C197" s="7">
        <v>3</v>
      </c>
      <c r="D197" s="7">
        <v>17</v>
      </c>
      <c r="E197" s="3">
        <f t="shared" si="29"/>
        <v>17</v>
      </c>
      <c r="F197" s="3">
        <f t="shared" si="30"/>
        <v>17</v>
      </c>
      <c r="G197" s="7">
        <v>4</v>
      </c>
      <c r="AB197" s="4" t="s">
        <v>39358</v>
      </c>
      <c r="AC197" s="6">
        <f>COUNTIFS($B$2:$B$386,2,$C$2:$C$386,1,$F$2:$F$386,1,$G$2:$G$386,3)</f>
        <v>0</v>
      </c>
      <c r="AD197" s="6">
        <f t="shared" si="31"/>
        <v>0</v>
      </c>
      <c r="AF197">
        <f t="shared" si="28"/>
        <v>2</v>
      </c>
    </row>
    <row r="198" spans="1:32" ht="43.2" x14ac:dyDescent="0.3">
      <c r="A198" t="s">
        <v>2971</v>
      </c>
      <c r="B198" s="3">
        <v>3</v>
      </c>
      <c r="C198" s="3">
        <v>3</v>
      </c>
      <c r="D198" s="3">
        <v>17</v>
      </c>
      <c r="E198" s="3">
        <f t="shared" si="29"/>
        <v>17</v>
      </c>
      <c r="F198" s="3">
        <f t="shared" si="30"/>
        <v>17</v>
      </c>
      <c r="G198" s="3">
        <v>4</v>
      </c>
      <c r="AB198" s="4" t="s">
        <v>39359</v>
      </c>
      <c r="AC198" s="6">
        <f>COUNTIFS($B$2:$B$386,3,$C$2:$C$386,1,$F$2:$F$386,1,$G$2:$G$386,3)</f>
        <v>0</v>
      </c>
      <c r="AD198" s="6">
        <f t="shared" si="31"/>
        <v>0</v>
      </c>
      <c r="AF198">
        <f t="shared" si="28"/>
        <v>2</v>
      </c>
    </row>
    <row r="199" spans="1:32" ht="43.2" x14ac:dyDescent="0.3">
      <c r="A199" s="6" t="s">
        <v>476</v>
      </c>
      <c r="B199" s="7">
        <v>1</v>
      </c>
      <c r="C199" s="7">
        <v>3</v>
      </c>
      <c r="D199" s="7">
        <v>1</v>
      </c>
      <c r="E199" s="3">
        <f t="shared" si="29"/>
        <v>1</v>
      </c>
      <c r="F199" s="3">
        <f t="shared" si="30"/>
        <v>1</v>
      </c>
      <c r="G199" s="7">
        <v>5</v>
      </c>
      <c r="AB199" s="4" t="s">
        <v>39360</v>
      </c>
      <c r="AC199" s="6">
        <f>COUNTIFS($B$2:$B$386,1,$C$2:$C$386,2,$F$2:$F$386,1,$G$2:$G$386,3)</f>
        <v>2</v>
      </c>
      <c r="AD199" s="6">
        <f t="shared" si="31"/>
        <v>0.51948051948051943</v>
      </c>
      <c r="AF199">
        <f t="shared" si="28"/>
        <v>2</v>
      </c>
    </row>
    <row r="200" spans="1:32" ht="43.2" x14ac:dyDescent="0.3">
      <c r="A200" s="6" t="s">
        <v>1104</v>
      </c>
      <c r="B200" s="3">
        <v>1</v>
      </c>
      <c r="C200" s="3">
        <v>3</v>
      </c>
      <c r="D200" s="3">
        <v>1</v>
      </c>
      <c r="E200" s="3">
        <f t="shared" si="29"/>
        <v>1</v>
      </c>
      <c r="F200" s="3">
        <f t="shared" si="30"/>
        <v>1</v>
      </c>
      <c r="G200" s="3">
        <v>5</v>
      </c>
      <c r="AB200" s="4" t="s">
        <v>39361</v>
      </c>
      <c r="AC200" s="6">
        <f>COUNTIFS($B$2:$B$386,2,$C$2:$C$386,2,$F$2:$F$386,1,$G$2:$G$386,3)</f>
        <v>0</v>
      </c>
      <c r="AD200" s="6">
        <f t="shared" si="31"/>
        <v>0</v>
      </c>
      <c r="AF200">
        <f t="shared" si="28"/>
        <v>2</v>
      </c>
    </row>
    <row r="201" spans="1:32" ht="43.2" x14ac:dyDescent="0.3">
      <c r="A201" t="s">
        <v>1648</v>
      </c>
      <c r="B201" s="3">
        <v>2</v>
      </c>
      <c r="C201" s="3">
        <v>2</v>
      </c>
      <c r="D201" s="3">
        <v>9</v>
      </c>
      <c r="E201" s="3">
        <f t="shared" si="29"/>
        <v>9</v>
      </c>
      <c r="F201" s="3">
        <f t="shared" si="30"/>
        <v>19</v>
      </c>
      <c r="G201" s="3">
        <v>3</v>
      </c>
      <c r="AB201" s="4" t="s">
        <v>39362</v>
      </c>
      <c r="AC201" s="6">
        <f>COUNTIFS($B$2:$B$386,3,$C$2:$C$386,2,$F$2:$F$386,1,$G$2:$G$386,3)</f>
        <v>0</v>
      </c>
      <c r="AD201" s="6">
        <f t="shared" si="31"/>
        <v>0</v>
      </c>
      <c r="AF201">
        <f t="shared" si="28"/>
        <v>2</v>
      </c>
    </row>
    <row r="202" spans="1:32" ht="43.2" x14ac:dyDescent="0.3">
      <c r="A202" t="s">
        <v>2507</v>
      </c>
      <c r="B202" s="3">
        <v>3</v>
      </c>
      <c r="C202" s="3">
        <v>3</v>
      </c>
      <c r="D202" s="3">
        <v>17</v>
      </c>
      <c r="E202" s="3">
        <f t="shared" si="29"/>
        <v>17</v>
      </c>
      <c r="F202" s="3">
        <f t="shared" si="30"/>
        <v>17</v>
      </c>
      <c r="G202" s="3">
        <v>4</v>
      </c>
      <c r="AB202" s="4" t="s">
        <v>39363</v>
      </c>
      <c r="AC202" s="6">
        <f>COUNTIFS($B$2:$B$386,1,$C$2:$C$386,3,$F$2:$F$386,1,$G$2:$G$386,3)</f>
        <v>1</v>
      </c>
      <c r="AD202" s="6">
        <f t="shared" si="31"/>
        <v>0.25974025974025972</v>
      </c>
      <c r="AF202">
        <f t="shared" si="28"/>
        <v>2</v>
      </c>
    </row>
    <row r="203" spans="1:32" ht="43.2" x14ac:dyDescent="0.3">
      <c r="A203" t="s">
        <v>1796</v>
      </c>
      <c r="B203" s="7">
        <v>3</v>
      </c>
      <c r="C203" s="7">
        <v>3</v>
      </c>
      <c r="D203" s="7">
        <v>17</v>
      </c>
      <c r="E203" s="3">
        <f t="shared" si="29"/>
        <v>17</v>
      </c>
      <c r="F203" s="3">
        <f t="shared" si="30"/>
        <v>17</v>
      </c>
      <c r="G203" s="7">
        <v>4</v>
      </c>
      <c r="AB203" s="4" t="s">
        <v>39364</v>
      </c>
      <c r="AC203" s="6">
        <f>COUNTIFS($B$2:$B$386,2,$C$2:$C$386,3,$F$2:$F$386,1,$G$2:$G$386,3)</f>
        <v>0</v>
      </c>
      <c r="AD203" s="6">
        <f t="shared" si="31"/>
        <v>0</v>
      </c>
      <c r="AF203">
        <f t="shared" si="28"/>
        <v>2</v>
      </c>
    </row>
    <row r="204" spans="1:32" ht="43.2" x14ac:dyDescent="0.3">
      <c r="A204" s="6" t="s">
        <v>279</v>
      </c>
      <c r="B204" s="7">
        <v>2</v>
      </c>
      <c r="C204" s="7">
        <v>2</v>
      </c>
      <c r="D204" s="7">
        <v>16</v>
      </c>
      <c r="E204" s="3">
        <f t="shared" si="29"/>
        <v>16</v>
      </c>
      <c r="F204" s="3">
        <f t="shared" si="30"/>
        <v>16</v>
      </c>
      <c r="G204" s="7">
        <v>4</v>
      </c>
      <c r="AB204" s="4" t="s">
        <v>39365</v>
      </c>
      <c r="AC204" s="6">
        <f>COUNTIFS($B$2:$B$386,3,$C$2:$C$386,3,$F$2:$F$386,1,$G$2:$G$386,3)</f>
        <v>0</v>
      </c>
      <c r="AD204" s="6">
        <f t="shared" si="31"/>
        <v>0</v>
      </c>
      <c r="AF204">
        <f t="shared" si="28"/>
        <v>2</v>
      </c>
    </row>
    <row r="205" spans="1:32" ht="43.2" x14ac:dyDescent="0.3">
      <c r="A205" t="s">
        <v>1883</v>
      </c>
      <c r="B205" s="11">
        <v>2</v>
      </c>
      <c r="C205" s="11">
        <v>2</v>
      </c>
      <c r="D205" s="11">
        <v>16</v>
      </c>
      <c r="E205" s="3">
        <f t="shared" si="29"/>
        <v>16</v>
      </c>
      <c r="F205" s="3">
        <f t="shared" si="30"/>
        <v>16</v>
      </c>
      <c r="G205" s="11">
        <v>3</v>
      </c>
      <c r="AB205" s="4" t="s">
        <v>39366</v>
      </c>
      <c r="AC205" s="6">
        <f>COUNTIFS($B$2:$B$386,1,$C$2:$C$386,4,$F$2:$F$386,1,$G$2:$G$386,3)</f>
        <v>0</v>
      </c>
      <c r="AD205" s="6">
        <f t="shared" si="31"/>
        <v>0</v>
      </c>
      <c r="AF205">
        <f t="shared" si="28"/>
        <v>2</v>
      </c>
    </row>
    <row r="206" spans="1:32" ht="43.2" x14ac:dyDescent="0.3">
      <c r="A206" t="s">
        <v>1943</v>
      </c>
      <c r="B206" s="7">
        <v>3</v>
      </c>
      <c r="C206" s="7">
        <v>3</v>
      </c>
      <c r="D206" s="7">
        <v>17</v>
      </c>
      <c r="E206" s="3">
        <f t="shared" si="29"/>
        <v>17</v>
      </c>
      <c r="F206" s="3">
        <f t="shared" si="30"/>
        <v>17</v>
      </c>
      <c r="G206" s="7">
        <v>4</v>
      </c>
      <c r="AB206" s="4" t="s">
        <v>39367</v>
      </c>
      <c r="AC206" s="6">
        <f>COUNTIFS($B$2:$B$386,2,$C$2:$C$386,4,$F$2:$F$386,1,$G$2:$G$386,3)</f>
        <v>0</v>
      </c>
      <c r="AD206" s="6">
        <f t="shared" si="31"/>
        <v>0</v>
      </c>
      <c r="AF206">
        <f t="shared" si="28"/>
        <v>2</v>
      </c>
    </row>
    <row r="207" spans="1:32" ht="43.2" x14ac:dyDescent="0.3">
      <c r="A207" t="s">
        <v>2916</v>
      </c>
      <c r="B207" s="3">
        <v>3</v>
      </c>
      <c r="C207" s="3">
        <v>3</v>
      </c>
      <c r="D207" s="3">
        <v>17</v>
      </c>
      <c r="E207" s="3">
        <f t="shared" si="29"/>
        <v>17</v>
      </c>
      <c r="F207" s="3">
        <f t="shared" si="30"/>
        <v>17</v>
      </c>
      <c r="G207" s="3">
        <v>4</v>
      </c>
      <c r="AB207" s="4" t="s">
        <v>39368</v>
      </c>
      <c r="AC207" s="6">
        <f>COUNTIFS($B$2:$B$386,3,$C$2:$C$386,4,$F$2:$F$386,1,$G$2:$G$386,3)</f>
        <v>0</v>
      </c>
      <c r="AD207" s="6">
        <f t="shared" si="31"/>
        <v>0</v>
      </c>
      <c r="AF207">
        <f t="shared" si="28"/>
        <v>2</v>
      </c>
    </row>
    <row r="208" spans="1:32" ht="43.2" x14ac:dyDescent="0.3">
      <c r="A208" t="s">
        <v>2015</v>
      </c>
      <c r="B208" s="7">
        <v>1</v>
      </c>
      <c r="C208" s="7">
        <v>3</v>
      </c>
      <c r="D208" s="7">
        <v>1</v>
      </c>
      <c r="E208" s="3">
        <f t="shared" si="29"/>
        <v>1</v>
      </c>
      <c r="F208" s="3">
        <f t="shared" si="30"/>
        <v>1</v>
      </c>
      <c r="G208" s="7">
        <v>5</v>
      </c>
      <c r="AB208" s="4" t="s">
        <v>39369</v>
      </c>
      <c r="AC208" s="6">
        <f>COUNTIFS($B$2:$B$386,1,$C$2:$C$386,1,$F$2:$F$386,2,$G$2:$G$386,3)</f>
        <v>0</v>
      </c>
      <c r="AD208" s="6">
        <f t="shared" si="31"/>
        <v>0</v>
      </c>
      <c r="AF208">
        <f t="shared" si="28"/>
        <v>2</v>
      </c>
    </row>
    <row r="209" spans="1:32" ht="43.2" x14ac:dyDescent="0.3">
      <c r="A209" t="s">
        <v>2012</v>
      </c>
      <c r="B209" s="7">
        <v>3</v>
      </c>
      <c r="C209" s="7">
        <v>3</v>
      </c>
      <c r="D209" s="7">
        <v>17</v>
      </c>
      <c r="E209" s="3">
        <f t="shared" si="29"/>
        <v>17</v>
      </c>
      <c r="F209" s="3">
        <f t="shared" si="30"/>
        <v>17</v>
      </c>
      <c r="G209" s="7">
        <v>4</v>
      </c>
      <c r="AB209" s="4" t="s">
        <v>39370</v>
      </c>
      <c r="AC209" s="6">
        <f>COUNTIFS($B$2:$B$386,2,$C$2:$C$386,1,$F$2:$F$386,2,$G$2:$G$386,3)</f>
        <v>0</v>
      </c>
      <c r="AD209" s="6">
        <f t="shared" si="31"/>
        <v>0</v>
      </c>
      <c r="AF209">
        <f t="shared" si="28"/>
        <v>2</v>
      </c>
    </row>
    <row r="210" spans="1:32" ht="43.2" x14ac:dyDescent="0.3">
      <c r="A210" s="6" t="s">
        <v>1010</v>
      </c>
      <c r="B210" s="7">
        <v>3</v>
      </c>
      <c r="C210" s="7">
        <v>3</v>
      </c>
      <c r="D210" s="7">
        <v>17</v>
      </c>
      <c r="E210" s="3">
        <f t="shared" si="29"/>
        <v>17</v>
      </c>
      <c r="F210" s="3">
        <f t="shared" si="30"/>
        <v>17</v>
      </c>
      <c r="G210" s="7">
        <v>4</v>
      </c>
      <c r="AB210" s="4" t="s">
        <v>39371</v>
      </c>
      <c r="AC210" s="6">
        <f>COUNTIFS($B$2:$B$386,3,$C$2:$C$386,1,$F$2:$F$386,2,$G$2:$G$386,3)</f>
        <v>0</v>
      </c>
      <c r="AD210" s="6">
        <f t="shared" si="31"/>
        <v>0</v>
      </c>
      <c r="AF210">
        <f t="shared" si="28"/>
        <v>2</v>
      </c>
    </row>
    <row r="211" spans="1:32" ht="43.2" x14ac:dyDescent="0.3">
      <c r="A211" t="s">
        <v>2630</v>
      </c>
      <c r="B211" s="3">
        <v>3</v>
      </c>
      <c r="C211" s="3">
        <v>3</v>
      </c>
      <c r="D211" s="3">
        <v>17</v>
      </c>
      <c r="E211" s="3">
        <f t="shared" si="29"/>
        <v>17</v>
      </c>
      <c r="F211" s="3">
        <f t="shared" si="30"/>
        <v>17</v>
      </c>
      <c r="G211" s="3">
        <v>4</v>
      </c>
      <c r="AB211" s="4" t="s">
        <v>39372</v>
      </c>
      <c r="AC211" s="6">
        <f>COUNTIFS($B$2:$B$386,1,$C$2:$C$386,2,$F$2:$F$386,2,$G$2:$G$386,3)</f>
        <v>0</v>
      </c>
      <c r="AD211" s="6">
        <f t="shared" si="31"/>
        <v>0</v>
      </c>
      <c r="AF211">
        <f t="shared" si="28"/>
        <v>2</v>
      </c>
    </row>
    <row r="212" spans="1:32" ht="43.2" x14ac:dyDescent="0.3">
      <c r="A212" t="s">
        <v>2057</v>
      </c>
      <c r="B212" s="7">
        <v>1</v>
      </c>
      <c r="C212" s="7">
        <v>3</v>
      </c>
      <c r="D212" s="7">
        <v>1</v>
      </c>
      <c r="E212" s="3">
        <f t="shared" si="29"/>
        <v>1</v>
      </c>
      <c r="F212" s="3">
        <f t="shared" si="30"/>
        <v>1</v>
      </c>
      <c r="G212" s="7">
        <v>5</v>
      </c>
      <c r="AB212" s="4" t="s">
        <v>39373</v>
      </c>
      <c r="AC212" s="6">
        <f>COUNTIFS($B$2:$B$386,2,$C$2:$C$386,2,$F$2:$F$386,2,$G$2:$G$386,3)</f>
        <v>0</v>
      </c>
      <c r="AD212" s="6">
        <f t="shared" si="31"/>
        <v>0</v>
      </c>
      <c r="AF212">
        <f t="shared" si="28"/>
        <v>2</v>
      </c>
    </row>
    <row r="213" spans="1:32" ht="43.2" x14ac:dyDescent="0.3">
      <c r="A213" t="s">
        <v>2261</v>
      </c>
      <c r="B213" s="7">
        <v>3</v>
      </c>
      <c r="C213" s="7">
        <v>3</v>
      </c>
      <c r="D213" s="7">
        <v>17</v>
      </c>
      <c r="E213" s="3">
        <f t="shared" si="29"/>
        <v>17</v>
      </c>
      <c r="F213" s="3">
        <f t="shared" si="30"/>
        <v>17</v>
      </c>
      <c r="G213" s="7">
        <v>4</v>
      </c>
      <c r="AB213" s="4" t="s">
        <v>39374</v>
      </c>
      <c r="AC213" s="6">
        <f>COUNTIFS($B$2:$B$386,3,$C$2:$C$386,2,$F$2:$F$386,2,$G$2:$G$386,3)</f>
        <v>0</v>
      </c>
      <c r="AD213" s="6">
        <f t="shared" si="31"/>
        <v>0</v>
      </c>
      <c r="AF213">
        <f t="shared" si="28"/>
        <v>2</v>
      </c>
    </row>
    <row r="214" spans="1:32" ht="43.2" x14ac:dyDescent="0.3">
      <c r="A214" s="6" t="s">
        <v>469</v>
      </c>
      <c r="B214" s="11">
        <v>1</v>
      </c>
      <c r="C214" s="11">
        <v>3</v>
      </c>
      <c r="D214" s="11">
        <v>16</v>
      </c>
      <c r="E214" s="3">
        <f t="shared" si="29"/>
        <v>16</v>
      </c>
      <c r="F214" s="3">
        <f t="shared" si="30"/>
        <v>16</v>
      </c>
      <c r="G214" s="11">
        <v>5</v>
      </c>
      <c r="AB214" s="4" t="s">
        <v>39375</v>
      </c>
      <c r="AC214" s="6">
        <f>COUNTIFS($B$2:$B$386,1,$C$2:$C$386,3,$F$2:$F$386,2,$G$2:$G$386,3)</f>
        <v>0</v>
      </c>
      <c r="AD214" s="6">
        <f t="shared" si="31"/>
        <v>0</v>
      </c>
      <c r="AF214">
        <f t="shared" si="28"/>
        <v>2</v>
      </c>
    </row>
    <row r="215" spans="1:32" ht="43.2" x14ac:dyDescent="0.3">
      <c r="A215" s="6" t="s">
        <v>554</v>
      </c>
      <c r="B215" s="7">
        <v>3</v>
      </c>
      <c r="C215" s="7">
        <v>3</v>
      </c>
      <c r="D215" s="7">
        <v>17</v>
      </c>
      <c r="E215" s="3">
        <f t="shared" si="29"/>
        <v>17</v>
      </c>
      <c r="F215" s="3">
        <f t="shared" si="30"/>
        <v>17</v>
      </c>
      <c r="G215" s="7">
        <v>4</v>
      </c>
      <c r="AB215" s="4" t="s">
        <v>39376</v>
      </c>
      <c r="AC215" s="6">
        <f>COUNTIFS($B$2:$B$386,2,$C$2:$C$386,3,$F$2:$F$386,2,$G$2:$G$386,3)</f>
        <v>0</v>
      </c>
      <c r="AD215" s="6">
        <f t="shared" si="31"/>
        <v>0</v>
      </c>
      <c r="AF215">
        <f t="shared" si="28"/>
        <v>2</v>
      </c>
    </row>
    <row r="216" spans="1:32" ht="43.2" x14ac:dyDescent="0.3">
      <c r="A216" t="s">
        <v>1190</v>
      </c>
      <c r="B216" s="7">
        <v>3</v>
      </c>
      <c r="C216" s="7">
        <v>3</v>
      </c>
      <c r="D216" s="7">
        <v>17</v>
      </c>
      <c r="E216" s="3">
        <f t="shared" si="29"/>
        <v>17</v>
      </c>
      <c r="F216" s="3">
        <f t="shared" si="30"/>
        <v>17</v>
      </c>
      <c r="G216" s="7">
        <v>4</v>
      </c>
      <c r="AB216" s="4" t="s">
        <v>39377</v>
      </c>
      <c r="AC216" s="6">
        <f>COUNTIFS($B$2:$B$386,3,$C$2:$C$386,3,$F$2:$F$386,2,$G$2:$G$386,3)</f>
        <v>0</v>
      </c>
      <c r="AD216" s="6">
        <f t="shared" si="31"/>
        <v>0</v>
      </c>
      <c r="AF216">
        <f t="shared" si="28"/>
        <v>2</v>
      </c>
    </row>
    <row r="217" spans="1:32" ht="43.2" x14ac:dyDescent="0.3">
      <c r="A217" t="s">
        <v>3049</v>
      </c>
      <c r="B217" s="3">
        <v>3</v>
      </c>
      <c r="C217" s="3">
        <v>3</v>
      </c>
      <c r="D217" s="3">
        <v>17</v>
      </c>
      <c r="E217" s="3">
        <f t="shared" si="29"/>
        <v>17</v>
      </c>
      <c r="F217" s="3">
        <f t="shared" si="30"/>
        <v>17</v>
      </c>
      <c r="G217" s="3">
        <v>4</v>
      </c>
      <c r="AB217" s="4" t="s">
        <v>39378</v>
      </c>
      <c r="AC217" s="6">
        <f>COUNTIFS($B$2:$B$386,1,$C$2:$C$386,4,$F$2:$F$386,2,$G$2:$G$386,3)</f>
        <v>0</v>
      </c>
      <c r="AD217" s="6">
        <f t="shared" si="31"/>
        <v>0</v>
      </c>
      <c r="AF217">
        <f t="shared" si="28"/>
        <v>2</v>
      </c>
    </row>
    <row r="218" spans="1:32" ht="43.2" x14ac:dyDescent="0.3">
      <c r="A218" t="s">
        <v>1982</v>
      </c>
      <c r="B218" s="11">
        <v>3</v>
      </c>
      <c r="C218" s="11">
        <v>3</v>
      </c>
      <c r="D218" s="11">
        <v>17</v>
      </c>
      <c r="E218" s="3">
        <f t="shared" si="29"/>
        <v>17</v>
      </c>
      <c r="F218" s="3">
        <f t="shared" si="30"/>
        <v>17</v>
      </c>
      <c r="G218" s="11">
        <v>4</v>
      </c>
      <c r="AB218" s="4" t="s">
        <v>39379</v>
      </c>
      <c r="AC218" s="6">
        <f>COUNTIFS($B$2:$B$386,2,$C$2:$C$386,4,$F$2:$F$386,2,$G$2:$G$386,3)</f>
        <v>0</v>
      </c>
      <c r="AD218" s="6">
        <f t="shared" si="31"/>
        <v>0</v>
      </c>
      <c r="AF218">
        <f t="shared" si="28"/>
        <v>2</v>
      </c>
    </row>
    <row r="219" spans="1:32" ht="43.2" x14ac:dyDescent="0.3">
      <c r="A219" s="6" t="s">
        <v>932</v>
      </c>
      <c r="B219" s="11">
        <v>1</v>
      </c>
      <c r="C219" s="11">
        <v>3</v>
      </c>
      <c r="D219" s="11">
        <v>1</v>
      </c>
      <c r="E219" s="3">
        <f t="shared" si="29"/>
        <v>1</v>
      </c>
      <c r="F219" s="3">
        <f t="shared" si="30"/>
        <v>1</v>
      </c>
      <c r="G219" s="11">
        <v>5</v>
      </c>
      <c r="AB219" s="4" t="s">
        <v>39380</v>
      </c>
      <c r="AC219" s="6">
        <f>COUNTIFS($B$2:$B$386,3,$C$2:$C$386,4,$F$2:$F$386,2,$G$2:$G$386,3)</f>
        <v>0</v>
      </c>
      <c r="AD219" s="6">
        <f t="shared" si="31"/>
        <v>0</v>
      </c>
      <c r="AF219">
        <f t="shared" si="28"/>
        <v>2</v>
      </c>
    </row>
    <row r="220" spans="1:32" ht="43.2" x14ac:dyDescent="0.3">
      <c r="A220" t="s">
        <v>2399</v>
      </c>
      <c r="B220" s="3">
        <v>3</v>
      </c>
      <c r="C220" s="3">
        <v>3</v>
      </c>
      <c r="D220" s="3">
        <v>17</v>
      </c>
      <c r="E220" s="3">
        <f t="shared" si="29"/>
        <v>17</v>
      </c>
      <c r="F220" s="3">
        <f t="shared" si="30"/>
        <v>17</v>
      </c>
      <c r="G220" s="3">
        <v>4</v>
      </c>
      <c r="AB220" s="4" t="s">
        <v>39381</v>
      </c>
      <c r="AC220" s="6">
        <f>COUNTIFS($B$2:$B$386,1,$C$2:$C$386,1,$F$2:$F$386,3,$G$2:$G$386,3)</f>
        <v>0</v>
      </c>
      <c r="AD220" s="6">
        <f t="shared" si="31"/>
        <v>0</v>
      </c>
      <c r="AF220">
        <f t="shared" si="28"/>
        <v>2</v>
      </c>
    </row>
    <row r="221" spans="1:32" ht="43.2" x14ac:dyDescent="0.3">
      <c r="A221" t="s">
        <v>1427</v>
      </c>
      <c r="B221" s="11">
        <v>1</v>
      </c>
      <c r="C221" s="11">
        <v>2</v>
      </c>
      <c r="D221" s="11">
        <v>1</v>
      </c>
      <c r="E221" s="3">
        <f t="shared" si="29"/>
        <v>1</v>
      </c>
      <c r="F221" s="3">
        <f t="shared" si="30"/>
        <v>1</v>
      </c>
      <c r="G221" s="11">
        <v>3</v>
      </c>
      <c r="AB221" s="4" t="s">
        <v>39382</v>
      </c>
      <c r="AC221" s="6">
        <f>COUNTIFS($B$2:$B$386,2,$C$2:$C$386,1,$F$2:$F$386,3,$G$2:$G$386,3)</f>
        <v>0</v>
      </c>
      <c r="AD221" s="6">
        <f t="shared" si="31"/>
        <v>0</v>
      </c>
      <c r="AF221">
        <f t="shared" si="28"/>
        <v>2</v>
      </c>
    </row>
    <row r="222" spans="1:32" ht="43.2" x14ac:dyDescent="0.3">
      <c r="A222" s="6" t="s">
        <v>648</v>
      </c>
      <c r="B222" s="7">
        <v>3</v>
      </c>
      <c r="C222" s="7">
        <v>3</v>
      </c>
      <c r="D222" s="7">
        <v>17</v>
      </c>
      <c r="E222" s="3">
        <f t="shared" si="29"/>
        <v>17</v>
      </c>
      <c r="F222" s="3">
        <f t="shared" si="30"/>
        <v>17</v>
      </c>
      <c r="G222" s="7">
        <v>4</v>
      </c>
      <c r="AB222" s="4" t="s">
        <v>39383</v>
      </c>
      <c r="AC222" s="6">
        <f>COUNTIFS($B$2:$B$386,3,$C$2:$C$386,1,$F$2:$F$386,3,$G$2:$G$386,3)</f>
        <v>0</v>
      </c>
      <c r="AD222" s="6">
        <f t="shared" si="31"/>
        <v>0</v>
      </c>
      <c r="AF222">
        <f t="shared" si="28"/>
        <v>2</v>
      </c>
    </row>
    <row r="223" spans="1:32" ht="43.2" x14ac:dyDescent="0.3">
      <c r="A223" t="s">
        <v>2808</v>
      </c>
      <c r="B223" s="3">
        <v>3</v>
      </c>
      <c r="C223" s="3">
        <v>3</v>
      </c>
      <c r="D223" s="3">
        <v>17</v>
      </c>
      <c r="E223" s="3">
        <f t="shared" si="29"/>
        <v>17</v>
      </c>
      <c r="F223" s="3">
        <f t="shared" si="30"/>
        <v>17</v>
      </c>
      <c r="G223" s="3">
        <v>4</v>
      </c>
      <c r="AB223" s="4" t="s">
        <v>39384</v>
      </c>
      <c r="AC223" s="6">
        <f>COUNTIFS($B$2:$B$386,1,$C$2:$C$386,2,$F$2:$F$386,3,$G$2:$G$386,3)</f>
        <v>0</v>
      </c>
      <c r="AD223" s="6">
        <f t="shared" si="31"/>
        <v>0</v>
      </c>
      <c r="AF223">
        <f t="shared" si="28"/>
        <v>2</v>
      </c>
    </row>
    <row r="224" spans="1:32" ht="43.2" x14ac:dyDescent="0.3">
      <c r="A224" t="s">
        <v>1250</v>
      </c>
      <c r="B224" s="7">
        <v>3</v>
      </c>
      <c r="C224" s="7">
        <v>3</v>
      </c>
      <c r="D224" s="7">
        <v>17</v>
      </c>
      <c r="E224" s="3">
        <f t="shared" si="29"/>
        <v>17</v>
      </c>
      <c r="F224" s="3">
        <f t="shared" si="30"/>
        <v>17</v>
      </c>
      <c r="G224" s="7">
        <v>4</v>
      </c>
      <c r="AB224" s="4" t="s">
        <v>39385</v>
      </c>
      <c r="AC224" s="6">
        <f>COUNTIFS($B$2:$B$386,2,$C$2:$C$386,2,$F$2:$F$386,3,$G$2:$G$386,3)</f>
        <v>0</v>
      </c>
      <c r="AD224" s="6">
        <f t="shared" si="31"/>
        <v>0</v>
      </c>
      <c r="AF224">
        <f t="shared" si="28"/>
        <v>2</v>
      </c>
    </row>
    <row r="225" spans="1:32" ht="43.2" x14ac:dyDescent="0.3">
      <c r="A225" s="6" t="s">
        <v>961</v>
      </c>
      <c r="B225" s="7">
        <v>1</v>
      </c>
      <c r="C225" s="7">
        <v>3</v>
      </c>
      <c r="D225" s="7">
        <v>3</v>
      </c>
      <c r="E225" s="3">
        <f t="shared" si="29"/>
        <v>3</v>
      </c>
      <c r="F225" s="3">
        <f t="shared" si="30"/>
        <v>3</v>
      </c>
      <c r="G225" s="7">
        <v>5</v>
      </c>
      <c r="AB225" s="4" t="s">
        <v>39386</v>
      </c>
      <c r="AC225" s="6">
        <f>COUNTIFS($B$2:$B$386,3,$C$2:$C$386,2,$F$2:$F$386,3,$G$2:$G$386,3)</f>
        <v>0</v>
      </c>
      <c r="AD225" s="6">
        <f t="shared" si="31"/>
        <v>0</v>
      </c>
      <c r="AF225">
        <f t="shared" si="28"/>
        <v>2</v>
      </c>
    </row>
    <row r="226" spans="1:32" ht="43.2" x14ac:dyDescent="0.3">
      <c r="A226" s="6" t="s">
        <v>188</v>
      </c>
      <c r="B226" s="7">
        <v>3</v>
      </c>
      <c r="C226" s="7">
        <v>3</v>
      </c>
      <c r="D226" s="7">
        <v>17</v>
      </c>
      <c r="E226" s="3">
        <f t="shared" si="29"/>
        <v>17</v>
      </c>
      <c r="F226" s="3">
        <f t="shared" si="30"/>
        <v>17</v>
      </c>
      <c r="G226" s="7">
        <v>4</v>
      </c>
      <c r="AB226" s="4" t="s">
        <v>39387</v>
      </c>
      <c r="AC226" s="6">
        <f>COUNTIFS($B$2:$B$386,1,$C$2:$C$386,3,$F$2:$F$386,3,$G$2:$G$386,3)</f>
        <v>0</v>
      </c>
      <c r="AD226" s="6">
        <f t="shared" si="31"/>
        <v>0</v>
      </c>
      <c r="AF226">
        <f t="shared" si="28"/>
        <v>2</v>
      </c>
    </row>
    <row r="227" spans="1:32" ht="43.2" x14ac:dyDescent="0.3">
      <c r="A227" t="s">
        <v>2881</v>
      </c>
      <c r="B227" s="3">
        <v>3</v>
      </c>
      <c r="C227" s="3">
        <v>3</v>
      </c>
      <c r="D227" s="3">
        <v>17</v>
      </c>
      <c r="E227" s="3">
        <f t="shared" si="29"/>
        <v>17</v>
      </c>
      <c r="F227" s="3">
        <f t="shared" si="30"/>
        <v>17</v>
      </c>
      <c r="G227" s="3">
        <v>4</v>
      </c>
      <c r="AB227" s="4" t="s">
        <v>39388</v>
      </c>
      <c r="AC227" s="6">
        <f>COUNTIFS($B$2:$B$386,2,$C$2:$C$386,3,$F$2:$F$386,3,$G$2:$G$386,3)</f>
        <v>0</v>
      </c>
      <c r="AD227" s="6">
        <f t="shared" si="31"/>
        <v>0</v>
      </c>
      <c r="AF227">
        <f t="shared" si="28"/>
        <v>2</v>
      </c>
    </row>
    <row r="228" spans="1:32" ht="43.2" x14ac:dyDescent="0.3">
      <c r="A228" s="6" t="s">
        <v>1028</v>
      </c>
      <c r="B228" s="7">
        <v>3</v>
      </c>
      <c r="C228" s="7">
        <v>3</v>
      </c>
      <c r="D228" s="7">
        <v>17</v>
      </c>
      <c r="E228" s="3">
        <f t="shared" si="29"/>
        <v>17</v>
      </c>
      <c r="F228" s="3">
        <f t="shared" si="30"/>
        <v>17</v>
      </c>
      <c r="G228" s="7">
        <v>4</v>
      </c>
      <c r="AB228" s="4" t="s">
        <v>39389</v>
      </c>
      <c r="AC228" s="6">
        <f>COUNTIFS($B$2:$B$386,3,$C$2:$C$386,3,$F$2:$F$386,3,$G$2:$G$386,3)</f>
        <v>0</v>
      </c>
      <c r="AD228" s="6">
        <f t="shared" si="31"/>
        <v>0</v>
      </c>
      <c r="AF228">
        <f t="shared" si="28"/>
        <v>2</v>
      </c>
    </row>
    <row r="229" spans="1:32" ht="43.2" x14ac:dyDescent="0.3">
      <c r="A229" s="6" t="s">
        <v>240</v>
      </c>
      <c r="B229" s="7">
        <v>3</v>
      </c>
      <c r="C229" s="7">
        <v>3</v>
      </c>
      <c r="D229" s="7">
        <v>17</v>
      </c>
      <c r="E229" s="3">
        <f t="shared" si="29"/>
        <v>17</v>
      </c>
      <c r="F229" s="3">
        <f t="shared" si="30"/>
        <v>17</v>
      </c>
      <c r="G229" s="7">
        <v>4</v>
      </c>
      <c r="AB229" s="4" t="s">
        <v>39390</v>
      </c>
      <c r="AC229" s="6">
        <f>COUNTIFS($B$2:$B$386,1,$C$2:$C$386,4,$F$2:$F$386,3,$G$2:$G$386,3)</f>
        <v>0</v>
      </c>
      <c r="AD229" s="6">
        <f t="shared" si="31"/>
        <v>0</v>
      </c>
      <c r="AF229">
        <f t="shared" si="28"/>
        <v>2</v>
      </c>
    </row>
    <row r="230" spans="1:32" ht="43.2" x14ac:dyDescent="0.3">
      <c r="A230" t="s">
        <v>3065</v>
      </c>
      <c r="B230" s="7">
        <v>3</v>
      </c>
      <c r="C230" s="7">
        <v>3</v>
      </c>
      <c r="D230" s="7">
        <v>17</v>
      </c>
      <c r="E230" s="3">
        <f t="shared" si="29"/>
        <v>17</v>
      </c>
      <c r="F230" s="3">
        <f t="shared" si="30"/>
        <v>17</v>
      </c>
      <c r="G230" s="7">
        <v>4</v>
      </c>
      <c r="AB230" s="4" t="s">
        <v>39391</v>
      </c>
      <c r="AC230" s="6">
        <f>COUNTIFS($B$2:$B$386,2,$C$2:$C$386,4,$F$2:$F$386,3,$G$2:$G$386,3)</f>
        <v>0</v>
      </c>
      <c r="AD230" s="6">
        <f t="shared" si="31"/>
        <v>0</v>
      </c>
      <c r="AF230">
        <f t="shared" si="28"/>
        <v>2</v>
      </c>
    </row>
    <row r="231" spans="1:32" ht="43.2" x14ac:dyDescent="0.3">
      <c r="A231" s="6" t="s">
        <v>686</v>
      </c>
      <c r="B231" s="7">
        <v>3</v>
      </c>
      <c r="C231" s="7">
        <v>3</v>
      </c>
      <c r="D231" s="7">
        <v>17</v>
      </c>
      <c r="E231" s="3">
        <f t="shared" si="29"/>
        <v>17</v>
      </c>
      <c r="F231" s="3">
        <f t="shared" si="30"/>
        <v>17</v>
      </c>
      <c r="G231" s="7">
        <v>4</v>
      </c>
      <c r="AB231" s="4" t="s">
        <v>39392</v>
      </c>
      <c r="AC231" s="6">
        <f>COUNTIFS($B$2:$B$386,3,$C$2:$C$386,4,$F$2:$F$386,3,$G$2:$G$386,3)</f>
        <v>0</v>
      </c>
      <c r="AD231" s="6">
        <f t="shared" si="31"/>
        <v>0</v>
      </c>
      <c r="AF231">
        <f t="shared" si="28"/>
        <v>2</v>
      </c>
    </row>
    <row r="232" spans="1:32" ht="43.2" x14ac:dyDescent="0.3">
      <c r="A232" t="s">
        <v>1500</v>
      </c>
      <c r="B232" s="3">
        <v>2</v>
      </c>
      <c r="C232" s="3">
        <v>2</v>
      </c>
      <c r="D232" s="3">
        <v>16</v>
      </c>
      <c r="E232" s="3">
        <f t="shared" si="29"/>
        <v>16</v>
      </c>
      <c r="F232" s="3">
        <f t="shared" si="30"/>
        <v>16</v>
      </c>
      <c r="G232" s="3">
        <v>4</v>
      </c>
      <c r="AB232" s="4" t="s">
        <v>39393</v>
      </c>
      <c r="AC232" s="6">
        <f>COUNTIFS($B$2:$B$386,1,$C$2:$C$386,1,$F$2:$F$386,16,$G$2:$G$386,3)</f>
        <v>0</v>
      </c>
      <c r="AD232" s="6">
        <f t="shared" si="31"/>
        <v>0</v>
      </c>
      <c r="AF232">
        <f t="shared" si="28"/>
        <v>2</v>
      </c>
    </row>
    <row r="233" spans="1:32" ht="43.2" x14ac:dyDescent="0.3">
      <c r="A233" t="s">
        <v>1318</v>
      </c>
      <c r="B233" s="7">
        <v>3</v>
      </c>
      <c r="C233" s="7">
        <v>3</v>
      </c>
      <c r="D233" s="7">
        <v>17</v>
      </c>
      <c r="E233" s="3">
        <f t="shared" si="29"/>
        <v>17</v>
      </c>
      <c r="F233" s="3">
        <f t="shared" si="30"/>
        <v>17</v>
      </c>
      <c r="G233" s="7">
        <v>4</v>
      </c>
      <c r="AB233" s="4" t="s">
        <v>39394</v>
      </c>
      <c r="AC233" s="6">
        <f>COUNTIFS($B$2:$B$386,2,$C$2:$C$386,1,$F$2:$F$386,16,$G$2:$G$386,3)</f>
        <v>0</v>
      </c>
      <c r="AD233" s="6">
        <f t="shared" si="31"/>
        <v>0</v>
      </c>
      <c r="AF233">
        <f t="shared" si="28"/>
        <v>2</v>
      </c>
    </row>
    <row r="234" spans="1:32" ht="43.2" x14ac:dyDescent="0.3">
      <c r="A234" t="s">
        <v>1177</v>
      </c>
      <c r="B234" s="3">
        <v>1</v>
      </c>
      <c r="C234" s="3">
        <v>3</v>
      </c>
      <c r="D234" s="3">
        <v>1</v>
      </c>
      <c r="E234" s="3">
        <f t="shared" si="29"/>
        <v>1</v>
      </c>
      <c r="F234" s="3">
        <f t="shared" si="30"/>
        <v>1</v>
      </c>
      <c r="G234" s="3">
        <v>5</v>
      </c>
      <c r="AB234" s="4" t="s">
        <v>39395</v>
      </c>
      <c r="AC234" s="6">
        <f>COUNTIFS($B$2:$B$386,3,$C$2:$C$386,1,$F$2:$F$386,16,$G$2:$G$386,3)</f>
        <v>0</v>
      </c>
      <c r="AD234" s="6">
        <f t="shared" si="31"/>
        <v>0</v>
      </c>
      <c r="AF234">
        <f t="shared" si="28"/>
        <v>2</v>
      </c>
    </row>
    <row r="235" spans="1:32" ht="43.2" x14ac:dyDescent="0.3">
      <c r="A235" t="s">
        <v>2709</v>
      </c>
      <c r="B235" s="3">
        <v>3</v>
      </c>
      <c r="C235" s="3">
        <v>3</v>
      </c>
      <c r="D235" s="3">
        <v>17</v>
      </c>
      <c r="E235" s="3">
        <f t="shared" si="29"/>
        <v>17</v>
      </c>
      <c r="F235" s="3">
        <f t="shared" si="30"/>
        <v>17</v>
      </c>
      <c r="G235" s="3">
        <v>4</v>
      </c>
      <c r="AB235" s="4" t="s">
        <v>39396</v>
      </c>
      <c r="AC235" s="6">
        <f>COUNTIFS($B$2:$B$386,1,$C$2:$C$386,2,$F$2:$F$386,16,$G$2:$G$386,3)</f>
        <v>1</v>
      </c>
      <c r="AD235" s="6">
        <f t="shared" si="31"/>
        <v>0.25974025974025972</v>
      </c>
      <c r="AF235">
        <f t="shared" si="28"/>
        <v>2</v>
      </c>
    </row>
    <row r="236" spans="1:32" ht="43.2" x14ac:dyDescent="0.3">
      <c r="A236" s="6" t="s">
        <v>813</v>
      </c>
      <c r="B236" s="7">
        <v>3</v>
      </c>
      <c r="C236" s="7">
        <v>3</v>
      </c>
      <c r="D236" s="7">
        <v>17</v>
      </c>
      <c r="E236" s="3">
        <f t="shared" si="29"/>
        <v>17</v>
      </c>
      <c r="F236" s="3">
        <f t="shared" si="30"/>
        <v>17</v>
      </c>
      <c r="G236" s="7">
        <v>4</v>
      </c>
      <c r="AB236" s="4" t="s">
        <v>39397</v>
      </c>
      <c r="AC236" s="6">
        <f>COUNTIFS($B$2:$B$386,2,$C$2:$C$386,2,$F$2:$F$386,16,$G$2:$G$386,3)</f>
        <v>16</v>
      </c>
      <c r="AD236" s="6">
        <f t="shared" si="31"/>
        <v>4.1558441558441555</v>
      </c>
      <c r="AF236">
        <f t="shared" si="28"/>
        <v>2</v>
      </c>
    </row>
    <row r="237" spans="1:32" ht="43.2" x14ac:dyDescent="0.3">
      <c r="A237" t="s">
        <v>2694</v>
      </c>
      <c r="B237" s="7">
        <v>3</v>
      </c>
      <c r="C237" s="7">
        <v>3</v>
      </c>
      <c r="D237" s="7">
        <v>17</v>
      </c>
      <c r="E237" s="3">
        <f t="shared" si="29"/>
        <v>17</v>
      </c>
      <c r="F237" s="3">
        <f t="shared" si="30"/>
        <v>17</v>
      </c>
      <c r="G237" s="7">
        <v>4</v>
      </c>
      <c r="AB237" s="4" t="s">
        <v>39398</v>
      </c>
      <c r="AC237" s="6">
        <f>COUNTIFS($B$2:$B$386,3,$C$2:$C$386,2,$F$2:$F$386,16,$G$2:$G$386,3)</f>
        <v>0</v>
      </c>
      <c r="AD237" s="6">
        <f t="shared" si="31"/>
        <v>0</v>
      </c>
      <c r="AF237">
        <f t="shared" si="28"/>
        <v>2</v>
      </c>
    </row>
    <row r="238" spans="1:32" ht="43.2" x14ac:dyDescent="0.3">
      <c r="A238" t="s">
        <v>1791</v>
      </c>
      <c r="B238" s="7">
        <v>3</v>
      </c>
      <c r="C238" s="7">
        <v>3</v>
      </c>
      <c r="D238" s="7">
        <v>17</v>
      </c>
      <c r="E238" s="3">
        <f t="shared" si="29"/>
        <v>17</v>
      </c>
      <c r="F238" s="3">
        <f t="shared" si="30"/>
        <v>17</v>
      </c>
      <c r="G238" s="7">
        <v>4</v>
      </c>
      <c r="AB238" s="4" t="s">
        <v>39399</v>
      </c>
      <c r="AC238" s="6">
        <f>COUNTIFS($B$2:$B$386,1,$C$2:$C$386,3,$F$2:$F$386,16,$G$2:$G$386,3)</f>
        <v>0</v>
      </c>
      <c r="AD238" s="6">
        <f t="shared" si="31"/>
        <v>0</v>
      </c>
      <c r="AF238">
        <f t="shared" si="28"/>
        <v>2</v>
      </c>
    </row>
    <row r="239" spans="1:32" ht="43.2" x14ac:dyDescent="0.3">
      <c r="A239" t="s">
        <v>1871</v>
      </c>
      <c r="B239" s="7">
        <v>3</v>
      </c>
      <c r="C239" s="7">
        <v>3</v>
      </c>
      <c r="D239" s="7">
        <v>17</v>
      </c>
      <c r="E239" s="3">
        <f t="shared" si="29"/>
        <v>17</v>
      </c>
      <c r="F239" s="3">
        <f t="shared" si="30"/>
        <v>17</v>
      </c>
      <c r="G239" s="7">
        <v>4</v>
      </c>
      <c r="AB239" s="4" t="s">
        <v>39400</v>
      </c>
      <c r="AC239" s="6">
        <f>COUNTIFS($B$2:$B$386,2,$C$2:$C$386,3,$F$2:$F$386,16,$G$2:$G$386,3)</f>
        <v>3</v>
      </c>
      <c r="AD239" s="6">
        <f t="shared" si="31"/>
        <v>0.77922077922077926</v>
      </c>
      <c r="AF239">
        <f t="shared" si="28"/>
        <v>2</v>
      </c>
    </row>
    <row r="240" spans="1:32" ht="43.2" x14ac:dyDescent="0.3">
      <c r="A240" t="s">
        <v>2433</v>
      </c>
      <c r="B240" s="7">
        <v>1</v>
      </c>
      <c r="C240" s="7">
        <v>3</v>
      </c>
      <c r="D240" s="7">
        <v>1</v>
      </c>
      <c r="E240" s="3">
        <f t="shared" si="29"/>
        <v>1</v>
      </c>
      <c r="F240" s="3">
        <f t="shared" si="30"/>
        <v>1</v>
      </c>
      <c r="G240" s="7">
        <v>5</v>
      </c>
      <c r="AB240" s="4" t="s">
        <v>39401</v>
      </c>
      <c r="AC240" s="6">
        <f>COUNTIFS($B$2:$B$386,3,$C$2:$C$386,3,$F$2:$F$386,16,$G$2:$G$386,3)</f>
        <v>0</v>
      </c>
      <c r="AD240" s="6">
        <f t="shared" si="31"/>
        <v>0</v>
      </c>
      <c r="AF240">
        <f t="shared" si="28"/>
        <v>2</v>
      </c>
    </row>
    <row r="241" spans="1:32" ht="43.2" x14ac:dyDescent="0.3">
      <c r="A241" t="s">
        <v>2566</v>
      </c>
      <c r="B241" s="3">
        <v>3</v>
      </c>
      <c r="C241" s="3">
        <v>3</v>
      </c>
      <c r="D241" s="3">
        <v>17</v>
      </c>
      <c r="E241" s="3">
        <f t="shared" si="29"/>
        <v>17</v>
      </c>
      <c r="F241" s="3">
        <f t="shared" si="30"/>
        <v>17</v>
      </c>
      <c r="G241" s="3">
        <v>4</v>
      </c>
      <c r="AB241" s="4" t="s">
        <v>39402</v>
      </c>
      <c r="AC241" s="6">
        <f>COUNTIFS($B$2:$B$386,1,$C$2:$C$386,4,$F$2:$F$386,16,$G$2:$G$386,3)</f>
        <v>0</v>
      </c>
      <c r="AD241" s="6">
        <f t="shared" si="31"/>
        <v>0</v>
      </c>
      <c r="AF241">
        <f t="shared" si="28"/>
        <v>2</v>
      </c>
    </row>
    <row r="242" spans="1:32" ht="43.2" x14ac:dyDescent="0.3">
      <c r="A242" s="6" t="s">
        <v>232</v>
      </c>
      <c r="B242" s="7">
        <v>3</v>
      </c>
      <c r="C242" s="7">
        <v>3</v>
      </c>
      <c r="D242" s="7">
        <v>17</v>
      </c>
      <c r="E242" s="3">
        <f t="shared" si="29"/>
        <v>17</v>
      </c>
      <c r="F242" s="3">
        <f t="shared" si="30"/>
        <v>17</v>
      </c>
      <c r="G242" s="7">
        <v>4</v>
      </c>
      <c r="AB242" s="4" t="s">
        <v>39403</v>
      </c>
      <c r="AC242" s="6">
        <f>COUNTIFS($B$2:$B$386,2,$C$2:$C$386,4,$F$2:$F$386,16,$G$2:$G$386,3)</f>
        <v>0</v>
      </c>
      <c r="AD242" s="6">
        <f t="shared" si="31"/>
        <v>0</v>
      </c>
      <c r="AF242">
        <f t="shared" si="28"/>
        <v>2</v>
      </c>
    </row>
    <row r="243" spans="1:32" ht="43.2" x14ac:dyDescent="0.3">
      <c r="A243" s="6" t="s">
        <v>290</v>
      </c>
      <c r="B243" s="11">
        <v>1</v>
      </c>
      <c r="C243" s="11">
        <v>3</v>
      </c>
      <c r="D243" s="11">
        <v>1</v>
      </c>
      <c r="E243" s="3">
        <f t="shared" si="29"/>
        <v>1</v>
      </c>
      <c r="F243" s="3">
        <f t="shared" si="30"/>
        <v>1</v>
      </c>
      <c r="G243" s="11">
        <v>5</v>
      </c>
      <c r="AB243" s="4" t="s">
        <v>39404</v>
      </c>
      <c r="AC243" s="6">
        <f>COUNTIFS($B$2:$B$386,3,$C$2:$C$386,4,$F$2:$F$386,16,$G$2:$G$386,3)</f>
        <v>0</v>
      </c>
      <c r="AD243" s="6">
        <f t="shared" si="31"/>
        <v>0</v>
      </c>
      <c r="AF243">
        <f t="shared" si="28"/>
        <v>2</v>
      </c>
    </row>
    <row r="244" spans="1:32" ht="43.2" x14ac:dyDescent="0.3">
      <c r="A244" s="6" t="s">
        <v>1017</v>
      </c>
      <c r="B244" s="7">
        <v>3</v>
      </c>
      <c r="C244" s="7">
        <v>3</v>
      </c>
      <c r="D244" s="7">
        <v>17</v>
      </c>
      <c r="E244" s="3">
        <f t="shared" si="29"/>
        <v>17</v>
      </c>
      <c r="F244" s="3">
        <f t="shared" si="30"/>
        <v>17</v>
      </c>
      <c r="G244" s="7">
        <v>4</v>
      </c>
      <c r="AB244" s="4" t="s">
        <v>39405</v>
      </c>
      <c r="AC244" s="6">
        <f>COUNTIFS($B$2:$B$386,1,$C$2:$C$386,1,$F$2:$F$386,17,$G$2:$G$386,3)</f>
        <v>0</v>
      </c>
      <c r="AD244" s="6">
        <f t="shared" si="31"/>
        <v>0</v>
      </c>
      <c r="AF244">
        <f t="shared" si="28"/>
        <v>2</v>
      </c>
    </row>
    <row r="245" spans="1:32" ht="43.2" x14ac:dyDescent="0.3">
      <c r="A245" t="s">
        <v>2198</v>
      </c>
      <c r="B245" s="3">
        <v>3</v>
      </c>
      <c r="C245" s="3">
        <v>2</v>
      </c>
      <c r="D245" s="3">
        <v>17</v>
      </c>
      <c r="E245" s="3">
        <f t="shared" si="29"/>
        <v>17</v>
      </c>
      <c r="F245" s="3">
        <f t="shared" si="30"/>
        <v>17</v>
      </c>
      <c r="G245" s="3">
        <v>4</v>
      </c>
      <c r="AB245" s="4" t="s">
        <v>39406</v>
      </c>
      <c r="AC245" s="6">
        <f>COUNTIFS($B$2:$B$386,2,$C$2:$C$386,1,$F$2:$F$386,17,$G$2:$G$386,3)</f>
        <v>0</v>
      </c>
      <c r="AD245" s="6">
        <f t="shared" si="31"/>
        <v>0</v>
      </c>
      <c r="AF245">
        <f t="shared" si="28"/>
        <v>2</v>
      </c>
    </row>
    <row r="246" spans="1:32" ht="43.2" x14ac:dyDescent="0.3">
      <c r="A246" t="s">
        <v>2424</v>
      </c>
      <c r="B246" s="7">
        <v>1</v>
      </c>
      <c r="C246" s="7">
        <v>3</v>
      </c>
      <c r="D246" s="7">
        <v>1</v>
      </c>
      <c r="E246" s="3">
        <f t="shared" si="29"/>
        <v>1</v>
      </c>
      <c r="F246" s="3">
        <f t="shared" si="30"/>
        <v>1</v>
      </c>
      <c r="G246" s="7">
        <v>5</v>
      </c>
      <c r="AB246" s="4" t="s">
        <v>39407</v>
      </c>
      <c r="AC246" s="6">
        <f>COUNTIFS($B$2:$B$386,3,$C$2:$C$386,1,$F$2:$F$386,17,$G$2:$G$386,3)</f>
        <v>0</v>
      </c>
      <c r="AD246" s="6">
        <f t="shared" si="31"/>
        <v>0</v>
      </c>
      <c r="AF246">
        <f t="shared" si="28"/>
        <v>2</v>
      </c>
    </row>
    <row r="247" spans="1:32" ht="43.2" x14ac:dyDescent="0.3">
      <c r="A247" t="s">
        <v>2144</v>
      </c>
      <c r="B247" s="7">
        <v>1</v>
      </c>
      <c r="C247" s="7">
        <v>3</v>
      </c>
      <c r="D247" s="7">
        <v>1</v>
      </c>
      <c r="E247" s="3">
        <f t="shared" si="29"/>
        <v>1</v>
      </c>
      <c r="F247" s="3">
        <f t="shared" si="30"/>
        <v>1</v>
      </c>
      <c r="G247" s="7">
        <v>5</v>
      </c>
      <c r="AB247" s="4" t="s">
        <v>39408</v>
      </c>
      <c r="AC247" s="6">
        <f>COUNTIFS($B$2:$B$386,1,$C$2:$C$386,2,$F$2:$F$386,17,$G$2:$G$386,3)</f>
        <v>0</v>
      </c>
      <c r="AD247" s="6">
        <f t="shared" si="31"/>
        <v>0</v>
      </c>
      <c r="AF247">
        <f t="shared" si="28"/>
        <v>2</v>
      </c>
    </row>
    <row r="248" spans="1:32" ht="43.2" x14ac:dyDescent="0.3">
      <c r="A248" t="s">
        <v>1661</v>
      </c>
      <c r="B248" s="3">
        <v>3</v>
      </c>
      <c r="C248" s="3">
        <v>3</v>
      </c>
      <c r="D248" s="3">
        <v>17</v>
      </c>
      <c r="E248" s="3">
        <f t="shared" si="29"/>
        <v>17</v>
      </c>
      <c r="F248" s="3">
        <f t="shared" si="30"/>
        <v>17</v>
      </c>
      <c r="G248" s="3">
        <v>4</v>
      </c>
      <c r="AB248" s="4" t="s">
        <v>39409</v>
      </c>
      <c r="AC248" s="6">
        <f>COUNTIFS($B$2:$B$386,2,$C$2:$C$386,2,$F$2:$F$386,17,$G$2:$G$386,3)</f>
        <v>2</v>
      </c>
      <c r="AD248" s="6">
        <f t="shared" si="31"/>
        <v>0.51948051948051943</v>
      </c>
      <c r="AF248">
        <f t="shared" si="28"/>
        <v>2</v>
      </c>
    </row>
    <row r="249" spans="1:32" ht="43.2" x14ac:dyDescent="0.3">
      <c r="A249" t="s">
        <v>2160</v>
      </c>
      <c r="B249" s="7">
        <v>3</v>
      </c>
      <c r="C249" s="7">
        <v>3</v>
      </c>
      <c r="D249" s="7">
        <v>17</v>
      </c>
      <c r="E249" s="3">
        <f t="shared" si="29"/>
        <v>17</v>
      </c>
      <c r="F249" s="3">
        <f t="shared" si="30"/>
        <v>17</v>
      </c>
      <c r="G249" s="7">
        <v>4</v>
      </c>
      <c r="AB249" s="4" t="s">
        <v>39410</v>
      </c>
      <c r="AC249" s="6">
        <f>COUNTIFS($B$2:$B$386,3,$C$2:$C$386,2,$F$2:$F$386,17,$G$2:$G$386,3)</f>
        <v>0</v>
      </c>
      <c r="AD249" s="6">
        <f t="shared" si="31"/>
        <v>0</v>
      </c>
      <c r="AF249">
        <f t="shared" si="28"/>
        <v>2</v>
      </c>
    </row>
    <row r="250" spans="1:32" ht="43.2" x14ac:dyDescent="0.3">
      <c r="A250" t="s">
        <v>1560</v>
      </c>
      <c r="B250" s="3">
        <v>3</v>
      </c>
      <c r="C250" s="3">
        <v>3</v>
      </c>
      <c r="D250" s="3">
        <v>17</v>
      </c>
      <c r="E250" s="3">
        <f t="shared" si="29"/>
        <v>17</v>
      </c>
      <c r="F250" s="3">
        <f t="shared" si="30"/>
        <v>17</v>
      </c>
      <c r="G250" s="3">
        <v>4</v>
      </c>
      <c r="AB250" s="4" t="s">
        <v>39411</v>
      </c>
      <c r="AC250" s="6">
        <f>COUNTIFS($B$2:$B$386,1,$C$2:$C$386,3,$F$2:$F$386,17,$G$2:$G$386,3)</f>
        <v>0</v>
      </c>
      <c r="AD250" s="6">
        <f t="shared" si="31"/>
        <v>0</v>
      </c>
      <c r="AF250">
        <f t="shared" si="28"/>
        <v>2</v>
      </c>
    </row>
    <row r="251" spans="1:32" ht="43.2" x14ac:dyDescent="0.3">
      <c r="A251" t="s">
        <v>1879</v>
      </c>
      <c r="B251" s="11">
        <v>2</v>
      </c>
      <c r="C251" s="11">
        <v>3</v>
      </c>
      <c r="D251" s="11">
        <v>16</v>
      </c>
      <c r="E251" s="3">
        <f t="shared" si="29"/>
        <v>16</v>
      </c>
      <c r="F251" s="3">
        <f t="shared" si="30"/>
        <v>16</v>
      </c>
      <c r="G251" s="11">
        <v>4</v>
      </c>
      <c r="AB251" s="4" t="s">
        <v>39412</v>
      </c>
      <c r="AC251" s="6">
        <f>COUNTIFS($B$2:$B$386,2,$C$2:$C$386,3,$F$2:$F$386,17,$G$2:$G$386,3)</f>
        <v>1</v>
      </c>
      <c r="AD251" s="6">
        <f t="shared" si="31"/>
        <v>0.25974025974025972</v>
      </c>
      <c r="AF251">
        <f t="shared" si="28"/>
        <v>2</v>
      </c>
    </row>
    <row r="252" spans="1:32" ht="43.2" x14ac:dyDescent="0.3">
      <c r="A252" t="s">
        <v>2736</v>
      </c>
      <c r="B252" s="3">
        <v>3</v>
      </c>
      <c r="C252" s="3">
        <v>3</v>
      </c>
      <c r="D252" s="3">
        <v>17</v>
      </c>
      <c r="E252" s="3">
        <f t="shared" si="29"/>
        <v>17</v>
      </c>
      <c r="F252" s="3">
        <f t="shared" si="30"/>
        <v>17</v>
      </c>
      <c r="G252" s="3">
        <v>4</v>
      </c>
      <c r="AB252" s="4" t="s">
        <v>39413</v>
      </c>
      <c r="AC252" s="6">
        <f>COUNTIFS($B$2:$B$386,3,$C$2:$C$386,3,$F$2:$F$386,17,$G$2:$G$386,3)</f>
        <v>3</v>
      </c>
      <c r="AD252" s="6">
        <f t="shared" si="31"/>
        <v>0.77922077922077926</v>
      </c>
      <c r="AF252">
        <f t="shared" si="28"/>
        <v>2</v>
      </c>
    </row>
    <row r="253" spans="1:32" ht="43.2" x14ac:dyDescent="0.3">
      <c r="A253" t="s">
        <v>1765</v>
      </c>
      <c r="B253" s="7">
        <v>1</v>
      </c>
      <c r="C253" s="7">
        <v>3</v>
      </c>
      <c r="D253" s="7">
        <v>1</v>
      </c>
      <c r="E253" s="3">
        <f t="shared" si="29"/>
        <v>1</v>
      </c>
      <c r="F253" s="3">
        <f t="shared" si="30"/>
        <v>1</v>
      </c>
      <c r="G253" s="7">
        <v>5</v>
      </c>
      <c r="AB253" s="4" t="s">
        <v>39414</v>
      </c>
      <c r="AC253" s="6">
        <f>COUNTIFS($B$2:$B$386,1,$C$2:$C$386,4,$F$2:$F$386,17,$G$2:$G$386,3)</f>
        <v>0</v>
      </c>
      <c r="AD253" s="6">
        <f t="shared" si="31"/>
        <v>0</v>
      </c>
      <c r="AF253">
        <f t="shared" si="28"/>
        <v>2</v>
      </c>
    </row>
    <row r="254" spans="1:32" ht="43.2" x14ac:dyDescent="0.3">
      <c r="A254" t="s">
        <v>1233</v>
      </c>
      <c r="B254" s="7">
        <v>3</v>
      </c>
      <c r="C254" s="7">
        <v>3</v>
      </c>
      <c r="D254" s="7">
        <v>17</v>
      </c>
      <c r="E254" s="3">
        <f t="shared" si="29"/>
        <v>17</v>
      </c>
      <c r="F254" s="3">
        <f t="shared" si="30"/>
        <v>17</v>
      </c>
      <c r="G254" s="7">
        <v>4</v>
      </c>
      <c r="AB254" s="4" t="s">
        <v>39415</v>
      </c>
      <c r="AC254" s="6">
        <f>COUNTIFS($B$2:$B$386,2,$C$2:$C$386,4,$F$2:$F$386,17,$G$2:$G$386,3)</f>
        <v>0</v>
      </c>
      <c r="AD254" s="6">
        <f t="shared" si="31"/>
        <v>0</v>
      </c>
      <c r="AF254">
        <f t="shared" si="28"/>
        <v>2</v>
      </c>
    </row>
    <row r="255" spans="1:32" ht="43.2" x14ac:dyDescent="0.3">
      <c r="A255" t="s">
        <v>2121</v>
      </c>
      <c r="B255" s="7">
        <v>3</v>
      </c>
      <c r="C255" s="7">
        <v>3</v>
      </c>
      <c r="D255" s="7">
        <v>17</v>
      </c>
      <c r="E255" s="3">
        <f t="shared" si="29"/>
        <v>17</v>
      </c>
      <c r="F255" s="3">
        <f t="shared" si="30"/>
        <v>17</v>
      </c>
      <c r="G255" s="7">
        <v>4</v>
      </c>
      <c r="AB255" s="4" t="s">
        <v>39416</v>
      </c>
      <c r="AC255" s="6">
        <f>COUNTIFS($B$2:$B$386,3,$C$2:$C$386,4,$F$2:$F$386,17,$G$2:$G$386,3)</f>
        <v>0</v>
      </c>
      <c r="AD255" s="6">
        <f t="shared" si="31"/>
        <v>0</v>
      </c>
      <c r="AF255">
        <f t="shared" si="28"/>
        <v>2</v>
      </c>
    </row>
    <row r="256" spans="1:32" x14ac:dyDescent="0.3">
      <c r="A256" t="s">
        <v>2284</v>
      </c>
      <c r="B256" s="7">
        <v>3</v>
      </c>
      <c r="C256" s="7">
        <v>3</v>
      </c>
      <c r="D256" s="7">
        <v>17</v>
      </c>
      <c r="E256" s="3">
        <f t="shared" si="29"/>
        <v>17</v>
      </c>
      <c r="F256" s="3">
        <f t="shared" si="30"/>
        <v>17</v>
      </c>
      <c r="G256" s="7">
        <v>4</v>
      </c>
      <c r="AD256" s="6"/>
      <c r="AF256">
        <f t="shared" si="28"/>
        <v>2</v>
      </c>
    </row>
    <row r="257" spans="1:32" ht="43.2" x14ac:dyDescent="0.3">
      <c r="A257" t="s">
        <v>2984</v>
      </c>
      <c r="B257" s="7">
        <v>3</v>
      </c>
      <c r="C257" s="7">
        <v>3</v>
      </c>
      <c r="D257" s="7">
        <v>17</v>
      </c>
      <c r="E257" s="3">
        <f t="shared" si="29"/>
        <v>17</v>
      </c>
      <c r="F257" s="3">
        <f t="shared" si="30"/>
        <v>17</v>
      </c>
      <c r="G257" s="7">
        <v>4</v>
      </c>
      <c r="AB257" s="4" t="s">
        <v>39417</v>
      </c>
      <c r="AC257" s="6">
        <f>COUNTIFS($B$2:$B$386,1,$C$2:$C$386,1,$F$2:$F$386,18,$G$2:$G$386,4)</f>
        <v>0</v>
      </c>
      <c r="AD257" s="6">
        <f t="shared" si="31"/>
        <v>0</v>
      </c>
      <c r="AF257">
        <f t="shared" si="28"/>
        <v>2</v>
      </c>
    </row>
    <row r="258" spans="1:32" ht="43.2" x14ac:dyDescent="0.3">
      <c r="A258" t="s">
        <v>1818</v>
      </c>
      <c r="B258" s="7">
        <v>1</v>
      </c>
      <c r="C258" s="7">
        <v>3</v>
      </c>
      <c r="D258" s="7">
        <v>1</v>
      </c>
      <c r="E258" s="3">
        <f t="shared" si="29"/>
        <v>1</v>
      </c>
      <c r="F258" s="3">
        <f t="shared" si="30"/>
        <v>1</v>
      </c>
      <c r="G258" s="7">
        <v>5</v>
      </c>
      <c r="AB258" s="4" t="s">
        <v>39418</v>
      </c>
      <c r="AC258" s="6">
        <f>COUNTIFS($B$2:$B$386,2,$C$2:$C$386,1,$F$2:$F$386,18,$G$2:$G$386,4)</f>
        <v>0</v>
      </c>
      <c r="AD258" s="6">
        <f t="shared" si="31"/>
        <v>0</v>
      </c>
      <c r="AF258">
        <f t="shared" ref="AF258:AF321" si="32">IF(AND(B258=1, C258=1, F258=18, G258=1), 1, 2)</f>
        <v>2</v>
      </c>
    </row>
    <row r="259" spans="1:32" ht="43.2" x14ac:dyDescent="0.3">
      <c r="A259" t="s">
        <v>2593</v>
      </c>
      <c r="B259" s="7">
        <v>1</v>
      </c>
      <c r="C259" s="7">
        <v>3</v>
      </c>
      <c r="D259" s="7">
        <v>1</v>
      </c>
      <c r="E259" s="3">
        <f t="shared" ref="E259:E322" si="33">IF(OR(D259=4, D259=6, D259=8, D259=10, D259=12, D259=14), 18, D259)</f>
        <v>1</v>
      </c>
      <c r="F259" s="3">
        <f t="shared" ref="F259:F322" si="34">IF(OR(E259=5, E259=7, E259=9, E259=11, E259=13, E259=15), 19, E259)</f>
        <v>1</v>
      </c>
      <c r="G259" s="7">
        <v>5</v>
      </c>
      <c r="AB259" s="4" t="s">
        <v>39419</v>
      </c>
      <c r="AC259" s="6">
        <f>COUNTIFS($B$2:$B$386,3,$C$2:$C$386,1,$F$2:$F$386,18,$G$2:$G$386,4)</f>
        <v>0</v>
      </c>
      <c r="AD259" s="6">
        <f t="shared" ref="AD259:AD322" si="35">(AC259/385)*100</f>
        <v>0</v>
      </c>
      <c r="AF259">
        <f t="shared" si="32"/>
        <v>2</v>
      </c>
    </row>
    <row r="260" spans="1:32" ht="43.2" x14ac:dyDescent="0.3">
      <c r="A260" t="s">
        <v>2054</v>
      </c>
      <c r="B260" s="7">
        <v>1</v>
      </c>
      <c r="C260" s="7">
        <v>3</v>
      </c>
      <c r="D260" s="7">
        <v>1</v>
      </c>
      <c r="E260" s="3">
        <f t="shared" si="33"/>
        <v>1</v>
      </c>
      <c r="F260" s="3">
        <f t="shared" si="34"/>
        <v>1</v>
      </c>
      <c r="G260" s="7">
        <v>5</v>
      </c>
      <c r="AB260" s="4" t="s">
        <v>39420</v>
      </c>
      <c r="AC260" s="6">
        <f>COUNTIFS($B$2:$B$386,1,$C$2:$C$386,2,$F$2:$F$386,18,$G$2:$G$386,4)</f>
        <v>0</v>
      </c>
      <c r="AD260" s="6">
        <f t="shared" si="35"/>
        <v>0</v>
      </c>
      <c r="AF260">
        <f t="shared" si="32"/>
        <v>2</v>
      </c>
    </row>
    <row r="261" spans="1:32" ht="43.2" x14ac:dyDescent="0.3">
      <c r="A261" t="s">
        <v>1440</v>
      </c>
      <c r="B261" s="11">
        <v>1</v>
      </c>
      <c r="C261" s="11">
        <v>3</v>
      </c>
      <c r="D261" s="11">
        <v>1</v>
      </c>
      <c r="E261" s="3">
        <f t="shared" si="33"/>
        <v>1</v>
      </c>
      <c r="F261" s="3">
        <f t="shared" si="34"/>
        <v>1</v>
      </c>
      <c r="G261" s="11">
        <v>5</v>
      </c>
      <c r="AB261" s="4" t="s">
        <v>39421</v>
      </c>
      <c r="AC261" s="6">
        <f>COUNTIFS($B$2:$B$386,2,$C$2:$C$386,2,$F$2:$F$386,18,$G$2:$G$386,4)</f>
        <v>0</v>
      </c>
      <c r="AD261" s="6">
        <f t="shared" si="35"/>
        <v>0</v>
      </c>
      <c r="AF261">
        <f t="shared" si="32"/>
        <v>2</v>
      </c>
    </row>
    <row r="262" spans="1:32" ht="43.2" x14ac:dyDescent="0.3">
      <c r="A262" s="6" t="s">
        <v>643</v>
      </c>
      <c r="B262" s="7">
        <v>3</v>
      </c>
      <c r="C262" s="7">
        <v>3</v>
      </c>
      <c r="D262" s="7">
        <v>17</v>
      </c>
      <c r="E262" s="3">
        <f t="shared" si="33"/>
        <v>17</v>
      </c>
      <c r="F262" s="3">
        <f t="shared" si="34"/>
        <v>17</v>
      </c>
      <c r="G262" s="7">
        <v>4</v>
      </c>
      <c r="AB262" s="4" t="s">
        <v>39422</v>
      </c>
      <c r="AC262" s="6">
        <f>COUNTIFS($B$2:$B$386,3,$C$2:$C$386,2,$F$2:$F$386,18,$G$2:$G$386,4)</f>
        <v>0</v>
      </c>
      <c r="AD262" s="6">
        <f t="shared" si="35"/>
        <v>0</v>
      </c>
      <c r="AF262">
        <f t="shared" si="32"/>
        <v>2</v>
      </c>
    </row>
    <row r="263" spans="1:32" ht="43.2" x14ac:dyDescent="0.3">
      <c r="A263" t="s">
        <v>1368</v>
      </c>
      <c r="B263" s="7">
        <v>3</v>
      </c>
      <c r="C263" s="7">
        <v>3</v>
      </c>
      <c r="D263" s="7">
        <v>17</v>
      </c>
      <c r="E263" s="3">
        <f t="shared" si="33"/>
        <v>17</v>
      </c>
      <c r="F263" s="3">
        <f t="shared" si="34"/>
        <v>17</v>
      </c>
      <c r="G263" s="7">
        <v>4</v>
      </c>
      <c r="AB263" s="4" t="s">
        <v>39423</v>
      </c>
      <c r="AC263" s="6">
        <f>COUNTIFS($B$2:$B$386,1,$C$2:$C$386,3,$F$2:$F$386,18,$G$2:$G$386,4)</f>
        <v>0</v>
      </c>
      <c r="AD263" s="6">
        <f t="shared" si="35"/>
        <v>0</v>
      </c>
      <c r="AF263">
        <f t="shared" si="32"/>
        <v>2</v>
      </c>
    </row>
    <row r="264" spans="1:32" ht="43.2" x14ac:dyDescent="0.3">
      <c r="A264" t="s">
        <v>1761</v>
      </c>
      <c r="B264" s="7">
        <v>3</v>
      </c>
      <c r="C264" s="7">
        <v>3</v>
      </c>
      <c r="D264" s="7">
        <v>17</v>
      </c>
      <c r="E264" s="3">
        <f t="shared" si="33"/>
        <v>17</v>
      </c>
      <c r="F264" s="3">
        <f t="shared" si="34"/>
        <v>17</v>
      </c>
      <c r="G264" s="7">
        <v>4</v>
      </c>
      <c r="AB264" s="4" t="s">
        <v>39424</v>
      </c>
      <c r="AC264" s="6">
        <f>COUNTIFS($B$2:$B$386,2,$C$2:$C$386,3,$F$2:$F$386,18,$G$2:$G$386,4)</f>
        <v>0</v>
      </c>
      <c r="AD264" s="6">
        <f t="shared" si="35"/>
        <v>0</v>
      </c>
      <c r="AF264">
        <f t="shared" si="32"/>
        <v>2</v>
      </c>
    </row>
    <row r="265" spans="1:32" ht="43.2" x14ac:dyDescent="0.3">
      <c r="A265" t="s">
        <v>1761</v>
      </c>
      <c r="B265" s="3">
        <v>3</v>
      </c>
      <c r="C265" s="3">
        <v>3</v>
      </c>
      <c r="D265" s="3">
        <v>17</v>
      </c>
      <c r="E265" s="3">
        <f t="shared" si="33"/>
        <v>17</v>
      </c>
      <c r="F265" s="3">
        <f t="shared" si="34"/>
        <v>17</v>
      </c>
      <c r="G265" s="3">
        <v>4</v>
      </c>
      <c r="AB265" s="4" t="s">
        <v>39425</v>
      </c>
      <c r="AC265" s="6">
        <f>COUNTIFS($B$2:$B$386,3,$C$2:$C$386,3,$F$2:$F$386,18,$G$2:$G$386,4)</f>
        <v>0</v>
      </c>
      <c r="AD265" s="6">
        <f t="shared" si="35"/>
        <v>0</v>
      </c>
      <c r="AF265">
        <f t="shared" si="32"/>
        <v>2</v>
      </c>
    </row>
    <row r="266" spans="1:32" ht="43.2" x14ac:dyDescent="0.3">
      <c r="A266" s="6" t="s">
        <v>594</v>
      </c>
      <c r="B266" s="7">
        <v>3</v>
      </c>
      <c r="C266" s="7">
        <v>3</v>
      </c>
      <c r="D266" s="7">
        <v>17</v>
      </c>
      <c r="E266" s="3">
        <f t="shared" si="33"/>
        <v>17</v>
      </c>
      <c r="F266" s="3">
        <f t="shared" si="34"/>
        <v>17</v>
      </c>
      <c r="G266" s="7">
        <v>4</v>
      </c>
      <c r="AB266" s="4" t="s">
        <v>39426</v>
      </c>
      <c r="AC266" s="6">
        <f>COUNTIFS($B$2:$B$386,1,$C$2:$C$386,4,$F$2:$F$386,18,$G$2:$G$386,4)</f>
        <v>0</v>
      </c>
      <c r="AD266" s="6">
        <f t="shared" si="35"/>
        <v>0</v>
      </c>
      <c r="AF266">
        <f t="shared" si="32"/>
        <v>2</v>
      </c>
    </row>
    <row r="267" spans="1:32" ht="43.2" x14ac:dyDescent="0.3">
      <c r="A267" t="s">
        <v>2964</v>
      </c>
      <c r="B267" s="3">
        <v>3</v>
      </c>
      <c r="C267" s="3">
        <v>3</v>
      </c>
      <c r="D267" s="3">
        <v>17</v>
      </c>
      <c r="E267" s="3">
        <f t="shared" si="33"/>
        <v>17</v>
      </c>
      <c r="F267" s="3">
        <f t="shared" si="34"/>
        <v>17</v>
      </c>
      <c r="G267" s="3">
        <v>4</v>
      </c>
      <c r="AB267" s="4" t="s">
        <v>39427</v>
      </c>
      <c r="AC267" s="6">
        <f>COUNTIFS($B$2:$B$386,2,$C$2:$C$386,4,$F$2:$F$386,18,$G$2:$G$386,4)</f>
        <v>0</v>
      </c>
      <c r="AD267" s="6">
        <f t="shared" si="35"/>
        <v>0</v>
      </c>
      <c r="AF267">
        <f t="shared" si="32"/>
        <v>2</v>
      </c>
    </row>
    <row r="268" spans="1:32" ht="43.2" x14ac:dyDescent="0.3">
      <c r="A268" s="6" t="s">
        <v>600</v>
      </c>
      <c r="B268" s="7">
        <v>3</v>
      </c>
      <c r="C268" s="7">
        <v>3</v>
      </c>
      <c r="D268" s="7">
        <v>17</v>
      </c>
      <c r="E268" s="3">
        <f t="shared" si="33"/>
        <v>17</v>
      </c>
      <c r="F268" s="3">
        <f t="shared" si="34"/>
        <v>17</v>
      </c>
      <c r="G268" s="7">
        <v>4</v>
      </c>
      <c r="AB268" s="4" t="s">
        <v>39428</v>
      </c>
      <c r="AC268" s="6">
        <f>COUNTIFS($B$2:$B$386,3,$C$2:$C$386,4,$F$2:$F$386,18,$G$2:$G$386,4)</f>
        <v>0</v>
      </c>
      <c r="AD268" s="6">
        <f t="shared" si="35"/>
        <v>0</v>
      </c>
      <c r="AF268">
        <f t="shared" si="32"/>
        <v>2</v>
      </c>
    </row>
    <row r="269" spans="1:32" ht="43.2" x14ac:dyDescent="0.3">
      <c r="A269" s="6" t="s">
        <v>225</v>
      </c>
      <c r="B269" s="7">
        <v>3</v>
      </c>
      <c r="C269" s="7">
        <v>3</v>
      </c>
      <c r="D269" s="7">
        <v>17</v>
      </c>
      <c r="E269" s="3">
        <f t="shared" si="33"/>
        <v>17</v>
      </c>
      <c r="F269" s="3">
        <f t="shared" si="34"/>
        <v>17</v>
      </c>
      <c r="G269" s="7">
        <v>4</v>
      </c>
      <c r="AB269" s="4" t="s">
        <v>39429</v>
      </c>
      <c r="AC269" s="6">
        <f>COUNTIFS($B$2:$B$386,1,$C$2:$C$386,1,$F$2:$F$386,19,$G$2:$G$386,4)</f>
        <v>0</v>
      </c>
      <c r="AD269" s="6">
        <f t="shared" si="35"/>
        <v>0</v>
      </c>
      <c r="AF269">
        <f t="shared" si="32"/>
        <v>2</v>
      </c>
    </row>
    <row r="270" spans="1:32" ht="43.2" x14ac:dyDescent="0.3">
      <c r="A270" t="s">
        <v>1960</v>
      </c>
      <c r="B270" s="7">
        <v>3</v>
      </c>
      <c r="C270" s="7">
        <v>3</v>
      </c>
      <c r="D270" s="7">
        <v>17</v>
      </c>
      <c r="E270" s="3">
        <f t="shared" si="33"/>
        <v>17</v>
      </c>
      <c r="F270" s="3">
        <f t="shared" si="34"/>
        <v>17</v>
      </c>
      <c r="G270" s="7">
        <v>4</v>
      </c>
      <c r="AB270" s="4" t="s">
        <v>39438</v>
      </c>
      <c r="AC270" s="6">
        <f>COUNTIFS($B$2:$B$386,2,$C$2:$C$386,1,$F$2:$F$386,19,$G$2:$G$386,4)</f>
        <v>0</v>
      </c>
      <c r="AD270" s="6">
        <f t="shared" si="35"/>
        <v>0</v>
      </c>
      <c r="AF270">
        <f t="shared" si="32"/>
        <v>2</v>
      </c>
    </row>
    <row r="271" spans="1:32" ht="43.2" x14ac:dyDescent="0.3">
      <c r="A271" s="6" t="s">
        <v>1040</v>
      </c>
      <c r="B271" s="11">
        <v>1</v>
      </c>
      <c r="C271" s="11">
        <v>3</v>
      </c>
      <c r="D271" s="11">
        <v>1</v>
      </c>
      <c r="E271" s="3">
        <f t="shared" si="33"/>
        <v>1</v>
      </c>
      <c r="F271" s="3">
        <f t="shared" si="34"/>
        <v>1</v>
      </c>
      <c r="G271" s="11">
        <v>5</v>
      </c>
      <c r="AB271" s="4" t="s">
        <v>39430</v>
      </c>
      <c r="AC271" s="6">
        <f>COUNTIFS($B$2:$B$386,3,$C$2:$C$386,1,$F$2:$F$386,19,$G$2:$G$386,4)</f>
        <v>0</v>
      </c>
      <c r="AD271" s="6">
        <f t="shared" si="35"/>
        <v>0</v>
      </c>
      <c r="AF271">
        <f t="shared" si="32"/>
        <v>2</v>
      </c>
    </row>
    <row r="272" spans="1:32" ht="43.2" x14ac:dyDescent="0.3">
      <c r="A272" t="s">
        <v>1804</v>
      </c>
      <c r="B272" s="7">
        <v>3</v>
      </c>
      <c r="C272" s="7">
        <v>3</v>
      </c>
      <c r="D272" s="7">
        <v>17</v>
      </c>
      <c r="E272" s="3">
        <f t="shared" si="33"/>
        <v>17</v>
      </c>
      <c r="F272" s="3">
        <f t="shared" si="34"/>
        <v>17</v>
      </c>
      <c r="G272" s="7">
        <v>4</v>
      </c>
      <c r="AB272" s="4" t="s">
        <v>39431</v>
      </c>
      <c r="AC272" s="6">
        <f>COUNTIFS($B$2:$B$386,1,$C$2:$C$386,2,$F$2:$F$386,19,$G$2:$G$386,4)</f>
        <v>0</v>
      </c>
      <c r="AD272" s="6">
        <f t="shared" si="35"/>
        <v>0</v>
      </c>
      <c r="AF272">
        <f t="shared" si="32"/>
        <v>2</v>
      </c>
    </row>
    <row r="273" spans="1:32" ht="43.2" x14ac:dyDescent="0.3">
      <c r="A273" t="s">
        <v>1341</v>
      </c>
      <c r="B273" s="3">
        <v>3</v>
      </c>
      <c r="C273" s="3">
        <v>3</v>
      </c>
      <c r="D273" s="3">
        <v>17</v>
      </c>
      <c r="E273" s="3">
        <f t="shared" si="33"/>
        <v>17</v>
      </c>
      <c r="F273" s="3">
        <f t="shared" si="34"/>
        <v>17</v>
      </c>
      <c r="G273" s="3">
        <v>4</v>
      </c>
      <c r="AB273" s="4" t="s">
        <v>39432</v>
      </c>
      <c r="AC273" s="6">
        <f>COUNTIFS($B$2:$B$386,2,$C$2:$C$386,2,$F$2:$F$386,19,$G$2:$G$386,4)</f>
        <v>1</v>
      </c>
      <c r="AD273" s="6">
        <f t="shared" si="35"/>
        <v>0.25974025974025972</v>
      </c>
      <c r="AF273">
        <f t="shared" si="32"/>
        <v>2</v>
      </c>
    </row>
    <row r="274" spans="1:32" ht="43.2" x14ac:dyDescent="0.3">
      <c r="A274" s="6" t="s">
        <v>717</v>
      </c>
      <c r="B274" s="7">
        <v>2</v>
      </c>
      <c r="C274" s="7">
        <v>3</v>
      </c>
      <c r="D274" s="7">
        <v>17</v>
      </c>
      <c r="E274" s="3">
        <f t="shared" si="33"/>
        <v>17</v>
      </c>
      <c r="F274" s="3">
        <f t="shared" si="34"/>
        <v>17</v>
      </c>
      <c r="G274" s="7">
        <v>4</v>
      </c>
      <c r="AB274" s="4" t="s">
        <v>39433</v>
      </c>
      <c r="AC274" s="6">
        <f>COUNTIFS($B$2:$B$386,3,$C$2:$C$386,2,$F$2:$F$386,19,$G$2:$G$386,4)</f>
        <v>0</v>
      </c>
      <c r="AD274" s="6">
        <f t="shared" si="35"/>
        <v>0</v>
      </c>
      <c r="AF274">
        <f t="shared" si="32"/>
        <v>2</v>
      </c>
    </row>
    <row r="275" spans="1:32" ht="43.2" x14ac:dyDescent="0.3">
      <c r="A275" s="6" t="s">
        <v>1090</v>
      </c>
      <c r="B275" s="7">
        <v>3</v>
      </c>
      <c r="C275" s="7">
        <v>3</v>
      </c>
      <c r="D275" s="7">
        <v>17</v>
      </c>
      <c r="E275" s="3">
        <f t="shared" si="33"/>
        <v>17</v>
      </c>
      <c r="F275" s="3">
        <f t="shared" si="34"/>
        <v>17</v>
      </c>
      <c r="G275" s="7">
        <v>4</v>
      </c>
      <c r="AB275" s="4" t="s">
        <v>39434</v>
      </c>
      <c r="AC275" s="6">
        <f>COUNTIFS($B$2:$B$386,1,$C$2:$C$386,3,$F$2:$F$386,19,$G$2:$G$386,4)</f>
        <v>0</v>
      </c>
      <c r="AD275" s="6">
        <f t="shared" si="35"/>
        <v>0</v>
      </c>
      <c r="AF275">
        <f t="shared" si="32"/>
        <v>2</v>
      </c>
    </row>
    <row r="276" spans="1:32" ht="43.2" x14ac:dyDescent="0.3">
      <c r="A276" t="s">
        <v>2066</v>
      </c>
      <c r="B276" s="7">
        <v>3</v>
      </c>
      <c r="C276" s="7">
        <v>3</v>
      </c>
      <c r="D276" s="7">
        <v>17</v>
      </c>
      <c r="E276" s="3">
        <f t="shared" si="33"/>
        <v>17</v>
      </c>
      <c r="F276" s="3">
        <f t="shared" si="34"/>
        <v>17</v>
      </c>
      <c r="G276" s="7">
        <v>4</v>
      </c>
      <c r="AB276" s="4" t="s">
        <v>39435</v>
      </c>
      <c r="AC276" s="6">
        <f>COUNTIFS($B$2:$B$386,2,$C$2:$C$386,3,$F$2:$F$386,19,$G$2:$G$386,4)</f>
        <v>1</v>
      </c>
      <c r="AD276" s="6">
        <f t="shared" si="35"/>
        <v>0.25974025974025972</v>
      </c>
      <c r="AF276">
        <f t="shared" si="32"/>
        <v>2</v>
      </c>
    </row>
    <row r="277" spans="1:32" ht="43.2" x14ac:dyDescent="0.3">
      <c r="A277" t="s">
        <v>1308</v>
      </c>
      <c r="B277" s="7">
        <v>3</v>
      </c>
      <c r="C277" s="7">
        <v>3</v>
      </c>
      <c r="D277" s="7">
        <v>17</v>
      </c>
      <c r="E277" s="3">
        <f t="shared" si="33"/>
        <v>17</v>
      </c>
      <c r="F277" s="3">
        <f t="shared" si="34"/>
        <v>17</v>
      </c>
      <c r="G277" s="7">
        <v>4</v>
      </c>
      <c r="AB277" s="4" t="s">
        <v>39436</v>
      </c>
      <c r="AC277" s="6">
        <f>COUNTIFS($B$2:$B$386,3,$C$2:$C$386,3,$F$2:$F$386,19,$G$2:$G$386,4)</f>
        <v>0</v>
      </c>
      <c r="AD277" s="6">
        <f t="shared" si="35"/>
        <v>0</v>
      </c>
      <c r="AF277">
        <f t="shared" si="32"/>
        <v>2</v>
      </c>
    </row>
    <row r="278" spans="1:32" ht="43.2" x14ac:dyDescent="0.3">
      <c r="A278" t="s">
        <v>1799</v>
      </c>
      <c r="B278" s="7">
        <v>3</v>
      </c>
      <c r="C278" s="7">
        <v>3</v>
      </c>
      <c r="D278" s="7">
        <v>17</v>
      </c>
      <c r="E278" s="3">
        <f t="shared" si="33"/>
        <v>17</v>
      </c>
      <c r="F278" s="3">
        <f t="shared" si="34"/>
        <v>17</v>
      </c>
      <c r="G278" s="7">
        <v>4</v>
      </c>
      <c r="AB278" s="4" t="s">
        <v>39437</v>
      </c>
      <c r="AC278" s="6">
        <f>COUNTIFS($B$2:$B$386,1,$C$2:$C$386,4,$F$2:$F$386,19,$G$2:$G$386,4)</f>
        <v>0</v>
      </c>
      <c r="AD278" s="6">
        <f t="shared" si="35"/>
        <v>0</v>
      </c>
      <c r="AF278">
        <f t="shared" si="32"/>
        <v>2</v>
      </c>
    </row>
    <row r="279" spans="1:32" ht="43.2" x14ac:dyDescent="0.3">
      <c r="A279" t="s">
        <v>2480</v>
      </c>
      <c r="B279" s="3">
        <v>3</v>
      </c>
      <c r="C279" s="3">
        <v>3</v>
      </c>
      <c r="D279" s="3">
        <v>17</v>
      </c>
      <c r="E279" s="3">
        <f t="shared" si="33"/>
        <v>17</v>
      </c>
      <c r="F279" s="3">
        <f t="shared" si="34"/>
        <v>17</v>
      </c>
      <c r="G279" s="3">
        <v>4</v>
      </c>
      <c r="AB279" s="4" t="s">
        <v>39439</v>
      </c>
      <c r="AC279" s="6">
        <f>COUNTIFS($B$2:$B$386,2,$C$2:$C$386,4,$F$2:$F$386,19,$G$2:$G$386,4)</f>
        <v>0</v>
      </c>
      <c r="AD279" s="6">
        <f t="shared" si="35"/>
        <v>0</v>
      </c>
      <c r="AF279">
        <f t="shared" si="32"/>
        <v>2</v>
      </c>
    </row>
    <row r="280" spans="1:32" ht="43.2" x14ac:dyDescent="0.3">
      <c r="A280" t="s">
        <v>1414</v>
      </c>
      <c r="B280" s="11">
        <v>2</v>
      </c>
      <c r="C280" s="11">
        <v>2</v>
      </c>
      <c r="D280" s="11">
        <v>16</v>
      </c>
      <c r="E280" s="3">
        <f t="shared" si="33"/>
        <v>16</v>
      </c>
      <c r="F280" s="3">
        <f t="shared" si="34"/>
        <v>16</v>
      </c>
      <c r="G280" s="11">
        <v>3</v>
      </c>
      <c r="AB280" s="4" t="s">
        <v>39440</v>
      </c>
      <c r="AC280" s="6">
        <f>COUNTIFS($B$2:$B$386,3,$C$2:$C$386,4,$F$2:$F$386,19,$G$2:$G$386,4)</f>
        <v>0</v>
      </c>
      <c r="AD280" s="6">
        <f t="shared" si="35"/>
        <v>0</v>
      </c>
      <c r="AF280">
        <f t="shared" si="32"/>
        <v>2</v>
      </c>
    </row>
    <row r="281" spans="1:32" ht="43.2" x14ac:dyDescent="0.3">
      <c r="A281" t="s">
        <v>1757</v>
      </c>
      <c r="B281" s="7">
        <v>1</v>
      </c>
      <c r="C281" s="7">
        <v>3</v>
      </c>
      <c r="D281" s="7">
        <v>1</v>
      </c>
      <c r="E281" s="3">
        <f t="shared" si="33"/>
        <v>1</v>
      </c>
      <c r="F281" s="3">
        <f t="shared" si="34"/>
        <v>1</v>
      </c>
      <c r="G281" s="7">
        <v>5</v>
      </c>
      <c r="AB281" s="4" t="s">
        <v>39441</v>
      </c>
      <c r="AC281" s="6">
        <f>COUNTIFS($B$2:$B$386,1,$C$2:$C$386,1,$F$2:$F$386,1,$G$2:$G$386,4)</f>
        <v>0</v>
      </c>
      <c r="AD281" s="6">
        <f t="shared" si="35"/>
        <v>0</v>
      </c>
      <c r="AF281">
        <f t="shared" si="32"/>
        <v>2</v>
      </c>
    </row>
    <row r="282" spans="1:32" ht="43.2" x14ac:dyDescent="0.3">
      <c r="A282" t="s">
        <v>2235</v>
      </c>
      <c r="B282" s="7">
        <v>3</v>
      </c>
      <c r="C282" s="7">
        <v>3</v>
      </c>
      <c r="D282" s="7">
        <v>17</v>
      </c>
      <c r="E282" s="3">
        <f t="shared" si="33"/>
        <v>17</v>
      </c>
      <c r="F282" s="3">
        <f t="shared" si="34"/>
        <v>17</v>
      </c>
      <c r="G282" s="7">
        <v>4</v>
      </c>
      <c r="AB282" s="4" t="s">
        <v>39442</v>
      </c>
      <c r="AC282" s="6">
        <f>COUNTIFS($B$2:$B$386,2,$C$2:$C$386,1,$F$2:$F$386,1,$G$2:$G$386,4)</f>
        <v>0</v>
      </c>
      <c r="AD282" s="6">
        <f t="shared" si="35"/>
        <v>0</v>
      </c>
      <c r="AF282">
        <f t="shared" si="32"/>
        <v>2</v>
      </c>
    </row>
    <row r="283" spans="1:32" ht="43.2" x14ac:dyDescent="0.3">
      <c r="A283" t="s">
        <v>1772</v>
      </c>
      <c r="B283" s="7">
        <v>3</v>
      </c>
      <c r="C283" s="7">
        <v>3</v>
      </c>
      <c r="D283" s="7">
        <v>17</v>
      </c>
      <c r="E283" s="3">
        <f t="shared" si="33"/>
        <v>17</v>
      </c>
      <c r="F283" s="3">
        <f t="shared" si="34"/>
        <v>17</v>
      </c>
      <c r="G283" s="7">
        <v>4</v>
      </c>
      <c r="AB283" s="4" t="s">
        <v>39443</v>
      </c>
      <c r="AC283" s="6">
        <f>COUNTIFS($B$2:$B$386,3,$C$2:$C$386,1,$F$2:$F$386,1,$G$2:$G$386,4)</f>
        <v>0</v>
      </c>
      <c r="AD283" s="6">
        <f t="shared" si="35"/>
        <v>0</v>
      </c>
      <c r="AF283">
        <f t="shared" si="32"/>
        <v>2</v>
      </c>
    </row>
    <row r="284" spans="1:32" ht="43.2" x14ac:dyDescent="0.3">
      <c r="A284" s="6" t="s">
        <v>791</v>
      </c>
      <c r="B284" s="7">
        <v>3</v>
      </c>
      <c r="C284" s="7">
        <v>3</v>
      </c>
      <c r="D284" s="7">
        <v>17</v>
      </c>
      <c r="E284" s="3">
        <f t="shared" si="33"/>
        <v>17</v>
      </c>
      <c r="F284" s="3">
        <f t="shared" si="34"/>
        <v>17</v>
      </c>
      <c r="G284" s="7">
        <v>4</v>
      </c>
      <c r="AB284" s="4" t="s">
        <v>39444</v>
      </c>
      <c r="AC284" s="6">
        <f>COUNTIFS($B$2:$B$386,1,$C$2:$C$386,2,$F$2:$F$386,1,$G$2:$G$386,4)</f>
        <v>0</v>
      </c>
      <c r="AD284" s="6">
        <f t="shared" si="35"/>
        <v>0</v>
      </c>
      <c r="AF284">
        <f t="shared" si="32"/>
        <v>2</v>
      </c>
    </row>
    <row r="285" spans="1:32" ht="43.2" x14ac:dyDescent="0.3">
      <c r="A285" s="6" t="s">
        <v>374</v>
      </c>
      <c r="B285" s="7">
        <v>1</v>
      </c>
      <c r="C285" s="7">
        <v>3</v>
      </c>
      <c r="D285" s="7">
        <v>1</v>
      </c>
      <c r="E285" s="3">
        <f t="shared" si="33"/>
        <v>1</v>
      </c>
      <c r="F285" s="3">
        <f t="shared" si="34"/>
        <v>1</v>
      </c>
      <c r="G285" s="7">
        <v>5</v>
      </c>
      <c r="AB285" s="4" t="s">
        <v>39445</v>
      </c>
      <c r="AC285" s="6">
        <f>COUNTIFS($B$2:$B$386,2,$C$2:$C$386,2,$F$2:$F$386,1,$G$2:$G$386,4)</f>
        <v>0</v>
      </c>
      <c r="AD285" s="6">
        <f t="shared" si="35"/>
        <v>0</v>
      </c>
      <c r="AF285">
        <f t="shared" si="32"/>
        <v>2</v>
      </c>
    </row>
    <row r="286" spans="1:32" ht="43.2" x14ac:dyDescent="0.3">
      <c r="A286" t="s">
        <v>2527</v>
      </c>
      <c r="B286" s="3">
        <v>3</v>
      </c>
      <c r="C286" s="3">
        <v>3</v>
      </c>
      <c r="D286" s="3">
        <v>17</v>
      </c>
      <c r="E286" s="3">
        <f t="shared" si="33"/>
        <v>17</v>
      </c>
      <c r="F286" s="3">
        <f t="shared" si="34"/>
        <v>17</v>
      </c>
      <c r="G286" s="3">
        <v>4</v>
      </c>
      <c r="AB286" s="4" t="s">
        <v>39446</v>
      </c>
      <c r="AC286" s="6">
        <f>COUNTIFS($B$2:$B$386,3,$C$2:$C$386,2,$F$2:$F$386,1,$G$2:$G$386,4)</f>
        <v>0</v>
      </c>
      <c r="AD286" s="6">
        <f t="shared" si="35"/>
        <v>0</v>
      </c>
      <c r="AF286">
        <f t="shared" si="32"/>
        <v>2</v>
      </c>
    </row>
    <row r="287" spans="1:32" ht="43.2" x14ac:dyDescent="0.3">
      <c r="A287" t="s">
        <v>1858</v>
      </c>
      <c r="B287" s="7">
        <v>3</v>
      </c>
      <c r="C287" s="7">
        <v>3</v>
      </c>
      <c r="D287" s="7">
        <v>17</v>
      </c>
      <c r="E287" s="3">
        <f t="shared" si="33"/>
        <v>17</v>
      </c>
      <c r="F287" s="3">
        <f t="shared" si="34"/>
        <v>17</v>
      </c>
      <c r="G287" s="7">
        <v>4</v>
      </c>
      <c r="AB287" s="4" t="s">
        <v>39447</v>
      </c>
      <c r="AC287" s="6">
        <f>COUNTIFS($B$2:$B$386,1,$C$2:$C$386,3,$F$2:$F$386,1,$G$2:$G$386,4)</f>
        <v>0</v>
      </c>
      <c r="AD287" s="6">
        <f t="shared" si="35"/>
        <v>0</v>
      </c>
      <c r="AF287">
        <f t="shared" si="32"/>
        <v>2</v>
      </c>
    </row>
    <row r="288" spans="1:32" ht="43.2" x14ac:dyDescent="0.3">
      <c r="A288" t="s">
        <v>2419</v>
      </c>
      <c r="B288" s="3">
        <v>1</v>
      </c>
      <c r="C288" s="3">
        <v>1</v>
      </c>
      <c r="D288" s="3">
        <v>10</v>
      </c>
      <c r="E288" s="3">
        <f t="shared" si="33"/>
        <v>18</v>
      </c>
      <c r="F288" s="3">
        <f t="shared" si="34"/>
        <v>18</v>
      </c>
      <c r="G288" s="3">
        <v>2</v>
      </c>
      <c r="AB288" s="4" t="s">
        <v>39448</v>
      </c>
      <c r="AC288" s="6">
        <f>COUNTIFS($B$2:$B$386,2,$C$2:$C$386,3,$F$2:$F$386,1,$G$2:$G$386,4)</f>
        <v>0</v>
      </c>
      <c r="AD288" s="6">
        <f t="shared" si="35"/>
        <v>0</v>
      </c>
      <c r="AF288">
        <f t="shared" si="32"/>
        <v>2</v>
      </c>
    </row>
    <row r="289" spans="1:32" ht="43.2" x14ac:dyDescent="0.3">
      <c r="A289" t="s">
        <v>2442</v>
      </c>
      <c r="B289" s="7">
        <v>3</v>
      </c>
      <c r="C289" s="7">
        <v>3</v>
      </c>
      <c r="D289" s="7">
        <v>17</v>
      </c>
      <c r="E289" s="3">
        <f t="shared" si="33"/>
        <v>17</v>
      </c>
      <c r="F289" s="3">
        <f t="shared" si="34"/>
        <v>17</v>
      </c>
      <c r="G289" s="7">
        <v>4</v>
      </c>
      <c r="AB289" s="4" t="s">
        <v>39449</v>
      </c>
      <c r="AC289" s="6">
        <f>COUNTIFS($B$2:$B$386,3,$C$2:$C$386,3,$F$2:$F$386,1,$G$2:$G$386,4)</f>
        <v>0</v>
      </c>
      <c r="AD289" s="6">
        <f t="shared" si="35"/>
        <v>0</v>
      </c>
      <c r="AF289">
        <f t="shared" si="32"/>
        <v>2</v>
      </c>
    </row>
    <row r="290" spans="1:32" ht="43.2" x14ac:dyDescent="0.3">
      <c r="A290" s="6" t="s">
        <v>316</v>
      </c>
      <c r="B290" s="7">
        <v>1</v>
      </c>
      <c r="C290" s="7">
        <v>3</v>
      </c>
      <c r="D290" s="7">
        <v>1</v>
      </c>
      <c r="E290" s="3">
        <f t="shared" si="33"/>
        <v>1</v>
      </c>
      <c r="F290" s="3">
        <f t="shared" si="34"/>
        <v>1</v>
      </c>
      <c r="G290" s="7">
        <v>5</v>
      </c>
      <c r="AB290" s="4" t="s">
        <v>39450</v>
      </c>
      <c r="AC290" s="6">
        <f>COUNTIFS($B$2:$B$386,1,$C$2:$C$386,4,$F$2:$F$386,1,$G$2:$G$386,4)</f>
        <v>0</v>
      </c>
      <c r="AD290" s="6">
        <f t="shared" si="35"/>
        <v>0</v>
      </c>
      <c r="AF290">
        <f t="shared" si="32"/>
        <v>2</v>
      </c>
    </row>
    <row r="291" spans="1:32" ht="43.2" x14ac:dyDescent="0.3">
      <c r="A291" t="s">
        <v>2648</v>
      </c>
      <c r="B291" s="3">
        <v>3</v>
      </c>
      <c r="C291" s="3">
        <v>3</v>
      </c>
      <c r="D291" s="3">
        <v>17</v>
      </c>
      <c r="E291" s="3">
        <f t="shared" si="33"/>
        <v>17</v>
      </c>
      <c r="F291" s="3">
        <f t="shared" si="34"/>
        <v>17</v>
      </c>
      <c r="G291" s="3">
        <v>4</v>
      </c>
      <c r="AB291" s="4" t="s">
        <v>39451</v>
      </c>
      <c r="AC291" s="6">
        <f>COUNTIFS($B$2:$B$386,2,$C$2:$C$386,4,$F$2:$F$386,1,$G$2:$G$386,4)</f>
        <v>0</v>
      </c>
      <c r="AD291" s="6">
        <f t="shared" si="35"/>
        <v>0</v>
      </c>
      <c r="AF291">
        <f t="shared" si="32"/>
        <v>2</v>
      </c>
    </row>
    <row r="292" spans="1:32" ht="43.2" x14ac:dyDescent="0.3">
      <c r="A292" t="s">
        <v>2861</v>
      </c>
      <c r="B292" s="3">
        <v>3</v>
      </c>
      <c r="C292" s="3">
        <v>3</v>
      </c>
      <c r="D292" s="3">
        <v>17</v>
      </c>
      <c r="E292" s="3">
        <f t="shared" si="33"/>
        <v>17</v>
      </c>
      <c r="F292" s="3">
        <f t="shared" si="34"/>
        <v>17</v>
      </c>
      <c r="G292" s="3">
        <v>4</v>
      </c>
      <c r="AB292" s="4" t="s">
        <v>39452</v>
      </c>
      <c r="AC292" s="6">
        <f>COUNTIFS($B$2:$B$386,3,$C$2:$C$386,4,$F$2:$F$386,1,$G$2:$G$386,4)</f>
        <v>0</v>
      </c>
      <c r="AD292" s="6">
        <f t="shared" si="35"/>
        <v>0</v>
      </c>
      <c r="AF292">
        <f t="shared" si="32"/>
        <v>2</v>
      </c>
    </row>
    <row r="293" spans="1:32" ht="43.2" x14ac:dyDescent="0.3">
      <c r="A293" t="s">
        <v>2997</v>
      </c>
      <c r="B293" s="3">
        <v>3</v>
      </c>
      <c r="C293" s="3">
        <v>3</v>
      </c>
      <c r="D293" s="3">
        <v>17</v>
      </c>
      <c r="E293" s="3">
        <f t="shared" si="33"/>
        <v>17</v>
      </c>
      <c r="F293" s="3">
        <f t="shared" si="34"/>
        <v>17</v>
      </c>
      <c r="G293" s="3">
        <v>4</v>
      </c>
      <c r="AB293" s="4" t="s">
        <v>39453</v>
      </c>
      <c r="AC293" s="6">
        <f>COUNTIFS($B$2:$B$386,1,$C$2:$C$386,1,$F$2:$F$386,2,$G$2:$G$386,4)</f>
        <v>0</v>
      </c>
      <c r="AD293" s="6">
        <f t="shared" si="35"/>
        <v>0</v>
      </c>
      <c r="AF293">
        <f t="shared" si="32"/>
        <v>2</v>
      </c>
    </row>
    <row r="294" spans="1:32" ht="43.2" x14ac:dyDescent="0.3">
      <c r="A294" t="s">
        <v>1809</v>
      </c>
      <c r="B294" s="7">
        <v>3</v>
      </c>
      <c r="C294" s="7">
        <v>3</v>
      </c>
      <c r="D294" s="7">
        <v>17</v>
      </c>
      <c r="E294" s="3">
        <f t="shared" si="33"/>
        <v>17</v>
      </c>
      <c r="F294" s="3">
        <f t="shared" si="34"/>
        <v>17</v>
      </c>
      <c r="G294" s="7">
        <v>4</v>
      </c>
      <c r="AB294" s="4" t="s">
        <v>39454</v>
      </c>
      <c r="AC294" s="6">
        <f>COUNTIFS($B$2:$B$386,2,$C$2:$C$386,1,$F$2:$F$386,2,$G$2:$G$386,4)</f>
        <v>0</v>
      </c>
      <c r="AD294" s="6">
        <f t="shared" si="35"/>
        <v>0</v>
      </c>
      <c r="AF294">
        <f t="shared" si="32"/>
        <v>2</v>
      </c>
    </row>
    <row r="295" spans="1:32" ht="43.2" x14ac:dyDescent="0.3">
      <c r="A295" t="s">
        <v>1957</v>
      </c>
      <c r="B295" s="7">
        <v>3</v>
      </c>
      <c r="C295" s="7">
        <v>3</v>
      </c>
      <c r="D295" s="7">
        <v>17</v>
      </c>
      <c r="E295" s="3">
        <f t="shared" si="33"/>
        <v>17</v>
      </c>
      <c r="F295" s="3">
        <f t="shared" si="34"/>
        <v>17</v>
      </c>
      <c r="G295" s="7">
        <v>4</v>
      </c>
      <c r="AB295" s="4" t="s">
        <v>39455</v>
      </c>
      <c r="AC295" s="6">
        <f>COUNTIFS($B$2:$B$386,3,$C$2:$C$386,1,$F$2:$F$386,2,$G$2:$G$386,4)</f>
        <v>0</v>
      </c>
      <c r="AD295" s="6">
        <f t="shared" si="35"/>
        <v>0</v>
      </c>
      <c r="AF295">
        <f t="shared" si="32"/>
        <v>2</v>
      </c>
    </row>
    <row r="296" spans="1:32" ht="43.2" x14ac:dyDescent="0.3">
      <c r="A296" s="6" t="s">
        <v>526</v>
      </c>
      <c r="B296" s="7">
        <v>3</v>
      </c>
      <c r="C296" s="7">
        <v>3</v>
      </c>
      <c r="D296" s="7">
        <v>17</v>
      </c>
      <c r="E296" s="3">
        <f t="shared" si="33"/>
        <v>17</v>
      </c>
      <c r="F296" s="3">
        <f t="shared" si="34"/>
        <v>17</v>
      </c>
      <c r="G296" s="7">
        <v>4</v>
      </c>
      <c r="AB296" s="4" t="s">
        <v>39456</v>
      </c>
      <c r="AC296" s="6">
        <f>COUNTIFS($B$2:$B$386,1,$C$2:$C$386,2,$F$2:$F$386,2,$G$2:$G$386,4)</f>
        <v>0</v>
      </c>
      <c r="AD296" s="6">
        <f t="shared" si="35"/>
        <v>0</v>
      </c>
      <c r="AF296">
        <f t="shared" si="32"/>
        <v>2</v>
      </c>
    </row>
    <row r="297" spans="1:32" ht="43.2" x14ac:dyDescent="0.3">
      <c r="A297" s="6" t="s">
        <v>161</v>
      </c>
      <c r="B297" s="11">
        <v>1</v>
      </c>
      <c r="C297" s="11">
        <v>3</v>
      </c>
      <c r="D297" s="11">
        <v>2</v>
      </c>
      <c r="E297" s="3">
        <f t="shared" si="33"/>
        <v>2</v>
      </c>
      <c r="F297" s="3">
        <f t="shared" si="34"/>
        <v>2</v>
      </c>
      <c r="G297" s="11">
        <v>5</v>
      </c>
      <c r="AB297" s="4" t="s">
        <v>39457</v>
      </c>
      <c r="AC297" s="6">
        <f>COUNTIFS($B$2:$B$386,2,$C$2:$C$386,2,$F$2:$F$386,2,$G$2:$G$386,4)</f>
        <v>0</v>
      </c>
      <c r="AD297" s="6">
        <f t="shared" si="35"/>
        <v>0</v>
      </c>
      <c r="AF297">
        <f t="shared" si="32"/>
        <v>2</v>
      </c>
    </row>
    <row r="298" spans="1:32" ht="43.2" x14ac:dyDescent="0.3">
      <c r="A298" t="s">
        <v>3027</v>
      </c>
      <c r="B298" s="3">
        <v>3</v>
      </c>
      <c r="C298" s="3">
        <v>3</v>
      </c>
      <c r="D298" s="3">
        <v>17</v>
      </c>
      <c r="E298" s="3">
        <f t="shared" si="33"/>
        <v>17</v>
      </c>
      <c r="F298" s="3">
        <f t="shared" si="34"/>
        <v>17</v>
      </c>
      <c r="G298" s="3">
        <v>4</v>
      </c>
      <c r="AB298" s="4" t="s">
        <v>39458</v>
      </c>
      <c r="AC298" s="6">
        <f>COUNTIFS($B$2:$B$386,3,$C$2:$C$386,2,$F$2:$F$386,2,$G$2:$G$386,4)</f>
        <v>0</v>
      </c>
      <c r="AD298" s="6">
        <f t="shared" si="35"/>
        <v>0</v>
      </c>
      <c r="AF298">
        <f t="shared" si="32"/>
        <v>2</v>
      </c>
    </row>
    <row r="299" spans="1:32" ht="43.2" x14ac:dyDescent="0.3">
      <c r="A299" t="s">
        <v>2386</v>
      </c>
      <c r="B299" s="7">
        <v>1</v>
      </c>
      <c r="C299" s="7">
        <v>3</v>
      </c>
      <c r="D299" s="7">
        <v>1</v>
      </c>
      <c r="E299" s="3">
        <f t="shared" si="33"/>
        <v>1</v>
      </c>
      <c r="F299" s="3">
        <f t="shared" si="34"/>
        <v>1</v>
      </c>
      <c r="G299" s="7">
        <v>5</v>
      </c>
      <c r="AB299" s="4" t="s">
        <v>39459</v>
      </c>
      <c r="AC299" s="6">
        <f>COUNTIFS($B$2:$B$386,1,$C$2:$C$386,3,$F$2:$F$386,2,$G$2:$G$386,4)</f>
        <v>0</v>
      </c>
      <c r="AD299" s="6">
        <f t="shared" si="35"/>
        <v>0</v>
      </c>
      <c r="AF299">
        <f t="shared" si="32"/>
        <v>2</v>
      </c>
    </row>
    <row r="300" spans="1:32" ht="43.2" x14ac:dyDescent="0.3">
      <c r="A300" t="s">
        <v>2043</v>
      </c>
      <c r="B300" s="7">
        <v>3</v>
      </c>
      <c r="C300" s="7">
        <v>3</v>
      </c>
      <c r="D300" s="7">
        <v>17</v>
      </c>
      <c r="E300" s="3">
        <f t="shared" si="33"/>
        <v>17</v>
      </c>
      <c r="F300" s="3">
        <f t="shared" si="34"/>
        <v>17</v>
      </c>
      <c r="G300" s="7">
        <v>4</v>
      </c>
      <c r="AB300" s="4" t="s">
        <v>39460</v>
      </c>
      <c r="AC300" s="6">
        <f>COUNTIFS($B$2:$B$386,2,$C$2:$C$386,3,$F$2:$F$386,2,$G$2:$G$386,4)</f>
        <v>0</v>
      </c>
      <c r="AD300" s="6">
        <f t="shared" si="35"/>
        <v>0</v>
      </c>
      <c r="AF300">
        <f t="shared" si="32"/>
        <v>2</v>
      </c>
    </row>
    <row r="301" spans="1:32" ht="43.2" x14ac:dyDescent="0.3">
      <c r="A301" t="s">
        <v>2647</v>
      </c>
      <c r="B301" s="7">
        <v>3</v>
      </c>
      <c r="C301" s="7">
        <v>3</v>
      </c>
      <c r="D301" s="7">
        <v>17</v>
      </c>
      <c r="E301" s="3">
        <f t="shared" si="33"/>
        <v>17</v>
      </c>
      <c r="F301" s="3">
        <f t="shared" si="34"/>
        <v>17</v>
      </c>
      <c r="G301" s="7">
        <v>4</v>
      </c>
      <c r="AB301" s="4" t="s">
        <v>39461</v>
      </c>
      <c r="AC301" s="6">
        <f>COUNTIFS($B$2:$B$386,3,$C$2:$C$386,3,$F$2:$F$386,2,$G$2:$G$386,4)</f>
        <v>0</v>
      </c>
      <c r="AD301" s="6">
        <f t="shared" si="35"/>
        <v>0</v>
      </c>
      <c r="AF301">
        <f t="shared" si="32"/>
        <v>2</v>
      </c>
    </row>
    <row r="302" spans="1:32" ht="43.2" x14ac:dyDescent="0.3">
      <c r="A302" s="6" t="s">
        <v>903</v>
      </c>
      <c r="B302" s="7">
        <v>1</v>
      </c>
      <c r="C302" s="7">
        <v>3</v>
      </c>
      <c r="D302" s="7">
        <v>1</v>
      </c>
      <c r="E302" s="3">
        <f t="shared" si="33"/>
        <v>1</v>
      </c>
      <c r="F302" s="3">
        <f t="shared" si="34"/>
        <v>1</v>
      </c>
      <c r="G302" s="7">
        <v>5</v>
      </c>
      <c r="AB302" s="4" t="s">
        <v>39462</v>
      </c>
      <c r="AC302" s="6">
        <f>COUNTIFS($B$2:$B$386,1,$C$2:$C$386,4,$F$2:$F$386,2,$G$2:$G$386,4)</f>
        <v>0</v>
      </c>
      <c r="AD302" s="6">
        <f t="shared" si="35"/>
        <v>0</v>
      </c>
      <c r="AF302">
        <f t="shared" si="32"/>
        <v>2</v>
      </c>
    </row>
    <row r="303" spans="1:32" ht="43.2" x14ac:dyDescent="0.3">
      <c r="A303" t="s">
        <v>2685</v>
      </c>
      <c r="B303" s="7">
        <v>3</v>
      </c>
      <c r="C303" s="7">
        <v>3</v>
      </c>
      <c r="D303" s="7">
        <v>17</v>
      </c>
      <c r="E303" s="3">
        <f t="shared" si="33"/>
        <v>17</v>
      </c>
      <c r="F303" s="3">
        <f t="shared" si="34"/>
        <v>17</v>
      </c>
      <c r="G303" s="7">
        <v>4</v>
      </c>
      <c r="AB303" s="4" t="s">
        <v>39463</v>
      </c>
      <c r="AC303" s="6">
        <f>COUNTIFS($B$2:$B$386,2,$C$2:$C$386,4,$F$2:$F$386,2,$G$2:$G$386,4)</f>
        <v>0</v>
      </c>
      <c r="AD303" s="6">
        <f t="shared" si="35"/>
        <v>0</v>
      </c>
      <c r="AF303">
        <f t="shared" si="32"/>
        <v>2</v>
      </c>
    </row>
    <row r="304" spans="1:32" ht="43.2" x14ac:dyDescent="0.3">
      <c r="A304" t="s">
        <v>2726</v>
      </c>
      <c r="B304" s="3">
        <v>3</v>
      </c>
      <c r="C304" s="3">
        <v>3</v>
      </c>
      <c r="D304" s="3">
        <v>17</v>
      </c>
      <c r="E304" s="3">
        <f t="shared" si="33"/>
        <v>17</v>
      </c>
      <c r="F304" s="3">
        <f t="shared" si="34"/>
        <v>17</v>
      </c>
      <c r="G304" s="3">
        <v>4</v>
      </c>
      <c r="AB304" s="4" t="s">
        <v>39464</v>
      </c>
      <c r="AC304" s="6">
        <f>COUNTIFS($B$2:$B$386,3,$C$2:$C$386,4,$F$2:$F$386,2,$G$2:$G$386,4)</f>
        <v>0</v>
      </c>
      <c r="AD304" s="6">
        <f t="shared" si="35"/>
        <v>0</v>
      </c>
      <c r="AF304">
        <f t="shared" si="32"/>
        <v>2</v>
      </c>
    </row>
    <row r="305" spans="1:32" ht="43.2" x14ac:dyDescent="0.3">
      <c r="A305" t="s">
        <v>1679</v>
      </c>
      <c r="B305" s="7">
        <v>2</v>
      </c>
      <c r="C305" s="7">
        <v>2</v>
      </c>
      <c r="D305" s="7">
        <v>16</v>
      </c>
      <c r="E305" s="3">
        <f t="shared" si="33"/>
        <v>16</v>
      </c>
      <c r="F305" s="3">
        <f t="shared" si="34"/>
        <v>16</v>
      </c>
      <c r="G305" s="7">
        <v>3</v>
      </c>
      <c r="AB305" s="4" t="s">
        <v>39465</v>
      </c>
      <c r="AC305" s="6">
        <f>COUNTIFS($B$2:$B$386,1,$C$2:$C$386,1,$F$2:$F$386,3,$G$2:$G$386,4)</f>
        <v>0</v>
      </c>
      <c r="AD305" s="6">
        <f t="shared" si="35"/>
        <v>0</v>
      </c>
      <c r="AF305">
        <f t="shared" si="32"/>
        <v>2</v>
      </c>
    </row>
    <row r="306" spans="1:32" ht="43.2" x14ac:dyDescent="0.3">
      <c r="A306" t="s">
        <v>2765</v>
      </c>
      <c r="B306" s="3">
        <v>3</v>
      </c>
      <c r="C306" s="3">
        <v>3</v>
      </c>
      <c r="D306" s="3">
        <v>17</v>
      </c>
      <c r="E306" s="3">
        <f t="shared" si="33"/>
        <v>17</v>
      </c>
      <c r="F306" s="3">
        <f t="shared" si="34"/>
        <v>17</v>
      </c>
      <c r="G306" s="3">
        <v>4</v>
      </c>
      <c r="AB306" s="4" t="s">
        <v>39466</v>
      </c>
      <c r="AC306" s="6">
        <f>COUNTIFS($B$2:$B$386,2,$C$2:$C$386,1,$F$2:$F$386,3,$G$2:$G$386,4)</f>
        <v>0</v>
      </c>
      <c r="AD306" s="6">
        <f t="shared" si="35"/>
        <v>0</v>
      </c>
      <c r="AF306">
        <f t="shared" si="32"/>
        <v>2</v>
      </c>
    </row>
    <row r="307" spans="1:32" ht="43.2" x14ac:dyDescent="0.3">
      <c r="A307" t="s">
        <v>1100</v>
      </c>
      <c r="B307" s="3">
        <v>1</v>
      </c>
      <c r="C307" s="3">
        <v>2</v>
      </c>
      <c r="D307" s="3">
        <v>1</v>
      </c>
      <c r="E307" s="3">
        <f t="shared" si="33"/>
        <v>1</v>
      </c>
      <c r="F307" s="3">
        <f t="shared" si="34"/>
        <v>1</v>
      </c>
      <c r="G307" s="3">
        <v>3</v>
      </c>
      <c r="AB307" s="4" t="s">
        <v>39467</v>
      </c>
      <c r="AC307" s="6">
        <f>COUNTIFS($B$2:$B$386,3,$C$2:$C$386,1,$F$2:$F$386,3,$G$2:$G$386,4)</f>
        <v>0</v>
      </c>
      <c r="AD307" s="6">
        <f t="shared" si="35"/>
        <v>0</v>
      </c>
      <c r="AF307">
        <f t="shared" si="32"/>
        <v>2</v>
      </c>
    </row>
    <row r="308" spans="1:32" ht="43.2" x14ac:dyDescent="0.3">
      <c r="A308" s="6" t="s">
        <v>803</v>
      </c>
      <c r="B308" s="7">
        <v>3</v>
      </c>
      <c r="C308" s="7">
        <v>3</v>
      </c>
      <c r="D308" s="7">
        <v>17</v>
      </c>
      <c r="E308" s="3">
        <f t="shared" si="33"/>
        <v>17</v>
      </c>
      <c r="F308" s="3">
        <f t="shared" si="34"/>
        <v>17</v>
      </c>
      <c r="G308" s="7">
        <v>4</v>
      </c>
      <c r="AB308" s="4" t="s">
        <v>39468</v>
      </c>
      <c r="AC308" s="6">
        <f>COUNTIFS($B$2:$B$386,1,$C$2:$C$386,2,$F$2:$F$386,3,$G$2:$G$386,4)</f>
        <v>0</v>
      </c>
      <c r="AD308" s="6">
        <f t="shared" si="35"/>
        <v>0</v>
      </c>
      <c r="AF308">
        <f t="shared" si="32"/>
        <v>2</v>
      </c>
    </row>
    <row r="309" spans="1:32" ht="43.2" x14ac:dyDescent="0.3">
      <c r="A309" t="s">
        <v>3023</v>
      </c>
      <c r="B309" s="3">
        <v>3</v>
      </c>
      <c r="C309" s="3">
        <v>3</v>
      </c>
      <c r="D309" s="3">
        <v>17</v>
      </c>
      <c r="E309" s="3">
        <f t="shared" si="33"/>
        <v>17</v>
      </c>
      <c r="F309" s="3">
        <f t="shared" si="34"/>
        <v>17</v>
      </c>
      <c r="G309" s="3">
        <v>4</v>
      </c>
      <c r="AB309" s="4" t="s">
        <v>39469</v>
      </c>
      <c r="AC309" s="6">
        <f>COUNTIFS($B$2:$B$386,2,$C$2:$C$386,2,$F$2:$F$386,3,$G$2:$G$386,4)</f>
        <v>0</v>
      </c>
      <c r="AD309" s="6">
        <f t="shared" si="35"/>
        <v>0</v>
      </c>
      <c r="AF309">
        <f t="shared" si="32"/>
        <v>2</v>
      </c>
    </row>
    <row r="310" spans="1:32" ht="43.2" x14ac:dyDescent="0.3">
      <c r="A310" s="6" t="s">
        <v>262</v>
      </c>
      <c r="B310" s="7">
        <v>3</v>
      </c>
      <c r="C310" s="7">
        <v>3</v>
      </c>
      <c r="D310" s="7">
        <v>17</v>
      </c>
      <c r="E310" s="3">
        <f t="shared" si="33"/>
        <v>17</v>
      </c>
      <c r="F310" s="3">
        <f t="shared" si="34"/>
        <v>17</v>
      </c>
      <c r="G310" s="7">
        <v>4</v>
      </c>
      <c r="AB310" s="4" t="s">
        <v>39470</v>
      </c>
      <c r="AC310" s="6">
        <f>COUNTIFS($B$2:$B$386,3,$C$2:$C$386,2,$F$2:$F$386,3,$G$2:$G$386,4)</f>
        <v>0</v>
      </c>
      <c r="AD310" s="6">
        <f t="shared" si="35"/>
        <v>0</v>
      </c>
      <c r="AF310">
        <f t="shared" si="32"/>
        <v>2</v>
      </c>
    </row>
    <row r="311" spans="1:32" ht="43.2" x14ac:dyDescent="0.3">
      <c r="A311" t="s">
        <v>2988</v>
      </c>
      <c r="B311" s="3">
        <v>3</v>
      </c>
      <c r="C311" s="3">
        <v>3</v>
      </c>
      <c r="D311" s="3">
        <v>17</v>
      </c>
      <c r="E311" s="3">
        <f t="shared" si="33"/>
        <v>17</v>
      </c>
      <c r="F311" s="3">
        <f t="shared" si="34"/>
        <v>17</v>
      </c>
      <c r="G311" s="3">
        <v>4</v>
      </c>
      <c r="AB311" s="4" t="s">
        <v>39471</v>
      </c>
      <c r="AC311" s="6">
        <f>COUNTIFS($B$2:$B$386,1,$C$2:$C$386,3,$F$2:$F$386,3,$G$2:$G$386,4)</f>
        <v>0</v>
      </c>
      <c r="AD311" s="6">
        <f t="shared" si="35"/>
        <v>0</v>
      </c>
      <c r="AF311">
        <f t="shared" si="32"/>
        <v>2</v>
      </c>
    </row>
    <row r="312" spans="1:32" ht="43.2" x14ac:dyDescent="0.3">
      <c r="A312" t="s">
        <v>2869</v>
      </c>
      <c r="B312" s="3">
        <v>3</v>
      </c>
      <c r="C312" s="3">
        <v>3</v>
      </c>
      <c r="D312" s="3">
        <v>17</v>
      </c>
      <c r="E312" s="3">
        <f t="shared" si="33"/>
        <v>17</v>
      </c>
      <c r="F312" s="3">
        <f t="shared" si="34"/>
        <v>17</v>
      </c>
      <c r="G312" s="3">
        <v>4</v>
      </c>
      <c r="AB312" s="4" t="s">
        <v>39472</v>
      </c>
      <c r="AC312" s="6">
        <f>COUNTIFS($B$2:$B$386,2,$C$2:$C$386,3,$F$2:$F$386,3,$G$2:$G$386,4)</f>
        <v>0</v>
      </c>
      <c r="AD312" s="6">
        <f t="shared" si="35"/>
        <v>0</v>
      </c>
      <c r="AF312">
        <f t="shared" si="32"/>
        <v>2</v>
      </c>
    </row>
    <row r="313" spans="1:32" ht="43.2" x14ac:dyDescent="0.3">
      <c r="A313" t="s">
        <v>1616</v>
      </c>
      <c r="B313" s="7">
        <v>3</v>
      </c>
      <c r="C313" s="7">
        <v>3</v>
      </c>
      <c r="D313" s="7">
        <v>17</v>
      </c>
      <c r="E313" s="3">
        <f t="shared" si="33"/>
        <v>17</v>
      </c>
      <c r="F313" s="3">
        <f t="shared" si="34"/>
        <v>17</v>
      </c>
      <c r="G313" s="7">
        <v>4</v>
      </c>
      <c r="AB313" s="4" t="s">
        <v>39473</v>
      </c>
      <c r="AC313" s="6">
        <f>COUNTIFS($B$2:$B$386,3,$C$2:$C$386,3,$F$2:$F$386,3,$G$2:$G$386,4)</f>
        <v>0</v>
      </c>
      <c r="AD313" s="6">
        <f t="shared" si="35"/>
        <v>0</v>
      </c>
      <c r="AF313">
        <f t="shared" si="32"/>
        <v>2</v>
      </c>
    </row>
    <row r="314" spans="1:32" ht="43.2" x14ac:dyDescent="0.3">
      <c r="A314" t="s">
        <v>2539</v>
      </c>
      <c r="B314" s="11">
        <v>2</v>
      </c>
      <c r="C314" s="11">
        <v>2</v>
      </c>
      <c r="D314" s="11">
        <v>4</v>
      </c>
      <c r="E314" s="3">
        <f t="shared" si="33"/>
        <v>18</v>
      </c>
      <c r="F314" s="3">
        <f t="shared" si="34"/>
        <v>18</v>
      </c>
      <c r="G314" s="11">
        <v>2</v>
      </c>
      <c r="AB314" s="4" t="s">
        <v>39474</v>
      </c>
      <c r="AC314" s="6">
        <f>COUNTIFS($B$2:$B$386,1,$C$2:$C$386,4,$F$2:$F$386,3,$G$2:$G$386,4)</f>
        <v>0</v>
      </c>
      <c r="AD314" s="6">
        <f t="shared" si="35"/>
        <v>0</v>
      </c>
      <c r="AF314">
        <f t="shared" si="32"/>
        <v>2</v>
      </c>
    </row>
    <row r="315" spans="1:32" ht="43.2" x14ac:dyDescent="0.3">
      <c r="A315" s="6" t="s">
        <v>162</v>
      </c>
      <c r="B315" s="7">
        <v>3</v>
      </c>
      <c r="C315" s="7">
        <v>3</v>
      </c>
      <c r="D315" s="7">
        <v>17</v>
      </c>
      <c r="E315" s="3">
        <f t="shared" si="33"/>
        <v>17</v>
      </c>
      <c r="F315" s="3">
        <f t="shared" si="34"/>
        <v>17</v>
      </c>
      <c r="G315" s="7">
        <v>4</v>
      </c>
      <c r="AB315" s="4" t="s">
        <v>39475</v>
      </c>
      <c r="AC315" s="6">
        <f>COUNTIFS($B$2:$B$386,2,$C$2:$C$386,4,$F$2:$F$386,3,$G$2:$G$386,4)</f>
        <v>0</v>
      </c>
      <c r="AD315" s="6">
        <f t="shared" si="35"/>
        <v>0</v>
      </c>
      <c r="AF315">
        <f t="shared" si="32"/>
        <v>2</v>
      </c>
    </row>
    <row r="316" spans="1:32" ht="43.2" x14ac:dyDescent="0.3">
      <c r="A316" t="s">
        <v>2358</v>
      </c>
      <c r="B316" s="3">
        <v>3</v>
      </c>
      <c r="C316" s="3">
        <v>3</v>
      </c>
      <c r="D316" s="3">
        <v>17</v>
      </c>
      <c r="E316" s="3">
        <f t="shared" si="33"/>
        <v>17</v>
      </c>
      <c r="F316" s="3">
        <f t="shared" si="34"/>
        <v>17</v>
      </c>
      <c r="G316" s="3">
        <v>4</v>
      </c>
      <c r="AB316" s="4" t="s">
        <v>39476</v>
      </c>
      <c r="AC316" s="6">
        <f>COUNTIFS($B$2:$B$386,3,$C$2:$C$386,4,$F$2:$F$386,3,$G$2:$G$386,4)</f>
        <v>0</v>
      </c>
      <c r="AD316" s="6">
        <f t="shared" si="35"/>
        <v>0</v>
      </c>
      <c r="AF316">
        <f t="shared" si="32"/>
        <v>2</v>
      </c>
    </row>
    <row r="317" spans="1:32" ht="43.2" x14ac:dyDescent="0.3">
      <c r="A317" t="s">
        <v>2152</v>
      </c>
      <c r="B317" s="11">
        <v>3</v>
      </c>
      <c r="C317" s="11">
        <v>3</v>
      </c>
      <c r="D317" s="11">
        <v>17</v>
      </c>
      <c r="E317" s="3">
        <f t="shared" si="33"/>
        <v>17</v>
      </c>
      <c r="F317" s="3">
        <f t="shared" si="34"/>
        <v>17</v>
      </c>
      <c r="G317" s="11">
        <v>4</v>
      </c>
      <c r="AB317" s="10" t="s">
        <v>39477</v>
      </c>
      <c r="AC317" s="6">
        <f>COUNTIFS($B$2:$B$386,1,$C$2:$C$386,1,$F$2:$F$386,16,$G$2:$G$386,4)</f>
        <v>0</v>
      </c>
      <c r="AD317" s="6">
        <f t="shared" si="35"/>
        <v>0</v>
      </c>
      <c r="AF317">
        <f t="shared" si="32"/>
        <v>2</v>
      </c>
    </row>
    <row r="318" spans="1:32" ht="43.2" x14ac:dyDescent="0.3">
      <c r="A318" s="6" t="s">
        <v>655</v>
      </c>
      <c r="B318" s="7">
        <v>3</v>
      </c>
      <c r="C318" s="7">
        <v>3</v>
      </c>
      <c r="D318" s="7">
        <v>17</v>
      </c>
      <c r="E318" s="3">
        <f t="shared" si="33"/>
        <v>17</v>
      </c>
      <c r="F318" s="3">
        <f t="shared" si="34"/>
        <v>17</v>
      </c>
      <c r="G318" s="7">
        <v>4</v>
      </c>
      <c r="AB318" s="4" t="s">
        <v>39478</v>
      </c>
      <c r="AC318" s="6">
        <f>COUNTIFS($B$2:$B$386,2,$C$2:$C$386,1,$F$2:$F$386,16,$G$2:$G$386,4)</f>
        <v>0</v>
      </c>
      <c r="AD318" s="6">
        <f t="shared" si="35"/>
        <v>0</v>
      </c>
      <c r="AF318">
        <f t="shared" si="32"/>
        <v>2</v>
      </c>
    </row>
    <row r="319" spans="1:32" ht="43.2" x14ac:dyDescent="0.3">
      <c r="A319" t="s">
        <v>2722</v>
      </c>
      <c r="B319" s="3">
        <v>3</v>
      </c>
      <c r="C319" s="3">
        <v>3</v>
      </c>
      <c r="D319" s="3">
        <v>17</v>
      </c>
      <c r="E319" s="3">
        <f t="shared" si="33"/>
        <v>17</v>
      </c>
      <c r="F319" s="3">
        <f t="shared" si="34"/>
        <v>17</v>
      </c>
      <c r="G319" s="3">
        <v>4</v>
      </c>
      <c r="AB319" s="4" t="s">
        <v>39479</v>
      </c>
      <c r="AC319" s="6">
        <f>COUNTIFS($B$2:$B$386,3,$C$2:$C$386,1,$F$2:$F$386,16,$G$2:$G$386,4)</f>
        <v>0</v>
      </c>
      <c r="AD319" s="6">
        <f t="shared" si="35"/>
        <v>0</v>
      </c>
      <c r="AF319">
        <f t="shared" si="32"/>
        <v>2</v>
      </c>
    </row>
    <row r="320" spans="1:32" ht="43.2" x14ac:dyDescent="0.3">
      <c r="A320" s="6" t="s">
        <v>987</v>
      </c>
      <c r="B320" s="7">
        <v>2</v>
      </c>
      <c r="C320" s="7">
        <v>2</v>
      </c>
      <c r="D320" s="7">
        <v>16</v>
      </c>
      <c r="E320" s="3">
        <f t="shared" si="33"/>
        <v>16</v>
      </c>
      <c r="F320" s="3">
        <f t="shared" si="34"/>
        <v>16</v>
      </c>
      <c r="G320" s="7">
        <v>3</v>
      </c>
      <c r="AB320" s="4" t="s">
        <v>39480</v>
      </c>
      <c r="AC320" s="6">
        <f>COUNTIFS($B$2:$B$386,1,$C$2:$C$386,2,$F$2:$F$386,16,$G$2:$G$386,4)</f>
        <v>0</v>
      </c>
      <c r="AD320" s="6">
        <f t="shared" si="35"/>
        <v>0</v>
      </c>
      <c r="AF320">
        <f t="shared" si="32"/>
        <v>2</v>
      </c>
    </row>
    <row r="321" spans="1:32" ht="43.2" x14ac:dyDescent="0.3">
      <c r="A321" s="6" t="s">
        <v>382</v>
      </c>
      <c r="B321" s="7">
        <v>1</v>
      </c>
      <c r="C321" s="7">
        <v>3</v>
      </c>
      <c r="D321" s="7">
        <v>1</v>
      </c>
      <c r="E321" s="3">
        <f t="shared" si="33"/>
        <v>1</v>
      </c>
      <c r="F321" s="3">
        <f t="shared" si="34"/>
        <v>1</v>
      </c>
      <c r="G321" s="7">
        <v>5</v>
      </c>
      <c r="AB321" s="4" t="s">
        <v>39481</v>
      </c>
      <c r="AC321" s="6">
        <f>COUNTIFS($B$2:$B$386,2,$C$2:$C$386,2,$F$2:$F$386,16,$G$2:$G$386,4)</f>
        <v>2</v>
      </c>
      <c r="AD321" s="6">
        <f t="shared" si="35"/>
        <v>0.51948051948051943</v>
      </c>
      <c r="AF321">
        <f t="shared" si="32"/>
        <v>2</v>
      </c>
    </row>
    <row r="322" spans="1:32" ht="43.2" x14ac:dyDescent="0.3">
      <c r="A322" t="s">
        <v>1548</v>
      </c>
      <c r="B322" s="3">
        <v>1</v>
      </c>
      <c r="C322" s="3">
        <v>3</v>
      </c>
      <c r="D322" s="3">
        <v>1</v>
      </c>
      <c r="E322" s="3">
        <f t="shared" si="33"/>
        <v>1</v>
      </c>
      <c r="F322" s="3">
        <f t="shared" si="34"/>
        <v>1</v>
      </c>
      <c r="G322" s="3">
        <v>5</v>
      </c>
      <c r="AB322" s="4" t="s">
        <v>39482</v>
      </c>
      <c r="AC322" s="6">
        <f>COUNTIFS($B$2:$B$386,3,$C$2:$C$386,2,$F$2:$F$386,16,$G$2:$G$386,4)</f>
        <v>0</v>
      </c>
      <c r="AD322" s="6">
        <f t="shared" si="35"/>
        <v>0</v>
      </c>
      <c r="AF322">
        <f t="shared" ref="AF322:AF386" si="36">IF(AND(B322=1, C322=1, F322=18, G322=1), 1, 2)</f>
        <v>2</v>
      </c>
    </row>
    <row r="323" spans="1:32" ht="43.2" x14ac:dyDescent="0.3">
      <c r="A323" s="6" t="s">
        <v>701</v>
      </c>
      <c r="B323" s="11">
        <v>1</v>
      </c>
      <c r="C323" s="11">
        <v>3</v>
      </c>
      <c r="D323" s="11">
        <v>16</v>
      </c>
      <c r="E323" s="3">
        <f t="shared" ref="E323:E386" si="37">IF(OR(D323=4, D323=6, D323=8, D323=10, D323=12, D323=14), 18, D323)</f>
        <v>16</v>
      </c>
      <c r="F323" s="3">
        <f t="shared" ref="F323:F386" si="38">IF(OR(E323=5, E323=7, E323=9, E323=11, E323=13, E323=15), 19, E323)</f>
        <v>16</v>
      </c>
      <c r="G323" s="11">
        <v>5</v>
      </c>
      <c r="AB323" s="4" t="s">
        <v>39483</v>
      </c>
      <c r="AC323" s="6">
        <f>COUNTIFS($B$2:$B$386,1,$C$2:$C$386,3,$F$2:$F$386,16,$G$2:$G$386,4)</f>
        <v>0</v>
      </c>
      <c r="AD323" s="6">
        <f t="shared" ref="AD323:AD386" si="39">(AC323/385)*100</f>
        <v>0</v>
      </c>
      <c r="AF323">
        <f t="shared" si="36"/>
        <v>2</v>
      </c>
    </row>
    <row r="324" spans="1:32" ht="43.2" x14ac:dyDescent="0.3">
      <c r="A324" t="s">
        <v>2212</v>
      </c>
      <c r="B324" s="7">
        <v>3</v>
      </c>
      <c r="C324" s="7">
        <v>3</v>
      </c>
      <c r="D324" s="7">
        <v>17</v>
      </c>
      <c r="E324" s="3">
        <f t="shared" si="37"/>
        <v>17</v>
      </c>
      <c r="F324" s="3">
        <f t="shared" si="38"/>
        <v>17</v>
      </c>
      <c r="G324" s="7">
        <v>4</v>
      </c>
      <c r="AB324" s="4" t="s">
        <v>39484</v>
      </c>
      <c r="AC324" s="6">
        <f>COUNTIFS($B$2:$B$386,2,$C$2:$C$386,3,$F$2:$F$386,16,$G$2:$G$386,4)</f>
        <v>11</v>
      </c>
      <c r="AD324" s="6">
        <f t="shared" si="39"/>
        <v>2.8571428571428572</v>
      </c>
      <c r="AF324">
        <f t="shared" si="36"/>
        <v>2</v>
      </c>
    </row>
    <row r="325" spans="1:32" ht="43.2" x14ac:dyDescent="0.3">
      <c r="A325" t="s">
        <v>1658</v>
      </c>
      <c r="B325" s="3">
        <v>1</v>
      </c>
      <c r="C325" s="3">
        <v>3</v>
      </c>
      <c r="D325" s="3">
        <v>1</v>
      </c>
      <c r="E325" s="3">
        <f t="shared" si="37"/>
        <v>1</v>
      </c>
      <c r="F325" s="3">
        <f t="shared" si="38"/>
        <v>1</v>
      </c>
      <c r="G325" s="3">
        <v>5</v>
      </c>
      <c r="AB325" s="4" t="s">
        <v>39485</v>
      </c>
      <c r="AC325" s="6">
        <f>COUNTIFS($B$2:$B$386,3,$C$2:$C$386,3,$F$2:$F$386,16,$G$2:$G$386,4)</f>
        <v>0</v>
      </c>
      <c r="AD325" s="6">
        <f t="shared" si="39"/>
        <v>0</v>
      </c>
      <c r="AF325">
        <f t="shared" si="36"/>
        <v>2</v>
      </c>
    </row>
    <row r="326" spans="1:32" ht="43.2" x14ac:dyDescent="0.3">
      <c r="A326" s="6" t="s">
        <v>606</v>
      </c>
      <c r="B326" s="7">
        <v>3</v>
      </c>
      <c r="C326" s="7">
        <v>3</v>
      </c>
      <c r="D326" s="7">
        <v>17</v>
      </c>
      <c r="E326" s="3">
        <f t="shared" si="37"/>
        <v>17</v>
      </c>
      <c r="F326" s="3">
        <f t="shared" si="38"/>
        <v>17</v>
      </c>
      <c r="G326" s="7">
        <v>4</v>
      </c>
      <c r="AB326" s="4" t="s">
        <v>39486</v>
      </c>
      <c r="AC326" s="6">
        <f>COUNTIFS($B$2:$B$386,1,$C$2:$C$386,4,$F$2:$F$386,16,$G$2:$G$386,4)</f>
        <v>0</v>
      </c>
      <c r="AD326" s="6">
        <f t="shared" si="39"/>
        <v>0</v>
      </c>
      <c r="AF326">
        <f t="shared" si="36"/>
        <v>2</v>
      </c>
    </row>
    <row r="327" spans="1:32" ht="43.2" x14ac:dyDescent="0.3">
      <c r="A327" t="s">
        <v>1383</v>
      </c>
      <c r="B327" s="7">
        <v>3</v>
      </c>
      <c r="C327" s="7">
        <v>3</v>
      </c>
      <c r="D327" s="7">
        <v>17</v>
      </c>
      <c r="E327" s="3">
        <f t="shared" si="37"/>
        <v>17</v>
      </c>
      <c r="F327" s="3">
        <f t="shared" si="38"/>
        <v>17</v>
      </c>
      <c r="G327" s="7">
        <v>4</v>
      </c>
      <c r="AB327" s="4" t="s">
        <v>39487</v>
      </c>
      <c r="AC327" s="6">
        <f>COUNTIFS($B$2:$B$386,2,$C$2:$C$386,4,$F$2:$F$386,16,$G$2:$G$386,4)</f>
        <v>0</v>
      </c>
      <c r="AD327" s="6">
        <f t="shared" si="39"/>
        <v>0</v>
      </c>
      <c r="AF327">
        <f t="shared" si="36"/>
        <v>2</v>
      </c>
    </row>
    <row r="328" spans="1:32" ht="43.2" x14ac:dyDescent="0.3">
      <c r="A328" t="s">
        <v>2437</v>
      </c>
      <c r="B328" s="3">
        <v>3</v>
      </c>
      <c r="C328" s="3">
        <v>3</v>
      </c>
      <c r="D328" s="3">
        <v>17</v>
      </c>
      <c r="E328" s="3">
        <f t="shared" si="37"/>
        <v>17</v>
      </c>
      <c r="F328" s="3">
        <f t="shared" si="38"/>
        <v>17</v>
      </c>
      <c r="G328" s="3">
        <v>4</v>
      </c>
      <c r="AB328" s="4" t="s">
        <v>39488</v>
      </c>
      <c r="AC328" s="6">
        <f>COUNTIFS($B$2:$B$386,3,$C$2:$C$386,4,$F$2:$F$386,16,$G$2:$G$386,4)</f>
        <v>0</v>
      </c>
      <c r="AD328" s="6">
        <f t="shared" si="39"/>
        <v>0</v>
      </c>
      <c r="AF328">
        <f t="shared" si="36"/>
        <v>2</v>
      </c>
    </row>
    <row r="329" spans="1:32" ht="43.2" x14ac:dyDescent="0.3">
      <c r="A329" s="6" t="s">
        <v>928</v>
      </c>
      <c r="B329" s="11">
        <v>2</v>
      </c>
      <c r="C329" s="11">
        <v>2</v>
      </c>
      <c r="D329" s="11">
        <v>16</v>
      </c>
      <c r="E329" s="3">
        <f t="shared" si="37"/>
        <v>16</v>
      </c>
      <c r="F329" s="3">
        <f t="shared" si="38"/>
        <v>16</v>
      </c>
      <c r="G329" s="11">
        <v>3</v>
      </c>
      <c r="AB329" s="4" t="s">
        <v>39489</v>
      </c>
      <c r="AC329" s="6">
        <f>COUNTIFS($B$2:$B$386,1,$C$2:$C$386,1,$F$2:$F$386,17,$G$2:$G$386,4)</f>
        <v>0</v>
      </c>
      <c r="AD329" s="6">
        <f t="shared" si="39"/>
        <v>0</v>
      </c>
      <c r="AF329">
        <f t="shared" si="36"/>
        <v>2</v>
      </c>
    </row>
    <row r="330" spans="1:32" ht="43.2" x14ac:dyDescent="0.3">
      <c r="A330" t="s">
        <v>1512</v>
      </c>
      <c r="B330" s="11">
        <v>2</v>
      </c>
      <c r="C330" s="11">
        <v>2</v>
      </c>
      <c r="D330" s="11">
        <v>16</v>
      </c>
      <c r="E330" s="3">
        <f t="shared" si="37"/>
        <v>16</v>
      </c>
      <c r="F330" s="3">
        <f t="shared" si="38"/>
        <v>16</v>
      </c>
      <c r="G330" s="11">
        <v>3</v>
      </c>
      <c r="AB330" s="4" t="s">
        <v>39490</v>
      </c>
      <c r="AC330" s="6">
        <f>COUNTIFS($B$2:$B$386,2,$C$2:$C$386,1,$F$2:$F$386,17,$G$2:$G$386,4)</f>
        <v>0</v>
      </c>
      <c r="AD330" s="6">
        <f t="shared" si="39"/>
        <v>0</v>
      </c>
      <c r="AF330">
        <f t="shared" si="36"/>
        <v>2</v>
      </c>
    </row>
    <row r="331" spans="1:32" ht="43.2" x14ac:dyDescent="0.3">
      <c r="A331" t="s">
        <v>3033</v>
      </c>
      <c r="B331" s="3">
        <v>3</v>
      </c>
      <c r="C331" s="3">
        <v>3</v>
      </c>
      <c r="D331" s="3">
        <v>17</v>
      </c>
      <c r="E331" s="3">
        <f t="shared" si="37"/>
        <v>17</v>
      </c>
      <c r="F331" s="3">
        <f t="shared" si="38"/>
        <v>17</v>
      </c>
      <c r="G331" s="3">
        <v>4</v>
      </c>
      <c r="AB331" s="4" t="s">
        <v>39491</v>
      </c>
      <c r="AC331" s="6">
        <f>COUNTIFS($B$2:$B$386,3,$C$2:$C$386,1,$F$2:$F$386,17,$G$2:$G$386,4)</f>
        <v>0</v>
      </c>
      <c r="AD331" s="6">
        <f t="shared" si="39"/>
        <v>0</v>
      </c>
      <c r="AF331">
        <f t="shared" si="36"/>
        <v>2</v>
      </c>
    </row>
    <row r="332" spans="1:32" ht="43.2" x14ac:dyDescent="0.3">
      <c r="A332" t="s">
        <v>2472</v>
      </c>
      <c r="B332" s="7">
        <v>1</v>
      </c>
      <c r="C332" s="7">
        <v>3</v>
      </c>
      <c r="D332" s="7">
        <v>1</v>
      </c>
      <c r="E332" s="3">
        <f t="shared" si="37"/>
        <v>1</v>
      </c>
      <c r="F332" s="3">
        <f t="shared" si="38"/>
        <v>1</v>
      </c>
      <c r="G332" s="7">
        <v>5</v>
      </c>
      <c r="AB332" s="4" t="s">
        <v>39492</v>
      </c>
      <c r="AC332" s="6">
        <f>COUNTIFS($B$2:$B$386,1,$C$2:$C$386,2,$F$2:$F$386,17,$G$2:$G$386,4)</f>
        <v>0</v>
      </c>
      <c r="AD332" s="6">
        <f t="shared" si="39"/>
        <v>0</v>
      </c>
      <c r="AF332">
        <f t="shared" si="36"/>
        <v>2</v>
      </c>
    </row>
    <row r="333" spans="1:32" ht="43.2" x14ac:dyDescent="0.3">
      <c r="A333" t="s">
        <v>2929</v>
      </c>
      <c r="B333" s="7">
        <v>1</v>
      </c>
      <c r="C333" s="7">
        <v>2</v>
      </c>
      <c r="D333" s="7">
        <v>16</v>
      </c>
      <c r="E333" s="3">
        <f t="shared" si="37"/>
        <v>16</v>
      </c>
      <c r="F333" s="3">
        <f t="shared" si="38"/>
        <v>16</v>
      </c>
      <c r="G333" s="7">
        <v>3</v>
      </c>
      <c r="AB333" s="4" t="s">
        <v>39493</v>
      </c>
      <c r="AC333" s="6">
        <f>COUNTIFS($B$2:$B$386,2,$C$2:$C$386,2,$F$2:$F$386,17,$G$2:$G$386,4)</f>
        <v>2</v>
      </c>
      <c r="AD333" s="6">
        <f t="shared" si="39"/>
        <v>0.51948051948051943</v>
      </c>
      <c r="AF333">
        <f t="shared" si="36"/>
        <v>2</v>
      </c>
    </row>
    <row r="334" spans="1:32" ht="43.2" x14ac:dyDescent="0.3">
      <c r="A334" t="s">
        <v>1827</v>
      </c>
      <c r="B334" s="7">
        <v>3</v>
      </c>
      <c r="C334" s="7">
        <v>3</v>
      </c>
      <c r="D334" s="7">
        <v>17</v>
      </c>
      <c r="E334" s="3">
        <f t="shared" si="37"/>
        <v>17</v>
      </c>
      <c r="F334" s="3">
        <f t="shared" si="38"/>
        <v>17</v>
      </c>
      <c r="G334" s="7">
        <v>3</v>
      </c>
      <c r="AB334" s="4" t="s">
        <v>39494</v>
      </c>
      <c r="AC334" s="6">
        <f>COUNTIFS($B$2:$B$386,3,$C$2:$C$386,2,$F$2:$F$386,17,$G$2:$G$386,4)</f>
        <v>1</v>
      </c>
      <c r="AD334" s="6">
        <f t="shared" si="39"/>
        <v>0.25974025974025972</v>
      </c>
      <c r="AF334">
        <f t="shared" si="36"/>
        <v>2</v>
      </c>
    </row>
    <row r="335" spans="1:32" ht="43.2" x14ac:dyDescent="0.3">
      <c r="A335" t="s">
        <v>2597</v>
      </c>
      <c r="B335" s="3">
        <v>3</v>
      </c>
      <c r="C335" s="3">
        <v>3</v>
      </c>
      <c r="D335" s="3">
        <v>17</v>
      </c>
      <c r="E335" s="3">
        <f t="shared" si="37"/>
        <v>17</v>
      </c>
      <c r="F335" s="3">
        <f t="shared" si="38"/>
        <v>17</v>
      </c>
      <c r="G335" s="3">
        <v>4</v>
      </c>
      <c r="AB335" s="4" t="s">
        <v>39495</v>
      </c>
      <c r="AC335" s="6">
        <f>COUNTIFS($B$2:$B$386,1,$C$2:$C$386,3,$F$2:$F$386,17,$G$2:$G$386,4)</f>
        <v>0</v>
      </c>
      <c r="AD335" s="6">
        <f t="shared" si="39"/>
        <v>0</v>
      </c>
      <c r="AF335">
        <f t="shared" si="36"/>
        <v>2</v>
      </c>
    </row>
    <row r="336" spans="1:32" ht="43.2" x14ac:dyDescent="0.3">
      <c r="A336" s="6" t="s">
        <v>519</v>
      </c>
      <c r="B336" s="7">
        <v>3</v>
      </c>
      <c r="C336" s="7">
        <v>3</v>
      </c>
      <c r="D336" s="7">
        <v>17</v>
      </c>
      <c r="E336" s="3">
        <f t="shared" si="37"/>
        <v>17</v>
      </c>
      <c r="F336" s="3">
        <f t="shared" si="38"/>
        <v>17</v>
      </c>
      <c r="G336" s="7">
        <v>4</v>
      </c>
      <c r="AB336" s="4" t="s">
        <v>39496</v>
      </c>
      <c r="AC336" s="6">
        <f>COUNTIFS($B$2:$B$386,2,$C$2:$C$386,3,$F$2:$F$386,17,$G$2:$G$386,4)</f>
        <v>5</v>
      </c>
      <c r="AD336" s="6">
        <f t="shared" si="39"/>
        <v>1.2987012987012987</v>
      </c>
      <c r="AF336">
        <f t="shared" si="36"/>
        <v>2</v>
      </c>
    </row>
    <row r="337" spans="1:32" ht="43.2" x14ac:dyDescent="0.3">
      <c r="A337" t="s">
        <v>3037</v>
      </c>
      <c r="B337" s="3">
        <v>3</v>
      </c>
      <c r="C337" s="3">
        <v>3</v>
      </c>
      <c r="D337" s="3">
        <v>17</v>
      </c>
      <c r="E337" s="3">
        <f t="shared" si="37"/>
        <v>17</v>
      </c>
      <c r="F337" s="3">
        <f t="shared" si="38"/>
        <v>17</v>
      </c>
      <c r="G337" s="3">
        <v>4</v>
      </c>
      <c r="AB337" s="4" t="s">
        <v>39497</v>
      </c>
      <c r="AC337" s="6">
        <f>COUNTIFS($B$2:$B$386,3,$C$2:$C$386,3,$F$2:$F$386,17,$G$2:$G$386,4)</f>
        <v>228</v>
      </c>
      <c r="AD337" s="6">
        <f t="shared" si="39"/>
        <v>59.220779220779221</v>
      </c>
      <c r="AF337">
        <f t="shared" si="36"/>
        <v>2</v>
      </c>
    </row>
    <row r="338" spans="1:32" ht="43.2" x14ac:dyDescent="0.3">
      <c r="A338" t="s">
        <v>1741</v>
      </c>
      <c r="B338" s="11">
        <v>3</v>
      </c>
      <c r="C338" s="11">
        <v>3</v>
      </c>
      <c r="D338" s="11">
        <v>17</v>
      </c>
      <c r="E338" s="3">
        <f t="shared" si="37"/>
        <v>17</v>
      </c>
      <c r="F338" s="3">
        <f t="shared" si="38"/>
        <v>17</v>
      </c>
      <c r="G338" s="11">
        <v>4</v>
      </c>
      <c r="AB338" s="4" t="s">
        <v>39498</v>
      </c>
      <c r="AC338" s="6">
        <f>COUNTIFS($B$2:$B$386,1,$C$2:$C$386,4,$F$2:$F$386,17,$G$2:$G$386,4)</f>
        <v>0</v>
      </c>
      <c r="AD338" s="6">
        <f t="shared" si="39"/>
        <v>0</v>
      </c>
      <c r="AF338">
        <f t="shared" si="36"/>
        <v>2</v>
      </c>
    </row>
    <row r="339" spans="1:32" ht="43.2" x14ac:dyDescent="0.3">
      <c r="A339" t="s">
        <v>2258</v>
      </c>
      <c r="B339" s="7">
        <v>3</v>
      </c>
      <c r="C339" s="7">
        <v>3</v>
      </c>
      <c r="D339" s="7">
        <v>17</v>
      </c>
      <c r="E339" s="3">
        <f t="shared" si="37"/>
        <v>17</v>
      </c>
      <c r="F339" s="3">
        <f t="shared" si="38"/>
        <v>17</v>
      </c>
      <c r="G339" s="7">
        <v>4</v>
      </c>
      <c r="AB339" s="4" t="s">
        <v>39499</v>
      </c>
      <c r="AC339" s="6">
        <f>COUNTIFS($B$2:$B$386,2,$C$2:$C$386,4,$F$2:$F$386,17,$G$2:$G$386,4)</f>
        <v>0</v>
      </c>
      <c r="AD339" s="6">
        <f t="shared" si="39"/>
        <v>0</v>
      </c>
      <c r="AF339">
        <f t="shared" si="36"/>
        <v>2</v>
      </c>
    </row>
    <row r="340" spans="1:32" ht="43.2" x14ac:dyDescent="0.3">
      <c r="A340" t="s">
        <v>1204</v>
      </c>
      <c r="B340" s="7">
        <v>3</v>
      </c>
      <c r="C340" s="7">
        <v>3</v>
      </c>
      <c r="D340" s="7">
        <v>17</v>
      </c>
      <c r="E340" s="3">
        <f t="shared" si="37"/>
        <v>17</v>
      </c>
      <c r="F340" s="3">
        <f t="shared" si="38"/>
        <v>17</v>
      </c>
      <c r="G340" s="7">
        <v>4</v>
      </c>
      <c r="AB340" s="4" t="s">
        <v>39500</v>
      </c>
      <c r="AC340" s="6">
        <f>COUNTIFS($B$2:$B$386,3,$C$2:$C$386,4,$F$2:$F$386,17,$G$2:$G$386,4)</f>
        <v>0</v>
      </c>
      <c r="AD340" s="6">
        <f t="shared" si="39"/>
        <v>0</v>
      </c>
      <c r="AF340">
        <f t="shared" si="36"/>
        <v>2</v>
      </c>
    </row>
    <row r="341" spans="1:32" x14ac:dyDescent="0.3">
      <c r="A341" s="6" t="s">
        <v>634</v>
      </c>
      <c r="B341" s="7">
        <v>1</v>
      </c>
      <c r="C341" s="7">
        <v>3</v>
      </c>
      <c r="D341" s="7">
        <v>1</v>
      </c>
      <c r="E341" s="3">
        <f t="shared" si="37"/>
        <v>1</v>
      </c>
      <c r="F341" s="3">
        <f t="shared" si="38"/>
        <v>1</v>
      </c>
      <c r="G341" s="7">
        <v>5</v>
      </c>
      <c r="AD341" s="6"/>
      <c r="AF341">
        <f t="shared" si="36"/>
        <v>2</v>
      </c>
    </row>
    <row r="342" spans="1:32" ht="43.2" x14ac:dyDescent="0.3">
      <c r="A342" s="6" t="s">
        <v>288</v>
      </c>
      <c r="B342" s="7">
        <v>3</v>
      </c>
      <c r="C342" s="7">
        <v>3</v>
      </c>
      <c r="D342" s="7">
        <v>17</v>
      </c>
      <c r="E342" s="3">
        <f t="shared" si="37"/>
        <v>17</v>
      </c>
      <c r="F342" s="3">
        <f t="shared" si="38"/>
        <v>17</v>
      </c>
      <c r="G342" s="7">
        <v>4</v>
      </c>
      <c r="AB342" s="4" t="s">
        <v>39501</v>
      </c>
      <c r="AC342" s="6">
        <f>COUNTIFS($B$2:$B$386,1,$C$2:$C$386,1,$F$2:$F$386,18,$G$2:$G$386,5)</f>
        <v>0</v>
      </c>
      <c r="AD342" s="6">
        <f t="shared" si="39"/>
        <v>0</v>
      </c>
      <c r="AF342">
        <f t="shared" si="36"/>
        <v>2</v>
      </c>
    </row>
    <row r="343" spans="1:32" ht="43.2" x14ac:dyDescent="0.3">
      <c r="A343" t="s">
        <v>2203</v>
      </c>
      <c r="B343" s="11">
        <v>1</v>
      </c>
      <c r="C343" s="11">
        <v>3</v>
      </c>
      <c r="D343" s="11">
        <v>1</v>
      </c>
      <c r="E343" s="3">
        <f t="shared" si="37"/>
        <v>1</v>
      </c>
      <c r="F343" s="3">
        <f t="shared" si="38"/>
        <v>1</v>
      </c>
      <c r="G343" s="11">
        <v>5</v>
      </c>
      <c r="AB343" s="4" t="s">
        <v>39502</v>
      </c>
      <c r="AC343" s="6">
        <f>COUNTIFS($B$2:$B$386,2,$C$2:$C$386,1,$F$2:$F$386,18,$G$2:$G$386,5)</f>
        <v>0</v>
      </c>
      <c r="AD343" s="6">
        <f t="shared" si="39"/>
        <v>0</v>
      </c>
      <c r="AF343">
        <f t="shared" si="36"/>
        <v>2</v>
      </c>
    </row>
    <row r="344" spans="1:32" ht="43.2" x14ac:dyDescent="0.3">
      <c r="A344" s="6" t="s">
        <v>575</v>
      </c>
      <c r="B344" s="7">
        <v>3</v>
      </c>
      <c r="C344" s="7">
        <v>3</v>
      </c>
      <c r="D344" s="7">
        <v>17</v>
      </c>
      <c r="E344" s="3">
        <f t="shared" si="37"/>
        <v>17</v>
      </c>
      <c r="F344" s="3">
        <f t="shared" si="38"/>
        <v>17</v>
      </c>
      <c r="G344" s="7">
        <v>4</v>
      </c>
      <c r="AB344" s="4" t="s">
        <v>39503</v>
      </c>
      <c r="AC344" s="6">
        <f>COUNTIFS($B$2:$B$386,3,$C$2:$C$386,1,$F$2:$F$386,18,$G$2:$G$386,5)</f>
        <v>0</v>
      </c>
      <c r="AD344" s="6">
        <f t="shared" si="39"/>
        <v>0</v>
      </c>
      <c r="AF344">
        <f t="shared" si="36"/>
        <v>2</v>
      </c>
    </row>
    <row r="345" spans="1:32" ht="43.2" x14ac:dyDescent="0.3">
      <c r="A345" t="s">
        <v>2613</v>
      </c>
      <c r="B345" s="7">
        <v>3</v>
      </c>
      <c r="C345" s="7">
        <v>3</v>
      </c>
      <c r="D345" s="7">
        <v>17</v>
      </c>
      <c r="E345" s="3">
        <f t="shared" si="37"/>
        <v>17</v>
      </c>
      <c r="F345" s="3">
        <f t="shared" si="38"/>
        <v>17</v>
      </c>
      <c r="G345" s="7">
        <v>4</v>
      </c>
      <c r="AB345" s="4" t="s">
        <v>39504</v>
      </c>
      <c r="AC345" s="6">
        <f>COUNTIFS($B$2:$B$386,1,$C$2:$C$386,2,$F$2:$F$386,18,$G$2:$G$386,5)</f>
        <v>0</v>
      </c>
      <c r="AD345" s="6">
        <f t="shared" si="39"/>
        <v>0</v>
      </c>
      <c r="AF345">
        <f t="shared" si="36"/>
        <v>2</v>
      </c>
    </row>
    <row r="346" spans="1:32" ht="43.2" x14ac:dyDescent="0.3">
      <c r="A346" s="6" t="s">
        <v>337</v>
      </c>
      <c r="B346" s="11">
        <v>1</v>
      </c>
      <c r="C346" s="11">
        <v>1</v>
      </c>
      <c r="D346" s="11">
        <v>8</v>
      </c>
      <c r="E346" s="3">
        <f t="shared" si="37"/>
        <v>18</v>
      </c>
      <c r="F346" s="3">
        <f t="shared" si="38"/>
        <v>18</v>
      </c>
      <c r="G346" s="11">
        <v>2</v>
      </c>
      <c r="AB346" s="4" t="s">
        <v>39505</v>
      </c>
      <c r="AC346" s="6">
        <f>COUNTIFS($B$2:$B$386,2,$C$2:$C$386,2,$F$2:$F$386,18,$G$2:$G$386,5)</f>
        <v>0</v>
      </c>
      <c r="AD346" s="6">
        <f t="shared" si="39"/>
        <v>0</v>
      </c>
      <c r="AF346">
        <f t="shared" si="36"/>
        <v>2</v>
      </c>
    </row>
    <row r="347" spans="1:32" ht="43.2" x14ac:dyDescent="0.3">
      <c r="A347" s="6" t="s">
        <v>362</v>
      </c>
      <c r="B347" s="11">
        <v>2</v>
      </c>
      <c r="C347" s="11">
        <v>2</v>
      </c>
      <c r="D347" s="11">
        <v>16</v>
      </c>
      <c r="E347" s="3">
        <f t="shared" si="37"/>
        <v>16</v>
      </c>
      <c r="F347" s="3">
        <f t="shared" si="38"/>
        <v>16</v>
      </c>
      <c r="G347" s="11">
        <v>3</v>
      </c>
      <c r="AB347" s="4" t="s">
        <v>39506</v>
      </c>
      <c r="AC347" s="6">
        <f>COUNTIFS($B$2:$B$386,3,$C$2:$C$386,2,$F$2:$F$386,18,$G$2:$G$386,5)</f>
        <v>0</v>
      </c>
      <c r="AD347" s="6">
        <f t="shared" si="39"/>
        <v>0</v>
      </c>
      <c r="AF347">
        <f t="shared" si="36"/>
        <v>2</v>
      </c>
    </row>
    <row r="348" spans="1:32" ht="43.2" x14ac:dyDescent="0.3">
      <c r="A348" t="s">
        <v>1930</v>
      </c>
      <c r="B348" s="7">
        <v>3</v>
      </c>
      <c r="C348" s="7">
        <v>3</v>
      </c>
      <c r="D348" s="7">
        <v>17</v>
      </c>
      <c r="E348" s="3">
        <f t="shared" si="37"/>
        <v>17</v>
      </c>
      <c r="F348" s="3">
        <f t="shared" si="38"/>
        <v>17</v>
      </c>
      <c r="G348" s="7">
        <v>4</v>
      </c>
      <c r="AB348" s="4" t="s">
        <v>39507</v>
      </c>
      <c r="AC348" s="6">
        <f>COUNTIFS($B$2:$B$386,1,$C$2:$C$386,3,$F$2:$F$386,18,$G$2:$G$386,5)</f>
        <v>0</v>
      </c>
      <c r="AD348" s="6">
        <f t="shared" si="39"/>
        <v>0</v>
      </c>
      <c r="AF348">
        <f t="shared" si="36"/>
        <v>2</v>
      </c>
    </row>
    <row r="349" spans="1:32" ht="43.2" x14ac:dyDescent="0.3">
      <c r="A349" s="6" t="s">
        <v>702</v>
      </c>
      <c r="B349" s="7">
        <v>3</v>
      </c>
      <c r="C349" s="7">
        <v>3</v>
      </c>
      <c r="D349" s="7">
        <v>17</v>
      </c>
      <c r="E349" s="3">
        <f t="shared" si="37"/>
        <v>17</v>
      </c>
      <c r="F349" s="3">
        <f t="shared" si="38"/>
        <v>17</v>
      </c>
      <c r="G349" s="7">
        <v>4</v>
      </c>
      <c r="AB349" s="4" t="s">
        <v>39508</v>
      </c>
      <c r="AC349" s="6">
        <f>COUNTIFS($B$2:$B$386,2,$C$2:$C$386,3,$F$2:$F$386,18,$G$2:$G$386,5)</f>
        <v>0</v>
      </c>
      <c r="AD349" s="6">
        <f t="shared" si="39"/>
        <v>0</v>
      </c>
      <c r="AF349">
        <f t="shared" si="36"/>
        <v>2</v>
      </c>
    </row>
    <row r="350" spans="1:32" ht="43.2" x14ac:dyDescent="0.3">
      <c r="A350" s="6" t="s">
        <v>451</v>
      </c>
      <c r="B350" s="7">
        <v>3</v>
      </c>
      <c r="C350" s="7">
        <v>3</v>
      </c>
      <c r="D350" s="7">
        <v>17</v>
      </c>
      <c r="E350" s="3">
        <f t="shared" si="37"/>
        <v>17</v>
      </c>
      <c r="F350" s="3">
        <f t="shared" si="38"/>
        <v>17</v>
      </c>
      <c r="G350" s="7">
        <v>4</v>
      </c>
      <c r="AB350" s="4" t="s">
        <v>39509</v>
      </c>
      <c r="AC350" s="6">
        <f>COUNTIFS($B$2:$B$386,3,$C$2:$C$386,3,$F$2:$F$386,18,$G$2:$G$386,5)</f>
        <v>0</v>
      </c>
      <c r="AD350" s="6">
        <f t="shared" si="39"/>
        <v>0</v>
      </c>
      <c r="AF350">
        <f t="shared" si="36"/>
        <v>2</v>
      </c>
    </row>
    <row r="351" spans="1:32" ht="43.2" x14ac:dyDescent="0.3">
      <c r="A351" t="s">
        <v>2515</v>
      </c>
      <c r="B351" s="7">
        <v>1</v>
      </c>
      <c r="C351" s="7">
        <v>3</v>
      </c>
      <c r="D351" s="7">
        <v>1</v>
      </c>
      <c r="E351" s="3">
        <f t="shared" si="37"/>
        <v>1</v>
      </c>
      <c r="F351" s="3">
        <f t="shared" si="38"/>
        <v>1</v>
      </c>
      <c r="G351" s="7">
        <v>5</v>
      </c>
      <c r="AB351" s="4" t="s">
        <v>39510</v>
      </c>
      <c r="AC351" s="6">
        <f>COUNTIFS($B$2:$B$386,1,$C$2:$C$386,4,$F$2:$F$386,18,$G$2:$G$386,5)</f>
        <v>0</v>
      </c>
      <c r="AD351" s="6">
        <f t="shared" si="39"/>
        <v>0</v>
      </c>
      <c r="AF351">
        <f t="shared" si="36"/>
        <v>2</v>
      </c>
    </row>
    <row r="352" spans="1:32" ht="43.2" x14ac:dyDescent="0.3">
      <c r="A352" t="s">
        <v>2534</v>
      </c>
      <c r="B352" s="7">
        <v>1</v>
      </c>
      <c r="C352" s="7">
        <v>3</v>
      </c>
      <c r="D352" s="7">
        <v>1</v>
      </c>
      <c r="E352" s="3">
        <f t="shared" si="37"/>
        <v>1</v>
      </c>
      <c r="F352" s="3">
        <f t="shared" si="38"/>
        <v>1</v>
      </c>
      <c r="G352" s="7">
        <v>5</v>
      </c>
      <c r="AB352" s="4" t="s">
        <v>39511</v>
      </c>
      <c r="AC352" s="6">
        <f>COUNTIFS($B$2:$B$386,2,$C$2:$C$386,4,$F$2:$F$386,18,$G$2:$G$386,5)</f>
        <v>0</v>
      </c>
      <c r="AD352" s="6">
        <f t="shared" si="39"/>
        <v>0</v>
      </c>
      <c r="AF352">
        <f t="shared" si="36"/>
        <v>2</v>
      </c>
    </row>
    <row r="353" spans="1:32" ht="43.2" x14ac:dyDescent="0.3">
      <c r="A353" s="6" t="s">
        <v>1172</v>
      </c>
      <c r="B353" s="3">
        <v>1</v>
      </c>
      <c r="C353" s="3">
        <v>3</v>
      </c>
      <c r="D353" s="3">
        <v>1</v>
      </c>
      <c r="E353" s="3">
        <f t="shared" si="37"/>
        <v>1</v>
      </c>
      <c r="F353" s="3">
        <f t="shared" si="38"/>
        <v>1</v>
      </c>
      <c r="G353" s="3">
        <v>5</v>
      </c>
      <c r="AB353" s="4" t="s">
        <v>39512</v>
      </c>
      <c r="AC353" s="6">
        <f>COUNTIFS($B$2:$B$386,3,$C$2:$C$386,4,$F$2:$F$386,18,$G$2:$G$386,5)</f>
        <v>0</v>
      </c>
      <c r="AD353" s="6">
        <f t="shared" si="39"/>
        <v>0</v>
      </c>
      <c r="AF353">
        <f t="shared" si="36"/>
        <v>2</v>
      </c>
    </row>
    <row r="354" spans="1:32" ht="43.2" x14ac:dyDescent="0.3">
      <c r="A354" t="s">
        <v>2855</v>
      </c>
      <c r="B354" s="7">
        <v>2</v>
      </c>
      <c r="C354" s="7">
        <v>3</v>
      </c>
      <c r="D354" s="7">
        <v>9</v>
      </c>
      <c r="E354" s="3">
        <f t="shared" si="37"/>
        <v>9</v>
      </c>
      <c r="F354" s="3">
        <f t="shared" si="38"/>
        <v>19</v>
      </c>
      <c r="G354" s="7">
        <v>3</v>
      </c>
      <c r="AB354" s="4" t="s">
        <v>39513</v>
      </c>
      <c r="AC354" s="6">
        <f>COUNTIFS($B$2:$B$386,1,$C$2:$C$386,1,$F$2:$F$386,19,$G$2:$G$386,5)</f>
        <v>0</v>
      </c>
      <c r="AD354" s="6">
        <f t="shared" si="39"/>
        <v>0</v>
      </c>
      <c r="AF354">
        <f t="shared" si="36"/>
        <v>2</v>
      </c>
    </row>
    <row r="355" spans="1:32" ht="43.2" x14ac:dyDescent="0.3">
      <c r="A355" t="s">
        <v>2981</v>
      </c>
      <c r="B355" s="7">
        <v>3</v>
      </c>
      <c r="C355" s="7">
        <v>3</v>
      </c>
      <c r="D355" s="7">
        <v>17</v>
      </c>
      <c r="E355" s="3">
        <f t="shared" si="37"/>
        <v>17</v>
      </c>
      <c r="F355" s="3">
        <f t="shared" si="38"/>
        <v>17</v>
      </c>
      <c r="G355" s="7">
        <v>4</v>
      </c>
      <c r="AB355" s="4" t="s">
        <v>39514</v>
      </c>
      <c r="AC355" s="6">
        <f>COUNTIFS($B$2:$B$386,2,$C$2:$C$386,1,$F$2:$F$386,19,$G$2:$G$386,5)</f>
        <v>0</v>
      </c>
      <c r="AD355" s="6">
        <f t="shared" si="39"/>
        <v>0</v>
      </c>
      <c r="AF355">
        <f t="shared" si="36"/>
        <v>2</v>
      </c>
    </row>
    <row r="356" spans="1:32" ht="43.2" x14ac:dyDescent="0.3">
      <c r="A356" s="6" t="s">
        <v>1078</v>
      </c>
      <c r="B356" s="7">
        <v>1</v>
      </c>
      <c r="C356" s="7">
        <v>3</v>
      </c>
      <c r="D356" s="7">
        <v>1</v>
      </c>
      <c r="E356" s="3">
        <f t="shared" si="37"/>
        <v>1</v>
      </c>
      <c r="F356" s="3">
        <f t="shared" si="38"/>
        <v>1</v>
      </c>
      <c r="G356" s="7">
        <v>5</v>
      </c>
      <c r="AB356" s="4" t="s">
        <v>39515</v>
      </c>
      <c r="AC356" s="6">
        <f>COUNTIFS($B$2:$B$386,3,$C$2:$C$386,1,$F$2:$F$386,19,$G$2:$G$386,5)</f>
        <v>0</v>
      </c>
      <c r="AD356" s="6">
        <f t="shared" si="39"/>
        <v>0</v>
      </c>
      <c r="AF356">
        <f t="shared" si="36"/>
        <v>2</v>
      </c>
    </row>
    <row r="357" spans="1:32" ht="43.2" x14ac:dyDescent="0.3">
      <c r="A357" t="s">
        <v>1776</v>
      </c>
      <c r="B357" s="7">
        <v>1</v>
      </c>
      <c r="C357" s="7">
        <v>3</v>
      </c>
      <c r="D357" s="7">
        <v>1</v>
      </c>
      <c r="E357" s="3">
        <f t="shared" si="37"/>
        <v>1</v>
      </c>
      <c r="F357" s="3">
        <f t="shared" si="38"/>
        <v>1</v>
      </c>
      <c r="G357" s="7">
        <v>5</v>
      </c>
      <c r="AB357" s="4" t="s">
        <v>39516</v>
      </c>
      <c r="AC357" s="6">
        <f>COUNTIFS($B$2:$B$386,1,$C$2:$C$386,2,$F$2:$F$386,19,$G$2:$G$386,5)</f>
        <v>0</v>
      </c>
      <c r="AD357" s="6">
        <f t="shared" si="39"/>
        <v>0</v>
      </c>
      <c r="AF357">
        <f t="shared" si="36"/>
        <v>2</v>
      </c>
    </row>
    <row r="358" spans="1:32" ht="43.2" x14ac:dyDescent="0.3">
      <c r="A358" t="s">
        <v>2801</v>
      </c>
      <c r="B358" s="7">
        <v>1</v>
      </c>
      <c r="C358" s="7">
        <v>3</v>
      </c>
      <c r="D358" s="7">
        <v>1</v>
      </c>
      <c r="E358" s="3">
        <f t="shared" si="37"/>
        <v>1</v>
      </c>
      <c r="F358" s="3">
        <f t="shared" si="38"/>
        <v>1</v>
      </c>
      <c r="G358" s="7">
        <v>5</v>
      </c>
      <c r="AB358" s="4" t="s">
        <v>39517</v>
      </c>
      <c r="AC358" s="6">
        <f>COUNTIFS($B$2:$B$386,2,$C$2:$C$386,2,$F$2:$F$386,19,$G$2:$G$386,5)</f>
        <v>0</v>
      </c>
      <c r="AD358" s="6">
        <f t="shared" si="39"/>
        <v>0</v>
      </c>
      <c r="AF358">
        <f t="shared" si="36"/>
        <v>2</v>
      </c>
    </row>
    <row r="359" spans="1:32" ht="43.2" x14ac:dyDescent="0.3">
      <c r="A359" s="6" t="s">
        <v>419</v>
      </c>
      <c r="B359" s="11">
        <v>2</v>
      </c>
      <c r="C359" s="11">
        <v>2</v>
      </c>
      <c r="D359" s="11">
        <v>4</v>
      </c>
      <c r="E359" s="3">
        <f t="shared" si="37"/>
        <v>18</v>
      </c>
      <c r="F359" s="3">
        <f t="shared" si="38"/>
        <v>18</v>
      </c>
      <c r="G359" s="11">
        <v>2</v>
      </c>
      <c r="AB359" s="4" t="s">
        <v>39518</v>
      </c>
      <c r="AC359" s="6">
        <f>COUNTIFS($B$2:$B$386,3,$C$2:$C$386,2,$F$2:$F$386,19,$G$2:$G$386,5)</f>
        <v>0</v>
      </c>
      <c r="AD359" s="6">
        <f t="shared" si="39"/>
        <v>0</v>
      </c>
      <c r="AF359">
        <f t="shared" si="36"/>
        <v>2</v>
      </c>
    </row>
    <row r="360" spans="1:32" ht="43.2" x14ac:dyDescent="0.3">
      <c r="A360" t="s">
        <v>1431</v>
      </c>
      <c r="B360" s="11">
        <v>3</v>
      </c>
      <c r="C360" s="11">
        <v>3</v>
      </c>
      <c r="D360" s="11">
        <v>17</v>
      </c>
      <c r="E360" s="3">
        <f t="shared" si="37"/>
        <v>17</v>
      </c>
      <c r="F360" s="3">
        <f t="shared" si="38"/>
        <v>17</v>
      </c>
      <c r="G360" s="11">
        <v>4</v>
      </c>
      <c r="AB360" s="4" t="s">
        <v>39519</v>
      </c>
      <c r="AC360" s="6">
        <f>COUNTIFS($B$2:$B$386,1,$C$2:$C$386,3,$F$2:$F$386,19,$G$2:$G$386,5)</f>
        <v>0</v>
      </c>
      <c r="AD360" s="6">
        <f t="shared" si="39"/>
        <v>0</v>
      </c>
      <c r="AF360">
        <f t="shared" si="36"/>
        <v>2</v>
      </c>
    </row>
    <row r="361" spans="1:32" ht="43.2" x14ac:dyDescent="0.3">
      <c r="A361" t="s">
        <v>2252</v>
      </c>
      <c r="B361" s="11">
        <v>1</v>
      </c>
      <c r="C361" s="11">
        <v>3</v>
      </c>
      <c r="D361" s="11">
        <v>1</v>
      </c>
      <c r="E361" s="3">
        <f t="shared" si="37"/>
        <v>1</v>
      </c>
      <c r="F361" s="3">
        <f t="shared" si="38"/>
        <v>1</v>
      </c>
      <c r="G361" s="11">
        <v>5</v>
      </c>
      <c r="AB361" s="4" t="s">
        <v>39520</v>
      </c>
      <c r="AC361" s="6">
        <f>COUNTIFS($B$2:$B$386,2,$C$2:$C$386,3,$F$2:$F$386,19,$G$2:$G$386,5)</f>
        <v>0</v>
      </c>
      <c r="AD361" s="6">
        <f t="shared" si="39"/>
        <v>0</v>
      </c>
      <c r="AF361">
        <f t="shared" si="36"/>
        <v>2</v>
      </c>
    </row>
    <row r="362" spans="1:32" ht="43.2" x14ac:dyDescent="0.3">
      <c r="A362" t="s">
        <v>1668</v>
      </c>
      <c r="B362" s="3">
        <v>1</v>
      </c>
      <c r="C362" s="3">
        <v>3</v>
      </c>
      <c r="D362" s="3">
        <v>3</v>
      </c>
      <c r="E362" s="3">
        <f t="shared" si="37"/>
        <v>3</v>
      </c>
      <c r="F362" s="3">
        <f t="shared" si="38"/>
        <v>3</v>
      </c>
      <c r="G362" s="3">
        <v>5</v>
      </c>
      <c r="AB362" s="4" t="s">
        <v>39521</v>
      </c>
      <c r="AC362" s="6">
        <f>COUNTIFS($B$2:$B$386,3,$C$2:$C$386,3,$F$2:$F$386,19,$G$2:$G$386,5)</f>
        <v>0</v>
      </c>
      <c r="AD362" s="6">
        <f t="shared" si="39"/>
        <v>0</v>
      </c>
      <c r="AF362">
        <f t="shared" si="36"/>
        <v>2</v>
      </c>
    </row>
    <row r="363" spans="1:32" ht="43.2" x14ac:dyDescent="0.3">
      <c r="A363" t="s">
        <v>2062</v>
      </c>
      <c r="B363" s="7">
        <v>2</v>
      </c>
      <c r="C363" s="7">
        <v>3</v>
      </c>
      <c r="D363" s="7">
        <v>16</v>
      </c>
      <c r="E363" s="3">
        <f t="shared" si="37"/>
        <v>16</v>
      </c>
      <c r="F363" s="3">
        <f t="shared" si="38"/>
        <v>16</v>
      </c>
      <c r="G363" s="7">
        <v>4</v>
      </c>
      <c r="AB363" s="4" t="s">
        <v>39522</v>
      </c>
      <c r="AC363" s="6">
        <f>COUNTIFS($B$2:$B$386,1,$C$2:$C$386,4,$F$2:$F$386,19,$G$2:$G$386,5)</f>
        <v>0</v>
      </c>
      <c r="AD363" s="6">
        <f t="shared" si="39"/>
        <v>0</v>
      </c>
      <c r="AF363">
        <f t="shared" si="36"/>
        <v>2</v>
      </c>
    </row>
    <row r="364" spans="1:32" ht="43.2" x14ac:dyDescent="0.3">
      <c r="A364" t="s">
        <v>2521</v>
      </c>
      <c r="B364" s="7">
        <v>3</v>
      </c>
      <c r="C364" s="7">
        <v>3</v>
      </c>
      <c r="D364" s="7">
        <v>17</v>
      </c>
      <c r="E364" s="3">
        <f t="shared" si="37"/>
        <v>17</v>
      </c>
      <c r="F364" s="3">
        <f t="shared" si="38"/>
        <v>17</v>
      </c>
      <c r="G364" s="7">
        <v>4</v>
      </c>
      <c r="AB364" s="4" t="s">
        <v>39523</v>
      </c>
      <c r="AC364" s="6">
        <f>COUNTIFS($B$2:$B$386,2,$C$2:$C$386,4,$F$2:$F$386,19,$G$2:$G$386,5)</f>
        <v>0</v>
      </c>
      <c r="AD364" s="6">
        <f t="shared" si="39"/>
        <v>0</v>
      </c>
      <c r="AF364">
        <f t="shared" si="36"/>
        <v>2</v>
      </c>
    </row>
    <row r="365" spans="1:32" ht="43.2" x14ac:dyDescent="0.3">
      <c r="A365" t="s">
        <v>1199</v>
      </c>
      <c r="B365" s="3">
        <v>1</v>
      </c>
      <c r="C365" s="3">
        <v>3</v>
      </c>
      <c r="D365" s="3">
        <v>1</v>
      </c>
      <c r="E365" s="3">
        <f t="shared" si="37"/>
        <v>1</v>
      </c>
      <c r="F365" s="3">
        <f t="shared" si="38"/>
        <v>1</v>
      </c>
      <c r="G365" s="3">
        <v>5</v>
      </c>
      <c r="AB365" s="4" t="s">
        <v>39524</v>
      </c>
      <c r="AC365" s="6">
        <f>COUNTIFS($B$2:$B$386,3,$C$2:$C$386,4,$F$2:$F$386,19,$G$2:$G$386,5)</f>
        <v>0</v>
      </c>
      <c r="AD365" s="6">
        <f t="shared" si="39"/>
        <v>0</v>
      </c>
      <c r="AF365">
        <f t="shared" si="36"/>
        <v>2</v>
      </c>
    </row>
    <row r="366" spans="1:32" ht="28.8" x14ac:dyDescent="0.3">
      <c r="A366" t="s">
        <v>2640</v>
      </c>
      <c r="B366" s="7">
        <v>1</v>
      </c>
      <c r="C366" s="7">
        <v>3</v>
      </c>
      <c r="D366" s="7">
        <v>1</v>
      </c>
      <c r="E366" s="3">
        <f t="shared" si="37"/>
        <v>1</v>
      </c>
      <c r="F366" s="3">
        <f t="shared" si="38"/>
        <v>1</v>
      </c>
      <c r="G366" s="7">
        <v>5</v>
      </c>
      <c r="AB366" s="4" t="s">
        <v>39525</v>
      </c>
      <c r="AC366" s="6">
        <f>COUNTIFS($B$2:$B$386,1,$C$2:$C$386,1,$F$2:$F$386,1,$G$2:$G$386,5)</f>
        <v>0</v>
      </c>
      <c r="AD366" s="6">
        <f t="shared" si="39"/>
        <v>0</v>
      </c>
      <c r="AF366">
        <f t="shared" si="36"/>
        <v>2</v>
      </c>
    </row>
    <row r="367" spans="1:32" ht="28.8" x14ac:dyDescent="0.3">
      <c r="A367" t="s">
        <v>2749</v>
      </c>
      <c r="B367" s="7">
        <v>3</v>
      </c>
      <c r="C367" s="7">
        <v>3</v>
      </c>
      <c r="D367" s="7">
        <v>17</v>
      </c>
      <c r="E367" s="3">
        <f t="shared" si="37"/>
        <v>17</v>
      </c>
      <c r="F367" s="3">
        <f t="shared" si="38"/>
        <v>17</v>
      </c>
      <c r="G367" s="7">
        <v>4</v>
      </c>
      <c r="AB367" s="4" t="s">
        <v>39526</v>
      </c>
      <c r="AC367" s="6">
        <f>COUNTIFS($B$2:$B$386,2,$C$2:$C$386,1,$F$2:$F$386,1,$G$2:$G$386,5)</f>
        <v>0</v>
      </c>
      <c r="AD367" s="6">
        <f t="shared" si="39"/>
        <v>0</v>
      </c>
      <c r="AF367">
        <f t="shared" si="36"/>
        <v>2</v>
      </c>
    </row>
    <row r="368" spans="1:32" ht="28.8" x14ac:dyDescent="0.3">
      <c r="A368" t="s">
        <v>2543</v>
      </c>
      <c r="B368" s="11">
        <v>1</v>
      </c>
      <c r="C368" s="11">
        <v>3</v>
      </c>
      <c r="D368" s="11">
        <v>2</v>
      </c>
      <c r="E368" s="3">
        <f t="shared" si="37"/>
        <v>2</v>
      </c>
      <c r="F368" s="3">
        <f t="shared" si="38"/>
        <v>2</v>
      </c>
      <c r="G368" s="11">
        <v>5</v>
      </c>
      <c r="AB368" s="4" t="s">
        <v>39527</v>
      </c>
      <c r="AC368" s="6">
        <f>COUNTIFS($B$2:$B$386,3,$C$2:$C$386,1,$F$2:$F$386,1,$G$2:$G$386,5)</f>
        <v>0</v>
      </c>
      <c r="AD368" s="6">
        <f t="shared" si="39"/>
        <v>0</v>
      </c>
      <c r="AF368">
        <f t="shared" si="36"/>
        <v>2</v>
      </c>
    </row>
    <row r="369" spans="1:32" ht="28.8" x14ac:dyDescent="0.3">
      <c r="A369" s="6" t="s">
        <v>619</v>
      </c>
      <c r="B369" s="11">
        <v>1</v>
      </c>
      <c r="C369" s="11">
        <v>3</v>
      </c>
      <c r="D369" s="11">
        <v>2</v>
      </c>
      <c r="E369" s="3">
        <f t="shared" si="37"/>
        <v>2</v>
      </c>
      <c r="F369" s="3">
        <f t="shared" si="38"/>
        <v>2</v>
      </c>
      <c r="G369" s="11">
        <v>5</v>
      </c>
      <c r="AB369" s="4" t="s">
        <v>39528</v>
      </c>
      <c r="AC369" s="6">
        <f>COUNTIFS($B$2:$B$386,1,$C$2:$C$386,2,$F$2:$F$386,1,$G$2:$G$386,5)</f>
        <v>0</v>
      </c>
      <c r="AD369" s="6">
        <f t="shared" si="39"/>
        <v>0</v>
      </c>
      <c r="AF369">
        <f t="shared" si="36"/>
        <v>2</v>
      </c>
    </row>
    <row r="370" spans="1:32" ht="28.8" x14ac:dyDescent="0.3">
      <c r="A370" t="s">
        <v>2770</v>
      </c>
      <c r="B370" s="7">
        <v>1</v>
      </c>
      <c r="C370" s="7">
        <v>3</v>
      </c>
      <c r="D370" s="7">
        <v>1</v>
      </c>
      <c r="E370" s="3">
        <f t="shared" si="37"/>
        <v>1</v>
      </c>
      <c r="F370" s="3">
        <f t="shared" si="38"/>
        <v>1</v>
      </c>
      <c r="G370" s="7">
        <v>5</v>
      </c>
      <c r="AB370" s="4" t="s">
        <v>39529</v>
      </c>
      <c r="AC370" s="6">
        <f>COUNTIFS($B$2:$B$386,2,$C$2:$C$386,2,$F$2:$F$386,1,$G$2:$G$386,5)</f>
        <v>0</v>
      </c>
      <c r="AD370" s="6">
        <f t="shared" si="39"/>
        <v>0</v>
      </c>
      <c r="AF370">
        <f t="shared" si="36"/>
        <v>2</v>
      </c>
    </row>
    <row r="371" spans="1:32" ht="28.8" x14ac:dyDescent="0.3">
      <c r="A371" s="6" t="s">
        <v>677</v>
      </c>
      <c r="B371" s="11">
        <v>2</v>
      </c>
      <c r="C371" s="11">
        <v>2</v>
      </c>
      <c r="D371" s="11">
        <v>17</v>
      </c>
      <c r="E371" s="3">
        <f t="shared" si="37"/>
        <v>17</v>
      </c>
      <c r="F371" s="3">
        <f t="shared" si="38"/>
        <v>17</v>
      </c>
      <c r="G371" s="11">
        <v>4</v>
      </c>
      <c r="AB371" s="4" t="s">
        <v>39530</v>
      </c>
      <c r="AC371" s="6">
        <f>COUNTIFS($B$2:$B$386,3,$C$2:$C$386,2,$F$2:$F$386,1,$G$2:$G$386,5)</f>
        <v>0</v>
      </c>
      <c r="AD371" s="6">
        <f t="shared" si="39"/>
        <v>0</v>
      </c>
      <c r="AF371">
        <f t="shared" si="36"/>
        <v>2</v>
      </c>
    </row>
    <row r="372" spans="1:32" ht="43.2" x14ac:dyDescent="0.3">
      <c r="A372" s="6" t="s">
        <v>103</v>
      </c>
      <c r="B372" s="7">
        <v>3</v>
      </c>
      <c r="C372" s="7">
        <v>3</v>
      </c>
      <c r="D372" s="7">
        <v>17</v>
      </c>
      <c r="E372" s="3">
        <f t="shared" si="37"/>
        <v>17</v>
      </c>
      <c r="F372" s="3">
        <f t="shared" si="38"/>
        <v>17</v>
      </c>
      <c r="G372" s="7">
        <v>4</v>
      </c>
      <c r="AB372" s="4" t="s">
        <v>39531</v>
      </c>
      <c r="AC372" s="6">
        <f>COUNTIFS($B$2:$B$386,1,$C$2:$C$386,3,$F$2:$F$386,1,$G$2:$G$386,5)</f>
        <v>72</v>
      </c>
      <c r="AD372" s="6">
        <f t="shared" si="39"/>
        <v>18.7012987012987</v>
      </c>
      <c r="AF372">
        <f t="shared" si="36"/>
        <v>2</v>
      </c>
    </row>
    <row r="373" spans="1:32" ht="43.2" x14ac:dyDescent="0.3">
      <c r="A373" t="s">
        <v>2875</v>
      </c>
      <c r="B373" s="7">
        <v>2</v>
      </c>
      <c r="C373" s="7">
        <v>3</v>
      </c>
      <c r="D373" s="7">
        <v>17</v>
      </c>
      <c r="E373" s="3">
        <f t="shared" si="37"/>
        <v>17</v>
      </c>
      <c r="F373" s="3">
        <f t="shared" si="38"/>
        <v>17</v>
      </c>
      <c r="G373" s="7">
        <v>4</v>
      </c>
      <c r="AB373" s="4" t="s">
        <v>39532</v>
      </c>
      <c r="AC373" s="6">
        <f>COUNTIFS($B$2:$B$386,2,$C$2:$C$386,3,$F$2:$F$386,1,$G$2:$G$386,5)</f>
        <v>0</v>
      </c>
      <c r="AD373" s="6">
        <f t="shared" si="39"/>
        <v>0</v>
      </c>
      <c r="AF373">
        <f t="shared" si="36"/>
        <v>2</v>
      </c>
    </row>
    <row r="374" spans="1:32" ht="43.2" x14ac:dyDescent="0.3">
      <c r="A374" s="6" t="s">
        <v>822</v>
      </c>
      <c r="B374" s="7">
        <v>3</v>
      </c>
      <c r="C374" s="7">
        <v>3</v>
      </c>
      <c r="D374" s="7">
        <v>17</v>
      </c>
      <c r="E374" s="3">
        <f t="shared" si="37"/>
        <v>17</v>
      </c>
      <c r="F374" s="3">
        <f t="shared" si="38"/>
        <v>17</v>
      </c>
      <c r="G374" s="7">
        <v>4</v>
      </c>
      <c r="AB374" s="4" t="s">
        <v>39533</v>
      </c>
      <c r="AC374" s="6">
        <f>COUNTIFS($B$2:$B$386,3,$C$2:$C$386,3,$F$2:$F$386,1,$G$2:$G$386,5)</f>
        <v>0</v>
      </c>
      <c r="AD374" s="6">
        <f t="shared" si="39"/>
        <v>0</v>
      </c>
      <c r="AF374">
        <f t="shared" si="36"/>
        <v>2</v>
      </c>
    </row>
    <row r="375" spans="1:32" ht="43.2" x14ac:dyDescent="0.3">
      <c r="A375" t="s">
        <v>1838</v>
      </c>
      <c r="B375" s="7">
        <v>3</v>
      </c>
      <c r="C375" s="7">
        <v>3</v>
      </c>
      <c r="D375" s="7">
        <v>17</v>
      </c>
      <c r="E375" s="3">
        <f t="shared" si="37"/>
        <v>17</v>
      </c>
      <c r="F375" s="3">
        <f t="shared" si="38"/>
        <v>17</v>
      </c>
      <c r="G375" s="7">
        <v>4</v>
      </c>
      <c r="AB375" s="4" t="s">
        <v>39534</v>
      </c>
      <c r="AC375" s="6">
        <f>COUNTIFS($B$2:$B$386,1,$C$2:$C$386,4,$F$2:$F$386,1,$G$2:$G$386,5)</f>
        <v>0</v>
      </c>
      <c r="AD375" s="6">
        <f t="shared" si="39"/>
        <v>0</v>
      </c>
      <c r="AF375">
        <f t="shared" si="36"/>
        <v>2</v>
      </c>
    </row>
    <row r="376" spans="1:32" ht="43.2" x14ac:dyDescent="0.3">
      <c r="A376" t="s">
        <v>2607</v>
      </c>
      <c r="B376" s="3">
        <v>2</v>
      </c>
      <c r="C376" s="3">
        <v>2</v>
      </c>
      <c r="D376" s="3">
        <v>16</v>
      </c>
      <c r="E376" s="3">
        <f t="shared" si="37"/>
        <v>16</v>
      </c>
      <c r="F376" s="3">
        <f t="shared" si="38"/>
        <v>16</v>
      </c>
      <c r="G376" s="3">
        <v>3</v>
      </c>
      <c r="AB376" s="4" t="s">
        <v>39535</v>
      </c>
      <c r="AC376" s="6">
        <f>COUNTIFS($B$2:$B$386,2,$C$2:$C$386,4,$F$2:$F$386,1,$G$2:$G$386,5)</f>
        <v>0</v>
      </c>
      <c r="AD376" s="6">
        <f t="shared" si="39"/>
        <v>0</v>
      </c>
      <c r="AF376">
        <f t="shared" si="36"/>
        <v>2</v>
      </c>
    </row>
    <row r="377" spans="1:32" ht="43.2" x14ac:dyDescent="0.3">
      <c r="A377" t="s">
        <v>1359</v>
      </c>
      <c r="B377" s="7">
        <v>3</v>
      </c>
      <c r="C377" s="7">
        <v>3</v>
      </c>
      <c r="D377" s="7">
        <v>17</v>
      </c>
      <c r="E377" s="3">
        <f t="shared" si="37"/>
        <v>17</v>
      </c>
      <c r="F377" s="3">
        <f t="shared" si="38"/>
        <v>17</v>
      </c>
      <c r="G377" s="7">
        <v>4</v>
      </c>
      <c r="AB377" s="4" t="s">
        <v>39536</v>
      </c>
      <c r="AC377" s="6">
        <f>COUNTIFS($B$2:$B$386,3,$C$2:$C$386,4,$F$2:$F$386,1,$G$2:$G$386,5)</f>
        <v>0</v>
      </c>
      <c r="AD377" s="6">
        <f t="shared" si="39"/>
        <v>0</v>
      </c>
      <c r="AF377">
        <f t="shared" si="36"/>
        <v>2</v>
      </c>
    </row>
    <row r="378" spans="1:32" ht="43.2" x14ac:dyDescent="0.3">
      <c r="A378" t="s">
        <v>1423</v>
      </c>
      <c r="B378" s="3">
        <v>3</v>
      </c>
      <c r="C378" s="3">
        <v>3</v>
      </c>
      <c r="D378" s="3">
        <v>17</v>
      </c>
      <c r="E378" s="3">
        <f t="shared" si="37"/>
        <v>17</v>
      </c>
      <c r="F378" s="3">
        <f t="shared" si="38"/>
        <v>17</v>
      </c>
      <c r="G378" s="3">
        <v>4</v>
      </c>
      <c r="AB378" s="4" t="s">
        <v>39537</v>
      </c>
      <c r="AC378" s="6">
        <f>COUNTIFS($B$2:$B$386,1,$C$2:$C$386,1,$F$2:$F$386,2,$G$2:$G$386,5)</f>
        <v>0</v>
      </c>
      <c r="AD378" s="6">
        <f t="shared" si="39"/>
        <v>0</v>
      </c>
      <c r="AF378">
        <f t="shared" si="36"/>
        <v>2</v>
      </c>
    </row>
    <row r="379" spans="1:32" ht="43.2" x14ac:dyDescent="0.3">
      <c r="A379" s="6" t="s">
        <v>1228</v>
      </c>
      <c r="B379" s="3">
        <v>3</v>
      </c>
      <c r="C379" s="3">
        <v>3</v>
      </c>
      <c r="D379" s="3">
        <v>17</v>
      </c>
      <c r="E379" s="3">
        <f t="shared" si="37"/>
        <v>17</v>
      </c>
      <c r="F379" s="3">
        <f t="shared" si="38"/>
        <v>17</v>
      </c>
      <c r="G379" s="3">
        <v>4</v>
      </c>
      <c r="AB379" s="4" t="s">
        <v>39538</v>
      </c>
      <c r="AC379" s="6">
        <f>COUNTIFS($B$2:$B$386,2,$C$2:$C$386,1,$F$2:$F$386,2,$G$2:$G$386,5)</f>
        <v>0</v>
      </c>
      <c r="AD379" s="6">
        <f t="shared" si="39"/>
        <v>0</v>
      </c>
      <c r="AF379">
        <f t="shared" si="36"/>
        <v>2</v>
      </c>
    </row>
    <row r="380" spans="1:32" ht="43.2" x14ac:dyDescent="0.3">
      <c r="A380" t="s">
        <v>1347</v>
      </c>
      <c r="B380" s="3">
        <v>1</v>
      </c>
      <c r="C380" s="3">
        <v>3</v>
      </c>
      <c r="D380" s="3">
        <v>1</v>
      </c>
      <c r="E380" s="3">
        <f t="shared" si="37"/>
        <v>1</v>
      </c>
      <c r="F380" s="3">
        <f t="shared" si="38"/>
        <v>1</v>
      </c>
      <c r="G380" s="3">
        <v>5</v>
      </c>
      <c r="AB380" s="4" t="s">
        <v>39539</v>
      </c>
      <c r="AC380" s="6">
        <f>COUNTIFS($B$2:$B$386,3,$C$2:$C$386,1,$F$2:$F$386,2,$G$2:$G$386,5)</f>
        <v>0</v>
      </c>
      <c r="AD380" s="6">
        <f t="shared" si="39"/>
        <v>0</v>
      </c>
      <c r="AF380">
        <f t="shared" si="36"/>
        <v>2</v>
      </c>
    </row>
    <row r="381" spans="1:32" ht="43.2" x14ac:dyDescent="0.3">
      <c r="A381" s="6" t="s">
        <v>411</v>
      </c>
      <c r="B381" s="7">
        <v>2</v>
      </c>
      <c r="C381" s="7">
        <v>2</v>
      </c>
      <c r="D381" s="7">
        <v>9</v>
      </c>
      <c r="E381" s="3">
        <f t="shared" si="37"/>
        <v>9</v>
      </c>
      <c r="F381" s="3">
        <f t="shared" si="38"/>
        <v>19</v>
      </c>
      <c r="G381" s="7">
        <v>4</v>
      </c>
      <c r="AB381" s="4" t="s">
        <v>39540</v>
      </c>
      <c r="AC381" s="6">
        <f>COUNTIFS($B$2:$B$386,1,$C$2:$C$386,2,$F$2:$F$386,2,$G$2:$G$386,5)</f>
        <v>0</v>
      </c>
      <c r="AD381" s="6">
        <f t="shared" si="39"/>
        <v>0</v>
      </c>
      <c r="AF381">
        <f t="shared" si="36"/>
        <v>2</v>
      </c>
    </row>
    <row r="382" spans="1:32" ht="43.2" x14ac:dyDescent="0.3">
      <c r="A382" s="6" t="s">
        <v>401</v>
      </c>
      <c r="B382" s="7">
        <v>3</v>
      </c>
      <c r="C382" s="7">
        <v>3</v>
      </c>
      <c r="D382" s="7">
        <v>17</v>
      </c>
      <c r="E382" s="3">
        <f t="shared" si="37"/>
        <v>17</v>
      </c>
      <c r="F382" s="3">
        <f t="shared" si="38"/>
        <v>17</v>
      </c>
      <c r="G382" s="7">
        <v>4</v>
      </c>
      <c r="AB382" s="4" t="s">
        <v>39541</v>
      </c>
      <c r="AC382" s="6">
        <f>COUNTIFS($B$2:$B$386,2,$C$2:$C$386,2,$F$2:$F$386,2,$G$2:$G$386,5)</f>
        <v>1</v>
      </c>
      <c r="AD382" s="6">
        <f t="shared" si="39"/>
        <v>0.25974025974025972</v>
      </c>
      <c r="AF382">
        <f t="shared" si="36"/>
        <v>2</v>
      </c>
    </row>
    <row r="383" spans="1:32" ht="43.2" x14ac:dyDescent="0.3">
      <c r="A383" s="6" t="s">
        <v>394</v>
      </c>
      <c r="B383" s="7">
        <v>3</v>
      </c>
      <c r="C383" s="7">
        <v>3</v>
      </c>
      <c r="D383" s="7">
        <v>17</v>
      </c>
      <c r="E383" s="3">
        <f t="shared" si="37"/>
        <v>17</v>
      </c>
      <c r="F383" s="3">
        <f t="shared" si="38"/>
        <v>17</v>
      </c>
      <c r="G383" s="7">
        <v>4</v>
      </c>
      <c r="AB383" s="4" t="s">
        <v>39542</v>
      </c>
      <c r="AC383" s="6">
        <f>COUNTIFS($B$2:$B$386,3,$C$2:$C$386,2,$F$2:$F$386,2,$G$2:$G$386,5)</f>
        <v>0</v>
      </c>
      <c r="AD383" s="6">
        <f t="shared" si="39"/>
        <v>0</v>
      </c>
      <c r="AF383">
        <f t="shared" si="36"/>
        <v>2</v>
      </c>
    </row>
    <row r="384" spans="1:32" ht="43.2" x14ac:dyDescent="0.3">
      <c r="A384" t="s">
        <v>2731</v>
      </c>
      <c r="B384" s="7">
        <v>3</v>
      </c>
      <c r="C384" s="7">
        <v>3</v>
      </c>
      <c r="D384" s="7">
        <v>17</v>
      </c>
      <c r="E384" s="3">
        <f t="shared" si="37"/>
        <v>17</v>
      </c>
      <c r="F384" s="3">
        <f t="shared" si="38"/>
        <v>17</v>
      </c>
      <c r="G384" s="7">
        <v>4</v>
      </c>
      <c r="AB384" s="4" t="s">
        <v>39543</v>
      </c>
      <c r="AC384" s="6">
        <f>COUNTIFS($B$2:$B$386,1,$C$2:$C$386,3,$F$2:$F$386,2,$G$2:$G$386,5)</f>
        <v>14</v>
      </c>
      <c r="AD384" s="6">
        <f t="shared" si="39"/>
        <v>3.6363636363636362</v>
      </c>
      <c r="AF384">
        <f t="shared" si="36"/>
        <v>2</v>
      </c>
    </row>
    <row r="385" spans="1:32" ht="43.2" x14ac:dyDescent="0.3">
      <c r="A385" t="s">
        <v>2582</v>
      </c>
      <c r="B385" s="3">
        <v>3</v>
      </c>
      <c r="C385" s="3">
        <v>3</v>
      </c>
      <c r="D385" s="3">
        <v>17</v>
      </c>
      <c r="E385" s="3">
        <f t="shared" si="37"/>
        <v>17</v>
      </c>
      <c r="F385" s="3">
        <f t="shared" si="38"/>
        <v>17</v>
      </c>
      <c r="G385" s="3">
        <v>4</v>
      </c>
      <c r="AB385" s="4" t="s">
        <v>39544</v>
      </c>
      <c r="AC385" s="6">
        <f>COUNTIFS($B$2:$B$386,2,$C$2:$C$386,3,$F$2:$F$386,2,$G$2:$G$386,5)</f>
        <v>0</v>
      </c>
      <c r="AD385" s="6">
        <f t="shared" si="39"/>
        <v>0</v>
      </c>
      <c r="AF385">
        <f t="shared" si="36"/>
        <v>2</v>
      </c>
    </row>
    <row r="386" spans="1:32" ht="43.2" x14ac:dyDescent="0.3">
      <c r="A386" t="s">
        <v>2601</v>
      </c>
      <c r="B386" s="3">
        <v>3</v>
      </c>
      <c r="C386" s="3">
        <v>3</v>
      </c>
      <c r="D386" s="3">
        <v>17</v>
      </c>
      <c r="E386" s="3">
        <f t="shared" si="37"/>
        <v>17</v>
      </c>
      <c r="F386" s="3">
        <f t="shared" si="38"/>
        <v>17</v>
      </c>
      <c r="G386" s="3">
        <v>4</v>
      </c>
      <c r="AB386" s="4" t="s">
        <v>39545</v>
      </c>
      <c r="AC386" s="6">
        <f>COUNTIFS($B$2:$B$386,3,$C$2:$C$386,3,$F$2:$F$386,2,$G$2:$G$386,5)</f>
        <v>0</v>
      </c>
      <c r="AD386" s="6">
        <f t="shared" si="39"/>
        <v>0</v>
      </c>
      <c r="AF386">
        <f t="shared" si="36"/>
        <v>2</v>
      </c>
    </row>
    <row r="387" spans="1:32" ht="43.2" x14ac:dyDescent="0.3">
      <c r="AB387" s="4" t="s">
        <v>39546</v>
      </c>
      <c r="AC387" s="6">
        <f>COUNTIFS($B$2:$B$386,1,$C$2:$C$386,4,$F$2:$F$386,2,$G$2:$G$386,5)</f>
        <v>0</v>
      </c>
      <c r="AD387" s="6">
        <f t="shared" ref="AD387:AD425" si="40">(AC387/385)*100</f>
        <v>0</v>
      </c>
    </row>
    <row r="388" spans="1:32" ht="43.2" x14ac:dyDescent="0.3">
      <c r="A388" s="2"/>
      <c r="AB388" s="4" t="s">
        <v>39547</v>
      </c>
      <c r="AC388" s="6">
        <f>COUNTIFS($B$2:$B$386,2,$C$2:$C$386,4,$F$2:$F$386,2,$G$2:$G$386,5)</f>
        <v>0</v>
      </c>
      <c r="AD388" s="6">
        <f t="shared" si="40"/>
        <v>0</v>
      </c>
    </row>
    <row r="389" spans="1:32" ht="43.2" x14ac:dyDescent="0.3">
      <c r="AB389" s="4" t="s">
        <v>39548</v>
      </c>
      <c r="AC389" s="6">
        <f>COUNTIFS($B$2:$B$386,3,$C$2:$C$386,4,$F$2:$F$386,2,$G$2:$G$386,5)</f>
        <v>0</v>
      </c>
      <c r="AD389" s="6">
        <f t="shared" si="40"/>
        <v>0</v>
      </c>
    </row>
    <row r="390" spans="1:32" ht="43.2" x14ac:dyDescent="0.3">
      <c r="AB390" s="4" t="s">
        <v>39549</v>
      </c>
      <c r="AC390" s="6">
        <f>COUNTIFS($B$2:$B$386,1,$C$2:$C$386,1,$F$2:$F$386,3,$G$2:$G$386,5)</f>
        <v>0</v>
      </c>
      <c r="AD390" s="6">
        <f t="shared" si="40"/>
        <v>0</v>
      </c>
    </row>
    <row r="391" spans="1:32" ht="43.2" x14ac:dyDescent="0.3">
      <c r="B391" s="1"/>
      <c r="AB391" s="4" t="s">
        <v>39550</v>
      </c>
      <c r="AC391" s="6">
        <f>COUNTIFS($B$2:$B$386,2,$C$2:$C$386,1,$F$2:$F$386,3,$G$2:$G$386,5)</f>
        <v>0</v>
      </c>
      <c r="AD391" s="6">
        <f t="shared" si="40"/>
        <v>0</v>
      </c>
    </row>
    <row r="392" spans="1:32" ht="43.2" x14ac:dyDescent="0.3">
      <c r="C392" s="1"/>
      <c r="AB392" s="4" t="s">
        <v>39551</v>
      </c>
      <c r="AC392" s="6">
        <f>COUNTIFS($B$2:$B$386,3,$C$2:$C$386,1,$F$2:$F$386,3,$G$2:$G$386,5)</f>
        <v>0</v>
      </c>
      <c r="AD392" s="6">
        <f t="shared" si="40"/>
        <v>0</v>
      </c>
    </row>
    <row r="393" spans="1:32" ht="43.2" x14ac:dyDescent="0.3">
      <c r="B393" s="1"/>
      <c r="G393" s="1"/>
      <c r="AB393" s="4" t="s">
        <v>39552</v>
      </c>
      <c r="AC393" s="6">
        <f>COUNTIFS($B$2:$B$386,1,$C$2:$C$386,2,$F$2:$F$386,3,$G$2:$G$386,5)</f>
        <v>0</v>
      </c>
      <c r="AD393" s="6">
        <f t="shared" si="40"/>
        <v>0</v>
      </c>
    </row>
    <row r="394" spans="1:32" ht="43.2" x14ac:dyDescent="0.3">
      <c r="C394" s="1"/>
      <c r="AB394" s="4" t="s">
        <v>39553</v>
      </c>
      <c r="AC394" s="6">
        <f>COUNTIFS($B$2:$B$386,2,$C$2:$C$386,2,$F$2:$F$386,3,$G$2:$G$386,5)</f>
        <v>0</v>
      </c>
      <c r="AD394" s="6">
        <f t="shared" si="40"/>
        <v>0</v>
      </c>
    </row>
    <row r="395" spans="1:32" ht="43.2" x14ac:dyDescent="0.3">
      <c r="AB395" s="4" t="s">
        <v>39554</v>
      </c>
      <c r="AC395" s="6">
        <f>COUNTIFS($B$2:$B$386,3,$C$2:$C$386,2,$F$2:$F$386,3,$G$2:$G$386,5)</f>
        <v>0</v>
      </c>
      <c r="AD395" s="6">
        <f t="shared" si="40"/>
        <v>0</v>
      </c>
    </row>
    <row r="396" spans="1:32" ht="43.2" x14ac:dyDescent="0.3">
      <c r="AB396" s="4" t="s">
        <v>39555</v>
      </c>
      <c r="AC396" s="6">
        <f>COUNTIFS($B$2:$B$386,1,$C$2:$C$386,3,$F$2:$F$386,3,$G$2:$G$386,5)</f>
        <v>6</v>
      </c>
      <c r="AD396" s="6">
        <f t="shared" si="40"/>
        <v>1.5584415584415585</v>
      </c>
    </row>
    <row r="397" spans="1:32" ht="43.2" x14ac:dyDescent="0.3">
      <c r="AB397" s="4" t="s">
        <v>39556</v>
      </c>
      <c r="AC397" s="6">
        <f>COUNTIFS($B$2:$B$386,2,$C$2:$C$386,3,$F$2:$F$386,3,$G$2:$G$386,5)</f>
        <v>0</v>
      </c>
      <c r="AD397" s="6">
        <f t="shared" si="40"/>
        <v>0</v>
      </c>
    </row>
    <row r="398" spans="1:32" ht="43.2" x14ac:dyDescent="0.3">
      <c r="AB398" s="4" t="s">
        <v>39557</v>
      </c>
      <c r="AC398" s="6">
        <f>COUNTIFS($B$2:$B$386,3,$C$2:$C$386,3,$F$2:$F$386,3,$G$2:$G$386,5)</f>
        <v>0</v>
      </c>
      <c r="AD398" s="6">
        <f t="shared" si="40"/>
        <v>0</v>
      </c>
    </row>
    <row r="399" spans="1:32" ht="43.2" x14ac:dyDescent="0.3">
      <c r="AB399" s="4" t="s">
        <v>39558</v>
      </c>
      <c r="AC399" s="6">
        <f>COUNTIFS($B$2:$B$386,1,$C$2:$C$386,4,$F$2:$F$386,3,$G$2:$G$386,5)</f>
        <v>0</v>
      </c>
      <c r="AD399" s="6">
        <f t="shared" si="40"/>
        <v>0</v>
      </c>
    </row>
    <row r="400" spans="1:32" ht="43.2" x14ac:dyDescent="0.3">
      <c r="AB400" s="4" t="s">
        <v>39559</v>
      </c>
      <c r="AC400" s="6">
        <f>COUNTIFS($B$2:$B$386,2,$C$2:$C$386,4,$F$2:$F$386,3,$G$2:$G$386,5)</f>
        <v>0</v>
      </c>
      <c r="AD400" s="6">
        <f t="shared" si="40"/>
        <v>0</v>
      </c>
    </row>
    <row r="401" spans="3:30" ht="43.2" x14ac:dyDescent="0.3">
      <c r="AB401" s="4" t="s">
        <v>39560</v>
      </c>
      <c r="AC401" s="6">
        <f>COUNTIFS($B$2:$B$386,3,$C$2:$C$386,4,$F$2:$F$386,3,$G$2:$G$386,5)</f>
        <v>0</v>
      </c>
      <c r="AD401" s="6">
        <f t="shared" si="40"/>
        <v>0</v>
      </c>
    </row>
    <row r="402" spans="3:30" ht="43.2" x14ac:dyDescent="0.3">
      <c r="AB402" s="4" t="s">
        <v>39561</v>
      </c>
      <c r="AC402" s="6">
        <f>COUNTIFS($B$2:$B$386,1,$C$2:$C$386,1,$F$2:$F$386,16,$G$2:$G$386,5)</f>
        <v>0</v>
      </c>
      <c r="AD402" s="6">
        <f t="shared" si="40"/>
        <v>0</v>
      </c>
    </row>
    <row r="403" spans="3:30" ht="43.2" x14ac:dyDescent="0.3">
      <c r="AB403" s="4" t="s">
        <v>39562</v>
      </c>
      <c r="AC403" s="6">
        <f>COUNTIFS($B$2:$B$386,2,$C$2:$C$386,1,$F$2:$F$386,16,$G$2:$G$386,5)</f>
        <v>0</v>
      </c>
      <c r="AD403" s="6">
        <f t="shared" si="40"/>
        <v>0</v>
      </c>
    </row>
    <row r="404" spans="3:30" ht="43.2" x14ac:dyDescent="0.3">
      <c r="AB404" s="4" t="s">
        <v>39563</v>
      </c>
      <c r="AC404" s="6">
        <f>COUNTIFS($B$2:$B$386,3,$C$2:$C$386,1,$F$2:$F$386,16,$G$2:$G$386,5)</f>
        <v>0</v>
      </c>
      <c r="AD404" s="6">
        <f t="shared" si="40"/>
        <v>0</v>
      </c>
    </row>
    <row r="405" spans="3:30" ht="43.2" x14ac:dyDescent="0.3">
      <c r="D405" s="1"/>
      <c r="AB405" s="4" t="s">
        <v>39564</v>
      </c>
      <c r="AC405" s="6">
        <f>COUNTIFS($B$2:$B$386,1,$C$2:$C$386,2,$F$2:$F$386,16,$G$2:$G$386,5)</f>
        <v>1</v>
      </c>
      <c r="AD405" s="6">
        <f t="shared" si="40"/>
        <v>0.25974025974025972</v>
      </c>
    </row>
    <row r="406" spans="3:30" ht="43.2" x14ac:dyDescent="0.3">
      <c r="AB406" s="4" t="s">
        <v>39565</v>
      </c>
      <c r="AC406" s="6">
        <f>COUNTIFS($B$2:$B$386,2,$C$2:$C$386,2,$F$2:$F$386,16,$G$2:$G$386,5)</f>
        <v>0</v>
      </c>
      <c r="AD406" s="6">
        <f t="shared" si="40"/>
        <v>0</v>
      </c>
    </row>
    <row r="407" spans="3:30" ht="43.2" x14ac:dyDescent="0.3">
      <c r="C407" s="21"/>
      <c r="AB407" s="4" t="s">
        <v>39566</v>
      </c>
      <c r="AC407" s="6">
        <f>COUNTIFS($B$2:$B$386,3,$C$2:$C$386,2,$F$2:$F$386,16,$G$2:$G$386,5)</f>
        <v>0</v>
      </c>
      <c r="AD407" s="6">
        <f t="shared" si="40"/>
        <v>0</v>
      </c>
    </row>
    <row r="408" spans="3:30" ht="43.2" x14ac:dyDescent="0.3">
      <c r="D408" s="1"/>
      <c r="AB408" s="4" t="s">
        <v>39567</v>
      </c>
      <c r="AC408" s="6">
        <f>COUNTIFS($B$2:$B$386,1,$C$2:$C$386,3,$F$2:$F$386,16,$G$2:$G$386,5)</f>
        <v>2</v>
      </c>
      <c r="AD408" s="6">
        <f t="shared" si="40"/>
        <v>0.51948051948051943</v>
      </c>
    </row>
    <row r="409" spans="3:30" ht="43.2" x14ac:dyDescent="0.3">
      <c r="D409" s="1"/>
      <c r="AB409" s="4" t="s">
        <v>39568</v>
      </c>
      <c r="AC409" s="6">
        <f>COUNTIFS($B$2:$B$386,2,$C$2:$C$386,3,$F$2:$F$386,16,$G$2:$G$386,5)</f>
        <v>0</v>
      </c>
      <c r="AD409" s="6">
        <f t="shared" si="40"/>
        <v>0</v>
      </c>
    </row>
    <row r="410" spans="3:30" ht="43.2" x14ac:dyDescent="0.3">
      <c r="D410" s="1"/>
      <c r="AB410" s="4" t="s">
        <v>39569</v>
      </c>
      <c r="AC410" s="6">
        <f>COUNTIFS($B$2:$B$386,3,$C$2:$C$386,3,$F$2:$F$386,16,$G$2:$G$386,5)</f>
        <v>0</v>
      </c>
      <c r="AD410" s="6">
        <f t="shared" si="40"/>
        <v>0</v>
      </c>
    </row>
    <row r="411" spans="3:30" ht="43.2" x14ac:dyDescent="0.3">
      <c r="D411" s="1"/>
      <c r="AB411" s="4" t="s">
        <v>39570</v>
      </c>
      <c r="AC411" s="6">
        <f>COUNTIFS($B$2:$B$386,1,$C$2:$C$386,4,$F$2:$F$386,16,$G$2:$G$386,5)</f>
        <v>0</v>
      </c>
      <c r="AD411" s="6">
        <f t="shared" si="40"/>
        <v>0</v>
      </c>
    </row>
    <row r="412" spans="3:30" ht="43.2" x14ac:dyDescent="0.3">
      <c r="D412" s="1"/>
      <c r="AB412" s="4" t="s">
        <v>39571</v>
      </c>
      <c r="AC412" s="6">
        <f>COUNTIFS($B$2:$B$386,2,$C$2:$C$386,4,$F$2:$F$386,16,$G$2:$G$386,5)</f>
        <v>0</v>
      </c>
      <c r="AD412" s="6">
        <f t="shared" si="40"/>
        <v>0</v>
      </c>
    </row>
    <row r="413" spans="3:30" ht="43.2" x14ac:dyDescent="0.3">
      <c r="D413" s="1"/>
      <c r="AB413" s="4" t="s">
        <v>39572</v>
      </c>
      <c r="AC413" s="6">
        <f>COUNTIFS($B$2:$B$386,3,$C$2:$C$386,4,$F$2:$F$386,16,$G$2:$G$386,5)</f>
        <v>0</v>
      </c>
      <c r="AD413" s="6">
        <f t="shared" si="40"/>
        <v>0</v>
      </c>
    </row>
    <row r="414" spans="3:30" ht="43.2" x14ac:dyDescent="0.3">
      <c r="C414" s="21"/>
      <c r="AB414" s="4" t="s">
        <v>39573</v>
      </c>
      <c r="AC414" s="6">
        <f>COUNTIFS($B$2:$B$386,1,$C$2:$C$386,1,$F$2:$F$386,17,$G$2:$G$386,5)</f>
        <v>0</v>
      </c>
      <c r="AD414" s="6">
        <f t="shared" si="40"/>
        <v>0</v>
      </c>
    </row>
    <row r="415" spans="3:30" ht="43.2" x14ac:dyDescent="0.3">
      <c r="AB415" s="4" t="s">
        <v>39574</v>
      </c>
      <c r="AC415" s="6">
        <f>COUNTIFS($B$2:$B$386,2,$C$2:$C$386,1,$F$2:$F$386,17,$G$2:$G$386,5)</f>
        <v>0</v>
      </c>
      <c r="AD415" s="6">
        <f t="shared" si="40"/>
        <v>0</v>
      </c>
    </row>
    <row r="416" spans="3:30" ht="43.2" x14ac:dyDescent="0.3">
      <c r="AB416" s="4" t="s">
        <v>39575</v>
      </c>
      <c r="AC416" s="6">
        <f>COUNTIFS($B$2:$B$386,3,$C$2:$C$386,1,$F$2:$F$386,17,$G$2:$G$386,5)</f>
        <v>0</v>
      </c>
      <c r="AD416" s="6">
        <f t="shared" si="40"/>
        <v>0</v>
      </c>
    </row>
    <row r="417" spans="28:30" ht="43.2" x14ac:dyDescent="0.3">
      <c r="AB417" s="4" t="s">
        <v>39576</v>
      </c>
      <c r="AC417" s="6">
        <f>COUNTIFS($B$2:$B$386,1,$C$2:$C$386,2,$F$2:$F$386,17,$G$2:$G$386,5)</f>
        <v>0</v>
      </c>
      <c r="AD417" s="6">
        <f t="shared" si="40"/>
        <v>0</v>
      </c>
    </row>
    <row r="418" spans="28:30" ht="43.2" x14ac:dyDescent="0.3">
      <c r="AB418" s="4" t="s">
        <v>39577</v>
      </c>
      <c r="AC418" s="6">
        <f>COUNTIFS($B$2:$B$386,2,$C$2:$C$386,2,$F$2:$F$386,17,$G$2:$G$386,5)</f>
        <v>0</v>
      </c>
      <c r="AD418" s="6">
        <f t="shared" si="40"/>
        <v>0</v>
      </c>
    </row>
    <row r="419" spans="28:30" ht="43.2" x14ac:dyDescent="0.3">
      <c r="AB419" s="4" t="s">
        <v>39578</v>
      </c>
      <c r="AC419" s="6">
        <f>COUNTIFS($B$2:$B$386,3,$C$2:$C$386,2,$F$2:$F$386,17,$G$2:$G$386,5)</f>
        <v>0</v>
      </c>
      <c r="AD419" s="6">
        <f t="shared" si="40"/>
        <v>0</v>
      </c>
    </row>
    <row r="420" spans="28:30" ht="43.2" x14ac:dyDescent="0.3">
      <c r="AB420" s="4" t="s">
        <v>39579</v>
      </c>
      <c r="AC420" s="6">
        <f>COUNTIFS($B$2:$B$386,1,$C$2:$C$386,3,$F$2:$F$386,17,$G$2:$G$386,5)</f>
        <v>0</v>
      </c>
      <c r="AD420" s="6">
        <f t="shared" si="40"/>
        <v>0</v>
      </c>
    </row>
    <row r="421" spans="28:30" ht="43.2" x14ac:dyDescent="0.3">
      <c r="AB421" s="4" t="s">
        <v>39580</v>
      </c>
      <c r="AC421" s="6">
        <f>COUNTIFS($B$2:$B$386,2,$C$2:$C$386,3,$F$2:$F$386,17,$G$2:$G$386,5)</f>
        <v>0</v>
      </c>
      <c r="AD421" s="6">
        <f t="shared" si="40"/>
        <v>0</v>
      </c>
    </row>
    <row r="422" spans="28:30" ht="43.2" x14ac:dyDescent="0.3">
      <c r="AB422" s="4" t="s">
        <v>39581</v>
      </c>
      <c r="AC422" s="6">
        <f>COUNTIFS($B$2:$B$386,3,$C$2:$C$386,3,$F$2:$F$386,17,$G$2:$G$386,5)</f>
        <v>0</v>
      </c>
      <c r="AD422" s="6">
        <f t="shared" si="40"/>
        <v>0</v>
      </c>
    </row>
    <row r="423" spans="28:30" ht="43.2" x14ac:dyDescent="0.3">
      <c r="AB423" s="4" t="s">
        <v>39582</v>
      </c>
      <c r="AC423" s="6">
        <f>COUNTIFS($B$2:$B$386,1,$C$2:$C$386,4,$F$2:$F$386,17,$G$2:$G$386,5)</f>
        <v>0</v>
      </c>
      <c r="AD423" s="6">
        <f t="shared" si="40"/>
        <v>0</v>
      </c>
    </row>
    <row r="424" spans="28:30" ht="43.2" x14ac:dyDescent="0.3">
      <c r="AB424" s="4" t="s">
        <v>39583</v>
      </c>
      <c r="AC424" s="6">
        <f>COUNTIFS($B$2:$B$386,2,$C$2:$C$386,4,$F$2:$F$386,17,$G$2:$G$386,5)</f>
        <v>0</v>
      </c>
      <c r="AD424" s="6">
        <f t="shared" si="40"/>
        <v>0</v>
      </c>
    </row>
    <row r="425" spans="28:30" ht="43.2" x14ac:dyDescent="0.3">
      <c r="AB425" s="4" t="s">
        <v>39584</v>
      </c>
      <c r="AC425" s="6">
        <f>COUNTIFS($B$2:$B$386,3,$C$2:$C$386,4,$F$2:$F$386,17,$G$2:$G$386,5)</f>
        <v>0</v>
      </c>
      <c r="AD425" s="6">
        <f t="shared" si="40"/>
        <v>0</v>
      </c>
    </row>
    <row r="427" spans="28:30" x14ac:dyDescent="0.3">
      <c r="AD427" s="6"/>
    </row>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5094D-5F95-4CD3-A0AA-9DD429A1F184}">
  <dimension ref="A1:P43"/>
  <sheetViews>
    <sheetView zoomScaleNormal="100" workbookViewId="0">
      <pane ySplit="1" topLeftCell="A2" activePane="bottomLeft" state="frozen"/>
      <selection pane="bottomLeft" activeCell="E4" sqref="E4"/>
    </sheetView>
  </sheetViews>
  <sheetFormatPr baseColWidth="10" defaultRowHeight="14.4" x14ac:dyDescent="0.3"/>
  <cols>
    <col min="1" max="1" width="53.88671875" customWidth="1"/>
    <col min="3" max="3" width="13.5546875" bestFit="1" customWidth="1"/>
    <col min="4" max="4" width="26.6640625" customWidth="1"/>
    <col min="5" max="5" width="24" bestFit="1" customWidth="1"/>
    <col min="7" max="7" width="14.109375" bestFit="1" customWidth="1"/>
    <col min="8" max="8" width="24" bestFit="1" customWidth="1"/>
    <col min="9" max="9" width="31" customWidth="1"/>
    <col min="11" max="11" width="14.109375" bestFit="1" customWidth="1"/>
    <col min="12" max="12" width="31" customWidth="1"/>
    <col min="13" max="13" width="26.77734375" customWidth="1"/>
    <col min="15" max="15" width="14.109375" bestFit="1" customWidth="1"/>
  </cols>
  <sheetData>
    <row r="1" spans="1:16" x14ac:dyDescent="0.3">
      <c r="A1" s="2" t="s">
        <v>3096</v>
      </c>
      <c r="B1" s="2" t="s">
        <v>3073</v>
      </c>
      <c r="C1" s="2" t="s">
        <v>3089</v>
      </c>
      <c r="D1" s="22" t="s">
        <v>6</v>
      </c>
      <c r="E1" s="22" t="s">
        <v>39119</v>
      </c>
      <c r="F1" s="22" t="s">
        <v>3073</v>
      </c>
      <c r="G1" s="22" t="s">
        <v>3089</v>
      </c>
      <c r="H1" s="23" t="s">
        <v>39119</v>
      </c>
      <c r="I1" s="23" t="s">
        <v>3091</v>
      </c>
      <c r="J1" s="23" t="s">
        <v>3073</v>
      </c>
      <c r="K1" s="23" t="s">
        <v>3089</v>
      </c>
      <c r="L1" s="22" t="s">
        <v>3091</v>
      </c>
      <c r="M1" s="22" t="s">
        <v>39165</v>
      </c>
      <c r="N1" s="22" t="s">
        <v>3073</v>
      </c>
      <c r="O1" s="22" t="s">
        <v>3089</v>
      </c>
    </row>
    <row r="2" spans="1:16" ht="43.2" x14ac:dyDescent="0.3">
      <c r="A2" s="30" t="s">
        <v>39166</v>
      </c>
      <c r="B2">
        <v>1</v>
      </c>
      <c r="C2" s="32">
        <f>(B2/385)*100</f>
        <v>0.25974025974025972</v>
      </c>
      <c r="D2" t="s">
        <v>13</v>
      </c>
      <c r="E2" s="4" t="s">
        <v>39605</v>
      </c>
      <c r="F2">
        <f>SUM(B2,B3)</f>
        <v>3</v>
      </c>
      <c r="G2" s="34">
        <f>(F2/385)*100</f>
        <v>0.77922077922077926</v>
      </c>
      <c r="H2" s="4" t="s">
        <v>39605</v>
      </c>
      <c r="I2" t="s">
        <v>14</v>
      </c>
      <c r="J2">
        <v>0</v>
      </c>
      <c r="K2" s="34">
        <f>(J2/385)*100</f>
        <v>0</v>
      </c>
      <c r="L2" t="s">
        <v>14</v>
      </c>
      <c r="M2" s="4" t="s">
        <v>39120</v>
      </c>
      <c r="N2">
        <v>0</v>
      </c>
      <c r="O2" s="34">
        <f>(N2/385)*100</f>
        <v>0</v>
      </c>
      <c r="P2" s="34">
        <f>SUM(O2,O8,O14,O20,O26,O32,O38)</f>
        <v>0.25974025974025972</v>
      </c>
    </row>
    <row r="3" spans="1:16" ht="57.6" x14ac:dyDescent="0.3">
      <c r="A3" s="4" t="s">
        <v>39249</v>
      </c>
      <c r="B3">
        <v>2</v>
      </c>
      <c r="C3" s="32">
        <f t="shared" ref="C3:C4" si="0">(B3/385)*100</f>
        <v>0.51948051948051943</v>
      </c>
      <c r="E3" s="4" t="s">
        <v>39606</v>
      </c>
      <c r="F3">
        <f>SUM(B5,B8,B10,B28)</f>
        <v>5</v>
      </c>
      <c r="G3" s="34">
        <f t="shared" ref="G3:G16" si="1">(F3/385)*100</f>
        <v>1.2987012987012987</v>
      </c>
      <c r="I3" t="s">
        <v>21</v>
      </c>
      <c r="J3">
        <v>0</v>
      </c>
      <c r="K3" s="34">
        <f>(J3/385)*100</f>
        <v>0</v>
      </c>
      <c r="M3" s="4" t="s">
        <v>39121</v>
      </c>
      <c r="N3">
        <v>0</v>
      </c>
      <c r="O3" s="34">
        <f t="shared" ref="O3:O43" si="2">(N3/385)*100</f>
        <v>0</v>
      </c>
      <c r="P3" s="34">
        <f t="shared" ref="P3:P6" si="3">SUM(O3,O9,O15,O21,O27,O33,O39)</f>
        <v>1.0389610389610389</v>
      </c>
    </row>
    <row r="4" spans="1:16" ht="86.4" x14ac:dyDescent="0.3">
      <c r="A4" s="4" t="s">
        <v>39253</v>
      </c>
      <c r="B4">
        <v>2</v>
      </c>
      <c r="C4" s="32">
        <f t="shared" si="0"/>
        <v>0.51948051948051943</v>
      </c>
      <c r="E4" s="4" t="s">
        <v>39602</v>
      </c>
      <c r="F4">
        <f>SUM(B9,B24,B26,B27,B29)</f>
        <v>95</v>
      </c>
      <c r="G4" s="34">
        <f t="shared" si="1"/>
        <v>24.675324675324674</v>
      </c>
      <c r="I4" t="s">
        <v>28</v>
      </c>
      <c r="J4">
        <v>0</v>
      </c>
      <c r="K4" s="34">
        <f t="shared" ref="K4:K33" si="4">(J4/385)*100</f>
        <v>0</v>
      </c>
      <c r="M4" s="4" t="s">
        <v>39125</v>
      </c>
      <c r="N4">
        <f>SUM(B8,B9)</f>
        <v>3</v>
      </c>
      <c r="O4" s="34">
        <f t="shared" si="2"/>
        <v>0.77922077922077926</v>
      </c>
      <c r="P4" s="34">
        <f t="shared" si="3"/>
        <v>8.5714285714285712</v>
      </c>
    </row>
    <row r="5" spans="1:16" ht="43.2" x14ac:dyDescent="0.3">
      <c r="A5" s="4" t="s">
        <v>39336</v>
      </c>
      <c r="B5">
        <v>1</v>
      </c>
      <c r="C5" s="32">
        <f t="shared" ref="C5:C7" si="5">(B5/385)*100</f>
        <v>0.25974025974025972</v>
      </c>
      <c r="E5" s="4" t="s">
        <v>34</v>
      </c>
      <c r="F5">
        <v>0</v>
      </c>
      <c r="G5" s="34">
        <f t="shared" si="1"/>
        <v>0</v>
      </c>
      <c r="I5" t="s">
        <v>3093</v>
      </c>
      <c r="J5">
        <f>SUM(B2,B3)</f>
        <v>3</v>
      </c>
      <c r="K5" s="34">
        <f t="shared" si="4"/>
        <v>0.77922077922077926</v>
      </c>
      <c r="M5" s="4" t="s">
        <v>39122</v>
      </c>
      <c r="N5">
        <v>0</v>
      </c>
      <c r="O5" s="34">
        <f t="shared" si="2"/>
        <v>0</v>
      </c>
      <c r="P5" s="34">
        <f t="shared" si="3"/>
        <v>65.194805194805198</v>
      </c>
    </row>
    <row r="6" spans="1:16" ht="43.2" x14ac:dyDescent="0.3">
      <c r="A6" s="4" t="s">
        <v>39349</v>
      </c>
      <c r="B6">
        <v>1</v>
      </c>
      <c r="C6" s="32">
        <f t="shared" si="5"/>
        <v>0.25974025974025972</v>
      </c>
      <c r="F6" s="40">
        <f>SUM(F2:F5)</f>
        <v>103</v>
      </c>
      <c r="G6" s="35">
        <f t="shared" si="1"/>
        <v>26.753246753246749</v>
      </c>
      <c r="I6" t="s">
        <v>3094</v>
      </c>
      <c r="J6">
        <v>0</v>
      </c>
      <c r="K6" s="34">
        <f t="shared" si="4"/>
        <v>0</v>
      </c>
      <c r="M6" s="4" t="s">
        <v>39123</v>
      </c>
      <c r="N6">
        <f>SUM(B24)</f>
        <v>72</v>
      </c>
      <c r="O6" s="34">
        <f t="shared" si="2"/>
        <v>18.7012987012987</v>
      </c>
      <c r="P6" s="34">
        <f t="shared" si="3"/>
        <v>24.935064935064933</v>
      </c>
    </row>
    <row r="7" spans="1:16" ht="43.2" x14ac:dyDescent="0.3">
      <c r="A7" s="4" t="s">
        <v>39352</v>
      </c>
      <c r="B7">
        <v>2</v>
      </c>
      <c r="C7" s="32">
        <f t="shared" si="5"/>
        <v>0.51948051948051943</v>
      </c>
      <c r="D7" s="4" t="s">
        <v>20</v>
      </c>
      <c r="E7" s="4" t="s">
        <v>39605</v>
      </c>
      <c r="F7">
        <v>0</v>
      </c>
      <c r="G7" s="34">
        <f t="shared" si="1"/>
        <v>0</v>
      </c>
      <c r="I7" t="s">
        <v>50</v>
      </c>
      <c r="J7">
        <v>0</v>
      </c>
      <c r="K7" s="34">
        <f t="shared" si="4"/>
        <v>0</v>
      </c>
      <c r="N7" s="22">
        <f>SUM(N2:N6)</f>
        <v>75</v>
      </c>
      <c r="O7" s="35">
        <f t="shared" si="2"/>
        <v>19.480519480519483</v>
      </c>
      <c r="P7" s="34">
        <f>SUM(O7,O13,O19,O25,O31,O37,O43)</f>
        <v>100</v>
      </c>
    </row>
    <row r="8" spans="1:16" ht="57.6" x14ac:dyDescent="0.3">
      <c r="A8" s="4" t="s">
        <v>39360</v>
      </c>
      <c r="B8">
        <v>2</v>
      </c>
      <c r="C8" s="32">
        <f t="shared" ref="C8:C15" si="6">(B8/385)*100</f>
        <v>0.51948051948051943</v>
      </c>
      <c r="E8" s="4" t="s">
        <v>39606</v>
      </c>
      <c r="F8">
        <f>SUM(B4,B6,B11,B13,B16,B18,B20,B25)</f>
        <v>27</v>
      </c>
      <c r="G8" s="34">
        <f t="shared" si="1"/>
        <v>7.0129870129870122</v>
      </c>
      <c r="I8" t="s">
        <v>3095</v>
      </c>
      <c r="J8">
        <v>0</v>
      </c>
      <c r="K8" s="34">
        <f t="shared" si="4"/>
        <v>0</v>
      </c>
      <c r="L8" t="s">
        <v>21</v>
      </c>
      <c r="M8" s="4" t="s">
        <v>39120</v>
      </c>
      <c r="N8">
        <v>0</v>
      </c>
      <c r="O8" s="34">
        <f t="shared" si="2"/>
        <v>0</v>
      </c>
    </row>
    <row r="9" spans="1:16" ht="86.4" x14ac:dyDescent="0.3">
      <c r="A9" s="4" t="s">
        <v>39363</v>
      </c>
      <c r="B9">
        <v>1</v>
      </c>
      <c r="C9" s="32">
        <f t="shared" si="6"/>
        <v>0.25974025974025972</v>
      </c>
      <c r="E9" s="4" t="s">
        <v>39602</v>
      </c>
      <c r="F9">
        <f>SUM(B7,B12,B14,B17,B19,B22)</f>
        <v>23</v>
      </c>
      <c r="G9" s="34">
        <f t="shared" si="1"/>
        <v>5.9740259740259738</v>
      </c>
      <c r="J9" s="23">
        <f>SUM(J2:J8)</f>
        <v>3</v>
      </c>
      <c r="K9" s="37">
        <f t="shared" si="4"/>
        <v>0.77922077922077926</v>
      </c>
      <c r="M9" s="4" t="s">
        <v>39121</v>
      </c>
      <c r="N9">
        <v>0</v>
      </c>
      <c r="O9" s="34">
        <f t="shared" si="2"/>
        <v>0</v>
      </c>
    </row>
    <row r="10" spans="1:16" ht="57.6" x14ac:dyDescent="0.3">
      <c r="A10" s="4" t="s">
        <v>39396</v>
      </c>
      <c r="B10">
        <v>1</v>
      </c>
      <c r="C10" s="32">
        <f t="shared" si="6"/>
        <v>0.25974025974025972</v>
      </c>
      <c r="E10" s="4" t="s">
        <v>34</v>
      </c>
      <c r="F10">
        <v>0</v>
      </c>
      <c r="G10" s="34">
        <f t="shared" si="1"/>
        <v>0</v>
      </c>
      <c r="H10" s="4" t="s">
        <v>39606</v>
      </c>
      <c r="I10" t="s">
        <v>14</v>
      </c>
      <c r="J10">
        <f>SUM(B8)</f>
        <v>2</v>
      </c>
      <c r="K10" s="34">
        <f t="shared" si="4"/>
        <v>0.51948051948051943</v>
      </c>
      <c r="M10" s="4" t="s">
        <v>39125</v>
      </c>
      <c r="N10">
        <v>0</v>
      </c>
      <c r="O10" s="34">
        <f t="shared" si="2"/>
        <v>0</v>
      </c>
    </row>
    <row r="11" spans="1:16" ht="43.2" x14ac:dyDescent="0.3">
      <c r="A11" s="4" t="s">
        <v>39397</v>
      </c>
      <c r="B11">
        <v>16</v>
      </c>
      <c r="C11" s="32">
        <f t="shared" si="6"/>
        <v>4.1558441558441555</v>
      </c>
      <c r="F11" s="40">
        <f>SUM(F7:F10)</f>
        <v>50</v>
      </c>
      <c r="G11" s="47">
        <f t="shared" si="1"/>
        <v>12.987012987012985</v>
      </c>
      <c r="I11" t="s">
        <v>21</v>
      </c>
      <c r="J11">
        <f>SUM(B25)</f>
        <v>1</v>
      </c>
      <c r="K11" s="34">
        <f t="shared" si="4"/>
        <v>0.25974025974025972</v>
      </c>
      <c r="M11" s="4" t="s">
        <v>39122</v>
      </c>
      <c r="N11">
        <v>0</v>
      </c>
      <c r="O11" s="34">
        <f t="shared" si="2"/>
        <v>0</v>
      </c>
    </row>
    <row r="12" spans="1:16" ht="43.2" x14ac:dyDescent="0.3">
      <c r="A12" s="4" t="s">
        <v>39400</v>
      </c>
      <c r="B12">
        <v>3</v>
      </c>
      <c r="C12" s="32">
        <f t="shared" si="6"/>
        <v>0.77922077922077926</v>
      </c>
      <c r="D12" t="s">
        <v>27</v>
      </c>
      <c r="E12" s="4" t="s">
        <v>39605</v>
      </c>
      <c r="F12">
        <v>0</v>
      </c>
      <c r="G12" s="34">
        <f t="shared" si="1"/>
        <v>0</v>
      </c>
      <c r="I12" t="s">
        <v>28</v>
      </c>
      <c r="J12">
        <v>0</v>
      </c>
      <c r="K12" s="34">
        <f t="shared" si="4"/>
        <v>0</v>
      </c>
      <c r="M12" s="4" t="s">
        <v>39123</v>
      </c>
      <c r="N12">
        <f>SUM(B25,B26)</f>
        <v>15</v>
      </c>
      <c r="O12" s="34">
        <f t="shared" si="2"/>
        <v>3.8961038961038961</v>
      </c>
    </row>
    <row r="13" spans="1:16" ht="57.6" x14ac:dyDescent="0.3">
      <c r="A13" s="4" t="s">
        <v>39409</v>
      </c>
      <c r="B13">
        <v>2</v>
      </c>
      <c r="C13" s="32">
        <f t="shared" si="6"/>
        <v>0.51948051948051943</v>
      </c>
      <c r="E13" s="4" t="s">
        <v>39606</v>
      </c>
      <c r="F13">
        <f>SUM(B21)</f>
        <v>1</v>
      </c>
      <c r="G13" s="34">
        <f t="shared" si="1"/>
        <v>0.25974025974025972</v>
      </c>
      <c r="I13" t="s">
        <v>3093</v>
      </c>
      <c r="J13">
        <f>SUM(B4,B5)</f>
        <v>3</v>
      </c>
      <c r="K13" s="34">
        <f t="shared" si="4"/>
        <v>0.77922077922077926</v>
      </c>
      <c r="N13" s="22">
        <f>SUM(N8:N12)</f>
        <v>15</v>
      </c>
      <c r="O13" s="35">
        <f t="shared" si="2"/>
        <v>3.8961038961038961</v>
      </c>
    </row>
    <row r="14" spans="1:16" ht="86.4" x14ac:dyDescent="0.3">
      <c r="A14" s="4" t="s">
        <v>39412</v>
      </c>
      <c r="B14">
        <v>1</v>
      </c>
      <c r="C14" s="32">
        <f t="shared" si="6"/>
        <v>0.25974025974025972</v>
      </c>
      <c r="E14" s="4" t="s">
        <v>39602</v>
      </c>
      <c r="F14">
        <f>SUM(B15,B23)</f>
        <v>231</v>
      </c>
      <c r="G14" s="34">
        <f t="shared" si="1"/>
        <v>60</v>
      </c>
      <c r="I14" t="s">
        <v>3094</v>
      </c>
      <c r="J14">
        <f>SUM(B6,B16)</f>
        <v>2</v>
      </c>
      <c r="K14" s="34">
        <f t="shared" si="4"/>
        <v>0.51948051948051943</v>
      </c>
      <c r="L14" t="s">
        <v>28</v>
      </c>
      <c r="M14" s="4" t="s">
        <v>39120</v>
      </c>
      <c r="N14">
        <v>0</v>
      </c>
      <c r="O14" s="34">
        <f t="shared" si="2"/>
        <v>0</v>
      </c>
    </row>
    <row r="15" spans="1:16" ht="43.2" x14ac:dyDescent="0.3">
      <c r="A15" s="4" t="s">
        <v>39413</v>
      </c>
      <c r="B15">
        <v>3</v>
      </c>
      <c r="C15" s="32">
        <f t="shared" si="6"/>
        <v>0.77922077922077926</v>
      </c>
      <c r="E15" s="4" t="s">
        <v>34</v>
      </c>
      <c r="F15">
        <v>0</v>
      </c>
      <c r="G15" s="34">
        <f t="shared" si="1"/>
        <v>0</v>
      </c>
      <c r="I15" t="s">
        <v>50</v>
      </c>
      <c r="J15">
        <f>SUM(B10,B11,B18,B28)</f>
        <v>20</v>
      </c>
      <c r="K15" s="34">
        <f t="shared" si="4"/>
        <v>5.1948051948051948</v>
      </c>
      <c r="M15" s="4" t="s">
        <v>39121</v>
      </c>
      <c r="N15">
        <v>0</v>
      </c>
      <c r="O15" s="34">
        <f t="shared" si="2"/>
        <v>0</v>
      </c>
    </row>
    <row r="16" spans="1:16" ht="43.2" x14ac:dyDescent="0.3">
      <c r="A16" s="4" t="s">
        <v>39432</v>
      </c>
      <c r="B16">
        <v>1</v>
      </c>
      <c r="C16" s="32">
        <f t="shared" ref="C16:C18" si="7">(B16/385)*100</f>
        <v>0.25974025974025972</v>
      </c>
      <c r="F16" s="40">
        <f>SUM(F12:F15)</f>
        <v>232</v>
      </c>
      <c r="G16" s="47">
        <f t="shared" si="1"/>
        <v>60.259740259740255</v>
      </c>
      <c r="I16" t="s">
        <v>3095</v>
      </c>
      <c r="J16">
        <f>SUM(B13,B20,B21)</f>
        <v>5</v>
      </c>
      <c r="K16" s="34">
        <f t="shared" si="4"/>
        <v>1.2987012987012987</v>
      </c>
      <c r="M16" s="4" t="s">
        <v>39125</v>
      </c>
      <c r="N16">
        <v>0</v>
      </c>
      <c r="O16" s="34">
        <f t="shared" si="2"/>
        <v>0</v>
      </c>
    </row>
    <row r="17" spans="1:15" ht="43.2" x14ac:dyDescent="0.3">
      <c r="A17" s="4" t="s">
        <v>39435</v>
      </c>
      <c r="B17">
        <v>1</v>
      </c>
      <c r="C17" s="32">
        <f t="shared" si="7"/>
        <v>0.25974025974025972</v>
      </c>
      <c r="J17" s="23">
        <f>SUM(J10:J16)</f>
        <v>33</v>
      </c>
      <c r="K17" s="37">
        <f t="shared" si="4"/>
        <v>8.5714285714285712</v>
      </c>
      <c r="M17" s="4" t="s">
        <v>39122</v>
      </c>
      <c r="N17">
        <v>0</v>
      </c>
      <c r="O17" s="34">
        <f t="shared" si="2"/>
        <v>0</v>
      </c>
    </row>
    <row r="18" spans="1:15" ht="86.4" x14ac:dyDescent="0.3">
      <c r="A18" s="4" t="s">
        <v>39481</v>
      </c>
      <c r="B18">
        <v>2</v>
      </c>
      <c r="C18" s="32">
        <f t="shared" si="7"/>
        <v>0.51948051948051943</v>
      </c>
      <c r="H18" s="4" t="s">
        <v>39602</v>
      </c>
      <c r="I18" t="s">
        <v>14</v>
      </c>
      <c r="J18">
        <f>SUM(B9,B24)</f>
        <v>73</v>
      </c>
      <c r="K18" s="34">
        <f t="shared" si="4"/>
        <v>18.961038961038962</v>
      </c>
      <c r="M18" s="4" t="s">
        <v>39123</v>
      </c>
      <c r="N18">
        <f>SUM(B27)</f>
        <v>6</v>
      </c>
      <c r="O18" s="34">
        <f t="shared" si="2"/>
        <v>1.5584415584415585</v>
      </c>
    </row>
    <row r="19" spans="1:15" ht="43.2" x14ac:dyDescent="0.3">
      <c r="A19" s="4" t="s">
        <v>39484</v>
      </c>
      <c r="B19">
        <v>11</v>
      </c>
      <c r="C19" s="32">
        <f t="shared" ref="C19:C26" si="8">(B19/385)*100</f>
        <v>2.8571428571428572</v>
      </c>
      <c r="I19" t="s">
        <v>21</v>
      </c>
      <c r="J19">
        <f>SUM(B26)</f>
        <v>14</v>
      </c>
      <c r="K19" s="34">
        <f t="shared" si="4"/>
        <v>3.6363636363636362</v>
      </c>
      <c r="N19" s="22">
        <f>SUM(N14:N18)</f>
        <v>6</v>
      </c>
      <c r="O19" s="35">
        <f t="shared" si="2"/>
        <v>1.5584415584415585</v>
      </c>
    </row>
    <row r="20" spans="1:15" ht="43.2" x14ac:dyDescent="0.3">
      <c r="A20" s="4" t="s">
        <v>39493</v>
      </c>
      <c r="B20">
        <v>2</v>
      </c>
      <c r="C20" s="32">
        <f t="shared" si="8"/>
        <v>0.51948051948051943</v>
      </c>
      <c r="I20" t="s">
        <v>28</v>
      </c>
      <c r="J20">
        <f>SUM(B27)</f>
        <v>6</v>
      </c>
      <c r="K20" s="34">
        <f t="shared" si="4"/>
        <v>1.5584415584415585</v>
      </c>
      <c r="L20" t="s">
        <v>3093</v>
      </c>
      <c r="M20" s="4" t="s">
        <v>39120</v>
      </c>
      <c r="N20">
        <f>SUM(B2)</f>
        <v>1</v>
      </c>
      <c r="O20" s="34">
        <f t="shared" si="2"/>
        <v>0.25974025974025972</v>
      </c>
    </row>
    <row r="21" spans="1:15" ht="43.2" x14ac:dyDescent="0.3">
      <c r="A21" s="4" t="s">
        <v>39494</v>
      </c>
      <c r="B21">
        <v>1</v>
      </c>
      <c r="C21" s="32">
        <f t="shared" si="8"/>
        <v>0.25974025974025972</v>
      </c>
      <c r="I21" t="s">
        <v>3093</v>
      </c>
      <c r="J21">
        <v>0</v>
      </c>
      <c r="K21" s="34">
        <f t="shared" si="4"/>
        <v>0</v>
      </c>
      <c r="M21" s="4" t="s">
        <v>39121</v>
      </c>
      <c r="N21">
        <f>SUM(B3,B4)</f>
        <v>4</v>
      </c>
      <c r="O21" s="34">
        <f t="shared" si="2"/>
        <v>1.0389610389610389</v>
      </c>
    </row>
    <row r="22" spans="1:15" ht="43.2" x14ac:dyDescent="0.3">
      <c r="A22" s="4" t="s">
        <v>39496</v>
      </c>
      <c r="B22">
        <v>5</v>
      </c>
      <c r="C22" s="32">
        <f t="shared" si="8"/>
        <v>1.2987012987012987</v>
      </c>
      <c r="I22" t="s">
        <v>3094</v>
      </c>
      <c r="J22">
        <f>SUM(B7,B17)</f>
        <v>3</v>
      </c>
      <c r="K22" s="34">
        <f t="shared" si="4"/>
        <v>0.77922077922077926</v>
      </c>
      <c r="M22" s="4" t="s">
        <v>39125</v>
      </c>
      <c r="N22">
        <f>SUM(B5)</f>
        <v>1</v>
      </c>
      <c r="O22" s="34">
        <f t="shared" si="2"/>
        <v>0.25974025974025972</v>
      </c>
    </row>
    <row r="23" spans="1:15" ht="43.2" x14ac:dyDescent="0.3">
      <c r="A23" s="4" t="s">
        <v>39497</v>
      </c>
      <c r="B23">
        <v>228</v>
      </c>
      <c r="C23" s="32">
        <f t="shared" si="8"/>
        <v>59.220779220779221</v>
      </c>
      <c r="I23" t="s">
        <v>50</v>
      </c>
      <c r="J23">
        <f>SUM(B12,B19,B29)</f>
        <v>16</v>
      </c>
      <c r="K23" s="34">
        <f t="shared" si="4"/>
        <v>4.1558441558441555</v>
      </c>
      <c r="M23" s="4" t="s">
        <v>39122</v>
      </c>
      <c r="N23">
        <v>0</v>
      </c>
      <c r="O23" s="34">
        <f t="shared" si="2"/>
        <v>0</v>
      </c>
    </row>
    <row r="24" spans="1:15" ht="43.2" x14ac:dyDescent="0.3">
      <c r="A24" s="4" t="s">
        <v>39531</v>
      </c>
      <c r="B24">
        <v>72</v>
      </c>
      <c r="C24" s="32">
        <f t="shared" si="8"/>
        <v>18.7012987012987</v>
      </c>
      <c r="I24" t="s">
        <v>3095</v>
      </c>
      <c r="J24">
        <f>SUM(B14,B15,B22,B23)</f>
        <v>237</v>
      </c>
      <c r="K24" s="34">
        <f t="shared" si="4"/>
        <v>61.558441558441558</v>
      </c>
      <c r="M24" s="4" t="s">
        <v>39123</v>
      </c>
      <c r="N24">
        <v>0</v>
      </c>
      <c r="O24" s="34">
        <f t="shared" si="2"/>
        <v>0</v>
      </c>
    </row>
    <row r="25" spans="1:15" ht="43.2" x14ac:dyDescent="0.3">
      <c r="A25" s="4" t="s">
        <v>39541</v>
      </c>
      <c r="B25">
        <v>1</v>
      </c>
      <c r="C25" s="32">
        <f t="shared" si="8"/>
        <v>0.25974025974025972</v>
      </c>
      <c r="J25" s="23">
        <f>SUM(J18:J24)</f>
        <v>349</v>
      </c>
      <c r="K25" s="37">
        <f t="shared" si="4"/>
        <v>90.649350649350652</v>
      </c>
      <c r="N25" s="22">
        <f>SUM(N20:N24)</f>
        <v>6</v>
      </c>
      <c r="O25" s="35">
        <f t="shared" si="2"/>
        <v>1.5584415584415585</v>
      </c>
    </row>
    <row r="26" spans="1:15" ht="43.2" x14ac:dyDescent="0.3">
      <c r="A26" s="4" t="s">
        <v>39543</v>
      </c>
      <c r="B26">
        <v>14</v>
      </c>
      <c r="C26" s="32">
        <f t="shared" si="8"/>
        <v>3.6363636363636362</v>
      </c>
      <c r="H26" s="4" t="s">
        <v>34</v>
      </c>
      <c r="I26" t="s">
        <v>14</v>
      </c>
      <c r="J26">
        <v>0</v>
      </c>
      <c r="K26" s="34">
        <f t="shared" si="4"/>
        <v>0</v>
      </c>
      <c r="L26" t="s">
        <v>3094</v>
      </c>
      <c r="M26" s="4" t="s">
        <v>39120</v>
      </c>
      <c r="N26">
        <v>0</v>
      </c>
      <c r="O26" s="34">
        <f t="shared" si="2"/>
        <v>0</v>
      </c>
    </row>
    <row r="27" spans="1:15" ht="43.2" x14ac:dyDescent="0.3">
      <c r="A27" s="4" t="s">
        <v>39555</v>
      </c>
      <c r="B27">
        <v>6</v>
      </c>
      <c r="C27" s="32">
        <f t="shared" ref="C27:C29" si="9">(B27/385)*100</f>
        <v>1.5584415584415585</v>
      </c>
      <c r="I27" t="s">
        <v>21</v>
      </c>
      <c r="J27">
        <v>0</v>
      </c>
      <c r="K27" s="34">
        <f t="shared" si="4"/>
        <v>0</v>
      </c>
      <c r="M27" s="4" t="s">
        <v>39121</v>
      </c>
      <c r="N27">
        <v>0</v>
      </c>
      <c r="O27" s="34">
        <f t="shared" si="2"/>
        <v>0</v>
      </c>
    </row>
    <row r="28" spans="1:15" ht="43.2" x14ac:dyDescent="0.3">
      <c r="A28" s="4" t="s">
        <v>39564</v>
      </c>
      <c r="B28">
        <v>1</v>
      </c>
      <c r="C28" s="32">
        <f t="shared" si="9"/>
        <v>0.25974025974025972</v>
      </c>
      <c r="I28" t="s">
        <v>28</v>
      </c>
      <c r="J28">
        <v>0</v>
      </c>
      <c r="K28" s="34">
        <f t="shared" si="4"/>
        <v>0</v>
      </c>
      <c r="M28" s="4" t="s">
        <v>39125</v>
      </c>
      <c r="N28">
        <f>SUM(B6,B7)</f>
        <v>3</v>
      </c>
      <c r="O28" s="34">
        <f t="shared" si="2"/>
        <v>0.77922077922077926</v>
      </c>
    </row>
    <row r="29" spans="1:15" ht="43.2" x14ac:dyDescent="0.3">
      <c r="A29" s="4" t="s">
        <v>39567</v>
      </c>
      <c r="B29">
        <v>2</v>
      </c>
      <c r="C29" s="32">
        <f t="shared" si="9"/>
        <v>0.51948051948051943</v>
      </c>
      <c r="I29" t="s">
        <v>3093</v>
      </c>
      <c r="J29">
        <v>0</v>
      </c>
      <c r="K29" s="34">
        <f t="shared" si="4"/>
        <v>0</v>
      </c>
      <c r="M29" s="4" t="s">
        <v>39122</v>
      </c>
      <c r="N29">
        <f>SUM(B16,B17)</f>
        <v>2</v>
      </c>
      <c r="O29" s="34">
        <f t="shared" si="2"/>
        <v>0.51948051948051943</v>
      </c>
    </row>
    <row r="30" spans="1:15" x14ac:dyDescent="0.3">
      <c r="I30" t="s">
        <v>3094</v>
      </c>
      <c r="J30">
        <v>0</v>
      </c>
      <c r="K30" s="34">
        <f t="shared" si="4"/>
        <v>0</v>
      </c>
      <c r="M30" s="4" t="s">
        <v>39123</v>
      </c>
      <c r="N30">
        <v>0</v>
      </c>
      <c r="O30" s="34">
        <f t="shared" si="2"/>
        <v>0</v>
      </c>
    </row>
    <row r="31" spans="1:15" x14ac:dyDescent="0.3">
      <c r="C31" s="6"/>
      <c r="I31" t="s">
        <v>50</v>
      </c>
      <c r="J31">
        <v>0</v>
      </c>
      <c r="K31" s="34">
        <f t="shared" si="4"/>
        <v>0</v>
      </c>
      <c r="N31" s="22">
        <f>SUM(N26:N30)</f>
        <v>5</v>
      </c>
      <c r="O31" s="35">
        <f t="shared" si="2"/>
        <v>1.2987012987012987</v>
      </c>
    </row>
    <row r="32" spans="1:15" ht="28.8" x14ac:dyDescent="0.3">
      <c r="I32" t="s">
        <v>3095</v>
      </c>
      <c r="J32">
        <v>0</v>
      </c>
      <c r="K32" s="34">
        <f t="shared" si="4"/>
        <v>0</v>
      </c>
      <c r="L32" t="s">
        <v>50</v>
      </c>
      <c r="M32" s="4" t="s">
        <v>39120</v>
      </c>
      <c r="N32">
        <v>0</v>
      </c>
      <c r="O32" s="34">
        <f t="shared" si="2"/>
        <v>0</v>
      </c>
    </row>
    <row r="33" spans="10:15" ht="28.8" x14ac:dyDescent="0.3">
      <c r="J33" s="23">
        <f>SUM(J26:J32)</f>
        <v>0</v>
      </c>
      <c r="K33" s="37">
        <f t="shared" si="4"/>
        <v>0</v>
      </c>
      <c r="M33" s="4" t="s">
        <v>39121</v>
      </c>
      <c r="N33">
        <v>0</v>
      </c>
      <c r="O33" s="34">
        <f t="shared" si="2"/>
        <v>0</v>
      </c>
    </row>
    <row r="34" spans="10:15" ht="43.2" x14ac:dyDescent="0.3">
      <c r="M34" s="4" t="s">
        <v>39125</v>
      </c>
      <c r="N34">
        <f>SUM(B10,B11,B12)</f>
        <v>20</v>
      </c>
      <c r="O34" s="34">
        <f t="shared" si="2"/>
        <v>5.1948051948051948</v>
      </c>
    </row>
    <row r="35" spans="10:15" x14ac:dyDescent="0.3">
      <c r="M35" s="4" t="s">
        <v>39122</v>
      </c>
      <c r="N35">
        <f>SUM(B18,B19)</f>
        <v>13</v>
      </c>
      <c r="O35" s="34">
        <f t="shared" si="2"/>
        <v>3.3766233766233764</v>
      </c>
    </row>
    <row r="36" spans="10:15" x14ac:dyDescent="0.3">
      <c r="M36" s="4" t="s">
        <v>39123</v>
      </c>
      <c r="N36">
        <f>SUM(B28,B29)</f>
        <v>3</v>
      </c>
      <c r="O36" s="34">
        <f t="shared" si="2"/>
        <v>0.77922077922077926</v>
      </c>
    </row>
    <row r="37" spans="10:15" x14ac:dyDescent="0.3">
      <c r="N37" s="22">
        <f>SUM(N32:N36)</f>
        <v>36</v>
      </c>
      <c r="O37" s="35">
        <f t="shared" si="2"/>
        <v>9.3506493506493502</v>
      </c>
    </row>
    <row r="38" spans="10:15" ht="28.8" x14ac:dyDescent="0.3">
      <c r="L38" t="s">
        <v>3095</v>
      </c>
      <c r="M38" s="4" t="s">
        <v>39120</v>
      </c>
      <c r="N38">
        <v>0</v>
      </c>
      <c r="O38" s="34">
        <f t="shared" si="2"/>
        <v>0</v>
      </c>
    </row>
    <row r="39" spans="10:15" ht="28.8" x14ac:dyDescent="0.3">
      <c r="M39" s="4" t="s">
        <v>39121</v>
      </c>
      <c r="N39">
        <v>0</v>
      </c>
      <c r="O39" s="34">
        <f t="shared" si="2"/>
        <v>0</v>
      </c>
    </row>
    <row r="40" spans="10:15" ht="43.2" x14ac:dyDescent="0.3">
      <c r="M40" s="4" t="s">
        <v>39125</v>
      </c>
      <c r="N40">
        <f>SUM(B13,B14,B15)</f>
        <v>6</v>
      </c>
      <c r="O40" s="34">
        <f t="shared" si="2"/>
        <v>1.5584415584415585</v>
      </c>
    </row>
    <row r="41" spans="10:15" x14ac:dyDescent="0.3">
      <c r="M41" s="4" t="s">
        <v>39122</v>
      </c>
      <c r="N41">
        <f>SUM(B20,B21,B22,B23)</f>
        <v>236</v>
      </c>
      <c r="O41" s="34">
        <f t="shared" si="2"/>
        <v>61.298701298701296</v>
      </c>
    </row>
    <row r="42" spans="10:15" x14ac:dyDescent="0.3">
      <c r="M42" s="4" t="s">
        <v>39123</v>
      </c>
      <c r="N42">
        <v>0</v>
      </c>
      <c r="O42" s="34">
        <f t="shared" si="2"/>
        <v>0</v>
      </c>
    </row>
    <row r="43" spans="10:15" x14ac:dyDescent="0.3">
      <c r="N43" s="22">
        <f>SUM(N38:N42)</f>
        <v>242</v>
      </c>
      <c r="O43" s="35">
        <f t="shared" si="2"/>
        <v>62.857142857142854</v>
      </c>
    </row>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76FAB-8100-4110-8D52-D630BB272489}">
  <dimension ref="A1:AJ125"/>
  <sheetViews>
    <sheetView topLeftCell="X1" workbookViewId="0">
      <pane ySplit="2" topLeftCell="A96" activePane="bottomLeft" state="frozen"/>
      <selection pane="bottomLeft" activeCell="AF98" sqref="AF98"/>
    </sheetView>
  </sheetViews>
  <sheetFormatPr baseColWidth="10" defaultRowHeight="14.4" x14ac:dyDescent="0.3"/>
  <cols>
    <col min="1" max="1" width="20.33203125" bestFit="1" customWidth="1"/>
    <col min="3" max="3" width="11.5546875" style="3"/>
    <col min="4" max="4" width="22.44140625" bestFit="1" customWidth="1"/>
    <col min="5" max="5" width="14.6640625" style="3" bestFit="1" customWidth="1"/>
    <col min="7" max="7" width="22.44140625" customWidth="1"/>
    <col min="8" max="8" width="35.88671875" bestFit="1" customWidth="1"/>
    <col min="9" max="9" width="13.109375" customWidth="1"/>
    <col min="10" max="10" width="13.109375" style="3" customWidth="1"/>
    <col min="11" max="11" width="20" bestFit="1" customWidth="1"/>
    <col min="12" max="12" width="28.88671875" bestFit="1" customWidth="1"/>
    <col min="13" max="13" width="21.77734375" style="3" bestFit="1" customWidth="1"/>
    <col min="15" max="15" width="11.5546875" style="3"/>
    <col min="16" max="16" width="15.109375" style="3" bestFit="1" customWidth="1"/>
    <col min="18" max="18" width="13.109375" bestFit="1" customWidth="1"/>
    <col min="19" max="19" width="28.33203125" bestFit="1" customWidth="1"/>
    <col min="20" max="20" width="28.6640625" customWidth="1"/>
    <col min="21" max="21" width="17.6640625" bestFit="1" customWidth="1"/>
    <col min="22" max="22" width="15.21875" customWidth="1"/>
    <col min="23" max="23" width="27.21875" style="3" bestFit="1" customWidth="1"/>
    <col min="24" max="24" width="33.33203125" style="3" bestFit="1" customWidth="1"/>
    <col min="25" max="25" width="20.21875" style="3" customWidth="1"/>
    <col min="26" max="26" width="16.77734375" style="3" bestFit="1" customWidth="1"/>
    <col min="27" max="27" width="23.5546875" bestFit="1" customWidth="1"/>
    <col min="28" max="28" width="23.109375" style="3" bestFit="1" customWidth="1"/>
    <col min="29" max="29" width="15.5546875" bestFit="1" customWidth="1"/>
    <col min="30" max="30" width="19.109375" bestFit="1" customWidth="1"/>
  </cols>
  <sheetData>
    <row r="1" spans="1:32" ht="29.4" customHeight="1" thickBot="1" x14ac:dyDescent="0.35">
      <c r="A1" s="48" t="s">
        <v>10770</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50"/>
    </row>
    <row r="2" spans="1:32" s="2" customFormat="1" x14ac:dyDescent="0.3">
      <c r="A2" s="2" t="s">
        <v>55</v>
      </c>
      <c r="B2" s="2" t="s">
        <v>0</v>
      </c>
      <c r="C2" s="1" t="s">
        <v>0</v>
      </c>
      <c r="D2" s="2" t="s">
        <v>1</v>
      </c>
      <c r="E2" s="1" t="s">
        <v>1</v>
      </c>
      <c r="F2" s="2" t="s">
        <v>56</v>
      </c>
      <c r="G2" s="2" t="s">
        <v>57</v>
      </c>
      <c r="H2" s="2" t="s">
        <v>58</v>
      </c>
      <c r="I2" s="8" t="s">
        <v>2</v>
      </c>
      <c r="J2" s="9" t="s">
        <v>2</v>
      </c>
      <c r="K2" s="2" t="s">
        <v>59</v>
      </c>
      <c r="L2" s="2" t="s">
        <v>3</v>
      </c>
      <c r="M2" s="1" t="s">
        <v>3</v>
      </c>
      <c r="N2" s="2" t="s">
        <v>60</v>
      </c>
      <c r="O2" s="1" t="s">
        <v>4</v>
      </c>
      <c r="P2" s="1" t="s">
        <v>5</v>
      </c>
      <c r="Q2" s="2" t="s">
        <v>61</v>
      </c>
      <c r="R2" s="2" t="s">
        <v>62</v>
      </c>
      <c r="S2" s="2" t="s">
        <v>63</v>
      </c>
      <c r="T2" s="2" t="s">
        <v>64</v>
      </c>
      <c r="U2" s="2" t="s">
        <v>7</v>
      </c>
      <c r="V2" s="2" t="s">
        <v>65</v>
      </c>
      <c r="W2" s="1" t="s">
        <v>6</v>
      </c>
      <c r="X2" s="1" t="s">
        <v>39119</v>
      </c>
      <c r="Y2" s="1" t="s">
        <v>7</v>
      </c>
      <c r="Z2" s="1" t="s">
        <v>39118</v>
      </c>
      <c r="AA2" s="2" t="s">
        <v>66</v>
      </c>
      <c r="AB2" s="1" t="s">
        <v>8</v>
      </c>
      <c r="AC2" s="2" t="s">
        <v>67</v>
      </c>
      <c r="AD2" s="2" t="s">
        <v>68</v>
      </c>
      <c r="AE2" s="2" t="s">
        <v>69</v>
      </c>
      <c r="AF2" s="2" t="s">
        <v>70</v>
      </c>
    </row>
    <row r="3" spans="1:32" s="6" customFormat="1" ht="43.2" x14ac:dyDescent="0.3">
      <c r="A3" s="6" t="s">
        <v>10672</v>
      </c>
      <c r="B3" s="6">
        <v>2021</v>
      </c>
      <c r="C3" s="7">
        <v>13</v>
      </c>
      <c r="D3" s="6" t="s">
        <v>71</v>
      </c>
      <c r="E3" s="7">
        <v>1</v>
      </c>
      <c r="F3" s="41" t="s">
        <v>9973</v>
      </c>
      <c r="G3" s="6" t="s">
        <v>9974</v>
      </c>
      <c r="H3" s="10" t="s">
        <v>9975</v>
      </c>
      <c r="I3" s="10" t="s">
        <v>9976</v>
      </c>
      <c r="J3" s="11">
        <v>3</v>
      </c>
      <c r="K3" s="6" t="s">
        <v>9977</v>
      </c>
      <c r="L3" s="10" t="s">
        <v>9978</v>
      </c>
      <c r="M3" s="11">
        <v>9</v>
      </c>
      <c r="N3" s="10" t="s">
        <v>192</v>
      </c>
      <c r="O3" s="11">
        <v>1</v>
      </c>
      <c r="P3" s="11">
        <v>2</v>
      </c>
      <c r="Q3" s="10" t="s">
        <v>118</v>
      </c>
      <c r="R3" s="6" t="s">
        <v>193</v>
      </c>
      <c r="S3" s="6" t="s">
        <v>194</v>
      </c>
      <c r="T3" s="10" t="s">
        <v>195</v>
      </c>
      <c r="U3" s="10" t="s">
        <v>955</v>
      </c>
      <c r="V3" s="6" t="s">
        <v>72</v>
      </c>
      <c r="W3" s="7">
        <v>1</v>
      </c>
      <c r="X3" s="7">
        <v>3</v>
      </c>
      <c r="Y3" s="7">
        <v>3</v>
      </c>
      <c r="Z3" s="7">
        <v>5</v>
      </c>
      <c r="AA3" s="12" t="s">
        <v>9979</v>
      </c>
      <c r="AB3" s="11">
        <v>1</v>
      </c>
      <c r="AC3" s="10" t="s">
        <v>9980</v>
      </c>
      <c r="AD3" s="6">
        <v>30</v>
      </c>
      <c r="AE3" s="10" t="s">
        <v>73</v>
      </c>
    </row>
    <row r="4" spans="1:32" s="6" customFormat="1" ht="100.8" x14ac:dyDescent="0.3">
      <c r="A4" s="6" t="s">
        <v>10673</v>
      </c>
      <c r="B4" s="6">
        <v>2013</v>
      </c>
      <c r="C4" s="7">
        <v>5</v>
      </c>
      <c r="D4" s="6" t="s">
        <v>71</v>
      </c>
      <c r="E4" s="7">
        <v>1</v>
      </c>
      <c r="F4" s="41" t="s">
        <v>9981</v>
      </c>
      <c r="G4" s="6" t="s">
        <v>1570</v>
      </c>
      <c r="H4" s="10" t="s">
        <v>9982</v>
      </c>
      <c r="I4" s="10" t="s">
        <v>9983</v>
      </c>
      <c r="J4" s="11">
        <v>6</v>
      </c>
      <c r="K4" s="6" t="s">
        <v>9984</v>
      </c>
      <c r="L4" s="10" t="s">
        <v>504</v>
      </c>
      <c r="M4" s="11">
        <v>1</v>
      </c>
      <c r="N4" s="10" t="s">
        <v>9985</v>
      </c>
      <c r="O4" s="11">
        <v>1</v>
      </c>
      <c r="P4" s="11">
        <v>1</v>
      </c>
      <c r="Q4" s="10" t="s">
        <v>480</v>
      </c>
      <c r="R4" s="10" t="s">
        <v>9983</v>
      </c>
      <c r="S4" s="10" t="s">
        <v>9986</v>
      </c>
      <c r="T4" s="10" t="s">
        <v>9987</v>
      </c>
      <c r="U4" s="10" t="s">
        <v>2999</v>
      </c>
      <c r="V4" s="10" t="s">
        <v>9988</v>
      </c>
      <c r="W4" s="11">
        <v>1</v>
      </c>
      <c r="X4" s="11">
        <v>1</v>
      </c>
      <c r="Y4" s="11">
        <v>10</v>
      </c>
      <c r="Z4" s="11">
        <v>2</v>
      </c>
      <c r="AA4" s="10" t="s">
        <v>9989</v>
      </c>
      <c r="AB4" s="11">
        <v>1</v>
      </c>
      <c r="AC4" s="12" t="s">
        <v>75</v>
      </c>
      <c r="AD4" s="6">
        <v>3</v>
      </c>
      <c r="AE4" s="10" t="s">
        <v>75</v>
      </c>
    </row>
    <row r="5" spans="1:32" s="6" customFormat="1" ht="129.6" x14ac:dyDescent="0.3">
      <c r="A5" s="6" t="s">
        <v>10673</v>
      </c>
      <c r="B5" s="6">
        <v>2018</v>
      </c>
      <c r="C5" s="7">
        <v>10</v>
      </c>
      <c r="D5" s="6" t="s">
        <v>71</v>
      </c>
      <c r="E5" s="7">
        <v>1</v>
      </c>
      <c r="F5" s="41" t="s">
        <v>9990</v>
      </c>
      <c r="G5" s="6" t="s">
        <v>1912</v>
      </c>
      <c r="H5" s="10" t="s">
        <v>9991</v>
      </c>
      <c r="I5" s="10" t="s">
        <v>9992</v>
      </c>
      <c r="J5" s="11">
        <v>9</v>
      </c>
      <c r="L5" s="10" t="s">
        <v>9993</v>
      </c>
      <c r="M5" s="11">
        <v>15</v>
      </c>
      <c r="N5" s="10" t="s">
        <v>9994</v>
      </c>
      <c r="O5" s="11">
        <v>9</v>
      </c>
      <c r="P5" s="11">
        <v>3</v>
      </c>
      <c r="Q5" s="10" t="s">
        <v>9995</v>
      </c>
      <c r="R5" s="10" t="s">
        <v>9996</v>
      </c>
      <c r="U5" s="10" t="s">
        <v>9997</v>
      </c>
      <c r="V5" s="10" t="s">
        <v>39140</v>
      </c>
      <c r="W5" s="11">
        <v>2</v>
      </c>
      <c r="X5" s="11">
        <v>2</v>
      </c>
      <c r="Y5" s="11">
        <v>17</v>
      </c>
      <c r="Z5" s="11">
        <v>4</v>
      </c>
      <c r="AA5" s="10" t="s">
        <v>9998</v>
      </c>
      <c r="AB5" s="11">
        <v>1</v>
      </c>
      <c r="AC5" s="12" t="s">
        <v>75</v>
      </c>
      <c r="AD5" s="10" t="s">
        <v>9999</v>
      </c>
      <c r="AE5" s="10" t="s">
        <v>10000</v>
      </c>
      <c r="AF5" s="10" t="s">
        <v>10001</v>
      </c>
    </row>
    <row r="6" spans="1:32" s="6" customFormat="1" ht="230.4" x14ac:dyDescent="0.3">
      <c r="A6" s="6" t="s">
        <v>10673</v>
      </c>
      <c r="B6" s="6">
        <v>2023</v>
      </c>
      <c r="C6" s="7">
        <v>15</v>
      </c>
      <c r="D6" s="6" t="s">
        <v>30</v>
      </c>
      <c r="E6" s="7">
        <v>4</v>
      </c>
      <c r="F6" s="41" t="s">
        <v>10002</v>
      </c>
      <c r="G6" s="6" t="s">
        <v>10003</v>
      </c>
      <c r="H6" s="10" t="s">
        <v>10004</v>
      </c>
      <c r="I6" s="10" t="s">
        <v>2295</v>
      </c>
      <c r="J6" s="11">
        <v>8</v>
      </c>
      <c r="L6" s="10" t="s">
        <v>10005</v>
      </c>
      <c r="M6" s="11">
        <v>15</v>
      </c>
      <c r="N6" s="10" t="s">
        <v>10006</v>
      </c>
      <c r="O6" s="11">
        <v>11</v>
      </c>
      <c r="P6" s="11">
        <v>3</v>
      </c>
      <c r="Q6" s="10" t="s">
        <v>10007</v>
      </c>
      <c r="R6" s="10" t="s">
        <v>2295</v>
      </c>
      <c r="U6" s="10" t="s">
        <v>10008</v>
      </c>
      <c r="V6" s="10" t="s">
        <v>10009</v>
      </c>
      <c r="W6" s="11">
        <v>2</v>
      </c>
      <c r="X6" s="11">
        <v>2</v>
      </c>
      <c r="Y6" s="11">
        <v>17</v>
      </c>
      <c r="Z6" s="11">
        <v>4</v>
      </c>
      <c r="AA6" s="10" t="s">
        <v>10010</v>
      </c>
      <c r="AB6" s="11">
        <v>1</v>
      </c>
      <c r="AC6" s="10" t="s">
        <v>72</v>
      </c>
      <c r="AD6" s="10" t="s">
        <v>10011</v>
      </c>
      <c r="AE6" s="10" t="s">
        <v>73</v>
      </c>
    </row>
    <row r="7" spans="1:32" s="6" customFormat="1" ht="374.4" x14ac:dyDescent="0.3">
      <c r="A7" s="6" t="s">
        <v>10674</v>
      </c>
      <c r="B7" s="6">
        <v>2023</v>
      </c>
      <c r="C7" s="7">
        <v>15</v>
      </c>
      <c r="D7" s="6" t="s">
        <v>36</v>
      </c>
      <c r="E7" s="7">
        <v>5</v>
      </c>
      <c r="F7" s="41" t="s">
        <v>10012</v>
      </c>
      <c r="G7" s="6" t="s">
        <v>10013</v>
      </c>
      <c r="H7" s="10" t="s">
        <v>10014</v>
      </c>
      <c r="I7" s="10" t="s">
        <v>305</v>
      </c>
      <c r="J7" s="11">
        <v>1</v>
      </c>
      <c r="L7" s="10" t="s">
        <v>10015</v>
      </c>
      <c r="M7" s="11">
        <v>1</v>
      </c>
      <c r="N7" s="10" t="s">
        <v>10016</v>
      </c>
      <c r="O7" s="11">
        <v>6</v>
      </c>
      <c r="P7" s="11">
        <v>3</v>
      </c>
      <c r="Q7" s="10" t="s">
        <v>10017</v>
      </c>
      <c r="R7" s="10" t="s">
        <v>10018</v>
      </c>
      <c r="S7" s="10" t="s">
        <v>10019</v>
      </c>
      <c r="T7" s="10" t="s">
        <v>10020</v>
      </c>
      <c r="U7" s="10" t="s">
        <v>409</v>
      </c>
      <c r="V7" s="6" t="s">
        <v>795</v>
      </c>
      <c r="W7" s="7">
        <v>1</v>
      </c>
      <c r="X7" s="7">
        <v>1</v>
      </c>
      <c r="Y7" s="7">
        <v>4</v>
      </c>
      <c r="Z7" s="7">
        <v>1</v>
      </c>
      <c r="AA7" s="10" t="s">
        <v>10021</v>
      </c>
      <c r="AB7" s="11">
        <v>1</v>
      </c>
      <c r="AC7" s="12" t="s">
        <v>75</v>
      </c>
      <c r="AD7" s="10" t="s">
        <v>10022</v>
      </c>
      <c r="AE7" s="6" t="s">
        <v>10023</v>
      </c>
    </row>
    <row r="8" spans="1:32" s="6" customFormat="1" ht="172.8" x14ac:dyDescent="0.3">
      <c r="A8" s="6" t="s">
        <v>10675</v>
      </c>
      <c r="B8" s="6">
        <v>2021</v>
      </c>
      <c r="C8" s="7">
        <v>13</v>
      </c>
      <c r="D8" s="6" t="s">
        <v>71</v>
      </c>
      <c r="E8" s="7">
        <v>1</v>
      </c>
      <c r="F8" s="42" t="s">
        <v>10024</v>
      </c>
      <c r="G8" s="6" t="s">
        <v>10025</v>
      </c>
      <c r="H8" s="10" t="s">
        <v>10026</v>
      </c>
      <c r="I8" s="10" t="s">
        <v>48</v>
      </c>
      <c r="J8" s="11">
        <v>8</v>
      </c>
      <c r="L8" s="10" t="s">
        <v>10027</v>
      </c>
      <c r="M8" s="11">
        <v>1</v>
      </c>
      <c r="N8" s="10" t="s">
        <v>1452</v>
      </c>
      <c r="O8" s="7">
        <v>5</v>
      </c>
      <c r="P8" s="7">
        <v>3</v>
      </c>
      <c r="Q8" s="10" t="s">
        <v>1453</v>
      </c>
      <c r="R8" s="10" t="s">
        <v>10028</v>
      </c>
      <c r="S8" s="10" t="s">
        <v>10029</v>
      </c>
      <c r="T8" s="10" t="s">
        <v>1509</v>
      </c>
      <c r="U8" s="10" t="s">
        <v>409</v>
      </c>
      <c r="V8" s="10" t="s">
        <v>39153</v>
      </c>
      <c r="W8" s="11">
        <v>2</v>
      </c>
      <c r="X8" s="11">
        <v>2</v>
      </c>
      <c r="Y8" s="11">
        <v>16</v>
      </c>
      <c r="Z8" s="11">
        <v>3</v>
      </c>
      <c r="AA8" s="10" t="s">
        <v>10030</v>
      </c>
      <c r="AB8" s="11">
        <v>2</v>
      </c>
      <c r="AC8" s="12" t="s">
        <v>75</v>
      </c>
      <c r="AD8" s="6" t="s">
        <v>10031</v>
      </c>
      <c r="AE8" s="10" t="s">
        <v>73</v>
      </c>
    </row>
    <row r="9" spans="1:32" s="6" customFormat="1" ht="172.8" x14ac:dyDescent="0.3">
      <c r="A9" s="6" t="s">
        <v>10676</v>
      </c>
      <c r="B9" s="6">
        <v>2019</v>
      </c>
      <c r="C9" s="7">
        <v>11</v>
      </c>
      <c r="D9" s="6" t="s">
        <v>71</v>
      </c>
      <c r="E9" s="7">
        <v>1</v>
      </c>
      <c r="F9" s="41" t="s">
        <v>10032</v>
      </c>
      <c r="G9" s="6" t="s">
        <v>10025</v>
      </c>
      <c r="H9" s="10" t="s">
        <v>10033</v>
      </c>
      <c r="I9" s="10" t="s">
        <v>48</v>
      </c>
      <c r="J9" s="11">
        <v>8</v>
      </c>
      <c r="L9" s="10" t="s">
        <v>10034</v>
      </c>
      <c r="M9" s="11">
        <v>8</v>
      </c>
      <c r="N9" s="10" t="s">
        <v>10035</v>
      </c>
      <c r="O9" s="7">
        <v>4</v>
      </c>
      <c r="P9" s="7">
        <v>3</v>
      </c>
      <c r="Q9" s="10" t="s">
        <v>10036</v>
      </c>
      <c r="R9" s="6" t="s">
        <v>2295</v>
      </c>
      <c r="S9" s="10" t="s">
        <v>10037</v>
      </c>
      <c r="T9" s="10" t="s">
        <v>10038</v>
      </c>
      <c r="U9" s="6" t="s">
        <v>76</v>
      </c>
      <c r="V9" s="10" t="s">
        <v>10039</v>
      </c>
      <c r="W9" s="11">
        <v>1</v>
      </c>
      <c r="X9" s="11">
        <v>1</v>
      </c>
      <c r="Y9" s="11">
        <v>6</v>
      </c>
      <c r="Z9" s="11">
        <v>1</v>
      </c>
      <c r="AA9" s="10" t="s">
        <v>10040</v>
      </c>
      <c r="AB9" s="11">
        <v>2</v>
      </c>
      <c r="AC9" s="6" t="s">
        <v>72</v>
      </c>
      <c r="AD9" s="6">
        <v>30</v>
      </c>
      <c r="AE9" s="6" t="s">
        <v>10041</v>
      </c>
    </row>
    <row r="10" spans="1:32" s="6" customFormat="1" ht="158.4" x14ac:dyDescent="0.3">
      <c r="A10" s="6" t="s">
        <v>10677</v>
      </c>
      <c r="B10" s="6">
        <v>2019</v>
      </c>
      <c r="C10" s="7">
        <v>11</v>
      </c>
      <c r="D10" s="6" t="s">
        <v>71</v>
      </c>
      <c r="E10" s="7">
        <v>1</v>
      </c>
      <c r="F10" s="41" t="s">
        <v>10042</v>
      </c>
      <c r="G10" s="6" t="s">
        <v>10025</v>
      </c>
      <c r="H10" s="6" t="s">
        <v>10043</v>
      </c>
      <c r="I10" s="10" t="s">
        <v>1695</v>
      </c>
      <c r="J10" s="11">
        <v>3</v>
      </c>
      <c r="K10" s="6" t="s">
        <v>10044</v>
      </c>
      <c r="L10" s="10" t="s">
        <v>10045</v>
      </c>
      <c r="M10" s="11">
        <v>9</v>
      </c>
      <c r="N10" s="10" t="s">
        <v>10046</v>
      </c>
      <c r="O10" s="7">
        <v>3</v>
      </c>
      <c r="P10" s="7">
        <v>3</v>
      </c>
      <c r="Q10" s="10" t="s">
        <v>10047</v>
      </c>
      <c r="R10" s="10" t="s">
        <v>10048</v>
      </c>
      <c r="S10" s="10" t="s">
        <v>10049</v>
      </c>
      <c r="T10" s="10" t="s">
        <v>10050</v>
      </c>
      <c r="U10" s="6" t="s">
        <v>10051</v>
      </c>
      <c r="V10" s="10" t="s">
        <v>10052</v>
      </c>
      <c r="W10" s="11">
        <v>1</v>
      </c>
      <c r="X10" s="11">
        <v>4</v>
      </c>
      <c r="Y10" s="11">
        <v>16</v>
      </c>
      <c r="Z10" s="11">
        <v>3</v>
      </c>
      <c r="AA10" s="6" t="s">
        <v>10053</v>
      </c>
      <c r="AB10" s="7">
        <v>1</v>
      </c>
      <c r="AC10" s="6" t="s">
        <v>1768</v>
      </c>
      <c r="AD10" s="6" t="s">
        <v>10054</v>
      </c>
      <c r="AE10" s="6" t="s">
        <v>73</v>
      </c>
      <c r="AF10" s="6" t="s">
        <v>10055</v>
      </c>
    </row>
    <row r="11" spans="1:32" s="6" customFormat="1" ht="409.6" x14ac:dyDescent="0.3">
      <c r="A11" s="6" t="s">
        <v>10678</v>
      </c>
      <c r="B11" s="6">
        <v>2023</v>
      </c>
      <c r="C11" s="7">
        <v>15</v>
      </c>
      <c r="D11" s="6" t="s">
        <v>71</v>
      </c>
      <c r="E11" s="7">
        <v>1</v>
      </c>
      <c r="F11" s="41" t="s">
        <v>10056</v>
      </c>
      <c r="G11" s="6" t="s">
        <v>10057</v>
      </c>
      <c r="H11" s="10" t="s">
        <v>3266</v>
      </c>
      <c r="I11" s="10" t="s">
        <v>10058</v>
      </c>
      <c r="J11" s="11">
        <v>3</v>
      </c>
      <c r="K11" s="6" t="s">
        <v>10059</v>
      </c>
      <c r="L11" s="10" t="s">
        <v>10045</v>
      </c>
      <c r="M11" s="11">
        <v>9</v>
      </c>
      <c r="N11" s="10" t="s">
        <v>10060</v>
      </c>
      <c r="O11" s="11">
        <v>12</v>
      </c>
      <c r="P11" s="11">
        <v>3</v>
      </c>
      <c r="Q11" s="10" t="s">
        <v>10061</v>
      </c>
      <c r="R11" s="10" t="s">
        <v>10062</v>
      </c>
      <c r="S11" s="10" t="s">
        <v>10063</v>
      </c>
      <c r="T11" s="10" t="s">
        <v>10064</v>
      </c>
      <c r="U11" s="6" t="s">
        <v>409</v>
      </c>
      <c r="V11" s="10" t="s">
        <v>10065</v>
      </c>
      <c r="W11" s="7">
        <v>1</v>
      </c>
      <c r="X11" s="7">
        <v>1</v>
      </c>
      <c r="Y11" s="7">
        <v>4</v>
      </c>
      <c r="Z11" s="7">
        <v>1</v>
      </c>
      <c r="AA11" s="10" t="s">
        <v>10066</v>
      </c>
      <c r="AB11" s="7">
        <v>1</v>
      </c>
      <c r="AC11" s="10" t="s">
        <v>10067</v>
      </c>
      <c r="AD11" s="6" t="s">
        <v>10068</v>
      </c>
      <c r="AE11" s="10" t="s">
        <v>10069</v>
      </c>
      <c r="AF11" s="6" t="s">
        <v>10070</v>
      </c>
    </row>
    <row r="12" spans="1:32" s="6" customFormat="1" ht="43.2" x14ac:dyDescent="0.3">
      <c r="A12" s="6" t="s">
        <v>10679</v>
      </c>
      <c r="B12" s="6">
        <v>2020</v>
      </c>
      <c r="C12" s="7">
        <v>12</v>
      </c>
      <c r="D12" s="6" t="s">
        <v>71</v>
      </c>
      <c r="E12" s="7">
        <v>1</v>
      </c>
      <c r="F12" s="41" t="s">
        <v>10071</v>
      </c>
      <c r="G12" s="6" t="s">
        <v>10072</v>
      </c>
      <c r="H12" s="10" t="s">
        <v>10073</v>
      </c>
      <c r="I12" s="10" t="s">
        <v>10074</v>
      </c>
      <c r="J12" s="11">
        <v>3</v>
      </c>
      <c r="L12" s="10" t="s">
        <v>504</v>
      </c>
      <c r="M12" s="11">
        <v>1</v>
      </c>
      <c r="N12" s="10" t="s">
        <v>10075</v>
      </c>
      <c r="O12" s="11">
        <v>1</v>
      </c>
      <c r="P12" s="11">
        <v>2</v>
      </c>
      <c r="Q12" s="10" t="s">
        <v>480</v>
      </c>
      <c r="R12" s="10" t="s">
        <v>10074</v>
      </c>
      <c r="S12" s="10">
        <v>2012</v>
      </c>
      <c r="T12" s="10" t="s">
        <v>10076</v>
      </c>
      <c r="U12" s="10" t="s">
        <v>409</v>
      </c>
      <c r="V12" s="12" t="s">
        <v>10077</v>
      </c>
      <c r="W12" s="11">
        <v>2</v>
      </c>
      <c r="X12" s="11">
        <v>3</v>
      </c>
      <c r="Y12" s="11">
        <v>9</v>
      </c>
      <c r="Z12" s="11">
        <v>3</v>
      </c>
      <c r="AA12" s="10" t="s">
        <v>10078</v>
      </c>
      <c r="AB12" s="11">
        <v>2</v>
      </c>
      <c r="AC12" s="10" t="s">
        <v>10079</v>
      </c>
      <c r="AD12" s="6">
        <v>2</v>
      </c>
      <c r="AE12" s="10" t="s">
        <v>10080</v>
      </c>
    </row>
    <row r="13" spans="1:32" s="6" customFormat="1" ht="86.4" x14ac:dyDescent="0.3">
      <c r="A13" s="6" t="s">
        <v>10680</v>
      </c>
      <c r="B13" s="6">
        <v>2012</v>
      </c>
      <c r="C13" s="7">
        <v>4</v>
      </c>
      <c r="D13" s="6" t="s">
        <v>71</v>
      </c>
      <c r="E13" s="7">
        <v>1</v>
      </c>
      <c r="F13" s="43" t="s">
        <v>10081</v>
      </c>
      <c r="G13" s="6" t="s">
        <v>10082</v>
      </c>
      <c r="H13" s="6" t="s">
        <v>10083</v>
      </c>
      <c r="I13" s="10" t="s">
        <v>10084</v>
      </c>
      <c r="J13" s="11">
        <v>1</v>
      </c>
      <c r="L13" s="6" t="s">
        <v>10085</v>
      </c>
      <c r="M13" s="7">
        <v>6</v>
      </c>
      <c r="N13" s="10" t="s">
        <v>10086</v>
      </c>
      <c r="O13" s="11">
        <v>3</v>
      </c>
      <c r="P13" s="11">
        <v>4</v>
      </c>
      <c r="Q13" s="6" t="s">
        <v>612</v>
      </c>
      <c r="R13" s="6" t="s">
        <v>10087</v>
      </c>
      <c r="S13" s="10" t="s">
        <v>10088</v>
      </c>
      <c r="T13" s="10" t="s">
        <v>10089</v>
      </c>
      <c r="U13" s="6" t="s">
        <v>158</v>
      </c>
      <c r="V13" s="6" t="s">
        <v>77</v>
      </c>
      <c r="W13" s="7">
        <v>1</v>
      </c>
      <c r="X13" s="7">
        <v>3</v>
      </c>
      <c r="Y13" s="7">
        <v>1</v>
      </c>
      <c r="Z13" s="7">
        <v>5</v>
      </c>
      <c r="AA13" s="10" t="s">
        <v>10090</v>
      </c>
      <c r="AB13" s="11">
        <v>1</v>
      </c>
      <c r="AC13" s="13" t="s">
        <v>75</v>
      </c>
      <c r="AD13" s="6" t="s">
        <v>10091</v>
      </c>
      <c r="AE13" s="10" t="s">
        <v>10092</v>
      </c>
    </row>
    <row r="14" spans="1:32" s="6" customFormat="1" ht="244.8" x14ac:dyDescent="0.3">
      <c r="A14" s="6" t="s">
        <v>10681</v>
      </c>
      <c r="B14" s="6">
        <v>2021</v>
      </c>
      <c r="C14" s="7">
        <v>13</v>
      </c>
      <c r="D14" s="6" t="s">
        <v>71</v>
      </c>
      <c r="E14" s="7">
        <v>1</v>
      </c>
      <c r="F14" s="41" t="s">
        <v>10093</v>
      </c>
      <c r="G14" s="6" t="s">
        <v>10025</v>
      </c>
      <c r="H14" s="10" t="s">
        <v>10094</v>
      </c>
      <c r="I14" s="10" t="s">
        <v>2295</v>
      </c>
      <c r="J14" s="11">
        <v>8</v>
      </c>
      <c r="L14" s="10" t="s">
        <v>10095</v>
      </c>
      <c r="M14" s="11">
        <v>4</v>
      </c>
      <c r="N14" s="10" t="s">
        <v>10096</v>
      </c>
      <c r="O14" s="11">
        <v>6</v>
      </c>
      <c r="P14" s="11">
        <v>3</v>
      </c>
      <c r="Q14" s="10" t="s">
        <v>10097</v>
      </c>
      <c r="R14" s="10" t="s">
        <v>2295</v>
      </c>
      <c r="S14" s="17" t="s">
        <v>10098</v>
      </c>
      <c r="T14" s="10" t="s">
        <v>10099</v>
      </c>
      <c r="U14" s="10" t="s">
        <v>158</v>
      </c>
      <c r="V14" s="10" t="s">
        <v>10100</v>
      </c>
      <c r="W14" s="11">
        <v>2</v>
      </c>
      <c r="X14" s="11">
        <v>2</v>
      </c>
      <c r="Y14" s="11">
        <v>16</v>
      </c>
      <c r="Z14" s="11">
        <v>3</v>
      </c>
      <c r="AA14" s="10" t="s">
        <v>10101</v>
      </c>
      <c r="AB14" s="11">
        <v>1</v>
      </c>
      <c r="AC14" s="10" t="s">
        <v>10102</v>
      </c>
      <c r="AD14" s="6">
        <v>30</v>
      </c>
      <c r="AE14" s="10" t="s">
        <v>73</v>
      </c>
    </row>
    <row r="15" spans="1:32" s="6" customFormat="1" ht="72" x14ac:dyDescent="0.3">
      <c r="A15" s="6" t="s">
        <v>10682</v>
      </c>
      <c r="B15" s="6">
        <v>2024</v>
      </c>
      <c r="C15" s="7">
        <v>16</v>
      </c>
      <c r="D15" s="6" t="s">
        <v>71</v>
      </c>
      <c r="E15" s="7">
        <v>1</v>
      </c>
      <c r="F15" s="41" t="s">
        <v>10103</v>
      </c>
      <c r="G15" s="6" t="s">
        <v>10104</v>
      </c>
      <c r="H15" s="10" t="s">
        <v>10105</v>
      </c>
      <c r="I15" s="10" t="s">
        <v>10106</v>
      </c>
      <c r="J15" s="11">
        <v>3</v>
      </c>
      <c r="L15" s="10" t="s">
        <v>10107</v>
      </c>
      <c r="M15" s="11">
        <v>4</v>
      </c>
      <c r="N15" s="10" t="s">
        <v>192</v>
      </c>
      <c r="O15" s="11">
        <v>1</v>
      </c>
      <c r="P15" s="11">
        <v>2</v>
      </c>
      <c r="Q15" s="10" t="s">
        <v>118</v>
      </c>
      <c r="R15" s="6" t="s">
        <v>193</v>
      </c>
      <c r="S15" s="46" t="s">
        <v>194</v>
      </c>
      <c r="T15" s="10" t="s">
        <v>195</v>
      </c>
      <c r="U15" s="10" t="s">
        <v>158</v>
      </c>
      <c r="V15" s="10" t="s">
        <v>77</v>
      </c>
      <c r="W15" s="11">
        <v>1</v>
      </c>
      <c r="X15" s="11">
        <v>3</v>
      </c>
      <c r="Y15" s="11">
        <v>1</v>
      </c>
      <c r="Z15" s="11">
        <v>5</v>
      </c>
      <c r="AA15" s="13" t="s">
        <v>74</v>
      </c>
      <c r="AB15" s="7">
        <v>2</v>
      </c>
      <c r="AC15" s="10" t="s">
        <v>72</v>
      </c>
      <c r="AD15" s="6">
        <v>30</v>
      </c>
      <c r="AE15" s="10" t="s">
        <v>73</v>
      </c>
      <c r="AF15" s="6" t="s">
        <v>10108</v>
      </c>
    </row>
    <row r="16" spans="1:32" s="6" customFormat="1" ht="43.2" x14ac:dyDescent="0.3">
      <c r="A16" s="6" t="s">
        <v>10683</v>
      </c>
      <c r="B16" s="6">
        <v>2022</v>
      </c>
      <c r="C16" s="7">
        <v>14</v>
      </c>
      <c r="D16" s="6" t="s">
        <v>71</v>
      </c>
      <c r="E16" s="7">
        <v>1</v>
      </c>
      <c r="F16" s="41" t="s">
        <v>10109</v>
      </c>
      <c r="G16" s="6" t="s">
        <v>10110</v>
      </c>
      <c r="H16" s="10" t="s">
        <v>10111</v>
      </c>
      <c r="I16" s="10" t="s">
        <v>10112</v>
      </c>
      <c r="J16" s="11">
        <v>1</v>
      </c>
      <c r="K16" s="6" t="s">
        <v>2907</v>
      </c>
      <c r="L16" s="10" t="s">
        <v>10113</v>
      </c>
      <c r="M16" s="11">
        <v>4</v>
      </c>
      <c r="N16" s="10" t="s">
        <v>192</v>
      </c>
      <c r="O16" s="11">
        <v>1</v>
      </c>
      <c r="P16" s="11">
        <v>2</v>
      </c>
      <c r="Q16" s="10" t="s">
        <v>118</v>
      </c>
      <c r="R16" s="6" t="s">
        <v>193</v>
      </c>
      <c r="S16" s="46" t="s">
        <v>194</v>
      </c>
      <c r="T16" s="10" t="s">
        <v>195</v>
      </c>
      <c r="U16" s="10" t="s">
        <v>158</v>
      </c>
      <c r="V16" s="10" t="s">
        <v>77</v>
      </c>
      <c r="W16" s="11">
        <v>1</v>
      </c>
      <c r="X16" s="11">
        <v>3</v>
      </c>
      <c r="Y16" s="11">
        <v>1</v>
      </c>
      <c r="Z16" s="11">
        <v>5</v>
      </c>
      <c r="AA16" s="13" t="s">
        <v>74</v>
      </c>
      <c r="AB16" s="7">
        <v>2</v>
      </c>
      <c r="AC16" s="10" t="s">
        <v>72</v>
      </c>
      <c r="AD16" s="6">
        <v>30</v>
      </c>
      <c r="AE16" s="10" t="s">
        <v>73</v>
      </c>
      <c r="AF16" s="6" t="s">
        <v>10114</v>
      </c>
    </row>
    <row r="17" spans="1:32" s="6" customFormat="1" ht="43.2" x14ac:dyDescent="0.3">
      <c r="A17" s="6" t="s">
        <v>2445</v>
      </c>
      <c r="B17" s="6">
        <v>2016</v>
      </c>
      <c r="C17" s="7">
        <v>8</v>
      </c>
      <c r="D17" s="6" t="s">
        <v>71</v>
      </c>
      <c r="E17" s="7">
        <v>1</v>
      </c>
      <c r="F17" s="41" t="s">
        <v>10115</v>
      </c>
      <c r="G17" s="6" t="s">
        <v>10110</v>
      </c>
      <c r="H17" s="10" t="s">
        <v>10116</v>
      </c>
      <c r="I17" s="10" t="s">
        <v>10117</v>
      </c>
      <c r="J17" s="11">
        <v>3</v>
      </c>
      <c r="L17" s="10" t="s">
        <v>10118</v>
      </c>
      <c r="M17" s="11">
        <v>4</v>
      </c>
      <c r="N17" s="10" t="s">
        <v>192</v>
      </c>
      <c r="O17" s="11">
        <v>1</v>
      </c>
      <c r="P17" s="11">
        <v>1</v>
      </c>
      <c r="Q17" s="10" t="s">
        <v>118</v>
      </c>
      <c r="R17" s="6" t="s">
        <v>193</v>
      </c>
      <c r="S17" s="46" t="s">
        <v>194</v>
      </c>
      <c r="T17" s="10" t="s">
        <v>195</v>
      </c>
      <c r="U17" s="10" t="s">
        <v>158</v>
      </c>
      <c r="V17" s="10" t="s">
        <v>77</v>
      </c>
      <c r="W17" s="11">
        <v>1</v>
      </c>
      <c r="X17" s="11">
        <v>3</v>
      </c>
      <c r="Y17" s="11">
        <v>1</v>
      </c>
      <c r="Z17" s="11">
        <v>5</v>
      </c>
      <c r="AA17" s="13" t="s">
        <v>74</v>
      </c>
      <c r="AB17" s="7">
        <v>2</v>
      </c>
      <c r="AC17" s="12" t="s">
        <v>75</v>
      </c>
      <c r="AD17" s="6">
        <v>30</v>
      </c>
      <c r="AE17" s="10" t="s">
        <v>73</v>
      </c>
      <c r="AF17" s="6" t="s">
        <v>10119</v>
      </c>
    </row>
    <row r="18" spans="1:32" s="6" customFormat="1" ht="86.4" x14ac:dyDescent="0.3">
      <c r="A18" s="6" t="s">
        <v>10684</v>
      </c>
      <c r="B18" s="6">
        <v>2019</v>
      </c>
      <c r="C18" s="7">
        <v>11</v>
      </c>
      <c r="D18" s="6" t="s">
        <v>71</v>
      </c>
      <c r="E18" s="7">
        <v>1</v>
      </c>
      <c r="F18" s="41" t="s">
        <v>10120</v>
      </c>
      <c r="G18" s="6" t="s">
        <v>329</v>
      </c>
      <c r="H18" s="10" t="s">
        <v>3366</v>
      </c>
      <c r="I18" s="10" t="s">
        <v>10121</v>
      </c>
      <c r="J18" s="11">
        <v>3</v>
      </c>
      <c r="K18" s="6" t="s">
        <v>109</v>
      </c>
      <c r="L18" s="10" t="s">
        <v>10122</v>
      </c>
      <c r="M18" s="11">
        <v>6</v>
      </c>
      <c r="N18" s="10" t="s">
        <v>10123</v>
      </c>
      <c r="O18" s="11">
        <v>1</v>
      </c>
      <c r="P18" s="11">
        <v>100</v>
      </c>
      <c r="Q18" s="10" t="s">
        <v>480</v>
      </c>
      <c r="R18" s="10" t="s">
        <v>1210</v>
      </c>
      <c r="S18" s="46" t="s">
        <v>10124</v>
      </c>
      <c r="T18" s="10" t="s">
        <v>10125</v>
      </c>
      <c r="U18" s="10" t="s">
        <v>10126</v>
      </c>
      <c r="V18" s="10" t="s">
        <v>10127</v>
      </c>
      <c r="W18" s="11">
        <v>2</v>
      </c>
      <c r="X18" s="11">
        <v>3</v>
      </c>
      <c r="Y18" s="11">
        <v>17</v>
      </c>
      <c r="Z18" s="11">
        <v>3</v>
      </c>
      <c r="AA18" s="12" t="s">
        <v>74</v>
      </c>
      <c r="AB18" s="11">
        <v>2</v>
      </c>
      <c r="AC18" s="12" t="s">
        <v>75</v>
      </c>
      <c r="AD18" s="6">
        <v>50</v>
      </c>
      <c r="AE18" s="10" t="s">
        <v>10080</v>
      </c>
    </row>
    <row r="19" spans="1:32" s="6" customFormat="1" ht="43.2" x14ac:dyDescent="0.3">
      <c r="A19" s="6" t="s">
        <v>10685</v>
      </c>
      <c r="B19" s="6">
        <v>2023</v>
      </c>
      <c r="C19" s="7">
        <v>15</v>
      </c>
      <c r="D19" s="6" t="s">
        <v>71</v>
      </c>
      <c r="E19" s="7">
        <v>1</v>
      </c>
      <c r="F19" s="41" t="s">
        <v>10128</v>
      </c>
      <c r="G19" s="6" t="s">
        <v>10082</v>
      </c>
      <c r="H19" s="10" t="s">
        <v>10129</v>
      </c>
      <c r="I19" s="10" t="s">
        <v>10130</v>
      </c>
      <c r="J19" s="11">
        <v>7</v>
      </c>
      <c r="L19" s="10" t="s">
        <v>10131</v>
      </c>
      <c r="M19" s="11">
        <v>4</v>
      </c>
      <c r="N19" s="10" t="s">
        <v>192</v>
      </c>
      <c r="O19" s="11">
        <v>1</v>
      </c>
      <c r="P19" s="11">
        <v>2</v>
      </c>
      <c r="Q19" s="10" t="s">
        <v>118</v>
      </c>
      <c r="R19" s="6" t="s">
        <v>193</v>
      </c>
      <c r="S19" s="46" t="s">
        <v>194</v>
      </c>
      <c r="T19" s="10" t="s">
        <v>195</v>
      </c>
      <c r="U19" s="10" t="s">
        <v>158</v>
      </c>
      <c r="V19" s="10" t="s">
        <v>77</v>
      </c>
      <c r="W19" s="11">
        <v>1</v>
      </c>
      <c r="X19" s="11">
        <v>3</v>
      </c>
      <c r="Y19" s="11">
        <v>1</v>
      </c>
      <c r="Z19" s="11">
        <v>5</v>
      </c>
      <c r="AA19" s="13" t="s">
        <v>74</v>
      </c>
      <c r="AB19" s="7">
        <v>2</v>
      </c>
      <c r="AC19" s="12" t="s">
        <v>75</v>
      </c>
      <c r="AD19" s="6">
        <v>30</v>
      </c>
      <c r="AE19" s="10" t="s">
        <v>73</v>
      </c>
    </row>
    <row r="20" spans="1:32" s="6" customFormat="1" ht="115.2" x14ac:dyDescent="0.3">
      <c r="A20" s="6" t="s">
        <v>10132</v>
      </c>
      <c r="B20" s="6">
        <v>2016</v>
      </c>
      <c r="C20" s="7">
        <v>8</v>
      </c>
      <c r="D20" s="6" t="s">
        <v>16</v>
      </c>
      <c r="E20" s="7">
        <v>2</v>
      </c>
      <c r="F20" s="41" t="s">
        <v>10133</v>
      </c>
      <c r="H20" s="10" t="s">
        <v>10134</v>
      </c>
      <c r="I20" s="10" t="s">
        <v>10135</v>
      </c>
      <c r="J20" s="11">
        <v>3</v>
      </c>
      <c r="K20" s="6" t="s">
        <v>653</v>
      </c>
      <c r="L20" s="10" t="s">
        <v>10136</v>
      </c>
      <c r="M20" s="11">
        <v>8</v>
      </c>
      <c r="N20" s="10" t="s">
        <v>10137</v>
      </c>
      <c r="O20" s="11">
        <v>1</v>
      </c>
      <c r="P20" s="11">
        <v>1</v>
      </c>
      <c r="Q20" s="10" t="s">
        <v>480</v>
      </c>
      <c r="R20" s="10" t="s">
        <v>10135</v>
      </c>
      <c r="S20" s="10" t="s">
        <v>10138</v>
      </c>
      <c r="T20" s="10" t="s">
        <v>10075</v>
      </c>
      <c r="U20" s="10" t="s">
        <v>10139</v>
      </c>
      <c r="V20" s="10" t="s">
        <v>10140</v>
      </c>
      <c r="W20" s="11">
        <v>3</v>
      </c>
      <c r="X20" s="11">
        <v>3</v>
      </c>
      <c r="Y20" s="11">
        <v>17</v>
      </c>
      <c r="Z20" s="11">
        <v>4</v>
      </c>
      <c r="AA20" s="10" t="s">
        <v>10141</v>
      </c>
      <c r="AB20" s="11">
        <v>1</v>
      </c>
      <c r="AC20" s="12" t="s">
        <v>75</v>
      </c>
      <c r="AD20" s="6" t="s">
        <v>10142</v>
      </c>
      <c r="AE20" s="10" t="s">
        <v>75</v>
      </c>
    </row>
    <row r="21" spans="1:32" s="6" customFormat="1" ht="86.4" x14ac:dyDescent="0.3">
      <c r="A21" s="6" t="s">
        <v>10686</v>
      </c>
      <c r="B21" s="6">
        <v>2023</v>
      </c>
      <c r="C21" s="7">
        <v>15</v>
      </c>
      <c r="D21" s="6" t="s">
        <v>71</v>
      </c>
      <c r="E21" s="7">
        <v>1</v>
      </c>
      <c r="F21" s="41" t="s">
        <v>10143</v>
      </c>
      <c r="G21" s="6" t="s">
        <v>10144</v>
      </c>
      <c r="H21" s="10" t="s">
        <v>10145</v>
      </c>
      <c r="I21" s="10" t="s">
        <v>2295</v>
      </c>
      <c r="J21" s="11">
        <v>8</v>
      </c>
      <c r="L21" s="10" t="s">
        <v>10146</v>
      </c>
      <c r="M21" s="11">
        <v>4</v>
      </c>
      <c r="N21" s="10" t="s">
        <v>415</v>
      </c>
      <c r="O21" s="11">
        <v>1</v>
      </c>
      <c r="P21" s="11">
        <v>2</v>
      </c>
      <c r="Q21" s="10" t="s">
        <v>416</v>
      </c>
      <c r="R21" s="6" t="s">
        <v>193</v>
      </c>
      <c r="S21" s="6" t="s">
        <v>194</v>
      </c>
      <c r="T21" s="6" t="s">
        <v>417</v>
      </c>
      <c r="U21" s="10" t="s">
        <v>158</v>
      </c>
      <c r="V21" s="10" t="s">
        <v>10147</v>
      </c>
      <c r="W21" s="11">
        <v>2</v>
      </c>
      <c r="X21" s="11">
        <v>2</v>
      </c>
      <c r="Y21" s="11">
        <v>16</v>
      </c>
      <c r="Z21" s="11">
        <v>3</v>
      </c>
      <c r="AA21" s="13" t="s">
        <v>74</v>
      </c>
      <c r="AB21" s="7">
        <v>2</v>
      </c>
      <c r="AC21" s="12" t="s">
        <v>75</v>
      </c>
      <c r="AD21" s="6">
        <v>90</v>
      </c>
      <c r="AE21" s="10" t="s">
        <v>73</v>
      </c>
      <c r="AF21" s="6" t="s">
        <v>10148</v>
      </c>
    </row>
    <row r="22" spans="1:32" s="6" customFormat="1" ht="43.2" x14ac:dyDescent="0.3">
      <c r="A22" s="6" t="s">
        <v>10687</v>
      </c>
      <c r="B22" s="6">
        <v>2016</v>
      </c>
      <c r="C22" s="7">
        <v>8</v>
      </c>
      <c r="D22" s="6" t="s">
        <v>71</v>
      </c>
      <c r="E22" s="7">
        <v>1</v>
      </c>
      <c r="F22" s="41" t="s">
        <v>10149</v>
      </c>
      <c r="G22" s="6" t="s">
        <v>10025</v>
      </c>
      <c r="H22" s="10" t="s">
        <v>10150</v>
      </c>
      <c r="I22" s="10" t="s">
        <v>2295</v>
      </c>
      <c r="J22" s="11">
        <v>8</v>
      </c>
      <c r="L22" s="10" t="s">
        <v>10151</v>
      </c>
      <c r="M22" s="11">
        <v>15</v>
      </c>
      <c r="N22" s="10" t="s">
        <v>192</v>
      </c>
      <c r="O22" s="11">
        <v>1</v>
      </c>
      <c r="P22" s="11">
        <v>1</v>
      </c>
      <c r="Q22" s="10" t="s">
        <v>118</v>
      </c>
      <c r="R22" s="6" t="s">
        <v>193</v>
      </c>
      <c r="S22" s="6" t="s">
        <v>194</v>
      </c>
      <c r="T22" s="10" t="s">
        <v>195</v>
      </c>
      <c r="U22" s="10" t="s">
        <v>158</v>
      </c>
      <c r="V22" s="10" t="s">
        <v>77</v>
      </c>
      <c r="W22" s="11">
        <v>2</v>
      </c>
      <c r="X22" s="11">
        <v>3</v>
      </c>
      <c r="Y22" s="11">
        <v>16</v>
      </c>
      <c r="Z22" s="11">
        <v>3</v>
      </c>
      <c r="AA22" s="13" t="s">
        <v>74</v>
      </c>
      <c r="AB22" s="7">
        <v>2</v>
      </c>
      <c r="AC22" s="12" t="s">
        <v>75</v>
      </c>
      <c r="AD22" s="6">
        <v>30</v>
      </c>
      <c r="AE22" s="10" t="s">
        <v>73</v>
      </c>
      <c r="AF22" s="6" t="s">
        <v>39117</v>
      </c>
    </row>
    <row r="23" spans="1:32" s="6" customFormat="1" ht="72" x14ac:dyDescent="0.3">
      <c r="A23" s="6" t="s">
        <v>10688</v>
      </c>
      <c r="B23" s="6">
        <v>2014</v>
      </c>
      <c r="C23" s="7">
        <v>6</v>
      </c>
      <c r="D23" s="6" t="s">
        <v>71</v>
      </c>
      <c r="E23" s="7">
        <v>1</v>
      </c>
      <c r="F23" s="41" t="s">
        <v>10152</v>
      </c>
      <c r="G23" s="6" t="s">
        <v>10153</v>
      </c>
      <c r="H23" s="10" t="s">
        <v>10154</v>
      </c>
      <c r="I23" s="10" t="s">
        <v>2295</v>
      </c>
      <c r="J23" s="11">
        <v>8</v>
      </c>
      <c r="L23" s="10" t="s">
        <v>10155</v>
      </c>
      <c r="M23" s="11">
        <v>8</v>
      </c>
      <c r="N23" s="10" t="s">
        <v>10156</v>
      </c>
      <c r="O23" s="11">
        <v>2</v>
      </c>
      <c r="P23" s="11">
        <v>4</v>
      </c>
      <c r="Q23" s="10" t="s">
        <v>10157</v>
      </c>
      <c r="R23" s="6" t="s">
        <v>10158</v>
      </c>
      <c r="S23" s="6" t="s">
        <v>10159</v>
      </c>
      <c r="T23" s="10" t="s">
        <v>10160</v>
      </c>
      <c r="U23" s="10" t="s">
        <v>10161</v>
      </c>
      <c r="V23" s="10" t="s">
        <v>10162</v>
      </c>
      <c r="W23" s="11">
        <v>2</v>
      </c>
      <c r="X23" s="11">
        <v>3</v>
      </c>
      <c r="Y23" s="11">
        <v>16</v>
      </c>
      <c r="Z23" s="11">
        <v>4</v>
      </c>
      <c r="AA23" s="13" t="s">
        <v>74</v>
      </c>
      <c r="AB23" s="7">
        <v>2</v>
      </c>
      <c r="AC23" s="12" t="s">
        <v>10163</v>
      </c>
      <c r="AD23" s="6" t="s">
        <v>10164</v>
      </c>
      <c r="AE23" s="10" t="s">
        <v>73</v>
      </c>
      <c r="AF23" s="6" t="s">
        <v>10761</v>
      </c>
    </row>
    <row r="24" spans="1:32" s="6" customFormat="1" ht="57.6" x14ac:dyDescent="0.3">
      <c r="A24" s="6" t="s">
        <v>10689</v>
      </c>
      <c r="B24" s="6">
        <v>2018</v>
      </c>
      <c r="C24" s="7">
        <v>10</v>
      </c>
      <c r="D24" s="6" t="s">
        <v>71</v>
      </c>
      <c r="E24" s="7">
        <v>1</v>
      </c>
      <c r="F24" s="41" t="s">
        <v>10165</v>
      </c>
      <c r="G24" s="6" t="s">
        <v>1426</v>
      </c>
      <c r="H24" s="10" t="s">
        <v>10166</v>
      </c>
      <c r="I24" s="10" t="s">
        <v>2295</v>
      </c>
      <c r="J24" s="11">
        <v>8</v>
      </c>
      <c r="L24" s="10" t="s">
        <v>10167</v>
      </c>
      <c r="M24" s="11">
        <v>1</v>
      </c>
      <c r="N24" s="10" t="s">
        <v>1292</v>
      </c>
      <c r="O24" s="11">
        <v>1</v>
      </c>
      <c r="P24" s="11">
        <v>2</v>
      </c>
      <c r="Q24" s="10" t="s">
        <v>118</v>
      </c>
      <c r="R24" s="6" t="s">
        <v>193</v>
      </c>
      <c r="S24" s="6" t="s">
        <v>194</v>
      </c>
      <c r="T24" s="10" t="s">
        <v>1293</v>
      </c>
      <c r="U24" s="10" t="s">
        <v>158</v>
      </c>
      <c r="V24" s="10" t="s">
        <v>77</v>
      </c>
      <c r="W24" s="11">
        <v>1</v>
      </c>
      <c r="X24" s="11">
        <v>3</v>
      </c>
      <c r="Y24" s="11">
        <v>1</v>
      </c>
      <c r="Z24" s="11">
        <v>5</v>
      </c>
      <c r="AA24" s="13" t="s">
        <v>74</v>
      </c>
      <c r="AB24" s="7">
        <v>2</v>
      </c>
      <c r="AC24" s="10" t="s">
        <v>72</v>
      </c>
      <c r="AD24" s="6">
        <v>90</v>
      </c>
      <c r="AE24" s="10" t="s">
        <v>73</v>
      </c>
    </row>
    <row r="25" spans="1:32" s="6" customFormat="1" ht="158.4" x14ac:dyDescent="0.3">
      <c r="A25" s="6" t="s">
        <v>10690</v>
      </c>
      <c r="B25" s="6">
        <v>2024</v>
      </c>
      <c r="C25" s="7">
        <v>16</v>
      </c>
      <c r="D25" s="6" t="s">
        <v>71</v>
      </c>
      <c r="E25" s="7">
        <v>1</v>
      </c>
      <c r="F25" s="41" t="s">
        <v>10168</v>
      </c>
      <c r="G25" s="6" t="s">
        <v>10169</v>
      </c>
      <c r="H25" s="10" t="s">
        <v>3204</v>
      </c>
      <c r="I25" s="10" t="s">
        <v>10170</v>
      </c>
      <c r="J25" s="11">
        <v>1</v>
      </c>
      <c r="K25" s="6" t="s">
        <v>1360</v>
      </c>
      <c r="L25" s="10" t="s">
        <v>10171</v>
      </c>
      <c r="M25" s="11">
        <v>1</v>
      </c>
      <c r="N25" s="10" t="s">
        <v>10172</v>
      </c>
      <c r="O25" s="11">
        <v>1</v>
      </c>
      <c r="P25" s="11">
        <v>1</v>
      </c>
      <c r="Q25" s="10" t="s">
        <v>307</v>
      </c>
      <c r="R25" s="10" t="s">
        <v>10173</v>
      </c>
      <c r="S25" s="10" t="s">
        <v>10174</v>
      </c>
      <c r="T25" s="10" t="s">
        <v>10175</v>
      </c>
      <c r="U25" s="10" t="s">
        <v>409</v>
      </c>
      <c r="V25" s="6" t="s">
        <v>795</v>
      </c>
      <c r="W25" s="7">
        <v>1</v>
      </c>
      <c r="X25" s="7">
        <v>1</v>
      </c>
      <c r="Y25" s="7">
        <v>4</v>
      </c>
      <c r="Z25" s="7">
        <v>1</v>
      </c>
      <c r="AA25" s="10" t="s">
        <v>10176</v>
      </c>
      <c r="AB25" s="11">
        <v>2</v>
      </c>
      <c r="AC25" s="10" t="s">
        <v>72</v>
      </c>
      <c r="AD25" s="10" t="s">
        <v>10022</v>
      </c>
      <c r="AE25" s="6" t="s">
        <v>10023</v>
      </c>
    </row>
    <row r="26" spans="1:32" s="6" customFormat="1" ht="43.2" x14ac:dyDescent="0.3">
      <c r="A26" s="6" t="s">
        <v>10691</v>
      </c>
      <c r="B26" s="6">
        <v>2024</v>
      </c>
      <c r="C26" s="7">
        <v>16</v>
      </c>
      <c r="D26" s="6" t="s">
        <v>71</v>
      </c>
      <c r="E26" s="7">
        <v>1</v>
      </c>
      <c r="F26" s="41" t="s">
        <v>10177</v>
      </c>
      <c r="G26" s="6" t="s">
        <v>10178</v>
      </c>
      <c r="H26" s="10" t="s">
        <v>3207</v>
      </c>
      <c r="I26" s="10" t="s">
        <v>10179</v>
      </c>
      <c r="J26" s="11">
        <v>6</v>
      </c>
      <c r="K26" s="6" t="s">
        <v>1856</v>
      </c>
      <c r="L26" s="10" t="s">
        <v>10180</v>
      </c>
      <c r="M26" s="11">
        <v>1</v>
      </c>
      <c r="N26" s="10" t="s">
        <v>10181</v>
      </c>
      <c r="O26" s="11">
        <v>100</v>
      </c>
      <c r="P26" s="11">
        <v>4</v>
      </c>
      <c r="Q26" s="10" t="s">
        <v>480</v>
      </c>
      <c r="R26" s="10" t="s">
        <v>10182</v>
      </c>
      <c r="S26" s="10" t="s">
        <v>10183</v>
      </c>
      <c r="T26" s="10" t="s">
        <v>10075</v>
      </c>
      <c r="U26" s="10" t="s">
        <v>76</v>
      </c>
      <c r="V26" s="10" t="s">
        <v>2302</v>
      </c>
      <c r="W26" s="11">
        <v>1</v>
      </c>
      <c r="X26" s="11">
        <v>1</v>
      </c>
      <c r="Y26" s="11">
        <v>10</v>
      </c>
      <c r="Z26" s="11">
        <v>2</v>
      </c>
      <c r="AA26" s="13" t="s">
        <v>74</v>
      </c>
      <c r="AB26" s="7">
        <v>2</v>
      </c>
      <c r="AC26" s="12" t="s">
        <v>75</v>
      </c>
      <c r="AD26" s="10" t="s">
        <v>10184</v>
      </c>
      <c r="AE26" s="10" t="s">
        <v>73</v>
      </c>
      <c r="AF26" s="6" t="s">
        <v>10185</v>
      </c>
    </row>
    <row r="27" spans="1:32" s="6" customFormat="1" ht="72" x14ac:dyDescent="0.3">
      <c r="A27" s="6" t="s">
        <v>10692</v>
      </c>
      <c r="B27" s="6">
        <v>2020</v>
      </c>
      <c r="C27" s="7">
        <v>12</v>
      </c>
      <c r="D27" s="6" t="s">
        <v>71</v>
      </c>
      <c r="E27" s="7">
        <v>1</v>
      </c>
      <c r="F27" s="41" t="s">
        <v>10186</v>
      </c>
      <c r="G27" s="6" t="s">
        <v>10187</v>
      </c>
      <c r="H27" s="10" t="s">
        <v>3359</v>
      </c>
      <c r="I27" s="10" t="s">
        <v>900</v>
      </c>
      <c r="J27" s="11">
        <v>6</v>
      </c>
      <c r="L27" s="10" t="s">
        <v>10188</v>
      </c>
      <c r="M27" s="11">
        <v>9</v>
      </c>
      <c r="N27" s="10" t="s">
        <v>10181</v>
      </c>
      <c r="O27" s="11">
        <v>100</v>
      </c>
      <c r="P27" s="11">
        <v>4</v>
      </c>
      <c r="Q27" s="10" t="s">
        <v>480</v>
      </c>
      <c r="R27" s="10" t="s">
        <v>10189</v>
      </c>
      <c r="S27" s="6" t="s">
        <v>10183</v>
      </c>
      <c r="T27" s="10" t="s">
        <v>10075</v>
      </c>
      <c r="U27" s="10" t="s">
        <v>76</v>
      </c>
      <c r="V27" s="10" t="s">
        <v>10190</v>
      </c>
      <c r="W27" s="11">
        <v>1</v>
      </c>
      <c r="X27" s="11">
        <v>1</v>
      </c>
      <c r="Y27" s="11">
        <v>12</v>
      </c>
      <c r="Z27" s="11">
        <v>2</v>
      </c>
      <c r="AA27" s="13" t="s">
        <v>74</v>
      </c>
      <c r="AB27" s="7">
        <v>2</v>
      </c>
      <c r="AC27" s="12" t="s">
        <v>75</v>
      </c>
      <c r="AE27" s="10" t="s">
        <v>73</v>
      </c>
      <c r="AF27" s="6" t="s">
        <v>10191</v>
      </c>
    </row>
    <row r="28" spans="1:32" s="6" customFormat="1" ht="72" x14ac:dyDescent="0.3">
      <c r="A28" s="6" t="s">
        <v>10693</v>
      </c>
      <c r="B28" s="6">
        <v>2016</v>
      </c>
      <c r="C28" s="7">
        <v>8</v>
      </c>
      <c r="D28" s="6" t="s">
        <v>71</v>
      </c>
      <c r="E28" s="7">
        <v>1</v>
      </c>
      <c r="F28" s="41" t="s">
        <v>10192</v>
      </c>
      <c r="G28" s="6" t="s">
        <v>1426</v>
      </c>
      <c r="H28" s="10" t="s">
        <v>10193</v>
      </c>
      <c r="I28" s="10" t="s">
        <v>900</v>
      </c>
      <c r="J28" s="11">
        <v>6</v>
      </c>
      <c r="L28" s="10" t="s">
        <v>504</v>
      </c>
      <c r="M28" s="11">
        <v>1</v>
      </c>
      <c r="N28" s="10" t="s">
        <v>10194</v>
      </c>
      <c r="O28" s="11">
        <v>2</v>
      </c>
      <c r="P28" s="11">
        <v>4</v>
      </c>
      <c r="Q28" s="10" t="s">
        <v>10195</v>
      </c>
      <c r="R28" s="10" t="s">
        <v>10189</v>
      </c>
      <c r="T28" s="10" t="s">
        <v>9987</v>
      </c>
      <c r="U28" s="10" t="s">
        <v>76</v>
      </c>
      <c r="V28" s="10" t="s">
        <v>10196</v>
      </c>
      <c r="W28" s="11">
        <v>2</v>
      </c>
      <c r="X28" s="11">
        <v>2</v>
      </c>
      <c r="Y28" s="11">
        <v>12</v>
      </c>
      <c r="Z28" s="11">
        <v>2</v>
      </c>
      <c r="AA28" s="13" t="s">
        <v>74</v>
      </c>
      <c r="AB28" s="7">
        <v>2</v>
      </c>
      <c r="AC28" s="12" t="s">
        <v>75</v>
      </c>
      <c r="AD28" s="10" t="s">
        <v>10197</v>
      </c>
      <c r="AE28" s="10" t="s">
        <v>73</v>
      </c>
    </row>
    <row r="29" spans="1:32" s="6" customFormat="1" ht="28.8" x14ac:dyDescent="0.3">
      <c r="A29" s="6" t="s">
        <v>10694</v>
      </c>
      <c r="B29" s="6">
        <v>2020</v>
      </c>
      <c r="C29" s="7">
        <v>12</v>
      </c>
      <c r="D29" s="6" t="s">
        <v>71</v>
      </c>
      <c r="E29" s="7">
        <v>1</v>
      </c>
      <c r="F29" s="41" t="s">
        <v>10198</v>
      </c>
      <c r="G29" s="6" t="s">
        <v>10025</v>
      </c>
      <c r="H29" s="10" t="s">
        <v>10199</v>
      </c>
      <c r="I29" s="10" t="s">
        <v>10200</v>
      </c>
      <c r="J29" s="11">
        <v>8</v>
      </c>
      <c r="K29" s="6" t="s">
        <v>10201</v>
      </c>
      <c r="L29" s="10" t="s">
        <v>10202</v>
      </c>
      <c r="M29" s="11">
        <v>4</v>
      </c>
      <c r="N29" s="10" t="s">
        <v>10203</v>
      </c>
      <c r="O29" s="11">
        <v>1</v>
      </c>
      <c r="P29" s="11">
        <v>2</v>
      </c>
      <c r="Q29" s="10" t="s">
        <v>118</v>
      </c>
      <c r="R29" s="10" t="s">
        <v>2295</v>
      </c>
      <c r="T29" s="10" t="s">
        <v>10204</v>
      </c>
      <c r="U29" s="10" t="s">
        <v>158</v>
      </c>
      <c r="V29" s="10" t="s">
        <v>77</v>
      </c>
      <c r="W29" s="11">
        <v>1</v>
      </c>
      <c r="X29" s="11">
        <v>2</v>
      </c>
      <c r="Y29" s="11">
        <v>1</v>
      </c>
      <c r="Z29" s="11">
        <v>3</v>
      </c>
      <c r="AA29" s="13" t="s">
        <v>74</v>
      </c>
      <c r="AB29" s="7">
        <v>2</v>
      </c>
      <c r="AC29" s="12" t="s">
        <v>75</v>
      </c>
      <c r="AD29" s="10" t="s">
        <v>10205</v>
      </c>
      <c r="AE29" s="10" t="s">
        <v>73</v>
      </c>
      <c r="AF29" s="6" t="s">
        <v>39148</v>
      </c>
    </row>
    <row r="30" spans="1:32" s="6" customFormat="1" ht="43.2" x14ac:dyDescent="0.3">
      <c r="A30" s="6" t="s">
        <v>10695</v>
      </c>
      <c r="B30" s="6">
        <v>2021</v>
      </c>
      <c r="C30" s="7">
        <v>13</v>
      </c>
      <c r="D30" s="6" t="s">
        <v>71</v>
      </c>
      <c r="E30" s="7">
        <v>1</v>
      </c>
      <c r="F30" s="43" t="s">
        <v>10206</v>
      </c>
      <c r="G30" s="6" t="s">
        <v>10207</v>
      </c>
      <c r="H30" s="10" t="s">
        <v>10208</v>
      </c>
      <c r="I30" s="10" t="s">
        <v>10209</v>
      </c>
      <c r="J30" s="11">
        <v>3</v>
      </c>
      <c r="K30" s="6" t="s">
        <v>10210</v>
      </c>
      <c r="L30" s="10" t="s">
        <v>10211</v>
      </c>
      <c r="M30" s="11">
        <v>1</v>
      </c>
      <c r="N30" s="12" t="s">
        <v>75</v>
      </c>
      <c r="O30" s="7">
        <v>100</v>
      </c>
      <c r="P30" s="7">
        <v>100</v>
      </c>
      <c r="Q30" s="12" t="s">
        <v>75</v>
      </c>
      <c r="R30" s="12" t="s">
        <v>75</v>
      </c>
      <c r="S30" s="12" t="s">
        <v>75</v>
      </c>
      <c r="T30" s="12" t="s">
        <v>75</v>
      </c>
      <c r="U30" s="12" t="s">
        <v>75</v>
      </c>
      <c r="V30" s="12" t="s">
        <v>75</v>
      </c>
      <c r="W30" s="7">
        <v>3</v>
      </c>
      <c r="X30" s="7">
        <v>3</v>
      </c>
      <c r="Y30" s="7">
        <v>17</v>
      </c>
      <c r="Z30" s="7">
        <v>4</v>
      </c>
      <c r="AA30" s="12" t="s">
        <v>75</v>
      </c>
      <c r="AB30" s="7">
        <v>2</v>
      </c>
      <c r="AC30" s="12" t="s">
        <v>75</v>
      </c>
      <c r="AD30" s="12" t="s">
        <v>75</v>
      </c>
      <c r="AE30" s="12" t="s">
        <v>75</v>
      </c>
      <c r="AF30" s="6" t="s">
        <v>10212</v>
      </c>
    </row>
    <row r="31" spans="1:32" s="6" customFormat="1" ht="57.6" x14ac:dyDescent="0.3">
      <c r="A31" s="6" t="s">
        <v>10696</v>
      </c>
      <c r="B31" s="6">
        <v>2021</v>
      </c>
      <c r="C31" s="7">
        <v>13</v>
      </c>
      <c r="D31" s="6" t="s">
        <v>71</v>
      </c>
      <c r="E31" s="7">
        <v>1</v>
      </c>
      <c r="F31" s="41" t="s">
        <v>10213</v>
      </c>
      <c r="G31" s="6" t="s">
        <v>10214</v>
      </c>
      <c r="H31" s="10" t="s">
        <v>10215</v>
      </c>
      <c r="I31" s="10" t="s">
        <v>10216</v>
      </c>
      <c r="J31" s="11">
        <v>1</v>
      </c>
      <c r="K31" s="6" t="s">
        <v>286</v>
      </c>
      <c r="L31" s="10" t="s">
        <v>10217</v>
      </c>
      <c r="M31" s="11">
        <v>1</v>
      </c>
      <c r="N31" s="10" t="s">
        <v>10218</v>
      </c>
      <c r="O31" s="11">
        <v>1</v>
      </c>
      <c r="P31" s="11">
        <v>1</v>
      </c>
      <c r="Q31" s="12" t="s">
        <v>75</v>
      </c>
      <c r="R31" s="12" t="s">
        <v>75</v>
      </c>
      <c r="S31" s="12" t="s">
        <v>75</v>
      </c>
      <c r="T31" s="10" t="s">
        <v>10219</v>
      </c>
      <c r="U31" s="12" t="s">
        <v>75</v>
      </c>
      <c r="V31" s="12" t="s">
        <v>75</v>
      </c>
      <c r="W31" s="11">
        <v>3</v>
      </c>
      <c r="X31" s="11">
        <v>3</v>
      </c>
      <c r="Y31" s="11">
        <v>17</v>
      </c>
      <c r="Z31" s="11">
        <v>4</v>
      </c>
      <c r="AA31" s="6" t="s">
        <v>10220</v>
      </c>
      <c r="AB31" s="7">
        <v>2</v>
      </c>
      <c r="AC31" s="12" t="s">
        <v>75</v>
      </c>
      <c r="AD31" s="10" t="s">
        <v>10221</v>
      </c>
      <c r="AE31" s="10" t="s">
        <v>732</v>
      </c>
      <c r="AF31" s="6" t="s">
        <v>10222</v>
      </c>
    </row>
    <row r="32" spans="1:32" s="6" customFormat="1" ht="57.6" x14ac:dyDescent="0.3">
      <c r="A32" s="6" t="s">
        <v>10697</v>
      </c>
      <c r="B32" s="6">
        <v>2021</v>
      </c>
      <c r="C32" s="7">
        <v>13</v>
      </c>
      <c r="D32" s="6" t="s">
        <v>71</v>
      </c>
      <c r="E32" s="7">
        <v>1</v>
      </c>
      <c r="F32" s="41" t="s">
        <v>10223</v>
      </c>
      <c r="G32" s="6" t="s">
        <v>385</v>
      </c>
      <c r="H32" s="10" t="s">
        <v>10224</v>
      </c>
      <c r="I32" s="10" t="s">
        <v>10225</v>
      </c>
      <c r="J32" s="11">
        <v>8</v>
      </c>
      <c r="K32" s="6" t="s">
        <v>10226</v>
      </c>
      <c r="L32" s="10" t="s">
        <v>10227</v>
      </c>
      <c r="M32" s="11">
        <v>1</v>
      </c>
      <c r="N32" s="10" t="s">
        <v>10228</v>
      </c>
      <c r="O32" s="11">
        <v>1</v>
      </c>
      <c r="P32" s="11">
        <v>2</v>
      </c>
      <c r="Q32" s="10" t="s">
        <v>118</v>
      </c>
      <c r="R32" s="6" t="s">
        <v>156</v>
      </c>
      <c r="S32" s="6" t="s">
        <v>194</v>
      </c>
      <c r="T32" s="10" t="s">
        <v>10204</v>
      </c>
      <c r="U32" s="10" t="s">
        <v>259</v>
      </c>
      <c r="V32" s="10" t="s">
        <v>10229</v>
      </c>
      <c r="W32" s="11">
        <v>3</v>
      </c>
      <c r="X32" s="11">
        <v>3</v>
      </c>
      <c r="Y32" s="11">
        <v>17</v>
      </c>
      <c r="Z32" s="11">
        <v>4</v>
      </c>
      <c r="AA32" s="13" t="s">
        <v>74</v>
      </c>
      <c r="AB32" s="7">
        <v>2</v>
      </c>
      <c r="AC32" s="12" t="s">
        <v>75</v>
      </c>
      <c r="AD32" s="10" t="s">
        <v>10230</v>
      </c>
      <c r="AE32" s="10" t="s">
        <v>73</v>
      </c>
      <c r="AF32" s="6" t="s">
        <v>10231</v>
      </c>
    </row>
    <row r="33" spans="1:32" s="6" customFormat="1" ht="57.6" x14ac:dyDescent="0.3">
      <c r="A33" s="6" t="s">
        <v>10698</v>
      </c>
      <c r="B33" s="6">
        <v>2023</v>
      </c>
      <c r="C33" s="7">
        <v>15</v>
      </c>
      <c r="D33" s="6" t="s">
        <v>71</v>
      </c>
      <c r="E33" s="7">
        <v>1</v>
      </c>
      <c r="F33" s="41" t="s">
        <v>10232</v>
      </c>
      <c r="G33" s="6" t="s">
        <v>277</v>
      </c>
      <c r="H33" s="10" t="s">
        <v>10233</v>
      </c>
      <c r="I33" s="10" t="s">
        <v>10209</v>
      </c>
      <c r="J33" s="11">
        <v>3</v>
      </c>
      <c r="K33" s="6" t="s">
        <v>10210</v>
      </c>
      <c r="L33" s="10" t="s">
        <v>10234</v>
      </c>
      <c r="M33" s="11">
        <v>1</v>
      </c>
      <c r="N33" s="10" t="s">
        <v>505</v>
      </c>
      <c r="O33" s="11">
        <v>1</v>
      </c>
      <c r="P33" s="11">
        <v>2</v>
      </c>
      <c r="Q33" s="10" t="s">
        <v>118</v>
      </c>
      <c r="R33" s="10" t="s">
        <v>2295</v>
      </c>
      <c r="S33" s="6" t="s">
        <v>194</v>
      </c>
      <c r="T33" s="10" t="s">
        <v>10235</v>
      </c>
      <c r="U33" s="10" t="s">
        <v>259</v>
      </c>
      <c r="V33" s="10" t="s">
        <v>10229</v>
      </c>
      <c r="W33" s="11">
        <v>3</v>
      </c>
      <c r="X33" s="11">
        <v>3</v>
      </c>
      <c r="Y33" s="11">
        <v>17</v>
      </c>
      <c r="Z33" s="11">
        <v>4</v>
      </c>
      <c r="AA33" s="13" t="s">
        <v>74</v>
      </c>
      <c r="AB33" s="7">
        <v>2</v>
      </c>
      <c r="AC33" s="12" t="s">
        <v>507</v>
      </c>
      <c r="AD33" s="10" t="s">
        <v>1287</v>
      </c>
      <c r="AE33" s="10" t="s">
        <v>732</v>
      </c>
    </row>
    <row r="34" spans="1:32" s="6" customFormat="1" ht="43.2" x14ac:dyDescent="0.3">
      <c r="A34" s="6" t="s">
        <v>10699</v>
      </c>
      <c r="B34" s="6">
        <v>2015</v>
      </c>
      <c r="C34" s="7">
        <v>7</v>
      </c>
      <c r="D34" s="6" t="s">
        <v>71</v>
      </c>
      <c r="E34" s="7">
        <v>1</v>
      </c>
      <c r="F34" s="41" t="s">
        <v>10237</v>
      </c>
      <c r="G34" s="6" t="s">
        <v>10214</v>
      </c>
      <c r="H34" s="10" t="s">
        <v>10238</v>
      </c>
      <c r="I34" s="10" t="s">
        <v>10239</v>
      </c>
      <c r="J34" s="11">
        <v>3</v>
      </c>
      <c r="K34" s="6" t="s">
        <v>10240</v>
      </c>
      <c r="L34" s="10" t="s">
        <v>10241</v>
      </c>
      <c r="M34" s="11">
        <v>6</v>
      </c>
      <c r="N34" s="10" t="s">
        <v>10242</v>
      </c>
      <c r="O34" s="11">
        <v>1</v>
      </c>
      <c r="P34" s="11">
        <v>1</v>
      </c>
      <c r="Q34" s="10" t="s">
        <v>118</v>
      </c>
      <c r="R34" s="10" t="s">
        <v>156</v>
      </c>
      <c r="S34" s="6" t="s">
        <v>10243</v>
      </c>
      <c r="T34" s="10" t="s">
        <v>10244</v>
      </c>
      <c r="U34" s="10" t="s">
        <v>158</v>
      </c>
      <c r="V34" s="10" t="s">
        <v>77</v>
      </c>
      <c r="W34" s="11">
        <v>1</v>
      </c>
      <c r="X34" s="11">
        <v>3</v>
      </c>
      <c r="Y34" s="11">
        <v>1</v>
      </c>
      <c r="Z34" s="11">
        <v>5</v>
      </c>
      <c r="AA34" s="13" t="s">
        <v>74</v>
      </c>
      <c r="AB34" s="7">
        <v>2</v>
      </c>
      <c r="AC34" s="12" t="s">
        <v>75</v>
      </c>
      <c r="AD34" s="10" t="s">
        <v>10245</v>
      </c>
      <c r="AE34" s="10" t="s">
        <v>73</v>
      </c>
      <c r="AF34" s="6" t="s">
        <v>10246</v>
      </c>
    </row>
    <row r="35" spans="1:32" s="6" customFormat="1" ht="86.4" x14ac:dyDescent="0.3">
      <c r="A35" s="6" t="s">
        <v>10700</v>
      </c>
      <c r="B35" s="6">
        <v>2016</v>
      </c>
      <c r="C35" s="7">
        <v>8</v>
      </c>
      <c r="D35" s="6" t="s">
        <v>71</v>
      </c>
      <c r="E35" s="7">
        <v>1</v>
      </c>
      <c r="F35" s="41" t="s">
        <v>10247</v>
      </c>
      <c r="G35" s="6" t="s">
        <v>799</v>
      </c>
      <c r="H35" s="10" t="s">
        <v>10248</v>
      </c>
      <c r="I35" s="10" t="s">
        <v>2295</v>
      </c>
      <c r="J35" s="11">
        <v>8</v>
      </c>
      <c r="L35" s="10" t="s">
        <v>10249</v>
      </c>
      <c r="M35" s="11">
        <v>1</v>
      </c>
      <c r="N35" s="10" t="s">
        <v>936</v>
      </c>
      <c r="O35" s="11">
        <v>1</v>
      </c>
      <c r="P35" s="11">
        <v>2</v>
      </c>
      <c r="Q35" s="10" t="s">
        <v>937</v>
      </c>
      <c r="R35" s="6" t="s">
        <v>156</v>
      </c>
      <c r="S35" s="6" t="s">
        <v>938</v>
      </c>
      <c r="T35" s="10" t="s">
        <v>939</v>
      </c>
      <c r="U35" s="10" t="s">
        <v>10250</v>
      </c>
      <c r="V35" s="10" t="s">
        <v>940</v>
      </c>
      <c r="W35" s="11">
        <v>2</v>
      </c>
      <c r="X35" s="11">
        <v>3</v>
      </c>
      <c r="Y35" s="11">
        <v>16</v>
      </c>
      <c r="Z35" s="11">
        <v>4</v>
      </c>
      <c r="AA35" s="13" t="s">
        <v>74</v>
      </c>
      <c r="AB35" s="7">
        <v>2</v>
      </c>
      <c r="AC35" s="12" t="s">
        <v>1609</v>
      </c>
      <c r="AD35" s="6" t="s">
        <v>10251</v>
      </c>
      <c r="AE35" s="10" t="s">
        <v>73</v>
      </c>
    </row>
    <row r="36" spans="1:32" s="6" customFormat="1" ht="72" x14ac:dyDescent="0.3">
      <c r="A36" s="6" t="s">
        <v>10701</v>
      </c>
      <c r="B36" s="6">
        <v>2016</v>
      </c>
      <c r="C36" s="7">
        <v>8</v>
      </c>
      <c r="D36" s="6" t="s">
        <v>71</v>
      </c>
      <c r="E36" s="7">
        <v>1</v>
      </c>
      <c r="F36" s="41" t="s">
        <v>10252</v>
      </c>
      <c r="G36" s="6" t="s">
        <v>10207</v>
      </c>
      <c r="H36" s="10" t="s">
        <v>10253</v>
      </c>
      <c r="I36" s="10" t="s">
        <v>2295</v>
      </c>
      <c r="J36" s="11">
        <v>8</v>
      </c>
      <c r="L36" s="10" t="s">
        <v>10254</v>
      </c>
      <c r="M36" s="11">
        <v>1</v>
      </c>
      <c r="N36" s="10" t="s">
        <v>1725</v>
      </c>
      <c r="O36" s="11">
        <v>1</v>
      </c>
      <c r="P36" s="11">
        <v>2</v>
      </c>
      <c r="Q36" s="10" t="s">
        <v>118</v>
      </c>
      <c r="R36" s="6" t="s">
        <v>156</v>
      </c>
      <c r="S36" s="6" t="s">
        <v>1860</v>
      </c>
      <c r="T36" s="10" t="s">
        <v>1861</v>
      </c>
      <c r="U36" s="10" t="s">
        <v>76</v>
      </c>
      <c r="V36" s="12" t="s">
        <v>1862</v>
      </c>
      <c r="W36" s="11">
        <v>2</v>
      </c>
      <c r="X36" s="11">
        <v>3</v>
      </c>
      <c r="Y36" s="11">
        <v>16</v>
      </c>
      <c r="Z36" s="11">
        <v>4</v>
      </c>
      <c r="AA36" s="13" t="s">
        <v>74</v>
      </c>
      <c r="AB36" s="7">
        <v>2</v>
      </c>
      <c r="AC36" s="12" t="s">
        <v>75</v>
      </c>
      <c r="AD36" s="10" t="s">
        <v>10205</v>
      </c>
      <c r="AE36" s="10" t="s">
        <v>73</v>
      </c>
      <c r="AF36" s="6" t="s">
        <v>10255</v>
      </c>
    </row>
    <row r="37" spans="1:32" s="6" customFormat="1" ht="72" x14ac:dyDescent="0.3">
      <c r="A37" s="6" t="s">
        <v>10702</v>
      </c>
      <c r="B37" s="6">
        <v>2018</v>
      </c>
      <c r="C37" s="7">
        <v>10</v>
      </c>
      <c r="D37" s="6" t="s">
        <v>71</v>
      </c>
      <c r="E37" s="7">
        <v>1</v>
      </c>
      <c r="F37" s="41" t="s">
        <v>10256</v>
      </c>
      <c r="G37" s="6" t="s">
        <v>405</v>
      </c>
      <c r="H37" s="10" t="s">
        <v>10257</v>
      </c>
      <c r="I37" s="10" t="s">
        <v>2295</v>
      </c>
      <c r="J37" s="11">
        <v>8</v>
      </c>
      <c r="L37" s="10" t="s">
        <v>10258</v>
      </c>
      <c r="M37" s="11">
        <v>1</v>
      </c>
      <c r="N37" s="10" t="s">
        <v>1598</v>
      </c>
      <c r="O37" s="11">
        <v>2</v>
      </c>
      <c r="P37" s="11">
        <v>5</v>
      </c>
      <c r="Q37" s="10" t="s">
        <v>851</v>
      </c>
      <c r="R37" s="6" t="s">
        <v>1219</v>
      </c>
      <c r="S37" s="6" t="s">
        <v>1599</v>
      </c>
      <c r="T37" s="10" t="s">
        <v>1600</v>
      </c>
      <c r="U37" s="10" t="s">
        <v>1897</v>
      </c>
      <c r="V37" s="10" t="s">
        <v>1898</v>
      </c>
      <c r="W37" s="11">
        <v>2</v>
      </c>
      <c r="X37" s="11">
        <v>3</v>
      </c>
      <c r="Y37" s="11">
        <v>16</v>
      </c>
      <c r="Z37" s="11">
        <v>4</v>
      </c>
      <c r="AA37" s="6" t="s">
        <v>10259</v>
      </c>
      <c r="AB37" s="7">
        <v>2</v>
      </c>
      <c r="AC37" s="12" t="s">
        <v>1609</v>
      </c>
      <c r="AD37" s="10" t="s">
        <v>10260</v>
      </c>
      <c r="AE37" s="10" t="s">
        <v>73</v>
      </c>
    </row>
    <row r="38" spans="1:32" s="6" customFormat="1" ht="43.2" x14ac:dyDescent="0.3">
      <c r="A38" s="6" t="s">
        <v>10703</v>
      </c>
      <c r="B38" s="6">
        <v>2016</v>
      </c>
      <c r="C38" s="7">
        <v>8</v>
      </c>
      <c r="D38" s="6" t="s">
        <v>71</v>
      </c>
      <c r="E38" s="7">
        <v>1</v>
      </c>
      <c r="F38" s="41" t="s">
        <v>10261</v>
      </c>
      <c r="G38" s="6" t="s">
        <v>10207</v>
      </c>
      <c r="H38" s="10" t="s">
        <v>10262</v>
      </c>
      <c r="I38" s="10" t="s">
        <v>2295</v>
      </c>
      <c r="J38" s="11">
        <v>8</v>
      </c>
      <c r="L38" s="10" t="s">
        <v>10263</v>
      </c>
      <c r="M38" s="11">
        <v>4</v>
      </c>
      <c r="N38" s="10" t="s">
        <v>10203</v>
      </c>
      <c r="O38" s="11">
        <v>1</v>
      </c>
      <c r="P38" s="11">
        <v>1</v>
      </c>
      <c r="Q38" s="10" t="s">
        <v>118</v>
      </c>
      <c r="R38" s="10" t="s">
        <v>2295</v>
      </c>
      <c r="T38" s="10" t="s">
        <v>10204</v>
      </c>
      <c r="U38" s="10" t="s">
        <v>158</v>
      </c>
      <c r="V38" s="10" t="s">
        <v>77</v>
      </c>
      <c r="W38" s="11">
        <v>1</v>
      </c>
      <c r="X38" s="11">
        <v>3</v>
      </c>
      <c r="Y38" s="11">
        <v>1</v>
      </c>
      <c r="Z38" s="11">
        <v>5</v>
      </c>
      <c r="AA38" s="13" t="s">
        <v>74</v>
      </c>
      <c r="AB38" s="7">
        <v>2</v>
      </c>
      <c r="AC38" s="12" t="s">
        <v>75</v>
      </c>
      <c r="AD38" s="10" t="s">
        <v>10205</v>
      </c>
      <c r="AE38" s="10" t="s">
        <v>73</v>
      </c>
    </row>
    <row r="39" spans="1:32" s="6" customFormat="1" ht="158.4" x14ac:dyDescent="0.3">
      <c r="A39" s="6" t="s">
        <v>10704</v>
      </c>
      <c r="B39" s="6">
        <v>2021</v>
      </c>
      <c r="C39" s="7">
        <v>13</v>
      </c>
      <c r="D39" s="6" t="s">
        <v>71</v>
      </c>
      <c r="E39" s="7">
        <v>1</v>
      </c>
      <c r="F39" s="41" t="s">
        <v>10264</v>
      </c>
      <c r="G39" s="6" t="s">
        <v>10025</v>
      </c>
      <c r="H39" s="10" t="s">
        <v>10265</v>
      </c>
      <c r="I39" s="10" t="s">
        <v>900</v>
      </c>
      <c r="J39" s="11">
        <v>6</v>
      </c>
      <c r="L39" s="10" t="s">
        <v>10266</v>
      </c>
      <c r="M39" s="11">
        <v>8</v>
      </c>
      <c r="N39" s="10" t="s">
        <v>10267</v>
      </c>
      <c r="O39" s="11">
        <v>100</v>
      </c>
      <c r="P39" s="11">
        <v>4</v>
      </c>
      <c r="Q39" s="10" t="s">
        <v>480</v>
      </c>
      <c r="R39" s="6" t="s">
        <v>10189</v>
      </c>
      <c r="T39" s="10" t="s">
        <v>9987</v>
      </c>
      <c r="U39" s="10" t="s">
        <v>76</v>
      </c>
      <c r="V39" s="10" t="s">
        <v>10190</v>
      </c>
      <c r="W39" s="11">
        <v>2</v>
      </c>
      <c r="X39" s="11">
        <v>3</v>
      </c>
      <c r="Y39" s="11">
        <v>12</v>
      </c>
      <c r="Z39" s="11">
        <v>2</v>
      </c>
      <c r="AA39" s="13" t="s">
        <v>74</v>
      </c>
      <c r="AB39" s="7">
        <v>2</v>
      </c>
      <c r="AC39" s="12" t="s">
        <v>75</v>
      </c>
      <c r="AE39" s="10" t="s">
        <v>732</v>
      </c>
    </row>
    <row r="40" spans="1:32" s="6" customFormat="1" ht="129.6" x14ac:dyDescent="0.3">
      <c r="A40" s="6" t="s">
        <v>10705</v>
      </c>
      <c r="B40" s="6">
        <v>2020</v>
      </c>
      <c r="C40" s="7">
        <v>12</v>
      </c>
      <c r="D40" s="6" t="s">
        <v>71</v>
      </c>
      <c r="E40" s="7">
        <v>1</v>
      </c>
      <c r="F40" s="41" t="s">
        <v>10268</v>
      </c>
      <c r="G40" s="6" t="s">
        <v>329</v>
      </c>
      <c r="H40" s="10" t="s">
        <v>10269</v>
      </c>
      <c r="I40" s="10" t="s">
        <v>2295</v>
      </c>
      <c r="J40" s="11">
        <v>8</v>
      </c>
      <c r="L40" s="10" t="s">
        <v>10270</v>
      </c>
      <c r="M40" s="11">
        <v>15</v>
      </c>
      <c r="N40" s="10" t="s">
        <v>415</v>
      </c>
      <c r="O40" s="11">
        <v>1</v>
      </c>
      <c r="P40" s="11">
        <v>2</v>
      </c>
      <c r="Q40" s="10" t="s">
        <v>416</v>
      </c>
      <c r="R40" s="6" t="s">
        <v>193</v>
      </c>
      <c r="S40" s="6" t="s">
        <v>194</v>
      </c>
      <c r="T40" s="6" t="s">
        <v>417</v>
      </c>
      <c r="U40" s="10" t="s">
        <v>158</v>
      </c>
      <c r="V40" s="10" t="s">
        <v>10271</v>
      </c>
      <c r="W40" s="11">
        <v>2</v>
      </c>
      <c r="X40" s="11">
        <v>2</v>
      </c>
      <c r="Y40" s="11">
        <v>17</v>
      </c>
      <c r="Z40" s="11">
        <v>4</v>
      </c>
      <c r="AA40" s="13" t="s">
        <v>74</v>
      </c>
      <c r="AB40" s="7">
        <v>2</v>
      </c>
      <c r="AC40" s="12" t="s">
        <v>75</v>
      </c>
      <c r="AD40" s="6" t="s">
        <v>10205</v>
      </c>
      <c r="AE40" s="10" t="s">
        <v>73</v>
      </c>
      <c r="AF40" s="6" t="s">
        <v>10272</v>
      </c>
    </row>
    <row r="41" spans="1:32" s="6" customFormat="1" ht="86.4" x14ac:dyDescent="0.3">
      <c r="A41" s="6" t="s">
        <v>10706</v>
      </c>
      <c r="B41" s="6">
        <v>2021</v>
      </c>
      <c r="C41" s="7">
        <v>13</v>
      </c>
      <c r="D41" s="6" t="s">
        <v>71</v>
      </c>
      <c r="E41" s="7">
        <v>1</v>
      </c>
      <c r="F41" s="41" t="s">
        <v>10273</v>
      </c>
      <c r="G41" s="6" t="s">
        <v>10082</v>
      </c>
      <c r="H41" s="10" t="s">
        <v>10274</v>
      </c>
      <c r="I41" s="10" t="s">
        <v>2295</v>
      </c>
      <c r="J41" s="11">
        <v>8</v>
      </c>
      <c r="L41" s="10" t="s">
        <v>10275</v>
      </c>
      <c r="M41" s="11">
        <v>4</v>
      </c>
      <c r="N41" s="10" t="s">
        <v>415</v>
      </c>
      <c r="O41" s="11">
        <v>1</v>
      </c>
      <c r="P41" s="11">
        <v>2</v>
      </c>
      <c r="Q41" s="10" t="s">
        <v>416</v>
      </c>
      <c r="R41" s="6" t="s">
        <v>193</v>
      </c>
      <c r="S41" s="6" t="s">
        <v>194</v>
      </c>
      <c r="T41" s="6" t="s">
        <v>417</v>
      </c>
      <c r="U41" s="10" t="s">
        <v>158</v>
      </c>
      <c r="V41" s="10" t="s">
        <v>77</v>
      </c>
      <c r="W41" s="11">
        <v>1</v>
      </c>
      <c r="X41" s="11">
        <v>3</v>
      </c>
      <c r="Y41" s="11">
        <v>1</v>
      </c>
      <c r="Z41" s="11">
        <v>5</v>
      </c>
      <c r="AA41" s="13" t="s">
        <v>74</v>
      </c>
      <c r="AB41" s="7">
        <v>2</v>
      </c>
      <c r="AC41" s="12" t="s">
        <v>75</v>
      </c>
      <c r="AD41" s="10" t="s">
        <v>10276</v>
      </c>
      <c r="AE41" s="10" t="s">
        <v>73</v>
      </c>
    </row>
    <row r="42" spans="1:32" s="6" customFormat="1" ht="72" x14ac:dyDescent="0.3">
      <c r="A42" s="6" t="s">
        <v>10707</v>
      </c>
      <c r="B42" s="6">
        <v>2012</v>
      </c>
      <c r="C42" s="7">
        <v>4</v>
      </c>
      <c r="D42" s="6" t="s">
        <v>71</v>
      </c>
      <c r="E42" s="7">
        <v>1</v>
      </c>
      <c r="F42" s="44" t="s">
        <v>10277</v>
      </c>
      <c r="G42" s="6" t="s">
        <v>10187</v>
      </c>
      <c r="H42" s="10" t="s">
        <v>10278</v>
      </c>
      <c r="I42" s="10" t="s">
        <v>2295</v>
      </c>
      <c r="J42" s="11">
        <v>8</v>
      </c>
      <c r="L42" s="10" t="s">
        <v>10279</v>
      </c>
      <c r="M42" s="11">
        <v>4</v>
      </c>
      <c r="N42" s="10" t="s">
        <v>1598</v>
      </c>
      <c r="O42" s="11">
        <v>2</v>
      </c>
      <c r="P42" s="11">
        <v>4</v>
      </c>
      <c r="Q42" s="10" t="s">
        <v>851</v>
      </c>
      <c r="R42" s="6" t="s">
        <v>1219</v>
      </c>
      <c r="S42" s="6" t="s">
        <v>1599</v>
      </c>
      <c r="T42" s="10" t="s">
        <v>1600</v>
      </c>
      <c r="U42" s="10" t="s">
        <v>1897</v>
      </c>
      <c r="V42" s="10" t="s">
        <v>10280</v>
      </c>
      <c r="W42" s="11">
        <v>3</v>
      </c>
      <c r="X42" s="11">
        <v>3</v>
      </c>
      <c r="Y42" s="11">
        <v>17</v>
      </c>
      <c r="Z42" s="11">
        <v>4</v>
      </c>
      <c r="AA42" s="13" t="s">
        <v>74</v>
      </c>
      <c r="AB42" s="7">
        <v>2</v>
      </c>
      <c r="AC42" s="12" t="s">
        <v>75</v>
      </c>
      <c r="AD42" s="10" t="s">
        <v>10236</v>
      </c>
      <c r="AE42" s="10" t="s">
        <v>73</v>
      </c>
    </row>
    <row r="43" spans="1:32" s="6" customFormat="1" ht="86.4" x14ac:dyDescent="0.3">
      <c r="A43" s="6" t="s">
        <v>10708</v>
      </c>
      <c r="B43" s="6">
        <v>2020</v>
      </c>
      <c r="C43" s="7">
        <v>12</v>
      </c>
      <c r="D43" s="6" t="s">
        <v>71</v>
      </c>
      <c r="E43" s="7">
        <v>1</v>
      </c>
      <c r="F43" s="41" t="s">
        <v>10281</v>
      </c>
      <c r="G43" s="6" t="s">
        <v>10214</v>
      </c>
      <c r="H43" s="10" t="s">
        <v>10282</v>
      </c>
      <c r="I43" s="10" t="s">
        <v>10283</v>
      </c>
      <c r="J43" s="11">
        <v>4</v>
      </c>
      <c r="K43" s="6" t="s">
        <v>10284</v>
      </c>
      <c r="L43" s="10" t="s">
        <v>10285</v>
      </c>
      <c r="M43" s="11">
        <v>8</v>
      </c>
      <c r="N43" s="10" t="s">
        <v>10286</v>
      </c>
      <c r="O43" s="11">
        <v>100</v>
      </c>
      <c r="P43" s="11">
        <v>3</v>
      </c>
      <c r="Q43" s="10" t="s">
        <v>10287</v>
      </c>
      <c r="R43" s="10" t="s">
        <v>10288</v>
      </c>
      <c r="S43" s="10" t="s">
        <v>10289</v>
      </c>
      <c r="T43" s="10" t="s">
        <v>10290</v>
      </c>
      <c r="U43" s="10" t="s">
        <v>76</v>
      </c>
      <c r="V43" s="10" t="s">
        <v>39149</v>
      </c>
      <c r="W43" s="11">
        <v>2</v>
      </c>
      <c r="X43" s="11">
        <v>3</v>
      </c>
      <c r="Y43" s="11">
        <v>8</v>
      </c>
      <c r="Z43" s="11">
        <v>3</v>
      </c>
      <c r="AA43" s="12" t="s">
        <v>10291</v>
      </c>
      <c r="AB43" s="11">
        <v>2</v>
      </c>
      <c r="AC43" s="12" t="s">
        <v>75</v>
      </c>
      <c r="AD43" s="10" t="s">
        <v>10292</v>
      </c>
      <c r="AE43" s="10" t="s">
        <v>73</v>
      </c>
      <c r="AF43" s="6" t="s">
        <v>39150</v>
      </c>
    </row>
    <row r="44" spans="1:32" s="6" customFormat="1" ht="72" x14ac:dyDescent="0.3">
      <c r="A44" s="6" t="s">
        <v>10709</v>
      </c>
      <c r="B44" s="6">
        <v>2021</v>
      </c>
      <c r="C44" s="7">
        <v>13</v>
      </c>
      <c r="D44" s="6" t="s">
        <v>71</v>
      </c>
      <c r="E44" s="7">
        <v>1</v>
      </c>
      <c r="F44" s="41" t="s">
        <v>10293</v>
      </c>
      <c r="G44" s="6" t="s">
        <v>10207</v>
      </c>
      <c r="H44" s="10" t="s">
        <v>10294</v>
      </c>
      <c r="I44" s="10" t="s">
        <v>2295</v>
      </c>
      <c r="J44" s="11">
        <v>8</v>
      </c>
      <c r="L44" s="10" t="s">
        <v>10295</v>
      </c>
      <c r="M44" s="11">
        <v>1</v>
      </c>
      <c r="N44" s="10" t="s">
        <v>1283</v>
      </c>
      <c r="O44" s="11">
        <v>1</v>
      </c>
      <c r="P44" s="11">
        <v>1</v>
      </c>
      <c r="Q44" s="6" t="s">
        <v>307</v>
      </c>
      <c r="R44" s="6" t="s">
        <v>2295</v>
      </c>
      <c r="S44" s="10" t="s">
        <v>770</v>
      </c>
      <c r="T44" s="10" t="s">
        <v>1284</v>
      </c>
      <c r="U44" s="6" t="s">
        <v>76</v>
      </c>
      <c r="V44" s="10" t="s">
        <v>10039</v>
      </c>
      <c r="W44" s="11">
        <v>1</v>
      </c>
      <c r="X44" s="11">
        <v>1</v>
      </c>
      <c r="Y44" s="11">
        <v>6</v>
      </c>
      <c r="Z44" s="11">
        <v>1</v>
      </c>
      <c r="AA44" s="10" t="s">
        <v>10040</v>
      </c>
      <c r="AB44" s="11">
        <v>2</v>
      </c>
      <c r="AC44" s="6" t="s">
        <v>72</v>
      </c>
      <c r="AD44" s="6">
        <v>30</v>
      </c>
      <c r="AE44" s="6" t="s">
        <v>10041</v>
      </c>
      <c r="AF44" s="6" t="s">
        <v>10296</v>
      </c>
    </row>
    <row r="45" spans="1:32" s="6" customFormat="1" ht="57.6" x14ac:dyDescent="0.3">
      <c r="A45" s="6" t="s">
        <v>10710</v>
      </c>
      <c r="B45" s="6">
        <v>2018</v>
      </c>
      <c r="C45" s="7">
        <v>10</v>
      </c>
      <c r="D45" s="6" t="s">
        <v>71</v>
      </c>
      <c r="E45" s="7">
        <v>1</v>
      </c>
      <c r="F45" s="41" t="s">
        <v>10297</v>
      </c>
      <c r="G45" s="6" t="s">
        <v>550</v>
      </c>
      <c r="H45" s="10" t="s">
        <v>3369</v>
      </c>
      <c r="I45" s="10" t="s">
        <v>10298</v>
      </c>
      <c r="J45" s="11">
        <v>7</v>
      </c>
      <c r="K45" s="6" t="s">
        <v>890</v>
      </c>
      <c r="L45" s="10" t="s">
        <v>10299</v>
      </c>
      <c r="M45" s="11">
        <v>4</v>
      </c>
      <c r="N45" s="10" t="s">
        <v>192</v>
      </c>
      <c r="O45" s="11">
        <v>1</v>
      </c>
      <c r="P45" s="11">
        <v>2</v>
      </c>
      <c r="Q45" s="10" t="s">
        <v>118</v>
      </c>
      <c r="R45" s="6" t="s">
        <v>193</v>
      </c>
      <c r="S45" s="6" t="s">
        <v>194</v>
      </c>
      <c r="T45" s="10" t="s">
        <v>195</v>
      </c>
      <c r="U45" s="10" t="s">
        <v>259</v>
      </c>
      <c r="V45" s="10" t="s">
        <v>10229</v>
      </c>
      <c r="W45" s="11">
        <v>3</v>
      </c>
      <c r="X45" s="11">
        <v>3</v>
      </c>
      <c r="Y45" s="11">
        <v>17</v>
      </c>
      <c r="Z45" s="11">
        <v>4</v>
      </c>
      <c r="AA45" s="13" t="s">
        <v>74</v>
      </c>
      <c r="AB45" s="7">
        <v>2</v>
      </c>
      <c r="AC45" s="10" t="s">
        <v>10300</v>
      </c>
      <c r="AD45" s="10" t="s">
        <v>10245</v>
      </c>
      <c r="AE45" s="10" t="s">
        <v>73</v>
      </c>
      <c r="AF45" s="6" t="s">
        <v>10301</v>
      </c>
    </row>
    <row r="46" spans="1:32" s="6" customFormat="1" ht="72" x14ac:dyDescent="0.3">
      <c r="A46" s="6" t="s">
        <v>10711</v>
      </c>
      <c r="B46" s="6">
        <v>2021</v>
      </c>
      <c r="C46" s="7">
        <v>13</v>
      </c>
      <c r="D46" s="6" t="s">
        <v>71</v>
      </c>
      <c r="E46" s="7">
        <v>1</v>
      </c>
      <c r="F46" s="41" t="s">
        <v>10302</v>
      </c>
      <c r="G46" s="6" t="s">
        <v>799</v>
      </c>
      <c r="H46" s="10" t="s">
        <v>10303</v>
      </c>
      <c r="I46" s="10" t="s">
        <v>2295</v>
      </c>
      <c r="J46" s="11">
        <v>8</v>
      </c>
      <c r="L46" s="10" t="s">
        <v>10304</v>
      </c>
      <c r="M46" s="11">
        <v>1</v>
      </c>
      <c r="N46" s="10" t="s">
        <v>1598</v>
      </c>
      <c r="O46" s="11">
        <v>2</v>
      </c>
      <c r="P46" s="11">
        <v>5</v>
      </c>
      <c r="Q46" s="10" t="s">
        <v>851</v>
      </c>
      <c r="R46" s="6" t="s">
        <v>1219</v>
      </c>
      <c r="S46" s="6" t="s">
        <v>1599</v>
      </c>
      <c r="T46" s="10" t="s">
        <v>1600</v>
      </c>
      <c r="U46" s="10" t="s">
        <v>1601</v>
      </c>
      <c r="V46" s="10" t="s">
        <v>1602</v>
      </c>
      <c r="W46" s="11">
        <v>2</v>
      </c>
      <c r="X46" s="11">
        <v>3</v>
      </c>
      <c r="Y46" s="11">
        <v>16</v>
      </c>
      <c r="Z46" s="11">
        <v>4</v>
      </c>
      <c r="AA46" s="13" t="s">
        <v>74</v>
      </c>
      <c r="AB46" s="7">
        <v>2</v>
      </c>
      <c r="AC46" s="12" t="s">
        <v>75</v>
      </c>
      <c r="AD46" s="10" t="s">
        <v>10260</v>
      </c>
      <c r="AE46" s="10" t="s">
        <v>73</v>
      </c>
    </row>
    <row r="47" spans="1:32" s="6" customFormat="1" ht="57.6" x14ac:dyDescent="0.3">
      <c r="A47" s="6" t="s">
        <v>10712</v>
      </c>
      <c r="B47" s="6">
        <v>2021</v>
      </c>
      <c r="C47" s="7">
        <v>13</v>
      </c>
      <c r="D47" s="6" t="s">
        <v>71</v>
      </c>
      <c r="E47" s="7">
        <v>1</v>
      </c>
      <c r="F47" s="41" t="s">
        <v>10305</v>
      </c>
      <c r="G47" s="6" t="s">
        <v>147</v>
      </c>
      <c r="H47" s="10" t="s">
        <v>10306</v>
      </c>
      <c r="I47" s="10" t="s">
        <v>10307</v>
      </c>
      <c r="J47" s="11">
        <v>4</v>
      </c>
      <c r="L47" s="10" t="s">
        <v>10308</v>
      </c>
      <c r="M47" s="11">
        <v>4</v>
      </c>
      <c r="N47" s="10" t="s">
        <v>10181</v>
      </c>
      <c r="O47" s="11">
        <v>100</v>
      </c>
      <c r="P47" s="11">
        <v>4</v>
      </c>
      <c r="Q47" s="10" t="s">
        <v>480</v>
      </c>
      <c r="R47" s="10" t="s">
        <v>10309</v>
      </c>
      <c r="S47" s="10"/>
      <c r="T47" s="10" t="s">
        <v>10310</v>
      </c>
      <c r="U47" s="10" t="s">
        <v>76</v>
      </c>
      <c r="V47" s="10" t="s">
        <v>409</v>
      </c>
      <c r="W47" s="11">
        <v>2</v>
      </c>
      <c r="X47" s="11">
        <v>3</v>
      </c>
      <c r="Y47" s="11">
        <v>8</v>
      </c>
      <c r="Z47" s="11">
        <v>3</v>
      </c>
      <c r="AA47" s="10" t="s">
        <v>10311</v>
      </c>
      <c r="AB47" s="11">
        <v>2</v>
      </c>
      <c r="AC47" s="12" t="s">
        <v>75</v>
      </c>
      <c r="AD47" s="10" t="s">
        <v>10312</v>
      </c>
      <c r="AE47" s="10" t="s">
        <v>73</v>
      </c>
      <c r="AF47" s="6" t="s">
        <v>10313</v>
      </c>
    </row>
    <row r="48" spans="1:32" s="6" customFormat="1" ht="158.4" x14ac:dyDescent="0.3">
      <c r="A48" s="6" t="s">
        <v>10713</v>
      </c>
      <c r="B48" s="6">
        <v>2020</v>
      </c>
      <c r="C48" s="7">
        <v>12</v>
      </c>
      <c r="D48" s="6" t="s">
        <v>71</v>
      </c>
      <c r="E48" s="7">
        <v>1</v>
      </c>
      <c r="F48" s="41" t="s">
        <v>10314</v>
      </c>
      <c r="G48" s="6" t="s">
        <v>10207</v>
      </c>
      <c r="H48" s="10" t="s">
        <v>10315</v>
      </c>
      <c r="I48" s="10" t="s">
        <v>900</v>
      </c>
      <c r="J48" s="11">
        <v>6</v>
      </c>
      <c r="L48" s="10" t="s">
        <v>10316</v>
      </c>
      <c r="M48" s="11">
        <v>4</v>
      </c>
      <c r="N48" s="10" t="s">
        <v>10267</v>
      </c>
      <c r="O48" s="11">
        <v>100</v>
      </c>
      <c r="P48" s="11">
        <v>4</v>
      </c>
      <c r="Q48" s="10" t="s">
        <v>480</v>
      </c>
      <c r="R48" s="6" t="s">
        <v>10189</v>
      </c>
      <c r="T48" s="10" t="s">
        <v>10310</v>
      </c>
      <c r="U48" s="10" t="s">
        <v>76</v>
      </c>
      <c r="V48" s="10" t="s">
        <v>10190</v>
      </c>
      <c r="W48" s="11">
        <v>2</v>
      </c>
      <c r="X48" s="11">
        <v>3</v>
      </c>
      <c r="Y48" s="11">
        <v>12</v>
      </c>
      <c r="Z48" s="11">
        <v>2</v>
      </c>
      <c r="AA48" s="13" t="s">
        <v>74</v>
      </c>
      <c r="AB48" s="7">
        <v>2</v>
      </c>
      <c r="AC48" s="12" t="s">
        <v>75</v>
      </c>
      <c r="AD48" s="10" t="s">
        <v>10317</v>
      </c>
      <c r="AE48" s="10" t="s">
        <v>732</v>
      </c>
      <c r="AF48" s="6" t="s">
        <v>10318</v>
      </c>
    </row>
    <row r="49" spans="1:32" s="6" customFormat="1" ht="72" x14ac:dyDescent="0.3">
      <c r="A49" s="6" t="s">
        <v>10714</v>
      </c>
      <c r="B49" s="6">
        <v>2022</v>
      </c>
      <c r="C49" s="7">
        <v>14</v>
      </c>
      <c r="D49" s="6" t="s">
        <v>71</v>
      </c>
      <c r="E49" s="7">
        <v>1</v>
      </c>
      <c r="F49" s="41" t="s">
        <v>10319</v>
      </c>
      <c r="G49" s="6" t="s">
        <v>799</v>
      </c>
      <c r="H49" s="10" t="s">
        <v>10320</v>
      </c>
      <c r="I49" s="10" t="s">
        <v>10321</v>
      </c>
      <c r="J49" s="11">
        <v>8</v>
      </c>
      <c r="L49" s="10" t="s">
        <v>10322</v>
      </c>
      <c r="M49" s="11">
        <v>4</v>
      </c>
      <c r="N49" s="6" t="s">
        <v>1283</v>
      </c>
      <c r="O49" s="7">
        <v>1</v>
      </c>
      <c r="P49" s="7">
        <v>2</v>
      </c>
      <c r="Q49" s="6" t="s">
        <v>307</v>
      </c>
      <c r="R49" s="6" t="s">
        <v>2295</v>
      </c>
      <c r="S49" s="10" t="s">
        <v>770</v>
      </c>
      <c r="T49" s="10" t="s">
        <v>1284</v>
      </c>
      <c r="U49" s="6" t="s">
        <v>76</v>
      </c>
      <c r="V49" s="10" t="s">
        <v>39141</v>
      </c>
      <c r="W49" s="11">
        <v>1</v>
      </c>
      <c r="X49" s="11">
        <v>1</v>
      </c>
      <c r="Y49" s="11">
        <v>12</v>
      </c>
      <c r="Z49" s="11">
        <v>1</v>
      </c>
      <c r="AA49" s="10" t="s">
        <v>10040</v>
      </c>
      <c r="AB49" s="11">
        <v>2</v>
      </c>
      <c r="AC49" s="6" t="s">
        <v>72</v>
      </c>
      <c r="AD49" s="6">
        <v>90</v>
      </c>
      <c r="AE49" s="6" t="s">
        <v>10041</v>
      </c>
    </row>
    <row r="50" spans="1:32" s="6" customFormat="1" ht="86.4" x14ac:dyDescent="0.3">
      <c r="A50" s="6" t="s">
        <v>10715</v>
      </c>
      <c r="B50" s="6">
        <v>2024</v>
      </c>
      <c r="C50" s="7">
        <v>16</v>
      </c>
      <c r="D50" s="6" t="s">
        <v>71</v>
      </c>
      <c r="E50" s="7">
        <v>1</v>
      </c>
      <c r="F50" s="41" t="s">
        <v>10323</v>
      </c>
      <c r="G50" s="6" t="s">
        <v>10324</v>
      </c>
      <c r="H50" s="10" t="s">
        <v>10325</v>
      </c>
      <c r="I50" s="10" t="s">
        <v>10326</v>
      </c>
      <c r="J50" s="11">
        <v>5</v>
      </c>
      <c r="L50" s="10" t="s">
        <v>10327</v>
      </c>
      <c r="M50" s="11">
        <v>1</v>
      </c>
      <c r="N50" s="10" t="s">
        <v>10328</v>
      </c>
      <c r="O50" s="11">
        <v>100</v>
      </c>
      <c r="P50" s="11">
        <v>4</v>
      </c>
      <c r="Q50" s="10" t="s">
        <v>480</v>
      </c>
      <c r="R50" s="10" t="s">
        <v>10329</v>
      </c>
      <c r="T50" s="10" t="s">
        <v>10310</v>
      </c>
      <c r="U50" s="10" t="s">
        <v>76</v>
      </c>
      <c r="V50" s="10" t="s">
        <v>10330</v>
      </c>
      <c r="W50" s="11">
        <v>2</v>
      </c>
      <c r="X50" s="11">
        <v>2</v>
      </c>
      <c r="Y50" s="11">
        <v>12</v>
      </c>
      <c r="Z50" s="11">
        <v>3</v>
      </c>
      <c r="AA50" s="10" t="s">
        <v>10331</v>
      </c>
      <c r="AB50" s="7">
        <v>2</v>
      </c>
      <c r="AC50" s="10" t="s">
        <v>10332</v>
      </c>
      <c r="AD50" s="6">
        <v>1</v>
      </c>
      <c r="AE50" s="10" t="s">
        <v>73</v>
      </c>
      <c r="AF50" s="6" t="s">
        <v>10333</v>
      </c>
    </row>
    <row r="51" spans="1:32" s="6" customFormat="1" ht="86.4" x14ac:dyDescent="0.3">
      <c r="A51" s="6" t="s">
        <v>10716</v>
      </c>
      <c r="B51" s="6">
        <v>2022</v>
      </c>
      <c r="C51" s="7">
        <v>14</v>
      </c>
      <c r="D51" s="6" t="s">
        <v>71</v>
      </c>
      <c r="E51" s="7">
        <v>1</v>
      </c>
      <c r="F51" s="41" t="s">
        <v>10334</v>
      </c>
      <c r="G51" s="6" t="s">
        <v>1426</v>
      </c>
      <c r="H51" s="10" t="s">
        <v>10335</v>
      </c>
      <c r="I51" s="10" t="s">
        <v>10336</v>
      </c>
      <c r="J51" s="11">
        <v>1</v>
      </c>
      <c r="L51" s="10" t="s">
        <v>10337</v>
      </c>
      <c r="M51" s="11">
        <v>4</v>
      </c>
      <c r="N51" s="10" t="s">
        <v>155</v>
      </c>
      <c r="O51" s="11">
        <v>1</v>
      </c>
      <c r="P51" s="11">
        <v>1</v>
      </c>
      <c r="Q51" s="10" t="s">
        <v>118</v>
      </c>
      <c r="R51" s="6" t="s">
        <v>156</v>
      </c>
      <c r="S51" s="10" t="s">
        <v>157</v>
      </c>
      <c r="T51" s="10" t="s">
        <v>258</v>
      </c>
      <c r="U51" s="10" t="s">
        <v>158</v>
      </c>
      <c r="V51" s="10" t="s">
        <v>78</v>
      </c>
      <c r="W51" s="11">
        <v>1</v>
      </c>
      <c r="X51" s="11">
        <v>3</v>
      </c>
      <c r="Y51" s="11">
        <v>2</v>
      </c>
      <c r="Z51" s="11">
        <v>5</v>
      </c>
      <c r="AA51" s="12" t="s">
        <v>74</v>
      </c>
      <c r="AB51" s="11">
        <v>2</v>
      </c>
      <c r="AC51" s="10" t="s">
        <v>72</v>
      </c>
      <c r="AD51" s="6">
        <v>90</v>
      </c>
      <c r="AE51" s="10" t="s">
        <v>73</v>
      </c>
      <c r="AF51" s="6" t="s">
        <v>10760</v>
      </c>
    </row>
    <row r="52" spans="1:32" s="6" customFormat="1" ht="72" x14ac:dyDescent="0.3">
      <c r="A52" s="6" t="s">
        <v>10717</v>
      </c>
      <c r="B52" s="6">
        <v>2020</v>
      </c>
      <c r="C52" s="7">
        <v>12</v>
      </c>
      <c r="D52" s="6" t="s">
        <v>71</v>
      </c>
      <c r="E52" s="7">
        <v>1</v>
      </c>
      <c r="F52" s="41" t="s">
        <v>10338</v>
      </c>
      <c r="G52" s="6" t="s">
        <v>10082</v>
      </c>
      <c r="H52" s="10" t="s">
        <v>10339</v>
      </c>
      <c r="I52" s="10" t="s">
        <v>10340</v>
      </c>
      <c r="J52" s="11">
        <v>5</v>
      </c>
      <c r="K52" s="6" t="s">
        <v>10341</v>
      </c>
      <c r="L52" s="10" t="s">
        <v>10342</v>
      </c>
      <c r="M52" s="11">
        <v>1</v>
      </c>
      <c r="N52" s="10" t="s">
        <v>10343</v>
      </c>
      <c r="O52" s="11">
        <v>1</v>
      </c>
      <c r="P52" s="11">
        <v>1</v>
      </c>
      <c r="Q52" s="10" t="s">
        <v>480</v>
      </c>
      <c r="R52" s="10" t="s">
        <v>10340</v>
      </c>
      <c r="S52" s="6">
        <v>2008</v>
      </c>
      <c r="T52" s="10" t="s">
        <v>10344</v>
      </c>
      <c r="U52" s="12" t="s">
        <v>39143</v>
      </c>
      <c r="V52" s="12" t="s">
        <v>39142</v>
      </c>
      <c r="W52" s="11">
        <v>2</v>
      </c>
      <c r="X52" s="11">
        <v>3</v>
      </c>
      <c r="Y52" s="11">
        <v>17</v>
      </c>
      <c r="Z52" s="11">
        <v>3</v>
      </c>
      <c r="AA52" s="10" t="s">
        <v>10345</v>
      </c>
      <c r="AB52" s="11">
        <v>2</v>
      </c>
      <c r="AC52" s="10" t="s">
        <v>10346</v>
      </c>
      <c r="AD52" s="10" t="s">
        <v>10347</v>
      </c>
      <c r="AE52" s="12" t="s">
        <v>75</v>
      </c>
      <c r="AF52" s="6" t="s">
        <v>10348</v>
      </c>
    </row>
    <row r="53" spans="1:32" s="6" customFormat="1" ht="43.2" x14ac:dyDescent="0.3">
      <c r="A53" s="6" t="s">
        <v>10718</v>
      </c>
      <c r="B53" s="6">
        <v>2021</v>
      </c>
      <c r="C53" s="7">
        <v>13</v>
      </c>
      <c r="D53" s="6" t="s">
        <v>71</v>
      </c>
      <c r="E53" s="7">
        <v>1</v>
      </c>
      <c r="F53" s="43" t="s">
        <v>10349</v>
      </c>
      <c r="G53" s="6" t="s">
        <v>10350</v>
      </c>
      <c r="H53" s="10" t="s">
        <v>10351</v>
      </c>
      <c r="I53" s="6" t="s">
        <v>10352</v>
      </c>
      <c r="J53" s="7">
        <v>5</v>
      </c>
      <c r="L53" s="10" t="s">
        <v>10353</v>
      </c>
      <c r="M53" s="11">
        <v>1</v>
      </c>
      <c r="N53" s="10" t="s">
        <v>415</v>
      </c>
      <c r="O53" s="11">
        <v>1</v>
      </c>
      <c r="P53" s="11">
        <v>1</v>
      </c>
      <c r="Q53" s="10" t="s">
        <v>416</v>
      </c>
      <c r="R53" s="6" t="s">
        <v>193</v>
      </c>
      <c r="S53" s="6" t="s">
        <v>194</v>
      </c>
      <c r="T53" s="6" t="s">
        <v>417</v>
      </c>
      <c r="U53" s="12" t="s">
        <v>116</v>
      </c>
      <c r="V53" s="12" t="s">
        <v>10354</v>
      </c>
      <c r="W53" s="11">
        <v>3</v>
      </c>
      <c r="X53" s="11">
        <v>3</v>
      </c>
      <c r="Y53" s="11">
        <v>17</v>
      </c>
      <c r="Z53" s="11">
        <v>4</v>
      </c>
      <c r="AA53" s="13" t="s">
        <v>74</v>
      </c>
      <c r="AB53" s="7">
        <v>2</v>
      </c>
      <c r="AC53" s="12" t="s">
        <v>75</v>
      </c>
      <c r="AD53" s="6">
        <v>90</v>
      </c>
      <c r="AE53" s="10" t="s">
        <v>73</v>
      </c>
      <c r="AF53" s="6" t="s">
        <v>10355</v>
      </c>
    </row>
    <row r="54" spans="1:32" s="6" customFormat="1" ht="28.8" x14ac:dyDescent="0.3">
      <c r="A54" s="6" t="s">
        <v>10719</v>
      </c>
      <c r="B54" s="6">
        <v>2023</v>
      </c>
      <c r="C54" s="7">
        <v>15</v>
      </c>
      <c r="D54" s="6" t="s">
        <v>71</v>
      </c>
      <c r="E54" s="7">
        <v>1</v>
      </c>
      <c r="F54" s="43" t="s">
        <v>10356</v>
      </c>
      <c r="G54" s="6" t="s">
        <v>10357</v>
      </c>
      <c r="H54" s="10" t="s">
        <v>10358</v>
      </c>
      <c r="I54" s="6" t="s">
        <v>900</v>
      </c>
      <c r="J54" s="7">
        <v>6</v>
      </c>
      <c r="L54" s="6" t="s">
        <v>10359</v>
      </c>
      <c r="M54" s="11">
        <v>1</v>
      </c>
      <c r="N54" s="12" t="s">
        <v>75</v>
      </c>
      <c r="O54" s="7">
        <v>100</v>
      </c>
      <c r="P54" s="7">
        <v>100</v>
      </c>
      <c r="Q54" s="12" t="s">
        <v>75</v>
      </c>
      <c r="R54" s="12" t="s">
        <v>75</v>
      </c>
      <c r="S54" s="12" t="s">
        <v>75</v>
      </c>
      <c r="T54" s="12" t="s">
        <v>75</v>
      </c>
      <c r="U54" s="12" t="s">
        <v>75</v>
      </c>
      <c r="V54" s="12" t="s">
        <v>75</v>
      </c>
      <c r="W54" s="7">
        <v>3</v>
      </c>
      <c r="X54" s="7">
        <v>3</v>
      </c>
      <c r="Y54" s="7">
        <v>17</v>
      </c>
      <c r="Z54" s="7">
        <v>4</v>
      </c>
      <c r="AA54" s="12" t="s">
        <v>75</v>
      </c>
      <c r="AB54" s="7">
        <v>2</v>
      </c>
      <c r="AC54" s="12" t="s">
        <v>75</v>
      </c>
      <c r="AD54" s="12" t="s">
        <v>75</v>
      </c>
      <c r="AE54" s="12" t="s">
        <v>75</v>
      </c>
      <c r="AF54" s="6" t="s">
        <v>39164</v>
      </c>
    </row>
    <row r="55" spans="1:32" s="6" customFormat="1" ht="57.6" x14ac:dyDescent="0.3">
      <c r="A55" s="6" t="s">
        <v>10720</v>
      </c>
      <c r="B55" s="6">
        <v>2020</v>
      </c>
      <c r="C55" s="7">
        <v>12</v>
      </c>
      <c r="D55" s="6" t="s">
        <v>71</v>
      </c>
      <c r="E55" s="7">
        <v>1</v>
      </c>
      <c r="F55" s="41" t="s">
        <v>10360</v>
      </c>
      <c r="G55" s="6" t="s">
        <v>10214</v>
      </c>
      <c r="H55" s="10" t="s">
        <v>10361</v>
      </c>
      <c r="I55" s="6" t="s">
        <v>10362</v>
      </c>
      <c r="J55" s="7">
        <v>5</v>
      </c>
      <c r="K55" s="6" t="s">
        <v>547</v>
      </c>
      <c r="L55" s="10" t="s">
        <v>10363</v>
      </c>
      <c r="M55" s="11">
        <v>4</v>
      </c>
      <c r="N55" s="6" t="s">
        <v>10364</v>
      </c>
      <c r="O55" s="7">
        <v>3</v>
      </c>
      <c r="P55" s="7">
        <v>4</v>
      </c>
      <c r="Q55" s="6" t="s">
        <v>10365</v>
      </c>
      <c r="R55" s="10" t="s">
        <v>10366</v>
      </c>
      <c r="S55" s="10" t="s">
        <v>10367</v>
      </c>
      <c r="T55" s="10" t="s">
        <v>10368</v>
      </c>
      <c r="U55" s="13" t="s">
        <v>75</v>
      </c>
      <c r="V55" s="13" t="s">
        <v>75</v>
      </c>
      <c r="W55" s="7">
        <v>3</v>
      </c>
      <c r="X55" s="7">
        <v>3</v>
      </c>
      <c r="Y55" s="7">
        <v>17</v>
      </c>
      <c r="Z55" s="7">
        <v>4</v>
      </c>
      <c r="AA55" s="13" t="s">
        <v>74</v>
      </c>
      <c r="AB55" s="7">
        <v>2</v>
      </c>
      <c r="AC55" s="13" t="s">
        <v>75</v>
      </c>
      <c r="AD55" s="6" t="s">
        <v>10369</v>
      </c>
      <c r="AE55" s="13" t="s">
        <v>75</v>
      </c>
    </row>
    <row r="56" spans="1:32" s="6" customFormat="1" ht="43.2" x14ac:dyDescent="0.3">
      <c r="A56" s="6" t="s">
        <v>10721</v>
      </c>
      <c r="B56" s="6">
        <v>2020</v>
      </c>
      <c r="C56" s="7">
        <v>12</v>
      </c>
      <c r="D56" s="6" t="s">
        <v>71</v>
      </c>
      <c r="E56" s="7">
        <v>1</v>
      </c>
      <c r="F56" s="41" t="s">
        <v>10370</v>
      </c>
      <c r="G56" s="6" t="s">
        <v>405</v>
      </c>
      <c r="H56" s="10" t="s">
        <v>3350</v>
      </c>
      <c r="I56" s="6" t="s">
        <v>10371</v>
      </c>
      <c r="J56" s="7">
        <v>3</v>
      </c>
      <c r="K56" s="6" t="s">
        <v>10372</v>
      </c>
      <c r="L56" s="10" t="s">
        <v>10373</v>
      </c>
      <c r="M56" s="11">
        <v>1</v>
      </c>
      <c r="N56" s="6" t="s">
        <v>10218</v>
      </c>
      <c r="O56" s="7">
        <v>1</v>
      </c>
      <c r="P56" s="7">
        <v>1</v>
      </c>
      <c r="Q56" s="6" t="s">
        <v>416</v>
      </c>
      <c r="R56" s="6" t="s">
        <v>10371</v>
      </c>
      <c r="S56" s="13" t="s">
        <v>75</v>
      </c>
      <c r="T56" s="6" t="s">
        <v>10374</v>
      </c>
      <c r="U56" s="13" t="s">
        <v>75</v>
      </c>
      <c r="V56" s="13" t="s">
        <v>75</v>
      </c>
      <c r="W56" s="7">
        <v>3</v>
      </c>
      <c r="X56" s="7">
        <v>3</v>
      </c>
      <c r="Y56" s="7">
        <v>17</v>
      </c>
      <c r="Z56" s="7">
        <v>4</v>
      </c>
      <c r="AA56" s="10" t="s">
        <v>10375</v>
      </c>
      <c r="AB56" s="7">
        <v>2</v>
      </c>
      <c r="AC56" s="13" t="s">
        <v>75</v>
      </c>
      <c r="AD56" s="13" t="s">
        <v>10376</v>
      </c>
      <c r="AE56" s="13" t="s">
        <v>75</v>
      </c>
    </row>
    <row r="57" spans="1:32" s="6" customFormat="1" ht="72" x14ac:dyDescent="0.3">
      <c r="A57" s="6" t="s">
        <v>10722</v>
      </c>
      <c r="B57" s="6">
        <v>2019</v>
      </c>
      <c r="C57" s="7">
        <v>11</v>
      </c>
      <c r="D57" s="6" t="s">
        <v>71</v>
      </c>
      <c r="E57" s="7">
        <v>1</v>
      </c>
      <c r="F57" s="41" t="s">
        <v>10377</v>
      </c>
      <c r="G57" s="6" t="s">
        <v>10378</v>
      </c>
      <c r="H57" s="10" t="s">
        <v>10379</v>
      </c>
      <c r="I57" s="10" t="s">
        <v>10340</v>
      </c>
      <c r="J57" s="11">
        <v>5</v>
      </c>
      <c r="L57" s="10" t="s">
        <v>10380</v>
      </c>
      <c r="M57" s="11">
        <v>1</v>
      </c>
      <c r="N57" s="10" t="s">
        <v>10343</v>
      </c>
      <c r="O57" s="11">
        <v>1</v>
      </c>
      <c r="P57" s="11">
        <v>1</v>
      </c>
      <c r="Q57" s="10" t="s">
        <v>480</v>
      </c>
      <c r="R57" s="10" t="s">
        <v>10381</v>
      </c>
      <c r="S57" s="6">
        <v>2008</v>
      </c>
      <c r="T57" s="10" t="s">
        <v>10344</v>
      </c>
      <c r="U57" s="12" t="s">
        <v>39143</v>
      </c>
      <c r="V57" s="12" t="s">
        <v>39142</v>
      </c>
      <c r="W57" s="11">
        <v>2</v>
      </c>
      <c r="X57" s="11">
        <v>3</v>
      </c>
      <c r="Y57" s="11">
        <v>17</v>
      </c>
      <c r="Z57" s="11">
        <v>3</v>
      </c>
      <c r="AA57" s="6" t="s">
        <v>10382</v>
      </c>
      <c r="AB57" s="7">
        <v>1</v>
      </c>
      <c r="AC57" s="12" t="s">
        <v>75</v>
      </c>
      <c r="AD57" s="10" t="s">
        <v>10347</v>
      </c>
      <c r="AE57" s="12" t="s">
        <v>75</v>
      </c>
    </row>
    <row r="58" spans="1:32" s="6" customFormat="1" ht="230.4" x14ac:dyDescent="0.3">
      <c r="A58" s="6" t="s">
        <v>10723</v>
      </c>
      <c r="B58" s="6">
        <v>2024</v>
      </c>
      <c r="C58" s="7">
        <v>16</v>
      </c>
      <c r="D58" s="6" t="s">
        <v>71</v>
      </c>
      <c r="E58" s="7">
        <v>1</v>
      </c>
      <c r="F58" s="41" t="s">
        <v>10383</v>
      </c>
      <c r="G58" s="6" t="s">
        <v>2986</v>
      </c>
      <c r="H58" s="10" t="s">
        <v>10384</v>
      </c>
      <c r="I58" s="6" t="s">
        <v>10385</v>
      </c>
      <c r="J58" s="7">
        <v>3</v>
      </c>
      <c r="L58" s="10" t="s">
        <v>10386</v>
      </c>
      <c r="M58" s="11">
        <v>1</v>
      </c>
      <c r="N58" s="10" t="s">
        <v>10387</v>
      </c>
      <c r="O58" s="11">
        <v>1</v>
      </c>
      <c r="P58" s="11">
        <v>3</v>
      </c>
      <c r="Q58" s="6" t="s">
        <v>10388</v>
      </c>
      <c r="R58" s="6" t="s">
        <v>2295</v>
      </c>
      <c r="U58" s="6" t="s">
        <v>409</v>
      </c>
      <c r="V58" s="10" t="s">
        <v>10389</v>
      </c>
      <c r="W58" s="11">
        <v>2</v>
      </c>
      <c r="X58" s="11">
        <v>2</v>
      </c>
      <c r="Y58" s="11">
        <v>16</v>
      </c>
      <c r="Z58" s="11">
        <v>3</v>
      </c>
      <c r="AA58" s="6" t="s">
        <v>74</v>
      </c>
      <c r="AB58" s="7">
        <v>2</v>
      </c>
      <c r="AC58" s="10" t="s">
        <v>10390</v>
      </c>
      <c r="AD58" s="10" t="s">
        <v>10391</v>
      </c>
      <c r="AF58" s="6" t="s">
        <v>10392</v>
      </c>
    </row>
    <row r="59" spans="1:32" s="6" customFormat="1" ht="86.4" x14ac:dyDescent="0.3">
      <c r="A59" s="6" t="s">
        <v>10724</v>
      </c>
      <c r="B59" s="6">
        <v>2024</v>
      </c>
      <c r="C59" s="7">
        <v>16</v>
      </c>
      <c r="D59" s="6" t="s">
        <v>71</v>
      </c>
      <c r="E59" s="7">
        <v>1</v>
      </c>
      <c r="F59" s="41" t="s">
        <v>10393</v>
      </c>
      <c r="G59" s="6" t="s">
        <v>318</v>
      </c>
      <c r="H59" s="10" t="s">
        <v>10394</v>
      </c>
      <c r="I59" s="6" t="s">
        <v>10395</v>
      </c>
      <c r="J59" s="7">
        <v>3</v>
      </c>
      <c r="K59" s="6" t="s">
        <v>846</v>
      </c>
      <c r="L59" s="10" t="s">
        <v>10396</v>
      </c>
      <c r="M59" s="11">
        <v>15</v>
      </c>
      <c r="N59" s="10" t="s">
        <v>10343</v>
      </c>
      <c r="O59" s="11">
        <v>1</v>
      </c>
      <c r="P59" s="11">
        <v>1</v>
      </c>
      <c r="Q59" s="6" t="s">
        <v>10397</v>
      </c>
      <c r="R59" s="6" t="s">
        <v>10398</v>
      </c>
      <c r="S59" s="13" t="s">
        <v>75</v>
      </c>
      <c r="T59" s="10" t="s">
        <v>10399</v>
      </c>
      <c r="U59" s="13" t="s">
        <v>75</v>
      </c>
      <c r="V59" s="13" t="s">
        <v>75</v>
      </c>
      <c r="W59" s="7">
        <v>3</v>
      </c>
      <c r="X59" s="7">
        <v>3</v>
      </c>
      <c r="Y59" s="7">
        <v>17</v>
      </c>
      <c r="Z59" s="7">
        <v>4</v>
      </c>
      <c r="AA59" s="13" t="s">
        <v>74</v>
      </c>
      <c r="AB59" s="7">
        <v>2</v>
      </c>
      <c r="AC59" s="12" t="s">
        <v>75</v>
      </c>
      <c r="AD59" s="6" t="s">
        <v>10400</v>
      </c>
      <c r="AE59" s="6" t="s">
        <v>732</v>
      </c>
    </row>
    <row r="60" spans="1:32" s="6" customFormat="1" ht="129.6" x14ac:dyDescent="0.3">
      <c r="A60" s="6" t="s">
        <v>10725</v>
      </c>
      <c r="B60" s="6">
        <v>2020</v>
      </c>
      <c r="C60" s="7">
        <v>12</v>
      </c>
      <c r="D60" s="6" t="s">
        <v>71</v>
      </c>
      <c r="E60" s="7">
        <v>1</v>
      </c>
      <c r="F60" s="41" t="s">
        <v>10401</v>
      </c>
      <c r="G60" s="6" t="s">
        <v>10207</v>
      </c>
      <c r="H60" s="10" t="s">
        <v>10402</v>
      </c>
      <c r="I60" s="6" t="s">
        <v>2295</v>
      </c>
      <c r="J60" s="7">
        <v>8</v>
      </c>
      <c r="L60" s="10" t="s">
        <v>10403</v>
      </c>
      <c r="M60" s="11">
        <v>4</v>
      </c>
      <c r="N60" s="10" t="s">
        <v>10242</v>
      </c>
      <c r="O60" s="11">
        <v>1</v>
      </c>
      <c r="P60" s="11">
        <v>1</v>
      </c>
      <c r="Q60" s="10" t="s">
        <v>118</v>
      </c>
      <c r="R60" s="10" t="s">
        <v>156</v>
      </c>
      <c r="S60" s="6" t="s">
        <v>10243</v>
      </c>
      <c r="T60" s="10" t="s">
        <v>10244</v>
      </c>
      <c r="U60" s="10" t="s">
        <v>158</v>
      </c>
      <c r="V60" s="10" t="s">
        <v>39154</v>
      </c>
      <c r="W60" s="11">
        <v>2</v>
      </c>
      <c r="X60" s="11">
        <v>2</v>
      </c>
      <c r="Y60" s="11">
        <v>16</v>
      </c>
      <c r="Z60" s="11">
        <v>3</v>
      </c>
      <c r="AA60" s="13" t="s">
        <v>74</v>
      </c>
      <c r="AB60" s="7">
        <v>2</v>
      </c>
      <c r="AC60" s="12" t="s">
        <v>75</v>
      </c>
      <c r="AD60" s="6">
        <v>30</v>
      </c>
      <c r="AE60" s="10" t="s">
        <v>73</v>
      </c>
      <c r="AF60" s="6" t="s">
        <v>39163</v>
      </c>
    </row>
    <row r="61" spans="1:32" s="6" customFormat="1" ht="57.6" x14ac:dyDescent="0.3">
      <c r="A61" s="6" t="s">
        <v>10726</v>
      </c>
      <c r="B61" s="6">
        <v>2020</v>
      </c>
      <c r="C61" s="7">
        <v>12</v>
      </c>
      <c r="D61" s="6" t="s">
        <v>71</v>
      </c>
      <c r="E61" s="7">
        <v>1</v>
      </c>
      <c r="F61" s="41" t="s">
        <v>10404</v>
      </c>
      <c r="G61" s="6" t="s">
        <v>318</v>
      </c>
      <c r="H61" s="10" t="s">
        <v>6198</v>
      </c>
      <c r="I61" s="6" t="s">
        <v>10405</v>
      </c>
      <c r="J61" s="7">
        <v>3</v>
      </c>
      <c r="K61" s="6" t="s">
        <v>1087</v>
      </c>
      <c r="L61" s="10" t="s">
        <v>10406</v>
      </c>
      <c r="M61" s="11">
        <v>15</v>
      </c>
      <c r="N61" s="10" t="s">
        <v>192</v>
      </c>
      <c r="O61" s="11">
        <v>1</v>
      </c>
      <c r="P61" s="11">
        <v>2</v>
      </c>
      <c r="Q61" s="10" t="s">
        <v>118</v>
      </c>
      <c r="R61" s="6" t="s">
        <v>193</v>
      </c>
      <c r="S61" s="6" t="s">
        <v>194</v>
      </c>
      <c r="T61" s="10" t="s">
        <v>195</v>
      </c>
      <c r="U61" s="12" t="s">
        <v>347</v>
      </c>
      <c r="V61" s="12" t="s">
        <v>506</v>
      </c>
      <c r="W61" s="7">
        <v>3</v>
      </c>
      <c r="X61" s="7">
        <v>3</v>
      </c>
      <c r="Y61" s="7">
        <v>17</v>
      </c>
      <c r="Z61" s="7">
        <v>4</v>
      </c>
      <c r="AA61" s="12" t="s">
        <v>74</v>
      </c>
      <c r="AB61" s="11">
        <v>2</v>
      </c>
      <c r="AC61" s="12" t="s">
        <v>75</v>
      </c>
      <c r="AD61" s="10" t="s">
        <v>10407</v>
      </c>
      <c r="AE61" s="10" t="s">
        <v>73</v>
      </c>
      <c r="AF61" s="6" t="s">
        <v>10408</v>
      </c>
    </row>
    <row r="62" spans="1:32" s="6" customFormat="1" ht="129.6" x14ac:dyDescent="0.3">
      <c r="A62" s="6" t="s">
        <v>10727</v>
      </c>
      <c r="B62" s="6">
        <v>2020</v>
      </c>
      <c r="C62" s="7">
        <v>12</v>
      </c>
      <c r="D62" s="6" t="s">
        <v>71</v>
      </c>
      <c r="E62" s="7">
        <v>1</v>
      </c>
      <c r="F62" s="41" t="s">
        <v>10409</v>
      </c>
      <c r="G62" s="6" t="s">
        <v>10082</v>
      </c>
      <c r="H62" s="10" t="s">
        <v>10410</v>
      </c>
      <c r="I62" s="6" t="s">
        <v>10411</v>
      </c>
      <c r="J62" s="7">
        <v>5</v>
      </c>
      <c r="L62" s="10" t="s">
        <v>504</v>
      </c>
      <c r="M62" s="11">
        <v>1</v>
      </c>
      <c r="N62" s="10" t="s">
        <v>10412</v>
      </c>
      <c r="O62" s="11">
        <v>3</v>
      </c>
      <c r="P62" s="11">
        <v>3</v>
      </c>
      <c r="Q62" s="10" t="s">
        <v>10413</v>
      </c>
      <c r="R62" s="6" t="s">
        <v>10414</v>
      </c>
      <c r="S62" s="10" t="s">
        <v>10415</v>
      </c>
      <c r="T62" s="10" t="s">
        <v>10416</v>
      </c>
      <c r="U62" s="12" t="s">
        <v>347</v>
      </c>
      <c r="V62" s="10" t="s">
        <v>10417</v>
      </c>
      <c r="W62" s="11">
        <v>3</v>
      </c>
      <c r="X62" s="11">
        <v>3</v>
      </c>
      <c r="Y62" s="11">
        <v>17</v>
      </c>
      <c r="Z62" s="11">
        <v>4</v>
      </c>
      <c r="AA62" s="6" t="s">
        <v>10418</v>
      </c>
      <c r="AB62" s="7">
        <v>1</v>
      </c>
      <c r="AC62" s="10" t="s">
        <v>10419</v>
      </c>
      <c r="AD62" s="10" t="s">
        <v>10420</v>
      </c>
      <c r="AE62" s="10" t="s">
        <v>10421</v>
      </c>
      <c r="AF62" s="6" t="s">
        <v>10762</v>
      </c>
    </row>
    <row r="63" spans="1:32" s="6" customFormat="1" ht="72" x14ac:dyDescent="0.3">
      <c r="A63" s="6" t="s">
        <v>10728</v>
      </c>
      <c r="B63" s="6">
        <v>2021</v>
      </c>
      <c r="C63" s="7">
        <v>13</v>
      </c>
      <c r="D63" s="6" t="s">
        <v>41</v>
      </c>
      <c r="E63" s="7">
        <v>6</v>
      </c>
      <c r="F63" s="41" t="s">
        <v>10422</v>
      </c>
      <c r="G63" s="6" t="s">
        <v>10423</v>
      </c>
      <c r="H63" s="10" t="s">
        <v>10424</v>
      </c>
      <c r="I63" s="6" t="s">
        <v>10425</v>
      </c>
      <c r="J63" s="7">
        <v>3</v>
      </c>
      <c r="K63" s="6" t="s">
        <v>365</v>
      </c>
      <c r="L63" s="10" t="s">
        <v>10426</v>
      </c>
      <c r="M63" s="11">
        <v>9</v>
      </c>
      <c r="N63" s="10" t="s">
        <v>10427</v>
      </c>
      <c r="O63" s="11">
        <v>3</v>
      </c>
      <c r="P63" s="11">
        <v>3</v>
      </c>
      <c r="Q63" s="10" t="s">
        <v>10428</v>
      </c>
      <c r="R63" s="6" t="s">
        <v>10429</v>
      </c>
      <c r="S63" s="10" t="s">
        <v>10430</v>
      </c>
      <c r="T63" s="10" t="s">
        <v>10431</v>
      </c>
      <c r="U63" s="12" t="s">
        <v>10432</v>
      </c>
      <c r="V63" s="10" t="s">
        <v>10433</v>
      </c>
      <c r="W63" s="11">
        <v>2</v>
      </c>
      <c r="X63" s="11">
        <v>3</v>
      </c>
      <c r="Y63" s="11">
        <v>17</v>
      </c>
      <c r="Z63" s="11">
        <v>4</v>
      </c>
      <c r="AA63" s="10" t="s">
        <v>10434</v>
      </c>
      <c r="AB63" s="11">
        <v>1</v>
      </c>
      <c r="AC63" s="12" t="s">
        <v>75</v>
      </c>
      <c r="AD63" s="10" t="s">
        <v>10435</v>
      </c>
      <c r="AE63" s="10" t="s">
        <v>10436</v>
      </c>
    </row>
    <row r="64" spans="1:32" s="6" customFormat="1" ht="115.2" x14ac:dyDescent="0.3">
      <c r="A64" s="6" t="s">
        <v>10729</v>
      </c>
      <c r="B64" s="6">
        <v>2021</v>
      </c>
      <c r="C64" s="7">
        <v>13</v>
      </c>
      <c r="D64" s="6" t="s">
        <v>71</v>
      </c>
      <c r="E64" s="7">
        <v>1</v>
      </c>
      <c r="F64" s="41" t="s">
        <v>10437</v>
      </c>
      <c r="G64" s="6" t="s">
        <v>10438</v>
      </c>
      <c r="H64" s="10" t="s">
        <v>10439</v>
      </c>
      <c r="I64" s="6" t="s">
        <v>10440</v>
      </c>
      <c r="J64" s="7">
        <v>1</v>
      </c>
      <c r="K64" s="6" t="s">
        <v>10441</v>
      </c>
      <c r="L64" s="10" t="s">
        <v>504</v>
      </c>
      <c r="M64" s="11">
        <v>1</v>
      </c>
      <c r="N64" s="10" t="s">
        <v>10442</v>
      </c>
      <c r="O64" s="11">
        <v>2</v>
      </c>
      <c r="P64" s="11">
        <v>5</v>
      </c>
      <c r="Q64" s="10" t="s">
        <v>10443</v>
      </c>
      <c r="R64" s="6" t="s">
        <v>193</v>
      </c>
      <c r="S64" s="6" t="s">
        <v>194</v>
      </c>
      <c r="T64" s="10" t="s">
        <v>10444</v>
      </c>
      <c r="U64" s="10" t="s">
        <v>10445</v>
      </c>
      <c r="V64" s="10" t="s">
        <v>10446</v>
      </c>
      <c r="W64" s="7">
        <v>2</v>
      </c>
      <c r="X64" s="7">
        <v>3</v>
      </c>
      <c r="Y64" s="7">
        <v>17</v>
      </c>
      <c r="Z64" s="7">
        <v>4</v>
      </c>
      <c r="AA64" s="12"/>
      <c r="AB64" s="11">
        <v>2</v>
      </c>
      <c r="AC64" s="10" t="s">
        <v>72</v>
      </c>
      <c r="AD64" s="10" t="s">
        <v>10447</v>
      </c>
      <c r="AE64" s="10" t="s">
        <v>73</v>
      </c>
      <c r="AF64" s="6" t="s">
        <v>10763</v>
      </c>
    </row>
    <row r="65" spans="1:32" s="6" customFormat="1" ht="115.2" x14ac:dyDescent="0.3">
      <c r="A65" s="6" t="s">
        <v>10730</v>
      </c>
      <c r="B65" s="6">
        <v>2023</v>
      </c>
      <c r="C65" s="7">
        <v>15</v>
      </c>
      <c r="D65" s="6" t="s">
        <v>71</v>
      </c>
      <c r="E65" s="7">
        <v>1</v>
      </c>
      <c r="F65" s="41" t="s">
        <v>10448</v>
      </c>
      <c r="G65" s="6" t="s">
        <v>704</v>
      </c>
      <c r="H65" s="10" t="s">
        <v>10449</v>
      </c>
      <c r="I65" s="10" t="s">
        <v>10450</v>
      </c>
      <c r="J65" s="11">
        <v>3</v>
      </c>
      <c r="L65" s="10" t="s">
        <v>10451</v>
      </c>
      <c r="M65" s="11">
        <v>4</v>
      </c>
      <c r="N65" s="10" t="s">
        <v>10452</v>
      </c>
      <c r="O65" s="11">
        <v>1</v>
      </c>
      <c r="P65" s="11">
        <v>1</v>
      </c>
      <c r="Q65" s="12" t="s">
        <v>75</v>
      </c>
      <c r="R65" s="6" t="s">
        <v>10453</v>
      </c>
      <c r="S65" s="13" t="s">
        <v>75</v>
      </c>
      <c r="T65" s="13" t="s">
        <v>75</v>
      </c>
      <c r="U65" s="13" t="s">
        <v>75</v>
      </c>
      <c r="V65" s="13" t="s">
        <v>75</v>
      </c>
      <c r="W65" s="7">
        <v>3</v>
      </c>
      <c r="X65" s="7">
        <v>3</v>
      </c>
      <c r="Y65" s="7">
        <v>17</v>
      </c>
      <c r="Z65" s="7">
        <v>4</v>
      </c>
      <c r="AA65" s="13" t="s">
        <v>75</v>
      </c>
      <c r="AB65" s="7">
        <v>2</v>
      </c>
      <c r="AC65" s="13" t="s">
        <v>75</v>
      </c>
      <c r="AD65" s="13" t="s">
        <v>75</v>
      </c>
      <c r="AE65" s="6" t="s">
        <v>10454</v>
      </c>
    </row>
    <row r="66" spans="1:32" s="6" customFormat="1" ht="259.2" x14ac:dyDescent="0.3">
      <c r="A66" s="6" t="s">
        <v>10731</v>
      </c>
      <c r="B66" s="6">
        <v>2019</v>
      </c>
      <c r="C66" s="7">
        <v>11</v>
      </c>
      <c r="D66" s="6" t="s">
        <v>71</v>
      </c>
      <c r="E66" s="7">
        <v>1</v>
      </c>
      <c r="F66" s="41" t="s">
        <v>10455</v>
      </c>
      <c r="G66" s="6" t="s">
        <v>10456</v>
      </c>
      <c r="H66" s="10" t="s">
        <v>10457</v>
      </c>
      <c r="I66" s="6" t="s">
        <v>10458</v>
      </c>
      <c r="J66" s="7">
        <v>3</v>
      </c>
      <c r="K66" s="6" t="s">
        <v>1000</v>
      </c>
      <c r="L66" s="10" t="s">
        <v>10459</v>
      </c>
      <c r="M66" s="11">
        <v>2</v>
      </c>
      <c r="N66" s="10" t="s">
        <v>10460</v>
      </c>
      <c r="O66" s="11">
        <v>1</v>
      </c>
      <c r="P66" s="11">
        <v>1</v>
      </c>
      <c r="Q66" s="12" t="s">
        <v>75</v>
      </c>
      <c r="R66" s="6" t="s">
        <v>10461</v>
      </c>
      <c r="S66" s="13" t="s">
        <v>75</v>
      </c>
      <c r="T66" s="12" t="s">
        <v>75</v>
      </c>
      <c r="U66" s="10" t="s">
        <v>76</v>
      </c>
      <c r="V66" s="10" t="s">
        <v>409</v>
      </c>
      <c r="W66" s="11">
        <v>2</v>
      </c>
      <c r="X66" s="11">
        <v>3</v>
      </c>
      <c r="Y66" s="11">
        <v>17</v>
      </c>
      <c r="Z66" s="11">
        <v>4</v>
      </c>
      <c r="AA66" s="13" t="s">
        <v>74</v>
      </c>
      <c r="AB66" s="7">
        <v>2</v>
      </c>
      <c r="AC66" s="10" t="s">
        <v>72</v>
      </c>
      <c r="AD66" s="10" t="s">
        <v>10462</v>
      </c>
      <c r="AE66" s="10" t="s">
        <v>75</v>
      </c>
      <c r="AF66" s="6" t="s">
        <v>10463</v>
      </c>
    </row>
    <row r="67" spans="1:32" s="6" customFormat="1" ht="43.2" x14ac:dyDescent="0.3">
      <c r="A67" s="6" t="s">
        <v>10732</v>
      </c>
      <c r="B67" s="6">
        <v>2020</v>
      </c>
      <c r="C67" s="7">
        <v>12</v>
      </c>
      <c r="D67" s="6" t="s">
        <v>71</v>
      </c>
      <c r="E67" s="7">
        <v>1</v>
      </c>
      <c r="F67" s="41" t="s">
        <v>10464</v>
      </c>
      <c r="G67" s="6" t="s">
        <v>147</v>
      </c>
      <c r="H67" s="10" t="s">
        <v>10465</v>
      </c>
      <c r="I67" s="6" t="s">
        <v>10466</v>
      </c>
      <c r="J67" s="7">
        <v>3</v>
      </c>
      <c r="K67" s="6" t="s">
        <v>131</v>
      </c>
      <c r="L67" s="10" t="s">
        <v>10467</v>
      </c>
      <c r="M67" s="11">
        <v>4</v>
      </c>
      <c r="N67" s="10" t="s">
        <v>10468</v>
      </c>
      <c r="O67" s="11">
        <v>1</v>
      </c>
      <c r="P67" s="11">
        <v>2</v>
      </c>
      <c r="Q67" s="10" t="s">
        <v>118</v>
      </c>
      <c r="R67" s="6" t="s">
        <v>266</v>
      </c>
      <c r="S67" s="6" t="s">
        <v>10469</v>
      </c>
      <c r="T67" s="10" t="s">
        <v>10470</v>
      </c>
      <c r="U67" s="12" t="s">
        <v>347</v>
      </c>
      <c r="V67" s="12" t="s">
        <v>506</v>
      </c>
      <c r="W67" s="11">
        <v>3</v>
      </c>
      <c r="X67" s="11">
        <v>3</v>
      </c>
      <c r="Y67" s="11">
        <v>17</v>
      </c>
      <c r="Z67" s="11">
        <v>4</v>
      </c>
      <c r="AA67" s="13" t="s">
        <v>74</v>
      </c>
      <c r="AB67" s="7">
        <v>2</v>
      </c>
      <c r="AC67" s="10" t="s">
        <v>507</v>
      </c>
      <c r="AD67" s="10">
        <v>30</v>
      </c>
      <c r="AE67" s="10" t="s">
        <v>73</v>
      </c>
      <c r="AF67" s="6" t="s">
        <v>10764</v>
      </c>
    </row>
    <row r="68" spans="1:32" s="6" customFormat="1" ht="57.6" x14ac:dyDescent="0.3">
      <c r="A68" s="6" t="s">
        <v>10733</v>
      </c>
      <c r="B68" s="6">
        <v>2024</v>
      </c>
      <c r="C68" s="7">
        <v>16</v>
      </c>
      <c r="D68" s="6" t="s">
        <v>71</v>
      </c>
      <c r="E68" s="7">
        <v>1</v>
      </c>
      <c r="F68" s="41" t="s">
        <v>10471</v>
      </c>
      <c r="G68" s="6" t="s">
        <v>10472</v>
      </c>
      <c r="H68" s="10" t="s">
        <v>10473</v>
      </c>
      <c r="I68" s="6" t="s">
        <v>10474</v>
      </c>
      <c r="J68" s="7">
        <v>3</v>
      </c>
      <c r="K68" s="6" t="s">
        <v>491</v>
      </c>
      <c r="L68" s="10" t="s">
        <v>10475</v>
      </c>
      <c r="M68" s="11">
        <v>1</v>
      </c>
      <c r="N68" s="10" t="s">
        <v>192</v>
      </c>
      <c r="O68" s="11">
        <v>1</v>
      </c>
      <c r="P68" s="11">
        <v>2</v>
      </c>
      <c r="Q68" s="10" t="s">
        <v>118</v>
      </c>
      <c r="R68" s="6" t="s">
        <v>193</v>
      </c>
      <c r="S68" s="6" t="s">
        <v>194</v>
      </c>
      <c r="T68" s="10" t="s">
        <v>195</v>
      </c>
      <c r="U68" s="12" t="s">
        <v>347</v>
      </c>
      <c r="V68" s="12" t="s">
        <v>506</v>
      </c>
      <c r="W68" s="7">
        <v>3</v>
      </c>
      <c r="X68" s="7">
        <v>3</v>
      </c>
      <c r="Y68" s="7">
        <v>17</v>
      </c>
      <c r="Z68" s="7">
        <v>4</v>
      </c>
      <c r="AA68" s="12" t="s">
        <v>74</v>
      </c>
      <c r="AB68" s="11">
        <v>2</v>
      </c>
      <c r="AC68" s="10" t="s">
        <v>672</v>
      </c>
      <c r="AD68" s="6" t="s">
        <v>10476</v>
      </c>
      <c r="AE68" s="10" t="s">
        <v>73</v>
      </c>
    </row>
    <row r="69" spans="1:32" s="6" customFormat="1" ht="57.6" x14ac:dyDescent="0.3">
      <c r="A69" s="6" t="s">
        <v>10734</v>
      </c>
      <c r="B69" s="6">
        <v>2020</v>
      </c>
      <c r="C69" s="7">
        <v>12</v>
      </c>
      <c r="D69" s="6" t="s">
        <v>71</v>
      </c>
      <c r="E69" s="7">
        <v>1</v>
      </c>
      <c r="F69" s="41" t="s">
        <v>10477</v>
      </c>
      <c r="G69" s="6" t="s">
        <v>10478</v>
      </c>
      <c r="H69" s="10" t="s">
        <v>10479</v>
      </c>
      <c r="I69" s="6" t="s">
        <v>79</v>
      </c>
      <c r="J69" s="7">
        <v>3</v>
      </c>
      <c r="K69" s="6" t="s">
        <v>10480</v>
      </c>
      <c r="L69" s="10" t="s">
        <v>10481</v>
      </c>
      <c r="M69" s="11">
        <v>1</v>
      </c>
      <c r="N69" s="10" t="s">
        <v>10482</v>
      </c>
      <c r="O69" s="11">
        <v>1</v>
      </c>
      <c r="P69" s="11">
        <v>2</v>
      </c>
      <c r="Q69" s="10" t="s">
        <v>118</v>
      </c>
      <c r="R69" s="6" t="s">
        <v>193</v>
      </c>
      <c r="S69" s="6" t="s">
        <v>194</v>
      </c>
      <c r="T69" s="10" t="s">
        <v>195</v>
      </c>
      <c r="U69" s="12" t="s">
        <v>347</v>
      </c>
      <c r="V69" s="12" t="s">
        <v>506</v>
      </c>
      <c r="W69" s="7">
        <v>2</v>
      </c>
      <c r="X69" s="7">
        <v>3</v>
      </c>
      <c r="Y69" s="7">
        <v>17</v>
      </c>
      <c r="Z69" s="7">
        <v>4</v>
      </c>
      <c r="AA69" s="12" t="s">
        <v>74</v>
      </c>
      <c r="AB69" s="11">
        <v>2</v>
      </c>
      <c r="AC69" s="10" t="s">
        <v>672</v>
      </c>
      <c r="AD69" s="6" t="s">
        <v>10483</v>
      </c>
      <c r="AE69" s="10" t="s">
        <v>73</v>
      </c>
      <c r="AF69" s="6" t="s">
        <v>10765</v>
      </c>
    </row>
    <row r="70" spans="1:32" s="6" customFormat="1" ht="72" x14ac:dyDescent="0.3">
      <c r="A70" s="6" t="s">
        <v>10735</v>
      </c>
      <c r="B70" s="6">
        <v>2019</v>
      </c>
      <c r="C70" s="7">
        <v>11</v>
      </c>
      <c r="D70" s="6" t="s">
        <v>71</v>
      </c>
      <c r="E70" s="7">
        <v>1</v>
      </c>
      <c r="F70" s="41" t="s">
        <v>10484</v>
      </c>
      <c r="G70" s="6" t="s">
        <v>10485</v>
      </c>
      <c r="H70" s="10" t="s">
        <v>10486</v>
      </c>
      <c r="I70" s="10" t="s">
        <v>10209</v>
      </c>
      <c r="J70" s="11">
        <v>3</v>
      </c>
      <c r="K70" s="6" t="s">
        <v>801</v>
      </c>
      <c r="L70" s="10" t="s">
        <v>10487</v>
      </c>
      <c r="M70" s="11">
        <v>4</v>
      </c>
      <c r="N70" s="10" t="s">
        <v>10488</v>
      </c>
      <c r="O70" s="11">
        <v>1</v>
      </c>
      <c r="P70" s="11">
        <v>1</v>
      </c>
      <c r="Q70" s="12" t="s">
        <v>75</v>
      </c>
      <c r="R70" s="12" t="s">
        <v>10489</v>
      </c>
      <c r="S70" s="12" t="s">
        <v>10490</v>
      </c>
      <c r="T70" s="12" t="s">
        <v>10491</v>
      </c>
      <c r="U70" s="12" t="s">
        <v>75</v>
      </c>
      <c r="V70" s="12" t="s">
        <v>75</v>
      </c>
      <c r="W70" s="11">
        <v>3</v>
      </c>
      <c r="X70" s="11">
        <v>3</v>
      </c>
      <c r="Y70" s="11">
        <v>17</v>
      </c>
      <c r="Z70" s="11">
        <v>4</v>
      </c>
      <c r="AA70" s="12" t="s">
        <v>75</v>
      </c>
      <c r="AB70" s="11">
        <v>2</v>
      </c>
      <c r="AC70" s="12" t="s">
        <v>75</v>
      </c>
      <c r="AD70" s="10">
        <v>50</v>
      </c>
      <c r="AE70" s="10" t="s">
        <v>10492</v>
      </c>
    </row>
    <row r="71" spans="1:32" s="6" customFormat="1" ht="57.6" x14ac:dyDescent="0.3">
      <c r="A71" s="6" t="s">
        <v>10736</v>
      </c>
      <c r="B71" s="6">
        <v>2015</v>
      </c>
      <c r="C71" s="7">
        <v>7</v>
      </c>
      <c r="D71" s="6" t="s">
        <v>71</v>
      </c>
      <c r="E71" s="7">
        <v>1</v>
      </c>
      <c r="F71" s="41" t="s">
        <v>10493</v>
      </c>
      <c r="G71" s="6" t="s">
        <v>10494</v>
      </c>
      <c r="H71" s="10" t="s">
        <v>10495</v>
      </c>
      <c r="I71" s="6" t="s">
        <v>2295</v>
      </c>
      <c r="J71" s="7">
        <v>8</v>
      </c>
      <c r="K71" s="6" t="s">
        <v>1825</v>
      </c>
      <c r="L71" s="10" t="s">
        <v>10496</v>
      </c>
      <c r="M71" s="11">
        <v>4</v>
      </c>
      <c r="N71" s="10" t="s">
        <v>192</v>
      </c>
      <c r="O71" s="11">
        <v>1</v>
      </c>
      <c r="P71" s="11">
        <v>1</v>
      </c>
      <c r="Q71" s="10" t="s">
        <v>118</v>
      </c>
      <c r="R71" s="6" t="s">
        <v>193</v>
      </c>
      <c r="S71" s="6" t="s">
        <v>194</v>
      </c>
      <c r="T71" s="10" t="s">
        <v>195</v>
      </c>
      <c r="U71" s="12" t="s">
        <v>347</v>
      </c>
      <c r="V71" s="12" t="s">
        <v>506</v>
      </c>
      <c r="W71" s="7">
        <v>3</v>
      </c>
      <c r="X71" s="7">
        <v>3</v>
      </c>
      <c r="Y71" s="7">
        <v>17</v>
      </c>
      <c r="Z71" s="7">
        <v>4</v>
      </c>
      <c r="AA71" s="12" t="s">
        <v>74</v>
      </c>
      <c r="AB71" s="11">
        <v>2</v>
      </c>
      <c r="AC71" s="10" t="s">
        <v>672</v>
      </c>
      <c r="AD71" s="6">
        <v>90</v>
      </c>
      <c r="AE71" s="10" t="s">
        <v>73</v>
      </c>
    </row>
    <row r="72" spans="1:32" s="6" customFormat="1" ht="72" x14ac:dyDescent="0.3">
      <c r="A72" s="6" t="s">
        <v>10737</v>
      </c>
      <c r="B72" s="6">
        <v>2017</v>
      </c>
      <c r="C72" s="7">
        <v>9</v>
      </c>
      <c r="D72" s="6" t="s">
        <v>16</v>
      </c>
      <c r="E72" s="7">
        <v>2</v>
      </c>
      <c r="F72" s="41" t="s">
        <v>10497</v>
      </c>
      <c r="G72" s="10" t="s">
        <v>10498</v>
      </c>
      <c r="I72" s="10" t="s">
        <v>10209</v>
      </c>
      <c r="J72" s="11">
        <v>3</v>
      </c>
      <c r="K72" s="6" t="s">
        <v>10499</v>
      </c>
      <c r="L72" s="10" t="s">
        <v>10500</v>
      </c>
      <c r="M72" s="11">
        <v>4</v>
      </c>
      <c r="N72" s="10" t="s">
        <v>192</v>
      </c>
      <c r="O72" s="11">
        <v>1</v>
      </c>
      <c r="P72" s="11">
        <v>2</v>
      </c>
      <c r="Q72" s="10" t="s">
        <v>118</v>
      </c>
      <c r="R72" s="6" t="s">
        <v>193</v>
      </c>
      <c r="S72" s="6" t="s">
        <v>194</v>
      </c>
      <c r="T72" s="10" t="s">
        <v>195</v>
      </c>
      <c r="U72" s="10" t="s">
        <v>76</v>
      </c>
      <c r="V72" s="10" t="s">
        <v>10501</v>
      </c>
      <c r="W72" s="11">
        <v>1</v>
      </c>
      <c r="X72" s="11">
        <v>1</v>
      </c>
      <c r="Y72" s="11">
        <v>6</v>
      </c>
      <c r="Z72" s="11">
        <v>1</v>
      </c>
      <c r="AA72" s="12" t="s">
        <v>74</v>
      </c>
      <c r="AB72" s="11">
        <v>2</v>
      </c>
      <c r="AC72" s="10" t="s">
        <v>672</v>
      </c>
      <c r="AD72" s="6">
        <v>90</v>
      </c>
      <c r="AE72" s="10" t="s">
        <v>73</v>
      </c>
      <c r="AF72" s="6" t="s">
        <v>10766</v>
      </c>
    </row>
    <row r="73" spans="1:32" s="6" customFormat="1" ht="86.4" x14ac:dyDescent="0.3">
      <c r="A73" s="6" t="s">
        <v>10738</v>
      </c>
      <c r="B73" s="6">
        <v>2021</v>
      </c>
      <c r="C73" s="7">
        <v>13</v>
      </c>
      <c r="D73" s="6" t="s">
        <v>71</v>
      </c>
      <c r="E73" s="7">
        <v>1</v>
      </c>
      <c r="F73" s="41" t="s">
        <v>10502</v>
      </c>
      <c r="G73" s="6" t="s">
        <v>147</v>
      </c>
      <c r="H73" s="10" t="s">
        <v>10503</v>
      </c>
      <c r="I73" s="6" t="s">
        <v>10504</v>
      </c>
      <c r="J73" s="7">
        <v>3</v>
      </c>
      <c r="K73" s="6" t="s">
        <v>204</v>
      </c>
      <c r="L73" s="10" t="s">
        <v>10505</v>
      </c>
      <c r="M73" s="11">
        <v>7</v>
      </c>
      <c r="N73" s="10" t="s">
        <v>10506</v>
      </c>
      <c r="O73" s="11">
        <v>1</v>
      </c>
      <c r="P73" s="11">
        <v>1</v>
      </c>
      <c r="Q73" s="12" t="s">
        <v>75</v>
      </c>
      <c r="R73" s="10" t="s">
        <v>10507</v>
      </c>
      <c r="S73" s="6" t="s">
        <v>3056</v>
      </c>
      <c r="T73" s="10" t="s">
        <v>10508</v>
      </c>
      <c r="U73" s="12" t="s">
        <v>39144</v>
      </c>
      <c r="V73" s="10" t="s">
        <v>39145</v>
      </c>
      <c r="W73" s="7">
        <v>2</v>
      </c>
      <c r="X73" s="7">
        <v>2</v>
      </c>
      <c r="Y73" s="7">
        <v>17</v>
      </c>
      <c r="Z73" s="7">
        <v>4</v>
      </c>
      <c r="AA73" s="12" t="s">
        <v>74</v>
      </c>
      <c r="AB73" s="11">
        <v>2</v>
      </c>
      <c r="AC73" s="13" t="s">
        <v>75</v>
      </c>
      <c r="AD73" s="13" t="s">
        <v>75</v>
      </c>
      <c r="AE73" s="13" t="s">
        <v>75</v>
      </c>
      <c r="AF73" s="6" t="s">
        <v>10767</v>
      </c>
    </row>
    <row r="74" spans="1:32" s="6" customFormat="1" ht="115.2" x14ac:dyDescent="0.3">
      <c r="A74" s="6" t="s">
        <v>10509</v>
      </c>
      <c r="B74" s="6">
        <v>2018</v>
      </c>
      <c r="C74" s="7">
        <v>10</v>
      </c>
      <c r="D74" s="6" t="s">
        <v>16</v>
      </c>
      <c r="E74" s="7">
        <v>2</v>
      </c>
      <c r="F74" s="43" t="s">
        <v>10510</v>
      </c>
      <c r="G74" s="6" t="s">
        <v>10511</v>
      </c>
      <c r="I74" s="10" t="s">
        <v>10209</v>
      </c>
      <c r="J74" s="7">
        <v>3</v>
      </c>
      <c r="K74" s="6" t="s">
        <v>10499</v>
      </c>
      <c r="L74" s="10" t="s">
        <v>10512</v>
      </c>
      <c r="M74" s="7">
        <v>4</v>
      </c>
      <c r="N74" s="12" t="s">
        <v>10513</v>
      </c>
      <c r="O74" s="7">
        <v>1</v>
      </c>
      <c r="P74" s="7">
        <v>1</v>
      </c>
      <c r="Q74" s="13" t="s">
        <v>75</v>
      </c>
      <c r="R74" s="13" t="s">
        <v>75</v>
      </c>
      <c r="S74" s="13" t="s">
        <v>75</v>
      </c>
      <c r="T74" s="13" t="s">
        <v>75</v>
      </c>
      <c r="U74" s="13" t="s">
        <v>75</v>
      </c>
      <c r="V74" s="13" t="s">
        <v>75</v>
      </c>
      <c r="W74" s="7">
        <v>3</v>
      </c>
      <c r="X74" s="7">
        <v>3</v>
      </c>
      <c r="Y74" s="7">
        <v>17</v>
      </c>
      <c r="Z74" s="7">
        <v>4</v>
      </c>
      <c r="AA74" s="13" t="s">
        <v>75</v>
      </c>
      <c r="AB74" s="7">
        <v>2</v>
      </c>
      <c r="AC74" s="10" t="s">
        <v>10514</v>
      </c>
      <c r="AD74" s="13" t="s">
        <v>75</v>
      </c>
      <c r="AE74" s="13" t="s">
        <v>75</v>
      </c>
      <c r="AF74" s="6" t="s">
        <v>10515</v>
      </c>
    </row>
    <row r="75" spans="1:32" s="6" customFormat="1" ht="28.8" x14ac:dyDescent="0.3">
      <c r="A75" s="6" t="s">
        <v>10739</v>
      </c>
      <c r="B75" s="6">
        <v>2016</v>
      </c>
      <c r="C75" s="7">
        <v>8</v>
      </c>
      <c r="D75" s="6" t="s">
        <v>71</v>
      </c>
      <c r="E75" s="7">
        <v>1</v>
      </c>
      <c r="F75" s="41" t="s">
        <v>10516</v>
      </c>
      <c r="G75" s="6" t="s">
        <v>10517</v>
      </c>
      <c r="H75" s="10" t="s">
        <v>10518</v>
      </c>
      <c r="I75" s="6" t="s">
        <v>10519</v>
      </c>
      <c r="J75" s="7">
        <v>1</v>
      </c>
      <c r="K75" s="6" t="s">
        <v>10520</v>
      </c>
      <c r="L75" s="6" t="s">
        <v>10521</v>
      </c>
      <c r="M75" s="11">
        <v>11</v>
      </c>
      <c r="N75" s="10" t="s">
        <v>192</v>
      </c>
      <c r="O75" s="11">
        <v>1</v>
      </c>
      <c r="P75" s="11">
        <v>1</v>
      </c>
      <c r="Q75" s="10" t="s">
        <v>118</v>
      </c>
      <c r="R75" s="6" t="s">
        <v>193</v>
      </c>
      <c r="S75" s="6" t="s">
        <v>194</v>
      </c>
      <c r="T75" s="10" t="s">
        <v>195</v>
      </c>
      <c r="U75" s="12" t="s">
        <v>347</v>
      </c>
      <c r="V75" s="12" t="s">
        <v>506</v>
      </c>
      <c r="W75" s="11">
        <v>3</v>
      </c>
      <c r="X75" s="11">
        <v>3</v>
      </c>
      <c r="Y75" s="11">
        <v>17</v>
      </c>
      <c r="Z75" s="11">
        <v>4</v>
      </c>
      <c r="AA75" s="13" t="s">
        <v>74</v>
      </c>
      <c r="AB75" s="7">
        <v>2</v>
      </c>
      <c r="AC75" s="12" t="s">
        <v>75</v>
      </c>
      <c r="AD75" s="6">
        <v>30</v>
      </c>
      <c r="AE75" s="10" t="s">
        <v>73</v>
      </c>
      <c r="AF75" s="6" t="s">
        <v>10522</v>
      </c>
    </row>
    <row r="76" spans="1:32" s="6" customFormat="1" ht="43.2" x14ac:dyDescent="0.3">
      <c r="A76" s="6" t="s">
        <v>10740</v>
      </c>
      <c r="B76" s="6">
        <v>2020</v>
      </c>
      <c r="C76" s="7">
        <v>12</v>
      </c>
      <c r="D76" s="6" t="s">
        <v>71</v>
      </c>
      <c r="E76" s="7">
        <v>1</v>
      </c>
      <c r="F76" s="41" t="s">
        <v>10523</v>
      </c>
      <c r="G76" s="6" t="s">
        <v>10524</v>
      </c>
      <c r="H76" s="10" t="s">
        <v>10525</v>
      </c>
      <c r="I76" s="6" t="s">
        <v>10526</v>
      </c>
      <c r="J76" s="7">
        <v>7</v>
      </c>
      <c r="K76" s="6" t="s">
        <v>775</v>
      </c>
      <c r="L76" s="10" t="s">
        <v>10527</v>
      </c>
      <c r="M76" s="11">
        <v>1</v>
      </c>
      <c r="N76" s="10" t="s">
        <v>10343</v>
      </c>
      <c r="O76" s="11">
        <v>1</v>
      </c>
      <c r="P76" s="11">
        <v>1</v>
      </c>
      <c r="Q76" s="10" t="s">
        <v>480</v>
      </c>
      <c r="R76" s="6" t="s">
        <v>10528</v>
      </c>
      <c r="S76" s="6" t="s">
        <v>10529</v>
      </c>
      <c r="T76" s="10" t="s">
        <v>10530</v>
      </c>
      <c r="U76" s="10" t="s">
        <v>158</v>
      </c>
      <c r="V76" s="6" t="s">
        <v>78</v>
      </c>
      <c r="W76" s="7">
        <v>1</v>
      </c>
      <c r="X76" s="7">
        <v>3</v>
      </c>
      <c r="Y76" s="7">
        <v>2</v>
      </c>
      <c r="Z76" s="7">
        <v>5</v>
      </c>
      <c r="AA76" s="12" t="s">
        <v>74</v>
      </c>
      <c r="AB76" s="11">
        <v>2</v>
      </c>
      <c r="AC76" s="6" t="s">
        <v>10531</v>
      </c>
      <c r="AD76" s="6">
        <v>1</v>
      </c>
      <c r="AE76" s="12" t="s">
        <v>75</v>
      </c>
    </row>
    <row r="77" spans="1:32" s="6" customFormat="1" ht="115.2" x14ac:dyDescent="0.3">
      <c r="A77" s="6" t="s">
        <v>10741</v>
      </c>
      <c r="B77" s="6">
        <v>2024</v>
      </c>
      <c r="C77" s="7">
        <v>16</v>
      </c>
      <c r="D77" s="6" t="s">
        <v>71</v>
      </c>
      <c r="E77" s="7">
        <v>1</v>
      </c>
      <c r="F77" s="41" t="s">
        <v>10532</v>
      </c>
      <c r="G77" s="6" t="s">
        <v>10533</v>
      </c>
      <c r="H77" s="10" t="s">
        <v>10534</v>
      </c>
      <c r="I77" s="10" t="s">
        <v>10535</v>
      </c>
      <c r="J77" s="11">
        <v>7</v>
      </c>
      <c r="K77" s="6" t="s">
        <v>10536</v>
      </c>
      <c r="L77" s="10" t="s">
        <v>10537</v>
      </c>
      <c r="M77" s="11">
        <v>1</v>
      </c>
      <c r="N77" s="10" t="s">
        <v>10343</v>
      </c>
      <c r="O77" s="11">
        <v>1</v>
      </c>
      <c r="P77" s="11">
        <v>1</v>
      </c>
      <c r="Q77" s="10" t="s">
        <v>480</v>
      </c>
      <c r="R77" s="10" t="s">
        <v>10538</v>
      </c>
      <c r="S77" s="12" t="s">
        <v>75</v>
      </c>
      <c r="T77" s="10" t="s">
        <v>10539</v>
      </c>
      <c r="U77" s="12" t="s">
        <v>39146</v>
      </c>
      <c r="V77" s="12" t="s">
        <v>39146</v>
      </c>
      <c r="W77" s="11">
        <v>2</v>
      </c>
      <c r="X77" s="11">
        <v>3</v>
      </c>
      <c r="Y77" s="11">
        <v>17</v>
      </c>
      <c r="Z77" s="11">
        <v>4</v>
      </c>
      <c r="AA77" s="12" t="s">
        <v>75</v>
      </c>
      <c r="AB77" s="11">
        <v>2</v>
      </c>
      <c r="AC77" s="12" t="s">
        <v>75</v>
      </c>
      <c r="AD77" s="6">
        <v>25</v>
      </c>
      <c r="AE77" s="10" t="s">
        <v>10080</v>
      </c>
    </row>
    <row r="78" spans="1:32" s="6" customFormat="1" ht="86.4" x14ac:dyDescent="0.3">
      <c r="A78" s="6" t="s">
        <v>10742</v>
      </c>
      <c r="B78" s="6">
        <v>2012</v>
      </c>
      <c r="C78" s="7">
        <v>4</v>
      </c>
      <c r="D78" s="6" t="s">
        <v>71</v>
      </c>
      <c r="E78" s="7">
        <v>1</v>
      </c>
      <c r="F78" s="41" t="s">
        <v>10540</v>
      </c>
      <c r="G78" s="6" t="s">
        <v>1525</v>
      </c>
      <c r="H78" s="10" t="s">
        <v>10541</v>
      </c>
      <c r="I78" s="6" t="s">
        <v>10542</v>
      </c>
      <c r="J78" s="7">
        <v>1</v>
      </c>
      <c r="L78" s="10" t="s">
        <v>10543</v>
      </c>
      <c r="M78" s="11">
        <v>1</v>
      </c>
      <c r="N78" s="10" t="s">
        <v>10544</v>
      </c>
      <c r="O78" s="11">
        <v>100</v>
      </c>
      <c r="P78" s="11">
        <v>100</v>
      </c>
      <c r="Q78" s="10" t="s">
        <v>937</v>
      </c>
      <c r="R78" s="6" t="s">
        <v>156</v>
      </c>
      <c r="S78" s="6" t="s">
        <v>938</v>
      </c>
      <c r="T78" s="10" t="s">
        <v>939</v>
      </c>
      <c r="U78" s="10" t="s">
        <v>10545</v>
      </c>
      <c r="V78" s="12" t="s">
        <v>75</v>
      </c>
      <c r="W78" s="11">
        <v>3</v>
      </c>
      <c r="X78" s="11">
        <v>3</v>
      </c>
      <c r="Y78" s="11">
        <v>17</v>
      </c>
      <c r="Z78" s="11">
        <v>4</v>
      </c>
      <c r="AA78" s="13" t="s">
        <v>74</v>
      </c>
      <c r="AB78" s="7">
        <v>2</v>
      </c>
      <c r="AC78" s="12" t="s">
        <v>1609</v>
      </c>
      <c r="AD78" s="6" t="s">
        <v>10251</v>
      </c>
      <c r="AE78" s="10" t="s">
        <v>73</v>
      </c>
      <c r="AF78" s="6" t="s">
        <v>10546</v>
      </c>
    </row>
    <row r="79" spans="1:32" s="6" customFormat="1" ht="72" x14ac:dyDescent="0.3">
      <c r="A79" s="6" t="s">
        <v>10547</v>
      </c>
      <c r="B79" s="6">
        <v>2016</v>
      </c>
      <c r="C79" s="7">
        <v>8</v>
      </c>
      <c r="D79" s="6" t="s">
        <v>16</v>
      </c>
      <c r="E79" s="7">
        <v>2</v>
      </c>
      <c r="F79" s="43" t="s">
        <v>10548</v>
      </c>
      <c r="G79" s="10" t="s">
        <v>10549</v>
      </c>
      <c r="I79" s="6" t="s">
        <v>10550</v>
      </c>
      <c r="J79" s="7">
        <v>3</v>
      </c>
      <c r="L79" s="10" t="s">
        <v>10551</v>
      </c>
      <c r="M79" s="11">
        <v>2</v>
      </c>
      <c r="N79" s="10" t="s">
        <v>10552</v>
      </c>
      <c r="O79" s="11">
        <v>1</v>
      </c>
      <c r="P79" s="11">
        <v>1</v>
      </c>
      <c r="Q79" s="10" t="s">
        <v>118</v>
      </c>
      <c r="R79" s="10" t="s">
        <v>344</v>
      </c>
      <c r="S79" s="6" t="s">
        <v>345</v>
      </c>
      <c r="T79" s="10" t="s">
        <v>10553</v>
      </c>
      <c r="U79" s="12" t="s">
        <v>347</v>
      </c>
      <c r="V79" s="12" t="s">
        <v>506</v>
      </c>
      <c r="W79" s="11">
        <v>3</v>
      </c>
      <c r="X79" s="11">
        <v>3</v>
      </c>
      <c r="Y79" s="11">
        <v>17</v>
      </c>
      <c r="Z79" s="11">
        <v>4</v>
      </c>
      <c r="AA79" s="12" t="s">
        <v>10554</v>
      </c>
      <c r="AB79" s="11">
        <v>2</v>
      </c>
      <c r="AC79" s="12" t="s">
        <v>1609</v>
      </c>
      <c r="AD79" s="6">
        <v>2</v>
      </c>
      <c r="AE79" s="10" t="s">
        <v>10555</v>
      </c>
      <c r="AF79" s="6" t="s">
        <v>10768</v>
      </c>
    </row>
    <row r="80" spans="1:32" s="6" customFormat="1" ht="43.2" x14ac:dyDescent="0.3">
      <c r="A80" s="6" t="s">
        <v>10743</v>
      </c>
      <c r="B80" s="6">
        <v>2022</v>
      </c>
      <c r="C80" s="7">
        <v>14</v>
      </c>
      <c r="D80" s="6" t="s">
        <v>71</v>
      </c>
      <c r="E80" s="7">
        <v>1</v>
      </c>
      <c r="F80" s="41" t="s">
        <v>10556</v>
      </c>
      <c r="G80" s="6" t="s">
        <v>10025</v>
      </c>
      <c r="H80" s="10" t="s">
        <v>10557</v>
      </c>
      <c r="I80" s="6" t="s">
        <v>10558</v>
      </c>
      <c r="J80" s="7">
        <v>8</v>
      </c>
      <c r="L80" s="10" t="s">
        <v>10559</v>
      </c>
      <c r="M80" s="11">
        <v>4</v>
      </c>
      <c r="N80" s="10" t="s">
        <v>415</v>
      </c>
      <c r="O80" s="11">
        <v>1</v>
      </c>
      <c r="P80" s="11">
        <v>2</v>
      </c>
      <c r="Q80" s="10" t="s">
        <v>416</v>
      </c>
      <c r="R80" s="6" t="s">
        <v>193</v>
      </c>
      <c r="S80" s="6" t="s">
        <v>194</v>
      </c>
      <c r="T80" s="6" t="s">
        <v>417</v>
      </c>
      <c r="U80" s="10" t="s">
        <v>158</v>
      </c>
      <c r="V80" s="10" t="s">
        <v>77</v>
      </c>
      <c r="W80" s="11">
        <v>1</v>
      </c>
      <c r="X80" s="11">
        <v>3</v>
      </c>
      <c r="Y80" s="11">
        <v>1</v>
      </c>
      <c r="Z80" s="11">
        <v>5</v>
      </c>
      <c r="AA80" s="13" t="s">
        <v>74</v>
      </c>
      <c r="AB80" s="7">
        <v>2</v>
      </c>
      <c r="AC80" s="10" t="s">
        <v>672</v>
      </c>
      <c r="AD80" s="6">
        <v>90</v>
      </c>
      <c r="AE80" s="10" t="s">
        <v>73</v>
      </c>
    </row>
    <row r="81" spans="1:36" s="6" customFormat="1" ht="57.6" x14ac:dyDescent="0.3">
      <c r="A81" s="6" t="s">
        <v>10744</v>
      </c>
      <c r="B81" s="6">
        <v>2022</v>
      </c>
      <c r="C81" s="7">
        <v>14</v>
      </c>
      <c r="D81" s="6" t="s">
        <v>71</v>
      </c>
      <c r="E81" s="7">
        <v>1</v>
      </c>
      <c r="F81" s="41" t="s">
        <v>10560</v>
      </c>
      <c r="G81" s="6" t="s">
        <v>10561</v>
      </c>
      <c r="H81" s="10" t="s">
        <v>10562</v>
      </c>
      <c r="I81" s="10" t="s">
        <v>10563</v>
      </c>
      <c r="J81" s="11">
        <v>4</v>
      </c>
      <c r="K81" s="6" t="s">
        <v>10564</v>
      </c>
      <c r="L81" s="10" t="s">
        <v>10565</v>
      </c>
      <c r="M81" s="11">
        <v>6</v>
      </c>
      <c r="N81" s="10" t="s">
        <v>1292</v>
      </c>
      <c r="O81" s="11">
        <v>1</v>
      </c>
      <c r="P81" s="11">
        <v>2</v>
      </c>
      <c r="Q81" s="10" t="s">
        <v>118</v>
      </c>
      <c r="R81" s="6" t="s">
        <v>193</v>
      </c>
      <c r="S81" s="6" t="s">
        <v>194</v>
      </c>
      <c r="T81" s="10" t="s">
        <v>1293</v>
      </c>
      <c r="U81" s="10" t="s">
        <v>158</v>
      </c>
      <c r="V81" s="10" t="s">
        <v>77</v>
      </c>
      <c r="W81" s="11">
        <v>1</v>
      </c>
      <c r="X81" s="11">
        <v>3</v>
      </c>
      <c r="Y81" s="11">
        <v>1</v>
      </c>
      <c r="Z81" s="11">
        <v>5</v>
      </c>
      <c r="AA81" s="13" t="s">
        <v>74</v>
      </c>
      <c r="AB81" s="7">
        <v>2</v>
      </c>
      <c r="AC81" s="10" t="s">
        <v>72</v>
      </c>
      <c r="AD81" s="6">
        <v>90</v>
      </c>
      <c r="AE81" s="10" t="s">
        <v>73</v>
      </c>
      <c r="AF81" s="6" t="s">
        <v>1294</v>
      </c>
    </row>
    <row r="82" spans="1:36" s="6" customFormat="1" ht="72" x14ac:dyDescent="0.3">
      <c r="A82" s="6" t="s">
        <v>10745</v>
      </c>
      <c r="B82" s="6">
        <v>2023</v>
      </c>
      <c r="C82" s="7">
        <v>15</v>
      </c>
      <c r="D82" s="6" t="s">
        <v>71</v>
      </c>
      <c r="E82" s="7">
        <v>1</v>
      </c>
      <c r="F82" s="41" t="s">
        <v>10566</v>
      </c>
      <c r="G82" s="6" t="s">
        <v>10567</v>
      </c>
      <c r="H82" s="10" t="s">
        <v>10568</v>
      </c>
      <c r="I82" s="10" t="s">
        <v>10569</v>
      </c>
      <c r="J82" s="11">
        <v>8</v>
      </c>
      <c r="L82" s="10" t="s">
        <v>10570</v>
      </c>
      <c r="M82" s="11">
        <v>1</v>
      </c>
      <c r="N82" s="6" t="s">
        <v>10571</v>
      </c>
      <c r="O82" s="7">
        <v>1</v>
      </c>
      <c r="P82" s="7">
        <v>1</v>
      </c>
      <c r="Q82" s="6" t="s">
        <v>307</v>
      </c>
      <c r="R82" s="6" t="s">
        <v>2295</v>
      </c>
      <c r="S82" s="10" t="s">
        <v>157</v>
      </c>
      <c r="T82" s="10" t="s">
        <v>10572</v>
      </c>
      <c r="U82" s="10" t="s">
        <v>158</v>
      </c>
      <c r="V82" s="6" t="s">
        <v>78</v>
      </c>
      <c r="W82" s="7">
        <v>2</v>
      </c>
      <c r="X82" s="7">
        <v>2</v>
      </c>
      <c r="Y82" s="7">
        <v>16</v>
      </c>
      <c r="Z82" s="7">
        <v>3</v>
      </c>
      <c r="AA82" s="12" t="s">
        <v>74</v>
      </c>
      <c r="AB82" s="11">
        <v>2</v>
      </c>
      <c r="AC82" s="10" t="s">
        <v>672</v>
      </c>
      <c r="AD82" s="6">
        <v>30</v>
      </c>
      <c r="AE82" s="6" t="s">
        <v>73</v>
      </c>
      <c r="AF82" s="6" t="s">
        <v>10769</v>
      </c>
    </row>
    <row r="83" spans="1:36" s="6" customFormat="1" ht="72" x14ac:dyDescent="0.3">
      <c r="A83" s="6" t="s">
        <v>10746</v>
      </c>
      <c r="B83" s="6">
        <v>2021</v>
      </c>
      <c r="C83" s="7">
        <v>13</v>
      </c>
      <c r="D83" s="6" t="s">
        <v>71</v>
      </c>
      <c r="E83" s="7">
        <v>1</v>
      </c>
      <c r="F83" s="41" t="s">
        <v>10573</v>
      </c>
      <c r="G83" s="6" t="s">
        <v>277</v>
      </c>
      <c r="H83" s="10" t="s">
        <v>10574</v>
      </c>
      <c r="I83" s="6" t="s">
        <v>10575</v>
      </c>
      <c r="J83" s="7">
        <v>7</v>
      </c>
      <c r="K83" s="6" t="s">
        <v>10576</v>
      </c>
      <c r="L83" s="10" t="s">
        <v>10577</v>
      </c>
      <c r="M83" s="11">
        <v>1</v>
      </c>
      <c r="N83" s="6" t="s">
        <v>1283</v>
      </c>
      <c r="O83" s="7">
        <v>1</v>
      </c>
      <c r="P83" s="7">
        <v>1</v>
      </c>
      <c r="Q83" s="6" t="s">
        <v>307</v>
      </c>
      <c r="R83" s="6" t="s">
        <v>2295</v>
      </c>
      <c r="S83" s="10" t="s">
        <v>770</v>
      </c>
      <c r="T83" s="10" t="s">
        <v>1284</v>
      </c>
      <c r="U83" s="12" t="s">
        <v>347</v>
      </c>
      <c r="V83" s="12" t="s">
        <v>506</v>
      </c>
      <c r="W83" s="7">
        <v>3</v>
      </c>
      <c r="X83" s="7">
        <v>3</v>
      </c>
      <c r="Y83" s="7">
        <v>17</v>
      </c>
      <c r="Z83" s="7">
        <v>4</v>
      </c>
      <c r="AA83" s="12" t="s">
        <v>74</v>
      </c>
      <c r="AB83" s="11">
        <v>2</v>
      </c>
      <c r="AC83" s="10" t="s">
        <v>672</v>
      </c>
      <c r="AD83" s="6">
        <v>90</v>
      </c>
      <c r="AE83" s="6" t="s">
        <v>10041</v>
      </c>
      <c r="AF83" s="6" t="s">
        <v>10578</v>
      </c>
    </row>
    <row r="84" spans="1:36" s="6" customFormat="1" ht="57.6" x14ac:dyDescent="0.3">
      <c r="A84" s="6" t="s">
        <v>10747</v>
      </c>
      <c r="B84" s="6">
        <v>2019</v>
      </c>
      <c r="C84" s="7">
        <v>11</v>
      </c>
      <c r="D84" s="6" t="s">
        <v>71</v>
      </c>
      <c r="E84" s="7">
        <v>1</v>
      </c>
      <c r="F84" s="41" t="s">
        <v>10579</v>
      </c>
      <c r="G84" s="10" t="s">
        <v>10580</v>
      </c>
      <c r="H84" s="10" t="s">
        <v>10581</v>
      </c>
      <c r="I84" s="10" t="s">
        <v>10582</v>
      </c>
      <c r="J84" s="11">
        <v>3</v>
      </c>
      <c r="K84" s="6" t="s">
        <v>1807</v>
      </c>
      <c r="L84" s="10" t="s">
        <v>10583</v>
      </c>
      <c r="M84" s="11">
        <v>4</v>
      </c>
      <c r="N84" s="10" t="s">
        <v>192</v>
      </c>
      <c r="O84" s="11">
        <v>1</v>
      </c>
      <c r="P84" s="11">
        <v>2</v>
      </c>
      <c r="Q84" s="10" t="s">
        <v>118</v>
      </c>
      <c r="R84" s="6" t="s">
        <v>193</v>
      </c>
      <c r="S84" s="6" t="s">
        <v>194</v>
      </c>
      <c r="T84" s="10" t="s">
        <v>195</v>
      </c>
      <c r="U84" s="12" t="s">
        <v>347</v>
      </c>
      <c r="V84" s="12" t="s">
        <v>506</v>
      </c>
      <c r="W84" s="7">
        <v>3</v>
      </c>
      <c r="X84" s="7">
        <v>3</v>
      </c>
      <c r="Y84" s="7">
        <v>17</v>
      </c>
      <c r="Z84" s="7">
        <v>4</v>
      </c>
      <c r="AA84" s="12" t="s">
        <v>74</v>
      </c>
      <c r="AB84" s="11">
        <v>2</v>
      </c>
      <c r="AC84" s="12" t="s">
        <v>75</v>
      </c>
      <c r="AD84" s="6">
        <v>90</v>
      </c>
      <c r="AE84" s="10" t="s">
        <v>73</v>
      </c>
      <c r="AF84" s="6" t="s">
        <v>10584</v>
      </c>
    </row>
    <row r="85" spans="1:36" s="6" customFormat="1" ht="72" x14ac:dyDescent="0.3">
      <c r="A85" s="6" t="s">
        <v>10748</v>
      </c>
      <c r="B85" s="6">
        <v>2024</v>
      </c>
      <c r="C85" s="7">
        <v>16</v>
      </c>
      <c r="D85" s="6" t="s">
        <v>23</v>
      </c>
      <c r="E85" s="7">
        <v>3</v>
      </c>
      <c r="F85" s="41" t="s">
        <v>10585</v>
      </c>
      <c r="G85" s="10" t="s">
        <v>10586</v>
      </c>
      <c r="H85" s="10" t="s">
        <v>10587</v>
      </c>
      <c r="I85" s="6" t="s">
        <v>10588</v>
      </c>
      <c r="J85" s="7">
        <v>1</v>
      </c>
      <c r="L85" s="10" t="s">
        <v>10589</v>
      </c>
      <c r="M85" s="11">
        <v>8</v>
      </c>
      <c r="N85" s="6" t="s">
        <v>10590</v>
      </c>
      <c r="O85" s="7">
        <v>1</v>
      </c>
      <c r="P85" s="7">
        <v>2</v>
      </c>
      <c r="Q85" s="6" t="s">
        <v>307</v>
      </c>
      <c r="R85" s="6" t="s">
        <v>10591</v>
      </c>
      <c r="S85" s="10" t="s">
        <v>10592</v>
      </c>
      <c r="T85" s="10" t="s">
        <v>10593</v>
      </c>
      <c r="U85" s="6" t="s">
        <v>955</v>
      </c>
      <c r="V85" s="6" t="s">
        <v>72</v>
      </c>
      <c r="W85" s="7">
        <v>1</v>
      </c>
      <c r="X85" s="7">
        <v>3</v>
      </c>
      <c r="Y85" s="7">
        <v>3</v>
      </c>
      <c r="Z85" s="7">
        <v>5</v>
      </c>
      <c r="AA85" s="13" t="s">
        <v>74</v>
      </c>
      <c r="AB85" s="7">
        <v>2</v>
      </c>
      <c r="AC85" s="10" t="s">
        <v>672</v>
      </c>
      <c r="AD85" s="6">
        <v>90</v>
      </c>
      <c r="AE85" s="6" t="s">
        <v>73</v>
      </c>
      <c r="AF85" s="6" t="s">
        <v>10594</v>
      </c>
    </row>
    <row r="86" spans="1:36" s="6" customFormat="1" ht="72" x14ac:dyDescent="0.3">
      <c r="A86" s="6" t="s">
        <v>10749</v>
      </c>
      <c r="B86" s="6">
        <v>2023</v>
      </c>
      <c r="C86" s="7">
        <v>15</v>
      </c>
      <c r="D86" s="6" t="s">
        <v>71</v>
      </c>
      <c r="E86" s="7">
        <v>1</v>
      </c>
      <c r="F86" s="41" t="s">
        <v>10595</v>
      </c>
      <c r="G86" s="6" t="s">
        <v>550</v>
      </c>
      <c r="H86" s="10" t="s">
        <v>3243</v>
      </c>
      <c r="I86" s="6" t="s">
        <v>10170</v>
      </c>
      <c r="J86" s="7">
        <v>1</v>
      </c>
      <c r="K86" s="6" t="s">
        <v>1437</v>
      </c>
      <c r="L86" s="10" t="s">
        <v>10596</v>
      </c>
      <c r="M86" s="11">
        <v>1</v>
      </c>
      <c r="N86" s="6" t="s">
        <v>10590</v>
      </c>
      <c r="O86" s="7">
        <v>1</v>
      </c>
      <c r="P86" s="7">
        <v>2</v>
      </c>
      <c r="Q86" s="6" t="s">
        <v>307</v>
      </c>
      <c r="R86" s="6" t="s">
        <v>10591</v>
      </c>
      <c r="S86" s="10" t="s">
        <v>10592</v>
      </c>
      <c r="T86" s="10" t="s">
        <v>10593</v>
      </c>
      <c r="U86" s="6" t="s">
        <v>955</v>
      </c>
      <c r="V86" s="6" t="s">
        <v>72</v>
      </c>
      <c r="W86" s="7">
        <v>1</v>
      </c>
      <c r="X86" s="7">
        <v>3</v>
      </c>
      <c r="Y86" s="7">
        <v>3</v>
      </c>
      <c r="Z86" s="7">
        <v>5</v>
      </c>
      <c r="AA86" s="13" t="s">
        <v>74</v>
      </c>
      <c r="AB86" s="7">
        <v>2</v>
      </c>
      <c r="AC86" s="10" t="s">
        <v>672</v>
      </c>
      <c r="AD86" s="6">
        <v>90</v>
      </c>
      <c r="AE86" s="6" t="s">
        <v>73</v>
      </c>
      <c r="AF86" s="6" t="s">
        <v>10597</v>
      </c>
    </row>
    <row r="87" spans="1:36" s="6" customFormat="1" ht="100.8" x14ac:dyDescent="0.3">
      <c r="A87" s="6" t="s">
        <v>10750</v>
      </c>
      <c r="B87" s="6">
        <v>2024</v>
      </c>
      <c r="C87" s="7">
        <v>16</v>
      </c>
      <c r="D87" s="6" t="s">
        <v>23</v>
      </c>
      <c r="E87" s="7">
        <v>3</v>
      </c>
      <c r="F87" s="41" t="s">
        <v>10598</v>
      </c>
      <c r="G87" s="6" t="s">
        <v>329</v>
      </c>
      <c r="H87" s="10" t="s">
        <v>10599</v>
      </c>
      <c r="I87" s="10" t="s">
        <v>10600</v>
      </c>
      <c r="J87" s="11">
        <v>3</v>
      </c>
      <c r="K87" s="6" t="s">
        <v>1774</v>
      </c>
      <c r="L87" s="10" t="s">
        <v>10601</v>
      </c>
      <c r="M87" s="11">
        <v>4</v>
      </c>
      <c r="N87" s="10" t="s">
        <v>10602</v>
      </c>
      <c r="O87" s="11">
        <v>1</v>
      </c>
      <c r="P87" s="11">
        <v>1</v>
      </c>
      <c r="Q87" s="10" t="s">
        <v>10397</v>
      </c>
      <c r="R87" s="10" t="s">
        <v>1695</v>
      </c>
      <c r="S87" s="6">
        <v>2008</v>
      </c>
      <c r="T87" s="10" t="s">
        <v>10603</v>
      </c>
      <c r="U87" s="10" t="s">
        <v>76</v>
      </c>
      <c r="V87" s="10" t="s">
        <v>10604</v>
      </c>
      <c r="W87" s="11">
        <v>2</v>
      </c>
      <c r="X87" s="11">
        <v>3</v>
      </c>
      <c r="Y87" s="11">
        <v>8</v>
      </c>
      <c r="Z87" s="11">
        <v>3</v>
      </c>
      <c r="AA87" s="13" t="s">
        <v>74</v>
      </c>
      <c r="AB87" s="7">
        <v>2</v>
      </c>
      <c r="AC87" s="10" t="s">
        <v>72</v>
      </c>
      <c r="AD87" s="6">
        <v>5</v>
      </c>
      <c r="AE87" s="10" t="s">
        <v>10492</v>
      </c>
      <c r="AF87" s="6" t="s">
        <v>10605</v>
      </c>
    </row>
    <row r="88" spans="1:36" s="6" customFormat="1" ht="72" x14ac:dyDescent="0.3">
      <c r="A88" s="6" t="s">
        <v>10751</v>
      </c>
      <c r="B88" s="6">
        <v>2024</v>
      </c>
      <c r="C88" s="7">
        <v>16</v>
      </c>
      <c r="D88" s="6" t="s">
        <v>71</v>
      </c>
      <c r="E88" s="7">
        <v>1</v>
      </c>
      <c r="F88" s="41" t="s">
        <v>10606</v>
      </c>
      <c r="G88" s="6" t="s">
        <v>10607</v>
      </c>
      <c r="H88" s="10" t="s">
        <v>10608</v>
      </c>
      <c r="I88" s="10" t="s">
        <v>10609</v>
      </c>
      <c r="J88" s="11">
        <v>3</v>
      </c>
      <c r="L88" s="10" t="s">
        <v>10610</v>
      </c>
      <c r="M88" s="11">
        <v>1</v>
      </c>
      <c r="N88" s="12" t="s">
        <v>75</v>
      </c>
      <c r="O88" s="7">
        <v>100</v>
      </c>
      <c r="P88" s="7">
        <v>100</v>
      </c>
      <c r="Q88" s="12" t="s">
        <v>75</v>
      </c>
      <c r="R88" s="12" t="s">
        <v>75</v>
      </c>
      <c r="S88" s="12" t="s">
        <v>75</v>
      </c>
      <c r="T88" s="12" t="s">
        <v>75</v>
      </c>
      <c r="U88" s="12" t="s">
        <v>75</v>
      </c>
      <c r="V88" s="12" t="s">
        <v>75</v>
      </c>
      <c r="W88" s="7">
        <v>3</v>
      </c>
      <c r="X88" s="7">
        <v>3</v>
      </c>
      <c r="Y88" s="7">
        <v>17</v>
      </c>
      <c r="Z88" s="7">
        <v>4</v>
      </c>
      <c r="AA88" s="12" t="s">
        <v>75</v>
      </c>
      <c r="AB88" s="7">
        <v>2</v>
      </c>
      <c r="AC88" s="12" t="s">
        <v>75</v>
      </c>
      <c r="AD88" s="12" t="s">
        <v>75</v>
      </c>
      <c r="AE88" s="6" t="s">
        <v>732</v>
      </c>
      <c r="AF88" s="6" t="s">
        <v>10611</v>
      </c>
    </row>
    <row r="89" spans="1:36" s="6" customFormat="1" ht="72" x14ac:dyDescent="0.3">
      <c r="A89" s="6" t="s">
        <v>10752</v>
      </c>
      <c r="B89" s="6">
        <v>2022</v>
      </c>
      <c r="C89" s="7">
        <v>14</v>
      </c>
      <c r="D89" s="6" t="s">
        <v>71</v>
      </c>
      <c r="E89" s="7">
        <v>1</v>
      </c>
      <c r="F89" s="41" t="s">
        <v>10612</v>
      </c>
      <c r="G89" s="6" t="s">
        <v>10214</v>
      </c>
      <c r="H89" s="10" t="s">
        <v>10613</v>
      </c>
      <c r="I89" s="10" t="s">
        <v>10614</v>
      </c>
      <c r="J89" s="11">
        <v>1</v>
      </c>
      <c r="L89" s="10" t="s">
        <v>10615</v>
      </c>
      <c r="M89" s="11">
        <v>4</v>
      </c>
      <c r="N89" s="10" t="s">
        <v>192</v>
      </c>
      <c r="O89" s="11">
        <v>1</v>
      </c>
      <c r="P89" s="11">
        <v>2</v>
      </c>
      <c r="Q89" s="10" t="s">
        <v>118</v>
      </c>
      <c r="R89" s="6" t="s">
        <v>193</v>
      </c>
      <c r="S89" s="6" t="s">
        <v>194</v>
      </c>
      <c r="T89" s="10" t="s">
        <v>195</v>
      </c>
      <c r="U89" s="12" t="s">
        <v>347</v>
      </c>
      <c r="V89" s="12" t="s">
        <v>506</v>
      </c>
      <c r="W89" s="7">
        <v>3</v>
      </c>
      <c r="X89" s="7">
        <v>3</v>
      </c>
      <c r="Y89" s="7">
        <v>17</v>
      </c>
      <c r="Z89" s="7">
        <v>4</v>
      </c>
      <c r="AA89" s="12" t="s">
        <v>74</v>
      </c>
      <c r="AB89" s="11">
        <v>2</v>
      </c>
      <c r="AC89" s="10" t="s">
        <v>672</v>
      </c>
      <c r="AD89" s="6">
        <v>90</v>
      </c>
      <c r="AE89" s="10" t="s">
        <v>73</v>
      </c>
      <c r="AF89" s="6" t="s">
        <v>10616</v>
      </c>
    </row>
    <row r="90" spans="1:36" s="6" customFormat="1" ht="129.6" x14ac:dyDescent="0.3">
      <c r="A90" s="6" t="s">
        <v>10753</v>
      </c>
      <c r="B90" s="6">
        <v>2024</v>
      </c>
      <c r="C90" s="7">
        <v>16</v>
      </c>
      <c r="D90" s="6" t="s">
        <v>71</v>
      </c>
      <c r="E90" s="7">
        <v>1</v>
      </c>
      <c r="F90" s="41" t="s">
        <v>10617</v>
      </c>
      <c r="G90" s="6" t="s">
        <v>318</v>
      </c>
      <c r="H90" s="10" t="s">
        <v>10618</v>
      </c>
      <c r="I90" s="10" t="s">
        <v>10619</v>
      </c>
      <c r="J90" s="11">
        <v>3</v>
      </c>
      <c r="K90" s="10" t="s">
        <v>775</v>
      </c>
      <c r="L90" s="10" t="s">
        <v>10620</v>
      </c>
      <c r="M90" s="11">
        <v>4</v>
      </c>
      <c r="N90" s="10" t="s">
        <v>10621</v>
      </c>
      <c r="O90" s="11">
        <v>1</v>
      </c>
      <c r="P90" s="11">
        <v>1</v>
      </c>
      <c r="Q90" s="12" t="s">
        <v>75</v>
      </c>
      <c r="R90" s="10" t="s">
        <v>10622</v>
      </c>
      <c r="S90" s="12" t="s">
        <v>75</v>
      </c>
      <c r="T90" s="12" t="s">
        <v>75</v>
      </c>
      <c r="U90" s="12" t="s">
        <v>75</v>
      </c>
      <c r="V90" s="12" t="s">
        <v>75</v>
      </c>
      <c r="W90" s="11">
        <v>2</v>
      </c>
      <c r="X90" s="11">
        <v>3</v>
      </c>
      <c r="Y90" s="11">
        <v>17</v>
      </c>
      <c r="Z90" s="11">
        <v>4</v>
      </c>
      <c r="AA90" s="12" t="s">
        <v>75</v>
      </c>
      <c r="AB90" s="11">
        <v>2</v>
      </c>
      <c r="AC90" s="12" t="s">
        <v>75</v>
      </c>
      <c r="AD90" s="10">
        <v>5</v>
      </c>
      <c r="AE90" s="12" t="s">
        <v>75</v>
      </c>
      <c r="AF90" s="6" t="s">
        <v>10623</v>
      </c>
    </row>
    <row r="91" spans="1:36" s="6" customFormat="1" ht="72" x14ac:dyDescent="0.3">
      <c r="A91" s="6" t="s">
        <v>10754</v>
      </c>
      <c r="B91" s="6">
        <v>2024</v>
      </c>
      <c r="C91" s="7">
        <v>16</v>
      </c>
      <c r="D91" s="6" t="s">
        <v>71</v>
      </c>
      <c r="E91" s="7">
        <v>1</v>
      </c>
      <c r="F91" s="41" t="s">
        <v>10624</v>
      </c>
      <c r="G91" s="6" t="s">
        <v>637</v>
      </c>
      <c r="H91" s="10" t="s">
        <v>10625</v>
      </c>
      <c r="I91" s="10" t="s">
        <v>10626</v>
      </c>
      <c r="J91" s="11">
        <v>3</v>
      </c>
      <c r="K91" s="6" t="s">
        <v>491</v>
      </c>
      <c r="L91" s="10" t="s">
        <v>10627</v>
      </c>
      <c r="M91" s="11">
        <v>1</v>
      </c>
      <c r="N91" s="10" t="s">
        <v>10628</v>
      </c>
      <c r="O91" s="11">
        <v>1</v>
      </c>
      <c r="P91" s="11">
        <v>1</v>
      </c>
      <c r="Q91" s="10" t="s">
        <v>480</v>
      </c>
      <c r="R91" s="10" t="s">
        <v>10629</v>
      </c>
      <c r="S91" s="10" t="s">
        <v>10630</v>
      </c>
      <c r="T91" s="10" t="s">
        <v>10631</v>
      </c>
      <c r="U91" s="12" t="s">
        <v>75</v>
      </c>
      <c r="V91" s="12" t="s">
        <v>75</v>
      </c>
      <c r="W91" s="11">
        <v>3</v>
      </c>
      <c r="X91" s="11">
        <v>3</v>
      </c>
      <c r="Y91" s="11">
        <v>17</v>
      </c>
      <c r="Z91" s="11">
        <v>4</v>
      </c>
      <c r="AA91" s="12" t="s">
        <v>75</v>
      </c>
      <c r="AB91" s="11">
        <v>2</v>
      </c>
      <c r="AC91" s="12" t="s">
        <v>75</v>
      </c>
      <c r="AD91" s="12" t="s">
        <v>75</v>
      </c>
      <c r="AE91" s="10" t="s">
        <v>732</v>
      </c>
      <c r="AF91" s="6" t="s">
        <v>10632</v>
      </c>
    </row>
    <row r="92" spans="1:36" s="6" customFormat="1" ht="72" x14ac:dyDescent="0.3">
      <c r="A92" s="6" t="s">
        <v>10755</v>
      </c>
      <c r="B92" s="6">
        <v>2022</v>
      </c>
      <c r="C92" s="7">
        <v>14</v>
      </c>
      <c r="D92" s="6" t="s">
        <v>71</v>
      </c>
      <c r="E92" s="7">
        <v>1</v>
      </c>
      <c r="F92" s="41" t="s">
        <v>10633</v>
      </c>
      <c r="G92" s="6" t="s">
        <v>10567</v>
      </c>
      <c r="H92" s="10" t="s">
        <v>10634</v>
      </c>
      <c r="I92" s="10" t="s">
        <v>10635</v>
      </c>
      <c r="J92" s="11">
        <v>8</v>
      </c>
      <c r="L92" s="10" t="s">
        <v>10636</v>
      </c>
      <c r="M92" s="11">
        <v>1</v>
      </c>
      <c r="N92" s="10" t="s">
        <v>1283</v>
      </c>
      <c r="O92" s="11">
        <v>1</v>
      </c>
      <c r="P92" s="11">
        <v>2</v>
      </c>
      <c r="Q92" s="6" t="s">
        <v>307</v>
      </c>
      <c r="R92" s="6" t="s">
        <v>2295</v>
      </c>
      <c r="S92" s="10" t="s">
        <v>770</v>
      </c>
      <c r="T92" s="10" t="s">
        <v>1284</v>
      </c>
      <c r="U92" s="10" t="s">
        <v>158</v>
      </c>
      <c r="V92" s="10" t="s">
        <v>77</v>
      </c>
      <c r="W92" s="11">
        <v>1</v>
      </c>
      <c r="X92" s="11">
        <v>3</v>
      </c>
      <c r="Y92" s="11">
        <v>1</v>
      </c>
      <c r="Z92" s="11">
        <v>5</v>
      </c>
      <c r="AA92" s="12" t="s">
        <v>74</v>
      </c>
      <c r="AB92" s="11">
        <v>2</v>
      </c>
      <c r="AC92" s="10" t="s">
        <v>72</v>
      </c>
      <c r="AD92" s="6">
        <v>90</v>
      </c>
      <c r="AE92" s="6" t="s">
        <v>10041</v>
      </c>
      <c r="AF92" s="6" t="s">
        <v>10637</v>
      </c>
    </row>
    <row r="93" spans="1:36" s="6" customFormat="1" ht="86.4" x14ac:dyDescent="0.3">
      <c r="A93" s="6" t="s">
        <v>10756</v>
      </c>
      <c r="B93" s="6">
        <v>2020</v>
      </c>
      <c r="C93" s="7">
        <v>12</v>
      </c>
      <c r="D93" s="6" t="s">
        <v>71</v>
      </c>
      <c r="E93" s="7">
        <v>1</v>
      </c>
      <c r="F93" s="41" t="s">
        <v>10638</v>
      </c>
      <c r="G93" s="6" t="s">
        <v>10350</v>
      </c>
      <c r="H93" s="10" t="s">
        <v>10639</v>
      </c>
      <c r="I93" s="10" t="s">
        <v>10640</v>
      </c>
      <c r="J93" s="11">
        <v>3</v>
      </c>
      <c r="K93" s="6" t="s">
        <v>775</v>
      </c>
      <c r="L93" s="10" t="s">
        <v>10641</v>
      </c>
      <c r="M93" s="11">
        <v>4</v>
      </c>
      <c r="N93" s="10" t="s">
        <v>10642</v>
      </c>
      <c r="O93" s="11">
        <v>1</v>
      </c>
      <c r="P93" s="11">
        <v>2</v>
      </c>
      <c r="Q93" s="10" t="s">
        <v>118</v>
      </c>
      <c r="R93" s="10" t="s">
        <v>344</v>
      </c>
      <c r="S93" s="10" t="s">
        <v>10643</v>
      </c>
      <c r="T93" s="10" t="s">
        <v>10644</v>
      </c>
      <c r="U93" s="12" t="s">
        <v>347</v>
      </c>
      <c r="V93" s="12" t="s">
        <v>506</v>
      </c>
      <c r="W93" s="11">
        <v>3</v>
      </c>
      <c r="X93" s="11">
        <v>3</v>
      </c>
      <c r="Y93" s="11">
        <v>17</v>
      </c>
      <c r="Z93" s="11">
        <v>4</v>
      </c>
      <c r="AA93" s="12" t="s">
        <v>74</v>
      </c>
      <c r="AB93" s="11">
        <v>2</v>
      </c>
      <c r="AC93" s="12" t="s">
        <v>1653</v>
      </c>
      <c r="AD93" s="6">
        <v>12.5</v>
      </c>
      <c r="AE93" s="10" t="s">
        <v>73</v>
      </c>
    </row>
    <row r="94" spans="1:36" s="6" customFormat="1" ht="115.2" x14ac:dyDescent="0.3">
      <c r="A94" s="6" t="s">
        <v>10757</v>
      </c>
      <c r="B94" s="6">
        <v>2023</v>
      </c>
      <c r="C94" s="7">
        <v>15</v>
      </c>
      <c r="D94" s="6" t="s">
        <v>71</v>
      </c>
      <c r="E94" s="7">
        <v>1</v>
      </c>
      <c r="F94" s="41" t="s">
        <v>10645</v>
      </c>
      <c r="G94" s="6" t="s">
        <v>10646</v>
      </c>
      <c r="H94" s="10" t="s">
        <v>10647</v>
      </c>
      <c r="I94" s="10" t="s">
        <v>10648</v>
      </c>
      <c r="J94" s="11">
        <v>1</v>
      </c>
      <c r="K94" s="6" t="s">
        <v>10649</v>
      </c>
      <c r="L94" s="10" t="s">
        <v>10650</v>
      </c>
      <c r="M94" s="11">
        <v>4</v>
      </c>
      <c r="N94" s="10" t="s">
        <v>10651</v>
      </c>
      <c r="O94" s="11">
        <v>1</v>
      </c>
      <c r="P94" s="11">
        <v>1</v>
      </c>
      <c r="Q94" s="10" t="s">
        <v>480</v>
      </c>
      <c r="R94" s="6" t="s">
        <v>10652</v>
      </c>
      <c r="S94" s="10">
        <v>2013</v>
      </c>
      <c r="T94" s="10" t="s">
        <v>10653</v>
      </c>
      <c r="U94" s="12" t="s">
        <v>76</v>
      </c>
      <c r="V94" s="10" t="s">
        <v>10654</v>
      </c>
      <c r="W94" s="11">
        <v>2</v>
      </c>
      <c r="X94" s="11">
        <v>3</v>
      </c>
      <c r="Y94" s="11">
        <v>8</v>
      </c>
      <c r="Z94" s="11">
        <v>3</v>
      </c>
      <c r="AA94" s="12" t="s">
        <v>74</v>
      </c>
      <c r="AB94" s="11">
        <v>2</v>
      </c>
      <c r="AC94" s="12" t="s">
        <v>75</v>
      </c>
      <c r="AD94" s="6">
        <v>10</v>
      </c>
      <c r="AE94" s="6" t="s">
        <v>10492</v>
      </c>
      <c r="AF94" s="6" t="s">
        <v>10655</v>
      </c>
    </row>
    <row r="95" spans="1:36" s="6" customFormat="1" ht="86.4" x14ac:dyDescent="0.3">
      <c r="A95" s="6" t="s">
        <v>10758</v>
      </c>
      <c r="B95" s="6">
        <v>2021</v>
      </c>
      <c r="C95" s="7">
        <v>13</v>
      </c>
      <c r="D95" s="6" t="s">
        <v>71</v>
      </c>
      <c r="E95" s="7">
        <v>1</v>
      </c>
      <c r="F95" s="41" t="s">
        <v>10656</v>
      </c>
      <c r="G95" s="6" t="s">
        <v>10082</v>
      </c>
      <c r="H95" s="10" t="s">
        <v>10657</v>
      </c>
      <c r="I95" s="10" t="s">
        <v>10658</v>
      </c>
      <c r="J95" s="11">
        <v>3</v>
      </c>
      <c r="K95" s="6" t="s">
        <v>10576</v>
      </c>
      <c r="L95" s="10" t="s">
        <v>10659</v>
      </c>
      <c r="M95" s="11">
        <v>1</v>
      </c>
      <c r="N95" s="10" t="s">
        <v>10660</v>
      </c>
      <c r="O95" s="11">
        <v>1</v>
      </c>
      <c r="P95" s="11">
        <v>1</v>
      </c>
      <c r="Q95" s="6" t="s">
        <v>307</v>
      </c>
      <c r="R95" s="6" t="s">
        <v>2295</v>
      </c>
      <c r="S95" s="10" t="s">
        <v>770</v>
      </c>
      <c r="T95" s="10" t="s">
        <v>1284</v>
      </c>
      <c r="U95" s="12" t="s">
        <v>347</v>
      </c>
      <c r="V95" s="12" t="s">
        <v>506</v>
      </c>
      <c r="W95" s="7">
        <v>3</v>
      </c>
      <c r="X95" s="7">
        <v>3</v>
      </c>
      <c r="Y95" s="7">
        <v>17</v>
      </c>
      <c r="Z95" s="7">
        <v>4</v>
      </c>
      <c r="AA95" s="12" t="s">
        <v>74</v>
      </c>
      <c r="AB95" s="11">
        <v>2</v>
      </c>
      <c r="AC95" s="10" t="s">
        <v>672</v>
      </c>
      <c r="AD95" s="6">
        <v>90</v>
      </c>
      <c r="AE95" s="6" t="s">
        <v>10041</v>
      </c>
      <c r="AF95" s="6" t="s">
        <v>10661</v>
      </c>
    </row>
    <row r="96" spans="1:36" s="6" customFormat="1" ht="100.8" x14ac:dyDescent="0.3">
      <c r="A96" s="6" t="s">
        <v>10759</v>
      </c>
      <c r="B96" s="6">
        <v>2022</v>
      </c>
      <c r="C96" s="7">
        <v>14</v>
      </c>
      <c r="D96" s="6" t="s">
        <v>71</v>
      </c>
      <c r="E96" s="7">
        <v>1</v>
      </c>
      <c r="F96" s="41" t="s">
        <v>10662</v>
      </c>
      <c r="G96" s="6" t="s">
        <v>1525</v>
      </c>
      <c r="H96" s="10" t="s">
        <v>3292</v>
      </c>
      <c r="I96" s="10" t="s">
        <v>10663</v>
      </c>
      <c r="J96" s="11">
        <v>3</v>
      </c>
      <c r="K96" s="6" t="s">
        <v>10664</v>
      </c>
      <c r="L96" s="10" t="s">
        <v>10665</v>
      </c>
      <c r="M96" s="11">
        <v>1</v>
      </c>
      <c r="N96" s="10" t="s">
        <v>10666</v>
      </c>
      <c r="O96" s="11">
        <v>1</v>
      </c>
      <c r="P96" s="11">
        <v>1</v>
      </c>
      <c r="Q96" s="10" t="s">
        <v>480</v>
      </c>
      <c r="R96" s="10" t="s">
        <v>1695</v>
      </c>
      <c r="S96" s="6">
        <v>2008</v>
      </c>
      <c r="T96" s="10" t="s">
        <v>10667</v>
      </c>
      <c r="U96" s="10" t="s">
        <v>76</v>
      </c>
      <c r="V96" s="10" t="s">
        <v>10668</v>
      </c>
      <c r="W96" s="11">
        <v>2</v>
      </c>
      <c r="X96" s="11">
        <v>3</v>
      </c>
      <c r="Y96" s="11">
        <v>8</v>
      </c>
      <c r="Z96" s="11">
        <v>3</v>
      </c>
      <c r="AA96" s="10" t="s">
        <v>10669</v>
      </c>
      <c r="AB96" s="11">
        <v>2</v>
      </c>
      <c r="AC96" s="10" t="s">
        <v>335</v>
      </c>
      <c r="AD96" s="10" t="s">
        <v>10670</v>
      </c>
      <c r="AE96" s="10" t="s">
        <v>10492</v>
      </c>
      <c r="AF96" s="6" t="s">
        <v>10671</v>
      </c>
      <c r="AI96"/>
      <c r="AJ96"/>
    </row>
    <row r="97" spans="1:36" s="6" customFormat="1" ht="129.6" x14ac:dyDescent="0.3">
      <c r="A97" s="6" t="s">
        <v>39131</v>
      </c>
      <c r="B97" s="6">
        <v>2021</v>
      </c>
      <c r="C97" s="7">
        <v>13</v>
      </c>
      <c r="D97" s="6" t="s">
        <v>71</v>
      </c>
      <c r="E97" s="7">
        <v>1</v>
      </c>
      <c r="F97" s="41" t="s">
        <v>39132</v>
      </c>
      <c r="G97" s="6" t="s">
        <v>958</v>
      </c>
      <c r="H97" s="10" t="s">
        <v>39133</v>
      </c>
      <c r="I97" s="10" t="s">
        <v>39134</v>
      </c>
      <c r="J97" s="11">
        <v>9</v>
      </c>
      <c r="L97" s="10" t="s">
        <v>39135</v>
      </c>
      <c r="M97" s="11">
        <v>7</v>
      </c>
      <c r="N97" s="10" t="s">
        <v>415</v>
      </c>
      <c r="O97" s="11">
        <v>1</v>
      </c>
      <c r="P97" s="11">
        <v>1</v>
      </c>
      <c r="Q97" s="10" t="s">
        <v>416</v>
      </c>
      <c r="R97" s="6" t="s">
        <v>193</v>
      </c>
      <c r="S97" s="6" t="s">
        <v>194</v>
      </c>
      <c r="T97" s="6" t="s">
        <v>417</v>
      </c>
      <c r="U97" s="10" t="s">
        <v>158</v>
      </c>
      <c r="V97" s="10" t="s">
        <v>39151</v>
      </c>
      <c r="W97" s="11">
        <v>1</v>
      </c>
      <c r="X97" s="11">
        <v>2</v>
      </c>
      <c r="Y97" s="11">
        <v>16</v>
      </c>
      <c r="Z97" s="11">
        <v>3</v>
      </c>
      <c r="AA97" s="13" t="s">
        <v>74</v>
      </c>
      <c r="AB97" s="7">
        <v>2</v>
      </c>
      <c r="AC97" s="10" t="s">
        <v>72</v>
      </c>
      <c r="AD97" s="10">
        <v>90</v>
      </c>
      <c r="AE97" s="10" t="s">
        <v>73</v>
      </c>
      <c r="AF97" s="6" t="s">
        <v>39152</v>
      </c>
      <c r="AI97"/>
      <c r="AJ97"/>
    </row>
    <row r="99" spans="1:36" x14ac:dyDescent="0.3">
      <c r="A99" s="2" t="s">
        <v>3073</v>
      </c>
      <c r="B99" s="2">
        <v>2009</v>
      </c>
      <c r="C99" s="3">
        <f>COUNTIF($C$3:$C$97, 1)</f>
        <v>0</v>
      </c>
      <c r="D99" s="2" t="s">
        <v>71</v>
      </c>
      <c r="E99" s="3">
        <f>COUNTIF($E$3:$E$97, 1)</f>
        <v>86</v>
      </c>
      <c r="I99" s="2" t="s">
        <v>10</v>
      </c>
      <c r="J99" s="3">
        <f>COUNTIF($J$3:$J$97, 1)</f>
        <v>13</v>
      </c>
      <c r="K99">
        <f>J99/96</f>
        <v>0.13541666666666666</v>
      </c>
      <c r="L99" s="2" t="s">
        <v>11</v>
      </c>
      <c r="M99" s="3">
        <f>COUNTIF($M$3:$M$97, 1)</f>
        <v>39</v>
      </c>
      <c r="N99" s="8">
        <v>1</v>
      </c>
      <c r="O99" s="3">
        <f>COUNTIF($O$3:$O$97, 1)</f>
        <v>66</v>
      </c>
      <c r="P99" s="3">
        <f>COUNTIF($P$3:$P$97, 1)</f>
        <v>35</v>
      </c>
      <c r="Q99" s="8" t="s">
        <v>12</v>
      </c>
      <c r="V99" s="2" t="s">
        <v>13</v>
      </c>
      <c r="W99" s="3">
        <f>COUNTIF($W$3:$W$97, 1)</f>
        <v>30</v>
      </c>
      <c r="X99" s="3">
        <f>COUNTIF($X$3:$X$97, 1)</f>
        <v>10</v>
      </c>
      <c r="Y99" s="3">
        <f>COUNTIF($Y$3:$Y$97, 1)</f>
        <v>13</v>
      </c>
      <c r="Z99" s="3">
        <f>COUNTIF($Z$3:$Z$97, 1)</f>
        <v>7</v>
      </c>
      <c r="AA99" s="8" t="s">
        <v>15</v>
      </c>
      <c r="AB99" s="3">
        <f>COUNTIF($AB$3:$AB$97, 1)</f>
        <v>13</v>
      </c>
    </row>
    <row r="100" spans="1:36" x14ac:dyDescent="0.3">
      <c r="B100" s="2">
        <v>2010</v>
      </c>
      <c r="C100" s="3">
        <f>COUNTIF($C$3:$C$97, 2)</f>
        <v>0</v>
      </c>
      <c r="D100" s="2" t="s">
        <v>16</v>
      </c>
      <c r="E100" s="3">
        <f>COUNTIF($E$3:$E$97, 2)</f>
        <v>4</v>
      </c>
      <c r="I100" s="2" t="s">
        <v>17</v>
      </c>
      <c r="J100" s="3">
        <f>COUNTIF($J$3:$J$97, 2)</f>
        <v>0</v>
      </c>
      <c r="K100">
        <f t="shared" ref="K100:K107" si="0">J100/96</f>
        <v>0</v>
      </c>
      <c r="L100" s="2" t="s">
        <v>18</v>
      </c>
      <c r="M100" s="3">
        <f>COUNTIF($M$3:$M$97, 2)</f>
        <v>2</v>
      </c>
      <c r="N100" s="2">
        <v>2</v>
      </c>
      <c r="O100" s="3">
        <f>COUNTIF($O$3:$O$97, 2)</f>
        <v>6</v>
      </c>
      <c r="P100" s="3">
        <f>COUNTIF($P$3:$P$96, 2)</f>
        <v>29</v>
      </c>
      <c r="Q100" s="2" t="s">
        <v>19</v>
      </c>
      <c r="V100" s="8" t="s">
        <v>20</v>
      </c>
      <c r="W100" s="3">
        <f>COUNTIF($W$3:$W$96, 2)</f>
        <v>35</v>
      </c>
      <c r="X100" s="3">
        <f>COUNTIF($X$3:$X$97, 2)</f>
        <v>14</v>
      </c>
      <c r="Y100" s="3">
        <f>COUNTIF($Y$3:$Y$97, 2)</f>
        <v>2</v>
      </c>
      <c r="Z100" s="3">
        <f>COUNTIF($Z$3:$Z$97, 2)</f>
        <v>6</v>
      </c>
      <c r="AA100" s="13" t="s">
        <v>22</v>
      </c>
      <c r="AB100" s="3">
        <f>COUNTIF($AB$3:$AB$97, 2)</f>
        <v>82</v>
      </c>
    </row>
    <row r="101" spans="1:36" x14ac:dyDescent="0.3">
      <c r="B101" s="2">
        <v>2011</v>
      </c>
      <c r="C101" s="3">
        <f>COUNTIF($C$3:$C$97, 3)</f>
        <v>0</v>
      </c>
      <c r="D101" s="2" t="s">
        <v>23</v>
      </c>
      <c r="E101" s="3">
        <f>COUNTIF($E$3:$E$97, 3)</f>
        <v>2</v>
      </c>
      <c r="I101" s="2" t="s">
        <v>24</v>
      </c>
      <c r="J101" s="3">
        <f>COUNTIF($J$3:$J$97, 3)</f>
        <v>34</v>
      </c>
      <c r="K101">
        <f t="shared" si="0"/>
        <v>0.35416666666666669</v>
      </c>
      <c r="L101" s="2" t="s">
        <v>150</v>
      </c>
      <c r="M101" s="3">
        <f>COUNTIF($M$3:$M$97, 3)</f>
        <v>0</v>
      </c>
      <c r="N101" s="8">
        <v>3</v>
      </c>
      <c r="O101" s="3">
        <f>COUNTIF($O$3:$O$97, 3)</f>
        <v>5</v>
      </c>
      <c r="P101" s="3">
        <f>COUNTIF($P$3:$P$97, 3)</f>
        <v>12</v>
      </c>
      <c r="Q101" s="2" t="s">
        <v>26</v>
      </c>
      <c r="V101" s="2" t="s">
        <v>27</v>
      </c>
      <c r="W101" s="3">
        <f>COUNTIF($W$3:$W$97, 3)</f>
        <v>30</v>
      </c>
      <c r="X101" s="3">
        <f>COUNTIF($X$3:$X$97, 3)</f>
        <v>70</v>
      </c>
      <c r="Y101" s="3">
        <f>COUNTIF($Y$3:$Y$97, 3)</f>
        <v>3</v>
      </c>
      <c r="Z101" s="3">
        <f>COUNTIF($Z$3:$Z$97, 3)</f>
        <v>20</v>
      </c>
      <c r="AA101" s="2" t="s">
        <v>3074</v>
      </c>
      <c r="AB101" s="1">
        <f>SUM(AB99:AB100)</f>
        <v>95</v>
      </c>
    </row>
    <row r="102" spans="1:36" x14ac:dyDescent="0.3">
      <c r="B102" s="2">
        <v>2012</v>
      </c>
      <c r="C102" s="3">
        <f>COUNTIF($C$3:$C$97, 4)</f>
        <v>3</v>
      </c>
      <c r="D102" s="8" t="s">
        <v>30</v>
      </c>
      <c r="E102" s="3">
        <f>COUNTIF($E$3:$E$97, 4)</f>
        <v>1</v>
      </c>
      <c r="I102" s="2" t="s">
        <v>31</v>
      </c>
      <c r="J102" s="3">
        <f>COUNTIF($J$3:$J$97, 4)</f>
        <v>3</v>
      </c>
      <c r="K102">
        <f t="shared" si="0"/>
        <v>3.125E-2</v>
      </c>
      <c r="L102" s="2" t="s">
        <v>25</v>
      </c>
      <c r="M102" s="3">
        <f>COUNTIF($M$3:$M$97, 4)</f>
        <v>30</v>
      </c>
      <c r="N102" s="8">
        <v>4</v>
      </c>
      <c r="O102" s="3">
        <f>COUNTIF($O$3:$O$97, 4)</f>
        <v>1</v>
      </c>
      <c r="P102" s="3">
        <f>COUNTIF($P$3:$P$97, 4)</f>
        <v>11</v>
      </c>
      <c r="Q102" s="2" t="s">
        <v>33</v>
      </c>
      <c r="V102" s="2" t="s">
        <v>3074</v>
      </c>
      <c r="W102" s="1">
        <f>SUM(W99:W101)</f>
        <v>95</v>
      </c>
      <c r="X102" s="3">
        <f>COUNTIF($X$3:$X$96, 4)</f>
        <v>1</v>
      </c>
      <c r="Y102" s="3">
        <f>COUNTIF($Y$3:$Y$97, 4)</f>
        <v>3</v>
      </c>
      <c r="Z102" s="3">
        <f>COUNTIF($Z$3:$Z$97, 4)</f>
        <v>45</v>
      </c>
    </row>
    <row r="103" spans="1:36" x14ac:dyDescent="0.3">
      <c r="B103" s="2">
        <v>2013</v>
      </c>
      <c r="C103" s="3">
        <f>COUNTIF($C$3:$C$97, 5)</f>
        <v>1</v>
      </c>
      <c r="D103" s="2" t="s">
        <v>36</v>
      </c>
      <c r="E103" s="3">
        <f>COUNTIF($E$3:$E$97, 5)</f>
        <v>1</v>
      </c>
      <c r="I103" s="2" t="s">
        <v>37</v>
      </c>
      <c r="J103" s="3">
        <f>COUNTIF($J$3:$J$97, 5)</f>
        <v>6</v>
      </c>
      <c r="K103">
        <f t="shared" si="0"/>
        <v>6.25E-2</v>
      </c>
      <c r="L103" s="2" t="s">
        <v>32</v>
      </c>
      <c r="M103" s="3">
        <f>COUNTIF($M$3:$M$97, 5)</f>
        <v>0</v>
      </c>
      <c r="N103" s="8">
        <v>5</v>
      </c>
      <c r="O103" s="3">
        <f>COUNTIF($O$3:$O$97, 5)</f>
        <v>1</v>
      </c>
      <c r="P103" s="3">
        <f>COUNTIF($P$3:$P$97, 5)</f>
        <v>3</v>
      </c>
      <c r="Q103" s="2" t="s">
        <v>39</v>
      </c>
      <c r="V103" s="2" t="s">
        <v>3075</v>
      </c>
      <c r="W103" s="3">
        <f>SUM(W100:W101)</f>
        <v>65</v>
      </c>
      <c r="X103" s="1">
        <f>SUM(X99:X102)</f>
        <v>95</v>
      </c>
      <c r="Y103" s="3">
        <f>COUNTIF($Y$3:$Y$97, 5)</f>
        <v>0</v>
      </c>
      <c r="Z103" s="3">
        <f>COUNTIF($Z$3:$Z$97, 5)</f>
        <v>17</v>
      </c>
    </row>
    <row r="104" spans="1:36" x14ac:dyDescent="0.3">
      <c r="B104" s="2">
        <v>2014</v>
      </c>
      <c r="C104" s="3">
        <f>COUNTIF($C$3:$C$97, 6)</f>
        <v>1</v>
      </c>
      <c r="D104" s="2" t="s">
        <v>41</v>
      </c>
      <c r="E104" s="3">
        <f>COUNTIF($E$3:$E$97, 6)</f>
        <v>1</v>
      </c>
      <c r="I104" s="2" t="s">
        <v>42</v>
      </c>
      <c r="J104" s="3">
        <f>COUNTIF($J$3:$J$97, 6)</f>
        <v>7</v>
      </c>
      <c r="K104">
        <f t="shared" si="0"/>
        <v>7.2916666666666671E-2</v>
      </c>
      <c r="L104" s="2" t="s">
        <v>38</v>
      </c>
      <c r="M104" s="3">
        <f>COUNTIF($M$3:$M$97, 6)</f>
        <v>4</v>
      </c>
      <c r="N104" s="8">
        <v>6</v>
      </c>
      <c r="O104" s="3">
        <f>COUNTIF($O$3:$O$97, 6)</f>
        <v>2</v>
      </c>
      <c r="P104" s="3">
        <f>COUNTIF($P$3:$P$97, 100)</f>
        <v>5</v>
      </c>
      <c r="Q104" s="8" t="s">
        <v>34</v>
      </c>
      <c r="W104" s="1">
        <f>W103/W102</f>
        <v>0.68421052631578949</v>
      </c>
      <c r="X104" s="3">
        <f>SUM(X100:X101)</f>
        <v>84</v>
      </c>
      <c r="Y104" s="3">
        <f>COUNTIF($Y$3:$Y$97, 6)</f>
        <v>3</v>
      </c>
      <c r="Z104" s="1">
        <f>SUM(Z99:Z103)</f>
        <v>95</v>
      </c>
    </row>
    <row r="105" spans="1:36" x14ac:dyDescent="0.3">
      <c r="B105" s="2">
        <v>2015</v>
      </c>
      <c r="C105" s="3">
        <f>COUNTIF($C$3:$C$97, 7)</f>
        <v>2</v>
      </c>
      <c r="D105" s="2" t="s">
        <v>3074</v>
      </c>
      <c r="E105" s="1">
        <f>SUM(E98:E104)</f>
        <v>95</v>
      </c>
      <c r="I105" s="2" t="s">
        <v>45</v>
      </c>
      <c r="J105" s="3">
        <f>COUNTIF($J$3:$J$97, 7)</f>
        <v>5</v>
      </c>
      <c r="K105">
        <f t="shared" si="0"/>
        <v>5.2083333333333336E-2</v>
      </c>
      <c r="L105" s="2" t="s">
        <v>151</v>
      </c>
      <c r="M105" s="3">
        <f>COUNTIF($M$3:$M$97, 7)</f>
        <v>2</v>
      </c>
      <c r="N105" s="8">
        <v>7</v>
      </c>
      <c r="O105" s="3">
        <f>COUNTIF($O$3:$O$97, 7)</f>
        <v>0</v>
      </c>
      <c r="P105" s="1">
        <f>SUM(P99:P104)</f>
        <v>95</v>
      </c>
      <c r="Q105" s="2" t="s">
        <v>3074</v>
      </c>
      <c r="X105" s="1">
        <f>X104/X103</f>
        <v>0.88421052631578945</v>
      </c>
      <c r="Y105" s="3">
        <f>COUNTIF($Y$3:$Y$97, 7)</f>
        <v>0</v>
      </c>
      <c r="Z105" s="3">
        <f>Z99/Z104</f>
        <v>7.3684210526315783E-2</v>
      </c>
    </row>
    <row r="106" spans="1:36" x14ac:dyDescent="0.3">
      <c r="B106" s="2">
        <v>2016</v>
      </c>
      <c r="C106" s="3">
        <f>COUNTIF($C$3:$C$97, 8)</f>
        <v>9</v>
      </c>
      <c r="I106" s="2" t="s">
        <v>48</v>
      </c>
      <c r="J106" s="3">
        <f>COUNTIF($J$3:$J$97, 8)</f>
        <v>25</v>
      </c>
      <c r="K106">
        <f t="shared" si="0"/>
        <v>0.26041666666666669</v>
      </c>
      <c r="L106" s="2" t="s">
        <v>43</v>
      </c>
      <c r="M106" s="3">
        <f>COUNTIF($M$3:$M$97, 8)</f>
        <v>6</v>
      </c>
      <c r="N106" s="8">
        <v>8</v>
      </c>
      <c r="O106" s="3">
        <f>COUNTIF($O$3:$O$97, 8)</f>
        <v>0</v>
      </c>
      <c r="Y106" s="3">
        <f>COUNTIF($Y$3:$Y$97, 8)</f>
        <v>5</v>
      </c>
      <c r="Z106" s="3">
        <f>Z100/Z104</f>
        <v>6.3157894736842107E-2</v>
      </c>
    </row>
    <row r="107" spans="1:36" x14ac:dyDescent="0.3">
      <c r="B107" s="2">
        <v>2017</v>
      </c>
      <c r="C107" s="3">
        <f>COUNTIF($C$3:$C$97, 9)</f>
        <v>1</v>
      </c>
      <c r="I107" s="2" t="s">
        <v>50</v>
      </c>
      <c r="J107" s="3">
        <f>COUNTIF($J$3:$J$97, 9)</f>
        <v>2</v>
      </c>
      <c r="K107">
        <f t="shared" si="0"/>
        <v>2.0833333333333332E-2</v>
      </c>
      <c r="L107" s="2" t="s">
        <v>46</v>
      </c>
      <c r="M107" s="3">
        <f>COUNTIF($M$3:$M$97, 9)</f>
        <v>5</v>
      </c>
      <c r="N107" s="8">
        <v>9</v>
      </c>
      <c r="O107" s="3">
        <f>COUNTIF($O$3:$O$97, 9)</f>
        <v>1</v>
      </c>
      <c r="Y107" s="3">
        <f>COUNTIF($Y$3:$Y$97, 9)</f>
        <v>1</v>
      </c>
      <c r="Z107" s="3">
        <f>Z101/Z104</f>
        <v>0.21052631578947367</v>
      </c>
    </row>
    <row r="108" spans="1:36" x14ac:dyDescent="0.3">
      <c r="B108" s="2">
        <v>2018</v>
      </c>
      <c r="C108" s="3">
        <f>COUNTIF($C$3:$C$97, 10)</f>
        <v>5</v>
      </c>
      <c r="I108" s="2" t="s">
        <v>3074</v>
      </c>
      <c r="J108" s="1">
        <f>SUM(J99:J107)</f>
        <v>95</v>
      </c>
      <c r="L108" s="2" t="s">
        <v>152</v>
      </c>
      <c r="M108" s="3">
        <f>COUNTIF($M$3:$M$97, 10)</f>
        <v>0</v>
      </c>
      <c r="N108" s="8">
        <v>10</v>
      </c>
      <c r="O108" s="3">
        <f>COUNTIF($O$3:$O$97, 10)</f>
        <v>0</v>
      </c>
      <c r="Y108" s="3">
        <f>COUNTIF($Y$3:$Y$97, 10)</f>
        <v>2</v>
      </c>
      <c r="Z108" s="3">
        <f>Z102/Z104</f>
        <v>0.47368421052631576</v>
      </c>
    </row>
    <row r="109" spans="1:36" x14ac:dyDescent="0.3">
      <c r="B109" s="2">
        <v>2019</v>
      </c>
      <c r="C109" s="3">
        <f>COUNTIF($C$3:$C$97, 11)</f>
        <v>7</v>
      </c>
      <c r="D109">
        <f>SUM(C109:C115)</f>
        <v>73</v>
      </c>
      <c r="L109" s="2" t="s">
        <v>49</v>
      </c>
      <c r="M109" s="3">
        <f>COUNTIF($M$3:$M$97, 11)</f>
        <v>1</v>
      </c>
      <c r="N109" s="8">
        <v>11</v>
      </c>
      <c r="O109" s="3">
        <f>COUNTIF($O$3:$O$97, 11)</f>
        <v>1</v>
      </c>
      <c r="Y109" s="3">
        <f>COUNTIF($Y$3:$Y$97, 11)</f>
        <v>0</v>
      </c>
      <c r="Z109" s="3">
        <f>Z103/Z104</f>
        <v>0.17894736842105263</v>
      </c>
    </row>
    <row r="110" spans="1:36" x14ac:dyDescent="0.3">
      <c r="B110" s="2">
        <v>2020</v>
      </c>
      <c r="C110" s="3">
        <f>COUNTIF($C$3:$C$97, 12)</f>
        <v>16</v>
      </c>
      <c r="D110">
        <f>D109/96</f>
        <v>0.76041666666666663</v>
      </c>
      <c r="L110" s="2" t="s">
        <v>51</v>
      </c>
      <c r="M110" s="3">
        <f>COUNTIF($M$3:$M$97, 12)</f>
        <v>0</v>
      </c>
      <c r="N110" s="8">
        <v>12</v>
      </c>
      <c r="O110" s="3">
        <f>COUNTIF($O$3:$O$97, 12)</f>
        <v>1</v>
      </c>
      <c r="Y110" s="3">
        <f>COUNTIF($Y$3:$Y$97, 12)</f>
        <v>6</v>
      </c>
    </row>
    <row r="111" spans="1:36" x14ac:dyDescent="0.3">
      <c r="B111" s="2">
        <v>2021</v>
      </c>
      <c r="C111" s="3">
        <f>COUNTIF($C$3:$C$97, 13)</f>
        <v>18</v>
      </c>
      <c r="L111" s="2" t="s">
        <v>153</v>
      </c>
      <c r="M111" s="3">
        <f>COUNTIF($M$3:$M$97, 13)</f>
        <v>0</v>
      </c>
      <c r="N111" s="8">
        <v>13</v>
      </c>
      <c r="O111" s="3">
        <f>COUNTIF($O$3:$O$97, 13)</f>
        <v>0</v>
      </c>
      <c r="Y111" s="3">
        <f>COUNTIF($Y$3:$Y$97, 13)</f>
        <v>0</v>
      </c>
    </row>
    <row r="112" spans="1:36" x14ac:dyDescent="0.3">
      <c r="B112" s="2">
        <v>2022</v>
      </c>
      <c r="C112" s="3">
        <f>COUNTIF($C$3:$C$97, 14)</f>
        <v>8</v>
      </c>
      <c r="L112" s="2" t="s">
        <v>154</v>
      </c>
      <c r="M112" s="3">
        <f>COUNTIF($M$3:$M$97, 14)</f>
        <v>0</v>
      </c>
      <c r="N112" s="8">
        <v>14</v>
      </c>
      <c r="O112" s="3">
        <f>COUNTIF($O$3:$O$97, 14)</f>
        <v>0</v>
      </c>
      <c r="Y112" s="3">
        <f>COUNTIF($Y$3:$Y$97, 14)</f>
        <v>0</v>
      </c>
    </row>
    <row r="113" spans="2:25" x14ac:dyDescent="0.3">
      <c r="B113" s="2">
        <v>2023</v>
      </c>
      <c r="C113" s="3">
        <f>COUNTIF($C$3:$C$97, 15)</f>
        <v>11</v>
      </c>
      <c r="L113" s="2" t="s">
        <v>52</v>
      </c>
      <c r="M113" s="3">
        <f>COUNTIF($M$3:$M$97, 15)</f>
        <v>6</v>
      </c>
      <c r="N113" s="2" t="s">
        <v>53</v>
      </c>
      <c r="O113" s="3">
        <f>COUNTIF($O$3:$O$97, 100)</f>
        <v>11</v>
      </c>
      <c r="Y113" s="3">
        <f>COUNTIF($Y$3:$Y$97, 15)</f>
        <v>0</v>
      </c>
    </row>
    <row r="114" spans="2:25" x14ac:dyDescent="0.3">
      <c r="B114" s="2">
        <v>2024</v>
      </c>
      <c r="C114" s="3">
        <f>COUNTIF($C$3:$C$97, 16)</f>
        <v>13</v>
      </c>
      <c r="L114" s="2" t="s">
        <v>3074</v>
      </c>
      <c r="M114" s="1">
        <f>SUM(M99:M113)</f>
        <v>95</v>
      </c>
      <c r="N114" s="2" t="s">
        <v>3074</v>
      </c>
      <c r="O114" s="1">
        <f>SUM(O99:O113)</f>
        <v>95</v>
      </c>
      <c r="Y114" s="3">
        <f>COUNTIF($Y$3:$Y$97, 16)</f>
        <v>14</v>
      </c>
    </row>
    <row r="115" spans="2:25" x14ac:dyDescent="0.3">
      <c r="B115" s="2">
        <v>2025</v>
      </c>
      <c r="C115" s="3">
        <f>COUNTIF($C$3:$C$97, 17)</f>
        <v>0</v>
      </c>
      <c r="O115" s="7"/>
      <c r="Y115" s="3">
        <f>COUNTIF($Y$3:$Y$97, 17)</f>
        <v>43</v>
      </c>
    </row>
    <row r="116" spans="2:25" x14ac:dyDescent="0.3">
      <c r="B116" s="2" t="s">
        <v>3074</v>
      </c>
      <c r="C116" s="1">
        <f>SUM(C99:C115)</f>
        <v>95</v>
      </c>
      <c r="Y116" s="1">
        <f>SUM(Y99:Y115)</f>
        <v>95</v>
      </c>
    </row>
    <row r="118" spans="2:25" x14ac:dyDescent="0.3">
      <c r="X118" s="21" t="s">
        <v>3076</v>
      </c>
      <c r="Y118" s="3">
        <f>Y102+Y104+Y106+Y108+Y110+Y112</f>
        <v>19</v>
      </c>
    </row>
    <row r="119" spans="2:25" x14ac:dyDescent="0.3">
      <c r="Y119" s="1">
        <f>Y118/Y116</f>
        <v>0.2</v>
      </c>
    </row>
    <row r="120" spans="2:25" x14ac:dyDescent="0.3">
      <c r="X120" s="3" t="s">
        <v>77</v>
      </c>
      <c r="Y120" s="1">
        <f>Y99/Y116</f>
        <v>0.1368421052631579</v>
      </c>
    </row>
    <row r="121" spans="2:25" x14ac:dyDescent="0.3">
      <c r="X121" s="3" t="s">
        <v>78</v>
      </c>
      <c r="Y121" s="1">
        <f>Y100/Y116</f>
        <v>2.1052631578947368E-2</v>
      </c>
    </row>
    <row r="122" spans="2:25" x14ac:dyDescent="0.3">
      <c r="X122" s="3" t="s">
        <v>72</v>
      </c>
      <c r="Y122" s="1">
        <f>Y101/Y116</f>
        <v>3.1578947368421054E-2</v>
      </c>
    </row>
    <row r="123" spans="2:25" x14ac:dyDescent="0.3">
      <c r="X123" s="3" t="s">
        <v>50</v>
      </c>
      <c r="Y123" s="1">
        <f>Y114/Y116</f>
        <v>0.14736842105263157</v>
      </c>
    </row>
    <row r="124" spans="2:25" x14ac:dyDescent="0.3">
      <c r="X124" s="3" t="s">
        <v>3077</v>
      </c>
      <c r="Y124" s="1">
        <f>Y115/Y116</f>
        <v>0.45263157894736844</v>
      </c>
    </row>
    <row r="125" spans="2:25" x14ac:dyDescent="0.3">
      <c r="X125" s="21" t="s">
        <v>3078</v>
      </c>
      <c r="Y125" s="3">
        <f>Y103+Y105+Y107+Y109+Y111+Y113</f>
        <v>1</v>
      </c>
    </row>
  </sheetData>
  <mergeCells count="1">
    <mergeCell ref="A1:AF1"/>
  </mergeCells>
  <hyperlinks>
    <hyperlink ref="F3" r:id="rId1" xr:uid="{4DCC6882-CE4E-4A53-8435-C42A0CC035A4}"/>
    <hyperlink ref="F4" r:id="rId2" xr:uid="{2334C3C8-863B-4E49-AD2F-F62B33FA7FA4}"/>
    <hyperlink ref="F7" r:id="rId3" xr:uid="{4AFF9610-B0CB-4E2B-9330-4255DE353802}"/>
    <hyperlink ref="F6" r:id="rId4" xr:uid="{4773ABC0-FA10-458D-A584-5EF600CDFF94}"/>
    <hyperlink ref="F8" r:id="rId5" xr:uid="{F1F3D811-FFD2-406A-9C71-90C9B9EBE223}"/>
    <hyperlink ref="F9" r:id="rId6" xr:uid="{8E80F0FE-E8DC-4A67-A054-E0D65CEF23DA}"/>
    <hyperlink ref="F11" r:id="rId7" xr:uid="{E341F349-1B7C-4D72-938B-5081B272DAE1}"/>
    <hyperlink ref="F12" r:id="rId8" xr:uid="{ECC4FED5-93A0-4F6B-84CE-4A7A7F402A2D}"/>
    <hyperlink ref="F13" r:id="rId9" xr:uid="{B9C5871B-01B8-46C9-A733-33439585AE02}"/>
    <hyperlink ref="F15" r:id="rId10" xr:uid="{2B28141F-8807-46D1-A97C-C48C24A5B05B}"/>
    <hyperlink ref="F16" r:id="rId11" xr:uid="{25AD4045-DBF5-4CA1-8C2A-31C4C07FE485}"/>
    <hyperlink ref="F17" r:id="rId12" xr:uid="{FAC1B368-8883-4512-A1C3-D61D4CAF82E6}"/>
    <hyperlink ref="F19" r:id="rId13" xr:uid="{BF148010-F16A-427A-879C-BC59C0C22190}"/>
    <hyperlink ref="F20" r:id="rId14" xr:uid="{96AD9618-9352-4768-80F2-B2BA7C2C54D7}"/>
    <hyperlink ref="F21" r:id="rId15" xr:uid="{E0695AE1-0410-418A-A2BC-41E126E46D34}"/>
    <hyperlink ref="F22" r:id="rId16" xr:uid="{22C66073-56B0-496B-A927-3FA680E539F0}"/>
    <hyperlink ref="F23" r:id="rId17" xr:uid="{DE88605F-1592-4E27-86BC-D619F3333809}"/>
    <hyperlink ref="F24" r:id="rId18" xr:uid="{0EC20279-0E3D-4E2C-9E4A-D72E6DD1516B}"/>
    <hyperlink ref="F25" r:id="rId19" xr:uid="{326DCFAA-A561-41D1-8B4D-07FE258D2158}"/>
    <hyperlink ref="F26" r:id="rId20" xr:uid="{47A05E8E-635F-476B-8199-140B9B7584B6}"/>
    <hyperlink ref="F27" r:id="rId21" xr:uid="{10B62FC7-D0D0-43CF-9B3F-052AB5BAF5A8}"/>
    <hyperlink ref="F28" r:id="rId22" xr:uid="{05A848DB-E34E-49E5-9E9F-F3805495E649}"/>
    <hyperlink ref="F29" r:id="rId23" xr:uid="{B641A94D-30B5-4A12-9A3D-C91739628D32}"/>
    <hyperlink ref="F30" r:id="rId24" xr:uid="{0AA19B50-00E8-47B5-8309-5C0CAEB85667}"/>
    <hyperlink ref="F31" r:id="rId25" xr:uid="{5170DEB3-96B3-460F-ABB1-21888114444D}"/>
    <hyperlink ref="F32" r:id="rId26" xr:uid="{13F993F9-D007-4971-B466-C31505AF22F0}"/>
    <hyperlink ref="F33" r:id="rId27" xr:uid="{E95A1510-7B7C-4451-B141-9C02E329295A}"/>
    <hyperlink ref="F34" r:id="rId28" xr:uid="{6CD5599C-63A5-4340-8191-0BD955B9BE54}"/>
    <hyperlink ref="F35" r:id="rId29" xr:uid="{FB712FB1-0E72-4EF1-8A03-9999FD1428EB}"/>
    <hyperlink ref="F36" r:id="rId30" xr:uid="{4CA65D31-79AA-440F-8F6D-FE6BA3D1EA93}"/>
    <hyperlink ref="F37" r:id="rId31" xr:uid="{B80D7F28-4B79-4CE9-9530-41BBA48D4983}"/>
    <hyperlink ref="F38" r:id="rId32" xr:uid="{D6114301-EAB8-4086-99F7-964567DAB7F9}"/>
    <hyperlink ref="F39" r:id="rId33" xr:uid="{ABCF8111-08B3-4EB6-9E83-6E8482994C32}"/>
    <hyperlink ref="F40" r:id="rId34" xr:uid="{574DA848-794F-4994-AB04-415F2E485C0E}"/>
    <hyperlink ref="F41" r:id="rId35" xr:uid="{C8DDDBBE-653D-4626-90CD-4E8C68CA5EE7}"/>
    <hyperlink ref="F42" r:id="rId36" xr:uid="{37F94FEC-2078-40A8-B3F8-70DA1828B8C8}"/>
    <hyperlink ref="F43" r:id="rId37" xr:uid="{CA5724EF-0D86-44A8-BC5B-4E8557016D5A}"/>
    <hyperlink ref="F44" r:id="rId38" xr:uid="{E8D1D7AE-DF55-425F-B191-AD1EDB1CB2F5}"/>
    <hyperlink ref="F45" r:id="rId39" xr:uid="{B375AF5C-7606-45D9-B70C-E239C2BA0EEA}"/>
    <hyperlink ref="F48" r:id="rId40" xr:uid="{029FEABB-DE99-49BB-88F4-13FB4892A001}"/>
    <hyperlink ref="F51" r:id="rId41" xr:uid="{E0AD8FBA-14E8-463D-8F6A-6B50990C4546}"/>
    <hyperlink ref="F55" r:id="rId42" xr:uid="{CD17B041-6B9B-49BB-A7C1-ECF16AD411E7}"/>
    <hyperlink ref="F53" r:id="rId43" xr:uid="{73C1EA0F-F079-40A4-AADF-CB6C96966E9D}"/>
    <hyperlink ref="F56" r:id="rId44" xr:uid="{0040C4DF-1233-40C7-951B-ECFAE9D80A0F}"/>
    <hyperlink ref="F52" r:id="rId45" xr:uid="{2BB7D54F-018E-46BF-A189-D7B885288E36}"/>
    <hyperlink ref="F57" r:id="rId46" xr:uid="{D8839138-EB7B-40BC-B70E-63977BDB5007}"/>
    <hyperlink ref="F54" r:id="rId47" xr:uid="{63A3843A-6472-4F18-B4D7-6E5C20A7D2AD}"/>
    <hyperlink ref="F58" r:id="rId48" xr:uid="{4DF3503E-179F-4AB2-A319-711C84EA2155}"/>
    <hyperlink ref="F59" r:id="rId49" xr:uid="{CF2AB30E-56A4-4B81-A352-B136AA733936}"/>
    <hyperlink ref="F60" r:id="rId50" xr:uid="{AAF290F9-499E-4EEC-A5D5-ADC9578E3312}"/>
    <hyperlink ref="F61" r:id="rId51" xr:uid="{5454583C-A09F-433D-86E8-1B9D01196ABA}"/>
    <hyperlink ref="F63" r:id="rId52" xr:uid="{2995B0ED-79F8-41CF-A500-3C161A61EA23}"/>
    <hyperlink ref="F64" r:id="rId53" xr:uid="{B3EB899A-D5D2-4664-B36D-5A8ECCBE6C53}"/>
    <hyperlink ref="F65" r:id="rId54" xr:uid="{0232C189-4199-4BCC-B903-E059DA5DE49C}"/>
    <hyperlink ref="F67" r:id="rId55" xr:uid="{E32F3D26-05E3-4A27-B6D1-E99255DA14A2}"/>
    <hyperlink ref="F68" r:id="rId56" xr:uid="{9DF695E5-7632-4D85-ADBB-3EF604499754}"/>
    <hyperlink ref="F69" r:id="rId57" xr:uid="{AC493874-79EA-4278-B360-ED4DBD73C48D}"/>
    <hyperlink ref="F70" r:id="rId58" xr:uid="{AE28C121-01CB-4898-AE46-4F9BD09C3F7A}"/>
    <hyperlink ref="F71" r:id="rId59" xr:uid="{45DC43E1-18C9-4CDB-9375-1860E5DBDF40}"/>
    <hyperlink ref="F73" r:id="rId60" xr:uid="{0BEA4F79-BF30-4093-B92F-B21FF7127957}"/>
    <hyperlink ref="F75" r:id="rId61" xr:uid="{622D9279-5EA5-4645-AF73-3A5A36511F0B}"/>
    <hyperlink ref="F77" r:id="rId62" xr:uid="{26CEFA2A-BD7F-4099-85F4-677880539817}"/>
    <hyperlink ref="F84" r:id="rId63" xr:uid="{EFB2547A-34D5-48EA-ACEA-C0BDD6994933}"/>
    <hyperlink ref="F78" r:id="rId64" xr:uid="{21E43213-2745-4675-9D53-349563CF4AEF}"/>
    <hyperlink ref="F85" r:id="rId65" xr:uid="{0CA9E6E5-908E-45D4-8ACF-69B099E1F722}"/>
    <hyperlink ref="F86" r:id="rId66" xr:uid="{2D12C91B-6963-4086-85CD-645B7C27594F}"/>
    <hyperlink ref="F83" r:id="rId67" xr:uid="{B72A007E-138C-4F0F-89F5-7EA95CF2A14B}"/>
    <hyperlink ref="F82" r:id="rId68" xr:uid="{A406666E-32F2-4F21-B14F-83B9D0C6ECCF}"/>
    <hyperlink ref="F81" r:id="rId69" xr:uid="{BEB83624-39C6-4B93-9CB6-A99B1ECBF096}"/>
    <hyperlink ref="F80" r:id="rId70" xr:uid="{DEFE67B1-ED2A-4AF3-BCEE-AB3EDC4C068E}"/>
    <hyperlink ref="F88" r:id="rId71" xr:uid="{2820CB86-1F54-43AD-80AD-BF21D28E59FB}"/>
    <hyperlink ref="F89" r:id="rId72" xr:uid="{6C8581B8-3EA6-42DC-BFA5-CEBA556CE61E}"/>
    <hyperlink ref="F90" r:id="rId73" xr:uid="{736662A7-127C-4111-BFAA-7FF802055096}"/>
    <hyperlink ref="F91" r:id="rId74" xr:uid="{305989E3-9605-462E-9789-6416EDA6C767}"/>
    <hyperlink ref="F79" r:id="rId75" xr:uid="{4F140EBE-9214-4E68-8C73-FA15022A5A02}"/>
    <hyperlink ref="F95" r:id="rId76" xr:uid="{85BA943A-C739-4538-BBCA-FEDB77F6F26F}"/>
    <hyperlink ref="F93" r:id="rId77" xr:uid="{81E3BAB2-719E-4B8D-8B62-28B94AD64D08}"/>
    <hyperlink ref="F74" r:id="rId78" xr:uid="{F9979E3D-1C83-4427-B996-9CE1A2B7BECF}"/>
    <hyperlink ref="F46" r:id="rId79" xr:uid="{C32FD370-44FE-4751-BC37-373C66C1F45E}"/>
    <hyperlink ref="F5" r:id="rId80" xr:uid="{DE849CF4-1487-4193-91B4-BCC552DF76F7}"/>
    <hyperlink ref="F10" r:id="rId81" xr:uid="{19C84E64-11A2-4B92-8BC2-AABEB5AC8A98}"/>
    <hyperlink ref="F14" r:id="rId82" xr:uid="{3AF4E8E7-D91F-47F3-BD77-144A0E5AA591}"/>
    <hyperlink ref="F18" r:id="rId83" xr:uid="{0D0F6C88-B48D-4C7B-977D-E6496B97D06B}"/>
    <hyperlink ref="F47" r:id="rId84" tooltip="Persistent link using digital object identifier" xr:uid="{E9D96F3A-1D55-44E5-8665-928200B58A04}"/>
    <hyperlink ref="F49" r:id="rId85" xr:uid="{242608BA-1618-409B-A891-A3765CE12775}"/>
    <hyperlink ref="F50" r:id="rId86" xr:uid="{354F12AD-EA88-4011-B832-0BBD9BB49F25}"/>
    <hyperlink ref="F62" r:id="rId87" xr:uid="{FAD3A91D-F400-4062-9DC2-D5D5322745DB}"/>
    <hyperlink ref="F66" r:id="rId88" xr:uid="{8A65F6DC-DE80-4511-AC90-4ADF3AC4BE57}"/>
    <hyperlink ref="F72" r:id="rId89" xr:uid="{237DA730-96F0-4FFA-BEE5-5499E4801168}"/>
    <hyperlink ref="F87" r:id="rId90" xr:uid="{CA16168C-0555-413D-942E-0664DD66C4FF}"/>
    <hyperlink ref="F92" r:id="rId91" xr:uid="{BBE9BE19-F811-4745-9A6F-6022B7F26E23}"/>
    <hyperlink ref="F94" r:id="rId92" xr:uid="{C4F56787-5C86-4B6B-B3D3-6E9283158F01}"/>
    <hyperlink ref="F96" r:id="rId93" xr:uid="{B4EEBE81-FCB7-4F8C-A60A-0E0A61EEF0A0}"/>
    <hyperlink ref="F76" r:id="rId94" xr:uid="{F0C9F639-37BA-41E4-9C00-76EF6DFFDF20}"/>
    <hyperlink ref="F97" r:id="rId95" xr:uid="{6CBC6D09-DA10-4252-8374-BC869115992E}"/>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CB165-F113-432E-9B10-85D36448A2BD}">
  <dimension ref="A1:L96"/>
  <sheetViews>
    <sheetView workbookViewId="0">
      <pane ySplit="1" topLeftCell="A20" activePane="bottomLeft" state="frozen"/>
      <selection pane="bottomLeft" activeCell="K1" sqref="K1:K1048576"/>
    </sheetView>
  </sheetViews>
  <sheetFormatPr baseColWidth="10" defaultRowHeight="14.4" x14ac:dyDescent="0.3"/>
  <cols>
    <col min="3" max="3" width="14.5546875" bestFit="1" customWidth="1"/>
    <col min="5" max="5" width="20.6640625" bestFit="1" customWidth="1"/>
    <col min="7" max="7" width="14.33203125" bestFit="1" customWidth="1"/>
    <col min="8" max="8" width="26.6640625" bestFit="1" customWidth="1"/>
    <col min="9" max="9" width="22.88671875" bestFit="1" customWidth="1"/>
    <col min="10" max="10" width="17.44140625" bestFit="1" customWidth="1"/>
    <col min="11" max="11" width="16.77734375" bestFit="1" customWidth="1"/>
    <col min="12" max="12" width="23" bestFit="1" customWidth="1"/>
  </cols>
  <sheetData>
    <row r="1" spans="1:12" s="2" customFormat="1" x14ac:dyDescent="0.3">
      <c r="A1" s="2" t="s">
        <v>55</v>
      </c>
      <c r="B1" s="1" t="s">
        <v>0</v>
      </c>
      <c r="C1" s="1" t="s">
        <v>1</v>
      </c>
      <c r="D1" s="9" t="s">
        <v>2</v>
      </c>
      <c r="E1" s="1" t="s">
        <v>3</v>
      </c>
      <c r="F1" s="1" t="s">
        <v>4</v>
      </c>
      <c r="G1" s="1" t="s">
        <v>5</v>
      </c>
      <c r="H1" s="1" t="s">
        <v>6</v>
      </c>
      <c r="I1" s="1" t="s">
        <v>39119</v>
      </c>
      <c r="J1" s="1" t="s">
        <v>7</v>
      </c>
      <c r="K1" s="1" t="s">
        <v>39118</v>
      </c>
      <c r="L1" s="1" t="s">
        <v>8</v>
      </c>
    </row>
    <row r="2" spans="1:12" x14ac:dyDescent="0.3">
      <c r="A2" s="6" t="s">
        <v>10729</v>
      </c>
      <c r="B2" s="7">
        <v>13</v>
      </c>
      <c r="C2" s="7">
        <v>1</v>
      </c>
      <c r="D2" s="7">
        <v>1</v>
      </c>
      <c r="E2" s="11">
        <v>1</v>
      </c>
      <c r="F2" s="11">
        <v>2</v>
      </c>
      <c r="G2" s="11">
        <v>5</v>
      </c>
      <c r="H2" s="7">
        <v>2</v>
      </c>
      <c r="I2" s="7">
        <v>3</v>
      </c>
      <c r="J2" s="7">
        <v>17</v>
      </c>
      <c r="K2" s="7">
        <v>4</v>
      </c>
      <c r="L2" s="11">
        <v>2</v>
      </c>
    </row>
    <row r="3" spans="1:12" x14ac:dyDescent="0.3">
      <c r="A3" s="6" t="s">
        <v>10681</v>
      </c>
      <c r="B3" s="7">
        <v>13</v>
      </c>
      <c r="C3" s="7">
        <v>1</v>
      </c>
      <c r="D3" s="11">
        <v>8</v>
      </c>
      <c r="E3" s="11">
        <v>4</v>
      </c>
      <c r="F3" s="11">
        <v>6</v>
      </c>
      <c r="G3" s="11">
        <v>3</v>
      </c>
      <c r="H3" s="11">
        <v>2</v>
      </c>
      <c r="I3" s="11">
        <v>2</v>
      </c>
      <c r="J3" s="11">
        <v>16</v>
      </c>
      <c r="K3" s="11">
        <v>3</v>
      </c>
      <c r="L3" s="11">
        <v>1</v>
      </c>
    </row>
    <row r="4" spans="1:12" x14ac:dyDescent="0.3">
      <c r="A4" s="6" t="s">
        <v>10672</v>
      </c>
      <c r="B4" s="7">
        <v>13</v>
      </c>
      <c r="C4" s="7">
        <v>1</v>
      </c>
      <c r="D4" s="11">
        <v>3</v>
      </c>
      <c r="E4" s="11">
        <v>9</v>
      </c>
      <c r="F4" s="11">
        <v>1</v>
      </c>
      <c r="G4" s="11">
        <v>2</v>
      </c>
      <c r="H4" s="7">
        <v>1</v>
      </c>
      <c r="I4" s="7">
        <v>3</v>
      </c>
      <c r="J4" s="7">
        <v>3</v>
      </c>
      <c r="K4" s="7">
        <v>5</v>
      </c>
      <c r="L4" s="11">
        <v>1</v>
      </c>
    </row>
    <row r="5" spans="1:12" x14ac:dyDescent="0.3">
      <c r="A5" s="6" t="s">
        <v>10727</v>
      </c>
      <c r="B5" s="7">
        <v>12</v>
      </c>
      <c r="C5" s="7">
        <v>1</v>
      </c>
      <c r="D5" s="7">
        <v>5</v>
      </c>
      <c r="E5" s="11">
        <v>1</v>
      </c>
      <c r="F5" s="11">
        <v>3</v>
      </c>
      <c r="G5" s="11">
        <v>3</v>
      </c>
      <c r="H5" s="11">
        <v>3</v>
      </c>
      <c r="I5" s="11">
        <v>3</v>
      </c>
      <c r="J5" s="11">
        <v>17</v>
      </c>
      <c r="K5" s="11">
        <v>4</v>
      </c>
      <c r="L5" s="7">
        <v>1</v>
      </c>
    </row>
    <row r="6" spans="1:12" x14ac:dyDescent="0.3">
      <c r="A6" s="6" t="s">
        <v>10722</v>
      </c>
      <c r="B6" s="7">
        <v>11</v>
      </c>
      <c r="C6" s="7">
        <v>1</v>
      </c>
      <c r="D6" s="11">
        <v>5</v>
      </c>
      <c r="E6" s="11">
        <v>1</v>
      </c>
      <c r="F6" s="11">
        <v>1</v>
      </c>
      <c r="G6" s="11">
        <v>1</v>
      </c>
      <c r="H6" s="11">
        <v>2</v>
      </c>
      <c r="I6" s="11">
        <v>3</v>
      </c>
      <c r="J6" s="11">
        <v>17</v>
      </c>
      <c r="K6" s="11">
        <v>3</v>
      </c>
      <c r="L6" s="7">
        <v>1</v>
      </c>
    </row>
    <row r="7" spans="1:12" x14ac:dyDescent="0.3">
      <c r="A7" s="6" t="s">
        <v>10723</v>
      </c>
      <c r="B7" s="7">
        <v>16</v>
      </c>
      <c r="C7" s="7">
        <v>1</v>
      </c>
      <c r="D7" s="7">
        <v>3</v>
      </c>
      <c r="E7" s="11">
        <v>1</v>
      </c>
      <c r="F7" s="11">
        <v>1</v>
      </c>
      <c r="G7" s="11">
        <v>3</v>
      </c>
      <c r="H7" s="11">
        <v>2</v>
      </c>
      <c r="I7" s="11">
        <v>2</v>
      </c>
      <c r="J7" s="11">
        <v>16</v>
      </c>
      <c r="K7" s="11">
        <v>3</v>
      </c>
      <c r="L7" s="7">
        <v>2</v>
      </c>
    </row>
    <row r="8" spans="1:12" x14ac:dyDescent="0.3">
      <c r="A8" s="6" t="s">
        <v>10690</v>
      </c>
      <c r="B8" s="7">
        <v>16</v>
      </c>
      <c r="C8" s="7">
        <v>1</v>
      </c>
      <c r="D8" s="11">
        <v>1</v>
      </c>
      <c r="E8" s="11">
        <v>1</v>
      </c>
      <c r="F8" s="11">
        <v>1</v>
      </c>
      <c r="G8" s="11">
        <v>1</v>
      </c>
      <c r="H8" s="7">
        <v>1</v>
      </c>
      <c r="I8" s="7">
        <v>1</v>
      </c>
      <c r="J8" s="7">
        <v>4</v>
      </c>
      <c r="K8" s="7">
        <v>1</v>
      </c>
      <c r="L8" s="11">
        <v>2</v>
      </c>
    </row>
    <row r="9" spans="1:12" x14ac:dyDescent="0.3">
      <c r="A9" s="6" t="s">
        <v>10682</v>
      </c>
      <c r="B9" s="7">
        <v>16</v>
      </c>
      <c r="C9" s="7">
        <v>1</v>
      </c>
      <c r="D9" s="11">
        <v>3</v>
      </c>
      <c r="E9" s="11">
        <v>4</v>
      </c>
      <c r="F9" s="11">
        <v>1</v>
      </c>
      <c r="G9" s="11">
        <v>2</v>
      </c>
      <c r="H9" s="11">
        <v>1</v>
      </c>
      <c r="I9" s="11">
        <v>3</v>
      </c>
      <c r="J9" s="11">
        <v>1</v>
      </c>
      <c r="K9" s="11">
        <v>5</v>
      </c>
      <c r="L9" s="7">
        <v>2</v>
      </c>
    </row>
    <row r="10" spans="1:12" x14ac:dyDescent="0.3">
      <c r="A10" s="6" t="s">
        <v>10736</v>
      </c>
      <c r="B10" s="7">
        <v>7</v>
      </c>
      <c r="C10" s="7">
        <v>1</v>
      </c>
      <c r="D10" s="7">
        <v>8</v>
      </c>
      <c r="E10" s="11">
        <v>4</v>
      </c>
      <c r="F10" s="11">
        <v>1</v>
      </c>
      <c r="G10" s="11">
        <v>1</v>
      </c>
      <c r="H10" s="7">
        <v>3</v>
      </c>
      <c r="I10" s="7">
        <v>3</v>
      </c>
      <c r="J10" s="7">
        <v>17</v>
      </c>
      <c r="K10" s="7">
        <v>4</v>
      </c>
      <c r="L10" s="11">
        <v>2</v>
      </c>
    </row>
    <row r="11" spans="1:12" x14ac:dyDescent="0.3">
      <c r="A11" s="6" t="s">
        <v>10695</v>
      </c>
      <c r="B11" s="7">
        <v>13</v>
      </c>
      <c r="C11" s="7">
        <v>1</v>
      </c>
      <c r="D11" s="11">
        <v>3</v>
      </c>
      <c r="E11" s="11">
        <v>1</v>
      </c>
      <c r="F11" s="7">
        <v>100</v>
      </c>
      <c r="G11" s="7">
        <v>100</v>
      </c>
      <c r="H11" s="7">
        <v>3</v>
      </c>
      <c r="I11" s="7">
        <v>3</v>
      </c>
      <c r="J11" s="7">
        <v>17</v>
      </c>
      <c r="K11" s="7">
        <v>4</v>
      </c>
      <c r="L11" s="7">
        <v>2</v>
      </c>
    </row>
    <row r="12" spans="1:12" x14ac:dyDescent="0.3">
      <c r="A12" s="6" t="s">
        <v>10749</v>
      </c>
      <c r="B12" s="7">
        <v>15</v>
      </c>
      <c r="C12" s="7">
        <v>1</v>
      </c>
      <c r="D12" s="7">
        <v>1</v>
      </c>
      <c r="E12" s="11">
        <v>1</v>
      </c>
      <c r="F12" s="7">
        <v>1</v>
      </c>
      <c r="G12" s="7">
        <v>2</v>
      </c>
      <c r="H12" s="7">
        <v>1</v>
      </c>
      <c r="I12" s="7">
        <v>3</v>
      </c>
      <c r="J12" s="7">
        <v>3</v>
      </c>
      <c r="K12" s="7">
        <v>5</v>
      </c>
      <c r="L12" s="7">
        <v>2</v>
      </c>
    </row>
    <row r="13" spans="1:12" x14ac:dyDescent="0.3">
      <c r="A13" s="6" t="s">
        <v>10711</v>
      </c>
      <c r="B13" s="7">
        <v>13</v>
      </c>
      <c r="C13" s="7">
        <v>1</v>
      </c>
      <c r="D13" s="11">
        <v>8</v>
      </c>
      <c r="E13" s="11">
        <v>1</v>
      </c>
      <c r="F13" s="11">
        <v>2</v>
      </c>
      <c r="G13" s="11">
        <v>5</v>
      </c>
      <c r="H13" s="11">
        <v>2</v>
      </c>
      <c r="I13" s="11">
        <v>3</v>
      </c>
      <c r="J13" s="11">
        <v>16</v>
      </c>
      <c r="K13" s="11">
        <v>4</v>
      </c>
      <c r="L13" s="7">
        <v>2</v>
      </c>
    </row>
    <row r="14" spans="1:12" x14ac:dyDescent="0.3">
      <c r="A14" s="6" t="s">
        <v>10702</v>
      </c>
      <c r="B14" s="7">
        <v>10</v>
      </c>
      <c r="C14" s="7">
        <v>1</v>
      </c>
      <c r="D14" s="11">
        <v>8</v>
      </c>
      <c r="E14" s="11">
        <v>1</v>
      </c>
      <c r="F14" s="11">
        <v>2</v>
      </c>
      <c r="G14" s="11">
        <v>5</v>
      </c>
      <c r="H14" s="11">
        <v>2</v>
      </c>
      <c r="I14" s="11">
        <v>3</v>
      </c>
      <c r="J14" s="11">
        <v>16</v>
      </c>
      <c r="K14" s="11">
        <v>4</v>
      </c>
      <c r="L14" s="7">
        <v>2</v>
      </c>
    </row>
    <row r="15" spans="1:12" x14ac:dyDescent="0.3">
      <c r="A15" s="6" t="s">
        <v>10700</v>
      </c>
      <c r="B15" s="7">
        <v>8</v>
      </c>
      <c r="C15" s="7">
        <v>1</v>
      </c>
      <c r="D15" s="11">
        <v>8</v>
      </c>
      <c r="E15" s="11">
        <v>1</v>
      </c>
      <c r="F15" s="11">
        <v>1</v>
      </c>
      <c r="G15" s="11">
        <v>2</v>
      </c>
      <c r="H15" s="11">
        <v>2</v>
      </c>
      <c r="I15" s="11">
        <v>3</v>
      </c>
      <c r="J15" s="11">
        <v>16</v>
      </c>
      <c r="K15" s="11">
        <v>4</v>
      </c>
      <c r="L15" s="7">
        <v>2</v>
      </c>
    </row>
    <row r="16" spans="1:12" x14ac:dyDescent="0.3">
      <c r="A16" s="6" t="s">
        <v>10713</v>
      </c>
      <c r="B16" s="7">
        <v>12</v>
      </c>
      <c r="C16" s="7">
        <v>1</v>
      </c>
      <c r="D16" s="11">
        <v>6</v>
      </c>
      <c r="E16" s="11">
        <v>4</v>
      </c>
      <c r="F16" s="11">
        <v>100</v>
      </c>
      <c r="G16" s="11">
        <v>4</v>
      </c>
      <c r="H16" s="11">
        <v>2</v>
      </c>
      <c r="I16" s="11">
        <v>3</v>
      </c>
      <c r="J16" s="11">
        <v>12</v>
      </c>
      <c r="K16" s="11">
        <v>2</v>
      </c>
      <c r="L16" s="7">
        <v>2</v>
      </c>
    </row>
    <row r="17" spans="1:12" x14ac:dyDescent="0.3">
      <c r="A17" s="6" t="s">
        <v>10741</v>
      </c>
      <c r="B17" s="7">
        <v>16</v>
      </c>
      <c r="C17" s="7">
        <v>1</v>
      </c>
      <c r="D17" s="11">
        <v>7</v>
      </c>
      <c r="E17" s="11">
        <v>1</v>
      </c>
      <c r="F17" s="11">
        <v>1</v>
      </c>
      <c r="G17" s="11">
        <v>1</v>
      </c>
      <c r="H17" s="11">
        <v>2</v>
      </c>
      <c r="I17" s="11">
        <v>3</v>
      </c>
      <c r="J17" s="11">
        <v>17</v>
      </c>
      <c r="K17" s="11">
        <v>4</v>
      </c>
      <c r="L17" s="11">
        <v>2</v>
      </c>
    </row>
    <row r="18" spans="1:12" x14ac:dyDescent="0.3">
      <c r="A18" s="6" t="s">
        <v>10748</v>
      </c>
      <c r="B18" s="7">
        <v>16</v>
      </c>
      <c r="C18" s="7">
        <v>3</v>
      </c>
      <c r="D18" s="7">
        <v>1</v>
      </c>
      <c r="E18" s="11">
        <v>8</v>
      </c>
      <c r="F18" s="7">
        <v>1</v>
      </c>
      <c r="G18" s="7">
        <v>2</v>
      </c>
      <c r="H18" s="7">
        <v>1</v>
      </c>
      <c r="I18" s="7">
        <v>3</v>
      </c>
      <c r="J18" s="7">
        <v>3</v>
      </c>
      <c r="K18" s="7">
        <v>5</v>
      </c>
      <c r="L18" s="7">
        <v>2</v>
      </c>
    </row>
    <row r="19" spans="1:12" x14ac:dyDescent="0.3">
      <c r="A19" s="6" t="s">
        <v>10759</v>
      </c>
      <c r="B19" s="7">
        <v>14</v>
      </c>
      <c r="C19" s="7">
        <v>1</v>
      </c>
      <c r="D19" s="11">
        <v>3</v>
      </c>
      <c r="E19" s="11">
        <v>1</v>
      </c>
      <c r="F19" s="11">
        <v>1</v>
      </c>
      <c r="G19" s="11">
        <v>1</v>
      </c>
      <c r="H19" s="11">
        <v>2</v>
      </c>
      <c r="I19" s="11">
        <v>3</v>
      </c>
      <c r="J19" s="11">
        <v>8</v>
      </c>
      <c r="K19" s="11">
        <v>3</v>
      </c>
      <c r="L19" s="11">
        <v>2</v>
      </c>
    </row>
    <row r="20" spans="1:12" x14ac:dyDescent="0.3">
      <c r="A20" s="6" t="s">
        <v>10694</v>
      </c>
      <c r="B20" s="7">
        <v>12</v>
      </c>
      <c r="C20" s="7">
        <v>1</v>
      </c>
      <c r="D20" s="11">
        <v>8</v>
      </c>
      <c r="E20" s="11">
        <v>4</v>
      </c>
      <c r="F20" s="11">
        <v>1</v>
      </c>
      <c r="G20" s="11">
        <v>2</v>
      </c>
      <c r="H20" s="11">
        <v>1</v>
      </c>
      <c r="I20" s="11">
        <v>2</v>
      </c>
      <c r="J20" s="11">
        <v>1</v>
      </c>
      <c r="K20" s="11">
        <v>3</v>
      </c>
      <c r="L20" s="7">
        <v>2</v>
      </c>
    </row>
    <row r="21" spans="1:12" x14ac:dyDescent="0.3">
      <c r="A21" s="6" t="s">
        <v>10725</v>
      </c>
      <c r="B21" s="7">
        <v>12</v>
      </c>
      <c r="C21" s="7">
        <v>1</v>
      </c>
      <c r="D21" s="7">
        <v>8</v>
      </c>
      <c r="E21" s="11">
        <v>4</v>
      </c>
      <c r="F21" s="11">
        <v>1</v>
      </c>
      <c r="G21" s="11">
        <v>1</v>
      </c>
      <c r="H21" s="11">
        <v>2</v>
      </c>
      <c r="I21" s="11">
        <v>2</v>
      </c>
      <c r="J21" s="11">
        <v>16</v>
      </c>
      <c r="K21" s="11">
        <v>3</v>
      </c>
      <c r="L21" s="7">
        <v>2</v>
      </c>
    </row>
    <row r="22" spans="1:12" x14ac:dyDescent="0.3">
      <c r="A22" s="6" t="s">
        <v>10696</v>
      </c>
      <c r="B22" s="7">
        <v>13</v>
      </c>
      <c r="C22" s="7">
        <v>1</v>
      </c>
      <c r="D22" s="11">
        <v>1</v>
      </c>
      <c r="E22" s="11">
        <v>1</v>
      </c>
      <c r="F22" s="11">
        <v>1</v>
      </c>
      <c r="G22" s="11">
        <v>1</v>
      </c>
      <c r="H22" s="11">
        <v>3</v>
      </c>
      <c r="I22" s="11">
        <v>3</v>
      </c>
      <c r="J22" s="11">
        <v>17</v>
      </c>
      <c r="K22" s="11">
        <v>4</v>
      </c>
      <c r="L22" s="7">
        <v>2</v>
      </c>
    </row>
    <row r="23" spans="1:12" x14ac:dyDescent="0.3">
      <c r="A23" s="6" t="s">
        <v>10720</v>
      </c>
      <c r="B23" s="7">
        <v>12</v>
      </c>
      <c r="C23" s="7">
        <v>1</v>
      </c>
      <c r="D23" s="7">
        <v>5</v>
      </c>
      <c r="E23" s="11">
        <v>4</v>
      </c>
      <c r="F23" s="7">
        <v>3</v>
      </c>
      <c r="G23" s="7">
        <v>4</v>
      </c>
      <c r="H23" s="7">
        <v>3</v>
      </c>
      <c r="I23" s="7">
        <v>3</v>
      </c>
      <c r="J23" s="7">
        <v>17</v>
      </c>
      <c r="K23" s="7">
        <v>4</v>
      </c>
      <c r="L23" s="7">
        <v>2</v>
      </c>
    </row>
    <row r="24" spans="1:12" x14ac:dyDescent="0.3">
      <c r="A24" s="6" t="s">
        <v>10758</v>
      </c>
      <c r="B24" s="7">
        <v>13</v>
      </c>
      <c r="C24" s="7">
        <v>1</v>
      </c>
      <c r="D24" s="11">
        <v>3</v>
      </c>
      <c r="E24" s="11">
        <v>1</v>
      </c>
      <c r="F24" s="11">
        <v>1</v>
      </c>
      <c r="G24" s="11">
        <v>1</v>
      </c>
      <c r="H24" s="7">
        <v>3</v>
      </c>
      <c r="I24" s="7">
        <v>3</v>
      </c>
      <c r="J24" s="7">
        <v>17</v>
      </c>
      <c r="K24" s="7">
        <v>4</v>
      </c>
      <c r="L24" s="11">
        <v>2</v>
      </c>
    </row>
    <row r="25" spans="1:12" x14ac:dyDescent="0.3">
      <c r="A25" s="6" t="s">
        <v>10509</v>
      </c>
      <c r="B25" s="7">
        <v>10</v>
      </c>
      <c r="C25" s="7">
        <v>2</v>
      </c>
      <c r="D25" s="7">
        <v>3</v>
      </c>
      <c r="E25" s="7">
        <v>4</v>
      </c>
      <c r="F25" s="7">
        <v>1</v>
      </c>
      <c r="G25" s="7">
        <v>1</v>
      </c>
      <c r="H25" s="7">
        <v>3</v>
      </c>
      <c r="I25" s="7">
        <v>3</v>
      </c>
      <c r="J25" s="7">
        <v>17</v>
      </c>
      <c r="K25" s="7">
        <v>4</v>
      </c>
      <c r="L25" s="7">
        <v>2</v>
      </c>
    </row>
    <row r="26" spans="1:12" x14ac:dyDescent="0.3">
      <c r="A26" s="6" t="s">
        <v>10673</v>
      </c>
      <c r="B26" s="7">
        <v>5</v>
      </c>
      <c r="C26" s="7">
        <v>1</v>
      </c>
      <c r="D26" s="11">
        <v>6</v>
      </c>
      <c r="E26" s="11">
        <v>1</v>
      </c>
      <c r="F26" s="11">
        <v>1</v>
      </c>
      <c r="G26" s="11">
        <v>1</v>
      </c>
      <c r="H26" s="11">
        <v>1</v>
      </c>
      <c r="I26" s="11">
        <v>1</v>
      </c>
      <c r="J26" s="11">
        <v>10</v>
      </c>
      <c r="K26" s="11">
        <v>2</v>
      </c>
      <c r="L26" s="11">
        <v>1</v>
      </c>
    </row>
    <row r="27" spans="1:12" x14ac:dyDescent="0.3">
      <c r="A27" s="6" t="s">
        <v>10673</v>
      </c>
      <c r="B27" s="7">
        <v>10</v>
      </c>
      <c r="C27" s="7">
        <v>1</v>
      </c>
      <c r="D27" s="11">
        <v>9</v>
      </c>
      <c r="E27" s="11">
        <v>15</v>
      </c>
      <c r="F27" s="11">
        <v>9</v>
      </c>
      <c r="G27" s="11">
        <v>3</v>
      </c>
      <c r="H27" s="11">
        <v>2</v>
      </c>
      <c r="I27" s="11">
        <v>2</v>
      </c>
      <c r="J27" s="11">
        <v>17</v>
      </c>
      <c r="K27" s="11">
        <v>4</v>
      </c>
      <c r="L27" s="11">
        <v>1</v>
      </c>
    </row>
    <row r="28" spans="1:12" x14ac:dyDescent="0.3">
      <c r="A28" s="6" t="s">
        <v>10673</v>
      </c>
      <c r="B28" s="7">
        <v>15</v>
      </c>
      <c r="C28" s="7">
        <v>4</v>
      </c>
      <c r="D28" s="11">
        <v>8</v>
      </c>
      <c r="E28" s="11">
        <v>15</v>
      </c>
      <c r="F28" s="11">
        <v>11</v>
      </c>
      <c r="G28" s="11">
        <v>3</v>
      </c>
      <c r="H28" s="11">
        <v>2</v>
      </c>
      <c r="I28" s="11">
        <v>2</v>
      </c>
      <c r="J28" s="11">
        <v>17</v>
      </c>
      <c r="K28" s="11">
        <v>4</v>
      </c>
      <c r="L28" s="11">
        <v>1</v>
      </c>
    </row>
    <row r="29" spans="1:12" x14ac:dyDescent="0.3">
      <c r="A29" s="6" t="s">
        <v>10719</v>
      </c>
      <c r="B29" s="7">
        <v>15</v>
      </c>
      <c r="C29" s="7">
        <v>1</v>
      </c>
      <c r="D29" s="7">
        <v>6</v>
      </c>
      <c r="E29" s="11">
        <v>1</v>
      </c>
      <c r="F29" s="7">
        <v>100</v>
      </c>
      <c r="G29" s="7">
        <v>100</v>
      </c>
      <c r="H29" s="7">
        <v>3</v>
      </c>
      <c r="I29" s="7">
        <v>3</v>
      </c>
      <c r="J29" s="7">
        <v>17</v>
      </c>
      <c r="K29" s="7">
        <v>4</v>
      </c>
      <c r="L29" s="7">
        <v>2</v>
      </c>
    </row>
    <row r="30" spans="1:12" x14ac:dyDescent="0.3">
      <c r="A30" s="6" t="s">
        <v>39131</v>
      </c>
      <c r="B30" s="7">
        <v>13</v>
      </c>
      <c r="C30" s="7">
        <v>1</v>
      </c>
      <c r="D30" s="11">
        <v>9</v>
      </c>
      <c r="E30" s="11">
        <v>7</v>
      </c>
      <c r="F30" s="11">
        <v>1</v>
      </c>
      <c r="G30" s="11">
        <v>1</v>
      </c>
      <c r="H30" s="11">
        <v>1</v>
      </c>
      <c r="I30" s="11">
        <v>2</v>
      </c>
      <c r="J30" s="11">
        <v>16</v>
      </c>
      <c r="K30" s="11">
        <v>3</v>
      </c>
      <c r="L30" s="7">
        <v>2</v>
      </c>
    </row>
    <row r="31" spans="1:12" x14ac:dyDescent="0.3">
      <c r="A31" s="6" t="s">
        <v>10756</v>
      </c>
      <c r="B31" s="7">
        <v>12</v>
      </c>
      <c r="C31" s="7">
        <v>1</v>
      </c>
      <c r="D31" s="11">
        <v>3</v>
      </c>
      <c r="E31" s="11">
        <v>4</v>
      </c>
      <c r="F31" s="11">
        <v>1</v>
      </c>
      <c r="G31" s="11">
        <v>2</v>
      </c>
      <c r="H31" s="11">
        <v>3</v>
      </c>
      <c r="I31" s="11">
        <v>3</v>
      </c>
      <c r="J31" s="11">
        <v>17</v>
      </c>
      <c r="K31" s="11">
        <v>4</v>
      </c>
      <c r="L31" s="11">
        <v>2</v>
      </c>
    </row>
    <row r="32" spans="1:12" x14ac:dyDescent="0.3">
      <c r="A32" s="6" t="s">
        <v>10751</v>
      </c>
      <c r="B32" s="7">
        <v>16</v>
      </c>
      <c r="C32" s="7">
        <v>1</v>
      </c>
      <c r="D32" s="11">
        <v>3</v>
      </c>
      <c r="E32" s="11">
        <v>1</v>
      </c>
      <c r="F32" s="7">
        <v>100</v>
      </c>
      <c r="G32" s="7">
        <v>100</v>
      </c>
      <c r="H32" s="7">
        <v>3</v>
      </c>
      <c r="I32" s="7">
        <v>3</v>
      </c>
      <c r="J32" s="7">
        <v>17</v>
      </c>
      <c r="K32" s="7">
        <v>4</v>
      </c>
      <c r="L32" s="7">
        <v>2</v>
      </c>
    </row>
    <row r="33" spans="1:12" x14ac:dyDescent="0.3">
      <c r="A33" s="6" t="s">
        <v>10693</v>
      </c>
      <c r="B33" s="7">
        <v>8</v>
      </c>
      <c r="C33" s="7">
        <v>1</v>
      </c>
      <c r="D33" s="11">
        <v>6</v>
      </c>
      <c r="E33" s="11">
        <v>1</v>
      </c>
      <c r="F33" s="11">
        <v>2</v>
      </c>
      <c r="G33" s="11">
        <v>4</v>
      </c>
      <c r="H33" s="11">
        <v>2</v>
      </c>
      <c r="I33" s="11">
        <v>2</v>
      </c>
      <c r="J33" s="11">
        <v>12</v>
      </c>
      <c r="K33" s="11">
        <v>2</v>
      </c>
      <c r="L33" s="7">
        <v>2</v>
      </c>
    </row>
    <row r="34" spans="1:12" x14ac:dyDescent="0.3">
      <c r="A34" s="6" t="s">
        <v>10704</v>
      </c>
      <c r="B34" s="7">
        <v>13</v>
      </c>
      <c r="C34" s="7">
        <v>1</v>
      </c>
      <c r="D34" s="11">
        <v>6</v>
      </c>
      <c r="E34" s="11">
        <v>8</v>
      </c>
      <c r="F34" s="11">
        <v>100</v>
      </c>
      <c r="G34" s="11">
        <v>4</v>
      </c>
      <c r="H34" s="11">
        <v>2</v>
      </c>
      <c r="I34" s="11">
        <v>3</v>
      </c>
      <c r="J34" s="11">
        <v>12</v>
      </c>
      <c r="K34" s="11">
        <v>2</v>
      </c>
      <c r="L34" s="7">
        <v>2</v>
      </c>
    </row>
    <row r="35" spans="1:12" x14ac:dyDescent="0.3">
      <c r="A35" s="6" t="s">
        <v>10674</v>
      </c>
      <c r="B35" s="7">
        <v>15</v>
      </c>
      <c r="C35" s="7">
        <v>5</v>
      </c>
      <c r="D35" s="11">
        <v>1</v>
      </c>
      <c r="E35" s="11">
        <v>1</v>
      </c>
      <c r="F35" s="11">
        <v>6</v>
      </c>
      <c r="G35" s="11">
        <v>3</v>
      </c>
      <c r="H35" s="7">
        <v>1</v>
      </c>
      <c r="I35" s="7">
        <v>1</v>
      </c>
      <c r="J35" s="7">
        <v>4</v>
      </c>
      <c r="K35" s="7">
        <v>1</v>
      </c>
      <c r="L35" s="11">
        <v>1</v>
      </c>
    </row>
    <row r="36" spans="1:12" x14ac:dyDescent="0.3">
      <c r="A36" s="6" t="s">
        <v>2445</v>
      </c>
      <c r="B36" s="7">
        <v>8</v>
      </c>
      <c r="C36" s="7">
        <v>1</v>
      </c>
      <c r="D36" s="11">
        <v>3</v>
      </c>
      <c r="E36" s="11">
        <v>4</v>
      </c>
      <c r="F36" s="11">
        <v>1</v>
      </c>
      <c r="G36" s="11">
        <v>1</v>
      </c>
      <c r="H36" s="11">
        <v>1</v>
      </c>
      <c r="I36" s="11">
        <v>3</v>
      </c>
      <c r="J36" s="11">
        <v>1</v>
      </c>
      <c r="K36" s="11">
        <v>5</v>
      </c>
      <c r="L36" s="7">
        <v>2</v>
      </c>
    </row>
    <row r="37" spans="1:12" x14ac:dyDescent="0.3">
      <c r="A37" s="6" t="s">
        <v>10689</v>
      </c>
      <c r="B37" s="7">
        <v>10</v>
      </c>
      <c r="C37" s="7">
        <v>1</v>
      </c>
      <c r="D37" s="11">
        <v>8</v>
      </c>
      <c r="E37" s="11">
        <v>1</v>
      </c>
      <c r="F37" s="11">
        <v>1</v>
      </c>
      <c r="G37" s="11">
        <v>2</v>
      </c>
      <c r="H37" s="11">
        <v>1</v>
      </c>
      <c r="I37" s="11">
        <v>3</v>
      </c>
      <c r="J37" s="11">
        <v>1</v>
      </c>
      <c r="K37" s="11">
        <v>5</v>
      </c>
      <c r="L37" s="7">
        <v>2</v>
      </c>
    </row>
    <row r="38" spans="1:12" x14ac:dyDescent="0.3">
      <c r="A38" s="6" t="s">
        <v>10742</v>
      </c>
      <c r="B38" s="7">
        <v>4</v>
      </c>
      <c r="C38" s="7">
        <v>1</v>
      </c>
      <c r="D38" s="7">
        <v>1</v>
      </c>
      <c r="E38" s="11">
        <v>1</v>
      </c>
      <c r="F38" s="11">
        <v>100</v>
      </c>
      <c r="G38" s="11">
        <v>100</v>
      </c>
      <c r="H38" s="11">
        <v>3</v>
      </c>
      <c r="I38" s="11">
        <v>3</v>
      </c>
      <c r="J38" s="11">
        <v>17</v>
      </c>
      <c r="K38" s="11">
        <v>4</v>
      </c>
      <c r="L38" s="7">
        <v>2</v>
      </c>
    </row>
    <row r="39" spans="1:12" x14ac:dyDescent="0.3">
      <c r="A39" s="6" t="s">
        <v>10688</v>
      </c>
      <c r="B39" s="7">
        <v>6</v>
      </c>
      <c r="C39" s="7">
        <v>1</v>
      </c>
      <c r="D39" s="11">
        <v>8</v>
      </c>
      <c r="E39" s="11">
        <v>8</v>
      </c>
      <c r="F39" s="11">
        <v>2</v>
      </c>
      <c r="G39" s="11">
        <v>4</v>
      </c>
      <c r="H39" s="11">
        <v>2</v>
      </c>
      <c r="I39" s="11">
        <v>3</v>
      </c>
      <c r="J39" s="11">
        <v>16</v>
      </c>
      <c r="K39" s="11">
        <v>4</v>
      </c>
      <c r="L39" s="7">
        <v>2</v>
      </c>
    </row>
    <row r="40" spans="1:12" x14ac:dyDescent="0.3">
      <c r="A40" s="6" t="s">
        <v>10675</v>
      </c>
      <c r="B40" s="7">
        <v>13</v>
      </c>
      <c r="C40" s="7">
        <v>1</v>
      </c>
      <c r="D40" s="11">
        <v>8</v>
      </c>
      <c r="E40" s="11">
        <v>1</v>
      </c>
      <c r="F40" s="7">
        <v>5</v>
      </c>
      <c r="G40" s="7">
        <v>3</v>
      </c>
      <c r="H40" s="11">
        <v>2</v>
      </c>
      <c r="I40" s="11">
        <v>2</v>
      </c>
      <c r="J40" s="11">
        <v>16</v>
      </c>
      <c r="K40" s="11">
        <v>3</v>
      </c>
      <c r="L40" s="11">
        <v>2</v>
      </c>
    </row>
    <row r="41" spans="1:12" x14ac:dyDescent="0.3">
      <c r="A41" s="6" t="s">
        <v>10547</v>
      </c>
      <c r="B41" s="7">
        <v>8</v>
      </c>
      <c r="C41" s="7">
        <v>2</v>
      </c>
      <c r="D41" s="7">
        <v>3</v>
      </c>
      <c r="E41" s="11">
        <v>2</v>
      </c>
      <c r="F41" s="11">
        <v>1</v>
      </c>
      <c r="G41" s="11">
        <v>1</v>
      </c>
      <c r="H41" s="11">
        <v>3</v>
      </c>
      <c r="I41" s="11">
        <v>3</v>
      </c>
      <c r="J41" s="11">
        <v>17</v>
      </c>
      <c r="K41" s="11">
        <v>4</v>
      </c>
      <c r="L41" s="11">
        <v>2</v>
      </c>
    </row>
    <row r="42" spans="1:12" x14ac:dyDescent="0.3">
      <c r="A42" s="6" t="s">
        <v>10684</v>
      </c>
      <c r="B42" s="7">
        <v>11</v>
      </c>
      <c r="C42" s="7">
        <v>1</v>
      </c>
      <c r="D42" s="11">
        <v>3</v>
      </c>
      <c r="E42" s="11">
        <v>6</v>
      </c>
      <c r="F42" s="11">
        <v>1</v>
      </c>
      <c r="G42" s="11">
        <v>100</v>
      </c>
      <c r="H42" s="11">
        <v>2</v>
      </c>
      <c r="I42" s="11">
        <v>3</v>
      </c>
      <c r="J42" s="11">
        <v>17</v>
      </c>
      <c r="K42" s="11">
        <v>3</v>
      </c>
      <c r="L42" s="11">
        <v>2</v>
      </c>
    </row>
    <row r="43" spans="1:12" x14ac:dyDescent="0.3">
      <c r="A43" s="6" t="s">
        <v>10703</v>
      </c>
      <c r="B43" s="7">
        <v>8</v>
      </c>
      <c r="C43" s="7">
        <v>1</v>
      </c>
      <c r="D43" s="11">
        <v>8</v>
      </c>
      <c r="E43" s="11">
        <v>4</v>
      </c>
      <c r="F43" s="11">
        <v>1</v>
      </c>
      <c r="G43" s="11">
        <v>1</v>
      </c>
      <c r="H43" s="11">
        <v>1</v>
      </c>
      <c r="I43" s="11">
        <v>3</v>
      </c>
      <c r="J43" s="11">
        <v>1</v>
      </c>
      <c r="K43" s="11">
        <v>5</v>
      </c>
      <c r="L43" s="7">
        <v>2</v>
      </c>
    </row>
    <row r="44" spans="1:12" x14ac:dyDescent="0.3">
      <c r="A44" s="6" t="s">
        <v>10734</v>
      </c>
      <c r="B44" s="7">
        <v>12</v>
      </c>
      <c r="C44" s="7">
        <v>1</v>
      </c>
      <c r="D44" s="7">
        <v>3</v>
      </c>
      <c r="E44" s="11">
        <v>1</v>
      </c>
      <c r="F44" s="11">
        <v>1</v>
      </c>
      <c r="G44" s="11">
        <v>2</v>
      </c>
      <c r="H44" s="7">
        <v>2</v>
      </c>
      <c r="I44" s="7">
        <v>3</v>
      </c>
      <c r="J44" s="7">
        <v>17</v>
      </c>
      <c r="K44" s="7">
        <v>4</v>
      </c>
      <c r="L44" s="11">
        <v>2</v>
      </c>
    </row>
    <row r="45" spans="1:12" x14ac:dyDescent="0.3">
      <c r="A45" s="6" t="s">
        <v>10686</v>
      </c>
      <c r="B45" s="7">
        <v>15</v>
      </c>
      <c r="C45" s="7">
        <v>1</v>
      </c>
      <c r="D45" s="11">
        <v>8</v>
      </c>
      <c r="E45" s="11">
        <v>4</v>
      </c>
      <c r="F45" s="11">
        <v>1</v>
      </c>
      <c r="G45" s="11">
        <v>2</v>
      </c>
      <c r="H45" s="11">
        <v>2</v>
      </c>
      <c r="I45" s="11">
        <v>2</v>
      </c>
      <c r="J45" s="11">
        <v>16</v>
      </c>
      <c r="K45" s="11">
        <v>3</v>
      </c>
      <c r="L45" s="7">
        <v>2</v>
      </c>
    </row>
    <row r="46" spans="1:12" x14ac:dyDescent="0.3">
      <c r="A46" s="6" t="s">
        <v>10757</v>
      </c>
      <c r="B46" s="7">
        <v>15</v>
      </c>
      <c r="C46" s="7">
        <v>1</v>
      </c>
      <c r="D46" s="11">
        <v>1</v>
      </c>
      <c r="E46" s="11">
        <v>4</v>
      </c>
      <c r="F46" s="11">
        <v>1</v>
      </c>
      <c r="G46" s="11">
        <v>1</v>
      </c>
      <c r="H46" s="11">
        <v>2</v>
      </c>
      <c r="I46" s="11">
        <v>3</v>
      </c>
      <c r="J46" s="11">
        <v>8</v>
      </c>
      <c r="K46" s="11">
        <v>3</v>
      </c>
      <c r="L46" s="11">
        <v>2</v>
      </c>
    </row>
    <row r="47" spans="1:12" x14ac:dyDescent="0.3">
      <c r="A47" s="6" t="s">
        <v>10676</v>
      </c>
      <c r="B47" s="7">
        <v>11</v>
      </c>
      <c r="C47" s="7">
        <v>1</v>
      </c>
      <c r="D47" s="11">
        <v>8</v>
      </c>
      <c r="E47" s="11">
        <v>8</v>
      </c>
      <c r="F47" s="7">
        <v>4</v>
      </c>
      <c r="G47" s="7">
        <v>3</v>
      </c>
      <c r="H47" s="11">
        <v>1</v>
      </c>
      <c r="I47" s="11">
        <v>1</v>
      </c>
      <c r="J47" s="11">
        <v>6</v>
      </c>
      <c r="K47" s="11">
        <v>1</v>
      </c>
      <c r="L47" s="11">
        <v>2</v>
      </c>
    </row>
    <row r="48" spans="1:12" x14ac:dyDescent="0.3">
      <c r="A48" s="6" t="s">
        <v>10701</v>
      </c>
      <c r="B48" s="7">
        <v>8</v>
      </c>
      <c r="C48" s="7">
        <v>1</v>
      </c>
      <c r="D48" s="11">
        <v>8</v>
      </c>
      <c r="E48" s="11">
        <v>1</v>
      </c>
      <c r="F48" s="11">
        <v>1</v>
      </c>
      <c r="G48" s="11">
        <v>2</v>
      </c>
      <c r="H48" s="11">
        <v>2</v>
      </c>
      <c r="I48" s="11">
        <v>3</v>
      </c>
      <c r="J48" s="11">
        <v>16</v>
      </c>
      <c r="K48" s="11">
        <v>4</v>
      </c>
      <c r="L48" s="7">
        <v>2</v>
      </c>
    </row>
    <row r="49" spans="1:12" x14ac:dyDescent="0.3">
      <c r="A49" s="6" t="s">
        <v>10726</v>
      </c>
      <c r="B49" s="7">
        <v>12</v>
      </c>
      <c r="C49" s="7">
        <v>1</v>
      </c>
      <c r="D49" s="7">
        <v>3</v>
      </c>
      <c r="E49" s="11">
        <v>15</v>
      </c>
      <c r="F49" s="11">
        <v>1</v>
      </c>
      <c r="G49" s="11">
        <v>2</v>
      </c>
      <c r="H49" s="7">
        <v>3</v>
      </c>
      <c r="I49" s="7">
        <v>3</v>
      </c>
      <c r="J49" s="7">
        <v>17</v>
      </c>
      <c r="K49" s="7">
        <v>4</v>
      </c>
      <c r="L49" s="11">
        <v>2</v>
      </c>
    </row>
    <row r="50" spans="1:12" x14ac:dyDescent="0.3">
      <c r="A50" s="6" t="s">
        <v>10754</v>
      </c>
      <c r="B50" s="7">
        <v>16</v>
      </c>
      <c r="C50" s="7">
        <v>1</v>
      </c>
      <c r="D50" s="11">
        <v>3</v>
      </c>
      <c r="E50" s="11">
        <v>1</v>
      </c>
      <c r="F50" s="11">
        <v>1</v>
      </c>
      <c r="G50" s="11">
        <v>1</v>
      </c>
      <c r="H50" s="11">
        <v>3</v>
      </c>
      <c r="I50" s="11">
        <v>3</v>
      </c>
      <c r="J50" s="11">
        <v>17</v>
      </c>
      <c r="K50" s="11">
        <v>4</v>
      </c>
      <c r="L50" s="11">
        <v>2</v>
      </c>
    </row>
    <row r="51" spans="1:12" x14ac:dyDescent="0.3">
      <c r="A51" s="6" t="s">
        <v>10683</v>
      </c>
      <c r="B51" s="7">
        <v>14</v>
      </c>
      <c r="C51" s="7">
        <v>1</v>
      </c>
      <c r="D51" s="11">
        <v>1</v>
      </c>
      <c r="E51" s="11">
        <v>4</v>
      </c>
      <c r="F51" s="11">
        <v>1</v>
      </c>
      <c r="G51" s="11">
        <v>2</v>
      </c>
      <c r="H51" s="11">
        <v>1</v>
      </c>
      <c r="I51" s="11">
        <v>3</v>
      </c>
      <c r="J51" s="11">
        <v>1</v>
      </c>
      <c r="K51" s="11">
        <v>5</v>
      </c>
      <c r="L51" s="7">
        <v>2</v>
      </c>
    </row>
    <row r="52" spans="1:12" x14ac:dyDescent="0.3">
      <c r="A52" s="6" t="s">
        <v>10732</v>
      </c>
      <c r="B52" s="7">
        <v>12</v>
      </c>
      <c r="C52" s="7">
        <v>1</v>
      </c>
      <c r="D52" s="7">
        <v>3</v>
      </c>
      <c r="E52" s="11">
        <v>4</v>
      </c>
      <c r="F52" s="11">
        <v>1</v>
      </c>
      <c r="G52" s="11">
        <v>2</v>
      </c>
      <c r="H52" s="11">
        <v>3</v>
      </c>
      <c r="I52" s="11">
        <v>3</v>
      </c>
      <c r="J52" s="11">
        <v>17</v>
      </c>
      <c r="K52" s="11">
        <v>4</v>
      </c>
      <c r="L52" s="7">
        <v>2</v>
      </c>
    </row>
    <row r="53" spans="1:12" x14ac:dyDescent="0.3">
      <c r="A53" s="6" t="s">
        <v>10718</v>
      </c>
      <c r="B53" s="7">
        <v>13</v>
      </c>
      <c r="C53" s="7">
        <v>1</v>
      </c>
      <c r="D53" s="7">
        <v>5</v>
      </c>
      <c r="E53" s="11">
        <v>1</v>
      </c>
      <c r="F53" s="11">
        <v>1</v>
      </c>
      <c r="G53" s="11">
        <v>1</v>
      </c>
      <c r="H53" s="11">
        <v>3</v>
      </c>
      <c r="I53" s="11">
        <v>3</v>
      </c>
      <c r="J53" s="11">
        <v>17</v>
      </c>
      <c r="K53" s="11">
        <v>4</v>
      </c>
      <c r="L53" s="7">
        <v>2</v>
      </c>
    </row>
    <row r="54" spans="1:12" x14ac:dyDescent="0.3">
      <c r="A54" s="6" t="s">
        <v>10677</v>
      </c>
      <c r="B54" s="7">
        <v>11</v>
      </c>
      <c r="C54" s="7">
        <v>1</v>
      </c>
      <c r="D54" s="11">
        <v>3</v>
      </c>
      <c r="E54" s="11">
        <v>9</v>
      </c>
      <c r="F54" s="7">
        <v>3</v>
      </c>
      <c r="G54" s="7">
        <v>3</v>
      </c>
      <c r="H54" s="11">
        <v>1</v>
      </c>
      <c r="I54" s="11">
        <v>4</v>
      </c>
      <c r="J54" s="11">
        <v>16</v>
      </c>
      <c r="K54" s="11">
        <v>3</v>
      </c>
      <c r="L54" s="7">
        <v>1</v>
      </c>
    </row>
    <row r="55" spans="1:12" x14ac:dyDescent="0.3">
      <c r="A55" s="6" t="s">
        <v>10132</v>
      </c>
      <c r="B55" s="7">
        <v>8</v>
      </c>
      <c r="C55" s="7">
        <v>2</v>
      </c>
      <c r="D55" s="11">
        <v>3</v>
      </c>
      <c r="E55" s="11">
        <v>8</v>
      </c>
      <c r="F55" s="11">
        <v>1</v>
      </c>
      <c r="G55" s="11">
        <v>1</v>
      </c>
      <c r="H55" s="11">
        <v>3</v>
      </c>
      <c r="I55" s="11">
        <v>3</v>
      </c>
      <c r="J55" s="11">
        <v>17</v>
      </c>
      <c r="K55" s="11">
        <v>4</v>
      </c>
      <c r="L55" s="11">
        <v>1</v>
      </c>
    </row>
    <row r="56" spans="1:12" x14ac:dyDescent="0.3">
      <c r="A56" s="6" t="s">
        <v>10698</v>
      </c>
      <c r="B56" s="7">
        <v>15</v>
      </c>
      <c r="C56" s="7">
        <v>1</v>
      </c>
      <c r="D56" s="11">
        <v>3</v>
      </c>
      <c r="E56" s="11">
        <v>1</v>
      </c>
      <c r="F56" s="11">
        <v>1</v>
      </c>
      <c r="G56" s="11">
        <v>2</v>
      </c>
      <c r="H56" s="11">
        <v>3</v>
      </c>
      <c r="I56" s="11">
        <v>3</v>
      </c>
      <c r="J56" s="11">
        <v>17</v>
      </c>
      <c r="K56" s="11">
        <v>4</v>
      </c>
      <c r="L56" s="7">
        <v>2</v>
      </c>
    </row>
    <row r="57" spans="1:12" x14ac:dyDescent="0.3">
      <c r="A57" s="6" t="s">
        <v>10707</v>
      </c>
      <c r="B57" s="7">
        <v>4</v>
      </c>
      <c r="C57" s="7">
        <v>1</v>
      </c>
      <c r="D57" s="11">
        <v>8</v>
      </c>
      <c r="E57" s="11">
        <v>4</v>
      </c>
      <c r="F57" s="11">
        <v>2</v>
      </c>
      <c r="G57" s="11">
        <v>4</v>
      </c>
      <c r="H57" s="11">
        <v>3</v>
      </c>
      <c r="I57" s="11">
        <v>3</v>
      </c>
      <c r="J57" s="11">
        <v>17</v>
      </c>
      <c r="K57" s="11">
        <v>4</v>
      </c>
      <c r="L57" s="7">
        <v>2</v>
      </c>
    </row>
    <row r="58" spans="1:12" x14ac:dyDescent="0.3">
      <c r="A58" s="6" t="s">
        <v>10740</v>
      </c>
      <c r="B58" s="7">
        <v>12</v>
      </c>
      <c r="C58" s="7">
        <v>1</v>
      </c>
      <c r="D58" s="7">
        <v>7</v>
      </c>
      <c r="E58" s="11">
        <v>1</v>
      </c>
      <c r="F58" s="11">
        <v>1</v>
      </c>
      <c r="G58" s="11">
        <v>1</v>
      </c>
      <c r="H58" s="7">
        <v>1</v>
      </c>
      <c r="I58" s="7">
        <v>3</v>
      </c>
      <c r="J58" s="7">
        <v>2</v>
      </c>
      <c r="K58" s="7">
        <v>5</v>
      </c>
      <c r="L58" s="11">
        <v>2</v>
      </c>
    </row>
    <row r="59" spans="1:12" x14ac:dyDescent="0.3">
      <c r="A59" s="6" t="s">
        <v>10687</v>
      </c>
      <c r="B59" s="7">
        <v>8</v>
      </c>
      <c r="C59" s="7">
        <v>1</v>
      </c>
      <c r="D59" s="11">
        <v>8</v>
      </c>
      <c r="E59" s="11">
        <v>15</v>
      </c>
      <c r="F59" s="11">
        <v>1</v>
      </c>
      <c r="G59" s="11">
        <v>1</v>
      </c>
      <c r="H59" s="11">
        <v>2</v>
      </c>
      <c r="I59" s="11">
        <v>3</v>
      </c>
      <c r="J59" s="11">
        <v>16</v>
      </c>
      <c r="K59" s="11">
        <v>3</v>
      </c>
      <c r="L59" s="7">
        <v>2</v>
      </c>
    </row>
    <row r="60" spans="1:12" x14ac:dyDescent="0.3">
      <c r="A60" s="6" t="s">
        <v>10710</v>
      </c>
      <c r="B60" s="7">
        <v>10</v>
      </c>
      <c r="C60" s="7">
        <v>1</v>
      </c>
      <c r="D60" s="11">
        <v>7</v>
      </c>
      <c r="E60" s="11">
        <v>4</v>
      </c>
      <c r="F60" s="11">
        <v>1</v>
      </c>
      <c r="G60" s="11">
        <v>2</v>
      </c>
      <c r="H60" s="11">
        <v>3</v>
      </c>
      <c r="I60" s="11">
        <v>3</v>
      </c>
      <c r="J60" s="11">
        <v>17</v>
      </c>
      <c r="K60" s="11">
        <v>4</v>
      </c>
      <c r="L60" s="7">
        <v>2</v>
      </c>
    </row>
    <row r="61" spans="1:12" x14ac:dyDescent="0.3">
      <c r="A61" s="6" t="s">
        <v>10699</v>
      </c>
      <c r="B61" s="7">
        <v>7</v>
      </c>
      <c r="C61" s="7">
        <v>1</v>
      </c>
      <c r="D61" s="11">
        <v>3</v>
      </c>
      <c r="E61" s="11">
        <v>6</v>
      </c>
      <c r="F61" s="11">
        <v>1</v>
      </c>
      <c r="G61" s="11">
        <v>1</v>
      </c>
      <c r="H61" s="11">
        <v>1</v>
      </c>
      <c r="I61" s="11">
        <v>3</v>
      </c>
      <c r="J61" s="11">
        <v>1</v>
      </c>
      <c r="K61" s="11">
        <v>5</v>
      </c>
      <c r="L61" s="7">
        <v>2</v>
      </c>
    </row>
    <row r="62" spans="1:12" x14ac:dyDescent="0.3">
      <c r="A62" s="6" t="s">
        <v>10750</v>
      </c>
      <c r="B62" s="7">
        <v>16</v>
      </c>
      <c r="C62" s="7">
        <v>3</v>
      </c>
      <c r="D62" s="11">
        <v>3</v>
      </c>
      <c r="E62" s="11">
        <v>4</v>
      </c>
      <c r="F62" s="11">
        <v>1</v>
      </c>
      <c r="G62" s="11">
        <v>1</v>
      </c>
      <c r="H62" s="11">
        <v>2</v>
      </c>
      <c r="I62" s="11">
        <v>3</v>
      </c>
      <c r="J62" s="11">
        <v>8</v>
      </c>
      <c r="K62" s="11">
        <v>3</v>
      </c>
      <c r="L62" s="7">
        <v>2</v>
      </c>
    </row>
    <row r="63" spans="1:12" x14ac:dyDescent="0.3">
      <c r="A63" s="6" t="s">
        <v>10724</v>
      </c>
      <c r="B63" s="7">
        <v>16</v>
      </c>
      <c r="C63" s="7">
        <v>1</v>
      </c>
      <c r="D63" s="7">
        <v>3</v>
      </c>
      <c r="E63" s="11">
        <v>15</v>
      </c>
      <c r="F63" s="11">
        <v>1</v>
      </c>
      <c r="G63" s="11">
        <v>1</v>
      </c>
      <c r="H63" s="7">
        <v>3</v>
      </c>
      <c r="I63" s="7">
        <v>3</v>
      </c>
      <c r="J63" s="7">
        <v>17</v>
      </c>
      <c r="K63" s="7">
        <v>4</v>
      </c>
      <c r="L63" s="7">
        <v>2</v>
      </c>
    </row>
    <row r="64" spans="1:12" x14ac:dyDescent="0.3">
      <c r="A64" s="6" t="s">
        <v>10697</v>
      </c>
      <c r="B64" s="7">
        <v>13</v>
      </c>
      <c r="C64" s="7">
        <v>1</v>
      </c>
      <c r="D64" s="11">
        <v>8</v>
      </c>
      <c r="E64" s="11">
        <v>1</v>
      </c>
      <c r="F64" s="11">
        <v>1</v>
      </c>
      <c r="G64" s="11">
        <v>2</v>
      </c>
      <c r="H64" s="11">
        <v>3</v>
      </c>
      <c r="I64" s="11">
        <v>3</v>
      </c>
      <c r="J64" s="11">
        <v>17</v>
      </c>
      <c r="K64" s="11">
        <v>4</v>
      </c>
      <c r="L64" s="7">
        <v>2</v>
      </c>
    </row>
    <row r="65" spans="1:12" x14ac:dyDescent="0.3">
      <c r="A65" s="6" t="s">
        <v>10691</v>
      </c>
      <c r="B65" s="7">
        <v>16</v>
      </c>
      <c r="C65" s="7">
        <v>1</v>
      </c>
      <c r="D65" s="11">
        <v>6</v>
      </c>
      <c r="E65" s="11">
        <v>1</v>
      </c>
      <c r="F65" s="11">
        <v>100</v>
      </c>
      <c r="G65" s="11">
        <v>4</v>
      </c>
      <c r="H65" s="11">
        <v>1</v>
      </c>
      <c r="I65" s="11">
        <v>1</v>
      </c>
      <c r="J65" s="11">
        <v>10</v>
      </c>
      <c r="K65" s="11">
        <v>2</v>
      </c>
      <c r="L65" s="7">
        <v>2</v>
      </c>
    </row>
    <row r="66" spans="1:12" x14ac:dyDescent="0.3">
      <c r="A66" s="6" t="s">
        <v>10752</v>
      </c>
      <c r="B66" s="7">
        <v>14</v>
      </c>
      <c r="C66" s="7">
        <v>1</v>
      </c>
      <c r="D66" s="11">
        <v>1</v>
      </c>
      <c r="E66" s="11">
        <v>4</v>
      </c>
      <c r="F66" s="11">
        <v>1</v>
      </c>
      <c r="G66" s="11">
        <v>2</v>
      </c>
      <c r="H66" s="7">
        <v>3</v>
      </c>
      <c r="I66" s="7">
        <v>3</v>
      </c>
      <c r="J66" s="7">
        <v>17</v>
      </c>
      <c r="K66" s="7">
        <v>4</v>
      </c>
      <c r="L66" s="11">
        <v>2</v>
      </c>
    </row>
    <row r="67" spans="1:12" x14ac:dyDescent="0.3">
      <c r="A67" s="6" t="s">
        <v>10739</v>
      </c>
      <c r="B67" s="7">
        <v>8</v>
      </c>
      <c r="C67" s="7">
        <v>1</v>
      </c>
      <c r="D67" s="7">
        <v>1</v>
      </c>
      <c r="E67" s="11">
        <v>11</v>
      </c>
      <c r="F67" s="11">
        <v>1</v>
      </c>
      <c r="G67" s="11">
        <v>1</v>
      </c>
      <c r="H67" s="11">
        <v>3</v>
      </c>
      <c r="I67" s="11">
        <v>3</v>
      </c>
      <c r="J67" s="11">
        <v>17</v>
      </c>
      <c r="K67" s="11">
        <v>4</v>
      </c>
      <c r="L67" s="7">
        <v>2</v>
      </c>
    </row>
    <row r="68" spans="1:12" x14ac:dyDescent="0.3">
      <c r="A68" s="6" t="s">
        <v>10712</v>
      </c>
      <c r="B68" s="7">
        <v>13</v>
      </c>
      <c r="C68" s="7">
        <v>1</v>
      </c>
      <c r="D68" s="11">
        <v>4</v>
      </c>
      <c r="E68" s="11">
        <v>4</v>
      </c>
      <c r="F68" s="11">
        <v>100</v>
      </c>
      <c r="G68" s="11">
        <v>4</v>
      </c>
      <c r="H68" s="11">
        <v>2</v>
      </c>
      <c r="I68" s="11">
        <v>3</v>
      </c>
      <c r="J68" s="11">
        <v>8</v>
      </c>
      <c r="K68" s="11">
        <v>3</v>
      </c>
      <c r="L68" s="11">
        <v>2</v>
      </c>
    </row>
    <row r="69" spans="1:12" x14ac:dyDescent="0.3">
      <c r="A69" s="6" t="s">
        <v>10708</v>
      </c>
      <c r="B69" s="7">
        <v>12</v>
      </c>
      <c r="C69" s="7">
        <v>1</v>
      </c>
      <c r="D69" s="11">
        <v>4</v>
      </c>
      <c r="E69" s="11">
        <v>8</v>
      </c>
      <c r="F69" s="11">
        <v>100</v>
      </c>
      <c r="G69" s="11">
        <v>3</v>
      </c>
      <c r="H69" s="11">
        <v>2</v>
      </c>
      <c r="I69" s="11">
        <v>3</v>
      </c>
      <c r="J69" s="11">
        <v>8</v>
      </c>
      <c r="K69" s="11">
        <v>3</v>
      </c>
      <c r="L69" s="11">
        <v>2</v>
      </c>
    </row>
    <row r="70" spans="1:12" x14ac:dyDescent="0.3">
      <c r="A70" s="6" t="s">
        <v>10747</v>
      </c>
      <c r="B70" s="7">
        <v>11</v>
      </c>
      <c r="C70" s="7">
        <v>1</v>
      </c>
      <c r="D70" s="11">
        <v>3</v>
      </c>
      <c r="E70" s="11">
        <v>4</v>
      </c>
      <c r="F70" s="11">
        <v>1</v>
      </c>
      <c r="G70" s="11">
        <v>2</v>
      </c>
      <c r="H70" s="7">
        <v>3</v>
      </c>
      <c r="I70" s="7">
        <v>3</v>
      </c>
      <c r="J70" s="7">
        <v>17</v>
      </c>
      <c r="K70" s="7">
        <v>4</v>
      </c>
      <c r="L70" s="11">
        <v>2</v>
      </c>
    </row>
    <row r="71" spans="1:12" x14ac:dyDescent="0.3">
      <c r="A71" s="6" t="s">
        <v>10731</v>
      </c>
      <c r="B71" s="7">
        <v>11</v>
      </c>
      <c r="C71" s="7">
        <v>1</v>
      </c>
      <c r="D71" s="7">
        <v>3</v>
      </c>
      <c r="E71" s="11">
        <v>2</v>
      </c>
      <c r="F71" s="11">
        <v>1</v>
      </c>
      <c r="G71" s="11">
        <v>1</v>
      </c>
      <c r="H71" s="11">
        <v>2</v>
      </c>
      <c r="I71" s="11">
        <v>3</v>
      </c>
      <c r="J71" s="11">
        <v>17</v>
      </c>
      <c r="K71" s="11">
        <v>4</v>
      </c>
      <c r="L71" s="7">
        <v>2</v>
      </c>
    </row>
    <row r="72" spans="1:12" x14ac:dyDescent="0.3">
      <c r="A72" s="6" t="s">
        <v>10714</v>
      </c>
      <c r="B72" s="7">
        <v>14</v>
      </c>
      <c r="C72" s="7">
        <v>1</v>
      </c>
      <c r="D72" s="11">
        <v>8</v>
      </c>
      <c r="E72" s="11">
        <v>4</v>
      </c>
      <c r="F72" s="7">
        <v>1</v>
      </c>
      <c r="G72" s="7">
        <v>2</v>
      </c>
      <c r="H72" s="11">
        <v>1</v>
      </c>
      <c r="I72" s="11">
        <v>1</v>
      </c>
      <c r="J72" s="11">
        <v>12</v>
      </c>
      <c r="K72" s="11">
        <v>1</v>
      </c>
      <c r="L72" s="11">
        <v>2</v>
      </c>
    </row>
    <row r="73" spans="1:12" x14ac:dyDescent="0.3">
      <c r="A73" s="6" t="s">
        <v>10743</v>
      </c>
      <c r="B73" s="7">
        <v>14</v>
      </c>
      <c r="C73" s="7">
        <v>1</v>
      </c>
      <c r="D73" s="7">
        <v>8</v>
      </c>
      <c r="E73" s="11">
        <v>4</v>
      </c>
      <c r="F73" s="11">
        <v>1</v>
      </c>
      <c r="G73" s="11">
        <v>2</v>
      </c>
      <c r="H73" s="11">
        <v>1</v>
      </c>
      <c r="I73" s="11">
        <v>3</v>
      </c>
      <c r="J73" s="11">
        <v>1</v>
      </c>
      <c r="K73" s="11">
        <v>5</v>
      </c>
      <c r="L73" s="7">
        <v>2</v>
      </c>
    </row>
    <row r="74" spans="1:12" x14ac:dyDescent="0.3">
      <c r="A74" s="6" t="s">
        <v>10746</v>
      </c>
      <c r="B74" s="7">
        <v>13</v>
      </c>
      <c r="C74" s="7">
        <v>1</v>
      </c>
      <c r="D74" s="7">
        <v>7</v>
      </c>
      <c r="E74" s="11">
        <v>1</v>
      </c>
      <c r="F74" s="7">
        <v>1</v>
      </c>
      <c r="G74" s="7">
        <v>1</v>
      </c>
      <c r="H74" s="7">
        <v>3</v>
      </c>
      <c r="I74" s="7">
        <v>3</v>
      </c>
      <c r="J74" s="7">
        <v>17</v>
      </c>
      <c r="K74" s="7">
        <v>4</v>
      </c>
      <c r="L74" s="11">
        <v>2</v>
      </c>
    </row>
    <row r="75" spans="1:12" x14ac:dyDescent="0.3">
      <c r="A75" s="6" t="s">
        <v>10685</v>
      </c>
      <c r="B75" s="7">
        <v>15</v>
      </c>
      <c r="C75" s="7">
        <v>1</v>
      </c>
      <c r="D75" s="11">
        <v>7</v>
      </c>
      <c r="E75" s="11">
        <v>4</v>
      </c>
      <c r="F75" s="11">
        <v>1</v>
      </c>
      <c r="G75" s="11">
        <v>2</v>
      </c>
      <c r="H75" s="11">
        <v>1</v>
      </c>
      <c r="I75" s="11">
        <v>3</v>
      </c>
      <c r="J75" s="11">
        <v>1</v>
      </c>
      <c r="K75" s="11">
        <v>5</v>
      </c>
      <c r="L75" s="7">
        <v>2</v>
      </c>
    </row>
    <row r="76" spans="1:12" x14ac:dyDescent="0.3">
      <c r="A76" s="6" t="s">
        <v>10692</v>
      </c>
      <c r="B76" s="7">
        <v>12</v>
      </c>
      <c r="C76" s="7">
        <v>1</v>
      </c>
      <c r="D76" s="11">
        <v>6</v>
      </c>
      <c r="E76" s="11">
        <v>9</v>
      </c>
      <c r="F76" s="11">
        <v>100</v>
      </c>
      <c r="G76" s="11">
        <v>4</v>
      </c>
      <c r="H76" s="11">
        <v>1</v>
      </c>
      <c r="I76" s="11">
        <v>1</v>
      </c>
      <c r="J76" s="11">
        <v>12</v>
      </c>
      <c r="K76" s="11">
        <v>2</v>
      </c>
      <c r="L76" s="7">
        <v>2</v>
      </c>
    </row>
    <row r="77" spans="1:12" x14ac:dyDescent="0.3">
      <c r="A77" s="6" t="s">
        <v>10717</v>
      </c>
      <c r="B77" s="7">
        <v>12</v>
      </c>
      <c r="C77" s="7">
        <v>1</v>
      </c>
      <c r="D77" s="11">
        <v>5</v>
      </c>
      <c r="E77" s="11">
        <v>1</v>
      </c>
      <c r="F77" s="11">
        <v>1</v>
      </c>
      <c r="G77" s="11">
        <v>1</v>
      </c>
      <c r="H77" s="11">
        <v>2</v>
      </c>
      <c r="I77" s="11">
        <v>3</v>
      </c>
      <c r="J77" s="11">
        <v>17</v>
      </c>
      <c r="K77" s="11">
        <v>3</v>
      </c>
      <c r="L77" s="11">
        <v>2</v>
      </c>
    </row>
    <row r="78" spans="1:12" x14ac:dyDescent="0.3">
      <c r="A78" s="6" t="s">
        <v>10706</v>
      </c>
      <c r="B78" s="7">
        <v>13</v>
      </c>
      <c r="C78" s="7">
        <v>1</v>
      </c>
      <c r="D78" s="11">
        <v>8</v>
      </c>
      <c r="E78" s="11">
        <v>4</v>
      </c>
      <c r="F78" s="11">
        <v>1</v>
      </c>
      <c r="G78" s="11">
        <v>2</v>
      </c>
      <c r="H78" s="11">
        <v>1</v>
      </c>
      <c r="I78" s="11">
        <v>3</v>
      </c>
      <c r="J78" s="11">
        <v>1</v>
      </c>
      <c r="K78" s="11">
        <v>5</v>
      </c>
      <c r="L78" s="7">
        <v>2</v>
      </c>
    </row>
    <row r="79" spans="1:12" x14ac:dyDescent="0.3">
      <c r="A79" s="6" t="s">
        <v>10730</v>
      </c>
      <c r="B79" s="7">
        <v>15</v>
      </c>
      <c r="C79" s="7">
        <v>1</v>
      </c>
      <c r="D79" s="11">
        <v>3</v>
      </c>
      <c r="E79" s="11">
        <v>4</v>
      </c>
      <c r="F79" s="11">
        <v>1</v>
      </c>
      <c r="G79" s="11">
        <v>1</v>
      </c>
      <c r="H79" s="7">
        <v>3</v>
      </c>
      <c r="I79" s="7">
        <v>3</v>
      </c>
      <c r="J79" s="7">
        <v>17</v>
      </c>
      <c r="K79" s="7">
        <v>4</v>
      </c>
      <c r="L79" s="7">
        <v>2</v>
      </c>
    </row>
    <row r="80" spans="1:12" x14ac:dyDescent="0.3">
      <c r="A80" s="6" t="s">
        <v>10744</v>
      </c>
      <c r="B80" s="7">
        <v>14</v>
      </c>
      <c r="C80" s="7">
        <v>1</v>
      </c>
      <c r="D80" s="11">
        <v>4</v>
      </c>
      <c r="E80" s="11">
        <v>6</v>
      </c>
      <c r="F80" s="11">
        <v>1</v>
      </c>
      <c r="G80" s="11">
        <v>2</v>
      </c>
      <c r="H80" s="11">
        <v>1</v>
      </c>
      <c r="I80" s="11">
        <v>3</v>
      </c>
      <c r="J80" s="11">
        <v>1</v>
      </c>
      <c r="K80" s="11">
        <v>5</v>
      </c>
      <c r="L80" s="7">
        <v>2</v>
      </c>
    </row>
    <row r="81" spans="1:12" x14ac:dyDescent="0.3">
      <c r="A81" s="6" t="s">
        <v>10728</v>
      </c>
      <c r="B81" s="7">
        <v>13</v>
      </c>
      <c r="C81" s="7">
        <v>6</v>
      </c>
      <c r="D81" s="7">
        <v>3</v>
      </c>
      <c r="E81" s="11">
        <v>9</v>
      </c>
      <c r="F81" s="11">
        <v>3</v>
      </c>
      <c r="G81" s="11">
        <v>3</v>
      </c>
      <c r="H81" s="11">
        <v>2</v>
      </c>
      <c r="I81" s="11">
        <v>3</v>
      </c>
      <c r="J81" s="11">
        <v>17</v>
      </c>
      <c r="K81" s="11">
        <v>4</v>
      </c>
      <c r="L81" s="11">
        <v>1</v>
      </c>
    </row>
    <row r="82" spans="1:12" x14ac:dyDescent="0.3">
      <c r="A82" s="6" t="s">
        <v>10678</v>
      </c>
      <c r="B82" s="7">
        <v>15</v>
      </c>
      <c r="C82" s="7">
        <v>1</v>
      </c>
      <c r="D82" s="11">
        <v>3</v>
      </c>
      <c r="E82" s="11">
        <v>9</v>
      </c>
      <c r="F82" s="11">
        <v>12</v>
      </c>
      <c r="G82" s="11">
        <v>3</v>
      </c>
      <c r="H82" s="7">
        <v>1</v>
      </c>
      <c r="I82" s="7">
        <v>1</v>
      </c>
      <c r="J82" s="7">
        <v>4</v>
      </c>
      <c r="K82" s="7">
        <v>1</v>
      </c>
      <c r="L82" s="7">
        <v>1</v>
      </c>
    </row>
    <row r="83" spans="1:12" x14ac:dyDescent="0.3">
      <c r="A83" s="6" t="s">
        <v>10737</v>
      </c>
      <c r="B83" s="7">
        <v>9</v>
      </c>
      <c r="C83" s="7">
        <v>2</v>
      </c>
      <c r="D83" s="11">
        <v>3</v>
      </c>
      <c r="E83" s="11">
        <v>4</v>
      </c>
      <c r="F83" s="11">
        <v>1</v>
      </c>
      <c r="G83" s="11">
        <v>2</v>
      </c>
      <c r="H83" s="11">
        <v>1</v>
      </c>
      <c r="I83" s="11">
        <v>1</v>
      </c>
      <c r="J83" s="11">
        <v>6</v>
      </c>
      <c r="K83" s="11">
        <v>1</v>
      </c>
      <c r="L83" s="11">
        <v>2</v>
      </c>
    </row>
    <row r="84" spans="1:12" x14ac:dyDescent="0.3">
      <c r="A84" s="6" t="s">
        <v>10709</v>
      </c>
      <c r="B84" s="7">
        <v>13</v>
      </c>
      <c r="C84" s="7">
        <v>1</v>
      </c>
      <c r="D84" s="11">
        <v>8</v>
      </c>
      <c r="E84" s="11">
        <v>1</v>
      </c>
      <c r="F84" s="11">
        <v>1</v>
      </c>
      <c r="G84" s="11">
        <v>1</v>
      </c>
      <c r="H84" s="11">
        <v>1</v>
      </c>
      <c r="I84" s="11">
        <v>1</v>
      </c>
      <c r="J84" s="11">
        <v>6</v>
      </c>
      <c r="K84" s="11">
        <v>1</v>
      </c>
      <c r="L84" s="11">
        <v>2</v>
      </c>
    </row>
    <row r="85" spans="1:12" x14ac:dyDescent="0.3">
      <c r="A85" s="6" t="s">
        <v>10755</v>
      </c>
      <c r="B85" s="7">
        <v>14</v>
      </c>
      <c r="C85" s="7">
        <v>1</v>
      </c>
      <c r="D85" s="11">
        <v>8</v>
      </c>
      <c r="E85" s="11">
        <v>1</v>
      </c>
      <c r="F85" s="11">
        <v>1</v>
      </c>
      <c r="G85" s="11">
        <v>2</v>
      </c>
      <c r="H85" s="11">
        <v>1</v>
      </c>
      <c r="I85" s="11">
        <v>3</v>
      </c>
      <c r="J85" s="11">
        <v>1</v>
      </c>
      <c r="K85" s="11">
        <v>5</v>
      </c>
      <c r="L85" s="11">
        <v>2</v>
      </c>
    </row>
    <row r="86" spans="1:12" x14ac:dyDescent="0.3">
      <c r="A86" s="6" t="s">
        <v>10679</v>
      </c>
      <c r="B86" s="7">
        <v>12</v>
      </c>
      <c r="C86" s="7">
        <v>1</v>
      </c>
      <c r="D86" s="11">
        <v>3</v>
      </c>
      <c r="E86" s="11">
        <v>1</v>
      </c>
      <c r="F86" s="11">
        <v>1</v>
      </c>
      <c r="G86" s="11">
        <v>2</v>
      </c>
      <c r="H86" s="11">
        <v>2</v>
      </c>
      <c r="I86" s="11">
        <v>3</v>
      </c>
      <c r="J86" s="11">
        <v>9</v>
      </c>
      <c r="K86" s="11">
        <v>3</v>
      </c>
      <c r="L86" s="11">
        <v>2</v>
      </c>
    </row>
    <row r="87" spans="1:12" x14ac:dyDescent="0.3">
      <c r="A87" s="6" t="s">
        <v>10715</v>
      </c>
      <c r="B87" s="7">
        <v>16</v>
      </c>
      <c r="C87" s="7">
        <v>1</v>
      </c>
      <c r="D87" s="11">
        <v>5</v>
      </c>
      <c r="E87" s="11">
        <v>1</v>
      </c>
      <c r="F87" s="11">
        <v>100</v>
      </c>
      <c r="G87" s="11">
        <v>4</v>
      </c>
      <c r="H87" s="11">
        <v>2</v>
      </c>
      <c r="I87" s="11">
        <v>2</v>
      </c>
      <c r="J87" s="11">
        <v>12</v>
      </c>
      <c r="K87" s="11">
        <v>3</v>
      </c>
      <c r="L87" s="7">
        <v>2</v>
      </c>
    </row>
    <row r="88" spans="1:12" x14ac:dyDescent="0.3">
      <c r="A88" s="6" t="s">
        <v>10705</v>
      </c>
      <c r="B88" s="7">
        <v>12</v>
      </c>
      <c r="C88" s="7">
        <v>1</v>
      </c>
      <c r="D88" s="11">
        <v>8</v>
      </c>
      <c r="E88" s="11">
        <v>15</v>
      </c>
      <c r="F88" s="11">
        <v>1</v>
      </c>
      <c r="G88" s="11">
        <v>2</v>
      </c>
      <c r="H88" s="11">
        <v>2</v>
      </c>
      <c r="I88" s="11">
        <v>2</v>
      </c>
      <c r="J88" s="11">
        <v>17</v>
      </c>
      <c r="K88" s="11">
        <v>4</v>
      </c>
      <c r="L88" s="7">
        <v>2</v>
      </c>
    </row>
    <row r="89" spans="1:12" x14ac:dyDescent="0.3">
      <c r="A89" s="6" t="s">
        <v>10738</v>
      </c>
      <c r="B89" s="7">
        <v>13</v>
      </c>
      <c r="C89" s="7">
        <v>1</v>
      </c>
      <c r="D89" s="7">
        <v>3</v>
      </c>
      <c r="E89" s="11">
        <v>7</v>
      </c>
      <c r="F89" s="11">
        <v>1</v>
      </c>
      <c r="G89" s="11">
        <v>1</v>
      </c>
      <c r="H89" s="7">
        <v>2</v>
      </c>
      <c r="I89" s="7">
        <v>2</v>
      </c>
      <c r="J89" s="7">
        <v>17</v>
      </c>
      <c r="K89" s="7">
        <v>4</v>
      </c>
      <c r="L89" s="11">
        <v>2</v>
      </c>
    </row>
    <row r="90" spans="1:12" x14ac:dyDescent="0.3">
      <c r="A90" s="6" t="s">
        <v>10735</v>
      </c>
      <c r="B90" s="7">
        <v>11</v>
      </c>
      <c r="C90" s="7">
        <v>1</v>
      </c>
      <c r="D90" s="11">
        <v>3</v>
      </c>
      <c r="E90" s="11">
        <v>4</v>
      </c>
      <c r="F90" s="11">
        <v>1</v>
      </c>
      <c r="G90" s="11">
        <v>1</v>
      </c>
      <c r="H90" s="11">
        <v>3</v>
      </c>
      <c r="I90" s="11">
        <v>3</v>
      </c>
      <c r="J90" s="11">
        <v>17</v>
      </c>
      <c r="K90" s="11">
        <v>4</v>
      </c>
      <c r="L90" s="11">
        <v>2</v>
      </c>
    </row>
    <row r="91" spans="1:12" x14ac:dyDescent="0.3">
      <c r="A91" s="6" t="s">
        <v>10680</v>
      </c>
      <c r="B91" s="7">
        <v>4</v>
      </c>
      <c r="C91" s="7">
        <v>1</v>
      </c>
      <c r="D91" s="11">
        <v>1</v>
      </c>
      <c r="E91" s="7">
        <v>6</v>
      </c>
      <c r="F91" s="11">
        <v>3</v>
      </c>
      <c r="G91" s="11">
        <v>4</v>
      </c>
      <c r="H91" s="7">
        <v>1</v>
      </c>
      <c r="I91" s="7">
        <v>3</v>
      </c>
      <c r="J91" s="7">
        <v>1</v>
      </c>
      <c r="K91" s="7">
        <v>5</v>
      </c>
      <c r="L91" s="11">
        <v>1</v>
      </c>
    </row>
    <row r="92" spans="1:12" x14ac:dyDescent="0.3">
      <c r="A92" s="6" t="s">
        <v>10733</v>
      </c>
      <c r="B92" s="7">
        <v>16</v>
      </c>
      <c r="C92" s="7">
        <v>1</v>
      </c>
      <c r="D92" s="7">
        <v>3</v>
      </c>
      <c r="E92" s="11">
        <v>1</v>
      </c>
      <c r="F92" s="11">
        <v>1</v>
      </c>
      <c r="G92" s="11">
        <v>2</v>
      </c>
      <c r="H92" s="7">
        <v>3</v>
      </c>
      <c r="I92" s="7">
        <v>3</v>
      </c>
      <c r="J92" s="7">
        <v>17</v>
      </c>
      <c r="K92" s="7">
        <v>4</v>
      </c>
      <c r="L92" s="11">
        <v>2</v>
      </c>
    </row>
    <row r="93" spans="1:12" x14ac:dyDescent="0.3">
      <c r="A93" s="6" t="s">
        <v>10745</v>
      </c>
      <c r="B93" s="7">
        <v>15</v>
      </c>
      <c r="C93" s="7">
        <v>1</v>
      </c>
      <c r="D93" s="11">
        <v>8</v>
      </c>
      <c r="E93" s="11">
        <v>1</v>
      </c>
      <c r="F93" s="7">
        <v>1</v>
      </c>
      <c r="G93" s="7">
        <v>1</v>
      </c>
      <c r="H93" s="7">
        <v>2</v>
      </c>
      <c r="I93" s="7">
        <v>2</v>
      </c>
      <c r="J93" s="7">
        <v>16</v>
      </c>
      <c r="K93" s="7">
        <v>3</v>
      </c>
      <c r="L93" s="11">
        <v>2</v>
      </c>
    </row>
    <row r="94" spans="1:12" x14ac:dyDescent="0.3">
      <c r="A94" s="6" t="s">
        <v>10716</v>
      </c>
      <c r="B94" s="7">
        <v>14</v>
      </c>
      <c r="C94" s="7">
        <v>1</v>
      </c>
      <c r="D94" s="11">
        <v>1</v>
      </c>
      <c r="E94" s="11">
        <v>4</v>
      </c>
      <c r="F94" s="11">
        <v>1</v>
      </c>
      <c r="G94" s="11">
        <v>1</v>
      </c>
      <c r="H94" s="11">
        <v>1</v>
      </c>
      <c r="I94" s="11">
        <v>3</v>
      </c>
      <c r="J94" s="11">
        <v>2</v>
      </c>
      <c r="K94" s="11">
        <v>5</v>
      </c>
      <c r="L94" s="11">
        <v>2</v>
      </c>
    </row>
    <row r="95" spans="1:12" x14ac:dyDescent="0.3">
      <c r="A95" s="6" t="s">
        <v>10721</v>
      </c>
      <c r="B95" s="7">
        <v>12</v>
      </c>
      <c r="C95" s="7">
        <v>1</v>
      </c>
      <c r="D95" s="7">
        <v>3</v>
      </c>
      <c r="E95" s="11">
        <v>1</v>
      </c>
      <c r="F95" s="7">
        <v>1</v>
      </c>
      <c r="G95" s="7">
        <v>1</v>
      </c>
      <c r="H95" s="7">
        <v>3</v>
      </c>
      <c r="I95" s="7">
        <v>3</v>
      </c>
      <c r="J95" s="7">
        <v>17</v>
      </c>
      <c r="K95" s="7">
        <v>4</v>
      </c>
      <c r="L95" s="7">
        <v>2</v>
      </c>
    </row>
    <row r="96" spans="1:12" x14ac:dyDescent="0.3">
      <c r="A96" s="6" t="s">
        <v>10753</v>
      </c>
      <c r="B96" s="7">
        <v>16</v>
      </c>
      <c r="C96" s="7">
        <v>1</v>
      </c>
      <c r="D96" s="11">
        <v>3</v>
      </c>
      <c r="E96" s="11">
        <v>4</v>
      </c>
      <c r="F96" s="11">
        <v>1</v>
      </c>
      <c r="G96" s="11">
        <v>1</v>
      </c>
      <c r="H96" s="11">
        <v>2</v>
      </c>
      <c r="I96" s="11">
        <v>3</v>
      </c>
      <c r="J96" s="11">
        <v>17</v>
      </c>
      <c r="K96" s="11">
        <v>4</v>
      </c>
      <c r="L96" s="11">
        <v>2</v>
      </c>
    </row>
  </sheetData>
  <sortState xmlns:xlrd2="http://schemas.microsoft.com/office/spreadsheetml/2017/richdata2" ref="A2:L96">
    <sortCondition ref="A2:A96"/>
  </sortState>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C0F38-9138-44A6-BBB4-BDD65B0B7F22}">
  <dimension ref="A1:AU275"/>
  <sheetViews>
    <sheetView zoomScaleNormal="100" workbookViewId="0">
      <pane ySplit="1" topLeftCell="A82" activePane="bottomLeft" state="frozen"/>
      <selection pane="bottomLeft" sqref="A1:A1048576"/>
    </sheetView>
  </sheetViews>
  <sheetFormatPr baseColWidth="10" defaultRowHeight="14.4" x14ac:dyDescent="0.3"/>
  <cols>
    <col min="3" max="3" width="16.88671875" bestFit="1" customWidth="1"/>
    <col min="4" max="4" width="20.6640625" bestFit="1" customWidth="1"/>
    <col min="6" max="6" width="26.6640625" bestFit="1" customWidth="1"/>
    <col min="7" max="7" width="22.88671875" bestFit="1" customWidth="1"/>
    <col min="8" max="8" width="17.44140625" bestFit="1" customWidth="1"/>
    <col min="9" max="9" width="31.6640625" bestFit="1" customWidth="1"/>
    <col min="10" max="10" width="29.77734375" bestFit="1" customWidth="1"/>
    <col min="11" max="11" width="16.77734375" bestFit="1" customWidth="1"/>
    <col min="13" max="13" width="53.44140625" bestFit="1" customWidth="1"/>
    <col min="15" max="15" width="13.5546875" bestFit="1" customWidth="1"/>
    <col min="16" max="16" width="16.88671875" bestFit="1" customWidth="1"/>
    <col min="17" max="17" width="53.44140625" bestFit="1" customWidth="1"/>
    <col min="19" max="19" width="13.5546875" bestFit="1" customWidth="1"/>
    <col min="20" max="20" width="53.44140625" bestFit="1" customWidth="1"/>
    <col min="21" max="21" width="18.6640625" bestFit="1" customWidth="1"/>
    <col min="23" max="23" width="13.5546875" bestFit="1" customWidth="1"/>
    <col min="24" max="24" width="18.6640625" bestFit="1" customWidth="1"/>
    <col min="25" max="25" width="26.6640625" bestFit="1" customWidth="1"/>
    <col min="27" max="27" width="13.5546875" bestFit="1" customWidth="1"/>
    <col min="28" max="28" width="26.6640625" customWidth="1"/>
    <col min="29" max="29" width="24" bestFit="1" customWidth="1"/>
    <col min="31" max="31" width="13.5546875" bestFit="1" customWidth="1"/>
    <col min="32" max="32" width="24" bestFit="1" customWidth="1"/>
    <col min="33" max="33" width="52" customWidth="1"/>
    <col min="35" max="35" width="13.5546875" bestFit="1" customWidth="1"/>
    <col min="36" max="36" width="24" bestFit="1" customWidth="1"/>
    <col min="37" max="37" width="31" customWidth="1"/>
    <col min="39" max="39" width="13.5546875" bestFit="1" customWidth="1"/>
    <col min="40" max="40" width="52" customWidth="1"/>
    <col min="41" max="41" width="18.33203125" bestFit="1" customWidth="1"/>
    <col min="43" max="43" width="13.5546875" bestFit="1" customWidth="1"/>
    <col min="44" max="44" width="31" customWidth="1"/>
    <col min="45" max="45" width="26.77734375" customWidth="1"/>
    <col min="47" max="47" width="13.5546875" bestFit="1" customWidth="1"/>
  </cols>
  <sheetData>
    <row r="1" spans="1:47" x14ac:dyDescent="0.3">
      <c r="A1" s="2" t="s">
        <v>55</v>
      </c>
      <c r="B1" s="1" t="s">
        <v>0</v>
      </c>
      <c r="C1" s="1" t="s">
        <v>3084</v>
      </c>
      <c r="D1" s="1" t="s">
        <v>3</v>
      </c>
      <c r="E1" s="9" t="s">
        <v>2</v>
      </c>
      <c r="F1" s="1" t="s">
        <v>6</v>
      </c>
      <c r="G1" s="1" t="s">
        <v>39119</v>
      </c>
      <c r="H1" s="1" t="s">
        <v>7</v>
      </c>
      <c r="I1" s="1" t="s">
        <v>3092</v>
      </c>
      <c r="J1" s="1" t="s">
        <v>3091</v>
      </c>
      <c r="K1" s="1" t="s">
        <v>39118</v>
      </c>
      <c r="L1" s="22" t="s">
        <v>0</v>
      </c>
      <c r="M1" s="22" t="s">
        <v>3088</v>
      </c>
      <c r="N1" s="22" t="s">
        <v>3073</v>
      </c>
      <c r="O1" s="22" t="s">
        <v>3089</v>
      </c>
      <c r="P1" s="23" t="s">
        <v>3084</v>
      </c>
      <c r="Q1" s="23" t="s">
        <v>3088</v>
      </c>
      <c r="R1" s="23" t="s">
        <v>3073</v>
      </c>
      <c r="S1" s="23" t="s">
        <v>3089</v>
      </c>
      <c r="T1" s="22" t="s">
        <v>3088</v>
      </c>
      <c r="U1" s="22" t="s">
        <v>2</v>
      </c>
      <c r="V1" s="22" t="s">
        <v>3073</v>
      </c>
      <c r="W1" s="22" t="s">
        <v>3089</v>
      </c>
      <c r="X1" s="23" t="s">
        <v>2</v>
      </c>
      <c r="Y1" s="23" t="s">
        <v>6</v>
      </c>
      <c r="Z1" s="23" t="s">
        <v>3073</v>
      </c>
      <c r="AA1" s="23" t="s">
        <v>3089</v>
      </c>
      <c r="AB1" s="22" t="s">
        <v>6</v>
      </c>
      <c r="AC1" s="22" t="s">
        <v>39119</v>
      </c>
      <c r="AD1" s="22" t="s">
        <v>3073</v>
      </c>
      <c r="AE1" s="22" t="s">
        <v>3089</v>
      </c>
      <c r="AF1" s="23" t="s">
        <v>39119</v>
      </c>
      <c r="AG1" s="23" t="s">
        <v>7</v>
      </c>
      <c r="AH1" s="23" t="s">
        <v>3073</v>
      </c>
      <c r="AI1" s="23" t="s">
        <v>3089</v>
      </c>
      <c r="AJ1" s="22" t="s">
        <v>39119</v>
      </c>
      <c r="AK1" s="22" t="s">
        <v>3091</v>
      </c>
      <c r="AL1" s="22" t="s">
        <v>3073</v>
      </c>
      <c r="AM1" s="22" t="s">
        <v>3089</v>
      </c>
      <c r="AN1" s="23" t="s">
        <v>7</v>
      </c>
      <c r="AO1" s="23" t="s">
        <v>39165</v>
      </c>
      <c r="AP1" s="23" t="s">
        <v>3073</v>
      </c>
      <c r="AQ1" s="23" t="s">
        <v>3089</v>
      </c>
      <c r="AR1" s="22" t="s">
        <v>3091</v>
      </c>
      <c r="AS1" s="22" t="s">
        <v>39165</v>
      </c>
      <c r="AT1" s="22" t="s">
        <v>3073</v>
      </c>
      <c r="AU1" s="22" t="s">
        <v>3089</v>
      </c>
    </row>
    <row r="2" spans="1:47" ht="43.2" x14ac:dyDescent="0.3">
      <c r="A2" s="6" t="s">
        <v>10729</v>
      </c>
      <c r="B2" s="7">
        <v>13</v>
      </c>
      <c r="C2" s="3">
        <v>21</v>
      </c>
      <c r="D2" s="11">
        <v>1</v>
      </c>
      <c r="E2" s="7">
        <v>1</v>
      </c>
      <c r="F2" s="7">
        <v>2</v>
      </c>
      <c r="G2" s="7">
        <v>3</v>
      </c>
      <c r="H2" s="7">
        <v>17</v>
      </c>
      <c r="I2" s="3">
        <f>IF(OR(H2=4, H2=6, H2=8, H2=10, H2=12, H2=14), 18, H2)</f>
        <v>17</v>
      </c>
      <c r="J2" s="3">
        <f>IF(OR(I2=5, I2=7, I2=9, I2=11, I2=13, I2=15), 19, I2)</f>
        <v>17</v>
      </c>
      <c r="K2" s="7">
        <v>4</v>
      </c>
      <c r="L2">
        <v>2009</v>
      </c>
      <c r="M2" t="s">
        <v>11</v>
      </c>
      <c r="N2">
        <f>COUNTIFS($B$2:$B$386,1,$D$2:$D$386,1)</f>
        <v>0</v>
      </c>
      <c r="O2" s="34">
        <f>(N2/90)*100</f>
        <v>0</v>
      </c>
      <c r="P2" t="s">
        <v>3080</v>
      </c>
      <c r="Q2" t="s">
        <v>11</v>
      </c>
      <c r="R2">
        <f>COUNTIFS($C$2:$C$386,18,$D$2:$D$386,1)</f>
        <v>1</v>
      </c>
      <c r="S2" s="34">
        <f>(R2/90)*100</f>
        <v>1.1111111111111112</v>
      </c>
      <c r="T2" t="s">
        <v>11</v>
      </c>
      <c r="U2" t="s">
        <v>10</v>
      </c>
      <c r="V2">
        <f>COUNTIFS($D$2:$D$386,1,$E$2:$E$386,1)</f>
        <v>3</v>
      </c>
      <c r="W2" s="34">
        <f>(V2/90)*100</f>
        <v>3.3333333333333335</v>
      </c>
      <c r="X2" t="s">
        <v>10</v>
      </c>
      <c r="Y2" t="s">
        <v>13</v>
      </c>
      <c r="Z2">
        <f>COUNTIFS($E$2:$E$386,1,$F$2:$F$386,1)</f>
        <v>4</v>
      </c>
      <c r="AA2" s="34">
        <f>(Z2/90)*100</f>
        <v>4.4444444444444446</v>
      </c>
      <c r="AB2" t="s">
        <v>13</v>
      </c>
      <c r="AC2" s="4" t="s">
        <v>39605</v>
      </c>
      <c r="AD2">
        <f>COUNTIFS($F$2:$F$386,1,$G$2:$G$386,1)</f>
        <v>7</v>
      </c>
      <c r="AE2" s="34">
        <f>(AD2/90)*100</f>
        <v>7.7777777777777777</v>
      </c>
      <c r="AF2" s="4" t="s">
        <v>39605</v>
      </c>
      <c r="AG2" t="s">
        <v>14</v>
      </c>
      <c r="AH2">
        <f>COUNTIFS($G$2:$G$386,1,$H$2:$H$386,1)</f>
        <v>0</v>
      </c>
      <c r="AI2" s="34">
        <f>(AH2/90)*100</f>
        <v>0</v>
      </c>
      <c r="AJ2" s="4" t="s">
        <v>39605</v>
      </c>
      <c r="AK2" t="s">
        <v>14</v>
      </c>
      <c r="AL2">
        <f>COUNTIFS($G$2:$G$386,1,$J$2:$J$386,1)</f>
        <v>0</v>
      </c>
      <c r="AM2" s="34">
        <f>(AL2/90)*100</f>
        <v>0</v>
      </c>
      <c r="AN2" t="s">
        <v>14</v>
      </c>
      <c r="AO2" s="4" t="s">
        <v>39120</v>
      </c>
      <c r="AP2">
        <f>COUNTIFS($H$2:$H$386,1,$K$2:$K$386,1)</f>
        <v>0</v>
      </c>
      <c r="AQ2" s="34">
        <f>(AP2/90)*100</f>
        <v>0</v>
      </c>
      <c r="AR2" t="s">
        <v>14</v>
      </c>
      <c r="AS2" s="4" t="s">
        <v>39120</v>
      </c>
      <c r="AT2">
        <f>COUNTIFS($J$2:$J$386,1,$K$2:$K$386,1)</f>
        <v>0</v>
      </c>
      <c r="AU2" s="34">
        <f>(AT2/90)*100</f>
        <v>0</v>
      </c>
    </row>
    <row r="3" spans="1:47" ht="57.6" x14ac:dyDescent="0.3">
      <c r="A3" s="6" t="s">
        <v>10681</v>
      </c>
      <c r="B3" s="7">
        <v>13</v>
      </c>
      <c r="C3" s="3">
        <v>21</v>
      </c>
      <c r="D3" s="11">
        <v>4</v>
      </c>
      <c r="E3" s="11">
        <v>8</v>
      </c>
      <c r="F3" s="11">
        <v>2</v>
      </c>
      <c r="G3" s="11">
        <v>2</v>
      </c>
      <c r="H3" s="11">
        <v>16</v>
      </c>
      <c r="I3" s="3">
        <f t="shared" ref="I3:I62" si="0">IF(OR(H3=4, H3=6, H3=8, H3=10, H3=12, H3=14), 18, H3)</f>
        <v>16</v>
      </c>
      <c r="J3" s="3">
        <f t="shared" ref="J3:J62" si="1">IF(OR(I3=5, I3=7, I3=9, I3=11, I3=13, I3=15), 19, I3)</f>
        <v>16</v>
      </c>
      <c r="K3" s="11">
        <v>3</v>
      </c>
      <c r="M3" t="s">
        <v>18</v>
      </c>
      <c r="N3">
        <f>COUNTIFS($B$2:$B$386,1,$D$2:$D$386,2)</f>
        <v>0</v>
      </c>
      <c r="O3" s="34">
        <f t="shared" ref="O3:O17" si="2">(N3/90)*100</f>
        <v>0</v>
      </c>
      <c r="Q3" t="s">
        <v>18</v>
      </c>
      <c r="R3">
        <f>COUNTIFS($C$2:$C$386,18,$D$2:$D$386,2)</f>
        <v>0</v>
      </c>
      <c r="S3" s="34">
        <f t="shared" ref="S3:S65" si="3">(R3/90)*100</f>
        <v>0</v>
      </c>
      <c r="U3" t="s">
        <v>17</v>
      </c>
      <c r="V3">
        <f>COUNTIFS($D$2:$D$386,1,$E$2:$E$386,2)</f>
        <v>0</v>
      </c>
      <c r="W3" s="34">
        <f t="shared" ref="W3:W66" si="4">(V3/90)*100</f>
        <v>0</v>
      </c>
      <c r="Y3" s="4" t="s">
        <v>20</v>
      </c>
      <c r="Z3">
        <f>COUNTIFS($E$2:$E$386,1,$F$2:$F$386,2)</f>
        <v>2</v>
      </c>
      <c r="AA3" s="34">
        <f t="shared" ref="AA3:AA37" si="5">(Z3/90)*100</f>
        <v>2.2222222222222223</v>
      </c>
      <c r="AC3" s="4" t="s">
        <v>39606</v>
      </c>
      <c r="AD3">
        <f>COUNTIFS($F$2:$F$386,1,$G$2:$G$386,2)</f>
        <v>2</v>
      </c>
      <c r="AE3" s="34">
        <f t="shared" ref="AE3:AE16" si="6">(AD3/90)*100</f>
        <v>2.2222222222222223</v>
      </c>
      <c r="AG3" t="s">
        <v>21</v>
      </c>
      <c r="AH3">
        <f>COUNTIFS($G$2:$G$386,1,$H$2:$H$386,2)</f>
        <v>0</v>
      </c>
      <c r="AI3" s="34">
        <f t="shared" ref="AI3:AI66" si="7">(AH3/90)*100</f>
        <v>0</v>
      </c>
      <c r="AK3" t="s">
        <v>21</v>
      </c>
      <c r="AL3">
        <f>COUNTIFS($G$2:$G$386,1,$J$2:$J$386,2)</f>
        <v>0</v>
      </c>
      <c r="AM3" s="34">
        <f t="shared" ref="AM3:AM33" si="8">(AL3/90)*100</f>
        <v>0</v>
      </c>
      <c r="AO3" s="4" t="s">
        <v>39121</v>
      </c>
      <c r="AP3">
        <f>COUNTIFS($H$2:$H$386,1,$K$2:$K$386,2)</f>
        <v>0</v>
      </c>
      <c r="AQ3" s="34">
        <f t="shared" ref="AQ3:AQ66" si="9">(AP3/90)*100</f>
        <v>0</v>
      </c>
      <c r="AS3" s="4" t="s">
        <v>39121</v>
      </c>
      <c r="AT3">
        <f>COUNTIFS($J$2:$J$386,1,$K$2:$K$386,2)</f>
        <v>0</v>
      </c>
      <c r="AU3" s="34">
        <f t="shared" ref="AU3:AU43" si="10">(AT3/90)*100</f>
        <v>0</v>
      </c>
    </row>
    <row r="4" spans="1:47" ht="86.4" x14ac:dyDescent="0.3">
      <c r="A4" s="6" t="s">
        <v>10672</v>
      </c>
      <c r="B4" s="7">
        <v>13</v>
      </c>
      <c r="C4" s="3">
        <v>21</v>
      </c>
      <c r="D4" s="11">
        <v>9</v>
      </c>
      <c r="E4" s="11">
        <v>3</v>
      </c>
      <c r="F4" s="7">
        <v>1</v>
      </c>
      <c r="G4" s="7">
        <v>3</v>
      </c>
      <c r="H4" s="7">
        <v>3</v>
      </c>
      <c r="I4" s="3">
        <f t="shared" si="0"/>
        <v>3</v>
      </c>
      <c r="J4" s="3">
        <f t="shared" si="1"/>
        <v>3</v>
      </c>
      <c r="K4" s="7">
        <v>5</v>
      </c>
      <c r="M4" t="s">
        <v>150</v>
      </c>
      <c r="N4">
        <f>COUNTIFS($B$2:$B$386,1,$D$2:$D$386,3)</f>
        <v>0</v>
      </c>
      <c r="O4" s="34">
        <f t="shared" si="2"/>
        <v>0</v>
      </c>
      <c r="Q4" t="s">
        <v>150</v>
      </c>
      <c r="R4">
        <f>COUNTIFS($C$2:$C$386,18,$D$2:$D$386,3)</f>
        <v>0</v>
      </c>
      <c r="S4" s="34">
        <f t="shared" si="3"/>
        <v>0</v>
      </c>
      <c r="U4" t="s">
        <v>24</v>
      </c>
      <c r="V4">
        <f>COUNTIFS($D$2:$D$386,1,$E$2:$E$386,3)</f>
        <v>11</v>
      </c>
      <c r="W4" s="34">
        <f t="shared" si="4"/>
        <v>12.222222222222221</v>
      </c>
      <c r="Y4" t="s">
        <v>27</v>
      </c>
      <c r="Z4">
        <f>COUNTIFS($E$2:$E$386,1,$F$2:$F$386,3)</f>
        <v>4</v>
      </c>
      <c r="AA4" s="34">
        <f t="shared" si="5"/>
        <v>4.4444444444444446</v>
      </c>
      <c r="AC4" s="4" t="s">
        <v>39602</v>
      </c>
      <c r="AD4">
        <f>COUNTIFS($F$2:$F$386,1,$G$2:$G$386,3)</f>
        <v>16</v>
      </c>
      <c r="AE4" s="34">
        <f t="shared" si="6"/>
        <v>17.777777777777779</v>
      </c>
      <c r="AG4" t="s">
        <v>28</v>
      </c>
      <c r="AH4">
        <f>COUNTIFS($G$2:$G$386,1,$H$2:$H$386,3)</f>
        <v>0</v>
      </c>
      <c r="AI4" s="34">
        <f t="shared" si="7"/>
        <v>0</v>
      </c>
      <c r="AK4" t="s">
        <v>28</v>
      </c>
      <c r="AL4">
        <f>COUNTIFS($G$2:$G$386,1,$J$2:$J$386,3)</f>
        <v>0</v>
      </c>
      <c r="AM4" s="34">
        <f t="shared" si="8"/>
        <v>0</v>
      </c>
      <c r="AO4" s="4" t="s">
        <v>39125</v>
      </c>
      <c r="AP4">
        <f>COUNTIFS($H$2:$H$386,1,$K$2:$K$386,3)</f>
        <v>1</v>
      </c>
      <c r="AQ4" s="34">
        <f t="shared" si="9"/>
        <v>1.1111111111111112</v>
      </c>
      <c r="AS4" s="4" t="s">
        <v>39125</v>
      </c>
      <c r="AT4">
        <f>COUNTIFS($J$2:$J$386,1,$K$2:$K$386,3)</f>
        <v>1</v>
      </c>
      <c r="AU4" s="34">
        <f t="shared" si="10"/>
        <v>1.1111111111111112</v>
      </c>
    </row>
    <row r="5" spans="1:47" ht="28.8" x14ac:dyDescent="0.3">
      <c r="A5" s="6" t="s">
        <v>10727</v>
      </c>
      <c r="B5" s="7">
        <v>12</v>
      </c>
      <c r="C5" s="3">
        <v>20</v>
      </c>
      <c r="D5" s="11">
        <v>1</v>
      </c>
      <c r="E5" s="7">
        <v>5</v>
      </c>
      <c r="F5" s="11">
        <v>3</v>
      </c>
      <c r="G5" s="11">
        <v>3</v>
      </c>
      <c r="H5" s="11">
        <v>17</v>
      </c>
      <c r="I5" s="3">
        <f t="shared" si="0"/>
        <v>17</v>
      </c>
      <c r="J5" s="3">
        <f t="shared" si="1"/>
        <v>17</v>
      </c>
      <c r="K5" s="11">
        <v>4</v>
      </c>
      <c r="M5" t="s">
        <v>25</v>
      </c>
      <c r="N5">
        <f>COUNTIFS($B$2:$B$386,1,$D$2:$D$386,4)</f>
        <v>0</v>
      </c>
      <c r="O5" s="34">
        <f t="shared" si="2"/>
        <v>0</v>
      </c>
      <c r="Q5" t="s">
        <v>25</v>
      </c>
      <c r="R5">
        <f>COUNTIFS($C$2:$C$386,18,$D$2:$D$386,4)</f>
        <v>1</v>
      </c>
      <c r="S5" s="34">
        <f t="shared" si="3"/>
        <v>1.1111111111111112</v>
      </c>
      <c r="U5" t="s">
        <v>31</v>
      </c>
      <c r="V5">
        <f>COUNTIFS($D$2:$D$386,1,$E$2:$E$386,4)</f>
        <v>0</v>
      </c>
      <c r="W5" s="34">
        <f t="shared" si="4"/>
        <v>0</v>
      </c>
      <c r="Z5" s="23">
        <f>SUM(Z2:Z4)</f>
        <v>10</v>
      </c>
      <c r="AA5" s="37">
        <f t="shared" si="5"/>
        <v>11.111111111111111</v>
      </c>
      <c r="AC5" s="4" t="s">
        <v>34</v>
      </c>
      <c r="AD5">
        <f>COUNTIFS($F$2:$F$386,1,$G$2:$G$386,4)</f>
        <v>0</v>
      </c>
      <c r="AE5" s="34">
        <f t="shared" si="6"/>
        <v>0</v>
      </c>
      <c r="AG5" t="s">
        <v>35</v>
      </c>
      <c r="AH5">
        <f>COUNTIFS($G$2:$G$386,1,$H$2:$H$386,4)</f>
        <v>0</v>
      </c>
      <c r="AI5" s="34">
        <f t="shared" si="7"/>
        <v>0</v>
      </c>
      <c r="AK5" t="s">
        <v>3093</v>
      </c>
      <c r="AL5">
        <f>COUNTIFS($G$2:$G$386,1,$J$2:$J$386,18)</f>
        <v>7</v>
      </c>
      <c r="AM5" s="34">
        <f t="shared" si="8"/>
        <v>7.7777777777777777</v>
      </c>
      <c r="AO5" s="4" t="s">
        <v>39122</v>
      </c>
      <c r="AP5">
        <f>COUNTIFS($H$2:$H$386,1,$K$2:$K$386,4)</f>
        <v>0</v>
      </c>
      <c r="AQ5" s="34">
        <f t="shared" si="9"/>
        <v>0</v>
      </c>
      <c r="AS5" s="4" t="s">
        <v>39122</v>
      </c>
      <c r="AT5">
        <f>COUNTIFS($J$2:$J$386,1,$K$2:$K$386,4)</f>
        <v>0</v>
      </c>
      <c r="AU5" s="34">
        <f t="shared" si="10"/>
        <v>0</v>
      </c>
    </row>
    <row r="6" spans="1:47" ht="28.8" x14ac:dyDescent="0.3">
      <c r="A6" s="6" t="s">
        <v>10722</v>
      </c>
      <c r="B6" s="7">
        <v>11</v>
      </c>
      <c r="C6" s="3">
        <v>20</v>
      </c>
      <c r="D6" s="11">
        <v>1</v>
      </c>
      <c r="E6" s="11">
        <v>5</v>
      </c>
      <c r="F6" s="11">
        <v>2</v>
      </c>
      <c r="G6" s="11">
        <v>3</v>
      </c>
      <c r="H6" s="11">
        <v>17</v>
      </c>
      <c r="I6" s="3">
        <f t="shared" si="0"/>
        <v>17</v>
      </c>
      <c r="J6" s="3">
        <f t="shared" si="1"/>
        <v>17</v>
      </c>
      <c r="K6" s="11">
        <v>3</v>
      </c>
      <c r="M6" t="s">
        <v>32</v>
      </c>
      <c r="N6">
        <f>COUNTIFS($B$2:$B$386,1,$D$2:$D$386,5)</f>
        <v>0</v>
      </c>
      <c r="O6" s="34">
        <f t="shared" si="2"/>
        <v>0</v>
      </c>
      <c r="Q6" t="s">
        <v>32</v>
      </c>
      <c r="R6">
        <f>COUNTIFS($C$2:$C$386,18,$D$2:$D$386,5)</f>
        <v>0</v>
      </c>
      <c r="S6" s="34">
        <f t="shared" si="3"/>
        <v>0</v>
      </c>
      <c r="U6" t="s">
        <v>37</v>
      </c>
      <c r="V6">
        <f>COUNTIFS($D$2:$D$386,1,$E$2:$E$386,5)</f>
        <v>5</v>
      </c>
      <c r="W6" s="34">
        <f t="shared" si="4"/>
        <v>5.5555555555555554</v>
      </c>
      <c r="X6" t="s">
        <v>17</v>
      </c>
      <c r="Y6" t="s">
        <v>13</v>
      </c>
      <c r="Z6">
        <f>COUNTIFS($E$2:$E$386,2,$F$2:$F$386,1)</f>
        <v>0</v>
      </c>
      <c r="AA6" s="34">
        <f t="shared" si="5"/>
        <v>0</v>
      </c>
      <c r="AD6" s="22">
        <f>SUM(AD2:AD5)</f>
        <v>25</v>
      </c>
      <c r="AE6" s="35">
        <f t="shared" si="6"/>
        <v>27.777777777777779</v>
      </c>
      <c r="AG6" t="s">
        <v>40</v>
      </c>
      <c r="AH6">
        <f>COUNTIFS($G$2:$G$386,1,$H$2:$H$386,5)</f>
        <v>0</v>
      </c>
      <c r="AI6" s="34">
        <f t="shared" si="7"/>
        <v>0</v>
      </c>
      <c r="AK6" t="s">
        <v>3094</v>
      </c>
      <c r="AL6">
        <f>COUNTIFS($G$2:$G$386,1,$J$2:$J$386,19)</f>
        <v>0</v>
      </c>
      <c r="AM6" s="34">
        <f t="shared" si="8"/>
        <v>0</v>
      </c>
      <c r="AO6" s="4" t="s">
        <v>39123</v>
      </c>
      <c r="AP6">
        <f>COUNTIFS($H$2:$H$386,1,$K$2:$K$386,5)</f>
        <v>12</v>
      </c>
      <c r="AQ6" s="34">
        <f t="shared" si="9"/>
        <v>13.333333333333334</v>
      </c>
      <c r="AS6" s="4" t="s">
        <v>39123</v>
      </c>
      <c r="AT6">
        <f>COUNTIFS($J$2:$J$386,1,$K$2:$K$386,5)</f>
        <v>12</v>
      </c>
      <c r="AU6" s="34">
        <f t="shared" si="10"/>
        <v>13.333333333333334</v>
      </c>
    </row>
    <row r="7" spans="1:47" ht="43.2" x14ac:dyDescent="0.3">
      <c r="A7" s="6" t="s">
        <v>10723</v>
      </c>
      <c r="B7" s="7">
        <v>16</v>
      </c>
      <c r="C7" s="3">
        <v>21</v>
      </c>
      <c r="D7" s="11">
        <v>1</v>
      </c>
      <c r="E7" s="7">
        <v>3</v>
      </c>
      <c r="F7" s="11">
        <v>2</v>
      </c>
      <c r="G7" s="11">
        <v>2</v>
      </c>
      <c r="H7" s="11">
        <v>16</v>
      </c>
      <c r="I7" s="3">
        <f t="shared" si="0"/>
        <v>16</v>
      </c>
      <c r="J7" s="3">
        <f t="shared" si="1"/>
        <v>16</v>
      </c>
      <c r="K7" s="11">
        <v>3</v>
      </c>
      <c r="M7" t="s">
        <v>38</v>
      </c>
      <c r="N7">
        <f>COUNTIFS($B$2:$B$386,1,$D$2:$D$386,6)</f>
        <v>0</v>
      </c>
      <c r="O7" s="34">
        <f t="shared" si="2"/>
        <v>0</v>
      </c>
      <c r="Q7" t="s">
        <v>38</v>
      </c>
      <c r="R7">
        <f>COUNTIFS($C$2:$C$386,18,$D$2:$D$386,6)</f>
        <v>1</v>
      </c>
      <c r="S7" s="34">
        <f t="shared" si="3"/>
        <v>1.1111111111111112</v>
      </c>
      <c r="U7" t="s">
        <v>42</v>
      </c>
      <c r="V7">
        <f>COUNTIFS($D$2:$D$386,1,$E$2:$E$386,6)</f>
        <v>4</v>
      </c>
      <c r="W7" s="34">
        <f t="shared" si="4"/>
        <v>4.4444444444444446</v>
      </c>
      <c r="Y7" s="4" t="s">
        <v>20</v>
      </c>
      <c r="Z7">
        <f>COUNTIFS($E$2:$E$386,2,$F$2:$F$386,2)</f>
        <v>0</v>
      </c>
      <c r="AA7" s="34">
        <f t="shared" si="5"/>
        <v>0</v>
      </c>
      <c r="AB7" s="4" t="s">
        <v>20</v>
      </c>
      <c r="AC7" s="4" t="s">
        <v>39605</v>
      </c>
      <c r="AD7">
        <f>COUNTIFS($F$2:$F$386,2,$G$2:$G$386,1)</f>
        <v>0</v>
      </c>
      <c r="AE7" s="34">
        <f t="shared" si="6"/>
        <v>0</v>
      </c>
      <c r="AG7" t="s">
        <v>44</v>
      </c>
      <c r="AH7">
        <f>COUNTIFS($G$2:$G$386,1,$H$2:$H$386,6)</f>
        <v>3</v>
      </c>
      <c r="AI7" s="34">
        <f t="shared" si="7"/>
        <v>3.3333333333333335</v>
      </c>
      <c r="AK7" t="s">
        <v>50</v>
      </c>
      <c r="AL7">
        <f>COUNTIFS($G$2:$G$386,1,$J$2:$J$386,16)</f>
        <v>0</v>
      </c>
      <c r="AM7" s="34">
        <f t="shared" si="8"/>
        <v>0</v>
      </c>
      <c r="AP7" s="23">
        <f>SUM(AP2:AP6)</f>
        <v>13</v>
      </c>
      <c r="AQ7" s="37">
        <f t="shared" si="9"/>
        <v>14.444444444444443</v>
      </c>
      <c r="AT7" s="22">
        <f>SUM(AT2:AT6)</f>
        <v>13</v>
      </c>
      <c r="AU7" s="35">
        <f t="shared" si="10"/>
        <v>14.444444444444443</v>
      </c>
    </row>
    <row r="8" spans="1:47" ht="57.6" x14ac:dyDescent="0.3">
      <c r="A8" s="6" t="s">
        <v>10682</v>
      </c>
      <c r="B8" s="7">
        <v>16</v>
      </c>
      <c r="C8" s="3">
        <v>21</v>
      </c>
      <c r="D8" s="11">
        <v>4</v>
      </c>
      <c r="E8" s="11">
        <v>3</v>
      </c>
      <c r="F8" s="11">
        <v>1</v>
      </c>
      <c r="G8" s="11">
        <v>3</v>
      </c>
      <c r="H8" s="11">
        <v>1</v>
      </c>
      <c r="I8" s="3">
        <f t="shared" si="0"/>
        <v>1</v>
      </c>
      <c r="J8" s="3">
        <f t="shared" si="1"/>
        <v>1</v>
      </c>
      <c r="K8" s="11">
        <v>5</v>
      </c>
      <c r="M8" t="s">
        <v>151</v>
      </c>
      <c r="N8">
        <f>COUNTIFS($B$2:$B$386,1,$D$2:$D$386,7)</f>
        <v>0</v>
      </c>
      <c r="O8" s="34">
        <f t="shared" si="2"/>
        <v>0</v>
      </c>
      <c r="Q8" t="s">
        <v>151</v>
      </c>
      <c r="R8">
        <f>COUNTIFS($C$2:$C$386,18,$D$2:$D$386,7)</f>
        <v>0</v>
      </c>
      <c r="S8" s="34">
        <f t="shared" si="3"/>
        <v>0</v>
      </c>
      <c r="U8" t="s">
        <v>45</v>
      </c>
      <c r="V8">
        <f>COUNTIFS($D$2:$D$386,1,$E$2:$E$386,7)</f>
        <v>3</v>
      </c>
      <c r="W8" s="34">
        <f t="shared" si="4"/>
        <v>3.3333333333333335</v>
      </c>
      <c r="Y8" t="s">
        <v>27</v>
      </c>
      <c r="Z8">
        <f>COUNTIFS($E$2:$E$386,2,$F$2:$F$386,3)</f>
        <v>0</v>
      </c>
      <c r="AA8" s="34">
        <f t="shared" si="5"/>
        <v>0</v>
      </c>
      <c r="AC8" s="4" t="s">
        <v>39606</v>
      </c>
      <c r="AD8">
        <f>COUNTIFS($F$2:$F$386,2,$G$2:$G$386,2)</f>
        <v>12</v>
      </c>
      <c r="AE8" s="34">
        <f t="shared" si="6"/>
        <v>13.333333333333334</v>
      </c>
      <c r="AG8" t="s">
        <v>47</v>
      </c>
      <c r="AH8">
        <f>COUNTIFS($G$2:$G$386,1,$H$2:$H$386,7)</f>
        <v>0</v>
      </c>
      <c r="AI8" s="34">
        <f t="shared" si="7"/>
        <v>0</v>
      </c>
      <c r="AK8" t="s">
        <v>3095</v>
      </c>
      <c r="AL8">
        <f>COUNTIFS($G$2:$G$386,1,$J$2:$J$386,17)</f>
        <v>0</v>
      </c>
      <c r="AM8" s="34">
        <f t="shared" si="8"/>
        <v>0</v>
      </c>
      <c r="AN8" t="s">
        <v>21</v>
      </c>
      <c r="AO8" s="4" t="s">
        <v>39120</v>
      </c>
      <c r="AP8">
        <f>COUNTIFS($H$2:$H$386,2,$K$2:$K$386,1)</f>
        <v>0</v>
      </c>
      <c r="AQ8" s="34">
        <f t="shared" si="9"/>
        <v>0</v>
      </c>
      <c r="AR8" t="s">
        <v>21</v>
      </c>
      <c r="AS8" s="4" t="s">
        <v>39120</v>
      </c>
      <c r="AT8">
        <f>COUNTIFS($J$2:$J$386,2,$K$2:$K$386,1)</f>
        <v>0</v>
      </c>
      <c r="AU8" s="34">
        <f t="shared" si="10"/>
        <v>0</v>
      </c>
    </row>
    <row r="9" spans="1:47" ht="86.4" x14ac:dyDescent="0.3">
      <c r="A9" s="6" t="s">
        <v>10736</v>
      </c>
      <c r="B9" s="7">
        <v>7</v>
      </c>
      <c r="C9" s="3">
        <v>19</v>
      </c>
      <c r="D9" s="11">
        <v>4</v>
      </c>
      <c r="E9" s="7">
        <v>8</v>
      </c>
      <c r="F9" s="7">
        <v>3</v>
      </c>
      <c r="G9" s="7">
        <v>3</v>
      </c>
      <c r="H9" s="7">
        <v>17</v>
      </c>
      <c r="I9" s="3">
        <f t="shared" si="0"/>
        <v>17</v>
      </c>
      <c r="J9" s="3">
        <f t="shared" si="1"/>
        <v>17</v>
      </c>
      <c r="K9" s="7">
        <v>4</v>
      </c>
      <c r="M9" t="s">
        <v>43</v>
      </c>
      <c r="N9">
        <f>COUNTIFS($B$2:$B$386,1,$D$2:$D$386,8)</f>
        <v>0</v>
      </c>
      <c r="O9" s="34">
        <f t="shared" si="2"/>
        <v>0</v>
      </c>
      <c r="Q9" t="s">
        <v>43</v>
      </c>
      <c r="R9">
        <f>COUNTIFS($C$2:$C$386,18,$D$2:$D$386,8)</f>
        <v>0</v>
      </c>
      <c r="S9" s="34">
        <f t="shared" si="3"/>
        <v>0</v>
      </c>
      <c r="U9" t="s">
        <v>48</v>
      </c>
      <c r="V9">
        <f>COUNTIFS($D$2:$D$386,1,$E$2:$E$386,8)</f>
        <v>10</v>
      </c>
      <c r="W9" s="34">
        <f t="shared" si="4"/>
        <v>11.111111111111111</v>
      </c>
      <c r="Z9" s="23">
        <f>SUM(Z6:Z8)</f>
        <v>0</v>
      </c>
      <c r="AA9" s="37">
        <f t="shared" si="5"/>
        <v>0</v>
      </c>
      <c r="AC9" s="4" t="s">
        <v>39602</v>
      </c>
      <c r="AD9">
        <f>COUNTIFS($F$2:$F$386,2,$G$2:$G$386,3)</f>
        <v>23</v>
      </c>
      <c r="AE9" s="34">
        <f t="shared" si="6"/>
        <v>25.555555555555554</v>
      </c>
      <c r="AG9" t="s">
        <v>1637</v>
      </c>
      <c r="AH9">
        <f>COUNTIFS($G$2:$G$386,1,$H$2:$H$386,8)</f>
        <v>0</v>
      </c>
      <c r="AI9" s="34">
        <f t="shared" si="7"/>
        <v>0</v>
      </c>
      <c r="AL9" s="22">
        <f>SUM(AL2:AL8)</f>
        <v>7</v>
      </c>
      <c r="AM9" s="35">
        <f t="shared" si="8"/>
        <v>7.7777777777777777</v>
      </c>
      <c r="AO9" s="4" t="s">
        <v>39121</v>
      </c>
      <c r="AP9">
        <f>COUNTIFS($H$2:$H$386,2,$K$2:$K$386,2)</f>
        <v>0</v>
      </c>
      <c r="AQ9" s="34">
        <f t="shared" si="9"/>
        <v>0</v>
      </c>
      <c r="AS9" s="4" t="s">
        <v>39121</v>
      </c>
      <c r="AT9">
        <f>COUNTIFS($J$2:$J$386,2,$K$2:$K$386,2)</f>
        <v>0</v>
      </c>
      <c r="AU9" s="34">
        <f t="shared" si="10"/>
        <v>0</v>
      </c>
    </row>
    <row r="10" spans="1:47" ht="57.6" x14ac:dyDescent="0.3">
      <c r="A10" s="6" t="s">
        <v>10695</v>
      </c>
      <c r="B10" s="7">
        <v>13</v>
      </c>
      <c r="C10" s="3">
        <v>21</v>
      </c>
      <c r="D10" s="11">
        <v>1</v>
      </c>
      <c r="E10" s="11">
        <v>3</v>
      </c>
      <c r="F10" s="7">
        <v>3</v>
      </c>
      <c r="G10" s="7">
        <v>3</v>
      </c>
      <c r="H10" s="7">
        <v>17</v>
      </c>
      <c r="I10" s="3">
        <f t="shared" si="0"/>
        <v>17</v>
      </c>
      <c r="J10" s="3">
        <f t="shared" si="1"/>
        <v>17</v>
      </c>
      <c r="K10" s="7">
        <v>4</v>
      </c>
      <c r="M10" t="s">
        <v>46</v>
      </c>
      <c r="N10">
        <f>COUNTIFS($B$2:$B$386,1,$D$2:$D$386,9)</f>
        <v>0</v>
      </c>
      <c r="O10" s="34">
        <f t="shared" si="2"/>
        <v>0</v>
      </c>
      <c r="Q10" t="s">
        <v>46</v>
      </c>
      <c r="R10">
        <f>COUNTIFS($C$2:$C$386,18,$D$2:$D$386,9)</f>
        <v>0</v>
      </c>
      <c r="S10" s="34">
        <f t="shared" si="3"/>
        <v>0</v>
      </c>
      <c r="U10" t="s">
        <v>50</v>
      </c>
      <c r="V10">
        <f>COUNTIFS($D$2:$D$386,1,$E$2:$E$386,9)</f>
        <v>0</v>
      </c>
      <c r="W10" s="34">
        <f t="shared" si="4"/>
        <v>0</v>
      </c>
      <c r="X10" t="s">
        <v>24</v>
      </c>
      <c r="Y10" t="s">
        <v>13</v>
      </c>
      <c r="Z10">
        <f>COUNTIFS($E$2:$E$386,3,$F$2:$F$386,1)</f>
        <v>5</v>
      </c>
      <c r="AA10" s="34">
        <f t="shared" si="5"/>
        <v>5.5555555555555554</v>
      </c>
      <c r="AC10" s="4" t="s">
        <v>34</v>
      </c>
      <c r="AD10">
        <f>COUNTIFS($F$2:$F$386,2,$G$2:$G$386,4)</f>
        <v>0</v>
      </c>
      <c r="AE10" s="34">
        <f t="shared" si="6"/>
        <v>0</v>
      </c>
      <c r="AG10" t="s">
        <v>1638</v>
      </c>
      <c r="AH10">
        <f>COUNTIFS($G$2:$G$386,1,$H$2:$H$386,9)</f>
        <v>0</v>
      </c>
      <c r="AI10" s="34">
        <f t="shared" si="7"/>
        <v>0</v>
      </c>
      <c r="AJ10" s="4" t="s">
        <v>39606</v>
      </c>
      <c r="AK10" t="s">
        <v>14</v>
      </c>
      <c r="AL10">
        <f>COUNTIFS($G$2:$G$386,2,$J$2:$J$386,1)</f>
        <v>1</v>
      </c>
      <c r="AM10" s="34">
        <f t="shared" si="8"/>
        <v>1.1111111111111112</v>
      </c>
      <c r="AO10" s="4" t="s">
        <v>39125</v>
      </c>
      <c r="AP10">
        <f>COUNTIFS($H$2:$H$386,2,$K$2:$K$386,3)</f>
        <v>0</v>
      </c>
      <c r="AQ10" s="34">
        <f t="shared" si="9"/>
        <v>0</v>
      </c>
      <c r="AS10" s="4" t="s">
        <v>39125</v>
      </c>
      <c r="AT10">
        <f>COUNTIFS($J$2:$J$386,2,$K$2:$K$386,3)</f>
        <v>0</v>
      </c>
      <c r="AU10" s="34">
        <f t="shared" si="10"/>
        <v>0</v>
      </c>
    </row>
    <row r="11" spans="1:47" ht="28.8" x14ac:dyDescent="0.3">
      <c r="A11" s="6" t="s">
        <v>10711</v>
      </c>
      <c r="B11" s="7">
        <v>13</v>
      </c>
      <c r="C11" s="3">
        <v>21</v>
      </c>
      <c r="D11" s="11">
        <v>1</v>
      </c>
      <c r="E11" s="11">
        <v>8</v>
      </c>
      <c r="F11" s="11">
        <v>2</v>
      </c>
      <c r="G11" s="11">
        <v>3</v>
      </c>
      <c r="H11" s="11">
        <v>16</v>
      </c>
      <c r="I11" s="3">
        <f t="shared" si="0"/>
        <v>16</v>
      </c>
      <c r="J11" s="3">
        <f t="shared" si="1"/>
        <v>16</v>
      </c>
      <c r="K11" s="11">
        <v>4</v>
      </c>
      <c r="M11" t="s">
        <v>152</v>
      </c>
      <c r="N11">
        <f>COUNTIFS($B$2:$B$386,1,$D$2:$D$386,10)</f>
        <v>0</v>
      </c>
      <c r="O11" s="34">
        <f t="shared" si="2"/>
        <v>0</v>
      </c>
      <c r="Q11" t="s">
        <v>152</v>
      </c>
      <c r="R11">
        <f>COUNTIFS($C$2:$C$386,18,$D$2:$D$386,10)</f>
        <v>0</v>
      </c>
      <c r="S11" s="34">
        <f t="shared" si="3"/>
        <v>0</v>
      </c>
      <c r="V11" s="22">
        <f>SUM(V2:V10)</f>
        <v>36</v>
      </c>
      <c r="W11" s="35">
        <f t="shared" si="4"/>
        <v>40</v>
      </c>
      <c r="Y11" s="4" t="s">
        <v>20</v>
      </c>
      <c r="Z11">
        <f>COUNTIFS($E$2:$E$386,3,$F$2:$F$386,2)</f>
        <v>10</v>
      </c>
      <c r="AA11" s="34">
        <f t="shared" si="5"/>
        <v>11.111111111111111</v>
      </c>
      <c r="AD11" s="22">
        <f>SUM(AD7:AD10)</f>
        <v>35</v>
      </c>
      <c r="AE11" s="35">
        <f t="shared" si="6"/>
        <v>38.888888888888893</v>
      </c>
      <c r="AG11" t="s">
        <v>1639</v>
      </c>
      <c r="AH11">
        <f>COUNTIFS($G$2:$G$386,1,$H$2:$H$386,10)</f>
        <v>2</v>
      </c>
      <c r="AI11" s="34">
        <f t="shared" si="7"/>
        <v>2.2222222222222223</v>
      </c>
      <c r="AK11" t="s">
        <v>21</v>
      </c>
      <c r="AL11">
        <f>COUNTIFS($G$2:$G$386,2,$J$2:$J$386,2)</f>
        <v>0</v>
      </c>
      <c r="AM11" s="34">
        <f t="shared" si="8"/>
        <v>0</v>
      </c>
      <c r="AO11" s="4" t="s">
        <v>39122</v>
      </c>
      <c r="AP11">
        <f>COUNTIFS($H$2:$H$386,2,$K$2:$K$386,4)</f>
        <v>0</v>
      </c>
      <c r="AQ11" s="34">
        <f t="shared" si="9"/>
        <v>0</v>
      </c>
      <c r="AS11" s="4" t="s">
        <v>39122</v>
      </c>
      <c r="AT11">
        <f>COUNTIFS($J$2:$J$386,2,$K$2:$K$386,4)</f>
        <v>0</v>
      </c>
      <c r="AU11" s="34">
        <f t="shared" si="10"/>
        <v>0</v>
      </c>
    </row>
    <row r="12" spans="1:47" ht="43.2" x14ac:dyDescent="0.3">
      <c r="A12" s="6" t="s">
        <v>10702</v>
      </c>
      <c r="B12" s="7">
        <v>10</v>
      </c>
      <c r="C12" s="3">
        <v>20</v>
      </c>
      <c r="D12" s="11">
        <v>1</v>
      </c>
      <c r="E12" s="11">
        <v>8</v>
      </c>
      <c r="F12" s="11">
        <v>2</v>
      </c>
      <c r="G12" s="11">
        <v>3</v>
      </c>
      <c r="H12" s="11">
        <v>16</v>
      </c>
      <c r="I12" s="3">
        <f t="shared" si="0"/>
        <v>16</v>
      </c>
      <c r="J12" s="3">
        <f t="shared" si="1"/>
        <v>16</v>
      </c>
      <c r="K12" s="11">
        <v>4</v>
      </c>
      <c r="M12" t="s">
        <v>49</v>
      </c>
      <c r="N12">
        <f>COUNTIFS($B$2:$B$386,1,$D$2:$D$386,11)</f>
        <v>0</v>
      </c>
      <c r="O12" s="34">
        <f t="shared" si="2"/>
        <v>0</v>
      </c>
      <c r="Q12" t="s">
        <v>49</v>
      </c>
      <c r="R12">
        <f>COUNTIFS($C$2:$C$386,18,$D$2:$D$386,11)</f>
        <v>0</v>
      </c>
      <c r="S12" s="34">
        <f t="shared" si="3"/>
        <v>0</v>
      </c>
      <c r="T12" t="s">
        <v>18</v>
      </c>
      <c r="U12" t="s">
        <v>10</v>
      </c>
      <c r="V12">
        <f>COUNTIFS($D$2:$D$386,2,$E$2:$E$386,1)</f>
        <v>0</v>
      </c>
      <c r="W12" s="34">
        <f t="shared" si="4"/>
        <v>0</v>
      </c>
      <c r="Y12" t="s">
        <v>27</v>
      </c>
      <c r="Z12">
        <f>COUNTIFS($E$2:$E$386,3,$F$2:$F$386,3)</f>
        <v>17</v>
      </c>
      <c r="AA12" s="34">
        <f t="shared" si="5"/>
        <v>18.888888888888889</v>
      </c>
      <c r="AB12" t="s">
        <v>27</v>
      </c>
      <c r="AC12" s="4" t="s">
        <v>39605</v>
      </c>
      <c r="AD12">
        <f>COUNTIFS($F$2:$F$386,3,$G$2:$G$386,1)</f>
        <v>0</v>
      </c>
      <c r="AE12" s="34">
        <f t="shared" si="6"/>
        <v>0</v>
      </c>
      <c r="AG12" t="s">
        <v>1640</v>
      </c>
      <c r="AH12">
        <f>COUNTIFS($G$2:$G$386,1,$H$2:$H$386,11)</f>
        <v>0</v>
      </c>
      <c r="AI12" s="34">
        <f t="shared" si="7"/>
        <v>0</v>
      </c>
      <c r="AK12" t="s">
        <v>28</v>
      </c>
      <c r="AL12">
        <f>COUNTIFS($G$2:$G$386,2,$J$2:$J$386,3)</f>
        <v>0</v>
      </c>
      <c r="AM12" s="34">
        <f t="shared" si="8"/>
        <v>0</v>
      </c>
      <c r="AO12" s="4" t="s">
        <v>39123</v>
      </c>
      <c r="AP12">
        <f>COUNTIFS($H$2:$H$386,2,$K$2:$K$386,5)</f>
        <v>2</v>
      </c>
      <c r="AQ12" s="34">
        <f t="shared" si="9"/>
        <v>2.2222222222222223</v>
      </c>
      <c r="AS12" s="4" t="s">
        <v>39123</v>
      </c>
      <c r="AT12">
        <f>COUNTIFS($J$2:$J$386,2,$K$2:$K$386,5)</f>
        <v>2</v>
      </c>
      <c r="AU12" s="34">
        <f t="shared" si="10"/>
        <v>2.2222222222222223</v>
      </c>
    </row>
    <row r="13" spans="1:47" ht="57.6" x14ac:dyDescent="0.3">
      <c r="A13" s="6" t="s">
        <v>10700</v>
      </c>
      <c r="B13" s="7">
        <v>8</v>
      </c>
      <c r="C13" s="3">
        <v>19</v>
      </c>
      <c r="D13" s="11">
        <v>1</v>
      </c>
      <c r="E13" s="11">
        <v>8</v>
      </c>
      <c r="F13" s="11">
        <v>2</v>
      </c>
      <c r="G13" s="11">
        <v>3</v>
      </c>
      <c r="H13" s="11">
        <v>16</v>
      </c>
      <c r="I13" s="3">
        <f t="shared" si="0"/>
        <v>16</v>
      </c>
      <c r="J13" s="3">
        <f t="shared" si="1"/>
        <v>16</v>
      </c>
      <c r="K13" s="11">
        <v>4</v>
      </c>
      <c r="M13" t="s">
        <v>51</v>
      </c>
      <c r="N13">
        <f>COUNTIFS($B$2:$B$386,1,$D$2:$D$386,12)</f>
        <v>0</v>
      </c>
      <c r="O13" s="34">
        <f t="shared" si="2"/>
        <v>0</v>
      </c>
      <c r="Q13" t="s">
        <v>51</v>
      </c>
      <c r="R13">
        <f>COUNTIFS($C$2:$C$386,18,$D$2:$D$386,12)</f>
        <v>0</v>
      </c>
      <c r="S13" s="34">
        <f t="shared" si="3"/>
        <v>0</v>
      </c>
      <c r="U13" t="s">
        <v>17</v>
      </c>
      <c r="V13">
        <f>COUNTIFS($D$2:$D$386,2,$E$2:$E$386,2)</f>
        <v>0</v>
      </c>
      <c r="W13" s="34">
        <f t="shared" si="4"/>
        <v>0</v>
      </c>
      <c r="Z13" s="23">
        <f>SUM(Z10:Z12)</f>
        <v>32</v>
      </c>
      <c r="AA13" s="37">
        <f t="shared" si="5"/>
        <v>35.555555555555557</v>
      </c>
      <c r="AC13" s="4" t="s">
        <v>39606</v>
      </c>
      <c r="AD13">
        <f>COUNTIFS($F$2:$F$386,3,$G$2:$G$386,2)</f>
        <v>0</v>
      </c>
      <c r="AE13" s="34">
        <f t="shared" si="6"/>
        <v>0</v>
      </c>
      <c r="AG13" t="s">
        <v>1641</v>
      </c>
      <c r="AH13">
        <f>COUNTIFS($G$2:$G$386,1,$H$2:$H$386,12)</f>
        <v>2</v>
      </c>
      <c r="AI13" s="34">
        <f t="shared" si="7"/>
        <v>2.2222222222222223</v>
      </c>
      <c r="AK13" t="s">
        <v>3093</v>
      </c>
      <c r="AL13">
        <f>COUNTIFS($G$2:$G$386,2,$J$2:$J$386,18)</f>
        <v>2</v>
      </c>
      <c r="AM13" s="34">
        <f t="shared" si="8"/>
        <v>2.2222222222222223</v>
      </c>
      <c r="AP13" s="23">
        <f>SUM(AP8:AP12)</f>
        <v>2</v>
      </c>
      <c r="AQ13" s="37">
        <f t="shared" si="9"/>
        <v>2.2222222222222223</v>
      </c>
      <c r="AT13" s="22">
        <f>SUM(AT8:AT12)</f>
        <v>2</v>
      </c>
      <c r="AU13" s="35">
        <f t="shared" si="10"/>
        <v>2.2222222222222223</v>
      </c>
    </row>
    <row r="14" spans="1:47" ht="86.4" x14ac:dyDescent="0.3">
      <c r="A14" s="6" t="s">
        <v>10713</v>
      </c>
      <c r="B14" s="7">
        <v>12</v>
      </c>
      <c r="C14" s="3">
        <v>20</v>
      </c>
      <c r="D14" s="11">
        <v>4</v>
      </c>
      <c r="E14" s="11">
        <v>6</v>
      </c>
      <c r="F14" s="11">
        <v>2</v>
      </c>
      <c r="G14" s="11">
        <v>3</v>
      </c>
      <c r="H14" s="11">
        <v>12</v>
      </c>
      <c r="I14" s="3">
        <f t="shared" si="0"/>
        <v>18</v>
      </c>
      <c r="J14" s="3">
        <f t="shared" si="1"/>
        <v>18</v>
      </c>
      <c r="K14" s="11">
        <v>2</v>
      </c>
      <c r="M14" t="s">
        <v>153</v>
      </c>
      <c r="N14">
        <f>COUNTIFS($B$2:$B$386,1,$D$2:$D$386,13)</f>
        <v>0</v>
      </c>
      <c r="O14" s="34">
        <f t="shared" si="2"/>
        <v>0</v>
      </c>
      <c r="Q14" t="s">
        <v>153</v>
      </c>
      <c r="R14">
        <f>COUNTIFS($C$2:$C$386,18,$D$2:$D$386,13)</f>
        <v>0</v>
      </c>
      <c r="S14" s="34">
        <f t="shared" si="3"/>
        <v>0</v>
      </c>
      <c r="U14" t="s">
        <v>24</v>
      </c>
      <c r="V14">
        <f>COUNTIFS($D$2:$D$386,2,$E$2:$E$386,3)</f>
        <v>2</v>
      </c>
      <c r="W14" s="34">
        <f t="shared" si="4"/>
        <v>2.2222222222222223</v>
      </c>
      <c r="X14" t="s">
        <v>31</v>
      </c>
      <c r="Y14" t="s">
        <v>13</v>
      </c>
      <c r="Z14">
        <f>COUNTIFS($E$2:$E$386,4,$F$2:$F$386,1)</f>
        <v>1</v>
      </c>
      <c r="AA14" s="34">
        <f t="shared" si="5"/>
        <v>1.1111111111111112</v>
      </c>
      <c r="AC14" s="4" t="s">
        <v>39602</v>
      </c>
      <c r="AD14">
        <f>COUNTIFS($F$2:$F$386,3,$G$2:$G$386,3)</f>
        <v>30</v>
      </c>
      <c r="AE14" s="34">
        <f t="shared" si="6"/>
        <v>33.333333333333329</v>
      </c>
      <c r="AG14" t="s">
        <v>1642</v>
      </c>
      <c r="AH14">
        <f>COUNTIFS($G$2:$G$386,1,$H$2:$H$386,13)</f>
        <v>0</v>
      </c>
      <c r="AI14" s="34">
        <f t="shared" si="7"/>
        <v>0</v>
      </c>
      <c r="AK14" t="s">
        <v>3094</v>
      </c>
      <c r="AL14">
        <f>COUNTIFS($G$2:$G$386,2,$J$2:$J$386,19)</f>
        <v>0</v>
      </c>
      <c r="AM14" s="34">
        <f t="shared" si="8"/>
        <v>0</v>
      </c>
      <c r="AN14" t="s">
        <v>28</v>
      </c>
      <c r="AO14" s="4" t="s">
        <v>39120</v>
      </c>
      <c r="AP14">
        <f>COUNTIFS($H$2:$H$386,3,$K$2:$K$386,1)</f>
        <v>0</v>
      </c>
      <c r="AQ14" s="34">
        <f t="shared" si="9"/>
        <v>0</v>
      </c>
      <c r="AR14" t="s">
        <v>28</v>
      </c>
      <c r="AS14" s="4" t="s">
        <v>39120</v>
      </c>
      <c r="AT14">
        <f>COUNTIFS($J$2:$J$386,3,$K$2:$K$386,1)</f>
        <v>0</v>
      </c>
      <c r="AU14" s="34">
        <f t="shared" si="10"/>
        <v>0</v>
      </c>
    </row>
    <row r="15" spans="1:47" ht="43.2" x14ac:dyDescent="0.3">
      <c r="A15" s="6" t="s">
        <v>10741</v>
      </c>
      <c r="B15" s="7">
        <v>16</v>
      </c>
      <c r="C15" s="3">
        <v>21</v>
      </c>
      <c r="D15" s="11">
        <v>1</v>
      </c>
      <c r="E15" s="11">
        <v>7</v>
      </c>
      <c r="F15" s="11">
        <v>2</v>
      </c>
      <c r="G15" s="11">
        <v>3</v>
      </c>
      <c r="H15" s="11">
        <v>17</v>
      </c>
      <c r="I15" s="3">
        <f t="shared" si="0"/>
        <v>17</v>
      </c>
      <c r="J15" s="3">
        <f t="shared" si="1"/>
        <v>17</v>
      </c>
      <c r="K15" s="11">
        <v>4</v>
      </c>
      <c r="M15" t="s">
        <v>154</v>
      </c>
      <c r="N15">
        <f>COUNTIFS($B$2:$B$386,1,$D$2:$D$386,14)</f>
        <v>0</v>
      </c>
      <c r="O15" s="34">
        <f t="shared" si="2"/>
        <v>0</v>
      </c>
      <c r="Q15" t="s">
        <v>154</v>
      </c>
      <c r="R15">
        <f>COUNTIFS($C$2:$C$386,18,$D$2:$D$386,14)</f>
        <v>0</v>
      </c>
      <c r="S15" s="34">
        <f t="shared" si="3"/>
        <v>0</v>
      </c>
      <c r="U15" t="s">
        <v>31</v>
      </c>
      <c r="V15">
        <f>COUNTIFS($D$2:$D$386,2,$E$2:$E$386,4)</f>
        <v>0</v>
      </c>
      <c r="W15" s="34">
        <f t="shared" si="4"/>
        <v>0</v>
      </c>
      <c r="Y15" s="4" t="s">
        <v>20</v>
      </c>
      <c r="Z15">
        <f>COUNTIFS($E$2:$E$386,4,$F$2:$F$386,2)</f>
        <v>2</v>
      </c>
      <c r="AA15" s="34">
        <f t="shared" si="5"/>
        <v>2.2222222222222223</v>
      </c>
      <c r="AC15" s="4" t="s">
        <v>34</v>
      </c>
      <c r="AD15">
        <f>COUNTIFS($F$2:$F$386,3,$G$2:$G$386,4)</f>
        <v>0</v>
      </c>
      <c r="AE15" s="34">
        <f t="shared" si="6"/>
        <v>0</v>
      </c>
      <c r="AG15" t="s">
        <v>1643</v>
      </c>
      <c r="AH15">
        <f>COUNTIFS($G$2:$G$386,1,$H$2:$H$386,14)</f>
        <v>0</v>
      </c>
      <c r="AI15" s="34">
        <f t="shared" si="7"/>
        <v>0</v>
      </c>
      <c r="AK15" t="s">
        <v>50</v>
      </c>
      <c r="AL15">
        <f>COUNTIFS($G$2:$G$386,2,$J$2:$J$386,16)</f>
        <v>7</v>
      </c>
      <c r="AM15" s="34">
        <f t="shared" si="8"/>
        <v>7.7777777777777777</v>
      </c>
      <c r="AO15" s="4" t="s">
        <v>39121</v>
      </c>
      <c r="AP15">
        <f>COUNTIFS($H$2:$H$386,3,$K$2:$K$386,2)</f>
        <v>0</v>
      </c>
      <c r="AQ15" s="34">
        <f t="shared" si="9"/>
        <v>0</v>
      </c>
      <c r="AS15" s="4" t="s">
        <v>39121</v>
      </c>
      <c r="AT15">
        <f>COUNTIFS($J$2:$J$386,3,$K$2:$K$386,2)</f>
        <v>0</v>
      </c>
      <c r="AU15" s="34">
        <f t="shared" si="10"/>
        <v>0</v>
      </c>
    </row>
    <row r="16" spans="1:47" ht="57.6" x14ac:dyDescent="0.3">
      <c r="A16" s="6" t="s">
        <v>10748</v>
      </c>
      <c r="B16" s="7">
        <v>16</v>
      </c>
      <c r="C16" s="3">
        <v>21</v>
      </c>
      <c r="D16" s="11">
        <v>8</v>
      </c>
      <c r="E16" s="7">
        <v>1</v>
      </c>
      <c r="F16" s="7">
        <v>1</v>
      </c>
      <c r="G16" s="7">
        <v>3</v>
      </c>
      <c r="H16" s="7">
        <v>3</v>
      </c>
      <c r="I16" s="3">
        <f t="shared" si="0"/>
        <v>3</v>
      </c>
      <c r="J16" s="3">
        <f t="shared" si="1"/>
        <v>3</v>
      </c>
      <c r="K16" s="7">
        <v>5</v>
      </c>
      <c r="M16" t="s">
        <v>52</v>
      </c>
      <c r="N16">
        <f>COUNTIFS($B$2:$B$386,1,$D$2:$D$386,15)</f>
        <v>0</v>
      </c>
      <c r="O16" s="34">
        <f t="shared" si="2"/>
        <v>0</v>
      </c>
      <c r="Q16" t="s">
        <v>52</v>
      </c>
      <c r="R16">
        <f>COUNTIFS($C$2:$C$386,18,$D$2:$D$386,15)</f>
        <v>0</v>
      </c>
      <c r="S16" s="34">
        <f t="shared" si="3"/>
        <v>0</v>
      </c>
      <c r="U16" t="s">
        <v>37</v>
      </c>
      <c r="V16">
        <f>COUNTIFS($D$2:$D$386,2,$E$2:$E$386,5)</f>
        <v>0</v>
      </c>
      <c r="W16" s="34">
        <f t="shared" si="4"/>
        <v>0</v>
      </c>
      <c r="Y16" t="s">
        <v>27</v>
      </c>
      <c r="Z16">
        <f>COUNTIFS($E$2:$E$386,4,$F$2:$F$386,3)</f>
        <v>0</v>
      </c>
      <c r="AA16" s="34">
        <f t="shared" si="5"/>
        <v>0</v>
      </c>
      <c r="AD16" s="22">
        <f>SUM(AD12:AD15)</f>
        <v>30</v>
      </c>
      <c r="AE16" s="35">
        <f t="shared" si="6"/>
        <v>33.333333333333329</v>
      </c>
      <c r="AG16" t="s">
        <v>1644</v>
      </c>
      <c r="AH16">
        <f>COUNTIFS($G$2:$G$386,1,$H$2:$H$386,15)</f>
        <v>0</v>
      </c>
      <c r="AI16" s="34">
        <f t="shared" si="7"/>
        <v>0</v>
      </c>
      <c r="AK16" t="s">
        <v>3095</v>
      </c>
      <c r="AL16">
        <f>COUNTIFS($G$2:$G$386,2,$J$2:$J$386,17)</f>
        <v>4</v>
      </c>
      <c r="AM16" s="34">
        <f t="shared" si="8"/>
        <v>4.4444444444444446</v>
      </c>
      <c r="AO16" s="4" t="s">
        <v>39125</v>
      </c>
      <c r="AP16">
        <f>COUNTIFS($H$2:$H$386,3,$K$2:$K$386,3)</f>
        <v>0</v>
      </c>
      <c r="AQ16" s="34">
        <f t="shared" si="9"/>
        <v>0</v>
      </c>
      <c r="AS16" s="4" t="s">
        <v>39125</v>
      </c>
      <c r="AT16">
        <f>COUNTIFS($J$2:$J$386,3,$K$2:$K$386,3)</f>
        <v>0</v>
      </c>
      <c r="AU16" s="34">
        <f t="shared" si="10"/>
        <v>0</v>
      </c>
    </row>
    <row r="17" spans="1:47" ht="28.8" x14ac:dyDescent="0.3">
      <c r="A17" s="6" t="s">
        <v>10759</v>
      </c>
      <c r="B17" s="7">
        <v>14</v>
      </c>
      <c r="C17" s="3">
        <v>21</v>
      </c>
      <c r="D17" s="11">
        <v>1</v>
      </c>
      <c r="E17" s="11">
        <v>3</v>
      </c>
      <c r="F17" s="11">
        <v>2</v>
      </c>
      <c r="G17" s="11">
        <v>3</v>
      </c>
      <c r="H17" s="11">
        <v>8</v>
      </c>
      <c r="I17" s="3">
        <f t="shared" si="0"/>
        <v>18</v>
      </c>
      <c r="J17" s="3">
        <f t="shared" si="1"/>
        <v>18</v>
      </c>
      <c r="K17" s="11">
        <v>3</v>
      </c>
      <c r="N17" s="22">
        <f>SUM(N2:N16)</f>
        <v>0</v>
      </c>
      <c r="O17" s="35">
        <f t="shared" si="2"/>
        <v>0</v>
      </c>
      <c r="R17" s="23">
        <f>SUM(R2:R16)</f>
        <v>3</v>
      </c>
      <c r="S17" s="37">
        <f t="shared" si="3"/>
        <v>3.3333333333333335</v>
      </c>
      <c r="U17" t="s">
        <v>42</v>
      </c>
      <c r="V17">
        <f>COUNTIFS($D$2:$D$386,2,$E$2:$E$386,6)</f>
        <v>0</v>
      </c>
      <c r="W17" s="34">
        <f t="shared" si="4"/>
        <v>0</v>
      </c>
      <c r="Z17" s="23">
        <f>SUM(Z14:Z16)</f>
        <v>3</v>
      </c>
      <c r="AA17" s="37">
        <f t="shared" si="5"/>
        <v>3.3333333333333335</v>
      </c>
      <c r="AG17" t="s">
        <v>29</v>
      </c>
      <c r="AH17">
        <f>COUNTIFS($G$2:$G$386,1,$H$2:$H$386,16)</f>
        <v>0</v>
      </c>
      <c r="AI17" s="34">
        <f t="shared" si="7"/>
        <v>0</v>
      </c>
      <c r="AL17" s="22">
        <f>SUM(AL10:AL16)</f>
        <v>14</v>
      </c>
      <c r="AM17" s="35">
        <f t="shared" si="8"/>
        <v>15.555555555555555</v>
      </c>
      <c r="AO17" s="4" t="s">
        <v>39122</v>
      </c>
      <c r="AP17">
        <f>COUNTIFS($H$2:$H$386,3,$K$2:$K$386,4)</f>
        <v>0</v>
      </c>
      <c r="AQ17" s="34">
        <f t="shared" si="9"/>
        <v>0</v>
      </c>
      <c r="AS17" s="4" t="s">
        <v>39122</v>
      </c>
      <c r="AT17">
        <f>COUNTIFS($J$2:$J$386,3,$K$2:$K$386,4)</f>
        <v>0</v>
      </c>
      <c r="AU17" s="34">
        <f t="shared" si="10"/>
        <v>0</v>
      </c>
    </row>
    <row r="18" spans="1:47" ht="86.4" x14ac:dyDescent="0.3">
      <c r="A18" s="6" t="s">
        <v>10694</v>
      </c>
      <c r="B18" s="7">
        <v>12</v>
      </c>
      <c r="C18" s="3">
        <v>20</v>
      </c>
      <c r="D18" s="11">
        <v>4</v>
      </c>
      <c r="E18" s="11">
        <v>8</v>
      </c>
      <c r="F18" s="11">
        <v>1</v>
      </c>
      <c r="G18" s="11">
        <v>2</v>
      </c>
      <c r="H18" s="11">
        <v>1</v>
      </c>
      <c r="I18" s="3">
        <f t="shared" si="0"/>
        <v>1</v>
      </c>
      <c r="J18" s="3">
        <f t="shared" si="1"/>
        <v>1</v>
      </c>
      <c r="K18" s="11">
        <v>3</v>
      </c>
      <c r="L18">
        <v>2010</v>
      </c>
      <c r="M18" t="s">
        <v>11</v>
      </c>
      <c r="N18">
        <f>COUNTIFS($B$2:$B$386,2,$D$2:$D$386,1)</f>
        <v>0</v>
      </c>
      <c r="O18" s="34">
        <f>(N18/90)*100</f>
        <v>0</v>
      </c>
      <c r="P18" t="s">
        <v>3081</v>
      </c>
      <c r="Q18" t="s">
        <v>11</v>
      </c>
      <c r="R18">
        <f>COUNTIFS($C$2:$C$386,19,$D$2:$D$386,1)</f>
        <v>4</v>
      </c>
      <c r="S18" s="34">
        <f t="shared" si="3"/>
        <v>4.4444444444444446</v>
      </c>
      <c r="U18" t="s">
        <v>45</v>
      </c>
      <c r="V18">
        <f>COUNTIFS($D$2:$D$386,2,$E$2:$E$386,7)</f>
        <v>0</v>
      </c>
      <c r="W18" s="34">
        <f t="shared" si="4"/>
        <v>0</v>
      </c>
      <c r="X18" t="s">
        <v>37</v>
      </c>
      <c r="Y18" t="s">
        <v>13</v>
      </c>
      <c r="Z18">
        <f>COUNTIFS($E$2:$E$386,5,$F$2:$F$386,1)</f>
        <v>0</v>
      </c>
      <c r="AA18" s="34">
        <f t="shared" si="5"/>
        <v>0</v>
      </c>
      <c r="AG18" t="s">
        <v>54</v>
      </c>
      <c r="AH18">
        <f>COUNTIFS($G$2:$G$386,1,$H$2:$H$386,17)</f>
        <v>0</v>
      </c>
      <c r="AI18" s="34">
        <f t="shared" si="7"/>
        <v>0</v>
      </c>
      <c r="AJ18" s="4" t="s">
        <v>39602</v>
      </c>
      <c r="AK18" t="s">
        <v>14</v>
      </c>
      <c r="AL18">
        <f>COUNTIFS($G$2:$G$386,3,$J$2:$J$386,1)</f>
        <v>12</v>
      </c>
      <c r="AM18" s="34">
        <f t="shared" si="8"/>
        <v>13.333333333333334</v>
      </c>
      <c r="AO18" s="4" t="s">
        <v>39123</v>
      </c>
      <c r="AP18">
        <f>COUNTIFS($H$2:$H$386,3,$K$2:$K$386,5)</f>
        <v>2</v>
      </c>
      <c r="AQ18" s="34">
        <f t="shared" si="9"/>
        <v>2.2222222222222223</v>
      </c>
      <c r="AS18" s="4" t="s">
        <v>39123</v>
      </c>
      <c r="AT18">
        <f>COUNTIFS($J$2:$J$386,3,$K$2:$K$386,5)</f>
        <v>2</v>
      </c>
      <c r="AU18" s="34">
        <f t="shared" si="10"/>
        <v>2.2222222222222223</v>
      </c>
    </row>
    <row r="19" spans="1:47" x14ac:dyDescent="0.3">
      <c r="A19" s="6" t="s">
        <v>10725</v>
      </c>
      <c r="B19" s="7">
        <v>12</v>
      </c>
      <c r="C19" s="3">
        <v>20</v>
      </c>
      <c r="D19" s="11">
        <v>4</v>
      </c>
      <c r="E19" s="7">
        <v>8</v>
      </c>
      <c r="F19" s="11">
        <v>2</v>
      </c>
      <c r="G19" s="11">
        <v>2</v>
      </c>
      <c r="H19" s="11">
        <v>16</v>
      </c>
      <c r="I19" s="3">
        <f t="shared" si="0"/>
        <v>16</v>
      </c>
      <c r="J19" s="3">
        <f t="shared" si="1"/>
        <v>16</v>
      </c>
      <c r="K19" s="11">
        <v>3</v>
      </c>
      <c r="M19" t="s">
        <v>18</v>
      </c>
      <c r="N19">
        <f>COUNTIFS($B$2:$B$386,2,$D$2:$D$386,2)</f>
        <v>0</v>
      </c>
      <c r="O19" s="34">
        <f t="shared" ref="O19:O82" si="11">(N19/90)*100</f>
        <v>0</v>
      </c>
      <c r="Q19" t="s">
        <v>18</v>
      </c>
      <c r="R19">
        <f>COUNTIFS($C$2:$C$386,19,$D$2:$D$386,2)</f>
        <v>1</v>
      </c>
      <c r="S19" s="34">
        <f t="shared" si="3"/>
        <v>1.1111111111111112</v>
      </c>
      <c r="U19" t="s">
        <v>48</v>
      </c>
      <c r="V19">
        <f>COUNTIFS($D$2:$D$386,2,$E$2:$E$386,8)</f>
        <v>0</v>
      </c>
      <c r="W19" s="34">
        <f t="shared" si="4"/>
        <v>0</v>
      </c>
      <c r="Y19" s="4" t="s">
        <v>20</v>
      </c>
      <c r="Z19">
        <f>COUNTIFS($E$2:$E$386,5,$F$2:$F$386,2)</f>
        <v>3</v>
      </c>
      <c r="AA19" s="34">
        <f t="shared" si="5"/>
        <v>3.3333333333333335</v>
      </c>
      <c r="AH19" s="23">
        <f>SUM(AH2:AH18)</f>
        <v>7</v>
      </c>
      <c r="AI19" s="37">
        <f t="shared" si="7"/>
        <v>7.7777777777777777</v>
      </c>
      <c r="AK19" t="s">
        <v>21</v>
      </c>
      <c r="AL19">
        <f>COUNTIFS($G$2:$G$386,3,$J$2:$J$386,2)</f>
        <v>2</v>
      </c>
      <c r="AM19" s="34">
        <f t="shared" si="8"/>
        <v>2.2222222222222223</v>
      </c>
      <c r="AP19" s="23">
        <f>SUM(AP14:AP18)</f>
        <v>2</v>
      </c>
      <c r="AQ19" s="37">
        <f t="shared" si="9"/>
        <v>2.2222222222222223</v>
      </c>
      <c r="AT19" s="22">
        <f>SUM(AT14:AT18)</f>
        <v>2</v>
      </c>
      <c r="AU19" s="35">
        <f t="shared" si="10"/>
        <v>2.2222222222222223</v>
      </c>
    </row>
    <row r="20" spans="1:47" ht="57.6" x14ac:dyDescent="0.3">
      <c r="A20" s="6" t="s">
        <v>10696</v>
      </c>
      <c r="B20" s="7">
        <v>13</v>
      </c>
      <c r="C20" s="3">
        <v>21</v>
      </c>
      <c r="D20" s="11">
        <v>1</v>
      </c>
      <c r="E20" s="11">
        <v>1</v>
      </c>
      <c r="F20" s="11">
        <v>3</v>
      </c>
      <c r="G20" s="11">
        <v>3</v>
      </c>
      <c r="H20" s="11">
        <v>17</v>
      </c>
      <c r="I20" s="3">
        <f t="shared" si="0"/>
        <v>17</v>
      </c>
      <c r="J20" s="3">
        <f t="shared" si="1"/>
        <v>17</v>
      </c>
      <c r="K20" s="11">
        <v>4</v>
      </c>
      <c r="M20" t="s">
        <v>150</v>
      </c>
      <c r="N20">
        <f>COUNTIFS($B$2:$B$386,2,$D$2:$D$386,3)</f>
        <v>0</v>
      </c>
      <c r="O20" s="34">
        <f t="shared" si="11"/>
        <v>0</v>
      </c>
      <c r="Q20" t="s">
        <v>150</v>
      </c>
      <c r="R20">
        <f>COUNTIFS($C$2:$C$386,19,$D$2:$D$386,3)</f>
        <v>0</v>
      </c>
      <c r="S20" s="34">
        <f t="shared" si="3"/>
        <v>0</v>
      </c>
      <c r="U20" t="s">
        <v>50</v>
      </c>
      <c r="V20">
        <f>COUNTIFS($D$2:$D$386,2,$E$2:$E$386,9)</f>
        <v>0</v>
      </c>
      <c r="W20" s="34">
        <f t="shared" si="4"/>
        <v>0</v>
      </c>
      <c r="Y20" t="s">
        <v>27</v>
      </c>
      <c r="Z20">
        <f>COUNTIFS($E$2:$E$386,5,$F$2:$F$386,3)</f>
        <v>3</v>
      </c>
      <c r="AA20" s="34">
        <f t="shared" si="5"/>
        <v>3.3333333333333335</v>
      </c>
      <c r="AF20" s="4" t="s">
        <v>39606</v>
      </c>
      <c r="AG20" t="s">
        <v>14</v>
      </c>
      <c r="AH20">
        <f>COUNTIFS($G$2:$G$386,2,$H$2:$H$386,1)</f>
        <v>1</v>
      </c>
      <c r="AI20" s="34">
        <f t="shared" si="7"/>
        <v>1.1111111111111112</v>
      </c>
      <c r="AK20" t="s">
        <v>28</v>
      </c>
      <c r="AL20">
        <f>COUNTIFS($G$2:$G$386,3,$J$2:$J$386,3)</f>
        <v>2</v>
      </c>
      <c r="AM20" s="34">
        <f t="shared" si="8"/>
        <v>2.2222222222222223</v>
      </c>
      <c r="AN20" t="s">
        <v>35</v>
      </c>
      <c r="AO20" s="4" t="s">
        <v>39120</v>
      </c>
      <c r="AP20">
        <f>COUNTIFS($H$2:$H$386,4,$K$2:$K$386,1)</f>
        <v>0</v>
      </c>
      <c r="AQ20" s="34">
        <f t="shared" si="9"/>
        <v>0</v>
      </c>
      <c r="AR20" t="s">
        <v>3093</v>
      </c>
      <c r="AS20" s="4" t="s">
        <v>39120</v>
      </c>
      <c r="AT20">
        <f>COUNTIFS($J$2:$J$386,18,$K$2:$K$386,1)</f>
        <v>4</v>
      </c>
      <c r="AU20" s="34">
        <f t="shared" si="10"/>
        <v>4.4444444444444446</v>
      </c>
    </row>
    <row r="21" spans="1:47" ht="43.2" x14ac:dyDescent="0.3">
      <c r="A21" s="6" t="s">
        <v>10720</v>
      </c>
      <c r="B21" s="7">
        <v>12</v>
      </c>
      <c r="C21" s="3">
        <v>20</v>
      </c>
      <c r="D21" s="11">
        <v>4</v>
      </c>
      <c r="E21" s="7">
        <v>5</v>
      </c>
      <c r="F21" s="7">
        <v>3</v>
      </c>
      <c r="G21" s="7">
        <v>3</v>
      </c>
      <c r="H21" s="7">
        <v>17</v>
      </c>
      <c r="I21" s="3">
        <f t="shared" si="0"/>
        <v>17</v>
      </c>
      <c r="J21" s="3">
        <f t="shared" si="1"/>
        <v>17</v>
      </c>
      <c r="K21" s="7">
        <v>4</v>
      </c>
      <c r="M21" t="s">
        <v>25</v>
      </c>
      <c r="N21">
        <f>COUNTIFS($B$2:$B$386,2,$D$2:$D$386,4)</f>
        <v>0</v>
      </c>
      <c r="O21" s="34">
        <f t="shared" si="11"/>
        <v>0</v>
      </c>
      <c r="Q21" t="s">
        <v>25</v>
      </c>
      <c r="R21">
        <f>COUNTIFS($C$2:$C$386,19,$D$2:$D$386,4)</f>
        <v>3</v>
      </c>
      <c r="S21" s="34">
        <f t="shared" si="3"/>
        <v>3.3333333333333335</v>
      </c>
      <c r="V21" s="22">
        <f>SUM(V12:V20)</f>
        <v>2</v>
      </c>
      <c r="W21" s="35">
        <f t="shared" si="4"/>
        <v>2.2222222222222223</v>
      </c>
      <c r="Z21" s="23">
        <f>SUM(Z18:Z20)</f>
        <v>6</v>
      </c>
      <c r="AA21" s="37">
        <f t="shared" si="5"/>
        <v>6.666666666666667</v>
      </c>
      <c r="AG21" t="s">
        <v>21</v>
      </c>
      <c r="AH21">
        <f>COUNTIFS($G$2:$G$386,2,$H$2:$H$386,2)</f>
        <v>0</v>
      </c>
      <c r="AI21" s="34">
        <f t="shared" si="7"/>
        <v>0</v>
      </c>
      <c r="AK21" t="s">
        <v>3093</v>
      </c>
      <c r="AL21">
        <f>COUNTIFS($G$2:$G$386,3,$J$2:$J$386,18)</f>
        <v>7</v>
      </c>
      <c r="AM21" s="34">
        <f t="shared" si="8"/>
        <v>7.7777777777777777</v>
      </c>
      <c r="AO21" s="4" t="s">
        <v>39121</v>
      </c>
      <c r="AP21">
        <f>COUNTIFS($H$2:$H$386,4,$K$2:$K$386,2)</f>
        <v>0</v>
      </c>
      <c r="AQ21" s="34">
        <f t="shared" si="9"/>
        <v>0</v>
      </c>
      <c r="AS21" s="4" t="s">
        <v>39121</v>
      </c>
      <c r="AT21">
        <f>COUNTIFS($J$2:$J$386,18,$K$2:$K$386,2)</f>
        <v>6</v>
      </c>
      <c r="AU21" s="34">
        <f t="shared" si="10"/>
        <v>6.666666666666667</v>
      </c>
    </row>
    <row r="22" spans="1:47" ht="57.6" x14ac:dyDescent="0.3">
      <c r="A22" s="6" t="s">
        <v>10758</v>
      </c>
      <c r="B22" s="7">
        <v>13</v>
      </c>
      <c r="C22" s="3">
        <v>21</v>
      </c>
      <c r="D22" s="11">
        <v>1</v>
      </c>
      <c r="E22" s="11">
        <v>3</v>
      </c>
      <c r="F22" s="7">
        <v>3</v>
      </c>
      <c r="G22" s="7">
        <v>3</v>
      </c>
      <c r="H22" s="7">
        <v>17</v>
      </c>
      <c r="I22" s="3">
        <f t="shared" si="0"/>
        <v>17</v>
      </c>
      <c r="J22" s="3">
        <f t="shared" si="1"/>
        <v>17</v>
      </c>
      <c r="K22" s="7">
        <v>4</v>
      </c>
      <c r="M22" t="s">
        <v>32</v>
      </c>
      <c r="N22">
        <f>COUNTIFS($B$2:$B$386,2,$D$2:$D$386,5)</f>
        <v>0</v>
      </c>
      <c r="O22" s="34">
        <f t="shared" si="11"/>
        <v>0</v>
      </c>
      <c r="Q22" t="s">
        <v>32</v>
      </c>
      <c r="R22">
        <f>COUNTIFS($C$2:$C$386,19,$D$2:$D$386,5)</f>
        <v>0</v>
      </c>
      <c r="S22" s="34">
        <f t="shared" si="3"/>
        <v>0</v>
      </c>
      <c r="T22" t="s">
        <v>150</v>
      </c>
      <c r="U22" t="s">
        <v>10</v>
      </c>
      <c r="V22">
        <f>COUNTIFS($D$2:$D$386,3,$E$2:$E$386,1)</f>
        <v>0</v>
      </c>
      <c r="W22" s="34">
        <f t="shared" si="4"/>
        <v>0</v>
      </c>
      <c r="X22" t="s">
        <v>42</v>
      </c>
      <c r="Y22" t="s">
        <v>13</v>
      </c>
      <c r="Z22">
        <f>COUNTIFS($E$2:$E$386,6,$F$2:$F$386,1)</f>
        <v>3</v>
      </c>
      <c r="AA22" s="34">
        <f t="shared" si="5"/>
        <v>3.3333333333333335</v>
      </c>
      <c r="AG22" t="s">
        <v>28</v>
      </c>
      <c r="AH22">
        <f>COUNTIFS($G$2:$G$386,2,$H$2:$H$386,3)</f>
        <v>0</v>
      </c>
      <c r="AI22" s="34">
        <f t="shared" si="7"/>
        <v>0</v>
      </c>
      <c r="AK22" t="s">
        <v>3094</v>
      </c>
      <c r="AL22">
        <f>COUNTIFS($G$2:$G$386,3,$J$2:$J$386,19)</f>
        <v>1</v>
      </c>
      <c r="AM22" s="34">
        <f t="shared" si="8"/>
        <v>1.1111111111111112</v>
      </c>
      <c r="AO22" s="4" t="s">
        <v>39125</v>
      </c>
      <c r="AP22">
        <f>COUNTIFS($H$2:$H$386,4,$K$2:$K$386,3)</f>
        <v>0</v>
      </c>
      <c r="AQ22" s="34">
        <f t="shared" si="9"/>
        <v>0</v>
      </c>
      <c r="AS22" s="4" t="s">
        <v>39125</v>
      </c>
      <c r="AT22">
        <f>COUNTIFS($J$2:$J$386,18,$K$2:$K$386,3)</f>
        <v>6</v>
      </c>
      <c r="AU22" s="34">
        <f t="shared" si="10"/>
        <v>6.666666666666667</v>
      </c>
    </row>
    <row r="23" spans="1:47" ht="28.8" x14ac:dyDescent="0.3">
      <c r="A23" s="6" t="s">
        <v>10509</v>
      </c>
      <c r="B23" s="7">
        <v>10</v>
      </c>
      <c r="C23" s="3">
        <v>20</v>
      </c>
      <c r="D23" s="7">
        <v>4</v>
      </c>
      <c r="E23" s="7">
        <v>3</v>
      </c>
      <c r="F23" s="7">
        <v>3</v>
      </c>
      <c r="G23" s="7">
        <v>3</v>
      </c>
      <c r="H23" s="7">
        <v>17</v>
      </c>
      <c r="I23" s="3">
        <f t="shared" si="0"/>
        <v>17</v>
      </c>
      <c r="J23" s="3">
        <f t="shared" si="1"/>
        <v>17</v>
      </c>
      <c r="K23" s="7">
        <v>4</v>
      </c>
      <c r="M23" t="s">
        <v>38</v>
      </c>
      <c r="N23">
        <f>COUNTIFS($B$2:$B$386,2,$D$2:$D$386,6)</f>
        <v>0</v>
      </c>
      <c r="O23" s="34">
        <f t="shared" si="11"/>
        <v>0</v>
      </c>
      <c r="Q23" t="s">
        <v>38</v>
      </c>
      <c r="R23">
        <f>COUNTIFS($C$2:$C$386,19,$D$2:$D$386,6)</f>
        <v>1</v>
      </c>
      <c r="S23" s="34">
        <f t="shared" si="3"/>
        <v>1.1111111111111112</v>
      </c>
      <c r="U23" t="s">
        <v>17</v>
      </c>
      <c r="V23">
        <f>COUNTIFS($D$2:$D$386,3,$E$2:$E$386,2)</f>
        <v>0</v>
      </c>
      <c r="W23" s="34">
        <f t="shared" si="4"/>
        <v>0</v>
      </c>
      <c r="Y23" s="4" t="s">
        <v>20</v>
      </c>
      <c r="Z23">
        <f>COUNTIFS($E$2:$E$386,6,$F$2:$F$386,2)</f>
        <v>3</v>
      </c>
      <c r="AA23" s="34">
        <f t="shared" si="5"/>
        <v>3.3333333333333335</v>
      </c>
      <c r="AG23" t="s">
        <v>35</v>
      </c>
      <c r="AH23">
        <f>COUNTIFS($G$2:$G$386,2,$H$2:$H$386,4)</f>
        <v>0</v>
      </c>
      <c r="AI23" s="34">
        <f t="shared" si="7"/>
        <v>0</v>
      </c>
      <c r="AK23" t="s">
        <v>50</v>
      </c>
      <c r="AL23">
        <f>COUNTIFS($G$2:$G$386,3,$J$2:$J$386,16)</f>
        <v>6</v>
      </c>
      <c r="AM23" s="34">
        <f t="shared" si="8"/>
        <v>6.666666666666667</v>
      </c>
      <c r="AO23" s="4" t="s">
        <v>39122</v>
      </c>
      <c r="AP23">
        <f>COUNTIFS($H$2:$H$386,4,$K$2:$K$386,4)</f>
        <v>0</v>
      </c>
      <c r="AQ23" s="34">
        <f t="shared" si="9"/>
        <v>0</v>
      </c>
      <c r="AS23" s="4" t="s">
        <v>39122</v>
      </c>
      <c r="AT23">
        <f>COUNTIFS($J$2:$J$386,18,$K$2:$K$386,4)</f>
        <v>0</v>
      </c>
      <c r="AU23" s="34">
        <f t="shared" si="10"/>
        <v>0</v>
      </c>
    </row>
    <row r="24" spans="1:47" ht="28.8" x14ac:dyDescent="0.3">
      <c r="A24" s="6" t="s">
        <v>10673</v>
      </c>
      <c r="B24" s="7">
        <v>5</v>
      </c>
      <c r="C24" s="3">
        <v>19</v>
      </c>
      <c r="D24" s="11">
        <v>1</v>
      </c>
      <c r="E24" s="11">
        <v>6</v>
      </c>
      <c r="F24" s="11">
        <v>1</v>
      </c>
      <c r="G24" s="11">
        <v>1</v>
      </c>
      <c r="H24" s="11">
        <v>10</v>
      </c>
      <c r="I24" s="3">
        <f t="shared" si="0"/>
        <v>18</v>
      </c>
      <c r="J24" s="3">
        <f t="shared" si="1"/>
        <v>18</v>
      </c>
      <c r="K24" s="11">
        <v>2</v>
      </c>
      <c r="M24" t="s">
        <v>151</v>
      </c>
      <c r="N24">
        <f>COUNTIFS($B$2:$B$386,2,$D$2:$D$386,7)</f>
        <v>0</v>
      </c>
      <c r="O24" s="34">
        <f t="shared" si="11"/>
        <v>0</v>
      </c>
      <c r="Q24" t="s">
        <v>151</v>
      </c>
      <c r="R24">
        <f>COUNTIFS($C$2:$C$386,19,$D$2:$D$386,7)</f>
        <v>0</v>
      </c>
      <c r="S24" s="34">
        <f t="shared" si="3"/>
        <v>0</v>
      </c>
      <c r="U24" t="s">
        <v>24</v>
      </c>
      <c r="V24">
        <f>COUNTIFS($D$2:$D$386,3,$E$2:$E$386,3)</f>
        <v>0</v>
      </c>
      <c r="W24" s="34">
        <f t="shared" si="4"/>
        <v>0</v>
      </c>
      <c r="Y24" t="s">
        <v>27</v>
      </c>
      <c r="Z24">
        <f>COUNTIFS($E$2:$E$386,6,$F$2:$F$386,3)</f>
        <v>1</v>
      </c>
      <c r="AA24" s="34">
        <f t="shared" si="5"/>
        <v>1.1111111111111112</v>
      </c>
      <c r="AG24" t="s">
        <v>40</v>
      </c>
      <c r="AH24">
        <f>COUNTIFS($G$2:$G$386,2,$H$2:$H$386,5)</f>
        <v>0</v>
      </c>
      <c r="AI24" s="34">
        <f t="shared" si="7"/>
        <v>0</v>
      </c>
      <c r="AK24" t="s">
        <v>3095</v>
      </c>
      <c r="AL24">
        <f>COUNTIFS($G$2:$G$386,3,$J$2:$J$386,17)</f>
        <v>39</v>
      </c>
      <c r="AM24" s="34">
        <f t="shared" si="8"/>
        <v>43.333333333333336</v>
      </c>
      <c r="AO24" s="4" t="s">
        <v>39123</v>
      </c>
      <c r="AP24">
        <f>COUNTIFS($H$2:$H$386,4,$K$2:$K$386,5)</f>
        <v>0</v>
      </c>
      <c r="AQ24" s="34">
        <f t="shared" si="9"/>
        <v>0</v>
      </c>
      <c r="AS24" s="4" t="s">
        <v>39123</v>
      </c>
      <c r="AT24">
        <f>COUNTIFS($J$2:$J$386,18,$K$2:$K$386,5)</f>
        <v>0</v>
      </c>
      <c r="AU24" s="34">
        <f t="shared" si="10"/>
        <v>0</v>
      </c>
    </row>
    <row r="25" spans="1:47" x14ac:dyDescent="0.3">
      <c r="A25" s="6" t="s">
        <v>10673</v>
      </c>
      <c r="B25" s="7">
        <v>10</v>
      </c>
      <c r="C25" s="3">
        <v>20</v>
      </c>
      <c r="D25" s="11">
        <v>15</v>
      </c>
      <c r="E25" s="11">
        <v>9</v>
      </c>
      <c r="F25" s="11">
        <v>2</v>
      </c>
      <c r="G25" s="11">
        <v>2</v>
      </c>
      <c r="H25" s="11">
        <v>17</v>
      </c>
      <c r="I25" s="3">
        <f t="shared" si="0"/>
        <v>17</v>
      </c>
      <c r="J25" s="3">
        <f t="shared" si="1"/>
        <v>17</v>
      </c>
      <c r="K25" s="11">
        <v>4</v>
      </c>
      <c r="M25" t="s">
        <v>43</v>
      </c>
      <c r="N25">
        <f>COUNTIFS($B$2:$B$386,2,$D$2:$D$386,8)</f>
        <v>0</v>
      </c>
      <c r="O25" s="34">
        <f t="shared" si="11"/>
        <v>0</v>
      </c>
      <c r="Q25" t="s">
        <v>43</v>
      </c>
      <c r="R25">
        <f>COUNTIFS($C$2:$C$386,19,$D$2:$D$386,8)</f>
        <v>2</v>
      </c>
      <c r="S25" s="34">
        <f t="shared" si="3"/>
        <v>2.2222222222222223</v>
      </c>
      <c r="U25" t="s">
        <v>31</v>
      </c>
      <c r="V25">
        <f>COUNTIFS($D$2:$D$386,3,$E$2:$E$386,4)</f>
        <v>0</v>
      </c>
      <c r="W25" s="34">
        <f t="shared" si="4"/>
        <v>0</v>
      </c>
      <c r="Z25" s="23">
        <f>SUM(Z22:Z24)</f>
        <v>7</v>
      </c>
      <c r="AA25" s="37">
        <f t="shared" si="5"/>
        <v>7.7777777777777777</v>
      </c>
      <c r="AG25" t="s">
        <v>44</v>
      </c>
      <c r="AH25">
        <f>COUNTIFS($G$2:$G$386,2,$H$2:$H$386,6)</f>
        <v>0</v>
      </c>
      <c r="AI25" s="34">
        <f t="shared" si="7"/>
        <v>0</v>
      </c>
      <c r="AL25" s="22">
        <f>SUM(AL18:AL24)</f>
        <v>69</v>
      </c>
      <c r="AM25" s="35">
        <f t="shared" si="8"/>
        <v>76.666666666666671</v>
      </c>
      <c r="AP25" s="23">
        <f>SUM(AP20:AP24)</f>
        <v>0</v>
      </c>
      <c r="AQ25" s="37">
        <f t="shared" si="9"/>
        <v>0</v>
      </c>
      <c r="AT25" s="22">
        <f>SUM(AT20:AT24)</f>
        <v>16</v>
      </c>
      <c r="AU25" s="35">
        <f t="shared" si="10"/>
        <v>17.777777777777779</v>
      </c>
    </row>
    <row r="26" spans="1:47" ht="43.2" x14ac:dyDescent="0.3">
      <c r="A26" s="6" t="s">
        <v>10673</v>
      </c>
      <c r="B26" s="7">
        <v>15</v>
      </c>
      <c r="C26" s="3">
        <v>21</v>
      </c>
      <c r="D26" s="11">
        <v>15</v>
      </c>
      <c r="E26" s="11">
        <v>8</v>
      </c>
      <c r="F26" s="11">
        <v>2</v>
      </c>
      <c r="G26" s="11">
        <v>2</v>
      </c>
      <c r="H26" s="11">
        <v>17</v>
      </c>
      <c r="I26" s="3">
        <f t="shared" si="0"/>
        <v>17</v>
      </c>
      <c r="J26" s="3">
        <f t="shared" si="1"/>
        <v>17</v>
      </c>
      <c r="K26" s="11">
        <v>4</v>
      </c>
      <c r="M26" t="s">
        <v>46</v>
      </c>
      <c r="N26">
        <f>COUNTIFS($B$2:$B$386,2,$D$2:$D$386,9)</f>
        <v>0</v>
      </c>
      <c r="O26" s="34">
        <f t="shared" si="11"/>
        <v>0</v>
      </c>
      <c r="Q26" t="s">
        <v>46</v>
      </c>
      <c r="R26">
        <f>COUNTIFS($C$2:$C$386,19,$D$2:$D$386,9)</f>
        <v>0</v>
      </c>
      <c r="S26" s="34">
        <f t="shared" si="3"/>
        <v>0</v>
      </c>
      <c r="U26" t="s">
        <v>37</v>
      </c>
      <c r="V26">
        <f>COUNTIFS($D$2:$D$386,3,$E$2:$E$386,5)</f>
        <v>0</v>
      </c>
      <c r="W26" s="34">
        <f t="shared" si="4"/>
        <v>0</v>
      </c>
      <c r="X26" t="s">
        <v>45</v>
      </c>
      <c r="Y26" t="s">
        <v>13</v>
      </c>
      <c r="Z26">
        <f>COUNTIFS($E$2:$E$386,7,$F$2:$F$386,1)</f>
        <v>2</v>
      </c>
      <c r="AA26" s="34">
        <f t="shared" si="5"/>
        <v>2.2222222222222223</v>
      </c>
      <c r="AG26" t="s">
        <v>47</v>
      </c>
      <c r="AH26">
        <f>COUNTIFS($G$2:$G$386,2,$H$2:$H$386,7)</f>
        <v>0</v>
      </c>
      <c r="AI26" s="34">
        <f t="shared" si="7"/>
        <v>0</v>
      </c>
      <c r="AJ26" s="4" t="s">
        <v>34</v>
      </c>
      <c r="AK26" t="s">
        <v>14</v>
      </c>
      <c r="AL26">
        <f>COUNTIFS($G$2:$G$386,4,$J$2:$J$386,1)</f>
        <v>0</v>
      </c>
      <c r="AM26" s="34">
        <f t="shared" si="8"/>
        <v>0</v>
      </c>
      <c r="AN26" t="s">
        <v>40</v>
      </c>
      <c r="AO26" s="4" t="s">
        <v>39120</v>
      </c>
      <c r="AP26">
        <f>COUNTIFS($H$2:$H$386,5,$K$2:$K$386,1)</f>
        <v>0</v>
      </c>
      <c r="AQ26" s="34">
        <f t="shared" si="9"/>
        <v>0</v>
      </c>
      <c r="AR26" t="s">
        <v>3094</v>
      </c>
      <c r="AS26" s="4" t="s">
        <v>39120</v>
      </c>
      <c r="AT26">
        <f>COUNTIFS($J$2:$J$386,19,$K$2:$K$386,1)</f>
        <v>0</v>
      </c>
      <c r="AU26" s="34">
        <f t="shared" si="10"/>
        <v>0</v>
      </c>
    </row>
    <row r="27" spans="1:47" ht="43.2" x14ac:dyDescent="0.3">
      <c r="A27" s="6" t="s">
        <v>10719</v>
      </c>
      <c r="B27" s="7">
        <v>15</v>
      </c>
      <c r="C27" s="3">
        <v>21</v>
      </c>
      <c r="D27" s="11">
        <v>1</v>
      </c>
      <c r="E27" s="7">
        <v>6</v>
      </c>
      <c r="F27" s="7">
        <v>3</v>
      </c>
      <c r="G27" s="7">
        <v>3</v>
      </c>
      <c r="H27" s="7">
        <v>17</v>
      </c>
      <c r="I27" s="3">
        <f t="shared" si="0"/>
        <v>17</v>
      </c>
      <c r="J27" s="3">
        <f t="shared" si="1"/>
        <v>17</v>
      </c>
      <c r="K27" s="7">
        <v>4</v>
      </c>
      <c r="M27" t="s">
        <v>152</v>
      </c>
      <c r="N27">
        <f>COUNTIFS($B$2:$B$386,2,$D$2:$D$386,10)</f>
        <v>0</v>
      </c>
      <c r="O27" s="34">
        <f t="shared" si="11"/>
        <v>0</v>
      </c>
      <c r="Q27" t="s">
        <v>152</v>
      </c>
      <c r="R27">
        <f>COUNTIFS($C$2:$C$386,19,$D$2:$D$386,10)</f>
        <v>0</v>
      </c>
      <c r="S27" s="34">
        <f t="shared" si="3"/>
        <v>0</v>
      </c>
      <c r="U27" t="s">
        <v>42</v>
      </c>
      <c r="V27">
        <f>COUNTIFS($D$2:$D$386,3,$E$2:$E$386,6)</f>
        <v>0</v>
      </c>
      <c r="W27" s="34">
        <f t="shared" si="4"/>
        <v>0</v>
      </c>
      <c r="Y27" s="4" t="s">
        <v>20</v>
      </c>
      <c r="Z27">
        <f>COUNTIFS($E$2:$E$386,7,$F$2:$F$386,2)</f>
        <v>1</v>
      </c>
      <c r="AA27" s="34">
        <f t="shared" si="5"/>
        <v>1.1111111111111112</v>
      </c>
      <c r="AG27" t="s">
        <v>1637</v>
      </c>
      <c r="AH27">
        <f>COUNTIFS($G$2:$G$386,2,$H$2:$H$386,8)</f>
        <v>0</v>
      </c>
      <c r="AI27" s="34">
        <f t="shared" si="7"/>
        <v>0</v>
      </c>
      <c r="AK27" t="s">
        <v>21</v>
      </c>
      <c r="AL27">
        <f>COUNTIFS($G$2:$G$386,4,$J$2:$J$386,2)</f>
        <v>0</v>
      </c>
      <c r="AM27" s="34">
        <f t="shared" si="8"/>
        <v>0</v>
      </c>
      <c r="AO27" s="4" t="s">
        <v>39121</v>
      </c>
      <c r="AP27">
        <f>COUNTIFS($H$2:$H$386,5,$K$2:$K$386,2)</f>
        <v>0</v>
      </c>
      <c r="AQ27" s="34">
        <f t="shared" si="9"/>
        <v>0</v>
      </c>
      <c r="AS27" s="4" t="s">
        <v>39121</v>
      </c>
      <c r="AT27">
        <f>COUNTIFS($J$2:$J$386,19,$K$2:$K$386,2)</f>
        <v>0</v>
      </c>
      <c r="AU27" s="34">
        <f t="shared" si="10"/>
        <v>0</v>
      </c>
    </row>
    <row r="28" spans="1:47" ht="57.6" x14ac:dyDescent="0.3">
      <c r="A28" s="6" t="s">
        <v>39131</v>
      </c>
      <c r="B28" s="7">
        <v>13</v>
      </c>
      <c r="C28" s="3">
        <v>21</v>
      </c>
      <c r="D28" s="11">
        <v>7</v>
      </c>
      <c r="E28" s="11">
        <v>9</v>
      </c>
      <c r="F28" s="11">
        <v>1</v>
      </c>
      <c r="G28" s="11">
        <v>2</v>
      </c>
      <c r="H28" s="11">
        <v>16</v>
      </c>
      <c r="I28" s="3">
        <f t="shared" si="0"/>
        <v>16</v>
      </c>
      <c r="J28" s="3">
        <f t="shared" si="1"/>
        <v>16</v>
      </c>
      <c r="K28" s="11">
        <v>3</v>
      </c>
      <c r="M28" t="s">
        <v>49</v>
      </c>
      <c r="N28">
        <f>COUNTIFS($B$2:$B$386,2,$D$2:$D$386,11)</f>
        <v>0</v>
      </c>
      <c r="O28" s="34">
        <f t="shared" si="11"/>
        <v>0</v>
      </c>
      <c r="Q28" t="s">
        <v>49</v>
      </c>
      <c r="R28">
        <f>COUNTIFS($C$2:$C$386,19,$D$2:$D$386,11)</f>
        <v>1</v>
      </c>
      <c r="S28" s="34">
        <f t="shared" si="3"/>
        <v>1.1111111111111112</v>
      </c>
      <c r="U28" t="s">
        <v>45</v>
      </c>
      <c r="V28">
        <f>COUNTIFS($D$2:$D$386,3,$E$2:$E$386,7)</f>
        <v>0</v>
      </c>
      <c r="W28" s="34">
        <f t="shared" si="4"/>
        <v>0</v>
      </c>
      <c r="Y28" t="s">
        <v>27</v>
      </c>
      <c r="Z28">
        <f>COUNTIFS($E$2:$E$386,7,$F$2:$F$386,3)</f>
        <v>2</v>
      </c>
      <c r="AA28" s="34">
        <f t="shared" si="5"/>
        <v>2.2222222222222223</v>
      </c>
      <c r="AG28" t="s">
        <v>1638</v>
      </c>
      <c r="AH28">
        <f>COUNTIFS($G$2:$G$386,2,$H$2:$H$386,9)</f>
        <v>0</v>
      </c>
      <c r="AI28" s="34">
        <f t="shared" si="7"/>
        <v>0</v>
      </c>
      <c r="AK28" t="s">
        <v>28</v>
      </c>
      <c r="AL28">
        <f>COUNTIFS($G$2:$G$386,4,$J$2:$J$386,3)</f>
        <v>0</v>
      </c>
      <c r="AM28" s="34">
        <f t="shared" si="8"/>
        <v>0</v>
      </c>
      <c r="AO28" s="4" t="s">
        <v>39125</v>
      </c>
      <c r="AP28">
        <f>COUNTIFS($H$2:$H$386,5,$K$2:$K$386,3)</f>
        <v>0</v>
      </c>
      <c r="AQ28" s="34">
        <f t="shared" si="9"/>
        <v>0</v>
      </c>
      <c r="AS28" s="4" t="s">
        <v>39125</v>
      </c>
      <c r="AT28">
        <f>COUNTIFS($J$2:$J$386,19,$K$2:$K$386,3)</f>
        <v>1</v>
      </c>
      <c r="AU28" s="34">
        <f t="shared" si="10"/>
        <v>1.1111111111111112</v>
      </c>
    </row>
    <row r="29" spans="1:47" ht="28.8" x14ac:dyDescent="0.3">
      <c r="A29" s="6" t="s">
        <v>10756</v>
      </c>
      <c r="B29" s="7">
        <v>12</v>
      </c>
      <c r="C29" s="3">
        <v>20</v>
      </c>
      <c r="D29" s="11">
        <v>4</v>
      </c>
      <c r="E29" s="11">
        <v>3</v>
      </c>
      <c r="F29" s="11">
        <v>3</v>
      </c>
      <c r="G29" s="11">
        <v>3</v>
      </c>
      <c r="H29" s="11">
        <v>17</v>
      </c>
      <c r="I29" s="3">
        <f t="shared" si="0"/>
        <v>17</v>
      </c>
      <c r="J29" s="3">
        <f t="shared" si="1"/>
        <v>17</v>
      </c>
      <c r="K29" s="11">
        <v>4</v>
      </c>
      <c r="M29" t="s">
        <v>51</v>
      </c>
      <c r="N29">
        <f>COUNTIFS($B$2:$B$386,2,$D$2:$D$386,12)</f>
        <v>0</v>
      </c>
      <c r="O29" s="34">
        <f t="shared" si="11"/>
        <v>0</v>
      </c>
      <c r="Q29" t="s">
        <v>51</v>
      </c>
      <c r="R29">
        <f>COUNTIFS($C$2:$C$386,19,$D$2:$D$386,12)</f>
        <v>0</v>
      </c>
      <c r="S29" s="34">
        <f t="shared" si="3"/>
        <v>0</v>
      </c>
      <c r="U29" t="s">
        <v>48</v>
      </c>
      <c r="V29">
        <f>COUNTIFS($D$2:$D$386,3,$E$2:$E$386,8)</f>
        <v>0</v>
      </c>
      <c r="W29" s="34">
        <f t="shared" si="4"/>
        <v>0</v>
      </c>
      <c r="Z29" s="23">
        <f>SUM(Z26:Z28)</f>
        <v>5</v>
      </c>
      <c r="AA29" s="37">
        <f t="shared" si="5"/>
        <v>5.5555555555555554</v>
      </c>
      <c r="AG29" t="s">
        <v>1639</v>
      </c>
      <c r="AH29">
        <f>COUNTIFS($G$2:$G$386,2,$H$2:$H$386,10)</f>
        <v>0</v>
      </c>
      <c r="AI29" s="34">
        <f t="shared" si="7"/>
        <v>0</v>
      </c>
      <c r="AK29" t="s">
        <v>3093</v>
      </c>
      <c r="AL29">
        <f>COUNTIFS($G$2:$G$386,4,$J$2:$J$386,18)</f>
        <v>0</v>
      </c>
      <c r="AM29" s="34">
        <f t="shared" si="8"/>
        <v>0</v>
      </c>
      <c r="AO29" s="4" t="s">
        <v>39122</v>
      </c>
      <c r="AP29">
        <f>COUNTIFS($H$2:$H$386,5,$K$2:$K$386,4)</f>
        <v>0</v>
      </c>
      <c r="AQ29" s="34">
        <f t="shared" si="9"/>
        <v>0</v>
      </c>
      <c r="AS29" s="4" t="s">
        <v>39122</v>
      </c>
      <c r="AT29">
        <f>COUNTIFS($J$2:$J$386,19,$K$2:$K$386,4)</f>
        <v>0</v>
      </c>
      <c r="AU29" s="34">
        <f t="shared" si="10"/>
        <v>0</v>
      </c>
    </row>
    <row r="30" spans="1:47" ht="28.8" x14ac:dyDescent="0.3">
      <c r="A30" s="6" t="s">
        <v>10751</v>
      </c>
      <c r="B30" s="7">
        <v>16</v>
      </c>
      <c r="C30" s="3">
        <v>21</v>
      </c>
      <c r="D30" s="11">
        <v>1</v>
      </c>
      <c r="E30" s="11">
        <v>3</v>
      </c>
      <c r="F30" s="7">
        <v>3</v>
      </c>
      <c r="G30" s="7">
        <v>3</v>
      </c>
      <c r="H30" s="7">
        <v>17</v>
      </c>
      <c r="I30" s="3">
        <f t="shared" si="0"/>
        <v>17</v>
      </c>
      <c r="J30" s="3">
        <f t="shared" si="1"/>
        <v>17</v>
      </c>
      <c r="K30" s="7">
        <v>4</v>
      </c>
      <c r="M30" t="s">
        <v>153</v>
      </c>
      <c r="N30">
        <f>COUNTIFS($B$2:$B$386,2,$D$2:$D$386,13)</f>
        <v>0</v>
      </c>
      <c r="O30" s="34">
        <f t="shared" si="11"/>
        <v>0</v>
      </c>
      <c r="Q30" t="s">
        <v>153</v>
      </c>
      <c r="R30">
        <f>COUNTIFS($C$2:$C$386,19,$D$2:$D$386,13)</f>
        <v>0</v>
      </c>
      <c r="S30" s="34">
        <f t="shared" si="3"/>
        <v>0</v>
      </c>
      <c r="U30" t="s">
        <v>50</v>
      </c>
      <c r="V30">
        <f>COUNTIFS($D$2:$D$386,3,$E$2:$E$386,9)</f>
        <v>0</v>
      </c>
      <c r="W30" s="34">
        <f t="shared" si="4"/>
        <v>0</v>
      </c>
      <c r="X30" t="s">
        <v>48</v>
      </c>
      <c r="Y30" t="s">
        <v>13</v>
      </c>
      <c r="Z30">
        <f>COUNTIFS($E$2:$E$386,8,$F$2:$F$386,1)</f>
        <v>9</v>
      </c>
      <c r="AA30" s="34">
        <f t="shared" si="5"/>
        <v>10</v>
      </c>
      <c r="AG30" t="s">
        <v>1640</v>
      </c>
      <c r="AH30">
        <f>COUNTIFS($G$2:$G$386,2,$H$2:$H$386,11)</f>
        <v>0</v>
      </c>
      <c r="AI30" s="34">
        <f t="shared" si="7"/>
        <v>0</v>
      </c>
      <c r="AK30" t="s">
        <v>3094</v>
      </c>
      <c r="AL30">
        <f>COUNTIFS($G$2:$G$386,4,$J$2:$J$386,19)</f>
        <v>0</v>
      </c>
      <c r="AM30" s="34">
        <f t="shared" si="8"/>
        <v>0</v>
      </c>
      <c r="AO30" s="4" t="s">
        <v>39123</v>
      </c>
      <c r="AP30">
        <f>COUNTIFS($H$2:$H$386,5,$K$2:$K$386,5)</f>
        <v>0</v>
      </c>
      <c r="AQ30" s="34">
        <f t="shared" si="9"/>
        <v>0</v>
      </c>
      <c r="AS30" s="4" t="s">
        <v>39123</v>
      </c>
      <c r="AT30">
        <f>COUNTIFS($J$2:$J$386,19,$K$2:$K$386,5)</f>
        <v>0</v>
      </c>
      <c r="AU30" s="34">
        <f t="shared" si="10"/>
        <v>0</v>
      </c>
    </row>
    <row r="31" spans="1:47" x14ac:dyDescent="0.3">
      <c r="A31" s="6" t="s">
        <v>10693</v>
      </c>
      <c r="B31" s="7">
        <v>8</v>
      </c>
      <c r="C31" s="3">
        <v>19</v>
      </c>
      <c r="D31" s="11">
        <v>1</v>
      </c>
      <c r="E31" s="11">
        <v>6</v>
      </c>
      <c r="F31" s="11">
        <v>2</v>
      </c>
      <c r="G31" s="11">
        <v>2</v>
      </c>
      <c r="H31" s="11">
        <v>12</v>
      </c>
      <c r="I31" s="3">
        <f t="shared" si="0"/>
        <v>18</v>
      </c>
      <c r="J31" s="3">
        <f t="shared" si="1"/>
        <v>18</v>
      </c>
      <c r="K31" s="11">
        <v>2</v>
      </c>
      <c r="M31" t="s">
        <v>154</v>
      </c>
      <c r="N31">
        <f>COUNTIFS($B$2:$B$386,2,$D$2:$D$386,14)</f>
        <v>0</v>
      </c>
      <c r="O31" s="34">
        <f t="shared" si="11"/>
        <v>0</v>
      </c>
      <c r="Q31" t="s">
        <v>154</v>
      </c>
      <c r="R31">
        <f>COUNTIFS($C$2:$C$386,19,$D$2:$D$386,14)</f>
        <v>0</v>
      </c>
      <c r="S31" s="34">
        <f t="shared" si="3"/>
        <v>0</v>
      </c>
      <c r="V31" s="22">
        <f>SUM(V22:V30)</f>
        <v>0</v>
      </c>
      <c r="W31" s="35">
        <f t="shared" si="4"/>
        <v>0</v>
      </c>
      <c r="Y31" s="4" t="s">
        <v>20</v>
      </c>
      <c r="Z31">
        <f>COUNTIFS($E$2:$E$386,8,$F$2:$F$386,2)</f>
        <v>13</v>
      </c>
      <c r="AA31" s="34">
        <f t="shared" si="5"/>
        <v>14.444444444444443</v>
      </c>
      <c r="AG31" t="s">
        <v>1641</v>
      </c>
      <c r="AH31">
        <f>COUNTIFS($G$2:$G$386,2,$H$2:$H$386,12)</f>
        <v>2</v>
      </c>
      <c r="AI31" s="34">
        <f t="shared" si="7"/>
        <v>2.2222222222222223</v>
      </c>
      <c r="AK31" t="s">
        <v>50</v>
      </c>
      <c r="AL31">
        <f>COUNTIFS($G$2:$G$386,4,$J$2:$J$386,16)</f>
        <v>0</v>
      </c>
      <c r="AM31" s="34">
        <f t="shared" si="8"/>
        <v>0</v>
      </c>
      <c r="AP31" s="23">
        <f>SUM(AP26:AP30)</f>
        <v>0</v>
      </c>
      <c r="AQ31" s="37">
        <f t="shared" si="9"/>
        <v>0</v>
      </c>
      <c r="AT31" s="22">
        <f>SUM(AT26:AT30)</f>
        <v>1</v>
      </c>
      <c r="AU31" s="35">
        <f t="shared" si="10"/>
        <v>1.1111111111111112</v>
      </c>
    </row>
    <row r="32" spans="1:47" ht="43.2" x14ac:dyDescent="0.3">
      <c r="A32" s="6" t="s">
        <v>10704</v>
      </c>
      <c r="B32" s="7">
        <v>13</v>
      </c>
      <c r="C32" s="3">
        <v>21</v>
      </c>
      <c r="D32" s="11">
        <v>8</v>
      </c>
      <c r="E32" s="11">
        <v>6</v>
      </c>
      <c r="F32" s="11">
        <v>2</v>
      </c>
      <c r="G32" s="11">
        <v>3</v>
      </c>
      <c r="H32" s="11">
        <v>12</v>
      </c>
      <c r="I32" s="3">
        <f t="shared" si="0"/>
        <v>18</v>
      </c>
      <c r="J32" s="3">
        <f t="shared" si="1"/>
        <v>18</v>
      </c>
      <c r="K32" s="11">
        <v>2</v>
      </c>
      <c r="M32" t="s">
        <v>52</v>
      </c>
      <c r="N32">
        <f>COUNTIFS($B$2:$B$386,2,$D$2:$D$386,15)</f>
        <v>0</v>
      </c>
      <c r="O32" s="34">
        <f t="shared" si="11"/>
        <v>0</v>
      </c>
      <c r="Q32" t="s">
        <v>52</v>
      </c>
      <c r="R32">
        <f>COUNTIFS($C$2:$C$386,19,$D$2:$D$386,15)</f>
        <v>1</v>
      </c>
      <c r="S32" s="34">
        <f t="shared" si="3"/>
        <v>1.1111111111111112</v>
      </c>
      <c r="T32" t="s">
        <v>25</v>
      </c>
      <c r="U32" t="s">
        <v>10</v>
      </c>
      <c r="V32">
        <f>COUNTIFS($D$2:$D$386,4,$E$2:$E$386,1)</f>
        <v>4</v>
      </c>
      <c r="W32" s="34">
        <f t="shared" si="4"/>
        <v>4.4444444444444446</v>
      </c>
      <c r="Y32" t="s">
        <v>27</v>
      </c>
      <c r="Z32">
        <f>COUNTIFS($E$2:$E$386,8,$F$2:$F$386,3)</f>
        <v>3</v>
      </c>
      <c r="AA32" s="34">
        <f t="shared" si="5"/>
        <v>3.3333333333333335</v>
      </c>
      <c r="AG32" t="s">
        <v>1642</v>
      </c>
      <c r="AH32">
        <f>COUNTIFS($G$2:$G$386,2,$H$2:$H$386,13)</f>
        <v>0</v>
      </c>
      <c r="AI32" s="34">
        <f t="shared" si="7"/>
        <v>0</v>
      </c>
      <c r="AK32" t="s">
        <v>3095</v>
      </c>
      <c r="AL32">
        <f>COUNTIFS($G$2:$G$386,4,$J$2:$J$386,17)</f>
        <v>0</v>
      </c>
      <c r="AM32" s="34">
        <f t="shared" si="8"/>
        <v>0</v>
      </c>
      <c r="AN32" t="s">
        <v>44</v>
      </c>
      <c r="AO32" s="4" t="s">
        <v>39120</v>
      </c>
      <c r="AP32">
        <f>COUNTIFS($H$2:$H$386,6,$K$2:$K$386,1)</f>
        <v>3</v>
      </c>
      <c r="AQ32" s="34">
        <f t="shared" si="9"/>
        <v>3.3333333333333335</v>
      </c>
      <c r="AR32" t="s">
        <v>50</v>
      </c>
      <c r="AS32" s="4" t="s">
        <v>39120</v>
      </c>
      <c r="AT32">
        <f>COUNTIFS($J$2:$J$386,16,$K$2:$K$386,1)</f>
        <v>0</v>
      </c>
      <c r="AU32" s="34">
        <f t="shared" si="10"/>
        <v>0</v>
      </c>
    </row>
    <row r="33" spans="1:47" ht="43.2" x14ac:dyDescent="0.3">
      <c r="A33" s="6" t="s">
        <v>2445</v>
      </c>
      <c r="B33" s="7">
        <v>8</v>
      </c>
      <c r="C33" s="3">
        <v>19</v>
      </c>
      <c r="D33" s="11">
        <v>4</v>
      </c>
      <c r="E33" s="11">
        <v>3</v>
      </c>
      <c r="F33" s="11">
        <v>1</v>
      </c>
      <c r="G33" s="11">
        <v>3</v>
      </c>
      <c r="H33" s="11">
        <v>1</v>
      </c>
      <c r="I33" s="3">
        <f t="shared" si="0"/>
        <v>1</v>
      </c>
      <c r="J33" s="3">
        <f t="shared" si="1"/>
        <v>1</v>
      </c>
      <c r="K33" s="11">
        <v>5</v>
      </c>
      <c r="N33" s="22">
        <f>SUM(N18:N32)</f>
        <v>0</v>
      </c>
      <c r="O33" s="35">
        <f t="shared" si="11"/>
        <v>0</v>
      </c>
      <c r="R33" s="23">
        <f>SUM(R18:R32)</f>
        <v>13</v>
      </c>
      <c r="S33" s="37">
        <f t="shared" si="3"/>
        <v>14.444444444444443</v>
      </c>
      <c r="U33" t="s">
        <v>17</v>
      </c>
      <c r="V33">
        <f>COUNTIFS($D$2:$D$386,4,$E$2:$E$386,2)</f>
        <v>0</v>
      </c>
      <c r="W33" s="34">
        <f t="shared" si="4"/>
        <v>0</v>
      </c>
      <c r="Z33" s="23">
        <f>SUM(Z30:Z32)</f>
        <v>25</v>
      </c>
      <c r="AA33" s="37">
        <f t="shared" si="5"/>
        <v>27.777777777777779</v>
      </c>
      <c r="AG33" t="s">
        <v>1643</v>
      </c>
      <c r="AH33">
        <f>COUNTIFS($G$2:$G$386,2,$H$2:$H$386,14)</f>
        <v>0</v>
      </c>
      <c r="AI33" s="34">
        <f t="shared" si="7"/>
        <v>0</v>
      </c>
      <c r="AL33" s="22">
        <f>SUM(AL26:AL32)</f>
        <v>0</v>
      </c>
      <c r="AM33" s="35">
        <f t="shared" si="8"/>
        <v>0</v>
      </c>
      <c r="AO33" s="4" t="s">
        <v>39121</v>
      </c>
      <c r="AP33">
        <f>COUNTIFS($H$2:$H$386,6,$K$2:$K$386,2)</f>
        <v>0</v>
      </c>
      <c r="AQ33" s="34">
        <f t="shared" si="9"/>
        <v>0</v>
      </c>
      <c r="AS33" s="4" t="s">
        <v>39121</v>
      </c>
      <c r="AT33">
        <f>COUNTIFS($J$2:$J$386,16,$K$2:$K$386,2)</f>
        <v>0</v>
      </c>
      <c r="AU33" s="34">
        <f t="shared" si="10"/>
        <v>0</v>
      </c>
    </row>
    <row r="34" spans="1:47" ht="57.6" x14ac:dyDescent="0.3">
      <c r="A34" s="6" t="s">
        <v>10689</v>
      </c>
      <c r="B34" s="7">
        <v>10</v>
      </c>
      <c r="C34" s="3">
        <v>20</v>
      </c>
      <c r="D34" s="11">
        <v>1</v>
      </c>
      <c r="E34" s="11">
        <v>8</v>
      </c>
      <c r="F34" s="11">
        <v>1</v>
      </c>
      <c r="G34" s="11">
        <v>3</v>
      </c>
      <c r="H34" s="11">
        <v>1</v>
      </c>
      <c r="I34" s="3">
        <f t="shared" si="0"/>
        <v>1</v>
      </c>
      <c r="J34" s="3">
        <f t="shared" si="1"/>
        <v>1</v>
      </c>
      <c r="K34" s="11">
        <v>5</v>
      </c>
      <c r="L34">
        <v>2011</v>
      </c>
      <c r="M34" t="s">
        <v>11</v>
      </c>
      <c r="N34">
        <f>COUNTIFS($B$2:$B$386,3,$D$2:$D$386,1)</f>
        <v>0</v>
      </c>
      <c r="O34" s="34">
        <f t="shared" si="11"/>
        <v>0</v>
      </c>
      <c r="P34" t="s">
        <v>3082</v>
      </c>
      <c r="Q34" t="s">
        <v>11</v>
      </c>
      <c r="R34">
        <f>COUNTIFS($C$2:$C$386,20,$D$2:$D$386,1)</f>
        <v>9</v>
      </c>
      <c r="S34" s="34">
        <f t="shared" si="3"/>
        <v>10</v>
      </c>
      <c r="U34" t="s">
        <v>24</v>
      </c>
      <c r="V34">
        <f>COUNTIFS($D$2:$D$386,4,$E$2:$E$386,3)</f>
        <v>11</v>
      </c>
      <c r="W34" s="34">
        <f t="shared" si="4"/>
        <v>12.222222222222221</v>
      </c>
      <c r="X34" t="s">
        <v>50</v>
      </c>
      <c r="Y34" t="s">
        <v>13</v>
      </c>
      <c r="Z34">
        <f>COUNTIFS($E$2:$E$386,9,$F$2:$F$386,1)</f>
        <v>1</v>
      </c>
      <c r="AA34" s="34">
        <f t="shared" si="5"/>
        <v>1.1111111111111112</v>
      </c>
      <c r="AG34" t="s">
        <v>1644</v>
      </c>
      <c r="AH34">
        <f>COUNTIFS($G$2:$G$386,2,$H$2:$H$386,15)</f>
        <v>0</v>
      </c>
      <c r="AI34" s="34">
        <f t="shared" si="7"/>
        <v>0</v>
      </c>
      <c r="AO34" s="4" t="s">
        <v>39125</v>
      </c>
      <c r="AP34">
        <f>COUNTIFS($H$2:$H$386,6,$K$2:$K$386,3)</f>
        <v>0</v>
      </c>
      <c r="AQ34" s="34">
        <f t="shared" si="9"/>
        <v>0</v>
      </c>
      <c r="AS34" s="4" t="s">
        <v>39125</v>
      </c>
      <c r="AT34">
        <f>COUNTIFS($J$2:$J$386,16,$K$2:$K$386,3)</f>
        <v>8</v>
      </c>
      <c r="AU34" s="34">
        <f t="shared" si="10"/>
        <v>8.8888888888888893</v>
      </c>
    </row>
    <row r="35" spans="1:47" ht="28.8" x14ac:dyDescent="0.3">
      <c r="A35" s="6" t="s">
        <v>10742</v>
      </c>
      <c r="B35" s="7">
        <v>4</v>
      </c>
      <c r="C35" s="3">
        <v>18</v>
      </c>
      <c r="D35" s="11">
        <v>1</v>
      </c>
      <c r="E35" s="7">
        <v>1</v>
      </c>
      <c r="F35" s="11">
        <v>3</v>
      </c>
      <c r="G35" s="11">
        <v>3</v>
      </c>
      <c r="H35" s="11">
        <v>17</v>
      </c>
      <c r="I35" s="3">
        <f t="shared" si="0"/>
        <v>17</v>
      </c>
      <c r="J35" s="3">
        <f t="shared" si="1"/>
        <v>17</v>
      </c>
      <c r="K35" s="11">
        <v>4</v>
      </c>
      <c r="M35" t="s">
        <v>18</v>
      </c>
      <c r="N35">
        <f>COUNTIFS($B$2:$B$386,3,$D$2:$D$386,2)</f>
        <v>0</v>
      </c>
      <c r="O35" s="34">
        <f t="shared" si="11"/>
        <v>0</v>
      </c>
      <c r="Q35" t="s">
        <v>18</v>
      </c>
      <c r="R35">
        <f>COUNTIFS($C$2:$C$386,20,$D$2:$D$386,2)</f>
        <v>1</v>
      </c>
      <c r="S35" s="34">
        <f t="shared" si="3"/>
        <v>1.1111111111111112</v>
      </c>
      <c r="U35" t="s">
        <v>31</v>
      </c>
      <c r="V35">
        <f>COUNTIFS($D$2:$D$386,4,$E$2:$E$386,4)</f>
        <v>1</v>
      </c>
      <c r="W35" s="34">
        <f t="shared" si="4"/>
        <v>1.1111111111111112</v>
      </c>
      <c r="Y35" s="4" t="s">
        <v>20</v>
      </c>
      <c r="Z35">
        <f>COUNTIFS($E$2:$E$386,9,$F$2:$F$386,2)</f>
        <v>1</v>
      </c>
      <c r="AA35" s="34">
        <f t="shared" si="5"/>
        <v>1.1111111111111112</v>
      </c>
      <c r="AG35" t="s">
        <v>29</v>
      </c>
      <c r="AH35">
        <f>COUNTIFS($G$2:$G$386,2,$H$2:$H$386,16)</f>
        <v>7</v>
      </c>
      <c r="AI35" s="34">
        <f t="shared" si="7"/>
        <v>7.7777777777777777</v>
      </c>
      <c r="AO35" s="4" t="s">
        <v>39122</v>
      </c>
      <c r="AP35">
        <f>COUNTIFS($H$2:$H$386,6,$K$2:$K$386,4)</f>
        <v>0</v>
      </c>
      <c r="AQ35" s="34">
        <f t="shared" si="9"/>
        <v>0</v>
      </c>
      <c r="AS35" s="4" t="s">
        <v>39122</v>
      </c>
      <c r="AT35">
        <f>COUNTIFS($J$2:$J$386,16,$K$2:$K$386,4)</f>
        <v>5</v>
      </c>
      <c r="AU35" s="34">
        <f t="shared" si="10"/>
        <v>5.5555555555555554</v>
      </c>
    </row>
    <row r="36" spans="1:47" ht="28.8" x14ac:dyDescent="0.3">
      <c r="A36" s="6" t="s">
        <v>10688</v>
      </c>
      <c r="B36" s="7">
        <v>6</v>
      </c>
      <c r="C36" s="3">
        <v>19</v>
      </c>
      <c r="D36" s="11">
        <v>8</v>
      </c>
      <c r="E36" s="11">
        <v>8</v>
      </c>
      <c r="F36" s="11">
        <v>2</v>
      </c>
      <c r="G36" s="11">
        <v>3</v>
      </c>
      <c r="H36" s="11">
        <v>16</v>
      </c>
      <c r="I36" s="3">
        <f t="shared" si="0"/>
        <v>16</v>
      </c>
      <c r="J36" s="3">
        <f t="shared" si="1"/>
        <v>16</v>
      </c>
      <c r="K36" s="11">
        <v>4</v>
      </c>
      <c r="M36" t="s">
        <v>150</v>
      </c>
      <c r="N36">
        <f>COUNTIFS($B$2:$B$386,3,$D$2:$D$386,3)</f>
        <v>0</v>
      </c>
      <c r="O36" s="34">
        <f t="shared" si="11"/>
        <v>0</v>
      </c>
      <c r="Q36" t="s">
        <v>150</v>
      </c>
      <c r="R36">
        <f>COUNTIFS($C$2:$C$386,20,$D$2:$D$386,3)</f>
        <v>0</v>
      </c>
      <c r="S36" s="34">
        <f t="shared" si="3"/>
        <v>0</v>
      </c>
      <c r="U36" t="s">
        <v>37</v>
      </c>
      <c r="V36">
        <f>COUNTIFS($D$2:$D$386,4,$E$2:$E$386,5)</f>
        <v>1</v>
      </c>
      <c r="W36" s="34">
        <f t="shared" si="4"/>
        <v>1.1111111111111112</v>
      </c>
      <c r="Y36" t="s">
        <v>27</v>
      </c>
      <c r="Z36">
        <f>COUNTIFS($E$2:$E$386,9,$F$2:$F$386,3)</f>
        <v>0</v>
      </c>
      <c r="AA36" s="34">
        <f t="shared" si="5"/>
        <v>0</v>
      </c>
      <c r="AG36" t="s">
        <v>54</v>
      </c>
      <c r="AH36">
        <f>COUNTIFS($G$2:$G$386,2,$H$2:$H$386,17)</f>
        <v>4</v>
      </c>
      <c r="AI36" s="34">
        <f t="shared" si="7"/>
        <v>4.4444444444444446</v>
      </c>
      <c r="AO36" s="4" t="s">
        <v>39123</v>
      </c>
      <c r="AP36">
        <f>COUNTIFS($H$2:$H$386,6,$K$2:$K$386,5)</f>
        <v>0</v>
      </c>
      <c r="AQ36" s="34">
        <f t="shared" si="9"/>
        <v>0</v>
      </c>
      <c r="AS36" s="4" t="s">
        <v>39123</v>
      </c>
      <c r="AT36">
        <f>COUNTIFS($J$2:$J$386,16,$K$2:$K$386,5)</f>
        <v>0</v>
      </c>
      <c r="AU36" s="34">
        <f t="shared" si="10"/>
        <v>0</v>
      </c>
    </row>
    <row r="37" spans="1:47" x14ac:dyDescent="0.3">
      <c r="A37" s="6" t="s">
        <v>10675</v>
      </c>
      <c r="B37" s="7">
        <v>13</v>
      </c>
      <c r="C37" s="3">
        <v>21</v>
      </c>
      <c r="D37" s="11">
        <v>1</v>
      </c>
      <c r="E37" s="11">
        <v>8</v>
      </c>
      <c r="F37" s="11">
        <v>2</v>
      </c>
      <c r="G37" s="11">
        <v>2</v>
      </c>
      <c r="H37" s="11">
        <v>16</v>
      </c>
      <c r="I37" s="3">
        <f t="shared" si="0"/>
        <v>16</v>
      </c>
      <c r="J37" s="3">
        <f t="shared" si="1"/>
        <v>16</v>
      </c>
      <c r="K37" s="11">
        <v>3</v>
      </c>
      <c r="M37" t="s">
        <v>25</v>
      </c>
      <c r="N37">
        <f>COUNTIFS($B$2:$B$386,3,$D$2:$D$386,4)</f>
        <v>0</v>
      </c>
      <c r="O37" s="34">
        <f t="shared" si="11"/>
        <v>0</v>
      </c>
      <c r="Q37" t="s">
        <v>25</v>
      </c>
      <c r="R37">
        <f>COUNTIFS($C$2:$C$386,20,$D$2:$D$386,4)</f>
        <v>11</v>
      </c>
      <c r="S37" s="34">
        <f t="shared" si="3"/>
        <v>12.222222222222221</v>
      </c>
      <c r="U37" t="s">
        <v>42</v>
      </c>
      <c r="V37">
        <f>COUNTIFS($D$2:$D$386,4,$E$2:$E$386,6)</f>
        <v>1</v>
      </c>
      <c r="W37" s="34">
        <f t="shared" si="4"/>
        <v>1.1111111111111112</v>
      </c>
      <c r="Z37" s="23">
        <f>SUM(Z34:Z36)</f>
        <v>2</v>
      </c>
      <c r="AA37" s="37">
        <f t="shared" si="5"/>
        <v>2.2222222222222223</v>
      </c>
      <c r="AH37" s="23">
        <f>SUM(AH20:AH36)</f>
        <v>14</v>
      </c>
      <c r="AI37" s="37">
        <f t="shared" si="7"/>
        <v>15.555555555555555</v>
      </c>
      <c r="AP37" s="23">
        <f>SUM(AP32:AP36)</f>
        <v>3</v>
      </c>
      <c r="AQ37" s="37">
        <f t="shared" si="9"/>
        <v>3.3333333333333335</v>
      </c>
      <c r="AT37" s="22">
        <f>SUM(AT32:AT36)</f>
        <v>13</v>
      </c>
      <c r="AU37" s="35">
        <f t="shared" si="10"/>
        <v>14.444444444444443</v>
      </c>
    </row>
    <row r="38" spans="1:47" ht="86.4" x14ac:dyDescent="0.3">
      <c r="A38" s="6" t="s">
        <v>10547</v>
      </c>
      <c r="B38" s="7">
        <v>8</v>
      </c>
      <c r="C38" s="3">
        <v>19</v>
      </c>
      <c r="D38" s="11">
        <v>2</v>
      </c>
      <c r="E38" s="7">
        <v>3</v>
      </c>
      <c r="F38" s="11">
        <v>3</v>
      </c>
      <c r="G38" s="11">
        <v>3</v>
      </c>
      <c r="H38" s="11">
        <v>17</v>
      </c>
      <c r="I38" s="3">
        <f t="shared" si="0"/>
        <v>17</v>
      </c>
      <c r="J38" s="3">
        <f t="shared" si="1"/>
        <v>17</v>
      </c>
      <c r="K38" s="11">
        <v>4</v>
      </c>
      <c r="M38" t="s">
        <v>32</v>
      </c>
      <c r="N38">
        <f>COUNTIFS($B$2:$B$386,3,$D$2:$D$386,5)</f>
        <v>0</v>
      </c>
      <c r="O38" s="34">
        <f t="shared" si="11"/>
        <v>0</v>
      </c>
      <c r="Q38" t="s">
        <v>32</v>
      </c>
      <c r="R38">
        <f>COUNTIFS($C$2:$C$386,20,$D$2:$D$386,5)</f>
        <v>0</v>
      </c>
      <c r="S38" s="34">
        <f t="shared" si="3"/>
        <v>0</v>
      </c>
      <c r="U38" t="s">
        <v>45</v>
      </c>
      <c r="V38">
        <f>COUNTIFS($D$2:$D$386,4,$E$2:$E$386,7)</f>
        <v>2</v>
      </c>
      <c r="W38" s="34">
        <f t="shared" si="4"/>
        <v>2.2222222222222223</v>
      </c>
      <c r="AF38" s="4" t="s">
        <v>39602</v>
      </c>
      <c r="AG38" t="s">
        <v>14</v>
      </c>
      <c r="AH38">
        <f>COUNTIFS($G$2:$G$386,3,$H$2:$H$386,1)</f>
        <v>12</v>
      </c>
      <c r="AI38" s="34">
        <f t="shared" si="7"/>
        <v>13.333333333333334</v>
      </c>
      <c r="AN38" t="s">
        <v>47</v>
      </c>
      <c r="AO38" s="4" t="s">
        <v>39120</v>
      </c>
      <c r="AP38">
        <f>COUNTIFS($H$2:$H$386,7,$K$2:$K$386,1)</f>
        <v>0</v>
      </c>
      <c r="AQ38" s="34">
        <f t="shared" si="9"/>
        <v>0</v>
      </c>
      <c r="AR38" t="s">
        <v>3095</v>
      </c>
      <c r="AS38" s="4" t="s">
        <v>39120</v>
      </c>
      <c r="AT38">
        <f>COUNTIFS($J$2:$J$386,17,$K$2:$K$386,1)</f>
        <v>0</v>
      </c>
      <c r="AU38" s="34">
        <f t="shared" si="10"/>
        <v>0</v>
      </c>
    </row>
    <row r="39" spans="1:47" ht="43.2" x14ac:dyDescent="0.3">
      <c r="A39" s="6" t="s">
        <v>10684</v>
      </c>
      <c r="B39" s="7">
        <v>11</v>
      </c>
      <c r="C39" s="3">
        <v>20</v>
      </c>
      <c r="D39" s="11">
        <v>6</v>
      </c>
      <c r="E39" s="11">
        <v>3</v>
      </c>
      <c r="F39" s="11">
        <v>2</v>
      </c>
      <c r="G39" s="11">
        <v>3</v>
      </c>
      <c r="H39" s="11">
        <v>17</v>
      </c>
      <c r="I39" s="3">
        <f t="shared" si="0"/>
        <v>17</v>
      </c>
      <c r="J39" s="3">
        <f t="shared" si="1"/>
        <v>17</v>
      </c>
      <c r="K39" s="11">
        <v>3</v>
      </c>
      <c r="M39" t="s">
        <v>38</v>
      </c>
      <c r="N39">
        <f>COUNTIFS($B$2:$B$386,3,$D$2:$D$386,6)</f>
        <v>0</v>
      </c>
      <c r="O39" s="34">
        <f t="shared" si="11"/>
        <v>0</v>
      </c>
      <c r="Q39" t="s">
        <v>38</v>
      </c>
      <c r="R39">
        <f>COUNTIFS($C$2:$C$386,20,$D$2:$D$386,6)</f>
        <v>1</v>
      </c>
      <c r="S39" s="34">
        <f t="shared" si="3"/>
        <v>1.1111111111111112</v>
      </c>
      <c r="U39" t="s">
        <v>48</v>
      </c>
      <c r="V39">
        <f>COUNTIFS($D$2:$D$386,4,$E$2:$E$386,8)</f>
        <v>10</v>
      </c>
      <c r="W39" s="34">
        <f t="shared" si="4"/>
        <v>11.111111111111111</v>
      </c>
      <c r="AG39" t="s">
        <v>21</v>
      </c>
      <c r="AH39">
        <f>COUNTIFS($G$2:$G$386,3,$H$2:$H$386,2)</f>
        <v>2</v>
      </c>
      <c r="AI39" s="34">
        <f t="shared" si="7"/>
        <v>2.2222222222222223</v>
      </c>
      <c r="AO39" s="4" t="s">
        <v>39121</v>
      </c>
      <c r="AP39">
        <f>COUNTIFS($H$2:$H$386,7,$K$2:$K$386,2)</f>
        <v>0</v>
      </c>
      <c r="AQ39" s="34">
        <f t="shared" si="9"/>
        <v>0</v>
      </c>
      <c r="AS39" s="4" t="s">
        <v>39121</v>
      </c>
      <c r="AT39">
        <f>COUNTIFS($J$2:$J$386,17,$K$2:$K$386,2)</f>
        <v>0</v>
      </c>
      <c r="AU39" s="34">
        <f t="shared" si="10"/>
        <v>0</v>
      </c>
    </row>
    <row r="40" spans="1:47" ht="57.6" x14ac:dyDescent="0.3">
      <c r="A40" s="6" t="s">
        <v>10703</v>
      </c>
      <c r="B40" s="7">
        <v>8</v>
      </c>
      <c r="C40" s="3">
        <v>19</v>
      </c>
      <c r="D40" s="11">
        <v>4</v>
      </c>
      <c r="E40" s="11">
        <v>8</v>
      </c>
      <c r="F40" s="11">
        <v>1</v>
      </c>
      <c r="G40" s="11">
        <v>3</v>
      </c>
      <c r="H40" s="11">
        <v>1</v>
      </c>
      <c r="I40" s="3">
        <f t="shared" si="0"/>
        <v>1</v>
      </c>
      <c r="J40" s="3">
        <f t="shared" si="1"/>
        <v>1</v>
      </c>
      <c r="K40" s="11">
        <v>5</v>
      </c>
      <c r="M40" t="s">
        <v>151</v>
      </c>
      <c r="N40">
        <f>COUNTIFS($B$2:$B$386,3,$D$2:$D$386,7)</f>
        <v>0</v>
      </c>
      <c r="O40" s="34">
        <f t="shared" si="11"/>
        <v>0</v>
      </c>
      <c r="Q40" t="s">
        <v>151</v>
      </c>
      <c r="R40">
        <f>COUNTIFS($C$2:$C$386,20,$D$2:$D$386,7)</f>
        <v>0</v>
      </c>
      <c r="S40" s="34">
        <f t="shared" si="3"/>
        <v>0</v>
      </c>
      <c r="U40" t="s">
        <v>50</v>
      </c>
      <c r="V40">
        <f>COUNTIFS($D$2:$D$386,4,$E$2:$E$386,9)</f>
        <v>0</v>
      </c>
      <c r="W40" s="34">
        <f t="shared" si="4"/>
        <v>0</v>
      </c>
      <c r="AG40" t="s">
        <v>28</v>
      </c>
      <c r="AH40">
        <f>COUNTIFS($G$2:$G$386,3,$H$2:$H$386,3)</f>
        <v>2</v>
      </c>
      <c r="AI40" s="34">
        <f t="shared" si="7"/>
        <v>2.2222222222222223</v>
      </c>
      <c r="AO40" s="4" t="s">
        <v>39125</v>
      </c>
      <c r="AP40">
        <f>COUNTIFS($H$2:$H$386,7,$K$2:$K$386,3)</f>
        <v>0</v>
      </c>
      <c r="AQ40" s="34">
        <f t="shared" si="9"/>
        <v>0</v>
      </c>
      <c r="AS40" s="4" t="s">
        <v>39125</v>
      </c>
      <c r="AT40">
        <f>COUNTIFS($J$2:$J$386,17,$K$2:$K$386,3)</f>
        <v>3</v>
      </c>
      <c r="AU40" s="34">
        <f t="shared" si="10"/>
        <v>3.3333333333333335</v>
      </c>
    </row>
    <row r="41" spans="1:47" ht="28.8" x14ac:dyDescent="0.3">
      <c r="A41" s="6" t="s">
        <v>10734</v>
      </c>
      <c r="B41" s="7">
        <v>12</v>
      </c>
      <c r="C41" s="3">
        <v>20</v>
      </c>
      <c r="D41" s="11">
        <v>1</v>
      </c>
      <c r="E41" s="7">
        <v>3</v>
      </c>
      <c r="F41" s="7">
        <v>2</v>
      </c>
      <c r="G41" s="7">
        <v>3</v>
      </c>
      <c r="H41" s="7">
        <v>17</v>
      </c>
      <c r="I41" s="3">
        <f t="shared" si="0"/>
        <v>17</v>
      </c>
      <c r="J41" s="3">
        <f t="shared" si="1"/>
        <v>17</v>
      </c>
      <c r="K41" s="7">
        <v>4</v>
      </c>
      <c r="M41" t="s">
        <v>43</v>
      </c>
      <c r="N41">
        <f>COUNTIFS($B$2:$B$386,3,$D$2:$D$386,8)</f>
        <v>0</v>
      </c>
      <c r="O41" s="34">
        <f t="shared" si="11"/>
        <v>0</v>
      </c>
      <c r="Q41" t="s">
        <v>43</v>
      </c>
      <c r="R41">
        <f>COUNTIFS($C$2:$C$386,20,$D$2:$D$386,8)</f>
        <v>2</v>
      </c>
      <c r="S41" s="34">
        <f t="shared" si="3"/>
        <v>2.2222222222222223</v>
      </c>
      <c r="V41" s="22">
        <f>SUM(V32:V40)</f>
        <v>30</v>
      </c>
      <c r="W41" s="35">
        <f t="shared" si="4"/>
        <v>33.333333333333329</v>
      </c>
      <c r="AG41" t="s">
        <v>35</v>
      </c>
      <c r="AH41">
        <f>COUNTIFS($G$2:$G$386,3,$H$2:$H$386,4)</f>
        <v>0</v>
      </c>
      <c r="AI41" s="34">
        <f t="shared" si="7"/>
        <v>0</v>
      </c>
      <c r="AO41" s="4" t="s">
        <v>39122</v>
      </c>
      <c r="AP41">
        <f>COUNTIFS($H$2:$H$386,7,$K$2:$K$386,4)</f>
        <v>0</v>
      </c>
      <c r="AQ41" s="34">
        <f t="shared" si="9"/>
        <v>0</v>
      </c>
      <c r="AS41" s="4" t="s">
        <v>39122</v>
      </c>
      <c r="AT41">
        <f>COUNTIFS($J$2:$J$386,17,$K$2:$K$386,4)</f>
        <v>40</v>
      </c>
      <c r="AU41" s="34">
        <f t="shared" si="10"/>
        <v>44.444444444444443</v>
      </c>
    </row>
    <row r="42" spans="1:47" ht="28.8" x14ac:dyDescent="0.3">
      <c r="A42" s="6" t="s">
        <v>10686</v>
      </c>
      <c r="B42" s="7">
        <v>15</v>
      </c>
      <c r="C42" s="3">
        <v>21</v>
      </c>
      <c r="D42" s="11">
        <v>4</v>
      </c>
      <c r="E42" s="11">
        <v>8</v>
      </c>
      <c r="F42" s="11">
        <v>2</v>
      </c>
      <c r="G42" s="11">
        <v>2</v>
      </c>
      <c r="H42" s="11">
        <v>16</v>
      </c>
      <c r="I42" s="3">
        <f t="shared" si="0"/>
        <v>16</v>
      </c>
      <c r="J42" s="3">
        <f t="shared" si="1"/>
        <v>16</v>
      </c>
      <c r="K42" s="11">
        <v>3</v>
      </c>
      <c r="M42" t="s">
        <v>46</v>
      </c>
      <c r="N42">
        <f>COUNTIFS($B$2:$B$386,3,$D$2:$D$386,9)</f>
        <v>0</v>
      </c>
      <c r="O42" s="34">
        <f t="shared" si="11"/>
        <v>0</v>
      </c>
      <c r="Q42" t="s">
        <v>46</v>
      </c>
      <c r="R42">
        <f>COUNTIFS($C$2:$C$386,20,$D$2:$D$386,9)</f>
        <v>1</v>
      </c>
      <c r="S42" s="34">
        <f t="shared" si="3"/>
        <v>1.1111111111111112</v>
      </c>
      <c r="T42" t="s">
        <v>32</v>
      </c>
      <c r="U42" t="s">
        <v>10</v>
      </c>
      <c r="V42">
        <f>COUNTIFS($D$2:$D$386,5,$E$2:$E$386,1)</f>
        <v>0</v>
      </c>
      <c r="W42" s="34">
        <f t="shared" si="4"/>
        <v>0</v>
      </c>
      <c r="AG42" t="s">
        <v>40</v>
      </c>
      <c r="AH42">
        <f>COUNTIFS($G$2:$G$386,3,$H$2:$H$386,5)</f>
        <v>0</v>
      </c>
      <c r="AI42" s="34">
        <f t="shared" si="7"/>
        <v>0</v>
      </c>
      <c r="AO42" s="4" t="s">
        <v>39123</v>
      </c>
      <c r="AP42">
        <f>COUNTIFS($H$2:$H$386,7,$K$2:$K$386,5)</f>
        <v>0</v>
      </c>
      <c r="AQ42" s="34">
        <f t="shared" si="9"/>
        <v>0</v>
      </c>
      <c r="AS42" s="4" t="s">
        <v>39123</v>
      </c>
      <c r="AT42">
        <f>COUNTIFS($J$2:$J$386,17,$K$2:$K$386,5)</f>
        <v>0</v>
      </c>
      <c r="AU42" s="34">
        <f t="shared" si="10"/>
        <v>0</v>
      </c>
    </row>
    <row r="43" spans="1:47" x14ac:dyDescent="0.3">
      <c r="A43" s="6" t="s">
        <v>10757</v>
      </c>
      <c r="B43" s="7">
        <v>15</v>
      </c>
      <c r="C43" s="3">
        <v>21</v>
      </c>
      <c r="D43" s="11">
        <v>4</v>
      </c>
      <c r="E43" s="11">
        <v>1</v>
      </c>
      <c r="F43" s="11">
        <v>2</v>
      </c>
      <c r="G43" s="11">
        <v>3</v>
      </c>
      <c r="H43" s="11">
        <v>8</v>
      </c>
      <c r="I43" s="3">
        <f t="shared" si="0"/>
        <v>18</v>
      </c>
      <c r="J43" s="3">
        <f t="shared" si="1"/>
        <v>18</v>
      </c>
      <c r="K43" s="11">
        <v>3</v>
      </c>
      <c r="M43" t="s">
        <v>152</v>
      </c>
      <c r="N43">
        <f>COUNTIFS($B$2:$B$386,3,$D$2:$D$386,10)</f>
        <v>0</v>
      </c>
      <c r="O43" s="34">
        <f t="shared" si="11"/>
        <v>0</v>
      </c>
      <c r="Q43" t="s">
        <v>152</v>
      </c>
      <c r="R43">
        <f>COUNTIFS($C$2:$C$386,20,$D$2:$D$386,10)</f>
        <v>0</v>
      </c>
      <c r="S43" s="34">
        <f t="shared" si="3"/>
        <v>0</v>
      </c>
      <c r="U43" t="s">
        <v>17</v>
      </c>
      <c r="V43">
        <f>COUNTIFS($D$2:$D$386,5,$E$2:$E$386,2)</f>
        <v>0</v>
      </c>
      <c r="W43" s="34">
        <f t="shared" si="4"/>
        <v>0</v>
      </c>
      <c r="AG43" t="s">
        <v>44</v>
      </c>
      <c r="AH43">
        <f>COUNTIFS($G$2:$G$386,3,$H$2:$H$386,6)</f>
        <v>0</v>
      </c>
      <c r="AI43" s="34">
        <f t="shared" si="7"/>
        <v>0</v>
      </c>
      <c r="AP43" s="23">
        <f>SUM(AP38:AP42)</f>
        <v>0</v>
      </c>
      <c r="AQ43" s="37">
        <f t="shared" si="9"/>
        <v>0</v>
      </c>
      <c r="AT43" s="22">
        <f>SUM(AT38:AT42)</f>
        <v>43</v>
      </c>
      <c r="AU43" s="35">
        <f t="shared" si="10"/>
        <v>47.777777777777779</v>
      </c>
    </row>
    <row r="44" spans="1:47" ht="43.2" x14ac:dyDescent="0.3">
      <c r="A44" s="6" t="s">
        <v>10676</v>
      </c>
      <c r="B44" s="7">
        <v>11</v>
      </c>
      <c r="C44" s="3">
        <v>20</v>
      </c>
      <c r="D44" s="11">
        <v>8</v>
      </c>
      <c r="E44" s="11">
        <v>8</v>
      </c>
      <c r="F44" s="11">
        <v>1</v>
      </c>
      <c r="G44" s="11">
        <v>1</v>
      </c>
      <c r="H44" s="11">
        <v>6</v>
      </c>
      <c r="I44" s="3">
        <f t="shared" si="0"/>
        <v>18</v>
      </c>
      <c r="J44" s="3">
        <f t="shared" si="1"/>
        <v>18</v>
      </c>
      <c r="K44" s="11">
        <v>1</v>
      </c>
      <c r="M44" t="s">
        <v>49</v>
      </c>
      <c r="N44">
        <f>COUNTIFS($B$2:$B$386,3,$D$2:$D$386,11)</f>
        <v>0</v>
      </c>
      <c r="O44" s="34">
        <f t="shared" si="11"/>
        <v>0</v>
      </c>
      <c r="Q44" t="s">
        <v>49</v>
      </c>
      <c r="R44">
        <f>COUNTIFS($C$2:$C$386,20,$D$2:$D$386,11)</f>
        <v>0</v>
      </c>
      <c r="S44" s="34">
        <f t="shared" si="3"/>
        <v>0</v>
      </c>
      <c r="U44" t="s">
        <v>24</v>
      </c>
      <c r="V44">
        <f>COUNTIFS($D$2:$D$386,5,$E$2:$E$386,3)</f>
        <v>0</v>
      </c>
      <c r="W44" s="34">
        <f t="shared" si="4"/>
        <v>0</v>
      </c>
      <c r="AG44" t="s">
        <v>47</v>
      </c>
      <c r="AH44">
        <f>COUNTIFS($G$2:$G$386,3,$H$2:$H$386,7)</f>
        <v>0</v>
      </c>
      <c r="AI44" s="34">
        <f t="shared" si="7"/>
        <v>0</v>
      </c>
      <c r="AN44" t="s">
        <v>1637</v>
      </c>
      <c r="AO44" s="4" t="s">
        <v>39120</v>
      </c>
      <c r="AP44">
        <f>COUNTIFS($H$2:$H$386,8,$K$2:$K$386,1)</f>
        <v>0</v>
      </c>
      <c r="AQ44" s="34">
        <f t="shared" si="9"/>
        <v>0</v>
      </c>
    </row>
    <row r="45" spans="1:47" ht="43.2" x14ac:dyDescent="0.3">
      <c r="A45" s="6" t="s">
        <v>10701</v>
      </c>
      <c r="B45" s="7">
        <v>8</v>
      </c>
      <c r="C45" s="3">
        <v>19</v>
      </c>
      <c r="D45" s="11">
        <v>1</v>
      </c>
      <c r="E45" s="11">
        <v>8</v>
      </c>
      <c r="F45" s="11">
        <v>2</v>
      </c>
      <c r="G45" s="11">
        <v>3</v>
      </c>
      <c r="H45" s="11">
        <v>16</v>
      </c>
      <c r="I45" s="3">
        <f t="shared" si="0"/>
        <v>16</v>
      </c>
      <c r="J45" s="3">
        <f t="shared" si="1"/>
        <v>16</v>
      </c>
      <c r="K45" s="11">
        <v>4</v>
      </c>
      <c r="M45" t="s">
        <v>51</v>
      </c>
      <c r="N45">
        <f>COUNTIFS($B$2:$B$386,3,$D$2:$D$386,12)</f>
        <v>0</v>
      </c>
      <c r="O45" s="34">
        <f t="shared" si="11"/>
        <v>0</v>
      </c>
      <c r="Q45" t="s">
        <v>51</v>
      </c>
      <c r="R45">
        <f>COUNTIFS($C$2:$C$386,20,$D$2:$D$386,12)</f>
        <v>0</v>
      </c>
      <c r="S45" s="34">
        <f t="shared" si="3"/>
        <v>0</v>
      </c>
      <c r="U45" t="s">
        <v>31</v>
      </c>
      <c r="V45">
        <f>COUNTIFS($D$2:$D$386,5,$E$2:$E$386,4)</f>
        <v>0</v>
      </c>
      <c r="W45" s="34">
        <f t="shared" si="4"/>
        <v>0</v>
      </c>
      <c r="AG45" t="s">
        <v>1637</v>
      </c>
      <c r="AH45">
        <f>COUNTIFS($G$2:$G$386,3,$H$2:$H$386,8)</f>
        <v>5</v>
      </c>
      <c r="AI45" s="34">
        <f t="shared" si="7"/>
        <v>5.5555555555555554</v>
      </c>
      <c r="AO45" s="4" t="s">
        <v>39121</v>
      </c>
      <c r="AP45">
        <f>COUNTIFS($H$2:$H$386,8,$K$2:$K$386,2)</f>
        <v>0</v>
      </c>
      <c r="AQ45" s="34">
        <f t="shared" si="9"/>
        <v>0</v>
      </c>
    </row>
    <row r="46" spans="1:47" ht="57.6" x14ac:dyDescent="0.3">
      <c r="A46" s="6" t="s">
        <v>10726</v>
      </c>
      <c r="B46" s="7">
        <v>12</v>
      </c>
      <c r="C46" s="3">
        <v>20</v>
      </c>
      <c r="D46" s="11">
        <v>15</v>
      </c>
      <c r="E46" s="7">
        <v>3</v>
      </c>
      <c r="F46" s="7">
        <v>3</v>
      </c>
      <c r="G46" s="7">
        <v>3</v>
      </c>
      <c r="H46" s="7">
        <v>17</v>
      </c>
      <c r="I46" s="3">
        <f t="shared" si="0"/>
        <v>17</v>
      </c>
      <c r="J46" s="3">
        <f t="shared" si="1"/>
        <v>17</v>
      </c>
      <c r="K46" s="7">
        <v>4</v>
      </c>
      <c r="M46" t="s">
        <v>153</v>
      </c>
      <c r="N46">
        <f>COUNTIFS($B$2:$B$386,3,$D$2:$D$386,13)</f>
        <v>0</v>
      </c>
      <c r="O46" s="34">
        <f t="shared" si="11"/>
        <v>0</v>
      </c>
      <c r="Q46" t="s">
        <v>153</v>
      </c>
      <c r="R46">
        <f>COUNTIFS($C$2:$C$386,20,$D$2:$D$386,13)</f>
        <v>0</v>
      </c>
      <c r="S46" s="34">
        <f t="shared" si="3"/>
        <v>0</v>
      </c>
      <c r="U46" t="s">
        <v>37</v>
      </c>
      <c r="V46">
        <f>COUNTIFS($D$2:$D$386,5,$E$2:$E$386,5)</f>
        <v>0</v>
      </c>
      <c r="W46" s="34">
        <f t="shared" si="4"/>
        <v>0</v>
      </c>
      <c r="AG46" t="s">
        <v>1638</v>
      </c>
      <c r="AH46">
        <f>COUNTIFS($G$2:$G$386,3,$H$2:$H$386,9)</f>
        <v>1</v>
      </c>
      <c r="AI46" s="34">
        <f t="shared" si="7"/>
        <v>1.1111111111111112</v>
      </c>
      <c r="AO46" s="4" t="s">
        <v>39125</v>
      </c>
      <c r="AP46">
        <f>COUNTIFS($H$2:$H$386,8,$K$2:$K$386,3)</f>
        <v>5</v>
      </c>
      <c r="AQ46" s="34">
        <f t="shared" si="9"/>
        <v>5.5555555555555554</v>
      </c>
    </row>
    <row r="47" spans="1:47" ht="28.8" x14ac:dyDescent="0.3">
      <c r="A47" s="6" t="s">
        <v>10754</v>
      </c>
      <c r="B47" s="7">
        <v>16</v>
      </c>
      <c r="C47" s="3">
        <v>21</v>
      </c>
      <c r="D47" s="11">
        <v>1</v>
      </c>
      <c r="E47" s="11">
        <v>3</v>
      </c>
      <c r="F47" s="11">
        <v>3</v>
      </c>
      <c r="G47" s="11">
        <v>3</v>
      </c>
      <c r="H47" s="11">
        <v>17</v>
      </c>
      <c r="I47" s="3">
        <f t="shared" si="0"/>
        <v>17</v>
      </c>
      <c r="J47" s="3">
        <f t="shared" si="1"/>
        <v>17</v>
      </c>
      <c r="K47" s="11">
        <v>4</v>
      </c>
      <c r="M47" t="s">
        <v>154</v>
      </c>
      <c r="N47">
        <f>COUNTIFS($B$2:$B$386,3,$D$2:$D$386,14)</f>
        <v>0</v>
      </c>
      <c r="O47" s="34">
        <f t="shared" si="11"/>
        <v>0</v>
      </c>
      <c r="Q47" t="s">
        <v>154</v>
      </c>
      <c r="R47">
        <f>COUNTIFS($C$2:$C$386,20,$D$2:$D$386,14)</f>
        <v>0</v>
      </c>
      <c r="S47" s="34">
        <f t="shared" si="3"/>
        <v>0</v>
      </c>
      <c r="U47" t="s">
        <v>42</v>
      </c>
      <c r="V47">
        <f>COUNTIFS($D$2:$D$386,5,$E$2:$E$386,6)</f>
        <v>0</v>
      </c>
      <c r="W47" s="34">
        <f t="shared" si="4"/>
        <v>0</v>
      </c>
      <c r="AG47" t="s">
        <v>1639</v>
      </c>
      <c r="AH47">
        <f>COUNTIFS($G$2:$G$386,3,$H$2:$H$386,10)</f>
        <v>0</v>
      </c>
      <c r="AI47" s="34">
        <f t="shared" si="7"/>
        <v>0</v>
      </c>
      <c r="AO47" s="4" t="s">
        <v>39122</v>
      </c>
      <c r="AP47">
        <f>COUNTIFS($H$2:$H$386,8,$K$2:$K$386,4)</f>
        <v>0</v>
      </c>
      <c r="AQ47" s="34">
        <f t="shared" si="9"/>
        <v>0</v>
      </c>
    </row>
    <row r="48" spans="1:47" ht="28.8" x14ac:dyDescent="0.3">
      <c r="A48" s="6" t="s">
        <v>10683</v>
      </c>
      <c r="B48" s="7">
        <v>14</v>
      </c>
      <c r="C48" s="3">
        <v>21</v>
      </c>
      <c r="D48" s="11">
        <v>4</v>
      </c>
      <c r="E48" s="11">
        <v>1</v>
      </c>
      <c r="F48" s="11">
        <v>1</v>
      </c>
      <c r="G48" s="11">
        <v>3</v>
      </c>
      <c r="H48" s="11">
        <v>1</v>
      </c>
      <c r="I48" s="3">
        <f t="shared" si="0"/>
        <v>1</v>
      </c>
      <c r="J48" s="3">
        <f t="shared" si="1"/>
        <v>1</v>
      </c>
      <c r="K48" s="11">
        <v>5</v>
      </c>
      <c r="M48" t="s">
        <v>52</v>
      </c>
      <c r="N48">
        <f>COUNTIFS($B$2:$B$386,3,$D$2:$D$386,15)</f>
        <v>0</v>
      </c>
      <c r="O48" s="34">
        <f t="shared" si="11"/>
        <v>0</v>
      </c>
      <c r="Q48" t="s">
        <v>52</v>
      </c>
      <c r="R48">
        <f>COUNTIFS($C$2:$C$386,20,$D$2:$D$386,15)</f>
        <v>3</v>
      </c>
      <c r="S48" s="34">
        <f t="shared" si="3"/>
        <v>3.3333333333333335</v>
      </c>
      <c r="U48" t="s">
        <v>45</v>
      </c>
      <c r="V48">
        <f>COUNTIFS($D$2:$D$386,5,$E$2:$E$386,7)</f>
        <v>0</v>
      </c>
      <c r="W48" s="34">
        <f t="shared" si="4"/>
        <v>0</v>
      </c>
      <c r="AG48" t="s">
        <v>1640</v>
      </c>
      <c r="AH48">
        <f>COUNTIFS($G$2:$G$386,3,$H$2:$H$386,11)</f>
        <v>0</v>
      </c>
      <c r="AI48" s="34">
        <f t="shared" si="7"/>
        <v>0</v>
      </c>
      <c r="AO48" s="4" t="s">
        <v>39123</v>
      </c>
      <c r="AP48">
        <f>COUNTIFS($H$2:$H$386,8,$K$2:$K$386,5)</f>
        <v>0</v>
      </c>
      <c r="AQ48" s="34">
        <f t="shared" si="9"/>
        <v>0</v>
      </c>
    </row>
    <row r="49" spans="1:43" x14ac:dyDescent="0.3">
      <c r="A49" s="6" t="s">
        <v>10732</v>
      </c>
      <c r="B49" s="7">
        <v>12</v>
      </c>
      <c r="C49" s="3">
        <v>20</v>
      </c>
      <c r="D49" s="11">
        <v>4</v>
      </c>
      <c r="E49" s="7">
        <v>3</v>
      </c>
      <c r="F49" s="11">
        <v>3</v>
      </c>
      <c r="G49" s="11">
        <v>3</v>
      </c>
      <c r="H49" s="11">
        <v>17</v>
      </c>
      <c r="I49" s="3">
        <f t="shared" si="0"/>
        <v>17</v>
      </c>
      <c r="J49" s="3">
        <f t="shared" si="1"/>
        <v>17</v>
      </c>
      <c r="K49" s="11">
        <v>4</v>
      </c>
      <c r="N49" s="22">
        <f>SUM(N34:N48)</f>
        <v>0</v>
      </c>
      <c r="O49" s="35">
        <f t="shared" si="11"/>
        <v>0</v>
      </c>
      <c r="R49" s="23">
        <f>SUM(R34:R48)</f>
        <v>28</v>
      </c>
      <c r="S49" s="37">
        <f t="shared" si="3"/>
        <v>31.111111111111111</v>
      </c>
      <c r="U49" t="s">
        <v>48</v>
      </c>
      <c r="V49">
        <f>COUNTIFS($D$2:$D$386,5,$E$2:$E$386,8)</f>
        <v>0</v>
      </c>
      <c r="W49" s="34">
        <f t="shared" si="4"/>
        <v>0</v>
      </c>
      <c r="AG49" t="s">
        <v>1641</v>
      </c>
      <c r="AH49">
        <f>COUNTIFS($G$2:$G$386,3,$H$2:$H$386,12)</f>
        <v>2</v>
      </c>
      <c r="AI49" s="34">
        <f t="shared" si="7"/>
        <v>2.2222222222222223</v>
      </c>
      <c r="AP49" s="23">
        <f>SUM(AP44:AP48)</f>
        <v>5</v>
      </c>
      <c r="AQ49" s="37">
        <f t="shared" si="9"/>
        <v>5.5555555555555554</v>
      </c>
    </row>
    <row r="50" spans="1:43" ht="43.2" x14ac:dyDescent="0.3">
      <c r="A50" s="6" t="s">
        <v>10718</v>
      </c>
      <c r="B50" s="7">
        <v>13</v>
      </c>
      <c r="C50" s="3">
        <v>21</v>
      </c>
      <c r="D50" s="11">
        <v>1</v>
      </c>
      <c r="E50" s="7">
        <v>5</v>
      </c>
      <c r="F50" s="11">
        <v>3</v>
      </c>
      <c r="G50" s="11">
        <v>3</v>
      </c>
      <c r="H50" s="11">
        <v>17</v>
      </c>
      <c r="I50" s="3">
        <f t="shared" si="0"/>
        <v>17</v>
      </c>
      <c r="J50" s="3">
        <f t="shared" si="1"/>
        <v>17</v>
      </c>
      <c r="K50" s="11">
        <v>4</v>
      </c>
      <c r="L50">
        <v>2012</v>
      </c>
      <c r="M50" t="s">
        <v>11</v>
      </c>
      <c r="N50">
        <f>COUNTIFS($B$2:$B$386,4,$D$2:$D$386,1)</f>
        <v>1</v>
      </c>
      <c r="O50" s="34">
        <f t="shared" si="11"/>
        <v>1.1111111111111112</v>
      </c>
      <c r="P50" t="s">
        <v>3083</v>
      </c>
      <c r="Q50" t="s">
        <v>11</v>
      </c>
      <c r="R50">
        <f>COUNTIFS($C$2:$C$386,21,$D$2:$D$386,1)</f>
        <v>22</v>
      </c>
      <c r="S50" s="34">
        <f t="shared" si="3"/>
        <v>24.444444444444443</v>
      </c>
      <c r="U50" t="s">
        <v>50</v>
      </c>
      <c r="V50">
        <f>COUNTIFS($D$2:$D$386,5,$E$2:$E$386,9)</f>
        <v>0</v>
      </c>
      <c r="W50" s="34">
        <f t="shared" si="4"/>
        <v>0</v>
      </c>
      <c r="AG50" t="s">
        <v>1642</v>
      </c>
      <c r="AH50">
        <f>COUNTIFS($G$2:$G$386,3,$H$2:$H$386,13)</f>
        <v>0</v>
      </c>
      <c r="AI50" s="34">
        <f t="shared" si="7"/>
        <v>0</v>
      </c>
      <c r="AN50" t="s">
        <v>1638</v>
      </c>
      <c r="AO50" s="4" t="s">
        <v>39120</v>
      </c>
      <c r="AP50">
        <f>COUNTIFS($H$2:$H$386,9,$K$2:$K$386,1)</f>
        <v>0</v>
      </c>
      <c r="AQ50" s="34">
        <f t="shared" si="9"/>
        <v>0</v>
      </c>
    </row>
    <row r="51" spans="1:43" ht="43.2" x14ac:dyDescent="0.3">
      <c r="A51" s="6" t="s">
        <v>10132</v>
      </c>
      <c r="B51" s="7">
        <v>8</v>
      </c>
      <c r="C51" s="3">
        <v>19</v>
      </c>
      <c r="D51" s="11">
        <v>8</v>
      </c>
      <c r="E51" s="11">
        <v>3</v>
      </c>
      <c r="F51" s="11">
        <v>3</v>
      </c>
      <c r="G51" s="11">
        <v>3</v>
      </c>
      <c r="H51" s="11">
        <v>17</v>
      </c>
      <c r="I51" s="3">
        <f t="shared" si="0"/>
        <v>17</v>
      </c>
      <c r="J51" s="3">
        <f t="shared" si="1"/>
        <v>17</v>
      </c>
      <c r="K51" s="11">
        <v>4</v>
      </c>
      <c r="M51" t="s">
        <v>18</v>
      </c>
      <c r="N51">
        <f>COUNTIFS($B$2:$B$386,4,$D$2:$D$386,2)</f>
        <v>0</v>
      </c>
      <c r="O51" s="34">
        <f t="shared" si="11"/>
        <v>0</v>
      </c>
      <c r="Q51" t="s">
        <v>18</v>
      </c>
      <c r="R51">
        <f>COUNTIFS($C$2:$C$386,21,$D$2:$D$386,2)</f>
        <v>0</v>
      </c>
      <c r="S51" s="34">
        <f t="shared" si="3"/>
        <v>0</v>
      </c>
      <c r="V51" s="22">
        <f>SUM(V42:V50)</f>
        <v>0</v>
      </c>
      <c r="W51" s="35">
        <f t="shared" si="4"/>
        <v>0</v>
      </c>
      <c r="AG51" t="s">
        <v>1643</v>
      </c>
      <c r="AH51">
        <f>COUNTIFS($G$2:$G$386,3,$H$2:$H$386,14)</f>
        <v>0</v>
      </c>
      <c r="AI51" s="34">
        <f t="shared" si="7"/>
        <v>0</v>
      </c>
      <c r="AO51" s="4" t="s">
        <v>39121</v>
      </c>
      <c r="AP51">
        <f>COUNTIFS($H$2:$H$386,9,$K$2:$K$386,2)</f>
        <v>0</v>
      </c>
      <c r="AQ51" s="34">
        <f t="shared" si="9"/>
        <v>0</v>
      </c>
    </row>
    <row r="52" spans="1:43" ht="57.6" x14ac:dyDescent="0.3">
      <c r="A52" s="6" t="s">
        <v>10698</v>
      </c>
      <c r="B52" s="7">
        <v>15</v>
      </c>
      <c r="C52" s="3">
        <v>21</v>
      </c>
      <c r="D52" s="11">
        <v>1</v>
      </c>
      <c r="E52" s="11">
        <v>3</v>
      </c>
      <c r="F52" s="11">
        <v>3</v>
      </c>
      <c r="G52" s="11">
        <v>3</v>
      </c>
      <c r="H52" s="11">
        <v>17</v>
      </c>
      <c r="I52" s="3">
        <f t="shared" si="0"/>
        <v>17</v>
      </c>
      <c r="J52" s="3">
        <f t="shared" si="1"/>
        <v>17</v>
      </c>
      <c r="K52" s="11">
        <v>4</v>
      </c>
      <c r="M52" t="s">
        <v>150</v>
      </c>
      <c r="N52">
        <f>COUNTIFS($B$2:$B$386,4,$D$2:$D$386,3)</f>
        <v>0</v>
      </c>
      <c r="O52" s="34">
        <f t="shared" si="11"/>
        <v>0</v>
      </c>
      <c r="Q52" t="s">
        <v>150</v>
      </c>
      <c r="R52">
        <f>COUNTIFS($C$2:$C$386,21,$D$2:$D$386,3)</f>
        <v>0</v>
      </c>
      <c r="S52" s="34">
        <f t="shared" si="3"/>
        <v>0</v>
      </c>
      <c r="T52" t="s">
        <v>38</v>
      </c>
      <c r="U52" t="s">
        <v>10</v>
      </c>
      <c r="V52">
        <f>COUNTIFS($D$2:$D$386,6,$E$2:$E$386,1)</f>
        <v>1</v>
      </c>
      <c r="W52" s="34">
        <f t="shared" si="4"/>
        <v>1.1111111111111112</v>
      </c>
      <c r="AG52" t="s">
        <v>1644</v>
      </c>
      <c r="AH52">
        <f>COUNTIFS($G$2:$G$386,3,$H$2:$H$386,15)</f>
        <v>0</v>
      </c>
      <c r="AI52" s="34">
        <f t="shared" si="7"/>
        <v>0</v>
      </c>
      <c r="AO52" s="4" t="s">
        <v>39125</v>
      </c>
      <c r="AP52">
        <f>COUNTIFS($H$2:$H$386,9,$K$2:$K$386,3)</f>
        <v>1</v>
      </c>
      <c r="AQ52" s="34">
        <f t="shared" si="9"/>
        <v>1.1111111111111112</v>
      </c>
    </row>
    <row r="53" spans="1:43" ht="28.8" x14ac:dyDescent="0.3">
      <c r="A53" s="6" t="s">
        <v>10707</v>
      </c>
      <c r="B53" s="7">
        <v>4</v>
      </c>
      <c r="C53" s="3">
        <v>18</v>
      </c>
      <c r="D53" s="11">
        <v>4</v>
      </c>
      <c r="E53" s="11">
        <v>8</v>
      </c>
      <c r="F53" s="11">
        <v>3</v>
      </c>
      <c r="G53" s="11">
        <v>3</v>
      </c>
      <c r="H53" s="11">
        <v>17</v>
      </c>
      <c r="I53" s="3">
        <f t="shared" si="0"/>
        <v>17</v>
      </c>
      <c r="J53" s="3">
        <f t="shared" si="1"/>
        <v>17</v>
      </c>
      <c r="K53" s="11">
        <v>4</v>
      </c>
      <c r="M53" t="s">
        <v>25</v>
      </c>
      <c r="N53">
        <f>COUNTIFS($B$2:$B$386,4,$D$2:$D$386,4)</f>
        <v>1</v>
      </c>
      <c r="O53" s="34">
        <f t="shared" si="11"/>
        <v>1.1111111111111112</v>
      </c>
      <c r="Q53" t="s">
        <v>25</v>
      </c>
      <c r="R53">
        <f>COUNTIFS($C$2:$C$386,21,$D$2:$D$386,4)</f>
        <v>15</v>
      </c>
      <c r="S53" s="34">
        <f t="shared" si="3"/>
        <v>16.666666666666664</v>
      </c>
      <c r="U53" t="s">
        <v>17</v>
      </c>
      <c r="V53">
        <f>COUNTIFS($D$2:$D$386,6,$E$2:$E$386,2)</f>
        <v>0</v>
      </c>
      <c r="W53" s="34">
        <f t="shared" si="4"/>
        <v>0</v>
      </c>
      <c r="AG53" t="s">
        <v>29</v>
      </c>
      <c r="AH53">
        <f>COUNTIFS($G$2:$G$386,3,$H$2:$H$386,16)</f>
        <v>6</v>
      </c>
      <c r="AI53" s="34">
        <f t="shared" si="7"/>
        <v>6.666666666666667</v>
      </c>
      <c r="AO53" s="4" t="s">
        <v>39122</v>
      </c>
      <c r="AP53">
        <f>COUNTIFS($H$2:$H$386,9,$K$2:$K$386,4)</f>
        <v>0</v>
      </c>
      <c r="AQ53" s="34">
        <f t="shared" si="9"/>
        <v>0</v>
      </c>
    </row>
    <row r="54" spans="1:43" ht="28.8" x14ac:dyDescent="0.3">
      <c r="A54" s="6" t="s">
        <v>10740</v>
      </c>
      <c r="B54" s="7">
        <v>12</v>
      </c>
      <c r="C54" s="3">
        <v>20</v>
      </c>
      <c r="D54" s="11">
        <v>1</v>
      </c>
      <c r="E54" s="7">
        <v>7</v>
      </c>
      <c r="F54" s="7">
        <v>1</v>
      </c>
      <c r="G54" s="7">
        <v>3</v>
      </c>
      <c r="H54" s="7">
        <v>2</v>
      </c>
      <c r="I54" s="3">
        <f t="shared" si="0"/>
        <v>2</v>
      </c>
      <c r="J54" s="3">
        <f t="shared" si="1"/>
        <v>2</v>
      </c>
      <c r="K54" s="7">
        <v>5</v>
      </c>
      <c r="M54" t="s">
        <v>32</v>
      </c>
      <c r="N54">
        <f>COUNTIFS($B$2:$B$386,4,$D$2:$D$386,5)</f>
        <v>0</v>
      </c>
      <c r="O54" s="34">
        <f t="shared" si="11"/>
        <v>0</v>
      </c>
      <c r="Q54" t="s">
        <v>32</v>
      </c>
      <c r="R54">
        <f>COUNTIFS($C$2:$C$386,21,$D$2:$D$386,5)</f>
        <v>0</v>
      </c>
      <c r="S54" s="34">
        <f t="shared" si="3"/>
        <v>0</v>
      </c>
      <c r="U54" t="s">
        <v>24</v>
      </c>
      <c r="V54">
        <f>COUNTIFS($D$2:$D$386,6,$E$2:$E$386,3)</f>
        <v>2</v>
      </c>
      <c r="W54" s="34">
        <f t="shared" si="4"/>
        <v>2.2222222222222223</v>
      </c>
      <c r="AG54" t="s">
        <v>54</v>
      </c>
      <c r="AH54">
        <f>COUNTIFS($G$2:$G$386,3,$H$2:$H$386,17)</f>
        <v>39</v>
      </c>
      <c r="AI54" s="34">
        <f t="shared" si="7"/>
        <v>43.333333333333336</v>
      </c>
      <c r="AO54" s="4" t="s">
        <v>39123</v>
      </c>
      <c r="AP54">
        <f>COUNTIFS($H$2:$H$386,9,$K$2:$K$386,5)</f>
        <v>0</v>
      </c>
      <c r="AQ54" s="34">
        <f t="shared" si="9"/>
        <v>0</v>
      </c>
    </row>
    <row r="55" spans="1:43" x14ac:dyDescent="0.3">
      <c r="A55" s="6" t="s">
        <v>10687</v>
      </c>
      <c r="B55" s="7">
        <v>8</v>
      </c>
      <c r="C55" s="3">
        <v>19</v>
      </c>
      <c r="D55" s="11">
        <v>15</v>
      </c>
      <c r="E55" s="11">
        <v>8</v>
      </c>
      <c r="F55" s="11">
        <v>2</v>
      </c>
      <c r="G55" s="11">
        <v>3</v>
      </c>
      <c r="H55" s="11">
        <v>16</v>
      </c>
      <c r="I55" s="3">
        <f t="shared" si="0"/>
        <v>16</v>
      </c>
      <c r="J55" s="3">
        <f t="shared" si="1"/>
        <v>16</v>
      </c>
      <c r="K55" s="11">
        <v>3</v>
      </c>
      <c r="M55" t="s">
        <v>38</v>
      </c>
      <c r="N55">
        <f>COUNTIFS($B$2:$B$386,4,$D$2:$D$386,6)</f>
        <v>1</v>
      </c>
      <c r="O55" s="34">
        <f t="shared" si="11"/>
        <v>1.1111111111111112</v>
      </c>
      <c r="Q55" t="s">
        <v>38</v>
      </c>
      <c r="R55">
        <f>COUNTIFS($C$2:$C$386,21,$D$2:$D$386,6)</f>
        <v>1</v>
      </c>
      <c r="S55" s="34">
        <f t="shared" si="3"/>
        <v>1.1111111111111112</v>
      </c>
      <c r="U55" t="s">
        <v>31</v>
      </c>
      <c r="V55">
        <f>COUNTIFS($D$2:$D$386,6,$E$2:$E$386,4)</f>
        <v>1</v>
      </c>
      <c r="W55" s="34">
        <f t="shared" si="4"/>
        <v>1.1111111111111112</v>
      </c>
      <c r="AH55" s="23">
        <f>SUM(AH38:AH54)</f>
        <v>69</v>
      </c>
      <c r="AI55" s="37">
        <f t="shared" si="7"/>
        <v>76.666666666666671</v>
      </c>
      <c r="AP55" s="23">
        <f>SUM(AP50:AP54)</f>
        <v>1</v>
      </c>
      <c r="AQ55" s="37">
        <f t="shared" si="9"/>
        <v>1.1111111111111112</v>
      </c>
    </row>
    <row r="56" spans="1:43" ht="43.2" x14ac:dyDescent="0.3">
      <c r="A56" s="6" t="s">
        <v>10710</v>
      </c>
      <c r="B56" s="7">
        <v>10</v>
      </c>
      <c r="C56" s="3">
        <v>20</v>
      </c>
      <c r="D56" s="11">
        <v>4</v>
      </c>
      <c r="E56" s="11">
        <v>7</v>
      </c>
      <c r="F56" s="11">
        <v>3</v>
      </c>
      <c r="G56" s="11">
        <v>3</v>
      </c>
      <c r="H56" s="11">
        <v>17</v>
      </c>
      <c r="I56" s="3">
        <f t="shared" si="0"/>
        <v>17</v>
      </c>
      <c r="J56" s="3">
        <f t="shared" si="1"/>
        <v>17</v>
      </c>
      <c r="K56" s="11">
        <v>4</v>
      </c>
      <c r="M56" t="s">
        <v>151</v>
      </c>
      <c r="N56">
        <f>COUNTIFS($B$2:$B$386,4,$D$2:$D$386,7)</f>
        <v>0</v>
      </c>
      <c r="O56" s="34">
        <f t="shared" si="11"/>
        <v>0</v>
      </c>
      <c r="Q56" t="s">
        <v>151</v>
      </c>
      <c r="R56">
        <f>COUNTIFS($C$2:$C$386,21,$D$2:$D$386,7)</f>
        <v>2</v>
      </c>
      <c r="S56" s="34">
        <f t="shared" si="3"/>
        <v>2.2222222222222223</v>
      </c>
      <c r="U56" t="s">
        <v>37</v>
      </c>
      <c r="V56">
        <f>COUNTIFS($D$2:$D$386,6,$E$2:$E$386,5)</f>
        <v>0</v>
      </c>
      <c r="W56" s="34">
        <f t="shared" si="4"/>
        <v>0</v>
      </c>
      <c r="AF56" s="4" t="s">
        <v>34</v>
      </c>
      <c r="AG56" t="s">
        <v>14</v>
      </c>
      <c r="AH56">
        <f>COUNTIFS($G$2:$G$386,4,$H$2:$H$386,1)</f>
        <v>0</v>
      </c>
      <c r="AI56" s="34">
        <f t="shared" si="7"/>
        <v>0</v>
      </c>
      <c r="AN56" t="s">
        <v>1639</v>
      </c>
      <c r="AO56" s="4" t="s">
        <v>39120</v>
      </c>
      <c r="AP56">
        <f>COUNTIFS($H$2:$H$386,10,$K$2:$K$386,1)</f>
        <v>0</v>
      </c>
      <c r="AQ56" s="34">
        <f t="shared" si="9"/>
        <v>0</v>
      </c>
    </row>
    <row r="57" spans="1:43" ht="43.2" x14ac:dyDescent="0.3">
      <c r="A57" s="6" t="s">
        <v>10699</v>
      </c>
      <c r="B57" s="7">
        <v>7</v>
      </c>
      <c r="C57" s="3">
        <v>19</v>
      </c>
      <c r="D57" s="11">
        <v>6</v>
      </c>
      <c r="E57" s="11">
        <v>3</v>
      </c>
      <c r="F57" s="11">
        <v>1</v>
      </c>
      <c r="G57" s="11">
        <v>3</v>
      </c>
      <c r="H57" s="11">
        <v>1</v>
      </c>
      <c r="I57" s="3">
        <f t="shared" si="0"/>
        <v>1</v>
      </c>
      <c r="J57" s="3">
        <f t="shared" si="1"/>
        <v>1</v>
      </c>
      <c r="K57" s="11">
        <v>5</v>
      </c>
      <c r="M57" t="s">
        <v>43</v>
      </c>
      <c r="N57">
        <f>COUNTIFS($B$2:$B$386,4,$D$2:$D$386,8)</f>
        <v>0</v>
      </c>
      <c r="O57" s="34">
        <f t="shared" si="11"/>
        <v>0</v>
      </c>
      <c r="Q57" t="s">
        <v>43</v>
      </c>
      <c r="R57">
        <f>COUNTIFS($C$2:$C$386,21,$D$2:$D$386,8)</f>
        <v>2</v>
      </c>
      <c r="S57" s="34">
        <f t="shared" si="3"/>
        <v>2.2222222222222223</v>
      </c>
      <c r="U57" t="s">
        <v>42</v>
      </c>
      <c r="V57">
        <f>COUNTIFS($D$2:$D$386,6,$E$2:$E$386,6)</f>
        <v>0</v>
      </c>
      <c r="W57" s="34">
        <f t="shared" si="4"/>
        <v>0</v>
      </c>
      <c r="AG57" t="s">
        <v>21</v>
      </c>
      <c r="AH57">
        <f>COUNTIFS($G$2:$G$386,4,$H$2:$H$386,2)</f>
        <v>0</v>
      </c>
      <c r="AI57" s="34">
        <f t="shared" si="7"/>
        <v>0</v>
      </c>
      <c r="AO57" s="4" t="s">
        <v>39121</v>
      </c>
      <c r="AP57">
        <f>COUNTIFS($H$2:$H$386,10,$K$2:$K$386,2)</f>
        <v>2</v>
      </c>
      <c r="AQ57" s="34">
        <f t="shared" si="9"/>
        <v>2.2222222222222223</v>
      </c>
    </row>
    <row r="58" spans="1:43" ht="57.6" x14ac:dyDescent="0.3">
      <c r="A58" s="6" t="s">
        <v>10750</v>
      </c>
      <c r="B58" s="7">
        <v>16</v>
      </c>
      <c r="C58" s="3">
        <v>21</v>
      </c>
      <c r="D58" s="11">
        <v>4</v>
      </c>
      <c r="E58" s="11">
        <v>3</v>
      </c>
      <c r="F58" s="11">
        <v>2</v>
      </c>
      <c r="G58" s="11">
        <v>3</v>
      </c>
      <c r="H58" s="11">
        <v>8</v>
      </c>
      <c r="I58" s="3">
        <f t="shared" si="0"/>
        <v>18</v>
      </c>
      <c r="J58" s="3">
        <f t="shared" si="1"/>
        <v>18</v>
      </c>
      <c r="K58" s="11">
        <v>3</v>
      </c>
      <c r="M58" t="s">
        <v>46</v>
      </c>
      <c r="N58">
        <f>COUNTIFS($B$2:$B$386,4,$D$2:$D$386,9)</f>
        <v>0</v>
      </c>
      <c r="O58" s="34">
        <f t="shared" si="11"/>
        <v>0</v>
      </c>
      <c r="Q58" t="s">
        <v>46</v>
      </c>
      <c r="R58">
        <f>COUNTIFS($C$2:$C$386,21,$D$2:$D$386,9)</f>
        <v>2</v>
      </c>
      <c r="S58" s="34">
        <f t="shared" si="3"/>
        <v>2.2222222222222223</v>
      </c>
      <c r="U58" t="s">
        <v>45</v>
      </c>
      <c r="V58">
        <f>COUNTIFS($D$2:$D$386,6,$E$2:$E$386,7)</f>
        <v>0</v>
      </c>
      <c r="W58" s="34">
        <f t="shared" si="4"/>
        <v>0</v>
      </c>
      <c r="AG58" t="s">
        <v>28</v>
      </c>
      <c r="AH58">
        <f>COUNTIFS($G$2:$G$386,4,$H$2:$H$386,3)</f>
        <v>0</v>
      </c>
      <c r="AI58" s="34">
        <f t="shared" si="7"/>
        <v>0</v>
      </c>
      <c r="AO58" s="4" t="s">
        <v>39125</v>
      </c>
      <c r="AP58">
        <f>COUNTIFS($H$2:$H$386,10,$K$2:$K$386,3)</f>
        <v>0</v>
      </c>
      <c r="AQ58" s="34">
        <f t="shared" si="9"/>
        <v>0</v>
      </c>
    </row>
    <row r="59" spans="1:43" ht="28.8" x14ac:dyDescent="0.3">
      <c r="A59" s="6" t="s">
        <v>10724</v>
      </c>
      <c r="B59" s="7">
        <v>16</v>
      </c>
      <c r="C59" s="3">
        <v>21</v>
      </c>
      <c r="D59" s="11">
        <v>15</v>
      </c>
      <c r="E59" s="7">
        <v>3</v>
      </c>
      <c r="F59" s="7">
        <v>3</v>
      </c>
      <c r="G59" s="7">
        <v>3</v>
      </c>
      <c r="H59" s="7">
        <v>17</v>
      </c>
      <c r="I59" s="3">
        <f t="shared" si="0"/>
        <v>17</v>
      </c>
      <c r="J59" s="3">
        <f t="shared" si="1"/>
        <v>17</v>
      </c>
      <c r="K59" s="7">
        <v>4</v>
      </c>
      <c r="M59" t="s">
        <v>152</v>
      </c>
      <c r="N59">
        <f>COUNTIFS($B$2:$B$386,4,$D$2:$D$386,10)</f>
        <v>0</v>
      </c>
      <c r="O59" s="34">
        <f t="shared" si="11"/>
        <v>0</v>
      </c>
      <c r="Q59" t="s">
        <v>152</v>
      </c>
      <c r="R59">
        <f>COUNTIFS($C$2:$C$386,21,$D$2:$D$386,10)</f>
        <v>0</v>
      </c>
      <c r="S59" s="34">
        <f t="shared" si="3"/>
        <v>0</v>
      </c>
      <c r="U59" t="s">
        <v>48</v>
      </c>
      <c r="V59">
        <f>COUNTIFS($D$2:$D$386,6,$E$2:$E$386,8)</f>
        <v>0</v>
      </c>
      <c r="W59" s="34">
        <f t="shared" si="4"/>
        <v>0</v>
      </c>
      <c r="AG59" t="s">
        <v>35</v>
      </c>
      <c r="AH59">
        <f>COUNTIFS($G$2:$G$386,4,$H$2:$H$386,4)</f>
        <v>0</v>
      </c>
      <c r="AI59" s="34">
        <f t="shared" si="7"/>
        <v>0</v>
      </c>
      <c r="AO59" s="4" t="s">
        <v>39122</v>
      </c>
      <c r="AP59">
        <f>COUNTIFS($H$2:$H$386,10,$K$2:$K$386,4)</f>
        <v>0</v>
      </c>
      <c r="AQ59" s="34">
        <f t="shared" si="9"/>
        <v>0</v>
      </c>
    </row>
    <row r="60" spans="1:43" ht="28.8" x14ac:dyDescent="0.3">
      <c r="A60" s="6" t="s">
        <v>10697</v>
      </c>
      <c r="B60" s="7">
        <v>13</v>
      </c>
      <c r="C60" s="3">
        <v>21</v>
      </c>
      <c r="D60" s="11">
        <v>1</v>
      </c>
      <c r="E60" s="11">
        <v>8</v>
      </c>
      <c r="F60" s="11">
        <v>3</v>
      </c>
      <c r="G60" s="11">
        <v>3</v>
      </c>
      <c r="H60" s="11">
        <v>17</v>
      </c>
      <c r="I60" s="3">
        <f t="shared" si="0"/>
        <v>17</v>
      </c>
      <c r="J60" s="3">
        <f t="shared" si="1"/>
        <v>17</v>
      </c>
      <c r="K60" s="11">
        <v>4</v>
      </c>
      <c r="M60" t="s">
        <v>49</v>
      </c>
      <c r="N60">
        <f>COUNTIFS($B$2:$B$386,4,$D$2:$D$386,11)</f>
        <v>0</v>
      </c>
      <c r="O60" s="34">
        <f t="shared" si="11"/>
        <v>0</v>
      </c>
      <c r="Q60" t="s">
        <v>49</v>
      </c>
      <c r="R60">
        <f>COUNTIFS($C$2:$C$386,21,$D$2:$D$386,11)</f>
        <v>0</v>
      </c>
      <c r="S60" s="34">
        <f t="shared" si="3"/>
        <v>0</v>
      </c>
      <c r="U60" t="s">
        <v>50</v>
      </c>
      <c r="V60">
        <f>COUNTIFS($D$2:$D$386,6,$E$2:$E$386,9)</f>
        <v>0</v>
      </c>
      <c r="W60" s="34">
        <f t="shared" si="4"/>
        <v>0</v>
      </c>
      <c r="AG60" t="s">
        <v>40</v>
      </c>
      <c r="AH60">
        <f>COUNTIFS($G$2:$G$386,4,$H$2:$H$386,5)</f>
        <v>0</v>
      </c>
      <c r="AI60" s="34">
        <f t="shared" si="7"/>
        <v>0</v>
      </c>
      <c r="AO60" s="4" t="s">
        <v>39123</v>
      </c>
      <c r="AP60">
        <f>COUNTIFS($H$2:$H$386,10,$K$2:$K$386,5)</f>
        <v>0</v>
      </c>
      <c r="AQ60" s="34">
        <f t="shared" si="9"/>
        <v>0</v>
      </c>
    </row>
    <row r="61" spans="1:43" x14ac:dyDescent="0.3">
      <c r="A61" s="6" t="s">
        <v>10691</v>
      </c>
      <c r="B61" s="7">
        <v>16</v>
      </c>
      <c r="C61" s="3">
        <v>21</v>
      </c>
      <c r="D61" s="11">
        <v>1</v>
      </c>
      <c r="E61" s="11">
        <v>6</v>
      </c>
      <c r="F61" s="11">
        <v>1</v>
      </c>
      <c r="G61" s="11">
        <v>1</v>
      </c>
      <c r="H61" s="11">
        <v>10</v>
      </c>
      <c r="I61" s="3">
        <f t="shared" si="0"/>
        <v>18</v>
      </c>
      <c r="J61" s="3">
        <f t="shared" si="1"/>
        <v>18</v>
      </c>
      <c r="K61" s="11">
        <v>2</v>
      </c>
      <c r="M61" t="s">
        <v>51</v>
      </c>
      <c r="N61">
        <f>COUNTIFS($B$2:$B$386,4,$D$2:$D$386,12)</f>
        <v>0</v>
      </c>
      <c r="O61" s="34">
        <f t="shared" si="11"/>
        <v>0</v>
      </c>
      <c r="Q61" t="s">
        <v>51</v>
      </c>
      <c r="R61">
        <f>COUNTIFS($C$2:$C$386,21,$D$2:$D$386,12)</f>
        <v>0</v>
      </c>
      <c r="S61" s="34">
        <f t="shared" si="3"/>
        <v>0</v>
      </c>
      <c r="V61" s="22">
        <f>SUM(V52:V60)</f>
        <v>4</v>
      </c>
      <c r="W61" s="35">
        <f t="shared" si="4"/>
        <v>4.4444444444444446</v>
      </c>
      <c r="AG61" t="s">
        <v>44</v>
      </c>
      <c r="AH61">
        <f>COUNTIFS($G$2:$G$386,4,$H$2:$H$386,6)</f>
        <v>0</v>
      </c>
      <c r="AI61" s="34">
        <f t="shared" si="7"/>
        <v>0</v>
      </c>
      <c r="AP61" s="23">
        <f>SUM(AP56:AP60)</f>
        <v>2</v>
      </c>
      <c r="AQ61" s="37">
        <f t="shared" si="9"/>
        <v>2.2222222222222223</v>
      </c>
    </row>
    <row r="62" spans="1:43" ht="43.2" x14ac:dyDescent="0.3">
      <c r="A62" s="6" t="s">
        <v>10752</v>
      </c>
      <c r="B62" s="7">
        <v>14</v>
      </c>
      <c r="C62" s="3">
        <v>21</v>
      </c>
      <c r="D62" s="11">
        <v>4</v>
      </c>
      <c r="E62" s="11">
        <v>1</v>
      </c>
      <c r="F62" s="7">
        <v>3</v>
      </c>
      <c r="G62" s="7">
        <v>3</v>
      </c>
      <c r="H62" s="7">
        <v>17</v>
      </c>
      <c r="I62" s="3">
        <f t="shared" si="0"/>
        <v>17</v>
      </c>
      <c r="J62" s="3">
        <f t="shared" si="1"/>
        <v>17</v>
      </c>
      <c r="K62" s="7">
        <v>4</v>
      </c>
      <c r="M62" t="s">
        <v>153</v>
      </c>
      <c r="N62">
        <f>COUNTIFS($B$2:$B$386,4,$D$2:$D$386,13)</f>
        <v>0</v>
      </c>
      <c r="O62" s="34">
        <f t="shared" si="11"/>
        <v>0</v>
      </c>
      <c r="Q62" t="s">
        <v>153</v>
      </c>
      <c r="R62">
        <f>COUNTIFS($C$2:$C$386,21,$D$2:$D$386,13)</f>
        <v>0</v>
      </c>
      <c r="S62" s="34">
        <f t="shared" si="3"/>
        <v>0</v>
      </c>
      <c r="T62" t="s">
        <v>151</v>
      </c>
      <c r="U62" t="s">
        <v>10</v>
      </c>
      <c r="V62">
        <f>COUNTIFS($D$2:$D$386,7,$E$2:$E$386,1)</f>
        <v>0</v>
      </c>
      <c r="W62" s="34">
        <f t="shared" si="4"/>
        <v>0</v>
      </c>
      <c r="AG62" t="s">
        <v>47</v>
      </c>
      <c r="AH62">
        <f>COUNTIFS($G$2:$G$386,4,$H$2:$H$386,7)</f>
        <v>0</v>
      </c>
      <c r="AI62" s="34">
        <f t="shared" si="7"/>
        <v>0</v>
      </c>
      <c r="AN62" t="s">
        <v>1640</v>
      </c>
      <c r="AO62" s="4" t="s">
        <v>39120</v>
      </c>
      <c r="AP62">
        <f>COUNTIFS($H$2:$H$386,11,$K$2:$K$386,1)</f>
        <v>0</v>
      </c>
      <c r="AQ62" s="34">
        <f t="shared" si="9"/>
        <v>0</v>
      </c>
    </row>
    <row r="63" spans="1:43" ht="43.2" x14ac:dyDescent="0.3">
      <c r="A63" s="6" t="s">
        <v>10739</v>
      </c>
      <c r="B63" s="7">
        <v>8</v>
      </c>
      <c r="C63" s="3">
        <v>19</v>
      </c>
      <c r="D63" s="11">
        <v>11</v>
      </c>
      <c r="E63" s="7">
        <v>1</v>
      </c>
      <c r="F63" s="11">
        <v>3</v>
      </c>
      <c r="G63" s="11">
        <v>3</v>
      </c>
      <c r="H63" s="11">
        <v>17</v>
      </c>
      <c r="I63" s="3">
        <f t="shared" ref="I63:I91" si="12">IF(OR(H63=4, H63=6, H63=8, H63=10, H63=12, H63=14), 18, H63)</f>
        <v>17</v>
      </c>
      <c r="J63" s="3">
        <f t="shared" ref="J63:J91" si="13">IF(OR(I63=5, I63=7, I63=9, I63=11, I63=13, I63=15), 19, I63)</f>
        <v>17</v>
      </c>
      <c r="K63" s="11">
        <v>4</v>
      </c>
      <c r="M63" t="s">
        <v>154</v>
      </c>
      <c r="N63">
        <f>COUNTIFS($B$2:$B$386,4,$D$2:$D$386,14)</f>
        <v>0</v>
      </c>
      <c r="O63" s="34">
        <f t="shared" si="11"/>
        <v>0</v>
      </c>
      <c r="Q63" t="s">
        <v>154</v>
      </c>
      <c r="R63">
        <f>COUNTIFS($C$2:$C$386,21,$D$2:$D$386,14)</f>
        <v>0</v>
      </c>
      <c r="S63" s="34">
        <f t="shared" si="3"/>
        <v>0</v>
      </c>
      <c r="U63" t="s">
        <v>17</v>
      </c>
      <c r="V63">
        <f>COUNTIFS($D$2:$D$386,7,$E$2:$E$386,2)</f>
        <v>0</v>
      </c>
      <c r="W63" s="34">
        <f t="shared" si="4"/>
        <v>0</v>
      </c>
      <c r="AG63" t="s">
        <v>1637</v>
      </c>
      <c r="AH63">
        <f>COUNTIFS($G$2:$G$386,4,$H$2:$H$386,8)</f>
        <v>0</v>
      </c>
      <c r="AI63" s="34">
        <f t="shared" si="7"/>
        <v>0</v>
      </c>
      <c r="AO63" s="4" t="s">
        <v>39121</v>
      </c>
      <c r="AP63">
        <f>COUNTIFS($H$2:$H$386,11,$K$2:$K$386,2)</f>
        <v>0</v>
      </c>
      <c r="AQ63" s="34">
        <f t="shared" si="9"/>
        <v>0</v>
      </c>
    </row>
    <row r="64" spans="1:43" ht="57.6" x14ac:dyDescent="0.3">
      <c r="A64" s="6" t="s">
        <v>10712</v>
      </c>
      <c r="B64" s="7">
        <v>13</v>
      </c>
      <c r="C64" s="3">
        <v>21</v>
      </c>
      <c r="D64" s="11">
        <v>4</v>
      </c>
      <c r="E64" s="11">
        <v>4</v>
      </c>
      <c r="F64" s="11">
        <v>2</v>
      </c>
      <c r="G64" s="11">
        <v>3</v>
      </c>
      <c r="H64" s="11">
        <v>8</v>
      </c>
      <c r="I64" s="3">
        <f t="shared" si="12"/>
        <v>18</v>
      </c>
      <c r="J64" s="3">
        <f t="shared" si="13"/>
        <v>18</v>
      </c>
      <c r="K64" s="11">
        <v>3</v>
      </c>
      <c r="M64" t="s">
        <v>52</v>
      </c>
      <c r="N64">
        <f>COUNTIFS($B$2:$B$386,4,$D$2:$D$386,15)</f>
        <v>0</v>
      </c>
      <c r="O64" s="34">
        <f t="shared" si="11"/>
        <v>0</v>
      </c>
      <c r="Q64" t="s">
        <v>52</v>
      </c>
      <c r="R64">
        <f>COUNTIFS($C$2:$C$386,21,$D$2:$D$386,15)</f>
        <v>2</v>
      </c>
      <c r="S64" s="34">
        <f t="shared" si="3"/>
        <v>2.2222222222222223</v>
      </c>
      <c r="U64" t="s">
        <v>24</v>
      </c>
      <c r="V64">
        <f>COUNTIFS($D$2:$D$386,7,$E$2:$E$386,3)</f>
        <v>1</v>
      </c>
      <c r="W64" s="34">
        <f t="shared" si="4"/>
        <v>1.1111111111111112</v>
      </c>
      <c r="AG64" t="s">
        <v>1638</v>
      </c>
      <c r="AH64">
        <f>COUNTIFS($G$2:$G$386,4,$H$2:$H$386,9)</f>
        <v>0</v>
      </c>
      <c r="AI64" s="34">
        <f t="shared" si="7"/>
        <v>0</v>
      </c>
      <c r="AO64" s="4" t="s">
        <v>39125</v>
      </c>
      <c r="AP64">
        <f>COUNTIFS($H$2:$H$386,11,$K$2:$K$386,3)</f>
        <v>0</v>
      </c>
      <c r="AQ64" s="34">
        <f t="shared" si="9"/>
        <v>0</v>
      </c>
    </row>
    <row r="65" spans="1:43" ht="28.8" x14ac:dyDescent="0.3">
      <c r="A65" s="6" t="s">
        <v>10708</v>
      </c>
      <c r="B65" s="7">
        <v>12</v>
      </c>
      <c r="C65" s="3">
        <v>20</v>
      </c>
      <c r="D65" s="11">
        <v>8</v>
      </c>
      <c r="E65" s="11">
        <v>4</v>
      </c>
      <c r="F65" s="11">
        <v>2</v>
      </c>
      <c r="G65" s="11">
        <v>3</v>
      </c>
      <c r="H65" s="11">
        <v>8</v>
      </c>
      <c r="I65" s="3">
        <f t="shared" si="12"/>
        <v>18</v>
      </c>
      <c r="J65" s="3">
        <f t="shared" si="13"/>
        <v>18</v>
      </c>
      <c r="K65" s="11">
        <v>3</v>
      </c>
      <c r="N65" s="22">
        <f>SUM(N50:N64)</f>
        <v>3</v>
      </c>
      <c r="O65" s="35">
        <f t="shared" si="11"/>
        <v>3.3333333333333335</v>
      </c>
      <c r="R65" s="23">
        <f>SUM(R50:R64)</f>
        <v>46</v>
      </c>
      <c r="S65" s="37">
        <f t="shared" si="3"/>
        <v>51.111111111111107</v>
      </c>
      <c r="U65" t="s">
        <v>31</v>
      </c>
      <c r="V65">
        <f>COUNTIFS($D$2:$D$386,7,$E$2:$E$386,4)</f>
        <v>0</v>
      </c>
      <c r="W65" s="34">
        <f t="shared" si="4"/>
        <v>0</v>
      </c>
      <c r="AG65" t="s">
        <v>1639</v>
      </c>
      <c r="AH65">
        <f>COUNTIFS($G$2:$G$386,4,$H$2:$H$386,10)</f>
        <v>0</v>
      </c>
      <c r="AI65" s="34">
        <f t="shared" si="7"/>
        <v>0</v>
      </c>
      <c r="AO65" s="4" t="s">
        <v>39122</v>
      </c>
      <c r="AP65">
        <f>COUNTIFS($H$2:$H$386,11,$K$2:$K$386,4)</f>
        <v>0</v>
      </c>
      <c r="AQ65" s="34">
        <f t="shared" si="9"/>
        <v>0</v>
      </c>
    </row>
    <row r="66" spans="1:43" ht="28.8" x14ac:dyDescent="0.3">
      <c r="A66" s="6" t="s">
        <v>10747</v>
      </c>
      <c r="B66" s="7">
        <v>11</v>
      </c>
      <c r="C66" s="3">
        <v>20</v>
      </c>
      <c r="D66" s="11">
        <v>4</v>
      </c>
      <c r="E66" s="11">
        <v>3</v>
      </c>
      <c r="F66" s="7">
        <v>3</v>
      </c>
      <c r="G66" s="7">
        <v>3</v>
      </c>
      <c r="H66" s="7">
        <v>17</v>
      </c>
      <c r="I66" s="3">
        <f t="shared" si="12"/>
        <v>17</v>
      </c>
      <c r="J66" s="3">
        <f t="shared" si="13"/>
        <v>17</v>
      </c>
      <c r="K66" s="7">
        <v>4</v>
      </c>
      <c r="L66">
        <v>2013</v>
      </c>
      <c r="M66" t="s">
        <v>11</v>
      </c>
      <c r="N66">
        <f>COUNTIFS($B$2:$B$386,5,$D$2:$D$386,1)</f>
        <v>1</v>
      </c>
      <c r="O66" s="34">
        <f t="shared" si="11"/>
        <v>1.1111111111111112</v>
      </c>
      <c r="U66" t="s">
        <v>37</v>
      </c>
      <c r="V66">
        <f>COUNTIFS($D$2:$D$386,7,$E$2:$E$386,5)</f>
        <v>0</v>
      </c>
      <c r="W66" s="34">
        <f t="shared" si="4"/>
        <v>0</v>
      </c>
      <c r="AG66" t="s">
        <v>1640</v>
      </c>
      <c r="AH66">
        <f>COUNTIFS($G$2:$G$386,4,$H$2:$H$386,11)</f>
        <v>0</v>
      </c>
      <c r="AI66" s="34">
        <f t="shared" si="7"/>
        <v>0</v>
      </c>
      <c r="AO66" s="4" t="s">
        <v>39123</v>
      </c>
      <c r="AP66">
        <f>COUNTIFS($H$2:$H$386,11,$K$2:$K$386,5)</f>
        <v>0</v>
      </c>
      <c r="AQ66" s="34">
        <f t="shared" si="9"/>
        <v>0</v>
      </c>
    </row>
    <row r="67" spans="1:43" x14ac:dyDescent="0.3">
      <c r="A67" s="6" t="s">
        <v>10731</v>
      </c>
      <c r="B67" s="7">
        <v>11</v>
      </c>
      <c r="C67" s="3">
        <v>20</v>
      </c>
      <c r="D67" s="11">
        <v>2</v>
      </c>
      <c r="E67" s="7">
        <v>3</v>
      </c>
      <c r="F67" s="11">
        <v>2</v>
      </c>
      <c r="G67" s="11">
        <v>3</v>
      </c>
      <c r="H67" s="11">
        <v>17</v>
      </c>
      <c r="I67" s="3">
        <f t="shared" si="12"/>
        <v>17</v>
      </c>
      <c r="J67" s="3">
        <f t="shared" si="13"/>
        <v>17</v>
      </c>
      <c r="K67" s="11">
        <v>4</v>
      </c>
      <c r="M67" t="s">
        <v>18</v>
      </c>
      <c r="N67">
        <f>COUNTIFS($B$2:$B$386,5,$D$2:$D$386,2)</f>
        <v>0</v>
      </c>
      <c r="O67" s="34">
        <f t="shared" si="11"/>
        <v>0</v>
      </c>
      <c r="U67" t="s">
        <v>42</v>
      </c>
      <c r="V67">
        <f>COUNTIFS($D$2:$D$386,7,$E$2:$E$386,6)</f>
        <v>0</v>
      </c>
      <c r="W67" s="34">
        <f t="shared" ref="W67:W130" si="14">(V67/90)*100</f>
        <v>0</v>
      </c>
      <c r="AG67" t="s">
        <v>1641</v>
      </c>
      <c r="AH67">
        <f>COUNTIFS($G$2:$G$386,4,$H$2:$H$386,12)</f>
        <v>0</v>
      </c>
      <c r="AI67" s="34">
        <f t="shared" ref="AI67:AI73" si="15">(AH67/90)*100</f>
        <v>0</v>
      </c>
      <c r="AP67" s="23">
        <f>SUM(AP62:AP66)</f>
        <v>0</v>
      </c>
      <c r="AQ67" s="37">
        <f t="shared" ref="AQ67:AQ103" si="16">(AP67/90)*100</f>
        <v>0</v>
      </c>
    </row>
    <row r="68" spans="1:43" ht="43.2" x14ac:dyDescent="0.3">
      <c r="A68" s="6" t="s">
        <v>10714</v>
      </c>
      <c r="B68" s="7">
        <v>14</v>
      </c>
      <c r="C68" s="3">
        <v>21</v>
      </c>
      <c r="D68" s="11">
        <v>4</v>
      </c>
      <c r="E68" s="11">
        <v>8</v>
      </c>
      <c r="F68" s="11">
        <v>1</v>
      </c>
      <c r="G68" s="11">
        <v>1</v>
      </c>
      <c r="H68" s="11">
        <v>12</v>
      </c>
      <c r="I68" s="3">
        <f t="shared" si="12"/>
        <v>18</v>
      </c>
      <c r="J68" s="3">
        <f t="shared" si="13"/>
        <v>18</v>
      </c>
      <c r="K68" s="11">
        <v>1</v>
      </c>
      <c r="M68" t="s">
        <v>150</v>
      </c>
      <c r="N68">
        <f>COUNTIFS($B$2:$B$386,5,$D$2:$D$386,3)</f>
        <v>0</v>
      </c>
      <c r="O68" s="34">
        <f t="shared" si="11"/>
        <v>0</v>
      </c>
      <c r="U68" t="s">
        <v>45</v>
      </c>
      <c r="V68">
        <f>COUNTIFS($D$2:$D$386,7,$E$2:$E$386,7)</f>
        <v>0</v>
      </c>
      <c r="W68" s="34">
        <f t="shared" si="14"/>
        <v>0</v>
      </c>
      <c r="AG68" t="s">
        <v>1642</v>
      </c>
      <c r="AH68">
        <f>COUNTIFS($G$2:$G$386,4,$H$2:$H$386,13)</f>
        <v>0</v>
      </c>
      <c r="AI68" s="34">
        <f t="shared" si="15"/>
        <v>0</v>
      </c>
      <c r="AN68" t="s">
        <v>1641</v>
      </c>
      <c r="AO68" s="4" t="s">
        <v>39120</v>
      </c>
      <c r="AP68">
        <f>COUNTIFS($H$2:$H$386,12,$K$2:$K$386,1)</f>
        <v>1</v>
      </c>
      <c r="AQ68" s="34">
        <f t="shared" si="16"/>
        <v>1.1111111111111112</v>
      </c>
    </row>
    <row r="69" spans="1:43" ht="43.2" x14ac:dyDescent="0.3">
      <c r="A69" s="6" t="s">
        <v>10743</v>
      </c>
      <c r="B69" s="7">
        <v>14</v>
      </c>
      <c r="C69" s="3">
        <v>21</v>
      </c>
      <c r="D69" s="11">
        <v>4</v>
      </c>
      <c r="E69" s="7">
        <v>8</v>
      </c>
      <c r="F69" s="11">
        <v>1</v>
      </c>
      <c r="G69" s="11">
        <v>3</v>
      </c>
      <c r="H69" s="11">
        <v>1</v>
      </c>
      <c r="I69" s="3">
        <f t="shared" si="12"/>
        <v>1</v>
      </c>
      <c r="J69" s="3">
        <f t="shared" si="13"/>
        <v>1</v>
      </c>
      <c r="K69" s="11">
        <v>5</v>
      </c>
      <c r="M69" t="s">
        <v>25</v>
      </c>
      <c r="N69">
        <f>COUNTIFS($B$2:$B$386,5,$D$2:$D$386,4)</f>
        <v>0</v>
      </c>
      <c r="O69" s="34">
        <f t="shared" si="11"/>
        <v>0</v>
      </c>
      <c r="U69" t="s">
        <v>48</v>
      </c>
      <c r="V69">
        <f>COUNTIFS($D$2:$D$386,7,$E$2:$E$386,8)</f>
        <v>0</v>
      </c>
      <c r="W69" s="34">
        <f t="shared" si="14"/>
        <v>0</v>
      </c>
      <c r="AG69" t="s">
        <v>1643</v>
      </c>
      <c r="AH69">
        <f>COUNTIFS($G$2:$G$386,4,$H$2:$H$386,14)</f>
        <v>0</v>
      </c>
      <c r="AI69" s="34">
        <f t="shared" si="15"/>
        <v>0</v>
      </c>
      <c r="AO69" s="4" t="s">
        <v>39121</v>
      </c>
      <c r="AP69">
        <f>COUNTIFS($H$2:$H$386,12,$K$2:$K$386,2)</f>
        <v>4</v>
      </c>
      <c r="AQ69" s="34">
        <f t="shared" si="16"/>
        <v>4.4444444444444446</v>
      </c>
    </row>
    <row r="70" spans="1:43" ht="57.6" x14ac:dyDescent="0.3">
      <c r="A70" s="6" t="s">
        <v>10746</v>
      </c>
      <c r="B70" s="7">
        <v>13</v>
      </c>
      <c r="C70" s="3">
        <v>21</v>
      </c>
      <c r="D70" s="11">
        <v>1</v>
      </c>
      <c r="E70" s="7">
        <v>7</v>
      </c>
      <c r="F70" s="7">
        <v>3</v>
      </c>
      <c r="G70" s="7">
        <v>3</v>
      </c>
      <c r="H70" s="7">
        <v>17</v>
      </c>
      <c r="I70" s="3">
        <f t="shared" si="12"/>
        <v>17</v>
      </c>
      <c r="J70" s="3">
        <f t="shared" si="13"/>
        <v>17</v>
      </c>
      <c r="K70" s="7">
        <v>4</v>
      </c>
      <c r="M70" t="s">
        <v>32</v>
      </c>
      <c r="N70">
        <f>COUNTIFS($B$2:$B$386,5,$D$2:$D$386,5)</f>
        <v>0</v>
      </c>
      <c r="O70" s="34">
        <f t="shared" si="11"/>
        <v>0</v>
      </c>
      <c r="U70" t="s">
        <v>50</v>
      </c>
      <c r="V70">
        <f>COUNTIFS($D$2:$D$386,7,$E$2:$E$386,9)</f>
        <v>1</v>
      </c>
      <c r="W70" s="34">
        <f t="shared" si="14"/>
        <v>1.1111111111111112</v>
      </c>
      <c r="AG70" t="s">
        <v>1644</v>
      </c>
      <c r="AH70">
        <f>COUNTIFS($G$2:$G$386,4,$H$2:$H$386,15)</f>
        <v>0</v>
      </c>
      <c r="AI70" s="34">
        <f t="shared" si="15"/>
        <v>0</v>
      </c>
      <c r="AO70" s="4" t="s">
        <v>39125</v>
      </c>
      <c r="AP70">
        <f>COUNTIFS($H$2:$H$386,12,$K$2:$K$386,3)</f>
        <v>1</v>
      </c>
      <c r="AQ70" s="34">
        <f t="shared" si="16"/>
        <v>1.1111111111111112</v>
      </c>
    </row>
    <row r="71" spans="1:43" ht="28.8" x14ac:dyDescent="0.3">
      <c r="A71" s="6" t="s">
        <v>10685</v>
      </c>
      <c r="B71" s="7">
        <v>15</v>
      </c>
      <c r="C71" s="3">
        <v>21</v>
      </c>
      <c r="D71" s="11">
        <v>4</v>
      </c>
      <c r="E71" s="11">
        <v>7</v>
      </c>
      <c r="F71" s="11">
        <v>1</v>
      </c>
      <c r="G71" s="11">
        <v>3</v>
      </c>
      <c r="H71" s="11">
        <v>1</v>
      </c>
      <c r="I71" s="3">
        <f t="shared" si="12"/>
        <v>1</v>
      </c>
      <c r="J71" s="3">
        <f t="shared" si="13"/>
        <v>1</v>
      </c>
      <c r="K71" s="11">
        <v>5</v>
      </c>
      <c r="M71" t="s">
        <v>38</v>
      </c>
      <c r="N71">
        <f>COUNTIFS($B$2:$B$386,5,$D$2:$D$386,6)</f>
        <v>0</v>
      </c>
      <c r="O71" s="34">
        <f t="shared" si="11"/>
        <v>0</v>
      </c>
      <c r="V71" s="22">
        <f>SUM(V62:V70)</f>
        <v>2</v>
      </c>
      <c r="W71" s="35">
        <f t="shared" si="14"/>
        <v>2.2222222222222223</v>
      </c>
      <c r="AG71" t="s">
        <v>29</v>
      </c>
      <c r="AH71">
        <f>COUNTIFS($G$2:$G$386,4,$H$2:$H$386,16)</f>
        <v>0</v>
      </c>
      <c r="AI71" s="34">
        <f t="shared" si="15"/>
        <v>0</v>
      </c>
      <c r="AO71" s="4" t="s">
        <v>39122</v>
      </c>
      <c r="AP71">
        <f>COUNTIFS($H$2:$H$386,12,$K$2:$K$386,4)</f>
        <v>0</v>
      </c>
      <c r="AQ71" s="34">
        <f t="shared" si="16"/>
        <v>0</v>
      </c>
    </row>
    <row r="72" spans="1:43" ht="28.8" x14ac:dyDescent="0.3">
      <c r="A72" s="6" t="s">
        <v>10692</v>
      </c>
      <c r="B72" s="7">
        <v>12</v>
      </c>
      <c r="C72" s="3">
        <v>20</v>
      </c>
      <c r="D72" s="11">
        <v>9</v>
      </c>
      <c r="E72" s="11">
        <v>6</v>
      </c>
      <c r="F72" s="11">
        <v>1</v>
      </c>
      <c r="G72" s="11">
        <v>1</v>
      </c>
      <c r="H72" s="11">
        <v>12</v>
      </c>
      <c r="I72" s="3">
        <f t="shared" si="12"/>
        <v>18</v>
      </c>
      <c r="J72" s="3">
        <f t="shared" si="13"/>
        <v>18</v>
      </c>
      <c r="K72" s="11">
        <v>2</v>
      </c>
      <c r="M72" t="s">
        <v>151</v>
      </c>
      <c r="N72">
        <f>COUNTIFS($B$2:$B$386,5,$D$2:$D$386,7)</f>
        <v>0</v>
      </c>
      <c r="O72" s="34">
        <f t="shared" si="11"/>
        <v>0</v>
      </c>
      <c r="T72" t="s">
        <v>43</v>
      </c>
      <c r="U72" t="s">
        <v>10</v>
      </c>
      <c r="V72">
        <f>COUNTIFS($D$2:$D$386,8,$E$2:$E$386,1)</f>
        <v>1</v>
      </c>
      <c r="W72" s="34">
        <f t="shared" si="14"/>
        <v>1.1111111111111112</v>
      </c>
      <c r="AG72" t="s">
        <v>54</v>
      </c>
      <c r="AH72">
        <f>COUNTIFS($G$2:$G$386,4,$H$2:$H$386,17)</f>
        <v>0</v>
      </c>
      <c r="AI72" s="34">
        <f t="shared" si="15"/>
        <v>0</v>
      </c>
      <c r="AO72" s="4" t="s">
        <v>39123</v>
      </c>
      <c r="AP72">
        <f>COUNTIFS($H$2:$H$386,12,$K$2:$K$386,5)</f>
        <v>0</v>
      </c>
      <c r="AQ72" s="34">
        <f t="shared" si="16"/>
        <v>0</v>
      </c>
    </row>
    <row r="73" spans="1:43" x14ac:dyDescent="0.3">
      <c r="A73" s="6" t="s">
        <v>10717</v>
      </c>
      <c r="B73" s="7">
        <v>12</v>
      </c>
      <c r="C73" s="3">
        <v>20</v>
      </c>
      <c r="D73" s="11">
        <v>1</v>
      </c>
      <c r="E73" s="11">
        <v>5</v>
      </c>
      <c r="F73" s="11">
        <v>2</v>
      </c>
      <c r="G73" s="11">
        <v>3</v>
      </c>
      <c r="H73" s="11">
        <v>17</v>
      </c>
      <c r="I73" s="3">
        <f t="shared" si="12"/>
        <v>17</v>
      </c>
      <c r="J73" s="3">
        <f t="shared" si="13"/>
        <v>17</v>
      </c>
      <c r="K73" s="11">
        <v>3</v>
      </c>
      <c r="M73" t="s">
        <v>43</v>
      </c>
      <c r="N73">
        <f>COUNTIFS($B$2:$B$386,5,$D$2:$D$386,8)</f>
        <v>0</v>
      </c>
      <c r="O73" s="34">
        <f t="shared" si="11"/>
        <v>0</v>
      </c>
      <c r="U73" t="s">
        <v>17</v>
      </c>
      <c r="V73">
        <f>COUNTIFS($D$2:$D$386,8,$E$2:$E$386,2)</f>
        <v>0</v>
      </c>
      <c r="W73" s="34">
        <f t="shared" si="14"/>
        <v>0</v>
      </c>
      <c r="AH73" s="23">
        <f>SUM(AH56:AH72)</f>
        <v>0</v>
      </c>
      <c r="AI73" s="37">
        <f t="shared" si="15"/>
        <v>0</v>
      </c>
      <c r="AP73" s="23">
        <f>SUM(AP68:AP72)</f>
        <v>6</v>
      </c>
      <c r="AQ73" s="37">
        <f t="shared" si="16"/>
        <v>6.666666666666667</v>
      </c>
    </row>
    <row r="74" spans="1:43" ht="43.2" x14ac:dyDescent="0.3">
      <c r="A74" s="6" t="s">
        <v>10706</v>
      </c>
      <c r="B74" s="7">
        <v>13</v>
      </c>
      <c r="C74" s="3">
        <v>21</v>
      </c>
      <c r="D74" s="11">
        <v>4</v>
      </c>
      <c r="E74" s="11">
        <v>8</v>
      </c>
      <c r="F74" s="11">
        <v>1</v>
      </c>
      <c r="G74" s="11">
        <v>3</v>
      </c>
      <c r="H74" s="11">
        <v>1</v>
      </c>
      <c r="I74" s="3">
        <f t="shared" si="12"/>
        <v>1</v>
      </c>
      <c r="J74" s="3">
        <f t="shared" si="13"/>
        <v>1</v>
      </c>
      <c r="K74" s="11">
        <v>5</v>
      </c>
      <c r="M74" t="s">
        <v>46</v>
      </c>
      <c r="N74">
        <f>COUNTIFS($B$2:$B$386,5,$D$2:$D$386,9)</f>
        <v>0</v>
      </c>
      <c r="O74" s="34">
        <f t="shared" si="11"/>
        <v>0</v>
      </c>
      <c r="U74" t="s">
        <v>24</v>
      </c>
      <c r="V74">
        <f>COUNTIFS($D$2:$D$386,8,$E$2:$E$386,3)</f>
        <v>1</v>
      </c>
      <c r="W74" s="34">
        <f t="shared" si="14"/>
        <v>1.1111111111111112</v>
      </c>
      <c r="AN74" t="s">
        <v>1642</v>
      </c>
      <c r="AO74" s="4" t="s">
        <v>39120</v>
      </c>
      <c r="AP74">
        <f>COUNTIFS($H$2:$H$386,13,$K$2:$K$386,1)</f>
        <v>0</v>
      </c>
      <c r="AQ74" s="34">
        <f t="shared" si="16"/>
        <v>0</v>
      </c>
    </row>
    <row r="75" spans="1:43" ht="43.2" x14ac:dyDescent="0.3">
      <c r="A75" s="6" t="s">
        <v>10730</v>
      </c>
      <c r="B75" s="7">
        <v>15</v>
      </c>
      <c r="C75" s="3">
        <v>21</v>
      </c>
      <c r="D75" s="11">
        <v>4</v>
      </c>
      <c r="E75" s="11">
        <v>3</v>
      </c>
      <c r="F75" s="7">
        <v>3</v>
      </c>
      <c r="G75" s="7">
        <v>3</v>
      </c>
      <c r="H75" s="7">
        <v>17</v>
      </c>
      <c r="I75" s="3">
        <f t="shared" si="12"/>
        <v>17</v>
      </c>
      <c r="J75" s="3">
        <f t="shared" si="13"/>
        <v>17</v>
      </c>
      <c r="K75" s="7">
        <v>4</v>
      </c>
      <c r="M75" t="s">
        <v>152</v>
      </c>
      <c r="N75">
        <f>COUNTIFS($B$2:$B$386,5,$D$2:$D$386,10)</f>
        <v>0</v>
      </c>
      <c r="O75" s="34">
        <f t="shared" si="11"/>
        <v>0</v>
      </c>
      <c r="U75" t="s">
        <v>31</v>
      </c>
      <c r="V75">
        <f>COUNTIFS($D$2:$D$386,8,$E$2:$E$386,4)</f>
        <v>1</v>
      </c>
      <c r="W75" s="34">
        <f t="shared" si="14"/>
        <v>1.1111111111111112</v>
      </c>
      <c r="AO75" s="4" t="s">
        <v>39121</v>
      </c>
      <c r="AP75">
        <f>COUNTIFS($H$2:$H$386,13,$K$2:$K$386,2)</f>
        <v>0</v>
      </c>
      <c r="AQ75" s="34">
        <f t="shared" si="16"/>
        <v>0</v>
      </c>
    </row>
    <row r="76" spans="1:43" ht="57.6" x14ac:dyDescent="0.3">
      <c r="A76" s="6" t="s">
        <v>10744</v>
      </c>
      <c r="B76" s="7">
        <v>14</v>
      </c>
      <c r="C76" s="3">
        <v>21</v>
      </c>
      <c r="D76" s="11">
        <v>6</v>
      </c>
      <c r="E76" s="11">
        <v>4</v>
      </c>
      <c r="F76" s="11">
        <v>1</v>
      </c>
      <c r="G76" s="11">
        <v>3</v>
      </c>
      <c r="H76" s="11">
        <v>1</v>
      </c>
      <c r="I76" s="3">
        <f t="shared" si="12"/>
        <v>1</v>
      </c>
      <c r="J76" s="3">
        <f t="shared" si="13"/>
        <v>1</v>
      </c>
      <c r="K76" s="11">
        <v>5</v>
      </c>
      <c r="M76" t="s">
        <v>49</v>
      </c>
      <c r="N76">
        <f>COUNTIFS($B$2:$B$386,5,$D$2:$D$386,11)</f>
        <v>0</v>
      </c>
      <c r="O76" s="34">
        <f t="shared" si="11"/>
        <v>0</v>
      </c>
      <c r="U76" t="s">
        <v>37</v>
      </c>
      <c r="V76">
        <f>COUNTIFS($D$2:$D$386,8,$E$2:$E$386,5)</f>
        <v>0</v>
      </c>
      <c r="W76" s="34">
        <f t="shared" si="14"/>
        <v>0</v>
      </c>
      <c r="AO76" s="4" t="s">
        <v>39125</v>
      </c>
      <c r="AP76">
        <f>COUNTIFS($H$2:$H$386,13,$K$2:$K$386,3)</f>
        <v>0</v>
      </c>
      <c r="AQ76" s="34">
        <f t="shared" si="16"/>
        <v>0</v>
      </c>
    </row>
    <row r="77" spans="1:43" ht="28.8" x14ac:dyDescent="0.3">
      <c r="A77" s="6" t="s">
        <v>10728</v>
      </c>
      <c r="B77" s="7">
        <v>13</v>
      </c>
      <c r="C77" s="3">
        <v>21</v>
      </c>
      <c r="D77" s="11">
        <v>9</v>
      </c>
      <c r="E77" s="7">
        <v>3</v>
      </c>
      <c r="F77" s="11">
        <v>2</v>
      </c>
      <c r="G77" s="11">
        <v>3</v>
      </c>
      <c r="H77" s="11">
        <v>17</v>
      </c>
      <c r="I77" s="3">
        <f t="shared" si="12"/>
        <v>17</v>
      </c>
      <c r="J77" s="3">
        <f t="shared" si="13"/>
        <v>17</v>
      </c>
      <c r="K77" s="11">
        <v>4</v>
      </c>
      <c r="M77" t="s">
        <v>51</v>
      </c>
      <c r="N77">
        <f>COUNTIFS($B$2:$B$386,5,$D$2:$D$386,12)</f>
        <v>0</v>
      </c>
      <c r="O77" s="34">
        <f t="shared" si="11"/>
        <v>0</v>
      </c>
      <c r="U77" t="s">
        <v>42</v>
      </c>
      <c r="V77">
        <f>COUNTIFS($D$2:$D$386,8,$E$2:$E$386,6)</f>
        <v>1</v>
      </c>
      <c r="W77" s="34">
        <f t="shared" si="14"/>
        <v>1.1111111111111112</v>
      </c>
      <c r="AO77" s="4" t="s">
        <v>39122</v>
      </c>
      <c r="AP77">
        <f>COUNTIFS($H$2:$H$386,13,$K$2:$K$386,4)</f>
        <v>0</v>
      </c>
      <c r="AQ77" s="34">
        <f t="shared" si="16"/>
        <v>0</v>
      </c>
    </row>
    <row r="78" spans="1:43" ht="28.8" x14ac:dyDescent="0.3">
      <c r="A78" s="6" t="s">
        <v>10737</v>
      </c>
      <c r="B78" s="7">
        <v>9</v>
      </c>
      <c r="C78" s="3">
        <v>20</v>
      </c>
      <c r="D78" s="11">
        <v>4</v>
      </c>
      <c r="E78" s="11">
        <v>3</v>
      </c>
      <c r="F78" s="11">
        <v>1</v>
      </c>
      <c r="G78" s="11">
        <v>1</v>
      </c>
      <c r="H78" s="11">
        <v>6</v>
      </c>
      <c r="I78" s="3">
        <f t="shared" si="12"/>
        <v>18</v>
      </c>
      <c r="J78" s="3">
        <f t="shared" si="13"/>
        <v>18</v>
      </c>
      <c r="K78" s="11">
        <v>1</v>
      </c>
      <c r="M78" t="s">
        <v>153</v>
      </c>
      <c r="N78">
        <f>COUNTIFS($B$2:$B$386,5,$D$2:$D$386,13)</f>
        <v>0</v>
      </c>
      <c r="O78" s="34">
        <f t="shared" si="11"/>
        <v>0</v>
      </c>
      <c r="U78" t="s">
        <v>45</v>
      </c>
      <c r="V78">
        <f>COUNTIFS($D$2:$D$386,8,$E$2:$E$386,7)</f>
        <v>0</v>
      </c>
      <c r="W78" s="34">
        <f t="shared" si="14"/>
        <v>0</v>
      </c>
      <c r="AO78" s="4" t="s">
        <v>39123</v>
      </c>
      <c r="AP78">
        <f>COUNTIFS($H$2:$H$386,13,$K$2:$K$386,5)</f>
        <v>0</v>
      </c>
      <c r="AQ78" s="34">
        <f t="shared" si="16"/>
        <v>0</v>
      </c>
    </row>
    <row r="79" spans="1:43" x14ac:dyDescent="0.3">
      <c r="A79" s="6" t="s">
        <v>10709</v>
      </c>
      <c r="B79" s="7">
        <v>13</v>
      </c>
      <c r="C79" s="3">
        <v>21</v>
      </c>
      <c r="D79" s="11">
        <v>1</v>
      </c>
      <c r="E79" s="11">
        <v>8</v>
      </c>
      <c r="F79" s="11">
        <v>1</v>
      </c>
      <c r="G79" s="11">
        <v>1</v>
      </c>
      <c r="H79" s="11">
        <v>6</v>
      </c>
      <c r="I79" s="3">
        <f t="shared" si="12"/>
        <v>18</v>
      </c>
      <c r="J79" s="3">
        <f t="shared" si="13"/>
        <v>18</v>
      </c>
      <c r="K79" s="11">
        <v>1</v>
      </c>
      <c r="M79" t="s">
        <v>154</v>
      </c>
      <c r="N79">
        <f>COUNTIFS($B$2:$B$386,5,$D$2:$D$386,14)</f>
        <v>0</v>
      </c>
      <c r="O79" s="34">
        <f t="shared" si="11"/>
        <v>0</v>
      </c>
      <c r="U79" t="s">
        <v>48</v>
      </c>
      <c r="V79">
        <f>COUNTIFS($D$2:$D$386,8,$E$2:$E$386,8)</f>
        <v>2</v>
      </c>
      <c r="W79" s="34">
        <f t="shared" si="14"/>
        <v>2.2222222222222223</v>
      </c>
      <c r="AP79" s="23">
        <f>SUM(AP74:AP78)</f>
        <v>0</v>
      </c>
      <c r="AQ79" s="37">
        <f t="shared" si="16"/>
        <v>0</v>
      </c>
    </row>
    <row r="80" spans="1:43" ht="43.2" x14ac:dyDescent="0.3">
      <c r="A80" s="6" t="s">
        <v>10755</v>
      </c>
      <c r="B80" s="7">
        <v>14</v>
      </c>
      <c r="C80" s="3">
        <v>21</v>
      </c>
      <c r="D80" s="11">
        <v>1</v>
      </c>
      <c r="E80" s="11">
        <v>8</v>
      </c>
      <c r="F80" s="11">
        <v>1</v>
      </c>
      <c r="G80" s="11">
        <v>3</v>
      </c>
      <c r="H80" s="11">
        <v>1</v>
      </c>
      <c r="I80" s="3">
        <f t="shared" si="12"/>
        <v>1</v>
      </c>
      <c r="J80" s="3">
        <f t="shared" si="13"/>
        <v>1</v>
      </c>
      <c r="K80" s="11">
        <v>5</v>
      </c>
      <c r="M80" t="s">
        <v>52</v>
      </c>
      <c r="N80">
        <f>COUNTIFS($B$2:$B$386,5,$D$2:$D$386,15)</f>
        <v>0</v>
      </c>
      <c r="O80" s="34">
        <f t="shared" si="11"/>
        <v>0</v>
      </c>
      <c r="U80" t="s">
        <v>50</v>
      </c>
      <c r="V80">
        <f>COUNTIFS($D$2:$D$386,8,$E$2:$E$386,9)</f>
        <v>0</v>
      </c>
      <c r="W80" s="34">
        <f t="shared" si="14"/>
        <v>0</v>
      </c>
      <c r="AN80" t="s">
        <v>1643</v>
      </c>
      <c r="AO80" s="4" t="s">
        <v>39120</v>
      </c>
      <c r="AP80">
        <f>COUNTIFS($H$2:$H$386,14,$K$2:$K$386,1)</f>
        <v>0</v>
      </c>
      <c r="AQ80" s="34">
        <f t="shared" si="16"/>
        <v>0</v>
      </c>
    </row>
    <row r="81" spans="1:43" ht="43.2" x14ac:dyDescent="0.3">
      <c r="A81" s="6" t="s">
        <v>10679</v>
      </c>
      <c r="B81" s="7">
        <v>12</v>
      </c>
      <c r="C81" s="3">
        <v>20</v>
      </c>
      <c r="D81" s="11">
        <v>1</v>
      </c>
      <c r="E81" s="11">
        <v>3</v>
      </c>
      <c r="F81" s="11">
        <v>2</v>
      </c>
      <c r="G81" s="11">
        <v>3</v>
      </c>
      <c r="H81" s="11">
        <v>9</v>
      </c>
      <c r="I81" s="3">
        <f t="shared" si="12"/>
        <v>9</v>
      </c>
      <c r="J81" s="3">
        <f t="shared" si="13"/>
        <v>19</v>
      </c>
      <c r="K81" s="11">
        <v>3</v>
      </c>
      <c r="N81" s="22">
        <f>SUM(N66:N80)</f>
        <v>1</v>
      </c>
      <c r="O81" s="35">
        <f t="shared" si="11"/>
        <v>1.1111111111111112</v>
      </c>
      <c r="V81" s="22">
        <f>SUM(V72:V80)</f>
        <v>6</v>
      </c>
      <c r="W81" s="35">
        <f t="shared" si="14"/>
        <v>6.666666666666667</v>
      </c>
      <c r="AO81" s="4" t="s">
        <v>39121</v>
      </c>
      <c r="AP81">
        <f>COUNTIFS($H$2:$H$386,14,$K$2:$K$386,2)</f>
        <v>0</v>
      </c>
      <c r="AQ81" s="34">
        <f t="shared" si="16"/>
        <v>0</v>
      </c>
    </row>
    <row r="82" spans="1:43" ht="57.6" x14ac:dyDescent="0.3">
      <c r="A82" s="6" t="s">
        <v>10715</v>
      </c>
      <c r="B82" s="7">
        <v>16</v>
      </c>
      <c r="C82" s="3">
        <v>21</v>
      </c>
      <c r="D82" s="11">
        <v>1</v>
      </c>
      <c r="E82" s="11">
        <v>5</v>
      </c>
      <c r="F82" s="11">
        <v>2</v>
      </c>
      <c r="G82" s="11">
        <v>2</v>
      </c>
      <c r="H82" s="11">
        <v>12</v>
      </c>
      <c r="I82" s="3">
        <f t="shared" si="12"/>
        <v>18</v>
      </c>
      <c r="J82" s="3">
        <f t="shared" si="13"/>
        <v>18</v>
      </c>
      <c r="K82" s="11">
        <v>3</v>
      </c>
      <c r="L82">
        <v>2014</v>
      </c>
      <c r="M82" t="s">
        <v>11</v>
      </c>
      <c r="N82">
        <f>COUNTIFS($B$2:$B$386,6,$D$2:$D$386,1)</f>
        <v>0</v>
      </c>
      <c r="O82" s="34">
        <f t="shared" si="11"/>
        <v>0</v>
      </c>
      <c r="T82" t="s">
        <v>46</v>
      </c>
      <c r="U82" t="s">
        <v>10</v>
      </c>
      <c r="V82">
        <f>COUNTIFS($D$2:$D$386,9,$E$2:$E$386,1)</f>
        <v>0</v>
      </c>
      <c r="W82" s="34">
        <f t="shared" si="14"/>
        <v>0</v>
      </c>
      <c r="AO82" s="4" t="s">
        <v>39125</v>
      </c>
      <c r="AP82">
        <f>COUNTIFS($H$2:$H$386,14,$K$2:$K$386,3)</f>
        <v>0</v>
      </c>
      <c r="AQ82" s="34">
        <f t="shared" si="16"/>
        <v>0</v>
      </c>
    </row>
    <row r="83" spans="1:43" ht="28.8" x14ac:dyDescent="0.3">
      <c r="A83" s="6" t="s">
        <v>10705</v>
      </c>
      <c r="B83" s="7">
        <v>12</v>
      </c>
      <c r="C83" s="3">
        <v>20</v>
      </c>
      <c r="D83" s="11">
        <v>15</v>
      </c>
      <c r="E83" s="11">
        <v>8</v>
      </c>
      <c r="F83" s="11">
        <v>2</v>
      </c>
      <c r="G83" s="11">
        <v>2</v>
      </c>
      <c r="H83" s="11">
        <v>17</v>
      </c>
      <c r="I83" s="3">
        <f t="shared" si="12"/>
        <v>17</v>
      </c>
      <c r="J83" s="3">
        <f t="shared" si="13"/>
        <v>17</v>
      </c>
      <c r="K83" s="11">
        <v>4</v>
      </c>
      <c r="M83" t="s">
        <v>18</v>
      </c>
      <c r="N83">
        <f>COUNTIFS($B$2:$B$386,6,$D$2:$D$386,2)</f>
        <v>0</v>
      </c>
      <c r="O83" s="34">
        <f t="shared" ref="O83:O146" si="17">(N83/90)*100</f>
        <v>0</v>
      </c>
      <c r="U83" t="s">
        <v>17</v>
      </c>
      <c r="V83">
        <f>COUNTIFS($D$2:$D$386,9,$E$2:$E$386,2)</f>
        <v>0</v>
      </c>
      <c r="W83" s="34">
        <f t="shared" si="14"/>
        <v>0</v>
      </c>
      <c r="AO83" s="4" t="s">
        <v>39122</v>
      </c>
      <c r="AP83">
        <f>COUNTIFS($H$2:$H$386,14,$K$2:$K$386,4)</f>
        <v>0</v>
      </c>
      <c r="AQ83" s="34">
        <f t="shared" si="16"/>
        <v>0</v>
      </c>
    </row>
    <row r="84" spans="1:43" ht="28.8" x14ac:dyDescent="0.3">
      <c r="A84" s="6" t="s">
        <v>10738</v>
      </c>
      <c r="B84" s="7">
        <v>13</v>
      </c>
      <c r="C84" s="3">
        <v>21</v>
      </c>
      <c r="D84" s="11">
        <v>7</v>
      </c>
      <c r="E84" s="7">
        <v>3</v>
      </c>
      <c r="F84" s="7">
        <v>2</v>
      </c>
      <c r="G84" s="7">
        <v>2</v>
      </c>
      <c r="H84" s="7">
        <v>17</v>
      </c>
      <c r="I84" s="3">
        <f t="shared" si="12"/>
        <v>17</v>
      </c>
      <c r="J84" s="3">
        <f t="shared" si="13"/>
        <v>17</v>
      </c>
      <c r="K84" s="7">
        <v>4</v>
      </c>
      <c r="M84" t="s">
        <v>150</v>
      </c>
      <c r="N84">
        <f>COUNTIFS($B$2:$B$386,6,$D$2:$D$386,3)</f>
        <v>0</v>
      </c>
      <c r="O84" s="34">
        <f t="shared" si="17"/>
        <v>0</v>
      </c>
      <c r="U84" t="s">
        <v>24</v>
      </c>
      <c r="V84">
        <f>COUNTIFS($D$2:$D$386,9,$E$2:$E$386,3)</f>
        <v>2</v>
      </c>
      <c r="W84" s="34">
        <f t="shared" si="14"/>
        <v>2.2222222222222223</v>
      </c>
      <c r="AO84" s="4" t="s">
        <v>39123</v>
      </c>
      <c r="AP84">
        <f>COUNTIFS($H$2:$H$386,14,$K$2:$K$386,5)</f>
        <v>0</v>
      </c>
      <c r="AQ84" s="34">
        <f t="shared" si="16"/>
        <v>0</v>
      </c>
    </row>
    <row r="85" spans="1:43" x14ac:dyDescent="0.3">
      <c r="A85" s="6" t="s">
        <v>10735</v>
      </c>
      <c r="B85" s="7">
        <v>11</v>
      </c>
      <c r="C85" s="3">
        <v>20</v>
      </c>
      <c r="D85" s="11">
        <v>4</v>
      </c>
      <c r="E85" s="11">
        <v>3</v>
      </c>
      <c r="F85" s="11">
        <v>3</v>
      </c>
      <c r="G85" s="11">
        <v>3</v>
      </c>
      <c r="H85" s="11">
        <v>17</v>
      </c>
      <c r="I85" s="3">
        <f t="shared" si="12"/>
        <v>17</v>
      </c>
      <c r="J85" s="3">
        <f t="shared" si="13"/>
        <v>17</v>
      </c>
      <c r="K85" s="11">
        <v>4</v>
      </c>
      <c r="M85" t="s">
        <v>25</v>
      </c>
      <c r="N85">
        <f>COUNTIFS($B$2:$B$386,6,$D$2:$D$386,4)</f>
        <v>0</v>
      </c>
      <c r="O85" s="34">
        <f t="shared" si="17"/>
        <v>0</v>
      </c>
      <c r="U85" t="s">
        <v>31</v>
      </c>
      <c r="V85">
        <f>COUNTIFS($D$2:$D$386,9,$E$2:$E$386,4)</f>
        <v>0</v>
      </c>
      <c r="W85" s="34">
        <f t="shared" si="14"/>
        <v>0</v>
      </c>
      <c r="AP85" s="23">
        <f>SUM(AP80:AP84)</f>
        <v>0</v>
      </c>
      <c r="AQ85" s="37">
        <f t="shared" si="16"/>
        <v>0</v>
      </c>
    </row>
    <row r="86" spans="1:43" ht="43.2" x14ac:dyDescent="0.3">
      <c r="A86" s="6" t="s">
        <v>10680</v>
      </c>
      <c r="B86" s="7">
        <v>4</v>
      </c>
      <c r="C86" s="3">
        <v>18</v>
      </c>
      <c r="D86" s="7">
        <v>6</v>
      </c>
      <c r="E86" s="11">
        <v>1</v>
      </c>
      <c r="F86" s="7">
        <v>1</v>
      </c>
      <c r="G86" s="7">
        <v>3</v>
      </c>
      <c r="H86" s="7">
        <v>1</v>
      </c>
      <c r="I86" s="3">
        <f t="shared" si="12"/>
        <v>1</v>
      </c>
      <c r="J86" s="3">
        <f t="shared" si="13"/>
        <v>1</v>
      </c>
      <c r="K86" s="7">
        <v>5</v>
      </c>
      <c r="M86" t="s">
        <v>32</v>
      </c>
      <c r="N86">
        <f>COUNTIFS($B$2:$B$386,6,$D$2:$D$386,5)</f>
        <v>0</v>
      </c>
      <c r="O86" s="34">
        <f t="shared" si="17"/>
        <v>0</v>
      </c>
      <c r="U86" t="s">
        <v>37</v>
      </c>
      <c r="V86">
        <f>COUNTIFS($D$2:$D$386,9,$E$2:$E$386,5)</f>
        <v>0</v>
      </c>
      <c r="W86" s="34">
        <f t="shared" si="14"/>
        <v>0</v>
      </c>
      <c r="AN86" t="s">
        <v>1644</v>
      </c>
      <c r="AO86" s="4" t="s">
        <v>39120</v>
      </c>
      <c r="AP86">
        <f>COUNTIFS($H$2:$H$386,15,$K$2:$K$386,1)</f>
        <v>0</v>
      </c>
      <c r="AQ86" s="34">
        <f t="shared" si="16"/>
        <v>0</v>
      </c>
    </row>
    <row r="87" spans="1:43" ht="43.2" x14ac:dyDescent="0.3">
      <c r="A87" s="6" t="s">
        <v>10733</v>
      </c>
      <c r="B87" s="7">
        <v>16</v>
      </c>
      <c r="C87" s="3">
        <v>21</v>
      </c>
      <c r="D87" s="11">
        <v>1</v>
      </c>
      <c r="E87" s="7">
        <v>3</v>
      </c>
      <c r="F87" s="7">
        <v>3</v>
      </c>
      <c r="G87" s="7">
        <v>3</v>
      </c>
      <c r="H87" s="7">
        <v>17</v>
      </c>
      <c r="I87" s="3">
        <f t="shared" si="12"/>
        <v>17</v>
      </c>
      <c r="J87" s="3">
        <f t="shared" si="13"/>
        <v>17</v>
      </c>
      <c r="K87" s="7">
        <v>4</v>
      </c>
      <c r="M87" t="s">
        <v>38</v>
      </c>
      <c r="N87">
        <f>COUNTIFS($B$2:$B$386,6,$D$2:$D$386,6)</f>
        <v>0</v>
      </c>
      <c r="O87" s="34">
        <f t="shared" si="17"/>
        <v>0</v>
      </c>
      <c r="U87" t="s">
        <v>42</v>
      </c>
      <c r="V87">
        <f>COUNTIFS($D$2:$D$386,9,$E$2:$E$386,6)</f>
        <v>1</v>
      </c>
      <c r="W87" s="34">
        <f t="shared" si="14"/>
        <v>1.1111111111111112</v>
      </c>
      <c r="AO87" s="4" t="s">
        <v>39121</v>
      </c>
      <c r="AP87">
        <f>COUNTIFS($H$2:$H$386,15,$K$2:$K$386,2)</f>
        <v>0</v>
      </c>
      <c r="AQ87" s="34">
        <f t="shared" si="16"/>
        <v>0</v>
      </c>
    </row>
    <row r="88" spans="1:43" ht="57.6" x14ac:dyDescent="0.3">
      <c r="A88" s="6" t="s">
        <v>10745</v>
      </c>
      <c r="B88" s="7">
        <v>15</v>
      </c>
      <c r="C88" s="3">
        <v>21</v>
      </c>
      <c r="D88" s="11">
        <v>1</v>
      </c>
      <c r="E88" s="11">
        <v>8</v>
      </c>
      <c r="F88" s="7">
        <v>2</v>
      </c>
      <c r="G88" s="7">
        <v>2</v>
      </c>
      <c r="H88" s="7">
        <v>16</v>
      </c>
      <c r="I88" s="3">
        <f t="shared" si="12"/>
        <v>16</v>
      </c>
      <c r="J88" s="3">
        <f t="shared" si="13"/>
        <v>16</v>
      </c>
      <c r="K88" s="7">
        <v>3</v>
      </c>
      <c r="M88" t="s">
        <v>151</v>
      </c>
      <c r="N88">
        <f>COUNTIFS($B$2:$B$386,6,$D$2:$D$386,7)</f>
        <v>0</v>
      </c>
      <c r="O88" s="34">
        <f t="shared" si="17"/>
        <v>0</v>
      </c>
      <c r="U88" t="s">
        <v>45</v>
      </c>
      <c r="V88">
        <f>COUNTIFS($D$2:$D$386,9,$E$2:$E$386,7)</f>
        <v>0</v>
      </c>
      <c r="W88" s="34">
        <f t="shared" si="14"/>
        <v>0</v>
      </c>
      <c r="AO88" s="4" t="s">
        <v>39125</v>
      </c>
      <c r="AP88">
        <f>COUNTIFS($H$2:$H$386,15,$K$2:$K$386,3)</f>
        <v>0</v>
      </c>
      <c r="AQ88" s="34">
        <f t="shared" si="16"/>
        <v>0</v>
      </c>
    </row>
    <row r="89" spans="1:43" ht="28.8" x14ac:dyDescent="0.3">
      <c r="A89" s="6" t="s">
        <v>10716</v>
      </c>
      <c r="B89" s="7">
        <v>14</v>
      </c>
      <c r="C89" s="3">
        <v>21</v>
      </c>
      <c r="D89" s="11">
        <v>4</v>
      </c>
      <c r="E89" s="11">
        <v>1</v>
      </c>
      <c r="F89" s="11">
        <v>1</v>
      </c>
      <c r="G89" s="11">
        <v>3</v>
      </c>
      <c r="H89" s="11">
        <v>2</v>
      </c>
      <c r="I89" s="3">
        <f t="shared" si="12"/>
        <v>2</v>
      </c>
      <c r="J89" s="3">
        <f t="shared" si="13"/>
        <v>2</v>
      </c>
      <c r="K89" s="11">
        <v>5</v>
      </c>
      <c r="M89" t="s">
        <v>43</v>
      </c>
      <c r="N89">
        <f>COUNTIFS($B$2:$B$386,6,$D$2:$D$386,8)</f>
        <v>1</v>
      </c>
      <c r="O89" s="34">
        <f t="shared" si="17"/>
        <v>1.1111111111111112</v>
      </c>
      <c r="U89" t="s">
        <v>48</v>
      </c>
      <c r="V89">
        <f>COUNTIFS($D$2:$D$386,9,$E$2:$E$386,8)</f>
        <v>0</v>
      </c>
      <c r="W89" s="34">
        <f t="shared" si="14"/>
        <v>0</v>
      </c>
      <c r="AO89" s="4" t="s">
        <v>39122</v>
      </c>
      <c r="AP89">
        <f>COUNTIFS($H$2:$H$386,15,$K$2:$K$386,4)</f>
        <v>0</v>
      </c>
      <c r="AQ89" s="34">
        <f t="shared" si="16"/>
        <v>0</v>
      </c>
    </row>
    <row r="90" spans="1:43" ht="28.8" x14ac:dyDescent="0.3">
      <c r="A90" s="6" t="s">
        <v>10721</v>
      </c>
      <c r="B90" s="7">
        <v>12</v>
      </c>
      <c r="C90" s="3">
        <v>20</v>
      </c>
      <c r="D90" s="11">
        <v>1</v>
      </c>
      <c r="E90" s="7">
        <v>3</v>
      </c>
      <c r="F90" s="7">
        <v>3</v>
      </c>
      <c r="G90" s="7">
        <v>3</v>
      </c>
      <c r="H90" s="7">
        <v>17</v>
      </c>
      <c r="I90" s="3">
        <f t="shared" si="12"/>
        <v>17</v>
      </c>
      <c r="J90" s="3">
        <f t="shared" si="13"/>
        <v>17</v>
      </c>
      <c r="K90" s="7">
        <v>4</v>
      </c>
      <c r="M90" t="s">
        <v>46</v>
      </c>
      <c r="N90">
        <f>COUNTIFS($B$2:$B$386,6,$D$2:$D$386,9)</f>
        <v>0</v>
      </c>
      <c r="O90" s="34">
        <f t="shared" si="17"/>
        <v>0</v>
      </c>
      <c r="U90" t="s">
        <v>50</v>
      </c>
      <c r="V90">
        <f>COUNTIFS($D$2:$D$386,9,$E$2:$E$386,9)</f>
        <v>0</v>
      </c>
      <c r="W90" s="34">
        <f t="shared" si="14"/>
        <v>0</v>
      </c>
      <c r="AO90" s="4" t="s">
        <v>39123</v>
      </c>
      <c r="AP90">
        <f>COUNTIFS($H$2:$H$386,15,$K$2:$K$386,5)</f>
        <v>0</v>
      </c>
      <c r="AQ90" s="34">
        <f t="shared" si="16"/>
        <v>0</v>
      </c>
    </row>
    <row r="91" spans="1:43" x14ac:dyDescent="0.3">
      <c r="A91" s="6" t="s">
        <v>10753</v>
      </c>
      <c r="B91" s="7">
        <v>16</v>
      </c>
      <c r="C91" s="3">
        <v>21</v>
      </c>
      <c r="D91" s="11">
        <v>4</v>
      </c>
      <c r="E91" s="11">
        <v>3</v>
      </c>
      <c r="F91" s="11">
        <v>2</v>
      </c>
      <c r="G91" s="11">
        <v>3</v>
      </c>
      <c r="H91" s="11">
        <v>17</v>
      </c>
      <c r="I91" s="3">
        <f t="shared" si="12"/>
        <v>17</v>
      </c>
      <c r="J91" s="3">
        <f t="shared" si="13"/>
        <v>17</v>
      </c>
      <c r="K91" s="11">
        <v>4</v>
      </c>
      <c r="M91" t="s">
        <v>152</v>
      </c>
      <c r="N91">
        <f>COUNTIFS($B$2:$B$386,6,$D$2:$D$386,10)</f>
        <v>0</v>
      </c>
      <c r="O91" s="34">
        <f t="shared" si="17"/>
        <v>0</v>
      </c>
      <c r="V91" s="22">
        <f>SUM(V82:V90)</f>
        <v>3</v>
      </c>
      <c r="W91" s="35">
        <f t="shared" si="14"/>
        <v>3.3333333333333335</v>
      </c>
      <c r="AP91" s="23">
        <f>SUM(AP86:AP90)</f>
        <v>0</v>
      </c>
      <c r="AQ91" s="37">
        <f t="shared" si="16"/>
        <v>0</v>
      </c>
    </row>
    <row r="92" spans="1:43" ht="43.2" x14ac:dyDescent="0.3">
      <c r="M92" t="s">
        <v>49</v>
      </c>
      <c r="N92">
        <f>COUNTIFS($B$2:$B$386,6,$D$2:$D$386,11)</f>
        <v>0</v>
      </c>
      <c r="O92" s="34">
        <f t="shared" si="17"/>
        <v>0</v>
      </c>
      <c r="T92" t="s">
        <v>152</v>
      </c>
      <c r="U92" t="s">
        <v>10</v>
      </c>
      <c r="V92">
        <f>COUNTIFS($D$2:$D$386,10,$E$2:$E$386,1)</f>
        <v>0</v>
      </c>
      <c r="W92" s="34">
        <f t="shared" si="14"/>
        <v>0</v>
      </c>
      <c r="AN92" t="s">
        <v>29</v>
      </c>
      <c r="AO92" s="4" t="s">
        <v>39120</v>
      </c>
      <c r="AP92">
        <f>COUNTIFS($H$2:$H$386,16,$K$2:$K$386,1)</f>
        <v>0</v>
      </c>
      <c r="AQ92" s="34">
        <f t="shared" si="16"/>
        <v>0</v>
      </c>
    </row>
    <row r="93" spans="1:43" ht="43.2" x14ac:dyDescent="0.3">
      <c r="M93" t="s">
        <v>51</v>
      </c>
      <c r="N93">
        <f>COUNTIFS($B$2:$B$386,6,$D$2:$D$386,12)</f>
        <v>0</v>
      </c>
      <c r="O93" s="34">
        <f t="shared" si="17"/>
        <v>0</v>
      </c>
      <c r="U93" t="s">
        <v>17</v>
      </c>
      <c r="V93">
        <f>COUNTIFS($D$2:$D$386,10,$E$2:$E$386,2)</f>
        <v>0</v>
      </c>
      <c r="W93" s="34">
        <f t="shared" si="14"/>
        <v>0</v>
      </c>
      <c r="AO93" s="4" t="s">
        <v>39121</v>
      </c>
      <c r="AP93">
        <f>COUNTIFS($H$2:$H$386,16,$K$2:$K$386,2)</f>
        <v>0</v>
      </c>
      <c r="AQ93" s="34">
        <f t="shared" si="16"/>
        <v>0</v>
      </c>
    </row>
    <row r="94" spans="1:43" ht="57.6" x14ac:dyDescent="0.3">
      <c r="M94" t="s">
        <v>153</v>
      </c>
      <c r="N94">
        <f>COUNTIFS($B$2:$B$386,6,$D$2:$D$386,13)</f>
        <v>0</v>
      </c>
      <c r="O94" s="34">
        <f t="shared" si="17"/>
        <v>0</v>
      </c>
      <c r="U94" t="s">
        <v>24</v>
      </c>
      <c r="V94">
        <f>COUNTIFS($D$2:$D$386,10,$E$2:$E$386,3)</f>
        <v>0</v>
      </c>
      <c r="W94" s="34">
        <f t="shared" si="14"/>
        <v>0</v>
      </c>
      <c r="AO94" s="4" t="s">
        <v>39125</v>
      </c>
      <c r="AP94">
        <f>COUNTIFS($H$2:$H$386,16,$K$2:$K$386,3)</f>
        <v>8</v>
      </c>
      <c r="AQ94" s="34">
        <f t="shared" si="16"/>
        <v>8.8888888888888893</v>
      </c>
    </row>
    <row r="95" spans="1:43" ht="28.8" x14ac:dyDescent="0.3">
      <c r="M95" t="s">
        <v>154</v>
      </c>
      <c r="N95">
        <f>COUNTIFS($B$2:$B$386,6,$D$2:$D$386,14)</f>
        <v>0</v>
      </c>
      <c r="O95" s="34">
        <f t="shared" si="17"/>
        <v>0</v>
      </c>
      <c r="U95" t="s">
        <v>31</v>
      </c>
      <c r="V95">
        <f>COUNTIFS($D$2:$D$386,10,$E$2:$E$386,4)</f>
        <v>0</v>
      </c>
      <c r="W95" s="34">
        <f t="shared" si="14"/>
        <v>0</v>
      </c>
      <c r="AO95" s="4" t="s">
        <v>39122</v>
      </c>
      <c r="AP95">
        <f>COUNTIFS($H$2:$H$386,16,$K$2:$K$386,4)</f>
        <v>5</v>
      </c>
      <c r="AQ95" s="34">
        <f t="shared" si="16"/>
        <v>5.5555555555555554</v>
      </c>
    </row>
    <row r="96" spans="1:43" ht="28.8" x14ac:dyDescent="0.3">
      <c r="M96" t="s">
        <v>52</v>
      </c>
      <c r="N96">
        <f>COUNTIFS($B$2:$B$386,6,$D$2:$D$386,15)</f>
        <v>0</v>
      </c>
      <c r="O96" s="34">
        <f t="shared" si="17"/>
        <v>0</v>
      </c>
      <c r="U96" t="s">
        <v>37</v>
      </c>
      <c r="V96">
        <f>COUNTIFS($D$2:$D$386,10,$E$2:$E$386,5)</f>
        <v>0</v>
      </c>
      <c r="W96" s="34">
        <f t="shared" si="14"/>
        <v>0</v>
      </c>
      <c r="AO96" s="4" t="s">
        <v>39123</v>
      </c>
      <c r="AP96">
        <f>COUNTIFS($H$2:$H$386,16,$K$2:$K$386,5)</f>
        <v>0</v>
      </c>
      <c r="AQ96" s="34">
        <f t="shared" si="16"/>
        <v>0</v>
      </c>
    </row>
    <row r="97" spans="12:43" x14ac:dyDescent="0.3">
      <c r="N97" s="22">
        <f>SUM(N82:N96)</f>
        <v>1</v>
      </c>
      <c r="O97" s="35">
        <f t="shared" si="17"/>
        <v>1.1111111111111112</v>
      </c>
      <c r="U97" t="s">
        <v>42</v>
      </c>
      <c r="V97">
        <f>COUNTIFS($D$2:$D$386,10,$E$2:$E$386,6)</f>
        <v>0</v>
      </c>
      <c r="W97" s="34">
        <f t="shared" si="14"/>
        <v>0</v>
      </c>
      <c r="AP97" s="23">
        <f>SUM(AP92:AP96)</f>
        <v>13</v>
      </c>
      <c r="AQ97" s="37">
        <f t="shared" si="16"/>
        <v>14.444444444444443</v>
      </c>
    </row>
    <row r="98" spans="12:43" ht="43.2" x14ac:dyDescent="0.3">
      <c r="L98">
        <v>2015</v>
      </c>
      <c r="M98" t="s">
        <v>11</v>
      </c>
      <c r="N98">
        <f>COUNTIFS($B$2:$B$386,7,$D$2:$D$386,1)</f>
        <v>0</v>
      </c>
      <c r="O98" s="34">
        <f t="shared" si="17"/>
        <v>0</v>
      </c>
      <c r="U98" t="s">
        <v>45</v>
      </c>
      <c r="V98">
        <f>COUNTIFS($D$2:$D$386,10,$E$2:$E$386,7)</f>
        <v>0</v>
      </c>
      <c r="W98" s="34">
        <f t="shared" si="14"/>
        <v>0</v>
      </c>
      <c r="AN98" t="s">
        <v>54</v>
      </c>
      <c r="AO98" s="4" t="s">
        <v>39120</v>
      </c>
      <c r="AP98">
        <f>COUNTIFS($H$2:$H$386,17,$K$2:$K$386,1)</f>
        <v>0</v>
      </c>
      <c r="AQ98" s="34">
        <f t="shared" si="16"/>
        <v>0</v>
      </c>
    </row>
    <row r="99" spans="12:43" ht="43.2" x14ac:dyDescent="0.3">
      <c r="M99" t="s">
        <v>18</v>
      </c>
      <c r="N99">
        <f>COUNTIFS($B$2:$B$386,7,$D$2:$D$386,2)</f>
        <v>0</v>
      </c>
      <c r="O99" s="34">
        <f t="shared" si="17"/>
        <v>0</v>
      </c>
      <c r="U99" t="s">
        <v>48</v>
      </c>
      <c r="V99">
        <f>COUNTIFS($D$2:$D$386,10,$E$2:$E$386,8)</f>
        <v>0</v>
      </c>
      <c r="W99" s="34">
        <f t="shared" si="14"/>
        <v>0</v>
      </c>
      <c r="AO99" s="4" t="s">
        <v>39121</v>
      </c>
      <c r="AP99">
        <f>COUNTIFS($H$2:$H$386,17,$K$2:$K$386,2)</f>
        <v>0</v>
      </c>
      <c r="AQ99" s="34">
        <f t="shared" si="16"/>
        <v>0</v>
      </c>
    </row>
    <row r="100" spans="12:43" ht="57.6" x14ac:dyDescent="0.3">
      <c r="M100" t="s">
        <v>150</v>
      </c>
      <c r="N100">
        <f>COUNTIFS($B$2:$B$386,7,$D$2:$D$386,3)</f>
        <v>0</v>
      </c>
      <c r="O100" s="34">
        <f t="shared" si="17"/>
        <v>0</v>
      </c>
      <c r="U100" t="s">
        <v>50</v>
      </c>
      <c r="V100">
        <f>COUNTIFS($D$2:$D$386,10,$E$2:$E$386,9)</f>
        <v>0</v>
      </c>
      <c r="W100" s="34">
        <f t="shared" si="14"/>
        <v>0</v>
      </c>
      <c r="AO100" s="4" t="s">
        <v>39125</v>
      </c>
      <c r="AP100">
        <f>COUNTIFS($H$2:$H$386,17,$K$2:$K$386,3)</f>
        <v>3</v>
      </c>
      <c r="AQ100" s="34">
        <f t="shared" si="16"/>
        <v>3.3333333333333335</v>
      </c>
    </row>
    <row r="101" spans="12:43" ht="28.8" x14ac:dyDescent="0.3">
      <c r="M101" t="s">
        <v>25</v>
      </c>
      <c r="N101">
        <f>COUNTIFS($B$2:$B$386,7,$D$2:$D$386,4)</f>
        <v>1</v>
      </c>
      <c r="O101" s="34">
        <f t="shared" si="17"/>
        <v>1.1111111111111112</v>
      </c>
      <c r="V101" s="22">
        <f>SUM(V92:V100)</f>
        <v>0</v>
      </c>
      <c r="W101" s="35">
        <f t="shared" si="14"/>
        <v>0</v>
      </c>
      <c r="AO101" s="4" t="s">
        <v>39122</v>
      </c>
      <c r="AP101">
        <f>COUNTIFS($H$2:$H$386,17,$K$2:$K$386,4)</f>
        <v>40</v>
      </c>
      <c r="AQ101" s="34">
        <f t="shared" si="16"/>
        <v>44.444444444444443</v>
      </c>
    </row>
    <row r="102" spans="12:43" ht="28.8" x14ac:dyDescent="0.3">
      <c r="M102" t="s">
        <v>32</v>
      </c>
      <c r="N102">
        <f>COUNTIFS($B$2:$B$386,7,$D$2:$D$386,5)</f>
        <v>0</v>
      </c>
      <c r="O102" s="34">
        <f t="shared" si="17"/>
        <v>0</v>
      </c>
      <c r="T102" t="s">
        <v>49</v>
      </c>
      <c r="U102" t="s">
        <v>10</v>
      </c>
      <c r="V102">
        <f>COUNTIFS($D$2:$D$386,11,$E$2:$E$386,1)</f>
        <v>1</v>
      </c>
      <c r="W102" s="34">
        <f t="shared" si="14"/>
        <v>1.1111111111111112</v>
      </c>
      <c r="AO102" s="4" t="s">
        <v>39123</v>
      </c>
      <c r="AP102">
        <f>COUNTIFS($H$2:$H$386,17,$K$2:$K$386,5)</f>
        <v>0</v>
      </c>
      <c r="AQ102" s="34">
        <f t="shared" si="16"/>
        <v>0</v>
      </c>
    </row>
    <row r="103" spans="12:43" x14ac:dyDescent="0.3">
      <c r="M103" t="s">
        <v>38</v>
      </c>
      <c r="N103">
        <f>COUNTIFS($B$2:$B$386,7,$D$2:$D$386,6)</f>
        <v>1</v>
      </c>
      <c r="O103" s="34">
        <f t="shared" si="17"/>
        <v>1.1111111111111112</v>
      </c>
      <c r="U103" t="s">
        <v>17</v>
      </c>
      <c r="V103">
        <f>COUNTIFS($D$2:$D$386,11,$E$2:$E$386,2)</f>
        <v>0</v>
      </c>
      <c r="W103" s="34">
        <f t="shared" si="14"/>
        <v>0</v>
      </c>
      <c r="AP103" s="23">
        <f>SUM(AP98:AP102)</f>
        <v>43</v>
      </c>
      <c r="AQ103" s="37">
        <f t="shared" si="16"/>
        <v>47.777777777777779</v>
      </c>
    </row>
    <row r="104" spans="12:43" x14ac:dyDescent="0.3">
      <c r="M104" t="s">
        <v>151</v>
      </c>
      <c r="N104">
        <f>COUNTIFS($B$2:$B$386,7,$D$2:$D$386,7)</f>
        <v>0</v>
      </c>
      <c r="O104" s="34">
        <f t="shared" si="17"/>
        <v>0</v>
      </c>
      <c r="U104" t="s">
        <v>24</v>
      </c>
      <c r="V104">
        <f>COUNTIFS($D$2:$D$386,11,$E$2:$E$386,3)</f>
        <v>0</v>
      </c>
      <c r="W104" s="34">
        <f t="shared" si="14"/>
        <v>0</v>
      </c>
    </row>
    <row r="105" spans="12:43" x14ac:dyDescent="0.3">
      <c r="M105" t="s">
        <v>43</v>
      </c>
      <c r="N105">
        <f>COUNTIFS($B$2:$B$386,7,$D$2:$D$386,8)</f>
        <v>0</v>
      </c>
      <c r="O105" s="34">
        <f t="shared" si="17"/>
        <v>0</v>
      </c>
      <c r="U105" t="s">
        <v>31</v>
      </c>
      <c r="V105">
        <f>COUNTIFS($D$2:$D$386,11,$E$2:$E$386,4)</f>
        <v>0</v>
      </c>
      <c r="W105" s="34">
        <f t="shared" si="14"/>
        <v>0</v>
      </c>
    </row>
    <row r="106" spans="12:43" x14ac:dyDescent="0.3">
      <c r="M106" t="s">
        <v>46</v>
      </c>
      <c r="N106">
        <f>COUNTIFS($B$2:$B$386,7,$D$2:$D$386,9)</f>
        <v>0</v>
      </c>
      <c r="O106" s="34">
        <f t="shared" si="17"/>
        <v>0</v>
      </c>
      <c r="U106" t="s">
        <v>37</v>
      </c>
      <c r="V106">
        <f>COUNTIFS($D$2:$D$386,11,$E$2:$E$386,5)</f>
        <v>0</v>
      </c>
      <c r="W106" s="34">
        <f t="shared" si="14"/>
        <v>0</v>
      </c>
    </row>
    <row r="107" spans="12:43" x14ac:dyDescent="0.3">
      <c r="M107" t="s">
        <v>152</v>
      </c>
      <c r="N107">
        <f>COUNTIFS($B$2:$B$386,7,$D$2:$D$386,10)</f>
        <v>0</v>
      </c>
      <c r="O107" s="34">
        <f t="shared" si="17"/>
        <v>0</v>
      </c>
      <c r="U107" t="s">
        <v>42</v>
      </c>
      <c r="V107">
        <f>COUNTIFS($D$2:$D$386,11,$E$2:$E$386,6)</f>
        <v>0</v>
      </c>
      <c r="W107" s="34">
        <f t="shared" si="14"/>
        <v>0</v>
      </c>
    </row>
    <row r="108" spans="12:43" x14ac:dyDescent="0.3">
      <c r="M108" t="s">
        <v>49</v>
      </c>
      <c r="N108">
        <f>COUNTIFS($B$2:$B$386,7,$D$2:$D$386,11)</f>
        <v>0</v>
      </c>
      <c r="O108" s="34">
        <f t="shared" si="17"/>
        <v>0</v>
      </c>
      <c r="U108" t="s">
        <v>45</v>
      </c>
      <c r="V108">
        <f>COUNTIFS($D$2:$D$386,11,$E$2:$E$386,7)</f>
        <v>0</v>
      </c>
      <c r="W108" s="34">
        <f t="shared" si="14"/>
        <v>0</v>
      </c>
    </row>
    <row r="109" spans="12:43" x14ac:dyDescent="0.3">
      <c r="M109" t="s">
        <v>51</v>
      </c>
      <c r="N109">
        <f>COUNTIFS($B$2:$B$386,7,$D$2:$D$386,12)</f>
        <v>0</v>
      </c>
      <c r="O109" s="34">
        <f t="shared" si="17"/>
        <v>0</v>
      </c>
      <c r="U109" t="s">
        <v>48</v>
      </c>
      <c r="V109">
        <f>COUNTIFS($D$2:$D$386,11,$E$2:$E$386,8)</f>
        <v>0</v>
      </c>
      <c r="W109" s="34">
        <f t="shared" si="14"/>
        <v>0</v>
      </c>
    </row>
    <row r="110" spans="12:43" x14ac:dyDescent="0.3">
      <c r="M110" t="s">
        <v>153</v>
      </c>
      <c r="N110">
        <f>COUNTIFS($B$2:$B$386,7,$D$2:$D$386,13)</f>
        <v>0</v>
      </c>
      <c r="O110" s="34">
        <f t="shared" si="17"/>
        <v>0</v>
      </c>
      <c r="U110" t="s">
        <v>50</v>
      </c>
      <c r="V110">
        <f>COUNTIFS($D$2:$D$386,11,$E$2:$E$386,9)</f>
        <v>0</v>
      </c>
      <c r="W110" s="34">
        <f t="shared" si="14"/>
        <v>0</v>
      </c>
    </row>
    <row r="111" spans="12:43" x14ac:dyDescent="0.3">
      <c r="M111" t="s">
        <v>154</v>
      </c>
      <c r="N111">
        <f>COUNTIFS($B$2:$B$386,7,$D$2:$D$386,14)</f>
        <v>0</v>
      </c>
      <c r="O111" s="34">
        <f t="shared" si="17"/>
        <v>0</v>
      </c>
      <c r="V111" s="22">
        <f>SUM(V102:V110)</f>
        <v>1</v>
      </c>
      <c r="W111" s="35">
        <f t="shared" si="14"/>
        <v>1.1111111111111112</v>
      </c>
    </row>
    <row r="112" spans="12:43" x14ac:dyDescent="0.3">
      <c r="M112" t="s">
        <v>52</v>
      </c>
      <c r="N112">
        <f>COUNTIFS($B$2:$B$386,7,$D$2:$D$386,15)</f>
        <v>0</v>
      </c>
      <c r="O112" s="34">
        <f t="shared" si="17"/>
        <v>0</v>
      </c>
      <c r="T112" t="s">
        <v>51</v>
      </c>
      <c r="U112" t="s">
        <v>10</v>
      </c>
      <c r="V112">
        <f>COUNTIFS($D$2:$D$386,12,$E$2:$E$386,1)</f>
        <v>0</v>
      </c>
      <c r="W112" s="34">
        <f t="shared" si="14"/>
        <v>0</v>
      </c>
    </row>
    <row r="113" spans="12:23" x14ac:dyDescent="0.3">
      <c r="N113" s="22">
        <f>SUM(N98:N112)</f>
        <v>2</v>
      </c>
      <c r="O113" s="35">
        <f t="shared" si="17"/>
        <v>2.2222222222222223</v>
      </c>
      <c r="U113" t="s">
        <v>17</v>
      </c>
      <c r="V113">
        <f>COUNTIFS($D$2:$D$386,12,$E$2:$E$386,2)</f>
        <v>0</v>
      </c>
      <c r="W113" s="34">
        <f t="shared" si="14"/>
        <v>0</v>
      </c>
    </row>
    <row r="114" spans="12:23" x14ac:dyDescent="0.3">
      <c r="L114">
        <v>2016</v>
      </c>
      <c r="M114" t="s">
        <v>11</v>
      </c>
      <c r="N114">
        <f>COUNTIFS($B$2:$B$386,8,$D$2:$D$386,1)</f>
        <v>3</v>
      </c>
      <c r="O114" s="34">
        <f t="shared" si="17"/>
        <v>3.3333333333333335</v>
      </c>
      <c r="U114" t="s">
        <v>24</v>
      </c>
      <c r="V114">
        <f>COUNTIFS($D$2:$D$386,12,$E$2:$E$386,3)</f>
        <v>0</v>
      </c>
      <c r="W114" s="34">
        <f t="shared" si="14"/>
        <v>0</v>
      </c>
    </row>
    <row r="115" spans="12:23" x14ac:dyDescent="0.3">
      <c r="M115" t="s">
        <v>18</v>
      </c>
      <c r="N115">
        <f>COUNTIFS($B$2:$B$386,8,$D$2:$D$386,2)</f>
        <v>1</v>
      </c>
      <c r="O115" s="34">
        <f t="shared" si="17"/>
        <v>1.1111111111111112</v>
      </c>
      <c r="U115" t="s">
        <v>31</v>
      </c>
      <c r="V115">
        <f>COUNTIFS($D$2:$D$386,12,$E$2:$E$386,4)</f>
        <v>0</v>
      </c>
      <c r="W115" s="34">
        <f t="shared" si="14"/>
        <v>0</v>
      </c>
    </row>
    <row r="116" spans="12:23" x14ac:dyDescent="0.3">
      <c r="M116" t="s">
        <v>150</v>
      </c>
      <c r="N116">
        <f>COUNTIFS($B$2:$B$386,8,$D$2:$D$386,3)</f>
        <v>0</v>
      </c>
      <c r="O116" s="34">
        <f t="shared" si="17"/>
        <v>0</v>
      </c>
      <c r="U116" t="s">
        <v>37</v>
      </c>
      <c r="V116">
        <f>COUNTIFS($D$2:$D$386,12,$E$2:$E$386,5)</f>
        <v>0</v>
      </c>
      <c r="W116" s="34">
        <f t="shared" si="14"/>
        <v>0</v>
      </c>
    </row>
    <row r="117" spans="12:23" x14ac:dyDescent="0.3">
      <c r="M117" t="s">
        <v>25</v>
      </c>
      <c r="N117">
        <f>COUNTIFS($B$2:$B$386,8,$D$2:$D$386,4)</f>
        <v>2</v>
      </c>
      <c r="O117" s="34">
        <f t="shared" si="17"/>
        <v>2.2222222222222223</v>
      </c>
      <c r="U117" t="s">
        <v>42</v>
      </c>
      <c r="V117">
        <f>COUNTIFS($D$2:$D$386,12,$E$2:$E$386,6)</f>
        <v>0</v>
      </c>
      <c r="W117" s="34">
        <f t="shared" si="14"/>
        <v>0</v>
      </c>
    </row>
    <row r="118" spans="12:23" x14ac:dyDescent="0.3">
      <c r="M118" t="s">
        <v>32</v>
      </c>
      <c r="N118">
        <f>COUNTIFS($B$2:$B$386,8,$D$2:$D$386,5)</f>
        <v>0</v>
      </c>
      <c r="O118" s="34">
        <f t="shared" si="17"/>
        <v>0</v>
      </c>
      <c r="U118" t="s">
        <v>45</v>
      </c>
      <c r="V118">
        <f>COUNTIFS($D$2:$D$386,12,$E$2:$E$386,7)</f>
        <v>0</v>
      </c>
      <c r="W118" s="34">
        <f t="shared" si="14"/>
        <v>0</v>
      </c>
    </row>
    <row r="119" spans="12:23" x14ac:dyDescent="0.3">
      <c r="M119" t="s">
        <v>38</v>
      </c>
      <c r="N119">
        <f>COUNTIFS($B$2:$B$386,8,$D$2:$D$386,6)</f>
        <v>0</v>
      </c>
      <c r="O119" s="34">
        <f t="shared" si="17"/>
        <v>0</v>
      </c>
      <c r="U119" t="s">
        <v>48</v>
      </c>
      <c r="V119">
        <f>COUNTIFS($D$2:$D$386,12,$E$2:$E$386,8)</f>
        <v>0</v>
      </c>
      <c r="W119" s="34">
        <f t="shared" si="14"/>
        <v>0</v>
      </c>
    </row>
    <row r="120" spans="12:23" x14ac:dyDescent="0.3">
      <c r="M120" t="s">
        <v>151</v>
      </c>
      <c r="N120">
        <f>COUNTIFS($B$2:$B$386,8,$D$2:$D$386,7)</f>
        <v>0</v>
      </c>
      <c r="O120" s="34">
        <f t="shared" si="17"/>
        <v>0</v>
      </c>
      <c r="U120" t="s">
        <v>50</v>
      </c>
      <c r="V120">
        <f>COUNTIFS($D$2:$D$386,12,$E$2:$E$386,9)</f>
        <v>0</v>
      </c>
      <c r="W120" s="34">
        <f t="shared" si="14"/>
        <v>0</v>
      </c>
    </row>
    <row r="121" spans="12:23" x14ac:dyDescent="0.3">
      <c r="M121" t="s">
        <v>43</v>
      </c>
      <c r="N121">
        <f>COUNTIFS($B$2:$B$386,8,$D$2:$D$386,8)</f>
        <v>1</v>
      </c>
      <c r="O121" s="34">
        <f t="shared" si="17"/>
        <v>1.1111111111111112</v>
      </c>
      <c r="V121" s="22">
        <f>SUM(V112:V120)</f>
        <v>0</v>
      </c>
      <c r="W121" s="35">
        <f t="shared" si="14"/>
        <v>0</v>
      </c>
    </row>
    <row r="122" spans="12:23" x14ac:dyDescent="0.3">
      <c r="M122" t="s">
        <v>46</v>
      </c>
      <c r="N122">
        <f>COUNTIFS($B$2:$B$386,8,$D$2:$D$386,9)</f>
        <v>0</v>
      </c>
      <c r="O122" s="34">
        <f t="shared" si="17"/>
        <v>0</v>
      </c>
      <c r="T122" t="s">
        <v>153</v>
      </c>
      <c r="U122" t="s">
        <v>10</v>
      </c>
      <c r="V122">
        <f>COUNTIFS($D$2:$D$386,13,$E$2:$E$386,1)</f>
        <v>0</v>
      </c>
      <c r="W122" s="34">
        <f t="shared" si="14"/>
        <v>0</v>
      </c>
    </row>
    <row r="123" spans="12:23" x14ac:dyDescent="0.3">
      <c r="M123" t="s">
        <v>152</v>
      </c>
      <c r="N123">
        <f>COUNTIFS($B$2:$B$386,8,$D$2:$D$386,10)</f>
        <v>0</v>
      </c>
      <c r="O123" s="34">
        <f t="shared" si="17"/>
        <v>0</v>
      </c>
      <c r="U123" t="s">
        <v>17</v>
      </c>
      <c r="V123">
        <f>COUNTIFS($D$2:$D$386,13,$E$2:$E$386,2)</f>
        <v>0</v>
      </c>
      <c r="W123" s="34">
        <f t="shared" si="14"/>
        <v>0</v>
      </c>
    </row>
    <row r="124" spans="12:23" x14ac:dyDescent="0.3">
      <c r="M124" t="s">
        <v>49</v>
      </c>
      <c r="N124">
        <f>COUNTIFS($B$2:$B$386,8,$D$2:$D$386,11)</f>
        <v>1</v>
      </c>
      <c r="O124" s="34">
        <f t="shared" si="17"/>
        <v>1.1111111111111112</v>
      </c>
      <c r="U124" t="s">
        <v>24</v>
      </c>
      <c r="V124">
        <f>COUNTIFS($D$2:$D$386,13,$E$2:$E$386,3)</f>
        <v>0</v>
      </c>
      <c r="W124" s="34">
        <f t="shared" si="14"/>
        <v>0</v>
      </c>
    </row>
    <row r="125" spans="12:23" x14ac:dyDescent="0.3">
      <c r="M125" t="s">
        <v>51</v>
      </c>
      <c r="N125">
        <f>COUNTIFS($B$2:$B$386,8,$D$2:$D$386,12)</f>
        <v>0</v>
      </c>
      <c r="O125" s="34">
        <f t="shared" si="17"/>
        <v>0</v>
      </c>
      <c r="U125" t="s">
        <v>31</v>
      </c>
      <c r="V125">
        <f>COUNTIFS($D$2:$D$386,13,$E$2:$E$386,4)</f>
        <v>0</v>
      </c>
      <c r="W125" s="34">
        <f t="shared" si="14"/>
        <v>0</v>
      </c>
    </row>
    <row r="126" spans="12:23" x14ac:dyDescent="0.3">
      <c r="M126" t="s">
        <v>153</v>
      </c>
      <c r="N126">
        <f>COUNTIFS($B$2:$B$386,8,$D$2:$D$386,13)</f>
        <v>0</v>
      </c>
      <c r="O126" s="34">
        <f t="shared" si="17"/>
        <v>0</v>
      </c>
      <c r="U126" t="s">
        <v>37</v>
      </c>
      <c r="V126">
        <f>COUNTIFS($D$2:$D$386,13,$E$2:$E$386,5)</f>
        <v>0</v>
      </c>
      <c r="W126" s="34">
        <f t="shared" si="14"/>
        <v>0</v>
      </c>
    </row>
    <row r="127" spans="12:23" x14ac:dyDescent="0.3">
      <c r="M127" t="s">
        <v>154</v>
      </c>
      <c r="N127">
        <f>COUNTIFS($B$2:$B$386,8,$D$2:$D$386,14)</f>
        <v>0</v>
      </c>
      <c r="O127" s="34">
        <f t="shared" si="17"/>
        <v>0</v>
      </c>
      <c r="U127" t="s">
        <v>42</v>
      </c>
      <c r="V127">
        <f>COUNTIFS($D$2:$D$386,13,$E$2:$E$386,6)</f>
        <v>0</v>
      </c>
      <c r="W127" s="34">
        <f t="shared" si="14"/>
        <v>0</v>
      </c>
    </row>
    <row r="128" spans="12:23" x14ac:dyDescent="0.3">
      <c r="M128" t="s">
        <v>52</v>
      </c>
      <c r="N128">
        <f>COUNTIFS($B$2:$B$386,8,$D$2:$D$386,15)</f>
        <v>1</v>
      </c>
      <c r="O128" s="34">
        <f t="shared" si="17"/>
        <v>1.1111111111111112</v>
      </c>
      <c r="U128" t="s">
        <v>45</v>
      </c>
      <c r="V128">
        <f>COUNTIFS($D$2:$D$386,13,$E$2:$E$386,7)</f>
        <v>0</v>
      </c>
      <c r="W128" s="34">
        <f t="shared" si="14"/>
        <v>0</v>
      </c>
    </row>
    <row r="129" spans="12:23" x14ac:dyDescent="0.3">
      <c r="N129" s="22">
        <f>SUM(N114:N128)</f>
        <v>9</v>
      </c>
      <c r="O129" s="35">
        <f t="shared" si="17"/>
        <v>10</v>
      </c>
      <c r="U129" t="s">
        <v>48</v>
      </c>
      <c r="V129">
        <f>COUNTIFS($D$2:$D$386,13,$E$2:$E$386,8)</f>
        <v>0</v>
      </c>
      <c r="W129" s="34">
        <f t="shared" si="14"/>
        <v>0</v>
      </c>
    </row>
    <row r="130" spans="12:23" x14ac:dyDescent="0.3">
      <c r="L130">
        <v>2017</v>
      </c>
      <c r="M130" t="s">
        <v>11</v>
      </c>
      <c r="N130">
        <f>COUNTIFS($B$2:$B$386,9,$D$2:$D$386,1)</f>
        <v>0</v>
      </c>
      <c r="O130" s="34">
        <f t="shared" si="17"/>
        <v>0</v>
      </c>
      <c r="U130" t="s">
        <v>50</v>
      </c>
      <c r="V130">
        <f>COUNTIFS($D$2:$D$386,13,$E$2:$E$386,9)</f>
        <v>0</v>
      </c>
      <c r="W130" s="34">
        <f t="shared" si="14"/>
        <v>0</v>
      </c>
    </row>
    <row r="131" spans="12:23" x14ac:dyDescent="0.3">
      <c r="M131" t="s">
        <v>18</v>
      </c>
      <c r="N131">
        <f>COUNTIFS($B$2:$B$386,9,$D$2:$D$386,2)</f>
        <v>0</v>
      </c>
      <c r="O131" s="34">
        <f t="shared" si="17"/>
        <v>0</v>
      </c>
      <c r="V131" s="22">
        <f>SUM(V122:V130)</f>
        <v>0</v>
      </c>
      <c r="W131" s="35">
        <f t="shared" ref="W131:W151" si="18">(V131/90)*100</f>
        <v>0</v>
      </c>
    </row>
    <row r="132" spans="12:23" x14ac:dyDescent="0.3">
      <c r="M132" t="s">
        <v>150</v>
      </c>
      <c r="N132">
        <f>COUNTIFS($B$2:$B$386,9,$D$2:$D$386,3)</f>
        <v>0</v>
      </c>
      <c r="O132" s="34">
        <f t="shared" si="17"/>
        <v>0</v>
      </c>
      <c r="T132" t="s">
        <v>154</v>
      </c>
      <c r="U132" t="s">
        <v>10</v>
      </c>
      <c r="V132">
        <f>COUNTIFS($D$2:$D$386,14,$E$2:$E$386,1)</f>
        <v>0</v>
      </c>
      <c r="W132" s="34">
        <f t="shared" si="18"/>
        <v>0</v>
      </c>
    </row>
    <row r="133" spans="12:23" x14ac:dyDescent="0.3">
      <c r="M133" t="s">
        <v>25</v>
      </c>
      <c r="N133">
        <f>COUNTIFS($B$2:$B$386,9,$D$2:$D$386,4)</f>
        <v>1</v>
      </c>
      <c r="O133" s="34">
        <f t="shared" si="17"/>
        <v>1.1111111111111112</v>
      </c>
      <c r="U133" t="s">
        <v>17</v>
      </c>
      <c r="V133">
        <f>COUNTIFS($D$2:$D$386,14,$E$2:$E$386,2)</f>
        <v>0</v>
      </c>
      <c r="W133" s="34">
        <f t="shared" si="18"/>
        <v>0</v>
      </c>
    </row>
    <row r="134" spans="12:23" x14ac:dyDescent="0.3">
      <c r="M134" t="s">
        <v>32</v>
      </c>
      <c r="N134">
        <f>COUNTIFS($B$2:$B$386,9,$D$2:$D$386,5)</f>
        <v>0</v>
      </c>
      <c r="O134" s="34">
        <f t="shared" si="17"/>
        <v>0</v>
      </c>
      <c r="U134" t="s">
        <v>24</v>
      </c>
      <c r="V134">
        <f>COUNTIFS($D$2:$D$386,14,$E$2:$E$386,3)</f>
        <v>0</v>
      </c>
      <c r="W134" s="34">
        <f t="shared" si="18"/>
        <v>0</v>
      </c>
    </row>
    <row r="135" spans="12:23" x14ac:dyDescent="0.3">
      <c r="M135" t="s">
        <v>38</v>
      </c>
      <c r="N135">
        <f>COUNTIFS($B$2:$B$386,9,$D$2:$D$386,6)</f>
        <v>0</v>
      </c>
      <c r="O135" s="34">
        <f t="shared" si="17"/>
        <v>0</v>
      </c>
      <c r="U135" t="s">
        <v>31</v>
      </c>
      <c r="V135">
        <f>COUNTIFS($D$2:$D$386,14,$E$2:$E$386,4)</f>
        <v>0</v>
      </c>
      <c r="W135" s="34">
        <f t="shared" si="18"/>
        <v>0</v>
      </c>
    </row>
    <row r="136" spans="12:23" x14ac:dyDescent="0.3">
      <c r="M136" t="s">
        <v>151</v>
      </c>
      <c r="N136">
        <f>COUNTIFS($B$2:$B$386,9,$D$2:$D$386,7)</f>
        <v>0</v>
      </c>
      <c r="O136" s="34">
        <f t="shared" si="17"/>
        <v>0</v>
      </c>
      <c r="U136" t="s">
        <v>37</v>
      </c>
      <c r="V136">
        <f>COUNTIFS($D$2:$D$386,14,$E$2:$E$386,5)</f>
        <v>0</v>
      </c>
      <c r="W136" s="34">
        <f t="shared" si="18"/>
        <v>0</v>
      </c>
    </row>
    <row r="137" spans="12:23" x14ac:dyDescent="0.3">
      <c r="M137" t="s">
        <v>43</v>
      </c>
      <c r="N137">
        <f>COUNTIFS($B$2:$B$386,9,$D$2:$D$386,8)</f>
        <v>0</v>
      </c>
      <c r="O137" s="34">
        <f t="shared" si="17"/>
        <v>0</v>
      </c>
      <c r="U137" t="s">
        <v>42</v>
      </c>
      <c r="V137">
        <f>COUNTIFS($D$2:$D$386,14,$E$2:$E$386,6)</f>
        <v>0</v>
      </c>
      <c r="W137" s="34">
        <f t="shared" si="18"/>
        <v>0</v>
      </c>
    </row>
    <row r="138" spans="12:23" x14ac:dyDescent="0.3">
      <c r="M138" t="s">
        <v>46</v>
      </c>
      <c r="N138">
        <f>COUNTIFS($B$2:$B$386,9,$D$2:$D$386,9)</f>
        <v>0</v>
      </c>
      <c r="O138" s="34">
        <f t="shared" si="17"/>
        <v>0</v>
      </c>
      <c r="U138" t="s">
        <v>45</v>
      </c>
      <c r="V138">
        <f>COUNTIFS($D$2:$D$386,14,$E$2:$E$386,7)</f>
        <v>0</v>
      </c>
      <c r="W138" s="34">
        <f t="shared" si="18"/>
        <v>0</v>
      </c>
    </row>
    <row r="139" spans="12:23" x14ac:dyDescent="0.3">
      <c r="M139" t="s">
        <v>152</v>
      </c>
      <c r="N139">
        <f>COUNTIFS($B$2:$B$386,9,$D$2:$D$386,10)</f>
        <v>0</v>
      </c>
      <c r="O139" s="34">
        <f t="shared" si="17"/>
        <v>0</v>
      </c>
      <c r="U139" t="s">
        <v>48</v>
      </c>
      <c r="V139">
        <f>COUNTIFS($D$2:$D$386,14,$E$2:$E$386,8)</f>
        <v>0</v>
      </c>
      <c r="W139" s="34">
        <f t="shared" si="18"/>
        <v>0</v>
      </c>
    </row>
    <row r="140" spans="12:23" x14ac:dyDescent="0.3">
      <c r="M140" t="s">
        <v>49</v>
      </c>
      <c r="N140">
        <f>COUNTIFS($B$2:$B$386,9,$D$2:$D$386,11)</f>
        <v>0</v>
      </c>
      <c r="O140" s="34">
        <f t="shared" si="17"/>
        <v>0</v>
      </c>
      <c r="U140" t="s">
        <v>50</v>
      </c>
      <c r="V140">
        <f>COUNTIFS($D$2:$D$386,14,$E$2:$E$386,9)</f>
        <v>0</v>
      </c>
      <c r="W140" s="34">
        <f t="shared" si="18"/>
        <v>0</v>
      </c>
    </row>
    <row r="141" spans="12:23" x14ac:dyDescent="0.3">
      <c r="M141" t="s">
        <v>51</v>
      </c>
      <c r="N141">
        <f>COUNTIFS($B$2:$B$386,9,$D$2:$D$386,12)</f>
        <v>0</v>
      </c>
      <c r="O141" s="34">
        <f t="shared" si="17"/>
        <v>0</v>
      </c>
      <c r="V141" s="22">
        <f>SUM(V132:V140)</f>
        <v>0</v>
      </c>
      <c r="W141" s="35">
        <f t="shared" si="18"/>
        <v>0</v>
      </c>
    </row>
    <row r="142" spans="12:23" x14ac:dyDescent="0.3">
      <c r="M142" t="s">
        <v>153</v>
      </c>
      <c r="N142">
        <f>COUNTIFS($B$2:$B$386,9,$D$2:$D$386,13)</f>
        <v>0</v>
      </c>
      <c r="O142" s="34">
        <f t="shared" si="17"/>
        <v>0</v>
      </c>
      <c r="T142" t="s">
        <v>52</v>
      </c>
      <c r="U142" t="s">
        <v>10</v>
      </c>
      <c r="V142">
        <f>COUNTIFS($D$2:$D$386,15,$E$2:$E$386,1)</f>
        <v>0</v>
      </c>
      <c r="W142" s="34">
        <f t="shared" si="18"/>
        <v>0</v>
      </c>
    </row>
    <row r="143" spans="12:23" x14ac:dyDescent="0.3">
      <c r="M143" t="s">
        <v>154</v>
      </c>
      <c r="N143">
        <f>COUNTIFS($B$2:$B$386,9,$D$2:$D$386,14)</f>
        <v>0</v>
      </c>
      <c r="O143" s="34">
        <f t="shared" si="17"/>
        <v>0</v>
      </c>
      <c r="U143" t="s">
        <v>17</v>
      </c>
      <c r="V143">
        <f>COUNTIFS($D$2:$D$386,15,$E$2:$E$386,2)</f>
        <v>0</v>
      </c>
      <c r="W143" s="34">
        <f t="shared" si="18"/>
        <v>0</v>
      </c>
    </row>
    <row r="144" spans="12:23" x14ac:dyDescent="0.3">
      <c r="M144" t="s">
        <v>52</v>
      </c>
      <c r="N144">
        <f>COUNTIFS($B$2:$B$386,9,$D$2:$D$386,15)</f>
        <v>0</v>
      </c>
      <c r="O144" s="34">
        <f t="shared" si="17"/>
        <v>0</v>
      </c>
      <c r="U144" t="s">
        <v>24</v>
      </c>
      <c r="V144">
        <f>COUNTIFS($D$2:$D$386,15,$E$2:$E$386,3)</f>
        <v>2</v>
      </c>
      <c r="W144" s="34">
        <f t="shared" si="18"/>
        <v>2.2222222222222223</v>
      </c>
    </row>
    <row r="145" spans="12:23" x14ac:dyDescent="0.3">
      <c r="N145" s="22">
        <f>SUM(N130:N144)</f>
        <v>1</v>
      </c>
      <c r="O145" s="35">
        <f t="shared" si="17"/>
        <v>1.1111111111111112</v>
      </c>
      <c r="U145" t="s">
        <v>31</v>
      </c>
      <c r="V145">
        <f>COUNTIFS($D$2:$D$386,15,$E$2:$E$386,4)</f>
        <v>0</v>
      </c>
      <c r="W145" s="34">
        <f t="shared" si="18"/>
        <v>0</v>
      </c>
    </row>
    <row r="146" spans="12:23" x14ac:dyDescent="0.3">
      <c r="L146">
        <v>2018</v>
      </c>
      <c r="M146" t="s">
        <v>11</v>
      </c>
      <c r="N146">
        <f>COUNTIFS($B$2:$B$386,10,$D$2:$D$386,1)</f>
        <v>2</v>
      </c>
      <c r="O146" s="34">
        <f t="shared" si="17"/>
        <v>2.2222222222222223</v>
      </c>
      <c r="U146" t="s">
        <v>37</v>
      </c>
      <c r="V146">
        <f>COUNTIFS($D$2:$D$386,15,$E$2:$E$386,5)</f>
        <v>0</v>
      </c>
      <c r="W146" s="34">
        <f t="shared" si="18"/>
        <v>0</v>
      </c>
    </row>
    <row r="147" spans="12:23" x14ac:dyDescent="0.3">
      <c r="M147" t="s">
        <v>18</v>
      </c>
      <c r="N147">
        <f>COUNTIFS($B$2:$B$386,10,$D$2:$D$386,2)</f>
        <v>0</v>
      </c>
      <c r="O147" s="34">
        <f t="shared" ref="O147:O210" si="19">(N147/90)*100</f>
        <v>0</v>
      </c>
      <c r="U147" t="s">
        <v>42</v>
      </c>
      <c r="V147">
        <f>COUNTIFS($D$2:$D$386,15,$E$2:$E$386,6)</f>
        <v>0</v>
      </c>
      <c r="W147" s="34">
        <f t="shared" si="18"/>
        <v>0</v>
      </c>
    </row>
    <row r="148" spans="12:23" x14ac:dyDescent="0.3">
      <c r="M148" t="s">
        <v>150</v>
      </c>
      <c r="N148">
        <f>COUNTIFS($B$2:$B$386,10,$D$2:$D$386,3)</f>
        <v>0</v>
      </c>
      <c r="O148" s="34">
        <f t="shared" si="19"/>
        <v>0</v>
      </c>
      <c r="U148" t="s">
        <v>45</v>
      </c>
      <c r="V148">
        <f>COUNTIFS($D$2:$D$386,15,$E$2:$E$386,7)</f>
        <v>0</v>
      </c>
      <c r="W148" s="34">
        <f t="shared" si="18"/>
        <v>0</v>
      </c>
    </row>
    <row r="149" spans="12:23" x14ac:dyDescent="0.3">
      <c r="M149" t="s">
        <v>25</v>
      </c>
      <c r="N149">
        <f>COUNTIFS($B$2:$B$386,10,$D$2:$D$386,4)</f>
        <v>2</v>
      </c>
      <c r="O149" s="34">
        <f t="shared" si="19"/>
        <v>2.2222222222222223</v>
      </c>
      <c r="U149" t="s">
        <v>48</v>
      </c>
      <c r="V149">
        <f>COUNTIFS($D$2:$D$386,15,$E$2:$E$386,8)</f>
        <v>3</v>
      </c>
      <c r="W149" s="34">
        <f t="shared" si="18"/>
        <v>3.3333333333333335</v>
      </c>
    </row>
    <row r="150" spans="12:23" x14ac:dyDescent="0.3">
      <c r="M150" t="s">
        <v>32</v>
      </c>
      <c r="N150">
        <f>COUNTIFS($B$2:$B$386,10,$D$2:$D$386,5)</f>
        <v>0</v>
      </c>
      <c r="O150" s="34">
        <f t="shared" si="19"/>
        <v>0</v>
      </c>
      <c r="U150" t="s">
        <v>50</v>
      </c>
      <c r="V150">
        <f>COUNTIFS($D$2:$D$386,15,$E$2:$E$386,9)</f>
        <v>1</v>
      </c>
      <c r="W150" s="34">
        <f t="shared" si="18"/>
        <v>1.1111111111111112</v>
      </c>
    </row>
    <row r="151" spans="12:23" x14ac:dyDescent="0.3">
      <c r="M151" t="s">
        <v>38</v>
      </c>
      <c r="N151">
        <f>COUNTIFS($B$2:$B$386,10,$D$2:$D$386,6)</f>
        <v>0</v>
      </c>
      <c r="O151" s="34">
        <f t="shared" si="19"/>
        <v>0</v>
      </c>
      <c r="V151" s="22">
        <f>SUM(V142:V150)</f>
        <v>6</v>
      </c>
      <c r="W151" s="35">
        <f t="shared" si="18"/>
        <v>6.666666666666667</v>
      </c>
    </row>
    <row r="152" spans="12:23" x14ac:dyDescent="0.3">
      <c r="M152" t="s">
        <v>151</v>
      </c>
      <c r="N152">
        <f>COUNTIFS($B$2:$B$386,10,$D$2:$D$386,7)</f>
        <v>0</v>
      </c>
      <c r="O152" s="34">
        <f t="shared" si="19"/>
        <v>0</v>
      </c>
    </row>
    <row r="153" spans="12:23" x14ac:dyDescent="0.3">
      <c r="M153" t="s">
        <v>43</v>
      </c>
      <c r="N153">
        <f>COUNTIFS($B$2:$B$386,10,$D$2:$D$386,8)</f>
        <v>0</v>
      </c>
      <c r="O153" s="34">
        <f t="shared" si="19"/>
        <v>0</v>
      </c>
    </row>
    <row r="154" spans="12:23" x14ac:dyDescent="0.3">
      <c r="M154" t="s">
        <v>46</v>
      </c>
      <c r="N154">
        <f>COUNTIFS($B$2:$B$386,10,$D$2:$D$386,9)</f>
        <v>0</v>
      </c>
      <c r="O154" s="34">
        <f t="shared" si="19"/>
        <v>0</v>
      </c>
    </row>
    <row r="155" spans="12:23" x14ac:dyDescent="0.3">
      <c r="M155" t="s">
        <v>152</v>
      </c>
      <c r="N155">
        <f>COUNTIFS($B$2:$B$386,10,$D$2:$D$386,10)</f>
        <v>0</v>
      </c>
      <c r="O155" s="34">
        <f t="shared" si="19"/>
        <v>0</v>
      </c>
    </row>
    <row r="156" spans="12:23" x14ac:dyDescent="0.3">
      <c r="M156" t="s">
        <v>49</v>
      </c>
      <c r="N156">
        <f>COUNTIFS($B$2:$B$386,10,$D$2:$D$386,11)</f>
        <v>0</v>
      </c>
      <c r="O156" s="34">
        <f t="shared" si="19"/>
        <v>0</v>
      </c>
    </row>
    <row r="157" spans="12:23" x14ac:dyDescent="0.3">
      <c r="M157" t="s">
        <v>51</v>
      </c>
      <c r="N157">
        <f>COUNTIFS($B$2:$B$386,10,$D$2:$D$386,12)</f>
        <v>0</v>
      </c>
      <c r="O157" s="34">
        <f t="shared" si="19"/>
        <v>0</v>
      </c>
    </row>
    <row r="158" spans="12:23" x14ac:dyDescent="0.3">
      <c r="M158" t="s">
        <v>153</v>
      </c>
      <c r="N158">
        <f>COUNTIFS($B$2:$B$386,10,$D$2:$D$386,13)</f>
        <v>0</v>
      </c>
      <c r="O158" s="34">
        <f t="shared" si="19"/>
        <v>0</v>
      </c>
    </row>
    <row r="159" spans="12:23" x14ac:dyDescent="0.3">
      <c r="M159" t="s">
        <v>154</v>
      </c>
      <c r="N159">
        <f>COUNTIFS($B$2:$B$386,10,$D$2:$D$386,14)</f>
        <v>0</v>
      </c>
      <c r="O159" s="34">
        <f t="shared" si="19"/>
        <v>0</v>
      </c>
    </row>
    <row r="160" spans="12:23" x14ac:dyDescent="0.3">
      <c r="M160" t="s">
        <v>52</v>
      </c>
      <c r="N160">
        <f>COUNTIFS($B$2:$B$386,10,$D$2:$D$386,15)</f>
        <v>1</v>
      </c>
      <c r="O160" s="34">
        <f t="shared" si="19"/>
        <v>1.1111111111111112</v>
      </c>
    </row>
    <row r="161" spans="12:15" x14ac:dyDescent="0.3">
      <c r="N161" s="22">
        <f>SUM(N146:N160)</f>
        <v>5</v>
      </c>
      <c r="O161" s="35">
        <f t="shared" si="19"/>
        <v>5.5555555555555554</v>
      </c>
    </row>
    <row r="162" spans="12:15" x14ac:dyDescent="0.3">
      <c r="L162">
        <v>2019</v>
      </c>
      <c r="M162" t="s">
        <v>11</v>
      </c>
      <c r="N162">
        <f>COUNTIFS($B$2:$B$386,11,$D$2:$D$386,1)</f>
        <v>1</v>
      </c>
      <c r="O162" s="34">
        <f t="shared" si="19"/>
        <v>1.1111111111111112</v>
      </c>
    </row>
    <row r="163" spans="12:15" x14ac:dyDescent="0.3">
      <c r="M163" t="s">
        <v>18</v>
      </c>
      <c r="N163">
        <f>COUNTIFS($B$2:$B$386,11,$D$2:$D$386,2)</f>
        <v>1</v>
      </c>
      <c r="O163" s="34">
        <f t="shared" si="19"/>
        <v>1.1111111111111112</v>
      </c>
    </row>
    <row r="164" spans="12:15" x14ac:dyDescent="0.3">
      <c r="M164" t="s">
        <v>150</v>
      </c>
      <c r="N164">
        <f>COUNTIFS($B$2:$B$386,11,$D$2:$D$386,3)</f>
        <v>0</v>
      </c>
      <c r="O164" s="34">
        <f t="shared" si="19"/>
        <v>0</v>
      </c>
    </row>
    <row r="165" spans="12:15" x14ac:dyDescent="0.3">
      <c r="M165" t="s">
        <v>25</v>
      </c>
      <c r="N165">
        <f>COUNTIFS($B$2:$B$386,11,$D$2:$D$386,4)</f>
        <v>2</v>
      </c>
      <c r="O165" s="34">
        <f t="shared" si="19"/>
        <v>2.2222222222222223</v>
      </c>
    </row>
    <row r="166" spans="12:15" x14ac:dyDescent="0.3">
      <c r="M166" t="s">
        <v>32</v>
      </c>
      <c r="N166">
        <f>COUNTIFS($B$2:$B$386,11,$D$2:$D$386,5)</f>
        <v>0</v>
      </c>
      <c r="O166" s="34">
        <f t="shared" si="19"/>
        <v>0</v>
      </c>
    </row>
    <row r="167" spans="12:15" x14ac:dyDescent="0.3">
      <c r="M167" t="s">
        <v>38</v>
      </c>
      <c r="N167">
        <f>COUNTIFS($B$2:$B$386,11,$D$2:$D$386,6)</f>
        <v>1</v>
      </c>
      <c r="O167" s="34">
        <f t="shared" si="19"/>
        <v>1.1111111111111112</v>
      </c>
    </row>
    <row r="168" spans="12:15" x14ac:dyDescent="0.3">
      <c r="M168" t="s">
        <v>151</v>
      </c>
      <c r="N168">
        <f>COUNTIFS($B$2:$B$386,11,$D$2:$D$386,7)</f>
        <v>0</v>
      </c>
      <c r="O168" s="34">
        <f t="shared" si="19"/>
        <v>0</v>
      </c>
    </row>
    <row r="169" spans="12:15" x14ac:dyDescent="0.3">
      <c r="M169" t="s">
        <v>43</v>
      </c>
      <c r="N169">
        <f>COUNTIFS($B$2:$B$386,11,$D$2:$D$386,8)</f>
        <v>1</v>
      </c>
      <c r="O169" s="34">
        <f t="shared" si="19"/>
        <v>1.1111111111111112</v>
      </c>
    </row>
    <row r="170" spans="12:15" x14ac:dyDescent="0.3">
      <c r="M170" t="s">
        <v>46</v>
      </c>
      <c r="N170">
        <f>COUNTIFS($B$2:$B$386,11,$D$2:$D$386,9)</f>
        <v>0</v>
      </c>
      <c r="O170" s="34">
        <f t="shared" si="19"/>
        <v>0</v>
      </c>
    </row>
    <row r="171" spans="12:15" x14ac:dyDescent="0.3">
      <c r="M171" t="s">
        <v>152</v>
      </c>
      <c r="N171">
        <f>COUNTIFS($B$2:$B$386,11,$D$2:$D$386,10)</f>
        <v>0</v>
      </c>
      <c r="O171" s="34">
        <f t="shared" si="19"/>
        <v>0</v>
      </c>
    </row>
    <row r="172" spans="12:15" x14ac:dyDescent="0.3">
      <c r="M172" t="s">
        <v>49</v>
      </c>
      <c r="N172">
        <f>COUNTIFS($B$2:$B$386,11,$D$2:$D$386,11)</f>
        <v>0</v>
      </c>
      <c r="O172" s="34">
        <f t="shared" si="19"/>
        <v>0</v>
      </c>
    </row>
    <row r="173" spans="12:15" x14ac:dyDescent="0.3">
      <c r="M173" t="s">
        <v>51</v>
      </c>
      <c r="N173">
        <f>COUNTIFS($B$2:$B$386,11,$D$2:$D$386,12)</f>
        <v>0</v>
      </c>
      <c r="O173" s="34">
        <f t="shared" si="19"/>
        <v>0</v>
      </c>
    </row>
    <row r="174" spans="12:15" x14ac:dyDescent="0.3">
      <c r="M174" t="s">
        <v>153</v>
      </c>
      <c r="N174">
        <f>COUNTIFS($B$2:$B$386,11,$D$2:$D$386,13)</f>
        <v>0</v>
      </c>
      <c r="O174" s="34">
        <f t="shared" si="19"/>
        <v>0</v>
      </c>
    </row>
    <row r="175" spans="12:15" x14ac:dyDescent="0.3">
      <c r="M175" t="s">
        <v>154</v>
      </c>
      <c r="N175">
        <f>COUNTIFS($B$2:$B$386,11,$D$2:$D$386,14)</f>
        <v>0</v>
      </c>
      <c r="O175" s="34">
        <f t="shared" si="19"/>
        <v>0</v>
      </c>
    </row>
    <row r="176" spans="12:15" x14ac:dyDescent="0.3">
      <c r="M176" t="s">
        <v>52</v>
      </c>
      <c r="N176">
        <f>COUNTIFS($B$2:$B$386,11,$D$2:$D$386,15)</f>
        <v>0</v>
      </c>
      <c r="O176" s="34">
        <f t="shared" si="19"/>
        <v>0</v>
      </c>
    </row>
    <row r="177" spans="12:15" x14ac:dyDescent="0.3">
      <c r="N177" s="22">
        <f>SUM(N162:N176)</f>
        <v>6</v>
      </c>
      <c r="O177" s="35">
        <f t="shared" si="19"/>
        <v>6.666666666666667</v>
      </c>
    </row>
    <row r="178" spans="12:15" x14ac:dyDescent="0.3">
      <c r="L178">
        <v>2020</v>
      </c>
      <c r="M178" t="s">
        <v>11</v>
      </c>
      <c r="N178">
        <f>COUNTIFS($B$2:$B$386,12,$D$2:$D$386,1)</f>
        <v>6</v>
      </c>
      <c r="O178" s="34">
        <f t="shared" si="19"/>
        <v>6.666666666666667</v>
      </c>
    </row>
    <row r="179" spans="12:15" x14ac:dyDescent="0.3">
      <c r="M179" t="s">
        <v>18</v>
      </c>
      <c r="N179">
        <f>COUNTIFS($B$2:$B$386,12,$D$2:$D$386,2)</f>
        <v>0</v>
      </c>
      <c r="O179" s="34">
        <f t="shared" si="19"/>
        <v>0</v>
      </c>
    </row>
    <row r="180" spans="12:15" x14ac:dyDescent="0.3">
      <c r="M180" t="s">
        <v>150</v>
      </c>
      <c r="N180">
        <f>COUNTIFS($B$2:$B$386,12,$D$2:$D$386,3)</f>
        <v>0</v>
      </c>
      <c r="O180" s="34">
        <f t="shared" si="19"/>
        <v>0</v>
      </c>
    </row>
    <row r="181" spans="12:15" x14ac:dyDescent="0.3">
      <c r="M181" t="s">
        <v>25</v>
      </c>
      <c r="N181">
        <f>COUNTIFS($B$2:$B$386,12,$D$2:$D$386,4)</f>
        <v>6</v>
      </c>
      <c r="O181" s="34">
        <f t="shared" si="19"/>
        <v>6.666666666666667</v>
      </c>
    </row>
    <row r="182" spans="12:15" x14ac:dyDescent="0.3">
      <c r="M182" t="s">
        <v>32</v>
      </c>
      <c r="N182">
        <f>COUNTIFS($B$2:$B$386,12,$D$2:$D$386,5)</f>
        <v>0</v>
      </c>
      <c r="O182" s="34">
        <f t="shared" si="19"/>
        <v>0</v>
      </c>
    </row>
    <row r="183" spans="12:15" x14ac:dyDescent="0.3">
      <c r="M183" t="s">
        <v>38</v>
      </c>
      <c r="N183">
        <f>COUNTIFS($B$2:$B$386,12,$D$2:$D$386,6)</f>
        <v>0</v>
      </c>
      <c r="O183" s="34">
        <f t="shared" si="19"/>
        <v>0</v>
      </c>
    </row>
    <row r="184" spans="12:15" x14ac:dyDescent="0.3">
      <c r="M184" t="s">
        <v>151</v>
      </c>
      <c r="N184">
        <f>COUNTIFS($B$2:$B$386,12,$D$2:$D$386,7)</f>
        <v>0</v>
      </c>
      <c r="O184" s="34">
        <f t="shared" si="19"/>
        <v>0</v>
      </c>
    </row>
    <row r="185" spans="12:15" x14ac:dyDescent="0.3">
      <c r="M185" t="s">
        <v>43</v>
      </c>
      <c r="N185">
        <f>COUNTIFS($B$2:$B$386,12,$D$2:$D$386,8)</f>
        <v>1</v>
      </c>
      <c r="O185" s="34">
        <f t="shared" si="19"/>
        <v>1.1111111111111112</v>
      </c>
    </row>
    <row r="186" spans="12:15" x14ac:dyDescent="0.3">
      <c r="M186" t="s">
        <v>46</v>
      </c>
      <c r="N186">
        <f>COUNTIFS($B$2:$B$386,12,$D$2:$D$386,9)</f>
        <v>1</v>
      </c>
      <c r="O186" s="34">
        <f t="shared" si="19"/>
        <v>1.1111111111111112</v>
      </c>
    </row>
    <row r="187" spans="12:15" x14ac:dyDescent="0.3">
      <c r="M187" t="s">
        <v>152</v>
      </c>
      <c r="N187">
        <f>COUNTIFS($B$2:$B$386,12,$D$2:$D$386,10)</f>
        <v>0</v>
      </c>
      <c r="O187" s="34">
        <f t="shared" si="19"/>
        <v>0</v>
      </c>
    </row>
    <row r="188" spans="12:15" x14ac:dyDescent="0.3">
      <c r="M188" t="s">
        <v>49</v>
      </c>
      <c r="N188">
        <f>COUNTIFS($B$2:$B$386,12,$D$2:$D$386,11)</f>
        <v>0</v>
      </c>
      <c r="O188" s="34">
        <f t="shared" si="19"/>
        <v>0</v>
      </c>
    </row>
    <row r="189" spans="12:15" x14ac:dyDescent="0.3">
      <c r="M189" t="s">
        <v>51</v>
      </c>
      <c r="N189">
        <f>COUNTIFS($B$2:$B$386,12,$D$2:$D$386,12)</f>
        <v>0</v>
      </c>
      <c r="O189" s="34">
        <f t="shared" si="19"/>
        <v>0</v>
      </c>
    </row>
    <row r="190" spans="12:15" x14ac:dyDescent="0.3">
      <c r="M190" t="s">
        <v>153</v>
      </c>
      <c r="N190">
        <f>COUNTIFS($B$2:$B$386,12,$D$2:$D$386,13)</f>
        <v>0</v>
      </c>
      <c r="O190" s="34">
        <f t="shared" si="19"/>
        <v>0</v>
      </c>
    </row>
    <row r="191" spans="12:15" x14ac:dyDescent="0.3">
      <c r="M191" t="s">
        <v>154</v>
      </c>
      <c r="N191">
        <f>COUNTIFS($B$2:$B$386,12,$D$2:$D$386,14)</f>
        <v>0</v>
      </c>
      <c r="O191" s="34">
        <f t="shared" si="19"/>
        <v>0</v>
      </c>
    </row>
    <row r="192" spans="12:15" x14ac:dyDescent="0.3">
      <c r="M192" t="s">
        <v>52</v>
      </c>
      <c r="N192">
        <f>COUNTIFS($B$2:$B$386,12,$D$2:$D$386,15)</f>
        <v>2</v>
      </c>
      <c r="O192" s="34">
        <f t="shared" si="19"/>
        <v>2.2222222222222223</v>
      </c>
    </row>
    <row r="193" spans="12:15" x14ac:dyDescent="0.3">
      <c r="N193" s="22">
        <f>SUM(N178:N192)</f>
        <v>16</v>
      </c>
      <c r="O193" s="35">
        <f t="shared" si="19"/>
        <v>17.777777777777779</v>
      </c>
    </row>
    <row r="194" spans="12:15" x14ac:dyDescent="0.3">
      <c r="L194">
        <v>2021</v>
      </c>
      <c r="M194" t="s">
        <v>11</v>
      </c>
      <c r="N194">
        <f>COUNTIFS($B$2:$B$386,13,$D$2:$D$386,1)</f>
        <v>10</v>
      </c>
      <c r="O194" s="34">
        <f t="shared" si="19"/>
        <v>11.111111111111111</v>
      </c>
    </row>
    <row r="195" spans="12:15" x14ac:dyDescent="0.3">
      <c r="M195" t="s">
        <v>18</v>
      </c>
      <c r="N195">
        <f>COUNTIFS($B$2:$B$386,13,$D$2:$D$386,2)</f>
        <v>0</v>
      </c>
      <c r="O195" s="34">
        <f t="shared" si="19"/>
        <v>0</v>
      </c>
    </row>
    <row r="196" spans="12:15" x14ac:dyDescent="0.3">
      <c r="M196" t="s">
        <v>150</v>
      </c>
      <c r="N196">
        <f>COUNTIFS($B$2:$B$386,13,$D$2:$D$386,3)</f>
        <v>0</v>
      </c>
      <c r="O196" s="34">
        <f t="shared" si="19"/>
        <v>0</v>
      </c>
    </row>
    <row r="197" spans="12:15" x14ac:dyDescent="0.3">
      <c r="M197" t="s">
        <v>25</v>
      </c>
      <c r="N197">
        <f>COUNTIFS($B$2:$B$386,13,$D$2:$D$386,4)</f>
        <v>3</v>
      </c>
      <c r="O197" s="34">
        <f t="shared" si="19"/>
        <v>3.3333333333333335</v>
      </c>
    </row>
    <row r="198" spans="12:15" x14ac:dyDescent="0.3">
      <c r="M198" t="s">
        <v>32</v>
      </c>
      <c r="N198">
        <f>COUNTIFS($B$2:$B$386,13,$D$2:$D$386,5)</f>
        <v>0</v>
      </c>
      <c r="O198" s="34">
        <f t="shared" si="19"/>
        <v>0</v>
      </c>
    </row>
    <row r="199" spans="12:15" x14ac:dyDescent="0.3">
      <c r="M199" t="s">
        <v>38</v>
      </c>
      <c r="N199">
        <f>COUNTIFS($B$2:$B$386,13,$D$2:$D$386,6)</f>
        <v>0</v>
      </c>
      <c r="O199" s="34">
        <f t="shared" si="19"/>
        <v>0</v>
      </c>
    </row>
    <row r="200" spans="12:15" x14ac:dyDescent="0.3">
      <c r="M200" t="s">
        <v>151</v>
      </c>
      <c r="N200">
        <f>COUNTIFS($B$2:$B$386,13,$D$2:$D$386,7)</f>
        <v>2</v>
      </c>
      <c r="O200" s="34">
        <f t="shared" si="19"/>
        <v>2.2222222222222223</v>
      </c>
    </row>
    <row r="201" spans="12:15" x14ac:dyDescent="0.3">
      <c r="M201" t="s">
        <v>43</v>
      </c>
      <c r="N201">
        <f>COUNTIFS($B$2:$B$386,13,$D$2:$D$386,8)</f>
        <v>1</v>
      </c>
      <c r="O201" s="34">
        <f t="shared" si="19"/>
        <v>1.1111111111111112</v>
      </c>
    </row>
    <row r="202" spans="12:15" x14ac:dyDescent="0.3">
      <c r="M202" t="s">
        <v>46</v>
      </c>
      <c r="N202">
        <f>COUNTIFS($B$2:$B$386,13,$D$2:$D$386,9)</f>
        <v>2</v>
      </c>
      <c r="O202" s="34">
        <f t="shared" si="19"/>
        <v>2.2222222222222223</v>
      </c>
    </row>
    <row r="203" spans="12:15" x14ac:dyDescent="0.3">
      <c r="M203" t="s">
        <v>152</v>
      </c>
      <c r="N203">
        <f>COUNTIFS($B$2:$B$386,13,$D$2:$D$386,10)</f>
        <v>0</v>
      </c>
      <c r="O203" s="34">
        <f t="shared" si="19"/>
        <v>0</v>
      </c>
    </row>
    <row r="204" spans="12:15" x14ac:dyDescent="0.3">
      <c r="M204" t="s">
        <v>49</v>
      </c>
      <c r="N204">
        <f>COUNTIFS($B$2:$B$386,13,$D$2:$D$386,11)</f>
        <v>0</v>
      </c>
      <c r="O204" s="34">
        <f t="shared" si="19"/>
        <v>0</v>
      </c>
    </row>
    <row r="205" spans="12:15" x14ac:dyDescent="0.3">
      <c r="M205" t="s">
        <v>51</v>
      </c>
      <c r="N205">
        <f>COUNTIFS($B$2:$B$386,13,$D$2:$D$386,12)</f>
        <v>0</v>
      </c>
      <c r="O205" s="34">
        <f t="shared" si="19"/>
        <v>0</v>
      </c>
    </row>
    <row r="206" spans="12:15" x14ac:dyDescent="0.3">
      <c r="M206" t="s">
        <v>153</v>
      </c>
      <c r="N206">
        <f>COUNTIFS($B$2:$B$386,13,$D$2:$D$386,13)</f>
        <v>0</v>
      </c>
      <c r="O206" s="34">
        <f t="shared" si="19"/>
        <v>0</v>
      </c>
    </row>
    <row r="207" spans="12:15" x14ac:dyDescent="0.3">
      <c r="M207" t="s">
        <v>154</v>
      </c>
      <c r="N207">
        <f>COUNTIFS($B$2:$B$386,13,$D$2:$D$386,14)</f>
        <v>0</v>
      </c>
      <c r="O207" s="34">
        <f t="shared" si="19"/>
        <v>0</v>
      </c>
    </row>
    <row r="208" spans="12:15" x14ac:dyDescent="0.3">
      <c r="M208" t="s">
        <v>52</v>
      </c>
      <c r="N208">
        <f>COUNTIFS($B$2:$B$386,13,$D$2:$D$386,15)</f>
        <v>0</v>
      </c>
      <c r="O208" s="34">
        <f t="shared" si="19"/>
        <v>0</v>
      </c>
    </row>
    <row r="209" spans="12:15" x14ac:dyDescent="0.3">
      <c r="N209" s="22">
        <f>SUM(N194:N208)</f>
        <v>18</v>
      </c>
      <c r="O209" s="35">
        <f t="shared" si="19"/>
        <v>20</v>
      </c>
    </row>
    <row r="210" spans="12:15" x14ac:dyDescent="0.3">
      <c r="L210">
        <v>2022</v>
      </c>
      <c r="M210" t="s">
        <v>11</v>
      </c>
      <c r="N210">
        <f>COUNTIFS($B$2:$B$386,14,$D$2:$D$386,1)</f>
        <v>2</v>
      </c>
      <c r="O210" s="34">
        <f t="shared" si="19"/>
        <v>2.2222222222222223</v>
      </c>
    </row>
    <row r="211" spans="12:15" x14ac:dyDescent="0.3">
      <c r="M211" t="s">
        <v>18</v>
      </c>
      <c r="N211">
        <f>COUNTIFS($B$2:$B$386,14,$D$2:$D$386,2)</f>
        <v>0</v>
      </c>
      <c r="O211" s="34">
        <f t="shared" ref="O211:O273" si="20">(N211/90)*100</f>
        <v>0</v>
      </c>
    </row>
    <row r="212" spans="12:15" x14ac:dyDescent="0.3">
      <c r="M212" t="s">
        <v>150</v>
      </c>
      <c r="N212">
        <f>COUNTIFS($B$2:$B$386,14,$D$2:$D$386,3)</f>
        <v>0</v>
      </c>
      <c r="O212" s="34">
        <f t="shared" si="20"/>
        <v>0</v>
      </c>
    </row>
    <row r="213" spans="12:15" x14ac:dyDescent="0.3">
      <c r="M213" t="s">
        <v>25</v>
      </c>
      <c r="N213">
        <f>COUNTIFS($B$2:$B$386,14,$D$2:$D$386,4)</f>
        <v>5</v>
      </c>
      <c r="O213" s="34">
        <f t="shared" si="20"/>
        <v>5.5555555555555554</v>
      </c>
    </row>
    <row r="214" spans="12:15" x14ac:dyDescent="0.3">
      <c r="M214" t="s">
        <v>32</v>
      </c>
      <c r="N214">
        <f>COUNTIFS($B$2:$B$386,14,$D$2:$D$386,5)</f>
        <v>0</v>
      </c>
      <c r="O214" s="34">
        <f t="shared" si="20"/>
        <v>0</v>
      </c>
    </row>
    <row r="215" spans="12:15" x14ac:dyDescent="0.3">
      <c r="M215" t="s">
        <v>38</v>
      </c>
      <c r="N215">
        <f>COUNTIFS($B$2:$B$386,14,$D$2:$D$386,6)</f>
        <v>1</v>
      </c>
      <c r="O215" s="34">
        <f t="shared" si="20"/>
        <v>1.1111111111111112</v>
      </c>
    </row>
    <row r="216" spans="12:15" x14ac:dyDescent="0.3">
      <c r="M216" t="s">
        <v>151</v>
      </c>
      <c r="N216">
        <f>COUNTIFS($B$2:$B$386,14,$D$2:$D$386,7)</f>
        <v>0</v>
      </c>
      <c r="O216" s="34">
        <f t="shared" si="20"/>
        <v>0</v>
      </c>
    </row>
    <row r="217" spans="12:15" x14ac:dyDescent="0.3">
      <c r="M217" t="s">
        <v>43</v>
      </c>
      <c r="N217">
        <f>COUNTIFS($B$2:$B$386,14,$D$2:$D$386,8)</f>
        <v>0</v>
      </c>
      <c r="O217" s="34">
        <f t="shared" si="20"/>
        <v>0</v>
      </c>
    </row>
    <row r="218" spans="12:15" x14ac:dyDescent="0.3">
      <c r="M218" t="s">
        <v>46</v>
      </c>
      <c r="N218">
        <f>COUNTIFS($B$2:$B$386,14,$D$2:$D$386,9)</f>
        <v>0</v>
      </c>
      <c r="O218" s="34">
        <f t="shared" si="20"/>
        <v>0</v>
      </c>
    </row>
    <row r="219" spans="12:15" x14ac:dyDescent="0.3">
      <c r="M219" t="s">
        <v>152</v>
      </c>
      <c r="N219">
        <f>COUNTIFS($B$2:$B$386,14,$D$2:$D$386,10)</f>
        <v>0</v>
      </c>
      <c r="O219" s="34">
        <f t="shared" si="20"/>
        <v>0</v>
      </c>
    </row>
    <row r="220" spans="12:15" x14ac:dyDescent="0.3">
      <c r="M220" t="s">
        <v>49</v>
      </c>
      <c r="N220">
        <f>COUNTIFS($B$2:$B$386,14,$D$2:$D$386,11)</f>
        <v>0</v>
      </c>
      <c r="O220" s="34">
        <f t="shared" si="20"/>
        <v>0</v>
      </c>
    </row>
    <row r="221" spans="12:15" x14ac:dyDescent="0.3">
      <c r="M221" t="s">
        <v>51</v>
      </c>
      <c r="N221">
        <f>COUNTIFS($B$2:$B$386,14,$D$2:$D$386,12)</f>
        <v>0</v>
      </c>
      <c r="O221" s="34">
        <f t="shared" si="20"/>
        <v>0</v>
      </c>
    </row>
    <row r="222" spans="12:15" x14ac:dyDescent="0.3">
      <c r="M222" t="s">
        <v>153</v>
      </c>
      <c r="N222">
        <f>COUNTIFS($B$2:$B$386,14,$D$2:$D$386,13)</f>
        <v>0</v>
      </c>
      <c r="O222" s="34">
        <f t="shared" si="20"/>
        <v>0</v>
      </c>
    </row>
    <row r="223" spans="12:15" x14ac:dyDescent="0.3">
      <c r="M223" t="s">
        <v>154</v>
      </c>
      <c r="N223">
        <f>COUNTIFS($B$2:$B$386,14,$D$2:$D$386,14)</f>
        <v>0</v>
      </c>
      <c r="O223" s="34">
        <f t="shared" si="20"/>
        <v>0</v>
      </c>
    </row>
    <row r="224" spans="12:15" x14ac:dyDescent="0.3">
      <c r="M224" t="s">
        <v>52</v>
      </c>
      <c r="N224">
        <f>COUNTIFS($B$2:$B$386,14,$D$2:$D$386,15)</f>
        <v>0</v>
      </c>
      <c r="O224" s="34">
        <f t="shared" si="20"/>
        <v>0</v>
      </c>
    </row>
    <row r="225" spans="12:15" x14ac:dyDescent="0.3">
      <c r="N225" s="22">
        <f>SUM(N210:N224)</f>
        <v>8</v>
      </c>
      <c r="O225" s="35">
        <f t="shared" si="20"/>
        <v>8.8888888888888893</v>
      </c>
    </row>
    <row r="226" spans="12:15" x14ac:dyDescent="0.3">
      <c r="L226">
        <v>2023</v>
      </c>
      <c r="M226" t="s">
        <v>11</v>
      </c>
      <c r="N226">
        <f>COUNTIFS($B$2:$B$386,15,$D$2:$D$386,1)</f>
        <v>3</v>
      </c>
      <c r="O226" s="34">
        <f t="shared" si="20"/>
        <v>3.3333333333333335</v>
      </c>
    </row>
    <row r="227" spans="12:15" x14ac:dyDescent="0.3">
      <c r="M227" t="s">
        <v>18</v>
      </c>
      <c r="N227">
        <f>COUNTIFS($B$2:$B$386,15,$D$2:$D$386,2)</f>
        <v>0</v>
      </c>
      <c r="O227" s="34">
        <f t="shared" si="20"/>
        <v>0</v>
      </c>
    </row>
    <row r="228" spans="12:15" x14ac:dyDescent="0.3">
      <c r="M228" t="s">
        <v>150</v>
      </c>
      <c r="N228">
        <f>COUNTIFS($B$2:$B$386,15,$D$2:$D$386,3)</f>
        <v>0</v>
      </c>
      <c r="O228" s="34">
        <f t="shared" si="20"/>
        <v>0</v>
      </c>
    </row>
    <row r="229" spans="12:15" x14ac:dyDescent="0.3">
      <c r="M229" t="s">
        <v>25</v>
      </c>
      <c r="N229">
        <f>COUNTIFS($B$2:$B$386,15,$D$2:$D$386,4)</f>
        <v>4</v>
      </c>
      <c r="O229" s="34">
        <f t="shared" si="20"/>
        <v>4.4444444444444446</v>
      </c>
    </row>
    <row r="230" spans="12:15" x14ac:dyDescent="0.3">
      <c r="M230" t="s">
        <v>32</v>
      </c>
      <c r="N230">
        <f>COUNTIFS($B$2:$B$386,15,$D$2:$D$386,5)</f>
        <v>0</v>
      </c>
      <c r="O230" s="34">
        <f t="shared" si="20"/>
        <v>0</v>
      </c>
    </row>
    <row r="231" spans="12:15" x14ac:dyDescent="0.3">
      <c r="M231" t="s">
        <v>38</v>
      </c>
      <c r="N231">
        <f>COUNTIFS($B$2:$B$386,15,$D$2:$D$386,6)</f>
        <v>0</v>
      </c>
      <c r="O231" s="34">
        <f t="shared" si="20"/>
        <v>0</v>
      </c>
    </row>
    <row r="232" spans="12:15" x14ac:dyDescent="0.3">
      <c r="M232" t="s">
        <v>151</v>
      </c>
      <c r="N232">
        <f>COUNTIFS($B$2:$B$386,15,$D$2:$D$386,7)</f>
        <v>0</v>
      </c>
      <c r="O232" s="34">
        <f t="shared" si="20"/>
        <v>0</v>
      </c>
    </row>
    <row r="233" spans="12:15" x14ac:dyDescent="0.3">
      <c r="M233" t="s">
        <v>43</v>
      </c>
      <c r="N233">
        <f>COUNTIFS($B$2:$B$386,15,$D$2:$D$386,8)</f>
        <v>0</v>
      </c>
      <c r="O233" s="34">
        <f t="shared" si="20"/>
        <v>0</v>
      </c>
    </row>
    <row r="234" spans="12:15" x14ac:dyDescent="0.3">
      <c r="M234" t="s">
        <v>46</v>
      </c>
      <c r="N234">
        <f>COUNTIFS($B$2:$B$386,15,$D$2:$D$386,9)</f>
        <v>0</v>
      </c>
      <c r="O234" s="34">
        <f t="shared" si="20"/>
        <v>0</v>
      </c>
    </row>
    <row r="235" spans="12:15" x14ac:dyDescent="0.3">
      <c r="M235" t="s">
        <v>152</v>
      </c>
      <c r="N235">
        <f>COUNTIFS($B$2:$B$386,15,$D$2:$D$386,10)</f>
        <v>0</v>
      </c>
      <c r="O235" s="34">
        <f t="shared" si="20"/>
        <v>0</v>
      </c>
    </row>
    <row r="236" spans="12:15" x14ac:dyDescent="0.3">
      <c r="M236" t="s">
        <v>49</v>
      </c>
      <c r="N236">
        <f>COUNTIFS($B$2:$B$386,15,$D$2:$D$386,11)</f>
        <v>0</v>
      </c>
      <c r="O236" s="34">
        <f t="shared" si="20"/>
        <v>0</v>
      </c>
    </row>
    <row r="237" spans="12:15" x14ac:dyDescent="0.3">
      <c r="M237" t="s">
        <v>51</v>
      </c>
      <c r="N237">
        <f>COUNTIFS($B$2:$B$386,15,$D$2:$D$386,12)</f>
        <v>0</v>
      </c>
      <c r="O237" s="34">
        <f t="shared" si="20"/>
        <v>0</v>
      </c>
    </row>
    <row r="238" spans="12:15" x14ac:dyDescent="0.3">
      <c r="M238" t="s">
        <v>153</v>
      </c>
      <c r="N238">
        <f>COUNTIFS($B$2:$B$386,15,$D$2:$D$386,13)</f>
        <v>0</v>
      </c>
      <c r="O238" s="34">
        <f t="shared" si="20"/>
        <v>0</v>
      </c>
    </row>
    <row r="239" spans="12:15" x14ac:dyDescent="0.3">
      <c r="M239" t="s">
        <v>154</v>
      </c>
      <c r="N239">
        <f>COUNTIFS($B$2:$B$386,15,$D$2:$D$386,14)</f>
        <v>0</v>
      </c>
      <c r="O239" s="34">
        <f t="shared" si="20"/>
        <v>0</v>
      </c>
    </row>
    <row r="240" spans="12:15" x14ac:dyDescent="0.3">
      <c r="M240" t="s">
        <v>52</v>
      </c>
      <c r="N240">
        <f>COUNTIFS($B$2:$B$386,15,$D$2:$D$386,15)</f>
        <v>1</v>
      </c>
      <c r="O240" s="34">
        <f t="shared" si="20"/>
        <v>1.1111111111111112</v>
      </c>
    </row>
    <row r="241" spans="12:15" x14ac:dyDescent="0.3">
      <c r="N241" s="22">
        <f>SUM(N226:N240)</f>
        <v>8</v>
      </c>
      <c r="O241" s="35">
        <f t="shared" si="20"/>
        <v>8.8888888888888893</v>
      </c>
    </row>
    <row r="242" spans="12:15" x14ac:dyDescent="0.3">
      <c r="L242">
        <v>2024</v>
      </c>
      <c r="M242" t="s">
        <v>11</v>
      </c>
      <c r="N242">
        <f>COUNTIFS($B$2:$B$386,16,$D$2:$D$386,1)</f>
        <v>7</v>
      </c>
      <c r="O242" s="34">
        <f t="shared" si="20"/>
        <v>7.7777777777777777</v>
      </c>
    </row>
    <row r="243" spans="12:15" x14ac:dyDescent="0.3">
      <c r="M243" t="s">
        <v>18</v>
      </c>
      <c r="N243">
        <f>COUNTIFS($B$2:$B$386,16,$D$2:$D$386,2)</f>
        <v>0</v>
      </c>
      <c r="O243" s="34">
        <f t="shared" si="20"/>
        <v>0</v>
      </c>
    </row>
    <row r="244" spans="12:15" x14ac:dyDescent="0.3">
      <c r="M244" t="s">
        <v>150</v>
      </c>
      <c r="N244">
        <f>COUNTIFS($B$2:$B$386,16,$D$2:$D$386,3)</f>
        <v>0</v>
      </c>
      <c r="O244" s="34">
        <f t="shared" si="20"/>
        <v>0</v>
      </c>
    </row>
    <row r="245" spans="12:15" x14ac:dyDescent="0.3">
      <c r="M245" t="s">
        <v>25</v>
      </c>
      <c r="N245">
        <f>COUNTIFS($B$2:$B$386,16,$D$2:$D$386,4)</f>
        <v>3</v>
      </c>
      <c r="O245" s="34">
        <f t="shared" si="20"/>
        <v>3.3333333333333335</v>
      </c>
    </row>
    <row r="246" spans="12:15" x14ac:dyDescent="0.3">
      <c r="M246" t="s">
        <v>32</v>
      </c>
      <c r="N246">
        <f>COUNTIFS($B$2:$B$386,16,$D$2:$D$386,5)</f>
        <v>0</v>
      </c>
      <c r="O246" s="34">
        <f t="shared" si="20"/>
        <v>0</v>
      </c>
    </row>
    <row r="247" spans="12:15" x14ac:dyDescent="0.3">
      <c r="M247" t="s">
        <v>38</v>
      </c>
      <c r="N247">
        <f>COUNTIFS($B$2:$B$386,16,$D$2:$D$386,6)</f>
        <v>0</v>
      </c>
      <c r="O247" s="34">
        <f t="shared" si="20"/>
        <v>0</v>
      </c>
    </row>
    <row r="248" spans="12:15" x14ac:dyDescent="0.3">
      <c r="M248" t="s">
        <v>151</v>
      </c>
      <c r="N248">
        <f>COUNTIFS($B$2:$B$386,16,$D$2:$D$386,7)</f>
        <v>0</v>
      </c>
      <c r="O248" s="34">
        <f t="shared" si="20"/>
        <v>0</v>
      </c>
    </row>
    <row r="249" spans="12:15" x14ac:dyDescent="0.3">
      <c r="M249" t="s">
        <v>43</v>
      </c>
      <c r="N249">
        <f>COUNTIFS($B$2:$B$386,16,$D$2:$D$386,8)</f>
        <v>1</v>
      </c>
      <c r="O249" s="34">
        <f t="shared" si="20"/>
        <v>1.1111111111111112</v>
      </c>
    </row>
    <row r="250" spans="12:15" x14ac:dyDescent="0.3">
      <c r="M250" t="s">
        <v>46</v>
      </c>
      <c r="N250">
        <f>COUNTIFS($B$2:$B$386,16,$D$2:$D$386,9)</f>
        <v>0</v>
      </c>
      <c r="O250" s="34">
        <f t="shared" si="20"/>
        <v>0</v>
      </c>
    </row>
    <row r="251" spans="12:15" x14ac:dyDescent="0.3">
      <c r="M251" t="s">
        <v>152</v>
      </c>
      <c r="N251">
        <f>COUNTIFS($B$2:$B$386,16,$D$2:$D$386,10)</f>
        <v>0</v>
      </c>
      <c r="O251" s="34">
        <f t="shared" si="20"/>
        <v>0</v>
      </c>
    </row>
    <row r="252" spans="12:15" x14ac:dyDescent="0.3">
      <c r="M252" t="s">
        <v>49</v>
      </c>
      <c r="N252">
        <f>COUNTIFS($B$2:$B$386,16,$D$2:$D$386,11)</f>
        <v>0</v>
      </c>
      <c r="O252" s="34">
        <f t="shared" si="20"/>
        <v>0</v>
      </c>
    </row>
    <row r="253" spans="12:15" x14ac:dyDescent="0.3">
      <c r="M253" t="s">
        <v>51</v>
      </c>
      <c r="N253">
        <f>COUNTIFS($B$2:$B$386,16,$D$2:$D$386,12)</f>
        <v>0</v>
      </c>
      <c r="O253" s="34">
        <f t="shared" si="20"/>
        <v>0</v>
      </c>
    </row>
    <row r="254" spans="12:15" x14ac:dyDescent="0.3">
      <c r="M254" t="s">
        <v>153</v>
      </c>
      <c r="N254">
        <f>COUNTIFS($B$2:$B$386,16,$D$2:$D$386,13)</f>
        <v>0</v>
      </c>
      <c r="O254" s="34">
        <f t="shared" si="20"/>
        <v>0</v>
      </c>
    </row>
    <row r="255" spans="12:15" x14ac:dyDescent="0.3">
      <c r="M255" t="s">
        <v>154</v>
      </c>
      <c r="N255">
        <f>COUNTIFS($B$2:$B$386,16,$D$2:$D$386,14)</f>
        <v>0</v>
      </c>
      <c r="O255" s="34">
        <f t="shared" si="20"/>
        <v>0</v>
      </c>
    </row>
    <row r="256" spans="12:15" x14ac:dyDescent="0.3">
      <c r="M256" t="s">
        <v>52</v>
      </c>
      <c r="N256">
        <f>COUNTIFS($B$2:$B$386,16,$D$2:$D$386,15)</f>
        <v>1</v>
      </c>
      <c r="O256" s="34">
        <f t="shared" si="20"/>
        <v>1.1111111111111112</v>
      </c>
    </row>
    <row r="257" spans="12:15" x14ac:dyDescent="0.3">
      <c r="N257" s="22">
        <f>SUM(N242:N256)</f>
        <v>12</v>
      </c>
      <c r="O257" s="35">
        <f t="shared" si="20"/>
        <v>13.333333333333334</v>
      </c>
    </row>
    <row r="258" spans="12:15" x14ac:dyDescent="0.3">
      <c r="L258">
        <v>2025</v>
      </c>
      <c r="M258" t="s">
        <v>11</v>
      </c>
      <c r="N258">
        <f>COUNTIFS($B$2:$B$386,17,$D$2:$D$386,1)</f>
        <v>0</v>
      </c>
      <c r="O258" s="34">
        <f t="shared" si="20"/>
        <v>0</v>
      </c>
    </row>
    <row r="259" spans="12:15" x14ac:dyDescent="0.3">
      <c r="M259" t="s">
        <v>18</v>
      </c>
      <c r="N259">
        <f>COUNTIFS($B$2:$B$386,17,$D$2:$D$386,2)</f>
        <v>0</v>
      </c>
      <c r="O259" s="34">
        <f t="shared" si="20"/>
        <v>0</v>
      </c>
    </row>
    <row r="260" spans="12:15" x14ac:dyDescent="0.3">
      <c r="M260" t="s">
        <v>150</v>
      </c>
      <c r="N260">
        <f>COUNTIFS($B$2:$B$386,17,$D$2:$D$386,3)</f>
        <v>0</v>
      </c>
      <c r="O260" s="34">
        <f t="shared" si="20"/>
        <v>0</v>
      </c>
    </row>
    <row r="261" spans="12:15" x14ac:dyDescent="0.3">
      <c r="M261" t="s">
        <v>25</v>
      </c>
      <c r="N261">
        <f>COUNTIFS($B$2:$B$386,17,$D$2:$D$386,4)</f>
        <v>0</v>
      </c>
      <c r="O261" s="34">
        <f t="shared" si="20"/>
        <v>0</v>
      </c>
    </row>
    <row r="262" spans="12:15" x14ac:dyDescent="0.3">
      <c r="M262" t="s">
        <v>32</v>
      </c>
      <c r="N262">
        <f>COUNTIFS($B$2:$B$386,17,$D$2:$D$386,5)</f>
        <v>0</v>
      </c>
      <c r="O262" s="34">
        <f t="shared" si="20"/>
        <v>0</v>
      </c>
    </row>
    <row r="263" spans="12:15" x14ac:dyDescent="0.3">
      <c r="M263" t="s">
        <v>38</v>
      </c>
      <c r="N263">
        <f>COUNTIFS($B$2:$B$386,17,$D$2:$D$386,6)</f>
        <v>0</v>
      </c>
      <c r="O263" s="34">
        <f t="shared" si="20"/>
        <v>0</v>
      </c>
    </row>
    <row r="264" spans="12:15" x14ac:dyDescent="0.3">
      <c r="M264" t="s">
        <v>151</v>
      </c>
      <c r="N264">
        <f>COUNTIFS($B$2:$B$386,17,$D$2:$D$386,7)</f>
        <v>0</v>
      </c>
      <c r="O264" s="34">
        <f t="shared" si="20"/>
        <v>0</v>
      </c>
    </row>
    <row r="265" spans="12:15" x14ac:dyDescent="0.3">
      <c r="M265" t="s">
        <v>43</v>
      </c>
      <c r="N265">
        <f>COUNTIFS($B$2:$B$386,17,$D$2:$D$386,8)</f>
        <v>0</v>
      </c>
      <c r="O265" s="34">
        <f t="shared" si="20"/>
        <v>0</v>
      </c>
    </row>
    <row r="266" spans="12:15" x14ac:dyDescent="0.3">
      <c r="M266" t="s">
        <v>46</v>
      </c>
      <c r="N266">
        <f>COUNTIFS($B$2:$B$386,17,$D$2:$D$386,9)</f>
        <v>0</v>
      </c>
      <c r="O266" s="34">
        <f t="shared" si="20"/>
        <v>0</v>
      </c>
    </row>
    <row r="267" spans="12:15" x14ac:dyDescent="0.3">
      <c r="M267" t="s">
        <v>152</v>
      </c>
      <c r="N267">
        <f>COUNTIFS($B$2:$B$386,17,$D$2:$D$386,10)</f>
        <v>0</v>
      </c>
      <c r="O267" s="34">
        <f t="shared" si="20"/>
        <v>0</v>
      </c>
    </row>
    <row r="268" spans="12:15" x14ac:dyDescent="0.3">
      <c r="M268" t="s">
        <v>49</v>
      </c>
      <c r="N268">
        <f>COUNTIFS($B$2:$B$386,17,$D$2:$D$386,11)</f>
        <v>0</v>
      </c>
      <c r="O268" s="34">
        <f t="shared" si="20"/>
        <v>0</v>
      </c>
    </row>
    <row r="269" spans="12:15" x14ac:dyDescent="0.3">
      <c r="M269" t="s">
        <v>51</v>
      </c>
      <c r="N269">
        <f>COUNTIFS($B$2:$B$386,17,$D$2:$D$386,12)</f>
        <v>0</v>
      </c>
      <c r="O269" s="34">
        <f t="shared" si="20"/>
        <v>0</v>
      </c>
    </row>
    <row r="270" spans="12:15" x14ac:dyDescent="0.3">
      <c r="M270" t="s">
        <v>153</v>
      </c>
      <c r="N270">
        <f>COUNTIFS($B$2:$B$386,17,$D$2:$D$386,13)</f>
        <v>0</v>
      </c>
      <c r="O270" s="34">
        <f t="shared" si="20"/>
        <v>0</v>
      </c>
    </row>
    <row r="271" spans="12:15" x14ac:dyDescent="0.3">
      <c r="M271" t="s">
        <v>154</v>
      </c>
      <c r="N271">
        <f>COUNTIFS($B$2:$B$386,17,$D$2:$D$386,14)</f>
        <v>0</v>
      </c>
      <c r="O271" s="34">
        <f t="shared" si="20"/>
        <v>0</v>
      </c>
    </row>
    <row r="272" spans="12:15" x14ac:dyDescent="0.3">
      <c r="M272" t="s">
        <v>52</v>
      </c>
      <c r="N272">
        <f>COUNTIFS($B$2:$B$386,17,$D$2:$D$386,15)</f>
        <v>0</v>
      </c>
      <c r="O272" s="34">
        <f t="shared" si="20"/>
        <v>0</v>
      </c>
    </row>
    <row r="273" spans="14:15" x14ac:dyDescent="0.3">
      <c r="N273" s="22">
        <f>SUM(N258:N272)</f>
        <v>0</v>
      </c>
      <c r="O273" s="35">
        <f t="shared" si="20"/>
        <v>0</v>
      </c>
    </row>
    <row r="275" spans="14:15" x14ac:dyDescent="0.3">
      <c r="O275" s="34"/>
    </row>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14965-0054-40E1-AD72-4D8DBF339B79}">
  <dimension ref="A1:AH427"/>
  <sheetViews>
    <sheetView topLeftCell="Y1" workbookViewId="0">
      <pane ySplit="1" topLeftCell="A2" activePane="bottomLeft" state="frozen"/>
      <selection pane="bottomLeft" activeCell="AH3" sqref="AH3"/>
    </sheetView>
  </sheetViews>
  <sheetFormatPr baseColWidth="10" defaultRowHeight="14.4" x14ac:dyDescent="0.3"/>
  <cols>
    <col min="2" max="2" width="26.6640625" bestFit="1" customWidth="1"/>
    <col min="3" max="3" width="22.88671875" bestFit="1" customWidth="1"/>
    <col min="4" max="4" width="17.44140625" bestFit="1" customWidth="1"/>
    <col min="5" max="5" width="31.6640625" bestFit="1" customWidth="1"/>
    <col min="6" max="6" width="29.77734375" bestFit="1" customWidth="1"/>
    <col min="7" max="7" width="16.77734375" bestFit="1" customWidth="1"/>
    <col min="8" max="8" width="26.6640625" customWidth="1"/>
    <col min="9" max="9" width="24" bestFit="1" customWidth="1"/>
    <col min="11" max="11" width="13.5546875" customWidth="1"/>
    <col min="12" max="12" width="24" bestFit="1" customWidth="1"/>
    <col min="13" max="13" width="52" customWidth="1"/>
    <col min="15" max="15" width="13.5546875" customWidth="1"/>
    <col min="16" max="16" width="24" bestFit="1" customWidth="1"/>
    <col min="17" max="17" width="31" customWidth="1"/>
    <col min="19" max="19" width="13.5546875" customWidth="1"/>
    <col min="20" max="20" width="52" customWidth="1"/>
    <col min="21" max="21" width="18.33203125" bestFit="1" customWidth="1"/>
    <col min="23" max="23" width="13.5546875" customWidth="1"/>
    <col min="24" max="24" width="31" customWidth="1"/>
    <col min="25" max="25" width="26.77734375" customWidth="1"/>
    <col min="27" max="27" width="13.5546875" customWidth="1"/>
    <col min="28" max="28" width="53.88671875" customWidth="1"/>
    <col min="29" max="29" width="11.5546875" style="6"/>
    <col min="30" max="30" width="13.5546875" bestFit="1" customWidth="1"/>
    <col min="32" max="32" width="55.33203125" bestFit="1" customWidth="1"/>
  </cols>
  <sheetData>
    <row r="1" spans="1:34" x14ac:dyDescent="0.3">
      <c r="A1" s="2" t="s">
        <v>55</v>
      </c>
      <c r="B1" s="1" t="s">
        <v>6</v>
      </c>
      <c r="C1" s="1" t="s">
        <v>39119</v>
      </c>
      <c r="D1" s="1" t="s">
        <v>7</v>
      </c>
      <c r="E1" s="1" t="s">
        <v>3092</v>
      </c>
      <c r="F1" s="1" t="s">
        <v>3091</v>
      </c>
      <c r="G1" s="1" t="s">
        <v>39118</v>
      </c>
      <c r="H1" s="22" t="s">
        <v>6</v>
      </c>
      <c r="I1" s="22" t="s">
        <v>39119</v>
      </c>
      <c r="J1" s="22" t="s">
        <v>3073</v>
      </c>
      <c r="K1" s="22" t="s">
        <v>3089</v>
      </c>
      <c r="L1" s="23" t="s">
        <v>39119</v>
      </c>
      <c r="M1" s="23" t="s">
        <v>7</v>
      </c>
      <c r="N1" s="23" t="s">
        <v>3073</v>
      </c>
      <c r="O1" s="23" t="s">
        <v>3089</v>
      </c>
      <c r="P1" s="22" t="s">
        <v>39119</v>
      </c>
      <c r="Q1" s="22" t="s">
        <v>3091</v>
      </c>
      <c r="R1" s="22" t="s">
        <v>3073</v>
      </c>
      <c r="S1" s="22" t="s">
        <v>3089</v>
      </c>
      <c r="T1" s="23" t="s">
        <v>7</v>
      </c>
      <c r="U1" s="23" t="s">
        <v>39165</v>
      </c>
      <c r="V1" s="23" t="s">
        <v>3073</v>
      </c>
      <c r="W1" s="23" t="s">
        <v>3089</v>
      </c>
      <c r="X1" s="22" t="s">
        <v>3091</v>
      </c>
      <c r="Y1" s="22" t="s">
        <v>39165</v>
      </c>
      <c r="Z1" s="22" t="s">
        <v>3073</v>
      </c>
      <c r="AA1" s="22" t="s">
        <v>3089</v>
      </c>
      <c r="AB1" s="2" t="s">
        <v>3096</v>
      </c>
      <c r="AC1" s="13" t="s">
        <v>3073</v>
      </c>
      <c r="AD1" s="2" t="s">
        <v>3089</v>
      </c>
      <c r="AF1" s="1" t="s">
        <v>3098</v>
      </c>
      <c r="AG1" s="1"/>
      <c r="AH1" s="1"/>
    </row>
    <row r="2" spans="1:34" ht="43.2" x14ac:dyDescent="0.3">
      <c r="A2" s="6" t="s">
        <v>10729</v>
      </c>
      <c r="B2" s="7">
        <v>2</v>
      </c>
      <c r="C2" s="7">
        <v>3</v>
      </c>
      <c r="D2" s="7">
        <v>17</v>
      </c>
      <c r="E2" s="3">
        <f>IF(OR(D2=4, D2=6, D2=8, D2=10, D2=12, D2=14), 18, D2)</f>
        <v>17</v>
      </c>
      <c r="F2" s="3">
        <f>IF(OR(E2=5, E2=7, E2=9, E2=11, E2=13, E2=15), 19, E2)</f>
        <v>17</v>
      </c>
      <c r="G2" s="7">
        <v>4</v>
      </c>
      <c r="H2" t="s">
        <v>13</v>
      </c>
      <c r="I2" s="4" t="s">
        <v>39605</v>
      </c>
      <c r="J2">
        <f>COUNTIFS($B$2:$B$386,1,$C$2:$C$386,1)</f>
        <v>7</v>
      </c>
      <c r="K2">
        <f>(J2/90)*100</f>
        <v>7.7777777777777777</v>
      </c>
      <c r="L2" s="4" t="s">
        <v>39605</v>
      </c>
      <c r="M2" t="s">
        <v>14</v>
      </c>
      <c r="N2">
        <f>COUNTIFS($C$2:$C$386,1,$D$2:$D$386,1)</f>
        <v>0</v>
      </c>
      <c r="O2">
        <f>(N2/90)*100</f>
        <v>0</v>
      </c>
      <c r="P2" s="4" t="s">
        <v>39605</v>
      </c>
      <c r="Q2" t="s">
        <v>14</v>
      </c>
      <c r="R2">
        <f>COUNTIFS($C$2:$C$386,1,$F$2:$F$386,1)</f>
        <v>0</v>
      </c>
      <c r="S2">
        <f>(R2/90)*100</f>
        <v>0</v>
      </c>
      <c r="T2" t="s">
        <v>14</v>
      </c>
      <c r="U2" s="4" t="s">
        <v>39120</v>
      </c>
      <c r="V2">
        <f>COUNTIFS($D$2:$D$386,1,$G$2:$G$386,1)</f>
        <v>0</v>
      </c>
      <c r="W2">
        <f>(V2/90)*100</f>
        <v>0</v>
      </c>
      <c r="X2" t="s">
        <v>14</v>
      </c>
      <c r="Y2" s="4" t="s">
        <v>39120</v>
      </c>
      <c r="Z2">
        <f>COUNTIFS($F$2:$F$386,1,$G$2:$G$386,1)</f>
        <v>0</v>
      </c>
      <c r="AA2">
        <f>(Z2/90)*100</f>
        <v>0</v>
      </c>
      <c r="AB2" s="30" t="s">
        <v>39166</v>
      </c>
      <c r="AC2" s="31">
        <f>COUNTIFS($B$2:$B$386,1,$C$2:$C$386,1,$F$2:$F$386,18,$G$2:$G$386,1)</f>
        <v>4</v>
      </c>
      <c r="AD2" s="6">
        <f>(AC2/90)*100</f>
        <v>4.4444444444444446</v>
      </c>
      <c r="AF2">
        <f t="shared" ref="AF2:AF65" si="0">IF(AND(B2=1, C2=1, F2=18, G2=1), 1, 2)</f>
        <v>2</v>
      </c>
      <c r="AG2" s="13">
        <f>COUNTIF($AF$2:$AF$91, 1)</f>
        <v>4</v>
      </c>
      <c r="AH2" s="13">
        <f>AG2/90</f>
        <v>4.4444444444444446E-2</v>
      </c>
    </row>
    <row r="3" spans="1:34" ht="57.6" x14ac:dyDescent="0.3">
      <c r="A3" s="6" t="s">
        <v>10681</v>
      </c>
      <c r="B3" s="11">
        <v>2</v>
      </c>
      <c r="C3" s="11">
        <v>2</v>
      </c>
      <c r="D3" s="11">
        <v>16</v>
      </c>
      <c r="E3" s="3">
        <f t="shared" ref="E3:E66" si="1">IF(OR(D3=4, D3=6, D3=8, D3=10, D3=12, D3=14), 18, D3)</f>
        <v>16</v>
      </c>
      <c r="F3" s="3">
        <f t="shared" ref="F3:F66" si="2">IF(OR(E3=5, E3=7, E3=9, E3=11, E3=13, E3=15), 19, E3)</f>
        <v>16</v>
      </c>
      <c r="G3" s="11">
        <v>3</v>
      </c>
      <c r="I3" s="4" t="s">
        <v>39606</v>
      </c>
      <c r="J3">
        <f>COUNTIFS($B$2:$B$386,1,$C$2:$C$386,2)</f>
        <v>2</v>
      </c>
      <c r="K3">
        <f t="shared" ref="K3:K16" si="3">(J3/90)*100</f>
        <v>2.2222222222222223</v>
      </c>
      <c r="M3" t="s">
        <v>21</v>
      </c>
      <c r="N3">
        <f>COUNTIFS($C$2:$C$386,1,$D$2:$D$386,2)</f>
        <v>0</v>
      </c>
      <c r="O3">
        <f t="shared" ref="O3:O66" si="4">(N3/90)*100</f>
        <v>0</v>
      </c>
      <c r="Q3" t="s">
        <v>21</v>
      </c>
      <c r="R3">
        <f>COUNTIFS($C$2:$C$386,1,$F$2:$F$386,2)</f>
        <v>0</v>
      </c>
      <c r="S3">
        <f t="shared" ref="S3:S33" si="5">(R3/90)*100</f>
        <v>0</v>
      </c>
      <c r="U3" s="4" t="s">
        <v>39121</v>
      </c>
      <c r="V3">
        <f>COUNTIFS($D$2:$D$386,1,$G$2:$G$386,2)</f>
        <v>0</v>
      </c>
      <c r="W3">
        <f t="shared" ref="W3:W66" si="6">(V3/90)*100</f>
        <v>0</v>
      </c>
      <c r="Y3" s="4" t="s">
        <v>39121</v>
      </c>
      <c r="Z3">
        <f>COUNTIFS($F$2:$F$386,1,$G$2:$G$386,2)</f>
        <v>0</v>
      </c>
      <c r="AA3">
        <f t="shared" ref="AA3:AA43" si="7">(Z3/90)*100</f>
        <v>0</v>
      </c>
      <c r="AB3" s="4" t="s">
        <v>39167</v>
      </c>
      <c r="AC3" s="6">
        <f>COUNTIFS($B$2:$B$386,2,$C$2:$C$386,1,$F$2:$F$386,18,$G$2:$G$386,1)</f>
        <v>0</v>
      </c>
      <c r="AD3" s="6">
        <f t="shared" ref="AD3:AD66" si="8">(AC3/90)*100</f>
        <v>0</v>
      </c>
      <c r="AF3">
        <f t="shared" si="0"/>
        <v>2</v>
      </c>
      <c r="AG3" s="13">
        <f>COUNTIF($AF$2:$AF$91, 2)</f>
        <v>86</v>
      </c>
      <c r="AH3" s="13">
        <f>AG3/90</f>
        <v>0.9555555555555556</v>
      </c>
    </row>
    <row r="4" spans="1:34" ht="86.4" x14ac:dyDescent="0.3">
      <c r="A4" s="6" t="s">
        <v>10672</v>
      </c>
      <c r="B4" s="7">
        <v>1</v>
      </c>
      <c r="C4" s="7">
        <v>3</v>
      </c>
      <c r="D4" s="7">
        <v>3</v>
      </c>
      <c r="E4" s="3">
        <f t="shared" si="1"/>
        <v>3</v>
      </c>
      <c r="F4" s="3">
        <f t="shared" si="2"/>
        <v>3</v>
      </c>
      <c r="G4" s="7">
        <v>5</v>
      </c>
      <c r="I4" s="4" t="s">
        <v>39602</v>
      </c>
      <c r="J4">
        <f>COUNTIFS($B$2:$B$386,1,$C$2:$C$386,3)</f>
        <v>16</v>
      </c>
      <c r="K4">
        <f t="shared" si="3"/>
        <v>17.777777777777779</v>
      </c>
      <c r="M4" t="s">
        <v>28</v>
      </c>
      <c r="N4">
        <f>COUNTIFS($C$2:$C$386,1,$D$2:$D$386,3)</f>
        <v>0</v>
      </c>
      <c r="O4">
        <f t="shared" si="4"/>
        <v>0</v>
      </c>
      <c r="Q4" t="s">
        <v>28</v>
      </c>
      <c r="R4">
        <f>COUNTIFS($C$2:$C$386,1,$F$2:$F$386,3)</f>
        <v>0</v>
      </c>
      <c r="S4">
        <f t="shared" si="5"/>
        <v>0</v>
      </c>
      <c r="U4" s="4" t="s">
        <v>39125</v>
      </c>
      <c r="V4">
        <f>COUNTIFS($D$2:$D$386,1,$G$2:$G$386,3)</f>
        <v>1</v>
      </c>
      <c r="W4">
        <f t="shared" si="6"/>
        <v>1.1111111111111112</v>
      </c>
      <c r="Y4" s="4" t="s">
        <v>39125</v>
      </c>
      <c r="Z4">
        <f>COUNTIFS($F$2:$F$386,1,$G$2:$G$386,3)</f>
        <v>1</v>
      </c>
      <c r="AA4">
        <f t="shared" si="7"/>
        <v>1.1111111111111112</v>
      </c>
      <c r="AB4" s="4" t="s">
        <v>39168</v>
      </c>
      <c r="AC4" s="6">
        <f>COUNTIFS($B$2:$B$386,3,$C$2:$C$386,1,$F$2:$F$386,18,$G$2:$G$386,1)</f>
        <v>0</v>
      </c>
      <c r="AD4" s="6">
        <f t="shared" si="8"/>
        <v>0</v>
      </c>
      <c r="AF4">
        <f t="shared" si="0"/>
        <v>2</v>
      </c>
    </row>
    <row r="5" spans="1:34" ht="43.2" x14ac:dyDescent="0.3">
      <c r="A5" s="6" t="s">
        <v>10727</v>
      </c>
      <c r="B5" s="11">
        <v>3</v>
      </c>
      <c r="C5" s="11">
        <v>3</v>
      </c>
      <c r="D5" s="11">
        <v>17</v>
      </c>
      <c r="E5" s="3">
        <f t="shared" si="1"/>
        <v>17</v>
      </c>
      <c r="F5" s="3">
        <f t="shared" si="2"/>
        <v>17</v>
      </c>
      <c r="G5" s="11">
        <v>4</v>
      </c>
      <c r="I5" s="4" t="s">
        <v>34</v>
      </c>
      <c r="J5">
        <f>COUNTIFS($B$2:$B$386,1,$C$2:$C$386,4)</f>
        <v>0</v>
      </c>
      <c r="K5">
        <f t="shared" si="3"/>
        <v>0</v>
      </c>
      <c r="M5" t="s">
        <v>35</v>
      </c>
      <c r="N5">
        <f>COUNTIFS($C$2:$C$386,1,$D$2:$D$386,4)</f>
        <v>0</v>
      </c>
      <c r="O5">
        <f t="shared" si="4"/>
        <v>0</v>
      </c>
      <c r="Q5" t="s">
        <v>3093</v>
      </c>
      <c r="R5">
        <f>COUNTIFS($C$2:$C$386,1,$F$2:$F$386,18)</f>
        <v>7</v>
      </c>
      <c r="S5">
        <f t="shared" si="5"/>
        <v>7.7777777777777777</v>
      </c>
      <c r="U5" s="4" t="s">
        <v>39122</v>
      </c>
      <c r="V5">
        <f>COUNTIFS($D$2:$D$386,1,$G$2:$G$386,4)</f>
        <v>0</v>
      </c>
      <c r="W5">
        <f t="shared" si="6"/>
        <v>0</v>
      </c>
      <c r="Y5" s="4" t="s">
        <v>39122</v>
      </c>
      <c r="Z5">
        <f>COUNTIFS($F$2:$F$386,1,$G$2:$G$386,4)</f>
        <v>0</v>
      </c>
      <c r="AA5">
        <f t="shared" si="7"/>
        <v>0</v>
      </c>
      <c r="AB5" s="4" t="s">
        <v>39169</v>
      </c>
      <c r="AC5" s="6">
        <f>COUNTIFS($B$2:$B$386,1,$C$2:$C$386,2,$F$2:$F$386,18,$G$2:$G$386,1)</f>
        <v>0</v>
      </c>
      <c r="AD5" s="6">
        <f t="shared" si="8"/>
        <v>0</v>
      </c>
      <c r="AF5">
        <f t="shared" si="0"/>
        <v>2</v>
      </c>
    </row>
    <row r="6" spans="1:34" ht="43.2" x14ac:dyDescent="0.3">
      <c r="A6" s="6" t="s">
        <v>10722</v>
      </c>
      <c r="B6" s="11">
        <v>2</v>
      </c>
      <c r="C6" s="11">
        <v>3</v>
      </c>
      <c r="D6" s="11">
        <v>17</v>
      </c>
      <c r="E6" s="3">
        <f t="shared" si="1"/>
        <v>17</v>
      </c>
      <c r="F6" s="3">
        <f t="shared" si="2"/>
        <v>17</v>
      </c>
      <c r="G6" s="11">
        <v>3</v>
      </c>
      <c r="J6" s="22">
        <f>SUM(J2:J5)</f>
        <v>25</v>
      </c>
      <c r="K6" s="22">
        <f t="shared" si="3"/>
        <v>27.777777777777779</v>
      </c>
      <c r="M6" t="s">
        <v>40</v>
      </c>
      <c r="N6">
        <f>COUNTIFS($C$2:$C$386,1,$D$2:$D$386,5)</f>
        <v>0</v>
      </c>
      <c r="O6">
        <f t="shared" si="4"/>
        <v>0</v>
      </c>
      <c r="Q6" t="s">
        <v>3094</v>
      </c>
      <c r="R6">
        <f>COUNTIFS($C$2:$C$386,1,$F$2:$F$386,19)</f>
        <v>0</v>
      </c>
      <c r="S6">
        <f t="shared" si="5"/>
        <v>0</v>
      </c>
      <c r="U6" s="4" t="s">
        <v>39123</v>
      </c>
      <c r="V6">
        <f>COUNTIFS($D$2:$D$386,1,$G$2:$G$386,5)</f>
        <v>12</v>
      </c>
      <c r="W6">
        <f t="shared" si="6"/>
        <v>13.333333333333334</v>
      </c>
      <c r="Y6" s="4" t="s">
        <v>39123</v>
      </c>
      <c r="Z6">
        <f>COUNTIFS($F$2:$F$386,1,$G$2:$G$386,5)</f>
        <v>12</v>
      </c>
      <c r="AA6">
        <f t="shared" si="7"/>
        <v>13.333333333333334</v>
      </c>
      <c r="AB6" s="4" t="s">
        <v>39170</v>
      </c>
      <c r="AC6" s="6">
        <f>COUNTIFS($B$2:$B$386,2,$C$2:$C$386,2,$F$2:$F$386,18,$G$2:$G$386,1)</f>
        <v>0</v>
      </c>
      <c r="AD6" s="6">
        <f t="shared" si="8"/>
        <v>0</v>
      </c>
      <c r="AF6">
        <f t="shared" si="0"/>
        <v>2</v>
      </c>
    </row>
    <row r="7" spans="1:34" ht="43.2" x14ac:dyDescent="0.3">
      <c r="A7" s="6" t="s">
        <v>10723</v>
      </c>
      <c r="B7" s="11">
        <v>2</v>
      </c>
      <c r="C7" s="11">
        <v>2</v>
      </c>
      <c r="D7" s="11">
        <v>16</v>
      </c>
      <c r="E7" s="3">
        <f t="shared" si="1"/>
        <v>16</v>
      </c>
      <c r="F7" s="3">
        <f t="shared" si="2"/>
        <v>16</v>
      </c>
      <c r="G7" s="11">
        <v>3</v>
      </c>
      <c r="H7" s="4" t="s">
        <v>20</v>
      </c>
      <c r="I7" s="4" t="s">
        <v>39605</v>
      </c>
      <c r="J7">
        <f>COUNTIFS($B$2:$B$386,2,$C$2:$C$386,1)</f>
        <v>0</v>
      </c>
      <c r="K7">
        <f t="shared" si="3"/>
        <v>0</v>
      </c>
      <c r="M7" t="s">
        <v>44</v>
      </c>
      <c r="N7">
        <f>COUNTIFS($C$2:$C$386,1,$D$2:$D$386,6)</f>
        <v>3</v>
      </c>
      <c r="O7">
        <f t="shared" si="4"/>
        <v>3.3333333333333335</v>
      </c>
      <c r="Q7" t="s">
        <v>50</v>
      </c>
      <c r="R7">
        <f>COUNTIFS($C$2:$C$386,1,$F$2:$F$386,16)</f>
        <v>0</v>
      </c>
      <c r="S7">
        <f t="shared" si="5"/>
        <v>0</v>
      </c>
      <c r="V7" s="23">
        <f>SUM(V2:V6)</f>
        <v>13</v>
      </c>
      <c r="W7" s="23">
        <f t="shared" si="6"/>
        <v>14.444444444444443</v>
      </c>
      <c r="Z7" s="22">
        <f>SUM(Z2:Z6)</f>
        <v>13</v>
      </c>
      <c r="AA7" s="22">
        <f t="shared" si="7"/>
        <v>14.444444444444443</v>
      </c>
      <c r="AB7" s="4" t="s">
        <v>39171</v>
      </c>
      <c r="AC7" s="6">
        <f>COUNTIFS($B$2:$B$386,3,$C$2:$C$386,2,$F$2:$F$386,18,$G$2:$G$386,1)</f>
        <v>0</v>
      </c>
      <c r="AD7" s="6">
        <f t="shared" si="8"/>
        <v>0</v>
      </c>
      <c r="AF7">
        <f t="shared" si="0"/>
        <v>2</v>
      </c>
    </row>
    <row r="8" spans="1:34" ht="57.6" x14ac:dyDescent="0.3">
      <c r="A8" s="6" t="s">
        <v>10682</v>
      </c>
      <c r="B8" s="11">
        <v>1</v>
      </c>
      <c r="C8" s="11">
        <v>3</v>
      </c>
      <c r="D8" s="11">
        <v>1</v>
      </c>
      <c r="E8" s="3">
        <f t="shared" si="1"/>
        <v>1</v>
      </c>
      <c r="F8" s="3">
        <f t="shared" si="2"/>
        <v>1</v>
      </c>
      <c r="G8" s="11">
        <v>5</v>
      </c>
      <c r="I8" s="4" t="s">
        <v>39606</v>
      </c>
      <c r="J8">
        <f>COUNTIFS($B$2:$B$386,2,$C$2:$C$386,2)</f>
        <v>12</v>
      </c>
      <c r="K8">
        <f t="shared" si="3"/>
        <v>13.333333333333334</v>
      </c>
      <c r="M8" t="s">
        <v>47</v>
      </c>
      <c r="N8">
        <f>COUNTIFS($C$2:$C$386,1,$D$2:$D$386,7)</f>
        <v>0</v>
      </c>
      <c r="O8">
        <f t="shared" si="4"/>
        <v>0</v>
      </c>
      <c r="Q8" t="s">
        <v>3095</v>
      </c>
      <c r="R8">
        <f>COUNTIFS($C$2:$C$386,1,$F$2:$F$386,17)</f>
        <v>0</v>
      </c>
      <c r="S8">
        <f t="shared" si="5"/>
        <v>0</v>
      </c>
      <c r="T8" t="s">
        <v>21</v>
      </c>
      <c r="U8" s="4" t="s">
        <v>39120</v>
      </c>
      <c r="V8">
        <f>COUNTIFS($D$2:$D$386,2,$G$2:$G$386,1)</f>
        <v>0</v>
      </c>
      <c r="W8">
        <f t="shared" si="6"/>
        <v>0</v>
      </c>
      <c r="X8" t="s">
        <v>21</v>
      </c>
      <c r="Y8" s="4" t="s">
        <v>39120</v>
      </c>
      <c r="Z8">
        <f>COUNTIFS($F$2:$F$386,2,$G$2:$G$386,1)</f>
        <v>0</v>
      </c>
      <c r="AA8">
        <f t="shared" si="7"/>
        <v>0</v>
      </c>
      <c r="AB8" s="4" t="s">
        <v>39172</v>
      </c>
      <c r="AC8" s="6">
        <f>COUNTIFS($B$2:$B$386,1,$C$2:$C$386,3,$F$2:$F$386,18,$G$2:$G$386,1)</f>
        <v>0</v>
      </c>
      <c r="AD8" s="6">
        <f t="shared" si="8"/>
        <v>0</v>
      </c>
      <c r="AF8">
        <f t="shared" si="0"/>
        <v>2</v>
      </c>
    </row>
    <row r="9" spans="1:34" ht="86.4" x14ac:dyDescent="0.3">
      <c r="A9" s="6" t="s">
        <v>10736</v>
      </c>
      <c r="B9" s="7">
        <v>3</v>
      </c>
      <c r="C9" s="7">
        <v>3</v>
      </c>
      <c r="D9" s="7">
        <v>17</v>
      </c>
      <c r="E9" s="3">
        <f t="shared" si="1"/>
        <v>17</v>
      </c>
      <c r="F9" s="3">
        <f t="shared" si="2"/>
        <v>17</v>
      </c>
      <c r="G9" s="7">
        <v>4</v>
      </c>
      <c r="I9" s="4" t="s">
        <v>39602</v>
      </c>
      <c r="J9">
        <f>COUNTIFS($B$2:$B$386,2,$C$2:$C$386,3)</f>
        <v>23</v>
      </c>
      <c r="K9">
        <f t="shared" si="3"/>
        <v>25.555555555555554</v>
      </c>
      <c r="M9" t="s">
        <v>1637</v>
      </c>
      <c r="N9">
        <f>COUNTIFS($C$2:$C$386,1,$D$2:$D$386,8)</f>
        <v>0</v>
      </c>
      <c r="O9">
        <f t="shared" si="4"/>
        <v>0</v>
      </c>
      <c r="R9" s="22">
        <f>SUM(R2:R8)</f>
        <v>7</v>
      </c>
      <c r="S9" s="22">
        <f t="shared" si="5"/>
        <v>7.7777777777777777</v>
      </c>
      <c r="U9" s="4" t="s">
        <v>39121</v>
      </c>
      <c r="V9">
        <f>COUNTIFS($D$2:$D$386,2,$G$2:$G$386,2)</f>
        <v>0</v>
      </c>
      <c r="W9">
        <f t="shared" si="6"/>
        <v>0</v>
      </c>
      <c r="Y9" s="4" t="s">
        <v>39121</v>
      </c>
      <c r="Z9">
        <f>COUNTIFS($F$2:$F$386,2,$G$2:$G$386,2)</f>
        <v>0</v>
      </c>
      <c r="AA9">
        <f t="shared" si="7"/>
        <v>0</v>
      </c>
      <c r="AB9" s="4" t="s">
        <v>39173</v>
      </c>
      <c r="AC9" s="6">
        <f>COUNTIFS($B$2:$B$386,2,$C$2:$C$386,3,$F$2:$F$386,18,$G$2:$G$386,1)</f>
        <v>0</v>
      </c>
      <c r="AD9" s="6">
        <f t="shared" si="8"/>
        <v>0</v>
      </c>
      <c r="AF9">
        <f t="shared" si="0"/>
        <v>2</v>
      </c>
    </row>
    <row r="10" spans="1:34" ht="57.6" x14ac:dyDescent="0.3">
      <c r="A10" s="6" t="s">
        <v>10695</v>
      </c>
      <c r="B10" s="7">
        <v>3</v>
      </c>
      <c r="C10" s="7">
        <v>3</v>
      </c>
      <c r="D10" s="7">
        <v>17</v>
      </c>
      <c r="E10" s="3">
        <f t="shared" si="1"/>
        <v>17</v>
      </c>
      <c r="F10" s="3">
        <f t="shared" si="2"/>
        <v>17</v>
      </c>
      <c r="G10" s="7">
        <v>4</v>
      </c>
      <c r="I10" s="4" t="s">
        <v>34</v>
      </c>
      <c r="J10">
        <f>COUNTIFS($B$2:$B$386,2,$C$2:$C$386,4)</f>
        <v>0</v>
      </c>
      <c r="K10">
        <f t="shared" si="3"/>
        <v>0</v>
      </c>
      <c r="M10" t="s">
        <v>1638</v>
      </c>
      <c r="N10">
        <f>COUNTIFS($C$2:$C$386,1,$D$2:$D$386,9)</f>
        <v>0</v>
      </c>
      <c r="O10">
        <f t="shared" si="4"/>
        <v>0</v>
      </c>
      <c r="P10" s="4" t="s">
        <v>39606</v>
      </c>
      <c r="Q10" t="s">
        <v>14</v>
      </c>
      <c r="R10">
        <f>COUNTIFS($C$2:$C$386,2,$F$2:$F$386,1)</f>
        <v>1</v>
      </c>
      <c r="S10">
        <f t="shared" si="5"/>
        <v>1.1111111111111112</v>
      </c>
      <c r="U10" s="4" t="s">
        <v>39125</v>
      </c>
      <c r="V10">
        <f>COUNTIFS($D$2:$D$386,2,$G$2:$G$386,3)</f>
        <v>0</v>
      </c>
      <c r="W10">
        <f t="shared" si="6"/>
        <v>0</v>
      </c>
      <c r="Y10" s="4" t="s">
        <v>39125</v>
      </c>
      <c r="Z10">
        <f>COUNTIFS($F$2:$F$386,2,$G$2:$G$386,3)</f>
        <v>0</v>
      </c>
      <c r="AA10">
        <f t="shared" si="7"/>
        <v>0</v>
      </c>
      <c r="AB10" s="4" t="s">
        <v>39174</v>
      </c>
      <c r="AC10" s="6">
        <f>COUNTIFS($B$2:$B$386,3,$C$2:$C$386,3,$F$2:$F$386,18,$G$2:$G$386,1)</f>
        <v>0</v>
      </c>
      <c r="AD10" s="6">
        <f t="shared" si="8"/>
        <v>0</v>
      </c>
      <c r="AF10">
        <f t="shared" si="0"/>
        <v>2</v>
      </c>
    </row>
    <row r="11" spans="1:34" ht="43.2" x14ac:dyDescent="0.3">
      <c r="A11" s="6" t="s">
        <v>10711</v>
      </c>
      <c r="B11" s="11">
        <v>2</v>
      </c>
      <c r="C11" s="11">
        <v>3</v>
      </c>
      <c r="D11" s="11">
        <v>16</v>
      </c>
      <c r="E11" s="3">
        <f t="shared" si="1"/>
        <v>16</v>
      </c>
      <c r="F11" s="3">
        <f t="shared" si="2"/>
        <v>16</v>
      </c>
      <c r="G11" s="11">
        <v>4</v>
      </c>
      <c r="J11" s="22">
        <f>SUM(J7:J10)</f>
        <v>35</v>
      </c>
      <c r="K11" s="22">
        <f t="shared" si="3"/>
        <v>38.888888888888893</v>
      </c>
      <c r="M11" t="s">
        <v>1639</v>
      </c>
      <c r="N11">
        <f>COUNTIFS($C$2:$C$386,1,$D$2:$D$386,10)</f>
        <v>2</v>
      </c>
      <c r="O11">
        <f t="shared" si="4"/>
        <v>2.2222222222222223</v>
      </c>
      <c r="Q11" t="s">
        <v>21</v>
      </c>
      <c r="R11">
        <f>COUNTIFS($C$2:$C$386,2,$F$2:$F$386,2)</f>
        <v>0</v>
      </c>
      <c r="S11">
        <f t="shared" si="5"/>
        <v>0</v>
      </c>
      <c r="U11" s="4" t="s">
        <v>39122</v>
      </c>
      <c r="V11">
        <f>COUNTIFS($D$2:$D$386,2,$G$2:$G$386,4)</f>
        <v>0</v>
      </c>
      <c r="W11">
        <f t="shared" si="6"/>
        <v>0</v>
      </c>
      <c r="Y11" s="4" t="s">
        <v>39122</v>
      </c>
      <c r="Z11">
        <f>COUNTIFS($F$2:$F$386,2,$G$2:$G$386,4)</f>
        <v>0</v>
      </c>
      <c r="AA11">
        <f t="shared" si="7"/>
        <v>0</v>
      </c>
      <c r="AB11" s="4" t="s">
        <v>39175</v>
      </c>
      <c r="AC11" s="6">
        <f>COUNTIFS($B$2:$B$386,1,$C$2:$C$386,4,$F$2:$F$386,18,$G$2:$G$386,1)</f>
        <v>0</v>
      </c>
      <c r="AD11" s="6">
        <f t="shared" si="8"/>
        <v>0</v>
      </c>
      <c r="AF11">
        <f t="shared" si="0"/>
        <v>2</v>
      </c>
    </row>
    <row r="12" spans="1:34" ht="43.2" x14ac:dyDescent="0.3">
      <c r="A12" s="6" t="s">
        <v>10702</v>
      </c>
      <c r="B12" s="11">
        <v>2</v>
      </c>
      <c r="C12" s="11">
        <v>3</v>
      </c>
      <c r="D12" s="11">
        <v>16</v>
      </c>
      <c r="E12" s="3">
        <f t="shared" si="1"/>
        <v>16</v>
      </c>
      <c r="F12" s="3">
        <f t="shared" si="2"/>
        <v>16</v>
      </c>
      <c r="G12" s="11">
        <v>4</v>
      </c>
      <c r="H12" t="s">
        <v>27</v>
      </c>
      <c r="I12" s="4" t="s">
        <v>39605</v>
      </c>
      <c r="J12">
        <f>COUNTIFS($B$2:$B$386,3,$C$2:$C$386,1)</f>
        <v>0</v>
      </c>
      <c r="K12">
        <f t="shared" si="3"/>
        <v>0</v>
      </c>
      <c r="M12" t="s">
        <v>1640</v>
      </c>
      <c r="N12">
        <f>COUNTIFS($C$2:$C$386,1,$D$2:$D$386,11)</f>
        <v>0</v>
      </c>
      <c r="O12">
        <f t="shared" si="4"/>
        <v>0</v>
      </c>
      <c r="Q12" t="s">
        <v>28</v>
      </c>
      <c r="R12">
        <f>COUNTIFS($C$2:$C$386,2,$F$2:$F$386,3)</f>
        <v>0</v>
      </c>
      <c r="S12">
        <f t="shared" si="5"/>
        <v>0</v>
      </c>
      <c r="U12" s="4" t="s">
        <v>39123</v>
      </c>
      <c r="V12">
        <f>COUNTIFS($D$2:$D$386,2,$G$2:$G$386,5)</f>
        <v>2</v>
      </c>
      <c r="W12">
        <f t="shared" si="6"/>
        <v>2.2222222222222223</v>
      </c>
      <c r="Y12" s="4" t="s">
        <v>39123</v>
      </c>
      <c r="Z12">
        <f>COUNTIFS($F$2:$F$386,2,$G$2:$G$386,5)</f>
        <v>2</v>
      </c>
      <c r="AA12">
        <f t="shared" si="7"/>
        <v>2.2222222222222223</v>
      </c>
      <c r="AB12" s="4" t="s">
        <v>39176</v>
      </c>
      <c r="AC12" s="6">
        <f>COUNTIFS($B$2:$B$386,2,$C$2:$C$386,4,$F$2:$F$386,18,$G$2:$G$386,1)</f>
        <v>0</v>
      </c>
      <c r="AD12" s="6">
        <f t="shared" si="8"/>
        <v>0</v>
      </c>
      <c r="AF12">
        <f t="shared" si="0"/>
        <v>2</v>
      </c>
    </row>
    <row r="13" spans="1:34" ht="57.6" x14ac:dyDescent="0.3">
      <c r="A13" s="6" t="s">
        <v>10700</v>
      </c>
      <c r="B13" s="11">
        <v>2</v>
      </c>
      <c r="C13" s="11">
        <v>3</v>
      </c>
      <c r="D13" s="11">
        <v>16</v>
      </c>
      <c r="E13" s="3">
        <f t="shared" si="1"/>
        <v>16</v>
      </c>
      <c r="F13" s="3">
        <f t="shared" si="2"/>
        <v>16</v>
      </c>
      <c r="G13" s="11">
        <v>4</v>
      </c>
      <c r="I13" s="4" t="s">
        <v>39606</v>
      </c>
      <c r="J13">
        <f>COUNTIFS($B$2:$B$386,3,$C$2:$C$386,2)</f>
        <v>0</v>
      </c>
      <c r="K13">
        <f t="shared" si="3"/>
        <v>0</v>
      </c>
      <c r="M13" t="s">
        <v>1641</v>
      </c>
      <c r="N13">
        <f>COUNTIFS($C$2:$C$386,1,$D$2:$D$386,12)</f>
        <v>2</v>
      </c>
      <c r="O13">
        <f t="shared" si="4"/>
        <v>2.2222222222222223</v>
      </c>
      <c r="Q13" t="s">
        <v>3093</v>
      </c>
      <c r="R13">
        <f>COUNTIFS($C$2:$C$386,2,$F$2:$F$386,18)</f>
        <v>2</v>
      </c>
      <c r="S13">
        <f t="shared" si="5"/>
        <v>2.2222222222222223</v>
      </c>
      <c r="V13" s="23">
        <f>SUM(V8:V12)</f>
        <v>2</v>
      </c>
      <c r="W13" s="23">
        <f t="shared" si="6"/>
        <v>2.2222222222222223</v>
      </c>
      <c r="Z13" s="22">
        <f>SUM(Z8:Z12)</f>
        <v>2</v>
      </c>
      <c r="AA13" s="22">
        <f t="shared" si="7"/>
        <v>2.2222222222222223</v>
      </c>
      <c r="AB13" s="4" t="s">
        <v>39178</v>
      </c>
      <c r="AC13" s="6">
        <f>COUNTIFS($B$2:$B$386,3,$C$2:$C$386,4,$F$2:$F$386,18,$G$2:$G$386,1)</f>
        <v>0</v>
      </c>
      <c r="AD13" s="6">
        <f t="shared" si="8"/>
        <v>0</v>
      </c>
      <c r="AF13">
        <f t="shared" si="0"/>
        <v>2</v>
      </c>
    </row>
    <row r="14" spans="1:34" ht="86.4" x14ac:dyDescent="0.3">
      <c r="A14" s="6" t="s">
        <v>10713</v>
      </c>
      <c r="B14" s="11">
        <v>2</v>
      </c>
      <c r="C14" s="11">
        <v>3</v>
      </c>
      <c r="D14" s="11">
        <v>12</v>
      </c>
      <c r="E14" s="3">
        <f t="shared" si="1"/>
        <v>18</v>
      </c>
      <c r="F14" s="3">
        <f t="shared" si="2"/>
        <v>18</v>
      </c>
      <c r="G14" s="11">
        <v>2</v>
      </c>
      <c r="I14" s="4" t="s">
        <v>39602</v>
      </c>
      <c r="J14">
        <f>COUNTIFS($B$2:$B$386,3,$C$2:$C$386,3)</f>
        <v>30</v>
      </c>
      <c r="K14">
        <f t="shared" si="3"/>
        <v>33.333333333333329</v>
      </c>
      <c r="M14" t="s">
        <v>1642</v>
      </c>
      <c r="N14">
        <f>COUNTIFS($C$2:$C$386,1,$D$2:$D$386,13)</f>
        <v>0</v>
      </c>
      <c r="O14">
        <f t="shared" si="4"/>
        <v>0</v>
      </c>
      <c r="Q14" t="s">
        <v>3094</v>
      </c>
      <c r="R14">
        <f>COUNTIFS($C$2:$C$386,2,$F$2:$F$386,19)</f>
        <v>0</v>
      </c>
      <c r="S14">
        <f t="shared" si="5"/>
        <v>0</v>
      </c>
      <c r="T14" t="s">
        <v>28</v>
      </c>
      <c r="U14" s="4" t="s">
        <v>39120</v>
      </c>
      <c r="V14">
        <f>COUNTIFS($D$2:$D$386,3,$G$2:$G$386,1)</f>
        <v>0</v>
      </c>
      <c r="W14">
        <f t="shared" si="6"/>
        <v>0</v>
      </c>
      <c r="X14" t="s">
        <v>28</v>
      </c>
      <c r="Y14" s="4" t="s">
        <v>39120</v>
      </c>
      <c r="Z14">
        <f>COUNTIFS($F$2:$F$386,3,$G$2:$G$386,1)</f>
        <v>0</v>
      </c>
      <c r="AA14">
        <f t="shared" si="7"/>
        <v>0</v>
      </c>
      <c r="AB14" s="4" t="s">
        <v>39177</v>
      </c>
      <c r="AC14" s="6">
        <f>COUNTIFS($B$2:$B$386,1,$C$2:$C$386,1,$F$2:$F$386,19,$G$2:$G$386,1)</f>
        <v>0</v>
      </c>
      <c r="AD14" s="6">
        <f t="shared" si="8"/>
        <v>0</v>
      </c>
      <c r="AF14">
        <f t="shared" si="0"/>
        <v>2</v>
      </c>
    </row>
    <row r="15" spans="1:34" ht="43.2" x14ac:dyDescent="0.3">
      <c r="A15" s="6" t="s">
        <v>10741</v>
      </c>
      <c r="B15" s="11">
        <v>2</v>
      </c>
      <c r="C15" s="11">
        <v>3</v>
      </c>
      <c r="D15" s="11">
        <v>17</v>
      </c>
      <c r="E15" s="3">
        <f t="shared" si="1"/>
        <v>17</v>
      </c>
      <c r="F15" s="3">
        <f t="shared" si="2"/>
        <v>17</v>
      </c>
      <c r="G15" s="11">
        <v>4</v>
      </c>
      <c r="I15" s="4" t="s">
        <v>34</v>
      </c>
      <c r="J15">
        <f>COUNTIFS($B$2:$B$386,3,$C$2:$C$386,4)</f>
        <v>0</v>
      </c>
      <c r="K15">
        <f t="shared" si="3"/>
        <v>0</v>
      </c>
      <c r="M15" t="s">
        <v>1643</v>
      </c>
      <c r="N15">
        <f>COUNTIFS($C$2:$C$386,1,$D$2:$D$386,14)</f>
        <v>0</v>
      </c>
      <c r="O15">
        <f t="shared" si="4"/>
        <v>0</v>
      </c>
      <c r="Q15" t="s">
        <v>50</v>
      </c>
      <c r="R15">
        <f>COUNTIFS($C$2:$C$386,2,$F$2:$F$386,16)</f>
        <v>7</v>
      </c>
      <c r="S15">
        <f t="shared" si="5"/>
        <v>7.7777777777777777</v>
      </c>
      <c r="U15" s="4" t="s">
        <v>39121</v>
      </c>
      <c r="V15">
        <f>COUNTIFS($D$2:$D$386,3,$G$2:$G$386,2)</f>
        <v>0</v>
      </c>
      <c r="W15">
        <f t="shared" si="6"/>
        <v>0</v>
      </c>
      <c r="Y15" s="4" t="s">
        <v>39121</v>
      </c>
      <c r="Z15">
        <f>COUNTIFS($F$2:$F$386,3,$G$2:$G$386,2)</f>
        <v>0</v>
      </c>
      <c r="AA15">
        <f t="shared" si="7"/>
        <v>0</v>
      </c>
      <c r="AB15" s="4" t="s">
        <v>39179</v>
      </c>
      <c r="AC15" s="6">
        <f>COUNTIFS($B$2:$B$386,2,$C$2:$C$386,1,$F$2:$F$386,19,$G$2:$G$386,1)</f>
        <v>0</v>
      </c>
      <c r="AD15" s="6">
        <f t="shared" si="8"/>
        <v>0</v>
      </c>
      <c r="AF15">
        <f t="shared" si="0"/>
        <v>2</v>
      </c>
    </row>
    <row r="16" spans="1:34" ht="57.6" x14ac:dyDescent="0.3">
      <c r="A16" s="6" t="s">
        <v>10748</v>
      </c>
      <c r="B16" s="7">
        <v>1</v>
      </c>
      <c r="C16" s="7">
        <v>3</v>
      </c>
      <c r="D16" s="7">
        <v>3</v>
      </c>
      <c r="E16" s="3">
        <f t="shared" si="1"/>
        <v>3</v>
      </c>
      <c r="F16" s="3">
        <f t="shared" si="2"/>
        <v>3</v>
      </c>
      <c r="G16" s="7">
        <v>5</v>
      </c>
      <c r="J16" s="22">
        <f>SUM(J12:J15)</f>
        <v>30</v>
      </c>
      <c r="K16" s="22">
        <f t="shared" si="3"/>
        <v>33.333333333333329</v>
      </c>
      <c r="M16" t="s">
        <v>1644</v>
      </c>
      <c r="N16">
        <f>COUNTIFS($C$2:$C$386,1,$D$2:$D$386,15)</f>
        <v>0</v>
      </c>
      <c r="O16">
        <f t="shared" si="4"/>
        <v>0</v>
      </c>
      <c r="Q16" t="s">
        <v>3095</v>
      </c>
      <c r="R16">
        <f>COUNTIFS($C$2:$C$386,2,$F$2:$F$386,17)</f>
        <v>4</v>
      </c>
      <c r="S16">
        <f t="shared" si="5"/>
        <v>4.4444444444444446</v>
      </c>
      <c r="U16" s="4" t="s">
        <v>39125</v>
      </c>
      <c r="V16">
        <f>COUNTIFS($D$2:$D$386,3,$G$2:$G$386,3)</f>
        <v>0</v>
      </c>
      <c r="W16">
        <f t="shared" si="6"/>
        <v>0</v>
      </c>
      <c r="Y16" s="4" t="s">
        <v>39125</v>
      </c>
      <c r="Z16">
        <f>COUNTIFS($F$2:$F$386,3,$G$2:$G$386,3)</f>
        <v>0</v>
      </c>
      <c r="AA16">
        <f t="shared" si="7"/>
        <v>0</v>
      </c>
      <c r="AB16" s="4" t="s">
        <v>39180</v>
      </c>
      <c r="AC16" s="6">
        <f>COUNTIFS($B$2:$B$386,3,$C$2:$C$386,1,$F$2:$F$386,19,$G$2:$G$386,1)</f>
        <v>0</v>
      </c>
      <c r="AD16" s="6">
        <f t="shared" si="8"/>
        <v>0</v>
      </c>
      <c r="AF16">
        <f t="shared" si="0"/>
        <v>2</v>
      </c>
    </row>
    <row r="17" spans="1:32" ht="43.2" x14ac:dyDescent="0.3">
      <c r="A17" s="6" t="s">
        <v>10759</v>
      </c>
      <c r="B17" s="11">
        <v>2</v>
      </c>
      <c r="C17" s="11">
        <v>3</v>
      </c>
      <c r="D17" s="11">
        <v>8</v>
      </c>
      <c r="E17" s="3">
        <f t="shared" si="1"/>
        <v>18</v>
      </c>
      <c r="F17" s="3">
        <f t="shared" si="2"/>
        <v>18</v>
      </c>
      <c r="G17" s="11">
        <v>3</v>
      </c>
      <c r="M17" t="s">
        <v>29</v>
      </c>
      <c r="N17">
        <f>COUNTIFS($C$2:$C$386,1,$D$2:$D$386,16)</f>
        <v>0</v>
      </c>
      <c r="O17">
        <f t="shared" si="4"/>
        <v>0</v>
      </c>
      <c r="R17" s="22">
        <f>SUM(R10:R16)</f>
        <v>14</v>
      </c>
      <c r="S17" s="22">
        <f t="shared" si="5"/>
        <v>15.555555555555555</v>
      </c>
      <c r="U17" s="4" t="s">
        <v>39122</v>
      </c>
      <c r="V17">
        <f>COUNTIFS($D$2:$D$386,3,$G$2:$G$386,4)</f>
        <v>0</v>
      </c>
      <c r="W17">
        <f t="shared" si="6"/>
        <v>0</v>
      </c>
      <c r="Y17" s="4" t="s">
        <v>39122</v>
      </c>
      <c r="Z17">
        <f>COUNTIFS($F$2:$F$386,3,$G$2:$G$386,4)</f>
        <v>0</v>
      </c>
      <c r="AA17">
        <f t="shared" si="7"/>
        <v>0</v>
      </c>
      <c r="AB17" s="4" t="s">
        <v>39181</v>
      </c>
      <c r="AC17" s="6">
        <f>COUNTIFS($B$2:$B$386,1,$C$2:$C$386,2,$F$2:$F$386,19,$G$2:$G$386,1)</f>
        <v>0</v>
      </c>
      <c r="AD17" s="6">
        <f t="shared" si="8"/>
        <v>0</v>
      </c>
      <c r="AF17">
        <f t="shared" si="0"/>
        <v>2</v>
      </c>
    </row>
    <row r="18" spans="1:32" ht="86.4" x14ac:dyDescent="0.3">
      <c r="A18" s="6" t="s">
        <v>10694</v>
      </c>
      <c r="B18" s="11">
        <v>1</v>
      </c>
      <c r="C18" s="11">
        <v>2</v>
      </c>
      <c r="D18" s="11">
        <v>1</v>
      </c>
      <c r="E18" s="3">
        <f t="shared" si="1"/>
        <v>1</v>
      </c>
      <c r="F18" s="3">
        <f t="shared" si="2"/>
        <v>1</v>
      </c>
      <c r="G18" s="11">
        <v>3</v>
      </c>
      <c r="M18" t="s">
        <v>54</v>
      </c>
      <c r="N18">
        <f>COUNTIFS($C$2:$C$386,1,$D$2:$D$386,17)</f>
        <v>0</v>
      </c>
      <c r="O18">
        <f t="shared" si="4"/>
        <v>0</v>
      </c>
      <c r="P18" s="4" t="s">
        <v>39602</v>
      </c>
      <c r="Q18" t="s">
        <v>14</v>
      </c>
      <c r="R18">
        <f>COUNTIFS($C$2:$C$386,3,$F$2:$F$386,1)</f>
        <v>12</v>
      </c>
      <c r="S18">
        <f t="shared" si="5"/>
        <v>13.333333333333334</v>
      </c>
      <c r="U18" s="4" t="s">
        <v>39123</v>
      </c>
      <c r="V18">
        <f>COUNTIFS($D$2:$D$386,3,$G$2:$G$386,5)</f>
        <v>2</v>
      </c>
      <c r="W18">
        <f t="shared" si="6"/>
        <v>2.2222222222222223</v>
      </c>
      <c r="Y18" s="4" t="s">
        <v>39123</v>
      </c>
      <c r="Z18">
        <f>COUNTIFS($F$2:$F$386,3,$G$2:$G$386,5)</f>
        <v>2</v>
      </c>
      <c r="AA18">
        <f t="shared" si="7"/>
        <v>2.2222222222222223</v>
      </c>
      <c r="AB18" s="4" t="s">
        <v>39182</v>
      </c>
      <c r="AC18" s="6">
        <f>COUNTIFS($B$2:$B$386,2,$C$2:$C$386,2,$F$2:$F$386,19,$G$2:$G$386,1)</f>
        <v>0</v>
      </c>
      <c r="AD18" s="6">
        <f t="shared" si="8"/>
        <v>0</v>
      </c>
      <c r="AF18">
        <f t="shared" si="0"/>
        <v>2</v>
      </c>
    </row>
    <row r="19" spans="1:32" ht="43.2" x14ac:dyDescent="0.3">
      <c r="A19" s="6" t="s">
        <v>10725</v>
      </c>
      <c r="B19" s="11">
        <v>2</v>
      </c>
      <c r="C19" s="11">
        <v>2</v>
      </c>
      <c r="D19" s="11">
        <v>16</v>
      </c>
      <c r="E19" s="3">
        <f t="shared" si="1"/>
        <v>16</v>
      </c>
      <c r="F19" s="3">
        <f t="shared" si="2"/>
        <v>16</v>
      </c>
      <c r="G19" s="11">
        <v>3</v>
      </c>
      <c r="N19" s="23">
        <f>SUM(N2:N18)</f>
        <v>7</v>
      </c>
      <c r="O19" s="23">
        <f t="shared" si="4"/>
        <v>7.7777777777777777</v>
      </c>
      <c r="Q19" t="s">
        <v>21</v>
      </c>
      <c r="R19">
        <f>COUNTIFS($C$2:$C$386,3,$F$2:$F$386,2)</f>
        <v>2</v>
      </c>
      <c r="S19">
        <f t="shared" si="5"/>
        <v>2.2222222222222223</v>
      </c>
      <c r="V19" s="23">
        <f>SUM(V14:V18)</f>
        <v>2</v>
      </c>
      <c r="W19" s="23">
        <f t="shared" si="6"/>
        <v>2.2222222222222223</v>
      </c>
      <c r="Z19" s="22">
        <f>SUM(Z14:Z18)</f>
        <v>2</v>
      </c>
      <c r="AA19" s="22">
        <f t="shared" si="7"/>
        <v>2.2222222222222223</v>
      </c>
      <c r="AB19" s="4" t="s">
        <v>39183</v>
      </c>
      <c r="AC19" s="6">
        <f>COUNTIFS($B$2:$B$386,3,$C$2:$C$386,2,$F$2:$F$386,19,$G$2:$G$386,1)</f>
        <v>0</v>
      </c>
      <c r="AD19" s="6">
        <f t="shared" si="8"/>
        <v>0</v>
      </c>
      <c r="AF19">
        <f t="shared" si="0"/>
        <v>2</v>
      </c>
    </row>
    <row r="20" spans="1:32" ht="57.6" x14ac:dyDescent="0.3">
      <c r="A20" s="6" t="s">
        <v>10696</v>
      </c>
      <c r="B20" s="11">
        <v>3</v>
      </c>
      <c r="C20" s="11">
        <v>3</v>
      </c>
      <c r="D20" s="11">
        <v>17</v>
      </c>
      <c r="E20" s="3">
        <f t="shared" si="1"/>
        <v>17</v>
      </c>
      <c r="F20" s="3">
        <f t="shared" si="2"/>
        <v>17</v>
      </c>
      <c r="G20" s="11">
        <v>4</v>
      </c>
      <c r="L20" s="4" t="s">
        <v>39606</v>
      </c>
      <c r="M20" t="s">
        <v>14</v>
      </c>
      <c r="N20">
        <f>COUNTIFS($C$2:$C$386,2,$D$2:$D$386,1)</f>
        <v>1</v>
      </c>
      <c r="O20">
        <f t="shared" si="4"/>
        <v>1.1111111111111112</v>
      </c>
      <c r="Q20" t="s">
        <v>28</v>
      </c>
      <c r="R20">
        <f>COUNTIFS($C$2:$C$386,3,$F$2:$F$386,3)</f>
        <v>2</v>
      </c>
      <c r="S20">
        <f t="shared" si="5"/>
        <v>2.2222222222222223</v>
      </c>
      <c r="T20" t="s">
        <v>35</v>
      </c>
      <c r="U20" s="4" t="s">
        <v>39120</v>
      </c>
      <c r="V20">
        <f>COUNTIFS($D$2:$D$386,4,$G$2:$G$386,1)</f>
        <v>0</v>
      </c>
      <c r="W20">
        <f t="shared" si="6"/>
        <v>0</v>
      </c>
      <c r="X20" t="s">
        <v>3093</v>
      </c>
      <c r="Y20" s="4" t="s">
        <v>39120</v>
      </c>
      <c r="Z20">
        <f>COUNTIFS($F$2:$F$386,18,$G$2:$G$386,1)</f>
        <v>4</v>
      </c>
      <c r="AA20">
        <f t="shared" si="7"/>
        <v>4.4444444444444446</v>
      </c>
      <c r="AB20" s="4" t="s">
        <v>39184</v>
      </c>
      <c r="AC20" s="6">
        <f>COUNTIFS($B$2:$B$386,1,$C$2:$C$386,3,$F$2:$F$386,19,$G$2:$G$386,1)</f>
        <v>0</v>
      </c>
      <c r="AD20" s="6">
        <f t="shared" si="8"/>
        <v>0</v>
      </c>
      <c r="AF20">
        <f t="shared" si="0"/>
        <v>2</v>
      </c>
    </row>
    <row r="21" spans="1:32" ht="43.2" x14ac:dyDescent="0.3">
      <c r="A21" s="6" t="s">
        <v>10720</v>
      </c>
      <c r="B21" s="7">
        <v>3</v>
      </c>
      <c r="C21" s="7">
        <v>3</v>
      </c>
      <c r="D21" s="7">
        <v>17</v>
      </c>
      <c r="E21" s="3">
        <f t="shared" si="1"/>
        <v>17</v>
      </c>
      <c r="F21" s="3">
        <f t="shared" si="2"/>
        <v>17</v>
      </c>
      <c r="G21" s="7">
        <v>4</v>
      </c>
      <c r="M21" t="s">
        <v>21</v>
      </c>
      <c r="N21">
        <f>COUNTIFS($C$2:$C$386,2,$D$2:$D$386,2)</f>
        <v>0</v>
      </c>
      <c r="O21">
        <f t="shared" si="4"/>
        <v>0</v>
      </c>
      <c r="Q21" t="s">
        <v>3093</v>
      </c>
      <c r="R21">
        <f>COUNTIFS($C$2:$C$386,3,$F$2:$F$386,18)</f>
        <v>7</v>
      </c>
      <c r="S21">
        <f t="shared" si="5"/>
        <v>7.7777777777777777</v>
      </c>
      <c r="U21" s="4" t="s">
        <v>39121</v>
      </c>
      <c r="V21">
        <f>COUNTIFS($D$2:$D$386,4,$G$2:$G$386,2)</f>
        <v>0</v>
      </c>
      <c r="W21">
        <f t="shared" si="6"/>
        <v>0</v>
      </c>
      <c r="Y21" s="4" t="s">
        <v>39121</v>
      </c>
      <c r="Z21">
        <f>COUNTIFS($F$2:$F$386,18,$G$2:$G$386,2)</f>
        <v>6</v>
      </c>
      <c r="AA21">
        <f t="shared" si="7"/>
        <v>6.666666666666667</v>
      </c>
      <c r="AB21" s="4" t="s">
        <v>39185</v>
      </c>
      <c r="AC21" s="6">
        <f>COUNTIFS($B$2:$B$386,2,$C$2:$C$386,3,$F$2:$F$386,19,$G$2:$G$386,1)</f>
        <v>0</v>
      </c>
      <c r="AD21" s="6">
        <f t="shared" si="8"/>
        <v>0</v>
      </c>
      <c r="AF21">
        <f t="shared" si="0"/>
        <v>2</v>
      </c>
    </row>
    <row r="22" spans="1:32" ht="57.6" x14ac:dyDescent="0.3">
      <c r="A22" s="6" t="s">
        <v>10758</v>
      </c>
      <c r="B22" s="7">
        <v>3</v>
      </c>
      <c r="C22" s="7">
        <v>3</v>
      </c>
      <c r="D22" s="7">
        <v>17</v>
      </c>
      <c r="E22" s="3">
        <f t="shared" si="1"/>
        <v>17</v>
      </c>
      <c r="F22" s="3">
        <f t="shared" si="2"/>
        <v>17</v>
      </c>
      <c r="G22" s="7">
        <v>4</v>
      </c>
      <c r="M22" t="s">
        <v>28</v>
      </c>
      <c r="N22">
        <f>COUNTIFS($C$2:$C$386,2,$D$2:$D$386,3)</f>
        <v>0</v>
      </c>
      <c r="O22">
        <f t="shared" si="4"/>
        <v>0</v>
      </c>
      <c r="Q22" t="s">
        <v>3094</v>
      </c>
      <c r="R22">
        <f>COUNTIFS($C$2:$C$386,3,$F$2:$F$386,19)</f>
        <v>1</v>
      </c>
      <c r="S22">
        <f t="shared" si="5"/>
        <v>1.1111111111111112</v>
      </c>
      <c r="U22" s="4" t="s">
        <v>39125</v>
      </c>
      <c r="V22">
        <f>COUNTIFS($D$2:$D$386,4,$G$2:$G$386,3)</f>
        <v>0</v>
      </c>
      <c r="W22">
        <f t="shared" si="6"/>
        <v>0</v>
      </c>
      <c r="Y22" s="4" t="s">
        <v>39125</v>
      </c>
      <c r="Z22">
        <f>COUNTIFS($F$2:$F$386,18,$G$2:$G$386,3)</f>
        <v>6</v>
      </c>
      <c r="AA22">
        <f t="shared" si="7"/>
        <v>6.666666666666667</v>
      </c>
      <c r="AB22" s="4" t="s">
        <v>39186</v>
      </c>
      <c r="AC22" s="6">
        <f>COUNTIFS($B$2:$B$386,3,$C$2:$C$386,3,$F$2:$F$386,19,$G$2:$G$386,1)</f>
        <v>0</v>
      </c>
      <c r="AD22" s="6">
        <f t="shared" si="8"/>
        <v>0</v>
      </c>
      <c r="AF22">
        <f t="shared" si="0"/>
        <v>2</v>
      </c>
    </row>
    <row r="23" spans="1:32" ht="43.2" x14ac:dyDescent="0.3">
      <c r="A23" s="6" t="s">
        <v>10509</v>
      </c>
      <c r="B23" s="7">
        <v>3</v>
      </c>
      <c r="C23" s="7">
        <v>3</v>
      </c>
      <c r="D23" s="7">
        <v>17</v>
      </c>
      <c r="E23" s="3">
        <f t="shared" si="1"/>
        <v>17</v>
      </c>
      <c r="F23" s="3">
        <f t="shared" si="2"/>
        <v>17</v>
      </c>
      <c r="G23" s="7">
        <v>4</v>
      </c>
      <c r="M23" t="s">
        <v>35</v>
      </c>
      <c r="N23">
        <f>COUNTIFS($C$2:$C$386,2,$D$2:$D$386,4)</f>
        <v>0</v>
      </c>
      <c r="O23">
        <f t="shared" si="4"/>
        <v>0</v>
      </c>
      <c r="Q23" t="s">
        <v>50</v>
      </c>
      <c r="R23">
        <f>COUNTIFS($C$2:$C$386,3,$F$2:$F$386,16)</f>
        <v>6</v>
      </c>
      <c r="S23">
        <f t="shared" si="5"/>
        <v>6.666666666666667</v>
      </c>
      <c r="U23" s="4" t="s">
        <v>39122</v>
      </c>
      <c r="V23">
        <f>COUNTIFS($D$2:$D$386,4,$G$2:$G$386,4)</f>
        <v>0</v>
      </c>
      <c r="W23">
        <f t="shared" si="6"/>
        <v>0</v>
      </c>
      <c r="Y23" s="4" t="s">
        <v>39122</v>
      </c>
      <c r="Z23">
        <f>COUNTIFS($F$2:$F$386,18,$G$2:$G$386,4)</f>
        <v>0</v>
      </c>
      <c r="AA23">
        <f t="shared" si="7"/>
        <v>0</v>
      </c>
      <c r="AB23" s="4" t="s">
        <v>39187</v>
      </c>
      <c r="AC23" s="6">
        <f>COUNTIFS($B$2:$B$386,1,$C$2:$C$386,4,$F$2:$F$386,19,$G$2:$G$386,1)</f>
        <v>0</v>
      </c>
      <c r="AD23" s="6">
        <f t="shared" si="8"/>
        <v>0</v>
      </c>
      <c r="AF23">
        <f t="shared" si="0"/>
        <v>2</v>
      </c>
    </row>
    <row r="24" spans="1:32" ht="43.2" x14ac:dyDescent="0.3">
      <c r="A24" s="6" t="s">
        <v>10673</v>
      </c>
      <c r="B24" s="11">
        <v>1</v>
      </c>
      <c r="C24" s="11">
        <v>1</v>
      </c>
      <c r="D24" s="11">
        <v>10</v>
      </c>
      <c r="E24" s="3">
        <f t="shared" si="1"/>
        <v>18</v>
      </c>
      <c r="F24" s="3">
        <f t="shared" si="2"/>
        <v>18</v>
      </c>
      <c r="G24" s="11">
        <v>2</v>
      </c>
      <c r="M24" t="s">
        <v>40</v>
      </c>
      <c r="N24">
        <f>COUNTIFS($C$2:$C$386,2,$D$2:$D$386,5)</f>
        <v>0</v>
      </c>
      <c r="O24">
        <f t="shared" si="4"/>
        <v>0</v>
      </c>
      <c r="Q24" t="s">
        <v>3095</v>
      </c>
      <c r="R24">
        <f>COUNTIFS($C$2:$C$386,3,$F$2:$F$386,17)</f>
        <v>39</v>
      </c>
      <c r="S24">
        <f t="shared" si="5"/>
        <v>43.333333333333336</v>
      </c>
      <c r="U24" s="4" t="s">
        <v>39123</v>
      </c>
      <c r="V24">
        <f>COUNTIFS($D$2:$D$386,4,$G$2:$G$386,5)</f>
        <v>0</v>
      </c>
      <c r="W24">
        <f t="shared" si="6"/>
        <v>0</v>
      </c>
      <c r="Y24" s="4" t="s">
        <v>39123</v>
      </c>
      <c r="Z24">
        <f>COUNTIFS($F$2:$F$386,18,$G$2:$G$386,5)</f>
        <v>0</v>
      </c>
      <c r="AA24">
        <f t="shared" si="7"/>
        <v>0</v>
      </c>
      <c r="AB24" s="4" t="s">
        <v>39188</v>
      </c>
      <c r="AC24" s="6">
        <f>COUNTIFS($B$2:$B$386,2,$C$2:$C$386,4,$F$2:$F$386,19,$G$2:$G$386,1)</f>
        <v>0</v>
      </c>
      <c r="AD24" s="6">
        <f t="shared" si="8"/>
        <v>0</v>
      </c>
      <c r="AF24">
        <f t="shared" si="0"/>
        <v>2</v>
      </c>
    </row>
    <row r="25" spans="1:32" ht="43.2" x14ac:dyDescent="0.3">
      <c r="A25" s="6" t="s">
        <v>10673</v>
      </c>
      <c r="B25" s="11">
        <v>2</v>
      </c>
      <c r="C25" s="11">
        <v>2</v>
      </c>
      <c r="D25" s="11">
        <v>17</v>
      </c>
      <c r="E25" s="3">
        <f t="shared" si="1"/>
        <v>17</v>
      </c>
      <c r="F25" s="3">
        <f t="shared" si="2"/>
        <v>17</v>
      </c>
      <c r="G25" s="11">
        <v>4</v>
      </c>
      <c r="M25" t="s">
        <v>44</v>
      </c>
      <c r="N25">
        <f>COUNTIFS($C$2:$C$386,2,$D$2:$D$386,6)</f>
        <v>0</v>
      </c>
      <c r="O25">
        <f t="shared" si="4"/>
        <v>0</v>
      </c>
      <c r="R25" s="22">
        <f>SUM(R18:R24)</f>
        <v>69</v>
      </c>
      <c r="S25" s="22">
        <f t="shared" si="5"/>
        <v>76.666666666666671</v>
      </c>
      <c r="V25" s="23">
        <f>SUM(V20:V24)</f>
        <v>0</v>
      </c>
      <c r="W25" s="23">
        <f t="shared" si="6"/>
        <v>0</v>
      </c>
      <c r="Z25" s="22">
        <f>SUM(Z20:Z24)</f>
        <v>16</v>
      </c>
      <c r="AA25" s="22">
        <f t="shared" si="7"/>
        <v>17.777777777777779</v>
      </c>
      <c r="AB25" s="4" t="s">
        <v>39189</v>
      </c>
      <c r="AC25" s="6">
        <f>COUNTIFS($B$2:$B$386,3,$C$2:$C$386,4,$F$2:$F$386,19,$G$2:$G$386,1)</f>
        <v>0</v>
      </c>
      <c r="AD25" s="6">
        <f t="shared" si="8"/>
        <v>0</v>
      </c>
      <c r="AF25">
        <f t="shared" si="0"/>
        <v>2</v>
      </c>
    </row>
    <row r="26" spans="1:32" ht="43.2" x14ac:dyDescent="0.3">
      <c r="A26" s="6" t="s">
        <v>10673</v>
      </c>
      <c r="B26" s="11">
        <v>2</v>
      </c>
      <c r="C26" s="11">
        <v>2</v>
      </c>
      <c r="D26" s="11">
        <v>17</v>
      </c>
      <c r="E26" s="3">
        <f t="shared" si="1"/>
        <v>17</v>
      </c>
      <c r="F26" s="3">
        <f t="shared" si="2"/>
        <v>17</v>
      </c>
      <c r="G26" s="11">
        <v>4</v>
      </c>
      <c r="M26" t="s">
        <v>47</v>
      </c>
      <c r="N26">
        <f>COUNTIFS($C$2:$C$386,2,$D$2:$D$386,7)</f>
        <v>0</v>
      </c>
      <c r="O26">
        <f t="shared" si="4"/>
        <v>0</v>
      </c>
      <c r="P26" s="4" t="s">
        <v>34</v>
      </c>
      <c r="Q26" t="s">
        <v>14</v>
      </c>
      <c r="R26">
        <f>COUNTIFS($C$2:$C$386,4,$F$2:$F$386,1)</f>
        <v>0</v>
      </c>
      <c r="S26">
        <f t="shared" si="5"/>
        <v>0</v>
      </c>
      <c r="T26" t="s">
        <v>40</v>
      </c>
      <c r="U26" s="4" t="s">
        <v>39120</v>
      </c>
      <c r="V26">
        <f>COUNTIFS($D$2:$D$386,5,$G$2:$G$386,1)</f>
        <v>0</v>
      </c>
      <c r="W26">
        <f t="shared" si="6"/>
        <v>0</v>
      </c>
      <c r="X26" t="s">
        <v>3094</v>
      </c>
      <c r="Y26" s="4" t="s">
        <v>39120</v>
      </c>
      <c r="Z26">
        <f>COUNTIFS($F$2:$F$386,19,$G$2:$G$386,1)</f>
        <v>0</v>
      </c>
      <c r="AA26">
        <f t="shared" si="7"/>
        <v>0</v>
      </c>
      <c r="AB26" s="4" t="s">
        <v>39190</v>
      </c>
      <c r="AC26" s="6">
        <f>COUNTIFS($B$2:$B$386,1,$C$2:$C$386,1,$F$2:$F$386,1,$G$2:$G$386,1)</f>
        <v>0</v>
      </c>
      <c r="AD26" s="6">
        <f t="shared" si="8"/>
        <v>0</v>
      </c>
      <c r="AF26">
        <f t="shared" si="0"/>
        <v>2</v>
      </c>
    </row>
    <row r="27" spans="1:32" ht="43.2" x14ac:dyDescent="0.3">
      <c r="A27" s="6" t="s">
        <v>10719</v>
      </c>
      <c r="B27" s="7">
        <v>3</v>
      </c>
      <c r="C27" s="7">
        <v>3</v>
      </c>
      <c r="D27" s="7">
        <v>17</v>
      </c>
      <c r="E27" s="3">
        <f t="shared" si="1"/>
        <v>17</v>
      </c>
      <c r="F27" s="3">
        <f t="shared" si="2"/>
        <v>17</v>
      </c>
      <c r="G27" s="7">
        <v>4</v>
      </c>
      <c r="M27" t="s">
        <v>1637</v>
      </c>
      <c r="N27">
        <f>COUNTIFS($C$2:$C$386,2,$D$2:$D$386,8)</f>
        <v>0</v>
      </c>
      <c r="O27">
        <f t="shared" si="4"/>
        <v>0</v>
      </c>
      <c r="Q27" t="s">
        <v>21</v>
      </c>
      <c r="R27">
        <f>COUNTIFS($C$2:$C$386,4,$F$2:$F$386,2)</f>
        <v>0</v>
      </c>
      <c r="S27">
        <f t="shared" si="5"/>
        <v>0</v>
      </c>
      <c r="U27" s="4" t="s">
        <v>39121</v>
      </c>
      <c r="V27">
        <f>COUNTIFS($D$2:$D$386,5,$G$2:$G$386,2)</f>
        <v>0</v>
      </c>
      <c r="W27">
        <f t="shared" si="6"/>
        <v>0</v>
      </c>
      <c r="Y27" s="4" t="s">
        <v>39121</v>
      </c>
      <c r="Z27">
        <f>COUNTIFS($F$2:$F$386,19,$G$2:$G$386,2)</f>
        <v>0</v>
      </c>
      <c r="AA27">
        <f t="shared" si="7"/>
        <v>0</v>
      </c>
      <c r="AB27" s="4" t="s">
        <v>39191</v>
      </c>
      <c r="AC27" s="6">
        <f>COUNTIFS($B$2:$B$386,2,$C$2:$C$386,1,$F$2:$F$386,1,$G$2:$G$386,1)</f>
        <v>0</v>
      </c>
      <c r="AD27" s="6">
        <f t="shared" si="8"/>
        <v>0</v>
      </c>
      <c r="AF27">
        <f t="shared" si="0"/>
        <v>2</v>
      </c>
    </row>
    <row r="28" spans="1:32" ht="57.6" x14ac:dyDescent="0.3">
      <c r="A28" s="6" t="s">
        <v>39131</v>
      </c>
      <c r="B28" s="11">
        <v>1</v>
      </c>
      <c r="C28" s="11">
        <v>2</v>
      </c>
      <c r="D28" s="11">
        <v>16</v>
      </c>
      <c r="E28" s="3">
        <f t="shared" si="1"/>
        <v>16</v>
      </c>
      <c r="F28" s="3">
        <f t="shared" si="2"/>
        <v>16</v>
      </c>
      <c r="G28" s="11">
        <v>3</v>
      </c>
      <c r="M28" t="s">
        <v>1638</v>
      </c>
      <c r="N28">
        <f>COUNTIFS($C$2:$C$386,2,$D$2:$D$386,9)</f>
        <v>0</v>
      </c>
      <c r="O28">
        <f t="shared" si="4"/>
        <v>0</v>
      </c>
      <c r="Q28" t="s">
        <v>28</v>
      </c>
      <c r="R28">
        <f>COUNTIFS($C$2:$C$386,4,$F$2:$F$386,3)</f>
        <v>0</v>
      </c>
      <c r="S28">
        <f t="shared" si="5"/>
        <v>0</v>
      </c>
      <c r="U28" s="4" t="s">
        <v>39125</v>
      </c>
      <c r="V28">
        <f>COUNTIFS($D$2:$D$386,5,$G$2:$G$386,3)</f>
        <v>0</v>
      </c>
      <c r="W28">
        <f t="shared" si="6"/>
        <v>0</v>
      </c>
      <c r="Y28" s="4" t="s">
        <v>39125</v>
      </c>
      <c r="Z28">
        <f>COUNTIFS($F$2:$F$386,19,$G$2:$G$386,3)</f>
        <v>1</v>
      </c>
      <c r="AA28">
        <f t="shared" si="7"/>
        <v>1.1111111111111112</v>
      </c>
      <c r="AB28" s="4" t="s">
        <v>39192</v>
      </c>
      <c r="AC28" s="6">
        <f>COUNTIFS($B$2:$B$386,3,$C$2:$C$386,1,$F$2:$F$386,1,$G$2:$G$386,1)</f>
        <v>0</v>
      </c>
      <c r="AD28" s="6">
        <f t="shared" si="8"/>
        <v>0</v>
      </c>
      <c r="AF28">
        <f t="shared" si="0"/>
        <v>2</v>
      </c>
    </row>
    <row r="29" spans="1:32" ht="43.2" x14ac:dyDescent="0.3">
      <c r="A29" s="6" t="s">
        <v>10756</v>
      </c>
      <c r="B29" s="11">
        <v>3</v>
      </c>
      <c r="C29" s="11">
        <v>3</v>
      </c>
      <c r="D29" s="11">
        <v>17</v>
      </c>
      <c r="E29" s="3">
        <f t="shared" si="1"/>
        <v>17</v>
      </c>
      <c r="F29" s="3">
        <f t="shared" si="2"/>
        <v>17</v>
      </c>
      <c r="G29" s="11">
        <v>4</v>
      </c>
      <c r="M29" t="s">
        <v>1639</v>
      </c>
      <c r="N29">
        <f>COUNTIFS($C$2:$C$386,2,$D$2:$D$386,10)</f>
        <v>0</v>
      </c>
      <c r="O29">
        <f t="shared" si="4"/>
        <v>0</v>
      </c>
      <c r="Q29" t="s">
        <v>3093</v>
      </c>
      <c r="R29">
        <f>COUNTIFS($C$2:$C$386,4,$F$2:$F$386,18)</f>
        <v>0</v>
      </c>
      <c r="S29">
        <f t="shared" si="5"/>
        <v>0</v>
      </c>
      <c r="U29" s="4" t="s">
        <v>39122</v>
      </c>
      <c r="V29">
        <f>COUNTIFS($D$2:$D$386,5,$G$2:$G$386,4)</f>
        <v>0</v>
      </c>
      <c r="W29">
        <f t="shared" si="6"/>
        <v>0</v>
      </c>
      <c r="Y29" s="4" t="s">
        <v>39122</v>
      </c>
      <c r="Z29">
        <f>COUNTIFS($F$2:$F$386,19,$G$2:$G$386,4)</f>
        <v>0</v>
      </c>
      <c r="AA29">
        <f t="shared" si="7"/>
        <v>0</v>
      </c>
      <c r="AB29" s="4" t="s">
        <v>39193</v>
      </c>
      <c r="AC29" s="6">
        <f>COUNTIFS($B$2:$B$386,1,$C$2:$C$386,2,$F$2:$F$386,1,$G$2:$G$386,1)</f>
        <v>0</v>
      </c>
      <c r="AD29" s="6">
        <f t="shared" si="8"/>
        <v>0</v>
      </c>
      <c r="AF29">
        <f t="shared" si="0"/>
        <v>2</v>
      </c>
    </row>
    <row r="30" spans="1:32" ht="43.2" x14ac:dyDescent="0.3">
      <c r="A30" s="6" t="s">
        <v>10751</v>
      </c>
      <c r="B30" s="7">
        <v>3</v>
      </c>
      <c r="C30" s="7">
        <v>3</v>
      </c>
      <c r="D30" s="7">
        <v>17</v>
      </c>
      <c r="E30" s="3">
        <f t="shared" si="1"/>
        <v>17</v>
      </c>
      <c r="F30" s="3">
        <f t="shared" si="2"/>
        <v>17</v>
      </c>
      <c r="G30" s="7">
        <v>4</v>
      </c>
      <c r="M30" t="s">
        <v>1640</v>
      </c>
      <c r="N30">
        <f>COUNTIFS($C$2:$C$386,2,$D$2:$D$386,11)</f>
        <v>0</v>
      </c>
      <c r="O30">
        <f t="shared" si="4"/>
        <v>0</v>
      </c>
      <c r="Q30" t="s">
        <v>3094</v>
      </c>
      <c r="R30">
        <f>COUNTIFS($C$2:$C$386,4,$F$2:$F$386,19)</f>
        <v>0</v>
      </c>
      <c r="S30">
        <f t="shared" si="5"/>
        <v>0</v>
      </c>
      <c r="U30" s="4" t="s">
        <v>39123</v>
      </c>
      <c r="V30">
        <f>COUNTIFS($D$2:$D$386,5,$G$2:$G$386,5)</f>
        <v>0</v>
      </c>
      <c r="W30">
        <f t="shared" si="6"/>
        <v>0</v>
      </c>
      <c r="Y30" s="4" t="s">
        <v>39123</v>
      </c>
      <c r="Z30">
        <f>COUNTIFS($F$2:$F$386,19,$G$2:$G$386,5)</f>
        <v>0</v>
      </c>
      <c r="AA30">
        <f t="shared" si="7"/>
        <v>0</v>
      </c>
      <c r="AB30" s="4" t="s">
        <v>39194</v>
      </c>
      <c r="AC30" s="6">
        <f>COUNTIFS($B$2:$B$386,2,$C$2:$C$386,2,$F$2:$F$386,1,$G$2:$G$386,1)</f>
        <v>0</v>
      </c>
      <c r="AD30" s="6">
        <f t="shared" si="8"/>
        <v>0</v>
      </c>
      <c r="AF30">
        <f t="shared" si="0"/>
        <v>2</v>
      </c>
    </row>
    <row r="31" spans="1:32" ht="43.2" x14ac:dyDescent="0.3">
      <c r="A31" s="6" t="s">
        <v>10693</v>
      </c>
      <c r="B31" s="11">
        <v>2</v>
      </c>
      <c r="C31" s="11">
        <v>2</v>
      </c>
      <c r="D31" s="11">
        <v>12</v>
      </c>
      <c r="E31" s="3">
        <f t="shared" si="1"/>
        <v>18</v>
      </c>
      <c r="F31" s="3">
        <f t="shared" si="2"/>
        <v>18</v>
      </c>
      <c r="G31" s="11">
        <v>2</v>
      </c>
      <c r="M31" t="s">
        <v>1641</v>
      </c>
      <c r="N31">
        <f>COUNTIFS($C$2:$C$386,2,$D$2:$D$386,12)</f>
        <v>2</v>
      </c>
      <c r="O31">
        <f t="shared" si="4"/>
        <v>2.2222222222222223</v>
      </c>
      <c r="Q31" t="s">
        <v>50</v>
      </c>
      <c r="R31">
        <f>COUNTIFS($C$2:$C$386,4,$F$2:$F$386,16)</f>
        <v>0</v>
      </c>
      <c r="S31">
        <f t="shared" si="5"/>
        <v>0</v>
      </c>
      <c r="V31" s="23">
        <f>SUM(V26:V30)</f>
        <v>0</v>
      </c>
      <c r="W31" s="23">
        <f t="shared" si="6"/>
        <v>0</v>
      </c>
      <c r="Z31" s="22">
        <f>SUM(Z26:Z30)</f>
        <v>1</v>
      </c>
      <c r="AA31" s="22">
        <f t="shared" si="7"/>
        <v>1.1111111111111112</v>
      </c>
      <c r="AB31" s="4" t="s">
        <v>39196</v>
      </c>
      <c r="AC31" s="6">
        <f>COUNTIFS($B$2:$B$386,3,$C$2:$C$386,2,$F$2:$F$386,1,$G$2:$G$386,1)</f>
        <v>0</v>
      </c>
      <c r="AD31" s="6">
        <f t="shared" si="8"/>
        <v>0</v>
      </c>
      <c r="AF31">
        <f t="shared" si="0"/>
        <v>2</v>
      </c>
    </row>
    <row r="32" spans="1:32" ht="43.2" x14ac:dyDescent="0.3">
      <c r="A32" s="6" t="s">
        <v>10704</v>
      </c>
      <c r="B32" s="11">
        <v>2</v>
      </c>
      <c r="C32" s="11">
        <v>3</v>
      </c>
      <c r="D32" s="11">
        <v>12</v>
      </c>
      <c r="E32" s="3">
        <f t="shared" si="1"/>
        <v>18</v>
      </c>
      <c r="F32" s="3">
        <f t="shared" si="2"/>
        <v>18</v>
      </c>
      <c r="G32" s="11">
        <v>2</v>
      </c>
      <c r="M32" t="s">
        <v>1642</v>
      </c>
      <c r="N32">
        <f>COUNTIFS($C$2:$C$386,2,$D$2:$D$386,13)</f>
        <v>0</v>
      </c>
      <c r="O32">
        <f t="shared" si="4"/>
        <v>0</v>
      </c>
      <c r="Q32" t="s">
        <v>3095</v>
      </c>
      <c r="R32">
        <f>COUNTIFS($C$2:$C$386,4,$F$2:$F$386,17)</f>
        <v>0</v>
      </c>
      <c r="S32">
        <f t="shared" si="5"/>
        <v>0</v>
      </c>
      <c r="T32" t="s">
        <v>44</v>
      </c>
      <c r="U32" s="4" t="s">
        <v>39120</v>
      </c>
      <c r="V32">
        <f>COUNTIFS($D$2:$D$386,6,$G$2:$G$386,1)</f>
        <v>3</v>
      </c>
      <c r="W32">
        <f t="shared" si="6"/>
        <v>3.3333333333333335</v>
      </c>
      <c r="X32" t="s">
        <v>50</v>
      </c>
      <c r="Y32" s="4" t="s">
        <v>39120</v>
      </c>
      <c r="Z32">
        <f>COUNTIFS($F$2:$F$386,16,$G$2:$G$386,1)</f>
        <v>0</v>
      </c>
      <c r="AA32">
        <f t="shared" si="7"/>
        <v>0</v>
      </c>
      <c r="AB32" s="4" t="s">
        <v>39195</v>
      </c>
      <c r="AC32" s="6">
        <f>COUNTIFS($B$2:$B$386,1,$C$2:$C$386,3,$F$2:$F$386,1,$G$2:$G$386,1)</f>
        <v>0</v>
      </c>
      <c r="AD32" s="6">
        <f t="shared" si="8"/>
        <v>0</v>
      </c>
      <c r="AF32">
        <f t="shared" si="0"/>
        <v>2</v>
      </c>
    </row>
    <row r="33" spans="1:32" ht="43.2" x14ac:dyDescent="0.3">
      <c r="A33" s="6" t="s">
        <v>2445</v>
      </c>
      <c r="B33" s="11">
        <v>1</v>
      </c>
      <c r="C33" s="11">
        <v>3</v>
      </c>
      <c r="D33" s="11">
        <v>1</v>
      </c>
      <c r="E33" s="3">
        <f t="shared" si="1"/>
        <v>1</v>
      </c>
      <c r="F33" s="3">
        <f t="shared" si="2"/>
        <v>1</v>
      </c>
      <c r="G33" s="11">
        <v>5</v>
      </c>
      <c r="M33" t="s">
        <v>1643</v>
      </c>
      <c r="N33">
        <f>COUNTIFS($C$2:$C$386,2,$D$2:$D$386,14)</f>
        <v>0</v>
      </c>
      <c r="O33">
        <f t="shared" si="4"/>
        <v>0</v>
      </c>
      <c r="R33" s="22">
        <f>SUM(R26:R32)</f>
        <v>0</v>
      </c>
      <c r="S33" s="22">
        <f t="shared" si="5"/>
        <v>0</v>
      </c>
      <c r="U33" s="4" t="s">
        <v>39121</v>
      </c>
      <c r="V33">
        <f>COUNTIFS($D$2:$D$386,6,$G$2:$G$386,2)</f>
        <v>0</v>
      </c>
      <c r="W33">
        <f t="shared" si="6"/>
        <v>0</v>
      </c>
      <c r="Y33" s="4" t="s">
        <v>39121</v>
      </c>
      <c r="Z33">
        <f>COUNTIFS($F$2:$F$386,16,$G$2:$G$386,2)</f>
        <v>0</v>
      </c>
      <c r="AA33">
        <f t="shared" si="7"/>
        <v>0</v>
      </c>
      <c r="AB33" s="4" t="s">
        <v>3097</v>
      </c>
      <c r="AC33" s="6">
        <f>COUNTIFS($B$2:$B$386,2,$C$2:$C$386,3,$F$2:$F$386,1,$G$2:$G$386,1)</f>
        <v>0</v>
      </c>
      <c r="AD33" s="6">
        <f t="shared" si="8"/>
        <v>0</v>
      </c>
      <c r="AF33">
        <f t="shared" si="0"/>
        <v>2</v>
      </c>
    </row>
    <row r="34" spans="1:32" ht="57.6" x14ac:dyDescent="0.3">
      <c r="A34" s="6" t="s">
        <v>10689</v>
      </c>
      <c r="B34" s="11">
        <v>1</v>
      </c>
      <c r="C34" s="11">
        <v>3</v>
      </c>
      <c r="D34" s="11">
        <v>1</v>
      </c>
      <c r="E34" s="3">
        <f t="shared" si="1"/>
        <v>1</v>
      </c>
      <c r="F34" s="3">
        <f t="shared" si="2"/>
        <v>1</v>
      </c>
      <c r="G34" s="11">
        <v>5</v>
      </c>
      <c r="M34" t="s">
        <v>1644</v>
      </c>
      <c r="N34">
        <f>COUNTIFS($C$2:$C$386,2,$D$2:$D$386,15)</f>
        <v>0</v>
      </c>
      <c r="O34">
        <f t="shared" si="4"/>
        <v>0</v>
      </c>
      <c r="U34" s="4" t="s">
        <v>39125</v>
      </c>
      <c r="V34">
        <f>COUNTIFS($D$2:$D$386,6,$G$2:$G$386,3)</f>
        <v>0</v>
      </c>
      <c r="W34">
        <f t="shared" si="6"/>
        <v>0</v>
      </c>
      <c r="Y34" s="4" t="s">
        <v>39125</v>
      </c>
      <c r="Z34">
        <f>COUNTIFS($F$2:$F$386,16,$G$2:$G$386,3)</f>
        <v>8</v>
      </c>
      <c r="AA34">
        <f t="shared" si="7"/>
        <v>8.8888888888888893</v>
      </c>
      <c r="AB34" s="4" t="s">
        <v>39197</v>
      </c>
      <c r="AC34" s="6">
        <f>COUNTIFS($B$2:$B$386,3,$C$2:$C$386,3,$F$2:$F$386,1,$G$2:$G$386,1)</f>
        <v>0</v>
      </c>
      <c r="AD34" s="6">
        <f t="shared" si="8"/>
        <v>0</v>
      </c>
      <c r="AF34">
        <f t="shared" si="0"/>
        <v>2</v>
      </c>
    </row>
    <row r="35" spans="1:32" ht="43.2" x14ac:dyDescent="0.3">
      <c r="A35" s="6" t="s">
        <v>10742</v>
      </c>
      <c r="B35" s="11">
        <v>3</v>
      </c>
      <c r="C35" s="11">
        <v>3</v>
      </c>
      <c r="D35" s="11">
        <v>17</v>
      </c>
      <c r="E35" s="3">
        <f t="shared" si="1"/>
        <v>17</v>
      </c>
      <c r="F35" s="3">
        <f t="shared" si="2"/>
        <v>17</v>
      </c>
      <c r="G35" s="11">
        <v>4</v>
      </c>
      <c r="M35" t="s">
        <v>29</v>
      </c>
      <c r="N35">
        <f>COUNTIFS($C$2:$C$386,2,$D$2:$D$386,16)</f>
        <v>7</v>
      </c>
      <c r="O35">
        <f t="shared" si="4"/>
        <v>7.7777777777777777</v>
      </c>
      <c r="U35" s="4" t="s">
        <v>39122</v>
      </c>
      <c r="V35">
        <f>COUNTIFS($D$2:$D$386,6,$G$2:$G$386,4)</f>
        <v>0</v>
      </c>
      <c r="W35">
        <f t="shared" si="6"/>
        <v>0</v>
      </c>
      <c r="Y35" s="4" t="s">
        <v>39122</v>
      </c>
      <c r="Z35">
        <f>COUNTIFS($F$2:$F$386,16,$G$2:$G$386,4)</f>
        <v>5</v>
      </c>
      <c r="AA35">
        <f t="shared" si="7"/>
        <v>5.5555555555555554</v>
      </c>
      <c r="AB35" s="4" t="s">
        <v>39198</v>
      </c>
      <c r="AC35" s="6">
        <f>COUNTIFS($B$2:$B$386,1,$C$2:$C$386,4,$F$2:$F$386,1,$G$2:$G$386,1)</f>
        <v>0</v>
      </c>
      <c r="AD35" s="6">
        <f t="shared" si="8"/>
        <v>0</v>
      </c>
      <c r="AF35">
        <f t="shared" si="0"/>
        <v>2</v>
      </c>
    </row>
    <row r="36" spans="1:32" ht="43.2" x14ac:dyDescent="0.3">
      <c r="A36" s="6" t="s">
        <v>10688</v>
      </c>
      <c r="B36" s="11">
        <v>2</v>
      </c>
      <c r="C36" s="11">
        <v>3</v>
      </c>
      <c r="D36" s="11">
        <v>16</v>
      </c>
      <c r="E36" s="3">
        <f t="shared" si="1"/>
        <v>16</v>
      </c>
      <c r="F36" s="3">
        <f t="shared" si="2"/>
        <v>16</v>
      </c>
      <c r="G36" s="11">
        <v>4</v>
      </c>
      <c r="M36" t="s">
        <v>54</v>
      </c>
      <c r="N36">
        <f>COUNTIFS($C$2:$C$386,2,$D$2:$D$386,17)</f>
        <v>4</v>
      </c>
      <c r="O36">
        <f t="shared" si="4"/>
        <v>4.4444444444444446</v>
      </c>
      <c r="U36" s="4" t="s">
        <v>39123</v>
      </c>
      <c r="V36">
        <f>COUNTIFS($D$2:$D$386,6,$G$2:$G$386,5)</f>
        <v>0</v>
      </c>
      <c r="W36">
        <f t="shared" si="6"/>
        <v>0</v>
      </c>
      <c r="Y36" s="4" t="s">
        <v>39123</v>
      </c>
      <c r="Z36">
        <f>COUNTIFS($F$2:$F$386,16,$G$2:$G$386,5)</f>
        <v>0</v>
      </c>
      <c r="AA36">
        <f t="shared" si="7"/>
        <v>0</v>
      </c>
      <c r="AB36" s="4" t="s">
        <v>39199</v>
      </c>
      <c r="AC36" s="6">
        <f>COUNTIFS($B$2:$B$386,2,$C$2:$C$386,4,$F$2:$F$386,1,$G$2:$G$386,1)</f>
        <v>0</v>
      </c>
      <c r="AD36" s="6">
        <f t="shared" si="8"/>
        <v>0</v>
      </c>
      <c r="AF36">
        <f t="shared" si="0"/>
        <v>2</v>
      </c>
    </row>
    <row r="37" spans="1:32" ht="43.2" x14ac:dyDescent="0.3">
      <c r="A37" s="6" t="s">
        <v>10675</v>
      </c>
      <c r="B37" s="11">
        <v>2</v>
      </c>
      <c r="C37" s="11">
        <v>2</v>
      </c>
      <c r="D37" s="11">
        <v>16</v>
      </c>
      <c r="E37" s="3">
        <f t="shared" si="1"/>
        <v>16</v>
      </c>
      <c r="F37" s="3">
        <f t="shared" si="2"/>
        <v>16</v>
      </c>
      <c r="G37" s="11">
        <v>3</v>
      </c>
      <c r="N37" s="23">
        <f>SUM(N20:N36)</f>
        <v>14</v>
      </c>
      <c r="O37" s="23">
        <f t="shared" si="4"/>
        <v>15.555555555555555</v>
      </c>
      <c r="V37" s="23">
        <f>SUM(V32:V36)</f>
        <v>3</v>
      </c>
      <c r="W37" s="23">
        <f t="shared" si="6"/>
        <v>3.3333333333333335</v>
      </c>
      <c r="Z37" s="22">
        <f>SUM(Z32:Z36)</f>
        <v>13</v>
      </c>
      <c r="AA37" s="22">
        <f t="shared" si="7"/>
        <v>14.444444444444443</v>
      </c>
      <c r="AB37" s="4" t="s">
        <v>39200</v>
      </c>
      <c r="AC37" s="6">
        <f>COUNTIFS($B$2:$B$386,3,$C$2:$C$386,4,$F$2:$F$386,1,$G$2:$G$386,1)</f>
        <v>0</v>
      </c>
      <c r="AD37" s="6">
        <f t="shared" si="8"/>
        <v>0</v>
      </c>
      <c r="AF37">
        <f t="shared" si="0"/>
        <v>2</v>
      </c>
    </row>
    <row r="38" spans="1:32" ht="86.4" x14ac:dyDescent="0.3">
      <c r="A38" s="6" t="s">
        <v>10547</v>
      </c>
      <c r="B38" s="11">
        <v>3</v>
      </c>
      <c r="C38" s="11">
        <v>3</v>
      </c>
      <c r="D38" s="11">
        <v>17</v>
      </c>
      <c r="E38" s="3">
        <f t="shared" si="1"/>
        <v>17</v>
      </c>
      <c r="F38" s="3">
        <f t="shared" si="2"/>
        <v>17</v>
      </c>
      <c r="G38" s="11">
        <v>4</v>
      </c>
      <c r="L38" s="4" t="s">
        <v>39602</v>
      </c>
      <c r="M38" t="s">
        <v>14</v>
      </c>
      <c r="N38">
        <f>COUNTIFS($C$2:$C$386,3,$D$2:$D$386,1)</f>
        <v>12</v>
      </c>
      <c r="O38">
        <f t="shared" si="4"/>
        <v>13.333333333333334</v>
      </c>
      <c r="T38" t="s">
        <v>47</v>
      </c>
      <c r="U38" s="4" t="s">
        <v>39120</v>
      </c>
      <c r="V38">
        <f>COUNTIFS($D$2:$D$386,7,$G$2:$G$386,1)</f>
        <v>0</v>
      </c>
      <c r="W38">
        <f t="shared" si="6"/>
        <v>0</v>
      </c>
      <c r="X38" t="s">
        <v>3095</v>
      </c>
      <c r="Y38" s="4" t="s">
        <v>39120</v>
      </c>
      <c r="Z38">
        <f>COUNTIFS($F$2:$F$386,17,$G$2:$G$386,1)</f>
        <v>0</v>
      </c>
      <c r="AA38">
        <f t="shared" si="7"/>
        <v>0</v>
      </c>
      <c r="AB38" s="4" t="s">
        <v>39201</v>
      </c>
      <c r="AC38" s="6">
        <f>COUNTIFS($B$2:$B$386,1,$C$2:$C$386,1,$F$2:$F$386,2,$G$2:$G$386,1)</f>
        <v>0</v>
      </c>
      <c r="AD38" s="6">
        <f t="shared" si="8"/>
        <v>0</v>
      </c>
      <c r="AF38">
        <f t="shared" si="0"/>
        <v>2</v>
      </c>
    </row>
    <row r="39" spans="1:32" ht="43.2" x14ac:dyDescent="0.3">
      <c r="A39" s="6" t="s">
        <v>10684</v>
      </c>
      <c r="B39" s="11">
        <v>2</v>
      </c>
      <c r="C39" s="11">
        <v>3</v>
      </c>
      <c r="D39" s="11">
        <v>17</v>
      </c>
      <c r="E39" s="3">
        <f t="shared" si="1"/>
        <v>17</v>
      </c>
      <c r="F39" s="3">
        <f t="shared" si="2"/>
        <v>17</v>
      </c>
      <c r="G39" s="11">
        <v>3</v>
      </c>
      <c r="M39" t="s">
        <v>21</v>
      </c>
      <c r="N39">
        <f>COUNTIFS($C$2:$C$386,3,$D$2:$D$386,2)</f>
        <v>2</v>
      </c>
      <c r="O39">
        <f t="shared" si="4"/>
        <v>2.2222222222222223</v>
      </c>
      <c r="U39" s="4" t="s">
        <v>39121</v>
      </c>
      <c r="V39">
        <f>COUNTIFS($D$2:$D$386,7,$G$2:$G$386,2)</f>
        <v>0</v>
      </c>
      <c r="W39">
        <f t="shared" si="6"/>
        <v>0</v>
      </c>
      <c r="Y39" s="4" t="s">
        <v>39121</v>
      </c>
      <c r="Z39">
        <f>COUNTIFS($F$2:$F$386,17,$G$2:$G$386,2)</f>
        <v>0</v>
      </c>
      <c r="AA39">
        <f t="shared" si="7"/>
        <v>0</v>
      </c>
      <c r="AB39" s="4" t="s">
        <v>39202</v>
      </c>
      <c r="AC39" s="6">
        <f>COUNTIFS($B$2:$B$386,2,$C$2:$C$386,1,$F$2:$F$386,2,$G$2:$G$386,1)</f>
        <v>0</v>
      </c>
      <c r="AD39" s="6">
        <f t="shared" si="8"/>
        <v>0</v>
      </c>
      <c r="AF39">
        <f t="shared" si="0"/>
        <v>2</v>
      </c>
    </row>
    <row r="40" spans="1:32" ht="57.6" x14ac:dyDescent="0.3">
      <c r="A40" s="6" t="s">
        <v>10703</v>
      </c>
      <c r="B40" s="11">
        <v>1</v>
      </c>
      <c r="C40" s="11">
        <v>3</v>
      </c>
      <c r="D40" s="11">
        <v>1</v>
      </c>
      <c r="E40" s="3">
        <f t="shared" si="1"/>
        <v>1</v>
      </c>
      <c r="F40" s="3">
        <f t="shared" si="2"/>
        <v>1</v>
      </c>
      <c r="G40" s="11">
        <v>5</v>
      </c>
      <c r="M40" t="s">
        <v>28</v>
      </c>
      <c r="N40">
        <f>COUNTIFS($C$2:$C$386,3,$D$2:$D$386,3)</f>
        <v>2</v>
      </c>
      <c r="O40">
        <f t="shared" si="4"/>
        <v>2.2222222222222223</v>
      </c>
      <c r="U40" s="4" t="s">
        <v>39125</v>
      </c>
      <c r="V40">
        <f>COUNTIFS($D$2:$D$386,7,$G$2:$G$386,3)</f>
        <v>0</v>
      </c>
      <c r="W40">
        <f t="shared" si="6"/>
        <v>0</v>
      </c>
      <c r="Y40" s="4" t="s">
        <v>39125</v>
      </c>
      <c r="Z40">
        <f>COUNTIFS($F$2:$F$386,17,$G$2:$G$386,3)</f>
        <v>3</v>
      </c>
      <c r="AA40">
        <f t="shared" si="7"/>
        <v>3.3333333333333335</v>
      </c>
      <c r="AB40" s="4" t="s">
        <v>39203</v>
      </c>
      <c r="AC40" s="6">
        <f>COUNTIFS($B$2:$B$386,3,$C$2:$C$386,1,$F$2:$F$386,2,$G$2:$G$386,1)</f>
        <v>0</v>
      </c>
      <c r="AD40" s="6">
        <f t="shared" si="8"/>
        <v>0</v>
      </c>
      <c r="AF40">
        <f t="shared" si="0"/>
        <v>2</v>
      </c>
    </row>
    <row r="41" spans="1:32" ht="43.2" x14ac:dyDescent="0.3">
      <c r="A41" s="6" t="s">
        <v>10734</v>
      </c>
      <c r="B41" s="7">
        <v>2</v>
      </c>
      <c r="C41" s="7">
        <v>3</v>
      </c>
      <c r="D41" s="7">
        <v>17</v>
      </c>
      <c r="E41" s="3">
        <f t="shared" si="1"/>
        <v>17</v>
      </c>
      <c r="F41" s="3">
        <f t="shared" si="2"/>
        <v>17</v>
      </c>
      <c r="G41" s="7">
        <v>4</v>
      </c>
      <c r="M41" t="s">
        <v>35</v>
      </c>
      <c r="N41">
        <f>COUNTIFS($C$2:$C$386,3,$D$2:$D$386,4)</f>
        <v>0</v>
      </c>
      <c r="O41">
        <f t="shared" si="4"/>
        <v>0</v>
      </c>
      <c r="U41" s="4" t="s">
        <v>39122</v>
      </c>
      <c r="V41">
        <f>COUNTIFS($D$2:$D$386,7,$G$2:$G$386,4)</f>
        <v>0</v>
      </c>
      <c r="W41">
        <f t="shared" si="6"/>
        <v>0</v>
      </c>
      <c r="Y41" s="4" t="s">
        <v>39122</v>
      </c>
      <c r="Z41">
        <f>COUNTIFS($F$2:$F$386,17,$G$2:$G$386,4)</f>
        <v>40</v>
      </c>
      <c r="AA41">
        <f t="shared" si="7"/>
        <v>44.444444444444443</v>
      </c>
      <c r="AB41" s="4" t="s">
        <v>39204</v>
      </c>
      <c r="AC41" s="6">
        <f>COUNTIFS($B$2:$B$386,1,$C$2:$C$386,2,$F$2:$F$386,2,$G$2:$G$386,1)</f>
        <v>0</v>
      </c>
      <c r="AD41" s="6">
        <f t="shared" si="8"/>
        <v>0</v>
      </c>
      <c r="AF41">
        <f t="shared" si="0"/>
        <v>2</v>
      </c>
    </row>
    <row r="42" spans="1:32" ht="43.2" x14ac:dyDescent="0.3">
      <c r="A42" s="6" t="s">
        <v>10686</v>
      </c>
      <c r="B42" s="11">
        <v>2</v>
      </c>
      <c r="C42" s="11">
        <v>2</v>
      </c>
      <c r="D42" s="11">
        <v>16</v>
      </c>
      <c r="E42" s="3">
        <f t="shared" si="1"/>
        <v>16</v>
      </c>
      <c r="F42" s="3">
        <f t="shared" si="2"/>
        <v>16</v>
      </c>
      <c r="G42" s="11">
        <v>3</v>
      </c>
      <c r="M42" t="s">
        <v>40</v>
      </c>
      <c r="N42">
        <f>COUNTIFS($C$2:$C$386,3,$D$2:$D$386,5)</f>
        <v>0</v>
      </c>
      <c r="O42">
        <f t="shared" si="4"/>
        <v>0</v>
      </c>
      <c r="U42" s="4" t="s">
        <v>39123</v>
      </c>
      <c r="V42">
        <f>COUNTIFS($D$2:$D$386,7,$G$2:$G$386,5)</f>
        <v>0</v>
      </c>
      <c r="W42">
        <f t="shared" si="6"/>
        <v>0</v>
      </c>
      <c r="Y42" s="4" t="s">
        <v>39123</v>
      </c>
      <c r="Z42">
        <f>COUNTIFS($F$2:$F$386,17,$G$2:$G$386,5)</f>
        <v>0</v>
      </c>
      <c r="AA42">
        <f t="shared" si="7"/>
        <v>0</v>
      </c>
      <c r="AB42" s="4" t="s">
        <v>39205</v>
      </c>
      <c r="AC42" s="6">
        <f>COUNTIFS($B$2:$B$386,2,$C$2:$C$386,2,$F$2:$F$386,2,$G$2:$G$386,1)</f>
        <v>0</v>
      </c>
      <c r="AD42" s="6">
        <f t="shared" si="8"/>
        <v>0</v>
      </c>
      <c r="AF42">
        <f t="shared" si="0"/>
        <v>2</v>
      </c>
    </row>
    <row r="43" spans="1:32" ht="43.2" x14ac:dyDescent="0.3">
      <c r="A43" s="6" t="s">
        <v>10757</v>
      </c>
      <c r="B43" s="11">
        <v>2</v>
      </c>
      <c r="C43" s="11">
        <v>3</v>
      </c>
      <c r="D43" s="11">
        <v>8</v>
      </c>
      <c r="E43" s="3">
        <f t="shared" si="1"/>
        <v>18</v>
      </c>
      <c r="F43" s="3">
        <f t="shared" si="2"/>
        <v>18</v>
      </c>
      <c r="G43" s="11">
        <v>3</v>
      </c>
      <c r="M43" t="s">
        <v>44</v>
      </c>
      <c r="N43">
        <f>COUNTIFS($C$2:$C$386,3,$D$2:$D$386,6)</f>
        <v>0</v>
      </c>
      <c r="O43">
        <f t="shared" si="4"/>
        <v>0</v>
      </c>
      <c r="V43" s="23">
        <f>SUM(V38:V42)</f>
        <v>0</v>
      </c>
      <c r="W43" s="23">
        <f t="shared" si="6"/>
        <v>0</v>
      </c>
      <c r="Z43" s="22">
        <f>SUM(Z38:Z42)</f>
        <v>43</v>
      </c>
      <c r="AA43" s="22">
        <f t="shared" si="7"/>
        <v>47.777777777777779</v>
      </c>
      <c r="AB43" s="4" t="s">
        <v>39206</v>
      </c>
      <c r="AC43" s="6">
        <f>COUNTIFS($B$2:$B$386,3,$C$2:$C$386,2,$F$2:$F$386,2,$G$2:$G$386,1)</f>
        <v>0</v>
      </c>
      <c r="AD43" s="6">
        <f t="shared" si="8"/>
        <v>0</v>
      </c>
      <c r="AF43">
        <f t="shared" si="0"/>
        <v>2</v>
      </c>
    </row>
    <row r="44" spans="1:32" ht="43.2" x14ac:dyDescent="0.3">
      <c r="A44" s="6" t="s">
        <v>10676</v>
      </c>
      <c r="B44" s="11">
        <v>1</v>
      </c>
      <c r="C44" s="11">
        <v>1</v>
      </c>
      <c r="D44" s="11">
        <v>6</v>
      </c>
      <c r="E44" s="3">
        <f t="shared" si="1"/>
        <v>18</v>
      </c>
      <c r="F44" s="3">
        <f t="shared" si="2"/>
        <v>18</v>
      </c>
      <c r="G44" s="11">
        <v>1</v>
      </c>
      <c r="M44" t="s">
        <v>47</v>
      </c>
      <c r="N44">
        <f>COUNTIFS($C$2:$C$386,3,$D$2:$D$386,7)</f>
        <v>0</v>
      </c>
      <c r="O44">
        <f t="shared" si="4"/>
        <v>0</v>
      </c>
      <c r="T44" t="s">
        <v>1637</v>
      </c>
      <c r="U44" s="4" t="s">
        <v>39120</v>
      </c>
      <c r="V44">
        <f>COUNTIFS($D$2:$D$386,8,$G$2:$G$386,1)</f>
        <v>0</v>
      </c>
      <c r="W44">
        <f t="shared" si="6"/>
        <v>0</v>
      </c>
      <c r="AB44" s="4" t="s">
        <v>39207</v>
      </c>
      <c r="AC44" s="6">
        <f>COUNTIFS($B$2:$B$386,1,$C$2:$C$386,3,$F$2:$F$386,2,$G$2:$G$386,1)</f>
        <v>0</v>
      </c>
      <c r="AD44" s="6">
        <f t="shared" si="8"/>
        <v>0</v>
      </c>
      <c r="AF44">
        <f t="shared" si="0"/>
        <v>1</v>
      </c>
    </row>
    <row r="45" spans="1:32" ht="43.2" x14ac:dyDescent="0.3">
      <c r="A45" s="6" t="s">
        <v>10701</v>
      </c>
      <c r="B45" s="11">
        <v>2</v>
      </c>
      <c r="C45" s="11">
        <v>3</v>
      </c>
      <c r="D45" s="11">
        <v>16</v>
      </c>
      <c r="E45" s="3">
        <f t="shared" si="1"/>
        <v>16</v>
      </c>
      <c r="F45" s="3">
        <f t="shared" si="2"/>
        <v>16</v>
      </c>
      <c r="G45" s="11">
        <v>4</v>
      </c>
      <c r="M45" t="s">
        <v>1637</v>
      </c>
      <c r="N45">
        <f>COUNTIFS($C$2:$C$386,3,$D$2:$D$386,8)</f>
        <v>5</v>
      </c>
      <c r="O45">
        <f t="shared" si="4"/>
        <v>5.5555555555555554</v>
      </c>
      <c r="U45" s="4" t="s">
        <v>39121</v>
      </c>
      <c r="V45">
        <f>COUNTIFS($D$2:$D$386,8,$G$2:$G$386,2)</f>
        <v>0</v>
      </c>
      <c r="W45">
        <f t="shared" si="6"/>
        <v>0</v>
      </c>
      <c r="AB45" s="4" t="s">
        <v>39208</v>
      </c>
      <c r="AC45" s="6">
        <f>COUNTIFS($B$2:$B$386,2,$C$2:$C$386,3,$F$2:$F$386,2,$G$2:$G$386,1)</f>
        <v>0</v>
      </c>
      <c r="AD45" s="6">
        <f t="shared" si="8"/>
        <v>0</v>
      </c>
      <c r="AF45">
        <f t="shared" si="0"/>
        <v>2</v>
      </c>
    </row>
    <row r="46" spans="1:32" ht="57.6" x14ac:dyDescent="0.3">
      <c r="A46" s="6" t="s">
        <v>10726</v>
      </c>
      <c r="B46" s="7">
        <v>3</v>
      </c>
      <c r="C46" s="7">
        <v>3</v>
      </c>
      <c r="D46" s="7">
        <v>17</v>
      </c>
      <c r="E46" s="3">
        <f t="shared" si="1"/>
        <v>17</v>
      </c>
      <c r="F46" s="3">
        <f t="shared" si="2"/>
        <v>17</v>
      </c>
      <c r="G46" s="7">
        <v>4</v>
      </c>
      <c r="M46" t="s">
        <v>1638</v>
      </c>
      <c r="N46">
        <f>COUNTIFS($C$2:$C$386,3,$D$2:$D$386,9)</f>
        <v>1</v>
      </c>
      <c r="O46">
        <f t="shared" si="4"/>
        <v>1.1111111111111112</v>
      </c>
      <c r="U46" s="4" t="s">
        <v>39125</v>
      </c>
      <c r="V46">
        <f>COUNTIFS($D$2:$D$386,8,$G$2:$G$386,3)</f>
        <v>5</v>
      </c>
      <c r="W46">
        <f t="shared" si="6"/>
        <v>5.5555555555555554</v>
      </c>
      <c r="AB46" s="4" t="s">
        <v>39209</v>
      </c>
      <c r="AC46" s="6">
        <f>COUNTIFS($B$2:$B$386,3,$C$2:$C$386,3,$F$2:$F$386,2,$G$2:$G$386,1)</f>
        <v>0</v>
      </c>
      <c r="AD46" s="6">
        <f t="shared" si="8"/>
        <v>0</v>
      </c>
      <c r="AF46">
        <f t="shared" si="0"/>
        <v>2</v>
      </c>
    </row>
    <row r="47" spans="1:32" ht="43.2" x14ac:dyDescent="0.3">
      <c r="A47" s="6" t="s">
        <v>10754</v>
      </c>
      <c r="B47" s="11">
        <v>3</v>
      </c>
      <c r="C47" s="11">
        <v>3</v>
      </c>
      <c r="D47" s="11">
        <v>17</v>
      </c>
      <c r="E47" s="3">
        <f t="shared" si="1"/>
        <v>17</v>
      </c>
      <c r="F47" s="3">
        <f t="shared" si="2"/>
        <v>17</v>
      </c>
      <c r="G47" s="11">
        <v>4</v>
      </c>
      <c r="M47" t="s">
        <v>1639</v>
      </c>
      <c r="N47">
        <f>COUNTIFS($C$2:$C$386,3,$D$2:$D$386,10)</f>
        <v>0</v>
      </c>
      <c r="O47">
        <f t="shared" si="4"/>
        <v>0</v>
      </c>
      <c r="U47" s="4" t="s">
        <v>39122</v>
      </c>
      <c r="V47">
        <f>COUNTIFS($D$2:$D$386,8,$G$2:$G$386,4)</f>
        <v>0</v>
      </c>
      <c r="W47">
        <f t="shared" si="6"/>
        <v>0</v>
      </c>
      <c r="AB47" s="4" t="s">
        <v>39210</v>
      </c>
      <c r="AC47" s="6">
        <f>COUNTIFS($B$2:$B$386,1,$C$2:$C$386,4,$F$2:$F$386,2,$G$2:$G$386,1)</f>
        <v>0</v>
      </c>
      <c r="AD47" s="6">
        <f t="shared" si="8"/>
        <v>0</v>
      </c>
      <c r="AF47">
        <f t="shared" si="0"/>
        <v>2</v>
      </c>
    </row>
    <row r="48" spans="1:32" ht="43.2" x14ac:dyDescent="0.3">
      <c r="A48" s="6" t="s">
        <v>10683</v>
      </c>
      <c r="B48" s="11">
        <v>1</v>
      </c>
      <c r="C48" s="11">
        <v>3</v>
      </c>
      <c r="D48" s="11">
        <v>1</v>
      </c>
      <c r="E48" s="3">
        <f t="shared" si="1"/>
        <v>1</v>
      </c>
      <c r="F48" s="3">
        <f t="shared" si="2"/>
        <v>1</v>
      </c>
      <c r="G48" s="11">
        <v>5</v>
      </c>
      <c r="M48" t="s">
        <v>1640</v>
      </c>
      <c r="N48">
        <f>COUNTIFS($C$2:$C$386,3,$D$2:$D$386,11)</f>
        <v>0</v>
      </c>
      <c r="O48">
        <f t="shared" si="4"/>
        <v>0</v>
      </c>
      <c r="U48" s="4" t="s">
        <v>39123</v>
      </c>
      <c r="V48">
        <f>COUNTIFS($D$2:$D$386,8,$G$2:$G$386,5)</f>
        <v>0</v>
      </c>
      <c r="W48">
        <f t="shared" si="6"/>
        <v>0</v>
      </c>
      <c r="AB48" s="4" t="s">
        <v>39211</v>
      </c>
      <c r="AC48" s="6">
        <f>COUNTIFS($B$2:$B$386,2,$C$2:$C$386,4,$F$2:$F$386,2,$G$2:$G$386,1)</f>
        <v>0</v>
      </c>
      <c r="AD48" s="6">
        <f t="shared" si="8"/>
        <v>0</v>
      </c>
      <c r="AF48">
        <f t="shared" si="0"/>
        <v>2</v>
      </c>
    </row>
    <row r="49" spans="1:32" ht="43.2" x14ac:dyDescent="0.3">
      <c r="A49" s="6" t="s">
        <v>10732</v>
      </c>
      <c r="B49" s="11">
        <v>3</v>
      </c>
      <c r="C49" s="11">
        <v>3</v>
      </c>
      <c r="D49" s="11">
        <v>17</v>
      </c>
      <c r="E49" s="3">
        <f t="shared" si="1"/>
        <v>17</v>
      </c>
      <c r="F49" s="3">
        <f t="shared" si="2"/>
        <v>17</v>
      </c>
      <c r="G49" s="11">
        <v>4</v>
      </c>
      <c r="M49" t="s">
        <v>1641</v>
      </c>
      <c r="N49">
        <f>COUNTIFS($C$2:$C$386,3,$D$2:$D$386,12)</f>
        <v>2</v>
      </c>
      <c r="O49">
        <f t="shared" si="4"/>
        <v>2.2222222222222223</v>
      </c>
      <c r="V49" s="23">
        <f>SUM(V44:V48)</f>
        <v>5</v>
      </c>
      <c r="W49" s="23">
        <f t="shared" si="6"/>
        <v>5.5555555555555554</v>
      </c>
      <c r="AB49" s="4" t="s">
        <v>39212</v>
      </c>
      <c r="AC49" s="6">
        <f>COUNTIFS($B$2:$B$386,3,$C$2:$C$386,4,$F$2:$F$386,2,$G$2:$G$386,1)</f>
        <v>0</v>
      </c>
      <c r="AD49" s="6">
        <f t="shared" si="8"/>
        <v>0</v>
      </c>
      <c r="AF49">
        <f t="shared" si="0"/>
        <v>2</v>
      </c>
    </row>
    <row r="50" spans="1:32" ht="43.2" x14ac:dyDescent="0.3">
      <c r="A50" s="6" t="s">
        <v>10718</v>
      </c>
      <c r="B50" s="11">
        <v>3</v>
      </c>
      <c r="C50" s="11">
        <v>3</v>
      </c>
      <c r="D50" s="11">
        <v>17</v>
      </c>
      <c r="E50" s="3">
        <f t="shared" si="1"/>
        <v>17</v>
      </c>
      <c r="F50" s="3">
        <f t="shared" si="2"/>
        <v>17</v>
      </c>
      <c r="G50" s="11">
        <v>4</v>
      </c>
      <c r="M50" t="s">
        <v>1642</v>
      </c>
      <c r="N50">
        <f>COUNTIFS($C$2:$C$386,3,$D$2:$D$386,13)</f>
        <v>0</v>
      </c>
      <c r="O50">
        <f t="shared" si="4"/>
        <v>0</v>
      </c>
      <c r="T50" t="s">
        <v>1638</v>
      </c>
      <c r="U50" s="4" t="s">
        <v>39120</v>
      </c>
      <c r="V50">
        <f>COUNTIFS($D$2:$D$386,9,$G$2:$G$386,1)</f>
        <v>0</v>
      </c>
      <c r="W50">
        <f t="shared" si="6"/>
        <v>0</v>
      </c>
      <c r="AB50" s="4" t="s">
        <v>39213</v>
      </c>
      <c r="AC50" s="6">
        <f>COUNTIFS($B$2:$B$386,1,$C$2:$C$386,1,$F$2:$F$386,3,$G$2:$G$386,1)</f>
        <v>0</v>
      </c>
      <c r="AD50" s="6">
        <f t="shared" si="8"/>
        <v>0</v>
      </c>
      <c r="AF50">
        <f t="shared" si="0"/>
        <v>2</v>
      </c>
    </row>
    <row r="51" spans="1:32" ht="43.2" x14ac:dyDescent="0.3">
      <c r="A51" s="6" t="s">
        <v>10132</v>
      </c>
      <c r="B51" s="11">
        <v>3</v>
      </c>
      <c r="C51" s="11">
        <v>3</v>
      </c>
      <c r="D51" s="11">
        <v>17</v>
      </c>
      <c r="E51" s="3">
        <f t="shared" si="1"/>
        <v>17</v>
      </c>
      <c r="F51" s="3">
        <f t="shared" si="2"/>
        <v>17</v>
      </c>
      <c r="G51" s="11">
        <v>4</v>
      </c>
      <c r="M51" t="s">
        <v>1643</v>
      </c>
      <c r="N51">
        <f>COUNTIFS($C$2:$C$386,3,$D$2:$D$386,14)</f>
        <v>0</v>
      </c>
      <c r="O51">
        <f t="shared" si="4"/>
        <v>0</v>
      </c>
      <c r="U51" s="4" t="s">
        <v>39121</v>
      </c>
      <c r="V51">
        <f>COUNTIFS($D$2:$D$386,9,$G$2:$G$386,2)</f>
        <v>0</v>
      </c>
      <c r="W51">
        <f t="shared" si="6"/>
        <v>0</v>
      </c>
      <c r="AB51" s="4" t="s">
        <v>39214</v>
      </c>
      <c r="AC51" s="6">
        <f>COUNTIFS($B$2:$B$386,2,$C$2:$C$386,1,$F$2:$F$386,3,$G$2:$G$386,1)</f>
        <v>0</v>
      </c>
      <c r="AD51" s="6">
        <f t="shared" si="8"/>
        <v>0</v>
      </c>
      <c r="AF51">
        <f t="shared" si="0"/>
        <v>2</v>
      </c>
    </row>
    <row r="52" spans="1:32" ht="57.6" x14ac:dyDescent="0.3">
      <c r="A52" s="6" t="s">
        <v>10698</v>
      </c>
      <c r="B52" s="11">
        <v>3</v>
      </c>
      <c r="C52" s="11">
        <v>3</v>
      </c>
      <c r="D52" s="11">
        <v>17</v>
      </c>
      <c r="E52" s="3">
        <f t="shared" si="1"/>
        <v>17</v>
      </c>
      <c r="F52" s="3">
        <f t="shared" si="2"/>
        <v>17</v>
      </c>
      <c r="G52" s="11">
        <v>4</v>
      </c>
      <c r="M52" t="s">
        <v>1644</v>
      </c>
      <c r="N52">
        <f>COUNTIFS($C$2:$C$386,3,$D$2:$D$386,15)</f>
        <v>0</v>
      </c>
      <c r="O52">
        <f t="shared" si="4"/>
        <v>0</v>
      </c>
      <c r="U52" s="4" t="s">
        <v>39125</v>
      </c>
      <c r="V52">
        <f>COUNTIFS($D$2:$D$386,9,$G$2:$G$386,3)</f>
        <v>1</v>
      </c>
      <c r="W52">
        <f t="shared" si="6"/>
        <v>1.1111111111111112</v>
      </c>
      <c r="AB52" s="4" t="s">
        <v>39215</v>
      </c>
      <c r="AC52" s="6">
        <f>COUNTIFS($B$2:$B$386,3,$C$2:$C$386,1,$F$2:$F$386,3,$G$2:$G$386,1)</f>
        <v>0</v>
      </c>
      <c r="AD52" s="6">
        <f t="shared" si="8"/>
        <v>0</v>
      </c>
      <c r="AF52">
        <f t="shared" si="0"/>
        <v>2</v>
      </c>
    </row>
    <row r="53" spans="1:32" ht="43.2" x14ac:dyDescent="0.3">
      <c r="A53" s="6" t="s">
        <v>10707</v>
      </c>
      <c r="B53" s="11">
        <v>3</v>
      </c>
      <c r="C53" s="11">
        <v>3</v>
      </c>
      <c r="D53" s="11">
        <v>17</v>
      </c>
      <c r="E53" s="3">
        <f t="shared" si="1"/>
        <v>17</v>
      </c>
      <c r="F53" s="3">
        <f t="shared" si="2"/>
        <v>17</v>
      </c>
      <c r="G53" s="11">
        <v>4</v>
      </c>
      <c r="M53" t="s">
        <v>29</v>
      </c>
      <c r="N53">
        <f>COUNTIFS($C$2:$C$386,3,$D$2:$D$386,16)</f>
        <v>6</v>
      </c>
      <c r="O53">
        <f t="shared" si="4"/>
        <v>6.666666666666667</v>
      </c>
      <c r="U53" s="4" t="s">
        <v>39122</v>
      </c>
      <c r="V53">
        <f>COUNTIFS($D$2:$D$386,9,$G$2:$G$386,4)</f>
        <v>0</v>
      </c>
      <c r="W53">
        <f t="shared" si="6"/>
        <v>0</v>
      </c>
      <c r="AB53" s="4" t="s">
        <v>39216</v>
      </c>
      <c r="AC53" s="6">
        <f>COUNTIFS($B$2:$B$386,1,$C$2:$C$386,2,$F$2:$F$386,3,$G$2:$G$386,1)</f>
        <v>0</v>
      </c>
      <c r="AD53" s="6">
        <f t="shared" si="8"/>
        <v>0</v>
      </c>
      <c r="AF53">
        <f t="shared" si="0"/>
        <v>2</v>
      </c>
    </row>
    <row r="54" spans="1:32" ht="43.2" x14ac:dyDescent="0.3">
      <c r="A54" s="6" t="s">
        <v>10740</v>
      </c>
      <c r="B54" s="7">
        <v>1</v>
      </c>
      <c r="C54" s="7">
        <v>3</v>
      </c>
      <c r="D54" s="7">
        <v>2</v>
      </c>
      <c r="E54" s="3">
        <f t="shared" si="1"/>
        <v>2</v>
      </c>
      <c r="F54" s="3">
        <f t="shared" si="2"/>
        <v>2</v>
      </c>
      <c r="G54" s="7">
        <v>5</v>
      </c>
      <c r="M54" t="s">
        <v>54</v>
      </c>
      <c r="N54">
        <f>COUNTIFS($C$2:$C$386,3,$D$2:$D$386,17)</f>
        <v>39</v>
      </c>
      <c r="O54">
        <f t="shared" si="4"/>
        <v>43.333333333333336</v>
      </c>
      <c r="U54" s="4" t="s">
        <v>39123</v>
      </c>
      <c r="V54">
        <f>COUNTIFS($D$2:$D$386,9,$G$2:$G$386,5)</f>
        <v>0</v>
      </c>
      <c r="W54">
        <f t="shared" si="6"/>
        <v>0</v>
      </c>
      <c r="AB54" s="4" t="s">
        <v>39217</v>
      </c>
      <c r="AC54" s="6">
        <f>COUNTIFS($B$2:$B$386,2,$C$2:$C$386,2,$F$2:$F$386,3,$G$2:$G$386,1)</f>
        <v>0</v>
      </c>
      <c r="AD54" s="6">
        <f t="shared" si="8"/>
        <v>0</v>
      </c>
      <c r="AF54">
        <f t="shared" si="0"/>
        <v>2</v>
      </c>
    </row>
    <row r="55" spans="1:32" ht="43.2" x14ac:dyDescent="0.3">
      <c r="A55" s="6" t="s">
        <v>10687</v>
      </c>
      <c r="B55" s="11">
        <v>2</v>
      </c>
      <c r="C55" s="11">
        <v>3</v>
      </c>
      <c r="D55" s="11">
        <v>16</v>
      </c>
      <c r="E55" s="3">
        <f t="shared" si="1"/>
        <v>16</v>
      </c>
      <c r="F55" s="3">
        <f t="shared" si="2"/>
        <v>16</v>
      </c>
      <c r="G55" s="11">
        <v>3</v>
      </c>
      <c r="N55" s="23">
        <f>SUM(N38:N54)</f>
        <v>69</v>
      </c>
      <c r="O55" s="23">
        <f t="shared" si="4"/>
        <v>76.666666666666671</v>
      </c>
      <c r="V55" s="23">
        <f>SUM(V50:V54)</f>
        <v>1</v>
      </c>
      <c r="W55" s="23">
        <f t="shared" si="6"/>
        <v>1.1111111111111112</v>
      </c>
      <c r="AB55" s="4" t="s">
        <v>39218</v>
      </c>
      <c r="AC55" s="6">
        <f>COUNTIFS($B$2:$B$386,3,$C$2:$C$386,2,$F$2:$F$386,3,$G$2:$G$386,1)</f>
        <v>0</v>
      </c>
      <c r="AD55" s="6">
        <f t="shared" si="8"/>
        <v>0</v>
      </c>
      <c r="AF55">
        <f t="shared" si="0"/>
        <v>2</v>
      </c>
    </row>
    <row r="56" spans="1:32" ht="43.2" x14ac:dyDescent="0.3">
      <c r="A56" s="6" t="s">
        <v>10710</v>
      </c>
      <c r="B56" s="11">
        <v>3</v>
      </c>
      <c r="C56" s="11">
        <v>3</v>
      </c>
      <c r="D56" s="11">
        <v>17</v>
      </c>
      <c r="E56" s="3">
        <f t="shared" si="1"/>
        <v>17</v>
      </c>
      <c r="F56" s="3">
        <f t="shared" si="2"/>
        <v>17</v>
      </c>
      <c r="G56" s="11">
        <v>4</v>
      </c>
      <c r="L56" s="4" t="s">
        <v>34</v>
      </c>
      <c r="M56" t="s">
        <v>14</v>
      </c>
      <c r="N56">
        <f>COUNTIFS($C$2:$C$386,4,$D$2:$D$386,1)</f>
        <v>0</v>
      </c>
      <c r="O56">
        <f t="shared" si="4"/>
        <v>0</v>
      </c>
      <c r="T56" t="s">
        <v>1639</v>
      </c>
      <c r="U56" s="4" t="s">
        <v>39120</v>
      </c>
      <c r="V56">
        <f>COUNTIFS($D$2:$D$386,10,$G$2:$G$386,1)</f>
        <v>0</v>
      </c>
      <c r="W56">
        <f t="shared" si="6"/>
        <v>0</v>
      </c>
      <c r="AB56" s="4" t="s">
        <v>39219</v>
      </c>
      <c r="AC56" s="6">
        <f>COUNTIFS($B$2:$B$386,1,$C$2:$C$386,3,$F$2:$F$386,3,$G$2:$G$386,1)</f>
        <v>0</v>
      </c>
      <c r="AD56" s="6">
        <f t="shared" si="8"/>
        <v>0</v>
      </c>
      <c r="AF56">
        <f t="shared" si="0"/>
        <v>2</v>
      </c>
    </row>
    <row r="57" spans="1:32" ht="43.2" x14ac:dyDescent="0.3">
      <c r="A57" s="6" t="s">
        <v>10699</v>
      </c>
      <c r="B57" s="11">
        <v>1</v>
      </c>
      <c r="C57" s="11">
        <v>3</v>
      </c>
      <c r="D57" s="11">
        <v>1</v>
      </c>
      <c r="E57" s="3">
        <f t="shared" si="1"/>
        <v>1</v>
      </c>
      <c r="F57" s="3">
        <f t="shared" si="2"/>
        <v>1</v>
      </c>
      <c r="G57" s="11">
        <v>5</v>
      </c>
      <c r="M57" t="s">
        <v>21</v>
      </c>
      <c r="N57">
        <f>COUNTIFS($C$2:$C$386,4,$D$2:$D$386,2)</f>
        <v>0</v>
      </c>
      <c r="O57">
        <f t="shared" si="4"/>
        <v>0</v>
      </c>
      <c r="U57" s="4" t="s">
        <v>39121</v>
      </c>
      <c r="V57">
        <f>COUNTIFS($D$2:$D$386,10,$G$2:$G$386,2)</f>
        <v>2</v>
      </c>
      <c r="W57">
        <f t="shared" si="6"/>
        <v>2.2222222222222223</v>
      </c>
      <c r="AB57" s="4" t="s">
        <v>39220</v>
      </c>
      <c r="AC57" s="6">
        <f>COUNTIFS($B$2:$B$386,2,$C$2:$C$386,3,$F$2:$F$386,3,$G$2:$G$386,1)</f>
        <v>0</v>
      </c>
      <c r="AD57" s="6">
        <f t="shared" si="8"/>
        <v>0</v>
      </c>
      <c r="AF57">
        <f t="shared" si="0"/>
        <v>2</v>
      </c>
    </row>
    <row r="58" spans="1:32" ht="57.6" x14ac:dyDescent="0.3">
      <c r="A58" s="6" t="s">
        <v>10750</v>
      </c>
      <c r="B58" s="11">
        <v>2</v>
      </c>
      <c r="C58" s="11">
        <v>3</v>
      </c>
      <c r="D58" s="11">
        <v>8</v>
      </c>
      <c r="E58" s="3">
        <f t="shared" si="1"/>
        <v>18</v>
      </c>
      <c r="F58" s="3">
        <f t="shared" si="2"/>
        <v>18</v>
      </c>
      <c r="G58" s="11">
        <v>3</v>
      </c>
      <c r="M58" t="s">
        <v>28</v>
      </c>
      <c r="N58">
        <f>COUNTIFS($C$2:$C$386,4,$D$2:$D$386,3)</f>
        <v>0</v>
      </c>
      <c r="O58">
        <f t="shared" si="4"/>
        <v>0</v>
      </c>
      <c r="U58" s="4" t="s">
        <v>39125</v>
      </c>
      <c r="V58">
        <f>COUNTIFS($D$2:$D$386,10,$G$2:$G$386,3)</f>
        <v>0</v>
      </c>
      <c r="W58">
        <f t="shared" si="6"/>
        <v>0</v>
      </c>
      <c r="AB58" s="4" t="s">
        <v>39221</v>
      </c>
      <c r="AC58" s="6">
        <f>COUNTIFS($B$2:$B$386,3,$C$2:$C$386,3,$F$2:$F$386,3,$G$2:$G$386,1)</f>
        <v>0</v>
      </c>
      <c r="AD58" s="6">
        <f t="shared" si="8"/>
        <v>0</v>
      </c>
      <c r="AF58">
        <f t="shared" si="0"/>
        <v>2</v>
      </c>
    </row>
    <row r="59" spans="1:32" ht="43.2" x14ac:dyDescent="0.3">
      <c r="A59" s="6" t="s">
        <v>10724</v>
      </c>
      <c r="B59" s="7">
        <v>3</v>
      </c>
      <c r="C59" s="7">
        <v>3</v>
      </c>
      <c r="D59" s="7">
        <v>17</v>
      </c>
      <c r="E59" s="3">
        <f t="shared" si="1"/>
        <v>17</v>
      </c>
      <c r="F59" s="3">
        <f t="shared" si="2"/>
        <v>17</v>
      </c>
      <c r="G59" s="7">
        <v>4</v>
      </c>
      <c r="M59" t="s">
        <v>35</v>
      </c>
      <c r="N59">
        <f>COUNTIFS($C$2:$C$386,4,$D$2:$D$386,4)</f>
        <v>0</v>
      </c>
      <c r="O59">
        <f t="shared" si="4"/>
        <v>0</v>
      </c>
      <c r="U59" s="4" t="s">
        <v>39122</v>
      </c>
      <c r="V59">
        <f>COUNTIFS($D$2:$D$386,10,$G$2:$G$386,4)</f>
        <v>0</v>
      </c>
      <c r="W59">
        <f t="shared" si="6"/>
        <v>0</v>
      </c>
      <c r="AB59" s="4" t="s">
        <v>39222</v>
      </c>
      <c r="AC59" s="6">
        <f>COUNTIFS($B$2:$B$386,1,$C$2:$C$386,4,$F$2:$F$386,3,$G$2:$G$386,1)</f>
        <v>0</v>
      </c>
      <c r="AD59" s="6">
        <f t="shared" si="8"/>
        <v>0</v>
      </c>
      <c r="AF59">
        <f t="shared" si="0"/>
        <v>2</v>
      </c>
    </row>
    <row r="60" spans="1:32" ht="43.2" x14ac:dyDescent="0.3">
      <c r="A60" s="6" t="s">
        <v>10697</v>
      </c>
      <c r="B60" s="11">
        <v>3</v>
      </c>
      <c r="C60" s="11">
        <v>3</v>
      </c>
      <c r="D60" s="11">
        <v>17</v>
      </c>
      <c r="E60" s="3">
        <f t="shared" si="1"/>
        <v>17</v>
      </c>
      <c r="F60" s="3">
        <f t="shared" si="2"/>
        <v>17</v>
      </c>
      <c r="G60" s="11">
        <v>4</v>
      </c>
      <c r="M60" t="s">
        <v>40</v>
      </c>
      <c r="N60">
        <f>COUNTIFS($C$2:$C$386,4,$D$2:$D$386,5)</f>
        <v>0</v>
      </c>
      <c r="O60">
        <f t="shared" si="4"/>
        <v>0</v>
      </c>
      <c r="U60" s="4" t="s">
        <v>39123</v>
      </c>
      <c r="V60">
        <f>COUNTIFS($D$2:$D$386,10,$G$2:$G$386,5)</f>
        <v>0</v>
      </c>
      <c r="W60">
        <f t="shared" si="6"/>
        <v>0</v>
      </c>
      <c r="AB60" s="4" t="s">
        <v>39223</v>
      </c>
      <c r="AC60" s="6">
        <f>COUNTIFS($B$2:$B$386,2,$C$2:$C$386,4,$F$2:$F$386,3,$G$2:$G$386,1)</f>
        <v>0</v>
      </c>
      <c r="AD60" s="6">
        <f t="shared" si="8"/>
        <v>0</v>
      </c>
      <c r="AF60">
        <f t="shared" si="0"/>
        <v>2</v>
      </c>
    </row>
    <row r="61" spans="1:32" ht="43.2" x14ac:dyDescent="0.3">
      <c r="A61" s="6" t="s">
        <v>10691</v>
      </c>
      <c r="B61" s="11">
        <v>1</v>
      </c>
      <c r="C61" s="11">
        <v>1</v>
      </c>
      <c r="D61" s="11">
        <v>10</v>
      </c>
      <c r="E61" s="3">
        <f t="shared" si="1"/>
        <v>18</v>
      </c>
      <c r="F61" s="3">
        <f t="shared" si="2"/>
        <v>18</v>
      </c>
      <c r="G61" s="11">
        <v>2</v>
      </c>
      <c r="M61" t="s">
        <v>44</v>
      </c>
      <c r="N61">
        <f>COUNTIFS($C$2:$C$386,4,$D$2:$D$386,6)</f>
        <v>0</v>
      </c>
      <c r="O61">
        <f t="shared" si="4"/>
        <v>0</v>
      </c>
      <c r="V61" s="23">
        <f>SUM(V56:V60)</f>
        <v>2</v>
      </c>
      <c r="W61" s="23">
        <f t="shared" si="6"/>
        <v>2.2222222222222223</v>
      </c>
      <c r="AB61" s="4" t="s">
        <v>39224</v>
      </c>
      <c r="AC61" s="6">
        <f>COUNTIFS($B$2:$B$386,3,$C$2:$C$386,4,$F$2:$F$386,3,$G$2:$G$386,1)</f>
        <v>0</v>
      </c>
      <c r="AD61" s="6">
        <f t="shared" si="8"/>
        <v>0</v>
      </c>
      <c r="AF61">
        <f t="shared" si="0"/>
        <v>2</v>
      </c>
    </row>
    <row r="62" spans="1:32" ht="43.2" x14ac:dyDescent="0.3">
      <c r="A62" s="6" t="s">
        <v>10752</v>
      </c>
      <c r="B62" s="7">
        <v>3</v>
      </c>
      <c r="C62" s="7">
        <v>3</v>
      </c>
      <c r="D62" s="7">
        <v>17</v>
      </c>
      <c r="E62" s="3">
        <f t="shared" si="1"/>
        <v>17</v>
      </c>
      <c r="F62" s="3">
        <f t="shared" si="2"/>
        <v>17</v>
      </c>
      <c r="G62" s="7">
        <v>4</v>
      </c>
      <c r="M62" t="s">
        <v>47</v>
      </c>
      <c r="N62">
        <f>COUNTIFS($C$2:$C$386,4,$D$2:$D$386,7)</f>
        <v>0</v>
      </c>
      <c r="O62">
        <f t="shared" si="4"/>
        <v>0</v>
      </c>
      <c r="T62" t="s">
        <v>1640</v>
      </c>
      <c r="U62" s="4" t="s">
        <v>39120</v>
      </c>
      <c r="V62">
        <f>COUNTIFS($D$2:$D$386,11,$G$2:$G$386,1)</f>
        <v>0</v>
      </c>
      <c r="W62">
        <f t="shared" si="6"/>
        <v>0</v>
      </c>
      <c r="AB62" s="4" t="s">
        <v>39225</v>
      </c>
      <c r="AC62" s="6">
        <f>COUNTIFS($B$2:$B$386,1,$C$2:$C$386,1,$F$2:$F$386,16,$G$2:$G$386,1)</f>
        <v>0</v>
      </c>
      <c r="AD62" s="6">
        <f t="shared" si="8"/>
        <v>0</v>
      </c>
      <c r="AF62">
        <f t="shared" si="0"/>
        <v>2</v>
      </c>
    </row>
    <row r="63" spans="1:32" ht="43.2" x14ac:dyDescent="0.3">
      <c r="A63" s="6" t="s">
        <v>10739</v>
      </c>
      <c r="B63" s="11">
        <v>3</v>
      </c>
      <c r="C63" s="11">
        <v>3</v>
      </c>
      <c r="D63" s="11">
        <v>17</v>
      </c>
      <c r="E63" s="3">
        <f t="shared" si="1"/>
        <v>17</v>
      </c>
      <c r="F63" s="3">
        <f t="shared" si="2"/>
        <v>17</v>
      </c>
      <c r="G63" s="11">
        <v>4</v>
      </c>
      <c r="M63" t="s">
        <v>1637</v>
      </c>
      <c r="N63">
        <f>COUNTIFS($C$2:$C$386,4,$D$2:$D$386,8)</f>
        <v>0</v>
      </c>
      <c r="O63">
        <f t="shared" si="4"/>
        <v>0</v>
      </c>
      <c r="U63" s="4" t="s">
        <v>39121</v>
      </c>
      <c r="V63">
        <f>COUNTIFS($D$2:$D$386,11,$G$2:$G$386,2)</f>
        <v>0</v>
      </c>
      <c r="W63">
        <f t="shared" si="6"/>
        <v>0</v>
      </c>
      <c r="AB63" s="4" t="s">
        <v>39226</v>
      </c>
      <c r="AC63" s="6">
        <f>COUNTIFS($B$2:$B$386,2,$C$2:$C$386,1,$F$2:$F$386,16,$G$2:$G$386,1)</f>
        <v>0</v>
      </c>
      <c r="AD63" s="6">
        <f t="shared" si="8"/>
        <v>0</v>
      </c>
      <c r="AF63">
        <f t="shared" si="0"/>
        <v>2</v>
      </c>
    </row>
    <row r="64" spans="1:32" ht="57.6" x14ac:dyDescent="0.3">
      <c r="A64" s="6" t="s">
        <v>10712</v>
      </c>
      <c r="B64" s="11">
        <v>2</v>
      </c>
      <c r="C64" s="11">
        <v>3</v>
      </c>
      <c r="D64" s="11">
        <v>8</v>
      </c>
      <c r="E64" s="3">
        <f t="shared" si="1"/>
        <v>18</v>
      </c>
      <c r="F64" s="3">
        <f t="shared" si="2"/>
        <v>18</v>
      </c>
      <c r="G64" s="11">
        <v>3</v>
      </c>
      <c r="M64" t="s">
        <v>1638</v>
      </c>
      <c r="N64">
        <f>COUNTIFS($C$2:$C$386,4,$D$2:$D$386,9)</f>
        <v>0</v>
      </c>
      <c r="O64">
        <f t="shared" si="4"/>
        <v>0</v>
      </c>
      <c r="U64" s="4" t="s">
        <v>39125</v>
      </c>
      <c r="V64">
        <f>COUNTIFS($D$2:$D$386,11,$G$2:$G$386,3)</f>
        <v>0</v>
      </c>
      <c r="W64">
        <f t="shared" si="6"/>
        <v>0</v>
      </c>
      <c r="AB64" s="4" t="s">
        <v>39227</v>
      </c>
      <c r="AC64" s="6">
        <f>COUNTIFS($B$2:$B$386,3,$C$2:$C$386,1,$F$2:$F$386,16,$G$2:$G$386,1)</f>
        <v>0</v>
      </c>
      <c r="AD64" s="6">
        <f t="shared" si="8"/>
        <v>0</v>
      </c>
      <c r="AF64">
        <f t="shared" si="0"/>
        <v>2</v>
      </c>
    </row>
    <row r="65" spans="1:32" ht="43.2" x14ac:dyDescent="0.3">
      <c r="A65" s="6" t="s">
        <v>10708</v>
      </c>
      <c r="B65" s="11">
        <v>2</v>
      </c>
      <c r="C65" s="11">
        <v>3</v>
      </c>
      <c r="D65" s="11">
        <v>8</v>
      </c>
      <c r="E65" s="3">
        <f t="shared" si="1"/>
        <v>18</v>
      </c>
      <c r="F65" s="3">
        <f t="shared" si="2"/>
        <v>18</v>
      </c>
      <c r="G65" s="11">
        <v>3</v>
      </c>
      <c r="M65" t="s">
        <v>1639</v>
      </c>
      <c r="N65">
        <f>COUNTIFS($C$2:$C$386,4,$D$2:$D$386,10)</f>
        <v>0</v>
      </c>
      <c r="O65">
        <f t="shared" si="4"/>
        <v>0</v>
      </c>
      <c r="U65" s="4" t="s">
        <v>39122</v>
      </c>
      <c r="V65">
        <f>COUNTIFS($D$2:$D$386,11,$G$2:$G$386,4)</f>
        <v>0</v>
      </c>
      <c r="W65">
        <f t="shared" si="6"/>
        <v>0</v>
      </c>
      <c r="AB65" s="4" t="s">
        <v>39228</v>
      </c>
      <c r="AC65" s="6">
        <f>COUNTIFS($B$2:$B$386,1,$C$2:$C$386,2,$F$2:$F$386,16,$G$2:$G$386,1)</f>
        <v>0</v>
      </c>
      <c r="AD65" s="6">
        <f t="shared" si="8"/>
        <v>0</v>
      </c>
      <c r="AF65">
        <f t="shared" si="0"/>
        <v>2</v>
      </c>
    </row>
    <row r="66" spans="1:32" ht="43.2" x14ac:dyDescent="0.3">
      <c r="A66" s="6" t="s">
        <v>10747</v>
      </c>
      <c r="B66" s="7">
        <v>3</v>
      </c>
      <c r="C66" s="7">
        <v>3</v>
      </c>
      <c r="D66" s="7">
        <v>17</v>
      </c>
      <c r="E66" s="3">
        <f t="shared" si="1"/>
        <v>17</v>
      </c>
      <c r="F66" s="3">
        <f t="shared" si="2"/>
        <v>17</v>
      </c>
      <c r="G66" s="7">
        <v>4</v>
      </c>
      <c r="M66" t="s">
        <v>1640</v>
      </c>
      <c r="N66">
        <f>COUNTIFS($C$2:$C$386,4,$D$2:$D$386,11)</f>
        <v>0</v>
      </c>
      <c r="O66">
        <f t="shared" si="4"/>
        <v>0</v>
      </c>
      <c r="U66" s="4" t="s">
        <v>39123</v>
      </c>
      <c r="V66">
        <f>COUNTIFS($D$2:$D$386,11,$G$2:$G$386,5)</f>
        <v>0</v>
      </c>
      <c r="W66">
        <f t="shared" si="6"/>
        <v>0</v>
      </c>
      <c r="AB66" s="4" t="s">
        <v>39229</v>
      </c>
      <c r="AC66" s="6">
        <f>COUNTIFS($B$2:$B$386,2,$C$2:$C$386,2,$F$2:$F$386,16,$G$2:$G$386,1)</f>
        <v>0</v>
      </c>
      <c r="AD66" s="6">
        <f t="shared" si="8"/>
        <v>0</v>
      </c>
      <c r="AF66">
        <f t="shared" ref="AF66:AF91" si="9">IF(AND(B66=1, C66=1, F66=18, G66=1), 1, 2)</f>
        <v>2</v>
      </c>
    </row>
    <row r="67" spans="1:32" ht="43.2" x14ac:dyDescent="0.3">
      <c r="A67" s="6" t="s">
        <v>10731</v>
      </c>
      <c r="B67" s="11">
        <v>2</v>
      </c>
      <c r="C67" s="11">
        <v>3</v>
      </c>
      <c r="D67" s="11">
        <v>17</v>
      </c>
      <c r="E67" s="3">
        <f t="shared" ref="E67:E91" si="10">IF(OR(D67=4, D67=6, D67=8, D67=10, D67=12, D67=14), 18, D67)</f>
        <v>17</v>
      </c>
      <c r="F67" s="3">
        <f t="shared" ref="F67:F91" si="11">IF(OR(E67=5, E67=7, E67=9, E67=11, E67=13, E67=15), 19, E67)</f>
        <v>17</v>
      </c>
      <c r="G67" s="11">
        <v>4</v>
      </c>
      <c r="M67" t="s">
        <v>1641</v>
      </c>
      <c r="N67">
        <f>COUNTIFS($C$2:$C$386,4,$D$2:$D$386,12)</f>
        <v>0</v>
      </c>
      <c r="O67">
        <f t="shared" ref="O67:O73" si="12">(N67/90)*100</f>
        <v>0</v>
      </c>
      <c r="V67" s="23">
        <f>SUM(V62:V66)</f>
        <v>0</v>
      </c>
      <c r="W67" s="23">
        <f t="shared" ref="W67:W103" si="13">(V67/90)*100</f>
        <v>0</v>
      </c>
      <c r="AB67" s="4" t="s">
        <v>39230</v>
      </c>
      <c r="AC67" s="6">
        <f>COUNTIFS($B$2:$B$386,3,$C$2:$C$386,2,$F$2:$F$386,16,$G$2:$G$386,1)</f>
        <v>0</v>
      </c>
      <c r="AD67" s="6">
        <f t="shared" ref="AD67:AD85" si="14">(AC67/90)*100</f>
        <v>0</v>
      </c>
      <c r="AF67">
        <f t="shared" si="9"/>
        <v>2</v>
      </c>
    </row>
    <row r="68" spans="1:32" ht="43.2" x14ac:dyDescent="0.3">
      <c r="A68" s="6" t="s">
        <v>10714</v>
      </c>
      <c r="B68" s="11">
        <v>1</v>
      </c>
      <c r="C68" s="11">
        <v>1</v>
      </c>
      <c r="D68" s="11">
        <v>12</v>
      </c>
      <c r="E68" s="3">
        <f t="shared" si="10"/>
        <v>18</v>
      </c>
      <c r="F68" s="3">
        <f t="shared" si="11"/>
        <v>18</v>
      </c>
      <c r="G68" s="11">
        <v>1</v>
      </c>
      <c r="M68" t="s">
        <v>1642</v>
      </c>
      <c r="N68">
        <f>COUNTIFS($C$2:$C$386,4,$D$2:$D$386,13)</f>
        <v>0</v>
      </c>
      <c r="O68">
        <f t="shared" si="12"/>
        <v>0</v>
      </c>
      <c r="T68" t="s">
        <v>1641</v>
      </c>
      <c r="U68" s="4" t="s">
        <v>39120</v>
      </c>
      <c r="V68">
        <f>COUNTIFS($D$2:$D$386,12,$G$2:$G$386,1)</f>
        <v>1</v>
      </c>
      <c r="W68">
        <f t="shared" si="13"/>
        <v>1.1111111111111112</v>
      </c>
      <c r="AB68" s="4" t="s">
        <v>39231</v>
      </c>
      <c r="AC68" s="6">
        <f>COUNTIFS($B$2:$B$386,1,$C$2:$C$386,3,$F$2:$F$386,16,$G$2:$G$386,1)</f>
        <v>0</v>
      </c>
      <c r="AD68" s="6">
        <f t="shared" si="14"/>
        <v>0</v>
      </c>
      <c r="AF68">
        <f t="shared" si="9"/>
        <v>1</v>
      </c>
    </row>
    <row r="69" spans="1:32" ht="43.2" x14ac:dyDescent="0.3">
      <c r="A69" s="6" t="s">
        <v>10743</v>
      </c>
      <c r="B69" s="11">
        <v>1</v>
      </c>
      <c r="C69" s="11">
        <v>3</v>
      </c>
      <c r="D69" s="11">
        <v>1</v>
      </c>
      <c r="E69" s="3">
        <f t="shared" si="10"/>
        <v>1</v>
      </c>
      <c r="F69" s="3">
        <f t="shared" si="11"/>
        <v>1</v>
      </c>
      <c r="G69" s="11">
        <v>5</v>
      </c>
      <c r="M69" t="s">
        <v>1643</v>
      </c>
      <c r="N69">
        <f>COUNTIFS($C$2:$C$386,4,$D$2:$D$386,14)</f>
        <v>0</v>
      </c>
      <c r="O69">
        <f t="shared" si="12"/>
        <v>0</v>
      </c>
      <c r="U69" s="4" t="s">
        <v>39121</v>
      </c>
      <c r="V69">
        <f>COUNTIFS($D$2:$D$386,12,$G$2:$G$386,2)</f>
        <v>4</v>
      </c>
      <c r="W69">
        <f t="shared" si="13"/>
        <v>4.4444444444444446</v>
      </c>
      <c r="AB69" s="4" t="s">
        <v>39232</v>
      </c>
      <c r="AC69" s="6">
        <f>COUNTIFS($B$2:$B$386,2,$C$2:$C$386,3,$F$2:$F$386,16,$G$2:$G$386,1)</f>
        <v>0</v>
      </c>
      <c r="AD69" s="6">
        <f t="shared" si="14"/>
        <v>0</v>
      </c>
      <c r="AF69">
        <f t="shared" si="9"/>
        <v>2</v>
      </c>
    </row>
    <row r="70" spans="1:32" ht="57.6" x14ac:dyDescent="0.3">
      <c r="A70" s="6" t="s">
        <v>10746</v>
      </c>
      <c r="B70" s="7">
        <v>3</v>
      </c>
      <c r="C70" s="7">
        <v>3</v>
      </c>
      <c r="D70" s="7">
        <v>17</v>
      </c>
      <c r="E70" s="3">
        <f t="shared" si="10"/>
        <v>17</v>
      </c>
      <c r="F70" s="3">
        <f t="shared" si="11"/>
        <v>17</v>
      </c>
      <c r="G70" s="7">
        <v>4</v>
      </c>
      <c r="M70" t="s">
        <v>1644</v>
      </c>
      <c r="N70">
        <f>COUNTIFS($C$2:$C$386,4,$D$2:$D$386,15)</f>
        <v>0</v>
      </c>
      <c r="O70">
        <f t="shared" si="12"/>
        <v>0</v>
      </c>
      <c r="U70" s="4" t="s">
        <v>39125</v>
      </c>
      <c r="V70">
        <f>COUNTIFS($D$2:$D$386,12,$G$2:$G$386,3)</f>
        <v>1</v>
      </c>
      <c r="W70">
        <f t="shared" si="13"/>
        <v>1.1111111111111112</v>
      </c>
      <c r="AB70" s="4" t="s">
        <v>39233</v>
      </c>
      <c r="AC70" s="6">
        <f>COUNTIFS($B$2:$B$386,3,$C$2:$C$386,3,$F$2:$F$386,16,$G$2:$G$386,1)</f>
        <v>0</v>
      </c>
      <c r="AD70" s="6">
        <f t="shared" si="14"/>
        <v>0</v>
      </c>
      <c r="AF70">
        <f t="shared" si="9"/>
        <v>2</v>
      </c>
    </row>
    <row r="71" spans="1:32" ht="43.2" x14ac:dyDescent="0.3">
      <c r="A71" s="6" t="s">
        <v>10685</v>
      </c>
      <c r="B71" s="11">
        <v>1</v>
      </c>
      <c r="C71" s="11">
        <v>3</v>
      </c>
      <c r="D71" s="11">
        <v>1</v>
      </c>
      <c r="E71" s="3">
        <f t="shared" si="10"/>
        <v>1</v>
      </c>
      <c r="F71" s="3">
        <f t="shared" si="11"/>
        <v>1</v>
      </c>
      <c r="G71" s="11">
        <v>5</v>
      </c>
      <c r="M71" t="s">
        <v>29</v>
      </c>
      <c r="N71">
        <f>COUNTIFS($C$2:$C$386,4,$D$2:$D$386,16)</f>
        <v>0</v>
      </c>
      <c r="O71">
        <f t="shared" si="12"/>
        <v>0</v>
      </c>
      <c r="U71" s="4" t="s">
        <v>39122</v>
      </c>
      <c r="V71">
        <f>COUNTIFS($D$2:$D$386,12,$G$2:$G$386,4)</f>
        <v>0</v>
      </c>
      <c r="W71">
        <f t="shared" si="13"/>
        <v>0</v>
      </c>
      <c r="AB71" s="4" t="s">
        <v>39234</v>
      </c>
      <c r="AC71" s="6">
        <f>COUNTIFS($B$2:$B$386,1,$C$2:$C$386,4,$F$2:$F$386,16,$G$2:$G$386,1)</f>
        <v>0</v>
      </c>
      <c r="AD71" s="6">
        <f t="shared" si="14"/>
        <v>0</v>
      </c>
      <c r="AF71">
        <f t="shared" si="9"/>
        <v>2</v>
      </c>
    </row>
    <row r="72" spans="1:32" ht="43.2" x14ac:dyDescent="0.3">
      <c r="A72" s="6" t="s">
        <v>10692</v>
      </c>
      <c r="B72" s="11">
        <v>1</v>
      </c>
      <c r="C72" s="11">
        <v>1</v>
      </c>
      <c r="D72" s="11">
        <v>12</v>
      </c>
      <c r="E72" s="3">
        <f t="shared" si="10"/>
        <v>18</v>
      </c>
      <c r="F72" s="3">
        <f t="shared" si="11"/>
        <v>18</v>
      </c>
      <c r="G72" s="11">
        <v>2</v>
      </c>
      <c r="M72" t="s">
        <v>54</v>
      </c>
      <c r="N72">
        <f>COUNTIFS($C$2:$C$386,4,$D$2:$D$386,17)</f>
        <v>0</v>
      </c>
      <c r="O72">
        <f t="shared" si="12"/>
        <v>0</v>
      </c>
      <c r="U72" s="4" t="s">
        <v>39123</v>
      </c>
      <c r="V72">
        <f>COUNTIFS($D$2:$D$386,12,$G$2:$G$386,5)</f>
        <v>0</v>
      </c>
      <c r="W72">
        <f t="shared" si="13"/>
        <v>0</v>
      </c>
      <c r="AB72" s="4" t="s">
        <v>39235</v>
      </c>
      <c r="AC72" s="6">
        <f>COUNTIFS($B$2:$B$386,2,$C$2:$C$386,4,$F$2:$F$386,16,$G$2:$G$386,1)</f>
        <v>0</v>
      </c>
      <c r="AD72" s="6">
        <f t="shared" si="14"/>
        <v>0</v>
      </c>
      <c r="AF72">
        <f t="shared" si="9"/>
        <v>2</v>
      </c>
    </row>
    <row r="73" spans="1:32" ht="43.2" x14ac:dyDescent="0.3">
      <c r="A73" s="6" t="s">
        <v>10717</v>
      </c>
      <c r="B73" s="11">
        <v>2</v>
      </c>
      <c r="C73" s="11">
        <v>3</v>
      </c>
      <c r="D73" s="11">
        <v>17</v>
      </c>
      <c r="E73" s="3">
        <f t="shared" si="10"/>
        <v>17</v>
      </c>
      <c r="F73" s="3">
        <f t="shared" si="11"/>
        <v>17</v>
      </c>
      <c r="G73" s="11">
        <v>3</v>
      </c>
      <c r="N73" s="23">
        <f>SUM(N56:N72)</f>
        <v>0</v>
      </c>
      <c r="O73" s="23">
        <f t="shared" si="12"/>
        <v>0</v>
      </c>
      <c r="V73" s="23">
        <f>SUM(V68:V72)</f>
        <v>6</v>
      </c>
      <c r="W73" s="23">
        <f t="shared" si="13"/>
        <v>6.666666666666667</v>
      </c>
      <c r="AB73" s="4" t="s">
        <v>39236</v>
      </c>
      <c r="AC73" s="6">
        <f>COUNTIFS($B$2:$B$386,3,$C$2:$C$386,4,$F$2:$F$386,16,$G$2:$G$386,1)</f>
        <v>0</v>
      </c>
      <c r="AD73" s="6">
        <f t="shared" si="14"/>
        <v>0</v>
      </c>
      <c r="AF73">
        <f t="shared" si="9"/>
        <v>2</v>
      </c>
    </row>
    <row r="74" spans="1:32" ht="43.2" x14ac:dyDescent="0.3">
      <c r="A74" s="6" t="s">
        <v>10706</v>
      </c>
      <c r="B74" s="11">
        <v>1</v>
      </c>
      <c r="C74" s="11">
        <v>3</v>
      </c>
      <c r="D74" s="11">
        <v>1</v>
      </c>
      <c r="E74" s="3">
        <f t="shared" si="10"/>
        <v>1</v>
      </c>
      <c r="F74" s="3">
        <f t="shared" si="11"/>
        <v>1</v>
      </c>
      <c r="G74" s="11">
        <v>5</v>
      </c>
      <c r="T74" t="s">
        <v>1642</v>
      </c>
      <c r="U74" s="4" t="s">
        <v>39120</v>
      </c>
      <c r="V74">
        <f>COUNTIFS($D$2:$D$386,13,$G$2:$G$386,1)</f>
        <v>0</v>
      </c>
      <c r="W74">
        <f t="shared" si="13"/>
        <v>0</v>
      </c>
      <c r="AB74" s="4" t="s">
        <v>39237</v>
      </c>
      <c r="AC74" s="6">
        <f>COUNTIFS($B$2:$B$386,1,$C$2:$C$386,1,$F$2:$F$386,17,$G$2:$G$386,1)</f>
        <v>0</v>
      </c>
      <c r="AD74" s="6">
        <f t="shared" si="14"/>
        <v>0</v>
      </c>
      <c r="AF74">
        <f t="shared" si="9"/>
        <v>2</v>
      </c>
    </row>
    <row r="75" spans="1:32" ht="43.2" x14ac:dyDescent="0.3">
      <c r="A75" s="6" t="s">
        <v>10730</v>
      </c>
      <c r="B75" s="7">
        <v>3</v>
      </c>
      <c r="C75" s="7">
        <v>3</v>
      </c>
      <c r="D75" s="7">
        <v>17</v>
      </c>
      <c r="E75" s="3">
        <f t="shared" si="10"/>
        <v>17</v>
      </c>
      <c r="F75" s="3">
        <f t="shared" si="11"/>
        <v>17</v>
      </c>
      <c r="G75" s="7">
        <v>4</v>
      </c>
      <c r="U75" s="4" t="s">
        <v>39121</v>
      </c>
      <c r="V75">
        <f>COUNTIFS($D$2:$D$386,13,$G$2:$G$386,2)</f>
        <v>0</v>
      </c>
      <c r="W75">
        <f t="shared" si="13"/>
        <v>0</v>
      </c>
      <c r="AB75" s="4" t="s">
        <v>39238</v>
      </c>
      <c r="AC75" s="6">
        <f>COUNTIFS($B$2:$B$386,2,$C$2:$C$386,1,$F$2:$F$386,17,$G$2:$G$386,1)</f>
        <v>0</v>
      </c>
      <c r="AD75" s="6">
        <f t="shared" si="14"/>
        <v>0</v>
      </c>
      <c r="AF75">
        <f t="shared" si="9"/>
        <v>2</v>
      </c>
    </row>
    <row r="76" spans="1:32" ht="57.6" x14ac:dyDescent="0.3">
      <c r="A76" s="6" t="s">
        <v>10744</v>
      </c>
      <c r="B76" s="11">
        <v>1</v>
      </c>
      <c r="C76" s="11">
        <v>3</v>
      </c>
      <c r="D76" s="11">
        <v>1</v>
      </c>
      <c r="E76" s="3">
        <f t="shared" si="10"/>
        <v>1</v>
      </c>
      <c r="F76" s="3">
        <f t="shared" si="11"/>
        <v>1</v>
      </c>
      <c r="G76" s="11">
        <v>5</v>
      </c>
      <c r="U76" s="4" t="s">
        <v>39125</v>
      </c>
      <c r="V76">
        <f>COUNTIFS($D$2:$D$386,13,$G$2:$G$386,3)</f>
        <v>0</v>
      </c>
      <c r="W76">
        <f t="shared" si="13"/>
        <v>0</v>
      </c>
      <c r="AB76" s="4" t="s">
        <v>39239</v>
      </c>
      <c r="AC76" s="6">
        <f>COUNTIFS($B$2:$B$386,3,$C$2:$C$386,1,$F$2:$F$386,17,$G$2:$G$386,1)</f>
        <v>0</v>
      </c>
      <c r="AD76" s="6">
        <f t="shared" si="14"/>
        <v>0</v>
      </c>
      <c r="AF76">
        <f t="shared" si="9"/>
        <v>2</v>
      </c>
    </row>
    <row r="77" spans="1:32" ht="43.2" x14ac:dyDescent="0.3">
      <c r="A77" s="6" t="s">
        <v>10728</v>
      </c>
      <c r="B77" s="11">
        <v>2</v>
      </c>
      <c r="C77" s="11">
        <v>3</v>
      </c>
      <c r="D77" s="11">
        <v>17</v>
      </c>
      <c r="E77" s="3">
        <f t="shared" si="10"/>
        <v>17</v>
      </c>
      <c r="F77" s="3">
        <f t="shared" si="11"/>
        <v>17</v>
      </c>
      <c r="G77" s="11">
        <v>4</v>
      </c>
      <c r="U77" s="4" t="s">
        <v>39122</v>
      </c>
      <c r="V77">
        <f>COUNTIFS($D$2:$D$386,13,$G$2:$G$386,4)</f>
        <v>0</v>
      </c>
      <c r="W77">
        <f t="shared" si="13"/>
        <v>0</v>
      </c>
      <c r="AB77" s="4" t="s">
        <v>39240</v>
      </c>
      <c r="AC77" s="6">
        <f>COUNTIFS($B$2:$B$386,1,$C$2:$C$386,2,$F$2:$F$386,17,$G$2:$G$386,1)</f>
        <v>0</v>
      </c>
      <c r="AD77" s="6">
        <f t="shared" si="14"/>
        <v>0</v>
      </c>
      <c r="AF77">
        <f t="shared" si="9"/>
        <v>2</v>
      </c>
    </row>
    <row r="78" spans="1:32" ht="43.2" x14ac:dyDescent="0.3">
      <c r="A78" s="6" t="s">
        <v>10737</v>
      </c>
      <c r="B78" s="11">
        <v>1</v>
      </c>
      <c r="C78" s="11">
        <v>1</v>
      </c>
      <c r="D78" s="11">
        <v>6</v>
      </c>
      <c r="E78" s="3">
        <f t="shared" si="10"/>
        <v>18</v>
      </c>
      <c r="F78" s="3">
        <f t="shared" si="11"/>
        <v>18</v>
      </c>
      <c r="G78" s="11">
        <v>1</v>
      </c>
      <c r="U78" s="4" t="s">
        <v>39123</v>
      </c>
      <c r="V78">
        <f>COUNTIFS($D$2:$D$386,13,$G$2:$G$386,5)</f>
        <v>0</v>
      </c>
      <c r="W78">
        <f t="shared" si="13"/>
        <v>0</v>
      </c>
      <c r="AB78" s="4" t="s">
        <v>39241</v>
      </c>
      <c r="AC78" s="6">
        <f>COUNTIFS($B$2:$B$386,2,$C$2:$C$386,2,$F$2:$F$386,17,$G$2:$G$386,1)</f>
        <v>0</v>
      </c>
      <c r="AD78" s="6">
        <f t="shared" si="14"/>
        <v>0</v>
      </c>
      <c r="AF78">
        <f t="shared" si="9"/>
        <v>1</v>
      </c>
    </row>
    <row r="79" spans="1:32" ht="43.2" x14ac:dyDescent="0.3">
      <c r="A79" s="6" t="s">
        <v>10709</v>
      </c>
      <c r="B79" s="11">
        <v>1</v>
      </c>
      <c r="C79" s="11">
        <v>1</v>
      </c>
      <c r="D79" s="11">
        <v>6</v>
      </c>
      <c r="E79" s="3">
        <f t="shared" si="10"/>
        <v>18</v>
      </c>
      <c r="F79" s="3">
        <f t="shared" si="11"/>
        <v>18</v>
      </c>
      <c r="G79" s="11">
        <v>1</v>
      </c>
      <c r="V79" s="23">
        <f>SUM(V74:V78)</f>
        <v>0</v>
      </c>
      <c r="W79" s="23">
        <f t="shared" si="13"/>
        <v>0</v>
      </c>
      <c r="AB79" s="4" t="s">
        <v>39242</v>
      </c>
      <c r="AC79" s="6">
        <f>COUNTIFS($B$2:$B$386,3,$C$2:$C$386,2,$F$2:$F$386,17,$G$2:$G$386,1)</f>
        <v>0</v>
      </c>
      <c r="AD79" s="6">
        <f t="shared" si="14"/>
        <v>0</v>
      </c>
      <c r="AF79">
        <f t="shared" si="9"/>
        <v>1</v>
      </c>
    </row>
    <row r="80" spans="1:32" ht="43.2" x14ac:dyDescent="0.3">
      <c r="A80" s="6" t="s">
        <v>10755</v>
      </c>
      <c r="B80" s="11">
        <v>1</v>
      </c>
      <c r="C80" s="11">
        <v>3</v>
      </c>
      <c r="D80" s="11">
        <v>1</v>
      </c>
      <c r="E80" s="3">
        <f t="shared" si="10"/>
        <v>1</v>
      </c>
      <c r="F80" s="3">
        <f t="shared" si="11"/>
        <v>1</v>
      </c>
      <c r="G80" s="11">
        <v>5</v>
      </c>
      <c r="T80" t="s">
        <v>1643</v>
      </c>
      <c r="U80" s="4" t="s">
        <v>39120</v>
      </c>
      <c r="V80">
        <f>COUNTIFS($D$2:$D$386,14,$G$2:$G$386,1)</f>
        <v>0</v>
      </c>
      <c r="W80">
        <f t="shared" si="13"/>
        <v>0</v>
      </c>
      <c r="AB80" s="4" t="s">
        <v>39243</v>
      </c>
      <c r="AC80" s="6">
        <f>COUNTIFS($B$2:$B$386,1,$C$2:$C$386,3,$F$2:$F$386,17,$G$2:$G$386,1)</f>
        <v>0</v>
      </c>
      <c r="AD80" s="6">
        <f t="shared" si="14"/>
        <v>0</v>
      </c>
      <c r="AF80">
        <f t="shared" si="9"/>
        <v>2</v>
      </c>
    </row>
    <row r="81" spans="1:32" ht="43.2" x14ac:dyDescent="0.3">
      <c r="A81" s="6" t="s">
        <v>10679</v>
      </c>
      <c r="B81" s="11">
        <v>2</v>
      </c>
      <c r="C81" s="11">
        <v>3</v>
      </c>
      <c r="D81" s="11">
        <v>9</v>
      </c>
      <c r="E81" s="3">
        <f t="shared" si="10"/>
        <v>9</v>
      </c>
      <c r="F81" s="3">
        <f t="shared" si="11"/>
        <v>19</v>
      </c>
      <c r="G81" s="11">
        <v>3</v>
      </c>
      <c r="U81" s="4" t="s">
        <v>39121</v>
      </c>
      <c r="V81">
        <f>COUNTIFS($D$2:$D$386,14,$G$2:$G$386,2)</f>
        <v>0</v>
      </c>
      <c r="W81">
        <f t="shared" si="13"/>
        <v>0</v>
      </c>
      <c r="AB81" s="4" t="s">
        <v>39244</v>
      </c>
      <c r="AC81" s="6">
        <f>COUNTIFS($B$2:$B$386,2,$C$2:$C$386,3,$F$2:$F$386,17,$G$2:$G$386,1)</f>
        <v>0</v>
      </c>
      <c r="AD81" s="6">
        <f t="shared" si="14"/>
        <v>0</v>
      </c>
      <c r="AF81">
        <f t="shared" si="9"/>
        <v>2</v>
      </c>
    </row>
    <row r="82" spans="1:32" ht="57.6" x14ac:dyDescent="0.3">
      <c r="A82" s="6" t="s">
        <v>10715</v>
      </c>
      <c r="B82" s="11">
        <v>2</v>
      </c>
      <c r="C82" s="11">
        <v>2</v>
      </c>
      <c r="D82" s="11">
        <v>12</v>
      </c>
      <c r="E82" s="3">
        <f t="shared" si="10"/>
        <v>18</v>
      </c>
      <c r="F82" s="3">
        <f t="shared" si="11"/>
        <v>18</v>
      </c>
      <c r="G82" s="11">
        <v>3</v>
      </c>
      <c r="U82" s="4" t="s">
        <v>39125</v>
      </c>
      <c r="V82">
        <f>COUNTIFS($D$2:$D$386,14,$G$2:$G$386,3)</f>
        <v>0</v>
      </c>
      <c r="W82">
        <f t="shared" si="13"/>
        <v>0</v>
      </c>
      <c r="AB82" s="4" t="s">
        <v>39245</v>
      </c>
      <c r="AC82" s="6">
        <f>COUNTIFS($B$2:$B$386,3,$C$2:$C$386,3,$F$2:$F$386,17,$G$2:$G$386,1)</f>
        <v>0</v>
      </c>
      <c r="AD82" s="6">
        <f t="shared" si="14"/>
        <v>0</v>
      </c>
      <c r="AF82">
        <f t="shared" si="9"/>
        <v>2</v>
      </c>
    </row>
    <row r="83" spans="1:32" ht="43.2" x14ac:dyDescent="0.3">
      <c r="A83" s="6" t="s">
        <v>10705</v>
      </c>
      <c r="B83" s="11">
        <v>2</v>
      </c>
      <c r="C83" s="11">
        <v>2</v>
      </c>
      <c r="D83" s="11">
        <v>17</v>
      </c>
      <c r="E83" s="3">
        <f t="shared" si="10"/>
        <v>17</v>
      </c>
      <c r="F83" s="3">
        <f t="shared" si="11"/>
        <v>17</v>
      </c>
      <c r="G83" s="11">
        <v>4</v>
      </c>
      <c r="U83" s="4" t="s">
        <v>39122</v>
      </c>
      <c r="V83">
        <f>COUNTIFS($D$2:$D$386,14,$G$2:$G$386,4)</f>
        <v>0</v>
      </c>
      <c r="W83">
        <f t="shared" si="13"/>
        <v>0</v>
      </c>
      <c r="AB83" s="4" t="s">
        <v>39246</v>
      </c>
      <c r="AC83" s="6">
        <f>COUNTIFS($B$2:$B$386,1,$C$2:$C$386,4,$F$2:$F$386,17,$G$2:$G$386,1)</f>
        <v>0</v>
      </c>
      <c r="AD83" s="6">
        <f t="shared" si="14"/>
        <v>0</v>
      </c>
      <c r="AF83">
        <f t="shared" si="9"/>
        <v>2</v>
      </c>
    </row>
    <row r="84" spans="1:32" ht="43.2" x14ac:dyDescent="0.3">
      <c r="A84" s="6" t="s">
        <v>10738</v>
      </c>
      <c r="B84" s="7">
        <v>2</v>
      </c>
      <c r="C84" s="7">
        <v>2</v>
      </c>
      <c r="D84" s="7">
        <v>17</v>
      </c>
      <c r="E84" s="3">
        <f t="shared" si="10"/>
        <v>17</v>
      </c>
      <c r="F84" s="3">
        <f t="shared" si="11"/>
        <v>17</v>
      </c>
      <c r="G84" s="7">
        <v>4</v>
      </c>
      <c r="U84" s="4" t="s">
        <v>39123</v>
      </c>
      <c r="V84">
        <f>COUNTIFS($D$2:$D$386,14,$G$2:$G$386,5)</f>
        <v>0</v>
      </c>
      <c r="W84">
        <f t="shared" si="13"/>
        <v>0</v>
      </c>
      <c r="AB84" s="4" t="s">
        <v>39247</v>
      </c>
      <c r="AC84" s="6">
        <f>COUNTIFS($B$2:$B$386,2,$C$2:$C$386,4,$F$2:$F$386,17,$G$2:$G$386,1)</f>
        <v>0</v>
      </c>
      <c r="AD84" s="6">
        <f t="shared" si="14"/>
        <v>0</v>
      </c>
      <c r="AF84">
        <f t="shared" si="9"/>
        <v>2</v>
      </c>
    </row>
    <row r="85" spans="1:32" ht="43.2" x14ac:dyDescent="0.3">
      <c r="A85" s="6" t="s">
        <v>10735</v>
      </c>
      <c r="B85" s="11">
        <v>3</v>
      </c>
      <c r="C85" s="11">
        <v>3</v>
      </c>
      <c r="D85" s="11">
        <v>17</v>
      </c>
      <c r="E85" s="3">
        <f t="shared" si="10"/>
        <v>17</v>
      </c>
      <c r="F85" s="3">
        <f t="shared" si="11"/>
        <v>17</v>
      </c>
      <c r="G85" s="11">
        <v>4</v>
      </c>
      <c r="V85" s="23">
        <f>SUM(V80:V84)</f>
        <v>0</v>
      </c>
      <c r="W85" s="23">
        <f t="shared" si="13"/>
        <v>0</v>
      </c>
      <c r="AB85" s="4" t="s">
        <v>39248</v>
      </c>
      <c r="AC85" s="6">
        <f>COUNTIFS($B$2:$B$386,3,$C$2:$C$386,4,$F$2:$F$386,17,$G$2:$G$386,1)</f>
        <v>0</v>
      </c>
      <c r="AD85" s="6">
        <f t="shared" si="14"/>
        <v>0</v>
      </c>
      <c r="AF85">
        <f t="shared" si="9"/>
        <v>2</v>
      </c>
    </row>
    <row r="86" spans="1:32" ht="43.2" x14ac:dyDescent="0.3">
      <c r="A86" s="6" t="s">
        <v>10680</v>
      </c>
      <c r="B86" s="7">
        <v>1</v>
      </c>
      <c r="C86" s="7">
        <v>3</v>
      </c>
      <c r="D86" s="7">
        <v>1</v>
      </c>
      <c r="E86" s="3">
        <f t="shared" si="10"/>
        <v>1</v>
      </c>
      <c r="F86" s="3">
        <f t="shared" si="11"/>
        <v>1</v>
      </c>
      <c r="G86" s="7">
        <v>5</v>
      </c>
      <c r="T86" t="s">
        <v>1644</v>
      </c>
      <c r="U86" s="4" t="s">
        <v>39120</v>
      </c>
      <c r="V86">
        <f>COUNTIFS($D$2:$D$386,15,$G$2:$G$386,1)</f>
        <v>0</v>
      </c>
      <c r="W86">
        <f t="shared" si="13"/>
        <v>0</v>
      </c>
      <c r="AB86" s="6"/>
      <c r="AD86" s="6"/>
      <c r="AF86">
        <f t="shared" si="9"/>
        <v>2</v>
      </c>
    </row>
    <row r="87" spans="1:32" ht="43.2" x14ac:dyDescent="0.3">
      <c r="A87" s="6" t="s">
        <v>10733</v>
      </c>
      <c r="B87" s="7">
        <v>3</v>
      </c>
      <c r="C87" s="7">
        <v>3</v>
      </c>
      <c r="D87" s="7">
        <v>17</v>
      </c>
      <c r="E87" s="3">
        <f t="shared" si="10"/>
        <v>17</v>
      </c>
      <c r="F87" s="3">
        <f t="shared" si="11"/>
        <v>17</v>
      </c>
      <c r="G87" s="7">
        <v>4</v>
      </c>
      <c r="U87" s="4" t="s">
        <v>39121</v>
      </c>
      <c r="V87">
        <f>COUNTIFS($D$2:$D$386,15,$G$2:$G$386,2)</f>
        <v>0</v>
      </c>
      <c r="W87">
        <f t="shared" si="13"/>
        <v>0</v>
      </c>
      <c r="AB87" s="4" t="s">
        <v>39249</v>
      </c>
      <c r="AC87" s="6">
        <f>COUNTIFS($B$2:$B$386,1,$C$2:$C$386,1,$F$2:$F$386,18,$G$2:$G$386,2)</f>
        <v>3</v>
      </c>
      <c r="AD87" s="6">
        <f>(AC87/90)*100</f>
        <v>3.3333333333333335</v>
      </c>
      <c r="AF87">
        <f t="shared" si="9"/>
        <v>2</v>
      </c>
    </row>
    <row r="88" spans="1:32" ht="57.6" x14ac:dyDescent="0.3">
      <c r="A88" s="6" t="s">
        <v>10745</v>
      </c>
      <c r="B88" s="7">
        <v>2</v>
      </c>
      <c r="C88" s="7">
        <v>2</v>
      </c>
      <c r="D88" s="7">
        <v>16</v>
      </c>
      <c r="E88" s="3">
        <f t="shared" si="10"/>
        <v>16</v>
      </c>
      <c r="F88" s="3">
        <f t="shared" si="11"/>
        <v>16</v>
      </c>
      <c r="G88" s="7">
        <v>3</v>
      </c>
      <c r="U88" s="4" t="s">
        <v>39125</v>
      </c>
      <c r="V88">
        <f>COUNTIFS($D$2:$D$386,15,$G$2:$G$386,3)</f>
        <v>0</v>
      </c>
      <c r="W88">
        <f t="shared" si="13"/>
        <v>0</v>
      </c>
      <c r="AB88" s="4" t="s">
        <v>39250</v>
      </c>
      <c r="AC88" s="6">
        <f>COUNTIFS($B$2:$B$386,2,$C$2:$C$386,1,$F$2:$F$386,18,$G$2:$G$386,2)</f>
        <v>0</v>
      </c>
      <c r="AD88" s="6">
        <f t="shared" ref="AD88:AD151" si="15">(AC88/90)*100</f>
        <v>0</v>
      </c>
      <c r="AF88">
        <f t="shared" si="9"/>
        <v>2</v>
      </c>
    </row>
    <row r="89" spans="1:32" ht="43.2" x14ac:dyDescent="0.3">
      <c r="A89" s="6" t="s">
        <v>10716</v>
      </c>
      <c r="B89" s="11">
        <v>1</v>
      </c>
      <c r="C89" s="11">
        <v>3</v>
      </c>
      <c r="D89" s="11">
        <v>2</v>
      </c>
      <c r="E89" s="3">
        <f t="shared" si="10"/>
        <v>2</v>
      </c>
      <c r="F89" s="3">
        <f t="shared" si="11"/>
        <v>2</v>
      </c>
      <c r="G89" s="11">
        <v>5</v>
      </c>
      <c r="U89" s="4" t="s">
        <v>39122</v>
      </c>
      <c r="V89">
        <f>COUNTIFS($D$2:$D$386,15,$G$2:$G$386,4)</f>
        <v>0</v>
      </c>
      <c r="W89">
        <f t="shared" si="13"/>
        <v>0</v>
      </c>
      <c r="AB89" s="4" t="s">
        <v>39251</v>
      </c>
      <c r="AC89" s="6">
        <f>COUNTIFS($B$2:$B$386,3,$C$2:$C$386,1,$F$2:$F$386,18,$G$2:$G$386,2)</f>
        <v>0</v>
      </c>
      <c r="AD89" s="6">
        <f t="shared" si="15"/>
        <v>0</v>
      </c>
      <c r="AF89">
        <f t="shared" si="9"/>
        <v>2</v>
      </c>
    </row>
    <row r="90" spans="1:32" ht="43.2" x14ac:dyDescent="0.3">
      <c r="A90" s="6" t="s">
        <v>10721</v>
      </c>
      <c r="B90" s="7">
        <v>3</v>
      </c>
      <c r="C90" s="7">
        <v>3</v>
      </c>
      <c r="D90" s="7">
        <v>17</v>
      </c>
      <c r="E90" s="3">
        <f t="shared" si="10"/>
        <v>17</v>
      </c>
      <c r="F90" s="3">
        <f t="shared" si="11"/>
        <v>17</v>
      </c>
      <c r="G90" s="7">
        <v>4</v>
      </c>
      <c r="U90" s="4" t="s">
        <v>39123</v>
      </c>
      <c r="V90">
        <f>COUNTIFS($D$2:$D$386,15,$G$2:$G$386,5)</f>
        <v>0</v>
      </c>
      <c r="W90">
        <f t="shared" si="13"/>
        <v>0</v>
      </c>
      <c r="AB90" s="4" t="s">
        <v>39252</v>
      </c>
      <c r="AC90" s="6">
        <f>COUNTIFS($B$2:$B$386,1,$C$2:$C$386,2,$F$2:$F$386,18,$G$2:$G$386,2)</f>
        <v>0</v>
      </c>
      <c r="AD90" s="6">
        <f t="shared" si="15"/>
        <v>0</v>
      </c>
      <c r="AF90">
        <f t="shared" si="9"/>
        <v>2</v>
      </c>
    </row>
    <row r="91" spans="1:32" ht="43.2" x14ac:dyDescent="0.3">
      <c r="A91" s="6" t="s">
        <v>10753</v>
      </c>
      <c r="B91" s="11">
        <v>2</v>
      </c>
      <c r="C91" s="11">
        <v>3</v>
      </c>
      <c r="D91" s="11">
        <v>17</v>
      </c>
      <c r="E91" s="3">
        <f t="shared" si="10"/>
        <v>17</v>
      </c>
      <c r="F91" s="3">
        <f t="shared" si="11"/>
        <v>17</v>
      </c>
      <c r="G91" s="11">
        <v>4</v>
      </c>
      <c r="V91" s="23">
        <f>SUM(V86:V90)</f>
        <v>0</v>
      </c>
      <c r="W91" s="23">
        <f t="shared" si="13"/>
        <v>0</v>
      </c>
      <c r="AB91" s="4" t="s">
        <v>39253</v>
      </c>
      <c r="AC91" s="6">
        <f>COUNTIFS($B$2:$B$386,2,$C$2:$C$386,2,$F$2:$F$386,18,$G$2:$G$386,2)</f>
        <v>1</v>
      </c>
      <c r="AD91" s="6">
        <f t="shared" si="15"/>
        <v>1.1111111111111112</v>
      </c>
      <c r="AF91">
        <f t="shared" si="9"/>
        <v>2</v>
      </c>
    </row>
    <row r="92" spans="1:32" ht="43.2" x14ac:dyDescent="0.3">
      <c r="T92" t="s">
        <v>29</v>
      </c>
      <c r="U92" s="4" t="s">
        <v>39120</v>
      </c>
      <c r="V92">
        <f>COUNTIFS($D$2:$D$386,16,$G$2:$G$386,1)</f>
        <v>0</v>
      </c>
      <c r="W92">
        <f t="shared" si="13"/>
        <v>0</v>
      </c>
      <c r="AB92" s="4" t="s">
        <v>39254</v>
      </c>
      <c r="AC92" s="6">
        <f>COUNTIFS($B$2:$B$386,3,$C$2:$C$386,2,$F$2:$F$386,18,$G$2:$G$386,2)</f>
        <v>0</v>
      </c>
      <c r="AD92" s="6">
        <f t="shared" si="15"/>
        <v>0</v>
      </c>
    </row>
    <row r="93" spans="1:32" ht="43.2" x14ac:dyDescent="0.3">
      <c r="U93" s="4" t="s">
        <v>39121</v>
      </c>
      <c r="V93">
        <f>COUNTIFS($D$2:$D$386,16,$G$2:$G$386,2)</f>
        <v>0</v>
      </c>
      <c r="W93">
        <f t="shared" si="13"/>
        <v>0</v>
      </c>
      <c r="AB93" s="4" t="s">
        <v>39255</v>
      </c>
      <c r="AC93" s="6">
        <f>COUNTIFS($B$2:$B$386,1,$C$2:$C$386,3,$F$2:$F$386,18,$G$2:$G$386,2)</f>
        <v>0</v>
      </c>
      <c r="AD93" s="6">
        <f t="shared" si="15"/>
        <v>0</v>
      </c>
    </row>
    <row r="94" spans="1:32" ht="57.6" x14ac:dyDescent="0.3">
      <c r="U94" s="4" t="s">
        <v>39125</v>
      </c>
      <c r="V94">
        <f>COUNTIFS($D$2:$D$386,16,$G$2:$G$386,3)</f>
        <v>8</v>
      </c>
      <c r="W94">
        <f t="shared" si="13"/>
        <v>8.8888888888888893</v>
      </c>
      <c r="AB94" s="4" t="s">
        <v>39256</v>
      </c>
      <c r="AC94" s="6">
        <f>COUNTIFS($B$2:$B$386,2,$C$2:$C$386,3,$F$2:$F$386,18,$G$2:$G$386,2)</f>
        <v>2</v>
      </c>
      <c r="AD94" s="6">
        <f t="shared" si="15"/>
        <v>2.2222222222222223</v>
      </c>
    </row>
    <row r="95" spans="1:32" ht="43.2" x14ac:dyDescent="0.3">
      <c r="U95" s="4" t="s">
        <v>39122</v>
      </c>
      <c r="V95">
        <f>COUNTIFS($D$2:$D$386,16,$G$2:$G$386,4)</f>
        <v>5</v>
      </c>
      <c r="W95">
        <f t="shared" si="13"/>
        <v>5.5555555555555554</v>
      </c>
      <c r="AB95" s="4" t="s">
        <v>39257</v>
      </c>
      <c r="AC95" s="6">
        <f>COUNTIFS($B$2:$B$386,3,$C$2:$C$386,3,$F$2:$F$386,18,$G$2:$G$386,2)</f>
        <v>0</v>
      </c>
      <c r="AD95" s="6">
        <f t="shared" si="15"/>
        <v>0</v>
      </c>
    </row>
    <row r="96" spans="1:32" ht="43.2" x14ac:dyDescent="0.3">
      <c r="U96" s="4" t="s">
        <v>39123</v>
      </c>
      <c r="V96">
        <f>COUNTIFS($D$2:$D$386,16,$G$2:$G$386,5)</f>
        <v>0</v>
      </c>
      <c r="W96">
        <f t="shared" si="13"/>
        <v>0</v>
      </c>
      <c r="AB96" s="4" t="s">
        <v>39258</v>
      </c>
      <c r="AC96" s="6">
        <f>COUNTIFS($B$2:$B$386,1,$C$2:$C$386,4,$F$2:$F$386,18,$G$2:$G$386,2)</f>
        <v>0</v>
      </c>
      <c r="AD96" s="6">
        <f t="shared" si="15"/>
        <v>0</v>
      </c>
    </row>
    <row r="97" spans="20:30" ht="43.2" x14ac:dyDescent="0.3">
      <c r="V97" s="23">
        <f>SUM(V92:V96)</f>
        <v>13</v>
      </c>
      <c r="W97" s="23">
        <f t="shared" si="13"/>
        <v>14.444444444444443</v>
      </c>
      <c r="AB97" s="4" t="s">
        <v>39259</v>
      </c>
      <c r="AC97" s="6">
        <f>COUNTIFS($B$2:$B$386,2,$C$2:$C$386,4,$F$2:$F$386,18,$G$2:$G$386,2)</f>
        <v>0</v>
      </c>
      <c r="AD97" s="6">
        <f t="shared" si="15"/>
        <v>0</v>
      </c>
    </row>
    <row r="98" spans="20:30" ht="43.2" x14ac:dyDescent="0.3">
      <c r="T98" t="s">
        <v>54</v>
      </c>
      <c r="U98" s="4" t="s">
        <v>39120</v>
      </c>
      <c r="V98">
        <f>COUNTIFS($D$2:$D$386,17,$G$2:$G$386,1)</f>
        <v>0</v>
      </c>
      <c r="W98">
        <f t="shared" si="13"/>
        <v>0</v>
      </c>
      <c r="AB98" s="4" t="s">
        <v>39260</v>
      </c>
      <c r="AC98" s="6">
        <f>COUNTIFS($B$2:$B$386,3,$C$2:$C$386,4,$F$2:$F$386,18,$G$2:$G$386,2)</f>
        <v>0</v>
      </c>
      <c r="AD98" s="6">
        <f t="shared" si="15"/>
        <v>0</v>
      </c>
    </row>
    <row r="99" spans="20:30" ht="43.2" x14ac:dyDescent="0.3">
      <c r="U99" s="4" t="s">
        <v>39121</v>
      </c>
      <c r="V99">
        <f>COUNTIFS($D$2:$D$386,17,$G$2:$G$386,2)</f>
        <v>0</v>
      </c>
      <c r="W99">
        <f t="shared" si="13"/>
        <v>0</v>
      </c>
      <c r="AB99" s="4" t="s">
        <v>39261</v>
      </c>
      <c r="AC99" s="6">
        <f>COUNTIFS($B$2:$B$386,1,$C$2:$C$386,1,$F$2:$F$386,19,$G$2:$G$386,2)</f>
        <v>0</v>
      </c>
      <c r="AD99" s="6">
        <f t="shared" si="15"/>
        <v>0</v>
      </c>
    </row>
    <row r="100" spans="20:30" ht="57.6" x14ac:dyDescent="0.3">
      <c r="U100" s="4" t="s">
        <v>39125</v>
      </c>
      <c r="V100">
        <f>COUNTIFS($D$2:$D$386,17,$G$2:$G$386,3)</f>
        <v>3</v>
      </c>
      <c r="W100">
        <f t="shared" si="13"/>
        <v>3.3333333333333335</v>
      </c>
      <c r="AB100" s="4" t="s">
        <v>39262</v>
      </c>
      <c r="AC100" s="6">
        <f>COUNTIFS($B$2:$B$386,2,$C$2:$C$386,1,$F$2:$F$386,19,$G$2:$G$386,2)</f>
        <v>0</v>
      </c>
      <c r="AD100" s="6">
        <f t="shared" si="15"/>
        <v>0</v>
      </c>
    </row>
    <row r="101" spans="20:30" ht="43.2" x14ac:dyDescent="0.3">
      <c r="U101" s="4" t="s">
        <v>39122</v>
      </c>
      <c r="V101">
        <f>COUNTIFS($D$2:$D$386,17,$G$2:$G$386,4)</f>
        <v>40</v>
      </c>
      <c r="W101">
        <f t="shared" si="13"/>
        <v>44.444444444444443</v>
      </c>
      <c r="AB101" s="4" t="s">
        <v>39263</v>
      </c>
      <c r="AC101" s="6">
        <f>COUNTIFS($B$2:$B$386,3,$C$2:$C$386,1,$F$2:$F$386,19,$G$2:$G$386,2)</f>
        <v>0</v>
      </c>
      <c r="AD101" s="6">
        <f t="shared" si="15"/>
        <v>0</v>
      </c>
    </row>
    <row r="102" spans="20:30" ht="43.2" x14ac:dyDescent="0.3">
      <c r="U102" s="4" t="s">
        <v>39123</v>
      </c>
      <c r="V102">
        <f>COUNTIFS($D$2:$D$386,17,$G$2:$G$386,5)</f>
        <v>0</v>
      </c>
      <c r="W102">
        <f t="shared" si="13"/>
        <v>0</v>
      </c>
      <c r="AB102" s="4" t="s">
        <v>39264</v>
      </c>
      <c r="AC102" s="6">
        <f>COUNTIFS($B$2:$B$386,1,$C$2:$C$386,2,$F$2:$F$386,19,$G$2:$G$386,2)</f>
        <v>0</v>
      </c>
      <c r="AD102" s="6">
        <f t="shared" si="15"/>
        <v>0</v>
      </c>
    </row>
    <row r="103" spans="20:30" ht="43.2" x14ac:dyDescent="0.3">
      <c r="V103" s="23">
        <f>SUM(V98:V102)</f>
        <v>43</v>
      </c>
      <c r="W103" s="23">
        <f t="shared" si="13"/>
        <v>47.777777777777779</v>
      </c>
      <c r="AB103" s="4" t="s">
        <v>39265</v>
      </c>
      <c r="AC103" s="6">
        <f>COUNTIFS($B$2:$B$386,2,$C$2:$C$386,2,$F$2:$F$386,19,$G$2:$G$386,2)</f>
        <v>0</v>
      </c>
      <c r="AD103" s="6">
        <f t="shared" si="15"/>
        <v>0</v>
      </c>
    </row>
    <row r="104" spans="20:30" ht="43.2" x14ac:dyDescent="0.3">
      <c r="AB104" s="4" t="s">
        <v>39266</v>
      </c>
      <c r="AC104" s="6">
        <f>COUNTIFS($B$2:$B$386,3,$C$2:$C$386,2,$F$2:$F$386,19,$G$2:$G$386,2)</f>
        <v>0</v>
      </c>
      <c r="AD104" s="6">
        <f t="shared" si="15"/>
        <v>0</v>
      </c>
    </row>
    <row r="105" spans="20:30" ht="43.2" x14ac:dyDescent="0.3">
      <c r="AB105" s="4" t="s">
        <v>39267</v>
      </c>
      <c r="AC105" s="6">
        <f>COUNTIFS($B$2:$B$386,1,$C$2:$C$386,3,$F$2:$F$386,19,$G$2:$G$386,2)</f>
        <v>0</v>
      </c>
      <c r="AD105" s="6">
        <f t="shared" si="15"/>
        <v>0</v>
      </c>
    </row>
    <row r="106" spans="20:30" ht="43.2" x14ac:dyDescent="0.3">
      <c r="AB106" s="4" t="s">
        <v>39268</v>
      </c>
      <c r="AC106" s="6">
        <f>COUNTIFS($B$2:$B$386,2,$C$2:$C$386,3,$F$2:$F$386,19,$G$2:$G$386,2)</f>
        <v>0</v>
      </c>
      <c r="AD106" s="6">
        <f t="shared" si="15"/>
        <v>0</v>
      </c>
    </row>
    <row r="107" spans="20:30" ht="43.2" x14ac:dyDescent="0.3">
      <c r="AB107" s="4" t="s">
        <v>39269</v>
      </c>
      <c r="AC107" s="6">
        <f>COUNTIFS($B$2:$B$386,3,$C$2:$C$386,3,$F$2:$F$386,19,$G$2:$G$386,2)</f>
        <v>0</v>
      </c>
      <c r="AD107" s="6">
        <f t="shared" si="15"/>
        <v>0</v>
      </c>
    </row>
    <row r="108" spans="20:30" ht="43.2" x14ac:dyDescent="0.3">
      <c r="AB108" s="4" t="s">
        <v>39270</v>
      </c>
      <c r="AC108" s="6">
        <f>COUNTIFS($B$2:$B$386,1,$C$2:$C$386,4,$F$2:$F$386,19,$G$2:$G$386,2)</f>
        <v>0</v>
      </c>
      <c r="AD108" s="6">
        <f t="shared" si="15"/>
        <v>0</v>
      </c>
    </row>
    <row r="109" spans="20:30" ht="43.2" x14ac:dyDescent="0.3">
      <c r="AB109" s="4" t="s">
        <v>39271</v>
      </c>
      <c r="AC109" s="6">
        <f>COUNTIFS($B$2:$B$386,2,$C$2:$C$386,4,$F$2:$F$386,19,$G$2:$G$386,2)</f>
        <v>0</v>
      </c>
      <c r="AD109" s="6">
        <f t="shared" si="15"/>
        <v>0</v>
      </c>
    </row>
    <row r="110" spans="20:30" ht="43.2" x14ac:dyDescent="0.3">
      <c r="AB110" s="4" t="s">
        <v>39272</v>
      </c>
      <c r="AC110" s="6">
        <f>COUNTIFS($B$2:$B$386,3,$C$2:$C$386,4,$F$2:$F$386,19,$G$2:$G$386,2)</f>
        <v>0</v>
      </c>
      <c r="AD110" s="6">
        <f t="shared" si="15"/>
        <v>0</v>
      </c>
    </row>
    <row r="111" spans="20:30" ht="28.8" x14ac:dyDescent="0.3">
      <c r="AB111" s="4" t="s">
        <v>39273</v>
      </c>
      <c r="AC111" s="6">
        <f>COUNTIFS($B$2:$B$386,1,$C$2:$C$386,1,$F$2:$F$386,1,$G$2:$G$386,2)</f>
        <v>0</v>
      </c>
      <c r="AD111" s="6">
        <f t="shared" si="15"/>
        <v>0</v>
      </c>
    </row>
    <row r="112" spans="20:30" ht="28.8" x14ac:dyDescent="0.3">
      <c r="AB112" s="4" t="s">
        <v>39274</v>
      </c>
      <c r="AC112" s="6">
        <f>COUNTIFS($B$2:$B$386,2,$C$2:$C$386,1,$F$2:$F$386,1,$G$2:$G$386,2)</f>
        <v>0</v>
      </c>
      <c r="AD112" s="6">
        <f t="shared" si="15"/>
        <v>0</v>
      </c>
    </row>
    <row r="113" spans="28:30" ht="28.8" x14ac:dyDescent="0.3">
      <c r="AB113" s="4" t="s">
        <v>39275</v>
      </c>
      <c r="AC113" s="6">
        <f>COUNTIFS($B$2:$B$386,3,$C$2:$C$386,1,$F$2:$F$386,1,$G$2:$G$386,2)</f>
        <v>0</v>
      </c>
      <c r="AD113" s="6">
        <f t="shared" si="15"/>
        <v>0</v>
      </c>
    </row>
    <row r="114" spans="28:30" ht="43.2" x14ac:dyDescent="0.3">
      <c r="AB114" s="4" t="s">
        <v>39276</v>
      </c>
      <c r="AC114" s="6">
        <f>COUNTIFS($B$2:$B$386,1,$C$2:$C$386,2,$F$2:$F$386,1,$G$2:$G$386,2)</f>
        <v>0</v>
      </c>
      <c r="AD114" s="6">
        <f t="shared" si="15"/>
        <v>0</v>
      </c>
    </row>
    <row r="115" spans="28:30" ht="43.2" x14ac:dyDescent="0.3">
      <c r="AB115" s="4" t="s">
        <v>39277</v>
      </c>
      <c r="AC115" s="6">
        <f>COUNTIFS($B$2:$B$386,2,$C$2:$C$386,2,$F$2:$F$386,1,$G$2:$G$386,2)</f>
        <v>0</v>
      </c>
      <c r="AD115" s="6">
        <f t="shared" si="15"/>
        <v>0</v>
      </c>
    </row>
    <row r="116" spans="28:30" ht="43.2" x14ac:dyDescent="0.3">
      <c r="AB116" s="4" t="s">
        <v>39278</v>
      </c>
      <c r="AC116" s="6">
        <f>COUNTIFS($B$2:$B$386,3,$C$2:$C$386,2,$F$2:$F$386,1,$G$2:$G$386,2)</f>
        <v>0</v>
      </c>
      <c r="AD116" s="6">
        <f t="shared" si="15"/>
        <v>0</v>
      </c>
    </row>
    <row r="117" spans="28:30" ht="43.2" x14ac:dyDescent="0.3">
      <c r="AB117" s="4" t="s">
        <v>39279</v>
      </c>
      <c r="AC117" s="6">
        <f>COUNTIFS($B$2:$B$386,1,$C$2:$C$386,3,$F$2:$F$386,1,$G$2:$G$386,2)</f>
        <v>0</v>
      </c>
      <c r="AD117" s="6">
        <f t="shared" si="15"/>
        <v>0</v>
      </c>
    </row>
    <row r="118" spans="28:30" ht="43.2" x14ac:dyDescent="0.3">
      <c r="AB118" s="4" t="s">
        <v>39280</v>
      </c>
      <c r="AC118" s="6">
        <f>COUNTIFS($B$2:$B$386,2,$C$2:$C$386,3,$F$2:$F$386,1,$G$2:$G$386,2)</f>
        <v>0</v>
      </c>
      <c r="AD118" s="6">
        <f t="shared" si="15"/>
        <v>0</v>
      </c>
    </row>
    <row r="119" spans="28:30" ht="43.2" x14ac:dyDescent="0.3">
      <c r="AB119" s="4" t="s">
        <v>39281</v>
      </c>
      <c r="AC119" s="6">
        <f>COUNTIFS($B$2:$B$386,3,$C$2:$C$386,3,$F$2:$F$386,1,$G$2:$G$386,2)</f>
        <v>0</v>
      </c>
      <c r="AD119" s="6">
        <f t="shared" si="15"/>
        <v>0</v>
      </c>
    </row>
    <row r="120" spans="28:30" ht="43.2" x14ac:dyDescent="0.3">
      <c r="AB120" s="4" t="s">
        <v>39282</v>
      </c>
      <c r="AC120" s="6">
        <f>COUNTIFS($B$2:$B$386,1,$C$2:$C$386,4,$F$2:$F$386,1,$G$2:$G$386,2)</f>
        <v>0</v>
      </c>
      <c r="AD120" s="6">
        <f t="shared" si="15"/>
        <v>0</v>
      </c>
    </row>
    <row r="121" spans="28:30" ht="43.2" x14ac:dyDescent="0.3">
      <c r="AB121" s="4" t="s">
        <v>39283</v>
      </c>
      <c r="AC121" s="6">
        <f>COUNTIFS($B$2:$B$386,2,$C$2:$C$386,4,$F$2:$F$386,1,$G$2:$G$386,2)</f>
        <v>0</v>
      </c>
      <c r="AD121" s="6">
        <f t="shared" si="15"/>
        <v>0</v>
      </c>
    </row>
    <row r="122" spans="28:30" ht="43.2" x14ac:dyDescent="0.3">
      <c r="AB122" s="4" t="s">
        <v>39284</v>
      </c>
      <c r="AC122" s="6">
        <f>COUNTIFS($B$2:$B$386,3,$C$2:$C$386,4,$F$2:$F$386,1,$G$2:$G$386,2)</f>
        <v>0</v>
      </c>
      <c r="AD122" s="6">
        <f t="shared" si="15"/>
        <v>0</v>
      </c>
    </row>
    <row r="123" spans="28:30" ht="43.2" x14ac:dyDescent="0.3">
      <c r="AB123" s="4" t="s">
        <v>39285</v>
      </c>
      <c r="AC123" s="6">
        <f>COUNTIFS($B$2:$B$386,1,$C$2:$C$386,1,$F$2:$F$386,2,$G$2:$G$386,2)</f>
        <v>0</v>
      </c>
      <c r="AD123" s="6">
        <f t="shared" si="15"/>
        <v>0</v>
      </c>
    </row>
    <row r="124" spans="28:30" ht="43.2" x14ac:dyDescent="0.3">
      <c r="AB124" s="4" t="s">
        <v>39286</v>
      </c>
      <c r="AC124" s="6">
        <f>COUNTIFS($B$2:$B$386,2,$C$2:$C$386,1,$F$2:$F$386,2,$G$2:$G$386,2)</f>
        <v>0</v>
      </c>
      <c r="AD124" s="6">
        <f t="shared" si="15"/>
        <v>0</v>
      </c>
    </row>
    <row r="125" spans="28:30" ht="43.2" x14ac:dyDescent="0.3">
      <c r="AB125" s="4" t="s">
        <v>39287</v>
      </c>
      <c r="AC125" s="6">
        <f>COUNTIFS($B$2:$B$386,3,$C$2:$C$386,1,$F$2:$F$386,2,$G$2:$G$386,2)</f>
        <v>0</v>
      </c>
      <c r="AD125" s="6">
        <f t="shared" si="15"/>
        <v>0</v>
      </c>
    </row>
    <row r="126" spans="28:30" ht="43.2" x14ac:dyDescent="0.3">
      <c r="AB126" s="4" t="s">
        <v>39288</v>
      </c>
      <c r="AC126" s="6">
        <f>COUNTIFS($B$2:$B$386,1,$C$2:$C$386,2,$F$2:$F$386,2,$G$2:$G$386,2)</f>
        <v>0</v>
      </c>
      <c r="AD126" s="6">
        <f t="shared" si="15"/>
        <v>0</v>
      </c>
    </row>
    <row r="127" spans="28:30" ht="43.2" x14ac:dyDescent="0.3">
      <c r="AB127" s="4" t="s">
        <v>39289</v>
      </c>
      <c r="AC127" s="6">
        <f>COUNTIFS($B$2:$B$386,2,$C$2:$C$386,2,$F$2:$F$386,2,$G$2:$G$386,2)</f>
        <v>0</v>
      </c>
      <c r="AD127" s="6">
        <f t="shared" si="15"/>
        <v>0</v>
      </c>
    </row>
    <row r="128" spans="28:30" ht="43.2" x14ac:dyDescent="0.3">
      <c r="AB128" s="4" t="s">
        <v>39290</v>
      </c>
      <c r="AC128" s="6">
        <f>COUNTIFS($B$2:$B$386,3,$C$2:$C$386,2,$F$2:$F$386,2,$G$2:$G$386,2)</f>
        <v>0</v>
      </c>
      <c r="AD128" s="6">
        <f t="shared" si="15"/>
        <v>0</v>
      </c>
    </row>
    <row r="129" spans="28:30" ht="43.2" x14ac:dyDescent="0.3">
      <c r="AB129" s="4" t="s">
        <v>39291</v>
      </c>
      <c r="AC129" s="6">
        <f>COUNTIFS($B$2:$B$386,1,$C$2:$C$386,3,$F$2:$F$386,2,$G$2:$G$386,2)</f>
        <v>0</v>
      </c>
      <c r="AD129" s="6">
        <f t="shared" si="15"/>
        <v>0</v>
      </c>
    </row>
    <row r="130" spans="28:30" ht="43.2" x14ac:dyDescent="0.3">
      <c r="AB130" s="4" t="s">
        <v>39292</v>
      </c>
      <c r="AC130" s="6">
        <f>COUNTIFS($B$2:$B$386,2,$C$2:$C$386,3,$F$2:$F$386,2,$G$2:$G$386,2)</f>
        <v>0</v>
      </c>
      <c r="AD130" s="6">
        <f t="shared" si="15"/>
        <v>0</v>
      </c>
    </row>
    <row r="131" spans="28:30" ht="43.2" x14ac:dyDescent="0.3">
      <c r="AB131" s="4" t="s">
        <v>39293</v>
      </c>
      <c r="AC131" s="6">
        <f>COUNTIFS($B$2:$B$386,3,$C$2:$C$386,3,$F$2:$F$386,2,$G$2:$G$386,2)</f>
        <v>0</v>
      </c>
      <c r="AD131" s="6">
        <f t="shared" si="15"/>
        <v>0</v>
      </c>
    </row>
    <row r="132" spans="28:30" ht="43.2" x14ac:dyDescent="0.3">
      <c r="AB132" s="4" t="s">
        <v>39294</v>
      </c>
      <c r="AC132" s="6">
        <f>COUNTIFS($B$2:$B$386,1,$C$2:$C$386,4,$F$2:$F$386,2,$G$2:$G$386,2)</f>
        <v>0</v>
      </c>
      <c r="AD132" s="6">
        <f t="shared" si="15"/>
        <v>0</v>
      </c>
    </row>
    <row r="133" spans="28:30" ht="43.2" x14ac:dyDescent="0.3">
      <c r="AB133" s="4" t="s">
        <v>39295</v>
      </c>
      <c r="AC133" s="6">
        <f>COUNTIFS($B$2:$B$386,2,$C$2:$C$386,4,$F$2:$F$386,2,$G$2:$G$386,2)</f>
        <v>0</v>
      </c>
      <c r="AD133" s="6">
        <f t="shared" si="15"/>
        <v>0</v>
      </c>
    </row>
    <row r="134" spans="28:30" ht="43.2" x14ac:dyDescent="0.3">
      <c r="AB134" s="4" t="s">
        <v>39296</v>
      </c>
      <c r="AC134" s="6">
        <f>COUNTIFS($B$2:$B$386,3,$C$2:$C$386,4,$F$2:$F$386,2,$G$2:$G$386,2)</f>
        <v>0</v>
      </c>
      <c r="AD134" s="6">
        <f t="shared" si="15"/>
        <v>0</v>
      </c>
    </row>
    <row r="135" spans="28:30" ht="43.2" x14ac:dyDescent="0.3">
      <c r="AB135" s="4" t="s">
        <v>39297</v>
      </c>
      <c r="AC135" s="6">
        <f>COUNTIFS($B$2:$B$386,1,$C$2:$C$386,1,$F$2:$F$386,3,$G$2:$G$386,2)</f>
        <v>0</v>
      </c>
      <c r="AD135" s="6">
        <f t="shared" si="15"/>
        <v>0</v>
      </c>
    </row>
    <row r="136" spans="28:30" ht="43.2" x14ac:dyDescent="0.3">
      <c r="AB136" s="4" t="s">
        <v>39298</v>
      </c>
      <c r="AC136" s="6">
        <f>COUNTIFS($B$2:$B$386,2,$C$2:$C$386,1,$F$2:$F$386,3,$G$2:$G$386,2)</f>
        <v>0</v>
      </c>
      <c r="AD136" s="6">
        <f t="shared" si="15"/>
        <v>0</v>
      </c>
    </row>
    <row r="137" spans="28:30" ht="43.2" x14ac:dyDescent="0.3">
      <c r="AB137" s="4" t="s">
        <v>39299</v>
      </c>
      <c r="AC137" s="6">
        <f>COUNTIFS($B$2:$B$386,3,$C$2:$C$386,1,$F$2:$F$386,3,$G$2:$G$386,2)</f>
        <v>0</v>
      </c>
      <c r="AD137" s="6">
        <f t="shared" si="15"/>
        <v>0</v>
      </c>
    </row>
    <row r="138" spans="28:30" ht="43.2" x14ac:dyDescent="0.3">
      <c r="AB138" s="4" t="s">
        <v>39300</v>
      </c>
      <c r="AC138" s="6">
        <f>COUNTIFS($B$2:$B$386,1,$C$2:$C$386,2,$F$2:$F$386,3,$G$2:$G$386,2)</f>
        <v>0</v>
      </c>
      <c r="AD138" s="6">
        <f t="shared" si="15"/>
        <v>0</v>
      </c>
    </row>
    <row r="139" spans="28:30" ht="43.2" x14ac:dyDescent="0.3">
      <c r="AB139" s="4" t="s">
        <v>39301</v>
      </c>
      <c r="AC139" s="6">
        <f>COUNTIFS($B$2:$B$386,2,$C$2:$C$386,2,$F$2:$F$386,3,$G$2:$G$386,2)</f>
        <v>0</v>
      </c>
      <c r="AD139" s="6">
        <f t="shared" si="15"/>
        <v>0</v>
      </c>
    </row>
    <row r="140" spans="28:30" ht="43.2" x14ac:dyDescent="0.3">
      <c r="AB140" s="4" t="s">
        <v>39302</v>
      </c>
      <c r="AC140" s="6">
        <f>COUNTIFS($B$2:$B$386,3,$C$2:$C$386,2,$F$2:$F$386,3,$G$2:$G$386,2)</f>
        <v>0</v>
      </c>
      <c r="AD140" s="6">
        <f t="shared" si="15"/>
        <v>0</v>
      </c>
    </row>
    <row r="141" spans="28:30" ht="43.2" x14ac:dyDescent="0.3">
      <c r="AB141" s="4" t="s">
        <v>39303</v>
      </c>
      <c r="AC141" s="6">
        <f>COUNTIFS($B$2:$B$386,1,$C$2:$C$386,3,$F$2:$F$386,3,$G$2:$G$386,2)</f>
        <v>0</v>
      </c>
      <c r="AD141" s="6">
        <f t="shared" si="15"/>
        <v>0</v>
      </c>
    </row>
    <row r="142" spans="28:30" ht="43.2" x14ac:dyDescent="0.3">
      <c r="AB142" s="4" t="s">
        <v>39304</v>
      </c>
      <c r="AC142" s="6">
        <f>COUNTIFS($B$2:$B$386,2,$C$2:$C$386,3,$F$2:$F$386,3,$G$2:$G$386,2)</f>
        <v>0</v>
      </c>
      <c r="AD142" s="6">
        <f t="shared" si="15"/>
        <v>0</v>
      </c>
    </row>
    <row r="143" spans="28:30" ht="43.2" x14ac:dyDescent="0.3">
      <c r="AB143" s="4" t="s">
        <v>39305</v>
      </c>
      <c r="AC143" s="6">
        <f>COUNTIFS($B$2:$B$386,3,$C$2:$C$386,3,$F$2:$F$386,3,$G$2:$G$386,2)</f>
        <v>0</v>
      </c>
      <c r="AD143" s="6">
        <f t="shared" si="15"/>
        <v>0</v>
      </c>
    </row>
    <row r="144" spans="28:30" ht="43.2" x14ac:dyDescent="0.3">
      <c r="AB144" s="4" t="s">
        <v>39306</v>
      </c>
      <c r="AC144" s="6">
        <f>COUNTIFS($B$2:$B$386,1,$C$2:$C$386,4,$F$2:$F$386,3,$G$2:$G$386,2)</f>
        <v>0</v>
      </c>
      <c r="AD144" s="6">
        <f t="shared" si="15"/>
        <v>0</v>
      </c>
    </row>
    <row r="145" spans="28:30" ht="43.2" x14ac:dyDescent="0.3">
      <c r="AB145" s="4" t="s">
        <v>39307</v>
      </c>
      <c r="AC145" s="6">
        <f>COUNTIFS($B$2:$B$386,2,$C$2:$C$386,4,$F$2:$F$386,3,$G$2:$G$386,2)</f>
        <v>0</v>
      </c>
      <c r="AD145" s="6">
        <f t="shared" si="15"/>
        <v>0</v>
      </c>
    </row>
    <row r="146" spans="28:30" ht="43.2" x14ac:dyDescent="0.3">
      <c r="AB146" s="4" t="s">
        <v>39308</v>
      </c>
      <c r="AC146" s="6">
        <f>COUNTIFS($B$2:$B$386,3,$C$2:$C$386,4,$F$2:$F$386,3,$G$2:$G$386,2)</f>
        <v>0</v>
      </c>
      <c r="AD146" s="6">
        <f t="shared" si="15"/>
        <v>0</v>
      </c>
    </row>
    <row r="147" spans="28:30" ht="43.2" x14ac:dyDescent="0.3">
      <c r="AB147" s="4" t="s">
        <v>39309</v>
      </c>
      <c r="AC147" s="6">
        <f>COUNTIFS($B$2:$B$386,1,$C$2:$C$386,1,$F$2:$F$386,16,$G$2:$G$386,2)</f>
        <v>0</v>
      </c>
      <c r="AD147" s="6">
        <f t="shared" si="15"/>
        <v>0</v>
      </c>
    </row>
    <row r="148" spans="28:30" ht="43.2" x14ac:dyDescent="0.3">
      <c r="AB148" s="4" t="s">
        <v>39310</v>
      </c>
      <c r="AC148" s="6">
        <f>COUNTIFS($B$2:$B$386,2,$C$2:$C$386,1,$F$2:$F$386,16,$G$2:$G$386,2)</f>
        <v>0</v>
      </c>
      <c r="AD148" s="6">
        <f t="shared" si="15"/>
        <v>0</v>
      </c>
    </row>
    <row r="149" spans="28:30" ht="43.2" x14ac:dyDescent="0.3">
      <c r="AB149" s="4" t="s">
        <v>39311</v>
      </c>
      <c r="AC149" s="6">
        <f>COUNTIFS($B$2:$B$386,3,$C$2:$C$386,1,$F$2:$F$386,16,$G$2:$G$386,2)</f>
        <v>0</v>
      </c>
      <c r="AD149" s="6">
        <f t="shared" si="15"/>
        <v>0</v>
      </c>
    </row>
    <row r="150" spans="28:30" ht="43.2" x14ac:dyDescent="0.3">
      <c r="AB150" s="4" t="s">
        <v>39312</v>
      </c>
      <c r="AC150" s="6">
        <f>COUNTIFS($B$2:$B$386,1,$C$2:$C$386,2,$F$2:$F$386,16,$G$2:$G$386,2)</f>
        <v>0</v>
      </c>
      <c r="AD150" s="6">
        <f t="shared" si="15"/>
        <v>0</v>
      </c>
    </row>
    <row r="151" spans="28:30" ht="43.2" x14ac:dyDescent="0.3">
      <c r="AB151" s="4" t="s">
        <v>39313</v>
      </c>
      <c r="AC151" s="6">
        <f>COUNTIFS($B$2:$B$386,2,$C$2:$C$386,2,$F$2:$F$386,16,$G$2:$G$386,2)</f>
        <v>0</v>
      </c>
      <c r="AD151" s="6">
        <f t="shared" si="15"/>
        <v>0</v>
      </c>
    </row>
    <row r="152" spans="28:30" ht="43.2" x14ac:dyDescent="0.3">
      <c r="AB152" s="4" t="s">
        <v>39314</v>
      </c>
      <c r="AC152" s="6">
        <f>COUNTIFS($B$2:$B$386,3,$C$2:$C$386,2,$F$2:$F$386,16,$G$2:$G$386,2)</f>
        <v>0</v>
      </c>
      <c r="AD152" s="6">
        <f t="shared" ref="AD152:AD170" si="16">(AC152/90)*100</f>
        <v>0</v>
      </c>
    </row>
    <row r="153" spans="28:30" ht="43.2" x14ac:dyDescent="0.3">
      <c r="AB153" s="4" t="s">
        <v>39315</v>
      </c>
      <c r="AC153" s="6">
        <f>COUNTIFS($B$2:$B$386,1,$C$2:$C$386,3,$F$2:$F$386,16,$G$2:$G$386,2)</f>
        <v>0</v>
      </c>
      <c r="AD153" s="6">
        <f t="shared" si="16"/>
        <v>0</v>
      </c>
    </row>
    <row r="154" spans="28:30" ht="43.2" x14ac:dyDescent="0.3">
      <c r="AB154" s="4" t="s">
        <v>39316</v>
      </c>
      <c r="AC154" s="6">
        <f>COUNTIFS($B$2:$B$386,2,$C$2:$C$386,3,$F$2:$F$386,16,$G$2:$G$386,2)</f>
        <v>0</v>
      </c>
      <c r="AD154" s="6">
        <f t="shared" si="16"/>
        <v>0</v>
      </c>
    </row>
    <row r="155" spans="28:30" ht="43.2" x14ac:dyDescent="0.3">
      <c r="AB155" s="4" t="s">
        <v>39317</v>
      </c>
      <c r="AC155" s="6">
        <f>COUNTIFS($B$2:$B$386,3,$C$2:$C$386,3,$F$2:$F$386,16,$G$2:$G$386,2)</f>
        <v>0</v>
      </c>
      <c r="AD155" s="6">
        <f t="shared" si="16"/>
        <v>0</v>
      </c>
    </row>
    <row r="156" spans="28:30" ht="43.2" x14ac:dyDescent="0.3">
      <c r="AB156" s="4" t="s">
        <v>39318</v>
      </c>
      <c r="AC156" s="6">
        <f>COUNTIFS($B$2:$B$386,1,$C$2:$C$386,4,$F$2:$F$386,16,$G$2:$G$386,2)</f>
        <v>0</v>
      </c>
      <c r="AD156" s="6">
        <f t="shared" si="16"/>
        <v>0</v>
      </c>
    </row>
    <row r="157" spans="28:30" ht="43.2" x14ac:dyDescent="0.3">
      <c r="AB157" s="4" t="s">
        <v>39319</v>
      </c>
      <c r="AC157" s="6">
        <f>COUNTIFS($B$2:$B$386,2,$C$2:$C$386,4,$F$2:$F$386,16,$G$2:$G$386,2)</f>
        <v>0</v>
      </c>
      <c r="AD157" s="6">
        <f t="shared" si="16"/>
        <v>0</v>
      </c>
    </row>
    <row r="158" spans="28:30" ht="43.2" x14ac:dyDescent="0.3">
      <c r="AB158" s="4" t="s">
        <v>39320</v>
      </c>
      <c r="AC158" s="6">
        <f>COUNTIFS($B$2:$B$386,3,$C$2:$C$386,4,$F$2:$F$386,16,$G$2:$G$386,2)</f>
        <v>0</v>
      </c>
      <c r="AD158" s="6">
        <f t="shared" si="16"/>
        <v>0</v>
      </c>
    </row>
    <row r="159" spans="28:30" ht="43.2" x14ac:dyDescent="0.3">
      <c r="AB159" s="4" t="s">
        <v>39321</v>
      </c>
      <c r="AC159" s="6">
        <f>COUNTIFS($B$2:$B$386,1,$C$2:$C$386,1,$F$2:$F$386,17,$G$2:$G$386,2)</f>
        <v>0</v>
      </c>
      <c r="AD159" s="6">
        <f t="shared" si="16"/>
        <v>0</v>
      </c>
    </row>
    <row r="160" spans="28:30" ht="43.2" x14ac:dyDescent="0.3">
      <c r="AB160" s="4" t="s">
        <v>39322</v>
      </c>
      <c r="AC160" s="6">
        <f>COUNTIFS($B$2:$B$386,2,$C$2:$C$386,1,$F$2:$F$386,17,$G$2:$G$386,2)</f>
        <v>0</v>
      </c>
      <c r="AD160" s="6">
        <f t="shared" si="16"/>
        <v>0</v>
      </c>
    </row>
    <row r="161" spans="28:30" ht="43.2" x14ac:dyDescent="0.3">
      <c r="AB161" s="4" t="s">
        <v>39323</v>
      </c>
      <c r="AC161" s="6">
        <f>COUNTIFS($B$2:$B$386,3,$C$2:$C$386,1,$F$2:$F$386,17,$G$2:$G$386,2)</f>
        <v>0</v>
      </c>
      <c r="AD161" s="6">
        <f t="shared" si="16"/>
        <v>0</v>
      </c>
    </row>
    <row r="162" spans="28:30" ht="43.2" x14ac:dyDescent="0.3">
      <c r="AB162" s="4" t="s">
        <v>39324</v>
      </c>
      <c r="AC162" s="6">
        <f>COUNTIFS($B$2:$B$386,1,$C$2:$C$386,2,$F$2:$F$386,17,$G$2:$G$386,2)</f>
        <v>0</v>
      </c>
      <c r="AD162" s="6">
        <f t="shared" si="16"/>
        <v>0</v>
      </c>
    </row>
    <row r="163" spans="28:30" ht="43.2" x14ac:dyDescent="0.3">
      <c r="AB163" s="4" t="s">
        <v>39325</v>
      </c>
      <c r="AC163" s="6">
        <f>COUNTIFS($B$2:$B$386,2,$C$2:$C$386,2,$F$2:$F$386,17,$G$2:$G$386,2)</f>
        <v>0</v>
      </c>
      <c r="AD163" s="6">
        <f t="shared" si="16"/>
        <v>0</v>
      </c>
    </row>
    <row r="164" spans="28:30" ht="43.2" x14ac:dyDescent="0.3">
      <c r="AB164" s="4" t="s">
        <v>39326</v>
      </c>
      <c r="AC164" s="6">
        <f>COUNTIFS($B$2:$B$386,3,$C$2:$C$386,2,$F$2:$F$386,17,$G$2:$G$386,2)</f>
        <v>0</v>
      </c>
      <c r="AD164" s="6">
        <f t="shared" si="16"/>
        <v>0</v>
      </c>
    </row>
    <row r="165" spans="28:30" ht="43.2" x14ac:dyDescent="0.3">
      <c r="AB165" s="4" t="s">
        <v>39327</v>
      </c>
      <c r="AC165" s="6">
        <f>COUNTIFS($B$2:$B$386,1,$C$2:$C$386,3,$F$2:$F$386,17,$G$2:$G$386,2)</f>
        <v>0</v>
      </c>
      <c r="AD165" s="6">
        <f t="shared" si="16"/>
        <v>0</v>
      </c>
    </row>
    <row r="166" spans="28:30" ht="43.2" x14ac:dyDescent="0.3">
      <c r="AB166" s="4" t="s">
        <v>39328</v>
      </c>
      <c r="AC166" s="6">
        <f>COUNTIFS($B$2:$B$386,2,$C$2:$C$386,3,$F$2:$F$386,17,$G$2:$G$386,2)</f>
        <v>0</v>
      </c>
      <c r="AD166" s="6">
        <f t="shared" si="16"/>
        <v>0</v>
      </c>
    </row>
    <row r="167" spans="28:30" ht="43.2" x14ac:dyDescent="0.3">
      <c r="AB167" s="4" t="s">
        <v>39329</v>
      </c>
      <c r="AC167" s="6">
        <f>COUNTIFS($B$2:$B$386,3,$C$2:$C$386,3,$F$2:$F$386,17,$G$2:$G$386,2)</f>
        <v>0</v>
      </c>
      <c r="AD167" s="6">
        <f t="shared" si="16"/>
        <v>0</v>
      </c>
    </row>
    <row r="168" spans="28:30" ht="43.2" x14ac:dyDescent="0.3">
      <c r="AB168" s="4" t="s">
        <v>39330</v>
      </c>
      <c r="AC168" s="6">
        <f>COUNTIFS($B$2:$B$386,1,$C$2:$C$386,4,$F$2:$F$386,17,$G$2:$G$386,2)</f>
        <v>0</v>
      </c>
      <c r="AD168" s="6">
        <f t="shared" si="16"/>
        <v>0</v>
      </c>
    </row>
    <row r="169" spans="28:30" ht="43.2" x14ac:dyDescent="0.3">
      <c r="AB169" s="4" t="s">
        <v>39332</v>
      </c>
      <c r="AC169" s="6">
        <f>COUNTIFS($B$2:$B$386,2,$C$2:$C$386,4,$F$2:$F$386,17,$G$2:$G$386,2)</f>
        <v>0</v>
      </c>
      <c r="AD169" s="6">
        <f t="shared" si="16"/>
        <v>0</v>
      </c>
    </row>
    <row r="170" spans="28:30" ht="43.2" x14ac:dyDescent="0.3">
      <c r="AB170" s="4" t="s">
        <v>39331</v>
      </c>
      <c r="AC170" s="6">
        <f>COUNTIFS($B$2:$B$386,3,$C$2:$C$386,4,$F$2:$F$386,17,$G$2:$G$386,2)</f>
        <v>0</v>
      </c>
      <c r="AD170" s="6">
        <f t="shared" si="16"/>
        <v>0</v>
      </c>
    </row>
    <row r="171" spans="28:30" x14ac:dyDescent="0.3">
      <c r="AD171" s="6"/>
    </row>
    <row r="172" spans="28:30" ht="43.2" x14ac:dyDescent="0.3">
      <c r="AB172" s="4" t="s">
        <v>39333</v>
      </c>
      <c r="AC172" s="6">
        <f>COUNTIFS($B$2:$B$386,1,$C$2:$C$386,1,$F$2:$F$386,18,$G$2:$G$386,3)</f>
        <v>0</v>
      </c>
      <c r="AD172" s="6">
        <f>(AC172/90)*100</f>
        <v>0</v>
      </c>
    </row>
    <row r="173" spans="28:30" ht="43.2" x14ac:dyDescent="0.3">
      <c r="AB173" s="4" t="s">
        <v>39334</v>
      </c>
      <c r="AC173" s="6">
        <f>COUNTIFS($B$2:$B$386,2,$C$2:$C$386,1,$F$2:$F$386,18,$G$2:$G$386,3)</f>
        <v>0</v>
      </c>
      <c r="AD173" s="6">
        <f t="shared" ref="AD173:AD236" si="17">(AC173/90)*100</f>
        <v>0</v>
      </c>
    </row>
    <row r="174" spans="28:30" ht="43.2" x14ac:dyDescent="0.3">
      <c r="AB174" s="4" t="s">
        <v>39335</v>
      </c>
      <c r="AC174" s="6">
        <f>COUNTIFS($B$2:$B$386,3,$C$2:$C$386,1,$F$2:$F$386,18,$G$2:$G$386,3)</f>
        <v>0</v>
      </c>
      <c r="AD174" s="6">
        <f t="shared" si="17"/>
        <v>0</v>
      </c>
    </row>
    <row r="175" spans="28:30" ht="43.2" x14ac:dyDescent="0.3">
      <c r="AB175" s="4" t="s">
        <v>39336</v>
      </c>
      <c r="AC175" s="6">
        <f>COUNTIFS($B$2:$B$386,1,$C$2:$C$386,2,$F$2:$F$386,18,$G$2:$G$386,3)</f>
        <v>0</v>
      </c>
      <c r="AD175" s="6">
        <f t="shared" si="17"/>
        <v>0</v>
      </c>
    </row>
    <row r="176" spans="28:30" ht="43.2" x14ac:dyDescent="0.3">
      <c r="AB176" s="4" t="s">
        <v>39337</v>
      </c>
      <c r="AC176" s="6">
        <f>COUNTIFS($B$2:$B$386,2,$C$2:$C$386,2,$F$2:$F$386,18,$G$2:$G$386,3)</f>
        <v>1</v>
      </c>
      <c r="AD176" s="6">
        <f t="shared" si="17"/>
        <v>1.1111111111111112</v>
      </c>
    </row>
    <row r="177" spans="28:30" ht="43.2" x14ac:dyDescent="0.3">
      <c r="AB177" s="4" t="s">
        <v>39338</v>
      </c>
      <c r="AC177" s="6">
        <f>COUNTIFS($B$2:$B$386,3,$C$2:$C$386,2,$F$2:$F$386,18,$G$2:$G$386,3)</f>
        <v>0</v>
      </c>
      <c r="AD177" s="6">
        <f t="shared" si="17"/>
        <v>0</v>
      </c>
    </row>
    <row r="178" spans="28:30" ht="43.2" x14ac:dyDescent="0.3">
      <c r="AB178" s="4" t="s">
        <v>39339</v>
      </c>
      <c r="AC178" s="6">
        <f>COUNTIFS($B$2:$B$386,1,$C$2:$C$386,3,$F$2:$F$386,18,$G$2:$G$386,3)</f>
        <v>0</v>
      </c>
      <c r="AD178" s="6">
        <f t="shared" si="17"/>
        <v>0</v>
      </c>
    </row>
    <row r="179" spans="28:30" ht="43.2" x14ac:dyDescent="0.3">
      <c r="AB179" s="4" t="s">
        <v>39340</v>
      </c>
      <c r="AC179" s="6">
        <f>COUNTIFS($B$2:$B$386,2,$C$2:$C$386,3,$F$2:$F$386,18,$G$2:$G$386,3)</f>
        <v>5</v>
      </c>
      <c r="AD179" s="6">
        <f t="shared" si="17"/>
        <v>5.5555555555555554</v>
      </c>
    </row>
    <row r="180" spans="28:30" ht="43.2" x14ac:dyDescent="0.3">
      <c r="AB180" s="4" t="s">
        <v>39341</v>
      </c>
      <c r="AC180" s="6">
        <f>COUNTIFS($B$2:$B$386,3,$C$2:$C$386,3,$F$2:$F$386,18,$G$2:$G$386,3)</f>
        <v>0</v>
      </c>
      <c r="AD180" s="6">
        <f t="shared" si="17"/>
        <v>0</v>
      </c>
    </row>
    <row r="181" spans="28:30" ht="43.2" x14ac:dyDescent="0.3">
      <c r="AB181" s="4" t="s">
        <v>39342</v>
      </c>
      <c r="AC181" s="6">
        <f>COUNTIFS($B$2:$B$386,1,$C$2:$C$386,4,$F$2:$F$386,18,$G$2:$G$386,3)</f>
        <v>0</v>
      </c>
      <c r="AD181" s="6">
        <f t="shared" si="17"/>
        <v>0</v>
      </c>
    </row>
    <row r="182" spans="28:30" ht="43.2" x14ac:dyDescent="0.3">
      <c r="AB182" s="4" t="s">
        <v>39343</v>
      </c>
      <c r="AC182" s="6">
        <f>COUNTIFS($B$2:$B$386,2,$C$2:$C$386,4,$F$2:$F$386,18,$G$2:$G$386,3)</f>
        <v>0</v>
      </c>
      <c r="AD182" s="6">
        <f t="shared" si="17"/>
        <v>0</v>
      </c>
    </row>
    <row r="183" spans="28:30" ht="43.2" x14ac:dyDescent="0.3">
      <c r="AB183" s="4" t="s">
        <v>39344</v>
      </c>
      <c r="AC183" s="6">
        <f>COUNTIFS($B$2:$B$386,3,$C$2:$C$386,4,$F$2:$F$386,18,$G$2:$G$386,3)</f>
        <v>0</v>
      </c>
      <c r="AD183" s="6">
        <f t="shared" si="17"/>
        <v>0</v>
      </c>
    </row>
    <row r="184" spans="28:30" ht="43.2" x14ac:dyDescent="0.3">
      <c r="AB184" s="4" t="s">
        <v>39345</v>
      </c>
      <c r="AC184" s="6">
        <f>COUNTIFS($B$2:$B$386,1,$C$2:$C$386,1,$F$2:$F$386,19,$G$2:$G$386,3)</f>
        <v>0</v>
      </c>
      <c r="AD184" s="6">
        <f t="shared" si="17"/>
        <v>0</v>
      </c>
    </row>
    <row r="185" spans="28:30" ht="43.2" x14ac:dyDescent="0.3">
      <c r="AB185" s="4" t="s">
        <v>39346</v>
      </c>
      <c r="AC185" s="6">
        <f>COUNTIFS($B$2:$B$386,2,$C$2:$C$386,1,$F$2:$F$386,19,$G$2:$G$386,3)</f>
        <v>0</v>
      </c>
      <c r="AD185" s="6">
        <f t="shared" si="17"/>
        <v>0</v>
      </c>
    </row>
    <row r="186" spans="28:30" ht="43.2" x14ac:dyDescent="0.3">
      <c r="AB186" s="4" t="s">
        <v>39347</v>
      </c>
      <c r="AC186" s="6">
        <f>COUNTIFS($B$2:$B$386,3,$C$2:$C$386,1,$F$2:$F$386,19,$G$2:$G$386,3)</f>
        <v>0</v>
      </c>
      <c r="AD186" s="6">
        <f t="shared" si="17"/>
        <v>0</v>
      </c>
    </row>
    <row r="187" spans="28:30" ht="43.2" x14ac:dyDescent="0.3">
      <c r="AB187" s="4" t="s">
        <v>39348</v>
      </c>
      <c r="AC187" s="6">
        <f>COUNTIFS($B$2:$B$386,1,$C$2:$C$386,2,$F$2:$F$386,19,$G$2:$G$386,3)</f>
        <v>0</v>
      </c>
      <c r="AD187" s="6">
        <f t="shared" si="17"/>
        <v>0</v>
      </c>
    </row>
    <row r="188" spans="28:30" ht="43.2" x14ac:dyDescent="0.3">
      <c r="AB188" s="4" t="s">
        <v>39349</v>
      </c>
      <c r="AC188" s="6">
        <f>COUNTIFS($B$2:$B$386,2,$C$2:$C$386,2,$F$2:$F$386,19,$G$2:$G$386,3)</f>
        <v>0</v>
      </c>
      <c r="AD188" s="6">
        <f t="shared" si="17"/>
        <v>0</v>
      </c>
    </row>
    <row r="189" spans="28:30" ht="43.2" x14ac:dyDescent="0.3">
      <c r="AB189" s="4" t="s">
        <v>39350</v>
      </c>
      <c r="AC189" s="6">
        <f>COUNTIFS($B$2:$B$386,3,$C$2:$C$386,2,$F$2:$F$386,19,$G$2:$G$386,3)</f>
        <v>0</v>
      </c>
      <c r="AD189" s="6">
        <f t="shared" si="17"/>
        <v>0</v>
      </c>
    </row>
    <row r="190" spans="28:30" ht="43.2" x14ac:dyDescent="0.3">
      <c r="AB190" s="4" t="s">
        <v>39351</v>
      </c>
      <c r="AC190" s="6">
        <f>COUNTIFS($B$2:$B$386,1,$C$2:$C$386,3,$F$2:$F$386,19,$G$2:$G$386,3)</f>
        <v>0</v>
      </c>
      <c r="AD190" s="6">
        <f t="shared" si="17"/>
        <v>0</v>
      </c>
    </row>
    <row r="191" spans="28:30" ht="43.2" x14ac:dyDescent="0.3">
      <c r="AB191" s="4" t="s">
        <v>39352</v>
      </c>
      <c r="AC191" s="6">
        <f>COUNTIFS($B$2:$B$386,2,$C$2:$C$386,3,$F$2:$F$386,19,$G$2:$G$386,3)</f>
        <v>1</v>
      </c>
      <c r="AD191" s="6">
        <f t="shared" si="17"/>
        <v>1.1111111111111112</v>
      </c>
    </row>
    <row r="192" spans="28:30" ht="43.2" x14ac:dyDescent="0.3">
      <c r="AB192" s="4" t="s">
        <v>39353</v>
      </c>
      <c r="AC192" s="6">
        <f>COUNTIFS($B$2:$B$386,3,$C$2:$C$386,3,$F$2:$F$386,19,$G$2:$G$386,3)</f>
        <v>0</v>
      </c>
      <c r="AD192" s="6">
        <f t="shared" si="17"/>
        <v>0</v>
      </c>
    </row>
    <row r="193" spans="28:30" ht="43.2" x14ac:dyDescent="0.3">
      <c r="AB193" s="4" t="s">
        <v>39354</v>
      </c>
      <c r="AC193" s="6">
        <f>COUNTIFS($B$2:$B$386,1,$C$2:$C$386,4,$F$2:$F$386,19,$G$2:$G$386,3)</f>
        <v>0</v>
      </c>
      <c r="AD193" s="6">
        <f t="shared" si="17"/>
        <v>0</v>
      </c>
    </row>
    <row r="194" spans="28:30" ht="43.2" x14ac:dyDescent="0.3">
      <c r="AB194" s="4" t="s">
        <v>39355</v>
      </c>
      <c r="AC194" s="6">
        <f>COUNTIFS($B$2:$B$386,2,$C$2:$C$386,4,$F$2:$F$386,19,$G$2:$G$386,3)</f>
        <v>0</v>
      </c>
      <c r="AD194" s="6">
        <f t="shared" si="17"/>
        <v>0</v>
      </c>
    </row>
    <row r="195" spans="28:30" ht="43.2" x14ac:dyDescent="0.3">
      <c r="AB195" s="4" t="s">
        <v>39356</v>
      </c>
      <c r="AC195" s="6">
        <f>COUNTIFS($B$2:$B$386,3,$C$2:$C$386,4,$F$2:$F$386,19,$G$2:$G$386,3)</f>
        <v>0</v>
      </c>
      <c r="AD195" s="6">
        <f t="shared" si="17"/>
        <v>0</v>
      </c>
    </row>
    <row r="196" spans="28:30" ht="43.2" x14ac:dyDescent="0.3">
      <c r="AB196" s="4" t="s">
        <v>39357</v>
      </c>
      <c r="AC196" s="6">
        <f>COUNTIFS($B$2:$B$386,1,$C$2:$C$386,1,$F$2:$F$386,1,$G$2:$G$386,3)</f>
        <v>0</v>
      </c>
      <c r="AD196" s="6">
        <f t="shared" si="17"/>
        <v>0</v>
      </c>
    </row>
    <row r="197" spans="28:30" ht="43.2" x14ac:dyDescent="0.3">
      <c r="AB197" s="4" t="s">
        <v>39358</v>
      </c>
      <c r="AC197" s="6">
        <f>COUNTIFS($B$2:$B$386,2,$C$2:$C$386,1,$F$2:$F$386,1,$G$2:$G$386,3)</f>
        <v>0</v>
      </c>
      <c r="AD197" s="6">
        <f t="shared" si="17"/>
        <v>0</v>
      </c>
    </row>
    <row r="198" spans="28:30" ht="43.2" x14ac:dyDescent="0.3">
      <c r="AB198" s="4" t="s">
        <v>39359</v>
      </c>
      <c r="AC198" s="6">
        <f>COUNTIFS($B$2:$B$386,3,$C$2:$C$386,1,$F$2:$F$386,1,$G$2:$G$386,3)</f>
        <v>0</v>
      </c>
      <c r="AD198" s="6">
        <f t="shared" si="17"/>
        <v>0</v>
      </c>
    </row>
    <row r="199" spans="28:30" ht="43.2" x14ac:dyDescent="0.3">
      <c r="AB199" s="4" t="s">
        <v>39360</v>
      </c>
      <c r="AC199" s="6">
        <f>COUNTIFS($B$2:$B$386,1,$C$2:$C$386,2,$F$2:$F$386,1,$G$2:$G$386,3)</f>
        <v>1</v>
      </c>
      <c r="AD199" s="6">
        <f t="shared" si="17"/>
        <v>1.1111111111111112</v>
      </c>
    </row>
    <row r="200" spans="28:30" ht="43.2" x14ac:dyDescent="0.3">
      <c r="AB200" s="4" t="s">
        <v>39361</v>
      </c>
      <c r="AC200" s="6">
        <f>COUNTIFS($B$2:$B$386,2,$C$2:$C$386,2,$F$2:$F$386,1,$G$2:$G$386,3)</f>
        <v>0</v>
      </c>
      <c r="AD200" s="6">
        <f t="shared" si="17"/>
        <v>0</v>
      </c>
    </row>
    <row r="201" spans="28:30" ht="43.2" x14ac:dyDescent="0.3">
      <c r="AB201" s="4" t="s">
        <v>39362</v>
      </c>
      <c r="AC201" s="6">
        <f>COUNTIFS($B$2:$B$386,3,$C$2:$C$386,2,$F$2:$F$386,1,$G$2:$G$386,3)</f>
        <v>0</v>
      </c>
      <c r="AD201" s="6">
        <f t="shared" si="17"/>
        <v>0</v>
      </c>
    </row>
    <row r="202" spans="28:30" ht="43.2" x14ac:dyDescent="0.3">
      <c r="AB202" s="4" t="s">
        <v>39363</v>
      </c>
      <c r="AC202" s="6">
        <f>COUNTIFS($B$2:$B$386,1,$C$2:$C$386,3,$F$2:$F$386,1,$G$2:$G$386,3)</f>
        <v>0</v>
      </c>
      <c r="AD202" s="6">
        <f t="shared" si="17"/>
        <v>0</v>
      </c>
    </row>
    <row r="203" spans="28:30" ht="43.2" x14ac:dyDescent="0.3">
      <c r="AB203" s="4" t="s">
        <v>39364</v>
      </c>
      <c r="AC203" s="6">
        <f>COUNTIFS($B$2:$B$386,2,$C$2:$C$386,3,$F$2:$F$386,1,$G$2:$G$386,3)</f>
        <v>0</v>
      </c>
      <c r="AD203" s="6">
        <f t="shared" si="17"/>
        <v>0</v>
      </c>
    </row>
    <row r="204" spans="28:30" ht="43.2" x14ac:dyDescent="0.3">
      <c r="AB204" s="4" t="s">
        <v>39365</v>
      </c>
      <c r="AC204" s="6">
        <f>COUNTIFS($B$2:$B$386,3,$C$2:$C$386,3,$F$2:$F$386,1,$G$2:$G$386,3)</f>
        <v>0</v>
      </c>
      <c r="AD204" s="6">
        <f t="shared" si="17"/>
        <v>0</v>
      </c>
    </row>
    <row r="205" spans="28:30" ht="43.2" x14ac:dyDescent="0.3">
      <c r="AB205" s="4" t="s">
        <v>39366</v>
      </c>
      <c r="AC205" s="6">
        <f>COUNTIFS($B$2:$B$386,1,$C$2:$C$386,4,$F$2:$F$386,1,$G$2:$G$386,3)</f>
        <v>0</v>
      </c>
      <c r="AD205" s="6">
        <f t="shared" si="17"/>
        <v>0</v>
      </c>
    </row>
    <row r="206" spans="28:30" ht="43.2" x14ac:dyDescent="0.3">
      <c r="AB206" s="4" t="s">
        <v>39367</v>
      </c>
      <c r="AC206" s="6">
        <f>COUNTIFS($B$2:$B$386,2,$C$2:$C$386,4,$F$2:$F$386,1,$G$2:$G$386,3)</f>
        <v>0</v>
      </c>
      <c r="AD206" s="6">
        <f t="shared" si="17"/>
        <v>0</v>
      </c>
    </row>
    <row r="207" spans="28:30" ht="43.2" x14ac:dyDescent="0.3">
      <c r="AB207" s="4" t="s">
        <v>39368</v>
      </c>
      <c r="AC207" s="6">
        <f>COUNTIFS($B$2:$B$386,3,$C$2:$C$386,4,$F$2:$F$386,1,$G$2:$G$386,3)</f>
        <v>0</v>
      </c>
      <c r="AD207" s="6">
        <f t="shared" si="17"/>
        <v>0</v>
      </c>
    </row>
    <row r="208" spans="28:30" ht="43.2" x14ac:dyDescent="0.3">
      <c r="AB208" s="4" t="s">
        <v>39369</v>
      </c>
      <c r="AC208" s="6">
        <f>COUNTIFS($B$2:$B$386,1,$C$2:$C$386,1,$F$2:$F$386,2,$G$2:$G$386,3)</f>
        <v>0</v>
      </c>
      <c r="AD208" s="6">
        <f t="shared" si="17"/>
        <v>0</v>
      </c>
    </row>
    <row r="209" spans="28:30" ht="43.2" x14ac:dyDescent="0.3">
      <c r="AB209" s="4" t="s">
        <v>39370</v>
      </c>
      <c r="AC209" s="6">
        <f>COUNTIFS($B$2:$B$386,2,$C$2:$C$386,1,$F$2:$F$386,2,$G$2:$G$386,3)</f>
        <v>0</v>
      </c>
      <c r="AD209" s="6">
        <f t="shared" si="17"/>
        <v>0</v>
      </c>
    </row>
    <row r="210" spans="28:30" ht="43.2" x14ac:dyDescent="0.3">
      <c r="AB210" s="4" t="s">
        <v>39371</v>
      </c>
      <c r="AC210" s="6">
        <f>COUNTIFS($B$2:$B$386,3,$C$2:$C$386,1,$F$2:$F$386,2,$G$2:$G$386,3)</f>
        <v>0</v>
      </c>
      <c r="AD210" s="6">
        <f t="shared" si="17"/>
        <v>0</v>
      </c>
    </row>
    <row r="211" spans="28:30" ht="43.2" x14ac:dyDescent="0.3">
      <c r="AB211" s="4" t="s">
        <v>39372</v>
      </c>
      <c r="AC211" s="6">
        <f>COUNTIFS($B$2:$B$386,1,$C$2:$C$386,2,$F$2:$F$386,2,$G$2:$G$386,3)</f>
        <v>0</v>
      </c>
      <c r="AD211" s="6">
        <f t="shared" si="17"/>
        <v>0</v>
      </c>
    </row>
    <row r="212" spans="28:30" ht="43.2" x14ac:dyDescent="0.3">
      <c r="AB212" s="4" t="s">
        <v>39373</v>
      </c>
      <c r="AC212" s="6">
        <f>COUNTIFS($B$2:$B$386,2,$C$2:$C$386,2,$F$2:$F$386,2,$G$2:$G$386,3)</f>
        <v>0</v>
      </c>
      <c r="AD212" s="6">
        <f t="shared" si="17"/>
        <v>0</v>
      </c>
    </row>
    <row r="213" spans="28:30" ht="43.2" x14ac:dyDescent="0.3">
      <c r="AB213" s="4" t="s">
        <v>39374</v>
      </c>
      <c r="AC213" s="6">
        <f>COUNTIFS($B$2:$B$386,3,$C$2:$C$386,2,$F$2:$F$386,2,$G$2:$G$386,3)</f>
        <v>0</v>
      </c>
      <c r="AD213" s="6">
        <f t="shared" si="17"/>
        <v>0</v>
      </c>
    </row>
    <row r="214" spans="28:30" ht="43.2" x14ac:dyDescent="0.3">
      <c r="AB214" s="4" t="s">
        <v>39375</v>
      </c>
      <c r="AC214" s="6">
        <f>COUNTIFS($B$2:$B$386,1,$C$2:$C$386,3,$F$2:$F$386,2,$G$2:$G$386,3)</f>
        <v>0</v>
      </c>
      <c r="AD214" s="6">
        <f t="shared" si="17"/>
        <v>0</v>
      </c>
    </row>
    <row r="215" spans="28:30" ht="43.2" x14ac:dyDescent="0.3">
      <c r="AB215" s="4" t="s">
        <v>39376</v>
      </c>
      <c r="AC215" s="6">
        <f>COUNTIFS($B$2:$B$386,2,$C$2:$C$386,3,$F$2:$F$386,2,$G$2:$G$386,3)</f>
        <v>0</v>
      </c>
      <c r="AD215" s="6">
        <f t="shared" si="17"/>
        <v>0</v>
      </c>
    </row>
    <row r="216" spans="28:30" ht="43.2" x14ac:dyDescent="0.3">
      <c r="AB216" s="4" t="s">
        <v>39377</v>
      </c>
      <c r="AC216" s="6">
        <f>COUNTIFS($B$2:$B$386,3,$C$2:$C$386,3,$F$2:$F$386,2,$G$2:$G$386,3)</f>
        <v>0</v>
      </c>
      <c r="AD216" s="6">
        <f t="shared" si="17"/>
        <v>0</v>
      </c>
    </row>
    <row r="217" spans="28:30" ht="43.2" x14ac:dyDescent="0.3">
      <c r="AB217" s="4" t="s">
        <v>39378</v>
      </c>
      <c r="AC217" s="6">
        <f>COUNTIFS($B$2:$B$386,1,$C$2:$C$386,4,$F$2:$F$386,2,$G$2:$G$386,3)</f>
        <v>0</v>
      </c>
      <c r="AD217" s="6">
        <f t="shared" si="17"/>
        <v>0</v>
      </c>
    </row>
    <row r="218" spans="28:30" ht="43.2" x14ac:dyDescent="0.3">
      <c r="AB218" s="4" t="s">
        <v>39379</v>
      </c>
      <c r="AC218" s="6">
        <f>COUNTIFS($B$2:$B$386,2,$C$2:$C$386,4,$F$2:$F$386,2,$G$2:$G$386,3)</f>
        <v>0</v>
      </c>
      <c r="AD218" s="6">
        <f t="shared" si="17"/>
        <v>0</v>
      </c>
    </row>
    <row r="219" spans="28:30" ht="43.2" x14ac:dyDescent="0.3">
      <c r="AB219" s="4" t="s">
        <v>39380</v>
      </c>
      <c r="AC219" s="6">
        <f>COUNTIFS($B$2:$B$386,3,$C$2:$C$386,4,$F$2:$F$386,2,$G$2:$G$386,3)</f>
        <v>0</v>
      </c>
      <c r="AD219" s="6">
        <f t="shared" si="17"/>
        <v>0</v>
      </c>
    </row>
    <row r="220" spans="28:30" ht="43.2" x14ac:dyDescent="0.3">
      <c r="AB220" s="4" t="s">
        <v>39381</v>
      </c>
      <c r="AC220" s="6">
        <f>COUNTIFS($B$2:$B$386,1,$C$2:$C$386,1,$F$2:$F$386,3,$G$2:$G$386,3)</f>
        <v>0</v>
      </c>
      <c r="AD220" s="6">
        <f t="shared" si="17"/>
        <v>0</v>
      </c>
    </row>
    <row r="221" spans="28:30" ht="43.2" x14ac:dyDescent="0.3">
      <c r="AB221" s="4" t="s">
        <v>39382</v>
      </c>
      <c r="AC221" s="6">
        <f>COUNTIFS($B$2:$B$386,2,$C$2:$C$386,1,$F$2:$F$386,3,$G$2:$G$386,3)</f>
        <v>0</v>
      </c>
      <c r="AD221" s="6">
        <f t="shared" si="17"/>
        <v>0</v>
      </c>
    </row>
    <row r="222" spans="28:30" ht="43.2" x14ac:dyDescent="0.3">
      <c r="AB222" s="4" t="s">
        <v>39383</v>
      </c>
      <c r="AC222" s="6">
        <f>COUNTIFS($B$2:$B$386,3,$C$2:$C$386,1,$F$2:$F$386,3,$G$2:$G$386,3)</f>
        <v>0</v>
      </c>
      <c r="AD222" s="6">
        <f t="shared" si="17"/>
        <v>0</v>
      </c>
    </row>
    <row r="223" spans="28:30" ht="43.2" x14ac:dyDescent="0.3">
      <c r="AB223" s="4" t="s">
        <v>39384</v>
      </c>
      <c r="AC223" s="6">
        <f>COUNTIFS($B$2:$B$386,1,$C$2:$C$386,2,$F$2:$F$386,3,$G$2:$G$386,3)</f>
        <v>0</v>
      </c>
      <c r="AD223" s="6">
        <f t="shared" si="17"/>
        <v>0</v>
      </c>
    </row>
    <row r="224" spans="28:30" ht="43.2" x14ac:dyDescent="0.3">
      <c r="AB224" s="4" t="s">
        <v>39385</v>
      </c>
      <c r="AC224" s="6">
        <f>COUNTIFS($B$2:$B$386,2,$C$2:$C$386,2,$F$2:$F$386,3,$G$2:$G$386,3)</f>
        <v>0</v>
      </c>
      <c r="AD224" s="6">
        <f t="shared" si="17"/>
        <v>0</v>
      </c>
    </row>
    <row r="225" spans="28:30" ht="43.2" x14ac:dyDescent="0.3">
      <c r="AB225" s="4" t="s">
        <v>39386</v>
      </c>
      <c r="AC225" s="6">
        <f>COUNTIFS($B$2:$B$386,3,$C$2:$C$386,2,$F$2:$F$386,3,$G$2:$G$386,3)</f>
        <v>0</v>
      </c>
      <c r="AD225" s="6">
        <f t="shared" si="17"/>
        <v>0</v>
      </c>
    </row>
    <row r="226" spans="28:30" ht="43.2" x14ac:dyDescent="0.3">
      <c r="AB226" s="4" t="s">
        <v>39387</v>
      </c>
      <c r="AC226" s="6">
        <f>COUNTIFS($B$2:$B$386,1,$C$2:$C$386,3,$F$2:$F$386,3,$G$2:$G$386,3)</f>
        <v>0</v>
      </c>
      <c r="AD226" s="6">
        <f t="shared" si="17"/>
        <v>0</v>
      </c>
    </row>
    <row r="227" spans="28:30" ht="43.2" x14ac:dyDescent="0.3">
      <c r="AB227" s="4" t="s">
        <v>39388</v>
      </c>
      <c r="AC227" s="6">
        <f>COUNTIFS($B$2:$B$386,2,$C$2:$C$386,3,$F$2:$F$386,3,$G$2:$G$386,3)</f>
        <v>0</v>
      </c>
      <c r="AD227" s="6">
        <f t="shared" si="17"/>
        <v>0</v>
      </c>
    </row>
    <row r="228" spans="28:30" ht="43.2" x14ac:dyDescent="0.3">
      <c r="AB228" s="4" t="s">
        <v>39389</v>
      </c>
      <c r="AC228" s="6">
        <f>COUNTIFS($B$2:$B$386,3,$C$2:$C$386,3,$F$2:$F$386,3,$G$2:$G$386,3)</f>
        <v>0</v>
      </c>
      <c r="AD228" s="6">
        <f t="shared" si="17"/>
        <v>0</v>
      </c>
    </row>
    <row r="229" spans="28:30" ht="43.2" x14ac:dyDescent="0.3">
      <c r="AB229" s="4" t="s">
        <v>39390</v>
      </c>
      <c r="AC229" s="6">
        <f>COUNTIFS($B$2:$B$386,1,$C$2:$C$386,4,$F$2:$F$386,3,$G$2:$G$386,3)</f>
        <v>0</v>
      </c>
      <c r="AD229" s="6">
        <f t="shared" si="17"/>
        <v>0</v>
      </c>
    </row>
    <row r="230" spans="28:30" ht="43.2" x14ac:dyDescent="0.3">
      <c r="AB230" s="4" t="s">
        <v>39391</v>
      </c>
      <c r="AC230" s="6">
        <f>COUNTIFS($B$2:$B$386,2,$C$2:$C$386,4,$F$2:$F$386,3,$G$2:$G$386,3)</f>
        <v>0</v>
      </c>
      <c r="AD230" s="6">
        <f t="shared" si="17"/>
        <v>0</v>
      </c>
    </row>
    <row r="231" spans="28:30" ht="43.2" x14ac:dyDescent="0.3">
      <c r="AB231" s="4" t="s">
        <v>39392</v>
      </c>
      <c r="AC231" s="6">
        <f>COUNTIFS($B$2:$B$386,3,$C$2:$C$386,4,$F$2:$F$386,3,$G$2:$G$386,3)</f>
        <v>0</v>
      </c>
      <c r="AD231" s="6">
        <f t="shared" si="17"/>
        <v>0</v>
      </c>
    </row>
    <row r="232" spans="28:30" ht="43.2" x14ac:dyDescent="0.3">
      <c r="AB232" s="4" t="s">
        <v>39393</v>
      </c>
      <c r="AC232" s="6">
        <f>COUNTIFS($B$2:$B$386,1,$C$2:$C$386,1,$F$2:$F$386,16,$G$2:$G$386,3)</f>
        <v>0</v>
      </c>
      <c r="AD232" s="6">
        <f t="shared" si="17"/>
        <v>0</v>
      </c>
    </row>
    <row r="233" spans="28:30" ht="43.2" x14ac:dyDescent="0.3">
      <c r="AB233" s="4" t="s">
        <v>39394</v>
      </c>
      <c r="AC233" s="6">
        <f>COUNTIFS($B$2:$B$386,2,$C$2:$C$386,1,$F$2:$F$386,16,$G$2:$G$386,3)</f>
        <v>0</v>
      </c>
      <c r="AD233" s="6">
        <f t="shared" si="17"/>
        <v>0</v>
      </c>
    </row>
    <row r="234" spans="28:30" ht="43.2" x14ac:dyDescent="0.3">
      <c r="AB234" s="4" t="s">
        <v>39395</v>
      </c>
      <c r="AC234" s="6">
        <f>COUNTIFS($B$2:$B$386,3,$C$2:$C$386,1,$F$2:$F$386,16,$G$2:$G$386,3)</f>
        <v>0</v>
      </c>
      <c r="AD234" s="6">
        <f t="shared" si="17"/>
        <v>0</v>
      </c>
    </row>
    <row r="235" spans="28:30" ht="43.2" x14ac:dyDescent="0.3">
      <c r="AB235" s="4" t="s">
        <v>39396</v>
      </c>
      <c r="AC235" s="6">
        <f>COUNTIFS($B$2:$B$386,1,$C$2:$C$386,2,$F$2:$F$386,16,$G$2:$G$386,3)</f>
        <v>1</v>
      </c>
      <c r="AD235" s="6">
        <f t="shared" si="17"/>
        <v>1.1111111111111112</v>
      </c>
    </row>
    <row r="236" spans="28:30" ht="43.2" x14ac:dyDescent="0.3">
      <c r="AB236" s="4" t="s">
        <v>39397</v>
      </c>
      <c r="AC236" s="6">
        <f>COUNTIFS($B$2:$B$386,2,$C$2:$C$386,2,$F$2:$F$386,16,$G$2:$G$386,3)</f>
        <v>6</v>
      </c>
      <c r="AD236" s="6">
        <f t="shared" si="17"/>
        <v>6.666666666666667</v>
      </c>
    </row>
    <row r="237" spans="28:30" ht="43.2" x14ac:dyDescent="0.3">
      <c r="AB237" s="4" t="s">
        <v>39398</v>
      </c>
      <c r="AC237" s="6">
        <f>COUNTIFS($B$2:$B$386,3,$C$2:$C$386,2,$F$2:$F$386,16,$G$2:$G$386,3)</f>
        <v>0</v>
      </c>
      <c r="AD237" s="6">
        <f t="shared" ref="AD237:AD255" si="18">(AC237/90)*100</f>
        <v>0</v>
      </c>
    </row>
    <row r="238" spans="28:30" ht="43.2" x14ac:dyDescent="0.3">
      <c r="AB238" s="4" t="s">
        <v>39399</v>
      </c>
      <c r="AC238" s="6">
        <f>COUNTIFS($B$2:$B$386,1,$C$2:$C$386,3,$F$2:$F$386,16,$G$2:$G$386,3)</f>
        <v>0</v>
      </c>
      <c r="AD238" s="6">
        <f t="shared" si="18"/>
        <v>0</v>
      </c>
    </row>
    <row r="239" spans="28:30" ht="43.2" x14ac:dyDescent="0.3">
      <c r="AB239" s="4" t="s">
        <v>39400</v>
      </c>
      <c r="AC239" s="6">
        <f>COUNTIFS($B$2:$B$386,2,$C$2:$C$386,3,$F$2:$F$386,16,$G$2:$G$386,3)</f>
        <v>1</v>
      </c>
      <c r="AD239" s="6">
        <f t="shared" si="18"/>
        <v>1.1111111111111112</v>
      </c>
    </row>
    <row r="240" spans="28:30" ht="43.2" x14ac:dyDescent="0.3">
      <c r="AB240" s="4" t="s">
        <v>39401</v>
      </c>
      <c r="AC240" s="6">
        <f>COUNTIFS($B$2:$B$386,3,$C$2:$C$386,3,$F$2:$F$386,16,$G$2:$G$386,3)</f>
        <v>0</v>
      </c>
      <c r="AD240" s="6">
        <f t="shared" si="18"/>
        <v>0</v>
      </c>
    </row>
    <row r="241" spans="28:30" ht="43.2" x14ac:dyDescent="0.3">
      <c r="AB241" s="4" t="s">
        <v>39402</v>
      </c>
      <c r="AC241" s="6">
        <f>COUNTIFS($B$2:$B$386,1,$C$2:$C$386,4,$F$2:$F$386,16,$G$2:$G$386,3)</f>
        <v>0</v>
      </c>
      <c r="AD241" s="6">
        <f t="shared" si="18"/>
        <v>0</v>
      </c>
    </row>
    <row r="242" spans="28:30" ht="43.2" x14ac:dyDescent="0.3">
      <c r="AB242" s="4" t="s">
        <v>39403</v>
      </c>
      <c r="AC242" s="6">
        <f>COUNTIFS($B$2:$B$386,2,$C$2:$C$386,4,$F$2:$F$386,16,$G$2:$G$386,3)</f>
        <v>0</v>
      </c>
      <c r="AD242" s="6">
        <f t="shared" si="18"/>
        <v>0</v>
      </c>
    </row>
    <row r="243" spans="28:30" ht="43.2" x14ac:dyDescent="0.3">
      <c r="AB243" s="4" t="s">
        <v>39404</v>
      </c>
      <c r="AC243" s="6">
        <f>COUNTIFS($B$2:$B$386,3,$C$2:$C$386,4,$F$2:$F$386,16,$G$2:$G$386,3)</f>
        <v>0</v>
      </c>
      <c r="AD243" s="6">
        <f t="shared" si="18"/>
        <v>0</v>
      </c>
    </row>
    <row r="244" spans="28:30" ht="43.2" x14ac:dyDescent="0.3">
      <c r="AB244" s="4" t="s">
        <v>39405</v>
      </c>
      <c r="AC244" s="6">
        <f>COUNTIFS($B$2:$B$386,1,$C$2:$C$386,1,$F$2:$F$386,17,$G$2:$G$386,3)</f>
        <v>0</v>
      </c>
      <c r="AD244" s="6">
        <f t="shared" si="18"/>
        <v>0</v>
      </c>
    </row>
    <row r="245" spans="28:30" ht="43.2" x14ac:dyDescent="0.3">
      <c r="AB245" s="4" t="s">
        <v>39406</v>
      </c>
      <c r="AC245" s="6">
        <f>COUNTIFS($B$2:$B$386,2,$C$2:$C$386,1,$F$2:$F$386,17,$G$2:$G$386,3)</f>
        <v>0</v>
      </c>
      <c r="AD245" s="6">
        <f t="shared" si="18"/>
        <v>0</v>
      </c>
    </row>
    <row r="246" spans="28:30" ht="43.2" x14ac:dyDescent="0.3">
      <c r="AB246" s="4" t="s">
        <v>39407</v>
      </c>
      <c r="AC246" s="6">
        <f>COUNTIFS($B$2:$B$386,3,$C$2:$C$386,1,$F$2:$F$386,17,$G$2:$G$386,3)</f>
        <v>0</v>
      </c>
      <c r="AD246" s="6">
        <f t="shared" si="18"/>
        <v>0</v>
      </c>
    </row>
    <row r="247" spans="28:30" ht="43.2" x14ac:dyDescent="0.3">
      <c r="AB247" s="4" t="s">
        <v>39408</v>
      </c>
      <c r="AC247" s="6">
        <f>COUNTIFS($B$2:$B$386,1,$C$2:$C$386,2,$F$2:$F$386,17,$G$2:$G$386,3)</f>
        <v>0</v>
      </c>
      <c r="AD247" s="6">
        <f t="shared" si="18"/>
        <v>0</v>
      </c>
    </row>
    <row r="248" spans="28:30" ht="43.2" x14ac:dyDescent="0.3">
      <c r="AB248" s="4" t="s">
        <v>39409</v>
      </c>
      <c r="AC248" s="6">
        <f>COUNTIFS($B$2:$B$386,2,$C$2:$C$386,2,$F$2:$F$386,17,$G$2:$G$386,3)</f>
        <v>0</v>
      </c>
      <c r="AD248" s="6">
        <f t="shared" si="18"/>
        <v>0</v>
      </c>
    </row>
    <row r="249" spans="28:30" ht="43.2" x14ac:dyDescent="0.3">
      <c r="AB249" s="4" t="s">
        <v>39410</v>
      </c>
      <c r="AC249" s="6">
        <f>COUNTIFS($B$2:$B$386,3,$C$2:$C$386,2,$F$2:$F$386,17,$G$2:$G$386,3)</f>
        <v>0</v>
      </c>
      <c r="AD249" s="6">
        <f t="shared" si="18"/>
        <v>0</v>
      </c>
    </row>
    <row r="250" spans="28:30" ht="43.2" x14ac:dyDescent="0.3">
      <c r="AB250" s="4" t="s">
        <v>39411</v>
      </c>
      <c r="AC250" s="6">
        <f>COUNTIFS($B$2:$B$386,1,$C$2:$C$386,3,$F$2:$F$386,17,$G$2:$G$386,3)</f>
        <v>0</v>
      </c>
      <c r="AD250" s="6">
        <f t="shared" si="18"/>
        <v>0</v>
      </c>
    </row>
    <row r="251" spans="28:30" ht="43.2" x14ac:dyDescent="0.3">
      <c r="AB251" s="4" t="s">
        <v>39412</v>
      </c>
      <c r="AC251" s="6">
        <f>COUNTIFS($B$2:$B$386,2,$C$2:$C$386,3,$F$2:$F$386,17,$G$2:$G$386,3)</f>
        <v>3</v>
      </c>
      <c r="AD251" s="6">
        <f t="shared" si="18"/>
        <v>3.3333333333333335</v>
      </c>
    </row>
    <row r="252" spans="28:30" ht="43.2" x14ac:dyDescent="0.3">
      <c r="AB252" s="4" t="s">
        <v>39413</v>
      </c>
      <c r="AC252" s="6">
        <f>COUNTIFS($B$2:$B$386,3,$C$2:$C$386,3,$F$2:$F$386,17,$G$2:$G$386,3)</f>
        <v>0</v>
      </c>
      <c r="AD252" s="6">
        <f t="shared" si="18"/>
        <v>0</v>
      </c>
    </row>
    <row r="253" spans="28:30" ht="43.2" x14ac:dyDescent="0.3">
      <c r="AB253" s="4" t="s">
        <v>39414</v>
      </c>
      <c r="AC253" s="6">
        <f>COUNTIFS($B$2:$B$386,1,$C$2:$C$386,4,$F$2:$F$386,17,$G$2:$G$386,3)</f>
        <v>0</v>
      </c>
      <c r="AD253" s="6">
        <f t="shared" si="18"/>
        <v>0</v>
      </c>
    </row>
    <row r="254" spans="28:30" ht="43.2" x14ac:dyDescent="0.3">
      <c r="AB254" s="4" t="s">
        <v>39415</v>
      </c>
      <c r="AC254" s="6">
        <f>COUNTIFS($B$2:$B$386,2,$C$2:$C$386,4,$F$2:$F$386,17,$G$2:$G$386,3)</f>
        <v>0</v>
      </c>
      <c r="AD254" s="6">
        <f t="shared" si="18"/>
        <v>0</v>
      </c>
    </row>
    <row r="255" spans="28:30" ht="43.2" x14ac:dyDescent="0.3">
      <c r="AB255" s="4" t="s">
        <v>39416</v>
      </c>
      <c r="AC255" s="6">
        <f>COUNTIFS($B$2:$B$386,3,$C$2:$C$386,4,$F$2:$F$386,17,$G$2:$G$386,3)</f>
        <v>0</v>
      </c>
      <c r="AD255" s="6">
        <f t="shared" si="18"/>
        <v>0</v>
      </c>
    </row>
    <row r="256" spans="28:30" x14ac:dyDescent="0.3">
      <c r="AD256" s="6"/>
    </row>
    <row r="257" spans="28:30" ht="43.2" x14ac:dyDescent="0.3">
      <c r="AB257" s="4" t="s">
        <v>39417</v>
      </c>
      <c r="AC257" s="6">
        <f>COUNTIFS($B$2:$B$386,1,$C$2:$C$386,1,$F$2:$F$386,18,$G$2:$G$386,4)</f>
        <v>0</v>
      </c>
      <c r="AD257" s="6">
        <f>(AC257/90)*100</f>
        <v>0</v>
      </c>
    </row>
    <row r="258" spans="28:30" ht="43.2" x14ac:dyDescent="0.3">
      <c r="AB258" s="4" t="s">
        <v>39418</v>
      </c>
      <c r="AC258" s="6">
        <f>COUNTIFS($B$2:$B$386,2,$C$2:$C$386,1,$F$2:$F$386,18,$G$2:$G$386,4)</f>
        <v>0</v>
      </c>
      <c r="AD258" s="6">
        <f t="shared" ref="AD258:AD321" si="19">(AC258/90)*100</f>
        <v>0</v>
      </c>
    </row>
    <row r="259" spans="28:30" ht="43.2" x14ac:dyDescent="0.3">
      <c r="AB259" s="4" t="s">
        <v>39419</v>
      </c>
      <c r="AC259" s="6">
        <f>COUNTIFS($B$2:$B$386,3,$C$2:$C$386,1,$F$2:$F$386,18,$G$2:$G$386,4)</f>
        <v>0</v>
      </c>
      <c r="AD259" s="6">
        <f t="shared" si="19"/>
        <v>0</v>
      </c>
    </row>
    <row r="260" spans="28:30" ht="43.2" x14ac:dyDescent="0.3">
      <c r="AB260" s="4" t="s">
        <v>39420</v>
      </c>
      <c r="AC260" s="6">
        <f>COUNTIFS($B$2:$B$386,1,$C$2:$C$386,2,$F$2:$F$386,18,$G$2:$G$386,4)</f>
        <v>0</v>
      </c>
      <c r="AD260" s="6">
        <f t="shared" si="19"/>
        <v>0</v>
      </c>
    </row>
    <row r="261" spans="28:30" ht="43.2" x14ac:dyDescent="0.3">
      <c r="AB261" s="4" t="s">
        <v>39421</v>
      </c>
      <c r="AC261" s="6">
        <f>COUNTIFS($B$2:$B$386,2,$C$2:$C$386,2,$F$2:$F$386,18,$G$2:$G$386,4)</f>
        <v>0</v>
      </c>
      <c r="AD261" s="6">
        <f t="shared" si="19"/>
        <v>0</v>
      </c>
    </row>
    <row r="262" spans="28:30" ht="43.2" x14ac:dyDescent="0.3">
      <c r="AB262" s="4" t="s">
        <v>39422</v>
      </c>
      <c r="AC262" s="6">
        <f>COUNTIFS($B$2:$B$386,3,$C$2:$C$386,2,$F$2:$F$386,18,$G$2:$G$386,4)</f>
        <v>0</v>
      </c>
      <c r="AD262" s="6">
        <f t="shared" si="19"/>
        <v>0</v>
      </c>
    </row>
    <row r="263" spans="28:30" ht="43.2" x14ac:dyDescent="0.3">
      <c r="AB263" s="4" t="s">
        <v>39423</v>
      </c>
      <c r="AC263" s="6">
        <f>COUNTIFS($B$2:$B$386,1,$C$2:$C$386,3,$F$2:$F$386,18,$G$2:$G$386,4)</f>
        <v>0</v>
      </c>
      <c r="AD263" s="6">
        <f t="shared" si="19"/>
        <v>0</v>
      </c>
    </row>
    <row r="264" spans="28:30" ht="43.2" x14ac:dyDescent="0.3">
      <c r="AB264" s="4" t="s">
        <v>39424</v>
      </c>
      <c r="AC264" s="6">
        <f>COUNTIFS($B$2:$B$386,2,$C$2:$C$386,3,$F$2:$F$386,18,$G$2:$G$386,4)</f>
        <v>0</v>
      </c>
      <c r="AD264" s="6">
        <f t="shared" si="19"/>
        <v>0</v>
      </c>
    </row>
    <row r="265" spans="28:30" ht="43.2" x14ac:dyDescent="0.3">
      <c r="AB265" s="4" t="s">
        <v>39425</v>
      </c>
      <c r="AC265" s="6">
        <f>COUNTIFS($B$2:$B$386,3,$C$2:$C$386,3,$F$2:$F$386,18,$G$2:$G$386,4)</f>
        <v>0</v>
      </c>
      <c r="AD265" s="6">
        <f t="shared" si="19"/>
        <v>0</v>
      </c>
    </row>
    <row r="266" spans="28:30" ht="43.2" x14ac:dyDescent="0.3">
      <c r="AB266" s="4" t="s">
        <v>39426</v>
      </c>
      <c r="AC266" s="6">
        <f>COUNTIFS($B$2:$B$386,1,$C$2:$C$386,4,$F$2:$F$386,18,$G$2:$G$386,4)</f>
        <v>0</v>
      </c>
      <c r="AD266" s="6">
        <f t="shared" si="19"/>
        <v>0</v>
      </c>
    </row>
    <row r="267" spans="28:30" ht="43.2" x14ac:dyDescent="0.3">
      <c r="AB267" s="4" t="s">
        <v>39427</v>
      </c>
      <c r="AC267" s="6">
        <f>COUNTIFS($B$2:$B$386,2,$C$2:$C$386,4,$F$2:$F$386,18,$G$2:$G$386,4)</f>
        <v>0</v>
      </c>
      <c r="AD267" s="6">
        <f t="shared" si="19"/>
        <v>0</v>
      </c>
    </row>
    <row r="268" spans="28:30" ht="43.2" x14ac:dyDescent="0.3">
      <c r="AB268" s="4" t="s">
        <v>39428</v>
      </c>
      <c r="AC268" s="6">
        <f>COUNTIFS($B$2:$B$386,3,$C$2:$C$386,4,$F$2:$F$386,18,$G$2:$G$386,4)</f>
        <v>0</v>
      </c>
      <c r="AD268" s="6">
        <f t="shared" si="19"/>
        <v>0</v>
      </c>
    </row>
    <row r="269" spans="28:30" ht="43.2" x14ac:dyDescent="0.3">
      <c r="AB269" s="4" t="s">
        <v>39429</v>
      </c>
      <c r="AC269" s="6">
        <f>COUNTIFS($B$2:$B$386,1,$C$2:$C$386,1,$F$2:$F$386,19,$G$2:$G$386,4)</f>
        <v>0</v>
      </c>
      <c r="AD269" s="6">
        <f t="shared" si="19"/>
        <v>0</v>
      </c>
    </row>
    <row r="270" spans="28:30" ht="43.2" x14ac:dyDescent="0.3">
      <c r="AB270" s="4" t="s">
        <v>39438</v>
      </c>
      <c r="AC270" s="6">
        <f>COUNTIFS($B$2:$B$386,2,$C$2:$C$386,1,$F$2:$F$386,19,$G$2:$G$386,4)</f>
        <v>0</v>
      </c>
      <c r="AD270" s="6">
        <f t="shared" si="19"/>
        <v>0</v>
      </c>
    </row>
    <row r="271" spans="28:30" ht="43.2" x14ac:dyDescent="0.3">
      <c r="AB271" s="4" t="s">
        <v>39430</v>
      </c>
      <c r="AC271" s="6">
        <f>COUNTIFS($B$2:$B$386,3,$C$2:$C$386,1,$F$2:$F$386,19,$G$2:$G$386,4)</f>
        <v>0</v>
      </c>
      <c r="AD271" s="6">
        <f t="shared" si="19"/>
        <v>0</v>
      </c>
    </row>
    <row r="272" spans="28:30" ht="43.2" x14ac:dyDescent="0.3">
      <c r="AB272" s="4" t="s">
        <v>39431</v>
      </c>
      <c r="AC272" s="6">
        <f>COUNTIFS($B$2:$B$386,1,$C$2:$C$386,2,$F$2:$F$386,19,$G$2:$G$386,4)</f>
        <v>0</v>
      </c>
      <c r="AD272" s="6">
        <f t="shared" si="19"/>
        <v>0</v>
      </c>
    </row>
    <row r="273" spans="28:30" ht="43.2" x14ac:dyDescent="0.3">
      <c r="AB273" s="4" t="s">
        <v>39432</v>
      </c>
      <c r="AC273" s="6">
        <f>COUNTIFS($B$2:$B$386,2,$C$2:$C$386,2,$F$2:$F$386,19,$G$2:$G$386,4)</f>
        <v>0</v>
      </c>
      <c r="AD273" s="6">
        <f t="shared" si="19"/>
        <v>0</v>
      </c>
    </row>
    <row r="274" spans="28:30" ht="43.2" x14ac:dyDescent="0.3">
      <c r="AB274" s="4" t="s">
        <v>39433</v>
      </c>
      <c r="AC274" s="6">
        <f>COUNTIFS($B$2:$B$386,3,$C$2:$C$386,2,$F$2:$F$386,19,$G$2:$G$386,4)</f>
        <v>0</v>
      </c>
      <c r="AD274" s="6">
        <f t="shared" si="19"/>
        <v>0</v>
      </c>
    </row>
    <row r="275" spans="28:30" ht="43.2" x14ac:dyDescent="0.3">
      <c r="AB275" s="4" t="s">
        <v>39434</v>
      </c>
      <c r="AC275" s="6">
        <f>COUNTIFS($B$2:$B$386,1,$C$2:$C$386,3,$F$2:$F$386,19,$G$2:$G$386,4)</f>
        <v>0</v>
      </c>
      <c r="AD275" s="6">
        <f t="shared" si="19"/>
        <v>0</v>
      </c>
    </row>
    <row r="276" spans="28:30" ht="43.2" x14ac:dyDescent="0.3">
      <c r="AB276" s="4" t="s">
        <v>39435</v>
      </c>
      <c r="AC276" s="6">
        <f>COUNTIFS($B$2:$B$386,2,$C$2:$C$386,3,$F$2:$F$386,19,$G$2:$G$386,4)</f>
        <v>0</v>
      </c>
      <c r="AD276" s="6">
        <f t="shared" si="19"/>
        <v>0</v>
      </c>
    </row>
    <row r="277" spans="28:30" ht="43.2" x14ac:dyDescent="0.3">
      <c r="AB277" s="4" t="s">
        <v>39436</v>
      </c>
      <c r="AC277" s="6">
        <f>COUNTIFS($B$2:$B$386,3,$C$2:$C$386,3,$F$2:$F$386,19,$G$2:$G$386,4)</f>
        <v>0</v>
      </c>
      <c r="AD277" s="6">
        <f t="shared" si="19"/>
        <v>0</v>
      </c>
    </row>
    <row r="278" spans="28:30" ht="43.2" x14ac:dyDescent="0.3">
      <c r="AB278" s="4" t="s">
        <v>39437</v>
      </c>
      <c r="AC278" s="6">
        <f>COUNTIFS($B$2:$B$386,1,$C$2:$C$386,4,$F$2:$F$386,19,$G$2:$G$386,4)</f>
        <v>0</v>
      </c>
      <c r="AD278" s="6">
        <f t="shared" si="19"/>
        <v>0</v>
      </c>
    </row>
    <row r="279" spans="28:30" ht="43.2" x14ac:dyDescent="0.3">
      <c r="AB279" s="4" t="s">
        <v>39439</v>
      </c>
      <c r="AC279" s="6">
        <f>COUNTIFS($B$2:$B$386,2,$C$2:$C$386,4,$F$2:$F$386,19,$G$2:$G$386,4)</f>
        <v>0</v>
      </c>
      <c r="AD279" s="6">
        <f t="shared" si="19"/>
        <v>0</v>
      </c>
    </row>
    <row r="280" spans="28:30" ht="43.2" x14ac:dyDescent="0.3">
      <c r="AB280" s="4" t="s">
        <v>39440</v>
      </c>
      <c r="AC280" s="6">
        <f>COUNTIFS($B$2:$B$386,3,$C$2:$C$386,4,$F$2:$F$386,19,$G$2:$G$386,4)</f>
        <v>0</v>
      </c>
      <c r="AD280" s="6">
        <f t="shared" si="19"/>
        <v>0</v>
      </c>
    </row>
    <row r="281" spans="28:30" ht="43.2" x14ac:dyDescent="0.3">
      <c r="AB281" s="4" t="s">
        <v>39441</v>
      </c>
      <c r="AC281" s="6">
        <f>COUNTIFS($B$2:$B$386,1,$C$2:$C$386,1,$F$2:$F$386,1,$G$2:$G$386,4)</f>
        <v>0</v>
      </c>
      <c r="AD281" s="6">
        <f t="shared" si="19"/>
        <v>0</v>
      </c>
    </row>
    <row r="282" spans="28:30" ht="43.2" x14ac:dyDescent="0.3">
      <c r="AB282" s="4" t="s">
        <v>39442</v>
      </c>
      <c r="AC282" s="6">
        <f>COUNTIFS($B$2:$B$386,2,$C$2:$C$386,1,$F$2:$F$386,1,$G$2:$G$386,4)</f>
        <v>0</v>
      </c>
      <c r="AD282" s="6">
        <f t="shared" si="19"/>
        <v>0</v>
      </c>
    </row>
    <row r="283" spans="28:30" ht="43.2" x14ac:dyDescent="0.3">
      <c r="AB283" s="4" t="s">
        <v>39443</v>
      </c>
      <c r="AC283" s="6">
        <f>COUNTIFS($B$2:$B$386,3,$C$2:$C$386,1,$F$2:$F$386,1,$G$2:$G$386,4)</f>
        <v>0</v>
      </c>
      <c r="AD283" s="6">
        <f t="shared" si="19"/>
        <v>0</v>
      </c>
    </row>
    <row r="284" spans="28:30" ht="43.2" x14ac:dyDescent="0.3">
      <c r="AB284" s="4" t="s">
        <v>39444</v>
      </c>
      <c r="AC284" s="6">
        <f>COUNTIFS($B$2:$B$386,1,$C$2:$C$386,2,$F$2:$F$386,1,$G$2:$G$386,4)</f>
        <v>0</v>
      </c>
      <c r="AD284" s="6">
        <f t="shared" si="19"/>
        <v>0</v>
      </c>
    </row>
    <row r="285" spans="28:30" ht="43.2" x14ac:dyDescent="0.3">
      <c r="AB285" s="4" t="s">
        <v>39445</v>
      </c>
      <c r="AC285" s="6">
        <f>COUNTIFS($B$2:$B$386,2,$C$2:$C$386,2,$F$2:$F$386,1,$G$2:$G$386,4)</f>
        <v>0</v>
      </c>
      <c r="AD285" s="6">
        <f t="shared" si="19"/>
        <v>0</v>
      </c>
    </row>
    <row r="286" spans="28:30" ht="43.2" x14ac:dyDescent="0.3">
      <c r="AB286" s="4" t="s">
        <v>39446</v>
      </c>
      <c r="AC286" s="6">
        <f>COUNTIFS($B$2:$B$386,3,$C$2:$C$386,2,$F$2:$F$386,1,$G$2:$G$386,4)</f>
        <v>0</v>
      </c>
      <c r="AD286" s="6">
        <f t="shared" si="19"/>
        <v>0</v>
      </c>
    </row>
    <row r="287" spans="28:30" ht="43.2" x14ac:dyDescent="0.3">
      <c r="AB287" s="4" t="s">
        <v>39447</v>
      </c>
      <c r="AC287" s="6">
        <f>COUNTIFS($B$2:$B$386,1,$C$2:$C$386,3,$F$2:$F$386,1,$G$2:$G$386,4)</f>
        <v>0</v>
      </c>
      <c r="AD287" s="6">
        <f t="shared" si="19"/>
        <v>0</v>
      </c>
    </row>
    <row r="288" spans="28:30" ht="43.2" x14ac:dyDescent="0.3">
      <c r="AB288" s="4" t="s">
        <v>39448</v>
      </c>
      <c r="AC288" s="6">
        <f>COUNTIFS($B$2:$B$386,2,$C$2:$C$386,3,$F$2:$F$386,1,$G$2:$G$386,4)</f>
        <v>0</v>
      </c>
      <c r="AD288" s="6">
        <f t="shared" si="19"/>
        <v>0</v>
      </c>
    </row>
    <row r="289" spans="28:30" ht="43.2" x14ac:dyDescent="0.3">
      <c r="AB289" s="4" t="s">
        <v>39449</v>
      </c>
      <c r="AC289" s="6">
        <f>COUNTIFS($B$2:$B$386,3,$C$2:$C$386,3,$F$2:$F$386,1,$G$2:$G$386,4)</f>
        <v>0</v>
      </c>
      <c r="AD289" s="6">
        <f t="shared" si="19"/>
        <v>0</v>
      </c>
    </row>
    <row r="290" spans="28:30" ht="43.2" x14ac:dyDescent="0.3">
      <c r="AB290" s="4" t="s">
        <v>39450</v>
      </c>
      <c r="AC290" s="6">
        <f>COUNTIFS($B$2:$B$386,1,$C$2:$C$386,4,$F$2:$F$386,1,$G$2:$G$386,4)</f>
        <v>0</v>
      </c>
      <c r="AD290" s="6">
        <f t="shared" si="19"/>
        <v>0</v>
      </c>
    </row>
    <row r="291" spans="28:30" ht="43.2" x14ac:dyDescent="0.3">
      <c r="AB291" s="4" t="s">
        <v>39451</v>
      </c>
      <c r="AC291" s="6">
        <f>COUNTIFS($B$2:$B$386,2,$C$2:$C$386,4,$F$2:$F$386,1,$G$2:$G$386,4)</f>
        <v>0</v>
      </c>
      <c r="AD291" s="6">
        <f t="shared" si="19"/>
        <v>0</v>
      </c>
    </row>
    <row r="292" spans="28:30" ht="43.2" x14ac:dyDescent="0.3">
      <c r="AB292" s="4" t="s">
        <v>39452</v>
      </c>
      <c r="AC292" s="6">
        <f>COUNTIFS($B$2:$B$386,3,$C$2:$C$386,4,$F$2:$F$386,1,$G$2:$G$386,4)</f>
        <v>0</v>
      </c>
      <c r="AD292" s="6">
        <f t="shared" si="19"/>
        <v>0</v>
      </c>
    </row>
    <row r="293" spans="28:30" ht="43.2" x14ac:dyDescent="0.3">
      <c r="AB293" s="4" t="s">
        <v>39453</v>
      </c>
      <c r="AC293" s="6">
        <f>COUNTIFS($B$2:$B$386,1,$C$2:$C$386,1,$F$2:$F$386,2,$G$2:$G$386,4)</f>
        <v>0</v>
      </c>
      <c r="AD293" s="6">
        <f t="shared" si="19"/>
        <v>0</v>
      </c>
    </row>
    <row r="294" spans="28:30" ht="43.2" x14ac:dyDescent="0.3">
      <c r="AB294" s="4" t="s">
        <v>39454</v>
      </c>
      <c r="AC294" s="6">
        <f>COUNTIFS($B$2:$B$386,2,$C$2:$C$386,1,$F$2:$F$386,2,$G$2:$G$386,4)</f>
        <v>0</v>
      </c>
      <c r="AD294" s="6">
        <f t="shared" si="19"/>
        <v>0</v>
      </c>
    </row>
    <row r="295" spans="28:30" ht="43.2" x14ac:dyDescent="0.3">
      <c r="AB295" s="4" t="s">
        <v>39455</v>
      </c>
      <c r="AC295" s="6">
        <f>COUNTIFS($B$2:$B$386,3,$C$2:$C$386,1,$F$2:$F$386,2,$G$2:$G$386,4)</f>
        <v>0</v>
      </c>
      <c r="AD295" s="6">
        <f t="shared" si="19"/>
        <v>0</v>
      </c>
    </row>
    <row r="296" spans="28:30" ht="43.2" x14ac:dyDescent="0.3">
      <c r="AB296" s="4" t="s">
        <v>39456</v>
      </c>
      <c r="AC296" s="6">
        <f>COUNTIFS($B$2:$B$386,1,$C$2:$C$386,2,$F$2:$F$386,2,$G$2:$G$386,4)</f>
        <v>0</v>
      </c>
      <c r="AD296" s="6">
        <f t="shared" si="19"/>
        <v>0</v>
      </c>
    </row>
    <row r="297" spans="28:30" ht="43.2" x14ac:dyDescent="0.3">
      <c r="AB297" s="4" t="s">
        <v>39457</v>
      </c>
      <c r="AC297" s="6">
        <f>COUNTIFS($B$2:$B$386,2,$C$2:$C$386,2,$F$2:$F$386,2,$G$2:$G$386,4)</f>
        <v>0</v>
      </c>
      <c r="AD297" s="6">
        <f t="shared" si="19"/>
        <v>0</v>
      </c>
    </row>
    <row r="298" spans="28:30" ht="43.2" x14ac:dyDescent="0.3">
      <c r="AB298" s="4" t="s">
        <v>39458</v>
      </c>
      <c r="AC298" s="6">
        <f>COUNTIFS($B$2:$B$386,3,$C$2:$C$386,2,$F$2:$F$386,2,$G$2:$G$386,4)</f>
        <v>0</v>
      </c>
      <c r="AD298" s="6">
        <f t="shared" si="19"/>
        <v>0</v>
      </c>
    </row>
    <row r="299" spans="28:30" ht="43.2" x14ac:dyDescent="0.3">
      <c r="AB299" s="4" t="s">
        <v>39459</v>
      </c>
      <c r="AC299" s="6">
        <f>COUNTIFS($B$2:$B$386,1,$C$2:$C$386,3,$F$2:$F$386,2,$G$2:$G$386,4)</f>
        <v>0</v>
      </c>
      <c r="AD299" s="6">
        <f t="shared" si="19"/>
        <v>0</v>
      </c>
    </row>
    <row r="300" spans="28:30" ht="43.2" x14ac:dyDescent="0.3">
      <c r="AB300" s="4" t="s">
        <v>39460</v>
      </c>
      <c r="AC300" s="6">
        <f>COUNTIFS($B$2:$B$386,2,$C$2:$C$386,3,$F$2:$F$386,2,$G$2:$G$386,4)</f>
        <v>0</v>
      </c>
      <c r="AD300" s="6">
        <f t="shared" si="19"/>
        <v>0</v>
      </c>
    </row>
    <row r="301" spans="28:30" ht="43.2" x14ac:dyDescent="0.3">
      <c r="AB301" s="4" t="s">
        <v>39461</v>
      </c>
      <c r="AC301" s="6">
        <f>COUNTIFS($B$2:$B$386,3,$C$2:$C$386,3,$F$2:$F$386,2,$G$2:$G$386,4)</f>
        <v>0</v>
      </c>
      <c r="AD301" s="6">
        <f t="shared" si="19"/>
        <v>0</v>
      </c>
    </row>
    <row r="302" spans="28:30" ht="43.2" x14ac:dyDescent="0.3">
      <c r="AB302" s="4" t="s">
        <v>39462</v>
      </c>
      <c r="AC302" s="6">
        <f>COUNTIFS($B$2:$B$386,1,$C$2:$C$386,4,$F$2:$F$386,2,$G$2:$G$386,4)</f>
        <v>0</v>
      </c>
      <c r="AD302" s="6">
        <f t="shared" si="19"/>
        <v>0</v>
      </c>
    </row>
    <row r="303" spans="28:30" ht="43.2" x14ac:dyDescent="0.3">
      <c r="AB303" s="4" t="s">
        <v>39463</v>
      </c>
      <c r="AC303" s="6">
        <f>COUNTIFS($B$2:$B$386,2,$C$2:$C$386,4,$F$2:$F$386,2,$G$2:$G$386,4)</f>
        <v>0</v>
      </c>
      <c r="AD303" s="6">
        <f t="shared" si="19"/>
        <v>0</v>
      </c>
    </row>
    <row r="304" spans="28:30" ht="43.2" x14ac:dyDescent="0.3">
      <c r="AB304" s="4" t="s">
        <v>39464</v>
      </c>
      <c r="AC304" s="6">
        <f>COUNTIFS($B$2:$B$386,3,$C$2:$C$386,4,$F$2:$F$386,2,$G$2:$G$386,4)</f>
        <v>0</v>
      </c>
      <c r="AD304" s="6">
        <f t="shared" si="19"/>
        <v>0</v>
      </c>
    </row>
    <row r="305" spans="28:30" ht="43.2" x14ac:dyDescent="0.3">
      <c r="AB305" s="4" t="s">
        <v>39465</v>
      </c>
      <c r="AC305" s="6">
        <f>COUNTIFS($B$2:$B$386,1,$C$2:$C$386,1,$F$2:$F$386,3,$G$2:$G$386,4)</f>
        <v>0</v>
      </c>
      <c r="AD305" s="6">
        <f t="shared" si="19"/>
        <v>0</v>
      </c>
    </row>
    <row r="306" spans="28:30" ht="43.2" x14ac:dyDescent="0.3">
      <c r="AB306" s="4" t="s">
        <v>39466</v>
      </c>
      <c r="AC306" s="6">
        <f>COUNTIFS($B$2:$B$386,2,$C$2:$C$386,1,$F$2:$F$386,3,$G$2:$G$386,4)</f>
        <v>0</v>
      </c>
      <c r="AD306" s="6">
        <f t="shared" si="19"/>
        <v>0</v>
      </c>
    </row>
    <row r="307" spans="28:30" ht="43.2" x14ac:dyDescent="0.3">
      <c r="AB307" s="4" t="s">
        <v>39467</v>
      </c>
      <c r="AC307" s="6">
        <f>COUNTIFS($B$2:$B$386,3,$C$2:$C$386,1,$F$2:$F$386,3,$G$2:$G$386,4)</f>
        <v>0</v>
      </c>
      <c r="AD307" s="6">
        <f t="shared" si="19"/>
        <v>0</v>
      </c>
    </row>
    <row r="308" spans="28:30" ht="43.2" x14ac:dyDescent="0.3">
      <c r="AB308" s="4" t="s">
        <v>39468</v>
      </c>
      <c r="AC308" s="6">
        <f>COUNTIFS($B$2:$B$386,1,$C$2:$C$386,2,$F$2:$F$386,3,$G$2:$G$386,4)</f>
        <v>0</v>
      </c>
      <c r="AD308" s="6">
        <f t="shared" si="19"/>
        <v>0</v>
      </c>
    </row>
    <row r="309" spans="28:30" ht="43.2" x14ac:dyDescent="0.3">
      <c r="AB309" s="4" t="s">
        <v>39469</v>
      </c>
      <c r="AC309" s="6">
        <f>COUNTIFS($B$2:$B$386,2,$C$2:$C$386,2,$F$2:$F$386,3,$G$2:$G$386,4)</f>
        <v>0</v>
      </c>
      <c r="AD309" s="6">
        <f t="shared" si="19"/>
        <v>0</v>
      </c>
    </row>
    <row r="310" spans="28:30" ht="43.2" x14ac:dyDescent="0.3">
      <c r="AB310" s="4" t="s">
        <v>39470</v>
      </c>
      <c r="AC310" s="6">
        <f>COUNTIFS($B$2:$B$386,3,$C$2:$C$386,2,$F$2:$F$386,3,$G$2:$G$386,4)</f>
        <v>0</v>
      </c>
      <c r="AD310" s="6">
        <f t="shared" si="19"/>
        <v>0</v>
      </c>
    </row>
    <row r="311" spans="28:30" ht="43.2" x14ac:dyDescent="0.3">
      <c r="AB311" s="4" t="s">
        <v>39471</v>
      </c>
      <c r="AC311" s="6">
        <f>COUNTIFS($B$2:$B$386,1,$C$2:$C$386,3,$F$2:$F$386,3,$G$2:$G$386,4)</f>
        <v>0</v>
      </c>
      <c r="AD311" s="6">
        <f t="shared" si="19"/>
        <v>0</v>
      </c>
    </row>
    <row r="312" spans="28:30" ht="43.2" x14ac:dyDescent="0.3">
      <c r="AB312" s="4" t="s">
        <v>39472</v>
      </c>
      <c r="AC312" s="6">
        <f>COUNTIFS($B$2:$B$386,2,$C$2:$C$386,3,$F$2:$F$386,3,$G$2:$G$386,4)</f>
        <v>0</v>
      </c>
      <c r="AD312" s="6">
        <f t="shared" si="19"/>
        <v>0</v>
      </c>
    </row>
    <row r="313" spans="28:30" ht="43.2" x14ac:dyDescent="0.3">
      <c r="AB313" s="4" t="s">
        <v>39473</v>
      </c>
      <c r="AC313" s="6">
        <f>COUNTIFS($B$2:$B$386,3,$C$2:$C$386,3,$F$2:$F$386,3,$G$2:$G$386,4)</f>
        <v>0</v>
      </c>
      <c r="AD313" s="6">
        <f t="shared" si="19"/>
        <v>0</v>
      </c>
    </row>
    <row r="314" spans="28:30" ht="43.2" x14ac:dyDescent="0.3">
      <c r="AB314" s="4" t="s">
        <v>39474</v>
      </c>
      <c r="AC314" s="6">
        <f>COUNTIFS($B$2:$B$386,1,$C$2:$C$386,4,$F$2:$F$386,3,$G$2:$G$386,4)</f>
        <v>0</v>
      </c>
      <c r="AD314" s="6">
        <f t="shared" si="19"/>
        <v>0</v>
      </c>
    </row>
    <row r="315" spans="28:30" ht="43.2" x14ac:dyDescent="0.3">
      <c r="AB315" s="4" t="s">
        <v>39475</v>
      </c>
      <c r="AC315" s="6">
        <f>COUNTIFS($B$2:$B$386,2,$C$2:$C$386,4,$F$2:$F$386,3,$G$2:$G$386,4)</f>
        <v>0</v>
      </c>
      <c r="AD315" s="6">
        <f t="shared" si="19"/>
        <v>0</v>
      </c>
    </row>
    <row r="316" spans="28:30" ht="43.2" x14ac:dyDescent="0.3">
      <c r="AB316" s="4" t="s">
        <v>39476</v>
      </c>
      <c r="AC316" s="6">
        <f>COUNTIFS($B$2:$B$386,3,$C$2:$C$386,4,$F$2:$F$386,3,$G$2:$G$386,4)</f>
        <v>0</v>
      </c>
      <c r="AD316" s="6">
        <f t="shared" si="19"/>
        <v>0</v>
      </c>
    </row>
    <row r="317" spans="28:30" ht="43.2" x14ac:dyDescent="0.3">
      <c r="AB317" s="10" t="s">
        <v>39477</v>
      </c>
      <c r="AC317" s="6">
        <f>COUNTIFS($B$2:$B$386,1,$C$2:$C$386,1,$F$2:$F$386,16,$G$2:$G$386,4)</f>
        <v>0</v>
      </c>
      <c r="AD317" s="6">
        <f t="shared" si="19"/>
        <v>0</v>
      </c>
    </row>
    <row r="318" spans="28:30" ht="43.2" x14ac:dyDescent="0.3">
      <c r="AB318" s="4" t="s">
        <v>39478</v>
      </c>
      <c r="AC318" s="6">
        <f>COUNTIFS($B$2:$B$386,2,$C$2:$C$386,1,$F$2:$F$386,16,$G$2:$G$386,4)</f>
        <v>0</v>
      </c>
      <c r="AD318" s="6">
        <f t="shared" si="19"/>
        <v>0</v>
      </c>
    </row>
    <row r="319" spans="28:30" ht="43.2" x14ac:dyDescent="0.3">
      <c r="AB319" s="4" t="s">
        <v>39479</v>
      </c>
      <c r="AC319" s="6">
        <f>COUNTIFS($B$2:$B$386,3,$C$2:$C$386,1,$F$2:$F$386,16,$G$2:$G$386,4)</f>
        <v>0</v>
      </c>
      <c r="AD319" s="6">
        <f t="shared" si="19"/>
        <v>0</v>
      </c>
    </row>
    <row r="320" spans="28:30" ht="43.2" x14ac:dyDescent="0.3">
      <c r="AB320" s="4" t="s">
        <v>39480</v>
      </c>
      <c r="AC320" s="6">
        <f>COUNTIFS($B$2:$B$386,1,$C$2:$C$386,2,$F$2:$F$386,16,$G$2:$G$386,4)</f>
        <v>0</v>
      </c>
      <c r="AD320" s="6">
        <f t="shared" si="19"/>
        <v>0</v>
      </c>
    </row>
    <row r="321" spans="28:30" ht="43.2" x14ac:dyDescent="0.3">
      <c r="AB321" s="4" t="s">
        <v>39481</v>
      </c>
      <c r="AC321" s="6">
        <f>COUNTIFS($B$2:$B$386,2,$C$2:$C$386,2,$F$2:$F$386,16,$G$2:$G$386,4)</f>
        <v>0</v>
      </c>
      <c r="AD321" s="6">
        <f t="shared" si="19"/>
        <v>0</v>
      </c>
    </row>
    <row r="322" spans="28:30" ht="43.2" x14ac:dyDescent="0.3">
      <c r="AB322" s="4" t="s">
        <v>39482</v>
      </c>
      <c r="AC322" s="6">
        <f>COUNTIFS($B$2:$B$386,3,$C$2:$C$386,2,$F$2:$F$386,16,$G$2:$G$386,4)</f>
        <v>0</v>
      </c>
      <c r="AD322" s="6">
        <f t="shared" ref="AD322:AD340" si="20">(AC322/90)*100</f>
        <v>0</v>
      </c>
    </row>
    <row r="323" spans="28:30" ht="43.2" x14ac:dyDescent="0.3">
      <c r="AB323" s="4" t="s">
        <v>39483</v>
      </c>
      <c r="AC323" s="6">
        <f>COUNTIFS($B$2:$B$386,1,$C$2:$C$386,3,$F$2:$F$386,16,$G$2:$G$386,4)</f>
        <v>0</v>
      </c>
      <c r="AD323" s="6">
        <f t="shared" si="20"/>
        <v>0</v>
      </c>
    </row>
    <row r="324" spans="28:30" ht="43.2" x14ac:dyDescent="0.3">
      <c r="AB324" s="4" t="s">
        <v>39484</v>
      </c>
      <c r="AC324" s="6">
        <f>COUNTIFS($B$2:$B$386,2,$C$2:$C$386,3,$F$2:$F$386,16,$G$2:$G$386,4)</f>
        <v>5</v>
      </c>
      <c r="AD324" s="6">
        <f t="shared" si="20"/>
        <v>5.5555555555555554</v>
      </c>
    </row>
    <row r="325" spans="28:30" ht="43.2" x14ac:dyDescent="0.3">
      <c r="AB325" s="4" t="s">
        <v>39485</v>
      </c>
      <c r="AC325" s="6">
        <f>COUNTIFS($B$2:$B$386,3,$C$2:$C$386,3,$F$2:$F$386,16,$G$2:$G$386,4)</f>
        <v>0</v>
      </c>
      <c r="AD325" s="6">
        <f t="shared" si="20"/>
        <v>0</v>
      </c>
    </row>
    <row r="326" spans="28:30" ht="43.2" x14ac:dyDescent="0.3">
      <c r="AB326" s="4" t="s">
        <v>39486</v>
      </c>
      <c r="AC326" s="6">
        <f>COUNTIFS($B$2:$B$386,1,$C$2:$C$386,4,$F$2:$F$386,16,$G$2:$G$386,4)</f>
        <v>0</v>
      </c>
      <c r="AD326" s="6">
        <f t="shared" si="20"/>
        <v>0</v>
      </c>
    </row>
    <row r="327" spans="28:30" ht="43.2" x14ac:dyDescent="0.3">
      <c r="AB327" s="4" t="s">
        <v>39487</v>
      </c>
      <c r="AC327" s="6">
        <f>COUNTIFS($B$2:$B$386,2,$C$2:$C$386,4,$F$2:$F$386,16,$G$2:$G$386,4)</f>
        <v>0</v>
      </c>
      <c r="AD327" s="6">
        <f t="shared" si="20"/>
        <v>0</v>
      </c>
    </row>
    <row r="328" spans="28:30" ht="43.2" x14ac:dyDescent="0.3">
      <c r="AB328" s="4" t="s">
        <v>39488</v>
      </c>
      <c r="AC328" s="6">
        <f>COUNTIFS($B$2:$B$386,3,$C$2:$C$386,4,$F$2:$F$386,16,$G$2:$G$386,4)</f>
        <v>0</v>
      </c>
      <c r="AD328" s="6">
        <f t="shared" si="20"/>
        <v>0</v>
      </c>
    </row>
    <row r="329" spans="28:30" ht="43.2" x14ac:dyDescent="0.3">
      <c r="AB329" s="4" t="s">
        <v>39489</v>
      </c>
      <c r="AC329" s="6">
        <f>COUNTIFS($B$2:$B$386,1,$C$2:$C$386,1,$F$2:$F$386,17,$G$2:$G$386,4)</f>
        <v>0</v>
      </c>
      <c r="AD329" s="6">
        <f t="shared" si="20"/>
        <v>0</v>
      </c>
    </row>
    <row r="330" spans="28:30" ht="43.2" x14ac:dyDescent="0.3">
      <c r="AB330" s="4" t="s">
        <v>39490</v>
      </c>
      <c r="AC330" s="6">
        <f>COUNTIFS($B$2:$B$386,2,$C$2:$C$386,1,$F$2:$F$386,17,$G$2:$G$386,4)</f>
        <v>0</v>
      </c>
      <c r="AD330" s="6">
        <f t="shared" si="20"/>
        <v>0</v>
      </c>
    </row>
    <row r="331" spans="28:30" ht="43.2" x14ac:dyDescent="0.3">
      <c r="AB331" s="4" t="s">
        <v>39491</v>
      </c>
      <c r="AC331" s="6">
        <f>COUNTIFS($B$2:$B$386,3,$C$2:$C$386,1,$F$2:$F$386,17,$G$2:$G$386,4)</f>
        <v>0</v>
      </c>
      <c r="AD331" s="6">
        <f t="shared" si="20"/>
        <v>0</v>
      </c>
    </row>
    <row r="332" spans="28:30" ht="43.2" x14ac:dyDescent="0.3">
      <c r="AB332" s="4" t="s">
        <v>39492</v>
      </c>
      <c r="AC332" s="6">
        <f>COUNTIFS($B$2:$B$386,1,$C$2:$C$386,2,$F$2:$F$386,17,$G$2:$G$386,4)</f>
        <v>0</v>
      </c>
      <c r="AD332" s="6">
        <f t="shared" si="20"/>
        <v>0</v>
      </c>
    </row>
    <row r="333" spans="28:30" ht="43.2" x14ac:dyDescent="0.3">
      <c r="AB333" s="4" t="s">
        <v>39493</v>
      </c>
      <c r="AC333" s="6">
        <f>COUNTIFS($B$2:$B$386,2,$C$2:$C$386,2,$F$2:$F$386,17,$G$2:$G$386,4)</f>
        <v>4</v>
      </c>
      <c r="AD333" s="6">
        <f t="shared" si="20"/>
        <v>4.4444444444444446</v>
      </c>
    </row>
    <row r="334" spans="28:30" ht="43.2" x14ac:dyDescent="0.3">
      <c r="AB334" s="4" t="s">
        <v>39494</v>
      </c>
      <c r="AC334" s="6">
        <f>COUNTIFS($B$2:$B$386,3,$C$2:$C$386,2,$F$2:$F$386,17,$G$2:$G$386,4)</f>
        <v>0</v>
      </c>
      <c r="AD334" s="6">
        <f t="shared" si="20"/>
        <v>0</v>
      </c>
    </row>
    <row r="335" spans="28:30" ht="43.2" x14ac:dyDescent="0.3">
      <c r="AB335" s="4" t="s">
        <v>39495</v>
      </c>
      <c r="AC335" s="6">
        <f>COUNTIFS($B$2:$B$386,1,$C$2:$C$386,3,$F$2:$F$386,17,$G$2:$G$386,4)</f>
        <v>0</v>
      </c>
      <c r="AD335" s="6">
        <f t="shared" si="20"/>
        <v>0</v>
      </c>
    </row>
    <row r="336" spans="28:30" ht="43.2" x14ac:dyDescent="0.3">
      <c r="AB336" s="4" t="s">
        <v>39496</v>
      </c>
      <c r="AC336" s="6">
        <f>COUNTIFS($B$2:$B$386,2,$C$2:$C$386,3,$F$2:$F$386,17,$G$2:$G$386,4)</f>
        <v>6</v>
      </c>
      <c r="AD336" s="6">
        <f t="shared" si="20"/>
        <v>6.666666666666667</v>
      </c>
    </row>
    <row r="337" spans="28:30" ht="43.2" x14ac:dyDescent="0.3">
      <c r="AB337" s="4" t="s">
        <v>39497</v>
      </c>
      <c r="AC337" s="6">
        <f>COUNTIFS($B$2:$B$386,3,$C$2:$C$386,3,$F$2:$F$386,17,$G$2:$G$386,4)</f>
        <v>30</v>
      </c>
      <c r="AD337" s="6">
        <f t="shared" si="20"/>
        <v>33.333333333333329</v>
      </c>
    </row>
    <row r="338" spans="28:30" ht="43.2" x14ac:dyDescent="0.3">
      <c r="AB338" s="4" t="s">
        <v>39498</v>
      </c>
      <c r="AC338" s="6">
        <f>COUNTIFS($B$2:$B$386,1,$C$2:$C$386,4,$F$2:$F$386,17,$G$2:$G$386,4)</f>
        <v>0</v>
      </c>
      <c r="AD338" s="6">
        <f t="shared" si="20"/>
        <v>0</v>
      </c>
    </row>
    <row r="339" spans="28:30" ht="43.2" x14ac:dyDescent="0.3">
      <c r="AB339" s="4" t="s">
        <v>39499</v>
      </c>
      <c r="AC339" s="6">
        <f>COUNTIFS($B$2:$B$386,2,$C$2:$C$386,4,$F$2:$F$386,17,$G$2:$G$386,4)</f>
        <v>0</v>
      </c>
      <c r="AD339" s="6">
        <f t="shared" si="20"/>
        <v>0</v>
      </c>
    </row>
    <row r="340" spans="28:30" ht="43.2" x14ac:dyDescent="0.3">
      <c r="AB340" s="4" t="s">
        <v>39500</v>
      </c>
      <c r="AC340" s="6">
        <f>COUNTIFS($B$2:$B$386,3,$C$2:$C$386,4,$F$2:$F$386,17,$G$2:$G$386,4)</f>
        <v>0</v>
      </c>
      <c r="AD340" s="6">
        <f t="shared" si="20"/>
        <v>0</v>
      </c>
    </row>
    <row r="341" spans="28:30" x14ac:dyDescent="0.3">
      <c r="AD341" s="6"/>
    </row>
    <row r="342" spans="28:30" ht="43.2" x14ac:dyDescent="0.3">
      <c r="AB342" s="4" t="s">
        <v>39501</v>
      </c>
      <c r="AC342" s="6">
        <f>COUNTIFS($B$2:$B$386,1,$C$2:$C$386,1,$F$2:$F$386,18,$G$2:$G$386,5)</f>
        <v>0</v>
      </c>
      <c r="AD342" s="6">
        <f>(AC342/90)*100</f>
        <v>0</v>
      </c>
    </row>
    <row r="343" spans="28:30" ht="43.2" x14ac:dyDescent="0.3">
      <c r="AB343" s="4" t="s">
        <v>39502</v>
      </c>
      <c r="AC343" s="6">
        <f>COUNTIFS($B$2:$B$386,2,$C$2:$C$386,1,$F$2:$F$386,18,$G$2:$G$386,5)</f>
        <v>0</v>
      </c>
      <c r="AD343" s="6">
        <f t="shared" ref="AD343:AD406" si="21">(AC343/90)*100</f>
        <v>0</v>
      </c>
    </row>
    <row r="344" spans="28:30" ht="43.2" x14ac:dyDescent="0.3">
      <c r="AB344" s="4" t="s">
        <v>39503</v>
      </c>
      <c r="AC344" s="6">
        <f>COUNTIFS($B$2:$B$386,3,$C$2:$C$386,1,$F$2:$F$386,18,$G$2:$G$386,5)</f>
        <v>0</v>
      </c>
      <c r="AD344" s="6">
        <f t="shared" si="21"/>
        <v>0</v>
      </c>
    </row>
    <row r="345" spans="28:30" ht="43.2" x14ac:dyDescent="0.3">
      <c r="AB345" s="4" t="s">
        <v>39504</v>
      </c>
      <c r="AC345" s="6">
        <f>COUNTIFS($B$2:$B$386,1,$C$2:$C$386,2,$F$2:$F$386,18,$G$2:$G$386,5)</f>
        <v>0</v>
      </c>
      <c r="AD345" s="6">
        <f t="shared" si="21"/>
        <v>0</v>
      </c>
    </row>
    <row r="346" spans="28:30" ht="43.2" x14ac:dyDescent="0.3">
      <c r="AB346" s="4" t="s">
        <v>39505</v>
      </c>
      <c r="AC346" s="6">
        <f>COUNTIFS($B$2:$B$386,2,$C$2:$C$386,2,$F$2:$F$386,18,$G$2:$G$386,5)</f>
        <v>0</v>
      </c>
      <c r="AD346" s="6">
        <f t="shared" si="21"/>
        <v>0</v>
      </c>
    </row>
    <row r="347" spans="28:30" ht="43.2" x14ac:dyDescent="0.3">
      <c r="AB347" s="4" t="s">
        <v>39506</v>
      </c>
      <c r="AC347" s="6">
        <f>COUNTIFS($B$2:$B$386,3,$C$2:$C$386,2,$F$2:$F$386,18,$G$2:$G$386,5)</f>
        <v>0</v>
      </c>
      <c r="AD347" s="6">
        <f t="shared" si="21"/>
        <v>0</v>
      </c>
    </row>
    <row r="348" spans="28:30" ht="43.2" x14ac:dyDescent="0.3">
      <c r="AB348" s="4" t="s">
        <v>39507</v>
      </c>
      <c r="AC348" s="6">
        <f>COUNTIFS($B$2:$B$386,1,$C$2:$C$386,3,$F$2:$F$386,18,$G$2:$G$386,5)</f>
        <v>0</v>
      </c>
      <c r="AD348" s="6">
        <f t="shared" si="21"/>
        <v>0</v>
      </c>
    </row>
    <row r="349" spans="28:30" ht="43.2" x14ac:dyDescent="0.3">
      <c r="AB349" s="4" t="s">
        <v>39508</v>
      </c>
      <c r="AC349" s="6">
        <f>COUNTIFS($B$2:$B$386,2,$C$2:$C$386,3,$F$2:$F$386,18,$G$2:$G$386,5)</f>
        <v>0</v>
      </c>
      <c r="AD349" s="6">
        <f t="shared" si="21"/>
        <v>0</v>
      </c>
    </row>
    <row r="350" spans="28:30" ht="43.2" x14ac:dyDescent="0.3">
      <c r="AB350" s="4" t="s">
        <v>39509</v>
      </c>
      <c r="AC350" s="6">
        <f>COUNTIFS($B$2:$B$386,3,$C$2:$C$386,3,$F$2:$F$386,18,$G$2:$G$386,5)</f>
        <v>0</v>
      </c>
      <c r="AD350" s="6">
        <f t="shared" si="21"/>
        <v>0</v>
      </c>
    </row>
    <row r="351" spans="28:30" ht="43.2" x14ac:dyDescent="0.3">
      <c r="AB351" s="4" t="s">
        <v>39510</v>
      </c>
      <c r="AC351" s="6">
        <f>COUNTIFS($B$2:$B$386,1,$C$2:$C$386,4,$F$2:$F$386,18,$G$2:$G$386,5)</f>
        <v>0</v>
      </c>
      <c r="AD351" s="6">
        <f t="shared" si="21"/>
        <v>0</v>
      </c>
    </row>
    <row r="352" spans="28:30" ht="43.2" x14ac:dyDescent="0.3">
      <c r="AB352" s="4" t="s">
        <v>39511</v>
      </c>
      <c r="AC352" s="6">
        <f>COUNTIFS($B$2:$B$386,2,$C$2:$C$386,4,$F$2:$F$386,18,$G$2:$G$386,5)</f>
        <v>0</v>
      </c>
      <c r="AD352" s="6">
        <f t="shared" si="21"/>
        <v>0</v>
      </c>
    </row>
    <row r="353" spans="28:30" ht="43.2" x14ac:dyDescent="0.3">
      <c r="AB353" s="4" t="s">
        <v>39512</v>
      </c>
      <c r="AC353" s="6">
        <f>COUNTIFS($B$2:$B$386,3,$C$2:$C$386,4,$F$2:$F$386,18,$G$2:$G$386,5)</f>
        <v>0</v>
      </c>
      <c r="AD353" s="6">
        <f t="shared" si="21"/>
        <v>0</v>
      </c>
    </row>
    <row r="354" spans="28:30" ht="43.2" x14ac:dyDescent="0.3">
      <c r="AB354" s="4" t="s">
        <v>39513</v>
      </c>
      <c r="AC354" s="6">
        <f>COUNTIFS($B$2:$B$386,1,$C$2:$C$386,1,$F$2:$F$386,19,$G$2:$G$386,5)</f>
        <v>0</v>
      </c>
      <c r="AD354" s="6">
        <f t="shared" si="21"/>
        <v>0</v>
      </c>
    </row>
    <row r="355" spans="28:30" ht="43.2" x14ac:dyDescent="0.3">
      <c r="AB355" s="4" t="s">
        <v>39514</v>
      </c>
      <c r="AC355" s="6">
        <f>COUNTIFS($B$2:$B$386,2,$C$2:$C$386,1,$F$2:$F$386,19,$G$2:$G$386,5)</f>
        <v>0</v>
      </c>
      <c r="AD355" s="6">
        <f t="shared" si="21"/>
        <v>0</v>
      </c>
    </row>
    <row r="356" spans="28:30" ht="43.2" x14ac:dyDescent="0.3">
      <c r="AB356" s="4" t="s">
        <v>39515</v>
      </c>
      <c r="AC356" s="6">
        <f>COUNTIFS($B$2:$B$386,3,$C$2:$C$386,1,$F$2:$F$386,19,$G$2:$G$386,5)</f>
        <v>0</v>
      </c>
      <c r="AD356" s="6">
        <f t="shared" si="21"/>
        <v>0</v>
      </c>
    </row>
    <row r="357" spans="28:30" ht="43.2" x14ac:dyDescent="0.3">
      <c r="AB357" s="4" t="s">
        <v>39516</v>
      </c>
      <c r="AC357" s="6">
        <f>COUNTIFS($B$2:$B$386,1,$C$2:$C$386,2,$F$2:$F$386,19,$G$2:$G$386,5)</f>
        <v>0</v>
      </c>
      <c r="AD357" s="6">
        <f t="shared" si="21"/>
        <v>0</v>
      </c>
    </row>
    <row r="358" spans="28:30" ht="43.2" x14ac:dyDescent="0.3">
      <c r="AB358" s="4" t="s">
        <v>39517</v>
      </c>
      <c r="AC358" s="6">
        <f>COUNTIFS($B$2:$B$386,2,$C$2:$C$386,2,$F$2:$F$386,19,$G$2:$G$386,5)</f>
        <v>0</v>
      </c>
      <c r="AD358" s="6">
        <f t="shared" si="21"/>
        <v>0</v>
      </c>
    </row>
    <row r="359" spans="28:30" ht="43.2" x14ac:dyDescent="0.3">
      <c r="AB359" s="4" t="s">
        <v>39518</v>
      </c>
      <c r="AC359" s="6">
        <f>COUNTIFS($B$2:$B$386,3,$C$2:$C$386,2,$F$2:$F$386,19,$G$2:$G$386,5)</f>
        <v>0</v>
      </c>
      <c r="AD359" s="6">
        <f t="shared" si="21"/>
        <v>0</v>
      </c>
    </row>
    <row r="360" spans="28:30" ht="43.2" x14ac:dyDescent="0.3">
      <c r="AB360" s="4" t="s">
        <v>39519</v>
      </c>
      <c r="AC360" s="6">
        <f>COUNTIFS($B$2:$B$386,1,$C$2:$C$386,3,$F$2:$F$386,19,$G$2:$G$386,5)</f>
        <v>0</v>
      </c>
      <c r="AD360" s="6">
        <f t="shared" si="21"/>
        <v>0</v>
      </c>
    </row>
    <row r="361" spans="28:30" ht="43.2" x14ac:dyDescent="0.3">
      <c r="AB361" s="4" t="s">
        <v>39520</v>
      </c>
      <c r="AC361" s="6">
        <f>COUNTIFS($B$2:$B$386,2,$C$2:$C$386,3,$F$2:$F$386,19,$G$2:$G$386,5)</f>
        <v>0</v>
      </c>
      <c r="AD361" s="6">
        <f t="shared" si="21"/>
        <v>0</v>
      </c>
    </row>
    <row r="362" spans="28:30" ht="43.2" x14ac:dyDescent="0.3">
      <c r="AB362" s="4" t="s">
        <v>39521</v>
      </c>
      <c r="AC362" s="6">
        <f>COUNTIFS($B$2:$B$386,3,$C$2:$C$386,3,$F$2:$F$386,19,$G$2:$G$386,5)</f>
        <v>0</v>
      </c>
      <c r="AD362" s="6">
        <f t="shared" si="21"/>
        <v>0</v>
      </c>
    </row>
    <row r="363" spans="28:30" ht="43.2" x14ac:dyDescent="0.3">
      <c r="AB363" s="4" t="s">
        <v>39522</v>
      </c>
      <c r="AC363" s="6">
        <f>COUNTIFS($B$2:$B$386,1,$C$2:$C$386,4,$F$2:$F$386,19,$G$2:$G$386,5)</f>
        <v>0</v>
      </c>
      <c r="AD363" s="6">
        <f t="shared" si="21"/>
        <v>0</v>
      </c>
    </row>
    <row r="364" spans="28:30" ht="43.2" x14ac:dyDescent="0.3">
      <c r="AB364" s="4" t="s">
        <v>39523</v>
      </c>
      <c r="AC364" s="6">
        <f>COUNTIFS($B$2:$B$386,2,$C$2:$C$386,4,$F$2:$F$386,19,$G$2:$G$386,5)</f>
        <v>0</v>
      </c>
      <c r="AD364" s="6">
        <f t="shared" si="21"/>
        <v>0</v>
      </c>
    </row>
    <row r="365" spans="28:30" ht="43.2" x14ac:dyDescent="0.3">
      <c r="AB365" s="4" t="s">
        <v>39524</v>
      </c>
      <c r="AC365" s="6">
        <f>COUNTIFS($B$2:$B$386,3,$C$2:$C$386,4,$F$2:$F$386,19,$G$2:$G$386,5)</f>
        <v>0</v>
      </c>
      <c r="AD365" s="6">
        <f t="shared" si="21"/>
        <v>0</v>
      </c>
    </row>
    <row r="366" spans="28:30" ht="28.8" x14ac:dyDescent="0.3">
      <c r="AB366" s="4" t="s">
        <v>39525</v>
      </c>
      <c r="AC366" s="6">
        <f>COUNTIFS($B$2:$B$386,1,$C$2:$C$386,1,$F$2:$F$386,1,$G$2:$G$386,5)</f>
        <v>0</v>
      </c>
      <c r="AD366" s="6">
        <f t="shared" si="21"/>
        <v>0</v>
      </c>
    </row>
    <row r="367" spans="28:30" ht="28.8" x14ac:dyDescent="0.3">
      <c r="AB367" s="4" t="s">
        <v>39526</v>
      </c>
      <c r="AC367" s="6">
        <f>COUNTIFS($B$2:$B$386,2,$C$2:$C$386,1,$F$2:$F$386,1,$G$2:$G$386,5)</f>
        <v>0</v>
      </c>
      <c r="AD367" s="6">
        <f t="shared" si="21"/>
        <v>0</v>
      </c>
    </row>
    <row r="368" spans="28:30" ht="28.8" x14ac:dyDescent="0.3">
      <c r="AB368" s="4" t="s">
        <v>39527</v>
      </c>
      <c r="AC368" s="6">
        <f>COUNTIFS($B$2:$B$386,3,$C$2:$C$386,1,$F$2:$F$386,1,$G$2:$G$386,5)</f>
        <v>0</v>
      </c>
      <c r="AD368" s="6">
        <f t="shared" si="21"/>
        <v>0</v>
      </c>
    </row>
    <row r="369" spans="28:30" ht="28.8" x14ac:dyDescent="0.3">
      <c r="AB369" s="4" t="s">
        <v>39528</v>
      </c>
      <c r="AC369" s="6">
        <f>COUNTIFS($B$2:$B$386,1,$C$2:$C$386,2,$F$2:$F$386,1,$G$2:$G$386,5)</f>
        <v>0</v>
      </c>
      <c r="AD369" s="6">
        <f t="shared" si="21"/>
        <v>0</v>
      </c>
    </row>
    <row r="370" spans="28:30" ht="28.8" x14ac:dyDescent="0.3">
      <c r="AB370" s="4" t="s">
        <v>39529</v>
      </c>
      <c r="AC370" s="6">
        <f>COUNTIFS($B$2:$B$386,2,$C$2:$C$386,2,$F$2:$F$386,1,$G$2:$G$386,5)</f>
        <v>0</v>
      </c>
      <c r="AD370" s="6">
        <f t="shared" si="21"/>
        <v>0</v>
      </c>
    </row>
    <row r="371" spans="28:30" ht="28.8" x14ac:dyDescent="0.3">
      <c r="AB371" s="4" t="s">
        <v>39530</v>
      </c>
      <c r="AC371" s="6">
        <f>COUNTIFS($B$2:$B$386,3,$C$2:$C$386,2,$F$2:$F$386,1,$G$2:$G$386,5)</f>
        <v>0</v>
      </c>
      <c r="AD371" s="6">
        <f t="shared" si="21"/>
        <v>0</v>
      </c>
    </row>
    <row r="372" spans="28:30" ht="43.2" x14ac:dyDescent="0.3">
      <c r="AB372" s="4" t="s">
        <v>39531</v>
      </c>
      <c r="AC372" s="6">
        <f>COUNTIFS($B$2:$B$386,1,$C$2:$C$386,3,$F$2:$F$386,1,$G$2:$G$386,5)</f>
        <v>12</v>
      </c>
      <c r="AD372" s="6">
        <f t="shared" si="21"/>
        <v>13.333333333333334</v>
      </c>
    </row>
    <row r="373" spans="28:30" ht="43.2" x14ac:dyDescent="0.3">
      <c r="AB373" s="4" t="s">
        <v>39532</v>
      </c>
      <c r="AC373" s="6">
        <f>COUNTIFS($B$2:$B$386,2,$C$2:$C$386,3,$F$2:$F$386,1,$G$2:$G$386,5)</f>
        <v>0</v>
      </c>
      <c r="AD373" s="6">
        <f t="shared" si="21"/>
        <v>0</v>
      </c>
    </row>
    <row r="374" spans="28:30" ht="43.2" x14ac:dyDescent="0.3">
      <c r="AB374" s="4" t="s">
        <v>39533</v>
      </c>
      <c r="AC374" s="6">
        <f>COUNTIFS($B$2:$B$386,3,$C$2:$C$386,3,$F$2:$F$386,1,$G$2:$G$386,5)</f>
        <v>0</v>
      </c>
      <c r="AD374" s="6">
        <f t="shared" si="21"/>
        <v>0</v>
      </c>
    </row>
    <row r="375" spans="28:30" ht="43.2" x14ac:dyDescent="0.3">
      <c r="AB375" s="4" t="s">
        <v>39534</v>
      </c>
      <c r="AC375" s="6">
        <f>COUNTIFS($B$2:$B$386,1,$C$2:$C$386,4,$F$2:$F$386,1,$G$2:$G$386,5)</f>
        <v>0</v>
      </c>
      <c r="AD375" s="6">
        <f t="shared" si="21"/>
        <v>0</v>
      </c>
    </row>
    <row r="376" spans="28:30" ht="43.2" x14ac:dyDescent="0.3">
      <c r="AB376" s="4" t="s">
        <v>39535</v>
      </c>
      <c r="AC376" s="6">
        <f>COUNTIFS($B$2:$B$386,2,$C$2:$C$386,4,$F$2:$F$386,1,$G$2:$G$386,5)</f>
        <v>0</v>
      </c>
      <c r="AD376" s="6">
        <f t="shared" si="21"/>
        <v>0</v>
      </c>
    </row>
    <row r="377" spans="28:30" ht="43.2" x14ac:dyDescent="0.3">
      <c r="AB377" s="4" t="s">
        <v>39536</v>
      </c>
      <c r="AC377" s="6">
        <f>COUNTIFS($B$2:$B$386,3,$C$2:$C$386,4,$F$2:$F$386,1,$G$2:$G$386,5)</f>
        <v>0</v>
      </c>
      <c r="AD377" s="6">
        <f t="shared" si="21"/>
        <v>0</v>
      </c>
    </row>
    <row r="378" spans="28:30" ht="43.2" x14ac:dyDescent="0.3">
      <c r="AB378" s="4" t="s">
        <v>39537</v>
      </c>
      <c r="AC378" s="6">
        <f>COUNTIFS($B$2:$B$386,1,$C$2:$C$386,1,$F$2:$F$386,2,$G$2:$G$386,5)</f>
        <v>0</v>
      </c>
      <c r="AD378" s="6">
        <f t="shared" si="21"/>
        <v>0</v>
      </c>
    </row>
    <row r="379" spans="28:30" ht="43.2" x14ac:dyDescent="0.3">
      <c r="AB379" s="4" t="s">
        <v>39538</v>
      </c>
      <c r="AC379" s="6">
        <f>COUNTIFS($B$2:$B$386,2,$C$2:$C$386,1,$F$2:$F$386,2,$G$2:$G$386,5)</f>
        <v>0</v>
      </c>
      <c r="AD379" s="6">
        <f t="shared" si="21"/>
        <v>0</v>
      </c>
    </row>
    <row r="380" spans="28:30" ht="43.2" x14ac:dyDescent="0.3">
      <c r="AB380" s="4" t="s">
        <v>39539</v>
      </c>
      <c r="AC380" s="6">
        <f>COUNTIFS($B$2:$B$386,3,$C$2:$C$386,1,$F$2:$F$386,2,$G$2:$G$386,5)</f>
        <v>0</v>
      </c>
      <c r="AD380" s="6">
        <f t="shared" si="21"/>
        <v>0</v>
      </c>
    </row>
    <row r="381" spans="28:30" ht="43.2" x14ac:dyDescent="0.3">
      <c r="AB381" s="4" t="s">
        <v>39540</v>
      </c>
      <c r="AC381" s="6">
        <f>COUNTIFS($B$2:$B$386,1,$C$2:$C$386,2,$F$2:$F$386,2,$G$2:$G$386,5)</f>
        <v>0</v>
      </c>
      <c r="AD381" s="6">
        <f t="shared" si="21"/>
        <v>0</v>
      </c>
    </row>
    <row r="382" spans="28:30" ht="43.2" x14ac:dyDescent="0.3">
      <c r="AB382" s="4" t="s">
        <v>39541</v>
      </c>
      <c r="AC382" s="6">
        <f>COUNTIFS($B$2:$B$386,2,$C$2:$C$386,2,$F$2:$F$386,2,$G$2:$G$386,5)</f>
        <v>0</v>
      </c>
      <c r="AD382" s="6">
        <f t="shared" si="21"/>
        <v>0</v>
      </c>
    </row>
    <row r="383" spans="28:30" ht="43.2" x14ac:dyDescent="0.3">
      <c r="AB383" s="4" t="s">
        <v>39542</v>
      </c>
      <c r="AC383" s="6">
        <f>COUNTIFS($B$2:$B$386,3,$C$2:$C$386,2,$F$2:$F$386,2,$G$2:$G$386,5)</f>
        <v>0</v>
      </c>
      <c r="AD383" s="6">
        <f t="shared" si="21"/>
        <v>0</v>
      </c>
    </row>
    <row r="384" spans="28:30" ht="43.2" x14ac:dyDescent="0.3">
      <c r="AB384" s="4" t="s">
        <v>39543</v>
      </c>
      <c r="AC384" s="6">
        <f>COUNTIFS($B$2:$B$386,1,$C$2:$C$386,3,$F$2:$F$386,2,$G$2:$G$386,5)</f>
        <v>2</v>
      </c>
      <c r="AD384" s="6">
        <f t="shared" si="21"/>
        <v>2.2222222222222223</v>
      </c>
    </row>
    <row r="385" spans="28:30" ht="43.2" x14ac:dyDescent="0.3">
      <c r="AB385" s="4" t="s">
        <v>39544</v>
      </c>
      <c r="AC385" s="6">
        <f>COUNTIFS($B$2:$B$386,2,$C$2:$C$386,3,$F$2:$F$386,2,$G$2:$G$386,5)</f>
        <v>0</v>
      </c>
      <c r="AD385" s="6">
        <f t="shared" si="21"/>
        <v>0</v>
      </c>
    </row>
    <row r="386" spans="28:30" ht="43.2" x14ac:dyDescent="0.3">
      <c r="AB386" s="4" t="s">
        <v>39545</v>
      </c>
      <c r="AC386" s="6">
        <f>COUNTIFS($B$2:$B$386,3,$C$2:$C$386,3,$F$2:$F$386,2,$G$2:$G$386,5)</f>
        <v>0</v>
      </c>
      <c r="AD386" s="6">
        <f t="shared" si="21"/>
        <v>0</v>
      </c>
    </row>
    <row r="387" spans="28:30" ht="43.2" x14ac:dyDescent="0.3">
      <c r="AB387" s="4" t="s">
        <v>39546</v>
      </c>
      <c r="AC387" s="6">
        <f>COUNTIFS($B$2:$B$386,1,$C$2:$C$386,4,$F$2:$F$386,2,$G$2:$G$386,5)</f>
        <v>0</v>
      </c>
      <c r="AD387" s="6">
        <f t="shared" si="21"/>
        <v>0</v>
      </c>
    </row>
    <row r="388" spans="28:30" ht="43.2" x14ac:dyDescent="0.3">
      <c r="AB388" s="4" t="s">
        <v>39547</v>
      </c>
      <c r="AC388" s="6">
        <f>COUNTIFS($B$2:$B$386,2,$C$2:$C$386,4,$F$2:$F$386,2,$G$2:$G$386,5)</f>
        <v>0</v>
      </c>
      <c r="AD388" s="6">
        <f t="shared" si="21"/>
        <v>0</v>
      </c>
    </row>
    <row r="389" spans="28:30" ht="43.2" x14ac:dyDescent="0.3">
      <c r="AB389" s="4" t="s">
        <v>39548</v>
      </c>
      <c r="AC389" s="6">
        <f>COUNTIFS($B$2:$B$386,3,$C$2:$C$386,4,$F$2:$F$386,2,$G$2:$G$386,5)</f>
        <v>0</v>
      </c>
      <c r="AD389" s="6">
        <f t="shared" si="21"/>
        <v>0</v>
      </c>
    </row>
    <row r="390" spans="28:30" ht="43.2" x14ac:dyDescent="0.3">
      <c r="AB390" s="4" t="s">
        <v>39549</v>
      </c>
      <c r="AC390" s="6">
        <f>COUNTIFS($B$2:$B$386,1,$C$2:$C$386,1,$F$2:$F$386,3,$G$2:$G$386,5)</f>
        <v>0</v>
      </c>
      <c r="AD390" s="6">
        <f t="shared" si="21"/>
        <v>0</v>
      </c>
    </row>
    <row r="391" spans="28:30" ht="43.2" x14ac:dyDescent="0.3">
      <c r="AB391" s="4" t="s">
        <v>39550</v>
      </c>
      <c r="AC391" s="6">
        <f>COUNTIFS($B$2:$B$386,2,$C$2:$C$386,1,$F$2:$F$386,3,$G$2:$G$386,5)</f>
        <v>0</v>
      </c>
      <c r="AD391" s="6">
        <f t="shared" si="21"/>
        <v>0</v>
      </c>
    </row>
    <row r="392" spans="28:30" ht="43.2" x14ac:dyDescent="0.3">
      <c r="AB392" s="4" t="s">
        <v>39551</v>
      </c>
      <c r="AC392" s="6">
        <f>COUNTIFS($B$2:$B$386,3,$C$2:$C$386,1,$F$2:$F$386,3,$G$2:$G$386,5)</f>
        <v>0</v>
      </c>
      <c r="AD392" s="6">
        <f t="shared" si="21"/>
        <v>0</v>
      </c>
    </row>
    <row r="393" spans="28:30" ht="43.2" x14ac:dyDescent="0.3">
      <c r="AB393" s="4" t="s">
        <v>39552</v>
      </c>
      <c r="AC393" s="6">
        <f>COUNTIFS($B$2:$B$386,1,$C$2:$C$386,2,$F$2:$F$386,3,$G$2:$G$386,5)</f>
        <v>0</v>
      </c>
      <c r="AD393" s="6">
        <f t="shared" si="21"/>
        <v>0</v>
      </c>
    </row>
    <row r="394" spans="28:30" ht="43.2" x14ac:dyDescent="0.3">
      <c r="AB394" s="4" t="s">
        <v>39553</v>
      </c>
      <c r="AC394" s="6">
        <f>COUNTIFS($B$2:$B$386,2,$C$2:$C$386,2,$F$2:$F$386,3,$G$2:$G$386,5)</f>
        <v>0</v>
      </c>
      <c r="AD394" s="6">
        <f t="shared" si="21"/>
        <v>0</v>
      </c>
    </row>
    <row r="395" spans="28:30" ht="43.2" x14ac:dyDescent="0.3">
      <c r="AB395" s="4" t="s">
        <v>39554</v>
      </c>
      <c r="AC395" s="6">
        <f>COUNTIFS($B$2:$B$386,3,$C$2:$C$386,2,$F$2:$F$386,3,$G$2:$G$386,5)</f>
        <v>0</v>
      </c>
      <c r="AD395" s="6">
        <f t="shared" si="21"/>
        <v>0</v>
      </c>
    </row>
    <row r="396" spans="28:30" ht="43.2" x14ac:dyDescent="0.3">
      <c r="AB396" s="4" t="s">
        <v>39555</v>
      </c>
      <c r="AC396" s="6">
        <f>COUNTIFS($B$2:$B$386,1,$C$2:$C$386,3,$F$2:$F$386,3,$G$2:$G$386,5)</f>
        <v>2</v>
      </c>
      <c r="AD396" s="6">
        <f t="shared" si="21"/>
        <v>2.2222222222222223</v>
      </c>
    </row>
    <row r="397" spans="28:30" ht="43.2" x14ac:dyDescent="0.3">
      <c r="AB397" s="4" t="s">
        <v>39556</v>
      </c>
      <c r="AC397" s="6">
        <f>COUNTIFS($B$2:$B$386,2,$C$2:$C$386,3,$F$2:$F$386,3,$G$2:$G$386,5)</f>
        <v>0</v>
      </c>
      <c r="AD397" s="6">
        <f t="shared" si="21"/>
        <v>0</v>
      </c>
    </row>
    <row r="398" spans="28:30" ht="43.2" x14ac:dyDescent="0.3">
      <c r="AB398" s="4" t="s">
        <v>39557</v>
      </c>
      <c r="AC398" s="6">
        <f>COUNTIFS($B$2:$B$386,3,$C$2:$C$386,3,$F$2:$F$386,3,$G$2:$G$386,5)</f>
        <v>0</v>
      </c>
      <c r="AD398" s="6">
        <f t="shared" si="21"/>
        <v>0</v>
      </c>
    </row>
    <row r="399" spans="28:30" ht="43.2" x14ac:dyDescent="0.3">
      <c r="AB399" s="4" t="s">
        <v>39558</v>
      </c>
      <c r="AC399" s="6">
        <f>COUNTIFS($B$2:$B$386,1,$C$2:$C$386,4,$F$2:$F$386,3,$G$2:$G$386,5)</f>
        <v>0</v>
      </c>
      <c r="AD399" s="6">
        <f t="shared" si="21"/>
        <v>0</v>
      </c>
    </row>
    <row r="400" spans="28:30" ht="43.2" x14ac:dyDescent="0.3">
      <c r="AB400" s="4" t="s">
        <v>39559</v>
      </c>
      <c r="AC400" s="6">
        <f>COUNTIFS($B$2:$B$386,2,$C$2:$C$386,4,$F$2:$F$386,3,$G$2:$G$386,5)</f>
        <v>0</v>
      </c>
      <c r="AD400" s="6">
        <f t="shared" si="21"/>
        <v>0</v>
      </c>
    </row>
    <row r="401" spans="28:30" ht="43.2" x14ac:dyDescent="0.3">
      <c r="AB401" s="4" t="s">
        <v>39560</v>
      </c>
      <c r="AC401" s="6">
        <f>COUNTIFS($B$2:$B$386,3,$C$2:$C$386,4,$F$2:$F$386,3,$G$2:$G$386,5)</f>
        <v>0</v>
      </c>
      <c r="AD401" s="6">
        <f t="shared" si="21"/>
        <v>0</v>
      </c>
    </row>
    <row r="402" spans="28:30" ht="43.2" x14ac:dyDescent="0.3">
      <c r="AB402" s="4" t="s">
        <v>39561</v>
      </c>
      <c r="AC402" s="6">
        <f>COUNTIFS($B$2:$B$386,1,$C$2:$C$386,1,$F$2:$F$386,16,$G$2:$G$386,5)</f>
        <v>0</v>
      </c>
      <c r="AD402" s="6">
        <f t="shared" si="21"/>
        <v>0</v>
      </c>
    </row>
    <row r="403" spans="28:30" ht="43.2" x14ac:dyDescent="0.3">
      <c r="AB403" s="4" t="s">
        <v>39562</v>
      </c>
      <c r="AC403" s="6">
        <f>COUNTIFS($B$2:$B$386,2,$C$2:$C$386,1,$F$2:$F$386,16,$G$2:$G$386,5)</f>
        <v>0</v>
      </c>
      <c r="AD403" s="6">
        <f t="shared" si="21"/>
        <v>0</v>
      </c>
    </row>
    <row r="404" spans="28:30" ht="43.2" x14ac:dyDescent="0.3">
      <c r="AB404" s="4" t="s">
        <v>39563</v>
      </c>
      <c r="AC404" s="6">
        <f>COUNTIFS($B$2:$B$386,3,$C$2:$C$386,1,$F$2:$F$386,16,$G$2:$G$386,5)</f>
        <v>0</v>
      </c>
      <c r="AD404" s="6">
        <f t="shared" si="21"/>
        <v>0</v>
      </c>
    </row>
    <row r="405" spans="28:30" ht="43.2" x14ac:dyDescent="0.3">
      <c r="AB405" s="4" t="s">
        <v>39564</v>
      </c>
      <c r="AC405" s="6">
        <f>COUNTIFS($B$2:$B$386,1,$C$2:$C$386,2,$F$2:$F$386,16,$G$2:$G$386,5)</f>
        <v>0</v>
      </c>
      <c r="AD405" s="6">
        <f t="shared" si="21"/>
        <v>0</v>
      </c>
    </row>
    <row r="406" spans="28:30" ht="43.2" x14ac:dyDescent="0.3">
      <c r="AB406" s="4" t="s">
        <v>39565</v>
      </c>
      <c r="AC406" s="6">
        <f>COUNTIFS($B$2:$B$386,2,$C$2:$C$386,2,$F$2:$F$386,16,$G$2:$G$386,5)</f>
        <v>0</v>
      </c>
      <c r="AD406" s="6">
        <f t="shared" si="21"/>
        <v>0</v>
      </c>
    </row>
    <row r="407" spans="28:30" ht="43.2" x14ac:dyDescent="0.3">
      <c r="AB407" s="4" t="s">
        <v>39566</v>
      </c>
      <c r="AC407" s="6">
        <f>COUNTIFS($B$2:$B$386,3,$C$2:$C$386,2,$F$2:$F$386,16,$G$2:$G$386,5)</f>
        <v>0</v>
      </c>
      <c r="AD407" s="6">
        <f t="shared" ref="AD407:AD425" si="22">(AC407/90)*100</f>
        <v>0</v>
      </c>
    </row>
    <row r="408" spans="28:30" ht="43.2" x14ac:dyDescent="0.3">
      <c r="AB408" s="4" t="s">
        <v>39567</v>
      </c>
      <c r="AC408" s="6">
        <f>COUNTIFS($B$2:$B$386,1,$C$2:$C$386,3,$F$2:$F$386,16,$G$2:$G$386,5)</f>
        <v>0</v>
      </c>
      <c r="AD408" s="6">
        <f t="shared" si="22"/>
        <v>0</v>
      </c>
    </row>
    <row r="409" spans="28:30" ht="43.2" x14ac:dyDescent="0.3">
      <c r="AB409" s="4" t="s">
        <v>39568</v>
      </c>
      <c r="AC409" s="6">
        <f>COUNTIFS($B$2:$B$386,2,$C$2:$C$386,3,$F$2:$F$386,16,$G$2:$G$386,5)</f>
        <v>0</v>
      </c>
      <c r="AD409" s="6">
        <f t="shared" si="22"/>
        <v>0</v>
      </c>
    </row>
    <row r="410" spans="28:30" ht="43.2" x14ac:dyDescent="0.3">
      <c r="AB410" s="4" t="s">
        <v>39569</v>
      </c>
      <c r="AC410" s="6">
        <f>COUNTIFS($B$2:$B$386,3,$C$2:$C$386,3,$F$2:$F$386,16,$G$2:$G$386,5)</f>
        <v>0</v>
      </c>
      <c r="AD410" s="6">
        <f t="shared" si="22"/>
        <v>0</v>
      </c>
    </row>
    <row r="411" spans="28:30" ht="43.2" x14ac:dyDescent="0.3">
      <c r="AB411" s="4" t="s">
        <v>39570</v>
      </c>
      <c r="AC411" s="6">
        <f>COUNTIFS($B$2:$B$386,1,$C$2:$C$386,4,$F$2:$F$386,16,$G$2:$G$386,5)</f>
        <v>0</v>
      </c>
      <c r="AD411" s="6">
        <f t="shared" si="22"/>
        <v>0</v>
      </c>
    </row>
    <row r="412" spans="28:30" ht="43.2" x14ac:dyDescent="0.3">
      <c r="AB412" s="4" t="s">
        <v>39571</v>
      </c>
      <c r="AC412" s="6">
        <f>COUNTIFS($B$2:$B$386,2,$C$2:$C$386,4,$F$2:$F$386,16,$G$2:$G$386,5)</f>
        <v>0</v>
      </c>
      <c r="AD412" s="6">
        <f t="shared" si="22"/>
        <v>0</v>
      </c>
    </row>
    <row r="413" spans="28:30" ht="43.2" x14ac:dyDescent="0.3">
      <c r="AB413" s="4" t="s">
        <v>39572</v>
      </c>
      <c r="AC413" s="6">
        <f>COUNTIFS($B$2:$B$386,3,$C$2:$C$386,4,$F$2:$F$386,16,$G$2:$G$386,5)</f>
        <v>0</v>
      </c>
      <c r="AD413" s="6">
        <f t="shared" si="22"/>
        <v>0</v>
      </c>
    </row>
    <row r="414" spans="28:30" ht="43.2" x14ac:dyDescent="0.3">
      <c r="AB414" s="4" t="s">
        <v>39573</v>
      </c>
      <c r="AC414" s="6">
        <f>COUNTIFS($B$2:$B$386,1,$C$2:$C$386,1,$F$2:$F$386,17,$G$2:$G$386,5)</f>
        <v>0</v>
      </c>
      <c r="AD414" s="6">
        <f t="shared" si="22"/>
        <v>0</v>
      </c>
    </row>
    <row r="415" spans="28:30" ht="43.2" x14ac:dyDescent="0.3">
      <c r="AB415" s="4" t="s">
        <v>39574</v>
      </c>
      <c r="AC415" s="6">
        <f>COUNTIFS($B$2:$B$386,2,$C$2:$C$386,1,$F$2:$F$386,17,$G$2:$G$386,5)</f>
        <v>0</v>
      </c>
      <c r="AD415" s="6">
        <f t="shared" si="22"/>
        <v>0</v>
      </c>
    </row>
    <row r="416" spans="28:30" ht="43.2" x14ac:dyDescent="0.3">
      <c r="AB416" s="4" t="s">
        <v>39575</v>
      </c>
      <c r="AC416" s="6">
        <f>COUNTIFS($B$2:$B$386,3,$C$2:$C$386,1,$F$2:$F$386,17,$G$2:$G$386,5)</f>
        <v>0</v>
      </c>
      <c r="AD416" s="6">
        <f t="shared" si="22"/>
        <v>0</v>
      </c>
    </row>
    <row r="417" spans="28:30" ht="43.2" x14ac:dyDescent="0.3">
      <c r="AB417" s="4" t="s">
        <v>39576</v>
      </c>
      <c r="AC417" s="6">
        <f>COUNTIFS($B$2:$B$386,1,$C$2:$C$386,2,$F$2:$F$386,17,$G$2:$G$386,5)</f>
        <v>0</v>
      </c>
      <c r="AD417" s="6">
        <f t="shared" si="22"/>
        <v>0</v>
      </c>
    </row>
    <row r="418" spans="28:30" ht="43.2" x14ac:dyDescent="0.3">
      <c r="AB418" s="4" t="s">
        <v>39577</v>
      </c>
      <c r="AC418" s="6">
        <f>COUNTIFS($B$2:$B$386,2,$C$2:$C$386,2,$F$2:$F$386,17,$G$2:$G$386,5)</f>
        <v>0</v>
      </c>
      <c r="AD418" s="6">
        <f t="shared" si="22"/>
        <v>0</v>
      </c>
    </row>
    <row r="419" spans="28:30" ht="43.2" x14ac:dyDescent="0.3">
      <c r="AB419" s="4" t="s">
        <v>39578</v>
      </c>
      <c r="AC419" s="6">
        <f>COUNTIFS($B$2:$B$386,3,$C$2:$C$386,2,$F$2:$F$386,17,$G$2:$G$386,5)</f>
        <v>0</v>
      </c>
      <c r="AD419" s="6">
        <f t="shared" si="22"/>
        <v>0</v>
      </c>
    </row>
    <row r="420" spans="28:30" ht="43.2" x14ac:dyDescent="0.3">
      <c r="AB420" s="4" t="s">
        <v>39579</v>
      </c>
      <c r="AC420" s="6">
        <f>COUNTIFS($B$2:$B$386,1,$C$2:$C$386,3,$F$2:$F$386,17,$G$2:$G$386,5)</f>
        <v>0</v>
      </c>
      <c r="AD420" s="6">
        <f t="shared" si="22"/>
        <v>0</v>
      </c>
    </row>
    <row r="421" spans="28:30" ht="43.2" x14ac:dyDescent="0.3">
      <c r="AB421" s="4" t="s">
        <v>39580</v>
      </c>
      <c r="AC421" s="6">
        <f>COUNTIFS($B$2:$B$386,2,$C$2:$C$386,3,$F$2:$F$386,17,$G$2:$G$386,5)</f>
        <v>0</v>
      </c>
      <c r="AD421" s="6">
        <f t="shared" si="22"/>
        <v>0</v>
      </c>
    </row>
    <row r="422" spans="28:30" ht="43.2" x14ac:dyDescent="0.3">
      <c r="AB422" s="4" t="s">
        <v>39581</v>
      </c>
      <c r="AC422" s="6">
        <f>COUNTIFS($B$2:$B$386,3,$C$2:$C$386,3,$F$2:$F$386,17,$G$2:$G$386,5)</f>
        <v>0</v>
      </c>
      <c r="AD422" s="6">
        <f t="shared" si="22"/>
        <v>0</v>
      </c>
    </row>
    <row r="423" spans="28:30" ht="43.2" x14ac:dyDescent="0.3">
      <c r="AB423" s="4" t="s">
        <v>39582</v>
      </c>
      <c r="AC423" s="6">
        <f>COUNTIFS($B$2:$B$386,1,$C$2:$C$386,4,$F$2:$F$386,17,$G$2:$G$386,5)</f>
        <v>0</v>
      </c>
      <c r="AD423" s="6">
        <f t="shared" si="22"/>
        <v>0</v>
      </c>
    </row>
    <row r="424" spans="28:30" ht="43.2" x14ac:dyDescent="0.3">
      <c r="AB424" s="4" t="s">
        <v>39583</v>
      </c>
      <c r="AC424" s="6">
        <f>COUNTIFS($B$2:$B$386,2,$C$2:$C$386,4,$F$2:$F$386,17,$G$2:$G$386,5)</f>
        <v>0</v>
      </c>
      <c r="AD424" s="6">
        <f t="shared" si="22"/>
        <v>0</v>
      </c>
    </row>
    <row r="425" spans="28:30" ht="43.2" x14ac:dyDescent="0.3">
      <c r="AB425" s="4" t="s">
        <v>39584</v>
      </c>
      <c r="AC425" s="6">
        <f>COUNTIFS($B$2:$B$386,3,$C$2:$C$386,4,$F$2:$F$386,17,$G$2:$G$386,5)</f>
        <v>0</v>
      </c>
      <c r="AD425" s="6">
        <f t="shared" si="22"/>
        <v>0</v>
      </c>
    </row>
    <row r="427" spans="28:30" x14ac:dyDescent="0.3">
      <c r="AD427" s="6"/>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B6199-CA05-4615-9565-B3620C8F2281}">
  <dimension ref="A1:P43"/>
  <sheetViews>
    <sheetView topLeftCell="F1" zoomScaleNormal="100" workbookViewId="0">
      <pane ySplit="1" topLeftCell="A6" activePane="bottomLeft" state="frozen"/>
      <selection pane="bottomLeft" activeCell="B2" sqref="B2"/>
    </sheetView>
  </sheetViews>
  <sheetFormatPr baseColWidth="10" defaultRowHeight="14.4" x14ac:dyDescent="0.3"/>
  <cols>
    <col min="1" max="1" width="53.88671875" customWidth="1"/>
    <col min="3" max="3" width="13.5546875" bestFit="1" customWidth="1"/>
    <col min="4" max="4" width="26.6640625" customWidth="1"/>
    <col min="5" max="5" width="24" bestFit="1" customWidth="1"/>
    <col min="7" max="7" width="13.5546875" bestFit="1" customWidth="1"/>
    <col min="8" max="8" width="24" bestFit="1" customWidth="1"/>
    <col min="9" max="9" width="31" customWidth="1"/>
    <col min="11" max="11" width="13.5546875" bestFit="1" customWidth="1"/>
    <col min="12" max="12" width="31" customWidth="1"/>
    <col min="13" max="13" width="26.77734375" customWidth="1"/>
    <col min="15" max="15" width="13.5546875" bestFit="1" customWidth="1"/>
  </cols>
  <sheetData>
    <row r="1" spans="1:16" x14ac:dyDescent="0.3">
      <c r="A1" s="2" t="s">
        <v>3096</v>
      </c>
      <c r="B1" s="2" t="s">
        <v>3073</v>
      </c>
      <c r="C1" s="2" t="s">
        <v>3089</v>
      </c>
      <c r="D1" s="22" t="s">
        <v>6</v>
      </c>
      <c r="E1" s="22" t="s">
        <v>39119</v>
      </c>
      <c r="F1" s="22" t="s">
        <v>3073</v>
      </c>
      <c r="G1" s="22" t="s">
        <v>3089</v>
      </c>
      <c r="H1" s="23" t="s">
        <v>39119</v>
      </c>
      <c r="I1" s="23" t="s">
        <v>3091</v>
      </c>
      <c r="J1" s="23" t="s">
        <v>3073</v>
      </c>
      <c r="K1" s="23" t="s">
        <v>3089</v>
      </c>
      <c r="L1" s="22" t="s">
        <v>3091</v>
      </c>
      <c r="M1" s="22" t="s">
        <v>39165</v>
      </c>
      <c r="N1" s="22" t="s">
        <v>3073</v>
      </c>
      <c r="O1" s="22" t="s">
        <v>3089</v>
      </c>
    </row>
    <row r="2" spans="1:16" ht="43.2" x14ac:dyDescent="0.3">
      <c r="A2" s="30" t="s">
        <v>39166</v>
      </c>
      <c r="B2">
        <v>4</v>
      </c>
      <c r="C2" s="32">
        <f>(B2/90)*100</f>
        <v>4.4444444444444446</v>
      </c>
      <c r="D2" t="s">
        <v>13</v>
      </c>
      <c r="E2" s="4" t="s">
        <v>39605</v>
      </c>
      <c r="F2">
        <f>SUM(B2,B3)</f>
        <v>7</v>
      </c>
      <c r="G2" s="34">
        <f>(F2/90)*100</f>
        <v>7.7777777777777777</v>
      </c>
      <c r="H2" s="4" t="s">
        <v>39605</v>
      </c>
      <c r="I2" t="s">
        <v>14</v>
      </c>
      <c r="J2">
        <v>0</v>
      </c>
      <c r="K2" s="34">
        <f>(J2/90)*100</f>
        <v>0</v>
      </c>
      <c r="L2" t="s">
        <v>14</v>
      </c>
      <c r="M2" s="4" t="s">
        <v>39120</v>
      </c>
      <c r="N2">
        <v>0</v>
      </c>
      <c r="O2" s="34">
        <f>(N2/90)*100</f>
        <v>0</v>
      </c>
      <c r="P2" s="34">
        <f>SUM(O2,O8,O14,O20,O26,O32,O38)</f>
        <v>4.4444444444444446</v>
      </c>
    </row>
    <row r="3" spans="1:16" ht="57.6" x14ac:dyDescent="0.3">
      <c r="A3" s="4" t="s">
        <v>39249</v>
      </c>
      <c r="B3">
        <v>3</v>
      </c>
      <c r="C3" s="32">
        <f>(B3/90)*100</f>
        <v>3.3333333333333335</v>
      </c>
      <c r="E3" s="4" t="s">
        <v>39606</v>
      </c>
      <c r="F3">
        <f>SUM(B9,B10)</f>
        <v>2</v>
      </c>
      <c r="G3" s="34">
        <f t="shared" ref="G3:G15" si="0">(F3/90)*100</f>
        <v>2.2222222222222223</v>
      </c>
      <c r="I3" t="s">
        <v>21</v>
      </c>
      <c r="J3">
        <v>0</v>
      </c>
      <c r="K3" s="34">
        <f t="shared" ref="K3:K32" si="1">(J3/90)*100</f>
        <v>0</v>
      </c>
      <c r="M3" s="4" t="s">
        <v>39121</v>
      </c>
      <c r="N3">
        <v>0</v>
      </c>
      <c r="O3" s="34">
        <f t="shared" ref="O3:O6" si="2">(N3/90)*100</f>
        <v>0</v>
      </c>
      <c r="P3" s="34">
        <f>SUM(O3,O9,O15,O21,O27,O33,O39)</f>
        <v>6.666666666666667</v>
      </c>
    </row>
    <row r="4" spans="1:16" ht="86.4" x14ac:dyDescent="0.3">
      <c r="A4" s="4" t="s">
        <v>39253</v>
      </c>
      <c r="B4">
        <v>1</v>
      </c>
      <c r="C4" s="32">
        <f t="shared" ref="C4:C5" si="3">(B4/90)*100</f>
        <v>1.1111111111111112</v>
      </c>
      <c r="E4" s="4" t="s">
        <v>39602</v>
      </c>
      <c r="F4">
        <f>SUM(B18,B19,B20)</f>
        <v>16</v>
      </c>
      <c r="G4" s="34">
        <f t="shared" si="0"/>
        <v>17.777777777777779</v>
      </c>
      <c r="I4" t="s">
        <v>28</v>
      </c>
      <c r="J4">
        <v>0</v>
      </c>
      <c r="K4" s="34">
        <f t="shared" si="1"/>
        <v>0</v>
      </c>
      <c r="M4" s="4" t="s">
        <v>39125</v>
      </c>
      <c r="N4">
        <f>SUM(B9)</f>
        <v>1</v>
      </c>
      <c r="O4" s="34">
        <f t="shared" si="2"/>
        <v>1.1111111111111112</v>
      </c>
      <c r="P4" s="34">
        <f t="shared" ref="P4" si="4">SUM(O4,O10,O16,O22,O28,O34,O40)</f>
        <v>21.111111111111111</v>
      </c>
    </row>
    <row r="5" spans="1:16" ht="43.2" x14ac:dyDescent="0.3">
      <c r="A5" s="10" t="s">
        <v>39585</v>
      </c>
      <c r="B5">
        <v>2</v>
      </c>
      <c r="C5" s="32">
        <f t="shared" si="3"/>
        <v>2.2222222222222223</v>
      </c>
      <c r="E5" s="4" t="s">
        <v>34</v>
      </c>
      <c r="F5">
        <v>0</v>
      </c>
      <c r="G5" s="34">
        <f t="shared" si="0"/>
        <v>0</v>
      </c>
      <c r="I5" t="s">
        <v>3093</v>
      </c>
      <c r="J5">
        <f>SUM(B2,B3)</f>
        <v>7</v>
      </c>
      <c r="K5" s="34">
        <f t="shared" si="1"/>
        <v>7.7777777777777777</v>
      </c>
      <c r="M5" s="4" t="s">
        <v>39122</v>
      </c>
      <c r="N5">
        <v>0</v>
      </c>
      <c r="O5" s="34">
        <f t="shared" si="2"/>
        <v>0</v>
      </c>
      <c r="P5" s="34">
        <f>SUM(O5,O11,O17,O23,O29,O35,O41)</f>
        <v>50</v>
      </c>
    </row>
    <row r="6" spans="1:16" ht="43.2" x14ac:dyDescent="0.3">
      <c r="A6" s="10" t="s">
        <v>39586</v>
      </c>
      <c r="B6">
        <v>1</v>
      </c>
      <c r="C6" s="32">
        <f t="shared" ref="C6:C11" si="5">(B6/90)*100</f>
        <v>1.1111111111111112</v>
      </c>
      <c r="F6" s="40">
        <f>SUM(F2:F5)</f>
        <v>25</v>
      </c>
      <c r="G6" s="35">
        <f>(F6/90)*100</f>
        <v>27.777777777777779</v>
      </c>
      <c r="I6" t="s">
        <v>3094</v>
      </c>
      <c r="J6">
        <v>0</v>
      </c>
      <c r="K6" s="34">
        <f t="shared" si="1"/>
        <v>0</v>
      </c>
      <c r="M6" s="4" t="s">
        <v>39123</v>
      </c>
      <c r="N6">
        <f>SUM(B18)</f>
        <v>12</v>
      </c>
      <c r="O6" s="34">
        <f t="shared" si="2"/>
        <v>13.333333333333334</v>
      </c>
      <c r="P6" s="34">
        <f>SUM(O6,O12,O18,O24,O30,O36,O42)</f>
        <v>17.777777777777779</v>
      </c>
    </row>
    <row r="7" spans="1:16" ht="43.2" x14ac:dyDescent="0.3">
      <c r="A7" s="10" t="s">
        <v>39587</v>
      </c>
      <c r="B7">
        <v>5</v>
      </c>
      <c r="C7" s="32">
        <f t="shared" si="5"/>
        <v>5.5555555555555554</v>
      </c>
      <c r="D7" s="4" t="s">
        <v>20</v>
      </c>
      <c r="E7" s="4" t="s">
        <v>39605</v>
      </c>
      <c r="F7">
        <v>0</v>
      </c>
      <c r="G7" s="34">
        <f t="shared" si="0"/>
        <v>0</v>
      </c>
      <c r="I7" t="s">
        <v>50</v>
      </c>
      <c r="J7">
        <v>0</v>
      </c>
      <c r="K7" s="34">
        <f t="shared" si="1"/>
        <v>0</v>
      </c>
      <c r="N7" s="40">
        <f>SUM(N2:N6)</f>
        <v>13</v>
      </c>
      <c r="O7" s="35">
        <f>(N7/90)*100</f>
        <v>14.444444444444443</v>
      </c>
      <c r="P7" s="34">
        <f>SUM(O7,O13,O19,O25,O31,O37,O43)</f>
        <v>100</v>
      </c>
    </row>
    <row r="8" spans="1:16" ht="57.6" x14ac:dyDescent="0.3">
      <c r="A8" s="10" t="s">
        <v>39588</v>
      </c>
      <c r="B8">
        <v>1</v>
      </c>
      <c r="C8" s="32">
        <f t="shared" si="5"/>
        <v>1.1111111111111112</v>
      </c>
      <c r="E8" s="4" t="s">
        <v>39606</v>
      </c>
      <c r="F8">
        <f>SUM(B4,B6,B11,B15)</f>
        <v>12</v>
      </c>
      <c r="G8" s="34">
        <f t="shared" si="0"/>
        <v>13.333333333333334</v>
      </c>
      <c r="I8" t="s">
        <v>3095</v>
      </c>
      <c r="J8">
        <v>0</v>
      </c>
      <c r="K8" s="34">
        <f t="shared" si="1"/>
        <v>0</v>
      </c>
      <c r="L8" t="s">
        <v>21</v>
      </c>
      <c r="M8" s="4" t="s">
        <v>39120</v>
      </c>
      <c r="N8">
        <v>0</v>
      </c>
      <c r="O8" s="34">
        <f>(N8/90)*100</f>
        <v>0</v>
      </c>
    </row>
    <row r="9" spans="1:16" ht="86.4" x14ac:dyDescent="0.3">
      <c r="A9" s="10" t="s">
        <v>39589</v>
      </c>
      <c r="B9">
        <v>1</v>
      </c>
      <c r="C9" s="32">
        <f t="shared" si="5"/>
        <v>1.1111111111111112</v>
      </c>
      <c r="E9" s="4" t="s">
        <v>39602</v>
      </c>
      <c r="F9">
        <f>SUM(B5,B7,B8,B12,B13,B14,B16)</f>
        <v>23</v>
      </c>
      <c r="G9" s="34">
        <f t="shared" si="0"/>
        <v>25.555555555555554</v>
      </c>
      <c r="J9" s="40">
        <f>SUM(J2:J8)</f>
        <v>7</v>
      </c>
      <c r="K9" s="35">
        <f t="shared" si="1"/>
        <v>7.7777777777777777</v>
      </c>
      <c r="M9" s="4" t="s">
        <v>39121</v>
      </c>
      <c r="N9">
        <v>0</v>
      </c>
      <c r="O9" s="34">
        <f t="shared" ref="O9:O12" si="6">(N9/90)*100</f>
        <v>0</v>
      </c>
    </row>
    <row r="10" spans="1:16" ht="57.6" x14ac:dyDescent="0.3">
      <c r="A10" s="10" t="s">
        <v>39590</v>
      </c>
      <c r="B10">
        <v>1</v>
      </c>
      <c r="C10" s="32">
        <f t="shared" si="5"/>
        <v>1.1111111111111112</v>
      </c>
      <c r="E10" s="4" t="s">
        <v>34</v>
      </c>
      <c r="F10">
        <v>0</v>
      </c>
      <c r="G10" s="34">
        <f t="shared" si="0"/>
        <v>0</v>
      </c>
      <c r="H10" s="4" t="s">
        <v>39606</v>
      </c>
      <c r="I10" t="s">
        <v>14</v>
      </c>
      <c r="J10">
        <f>SUM(B9)</f>
        <v>1</v>
      </c>
      <c r="K10" s="34">
        <f t="shared" si="1"/>
        <v>1.1111111111111112</v>
      </c>
      <c r="M10" s="4" t="s">
        <v>39125</v>
      </c>
      <c r="N10">
        <v>0</v>
      </c>
      <c r="O10" s="34">
        <f t="shared" si="6"/>
        <v>0</v>
      </c>
    </row>
    <row r="11" spans="1:16" ht="43.2" x14ac:dyDescent="0.3">
      <c r="A11" s="10" t="s">
        <v>39591</v>
      </c>
      <c r="B11">
        <v>6</v>
      </c>
      <c r="C11" s="32">
        <f t="shared" si="5"/>
        <v>6.666666666666667</v>
      </c>
      <c r="F11" s="40">
        <f>SUM(F7:F10)</f>
        <v>35</v>
      </c>
      <c r="G11" s="35">
        <f>(F11/90)*100</f>
        <v>38.888888888888893</v>
      </c>
      <c r="I11" t="s">
        <v>21</v>
      </c>
      <c r="J11">
        <v>0</v>
      </c>
      <c r="K11" s="34">
        <f t="shared" si="1"/>
        <v>0</v>
      </c>
      <c r="M11" s="4" t="s">
        <v>39122</v>
      </c>
      <c r="N11">
        <v>0</v>
      </c>
      <c r="O11" s="34">
        <f t="shared" si="6"/>
        <v>0</v>
      </c>
    </row>
    <row r="12" spans="1:16" ht="43.2" x14ac:dyDescent="0.3">
      <c r="A12" s="10" t="s">
        <v>39592</v>
      </c>
      <c r="B12">
        <v>1</v>
      </c>
      <c r="C12" s="32">
        <f t="shared" ref="C12:C13" si="7">(B12/90)*100</f>
        <v>1.1111111111111112</v>
      </c>
      <c r="D12" t="s">
        <v>27</v>
      </c>
      <c r="E12" s="4" t="s">
        <v>39605</v>
      </c>
      <c r="F12">
        <v>0</v>
      </c>
      <c r="G12" s="34">
        <f t="shared" si="0"/>
        <v>0</v>
      </c>
      <c r="I12" t="s">
        <v>28</v>
      </c>
      <c r="J12">
        <v>0</v>
      </c>
      <c r="K12" s="34">
        <f t="shared" si="1"/>
        <v>0</v>
      </c>
      <c r="M12" s="4" t="s">
        <v>39123</v>
      </c>
      <c r="N12">
        <f>SUM(B19)</f>
        <v>2</v>
      </c>
      <c r="O12" s="34">
        <f t="shared" si="6"/>
        <v>2.2222222222222223</v>
      </c>
    </row>
    <row r="13" spans="1:16" ht="57.6" x14ac:dyDescent="0.3">
      <c r="A13" s="10" t="s">
        <v>39593</v>
      </c>
      <c r="B13">
        <v>3</v>
      </c>
      <c r="C13" s="32">
        <f t="shared" si="7"/>
        <v>3.3333333333333335</v>
      </c>
      <c r="E13" s="4" t="s">
        <v>39606</v>
      </c>
      <c r="F13">
        <v>0</v>
      </c>
      <c r="G13" s="34">
        <f t="shared" si="0"/>
        <v>0</v>
      </c>
      <c r="I13" t="s">
        <v>3093</v>
      </c>
      <c r="J13">
        <f>SUM(B4,B6)</f>
        <v>2</v>
      </c>
      <c r="K13" s="34">
        <f t="shared" si="1"/>
        <v>2.2222222222222223</v>
      </c>
      <c r="N13" s="40">
        <f>SUM(N8:N12)</f>
        <v>2</v>
      </c>
      <c r="O13" s="35">
        <f>(N13/90)*100</f>
        <v>2.2222222222222223</v>
      </c>
    </row>
    <row r="14" spans="1:16" ht="86.4" x14ac:dyDescent="0.3">
      <c r="A14" s="10" t="s">
        <v>39594</v>
      </c>
      <c r="B14">
        <v>5</v>
      </c>
      <c r="C14" s="32">
        <f t="shared" ref="C14:C17" si="8">(B14/90)*100</f>
        <v>5.5555555555555554</v>
      </c>
      <c r="E14" s="4" t="s">
        <v>39602</v>
      </c>
      <c r="F14">
        <f>SUM(B17)</f>
        <v>30</v>
      </c>
      <c r="G14" s="34">
        <f t="shared" si="0"/>
        <v>33.333333333333329</v>
      </c>
      <c r="I14" t="s">
        <v>3094</v>
      </c>
      <c r="J14">
        <v>0</v>
      </c>
      <c r="K14" s="34">
        <f t="shared" si="1"/>
        <v>0</v>
      </c>
      <c r="L14" t="s">
        <v>28</v>
      </c>
      <c r="M14" s="4" t="s">
        <v>39120</v>
      </c>
      <c r="N14">
        <v>0</v>
      </c>
      <c r="O14" s="34">
        <f>(N14/90)*100</f>
        <v>0</v>
      </c>
    </row>
    <row r="15" spans="1:16" ht="43.2" x14ac:dyDescent="0.3">
      <c r="A15" s="10" t="s">
        <v>39595</v>
      </c>
      <c r="B15">
        <v>4</v>
      </c>
      <c r="C15" s="32">
        <f t="shared" si="8"/>
        <v>4.4444444444444446</v>
      </c>
      <c r="E15" s="4" t="s">
        <v>34</v>
      </c>
      <c r="F15">
        <v>0</v>
      </c>
      <c r="G15" s="34">
        <f t="shared" si="0"/>
        <v>0</v>
      </c>
      <c r="I15" t="s">
        <v>50</v>
      </c>
      <c r="J15">
        <f>SUM(B10,B11)</f>
        <v>7</v>
      </c>
      <c r="K15" s="34">
        <f t="shared" si="1"/>
        <v>7.7777777777777777</v>
      </c>
      <c r="M15" s="4" t="s">
        <v>39121</v>
      </c>
      <c r="N15">
        <v>0</v>
      </c>
      <c r="O15" s="34">
        <f t="shared" ref="O15:O18" si="9">(N15/90)*100</f>
        <v>0</v>
      </c>
    </row>
    <row r="16" spans="1:16" ht="43.2" x14ac:dyDescent="0.3">
      <c r="A16" s="10" t="s">
        <v>39596</v>
      </c>
      <c r="B16">
        <v>6</v>
      </c>
      <c r="C16" s="32">
        <f t="shared" si="8"/>
        <v>6.666666666666667</v>
      </c>
      <c r="F16" s="40">
        <f>SUM(F12:F15)</f>
        <v>30</v>
      </c>
      <c r="G16" s="35">
        <f>(F16/90)*100</f>
        <v>33.333333333333329</v>
      </c>
      <c r="I16" t="s">
        <v>3095</v>
      </c>
      <c r="J16">
        <f>SUM(B15)</f>
        <v>4</v>
      </c>
      <c r="K16" s="34">
        <f t="shared" si="1"/>
        <v>4.4444444444444446</v>
      </c>
      <c r="M16" s="4" t="s">
        <v>39125</v>
      </c>
      <c r="N16">
        <v>0</v>
      </c>
      <c r="O16" s="34">
        <f t="shared" si="9"/>
        <v>0</v>
      </c>
    </row>
    <row r="17" spans="1:15" ht="43.2" x14ac:dyDescent="0.3">
      <c r="A17" s="10" t="s">
        <v>39597</v>
      </c>
      <c r="B17">
        <v>30</v>
      </c>
      <c r="C17" s="32">
        <f t="shared" si="8"/>
        <v>33.333333333333329</v>
      </c>
      <c r="G17" s="34"/>
      <c r="J17" s="40">
        <f>SUM(J10:J16)</f>
        <v>14</v>
      </c>
      <c r="K17" s="35">
        <f t="shared" si="1"/>
        <v>15.555555555555555</v>
      </c>
      <c r="M17" s="4" t="s">
        <v>39122</v>
      </c>
      <c r="N17">
        <v>0</v>
      </c>
      <c r="O17" s="34">
        <f t="shared" si="9"/>
        <v>0</v>
      </c>
    </row>
    <row r="18" spans="1:15" ht="86.4" x14ac:dyDescent="0.3">
      <c r="A18" s="10" t="s">
        <v>39598</v>
      </c>
      <c r="B18">
        <v>12</v>
      </c>
      <c r="C18" s="32">
        <f t="shared" ref="C18:C20" si="10">(B18/90)*100</f>
        <v>13.333333333333334</v>
      </c>
      <c r="G18" s="34"/>
      <c r="H18" s="4" t="s">
        <v>39602</v>
      </c>
      <c r="I18" t="s">
        <v>14</v>
      </c>
      <c r="J18">
        <f>SUM(B18)</f>
        <v>12</v>
      </c>
      <c r="K18" s="34">
        <f t="shared" si="1"/>
        <v>13.333333333333334</v>
      </c>
      <c r="M18" s="4" t="s">
        <v>39123</v>
      </c>
      <c r="N18">
        <f>SUM(B20)</f>
        <v>2</v>
      </c>
      <c r="O18" s="34">
        <f t="shared" si="9"/>
        <v>2.2222222222222223</v>
      </c>
    </row>
    <row r="19" spans="1:15" ht="43.2" x14ac:dyDescent="0.3">
      <c r="A19" s="10" t="s">
        <v>39599</v>
      </c>
      <c r="B19">
        <v>2</v>
      </c>
      <c r="C19" s="32">
        <f t="shared" si="10"/>
        <v>2.2222222222222223</v>
      </c>
      <c r="G19" s="34"/>
      <c r="I19" t="s">
        <v>21</v>
      </c>
      <c r="J19">
        <f t="shared" ref="J19:J20" si="11">SUM(B19)</f>
        <v>2</v>
      </c>
      <c r="K19" s="34">
        <f t="shared" si="1"/>
        <v>2.2222222222222223</v>
      </c>
      <c r="N19" s="40">
        <f>SUM(N14:N18)</f>
        <v>2</v>
      </c>
      <c r="O19" s="35">
        <f>(N19/90)*100</f>
        <v>2.2222222222222223</v>
      </c>
    </row>
    <row r="20" spans="1:15" ht="43.2" x14ac:dyDescent="0.3">
      <c r="A20" s="10" t="s">
        <v>39600</v>
      </c>
      <c r="B20">
        <v>2</v>
      </c>
      <c r="C20" s="32">
        <f t="shared" si="10"/>
        <v>2.2222222222222223</v>
      </c>
      <c r="G20" s="34"/>
      <c r="I20" t="s">
        <v>28</v>
      </c>
      <c r="J20">
        <f t="shared" si="11"/>
        <v>2</v>
      </c>
      <c r="K20" s="34">
        <f t="shared" si="1"/>
        <v>2.2222222222222223</v>
      </c>
      <c r="L20" t="s">
        <v>3093</v>
      </c>
      <c r="M20" s="4" t="s">
        <v>39120</v>
      </c>
      <c r="N20">
        <f>SUM(B2)</f>
        <v>4</v>
      </c>
      <c r="O20" s="34">
        <f>(N20/90)*100</f>
        <v>4.4444444444444446</v>
      </c>
    </row>
    <row r="21" spans="1:15" ht="28.8" x14ac:dyDescent="0.3">
      <c r="I21" t="s">
        <v>3093</v>
      </c>
      <c r="J21">
        <f>SUM(B5,B7)</f>
        <v>7</v>
      </c>
      <c r="K21" s="34">
        <f t="shared" si="1"/>
        <v>7.7777777777777777</v>
      </c>
      <c r="M21" s="4" t="s">
        <v>39121</v>
      </c>
      <c r="N21">
        <f>SUM(B3,B4,B5)</f>
        <v>6</v>
      </c>
      <c r="O21" s="34">
        <f t="shared" ref="O21:O24" si="12">(N21/90)*100</f>
        <v>6.666666666666667</v>
      </c>
    </row>
    <row r="22" spans="1:15" ht="43.2" x14ac:dyDescent="0.3">
      <c r="I22" t="s">
        <v>3094</v>
      </c>
      <c r="J22">
        <f>SUM(B8)</f>
        <v>1</v>
      </c>
      <c r="K22" s="34">
        <f t="shared" si="1"/>
        <v>1.1111111111111112</v>
      </c>
      <c r="M22" s="4" t="s">
        <v>39125</v>
      </c>
      <c r="N22">
        <f>SUM(B6,B7)</f>
        <v>6</v>
      </c>
      <c r="O22" s="34">
        <f t="shared" si="12"/>
        <v>6.666666666666667</v>
      </c>
    </row>
    <row r="23" spans="1:15" x14ac:dyDescent="0.3">
      <c r="I23" t="s">
        <v>50</v>
      </c>
      <c r="J23">
        <f>SUM(B12,B14)</f>
        <v>6</v>
      </c>
      <c r="K23" s="34">
        <f t="shared" si="1"/>
        <v>6.666666666666667</v>
      </c>
      <c r="M23" s="4" t="s">
        <v>39122</v>
      </c>
      <c r="N23">
        <v>0</v>
      </c>
      <c r="O23" s="34">
        <f t="shared" si="12"/>
        <v>0</v>
      </c>
    </row>
    <row r="24" spans="1:15" x14ac:dyDescent="0.3">
      <c r="I24" t="s">
        <v>3095</v>
      </c>
      <c r="J24">
        <f>SUM(B13,B16,B17)</f>
        <v>39</v>
      </c>
      <c r="K24" s="34">
        <f t="shared" si="1"/>
        <v>43.333333333333336</v>
      </c>
      <c r="M24" s="4" t="s">
        <v>39123</v>
      </c>
      <c r="N24">
        <v>0</v>
      </c>
      <c r="O24" s="34">
        <f t="shared" si="12"/>
        <v>0</v>
      </c>
    </row>
    <row r="25" spans="1:15" x14ac:dyDescent="0.3">
      <c r="J25" s="40">
        <f>SUM(J18:J24)</f>
        <v>69</v>
      </c>
      <c r="K25" s="35">
        <f t="shared" si="1"/>
        <v>76.666666666666671</v>
      </c>
      <c r="N25" s="40">
        <f>SUM(N20:N24)</f>
        <v>16</v>
      </c>
      <c r="O25" s="35">
        <f>(N25/90)*100</f>
        <v>17.777777777777779</v>
      </c>
    </row>
    <row r="26" spans="1:15" ht="28.8" x14ac:dyDescent="0.3">
      <c r="H26" s="4" t="s">
        <v>34</v>
      </c>
      <c r="I26" t="s">
        <v>14</v>
      </c>
      <c r="J26">
        <v>0</v>
      </c>
      <c r="K26" s="34">
        <f t="shared" si="1"/>
        <v>0</v>
      </c>
      <c r="L26" t="s">
        <v>3094</v>
      </c>
      <c r="M26" s="4" t="s">
        <v>39120</v>
      </c>
      <c r="N26">
        <v>0</v>
      </c>
      <c r="O26" s="34">
        <f>(N26/90)*100</f>
        <v>0</v>
      </c>
    </row>
    <row r="27" spans="1:15" ht="28.8" x14ac:dyDescent="0.3">
      <c r="I27" t="s">
        <v>21</v>
      </c>
      <c r="J27">
        <v>0</v>
      </c>
      <c r="K27" s="34">
        <f t="shared" si="1"/>
        <v>0</v>
      </c>
      <c r="M27" s="4" t="s">
        <v>39121</v>
      </c>
      <c r="N27">
        <v>0</v>
      </c>
      <c r="O27" s="34">
        <f t="shared" ref="O27:O30" si="13">(N27/90)*100</f>
        <v>0</v>
      </c>
    </row>
    <row r="28" spans="1:15" ht="43.2" x14ac:dyDescent="0.3">
      <c r="I28" t="s">
        <v>28</v>
      </c>
      <c r="J28">
        <v>0</v>
      </c>
      <c r="K28" s="34">
        <f t="shared" si="1"/>
        <v>0</v>
      </c>
      <c r="M28" s="4" t="s">
        <v>39125</v>
      </c>
      <c r="N28">
        <f>SUM(B8)</f>
        <v>1</v>
      </c>
      <c r="O28" s="34">
        <f t="shared" si="13"/>
        <v>1.1111111111111112</v>
      </c>
    </row>
    <row r="29" spans="1:15" x14ac:dyDescent="0.3">
      <c r="I29" t="s">
        <v>3093</v>
      </c>
      <c r="J29">
        <v>0</v>
      </c>
      <c r="K29" s="34">
        <f t="shared" si="1"/>
        <v>0</v>
      </c>
      <c r="M29" s="4" t="s">
        <v>39122</v>
      </c>
      <c r="N29">
        <v>0</v>
      </c>
      <c r="O29" s="34">
        <f t="shared" si="13"/>
        <v>0</v>
      </c>
    </row>
    <row r="30" spans="1:15" x14ac:dyDescent="0.3">
      <c r="I30" t="s">
        <v>3094</v>
      </c>
      <c r="J30">
        <v>0</v>
      </c>
      <c r="K30" s="34">
        <f t="shared" si="1"/>
        <v>0</v>
      </c>
      <c r="M30" s="4" t="s">
        <v>39123</v>
      </c>
      <c r="N30">
        <v>0</v>
      </c>
      <c r="O30" s="34">
        <f t="shared" si="13"/>
        <v>0</v>
      </c>
    </row>
    <row r="31" spans="1:15" x14ac:dyDescent="0.3">
      <c r="I31" t="s">
        <v>50</v>
      </c>
      <c r="J31">
        <v>0</v>
      </c>
      <c r="K31" s="34">
        <f t="shared" si="1"/>
        <v>0</v>
      </c>
      <c r="N31" s="40">
        <f>SUM(N26:N30)</f>
        <v>1</v>
      </c>
      <c r="O31" s="35">
        <f>(N31/90)*100</f>
        <v>1.1111111111111112</v>
      </c>
    </row>
    <row r="32" spans="1:15" ht="28.8" x14ac:dyDescent="0.3">
      <c r="I32" t="s">
        <v>3095</v>
      </c>
      <c r="J32">
        <v>0</v>
      </c>
      <c r="K32" s="34">
        <f t="shared" si="1"/>
        <v>0</v>
      </c>
      <c r="L32" t="s">
        <v>50</v>
      </c>
      <c r="M32" s="4" t="s">
        <v>39120</v>
      </c>
      <c r="N32">
        <v>0</v>
      </c>
      <c r="O32" s="34">
        <f>(N32/90)*100</f>
        <v>0</v>
      </c>
    </row>
    <row r="33" spans="10:15" ht="28.8" x14ac:dyDescent="0.3">
      <c r="J33" s="40">
        <f>SUM(J26:J32)</f>
        <v>0</v>
      </c>
      <c r="K33" s="35">
        <f t="shared" ref="K33" si="14">(J33/90)*100</f>
        <v>0</v>
      </c>
      <c r="M33" s="4" t="s">
        <v>39121</v>
      </c>
      <c r="N33">
        <v>0</v>
      </c>
      <c r="O33" s="34">
        <f t="shared" ref="O33:O36" si="15">(N33/90)*100</f>
        <v>0</v>
      </c>
    </row>
    <row r="34" spans="10:15" ht="43.2" x14ac:dyDescent="0.3">
      <c r="M34" s="4" t="s">
        <v>39125</v>
      </c>
      <c r="N34">
        <f>SUM(B10,B11,B12)</f>
        <v>8</v>
      </c>
      <c r="O34" s="34">
        <f t="shared" si="15"/>
        <v>8.8888888888888893</v>
      </c>
    </row>
    <row r="35" spans="10:15" x14ac:dyDescent="0.3">
      <c r="M35" s="4" t="s">
        <v>39122</v>
      </c>
      <c r="N35">
        <f>SUM(B14)</f>
        <v>5</v>
      </c>
      <c r="O35" s="34">
        <f t="shared" si="15"/>
        <v>5.5555555555555554</v>
      </c>
    </row>
    <row r="36" spans="10:15" x14ac:dyDescent="0.3">
      <c r="M36" s="4" t="s">
        <v>39123</v>
      </c>
      <c r="N36">
        <v>0</v>
      </c>
      <c r="O36" s="34">
        <f t="shared" si="15"/>
        <v>0</v>
      </c>
    </row>
    <row r="37" spans="10:15" x14ac:dyDescent="0.3">
      <c r="N37" s="40">
        <f>SUM(N32:N36)</f>
        <v>13</v>
      </c>
      <c r="O37" s="35">
        <f>(N37/90)*100</f>
        <v>14.444444444444443</v>
      </c>
    </row>
    <row r="38" spans="10:15" ht="28.8" x14ac:dyDescent="0.3">
      <c r="L38" t="s">
        <v>3095</v>
      </c>
      <c r="M38" s="4" t="s">
        <v>39120</v>
      </c>
      <c r="N38">
        <v>0</v>
      </c>
      <c r="O38" s="34">
        <f>(N38/90)*100</f>
        <v>0</v>
      </c>
    </row>
    <row r="39" spans="10:15" ht="28.8" x14ac:dyDescent="0.3">
      <c r="M39" s="4" t="s">
        <v>39121</v>
      </c>
      <c r="N39">
        <v>0</v>
      </c>
      <c r="O39" s="34">
        <f t="shared" ref="O39:O42" si="16">(N39/90)*100</f>
        <v>0</v>
      </c>
    </row>
    <row r="40" spans="10:15" ht="43.2" x14ac:dyDescent="0.3">
      <c r="M40" s="4" t="s">
        <v>39125</v>
      </c>
      <c r="N40">
        <f>SUM(B13)</f>
        <v>3</v>
      </c>
      <c r="O40" s="34">
        <f t="shared" si="16"/>
        <v>3.3333333333333335</v>
      </c>
    </row>
    <row r="41" spans="10:15" x14ac:dyDescent="0.3">
      <c r="M41" s="4" t="s">
        <v>39122</v>
      </c>
      <c r="N41">
        <f>SUM(B15,B16,B17)</f>
        <v>40</v>
      </c>
      <c r="O41" s="34">
        <f t="shared" si="16"/>
        <v>44.444444444444443</v>
      </c>
    </row>
    <row r="42" spans="10:15" x14ac:dyDescent="0.3">
      <c r="M42" s="4" t="s">
        <v>39123</v>
      </c>
      <c r="N42">
        <v>0</v>
      </c>
      <c r="O42" s="34">
        <f t="shared" si="16"/>
        <v>0</v>
      </c>
    </row>
    <row r="43" spans="10:15" x14ac:dyDescent="0.3">
      <c r="N43" s="40">
        <f>SUM(N38:N42)</f>
        <v>43</v>
      </c>
      <c r="O43" s="35">
        <f>(N43/90)*100</f>
        <v>47.777777777777779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7D955-F6B7-49E5-B5AD-CAFE36430B8B}">
  <dimension ref="A1:M973"/>
  <sheetViews>
    <sheetView workbookViewId="0">
      <pane ySplit="1" topLeftCell="A955" activePane="bottomLeft" state="frozen"/>
      <selection pane="bottomLeft"/>
    </sheetView>
  </sheetViews>
  <sheetFormatPr baseColWidth="10" defaultRowHeight="14.4" x14ac:dyDescent="0.3"/>
  <cols>
    <col min="1" max="1" width="60.6640625" style="4" customWidth="1"/>
    <col min="2" max="3" width="28.109375" customWidth="1"/>
    <col min="9" max="9" width="114.6640625" style="4" customWidth="1"/>
  </cols>
  <sheetData>
    <row r="1" spans="1:13" x14ac:dyDescent="0.3">
      <c r="A1" s="8" t="s">
        <v>3107</v>
      </c>
      <c r="B1" s="2" t="s">
        <v>3108</v>
      </c>
      <c r="C1" s="2" t="s">
        <v>3109</v>
      </c>
      <c r="D1" s="2" t="s">
        <v>0</v>
      </c>
      <c r="E1" s="2" t="s">
        <v>10771</v>
      </c>
      <c r="F1" s="2" t="s">
        <v>10772</v>
      </c>
      <c r="G1" s="2" t="s">
        <v>10773</v>
      </c>
      <c r="H1" s="2" t="s">
        <v>10774</v>
      </c>
      <c r="I1" s="8" t="s">
        <v>10775</v>
      </c>
      <c r="J1" s="2" t="s">
        <v>10776</v>
      </c>
      <c r="K1" s="2" t="s">
        <v>10777</v>
      </c>
      <c r="L1" s="2" t="s">
        <v>10778</v>
      </c>
      <c r="M1" s="2"/>
    </row>
    <row r="2" spans="1:13" ht="172.8" x14ac:dyDescent="0.3">
      <c r="A2" s="4" t="s">
        <v>81</v>
      </c>
      <c r="B2">
        <v>1</v>
      </c>
      <c r="C2">
        <v>1</v>
      </c>
      <c r="D2">
        <v>2025</v>
      </c>
      <c r="E2" t="s">
        <v>83</v>
      </c>
      <c r="F2">
        <v>0</v>
      </c>
      <c r="G2" t="s">
        <v>10801</v>
      </c>
      <c r="H2" t="s">
        <v>10802</v>
      </c>
      <c r="I2" s="4" t="s">
        <v>10803</v>
      </c>
      <c r="J2" t="s">
        <v>71</v>
      </c>
      <c r="K2" t="s">
        <v>10782</v>
      </c>
      <c r="L2" t="s">
        <v>10804</v>
      </c>
    </row>
    <row r="3" spans="1:13" ht="230.4" x14ac:dyDescent="0.3">
      <c r="A3" s="4" t="s">
        <v>3110</v>
      </c>
      <c r="B3">
        <v>1</v>
      </c>
      <c r="C3">
        <v>3</v>
      </c>
      <c r="D3">
        <v>2025</v>
      </c>
      <c r="E3" t="s">
        <v>318</v>
      </c>
      <c r="F3">
        <v>0</v>
      </c>
      <c r="G3" t="s">
        <v>10873</v>
      </c>
      <c r="H3" t="s">
        <v>10874</v>
      </c>
      <c r="I3" s="4" t="s">
        <v>10875</v>
      </c>
      <c r="J3" t="s">
        <v>71</v>
      </c>
      <c r="K3" t="s">
        <v>10782</v>
      </c>
      <c r="L3" t="s">
        <v>10876</v>
      </c>
    </row>
    <row r="4" spans="1:13" ht="43.2" x14ac:dyDescent="0.3">
      <c r="A4" s="4" t="s">
        <v>3111</v>
      </c>
      <c r="B4">
        <v>1</v>
      </c>
      <c r="C4">
        <v>3</v>
      </c>
      <c r="D4">
        <v>2025</v>
      </c>
      <c r="E4" t="s">
        <v>637</v>
      </c>
      <c r="F4">
        <v>0</v>
      </c>
      <c r="G4" t="s">
        <v>10898</v>
      </c>
      <c r="H4" t="s">
        <v>10899</v>
      </c>
      <c r="I4" s="4" t="s">
        <v>10900</v>
      </c>
    </row>
    <row r="5" spans="1:13" ht="216" x14ac:dyDescent="0.3">
      <c r="A5" s="4" t="s">
        <v>3112</v>
      </c>
      <c r="B5">
        <v>1</v>
      </c>
      <c r="C5">
        <v>3</v>
      </c>
      <c r="D5">
        <v>2025</v>
      </c>
      <c r="E5" t="s">
        <v>2596</v>
      </c>
      <c r="F5">
        <v>0</v>
      </c>
      <c r="G5" t="s">
        <v>10916</v>
      </c>
      <c r="H5" t="s">
        <v>10917</v>
      </c>
      <c r="I5" s="4" t="s">
        <v>10918</v>
      </c>
      <c r="J5" t="s">
        <v>71</v>
      </c>
      <c r="K5" t="s">
        <v>10782</v>
      </c>
      <c r="L5" t="s">
        <v>10919</v>
      </c>
    </row>
    <row r="6" spans="1:13" ht="158.4" x14ac:dyDescent="0.3">
      <c r="A6" s="4" t="s">
        <v>3113</v>
      </c>
      <c r="B6">
        <v>1</v>
      </c>
      <c r="C6">
        <v>3</v>
      </c>
      <c r="D6">
        <v>2025</v>
      </c>
      <c r="E6" t="s">
        <v>1129</v>
      </c>
      <c r="F6">
        <v>0</v>
      </c>
      <c r="G6" t="s">
        <v>10920</v>
      </c>
      <c r="H6" t="s">
        <v>10921</v>
      </c>
      <c r="I6" s="4" t="s">
        <v>10922</v>
      </c>
      <c r="J6" t="s">
        <v>71</v>
      </c>
      <c r="K6" t="s">
        <v>10782</v>
      </c>
      <c r="L6" t="s">
        <v>10923</v>
      </c>
    </row>
    <row r="7" spans="1:13" ht="158.4" x14ac:dyDescent="0.3">
      <c r="A7" s="4" t="s">
        <v>3114</v>
      </c>
      <c r="B7">
        <v>1</v>
      </c>
      <c r="C7">
        <v>3</v>
      </c>
      <c r="D7">
        <v>2025</v>
      </c>
      <c r="E7" t="s">
        <v>277</v>
      </c>
      <c r="F7">
        <v>0</v>
      </c>
      <c r="G7" t="s">
        <v>10929</v>
      </c>
      <c r="H7" t="s">
        <v>10930</v>
      </c>
      <c r="I7" s="4" t="s">
        <v>10931</v>
      </c>
      <c r="J7" t="s">
        <v>71</v>
      </c>
      <c r="K7" t="s">
        <v>10782</v>
      </c>
      <c r="L7" t="s">
        <v>10932</v>
      </c>
    </row>
    <row r="8" spans="1:13" ht="129.6" x14ac:dyDescent="0.3">
      <c r="A8" s="4" t="s">
        <v>87</v>
      </c>
      <c r="B8">
        <v>1</v>
      </c>
      <c r="C8">
        <v>1</v>
      </c>
      <c r="D8">
        <v>2025</v>
      </c>
      <c r="E8" t="s">
        <v>88</v>
      </c>
      <c r="F8">
        <v>0</v>
      </c>
      <c r="G8" t="s">
        <v>10942</v>
      </c>
      <c r="H8" t="s">
        <v>10943</v>
      </c>
      <c r="I8" s="4" t="s">
        <v>10944</v>
      </c>
      <c r="J8" t="s">
        <v>10945</v>
      </c>
      <c r="K8" t="s">
        <v>10782</v>
      </c>
      <c r="L8" t="s">
        <v>10946</v>
      </c>
    </row>
    <row r="9" spans="1:13" ht="201.6" x14ac:dyDescent="0.3">
      <c r="A9" s="4" t="s">
        <v>3115</v>
      </c>
      <c r="B9">
        <v>1</v>
      </c>
      <c r="C9">
        <v>3</v>
      </c>
      <c r="D9">
        <v>2025</v>
      </c>
      <c r="E9" t="s">
        <v>105</v>
      </c>
      <c r="F9">
        <v>0</v>
      </c>
      <c r="G9" t="s">
        <v>10947</v>
      </c>
      <c r="H9" t="s">
        <v>10948</v>
      </c>
      <c r="I9" s="4" t="s">
        <v>10949</v>
      </c>
      <c r="J9" t="s">
        <v>71</v>
      </c>
      <c r="K9" t="s">
        <v>10782</v>
      </c>
      <c r="L9" t="s">
        <v>10950</v>
      </c>
    </row>
    <row r="10" spans="1:13" ht="115.2" x14ac:dyDescent="0.3">
      <c r="A10" s="4" t="s">
        <v>3116</v>
      </c>
      <c r="B10">
        <v>1</v>
      </c>
      <c r="C10">
        <v>3</v>
      </c>
      <c r="D10">
        <v>2025</v>
      </c>
      <c r="E10" t="s">
        <v>147</v>
      </c>
      <c r="F10">
        <v>0</v>
      </c>
      <c r="G10" t="s">
        <v>10955</v>
      </c>
      <c r="H10" t="s">
        <v>10956</v>
      </c>
      <c r="I10" s="4" t="s">
        <v>10957</v>
      </c>
      <c r="J10" t="s">
        <v>71</v>
      </c>
      <c r="K10" t="s">
        <v>10782</v>
      </c>
      <c r="L10" t="s">
        <v>10958</v>
      </c>
    </row>
    <row r="11" spans="1:13" ht="172.8" x14ac:dyDescent="0.3">
      <c r="A11" s="4" t="s">
        <v>96</v>
      </c>
      <c r="B11">
        <v>1</v>
      </c>
      <c r="C11">
        <v>1</v>
      </c>
      <c r="D11">
        <v>2025</v>
      </c>
      <c r="E11" t="s">
        <v>80</v>
      </c>
      <c r="F11">
        <v>0</v>
      </c>
      <c r="G11" t="s">
        <v>10963</v>
      </c>
      <c r="H11" t="s">
        <v>10964</v>
      </c>
      <c r="I11" s="4" t="s">
        <v>10965</v>
      </c>
      <c r="J11" t="s">
        <v>71</v>
      </c>
      <c r="K11" t="s">
        <v>10782</v>
      </c>
      <c r="L11" t="s">
        <v>10966</v>
      </c>
    </row>
    <row r="12" spans="1:13" ht="187.2" x14ac:dyDescent="0.3">
      <c r="A12" s="4" t="s">
        <v>104</v>
      </c>
      <c r="B12">
        <v>1</v>
      </c>
      <c r="C12">
        <v>1</v>
      </c>
      <c r="D12">
        <v>2025</v>
      </c>
      <c r="E12" t="s">
        <v>105</v>
      </c>
      <c r="F12">
        <v>0</v>
      </c>
      <c r="G12" t="s">
        <v>10999</v>
      </c>
      <c r="H12" t="s">
        <v>11000</v>
      </c>
      <c r="I12" s="4" t="s">
        <v>11001</v>
      </c>
      <c r="J12" t="s">
        <v>71</v>
      </c>
      <c r="K12" t="s">
        <v>10782</v>
      </c>
      <c r="L12" t="s">
        <v>11002</v>
      </c>
    </row>
    <row r="13" spans="1:13" ht="187.2" x14ac:dyDescent="0.3">
      <c r="A13" s="4" t="s">
        <v>106</v>
      </c>
      <c r="B13">
        <v>1</v>
      </c>
      <c r="C13">
        <v>1</v>
      </c>
      <c r="D13">
        <v>2025</v>
      </c>
      <c r="E13" t="s">
        <v>128</v>
      </c>
      <c r="F13">
        <v>0</v>
      </c>
      <c r="G13" t="s">
        <v>11003</v>
      </c>
      <c r="H13" t="s">
        <v>11004</v>
      </c>
      <c r="I13" s="4" t="s">
        <v>11005</v>
      </c>
      <c r="J13" t="s">
        <v>71</v>
      </c>
      <c r="K13" t="s">
        <v>10782</v>
      </c>
      <c r="L13" t="s">
        <v>11006</v>
      </c>
    </row>
    <row r="14" spans="1:13" ht="288" x14ac:dyDescent="0.3">
      <c r="A14" s="4" t="s">
        <v>3117</v>
      </c>
      <c r="B14">
        <v>1</v>
      </c>
      <c r="C14">
        <v>3</v>
      </c>
      <c r="D14">
        <v>2025</v>
      </c>
      <c r="E14" t="s">
        <v>83</v>
      </c>
      <c r="F14">
        <v>0</v>
      </c>
      <c r="G14" t="s">
        <v>11012</v>
      </c>
      <c r="H14" t="s">
        <v>11013</v>
      </c>
      <c r="I14" s="4" t="s">
        <v>11014</v>
      </c>
      <c r="J14" t="s">
        <v>71</v>
      </c>
      <c r="K14" t="s">
        <v>10782</v>
      </c>
      <c r="L14" t="s">
        <v>11015</v>
      </c>
    </row>
    <row r="15" spans="1:13" ht="129.6" x14ac:dyDescent="0.3">
      <c r="A15" s="4" t="s">
        <v>3118</v>
      </c>
      <c r="B15">
        <v>1</v>
      </c>
      <c r="C15">
        <v>3</v>
      </c>
      <c r="D15">
        <v>2025</v>
      </c>
      <c r="E15" t="s">
        <v>11016</v>
      </c>
      <c r="F15">
        <v>0</v>
      </c>
      <c r="G15" t="s">
        <v>11017</v>
      </c>
      <c r="H15" t="s">
        <v>11018</v>
      </c>
      <c r="I15" s="4" t="s">
        <v>11019</v>
      </c>
      <c r="J15" t="s">
        <v>71</v>
      </c>
      <c r="K15" t="s">
        <v>10782</v>
      </c>
      <c r="L15" t="s">
        <v>11020</v>
      </c>
    </row>
    <row r="16" spans="1:13" ht="216" x14ac:dyDescent="0.3">
      <c r="A16" s="4" t="s">
        <v>3119</v>
      </c>
      <c r="B16">
        <v>1</v>
      </c>
      <c r="C16">
        <v>3</v>
      </c>
      <c r="D16">
        <v>2025</v>
      </c>
      <c r="E16" t="s">
        <v>80</v>
      </c>
      <c r="F16">
        <v>0</v>
      </c>
      <c r="G16" t="s">
        <v>11037</v>
      </c>
      <c r="H16" t="s">
        <v>11038</v>
      </c>
      <c r="I16" s="4" t="s">
        <v>11039</v>
      </c>
      <c r="J16" t="s">
        <v>71</v>
      </c>
      <c r="K16" t="s">
        <v>10782</v>
      </c>
      <c r="L16" t="s">
        <v>11040</v>
      </c>
    </row>
    <row r="17" spans="1:12" ht="201.6" x14ac:dyDescent="0.3">
      <c r="A17" s="4" t="s">
        <v>3120</v>
      </c>
      <c r="B17">
        <v>1</v>
      </c>
      <c r="C17">
        <v>3</v>
      </c>
      <c r="D17">
        <v>2025</v>
      </c>
      <c r="E17" t="s">
        <v>830</v>
      </c>
      <c r="F17">
        <v>0</v>
      </c>
      <c r="G17" t="s">
        <v>11073</v>
      </c>
      <c r="H17" t="s">
        <v>11074</v>
      </c>
      <c r="I17" s="4" t="s">
        <v>11075</v>
      </c>
      <c r="J17" t="s">
        <v>71</v>
      </c>
      <c r="K17" t="s">
        <v>10782</v>
      </c>
      <c r="L17" t="s">
        <v>11076</v>
      </c>
    </row>
    <row r="18" spans="1:12" ht="230.4" x14ac:dyDescent="0.3">
      <c r="A18" s="4" t="s">
        <v>3121</v>
      </c>
      <c r="B18">
        <v>1</v>
      </c>
      <c r="C18">
        <v>3</v>
      </c>
      <c r="D18">
        <v>2025</v>
      </c>
      <c r="E18" t="s">
        <v>704</v>
      </c>
      <c r="F18">
        <v>0</v>
      </c>
      <c r="G18" t="s">
        <v>11077</v>
      </c>
      <c r="H18" t="s">
        <v>11078</v>
      </c>
      <c r="I18" s="4" t="s">
        <v>11079</v>
      </c>
      <c r="J18" t="s">
        <v>10823</v>
      </c>
      <c r="K18" t="s">
        <v>10782</v>
      </c>
      <c r="L18" t="s">
        <v>11080</v>
      </c>
    </row>
    <row r="19" spans="1:12" ht="115.2" x14ac:dyDescent="0.3">
      <c r="A19" s="4" t="s">
        <v>3122</v>
      </c>
      <c r="B19">
        <v>1</v>
      </c>
      <c r="C19">
        <v>3</v>
      </c>
      <c r="D19">
        <v>2025</v>
      </c>
      <c r="E19" t="s">
        <v>11092</v>
      </c>
      <c r="F19">
        <v>0</v>
      </c>
      <c r="G19" t="s">
        <v>11093</v>
      </c>
      <c r="H19" t="s">
        <v>11094</v>
      </c>
      <c r="I19" s="4" t="s">
        <v>11095</v>
      </c>
      <c r="J19" t="s">
        <v>71</v>
      </c>
      <c r="K19" t="s">
        <v>10782</v>
      </c>
      <c r="L19" t="s">
        <v>11096</v>
      </c>
    </row>
    <row r="20" spans="1:12" ht="72" x14ac:dyDescent="0.3">
      <c r="A20" s="4" t="s">
        <v>3123</v>
      </c>
      <c r="B20">
        <v>1</v>
      </c>
      <c r="C20">
        <v>3</v>
      </c>
      <c r="D20">
        <v>2025</v>
      </c>
      <c r="E20" t="s">
        <v>637</v>
      </c>
      <c r="F20">
        <v>0</v>
      </c>
      <c r="G20" t="s">
        <v>11097</v>
      </c>
      <c r="H20" t="s">
        <v>11098</v>
      </c>
      <c r="I20" s="4" t="s">
        <v>11099</v>
      </c>
    </row>
    <row r="21" spans="1:12" ht="172.8" x14ac:dyDescent="0.3">
      <c r="A21" s="4" t="s">
        <v>146</v>
      </c>
      <c r="B21">
        <v>1</v>
      </c>
      <c r="C21">
        <v>1</v>
      </c>
      <c r="D21">
        <v>2025</v>
      </c>
      <c r="E21" t="s">
        <v>147</v>
      </c>
      <c r="F21">
        <v>0</v>
      </c>
      <c r="G21" t="s">
        <v>11100</v>
      </c>
      <c r="H21" t="s">
        <v>11101</v>
      </c>
      <c r="I21" s="4" t="s">
        <v>11102</v>
      </c>
      <c r="J21" t="s">
        <v>71</v>
      </c>
      <c r="K21" t="s">
        <v>10782</v>
      </c>
      <c r="L21" t="s">
        <v>11103</v>
      </c>
    </row>
    <row r="22" spans="1:12" ht="144" x14ac:dyDescent="0.3">
      <c r="A22" s="4" t="s">
        <v>3124</v>
      </c>
      <c r="B22">
        <v>1</v>
      </c>
      <c r="C22">
        <v>3</v>
      </c>
      <c r="D22">
        <v>2025</v>
      </c>
      <c r="E22" t="s">
        <v>11104</v>
      </c>
      <c r="F22">
        <v>0</v>
      </c>
      <c r="G22" t="s">
        <v>11105</v>
      </c>
      <c r="H22" t="s">
        <v>11106</v>
      </c>
      <c r="I22" s="4" t="s">
        <v>11107</v>
      </c>
      <c r="J22" t="s">
        <v>71</v>
      </c>
      <c r="K22" t="s">
        <v>10782</v>
      </c>
      <c r="L22" t="s">
        <v>11108</v>
      </c>
    </row>
    <row r="23" spans="1:12" ht="115.2" x14ac:dyDescent="0.3">
      <c r="A23" s="4" t="s">
        <v>3125</v>
      </c>
      <c r="B23">
        <v>1</v>
      </c>
      <c r="C23">
        <v>3</v>
      </c>
      <c r="D23">
        <v>2025</v>
      </c>
      <c r="E23" t="s">
        <v>318</v>
      </c>
      <c r="F23">
        <v>0</v>
      </c>
      <c r="G23" t="s">
        <v>11113</v>
      </c>
      <c r="H23" t="s">
        <v>11114</v>
      </c>
      <c r="I23" s="4" t="s">
        <v>11115</v>
      </c>
      <c r="J23" t="s">
        <v>10823</v>
      </c>
      <c r="K23" t="s">
        <v>10782</v>
      </c>
      <c r="L23" t="s">
        <v>11116</v>
      </c>
    </row>
    <row r="24" spans="1:12" ht="201.6" x14ac:dyDescent="0.3">
      <c r="A24" s="4" t="s">
        <v>3126</v>
      </c>
      <c r="B24">
        <v>1</v>
      </c>
      <c r="C24">
        <v>3</v>
      </c>
      <c r="D24">
        <v>2025</v>
      </c>
      <c r="E24" t="s">
        <v>405</v>
      </c>
      <c r="F24">
        <v>0</v>
      </c>
      <c r="G24" t="s">
        <v>11124</v>
      </c>
      <c r="H24" t="s">
        <v>11125</v>
      </c>
      <c r="I24" s="4" t="s">
        <v>11126</v>
      </c>
      <c r="J24" t="s">
        <v>71</v>
      </c>
      <c r="K24" t="s">
        <v>10782</v>
      </c>
      <c r="L24" t="s">
        <v>11127</v>
      </c>
    </row>
    <row r="25" spans="1:12" ht="230.4" x14ac:dyDescent="0.3">
      <c r="A25" s="4" t="s">
        <v>163</v>
      </c>
      <c r="B25">
        <v>1</v>
      </c>
      <c r="C25">
        <v>1</v>
      </c>
      <c r="D25">
        <v>2025</v>
      </c>
      <c r="E25" t="s">
        <v>164</v>
      </c>
      <c r="F25">
        <v>0</v>
      </c>
      <c r="G25" t="s">
        <v>11132</v>
      </c>
      <c r="H25" t="s">
        <v>11133</v>
      </c>
      <c r="I25" s="4" t="s">
        <v>11134</v>
      </c>
      <c r="J25" t="s">
        <v>71</v>
      </c>
      <c r="K25" t="s">
        <v>10782</v>
      </c>
      <c r="L25" t="s">
        <v>11135</v>
      </c>
    </row>
    <row r="26" spans="1:12" ht="187.2" x14ac:dyDescent="0.3">
      <c r="A26" s="4" t="s">
        <v>3127</v>
      </c>
      <c r="B26">
        <v>1</v>
      </c>
      <c r="C26">
        <v>3</v>
      </c>
      <c r="D26">
        <v>2025</v>
      </c>
      <c r="E26" t="s">
        <v>405</v>
      </c>
      <c r="F26">
        <v>0</v>
      </c>
      <c r="G26" t="s">
        <v>11136</v>
      </c>
      <c r="H26" t="s">
        <v>11137</v>
      </c>
      <c r="I26" s="4" t="s">
        <v>11138</v>
      </c>
      <c r="J26" t="s">
        <v>71</v>
      </c>
      <c r="K26" t="s">
        <v>10782</v>
      </c>
      <c r="L26" t="s">
        <v>11139</v>
      </c>
    </row>
    <row r="27" spans="1:12" ht="187.2" x14ac:dyDescent="0.3">
      <c r="A27" s="4" t="s">
        <v>3128</v>
      </c>
      <c r="B27">
        <v>1</v>
      </c>
      <c r="C27">
        <v>3</v>
      </c>
      <c r="D27">
        <v>2025</v>
      </c>
      <c r="E27" t="s">
        <v>405</v>
      </c>
      <c r="F27">
        <v>0</v>
      </c>
      <c r="G27" t="s">
        <v>11144</v>
      </c>
      <c r="H27" t="s">
        <v>11145</v>
      </c>
      <c r="I27" s="4" t="s">
        <v>11146</v>
      </c>
      <c r="J27" t="s">
        <v>71</v>
      </c>
      <c r="K27" t="s">
        <v>10782</v>
      </c>
      <c r="L27" t="s">
        <v>11147</v>
      </c>
    </row>
    <row r="28" spans="1:12" ht="172.8" x14ac:dyDescent="0.3">
      <c r="A28" s="4" t="s">
        <v>3129</v>
      </c>
      <c r="B28">
        <v>1</v>
      </c>
      <c r="C28">
        <v>3</v>
      </c>
      <c r="D28">
        <v>2025</v>
      </c>
      <c r="E28" t="s">
        <v>1125</v>
      </c>
      <c r="F28">
        <v>0</v>
      </c>
      <c r="G28" t="s">
        <v>11155</v>
      </c>
      <c r="H28" t="s">
        <v>11156</v>
      </c>
      <c r="I28" s="4" t="s">
        <v>11157</v>
      </c>
      <c r="J28" t="s">
        <v>10945</v>
      </c>
      <c r="K28" t="s">
        <v>10782</v>
      </c>
      <c r="L28" t="s">
        <v>11158</v>
      </c>
    </row>
    <row r="29" spans="1:12" ht="158.4" x14ac:dyDescent="0.3">
      <c r="A29" s="4" t="s">
        <v>3130</v>
      </c>
      <c r="B29">
        <v>1</v>
      </c>
      <c r="C29">
        <v>3</v>
      </c>
      <c r="D29">
        <v>2025</v>
      </c>
      <c r="E29" t="s">
        <v>637</v>
      </c>
      <c r="F29">
        <v>0</v>
      </c>
      <c r="G29" t="s">
        <v>11201</v>
      </c>
      <c r="H29" t="s">
        <v>11202</v>
      </c>
      <c r="I29" s="4" t="s">
        <v>11203</v>
      </c>
      <c r="J29" t="s">
        <v>71</v>
      </c>
      <c r="K29" t="s">
        <v>10782</v>
      </c>
      <c r="L29" t="s">
        <v>11204</v>
      </c>
    </row>
    <row r="30" spans="1:12" ht="216" x14ac:dyDescent="0.3">
      <c r="A30" s="4" t="s">
        <v>3131</v>
      </c>
      <c r="B30">
        <v>1</v>
      </c>
      <c r="C30">
        <v>3</v>
      </c>
      <c r="D30">
        <v>2025</v>
      </c>
      <c r="E30" t="s">
        <v>318</v>
      </c>
      <c r="F30">
        <v>0</v>
      </c>
      <c r="G30" t="s">
        <v>11214</v>
      </c>
      <c r="H30" t="s">
        <v>11215</v>
      </c>
      <c r="I30" s="4" t="s">
        <v>11216</v>
      </c>
      <c r="J30" t="s">
        <v>71</v>
      </c>
      <c r="K30" t="s">
        <v>10782</v>
      </c>
      <c r="L30" t="s">
        <v>11217</v>
      </c>
    </row>
    <row r="31" spans="1:12" ht="187.2" x14ac:dyDescent="0.3">
      <c r="A31" s="4" t="s">
        <v>178</v>
      </c>
      <c r="B31">
        <v>1</v>
      </c>
      <c r="C31">
        <v>1</v>
      </c>
      <c r="D31">
        <v>2025</v>
      </c>
      <c r="E31" t="s">
        <v>177</v>
      </c>
      <c r="F31">
        <v>0</v>
      </c>
      <c r="G31" t="s">
        <v>11251</v>
      </c>
      <c r="H31" t="s">
        <v>11252</v>
      </c>
      <c r="I31" s="4" t="s">
        <v>11253</v>
      </c>
      <c r="J31" t="s">
        <v>71</v>
      </c>
      <c r="K31" t="s">
        <v>10782</v>
      </c>
      <c r="L31" t="s">
        <v>11254</v>
      </c>
    </row>
    <row r="32" spans="1:12" ht="172.8" x14ac:dyDescent="0.3">
      <c r="A32" s="4" t="s">
        <v>3132</v>
      </c>
      <c r="B32">
        <v>1</v>
      </c>
      <c r="C32">
        <v>3</v>
      </c>
      <c r="D32">
        <v>2025</v>
      </c>
      <c r="E32" t="s">
        <v>1002</v>
      </c>
      <c r="F32">
        <v>0</v>
      </c>
      <c r="G32" t="s">
        <v>11268</v>
      </c>
      <c r="H32" t="s">
        <v>11269</v>
      </c>
      <c r="I32" s="4" t="s">
        <v>11270</v>
      </c>
      <c r="J32" t="s">
        <v>71</v>
      </c>
      <c r="K32" t="s">
        <v>10782</v>
      </c>
      <c r="L32" t="s">
        <v>11271</v>
      </c>
    </row>
    <row r="33" spans="1:12" ht="187.2" x14ac:dyDescent="0.3">
      <c r="A33" s="4" t="s">
        <v>3133</v>
      </c>
      <c r="B33">
        <v>1</v>
      </c>
      <c r="C33">
        <v>3</v>
      </c>
      <c r="D33">
        <v>2025</v>
      </c>
      <c r="E33" t="s">
        <v>217</v>
      </c>
      <c r="F33">
        <v>0</v>
      </c>
      <c r="G33" t="s">
        <v>11272</v>
      </c>
      <c r="H33" t="s">
        <v>11273</v>
      </c>
      <c r="I33" s="4" t="s">
        <v>11274</v>
      </c>
      <c r="J33" t="s">
        <v>71</v>
      </c>
      <c r="K33" t="s">
        <v>10782</v>
      </c>
      <c r="L33" t="s">
        <v>11275</v>
      </c>
    </row>
    <row r="34" spans="1:12" ht="216" x14ac:dyDescent="0.3">
      <c r="A34" s="4" t="s">
        <v>189</v>
      </c>
      <c r="B34">
        <v>1</v>
      </c>
      <c r="C34">
        <v>1</v>
      </c>
      <c r="D34">
        <v>2025</v>
      </c>
      <c r="E34" t="s">
        <v>190</v>
      </c>
      <c r="F34">
        <v>1</v>
      </c>
      <c r="G34" t="s">
        <v>11290</v>
      </c>
      <c r="H34" t="s">
        <v>11291</v>
      </c>
      <c r="I34" s="4" t="s">
        <v>11292</v>
      </c>
      <c r="J34" t="s">
        <v>71</v>
      </c>
      <c r="K34" t="s">
        <v>10782</v>
      </c>
      <c r="L34" t="s">
        <v>11293</v>
      </c>
    </row>
    <row r="35" spans="1:12" ht="129.6" x14ac:dyDescent="0.3">
      <c r="A35" s="4" t="s">
        <v>3134</v>
      </c>
      <c r="B35">
        <v>1</v>
      </c>
      <c r="C35">
        <v>3</v>
      </c>
      <c r="D35">
        <v>2025</v>
      </c>
      <c r="E35" t="s">
        <v>11294</v>
      </c>
      <c r="F35">
        <v>0</v>
      </c>
      <c r="G35" t="s">
        <v>11295</v>
      </c>
      <c r="H35" t="s">
        <v>11296</v>
      </c>
      <c r="I35" s="4" t="s">
        <v>11297</v>
      </c>
      <c r="J35" t="s">
        <v>71</v>
      </c>
      <c r="K35" t="s">
        <v>10782</v>
      </c>
      <c r="L35" t="s">
        <v>11298</v>
      </c>
    </row>
    <row r="36" spans="1:12" ht="201.6" x14ac:dyDescent="0.3">
      <c r="A36" s="4" t="s">
        <v>3135</v>
      </c>
      <c r="B36">
        <v>1</v>
      </c>
      <c r="C36">
        <v>3</v>
      </c>
      <c r="D36">
        <v>2025</v>
      </c>
      <c r="E36" t="s">
        <v>1770</v>
      </c>
      <c r="F36">
        <v>0</v>
      </c>
      <c r="G36" t="s">
        <v>11299</v>
      </c>
      <c r="H36" t="s">
        <v>11300</v>
      </c>
      <c r="I36" s="4" t="s">
        <v>11301</v>
      </c>
      <c r="J36" t="s">
        <v>71</v>
      </c>
      <c r="K36" t="s">
        <v>10782</v>
      </c>
      <c r="L36" t="s">
        <v>11302</v>
      </c>
    </row>
    <row r="37" spans="1:12" ht="100.8" x14ac:dyDescent="0.3">
      <c r="A37" s="4" t="s">
        <v>201</v>
      </c>
      <c r="B37">
        <v>1</v>
      </c>
      <c r="C37">
        <v>1</v>
      </c>
      <c r="D37">
        <v>2025</v>
      </c>
      <c r="E37" t="s">
        <v>202</v>
      </c>
      <c r="F37">
        <v>0</v>
      </c>
      <c r="G37" t="s">
        <v>11307</v>
      </c>
      <c r="H37" t="s">
        <v>11308</v>
      </c>
      <c r="I37" s="4" t="s">
        <v>11309</v>
      </c>
    </row>
    <row r="38" spans="1:12" ht="201.6" x14ac:dyDescent="0.3">
      <c r="A38" s="4" t="s">
        <v>3136</v>
      </c>
      <c r="B38">
        <v>1</v>
      </c>
      <c r="C38">
        <v>3</v>
      </c>
      <c r="D38">
        <v>2025</v>
      </c>
      <c r="E38" t="s">
        <v>80</v>
      </c>
      <c r="F38">
        <v>2</v>
      </c>
      <c r="G38" t="s">
        <v>11315</v>
      </c>
      <c r="H38" t="s">
        <v>11316</v>
      </c>
      <c r="I38" s="4" t="s">
        <v>11317</v>
      </c>
      <c r="J38" t="s">
        <v>71</v>
      </c>
      <c r="K38" t="s">
        <v>10782</v>
      </c>
      <c r="L38" t="s">
        <v>11318</v>
      </c>
    </row>
    <row r="39" spans="1:12" ht="144" x14ac:dyDescent="0.3">
      <c r="A39" s="4" t="s">
        <v>3137</v>
      </c>
      <c r="B39">
        <v>1</v>
      </c>
      <c r="C39">
        <v>3</v>
      </c>
      <c r="D39">
        <v>2025</v>
      </c>
      <c r="E39" t="s">
        <v>11332</v>
      </c>
      <c r="F39">
        <v>0</v>
      </c>
      <c r="G39" t="s">
        <v>11333</v>
      </c>
      <c r="H39" t="s">
        <v>11334</v>
      </c>
      <c r="I39" s="4" t="s">
        <v>11335</v>
      </c>
      <c r="J39" t="s">
        <v>71</v>
      </c>
      <c r="K39" t="s">
        <v>10782</v>
      </c>
      <c r="L39" t="s">
        <v>11336</v>
      </c>
    </row>
    <row r="40" spans="1:12" ht="244.8" x14ac:dyDescent="0.3">
      <c r="A40" s="4" t="s">
        <v>216</v>
      </c>
      <c r="B40">
        <v>1</v>
      </c>
      <c r="C40">
        <v>1</v>
      </c>
      <c r="D40">
        <v>2025</v>
      </c>
      <c r="E40" t="s">
        <v>217</v>
      </c>
      <c r="F40">
        <v>0</v>
      </c>
      <c r="G40" t="s">
        <v>11350</v>
      </c>
      <c r="H40" t="s">
        <v>11351</v>
      </c>
      <c r="I40" s="4" t="s">
        <v>11352</v>
      </c>
      <c r="J40" t="s">
        <v>71</v>
      </c>
      <c r="K40" t="s">
        <v>10782</v>
      </c>
      <c r="L40" t="s">
        <v>11353</v>
      </c>
    </row>
    <row r="41" spans="1:12" ht="158.4" x14ac:dyDescent="0.3">
      <c r="A41" s="4" t="s">
        <v>226</v>
      </c>
      <c r="B41">
        <v>1</v>
      </c>
      <c r="C41">
        <v>1</v>
      </c>
      <c r="D41">
        <v>2025</v>
      </c>
      <c r="E41" t="s">
        <v>227</v>
      </c>
      <c r="F41">
        <v>0</v>
      </c>
      <c r="G41" t="s">
        <v>11357</v>
      </c>
      <c r="H41" t="s">
        <v>11358</v>
      </c>
      <c r="I41" s="4" t="s">
        <v>11359</v>
      </c>
      <c r="J41" t="s">
        <v>71</v>
      </c>
      <c r="K41" t="s">
        <v>10782</v>
      </c>
      <c r="L41" t="s">
        <v>11360</v>
      </c>
    </row>
    <row r="42" spans="1:12" ht="187.2" x14ac:dyDescent="0.3">
      <c r="A42" s="4" t="s">
        <v>3138</v>
      </c>
      <c r="B42">
        <v>1</v>
      </c>
      <c r="C42">
        <v>3</v>
      </c>
      <c r="D42">
        <v>2025</v>
      </c>
      <c r="E42" t="s">
        <v>217</v>
      </c>
      <c r="F42">
        <v>0</v>
      </c>
      <c r="G42" t="s">
        <v>11373</v>
      </c>
      <c r="H42" t="s">
        <v>11374</v>
      </c>
      <c r="I42" s="4" t="s">
        <v>11375</v>
      </c>
      <c r="J42" t="s">
        <v>71</v>
      </c>
      <c r="K42" t="s">
        <v>10782</v>
      </c>
      <c r="L42" t="s">
        <v>11376</v>
      </c>
    </row>
    <row r="43" spans="1:12" ht="216" x14ac:dyDescent="0.3">
      <c r="A43" s="4" t="s">
        <v>233</v>
      </c>
      <c r="B43">
        <v>1</v>
      </c>
      <c r="C43">
        <v>1</v>
      </c>
      <c r="D43">
        <v>2025</v>
      </c>
      <c r="E43" t="s">
        <v>234</v>
      </c>
      <c r="F43">
        <v>0</v>
      </c>
      <c r="G43" t="s">
        <v>11377</v>
      </c>
      <c r="H43" t="s">
        <v>11378</v>
      </c>
      <c r="I43" s="4" t="s">
        <v>11379</v>
      </c>
      <c r="J43" t="s">
        <v>71</v>
      </c>
      <c r="K43" t="s">
        <v>10782</v>
      </c>
      <c r="L43" t="s">
        <v>11380</v>
      </c>
    </row>
    <row r="44" spans="1:12" ht="244.8" x14ac:dyDescent="0.3">
      <c r="A44" s="4" t="s">
        <v>3139</v>
      </c>
      <c r="B44">
        <v>1</v>
      </c>
      <c r="C44">
        <v>3</v>
      </c>
      <c r="D44">
        <v>2025</v>
      </c>
      <c r="E44" t="s">
        <v>665</v>
      </c>
      <c r="F44">
        <v>0</v>
      </c>
      <c r="G44" t="s">
        <v>11384</v>
      </c>
      <c r="H44" t="s">
        <v>11385</v>
      </c>
      <c r="I44" s="4" t="s">
        <v>11386</v>
      </c>
      <c r="J44" t="s">
        <v>71</v>
      </c>
      <c r="K44" t="s">
        <v>10782</v>
      </c>
      <c r="L44" t="s">
        <v>11387</v>
      </c>
    </row>
    <row r="45" spans="1:12" ht="187.2" x14ac:dyDescent="0.3">
      <c r="A45" s="4" t="s">
        <v>3140</v>
      </c>
      <c r="B45">
        <v>1</v>
      </c>
      <c r="C45">
        <v>3</v>
      </c>
      <c r="D45">
        <v>2025</v>
      </c>
      <c r="E45" t="s">
        <v>918</v>
      </c>
      <c r="F45">
        <v>0</v>
      </c>
      <c r="G45" t="s">
        <v>11392</v>
      </c>
      <c r="H45" t="s">
        <v>11393</v>
      </c>
      <c r="I45" s="4" t="s">
        <v>11394</v>
      </c>
      <c r="J45" t="s">
        <v>71</v>
      </c>
      <c r="K45" t="s">
        <v>10782</v>
      </c>
      <c r="L45" t="s">
        <v>11395</v>
      </c>
    </row>
    <row r="46" spans="1:12" ht="187.2" x14ac:dyDescent="0.3">
      <c r="A46" s="4" t="s">
        <v>3141</v>
      </c>
      <c r="B46">
        <v>1</v>
      </c>
      <c r="C46">
        <v>3</v>
      </c>
      <c r="D46">
        <v>2025</v>
      </c>
      <c r="E46" t="s">
        <v>405</v>
      </c>
      <c r="F46">
        <v>0</v>
      </c>
      <c r="G46" t="s">
        <v>11400</v>
      </c>
      <c r="H46" t="s">
        <v>11401</v>
      </c>
      <c r="I46" s="4" t="s">
        <v>11402</v>
      </c>
      <c r="J46" t="s">
        <v>71</v>
      </c>
      <c r="K46" t="s">
        <v>10782</v>
      </c>
      <c r="L46" t="s">
        <v>11403</v>
      </c>
    </row>
    <row r="47" spans="1:12" ht="187.2" x14ac:dyDescent="0.3">
      <c r="A47" s="4" t="s">
        <v>3142</v>
      </c>
      <c r="B47">
        <v>1</v>
      </c>
      <c r="C47">
        <v>3</v>
      </c>
      <c r="D47">
        <v>2025</v>
      </c>
      <c r="E47" t="s">
        <v>11404</v>
      </c>
      <c r="F47">
        <v>0</v>
      </c>
      <c r="G47" t="s">
        <v>11405</v>
      </c>
      <c r="H47" t="s">
        <v>11406</v>
      </c>
      <c r="I47" s="4" t="s">
        <v>11407</v>
      </c>
      <c r="J47" t="s">
        <v>71</v>
      </c>
      <c r="K47" t="s">
        <v>10782</v>
      </c>
      <c r="L47" t="s">
        <v>11408</v>
      </c>
    </row>
    <row r="48" spans="1:12" ht="172.8" x14ac:dyDescent="0.3">
      <c r="A48" s="4" t="s">
        <v>3143</v>
      </c>
      <c r="B48">
        <v>1</v>
      </c>
      <c r="C48">
        <v>3</v>
      </c>
      <c r="D48">
        <v>2025</v>
      </c>
      <c r="E48" t="s">
        <v>11414</v>
      </c>
      <c r="F48">
        <v>0</v>
      </c>
      <c r="G48" t="s">
        <v>11415</v>
      </c>
      <c r="H48" t="s">
        <v>11416</v>
      </c>
      <c r="I48" s="4" t="s">
        <v>11417</v>
      </c>
      <c r="J48" t="s">
        <v>71</v>
      </c>
      <c r="K48" t="s">
        <v>10782</v>
      </c>
      <c r="L48" t="s">
        <v>11418</v>
      </c>
    </row>
    <row r="49" spans="1:12" ht="216" x14ac:dyDescent="0.3">
      <c r="A49" s="4" t="s">
        <v>3144</v>
      </c>
      <c r="B49">
        <v>1</v>
      </c>
      <c r="C49">
        <v>3</v>
      </c>
      <c r="D49">
        <v>2025</v>
      </c>
      <c r="E49" t="s">
        <v>11294</v>
      </c>
      <c r="F49">
        <v>0</v>
      </c>
      <c r="G49" t="s">
        <v>11428</v>
      </c>
      <c r="H49" t="s">
        <v>11429</v>
      </c>
      <c r="I49" s="4" t="s">
        <v>11430</v>
      </c>
      <c r="J49" t="s">
        <v>71</v>
      </c>
      <c r="K49" t="s">
        <v>10782</v>
      </c>
      <c r="L49" t="s">
        <v>11431</v>
      </c>
    </row>
    <row r="50" spans="1:12" ht="115.2" x14ac:dyDescent="0.3">
      <c r="A50" s="4" t="s">
        <v>3145</v>
      </c>
      <c r="B50">
        <v>1</v>
      </c>
      <c r="C50">
        <v>3</v>
      </c>
      <c r="D50">
        <v>2025</v>
      </c>
      <c r="E50" t="s">
        <v>11457</v>
      </c>
      <c r="F50">
        <v>0</v>
      </c>
      <c r="G50" t="s">
        <v>11458</v>
      </c>
      <c r="H50" t="s">
        <v>11459</v>
      </c>
      <c r="I50" s="4" t="s">
        <v>11460</v>
      </c>
      <c r="J50" t="s">
        <v>71</v>
      </c>
      <c r="K50" t="s">
        <v>10782</v>
      </c>
      <c r="L50" t="s">
        <v>11461</v>
      </c>
    </row>
    <row r="51" spans="1:12" ht="158.4" x14ac:dyDescent="0.3">
      <c r="A51" s="4" t="s">
        <v>3146</v>
      </c>
      <c r="B51">
        <v>1</v>
      </c>
      <c r="C51">
        <v>3</v>
      </c>
      <c r="D51">
        <v>2025</v>
      </c>
      <c r="E51" t="s">
        <v>11481</v>
      </c>
      <c r="F51">
        <v>0</v>
      </c>
      <c r="G51" t="s">
        <v>11482</v>
      </c>
      <c r="H51" t="s">
        <v>11483</v>
      </c>
      <c r="I51" s="4" t="s">
        <v>11484</v>
      </c>
      <c r="J51" t="s">
        <v>71</v>
      </c>
      <c r="K51" t="s">
        <v>10782</v>
      </c>
      <c r="L51" t="s">
        <v>11485</v>
      </c>
    </row>
    <row r="52" spans="1:12" ht="158.4" x14ac:dyDescent="0.3">
      <c r="A52" s="4" t="s">
        <v>3147</v>
      </c>
      <c r="B52">
        <v>1</v>
      </c>
      <c r="C52">
        <v>3</v>
      </c>
      <c r="D52">
        <v>2025</v>
      </c>
      <c r="E52" t="s">
        <v>11500</v>
      </c>
      <c r="F52">
        <v>0</v>
      </c>
      <c r="G52" t="s">
        <v>11501</v>
      </c>
      <c r="H52" t="s">
        <v>11502</v>
      </c>
      <c r="I52" s="4" t="s">
        <v>11503</v>
      </c>
      <c r="J52" t="s">
        <v>71</v>
      </c>
      <c r="K52" t="s">
        <v>10782</v>
      </c>
      <c r="L52" t="s">
        <v>11504</v>
      </c>
    </row>
    <row r="53" spans="1:12" ht="129.6" x14ac:dyDescent="0.3">
      <c r="A53" s="4" t="s">
        <v>244</v>
      </c>
      <c r="B53">
        <v>1</v>
      </c>
      <c r="C53">
        <v>1</v>
      </c>
      <c r="D53">
        <v>2025</v>
      </c>
      <c r="E53" t="s">
        <v>217</v>
      </c>
      <c r="F53">
        <v>0</v>
      </c>
      <c r="G53" t="s">
        <v>11509</v>
      </c>
      <c r="H53" t="s">
        <v>11510</v>
      </c>
      <c r="I53" s="4" t="s">
        <v>11511</v>
      </c>
    </row>
    <row r="54" spans="1:12" ht="144" x14ac:dyDescent="0.3">
      <c r="A54" s="4" t="s">
        <v>3148</v>
      </c>
      <c r="B54">
        <v>1</v>
      </c>
      <c r="C54">
        <v>3</v>
      </c>
      <c r="D54">
        <v>2025</v>
      </c>
      <c r="E54" t="s">
        <v>11512</v>
      </c>
      <c r="F54">
        <v>0</v>
      </c>
      <c r="G54" t="s">
        <v>11513</v>
      </c>
      <c r="H54" t="s">
        <v>11514</v>
      </c>
      <c r="I54" s="4" t="s">
        <v>11515</v>
      </c>
      <c r="J54" t="s">
        <v>71</v>
      </c>
      <c r="K54" t="s">
        <v>10782</v>
      </c>
      <c r="L54" t="s">
        <v>11516</v>
      </c>
    </row>
    <row r="55" spans="1:12" ht="158.4" x14ac:dyDescent="0.3">
      <c r="A55" s="4" t="s">
        <v>255</v>
      </c>
      <c r="B55">
        <v>1</v>
      </c>
      <c r="C55">
        <v>1</v>
      </c>
      <c r="D55">
        <v>2025</v>
      </c>
      <c r="E55" t="s">
        <v>217</v>
      </c>
      <c r="F55">
        <v>2</v>
      </c>
      <c r="G55" t="s">
        <v>11517</v>
      </c>
      <c r="H55" t="s">
        <v>11518</v>
      </c>
      <c r="I55" s="4" t="s">
        <v>11519</v>
      </c>
      <c r="J55" t="s">
        <v>71</v>
      </c>
      <c r="K55" t="s">
        <v>10782</v>
      </c>
      <c r="L55" t="s">
        <v>11520</v>
      </c>
    </row>
    <row r="56" spans="1:12" ht="201.6" x14ac:dyDescent="0.3">
      <c r="A56" s="4" t="s">
        <v>3149</v>
      </c>
      <c r="B56">
        <v>1</v>
      </c>
      <c r="C56">
        <v>3</v>
      </c>
      <c r="D56">
        <v>2025</v>
      </c>
      <c r="E56" t="s">
        <v>11159</v>
      </c>
      <c r="F56">
        <v>0</v>
      </c>
      <c r="G56" t="s">
        <v>11547</v>
      </c>
      <c r="H56" t="s">
        <v>11548</v>
      </c>
      <c r="I56" s="4" t="s">
        <v>11549</v>
      </c>
      <c r="J56" t="s">
        <v>71</v>
      </c>
      <c r="K56" t="s">
        <v>10782</v>
      </c>
      <c r="L56" t="s">
        <v>11550</v>
      </c>
    </row>
    <row r="57" spans="1:12" ht="158.4" x14ac:dyDescent="0.3">
      <c r="A57" s="4" t="s">
        <v>3150</v>
      </c>
      <c r="B57">
        <v>1</v>
      </c>
      <c r="C57">
        <v>2</v>
      </c>
      <c r="D57">
        <v>2025</v>
      </c>
      <c r="E57" t="s">
        <v>11569</v>
      </c>
      <c r="F57">
        <v>0</v>
      </c>
      <c r="G57" t="s">
        <v>11570</v>
      </c>
      <c r="H57" t="s">
        <v>11571</v>
      </c>
      <c r="I57" s="4" t="s">
        <v>11572</v>
      </c>
      <c r="J57" t="s">
        <v>71</v>
      </c>
      <c r="K57" t="s">
        <v>10782</v>
      </c>
      <c r="L57" t="s">
        <v>11573</v>
      </c>
    </row>
    <row r="58" spans="1:12" ht="172.8" x14ac:dyDescent="0.3">
      <c r="A58" s="4" t="s">
        <v>3151</v>
      </c>
      <c r="B58">
        <v>1</v>
      </c>
      <c r="C58">
        <v>3</v>
      </c>
      <c r="D58">
        <v>2025</v>
      </c>
      <c r="E58" t="s">
        <v>217</v>
      </c>
      <c r="F58">
        <v>5</v>
      </c>
      <c r="G58" t="s">
        <v>11578</v>
      </c>
      <c r="H58" t="s">
        <v>11579</v>
      </c>
      <c r="I58" s="4" t="s">
        <v>11580</v>
      </c>
    </row>
    <row r="59" spans="1:12" ht="187.2" x14ac:dyDescent="0.3">
      <c r="A59" s="4" t="s">
        <v>3152</v>
      </c>
      <c r="B59">
        <v>1</v>
      </c>
      <c r="C59">
        <v>3</v>
      </c>
      <c r="D59">
        <v>2025</v>
      </c>
      <c r="E59" t="s">
        <v>147</v>
      </c>
      <c r="F59">
        <v>2</v>
      </c>
      <c r="G59" t="s">
        <v>11590</v>
      </c>
      <c r="H59" t="s">
        <v>11591</v>
      </c>
      <c r="I59" s="4" t="s">
        <v>11592</v>
      </c>
      <c r="J59" t="s">
        <v>71</v>
      </c>
      <c r="K59" t="s">
        <v>10782</v>
      </c>
      <c r="L59" t="s">
        <v>11593</v>
      </c>
    </row>
    <row r="60" spans="1:12" ht="216" x14ac:dyDescent="0.3">
      <c r="A60" s="4" t="s">
        <v>263</v>
      </c>
      <c r="B60">
        <v>1</v>
      </c>
      <c r="C60">
        <v>1</v>
      </c>
      <c r="D60">
        <v>2025</v>
      </c>
      <c r="E60" t="s">
        <v>264</v>
      </c>
      <c r="F60">
        <v>7</v>
      </c>
      <c r="G60" t="s">
        <v>11690</v>
      </c>
      <c r="H60" t="s">
        <v>11691</v>
      </c>
      <c r="I60" s="4" t="s">
        <v>11692</v>
      </c>
      <c r="J60" t="s">
        <v>71</v>
      </c>
      <c r="K60" t="s">
        <v>10782</v>
      </c>
      <c r="L60" t="s">
        <v>11693</v>
      </c>
    </row>
    <row r="61" spans="1:12" ht="129.6" x14ac:dyDescent="0.3">
      <c r="A61" s="4" t="s">
        <v>276</v>
      </c>
      <c r="B61">
        <v>1</v>
      </c>
      <c r="C61">
        <v>1</v>
      </c>
      <c r="D61">
        <v>2024</v>
      </c>
      <c r="E61" t="s">
        <v>277</v>
      </c>
      <c r="F61">
        <v>5</v>
      </c>
      <c r="G61" t="s">
        <v>11737</v>
      </c>
      <c r="H61" t="s">
        <v>11738</v>
      </c>
      <c r="I61" s="4" t="s">
        <v>11739</v>
      </c>
      <c r="J61" t="s">
        <v>71</v>
      </c>
      <c r="K61" t="s">
        <v>10782</v>
      </c>
      <c r="L61" t="s">
        <v>11740</v>
      </c>
    </row>
    <row r="62" spans="1:12" ht="216" x14ac:dyDescent="0.3">
      <c r="A62" s="4" t="s">
        <v>3153</v>
      </c>
      <c r="B62">
        <v>1</v>
      </c>
      <c r="C62">
        <v>3</v>
      </c>
      <c r="D62">
        <v>2024</v>
      </c>
      <c r="E62" t="s">
        <v>2585</v>
      </c>
      <c r="F62">
        <v>0</v>
      </c>
      <c r="G62" t="s">
        <v>11766</v>
      </c>
      <c r="H62" t="s">
        <v>11767</v>
      </c>
      <c r="I62" s="4" t="s">
        <v>11768</v>
      </c>
      <c r="J62" t="s">
        <v>71</v>
      </c>
      <c r="K62" t="s">
        <v>10782</v>
      </c>
      <c r="L62" t="s">
        <v>11769</v>
      </c>
    </row>
    <row r="63" spans="1:12" ht="144" x14ac:dyDescent="0.3">
      <c r="A63" s="4" t="s">
        <v>281</v>
      </c>
      <c r="B63">
        <v>1</v>
      </c>
      <c r="C63">
        <v>1</v>
      </c>
      <c r="D63">
        <v>2024</v>
      </c>
      <c r="E63" t="s">
        <v>282</v>
      </c>
      <c r="F63">
        <v>0</v>
      </c>
      <c r="G63" t="s">
        <v>11770</v>
      </c>
      <c r="H63" t="s">
        <v>11771</v>
      </c>
      <c r="I63" s="4" t="s">
        <v>11772</v>
      </c>
      <c r="J63" t="s">
        <v>71</v>
      </c>
      <c r="K63" t="s">
        <v>10782</v>
      </c>
      <c r="L63" t="s">
        <v>11773</v>
      </c>
    </row>
    <row r="64" spans="1:12" ht="187.2" x14ac:dyDescent="0.3">
      <c r="A64" s="4" t="s">
        <v>3154</v>
      </c>
      <c r="B64">
        <v>1</v>
      </c>
      <c r="C64">
        <v>3</v>
      </c>
      <c r="D64">
        <v>2024</v>
      </c>
      <c r="E64" t="s">
        <v>217</v>
      </c>
      <c r="F64">
        <v>0</v>
      </c>
      <c r="G64" t="s">
        <v>11801</v>
      </c>
      <c r="H64" t="s">
        <v>11802</v>
      </c>
      <c r="I64" s="4" t="s">
        <v>11803</v>
      </c>
      <c r="J64" t="s">
        <v>71</v>
      </c>
      <c r="K64" t="s">
        <v>10782</v>
      </c>
      <c r="L64" t="s">
        <v>11804</v>
      </c>
    </row>
    <row r="65" spans="1:12" ht="115.2" x14ac:dyDescent="0.3">
      <c r="A65" s="4" t="s">
        <v>3155</v>
      </c>
      <c r="B65">
        <v>1</v>
      </c>
      <c r="C65">
        <v>3</v>
      </c>
      <c r="D65">
        <v>2024</v>
      </c>
      <c r="E65" t="s">
        <v>1129</v>
      </c>
      <c r="F65">
        <v>1</v>
      </c>
      <c r="G65" t="s">
        <v>11810</v>
      </c>
      <c r="H65" t="s">
        <v>11811</v>
      </c>
      <c r="I65" s="4" t="s">
        <v>11812</v>
      </c>
    </row>
    <row r="66" spans="1:12" ht="144" x14ac:dyDescent="0.3">
      <c r="A66" s="4" t="s">
        <v>3156</v>
      </c>
      <c r="B66">
        <v>1</v>
      </c>
      <c r="C66">
        <v>3</v>
      </c>
      <c r="D66">
        <v>2024</v>
      </c>
      <c r="E66" t="s">
        <v>1065</v>
      </c>
      <c r="F66">
        <v>0</v>
      </c>
      <c r="G66" t="s">
        <v>11817</v>
      </c>
      <c r="H66" t="s">
        <v>11818</v>
      </c>
      <c r="I66" s="4" t="s">
        <v>11819</v>
      </c>
      <c r="J66" t="s">
        <v>71</v>
      </c>
      <c r="K66" t="s">
        <v>10782</v>
      </c>
      <c r="L66" t="s">
        <v>11820</v>
      </c>
    </row>
    <row r="67" spans="1:12" ht="115.2" x14ac:dyDescent="0.3">
      <c r="A67" s="4" t="s">
        <v>3157</v>
      </c>
      <c r="B67">
        <v>1</v>
      </c>
      <c r="C67">
        <v>3</v>
      </c>
      <c r="D67">
        <v>2024</v>
      </c>
      <c r="E67" t="s">
        <v>11839</v>
      </c>
      <c r="F67">
        <v>0</v>
      </c>
      <c r="G67" t="s">
        <v>11840</v>
      </c>
      <c r="H67" t="s">
        <v>11841</v>
      </c>
      <c r="I67" s="4" t="s">
        <v>11842</v>
      </c>
      <c r="J67" t="s">
        <v>71</v>
      </c>
      <c r="K67" t="s">
        <v>10782</v>
      </c>
      <c r="L67" t="s">
        <v>11843</v>
      </c>
    </row>
    <row r="68" spans="1:12" ht="201.6" x14ac:dyDescent="0.3">
      <c r="A68" s="4" t="s">
        <v>3158</v>
      </c>
      <c r="B68">
        <v>1</v>
      </c>
      <c r="C68">
        <v>3</v>
      </c>
      <c r="D68">
        <v>2024</v>
      </c>
      <c r="E68" t="s">
        <v>329</v>
      </c>
      <c r="F68">
        <v>1</v>
      </c>
      <c r="G68" t="s">
        <v>11844</v>
      </c>
      <c r="H68" t="s">
        <v>11845</v>
      </c>
      <c r="I68" s="4" t="s">
        <v>11846</v>
      </c>
      <c r="J68" t="s">
        <v>71</v>
      </c>
      <c r="K68" t="s">
        <v>10782</v>
      </c>
      <c r="L68" t="s">
        <v>11847</v>
      </c>
    </row>
    <row r="69" spans="1:12" ht="244.8" x14ac:dyDescent="0.3">
      <c r="A69" s="4" t="s">
        <v>3159</v>
      </c>
      <c r="B69">
        <v>1</v>
      </c>
      <c r="C69">
        <v>3</v>
      </c>
      <c r="D69">
        <v>2024</v>
      </c>
      <c r="E69" t="s">
        <v>80</v>
      </c>
      <c r="F69">
        <v>0</v>
      </c>
      <c r="G69" t="s">
        <v>11863</v>
      </c>
      <c r="H69" t="s">
        <v>11864</v>
      </c>
      <c r="I69" s="4" t="s">
        <v>11865</v>
      </c>
      <c r="J69" t="s">
        <v>71</v>
      </c>
      <c r="K69" t="s">
        <v>10782</v>
      </c>
      <c r="L69" t="s">
        <v>11866</v>
      </c>
    </row>
    <row r="70" spans="1:12" ht="158.4" x14ac:dyDescent="0.3">
      <c r="A70" s="4" t="s">
        <v>3160</v>
      </c>
      <c r="B70">
        <v>1</v>
      </c>
      <c r="C70">
        <v>3</v>
      </c>
      <c r="D70">
        <v>2024</v>
      </c>
      <c r="E70" t="s">
        <v>1002</v>
      </c>
      <c r="F70">
        <v>0</v>
      </c>
      <c r="G70" t="s">
        <v>11875</v>
      </c>
      <c r="H70" t="s">
        <v>11876</v>
      </c>
      <c r="I70" s="4" t="s">
        <v>11877</v>
      </c>
      <c r="J70" t="s">
        <v>71</v>
      </c>
      <c r="K70" t="s">
        <v>10782</v>
      </c>
      <c r="L70" t="s">
        <v>11878</v>
      </c>
    </row>
    <row r="71" spans="1:12" ht="216" x14ac:dyDescent="0.3">
      <c r="A71" s="4" t="s">
        <v>3161</v>
      </c>
      <c r="B71">
        <v>1</v>
      </c>
      <c r="C71">
        <v>3</v>
      </c>
      <c r="D71">
        <v>2024</v>
      </c>
      <c r="E71" t="s">
        <v>80</v>
      </c>
      <c r="F71">
        <v>4</v>
      </c>
      <c r="G71" t="s">
        <v>11914</v>
      </c>
      <c r="H71" t="s">
        <v>11915</v>
      </c>
      <c r="I71" s="4" t="s">
        <v>11916</v>
      </c>
      <c r="J71" t="s">
        <v>71</v>
      </c>
      <c r="K71" t="s">
        <v>10782</v>
      </c>
      <c r="L71" t="s">
        <v>11917</v>
      </c>
    </row>
    <row r="72" spans="1:12" ht="201.6" x14ac:dyDescent="0.3">
      <c r="A72" s="4" t="s">
        <v>294</v>
      </c>
      <c r="B72">
        <v>1</v>
      </c>
      <c r="C72">
        <v>1</v>
      </c>
      <c r="D72">
        <v>2024</v>
      </c>
      <c r="E72" t="s">
        <v>217</v>
      </c>
      <c r="F72">
        <v>2</v>
      </c>
      <c r="G72" t="s">
        <v>11918</v>
      </c>
      <c r="H72" t="s">
        <v>11919</v>
      </c>
      <c r="I72" s="4" t="s">
        <v>11920</v>
      </c>
      <c r="J72" t="s">
        <v>71</v>
      </c>
      <c r="K72" t="s">
        <v>10782</v>
      </c>
      <c r="L72" t="s">
        <v>11921</v>
      </c>
    </row>
    <row r="73" spans="1:12" ht="144" x14ac:dyDescent="0.3">
      <c r="A73" s="4" t="s">
        <v>3162</v>
      </c>
      <c r="B73">
        <v>1</v>
      </c>
      <c r="C73">
        <v>3</v>
      </c>
      <c r="D73">
        <v>2024</v>
      </c>
      <c r="E73" t="s">
        <v>10805</v>
      </c>
      <c r="F73">
        <v>1</v>
      </c>
      <c r="G73" t="s">
        <v>11926</v>
      </c>
      <c r="H73" t="s">
        <v>11927</v>
      </c>
      <c r="I73" s="4" t="s">
        <v>11928</v>
      </c>
      <c r="J73" t="s">
        <v>71</v>
      </c>
      <c r="K73" t="s">
        <v>10782</v>
      </c>
      <c r="L73" t="s">
        <v>11929</v>
      </c>
    </row>
    <row r="74" spans="1:12" ht="273.60000000000002" x14ac:dyDescent="0.3">
      <c r="A74" s="4" t="s">
        <v>3163</v>
      </c>
      <c r="B74">
        <v>1</v>
      </c>
      <c r="C74">
        <v>3</v>
      </c>
      <c r="D74">
        <v>2024</v>
      </c>
      <c r="E74" t="s">
        <v>80</v>
      </c>
      <c r="F74">
        <v>0</v>
      </c>
      <c r="G74" t="s">
        <v>11939</v>
      </c>
      <c r="H74" t="s">
        <v>11940</v>
      </c>
      <c r="I74" s="4" t="s">
        <v>11941</v>
      </c>
      <c r="J74" t="s">
        <v>71</v>
      </c>
      <c r="K74" t="s">
        <v>10782</v>
      </c>
      <c r="L74" t="s">
        <v>11942</v>
      </c>
    </row>
    <row r="75" spans="1:12" ht="158.4" x14ac:dyDescent="0.3">
      <c r="A75" s="4" t="s">
        <v>300</v>
      </c>
      <c r="B75">
        <v>1</v>
      </c>
      <c r="C75">
        <v>1</v>
      </c>
      <c r="D75">
        <v>2024</v>
      </c>
      <c r="E75" t="s">
        <v>217</v>
      </c>
      <c r="F75">
        <v>2</v>
      </c>
      <c r="G75" t="s">
        <v>11943</v>
      </c>
      <c r="H75" t="s">
        <v>11944</v>
      </c>
      <c r="I75" s="4" t="s">
        <v>11945</v>
      </c>
      <c r="J75" t="s">
        <v>71</v>
      </c>
      <c r="K75" t="s">
        <v>10782</v>
      </c>
      <c r="L75" t="s">
        <v>11946</v>
      </c>
    </row>
    <row r="76" spans="1:12" ht="172.8" x14ac:dyDescent="0.3">
      <c r="A76" s="4" t="s">
        <v>303</v>
      </c>
      <c r="B76">
        <v>1</v>
      </c>
      <c r="C76">
        <v>1</v>
      </c>
      <c r="D76">
        <v>2024</v>
      </c>
      <c r="E76" t="s">
        <v>277</v>
      </c>
      <c r="F76">
        <v>1</v>
      </c>
      <c r="G76" t="s">
        <v>11959</v>
      </c>
      <c r="H76" t="s">
        <v>11960</v>
      </c>
      <c r="I76" s="4" t="s">
        <v>11961</v>
      </c>
      <c r="J76" t="s">
        <v>71</v>
      </c>
      <c r="K76" t="s">
        <v>10782</v>
      </c>
      <c r="L76" t="s">
        <v>11962</v>
      </c>
    </row>
    <row r="77" spans="1:12" ht="144" x14ac:dyDescent="0.3">
      <c r="A77" s="4" t="s">
        <v>311</v>
      </c>
      <c r="B77">
        <v>1</v>
      </c>
      <c r="C77">
        <v>1</v>
      </c>
      <c r="D77">
        <v>2024</v>
      </c>
      <c r="E77" t="s">
        <v>227</v>
      </c>
      <c r="F77">
        <v>0</v>
      </c>
      <c r="G77" t="s">
        <v>11988</v>
      </c>
      <c r="H77" t="s">
        <v>11989</v>
      </c>
      <c r="I77" s="4" t="s">
        <v>11990</v>
      </c>
      <c r="J77" t="s">
        <v>71</v>
      </c>
      <c r="K77" t="s">
        <v>10782</v>
      </c>
      <c r="L77" t="s">
        <v>11991</v>
      </c>
    </row>
    <row r="78" spans="1:12" ht="115.2" x14ac:dyDescent="0.3">
      <c r="A78" s="4" t="s">
        <v>3164</v>
      </c>
      <c r="B78">
        <v>1</v>
      </c>
      <c r="C78">
        <v>3</v>
      </c>
      <c r="D78">
        <v>2024</v>
      </c>
      <c r="E78" t="s">
        <v>12000</v>
      </c>
      <c r="F78">
        <v>0</v>
      </c>
      <c r="G78" t="s">
        <v>12001</v>
      </c>
      <c r="H78" t="s">
        <v>12002</v>
      </c>
      <c r="I78" s="4" t="s">
        <v>12003</v>
      </c>
      <c r="J78" t="s">
        <v>71</v>
      </c>
      <c r="K78" t="s">
        <v>10782</v>
      </c>
      <c r="L78" t="s">
        <v>12004</v>
      </c>
    </row>
    <row r="79" spans="1:12" ht="244.8" x14ac:dyDescent="0.3">
      <c r="A79" s="4" t="s">
        <v>3165</v>
      </c>
      <c r="B79">
        <v>1</v>
      </c>
      <c r="C79">
        <v>3</v>
      </c>
      <c r="D79">
        <v>2024</v>
      </c>
      <c r="E79" t="s">
        <v>277</v>
      </c>
      <c r="F79">
        <v>0</v>
      </c>
      <c r="G79" t="s">
        <v>12005</v>
      </c>
      <c r="H79" t="s">
        <v>12006</v>
      </c>
      <c r="I79" s="4" t="s">
        <v>12007</v>
      </c>
      <c r="J79" t="s">
        <v>71</v>
      </c>
      <c r="K79" t="s">
        <v>10782</v>
      </c>
      <c r="L79" t="s">
        <v>12008</v>
      </c>
    </row>
    <row r="80" spans="1:12" ht="230.4" x14ac:dyDescent="0.3">
      <c r="A80" s="4" t="s">
        <v>3166</v>
      </c>
      <c r="B80">
        <v>1</v>
      </c>
      <c r="C80">
        <v>3</v>
      </c>
      <c r="D80">
        <v>2024</v>
      </c>
      <c r="E80" t="s">
        <v>318</v>
      </c>
      <c r="F80">
        <v>0</v>
      </c>
      <c r="G80" t="s">
        <v>12020</v>
      </c>
      <c r="H80" t="s">
        <v>12021</v>
      </c>
      <c r="I80" s="4" t="s">
        <v>12022</v>
      </c>
      <c r="J80" t="s">
        <v>71</v>
      </c>
      <c r="K80" t="s">
        <v>10782</v>
      </c>
      <c r="L80" t="s">
        <v>12023</v>
      </c>
    </row>
    <row r="81" spans="1:12" ht="100.8" x14ac:dyDescent="0.3">
      <c r="A81" s="4" t="s">
        <v>317</v>
      </c>
      <c r="B81">
        <v>1</v>
      </c>
      <c r="C81">
        <v>1</v>
      </c>
      <c r="D81">
        <v>2024</v>
      </c>
      <c r="E81" t="s">
        <v>318</v>
      </c>
      <c r="F81">
        <v>4</v>
      </c>
      <c r="G81" t="s">
        <v>12046</v>
      </c>
      <c r="H81" t="s">
        <v>12047</v>
      </c>
      <c r="I81" s="4" t="s">
        <v>12048</v>
      </c>
    </row>
    <row r="82" spans="1:12" ht="158.4" x14ac:dyDescent="0.3">
      <c r="A82" s="4" t="s">
        <v>3167</v>
      </c>
      <c r="B82">
        <v>1</v>
      </c>
      <c r="C82">
        <v>3</v>
      </c>
      <c r="D82">
        <v>2024</v>
      </c>
      <c r="E82" t="s">
        <v>147</v>
      </c>
      <c r="F82">
        <v>4</v>
      </c>
      <c r="G82" t="s">
        <v>12064</v>
      </c>
      <c r="H82" t="s">
        <v>12065</v>
      </c>
      <c r="I82" s="4" t="s">
        <v>12066</v>
      </c>
      <c r="J82" t="s">
        <v>71</v>
      </c>
      <c r="K82" t="s">
        <v>10782</v>
      </c>
      <c r="L82" t="s">
        <v>12067</v>
      </c>
    </row>
    <row r="83" spans="1:12" ht="129.6" x14ac:dyDescent="0.3">
      <c r="A83" s="4" t="s">
        <v>3168</v>
      </c>
      <c r="B83">
        <v>1</v>
      </c>
      <c r="C83">
        <v>3</v>
      </c>
      <c r="D83">
        <v>2024</v>
      </c>
      <c r="E83" t="s">
        <v>1129</v>
      </c>
      <c r="F83">
        <v>5</v>
      </c>
      <c r="G83" t="s">
        <v>12068</v>
      </c>
      <c r="H83" t="s">
        <v>12069</v>
      </c>
      <c r="I83" s="4" t="s">
        <v>12070</v>
      </c>
      <c r="J83" t="s">
        <v>71</v>
      </c>
      <c r="K83" t="s">
        <v>10782</v>
      </c>
      <c r="L83" t="s">
        <v>12071</v>
      </c>
    </row>
    <row r="84" spans="1:12" ht="187.2" x14ac:dyDescent="0.3">
      <c r="A84" s="4" t="s">
        <v>3169</v>
      </c>
      <c r="B84">
        <v>1</v>
      </c>
      <c r="C84">
        <v>3</v>
      </c>
      <c r="D84">
        <v>2024</v>
      </c>
      <c r="E84" t="s">
        <v>277</v>
      </c>
      <c r="F84">
        <v>2</v>
      </c>
      <c r="G84" t="s">
        <v>12089</v>
      </c>
      <c r="H84" t="s">
        <v>12090</v>
      </c>
      <c r="I84" s="4" t="s">
        <v>12091</v>
      </c>
      <c r="J84" t="s">
        <v>71</v>
      </c>
      <c r="K84" t="s">
        <v>10782</v>
      </c>
      <c r="L84" t="s">
        <v>12092</v>
      </c>
    </row>
    <row r="85" spans="1:12" ht="216" x14ac:dyDescent="0.3">
      <c r="A85" s="4" t="s">
        <v>3170</v>
      </c>
      <c r="B85">
        <v>1</v>
      </c>
      <c r="C85">
        <v>3</v>
      </c>
      <c r="D85">
        <v>2024</v>
      </c>
      <c r="E85" t="s">
        <v>329</v>
      </c>
      <c r="F85">
        <v>0</v>
      </c>
      <c r="G85" t="s">
        <v>12133</v>
      </c>
      <c r="H85" t="s">
        <v>12134</v>
      </c>
      <c r="I85" s="4" t="s">
        <v>12135</v>
      </c>
      <c r="J85" t="s">
        <v>71</v>
      </c>
      <c r="K85" t="s">
        <v>10782</v>
      </c>
      <c r="L85" t="s">
        <v>12136</v>
      </c>
    </row>
    <row r="86" spans="1:12" ht="230.4" x14ac:dyDescent="0.3">
      <c r="A86" s="4" t="s">
        <v>3171</v>
      </c>
      <c r="B86">
        <v>1</v>
      </c>
      <c r="C86">
        <v>3</v>
      </c>
      <c r="D86">
        <v>2024</v>
      </c>
      <c r="E86" t="s">
        <v>11041</v>
      </c>
      <c r="F86">
        <v>1</v>
      </c>
      <c r="G86" t="s">
        <v>12141</v>
      </c>
      <c r="H86" t="s">
        <v>12142</v>
      </c>
      <c r="I86" s="4" t="s">
        <v>12143</v>
      </c>
      <c r="J86" t="s">
        <v>71</v>
      </c>
      <c r="K86" t="s">
        <v>10782</v>
      </c>
      <c r="L86" t="s">
        <v>12144</v>
      </c>
    </row>
    <row r="87" spans="1:12" ht="158.4" x14ac:dyDescent="0.3">
      <c r="A87" s="4" t="s">
        <v>323</v>
      </c>
      <c r="B87">
        <v>1</v>
      </c>
      <c r="C87">
        <v>1</v>
      </c>
      <c r="D87">
        <v>2024</v>
      </c>
      <c r="E87" t="s">
        <v>277</v>
      </c>
      <c r="F87">
        <v>4</v>
      </c>
      <c r="G87" t="s">
        <v>12149</v>
      </c>
      <c r="H87" t="s">
        <v>12150</v>
      </c>
      <c r="I87" s="4" t="s">
        <v>12151</v>
      </c>
      <c r="J87" t="s">
        <v>71</v>
      </c>
      <c r="K87" t="s">
        <v>10782</v>
      </c>
      <c r="L87" t="s">
        <v>12152</v>
      </c>
    </row>
    <row r="88" spans="1:12" ht="187.2" x14ac:dyDescent="0.3">
      <c r="A88" s="4" t="s">
        <v>328</v>
      </c>
      <c r="B88">
        <v>1</v>
      </c>
      <c r="C88">
        <v>1</v>
      </c>
      <c r="D88">
        <v>2024</v>
      </c>
      <c r="E88" t="s">
        <v>329</v>
      </c>
      <c r="F88">
        <v>1</v>
      </c>
      <c r="G88" t="s">
        <v>12153</v>
      </c>
      <c r="H88" t="s">
        <v>12154</v>
      </c>
      <c r="I88" s="4" t="s">
        <v>12155</v>
      </c>
      <c r="J88" t="s">
        <v>71</v>
      </c>
      <c r="K88" t="s">
        <v>10782</v>
      </c>
      <c r="L88" t="s">
        <v>12156</v>
      </c>
    </row>
    <row r="89" spans="1:12" ht="144" x14ac:dyDescent="0.3">
      <c r="A89" s="4" t="s">
        <v>338</v>
      </c>
      <c r="B89">
        <v>1</v>
      </c>
      <c r="C89">
        <v>1</v>
      </c>
      <c r="D89">
        <v>2024</v>
      </c>
      <c r="E89" t="s">
        <v>318</v>
      </c>
      <c r="F89">
        <v>4</v>
      </c>
      <c r="G89" t="s">
        <v>12190</v>
      </c>
      <c r="H89" t="s">
        <v>12191</v>
      </c>
      <c r="I89" s="4" t="s">
        <v>12192</v>
      </c>
      <c r="J89" t="s">
        <v>71</v>
      </c>
      <c r="K89" t="s">
        <v>10782</v>
      </c>
      <c r="L89" t="s">
        <v>12193</v>
      </c>
    </row>
    <row r="90" spans="1:12" ht="187.2" x14ac:dyDescent="0.3">
      <c r="A90" s="4" t="s">
        <v>3172</v>
      </c>
      <c r="B90">
        <v>1</v>
      </c>
      <c r="C90">
        <v>3</v>
      </c>
      <c r="D90">
        <v>2024</v>
      </c>
      <c r="E90" t="s">
        <v>318</v>
      </c>
      <c r="F90">
        <v>7</v>
      </c>
      <c r="G90" t="s">
        <v>12223</v>
      </c>
      <c r="H90" t="s">
        <v>12224</v>
      </c>
      <c r="I90" s="4" t="s">
        <v>12225</v>
      </c>
      <c r="J90" t="s">
        <v>71</v>
      </c>
      <c r="K90" t="s">
        <v>10782</v>
      </c>
      <c r="L90" t="s">
        <v>12226</v>
      </c>
    </row>
    <row r="91" spans="1:12" ht="187.2" x14ac:dyDescent="0.3">
      <c r="A91" s="4" t="s">
        <v>339</v>
      </c>
      <c r="B91">
        <v>1</v>
      </c>
      <c r="C91">
        <v>1</v>
      </c>
      <c r="D91">
        <v>2024</v>
      </c>
      <c r="E91" t="s">
        <v>277</v>
      </c>
      <c r="F91">
        <v>18</v>
      </c>
      <c r="G91" t="s">
        <v>12282</v>
      </c>
      <c r="H91" t="s">
        <v>12283</v>
      </c>
      <c r="I91" s="4" t="s">
        <v>12284</v>
      </c>
      <c r="J91" t="s">
        <v>71</v>
      </c>
      <c r="K91" t="s">
        <v>10782</v>
      </c>
      <c r="L91" t="s">
        <v>12285</v>
      </c>
    </row>
    <row r="92" spans="1:12" ht="201.6" x14ac:dyDescent="0.3">
      <c r="A92" s="4" t="s">
        <v>3173</v>
      </c>
      <c r="B92">
        <v>1</v>
      </c>
      <c r="C92">
        <v>3</v>
      </c>
      <c r="D92">
        <v>2024</v>
      </c>
      <c r="E92" t="s">
        <v>2853</v>
      </c>
      <c r="F92">
        <v>1</v>
      </c>
      <c r="G92" t="s">
        <v>12298</v>
      </c>
      <c r="H92" t="s">
        <v>12299</v>
      </c>
      <c r="I92" s="4" t="s">
        <v>12300</v>
      </c>
      <c r="J92" t="s">
        <v>71</v>
      </c>
      <c r="K92" t="s">
        <v>10782</v>
      </c>
      <c r="L92" t="s">
        <v>12301</v>
      </c>
    </row>
    <row r="93" spans="1:12" ht="172.8" x14ac:dyDescent="0.3">
      <c r="A93" s="4" t="s">
        <v>351</v>
      </c>
      <c r="B93">
        <v>1</v>
      </c>
      <c r="C93">
        <v>1</v>
      </c>
      <c r="D93">
        <v>2024</v>
      </c>
      <c r="E93" t="s">
        <v>363</v>
      </c>
      <c r="F93">
        <v>4</v>
      </c>
      <c r="G93" t="s">
        <v>12302</v>
      </c>
      <c r="H93" t="s">
        <v>12303</v>
      </c>
      <c r="I93" s="4" t="s">
        <v>12304</v>
      </c>
      <c r="J93" t="s">
        <v>71</v>
      </c>
      <c r="K93" t="s">
        <v>10782</v>
      </c>
      <c r="L93" t="s">
        <v>12305</v>
      </c>
    </row>
    <row r="94" spans="1:12" ht="216" x14ac:dyDescent="0.3">
      <c r="A94" s="4" t="s">
        <v>352</v>
      </c>
      <c r="B94">
        <v>1</v>
      </c>
      <c r="C94">
        <v>1</v>
      </c>
      <c r="D94">
        <v>2024</v>
      </c>
      <c r="E94" t="s">
        <v>234</v>
      </c>
      <c r="F94">
        <v>2</v>
      </c>
      <c r="G94" t="s">
        <v>12323</v>
      </c>
      <c r="H94" t="s">
        <v>12324</v>
      </c>
      <c r="I94" s="4" t="s">
        <v>12325</v>
      </c>
      <c r="J94" t="s">
        <v>71</v>
      </c>
      <c r="K94" t="s">
        <v>10782</v>
      </c>
      <c r="L94" t="s">
        <v>12326</v>
      </c>
    </row>
    <row r="95" spans="1:12" ht="216" x14ac:dyDescent="0.3">
      <c r="A95" s="4" t="s">
        <v>3174</v>
      </c>
      <c r="B95">
        <v>1</v>
      </c>
      <c r="C95">
        <v>3</v>
      </c>
      <c r="D95">
        <v>2024</v>
      </c>
      <c r="E95" t="s">
        <v>147</v>
      </c>
      <c r="F95">
        <v>0</v>
      </c>
      <c r="G95" t="s">
        <v>12327</v>
      </c>
      <c r="H95" t="s">
        <v>12328</v>
      </c>
      <c r="I95" s="4" t="s">
        <v>12329</v>
      </c>
      <c r="J95" t="s">
        <v>71</v>
      </c>
      <c r="K95" t="s">
        <v>10782</v>
      </c>
      <c r="L95" t="s">
        <v>12330</v>
      </c>
    </row>
    <row r="96" spans="1:12" ht="230.4" x14ac:dyDescent="0.3">
      <c r="A96" s="4" t="s">
        <v>3175</v>
      </c>
      <c r="B96">
        <v>1</v>
      </c>
      <c r="C96">
        <v>3</v>
      </c>
      <c r="D96">
        <v>2024</v>
      </c>
      <c r="E96" t="s">
        <v>329</v>
      </c>
      <c r="F96">
        <v>1</v>
      </c>
      <c r="G96" t="s">
        <v>12331</v>
      </c>
      <c r="H96" t="s">
        <v>12332</v>
      </c>
      <c r="I96" s="4" t="s">
        <v>12333</v>
      </c>
      <c r="J96" t="s">
        <v>71</v>
      </c>
      <c r="K96" t="s">
        <v>10782</v>
      </c>
      <c r="L96" t="s">
        <v>12334</v>
      </c>
    </row>
    <row r="97" spans="1:12" ht="216" x14ac:dyDescent="0.3">
      <c r="A97" s="4" t="s">
        <v>353</v>
      </c>
      <c r="B97">
        <v>1</v>
      </c>
      <c r="C97">
        <v>1</v>
      </c>
      <c r="D97">
        <v>2024</v>
      </c>
      <c r="E97" t="s">
        <v>380</v>
      </c>
      <c r="F97">
        <v>0</v>
      </c>
      <c r="G97" t="s">
        <v>12344</v>
      </c>
      <c r="H97" t="s">
        <v>12345</v>
      </c>
      <c r="I97" s="4" t="s">
        <v>12346</v>
      </c>
      <c r="J97" t="s">
        <v>71</v>
      </c>
      <c r="K97" t="s">
        <v>10782</v>
      </c>
      <c r="L97" t="s">
        <v>12347</v>
      </c>
    </row>
    <row r="98" spans="1:12" ht="129.6" x14ac:dyDescent="0.3">
      <c r="A98" s="4" t="s">
        <v>354</v>
      </c>
      <c r="B98">
        <v>1</v>
      </c>
      <c r="C98">
        <v>1</v>
      </c>
      <c r="D98">
        <v>2024</v>
      </c>
      <c r="E98" t="s">
        <v>385</v>
      </c>
      <c r="F98">
        <v>1</v>
      </c>
      <c r="G98" t="s">
        <v>12352</v>
      </c>
      <c r="H98" t="s">
        <v>12353</v>
      </c>
      <c r="I98" s="4" t="s">
        <v>12354</v>
      </c>
      <c r="J98" t="s">
        <v>71</v>
      </c>
      <c r="K98" t="s">
        <v>10782</v>
      </c>
      <c r="L98" t="s">
        <v>12355</v>
      </c>
    </row>
    <row r="99" spans="1:12" ht="187.2" x14ac:dyDescent="0.3">
      <c r="A99" s="4" t="s">
        <v>3176</v>
      </c>
      <c r="B99">
        <v>1</v>
      </c>
      <c r="C99">
        <v>3</v>
      </c>
      <c r="D99">
        <v>2024</v>
      </c>
      <c r="E99" t="s">
        <v>12378</v>
      </c>
      <c r="F99">
        <v>0</v>
      </c>
      <c r="G99" t="s">
        <v>12379</v>
      </c>
      <c r="H99" t="s">
        <v>12380</v>
      </c>
      <c r="I99" s="4" t="s">
        <v>12381</v>
      </c>
      <c r="J99" t="s">
        <v>71</v>
      </c>
      <c r="K99" t="s">
        <v>10782</v>
      </c>
      <c r="L99" t="s">
        <v>12382</v>
      </c>
    </row>
    <row r="100" spans="1:12" ht="172.8" x14ac:dyDescent="0.3">
      <c r="A100" s="4" t="s">
        <v>3177</v>
      </c>
      <c r="B100">
        <v>1</v>
      </c>
      <c r="C100">
        <v>3</v>
      </c>
      <c r="D100">
        <v>2024</v>
      </c>
      <c r="E100" t="s">
        <v>217</v>
      </c>
      <c r="F100">
        <v>3</v>
      </c>
      <c r="G100" t="s">
        <v>12387</v>
      </c>
      <c r="H100" t="s">
        <v>12388</v>
      </c>
      <c r="I100" s="4" t="s">
        <v>12389</v>
      </c>
      <c r="J100" t="s">
        <v>71</v>
      </c>
      <c r="K100" t="s">
        <v>10782</v>
      </c>
      <c r="L100" t="s">
        <v>12390</v>
      </c>
    </row>
    <row r="101" spans="1:12" ht="158.4" x14ac:dyDescent="0.3">
      <c r="A101" s="4" t="s">
        <v>3178</v>
      </c>
      <c r="B101">
        <v>1</v>
      </c>
      <c r="C101">
        <v>3</v>
      </c>
      <c r="D101">
        <v>2024</v>
      </c>
      <c r="E101" t="s">
        <v>704</v>
      </c>
      <c r="F101">
        <v>0</v>
      </c>
      <c r="G101" t="s">
        <v>12394</v>
      </c>
      <c r="H101" t="s">
        <v>12395</v>
      </c>
      <c r="I101" s="4" t="s">
        <v>12396</v>
      </c>
      <c r="J101" t="s">
        <v>71</v>
      </c>
      <c r="K101" t="s">
        <v>10782</v>
      </c>
      <c r="L101" t="s">
        <v>12397</v>
      </c>
    </row>
    <row r="102" spans="1:12" ht="158.4" x14ac:dyDescent="0.3">
      <c r="A102" s="4" t="s">
        <v>389</v>
      </c>
      <c r="B102">
        <v>1</v>
      </c>
      <c r="C102">
        <v>1</v>
      </c>
      <c r="D102">
        <v>2024</v>
      </c>
      <c r="E102" t="s">
        <v>147</v>
      </c>
      <c r="F102">
        <v>4</v>
      </c>
      <c r="G102" t="s">
        <v>12470</v>
      </c>
      <c r="H102" t="s">
        <v>12471</v>
      </c>
      <c r="I102" s="4" t="s">
        <v>12472</v>
      </c>
      <c r="J102" t="s">
        <v>71</v>
      </c>
      <c r="K102" t="s">
        <v>10782</v>
      </c>
      <c r="L102" t="s">
        <v>12473</v>
      </c>
    </row>
    <row r="103" spans="1:12" ht="172.8" x14ac:dyDescent="0.3">
      <c r="A103" s="4" t="s">
        <v>3179</v>
      </c>
      <c r="B103">
        <v>1</v>
      </c>
      <c r="C103">
        <v>3</v>
      </c>
      <c r="D103">
        <v>2024</v>
      </c>
      <c r="E103" t="s">
        <v>811</v>
      </c>
      <c r="F103">
        <v>16</v>
      </c>
      <c r="G103" t="s">
        <v>12478</v>
      </c>
      <c r="H103" t="s">
        <v>12479</v>
      </c>
      <c r="I103" s="4" t="s">
        <v>12480</v>
      </c>
      <c r="J103" t="s">
        <v>71</v>
      </c>
      <c r="K103" t="s">
        <v>10782</v>
      </c>
      <c r="L103" t="s">
        <v>12481</v>
      </c>
    </row>
    <row r="104" spans="1:12" ht="201.6" x14ac:dyDescent="0.3">
      <c r="A104" s="4" t="s">
        <v>397</v>
      </c>
      <c r="B104">
        <v>1</v>
      </c>
      <c r="C104">
        <v>1</v>
      </c>
      <c r="D104">
        <v>2024</v>
      </c>
      <c r="E104" t="s">
        <v>398</v>
      </c>
      <c r="F104">
        <v>0</v>
      </c>
      <c r="G104" t="s">
        <v>12503</v>
      </c>
      <c r="H104" t="s">
        <v>12504</v>
      </c>
      <c r="I104" s="4" t="s">
        <v>12505</v>
      </c>
      <c r="J104" t="s">
        <v>71</v>
      </c>
      <c r="K104" t="s">
        <v>10782</v>
      </c>
      <c r="L104" t="s">
        <v>12506</v>
      </c>
    </row>
    <row r="105" spans="1:12" ht="158.4" x14ac:dyDescent="0.3">
      <c r="A105" s="4" t="s">
        <v>3180</v>
      </c>
      <c r="B105">
        <v>1</v>
      </c>
      <c r="C105">
        <v>3</v>
      </c>
      <c r="D105">
        <v>2024</v>
      </c>
      <c r="E105" t="s">
        <v>550</v>
      </c>
      <c r="F105">
        <v>2</v>
      </c>
      <c r="G105" t="s">
        <v>12511</v>
      </c>
      <c r="H105" t="s">
        <v>12512</v>
      </c>
      <c r="I105" s="4" t="s">
        <v>12513</v>
      </c>
      <c r="J105" t="s">
        <v>71</v>
      </c>
      <c r="K105" t="s">
        <v>10782</v>
      </c>
      <c r="L105" t="s">
        <v>12514</v>
      </c>
    </row>
    <row r="106" spans="1:12" ht="158.4" x14ac:dyDescent="0.3">
      <c r="A106" s="4" t="s">
        <v>3181</v>
      </c>
      <c r="B106">
        <v>1</v>
      </c>
      <c r="C106">
        <v>3</v>
      </c>
      <c r="D106">
        <v>2024</v>
      </c>
      <c r="E106" t="s">
        <v>405</v>
      </c>
      <c r="F106">
        <v>1</v>
      </c>
      <c r="G106" t="s">
        <v>12528</v>
      </c>
      <c r="H106" t="s">
        <v>12529</v>
      </c>
      <c r="I106" s="4" t="s">
        <v>12530</v>
      </c>
      <c r="J106" t="s">
        <v>71</v>
      </c>
      <c r="K106" t="s">
        <v>10782</v>
      </c>
      <c r="L106" t="s">
        <v>12531</v>
      </c>
    </row>
    <row r="107" spans="1:12" ht="201.6" x14ac:dyDescent="0.3">
      <c r="A107" s="4" t="s">
        <v>403</v>
      </c>
      <c r="B107">
        <v>1</v>
      </c>
      <c r="C107">
        <v>1</v>
      </c>
      <c r="D107">
        <v>2024</v>
      </c>
      <c r="E107" t="s">
        <v>405</v>
      </c>
      <c r="F107">
        <v>1</v>
      </c>
      <c r="G107" t="s">
        <v>12589</v>
      </c>
      <c r="H107" t="s">
        <v>12590</v>
      </c>
      <c r="I107" s="4" t="s">
        <v>12591</v>
      </c>
      <c r="J107" t="s">
        <v>71</v>
      </c>
      <c r="K107" t="s">
        <v>10782</v>
      </c>
      <c r="L107" t="s">
        <v>12592</v>
      </c>
    </row>
    <row r="108" spans="1:12" ht="187.2" x14ac:dyDescent="0.3">
      <c r="A108" s="4" t="s">
        <v>3182</v>
      </c>
      <c r="B108">
        <v>1</v>
      </c>
      <c r="C108">
        <v>3</v>
      </c>
      <c r="D108">
        <v>2024</v>
      </c>
      <c r="E108" t="s">
        <v>637</v>
      </c>
      <c r="F108">
        <v>1</v>
      </c>
      <c r="G108" t="s">
        <v>12605</v>
      </c>
      <c r="H108" t="s">
        <v>12606</v>
      </c>
      <c r="I108" s="4" t="s">
        <v>12607</v>
      </c>
      <c r="J108" t="s">
        <v>71</v>
      </c>
      <c r="K108" t="s">
        <v>10782</v>
      </c>
      <c r="L108" t="s">
        <v>12608</v>
      </c>
    </row>
    <row r="109" spans="1:12" ht="144" x14ac:dyDescent="0.3">
      <c r="A109" s="4" t="s">
        <v>412</v>
      </c>
      <c r="B109">
        <v>1</v>
      </c>
      <c r="C109">
        <v>1</v>
      </c>
      <c r="D109">
        <v>2024</v>
      </c>
      <c r="E109" t="s">
        <v>398</v>
      </c>
      <c r="F109">
        <v>0</v>
      </c>
      <c r="G109" t="s">
        <v>12623</v>
      </c>
      <c r="H109" t="s">
        <v>12624</v>
      </c>
      <c r="I109" s="4" t="s">
        <v>12625</v>
      </c>
      <c r="J109" t="s">
        <v>71</v>
      </c>
      <c r="K109" t="s">
        <v>10782</v>
      </c>
      <c r="L109" t="s">
        <v>12626</v>
      </c>
    </row>
    <row r="110" spans="1:12" ht="144" x14ac:dyDescent="0.3">
      <c r="A110" s="4" t="s">
        <v>420</v>
      </c>
      <c r="B110">
        <v>1</v>
      </c>
      <c r="C110">
        <v>1</v>
      </c>
      <c r="D110">
        <v>2024</v>
      </c>
      <c r="E110" t="s">
        <v>329</v>
      </c>
      <c r="F110">
        <v>0</v>
      </c>
      <c r="G110" t="s">
        <v>12631</v>
      </c>
      <c r="H110" t="s">
        <v>12632</v>
      </c>
      <c r="I110" s="4" t="s">
        <v>12633</v>
      </c>
      <c r="J110" t="s">
        <v>71</v>
      </c>
      <c r="K110" t="s">
        <v>10782</v>
      </c>
      <c r="L110" t="s">
        <v>12634</v>
      </c>
    </row>
    <row r="111" spans="1:12" ht="216" x14ac:dyDescent="0.3">
      <c r="A111" s="4" t="s">
        <v>3183</v>
      </c>
      <c r="B111">
        <v>1</v>
      </c>
      <c r="C111">
        <v>3</v>
      </c>
      <c r="D111">
        <v>2024</v>
      </c>
      <c r="E111" t="s">
        <v>217</v>
      </c>
      <c r="F111">
        <v>0</v>
      </c>
      <c r="G111" t="s">
        <v>12638</v>
      </c>
      <c r="H111" t="s">
        <v>12639</v>
      </c>
      <c r="I111" s="4" t="s">
        <v>12640</v>
      </c>
      <c r="J111" t="s">
        <v>71</v>
      </c>
      <c r="K111" t="s">
        <v>10782</v>
      </c>
      <c r="L111" t="s">
        <v>12641</v>
      </c>
    </row>
    <row r="112" spans="1:12" ht="273.60000000000002" x14ac:dyDescent="0.3">
      <c r="A112" s="4" t="s">
        <v>3184</v>
      </c>
      <c r="B112">
        <v>1</v>
      </c>
      <c r="C112">
        <v>3</v>
      </c>
      <c r="D112">
        <v>2024</v>
      </c>
      <c r="E112" t="s">
        <v>637</v>
      </c>
      <c r="F112">
        <v>0</v>
      </c>
      <c r="G112" t="s">
        <v>12647</v>
      </c>
      <c r="H112" t="s">
        <v>12648</v>
      </c>
      <c r="I112" s="4" t="s">
        <v>12649</v>
      </c>
      <c r="J112" t="s">
        <v>71</v>
      </c>
      <c r="K112" t="s">
        <v>10782</v>
      </c>
      <c r="L112" t="s">
        <v>12650</v>
      </c>
    </row>
    <row r="113" spans="1:12" ht="158.4" x14ac:dyDescent="0.3">
      <c r="A113" s="4" t="s">
        <v>3185</v>
      </c>
      <c r="B113">
        <v>1</v>
      </c>
      <c r="C113">
        <v>3</v>
      </c>
      <c r="D113">
        <v>2024</v>
      </c>
      <c r="E113" t="s">
        <v>217</v>
      </c>
      <c r="F113">
        <v>1</v>
      </c>
      <c r="G113" t="s">
        <v>12686</v>
      </c>
      <c r="H113" t="s">
        <v>12687</v>
      </c>
      <c r="I113" s="4" t="s">
        <v>12688</v>
      </c>
      <c r="J113" t="s">
        <v>71</v>
      </c>
      <c r="K113" t="s">
        <v>10782</v>
      </c>
      <c r="L113" t="s">
        <v>12689</v>
      </c>
    </row>
    <row r="114" spans="1:12" ht="144" x14ac:dyDescent="0.3">
      <c r="A114" s="4" t="s">
        <v>3186</v>
      </c>
      <c r="B114">
        <v>1</v>
      </c>
      <c r="C114">
        <v>3</v>
      </c>
      <c r="D114">
        <v>2024</v>
      </c>
      <c r="E114" t="s">
        <v>637</v>
      </c>
      <c r="F114">
        <v>3</v>
      </c>
      <c r="G114" t="s">
        <v>12701</v>
      </c>
      <c r="H114" t="s">
        <v>12702</v>
      </c>
      <c r="I114" s="4" t="s">
        <v>12703</v>
      </c>
      <c r="J114" t="s">
        <v>71</v>
      </c>
      <c r="K114" t="s">
        <v>10782</v>
      </c>
      <c r="L114" t="s">
        <v>12704</v>
      </c>
    </row>
    <row r="115" spans="1:12" ht="144" x14ac:dyDescent="0.3">
      <c r="A115" s="4" t="s">
        <v>3187</v>
      </c>
      <c r="B115">
        <v>1</v>
      </c>
      <c r="C115">
        <v>3</v>
      </c>
      <c r="D115">
        <v>2024</v>
      </c>
      <c r="E115" t="s">
        <v>432</v>
      </c>
      <c r="F115">
        <v>1</v>
      </c>
      <c r="G115" t="s">
        <v>12705</v>
      </c>
      <c r="H115" t="s">
        <v>12706</v>
      </c>
      <c r="I115" s="4" t="s">
        <v>12707</v>
      </c>
      <c r="J115" t="s">
        <v>71</v>
      </c>
      <c r="K115" t="s">
        <v>10782</v>
      </c>
      <c r="L115" t="s">
        <v>12708</v>
      </c>
    </row>
    <row r="116" spans="1:12" ht="158.4" x14ac:dyDescent="0.3">
      <c r="A116" s="4" t="s">
        <v>431</v>
      </c>
      <c r="B116">
        <v>1</v>
      </c>
      <c r="C116">
        <v>1</v>
      </c>
      <c r="D116">
        <v>2024</v>
      </c>
      <c r="E116" t="s">
        <v>432</v>
      </c>
      <c r="F116">
        <v>0</v>
      </c>
      <c r="G116" t="s">
        <v>12713</v>
      </c>
      <c r="H116" t="s">
        <v>12714</v>
      </c>
      <c r="I116" s="4" t="s">
        <v>12715</v>
      </c>
      <c r="J116" t="s">
        <v>71</v>
      </c>
      <c r="K116" t="s">
        <v>10782</v>
      </c>
      <c r="L116" t="s">
        <v>12716</v>
      </c>
    </row>
    <row r="117" spans="1:12" ht="187.2" x14ac:dyDescent="0.3">
      <c r="A117" s="4" t="s">
        <v>3188</v>
      </c>
      <c r="B117">
        <v>1</v>
      </c>
      <c r="C117">
        <v>3</v>
      </c>
      <c r="D117">
        <v>2024</v>
      </c>
      <c r="E117" t="s">
        <v>2416</v>
      </c>
      <c r="F117">
        <v>0</v>
      </c>
      <c r="G117" t="s">
        <v>12721</v>
      </c>
      <c r="H117" t="s">
        <v>12722</v>
      </c>
      <c r="I117" s="4" t="s">
        <v>12723</v>
      </c>
      <c r="J117" t="s">
        <v>71</v>
      </c>
      <c r="K117" t="s">
        <v>10782</v>
      </c>
      <c r="L117" t="s">
        <v>12724</v>
      </c>
    </row>
    <row r="118" spans="1:12" ht="129.6" x14ac:dyDescent="0.3">
      <c r="A118" s="4" t="s">
        <v>3189</v>
      </c>
      <c r="B118">
        <v>1</v>
      </c>
      <c r="C118">
        <v>3</v>
      </c>
      <c r="D118">
        <v>2024</v>
      </c>
      <c r="E118" t="s">
        <v>217</v>
      </c>
      <c r="F118">
        <v>2</v>
      </c>
      <c r="G118" t="s">
        <v>12746</v>
      </c>
      <c r="H118" t="s">
        <v>12747</v>
      </c>
      <c r="I118" s="4" t="s">
        <v>12748</v>
      </c>
    </row>
    <row r="119" spans="1:12" ht="216" x14ac:dyDescent="0.3">
      <c r="A119" s="4" t="s">
        <v>3190</v>
      </c>
      <c r="B119">
        <v>1</v>
      </c>
      <c r="C119">
        <v>3</v>
      </c>
      <c r="D119">
        <v>2024</v>
      </c>
      <c r="E119" t="s">
        <v>11486</v>
      </c>
      <c r="F119">
        <v>0</v>
      </c>
      <c r="G119" t="s">
        <v>12757</v>
      </c>
      <c r="H119" t="s">
        <v>12758</v>
      </c>
      <c r="I119" s="4" t="s">
        <v>12759</v>
      </c>
      <c r="J119" t="s">
        <v>71</v>
      </c>
      <c r="K119" t="s">
        <v>10782</v>
      </c>
      <c r="L119" t="s">
        <v>12760</v>
      </c>
    </row>
    <row r="120" spans="1:12" ht="201.6" x14ac:dyDescent="0.3">
      <c r="A120" s="4" t="s">
        <v>433</v>
      </c>
      <c r="B120">
        <v>1</v>
      </c>
      <c r="C120">
        <v>1</v>
      </c>
      <c r="D120">
        <v>2024</v>
      </c>
      <c r="E120" t="s">
        <v>434</v>
      </c>
      <c r="F120">
        <v>0</v>
      </c>
      <c r="G120" t="s">
        <v>12768</v>
      </c>
      <c r="H120" t="s">
        <v>12769</v>
      </c>
      <c r="I120" s="4" t="s">
        <v>12770</v>
      </c>
      <c r="J120" t="s">
        <v>71</v>
      </c>
      <c r="K120" t="s">
        <v>10782</v>
      </c>
      <c r="L120" t="s">
        <v>12771</v>
      </c>
    </row>
    <row r="121" spans="1:12" ht="172.8" x14ac:dyDescent="0.3">
      <c r="A121" s="4" t="s">
        <v>435</v>
      </c>
      <c r="B121">
        <v>1</v>
      </c>
      <c r="C121">
        <v>1</v>
      </c>
      <c r="D121">
        <v>2024</v>
      </c>
      <c r="E121" t="s">
        <v>436</v>
      </c>
      <c r="F121">
        <v>0</v>
      </c>
      <c r="G121" t="s">
        <v>12792</v>
      </c>
      <c r="H121" t="s">
        <v>12793</v>
      </c>
      <c r="I121" s="4" t="s">
        <v>12794</v>
      </c>
      <c r="J121" t="s">
        <v>71</v>
      </c>
      <c r="K121" t="s">
        <v>10782</v>
      </c>
      <c r="L121" t="s">
        <v>12795</v>
      </c>
    </row>
    <row r="122" spans="1:12" ht="144" x14ac:dyDescent="0.3">
      <c r="A122" s="4" t="s">
        <v>453</v>
      </c>
      <c r="B122">
        <v>1</v>
      </c>
      <c r="C122">
        <v>1</v>
      </c>
      <c r="D122">
        <v>2024</v>
      </c>
      <c r="E122" t="s">
        <v>217</v>
      </c>
      <c r="F122">
        <v>1</v>
      </c>
      <c r="G122" t="s">
        <v>12799</v>
      </c>
      <c r="H122" t="s">
        <v>12800</v>
      </c>
      <c r="I122" s="4" t="s">
        <v>12801</v>
      </c>
    </row>
    <row r="123" spans="1:12" ht="216" x14ac:dyDescent="0.3">
      <c r="A123" s="4" t="s">
        <v>471</v>
      </c>
      <c r="B123">
        <v>1</v>
      </c>
      <c r="C123">
        <v>1</v>
      </c>
      <c r="D123">
        <v>2024</v>
      </c>
      <c r="E123" t="s">
        <v>472</v>
      </c>
      <c r="F123">
        <v>4</v>
      </c>
      <c r="G123" t="s">
        <v>12817</v>
      </c>
      <c r="H123" t="s">
        <v>12818</v>
      </c>
      <c r="I123" s="4" t="s">
        <v>12819</v>
      </c>
      <c r="J123" t="s">
        <v>71</v>
      </c>
      <c r="K123" t="s">
        <v>10782</v>
      </c>
      <c r="L123" t="s">
        <v>12820</v>
      </c>
    </row>
    <row r="124" spans="1:12" ht="201.6" x14ac:dyDescent="0.3">
      <c r="A124" s="4" t="s">
        <v>477</v>
      </c>
      <c r="B124">
        <v>1</v>
      </c>
      <c r="C124">
        <v>1</v>
      </c>
      <c r="D124">
        <v>2024</v>
      </c>
      <c r="E124" t="s">
        <v>478</v>
      </c>
      <c r="F124">
        <v>0</v>
      </c>
      <c r="G124" t="s">
        <v>12837</v>
      </c>
      <c r="H124" t="s">
        <v>12838</v>
      </c>
      <c r="I124" s="4" t="s">
        <v>12839</v>
      </c>
      <c r="J124" t="s">
        <v>71</v>
      </c>
      <c r="K124" t="s">
        <v>10782</v>
      </c>
      <c r="L124" t="s">
        <v>12840</v>
      </c>
    </row>
    <row r="125" spans="1:12" ht="201.6" x14ac:dyDescent="0.3">
      <c r="A125" s="4" t="s">
        <v>3191</v>
      </c>
      <c r="B125">
        <v>1</v>
      </c>
      <c r="C125">
        <v>3</v>
      </c>
      <c r="D125">
        <v>2024</v>
      </c>
      <c r="E125" t="s">
        <v>817</v>
      </c>
      <c r="F125">
        <v>3</v>
      </c>
      <c r="G125" t="s">
        <v>12867</v>
      </c>
      <c r="H125" t="s">
        <v>12868</v>
      </c>
      <c r="I125" s="4" t="s">
        <v>12869</v>
      </c>
      <c r="J125" t="s">
        <v>71</v>
      </c>
      <c r="K125" t="s">
        <v>10782</v>
      </c>
      <c r="L125" t="s">
        <v>12870</v>
      </c>
    </row>
    <row r="126" spans="1:12" ht="201.6" x14ac:dyDescent="0.3">
      <c r="A126" s="4" t="s">
        <v>481</v>
      </c>
      <c r="B126">
        <v>1</v>
      </c>
      <c r="C126">
        <v>1</v>
      </c>
      <c r="D126">
        <v>2024</v>
      </c>
      <c r="E126" t="s">
        <v>482</v>
      </c>
      <c r="F126">
        <v>0</v>
      </c>
      <c r="G126" t="s">
        <v>12880</v>
      </c>
      <c r="H126" t="s">
        <v>12881</v>
      </c>
      <c r="I126" s="4" t="s">
        <v>12882</v>
      </c>
      <c r="J126" t="s">
        <v>71</v>
      </c>
      <c r="K126" t="s">
        <v>10782</v>
      </c>
      <c r="L126" t="s">
        <v>12883</v>
      </c>
    </row>
    <row r="127" spans="1:12" ht="172.8" x14ac:dyDescent="0.3">
      <c r="A127" s="4" t="s">
        <v>3192</v>
      </c>
      <c r="B127">
        <v>1</v>
      </c>
      <c r="C127">
        <v>3</v>
      </c>
      <c r="D127">
        <v>2024</v>
      </c>
      <c r="E127" t="s">
        <v>363</v>
      </c>
      <c r="F127">
        <v>3</v>
      </c>
      <c r="G127" t="s">
        <v>12888</v>
      </c>
      <c r="H127" t="s">
        <v>12889</v>
      </c>
      <c r="I127" s="4" t="s">
        <v>12890</v>
      </c>
      <c r="J127" t="s">
        <v>71</v>
      </c>
      <c r="K127" t="s">
        <v>10782</v>
      </c>
      <c r="L127" t="s">
        <v>12891</v>
      </c>
    </row>
    <row r="128" spans="1:12" ht="115.2" x14ac:dyDescent="0.3">
      <c r="A128" s="4" t="s">
        <v>496</v>
      </c>
      <c r="B128">
        <v>1</v>
      </c>
      <c r="C128">
        <v>1</v>
      </c>
      <c r="D128">
        <v>2024</v>
      </c>
      <c r="E128" t="s">
        <v>497</v>
      </c>
      <c r="F128">
        <v>0</v>
      </c>
      <c r="G128" t="s">
        <v>12892</v>
      </c>
      <c r="H128" t="s">
        <v>12893</v>
      </c>
      <c r="I128" s="4" t="s">
        <v>12894</v>
      </c>
    </row>
    <row r="129" spans="1:12" ht="201.6" x14ac:dyDescent="0.3">
      <c r="A129" s="4" t="s">
        <v>3193</v>
      </c>
      <c r="B129">
        <v>1</v>
      </c>
      <c r="C129">
        <v>3</v>
      </c>
      <c r="D129">
        <v>2024</v>
      </c>
      <c r="E129" t="s">
        <v>329</v>
      </c>
      <c r="F129">
        <v>1</v>
      </c>
      <c r="G129" t="s">
        <v>12912</v>
      </c>
      <c r="H129" t="s">
        <v>12913</v>
      </c>
      <c r="I129" s="4" t="s">
        <v>12914</v>
      </c>
      <c r="J129" t="s">
        <v>71</v>
      </c>
      <c r="K129" t="s">
        <v>10782</v>
      </c>
      <c r="L129" t="s">
        <v>12915</v>
      </c>
    </row>
    <row r="130" spans="1:12" ht="172.8" x14ac:dyDescent="0.3">
      <c r="A130" s="4" t="s">
        <v>503</v>
      </c>
      <c r="B130">
        <v>1</v>
      </c>
      <c r="C130">
        <v>1</v>
      </c>
      <c r="D130">
        <v>2024</v>
      </c>
      <c r="E130" t="s">
        <v>380</v>
      </c>
      <c r="F130">
        <v>0</v>
      </c>
      <c r="G130" t="s">
        <v>12976</v>
      </c>
      <c r="H130" t="s">
        <v>12977</v>
      </c>
      <c r="I130" s="4" t="s">
        <v>12978</v>
      </c>
      <c r="J130" t="s">
        <v>71</v>
      </c>
      <c r="K130" t="s">
        <v>10782</v>
      </c>
      <c r="L130" t="s">
        <v>12979</v>
      </c>
    </row>
    <row r="131" spans="1:12" ht="216" x14ac:dyDescent="0.3">
      <c r="A131" s="4" t="s">
        <v>3194</v>
      </c>
      <c r="B131">
        <v>1</v>
      </c>
      <c r="C131">
        <v>3</v>
      </c>
      <c r="D131">
        <v>2024</v>
      </c>
      <c r="E131" t="s">
        <v>13003</v>
      </c>
      <c r="F131">
        <v>0</v>
      </c>
      <c r="G131" t="s">
        <v>13004</v>
      </c>
      <c r="H131" t="s">
        <v>13005</v>
      </c>
      <c r="I131" s="4" t="s">
        <v>13006</v>
      </c>
      <c r="J131" t="s">
        <v>71</v>
      </c>
      <c r="K131" t="s">
        <v>10782</v>
      </c>
      <c r="L131" t="s">
        <v>13007</v>
      </c>
    </row>
    <row r="132" spans="1:12" ht="187.2" x14ac:dyDescent="0.3">
      <c r="A132" s="4" t="s">
        <v>3195</v>
      </c>
      <c r="B132">
        <v>1</v>
      </c>
      <c r="C132">
        <v>3</v>
      </c>
      <c r="D132">
        <v>2024</v>
      </c>
      <c r="E132" t="s">
        <v>11164</v>
      </c>
      <c r="F132">
        <v>0</v>
      </c>
      <c r="G132" t="s">
        <v>13017</v>
      </c>
      <c r="H132" t="s">
        <v>13018</v>
      </c>
      <c r="I132" s="4" t="s">
        <v>13019</v>
      </c>
      <c r="J132" t="s">
        <v>71</v>
      </c>
      <c r="K132" t="s">
        <v>10782</v>
      </c>
      <c r="L132" t="s">
        <v>13020</v>
      </c>
    </row>
    <row r="133" spans="1:12" ht="86.4" x14ac:dyDescent="0.3">
      <c r="A133" s="4" t="s">
        <v>513</v>
      </c>
      <c r="B133">
        <v>1</v>
      </c>
      <c r="C133">
        <v>1</v>
      </c>
      <c r="D133">
        <v>2024</v>
      </c>
      <c r="E133" t="s">
        <v>514</v>
      </c>
      <c r="F133">
        <v>2</v>
      </c>
      <c r="G133" t="s">
        <v>13034</v>
      </c>
      <c r="H133" t="s">
        <v>13035</v>
      </c>
      <c r="I133" s="4" t="s">
        <v>13036</v>
      </c>
    </row>
    <row r="134" spans="1:12" ht="201.6" x14ac:dyDescent="0.3">
      <c r="A134" s="4" t="s">
        <v>527</v>
      </c>
      <c r="B134">
        <v>1</v>
      </c>
      <c r="C134">
        <v>1</v>
      </c>
      <c r="D134">
        <v>2024</v>
      </c>
      <c r="E134" t="s">
        <v>528</v>
      </c>
      <c r="F134">
        <v>0</v>
      </c>
      <c r="G134" t="s">
        <v>13041</v>
      </c>
      <c r="H134" t="s">
        <v>13042</v>
      </c>
      <c r="I134" s="4" t="s">
        <v>13043</v>
      </c>
      <c r="J134" t="s">
        <v>71</v>
      </c>
      <c r="K134" t="s">
        <v>10782</v>
      </c>
      <c r="L134" t="s">
        <v>13044</v>
      </c>
    </row>
    <row r="135" spans="1:12" ht="158.4" x14ac:dyDescent="0.3">
      <c r="A135" s="4" t="s">
        <v>3196</v>
      </c>
      <c r="B135">
        <v>1</v>
      </c>
      <c r="C135">
        <v>3</v>
      </c>
      <c r="D135">
        <v>2024</v>
      </c>
      <c r="E135" t="s">
        <v>773</v>
      </c>
      <c r="F135">
        <v>5</v>
      </c>
      <c r="G135" t="s">
        <v>13045</v>
      </c>
      <c r="H135" t="s">
        <v>13046</v>
      </c>
      <c r="I135" s="4" t="s">
        <v>13047</v>
      </c>
      <c r="J135" t="s">
        <v>71</v>
      </c>
      <c r="K135" t="s">
        <v>10782</v>
      </c>
      <c r="L135" t="s">
        <v>13048</v>
      </c>
    </row>
    <row r="136" spans="1:12" ht="172.8" x14ac:dyDescent="0.3">
      <c r="A136" s="4" t="s">
        <v>524</v>
      </c>
      <c r="B136">
        <v>1</v>
      </c>
      <c r="C136">
        <v>1</v>
      </c>
      <c r="D136">
        <v>2024</v>
      </c>
      <c r="E136" t="s">
        <v>217</v>
      </c>
      <c r="F136">
        <v>2</v>
      </c>
      <c r="G136" t="s">
        <v>13075</v>
      </c>
      <c r="H136" t="s">
        <v>13076</v>
      </c>
      <c r="I136" s="4" t="s">
        <v>13077</v>
      </c>
      <c r="J136" t="s">
        <v>71</v>
      </c>
      <c r="K136" t="s">
        <v>10782</v>
      </c>
      <c r="L136" t="s">
        <v>13078</v>
      </c>
    </row>
    <row r="137" spans="1:12" ht="230.4" x14ac:dyDescent="0.3">
      <c r="A137" s="4" t="s">
        <v>537</v>
      </c>
      <c r="B137">
        <v>1</v>
      </c>
      <c r="C137">
        <v>1</v>
      </c>
      <c r="D137">
        <v>2024</v>
      </c>
      <c r="E137" t="s">
        <v>538</v>
      </c>
      <c r="F137">
        <v>0</v>
      </c>
      <c r="G137" t="s">
        <v>13090</v>
      </c>
      <c r="H137" t="s">
        <v>13091</v>
      </c>
      <c r="I137" s="4" t="s">
        <v>13092</v>
      </c>
      <c r="J137" t="s">
        <v>71</v>
      </c>
      <c r="K137" t="s">
        <v>10782</v>
      </c>
      <c r="L137" t="s">
        <v>13093</v>
      </c>
    </row>
    <row r="138" spans="1:12" ht="201.6" x14ac:dyDescent="0.3">
      <c r="A138" s="4" t="s">
        <v>3197</v>
      </c>
      <c r="B138">
        <v>1</v>
      </c>
      <c r="C138">
        <v>3</v>
      </c>
      <c r="D138">
        <v>2024</v>
      </c>
      <c r="E138" t="s">
        <v>637</v>
      </c>
      <c r="F138">
        <v>2</v>
      </c>
      <c r="G138" t="s">
        <v>13123</v>
      </c>
      <c r="H138" t="s">
        <v>13124</v>
      </c>
      <c r="I138" s="4" t="s">
        <v>13125</v>
      </c>
      <c r="J138" t="s">
        <v>71</v>
      </c>
      <c r="K138" t="s">
        <v>10782</v>
      </c>
      <c r="L138" t="s">
        <v>13126</v>
      </c>
    </row>
    <row r="139" spans="1:12" ht="115.2" x14ac:dyDescent="0.3">
      <c r="A139" s="4" t="s">
        <v>3198</v>
      </c>
      <c r="B139">
        <v>1</v>
      </c>
      <c r="C139">
        <v>3</v>
      </c>
      <c r="D139">
        <v>2024</v>
      </c>
      <c r="E139" t="s">
        <v>12318</v>
      </c>
      <c r="F139">
        <v>2</v>
      </c>
      <c r="G139" t="s">
        <v>13166</v>
      </c>
      <c r="H139" t="s">
        <v>13167</v>
      </c>
      <c r="I139" s="4" t="s">
        <v>13168</v>
      </c>
      <c r="J139" t="s">
        <v>71</v>
      </c>
      <c r="K139" t="s">
        <v>10782</v>
      </c>
      <c r="L139" t="s">
        <v>13169</v>
      </c>
    </row>
    <row r="140" spans="1:12" ht="144" x14ac:dyDescent="0.3">
      <c r="A140" s="4" t="s">
        <v>3199</v>
      </c>
      <c r="B140">
        <v>1</v>
      </c>
      <c r="C140">
        <v>3</v>
      </c>
      <c r="D140">
        <v>2024</v>
      </c>
      <c r="E140" t="s">
        <v>10104</v>
      </c>
      <c r="F140">
        <v>3</v>
      </c>
      <c r="G140" t="s">
        <v>13179</v>
      </c>
      <c r="H140" t="s">
        <v>13180</v>
      </c>
      <c r="I140" s="4" t="s">
        <v>13181</v>
      </c>
      <c r="J140" t="s">
        <v>71</v>
      </c>
      <c r="K140" t="s">
        <v>10782</v>
      </c>
      <c r="L140" t="s">
        <v>13182</v>
      </c>
    </row>
    <row r="141" spans="1:12" ht="158.4" x14ac:dyDescent="0.3">
      <c r="A141" s="4" t="s">
        <v>542</v>
      </c>
      <c r="B141">
        <v>1</v>
      </c>
      <c r="C141">
        <v>1</v>
      </c>
      <c r="D141">
        <v>2024</v>
      </c>
      <c r="E141" t="s">
        <v>544</v>
      </c>
      <c r="F141">
        <v>0</v>
      </c>
      <c r="G141" t="s">
        <v>13187</v>
      </c>
      <c r="H141" t="s">
        <v>13188</v>
      </c>
      <c r="I141" s="4" t="s">
        <v>13189</v>
      </c>
      <c r="J141" t="s">
        <v>71</v>
      </c>
      <c r="K141" t="s">
        <v>10782</v>
      </c>
      <c r="L141" t="s">
        <v>13190</v>
      </c>
    </row>
    <row r="142" spans="1:12" ht="144" x14ac:dyDescent="0.3">
      <c r="A142" s="4" t="s">
        <v>549</v>
      </c>
      <c r="B142">
        <v>1</v>
      </c>
      <c r="C142">
        <v>1</v>
      </c>
      <c r="D142">
        <v>2024</v>
      </c>
      <c r="E142" t="s">
        <v>550</v>
      </c>
      <c r="F142">
        <v>0</v>
      </c>
      <c r="G142" t="s">
        <v>13218</v>
      </c>
      <c r="H142" t="s">
        <v>13219</v>
      </c>
      <c r="I142" s="4" t="s">
        <v>13220</v>
      </c>
      <c r="J142" t="s">
        <v>71</v>
      </c>
      <c r="K142" t="s">
        <v>10782</v>
      </c>
      <c r="L142" t="s">
        <v>13221</v>
      </c>
    </row>
    <row r="143" spans="1:12" ht="158.4" x14ac:dyDescent="0.3">
      <c r="A143" s="4" t="s">
        <v>3200</v>
      </c>
      <c r="B143">
        <v>1</v>
      </c>
      <c r="C143">
        <v>3</v>
      </c>
      <c r="D143">
        <v>2024</v>
      </c>
      <c r="E143" t="s">
        <v>147</v>
      </c>
      <c r="F143">
        <v>9</v>
      </c>
      <c r="G143" t="s">
        <v>13234</v>
      </c>
      <c r="H143" t="s">
        <v>13235</v>
      </c>
      <c r="I143" s="4" t="s">
        <v>13236</v>
      </c>
      <c r="J143" t="s">
        <v>71</v>
      </c>
      <c r="K143" t="s">
        <v>10782</v>
      </c>
      <c r="L143" t="s">
        <v>13237</v>
      </c>
    </row>
    <row r="144" spans="1:12" ht="201.6" x14ac:dyDescent="0.3">
      <c r="A144" s="4" t="s">
        <v>557</v>
      </c>
      <c r="B144">
        <v>1</v>
      </c>
      <c r="C144">
        <v>1</v>
      </c>
      <c r="D144">
        <v>2024</v>
      </c>
      <c r="E144" t="s">
        <v>318</v>
      </c>
      <c r="F144">
        <v>3</v>
      </c>
      <c r="G144" t="s">
        <v>13267</v>
      </c>
      <c r="H144" t="s">
        <v>13268</v>
      </c>
      <c r="I144" s="4" t="s">
        <v>13269</v>
      </c>
      <c r="J144" t="s">
        <v>71</v>
      </c>
      <c r="K144" t="s">
        <v>10782</v>
      </c>
      <c r="L144" t="s">
        <v>13270</v>
      </c>
    </row>
    <row r="145" spans="1:12" ht="201.6" x14ac:dyDescent="0.3">
      <c r="A145" s="4" t="s">
        <v>3201</v>
      </c>
      <c r="B145">
        <v>1</v>
      </c>
      <c r="C145">
        <v>3</v>
      </c>
      <c r="D145">
        <v>2024</v>
      </c>
      <c r="E145" t="s">
        <v>11414</v>
      </c>
      <c r="F145">
        <v>0</v>
      </c>
      <c r="G145" t="s">
        <v>13287</v>
      </c>
      <c r="H145" t="s">
        <v>13288</v>
      </c>
      <c r="I145" s="4" t="s">
        <v>13289</v>
      </c>
      <c r="J145" t="s">
        <v>71</v>
      </c>
      <c r="K145" t="s">
        <v>10782</v>
      </c>
      <c r="L145" t="s">
        <v>13290</v>
      </c>
    </row>
    <row r="146" spans="1:12" ht="201.6" x14ac:dyDescent="0.3">
      <c r="A146" s="4" t="s">
        <v>570</v>
      </c>
      <c r="B146">
        <v>1</v>
      </c>
      <c r="C146">
        <v>1</v>
      </c>
      <c r="D146">
        <v>2024</v>
      </c>
      <c r="E146" t="s">
        <v>217</v>
      </c>
      <c r="F146">
        <v>6</v>
      </c>
      <c r="G146" t="s">
        <v>13316</v>
      </c>
      <c r="H146" t="s">
        <v>13317</v>
      </c>
      <c r="I146" s="4" t="s">
        <v>13318</v>
      </c>
      <c r="J146" t="s">
        <v>71</v>
      </c>
      <c r="K146" t="s">
        <v>10782</v>
      </c>
      <c r="L146" t="s">
        <v>13319</v>
      </c>
    </row>
    <row r="147" spans="1:12" ht="144" x14ac:dyDescent="0.3">
      <c r="A147" s="4" t="s">
        <v>576</v>
      </c>
      <c r="B147">
        <v>1</v>
      </c>
      <c r="C147">
        <v>1</v>
      </c>
      <c r="D147">
        <v>2024</v>
      </c>
      <c r="E147" t="s">
        <v>234</v>
      </c>
      <c r="F147">
        <v>1</v>
      </c>
      <c r="G147" t="s">
        <v>13358</v>
      </c>
      <c r="H147" t="s">
        <v>13359</v>
      </c>
      <c r="I147" s="4" t="s">
        <v>13360</v>
      </c>
      <c r="J147" t="s">
        <v>71</v>
      </c>
      <c r="K147" t="s">
        <v>10782</v>
      </c>
      <c r="L147" t="s">
        <v>13361</v>
      </c>
    </row>
    <row r="148" spans="1:12" ht="158.4" x14ac:dyDescent="0.3">
      <c r="A148" s="4" t="s">
        <v>583</v>
      </c>
      <c r="B148">
        <v>1</v>
      </c>
      <c r="C148">
        <v>1</v>
      </c>
      <c r="D148">
        <v>2024</v>
      </c>
      <c r="E148" t="s">
        <v>147</v>
      </c>
      <c r="F148">
        <v>13</v>
      </c>
      <c r="G148" t="s">
        <v>13373</v>
      </c>
      <c r="H148" t="s">
        <v>13374</v>
      </c>
      <c r="I148" s="4" t="s">
        <v>13375</v>
      </c>
      <c r="J148" t="s">
        <v>71</v>
      </c>
      <c r="K148" t="s">
        <v>10782</v>
      </c>
      <c r="L148" t="s">
        <v>13376</v>
      </c>
    </row>
    <row r="149" spans="1:12" ht="201.6" x14ac:dyDescent="0.3">
      <c r="A149" s="4" t="s">
        <v>3202</v>
      </c>
      <c r="B149">
        <v>1</v>
      </c>
      <c r="C149">
        <v>3</v>
      </c>
      <c r="D149">
        <v>2024</v>
      </c>
      <c r="E149" t="s">
        <v>13377</v>
      </c>
      <c r="F149">
        <v>4</v>
      </c>
      <c r="G149" t="s">
        <v>13378</v>
      </c>
      <c r="H149" t="s">
        <v>13379</v>
      </c>
      <c r="I149" s="4" t="s">
        <v>13380</v>
      </c>
      <c r="J149" t="s">
        <v>71</v>
      </c>
      <c r="K149" t="s">
        <v>10782</v>
      </c>
      <c r="L149" t="s">
        <v>13381</v>
      </c>
    </row>
    <row r="150" spans="1:12" ht="187.2" x14ac:dyDescent="0.3">
      <c r="A150" s="4" t="s">
        <v>3203</v>
      </c>
      <c r="B150">
        <v>1</v>
      </c>
      <c r="C150">
        <v>3</v>
      </c>
      <c r="D150">
        <v>2024</v>
      </c>
      <c r="E150" t="s">
        <v>13394</v>
      </c>
      <c r="F150">
        <v>5</v>
      </c>
      <c r="G150" t="s">
        <v>13395</v>
      </c>
      <c r="H150" t="s">
        <v>13396</v>
      </c>
      <c r="I150" s="4" t="s">
        <v>13397</v>
      </c>
      <c r="J150" t="s">
        <v>71</v>
      </c>
      <c r="K150" t="s">
        <v>10782</v>
      </c>
      <c r="L150" t="s">
        <v>13398</v>
      </c>
    </row>
    <row r="151" spans="1:12" ht="129.6" x14ac:dyDescent="0.3">
      <c r="A151" s="4" t="s">
        <v>589</v>
      </c>
      <c r="B151">
        <v>1</v>
      </c>
      <c r="C151">
        <v>1</v>
      </c>
      <c r="D151">
        <v>2024</v>
      </c>
      <c r="E151" t="s">
        <v>590</v>
      </c>
      <c r="F151">
        <v>1</v>
      </c>
      <c r="G151" t="s">
        <v>13418</v>
      </c>
      <c r="H151" t="s">
        <v>13419</v>
      </c>
      <c r="I151" s="4" t="s">
        <v>13420</v>
      </c>
      <c r="J151" t="s">
        <v>71</v>
      </c>
      <c r="K151" t="s">
        <v>10782</v>
      </c>
      <c r="L151" t="s">
        <v>13421</v>
      </c>
    </row>
    <row r="152" spans="1:12" ht="158.4" x14ac:dyDescent="0.3">
      <c r="A152" s="4" t="s">
        <v>3204</v>
      </c>
      <c r="B152">
        <v>1</v>
      </c>
      <c r="C152">
        <v>3</v>
      </c>
      <c r="D152">
        <v>2024</v>
      </c>
      <c r="E152" t="s">
        <v>10169</v>
      </c>
      <c r="F152">
        <v>4</v>
      </c>
      <c r="G152" t="s">
        <v>13445</v>
      </c>
      <c r="H152" t="s">
        <v>13446</v>
      </c>
      <c r="I152" s="4" t="s">
        <v>13447</v>
      </c>
    </row>
    <row r="153" spans="1:12" ht="144" x14ac:dyDescent="0.3">
      <c r="A153" s="4" t="s">
        <v>598</v>
      </c>
      <c r="B153">
        <v>1</v>
      </c>
      <c r="C153">
        <v>1</v>
      </c>
      <c r="D153">
        <v>2024</v>
      </c>
      <c r="E153" t="s">
        <v>217</v>
      </c>
      <c r="F153">
        <v>0</v>
      </c>
      <c r="G153" t="s">
        <v>13463</v>
      </c>
      <c r="H153" t="s">
        <v>13464</v>
      </c>
      <c r="I153" s="4" t="s">
        <v>13465</v>
      </c>
      <c r="J153" t="s">
        <v>71</v>
      </c>
      <c r="K153" t="s">
        <v>10782</v>
      </c>
      <c r="L153" t="s">
        <v>13466</v>
      </c>
    </row>
    <row r="154" spans="1:12" ht="158.4" x14ac:dyDescent="0.3">
      <c r="A154" s="4" t="s">
        <v>601</v>
      </c>
      <c r="B154">
        <v>1</v>
      </c>
      <c r="C154">
        <v>1</v>
      </c>
      <c r="D154">
        <v>2024</v>
      </c>
      <c r="E154" t="s">
        <v>147</v>
      </c>
      <c r="F154">
        <v>1</v>
      </c>
      <c r="G154" t="s">
        <v>13480</v>
      </c>
      <c r="H154" t="s">
        <v>13481</v>
      </c>
      <c r="I154" s="4" t="s">
        <v>13482</v>
      </c>
      <c r="J154" t="s">
        <v>71</v>
      </c>
      <c r="K154" t="s">
        <v>10782</v>
      </c>
      <c r="L154" t="s">
        <v>13483</v>
      </c>
    </row>
    <row r="155" spans="1:12" ht="144" x14ac:dyDescent="0.3">
      <c r="A155" s="4" t="s">
        <v>3205</v>
      </c>
      <c r="B155">
        <v>1</v>
      </c>
      <c r="C155">
        <v>3</v>
      </c>
      <c r="D155">
        <v>2024</v>
      </c>
      <c r="E155" t="s">
        <v>217</v>
      </c>
      <c r="F155">
        <v>1</v>
      </c>
      <c r="G155" t="s">
        <v>13492</v>
      </c>
      <c r="H155" t="s">
        <v>13493</v>
      </c>
      <c r="I155" s="4" t="s">
        <v>13494</v>
      </c>
      <c r="J155" t="s">
        <v>71</v>
      </c>
      <c r="K155" t="s">
        <v>10782</v>
      </c>
      <c r="L155" t="s">
        <v>13495</v>
      </c>
    </row>
    <row r="156" spans="1:12" ht="172.8" x14ac:dyDescent="0.3">
      <c r="A156" s="4" t="s">
        <v>3206</v>
      </c>
      <c r="B156">
        <v>1</v>
      </c>
      <c r="C156">
        <v>3</v>
      </c>
      <c r="D156">
        <v>2024</v>
      </c>
      <c r="E156" t="s">
        <v>318</v>
      </c>
      <c r="F156">
        <v>8</v>
      </c>
      <c r="G156" t="s">
        <v>13521</v>
      </c>
      <c r="H156" t="s">
        <v>13522</v>
      </c>
      <c r="I156" s="4" t="s">
        <v>13523</v>
      </c>
      <c r="J156" t="s">
        <v>71</v>
      </c>
      <c r="K156" t="s">
        <v>10782</v>
      </c>
      <c r="L156" t="s">
        <v>13524</v>
      </c>
    </row>
    <row r="157" spans="1:12" ht="129.6" x14ac:dyDescent="0.3">
      <c r="A157" s="4" t="s">
        <v>3207</v>
      </c>
      <c r="B157">
        <v>1</v>
      </c>
      <c r="C157">
        <v>3</v>
      </c>
      <c r="D157">
        <v>2024</v>
      </c>
      <c r="E157" t="s">
        <v>10178</v>
      </c>
      <c r="F157">
        <v>22</v>
      </c>
      <c r="G157" t="s">
        <v>13528</v>
      </c>
      <c r="H157" t="s">
        <v>13529</v>
      </c>
      <c r="I157" s="4" t="s">
        <v>13530</v>
      </c>
      <c r="J157" t="s">
        <v>71</v>
      </c>
      <c r="K157" t="s">
        <v>10782</v>
      </c>
      <c r="L157" t="s">
        <v>13531</v>
      </c>
    </row>
    <row r="158" spans="1:12" ht="158.4" x14ac:dyDescent="0.3">
      <c r="A158" s="4" t="s">
        <v>3208</v>
      </c>
      <c r="B158">
        <v>1</v>
      </c>
      <c r="C158">
        <v>3</v>
      </c>
      <c r="D158">
        <v>2024</v>
      </c>
      <c r="E158" t="s">
        <v>1525</v>
      </c>
      <c r="F158">
        <v>1</v>
      </c>
      <c r="G158" t="s">
        <v>13540</v>
      </c>
      <c r="H158" t="s">
        <v>13541</v>
      </c>
      <c r="I158" s="4" t="s">
        <v>13542</v>
      </c>
      <c r="J158" t="s">
        <v>71</v>
      </c>
      <c r="K158" t="s">
        <v>10782</v>
      </c>
      <c r="L158" t="s">
        <v>13543</v>
      </c>
    </row>
    <row r="159" spans="1:12" ht="187.2" x14ac:dyDescent="0.3">
      <c r="A159" s="4" t="s">
        <v>608</v>
      </c>
      <c r="B159">
        <v>1</v>
      </c>
      <c r="C159">
        <v>1</v>
      </c>
      <c r="D159">
        <v>2024</v>
      </c>
      <c r="E159" t="s">
        <v>217</v>
      </c>
      <c r="F159">
        <v>2</v>
      </c>
      <c r="G159" t="s">
        <v>13560</v>
      </c>
      <c r="H159" t="s">
        <v>13561</v>
      </c>
      <c r="I159" s="4" t="s">
        <v>13562</v>
      </c>
      <c r="J159" t="s">
        <v>71</v>
      </c>
      <c r="K159" t="s">
        <v>10782</v>
      </c>
      <c r="L159" t="s">
        <v>13563</v>
      </c>
    </row>
    <row r="160" spans="1:12" ht="115.2" x14ac:dyDescent="0.3">
      <c r="A160" s="4" t="s">
        <v>3209</v>
      </c>
      <c r="B160">
        <v>1</v>
      </c>
      <c r="C160">
        <v>3</v>
      </c>
      <c r="D160">
        <v>2024</v>
      </c>
      <c r="E160" t="s">
        <v>147</v>
      </c>
      <c r="F160">
        <v>9</v>
      </c>
      <c r="G160" t="s">
        <v>13601</v>
      </c>
      <c r="H160" t="s">
        <v>13602</v>
      </c>
      <c r="I160" s="4" t="s">
        <v>13603</v>
      </c>
      <c r="J160" t="s">
        <v>71</v>
      </c>
      <c r="K160" t="s">
        <v>10782</v>
      </c>
      <c r="L160" t="s">
        <v>13604</v>
      </c>
    </row>
    <row r="161" spans="1:12" ht="201.6" x14ac:dyDescent="0.3">
      <c r="A161" s="4" t="s">
        <v>3210</v>
      </c>
      <c r="B161">
        <v>1</v>
      </c>
      <c r="C161">
        <v>3</v>
      </c>
      <c r="D161">
        <v>2024</v>
      </c>
      <c r="E161" t="s">
        <v>128</v>
      </c>
      <c r="F161">
        <v>3</v>
      </c>
      <c r="G161" t="s">
        <v>13609</v>
      </c>
      <c r="H161" t="s">
        <v>13610</v>
      </c>
      <c r="I161" s="4" t="s">
        <v>13611</v>
      </c>
      <c r="J161" t="s">
        <v>71</v>
      </c>
      <c r="K161" t="s">
        <v>10782</v>
      </c>
      <c r="L161" t="s">
        <v>13612</v>
      </c>
    </row>
    <row r="162" spans="1:12" ht="230.4" x14ac:dyDescent="0.3">
      <c r="A162" s="4" t="s">
        <v>609</v>
      </c>
      <c r="B162">
        <v>1</v>
      </c>
      <c r="C162">
        <v>1</v>
      </c>
      <c r="D162">
        <v>2024</v>
      </c>
      <c r="E162" t="s">
        <v>622</v>
      </c>
      <c r="F162">
        <v>1</v>
      </c>
      <c r="G162" t="s">
        <v>13613</v>
      </c>
      <c r="H162" t="s">
        <v>13614</v>
      </c>
      <c r="I162" s="4" t="s">
        <v>13615</v>
      </c>
      <c r="J162" t="s">
        <v>71</v>
      </c>
      <c r="K162" t="s">
        <v>10782</v>
      </c>
      <c r="L162" t="s">
        <v>13616</v>
      </c>
    </row>
    <row r="163" spans="1:12" ht="187.2" x14ac:dyDescent="0.3">
      <c r="A163" s="4" t="s">
        <v>3211</v>
      </c>
      <c r="B163">
        <v>1</v>
      </c>
      <c r="C163">
        <v>3</v>
      </c>
      <c r="D163">
        <v>2024</v>
      </c>
      <c r="E163" t="s">
        <v>13696</v>
      </c>
      <c r="F163">
        <v>0</v>
      </c>
      <c r="G163" t="s">
        <v>13697</v>
      </c>
      <c r="H163" t="s">
        <v>13698</v>
      </c>
      <c r="I163" s="4" t="s">
        <v>13699</v>
      </c>
      <c r="J163" t="s">
        <v>71</v>
      </c>
      <c r="K163" t="s">
        <v>10782</v>
      </c>
      <c r="L163" t="s">
        <v>13700</v>
      </c>
    </row>
    <row r="164" spans="1:12" ht="259.2" x14ac:dyDescent="0.3">
      <c r="A164" s="4" t="s">
        <v>626</v>
      </c>
      <c r="B164">
        <v>1</v>
      </c>
      <c r="C164">
        <v>1</v>
      </c>
      <c r="D164">
        <v>2024</v>
      </c>
      <c r="E164" t="s">
        <v>627</v>
      </c>
      <c r="F164">
        <v>6</v>
      </c>
      <c r="G164" t="s">
        <v>13737</v>
      </c>
      <c r="H164" t="s">
        <v>13738</v>
      </c>
      <c r="I164" s="4" t="s">
        <v>13739</v>
      </c>
      <c r="J164" t="s">
        <v>71</v>
      </c>
      <c r="K164" t="s">
        <v>10782</v>
      </c>
      <c r="L164" t="s">
        <v>13740</v>
      </c>
    </row>
    <row r="165" spans="1:12" ht="201.6" x14ac:dyDescent="0.3">
      <c r="A165" s="4" t="s">
        <v>3212</v>
      </c>
      <c r="B165">
        <v>1</v>
      </c>
      <c r="C165">
        <v>3</v>
      </c>
      <c r="D165">
        <v>2024</v>
      </c>
      <c r="E165" t="s">
        <v>217</v>
      </c>
      <c r="F165">
        <v>11</v>
      </c>
      <c r="G165" t="s">
        <v>13851</v>
      </c>
      <c r="H165" t="s">
        <v>13852</v>
      </c>
      <c r="I165" s="4" t="s">
        <v>13853</v>
      </c>
      <c r="J165" t="s">
        <v>71</v>
      </c>
      <c r="K165" t="s">
        <v>10782</v>
      </c>
      <c r="L165" t="s">
        <v>13854</v>
      </c>
    </row>
    <row r="166" spans="1:12" ht="172.8" x14ac:dyDescent="0.3">
      <c r="A166" s="4" t="s">
        <v>3213</v>
      </c>
      <c r="B166">
        <v>1</v>
      </c>
      <c r="C166">
        <v>3</v>
      </c>
      <c r="D166">
        <v>2024</v>
      </c>
      <c r="E166" t="s">
        <v>13865</v>
      </c>
      <c r="F166">
        <v>14</v>
      </c>
      <c r="G166" t="s">
        <v>13866</v>
      </c>
      <c r="H166" t="s">
        <v>13867</v>
      </c>
      <c r="I166" s="4" t="s">
        <v>13868</v>
      </c>
      <c r="J166" t="s">
        <v>10823</v>
      </c>
      <c r="K166" t="s">
        <v>10782</v>
      </c>
      <c r="L166" t="s">
        <v>13869</v>
      </c>
    </row>
    <row r="167" spans="1:12" ht="187.2" x14ac:dyDescent="0.3">
      <c r="A167" s="4" t="s">
        <v>3214</v>
      </c>
      <c r="B167">
        <v>1</v>
      </c>
      <c r="C167">
        <v>3</v>
      </c>
      <c r="D167">
        <v>2024</v>
      </c>
      <c r="E167" t="s">
        <v>80</v>
      </c>
      <c r="F167">
        <v>8</v>
      </c>
      <c r="G167" t="s">
        <v>13870</v>
      </c>
      <c r="H167" t="s">
        <v>13871</v>
      </c>
      <c r="I167" s="4" t="s">
        <v>13872</v>
      </c>
      <c r="J167" t="s">
        <v>71</v>
      </c>
      <c r="K167" t="s">
        <v>10782</v>
      </c>
      <c r="L167" t="s">
        <v>13873</v>
      </c>
    </row>
    <row r="168" spans="1:12" ht="144" x14ac:dyDescent="0.3">
      <c r="A168" s="4" t="s">
        <v>3215</v>
      </c>
      <c r="B168">
        <v>1</v>
      </c>
      <c r="C168">
        <v>3</v>
      </c>
      <c r="D168">
        <v>2024</v>
      </c>
      <c r="E168" t="s">
        <v>13927</v>
      </c>
      <c r="F168">
        <v>0</v>
      </c>
      <c r="G168" t="s">
        <v>13928</v>
      </c>
      <c r="H168" t="s">
        <v>13929</v>
      </c>
      <c r="I168" s="4" t="s">
        <v>13930</v>
      </c>
      <c r="J168" t="s">
        <v>71</v>
      </c>
      <c r="K168" t="s">
        <v>10782</v>
      </c>
      <c r="L168" t="s">
        <v>13931</v>
      </c>
    </row>
    <row r="169" spans="1:12" ht="144" x14ac:dyDescent="0.3">
      <c r="A169" s="4" t="s">
        <v>3216</v>
      </c>
      <c r="B169">
        <v>1</v>
      </c>
      <c r="C169">
        <v>3</v>
      </c>
      <c r="D169">
        <v>2024</v>
      </c>
      <c r="E169" t="s">
        <v>2384</v>
      </c>
      <c r="F169">
        <v>14</v>
      </c>
      <c r="G169" t="s">
        <v>13981</v>
      </c>
      <c r="H169" t="s">
        <v>13982</v>
      </c>
      <c r="I169" s="4" t="s">
        <v>13983</v>
      </c>
      <c r="J169" t="s">
        <v>71</v>
      </c>
      <c r="K169" t="s">
        <v>10782</v>
      </c>
      <c r="L169" t="s">
        <v>13984</v>
      </c>
    </row>
    <row r="170" spans="1:12" ht="187.2" x14ac:dyDescent="0.3">
      <c r="A170" s="4" t="s">
        <v>636</v>
      </c>
      <c r="B170">
        <v>1</v>
      </c>
      <c r="C170">
        <v>1</v>
      </c>
      <c r="D170">
        <v>2024</v>
      </c>
      <c r="E170" t="s">
        <v>637</v>
      </c>
      <c r="F170">
        <v>2</v>
      </c>
      <c r="G170" t="s">
        <v>14018</v>
      </c>
      <c r="H170" t="s">
        <v>14019</v>
      </c>
      <c r="I170" s="4" t="s">
        <v>14020</v>
      </c>
      <c r="J170" t="s">
        <v>71</v>
      </c>
      <c r="K170" t="s">
        <v>10782</v>
      </c>
      <c r="L170" t="s">
        <v>14021</v>
      </c>
    </row>
    <row r="171" spans="1:12" ht="216" x14ac:dyDescent="0.3">
      <c r="A171" s="4" t="s">
        <v>645</v>
      </c>
      <c r="B171">
        <v>1</v>
      </c>
      <c r="C171">
        <v>1</v>
      </c>
      <c r="D171">
        <v>2024</v>
      </c>
      <c r="E171" t="s">
        <v>550</v>
      </c>
      <c r="F171">
        <v>6</v>
      </c>
      <c r="G171" t="s">
        <v>14033</v>
      </c>
      <c r="H171" t="s">
        <v>14034</v>
      </c>
      <c r="I171" s="4" t="s">
        <v>14035</v>
      </c>
    </row>
    <row r="172" spans="1:12" ht="216" x14ac:dyDescent="0.3">
      <c r="A172" s="4" t="s">
        <v>649</v>
      </c>
      <c r="B172">
        <v>1</v>
      </c>
      <c r="C172">
        <v>1</v>
      </c>
      <c r="D172">
        <v>2024</v>
      </c>
      <c r="E172" t="s">
        <v>318</v>
      </c>
      <c r="F172">
        <v>3</v>
      </c>
      <c r="G172" t="s">
        <v>14048</v>
      </c>
      <c r="H172" t="s">
        <v>14049</v>
      </c>
      <c r="I172" s="4" t="s">
        <v>14050</v>
      </c>
      <c r="J172" t="s">
        <v>71</v>
      </c>
      <c r="K172" t="s">
        <v>10782</v>
      </c>
      <c r="L172" t="s">
        <v>14051</v>
      </c>
    </row>
    <row r="173" spans="1:12" ht="129.6" x14ac:dyDescent="0.3">
      <c r="A173" s="4" t="s">
        <v>3217</v>
      </c>
      <c r="B173">
        <v>1</v>
      </c>
      <c r="C173">
        <v>3</v>
      </c>
      <c r="D173">
        <v>2024</v>
      </c>
      <c r="E173" t="s">
        <v>217</v>
      </c>
      <c r="F173">
        <v>0</v>
      </c>
      <c r="G173" t="s">
        <v>14066</v>
      </c>
      <c r="H173" t="s">
        <v>14067</v>
      </c>
      <c r="I173" s="4" t="s">
        <v>14068</v>
      </c>
      <c r="J173" t="s">
        <v>71</v>
      </c>
      <c r="K173" t="s">
        <v>10782</v>
      </c>
      <c r="L173" t="s">
        <v>14069</v>
      </c>
    </row>
    <row r="174" spans="1:12" ht="144" x14ac:dyDescent="0.3">
      <c r="A174" s="4" t="s">
        <v>3218</v>
      </c>
      <c r="B174">
        <v>1</v>
      </c>
      <c r="C174">
        <v>3</v>
      </c>
      <c r="D174">
        <v>2024</v>
      </c>
      <c r="E174" t="s">
        <v>14116</v>
      </c>
      <c r="F174">
        <v>0</v>
      </c>
      <c r="G174" t="s">
        <v>14117</v>
      </c>
      <c r="H174" t="s">
        <v>14118</v>
      </c>
      <c r="I174" s="4" t="s">
        <v>14119</v>
      </c>
      <c r="J174" t="s">
        <v>71</v>
      </c>
      <c r="K174" t="s">
        <v>10782</v>
      </c>
      <c r="L174" t="s">
        <v>14120</v>
      </c>
    </row>
    <row r="175" spans="1:12" ht="158.4" x14ac:dyDescent="0.3">
      <c r="A175" s="4" t="s">
        <v>3219</v>
      </c>
      <c r="B175">
        <v>1</v>
      </c>
      <c r="C175">
        <v>3</v>
      </c>
      <c r="D175">
        <v>2024</v>
      </c>
      <c r="E175" t="s">
        <v>14143</v>
      </c>
      <c r="F175">
        <v>0</v>
      </c>
      <c r="G175" t="s">
        <v>14144</v>
      </c>
      <c r="H175" t="s">
        <v>14145</v>
      </c>
      <c r="I175" s="4" t="s">
        <v>14146</v>
      </c>
    </row>
    <row r="176" spans="1:12" ht="172.8" x14ac:dyDescent="0.3">
      <c r="A176" s="4" t="s">
        <v>656</v>
      </c>
      <c r="B176">
        <v>1</v>
      </c>
      <c r="C176">
        <v>1</v>
      </c>
      <c r="D176">
        <v>2024</v>
      </c>
      <c r="E176" t="s">
        <v>657</v>
      </c>
      <c r="F176">
        <v>0</v>
      </c>
      <c r="G176" t="s">
        <v>14250</v>
      </c>
      <c r="H176" t="s">
        <v>14251</v>
      </c>
      <c r="I176" s="4" t="s">
        <v>14252</v>
      </c>
      <c r="J176" t="s">
        <v>71</v>
      </c>
      <c r="K176" t="s">
        <v>10782</v>
      </c>
      <c r="L176" t="s">
        <v>14253</v>
      </c>
    </row>
    <row r="177" spans="1:12" ht="201.6" x14ac:dyDescent="0.3">
      <c r="A177" s="4" t="s">
        <v>664</v>
      </c>
      <c r="B177">
        <v>1</v>
      </c>
      <c r="C177">
        <v>1</v>
      </c>
      <c r="D177">
        <v>2024</v>
      </c>
      <c r="E177" t="s">
        <v>665</v>
      </c>
      <c r="F177">
        <v>0</v>
      </c>
      <c r="G177" t="s">
        <v>14294</v>
      </c>
      <c r="H177" t="s">
        <v>14295</v>
      </c>
      <c r="I177" s="4" t="s">
        <v>14296</v>
      </c>
      <c r="J177" t="s">
        <v>71</v>
      </c>
      <c r="K177" t="s">
        <v>10782</v>
      </c>
      <c r="L177" t="s">
        <v>14297</v>
      </c>
    </row>
    <row r="178" spans="1:12" ht="115.2" x14ac:dyDescent="0.3">
      <c r="A178" s="4" t="s">
        <v>3220</v>
      </c>
      <c r="B178">
        <v>1</v>
      </c>
      <c r="C178">
        <v>3</v>
      </c>
      <c r="D178">
        <v>2024</v>
      </c>
      <c r="E178" t="s">
        <v>14380</v>
      </c>
      <c r="F178">
        <v>0</v>
      </c>
      <c r="G178" t="s">
        <v>14381</v>
      </c>
      <c r="H178" t="s">
        <v>14382</v>
      </c>
      <c r="I178" s="4" t="s">
        <v>14383</v>
      </c>
      <c r="J178" t="s">
        <v>71</v>
      </c>
      <c r="K178" t="s">
        <v>10782</v>
      </c>
      <c r="L178" t="s">
        <v>14384</v>
      </c>
    </row>
    <row r="179" spans="1:12" ht="216" x14ac:dyDescent="0.3">
      <c r="A179" s="4" t="s">
        <v>3221</v>
      </c>
      <c r="B179">
        <v>1</v>
      </c>
      <c r="C179">
        <v>3</v>
      </c>
      <c r="D179">
        <v>2024</v>
      </c>
      <c r="E179" t="s">
        <v>11276</v>
      </c>
      <c r="F179">
        <v>0</v>
      </c>
      <c r="G179" t="s">
        <v>14432</v>
      </c>
      <c r="H179" t="s">
        <v>14433</v>
      </c>
      <c r="I179" s="4" t="s">
        <v>14434</v>
      </c>
      <c r="J179" t="s">
        <v>71</v>
      </c>
      <c r="K179" t="s">
        <v>10782</v>
      </c>
      <c r="L179" t="s">
        <v>14435</v>
      </c>
    </row>
    <row r="180" spans="1:12" ht="100.8" x14ac:dyDescent="0.3">
      <c r="A180" s="4" t="s">
        <v>3222</v>
      </c>
      <c r="B180">
        <v>1</v>
      </c>
      <c r="C180">
        <v>3</v>
      </c>
      <c r="D180">
        <v>2024</v>
      </c>
      <c r="E180" t="s">
        <v>363</v>
      </c>
      <c r="F180">
        <v>0</v>
      </c>
      <c r="G180" t="s">
        <v>14452</v>
      </c>
      <c r="H180" t="s">
        <v>14453</v>
      </c>
      <c r="I180" s="4" t="s">
        <v>14454</v>
      </c>
    </row>
    <row r="181" spans="1:12" ht="158.4" x14ac:dyDescent="0.3">
      <c r="A181" s="4" t="s">
        <v>3223</v>
      </c>
      <c r="B181">
        <v>1</v>
      </c>
      <c r="C181">
        <v>3</v>
      </c>
      <c r="D181">
        <v>2024</v>
      </c>
      <c r="E181" t="s">
        <v>217</v>
      </c>
      <c r="F181">
        <v>1</v>
      </c>
      <c r="G181" t="s">
        <v>14483</v>
      </c>
      <c r="H181" t="s">
        <v>14484</v>
      </c>
      <c r="I181" s="4" t="s">
        <v>14485</v>
      </c>
      <c r="J181" t="s">
        <v>71</v>
      </c>
      <c r="K181" t="s">
        <v>10782</v>
      </c>
      <c r="L181" t="s">
        <v>14486</v>
      </c>
    </row>
    <row r="182" spans="1:12" ht="144" x14ac:dyDescent="0.3">
      <c r="A182" s="4" t="s">
        <v>663</v>
      </c>
      <c r="B182">
        <v>1</v>
      </c>
      <c r="C182">
        <v>1</v>
      </c>
      <c r="D182">
        <v>2024</v>
      </c>
      <c r="E182" t="s">
        <v>405</v>
      </c>
      <c r="F182">
        <v>19</v>
      </c>
      <c r="G182" t="s">
        <v>14561</v>
      </c>
      <c r="H182" t="s">
        <v>14562</v>
      </c>
      <c r="I182" s="4" t="s">
        <v>14563</v>
      </c>
      <c r="J182" t="s">
        <v>71</v>
      </c>
      <c r="K182" t="s">
        <v>10782</v>
      </c>
      <c r="L182" t="s">
        <v>14564</v>
      </c>
    </row>
    <row r="183" spans="1:12" ht="100.8" x14ac:dyDescent="0.3">
      <c r="A183" s="4" t="s">
        <v>678</v>
      </c>
      <c r="B183">
        <v>1</v>
      </c>
      <c r="C183">
        <v>1</v>
      </c>
      <c r="D183">
        <v>2024</v>
      </c>
      <c r="E183" t="s">
        <v>679</v>
      </c>
      <c r="F183">
        <v>7</v>
      </c>
      <c r="G183" t="s">
        <v>14602</v>
      </c>
      <c r="H183" t="s">
        <v>14603</v>
      </c>
      <c r="I183" s="4" t="s">
        <v>14604</v>
      </c>
      <c r="J183" t="s">
        <v>71</v>
      </c>
      <c r="K183" t="s">
        <v>10782</v>
      </c>
      <c r="L183" t="s">
        <v>14605</v>
      </c>
    </row>
    <row r="184" spans="1:12" ht="144" x14ac:dyDescent="0.3">
      <c r="A184" s="4" t="s">
        <v>680</v>
      </c>
      <c r="B184">
        <v>1</v>
      </c>
      <c r="C184">
        <v>1</v>
      </c>
      <c r="D184">
        <v>2024</v>
      </c>
      <c r="E184" t="s">
        <v>190</v>
      </c>
      <c r="F184">
        <v>7</v>
      </c>
      <c r="G184" t="s">
        <v>14653</v>
      </c>
      <c r="H184" t="s">
        <v>14654</v>
      </c>
      <c r="I184" s="4" t="s">
        <v>14655</v>
      </c>
      <c r="J184" t="s">
        <v>71</v>
      </c>
      <c r="K184" t="s">
        <v>10782</v>
      </c>
      <c r="L184" t="s">
        <v>14656</v>
      </c>
    </row>
    <row r="185" spans="1:12" ht="115.2" x14ac:dyDescent="0.3">
      <c r="A185" s="4" t="s">
        <v>3224</v>
      </c>
      <c r="B185">
        <v>1</v>
      </c>
      <c r="C185">
        <v>3</v>
      </c>
      <c r="D185">
        <v>2024</v>
      </c>
      <c r="E185" t="s">
        <v>1088</v>
      </c>
      <c r="F185">
        <v>3</v>
      </c>
      <c r="G185" t="s">
        <v>14676</v>
      </c>
      <c r="H185" t="s">
        <v>14677</v>
      </c>
      <c r="I185" s="4" t="s">
        <v>14678</v>
      </c>
      <c r="J185" t="s">
        <v>71</v>
      </c>
      <c r="K185" t="s">
        <v>10782</v>
      </c>
      <c r="L185" t="s">
        <v>14679</v>
      </c>
    </row>
    <row r="186" spans="1:12" ht="187.2" x14ac:dyDescent="0.3">
      <c r="A186" s="4" t="s">
        <v>703</v>
      </c>
      <c r="B186">
        <v>1</v>
      </c>
      <c r="C186">
        <v>1</v>
      </c>
      <c r="D186">
        <v>2024</v>
      </c>
      <c r="E186" t="s">
        <v>704</v>
      </c>
      <c r="F186">
        <v>2</v>
      </c>
      <c r="G186" t="s">
        <v>14684</v>
      </c>
      <c r="H186" t="s">
        <v>14685</v>
      </c>
      <c r="I186" s="4" t="s">
        <v>14686</v>
      </c>
      <c r="J186" t="s">
        <v>71</v>
      </c>
      <c r="K186" t="s">
        <v>10782</v>
      </c>
      <c r="L186" t="s">
        <v>14687</v>
      </c>
    </row>
    <row r="187" spans="1:12" ht="172.8" x14ac:dyDescent="0.3">
      <c r="A187" s="4" t="s">
        <v>3225</v>
      </c>
      <c r="B187">
        <v>1</v>
      </c>
      <c r="C187">
        <v>3</v>
      </c>
      <c r="D187">
        <v>2023</v>
      </c>
      <c r="E187" t="s">
        <v>12875</v>
      </c>
      <c r="F187">
        <v>3</v>
      </c>
      <c r="G187" t="s">
        <v>14720</v>
      </c>
      <c r="H187" t="s">
        <v>14721</v>
      </c>
      <c r="I187" s="4" t="s">
        <v>14722</v>
      </c>
      <c r="J187" t="s">
        <v>71</v>
      </c>
      <c r="K187" t="s">
        <v>10782</v>
      </c>
      <c r="L187" t="s">
        <v>14723</v>
      </c>
    </row>
    <row r="188" spans="1:12" ht="172.8" x14ac:dyDescent="0.3">
      <c r="A188" s="4" t="s">
        <v>3226</v>
      </c>
      <c r="B188">
        <v>1</v>
      </c>
      <c r="C188">
        <v>3</v>
      </c>
      <c r="D188">
        <v>2023</v>
      </c>
      <c r="E188" t="s">
        <v>1525</v>
      </c>
      <c r="F188">
        <v>4</v>
      </c>
      <c r="G188" t="s">
        <v>14724</v>
      </c>
      <c r="H188" t="s">
        <v>14725</v>
      </c>
      <c r="I188" s="4" t="s">
        <v>14726</v>
      </c>
      <c r="J188" t="s">
        <v>71</v>
      </c>
      <c r="K188" t="s">
        <v>10782</v>
      </c>
      <c r="L188" t="s">
        <v>14727</v>
      </c>
    </row>
    <row r="189" spans="1:12" ht="187.2" x14ac:dyDescent="0.3">
      <c r="A189" s="4" t="s">
        <v>3227</v>
      </c>
      <c r="B189">
        <v>1</v>
      </c>
      <c r="C189">
        <v>3</v>
      </c>
      <c r="D189">
        <v>2023</v>
      </c>
      <c r="E189" t="s">
        <v>80</v>
      </c>
      <c r="F189">
        <v>13</v>
      </c>
      <c r="G189" t="s">
        <v>14741</v>
      </c>
      <c r="H189" t="s">
        <v>14742</v>
      </c>
      <c r="I189" s="4" t="s">
        <v>14743</v>
      </c>
      <c r="J189" t="s">
        <v>71</v>
      </c>
      <c r="K189" t="s">
        <v>10782</v>
      </c>
      <c r="L189" t="s">
        <v>14744</v>
      </c>
    </row>
    <row r="190" spans="1:12" ht="172.8" x14ac:dyDescent="0.3">
      <c r="A190" s="4" t="s">
        <v>3228</v>
      </c>
      <c r="B190">
        <v>1</v>
      </c>
      <c r="C190">
        <v>3</v>
      </c>
      <c r="D190">
        <v>2023</v>
      </c>
      <c r="E190" t="s">
        <v>14820</v>
      </c>
      <c r="F190">
        <v>3</v>
      </c>
      <c r="G190" t="s">
        <v>14821</v>
      </c>
      <c r="H190" t="s">
        <v>14822</v>
      </c>
      <c r="I190" s="4" t="s">
        <v>14823</v>
      </c>
      <c r="J190" t="s">
        <v>71</v>
      </c>
      <c r="K190" t="s">
        <v>10782</v>
      </c>
      <c r="L190" t="s">
        <v>14824</v>
      </c>
    </row>
    <row r="191" spans="1:12" ht="158.4" x14ac:dyDescent="0.3">
      <c r="A191" s="4" t="s">
        <v>3229</v>
      </c>
      <c r="B191">
        <v>1</v>
      </c>
      <c r="C191">
        <v>3</v>
      </c>
      <c r="D191">
        <v>2023</v>
      </c>
      <c r="E191" t="s">
        <v>637</v>
      </c>
      <c r="F191">
        <v>2</v>
      </c>
      <c r="G191" t="s">
        <v>14833</v>
      </c>
      <c r="H191" t="s">
        <v>14834</v>
      </c>
      <c r="I191" s="4" t="s">
        <v>14835</v>
      </c>
      <c r="J191" t="s">
        <v>71</v>
      </c>
      <c r="K191" t="s">
        <v>10782</v>
      </c>
      <c r="L191" t="s">
        <v>14836</v>
      </c>
    </row>
    <row r="192" spans="1:12" ht="72" x14ac:dyDescent="0.3">
      <c r="A192" s="4" t="s">
        <v>715</v>
      </c>
      <c r="B192">
        <v>1</v>
      </c>
      <c r="C192">
        <v>1</v>
      </c>
      <c r="D192">
        <v>2023</v>
      </c>
      <c r="E192" t="s">
        <v>318</v>
      </c>
      <c r="F192">
        <v>5</v>
      </c>
      <c r="G192" t="s">
        <v>14841</v>
      </c>
      <c r="H192" t="s">
        <v>14842</v>
      </c>
      <c r="I192" s="4" t="s">
        <v>14843</v>
      </c>
    </row>
    <row r="193" spans="1:12" ht="100.8" x14ac:dyDescent="0.3">
      <c r="A193" s="4" t="s">
        <v>3230</v>
      </c>
      <c r="B193">
        <v>1</v>
      </c>
      <c r="C193">
        <v>3</v>
      </c>
      <c r="D193">
        <v>2023</v>
      </c>
      <c r="E193" t="s">
        <v>1002</v>
      </c>
      <c r="F193">
        <v>3</v>
      </c>
      <c r="G193" t="s">
        <v>14852</v>
      </c>
      <c r="H193" t="s">
        <v>14853</v>
      </c>
      <c r="I193" s="4" t="s">
        <v>14854</v>
      </c>
    </row>
    <row r="194" spans="1:12" ht="115.2" x14ac:dyDescent="0.3">
      <c r="A194" s="4" t="s">
        <v>3231</v>
      </c>
      <c r="B194">
        <v>1</v>
      </c>
      <c r="C194">
        <v>3</v>
      </c>
      <c r="D194">
        <v>2023</v>
      </c>
      <c r="E194" t="s">
        <v>679</v>
      </c>
      <c r="F194">
        <v>2</v>
      </c>
      <c r="G194" t="s">
        <v>14855</v>
      </c>
      <c r="H194" t="s">
        <v>14856</v>
      </c>
      <c r="I194" s="4" t="s">
        <v>14857</v>
      </c>
      <c r="J194" t="s">
        <v>71</v>
      </c>
      <c r="K194" t="s">
        <v>10782</v>
      </c>
      <c r="L194" t="s">
        <v>14858</v>
      </c>
    </row>
    <row r="195" spans="1:12" ht="144" x14ac:dyDescent="0.3">
      <c r="A195" s="4" t="s">
        <v>3232</v>
      </c>
      <c r="B195">
        <v>1</v>
      </c>
      <c r="C195">
        <v>3</v>
      </c>
      <c r="D195">
        <v>2023</v>
      </c>
      <c r="E195" t="s">
        <v>1129</v>
      </c>
      <c r="F195">
        <v>10</v>
      </c>
      <c r="G195" t="s">
        <v>14897</v>
      </c>
      <c r="H195" t="s">
        <v>14898</v>
      </c>
      <c r="I195" s="4" t="s">
        <v>14899</v>
      </c>
      <c r="J195" t="s">
        <v>71</v>
      </c>
      <c r="K195" t="s">
        <v>10782</v>
      </c>
      <c r="L195" t="s">
        <v>14900</v>
      </c>
    </row>
    <row r="196" spans="1:12" ht="230.4" x14ac:dyDescent="0.3">
      <c r="A196" s="4" t="s">
        <v>725</v>
      </c>
      <c r="B196">
        <v>1</v>
      </c>
      <c r="C196">
        <v>1</v>
      </c>
      <c r="D196">
        <v>2023</v>
      </c>
      <c r="E196" t="s">
        <v>724</v>
      </c>
      <c r="F196">
        <v>1</v>
      </c>
      <c r="G196" t="s">
        <v>15067</v>
      </c>
      <c r="H196" t="s">
        <v>15068</v>
      </c>
      <c r="I196" s="4" t="s">
        <v>15069</v>
      </c>
      <c r="J196" t="s">
        <v>71</v>
      </c>
      <c r="K196" t="s">
        <v>10782</v>
      </c>
      <c r="L196" t="s">
        <v>15070</v>
      </c>
    </row>
    <row r="197" spans="1:12" ht="187.2" x14ac:dyDescent="0.3">
      <c r="A197" s="4" t="s">
        <v>3233</v>
      </c>
      <c r="B197">
        <v>1</v>
      </c>
      <c r="C197">
        <v>3</v>
      </c>
      <c r="D197">
        <v>2023</v>
      </c>
      <c r="E197" t="s">
        <v>217</v>
      </c>
      <c r="F197">
        <v>0</v>
      </c>
      <c r="G197" t="s">
        <v>15084</v>
      </c>
      <c r="H197" t="s">
        <v>15085</v>
      </c>
      <c r="I197" s="4" t="s">
        <v>15086</v>
      </c>
      <c r="J197" t="s">
        <v>71</v>
      </c>
      <c r="K197" t="s">
        <v>10782</v>
      </c>
      <c r="L197" t="s">
        <v>15087</v>
      </c>
    </row>
    <row r="198" spans="1:12" ht="201.6" x14ac:dyDescent="0.3">
      <c r="A198" s="4" t="s">
        <v>728</v>
      </c>
      <c r="B198">
        <v>1</v>
      </c>
      <c r="C198">
        <v>1</v>
      </c>
      <c r="D198">
        <v>2023</v>
      </c>
      <c r="E198" t="s">
        <v>202</v>
      </c>
      <c r="F198">
        <v>6</v>
      </c>
      <c r="G198" t="s">
        <v>15091</v>
      </c>
      <c r="H198" t="s">
        <v>15092</v>
      </c>
      <c r="I198" s="4" t="s">
        <v>15093</v>
      </c>
      <c r="J198" t="s">
        <v>71</v>
      </c>
      <c r="K198" t="s">
        <v>10782</v>
      </c>
      <c r="L198" t="s">
        <v>15094</v>
      </c>
    </row>
    <row r="199" spans="1:12" ht="172.8" x14ac:dyDescent="0.3">
      <c r="A199" s="4" t="s">
        <v>733</v>
      </c>
      <c r="B199">
        <v>1</v>
      </c>
      <c r="C199">
        <v>1</v>
      </c>
      <c r="D199">
        <v>2023</v>
      </c>
      <c r="E199" t="s">
        <v>147</v>
      </c>
      <c r="F199">
        <v>0</v>
      </c>
      <c r="G199" t="s">
        <v>15102</v>
      </c>
      <c r="H199" t="s">
        <v>15103</v>
      </c>
      <c r="I199" s="4" t="s">
        <v>15104</v>
      </c>
    </row>
    <row r="200" spans="1:12" ht="144" x14ac:dyDescent="0.3">
      <c r="A200" s="4" t="s">
        <v>3234</v>
      </c>
      <c r="B200">
        <v>1</v>
      </c>
      <c r="C200">
        <v>3</v>
      </c>
      <c r="D200">
        <v>2023</v>
      </c>
      <c r="E200" t="s">
        <v>105</v>
      </c>
      <c r="F200">
        <v>5</v>
      </c>
      <c r="G200" t="s">
        <v>15191</v>
      </c>
      <c r="H200" t="s">
        <v>15192</v>
      </c>
      <c r="I200" s="4" t="s">
        <v>15193</v>
      </c>
      <c r="J200" t="s">
        <v>71</v>
      </c>
      <c r="K200" t="s">
        <v>10782</v>
      </c>
      <c r="L200" t="s">
        <v>15194</v>
      </c>
    </row>
    <row r="201" spans="1:12" ht="259.2" x14ac:dyDescent="0.3">
      <c r="A201" s="4" t="s">
        <v>745</v>
      </c>
      <c r="B201">
        <v>1</v>
      </c>
      <c r="C201">
        <v>1</v>
      </c>
      <c r="D201">
        <v>2023</v>
      </c>
      <c r="E201" t="s">
        <v>329</v>
      </c>
      <c r="F201">
        <v>11</v>
      </c>
      <c r="G201" t="s">
        <v>15214</v>
      </c>
      <c r="H201" t="s">
        <v>15215</v>
      </c>
      <c r="I201" s="4" t="s">
        <v>15216</v>
      </c>
      <c r="J201" t="s">
        <v>71</v>
      </c>
      <c r="K201" t="s">
        <v>10782</v>
      </c>
      <c r="L201" t="s">
        <v>15217</v>
      </c>
    </row>
    <row r="202" spans="1:12" ht="187.2" x14ac:dyDescent="0.3">
      <c r="A202" s="4" t="s">
        <v>756</v>
      </c>
      <c r="B202">
        <v>1</v>
      </c>
      <c r="C202">
        <v>1</v>
      </c>
      <c r="D202">
        <v>2023</v>
      </c>
      <c r="E202" t="s">
        <v>637</v>
      </c>
      <c r="F202">
        <v>2</v>
      </c>
      <c r="G202" t="s">
        <v>15218</v>
      </c>
      <c r="H202" t="s">
        <v>15219</v>
      </c>
      <c r="I202" s="4" t="s">
        <v>15220</v>
      </c>
      <c r="J202" t="s">
        <v>71</v>
      </c>
      <c r="K202" t="s">
        <v>10782</v>
      </c>
      <c r="L202" t="s">
        <v>15221</v>
      </c>
    </row>
    <row r="203" spans="1:12" ht="172.8" x14ac:dyDescent="0.3">
      <c r="A203" s="4" t="s">
        <v>759</v>
      </c>
      <c r="B203">
        <v>1</v>
      </c>
      <c r="C203">
        <v>1</v>
      </c>
      <c r="D203">
        <v>2023</v>
      </c>
      <c r="E203" t="s">
        <v>637</v>
      </c>
      <c r="F203">
        <v>1</v>
      </c>
      <c r="G203" t="s">
        <v>15246</v>
      </c>
      <c r="H203" t="s">
        <v>15247</v>
      </c>
      <c r="I203" s="4" t="s">
        <v>15248</v>
      </c>
      <c r="J203" t="s">
        <v>71</v>
      </c>
      <c r="K203" t="s">
        <v>10782</v>
      </c>
      <c r="L203" t="s">
        <v>15249</v>
      </c>
    </row>
    <row r="204" spans="1:12" ht="115.2" x14ac:dyDescent="0.3">
      <c r="A204" s="4" t="s">
        <v>3235</v>
      </c>
      <c r="B204">
        <v>1</v>
      </c>
      <c r="C204">
        <v>3</v>
      </c>
      <c r="D204">
        <v>2023</v>
      </c>
      <c r="E204" t="s">
        <v>15254</v>
      </c>
      <c r="F204">
        <v>2</v>
      </c>
      <c r="G204" t="s">
        <v>15255</v>
      </c>
      <c r="H204" t="s">
        <v>15256</v>
      </c>
      <c r="I204" s="4" t="s">
        <v>15257</v>
      </c>
      <c r="J204" t="s">
        <v>71</v>
      </c>
      <c r="K204" t="s">
        <v>10782</v>
      </c>
      <c r="L204" t="s">
        <v>15258</v>
      </c>
    </row>
    <row r="205" spans="1:12" ht="144" x14ac:dyDescent="0.3">
      <c r="A205" s="4" t="s">
        <v>3236</v>
      </c>
      <c r="B205">
        <v>1</v>
      </c>
      <c r="C205">
        <v>3</v>
      </c>
      <c r="D205">
        <v>2023</v>
      </c>
      <c r="E205" t="s">
        <v>1525</v>
      </c>
      <c r="F205">
        <v>4</v>
      </c>
      <c r="G205" t="s">
        <v>15316</v>
      </c>
      <c r="H205" t="s">
        <v>15317</v>
      </c>
      <c r="I205" s="4" t="s">
        <v>15318</v>
      </c>
      <c r="J205" t="s">
        <v>71</v>
      </c>
      <c r="K205" t="s">
        <v>10782</v>
      </c>
      <c r="L205" t="s">
        <v>15319</v>
      </c>
    </row>
    <row r="206" spans="1:12" ht="216" x14ac:dyDescent="0.3">
      <c r="A206" s="4" t="s">
        <v>764</v>
      </c>
      <c r="B206">
        <v>1</v>
      </c>
      <c r="C206">
        <v>1</v>
      </c>
      <c r="D206">
        <v>2023</v>
      </c>
      <c r="E206" t="s">
        <v>773</v>
      </c>
      <c r="F206">
        <v>7</v>
      </c>
      <c r="G206" t="s">
        <v>15434</v>
      </c>
      <c r="H206" t="s">
        <v>15435</v>
      </c>
      <c r="I206" s="4" t="s">
        <v>15436</v>
      </c>
      <c r="J206" t="s">
        <v>71</v>
      </c>
      <c r="K206" t="s">
        <v>10782</v>
      </c>
      <c r="L206" t="s">
        <v>15437</v>
      </c>
    </row>
    <row r="207" spans="1:12" ht="187.2" x14ac:dyDescent="0.3">
      <c r="A207" s="4" t="s">
        <v>767</v>
      </c>
      <c r="B207">
        <v>1</v>
      </c>
      <c r="C207">
        <v>1</v>
      </c>
      <c r="D207">
        <v>2023</v>
      </c>
      <c r="E207" t="s">
        <v>782</v>
      </c>
      <c r="F207">
        <v>3</v>
      </c>
      <c r="G207" t="s">
        <v>15438</v>
      </c>
      <c r="H207" t="s">
        <v>15439</v>
      </c>
      <c r="I207" s="4" t="s">
        <v>15440</v>
      </c>
      <c r="J207" t="s">
        <v>71</v>
      </c>
      <c r="K207" t="s">
        <v>10782</v>
      </c>
      <c r="L207" t="s">
        <v>15441</v>
      </c>
    </row>
    <row r="208" spans="1:12" ht="158.4" x14ac:dyDescent="0.3">
      <c r="A208" s="4" t="s">
        <v>3237</v>
      </c>
      <c r="B208">
        <v>1</v>
      </c>
      <c r="C208">
        <v>3</v>
      </c>
      <c r="D208">
        <v>2023</v>
      </c>
      <c r="E208" t="s">
        <v>550</v>
      </c>
      <c r="F208">
        <v>5</v>
      </c>
      <c r="G208" t="s">
        <v>15477</v>
      </c>
      <c r="H208" t="s">
        <v>15478</v>
      </c>
      <c r="I208" s="4" t="s">
        <v>15479</v>
      </c>
      <c r="J208" t="s">
        <v>71</v>
      </c>
      <c r="K208" t="s">
        <v>10782</v>
      </c>
      <c r="L208" t="s">
        <v>15480</v>
      </c>
    </row>
    <row r="209" spans="1:12" ht="144" x14ac:dyDescent="0.3">
      <c r="A209" s="4" t="s">
        <v>3238</v>
      </c>
      <c r="B209">
        <v>1</v>
      </c>
      <c r="C209">
        <v>3</v>
      </c>
      <c r="D209">
        <v>2023</v>
      </c>
      <c r="E209" t="s">
        <v>329</v>
      </c>
      <c r="F209">
        <v>14</v>
      </c>
      <c r="G209" t="s">
        <v>15481</v>
      </c>
      <c r="H209" t="s">
        <v>15482</v>
      </c>
      <c r="I209" s="4" t="s">
        <v>15483</v>
      </c>
    </row>
    <row r="210" spans="1:12" ht="172.8" x14ac:dyDescent="0.3">
      <c r="A210" s="4" t="s">
        <v>768</v>
      </c>
      <c r="B210">
        <v>1</v>
      </c>
      <c r="C210">
        <v>1</v>
      </c>
      <c r="D210">
        <v>2023</v>
      </c>
      <c r="E210" t="s">
        <v>217</v>
      </c>
      <c r="F210">
        <v>14</v>
      </c>
      <c r="G210" t="s">
        <v>15525</v>
      </c>
      <c r="H210" t="s">
        <v>15526</v>
      </c>
      <c r="I210" s="4" t="s">
        <v>15527</v>
      </c>
      <c r="J210" t="s">
        <v>71</v>
      </c>
      <c r="K210" t="s">
        <v>10782</v>
      </c>
      <c r="L210" t="s">
        <v>15528</v>
      </c>
    </row>
    <row r="211" spans="1:12" ht="259.2" x14ac:dyDescent="0.3">
      <c r="A211" s="4" t="s">
        <v>771</v>
      </c>
      <c r="B211">
        <v>1</v>
      </c>
      <c r="C211">
        <v>1</v>
      </c>
      <c r="D211">
        <v>2023</v>
      </c>
      <c r="E211" t="s">
        <v>544</v>
      </c>
      <c r="F211">
        <v>4</v>
      </c>
      <c r="G211" t="s">
        <v>15537</v>
      </c>
      <c r="H211" t="s">
        <v>15538</v>
      </c>
      <c r="I211" s="4" t="s">
        <v>15539</v>
      </c>
    </row>
    <row r="212" spans="1:12" ht="129.6" x14ac:dyDescent="0.3">
      <c r="A212" s="4" t="s">
        <v>772</v>
      </c>
      <c r="B212">
        <v>1</v>
      </c>
      <c r="C212">
        <v>1</v>
      </c>
      <c r="D212">
        <v>2023</v>
      </c>
      <c r="E212" t="s">
        <v>799</v>
      </c>
      <c r="F212">
        <v>1</v>
      </c>
      <c r="G212" t="s">
        <v>15557</v>
      </c>
      <c r="H212" t="s">
        <v>15558</v>
      </c>
      <c r="I212" s="4" t="s">
        <v>15559</v>
      </c>
      <c r="J212" t="s">
        <v>71</v>
      </c>
      <c r="K212" t="s">
        <v>10782</v>
      </c>
      <c r="L212" t="s">
        <v>15560</v>
      </c>
    </row>
    <row r="213" spans="1:12" ht="201.6" x14ac:dyDescent="0.3">
      <c r="A213" s="4" t="s">
        <v>804</v>
      </c>
      <c r="B213">
        <v>1</v>
      </c>
      <c r="C213">
        <v>1</v>
      </c>
      <c r="D213">
        <v>2023</v>
      </c>
      <c r="E213" t="s">
        <v>811</v>
      </c>
      <c r="F213">
        <v>15</v>
      </c>
      <c r="G213" t="s">
        <v>15565</v>
      </c>
      <c r="H213" t="s">
        <v>15566</v>
      </c>
      <c r="I213" s="4" t="s">
        <v>15567</v>
      </c>
      <c r="J213" t="s">
        <v>71</v>
      </c>
      <c r="K213" t="s">
        <v>10782</v>
      </c>
      <c r="L213" t="s">
        <v>15568</v>
      </c>
    </row>
    <row r="214" spans="1:12" ht="201.6" x14ac:dyDescent="0.3">
      <c r="A214" s="4" t="s">
        <v>1464</v>
      </c>
      <c r="B214">
        <v>1</v>
      </c>
      <c r="C214">
        <v>1</v>
      </c>
      <c r="D214">
        <v>2023</v>
      </c>
      <c r="E214" t="s">
        <v>380</v>
      </c>
      <c r="F214">
        <v>16</v>
      </c>
      <c r="G214" t="s">
        <v>15577</v>
      </c>
      <c r="H214" t="s">
        <v>15578</v>
      </c>
      <c r="I214" s="4" t="s">
        <v>15579</v>
      </c>
      <c r="J214" t="s">
        <v>71</v>
      </c>
      <c r="K214" t="s">
        <v>10782</v>
      </c>
      <c r="L214" t="s">
        <v>15580</v>
      </c>
    </row>
    <row r="215" spans="1:12" ht="144" x14ac:dyDescent="0.3">
      <c r="A215" s="4" t="s">
        <v>805</v>
      </c>
      <c r="B215">
        <v>1</v>
      </c>
      <c r="C215">
        <v>1</v>
      </c>
      <c r="D215">
        <v>2023</v>
      </c>
      <c r="E215" t="s">
        <v>817</v>
      </c>
      <c r="F215">
        <v>1</v>
      </c>
      <c r="G215" t="s">
        <v>15661</v>
      </c>
      <c r="H215" t="s">
        <v>15662</v>
      </c>
      <c r="I215" s="4" t="s">
        <v>15663</v>
      </c>
      <c r="J215" t="s">
        <v>71</v>
      </c>
      <c r="K215" t="s">
        <v>10782</v>
      </c>
      <c r="L215" t="s">
        <v>15664</v>
      </c>
    </row>
    <row r="216" spans="1:12" ht="158.4" x14ac:dyDescent="0.3">
      <c r="A216" s="4" t="s">
        <v>3239</v>
      </c>
      <c r="B216">
        <v>1</v>
      </c>
      <c r="C216">
        <v>3</v>
      </c>
      <c r="D216">
        <v>2023</v>
      </c>
      <c r="E216" t="s">
        <v>363</v>
      </c>
      <c r="F216">
        <v>15</v>
      </c>
      <c r="G216" t="s">
        <v>15685</v>
      </c>
      <c r="H216" t="s">
        <v>15686</v>
      </c>
      <c r="I216" s="4" t="s">
        <v>15687</v>
      </c>
      <c r="J216" t="s">
        <v>71</v>
      </c>
      <c r="K216" t="s">
        <v>10782</v>
      </c>
      <c r="L216" t="s">
        <v>15688</v>
      </c>
    </row>
    <row r="217" spans="1:12" ht="158.4" x14ac:dyDescent="0.3">
      <c r="A217" s="4" t="s">
        <v>806</v>
      </c>
      <c r="B217">
        <v>1</v>
      </c>
      <c r="C217">
        <v>1</v>
      </c>
      <c r="D217">
        <v>2023</v>
      </c>
      <c r="E217" t="s">
        <v>622</v>
      </c>
      <c r="F217">
        <v>1</v>
      </c>
      <c r="G217" t="s">
        <v>15689</v>
      </c>
      <c r="H217" t="s">
        <v>15690</v>
      </c>
      <c r="I217" s="4" t="s">
        <v>15691</v>
      </c>
      <c r="J217" t="s">
        <v>71</v>
      </c>
      <c r="K217" t="s">
        <v>10782</v>
      </c>
      <c r="L217" t="s">
        <v>15692</v>
      </c>
    </row>
    <row r="218" spans="1:12" ht="158.4" x14ac:dyDescent="0.3">
      <c r="A218" s="4" t="s">
        <v>3240</v>
      </c>
      <c r="B218">
        <v>1</v>
      </c>
      <c r="C218">
        <v>3</v>
      </c>
      <c r="D218">
        <v>2023</v>
      </c>
      <c r="E218" t="s">
        <v>15750</v>
      </c>
      <c r="F218">
        <v>7</v>
      </c>
      <c r="G218" t="s">
        <v>15751</v>
      </c>
      <c r="H218" t="s">
        <v>15752</v>
      </c>
      <c r="I218" s="4" t="s">
        <v>15753</v>
      </c>
      <c r="J218" t="s">
        <v>71</v>
      </c>
      <c r="K218" t="s">
        <v>10782</v>
      </c>
      <c r="L218" t="s">
        <v>15754</v>
      </c>
    </row>
    <row r="219" spans="1:12" ht="158.4" x14ac:dyDescent="0.3">
      <c r="A219" s="4" t="s">
        <v>807</v>
      </c>
      <c r="B219">
        <v>1</v>
      </c>
      <c r="C219">
        <v>1</v>
      </c>
      <c r="D219">
        <v>2023</v>
      </c>
      <c r="E219" t="s">
        <v>830</v>
      </c>
      <c r="F219">
        <v>7</v>
      </c>
      <c r="G219" t="s">
        <v>15794</v>
      </c>
      <c r="H219" t="s">
        <v>15795</v>
      </c>
      <c r="I219" s="4" t="s">
        <v>15796</v>
      </c>
    </row>
    <row r="220" spans="1:12" ht="129.6" x14ac:dyDescent="0.3">
      <c r="A220" s="4" t="s">
        <v>3241</v>
      </c>
      <c r="B220">
        <v>1</v>
      </c>
      <c r="C220">
        <v>3</v>
      </c>
      <c r="D220">
        <v>2023</v>
      </c>
      <c r="E220" t="s">
        <v>13874</v>
      </c>
      <c r="F220">
        <v>3</v>
      </c>
      <c r="G220" t="s">
        <v>15834</v>
      </c>
      <c r="H220" t="s">
        <v>15835</v>
      </c>
      <c r="I220" s="4" t="s">
        <v>15836</v>
      </c>
    </row>
    <row r="221" spans="1:12" ht="244.8" x14ac:dyDescent="0.3">
      <c r="A221" s="4" t="s">
        <v>808</v>
      </c>
      <c r="B221">
        <v>1</v>
      </c>
      <c r="C221">
        <v>1</v>
      </c>
      <c r="D221">
        <v>2023</v>
      </c>
      <c r="E221" t="s">
        <v>329</v>
      </c>
      <c r="F221">
        <v>13</v>
      </c>
      <c r="G221" t="s">
        <v>15881</v>
      </c>
      <c r="H221" t="s">
        <v>15882</v>
      </c>
      <c r="I221" s="4" t="s">
        <v>15883</v>
      </c>
      <c r="J221" t="s">
        <v>71</v>
      </c>
      <c r="K221" t="s">
        <v>10782</v>
      </c>
      <c r="L221" t="s">
        <v>15884</v>
      </c>
    </row>
    <row r="222" spans="1:12" ht="216" x14ac:dyDescent="0.3">
      <c r="A222" s="4" t="s">
        <v>3242</v>
      </c>
      <c r="B222">
        <v>1</v>
      </c>
      <c r="C222">
        <v>3</v>
      </c>
      <c r="D222">
        <v>2023</v>
      </c>
      <c r="E222" t="s">
        <v>11164</v>
      </c>
      <c r="F222">
        <v>11</v>
      </c>
      <c r="G222" t="s">
        <v>15885</v>
      </c>
      <c r="H222" t="s">
        <v>15886</v>
      </c>
      <c r="I222" s="4" t="s">
        <v>15887</v>
      </c>
      <c r="J222" t="s">
        <v>71</v>
      </c>
      <c r="K222" t="s">
        <v>10782</v>
      </c>
      <c r="L222" t="s">
        <v>15888</v>
      </c>
    </row>
    <row r="223" spans="1:12" ht="230.4" x14ac:dyDescent="0.3">
      <c r="A223" s="4" t="s">
        <v>3243</v>
      </c>
      <c r="B223">
        <v>1</v>
      </c>
      <c r="C223">
        <v>3</v>
      </c>
      <c r="D223">
        <v>2023</v>
      </c>
      <c r="E223" t="s">
        <v>550</v>
      </c>
      <c r="F223">
        <v>8</v>
      </c>
      <c r="G223" t="s">
        <v>15889</v>
      </c>
      <c r="H223" t="s">
        <v>15890</v>
      </c>
      <c r="I223" s="4" t="s">
        <v>15891</v>
      </c>
      <c r="J223" t="s">
        <v>71</v>
      </c>
      <c r="K223" t="s">
        <v>10782</v>
      </c>
      <c r="L223" t="s">
        <v>15892</v>
      </c>
    </row>
    <row r="224" spans="1:12" ht="187.2" x14ac:dyDescent="0.3">
      <c r="A224" s="4" t="s">
        <v>3244</v>
      </c>
      <c r="B224">
        <v>1</v>
      </c>
      <c r="C224">
        <v>3</v>
      </c>
      <c r="D224">
        <v>2023</v>
      </c>
      <c r="E224" t="s">
        <v>329</v>
      </c>
      <c r="F224">
        <v>12</v>
      </c>
      <c r="G224" t="s">
        <v>15893</v>
      </c>
      <c r="H224" t="s">
        <v>15894</v>
      </c>
      <c r="I224" s="4" t="s">
        <v>15895</v>
      </c>
      <c r="J224" t="s">
        <v>71</v>
      </c>
      <c r="K224" t="s">
        <v>10782</v>
      </c>
      <c r="L224" t="s">
        <v>15896</v>
      </c>
    </row>
    <row r="225" spans="1:12" ht="158.4" x14ac:dyDescent="0.3">
      <c r="A225" s="4" t="s">
        <v>3245</v>
      </c>
      <c r="B225">
        <v>1</v>
      </c>
      <c r="C225">
        <v>3</v>
      </c>
      <c r="D225">
        <v>2023</v>
      </c>
      <c r="E225" t="s">
        <v>217</v>
      </c>
      <c r="F225">
        <v>9</v>
      </c>
      <c r="G225" t="s">
        <v>15914</v>
      </c>
      <c r="H225" t="s">
        <v>15915</v>
      </c>
      <c r="I225" s="4" t="s">
        <v>15916</v>
      </c>
      <c r="J225" t="s">
        <v>71</v>
      </c>
      <c r="K225" t="s">
        <v>10782</v>
      </c>
      <c r="L225" t="s">
        <v>15917</v>
      </c>
    </row>
    <row r="226" spans="1:12" ht="115.2" x14ac:dyDescent="0.3">
      <c r="A226" s="4" t="s">
        <v>3246</v>
      </c>
      <c r="B226">
        <v>1</v>
      </c>
      <c r="C226">
        <v>3</v>
      </c>
      <c r="D226">
        <v>2023</v>
      </c>
      <c r="E226" t="s">
        <v>3026</v>
      </c>
      <c r="F226">
        <v>1</v>
      </c>
      <c r="G226" t="s">
        <v>15926</v>
      </c>
      <c r="H226" t="s">
        <v>15927</v>
      </c>
      <c r="I226" s="4" t="s">
        <v>15928</v>
      </c>
      <c r="J226" t="s">
        <v>71</v>
      </c>
      <c r="K226" t="s">
        <v>10782</v>
      </c>
      <c r="L226" t="s">
        <v>15929</v>
      </c>
    </row>
    <row r="227" spans="1:12" ht="187.2" x14ac:dyDescent="0.3">
      <c r="A227" s="4" t="s">
        <v>838</v>
      </c>
      <c r="B227">
        <v>1</v>
      </c>
      <c r="C227">
        <v>1</v>
      </c>
      <c r="D227">
        <v>2023</v>
      </c>
      <c r="E227" t="s">
        <v>811</v>
      </c>
      <c r="F227">
        <v>6</v>
      </c>
      <c r="G227" t="s">
        <v>15950</v>
      </c>
      <c r="H227" t="s">
        <v>15951</v>
      </c>
      <c r="I227" s="4" t="s">
        <v>15952</v>
      </c>
      <c r="J227" t="s">
        <v>71</v>
      </c>
      <c r="K227" t="s">
        <v>10782</v>
      </c>
      <c r="L227" t="s">
        <v>15953</v>
      </c>
    </row>
    <row r="228" spans="1:12" ht="57.6" x14ac:dyDescent="0.3">
      <c r="A228" s="4" t="s">
        <v>3247</v>
      </c>
      <c r="B228">
        <v>1</v>
      </c>
      <c r="C228">
        <v>3</v>
      </c>
      <c r="D228">
        <v>2023</v>
      </c>
      <c r="E228" t="s">
        <v>15982</v>
      </c>
      <c r="F228">
        <v>0</v>
      </c>
      <c r="G228" t="s">
        <v>15983</v>
      </c>
      <c r="H228" t="s">
        <v>15984</v>
      </c>
      <c r="I228" s="4" t="s">
        <v>15985</v>
      </c>
      <c r="J228" t="s">
        <v>71</v>
      </c>
      <c r="K228" t="s">
        <v>10782</v>
      </c>
      <c r="L228" t="s">
        <v>15986</v>
      </c>
    </row>
    <row r="229" spans="1:12" ht="187.2" x14ac:dyDescent="0.3">
      <c r="A229" s="4" t="s">
        <v>3248</v>
      </c>
      <c r="B229">
        <v>1</v>
      </c>
      <c r="C229">
        <v>3</v>
      </c>
      <c r="D229">
        <v>2023</v>
      </c>
      <c r="E229" t="s">
        <v>217</v>
      </c>
      <c r="F229">
        <v>5</v>
      </c>
      <c r="G229" t="s">
        <v>16140</v>
      </c>
      <c r="H229" t="s">
        <v>16141</v>
      </c>
      <c r="I229" s="4" t="s">
        <v>16142</v>
      </c>
      <c r="J229" t="s">
        <v>71</v>
      </c>
      <c r="K229" t="s">
        <v>10782</v>
      </c>
      <c r="L229" t="s">
        <v>16143</v>
      </c>
    </row>
    <row r="230" spans="1:12" ht="86.4" x14ac:dyDescent="0.3">
      <c r="A230" s="4" t="s">
        <v>3249</v>
      </c>
      <c r="B230">
        <v>1</v>
      </c>
      <c r="C230">
        <v>3</v>
      </c>
      <c r="D230">
        <v>2023</v>
      </c>
      <c r="E230" t="s">
        <v>637</v>
      </c>
      <c r="F230">
        <v>20</v>
      </c>
      <c r="G230" t="s">
        <v>16320</v>
      </c>
      <c r="H230" t="s">
        <v>16321</v>
      </c>
      <c r="I230" s="4" t="s">
        <v>16322</v>
      </c>
    </row>
    <row r="231" spans="1:12" ht="201.6" x14ac:dyDescent="0.3">
      <c r="A231" s="4" t="s">
        <v>3250</v>
      </c>
      <c r="B231">
        <v>1</v>
      </c>
      <c r="C231">
        <v>3</v>
      </c>
      <c r="D231">
        <v>2023</v>
      </c>
      <c r="E231" t="s">
        <v>637</v>
      </c>
      <c r="F231">
        <v>28</v>
      </c>
      <c r="G231" t="s">
        <v>16346</v>
      </c>
      <c r="H231" t="s">
        <v>16347</v>
      </c>
      <c r="I231" s="4" t="s">
        <v>16348</v>
      </c>
      <c r="J231" t="s">
        <v>71</v>
      </c>
      <c r="K231" t="s">
        <v>10782</v>
      </c>
      <c r="L231" t="s">
        <v>16349</v>
      </c>
    </row>
    <row r="232" spans="1:12" ht="216" x14ac:dyDescent="0.3">
      <c r="A232" s="4" t="s">
        <v>839</v>
      </c>
      <c r="B232">
        <v>1</v>
      </c>
      <c r="C232">
        <v>1</v>
      </c>
      <c r="D232">
        <v>2023</v>
      </c>
      <c r="E232" t="s">
        <v>858</v>
      </c>
      <c r="F232">
        <v>5</v>
      </c>
      <c r="G232" t="s">
        <v>16381</v>
      </c>
      <c r="H232" t="s">
        <v>16382</v>
      </c>
      <c r="I232" s="4" t="s">
        <v>16383</v>
      </c>
    </row>
    <row r="233" spans="1:12" ht="129.6" x14ac:dyDescent="0.3">
      <c r="A233" s="4" t="s">
        <v>3251</v>
      </c>
      <c r="B233">
        <v>1</v>
      </c>
      <c r="C233">
        <v>3</v>
      </c>
      <c r="D233">
        <v>2023</v>
      </c>
      <c r="E233" t="s">
        <v>1426</v>
      </c>
      <c r="F233">
        <v>25</v>
      </c>
      <c r="G233" t="s">
        <v>16417</v>
      </c>
      <c r="H233" t="s">
        <v>16418</v>
      </c>
      <c r="I233" s="4" t="s">
        <v>16419</v>
      </c>
      <c r="J233" t="s">
        <v>71</v>
      </c>
      <c r="K233" t="s">
        <v>10782</v>
      </c>
      <c r="L233" t="s">
        <v>16420</v>
      </c>
    </row>
    <row r="234" spans="1:12" ht="172.8" x14ac:dyDescent="0.3">
      <c r="A234" s="4" t="s">
        <v>3252</v>
      </c>
      <c r="B234">
        <v>1</v>
      </c>
      <c r="C234">
        <v>3</v>
      </c>
      <c r="D234">
        <v>2023</v>
      </c>
      <c r="E234" t="s">
        <v>405</v>
      </c>
      <c r="F234">
        <v>10</v>
      </c>
      <c r="G234" t="s">
        <v>16433</v>
      </c>
      <c r="H234" t="s">
        <v>16434</v>
      </c>
      <c r="I234" s="4" t="s">
        <v>16435</v>
      </c>
      <c r="J234" t="s">
        <v>71</v>
      </c>
      <c r="K234" t="s">
        <v>10782</v>
      </c>
      <c r="L234" t="s">
        <v>16436</v>
      </c>
    </row>
    <row r="235" spans="1:12" ht="244.8" x14ac:dyDescent="0.3">
      <c r="A235" s="4" t="s">
        <v>3253</v>
      </c>
      <c r="B235">
        <v>1</v>
      </c>
      <c r="C235">
        <v>3</v>
      </c>
      <c r="D235">
        <v>2023</v>
      </c>
      <c r="E235" t="s">
        <v>217</v>
      </c>
      <c r="F235">
        <v>6</v>
      </c>
      <c r="G235" t="s">
        <v>16441</v>
      </c>
      <c r="H235" t="s">
        <v>16442</v>
      </c>
      <c r="I235" s="4" t="s">
        <v>16443</v>
      </c>
      <c r="J235" t="s">
        <v>71</v>
      </c>
      <c r="K235" t="s">
        <v>10782</v>
      </c>
      <c r="L235" t="s">
        <v>16444</v>
      </c>
    </row>
    <row r="236" spans="1:12" ht="201.6" x14ac:dyDescent="0.3">
      <c r="A236" s="4" t="s">
        <v>3254</v>
      </c>
      <c r="B236">
        <v>1</v>
      </c>
      <c r="C236">
        <v>3</v>
      </c>
      <c r="D236">
        <v>2023</v>
      </c>
      <c r="E236" t="s">
        <v>217</v>
      </c>
      <c r="F236">
        <v>29</v>
      </c>
      <c r="G236" t="s">
        <v>16445</v>
      </c>
      <c r="H236" t="s">
        <v>16446</v>
      </c>
      <c r="I236" s="4" t="s">
        <v>16447</v>
      </c>
      <c r="J236" t="s">
        <v>71</v>
      </c>
      <c r="K236" t="s">
        <v>10782</v>
      </c>
      <c r="L236" t="s">
        <v>16448</v>
      </c>
    </row>
    <row r="237" spans="1:12" ht="201.6" x14ac:dyDescent="0.3">
      <c r="A237" s="4" t="s">
        <v>840</v>
      </c>
      <c r="B237">
        <v>1</v>
      </c>
      <c r="C237">
        <v>1</v>
      </c>
      <c r="D237">
        <v>2023</v>
      </c>
      <c r="E237" t="s">
        <v>217</v>
      </c>
      <c r="F237">
        <v>16</v>
      </c>
      <c r="G237" t="s">
        <v>16453</v>
      </c>
      <c r="H237" t="s">
        <v>16454</v>
      </c>
      <c r="I237" s="4" t="s">
        <v>16455</v>
      </c>
      <c r="J237" t="s">
        <v>71</v>
      </c>
      <c r="K237" t="s">
        <v>10782</v>
      </c>
      <c r="L237" t="s">
        <v>16456</v>
      </c>
    </row>
    <row r="238" spans="1:12" ht="158.4" x14ac:dyDescent="0.3">
      <c r="A238" s="4" t="s">
        <v>3255</v>
      </c>
      <c r="B238">
        <v>1</v>
      </c>
      <c r="C238">
        <v>3</v>
      </c>
      <c r="D238">
        <v>2023</v>
      </c>
      <c r="E238" t="s">
        <v>482</v>
      </c>
      <c r="F238">
        <v>5</v>
      </c>
      <c r="G238" t="s">
        <v>16457</v>
      </c>
      <c r="H238" t="s">
        <v>16458</v>
      </c>
      <c r="I238" s="4" t="s">
        <v>16459</v>
      </c>
      <c r="J238" t="s">
        <v>71</v>
      </c>
      <c r="K238" t="s">
        <v>10782</v>
      </c>
      <c r="L238" t="s">
        <v>16460</v>
      </c>
    </row>
    <row r="239" spans="1:12" ht="100.8" x14ac:dyDescent="0.3">
      <c r="A239" s="4" t="s">
        <v>841</v>
      </c>
      <c r="B239">
        <v>1</v>
      </c>
      <c r="C239">
        <v>1</v>
      </c>
      <c r="D239">
        <v>2023</v>
      </c>
      <c r="E239" t="s">
        <v>217</v>
      </c>
      <c r="F239">
        <v>1</v>
      </c>
      <c r="G239" t="s">
        <v>16520</v>
      </c>
      <c r="H239" t="s">
        <v>16521</v>
      </c>
      <c r="I239" s="4" t="s">
        <v>16522</v>
      </c>
      <c r="J239" t="s">
        <v>71</v>
      </c>
      <c r="K239" t="s">
        <v>10782</v>
      </c>
      <c r="L239" t="s">
        <v>16523</v>
      </c>
    </row>
    <row r="240" spans="1:12" ht="187.2" x14ac:dyDescent="0.3">
      <c r="A240" s="4" t="s">
        <v>3256</v>
      </c>
      <c r="B240">
        <v>1</v>
      </c>
      <c r="C240">
        <v>3</v>
      </c>
      <c r="D240">
        <v>2023</v>
      </c>
      <c r="E240" t="s">
        <v>1770</v>
      </c>
      <c r="F240">
        <v>6</v>
      </c>
      <c r="G240" t="s">
        <v>16585</v>
      </c>
      <c r="H240" t="s">
        <v>16586</v>
      </c>
      <c r="I240" s="4" t="s">
        <v>16587</v>
      </c>
      <c r="J240" t="s">
        <v>71</v>
      </c>
      <c r="K240" t="s">
        <v>10782</v>
      </c>
      <c r="L240" t="s">
        <v>16588</v>
      </c>
    </row>
    <row r="241" spans="1:12" ht="172.8" x14ac:dyDescent="0.3">
      <c r="A241" s="4" t="s">
        <v>3257</v>
      </c>
      <c r="B241">
        <v>1</v>
      </c>
      <c r="C241">
        <v>3</v>
      </c>
      <c r="D241">
        <v>2023</v>
      </c>
      <c r="E241" t="s">
        <v>16589</v>
      </c>
      <c r="F241">
        <v>1</v>
      </c>
      <c r="G241" t="s">
        <v>16590</v>
      </c>
      <c r="H241" t="s">
        <v>16591</v>
      </c>
      <c r="I241" s="4" t="s">
        <v>16592</v>
      </c>
      <c r="J241" t="s">
        <v>71</v>
      </c>
      <c r="K241" t="s">
        <v>10782</v>
      </c>
      <c r="L241" t="s">
        <v>16593</v>
      </c>
    </row>
    <row r="242" spans="1:12" ht="259.2" x14ac:dyDescent="0.3">
      <c r="A242" s="4" t="s">
        <v>879</v>
      </c>
      <c r="B242">
        <v>1</v>
      </c>
      <c r="C242">
        <v>1</v>
      </c>
      <c r="D242">
        <v>2023</v>
      </c>
      <c r="E242" t="s">
        <v>892</v>
      </c>
      <c r="F242">
        <v>4</v>
      </c>
      <c r="G242" t="s">
        <v>16610</v>
      </c>
      <c r="H242" t="s">
        <v>16611</v>
      </c>
      <c r="I242" s="4" t="s">
        <v>16612</v>
      </c>
      <c r="J242" t="s">
        <v>71</v>
      </c>
      <c r="K242" t="s">
        <v>10782</v>
      </c>
      <c r="L242" t="s">
        <v>16613</v>
      </c>
    </row>
    <row r="243" spans="1:12" ht="144" x14ac:dyDescent="0.3">
      <c r="A243" s="4" t="s">
        <v>3258</v>
      </c>
      <c r="B243">
        <v>1</v>
      </c>
      <c r="C243">
        <v>3</v>
      </c>
      <c r="D243">
        <v>2023</v>
      </c>
      <c r="E243" t="s">
        <v>13696</v>
      </c>
      <c r="F243">
        <v>0</v>
      </c>
      <c r="G243" t="s">
        <v>16618</v>
      </c>
      <c r="H243" t="s">
        <v>16619</v>
      </c>
      <c r="I243" s="4" t="s">
        <v>16620</v>
      </c>
      <c r="J243" t="s">
        <v>71</v>
      </c>
      <c r="K243" t="s">
        <v>10782</v>
      </c>
      <c r="L243" t="s">
        <v>16621</v>
      </c>
    </row>
    <row r="244" spans="1:12" ht="172.8" x14ac:dyDescent="0.3">
      <c r="A244" s="4" t="s">
        <v>3259</v>
      </c>
      <c r="B244">
        <v>1</v>
      </c>
      <c r="C244">
        <v>3</v>
      </c>
      <c r="D244">
        <v>2023</v>
      </c>
      <c r="E244" t="s">
        <v>817</v>
      </c>
      <c r="F244">
        <v>3</v>
      </c>
      <c r="G244" t="s">
        <v>16635</v>
      </c>
      <c r="H244" t="s">
        <v>16636</v>
      </c>
      <c r="I244" s="4" t="s">
        <v>16637</v>
      </c>
      <c r="J244" t="s">
        <v>71</v>
      </c>
      <c r="K244" t="s">
        <v>10782</v>
      </c>
      <c r="L244" t="s">
        <v>16638</v>
      </c>
    </row>
    <row r="245" spans="1:12" ht="129.6" x14ac:dyDescent="0.3">
      <c r="A245" s="4" t="s">
        <v>3260</v>
      </c>
      <c r="B245">
        <v>1</v>
      </c>
      <c r="C245">
        <v>3</v>
      </c>
      <c r="D245">
        <v>2023</v>
      </c>
      <c r="E245" t="s">
        <v>318</v>
      </c>
      <c r="F245">
        <v>14</v>
      </c>
      <c r="G245" t="s">
        <v>16654</v>
      </c>
      <c r="H245" t="s">
        <v>16655</v>
      </c>
      <c r="I245" s="4" t="s">
        <v>16656</v>
      </c>
      <c r="J245" t="s">
        <v>71</v>
      </c>
      <c r="K245" t="s">
        <v>10782</v>
      </c>
      <c r="L245" t="s">
        <v>16657</v>
      </c>
    </row>
    <row r="246" spans="1:12" ht="244.8" x14ac:dyDescent="0.3">
      <c r="A246" s="4" t="s">
        <v>3261</v>
      </c>
      <c r="B246">
        <v>1</v>
      </c>
      <c r="C246">
        <v>3</v>
      </c>
      <c r="D246">
        <v>2023</v>
      </c>
      <c r="E246" t="s">
        <v>11337</v>
      </c>
      <c r="F246">
        <v>2</v>
      </c>
      <c r="G246" t="s">
        <v>16673</v>
      </c>
      <c r="H246" t="s">
        <v>16674</v>
      </c>
      <c r="I246" s="4" t="s">
        <v>16675</v>
      </c>
      <c r="J246" t="s">
        <v>71</v>
      </c>
      <c r="K246" t="s">
        <v>10782</v>
      </c>
      <c r="L246" t="s">
        <v>16676</v>
      </c>
    </row>
    <row r="247" spans="1:12" ht="187.2" x14ac:dyDescent="0.3">
      <c r="A247" s="4" t="s">
        <v>3262</v>
      </c>
      <c r="B247">
        <v>1</v>
      </c>
      <c r="C247">
        <v>3</v>
      </c>
      <c r="D247">
        <v>2023</v>
      </c>
      <c r="E247" t="s">
        <v>16677</v>
      </c>
      <c r="F247">
        <v>19</v>
      </c>
      <c r="G247" t="s">
        <v>16678</v>
      </c>
      <c r="H247" t="s">
        <v>16679</v>
      </c>
      <c r="I247" s="4" t="s">
        <v>16680</v>
      </c>
      <c r="J247" t="s">
        <v>71</v>
      </c>
      <c r="K247" t="s">
        <v>10782</v>
      </c>
      <c r="L247" t="s">
        <v>16681</v>
      </c>
    </row>
    <row r="248" spans="1:12" ht="201.6" x14ac:dyDescent="0.3">
      <c r="A248" s="4" t="s">
        <v>3263</v>
      </c>
      <c r="B248">
        <v>1</v>
      </c>
      <c r="C248">
        <v>3</v>
      </c>
      <c r="D248">
        <v>2023</v>
      </c>
      <c r="E248" t="s">
        <v>217</v>
      </c>
      <c r="F248">
        <v>12</v>
      </c>
      <c r="G248" t="s">
        <v>16722</v>
      </c>
      <c r="H248" t="s">
        <v>16723</v>
      </c>
      <c r="I248" s="4" t="s">
        <v>16724</v>
      </c>
      <c r="J248" t="s">
        <v>71</v>
      </c>
      <c r="K248" t="s">
        <v>10782</v>
      </c>
      <c r="L248" t="s">
        <v>16725</v>
      </c>
    </row>
    <row r="249" spans="1:12" ht="115.2" x14ac:dyDescent="0.3">
      <c r="A249" s="4" t="s">
        <v>3264</v>
      </c>
      <c r="B249">
        <v>1</v>
      </c>
      <c r="C249">
        <v>3</v>
      </c>
      <c r="D249">
        <v>2023</v>
      </c>
      <c r="E249" t="s">
        <v>16780</v>
      </c>
      <c r="F249">
        <v>4</v>
      </c>
      <c r="G249" t="s">
        <v>16781</v>
      </c>
      <c r="H249" t="s">
        <v>16782</v>
      </c>
      <c r="I249" s="4" t="s">
        <v>16783</v>
      </c>
      <c r="J249" t="s">
        <v>71</v>
      </c>
      <c r="K249" t="s">
        <v>10782</v>
      </c>
      <c r="L249" t="s">
        <v>16784</v>
      </c>
    </row>
    <row r="250" spans="1:12" ht="172.8" x14ac:dyDescent="0.3">
      <c r="A250" s="4" t="s">
        <v>3265</v>
      </c>
      <c r="B250">
        <v>1</v>
      </c>
      <c r="C250">
        <v>3</v>
      </c>
      <c r="D250">
        <v>2023</v>
      </c>
      <c r="E250" t="s">
        <v>2030</v>
      </c>
      <c r="F250">
        <v>12</v>
      </c>
      <c r="G250" t="s">
        <v>16789</v>
      </c>
      <c r="H250" t="s">
        <v>16790</v>
      </c>
      <c r="I250" s="4" t="s">
        <v>16791</v>
      </c>
      <c r="J250" t="s">
        <v>71</v>
      </c>
      <c r="K250" t="s">
        <v>10782</v>
      </c>
      <c r="L250" t="s">
        <v>16792</v>
      </c>
    </row>
    <row r="251" spans="1:12" ht="244.8" x14ac:dyDescent="0.3">
      <c r="A251" s="4" t="s">
        <v>3266</v>
      </c>
      <c r="B251">
        <v>1</v>
      </c>
      <c r="C251">
        <v>3</v>
      </c>
      <c r="D251">
        <v>2023</v>
      </c>
      <c r="E251" t="s">
        <v>10057</v>
      </c>
      <c r="F251">
        <v>12</v>
      </c>
      <c r="G251" t="s">
        <v>16806</v>
      </c>
      <c r="H251" t="s">
        <v>16807</v>
      </c>
      <c r="I251" s="4" t="s">
        <v>16808</v>
      </c>
      <c r="J251" t="s">
        <v>71</v>
      </c>
      <c r="K251" t="s">
        <v>10782</v>
      </c>
      <c r="L251" t="s">
        <v>16809</v>
      </c>
    </row>
    <row r="252" spans="1:12" ht="244.8" x14ac:dyDescent="0.3">
      <c r="A252" s="4" t="s">
        <v>880</v>
      </c>
      <c r="B252">
        <v>1</v>
      </c>
      <c r="C252">
        <v>1</v>
      </c>
      <c r="D252">
        <v>2023</v>
      </c>
      <c r="E252" t="s">
        <v>329</v>
      </c>
      <c r="F252">
        <v>29</v>
      </c>
      <c r="G252" t="s">
        <v>16850</v>
      </c>
      <c r="H252" t="s">
        <v>16851</v>
      </c>
      <c r="I252" s="4" t="s">
        <v>16852</v>
      </c>
      <c r="J252" t="s">
        <v>71</v>
      </c>
      <c r="K252" t="s">
        <v>10782</v>
      </c>
      <c r="L252" t="s">
        <v>16853</v>
      </c>
    </row>
    <row r="253" spans="1:12" ht="230.4" x14ac:dyDescent="0.3">
      <c r="A253" s="4" t="s">
        <v>881</v>
      </c>
      <c r="B253">
        <v>1</v>
      </c>
      <c r="C253">
        <v>1</v>
      </c>
      <c r="D253">
        <v>2023</v>
      </c>
      <c r="E253" t="s">
        <v>892</v>
      </c>
      <c r="F253">
        <v>5</v>
      </c>
      <c r="G253" t="s">
        <v>16883</v>
      </c>
      <c r="H253" t="s">
        <v>16884</v>
      </c>
      <c r="I253" s="4" t="s">
        <v>16885</v>
      </c>
    </row>
    <row r="254" spans="1:12" ht="201.6" x14ac:dyDescent="0.3">
      <c r="A254" s="4" t="s">
        <v>882</v>
      </c>
      <c r="B254">
        <v>1</v>
      </c>
      <c r="C254">
        <v>1</v>
      </c>
      <c r="D254">
        <v>2023</v>
      </c>
      <c r="E254" t="s">
        <v>907</v>
      </c>
      <c r="F254">
        <v>15</v>
      </c>
      <c r="G254" t="s">
        <v>16886</v>
      </c>
      <c r="H254" t="s">
        <v>16887</v>
      </c>
      <c r="I254" s="4" t="s">
        <v>16888</v>
      </c>
      <c r="J254" t="s">
        <v>71</v>
      </c>
      <c r="K254" t="s">
        <v>10782</v>
      </c>
      <c r="L254" t="s">
        <v>16889</v>
      </c>
    </row>
    <row r="255" spans="1:12" ht="115.2" x14ac:dyDescent="0.3">
      <c r="A255" s="4" t="s">
        <v>883</v>
      </c>
      <c r="B255">
        <v>1</v>
      </c>
      <c r="C255">
        <v>1</v>
      </c>
      <c r="D255">
        <v>2023</v>
      </c>
      <c r="E255" t="s">
        <v>912</v>
      </c>
      <c r="F255">
        <v>9</v>
      </c>
      <c r="G255" t="s">
        <v>16908</v>
      </c>
      <c r="H255" t="s">
        <v>16909</v>
      </c>
      <c r="I255" s="4" t="s">
        <v>16910</v>
      </c>
      <c r="J255" t="s">
        <v>71</v>
      </c>
      <c r="K255" t="s">
        <v>10782</v>
      </c>
      <c r="L255" t="s">
        <v>16911</v>
      </c>
    </row>
    <row r="256" spans="1:12" ht="129.6" x14ac:dyDescent="0.3">
      <c r="A256" s="4" t="s">
        <v>3267</v>
      </c>
      <c r="B256">
        <v>1</v>
      </c>
      <c r="C256">
        <v>3</v>
      </c>
      <c r="D256">
        <v>2023</v>
      </c>
      <c r="E256" t="s">
        <v>190</v>
      </c>
      <c r="F256">
        <v>29</v>
      </c>
      <c r="G256" t="s">
        <v>16912</v>
      </c>
      <c r="H256" t="s">
        <v>16913</v>
      </c>
      <c r="I256" s="4" t="s">
        <v>16914</v>
      </c>
      <c r="J256" t="s">
        <v>71</v>
      </c>
      <c r="K256" t="s">
        <v>10782</v>
      </c>
      <c r="L256" t="s">
        <v>16915</v>
      </c>
    </row>
    <row r="257" spans="1:12" ht="172.8" x14ac:dyDescent="0.3">
      <c r="A257" s="4" t="s">
        <v>884</v>
      </c>
      <c r="B257">
        <v>1</v>
      </c>
      <c r="C257">
        <v>1</v>
      </c>
      <c r="D257">
        <v>2023</v>
      </c>
      <c r="E257" t="s">
        <v>918</v>
      </c>
      <c r="F257">
        <v>9</v>
      </c>
      <c r="G257" t="s">
        <v>16942</v>
      </c>
      <c r="H257" t="s">
        <v>16943</v>
      </c>
      <c r="I257" s="4" t="s">
        <v>16944</v>
      </c>
      <c r="J257" t="s">
        <v>71</v>
      </c>
      <c r="K257" t="s">
        <v>10782</v>
      </c>
      <c r="L257" t="s">
        <v>16945</v>
      </c>
    </row>
    <row r="258" spans="1:12" ht="201.6" x14ac:dyDescent="0.3">
      <c r="A258" s="4" t="s">
        <v>3268</v>
      </c>
      <c r="B258">
        <v>1</v>
      </c>
      <c r="C258">
        <v>3</v>
      </c>
      <c r="D258">
        <v>2023</v>
      </c>
      <c r="E258" t="s">
        <v>16950</v>
      </c>
      <c r="F258">
        <v>4</v>
      </c>
      <c r="G258" t="s">
        <v>16951</v>
      </c>
      <c r="H258" t="s">
        <v>16952</v>
      </c>
      <c r="I258" s="4" t="s">
        <v>16953</v>
      </c>
      <c r="J258" t="s">
        <v>71</v>
      </c>
      <c r="K258" t="s">
        <v>10782</v>
      </c>
      <c r="L258" t="s">
        <v>16954</v>
      </c>
    </row>
    <row r="259" spans="1:12" ht="409.6" x14ac:dyDescent="0.3">
      <c r="A259" s="4" t="s">
        <v>3269</v>
      </c>
      <c r="B259">
        <v>1</v>
      </c>
      <c r="C259">
        <v>3</v>
      </c>
      <c r="D259">
        <v>2023</v>
      </c>
      <c r="E259" t="s">
        <v>14102</v>
      </c>
      <c r="F259">
        <v>0</v>
      </c>
      <c r="G259" t="s">
        <v>16984</v>
      </c>
      <c r="H259" t="s">
        <v>16985</v>
      </c>
      <c r="I259" s="4" t="s">
        <v>16986</v>
      </c>
      <c r="J259" t="s">
        <v>71</v>
      </c>
      <c r="K259" t="s">
        <v>10782</v>
      </c>
      <c r="L259" t="s">
        <v>16987</v>
      </c>
    </row>
    <row r="260" spans="1:12" ht="129.6" x14ac:dyDescent="0.3">
      <c r="A260" s="4" t="s">
        <v>885</v>
      </c>
      <c r="B260">
        <v>1</v>
      </c>
      <c r="C260">
        <v>1</v>
      </c>
      <c r="D260">
        <v>2023</v>
      </c>
      <c r="E260" t="s">
        <v>405</v>
      </c>
      <c r="F260">
        <v>23</v>
      </c>
      <c r="G260" t="s">
        <v>16988</v>
      </c>
      <c r="H260" t="s">
        <v>16989</v>
      </c>
      <c r="I260" s="4" t="s">
        <v>16990</v>
      </c>
      <c r="J260" t="s">
        <v>71</v>
      </c>
      <c r="K260" t="s">
        <v>10782</v>
      </c>
      <c r="L260" t="s">
        <v>16991</v>
      </c>
    </row>
    <row r="261" spans="1:12" ht="144" x14ac:dyDescent="0.3">
      <c r="A261" s="4" t="s">
        <v>888</v>
      </c>
      <c r="B261">
        <v>1</v>
      </c>
      <c r="C261">
        <v>1</v>
      </c>
      <c r="D261">
        <v>2023</v>
      </c>
      <c r="E261" t="s">
        <v>958</v>
      </c>
      <c r="F261">
        <v>9</v>
      </c>
      <c r="G261" t="s">
        <v>17011</v>
      </c>
      <c r="H261" t="s">
        <v>17012</v>
      </c>
      <c r="I261" s="4" t="s">
        <v>17013</v>
      </c>
      <c r="J261" t="s">
        <v>71</v>
      </c>
      <c r="K261" t="s">
        <v>10782</v>
      </c>
      <c r="L261" t="s">
        <v>17014</v>
      </c>
    </row>
    <row r="262" spans="1:12" ht="187.2" x14ac:dyDescent="0.3">
      <c r="A262" s="4" t="s">
        <v>3270</v>
      </c>
      <c r="B262">
        <v>1</v>
      </c>
      <c r="C262">
        <v>3</v>
      </c>
      <c r="D262">
        <v>2023</v>
      </c>
      <c r="E262" t="s">
        <v>17066</v>
      </c>
      <c r="F262">
        <v>8</v>
      </c>
      <c r="G262" t="s">
        <v>17067</v>
      </c>
      <c r="H262" t="s">
        <v>17068</v>
      </c>
      <c r="I262" s="4" t="s">
        <v>17069</v>
      </c>
      <c r="J262" t="s">
        <v>71</v>
      </c>
      <c r="K262" t="s">
        <v>10782</v>
      </c>
      <c r="L262" t="s">
        <v>17070</v>
      </c>
    </row>
    <row r="263" spans="1:12" ht="72" x14ac:dyDescent="0.3">
      <c r="A263" s="4" t="s">
        <v>3271</v>
      </c>
      <c r="B263">
        <v>1</v>
      </c>
      <c r="C263">
        <v>3</v>
      </c>
      <c r="D263">
        <v>2023</v>
      </c>
      <c r="E263" t="s">
        <v>11164</v>
      </c>
      <c r="F263">
        <v>8</v>
      </c>
      <c r="G263" t="s">
        <v>17100</v>
      </c>
      <c r="H263" t="s">
        <v>17101</v>
      </c>
      <c r="I263" s="4" t="s">
        <v>17102</v>
      </c>
    </row>
    <row r="264" spans="1:12" ht="172.8" x14ac:dyDescent="0.3">
      <c r="A264" s="4" t="s">
        <v>3272</v>
      </c>
      <c r="B264">
        <v>1</v>
      </c>
      <c r="C264">
        <v>3</v>
      </c>
      <c r="D264">
        <v>2023</v>
      </c>
      <c r="E264" t="s">
        <v>14285</v>
      </c>
      <c r="F264">
        <v>5</v>
      </c>
      <c r="G264" t="s">
        <v>17153</v>
      </c>
      <c r="H264" t="s">
        <v>17154</v>
      </c>
      <c r="I264" s="4" t="s">
        <v>17155</v>
      </c>
      <c r="J264" t="s">
        <v>71</v>
      </c>
      <c r="K264" t="s">
        <v>10782</v>
      </c>
      <c r="L264" t="s">
        <v>17156</v>
      </c>
    </row>
    <row r="265" spans="1:12" ht="158.4" x14ac:dyDescent="0.3">
      <c r="A265" s="4" t="s">
        <v>3273</v>
      </c>
      <c r="B265">
        <v>1</v>
      </c>
      <c r="C265">
        <v>3</v>
      </c>
      <c r="D265">
        <v>2023</v>
      </c>
      <c r="E265" t="s">
        <v>11164</v>
      </c>
      <c r="F265">
        <v>2</v>
      </c>
      <c r="G265" t="s">
        <v>17177</v>
      </c>
      <c r="H265" t="s">
        <v>17178</v>
      </c>
      <c r="I265" s="4" t="s">
        <v>17179</v>
      </c>
      <c r="J265" t="s">
        <v>71</v>
      </c>
      <c r="K265" t="s">
        <v>10782</v>
      </c>
      <c r="L265" t="s">
        <v>17180</v>
      </c>
    </row>
    <row r="266" spans="1:12" ht="129.6" x14ac:dyDescent="0.3">
      <c r="A266" s="4" t="s">
        <v>3274</v>
      </c>
      <c r="B266">
        <v>1</v>
      </c>
      <c r="C266">
        <v>3</v>
      </c>
      <c r="D266">
        <v>2023</v>
      </c>
      <c r="E266" t="s">
        <v>11521</v>
      </c>
      <c r="F266">
        <v>7</v>
      </c>
      <c r="G266" t="s">
        <v>17185</v>
      </c>
      <c r="H266" t="s">
        <v>17186</v>
      </c>
      <c r="I266" s="4" t="s">
        <v>17187</v>
      </c>
      <c r="J266" t="s">
        <v>71</v>
      </c>
      <c r="K266" t="s">
        <v>10782</v>
      </c>
      <c r="L266" t="s">
        <v>17188</v>
      </c>
    </row>
    <row r="267" spans="1:12" ht="187.2" x14ac:dyDescent="0.3">
      <c r="A267" s="4" t="s">
        <v>3275</v>
      </c>
      <c r="B267">
        <v>1</v>
      </c>
      <c r="C267">
        <v>3</v>
      </c>
      <c r="D267">
        <v>2023</v>
      </c>
      <c r="E267" t="s">
        <v>217</v>
      </c>
      <c r="F267">
        <v>6</v>
      </c>
      <c r="G267" t="s">
        <v>17189</v>
      </c>
      <c r="H267" t="s">
        <v>17190</v>
      </c>
      <c r="I267" s="4" t="s">
        <v>17191</v>
      </c>
      <c r="J267" t="s">
        <v>71</v>
      </c>
      <c r="K267" t="s">
        <v>10782</v>
      </c>
      <c r="L267" t="s">
        <v>17192</v>
      </c>
    </row>
    <row r="268" spans="1:12" ht="144" x14ac:dyDescent="0.3">
      <c r="A268" s="4" t="s">
        <v>933</v>
      </c>
      <c r="B268">
        <v>1</v>
      </c>
      <c r="C268">
        <v>1</v>
      </c>
      <c r="D268">
        <v>2023</v>
      </c>
      <c r="E268" t="s">
        <v>959</v>
      </c>
      <c r="F268">
        <v>13</v>
      </c>
      <c r="G268" t="s">
        <v>17193</v>
      </c>
      <c r="H268" t="s">
        <v>17194</v>
      </c>
      <c r="I268" s="4" t="s">
        <v>17195</v>
      </c>
    </row>
    <row r="269" spans="1:12" ht="374.4" x14ac:dyDescent="0.3">
      <c r="A269" s="4" t="s">
        <v>3276</v>
      </c>
      <c r="B269">
        <v>1</v>
      </c>
      <c r="C269">
        <v>3</v>
      </c>
      <c r="D269">
        <v>2023</v>
      </c>
      <c r="E269" t="s">
        <v>14102</v>
      </c>
      <c r="F269">
        <v>0</v>
      </c>
      <c r="G269" t="s">
        <v>17213</v>
      </c>
      <c r="H269" t="s">
        <v>17214</v>
      </c>
      <c r="I269" s="4" t="s">
        <v>17215</v>
      </c>
    </row>
    <row r="270" spans="1:12" ht="158.4" x14ac:dyDescent="0.3">
      <c r="A270" s="4" t="s">
        <v>934</v>
      </c>
      <c r="B270">
        <v>1</v>
      </c>
      <c r="C270">
        <v>1</v>
      </c>
      <c r="D270">
        <v>2023</v>
      </c>
      <c r="E270" t="s">
        <v>964</v>
      </c>
      <c r="F270">
        <v>4</v>
      </c>
      <c r="G270" t="s">
        <v>17220</v>
      </c>
      <c r="H270" t="s">
        <v>17221</v>
      </c>
      <c r="I270" s="4" t="s">
        <v>17222</v>
      </c>
      <c r="J270" t="s">
        <v>71</v>
      </c>
      <c r="K270" t="s">
        <v>10782</v>
      </c>
      <c r="L270" t="s">
        <v>17223</v>
      </c>
    </row>
    <row r="271" spans="1:12" ht="129.6" x14ac:dyDescent="0.3">
      <c r="A271" s="4" t="s">
        <v>3277</v>
      </c>
      <c r="B271">
        <v>1</v>
      </c>
      <c r="C271">
        <v>3</v>
      </c>
      <c r="D271">
        <v>2022</v>
      </c>
      <c r="E271" t="s">
        <v>329</v>
      </c>
      <c r="F271">
        <v>2</v>
      </c>
      <c r="G271" t="s">
        <v>17297</v>
      </c>
      <c r="H271" t="s">
        <v>17298</v>
      </c>
      <c r="I271" s="4" t="s">
        <v>17299</v>
      </c>
      <c r="J271" t="s">
        <v>71</v>
      </c>
      <c r="K271" t="s">
        <v>10782</v>
      </c>
      <c r="L271" t="s">
        <v>17300</v>
      </c>
    </row>
    <row r="272" spans="1:12" ht="100.8" x14ac:dyDescent="0.3">
      <c r="A272" s="4" t="s">
        <v>935</v>
      </c>
      <c r="B272">
        <v>1</v>
      </c>
      <c r="C272">
        <v>1</v>
      </c>
      <c r="D272">
        <v>2022</v>
      </c>
      <c r="E272" t="s">
        <v>277</v>
      </c>
      <c r="F272">
        <v>88</v>
      </c>
      <c r="G272" t="s">
        <v>17317</v>
      </c>
      <c r="H272" t="s">
        <v>17318</v>
      </c>
      <c r="I272" s="4" t="s">
        <v>17319</v>
      </c>
      <c r="J272" t="s">
        <v>71</v>
      </c>
      <c r="K272" t="s">
        <v>10782</v>
      </c>
      <c r="L272" t="s">
        <v>17320</v>
      </c>
    </row>
    <row r="273" spans="1:12" ht="244.8" x14ac:dyDescent="0.3">
      <c r="A273" s="4" t="s">
        <v>941</v>
      </c>
      <c r="B273">
        <v>1</v>
      </c>
      <c r="C273">
        <v>1</v>
      </c>
      <c r="D273">
        <v>2022</v>
      </c>
      <c r="E273" t="s">
        <v>128</v>
      </c>
      <c r="F273">
        <v>4</v>
      </c>
      <c r="G273" t="s">
        <v>17355</v>
      </c>
      <c r="H273" t="s">
        <v>17356</v>
      </c>
      <c r="I273" s="4" t="s">
        <v>17357</v>
      </c>
      <c r="J273" t="s">
        <v>71</v>
      </c>
      <c r="K273" t="s">
        <v>10782</v>
      </c>
      <c r="L273" t="s">
        <v>17358</v>
      </c>
    </row>
    <row r="274" spans="1:12" ht="129.6" x14ac:dyDescent="0.3">
      <c r="A274" s="4" t="s">
        <v>942</v>
      </c>
      <c r="B274">
        <v>1</v>
      </c>
      <c r="C274">
        <v>1</v>
      </c>
      <c r="D274">
        <v>2022</v>
      </c>
      <c r="E274" t="s">
        <v>405</v>
      </c>
      <c r="F274">
        <v>16</v>
      </c>
      <c r="G274" t="s">
        <v>17367</v>
      </c>
      <c r="H274" t="s">
        <v>17368</v>
      </c>
      <c r="I274" s="4" t="s">
        <v>17369</v>
      </c>
      <c r="J274" t="s">
        <v>71</v>
      </c>
      <c r="K274" t="s">
        <v>10782</v>
      </c>
      <c r="L274" t="s">
        <v>17370</v>
      </c>
    </row>
    <row r="275" spans="1:12" ht="144" x14ac:dyDescent="0.3">
      <c r="A275" s="4" t="s">
        <v>3278</v>
      </c>
      <c r="B275">
        <v>1</v>
      </c>
      <c r="C275">
        <v>3</v>
      </c>
      <c r="D275">
        <v>2022</v>
      </c>
      <c r="E275" t="s">
        <v>217</v>
      </c>
      <c r="F275">
        <v>3</v>
      </c>
      <c r="G275" t="s">
        <v>17382</v>
      </c>
      <c r="H275" t="s">
        <v>17383</v>
      </c>
      <c r="I275" s="4" t="s">
        <v>17384</v>
      </c>
    </row>
    <row r="276" spans="1:12" ht="172.8" x14ac:dyDescent="0.3">
      <c r="A276" s="4" t="s">
        <v>943</v>
      </c>
      <c r="B276">
        <v>1</v>
      </c>
      <c r="C276">
        <v>1</v>
      </c>
      <c r="D276">
        <v>2022</v>
      </c>
      <c r="E276" t="s">
        <v>550</v>
      </c>
      <c r="F276">
        <v>5</v>
      </c>
      <c r="G276" t="s">
        <v>17406</v>
      </c>
      <c r="H276" t="s">
        <v>17407</v>
      </c>
      <c r="I276" s="4" t="s">
        <v>17408</v>
      </c>
      <c r="J276" t="s">
        <v>71</v>
      </c>
      <c r="K276" t="s">
        <v>10782</v>
      </c>
      <c r="L276" t="s">
        <v>17409</v>
      </c>
    </row>
    <row r="277" spans="1:12" ht="158.4" x14ac:dyDescent="0.3">
      <c r="A277" s="4" t="s">
        <v>3279</v>
      </c>
      <c r="B277">
        <v>1</v>
      </c>
      <c r="C277">
        <v>3</v>
      </c>
      <c r="D277">
        <v>2022</v>
      </c>
      <c r="E277" t="s">
        <v>277</v>
      </c>
      <c r="F277">
        <v>26</v>
      </c>
      <c r="G277" t="s">
        <v>17410</v>
      </c>
      <c r="H277" t="s">
        <v>17411</v>
      </c>
      <c r="I277" s="4" t="s">
        <v>17412</v>
      </c>
      <c r="J277" t="s">
        <v>71</v>
      </c>
      <c r="K277" t="s">
        <v>10782</v>
      </c>
      <c r="L277" t="s">
        <v>17413</v>
      </c>
    </row>
    <row r="278" spans="1:12" ht="158.4" x14ac:dyDescent="0.3">
      <c r="A278" s="4" t="s">
        <v>944</v>
      </c>
      <c r="B278">
        <v>1</v>
      </c>
      <c r="C278">
        <v>1</v>
      </c>
      <c r="D278">
        <v>2022</v>
      </c>
      <c r="E278" t="s">
        <v>1002</v>
      </c>
      <c r="F278">
        <v>20</v>
      </c>
      <c r="G278" t="s">
        <v>17438</v>
      </c>
      <c r="H278" t="s">
        <v>17439</v>
      </c>
      <c r="I278" s="4" t="s">
        <v>17440</v>
      </c>
      <c r="J278" t="s">
        <v>71</v>
      </c>
      <c r="K278" t="s">
        <v>10782</v>
      </c>
      <c r="L278" t="s">
        <v>17441</v>
      </c>
    </row>
    <row r="279" spans="1:12" ht="187.2" x14ac:dyDescent="0.3">
      <c r="A279" s="4" t="s">
        <v>3280</v>
      </c>
      <c r="B279">
        <v>1</v>
      </c>
      <c r="C279">
        <v>3</v>
      </c>
      <c r="D279">
        <v>2022</v>
      </c>
      <c r="E279" t="s">
        <v>405</v>
      </c>
      <c r="F279">
        <v>32</v>
      </c>
      <c r="G279" t="s">
        <v>17570</v>
      </c>
      <c r="H279" t="s">
        <v>17571</v>
      </c>
      <c r="I279" s="4" t="s">
        <v>17572</v>
      </c>
      <c r="J279" t="s">
        <v>71</v>
      </c>
      <c r="K279" t="s">
        <v>10782</v>
      </c>
      <c r="L279" t="s">
        <v>17573</v>
      </c>
    </row>
    <row r="280" spans="1:12" ht="86.4" x14ac:dyDescent="0.3">
      <c r="A280" s="4" t="s">
        <v>3281</v>
      </c>
      <c r="B280">
        <v>1</v>
      </c>
      <c r="C280">
        <v>3</v>
      </c>
      <c r="D280">
        <v>2022</v>
      </c>
      <c r="E280" t="s">
        <v>13669</v>
      </c>
      <c r="F280">
        <v>3</v>
      </c>
      <c r="G280" t="s">
        <v>17625</v>
      </c>
      <c r="H280" t="s">
        <v>17626</v>
      </c>
      <c r="I280" s="4" t="s">
        <v>17627</v>
      </c>
    </row>
    <row r="281" spans="1:12" ht="216" x14ac:dyDescent="0.3">
      <c r="A281" s="4" t="s">
        <v>945</v>
      </c>
      <c r="B281">
        <v>1</v>
      </c>
      <c r="C281">
        <v>1</v>
      </c>
      <c r="D281">
        <v>2022</v>
      </c>
      <c r="E281" t="s">
        <v>227</v>
      </c>
      <c r="F281">
        <v>16</v>
      </c>
      <c r="G281" t="s">
        <v>17632</v>
      </c>
      <c r="H281" t="s">
        <v>17633</v>
      </c>
      <c r="I281" s="4" t="s">
        <v>17634</v>
      </c>
      <c r="J281" t="s">
        <v>71</v>
      </c>
      <c r="K281" t="s">
        <v>10782</v>
      </c>
      <c r="L281" t="s">
        <v>17635</v>
      </c>
    </row>
    <row r="282" spans="1:12" ht="172.8" x14ac:dyDescent="0.3">
      <c r="A282" s="4" t="s">
        <v>946</v>
      </c>
      <c r="B282">
        <v>1</v>
      </c>
      <c r="C282">
        <v>1</v>
      </c>
      <c r="D282">
        <v>2022</v>
      </c>
      <c r="E282" t="s">
        <v>1015</v>
      </c>
      <c r="F282">
        <v>3</v>
      </c>
      <c r="G282" t="s">
        <v>17725</v>
      </c>
      <c r="H282" t="s">
        <v>17726</v>
      </c>
      <c r="I282" s="4" t="s">
        <v>17727</v>
      </c>
      <c r="J282" t="s">
        <v>71</v>
      </c>
      <c r="K282" t="s">
        <v>10782</v>
      </c>
      <c r="L282" t="s">
        <v>17728</v>
      </c>
    </row>
    <row r="283" spans="1:12" ht="172.8" x14ac:dyDescent="0.3">
      <c r="A283" s="4" t="s">
        <v>3282</v>
      </c>
      <c r="B283">
        <v>1</v>
      </c>
      <c r="C283">
        <v>3</v>
      </c>
      <c r="D283">
        <v>2022</v>
      </c>
      <c r="E283" t="s">
        <v>217</v>
      </c>
      <c r="F283">
        <v>3</v>
      </c>
      <c r="G283" t="s">
        <v>17893</v>
      </c>
      <c r="H283" t="s">
        <v>17894</v>
      </c>
      <c r="I283" s="4" t="s">
        <v>17895</v>
      </c>
      <c r="J283" t="s">
        <v>71</v>
      </c>
      <c r="K283" t="s">
        <v>10782</v>
      </c>
      <c r="L283" t="s">
        <v>17896</v>
      </c>
    </row>
    <row r="284" spans="1:12" ht="187.2" x14ac:dyDescent="0.3">
      <c r="A284" s="4" t="s">
        <v>3283</v>
      </c>
      <c r="B284">
        <v>1</v>
      </c>
      <c r="C284">
        <v>3</v>
      </c>
      <c r="D284">
        <v>2022</v>
      </c>
      <c r="E284" t="s">
        <v>147</v>
      </c>
      <c r="F284">
        <v>19</v>
      </c>
      <c r="G284" t="s">
        <v>17957</v>
      </c>
      <c r="H284" t="s">
        <v>17958</v>
      </c>
      <c r="I284" s="4" t="s">
        <v>17959</v>
      </c>
      <c r="J284" t="s">
        <v>71</v>
      </c>
      <c r="K284" t="s">
        <v>10782</v>
      </c>
      <c r="L284" t="s">
        <v>17960</v>
      </c>
    </row>
    <row r="285" spans="1:12" ht="230.4" x14ac:dyDescent="0.3">
      <c r="A285" s="4" t="s">
        <v>3284</v>
      </c>
      <c r="B285">
        <v>1</v>
      </c>
      <c r="C285">
        <v>3</v>
      </c>
      <c r="D285">
        <v>2022</v>
      </c>
      <c r="E285" t="s">
        <v>217</v>
      </c>
      <c r="F285">
        <v>9</v>
      </c>
      <c r="G285" t="s">
        <v>17961</v>
      </c>
      <c r="H285" t="s">
        <v>17962</v>
      </c>
      <c r="I285" s="4" t="s">
        <v>17963</v>
      </c>
      <c r="J285" t="s">
        <v>71</v>
      </c>
      <c r="K285" t="s">
        <v>10782</v>
      </c>
      <c r="L285" t="s">
        <v>17964</v>
      </c>
    </row>
    <row r="286" spans="1:12" ht="187.2" x14ac:dyDescent="0.3">
      <c r="A286" s="4" t="s">
        <v>947</v>
      </c>
      <c r="B286">
        <v>1</v>
      </c>
      <c r="C286">
        <v>1</v>
      </c>
      <c r="D286">
        <v>2022</v>
      </c>
      <c r="E286" t="s">
        <v>329</v>
      </c>
      <c r="F286">
        <v>7</v>
      </c>
      <c r="G286" t="s">
        <v>18066</v>
      </c>
      <c r="H286" t="s">
        <v>18067</v>
      </c>
      <c r="I286" s="4" t="s">
        <v>18068</v>
      </c>
      <c r="J286" t="s">
        <v>71</v>
      </c>
      <c r="K286" t="s">
        <v>10782</v>
      </c>
      <c r="L286" t="s">
        <v>18069</v>
      </c>
    </row>
    <row r="287" spans="1:12" ht="158.4" x14ac:dyDescent="0.3">
      <c r="A287" s="4" t="s">
        <v>948</v>
      </c>
      <c r="B287">
        <v>1</v>
      </c>
      <c r="C287">
        <v>1</v>
      </c>
      <c r="D287">
        <v>2022</v>
      </c>
      <c r="E287" t="s">
        <v>622</v>
      </c>
      <c r="F287">
        <v>2</v>
      </c>
      <c r="G287" t="s">
        <v>18070</v>
      </c>
      <c r="H287" t="s">
        <v>18071</v>
      </c>
      <c r="I287" s="4" t="s">
        <v>18072</v>
      </c>
      <c r="J287" t="s">
        <v>71</v>
      </c>
      <c r="K287" t="s">
        <v>10782</v>
      </c>
      <c r="L287" t="s">
        <v>18073</v>
      </c>
    </row>
    <row r="288" spans="1:12" ht="187.2" x14ac:dyDescent="0.3">
      <c r="A288" s="4" t="s">
        <v>3285</v>
      </c>
      <c r="B288">
        <v>1</v>
      </c>
      <c r="C288">
        <v>3</v>
      </c>
      <c r="D288">
        <v>2022</v>
      </c>
      <c r="E288" t="s">
        <v>18187</v>
      </c>
      <c r="F288">
        <v>14</v>
      </c>
      <c r="G288" t="s">
        <v>18188</v>
      </c>
      <c r="H288" t="s">
        <v>18189</v>
      </c>
      <c r="I288" s="4" t="s">
        <v>18190</v>
      </c>
      <c r="J288" t="s">
        <v>71</v>
      </c>
      <c r="K288" t="s">
        <v>10782</v>
      </c>
      <c r="L288" t="s">
        <v>18191</v>
      </c>
    </row>
    <row r="289" spans="1:12" ht="201.6" x14ac:dyDescent="0.3">
      <c r="A289" s="4" t="s">
        <v>949</v>
      </c>
      <c r="B289">
        <v>1</v>
      </c>
      <c r="C289">
        <v>1</v>
      </c>
      <c r="D289">
        <v>2022</v>
      </c>
      <c r="E289" t="s">
        <v>637</v>
      </c>
      <c r="F289">
        <v>17</v>
      </c>
      <c r="G289" t="s">
        <v>18260</v>
      </c>
      <c r="H289" t="s">
        <v>18261</v>
      </c>
      <c r="I289" s="4" t="s">
        <v>18262</v>
      </c>
      <c r="J289" t="s">
        <v>71</v>
      </c>
      <c r="K289" t="s">
        <v>10782</v>
      </c>
      <c r="L289" t="s">
        <v>18263</v>
      </c>
    </row>
    <row r="290" spans="1:12" ht="172.8" x14ac:dyDescent="0.3">
      <c r="A290" s="4" t="s">
        <v>951</v>
      </c>
      <c r="B290">
        <v>1</v>
      </c>
      <c r="C290">
        <v>1</v>
      </c>
      <c r="D290">
        <v>2022</v>
      </c>
      <c r="E290" t="s">
        <v>1038</v>
      </c>
      <c r="F290">
        <v>21</v>
      </c>
      <c r="G290" t="s">
        <v>18291</v>
      </c>
      <c r="H290" t="s">
        <v>18292</v>
      </c>
      <c r="I290" s="4" t="s">
        <v>18293</v>
      </c>
      <c r="J290" t="s">
        <v>71</v>
      </c>
      <c r="K290" t="s">
        <v>10782</v>
      </c>
      <c r="L290" t="s">
        <v>18294</v>
      </c>
    </row>
    <row r="291" spans="1:12" ht="158.4" x14ac:dyDescent="0.3">
      <c r="A291" s="4" t="s">
        <v>3286</v>
      </c>
      <c r="B291">
        <v>1</v>
      </c>
      <c r="C291">
        <v>3</v>
      </c>
      <c r="D291">
        <v>2022</v>
      </c>
      <c r="E291" t="s">
        <v>773</v>
      </c>
      <c r="F291">
        <v>7</v>
      </c>
      <c r="G291" t="s">
        <v>18403</v>
      </c>
      <c r="H291" t="s">
        <v>18404</v>
      </c>
      <c r="I291" s="4" t="s">
        <v>18405</v>
      </c>
      <c r="J291" t="s">
        <v>71</v>
      </c>
      <c r="K291" t="s">
        <v>10782</v>
      </c>
      <c r="L291" t="s">
        <v>18406</v>
      </c>
    </row>
    <row r="292" spans="1:12" ht="201.6" x14ac:dyDescent="0.3">
      <c r="A292" s="4" t="s">
        <v>3287</v>
      </c>
      <c r="B292">
        <v>1</v>
      </c>
      <c r="C292">
        <v>3</v>
      </c>
      <c r="D292">
        <v>2022</v>
      </c>
      <c r="E292" t="s">
        <v>217</v>
      </c>
      <c r="F292">
        <v>6</v>
      </c>
      <c r="G292" t="s">
        <v>18501</v>
      </c>
      <c r="H292" t="s">
        <v>18502</v>
      </c>
      <c r="I292" s="4" t="s">
        <v>18503</v>
      </c>
      <c r="J292" t="s">
        <v>71</v>
      </c>
      <c r="K292" t="s">
        <v>10782</v>
      </c>
      <c r="L292" t="s">
        <v>18504</v>
      </c>
    </row>
    <row r="293" spans="1:12" ht="158.4" x14ac:dyDescent="0.3">
      <c r="A293" s="4" t="s">
        <v>3288</v>
      </c>
      <c r="B293">
        <v>1</v>
      </c>
      <c r="C293">
        <v>3</v>
      </c>
      <c r="D293">
        <v>2022</v>
      </c>
      <c r="E293" t="s">
        <v>1570</v>
      </c>
      <c r="F293">
        <v>1</v>
      </c>
      <c r="G293" t="s">
        <v>18522</v>
      </c>
      <c r="H293" t="s">
        <v>18523</v>
      </c>
      <c r="I293" s="4" t="s">
        <v>18524</v>
      </c>
    </row>
    <row r="294" spans="1:12" ht="144" x14ac:dyDescent="0.3">
      <c r="A294" s="4" t="s">
        <v>3289</v>
      </c>
      <c r="B294">
        <v>1</v>
      </c>
      <c r="C294">
        <v>3</v>
      </c>
      <c r="D294">
        <v>2022</v>
      </c>
      <c r="E294" t="s">
        <v>550</v>
      </c>
      <c r="F294">
        <v>13</v>
      </c>
      <c r="G294" t="s">
        <v>18560</v>
      </c>
      <c r="H294" t="s">
        <v>18561</v>
      </c>
      <c r="I294" s="4" t="s">
        <v>18562</v>
      </c>
      <c r="J294" t="s">
        <v>71</v>
      </c>
      <c r="K294" t="s">
        <v>10782</v>
      </c>
      <c r="L294" t="s">
        <v>18563</v>
      </c>
    </row>
    <row r="295" spans="1:12" ht="158.4" x14ac:dyDescent="0.3">
      <c r="A295" s="4" t="s">
        <v>3290</v>
      </c>
      <c r="B295">
        <v>1</v>
      </c>
      <c r="C295">
        <v>3</v>
      </c>
      <c r="D295">
        <v>2022</v>
      </c>
      <c r="E295" t="s">
        <v>622</v>
      </c>
      <c r="F295">
        <v>6</v>
      </c>
      <c r="G295" t="s">
        <v>18591</v>
      </c>
      <c r="H295" t="s">
        <v>18592</v>
      </c>
      <c r="I295" s="4" t="s">
        <v>18593</v>
      </c>
      <c r="J295" t="s">
        <v>71</v>
      </c>
      <c r="K295" t="s">
        <v>10782</v>
      </c>
      <c r="L295" t="s">
        <v>18594</v>
      </c>
    </row>
    <row r="296" spans="1:12" ht="144" x14ac:dyDescent="0.3">
      <c r="A296" s="4" t="s">
        <v>3291</v>
      </c>
      <c r="B296">
        <v>1</v>
      </c>
      <c r="C296">
        <v>3</v>
      </c>
      <c r="D296">
        <v>2022</v>
      </c>
      <c r="E296" t="s">
        <v>190</v>
      </c>
      <c r="F296">
        <v>8</v>
      </c>
      <c r="G296" t="s">
        <v>18684</v>
      </c>
      <c r="H296" t="s">
        <v>18685</v>
      </c>
      <c r="I296" s="4" t="s">
        <v>18686</v>
      </c>
      <c r="J296" t="s">
        <v>71</v>
      </c>
      <c r="K296" t="s">
        <v>10782</v>
      </c>
      <c r="L296" t="s">
        <v>18687</v>
      </c>
    </row>
    <row r="297" spans="1:12" ht="216" x14ac:dyDescent="0.3">
      <c r="A297" s="4" t="s">
        <v>952</v>
      </c>
      <c r="B297">
        <v>1</v>
      </c>
      <c r="C297">
        <v>1</v>
      </c>
      <c r="D297">
        <v>2022</v>
      </c>
      <c r="E297" t="s">
        <v>147</v>
      </c>
      <c r="F297">
        <v>30</v>
      </c>
      <c r="G297" t="s">
        <v>18751</v>
      </c>
      <c r="H297" t="s">
        <v>18752</v>
      </c>
      <c r="I297" s="4" t="s">
        <v>18753</v>
      </c>
      <c r="J297" t="s">
        <v>71</v>
      </c>
      <c r="K297" t="s">
        <v>10782</v>
      </c>
      <c r="L297" t="s">
        <v>18754</v>
      </c>
    </row>
    <row r="298" spans="1:12" ht="230.4" x14ac:dyDescent="0.3">
      <c r="A298" s="4" t="s">
        <v>3292</v>
      </c>
      <c r="B298">
        <v>1</v>
      </c>
      <c r="C298">
        <v>3</v>
      </c>
      <c r="D298">
        <v>2022</v>
      </c>
      <c r="E298" t="s">
        <v>1525</v>
      </c>
      <c r="F298">
        <v>13</v>
      </c>
      <c r="G298" t="s">
        <v>18844</v>
      </c>
      <c r="H298" t="s">
        <v>18845</v>
      </c>
      <c r="I298" s="4" t="s">
        <v>18846</v>
      </c>
    </row>
    <row r="299" spans="1:12" ht="115.2" x14ac:dyDescent="0.3">
      <c r="A299" s="4" t="s">
        <v>3293</v>
      </c>
      <c r="B299">
        <v>1</v>
      </c>
      <c r="C299">
        <v>3</v>
      </c>
      <c r="D299">
        <v>2022</v>
      </c>
      <c r="E299" t="s">
        <v>329</v>
      </c>
      <c r="F299">
        <v>17</v>
      </c>
      <c r="G299" t="s">
        <v>18871</v>
      </c>
      <c r="H299" t="s">
        <v>18872</v>
      </c>
      <c r="I299" s="4" t="s">
        <v>18873</v>
      </c>
      <c r="J299" t="s">
        <v>71</v>
      </c>
      <c r="K299" t="s">
        <v>10782</v>
      </c>
      <c r="L299" t="s">
        <v>18874</v>
      </c>
    </row>
    <row r="300" spans="1:12" ht="72" x14ac:dyDescent="0.3">
      <c r="A300" s="4" t="s">
        <v>953</v>
      </c>
      <c r="B300">
        <v>1</v>
      </c>
      <c r="C300">
        <v>1</v>
      </c>
      <c r="D300">
        <v>2022</v>
      </c>
      <c r="E300" t="s">
        <v>227</v>
      </c>
      <c r="F300">
        <v>12</v>
      </c>
      <c r="G300" t="s">
        <v>18875</v>
      </c>
      <c r="H300" t="s">
        <v>18876</v>
      </c>
      <c r="I300" s="4" t="s">
        <v>18877</v>
      </c>
      <c r="J300" t="s">
        <v>71</v>
      </c>
      <c r="K300" t="s">
        <v>10782</v>
      </c>
      <c r="L300" t="s">
        <v>18878</v>
      </c>
    </row>
    <row r="301" spans="1:12" ht="187.2" x14ac:dyDescent="0.3">
      <c r="A301" s="4" t="s">
        <v>3294</v>
      </c>
      <c r="B301">
        <v>1</v>
      </c>
      <c r="C301">
        <v>3</v>
      </c>
      <c r="D301">
        <v>2022</v>
      </c>
      <c r="E301" t="s">
        <v>217</v>
      </c>
      <c r="F301">
        <v>12</v>
      </c>
      <c r="G301" t="s">
        <v>18893</v>
      </c>
      <c r="H301" t="s">
        <v>18894</v>
      </c>
      <c r="I301" s="4" t="s">
        <v>18895</v>
      </c>
      <c r="J301" t="s">
        <v>71</v>
      </c>
      <c r="K301" t="s">
        <v>10782</v>
      </c>
      <c r="L301" t="s">
        <v>18896</v>
      </c>
    </row>
    <row r="302" spans="1:12" ht="129.6" x14ac:dyDescent="0.3">
      <c r="A302" s="4" t="s">
        <v>3295</v>
      </c>
      <c r="B302">
        <v>1</v>
      </c>
      <c r="C302">
        <v>3</v>
      </c>
      <c r="D302">
        <v>2022</v>
      </c>
      <c r="E302" t="s">
        <v>482</v>
      </c>
      <c r="F302">
        <v>3</v>
      </c>
      <c r="G302" t="s">
        <v>18901</v>
      </c>
      <c r="H302" t="s">
        <v>18902</v>
      </c>
      <c r="I302" s="4" t="s">
        <v>18903</v>
      </c>
      <c r="J302" t="s">
        <v>71</v>
      </c>
      <c r="K302" t="s">
        <v>10782</v>
      </c>
      <c r="L302" t="s">
        <v>18904</v>
      </c>
    </row>
    <row r="303" spans="1:12" ht="172.8" x14ac:dyDescent="0.3">
      <c r="A303" s="4" t="s">
        <v>3296</v>
      </c>
      <c r="B303">
        <v>1</v>
      </c>
      <c r="C303">
        <v>3</v>
      </c>
      <c r="D303">
        <v>2022</v>
      </c>
      <c r="E303" t="s">
        <v>1912</v>
      </c>
      <c r="F303">
        <v>12</v>
      </c>
      <c r="G303" t="s">
        <v>18980</v>
      </c>
      <c r="H303" t="s">
        <v>18981</v>
      </c>
      <c r="I303" s="4" t="s">
        <v>18982</v>
      </c>
      <c r="J303" t="s">
        <v>71</v>
      </c>
      <c r="K303" t="s">
        <v>10782</v>
      </c>
      <c r="L303" t="s">
        <v>18983</v>
      </c>
    </row>
    <row r="304" spans="1:12" ht="216" x14ac:dyDescent="0.3">
      <c r="A304" s="4" t="s">
        <v>1050</v>
      </c>
      <c r="B304">
        <v>1</v>
      </c>
      <c r="C304">
        <v>1</v>
      </c>
      <c r="D304">
        <v>2022</v>
      </c>
      <c r="E304" t="s">
        <v>1065</v>
      </c>
      <c r="F304">
        <v>13</v>
      </c>
      <c r="G304" t="s">
        <v>19109</v>
      </c>
      <c r="H304" t="s">
        <v>19110</v>
      </c>
      <c r="I304" s="4" t="s">
        <v>19111</v>
      </c>
      <c r="J304" t="s">
        <v>71</v>
      </c>
      <c r="K304" t="s">
        <v>10782</v>
      </c>
      <c r="L304" t="s">
        <v>19112</v>
      </c>
    </row>
    <row r="305" spans="1:12" ht="216" x14ac:dyDescent="0.3">
      <c r="A305" s="4" t="s">
        <v>3297</v>
      </c>
      <c r="B305">
        <v>1</v>
      </c>
      <c r="C305">
        <v>3</v>
      </c>
      <c r="D305">
        <v>2022</v>
      </c>
      <c r="E305" t="s">
        <v>217</v>
      </c>
      <c r="F305">
        <v>6</v>
      </c>
      <c r="G305" t="s">
        <v>19117</v>
      </c>
      <c r="H305" t="s">
        <v>19118</v>
      </c>
      <c r="I305" s="4" t="s">
        <v>19119</v>
      </c>
      <c r="J305" t="s">
        <v>71</v>
      </c>
      <c r="K305" t="s">
        <v>10782</v>
      </c>
      <c r="L305" t="s">
        <v>19120</v>
      </c>
    </row>
    <row r="306" spans="1:12" ht="201.6" x14ac:dyDescent="0.3">
      <c r="A306" s="4" t="s">
        <v>3298</v>
      </c>
      <c r="B306">
        <v>1</v>
      </c>
      <c r="C306">
        <v>3</v>
      </c>
      <c r="D306">
        <v>2022</v>
      </c>
      <c r="E306" t="s">
        <v>14703</v>
      </c>
      <c r="F306">
        <v>4</v>
      </c>
      <c r="G306" t="s">
        <v>19159</v>
      </c>
      <c r="H306" t="s">
        <v>19160</v>
      </c>
      <c r="I306" s="4" t="s">
        <v>19161</v>
      </c>
      <c r="J306" t="s">
        <v>71</v>
      </c>
      <c r="K306" t="s">
        <v>10782</v>
      </c>
      <c r="L306" t="s">
        <v>19162</v>
      </c>
    </row>
    <row r="307" spans="1:12" ht="201.6" x14ac:dyDescent="0.3">
      <c r="A307" s="4" t="s">
        <v>1051</v>
      </c>
      <c r="B307">
        <v>1</v>
      </c>
      <c r="C307">
        <v>1</v>
      </c>
      <c r="D307">
        <v>2022</v>
      </c>
      <c r="E307" t="s">
        <v>724</v>
      </c>
      <c r="F307">
        <v>7</v>
      </c>
      <c r="G307" t="s">
        <v>19178</v>
      </c>
      <c r="H307" t="s">
        <v>19179</v>
      </c>
      <c r="I307" s="4" t="s">
        <v>19180</v>
      </c>
      <c r="J307" t="s">
        <v>71</v>
      </c>
      <c r="K307" t="s">
        <v>10782</v>
      </c>
      <c r="L307" t="s">
        <v>19181</v>
      </c>
    </row>
    <row r="308" spans="1:12" ht="144" x14ac:dyDescent="0.3">
      <c r="A308" s="4" t="s">
        <v>3299</v>
      </c>
      <c r="B308">
        <v>1</v>
      </c>
      <c r="C308">
        <v>3</v>
      </c>
      <c r="D308">
        <v>2022</v>
      </c>
      <c r="E308" t="s">
        <v>329</v>
      </c>
      <c r="F308">
        <v>26</v>
      </c>
      <c r="G308" t="s">
        <v>19284</v>
      </c>
      <c r="H308" t="s">
        <v>19285</v>
      </c>
      <c r="I308" s="4" t="s">
        <v>19286</v>
      </c>
      <c r="J308" t="s">
        <v>71</v>
      </c>
      <c r="K308" t="s">
        <v>10782</v>
      </c>
      <c r="L308" t="s">
        <v>19287</v>
      </c>
    </row>
    <row r="309" spans="1:12" ht="216" x14ac:dyDescent="0.3">
      <c r="A309" s="4" t="s">
        <v>1052</v>
      </c>
      <c r="B309">
        <v>1</v>
      </c>
      <c r="C309">
        <v>1</v>
      </c>
      <c r="D309">
        <v>2022</v>
      </c>
      <c r="E309" t="s">
        <v>637</v>
      </c>
      <c r="F309">
        <v>4</v>
      </c>
      <c r="G309" t="s">
        <v>19288</v>
      </c>
      <c r="H309" t="s">
        <v>19289</v>
      </c>
      <c r="I309" s="4" t="s">
        <v>19290</v>
      </c>
      <c r="J309" t="s">
        <v>71</v>
      </c>
      <c r="K309" t="s">
        <v>10782</v>
      </c>
      <c r="L309" t="s">
        <v>19291</v>
      </c>
    </row>
    <row r="310" spans="1:12" ht="216" x14ac:dyDescent="0.3">
      <c r="A310" s="4" t="s">
        <v>1053</v>
      </c>
      <c r="B310">
        <v>1</v>
      </c>
      <c r="C310">
        <v>1</v>
      </c>
      <c r="D310">
        <v>2022</v>
      </c>
      <c r="E310" t="s">
        <v>1082</v>
      </c>
      <c r="F310">
        <v>5</v>
      </c>
      <c r="G310" t="s">
        <v>19410</v>
      </c>
      <c r="H310" t="s">
        <v>19411</v>
      </c>
      <c r="I310" s="4" t="s">
        <v>19412</v>
      </c>
      <c r="J310" t="s">
        <v>71</v>
      </c>
      <c r="K310" t="s">
        <v>10782</v>
      </c>
      <c r="L310" t="s">
        <v>19413</v>
      </c>
    </row>
    <row r="311" spans="1:12" ht="172.8" x14ac:dyDescent="0.3">
      <c r="A311" s="4" t="s">
        <v>3300</v>
      </c>
      <c r="B311">
        <v>1</v>
      </c>
      <c r="C311">
        <v>3</v>
      </c>
      <c r="D311">
        <v>2022</v>
      </c>
      <c r="E311" t="s">
        <v>19414</v>
      </c>
      <c r="F311">
        <v>11</v>
      </c>
      <c r="G311" t="s">
        <v>19415</v>
      </c>
      <c r="H311" t="s">
        <v>19416</v>
      </c>
      <c r="I311" s="4" t="s">
        <v>19417</v>
      </c>
      <c r="J311" t="s">
        <v>71</v>
      </c>
      <c r="K311" t="s">
        <v>10782</v>
      </c>
      <c r="L311" t="s">
        <v>19418</v>
      </c>
    </row>
    <row r="312" spans="1:12" ht="144" x14ac:dyDescent="0.3">
      <c r="A312" s="4" t="s">
        <v>3301</v>
      </c>
      <c r="B312">
        <v>1</v>
      </c>
      <c r="C312">
        <v>2</v>
      </c>
      <c r="D312">
        <v>2022</v>
      </c>
      <c r="E312" t="s">
        <v>14692</v>
      </c>
      <c r="F312">
        <v>2</v>
      </c>
      <c r="H312" s="14" t="s">
        <v>19474</v>
      </c>
      <c r="I312" s="4" t="s">
        <v>19475</v>
      </c>
      <c r="J312" s="4" t="s">
        <v>71</v>
      </c>
      <c r="K312" t="s">
        <v>10782</v>
      </c>
      <c r="L312" t="s">
        <v>19476</v>
      </c>
    </row>
    <row r="313" spans="1:12" ht="115.2" x14ac:dyDescent="0.3">
      <c r="A313" s="4" t="s">
        <v>1054</v>
      </c>
      <c r="B313">
        <v>1</v>
      </c>
      <c r="C313">
        <v>1</v>
      </c>
      <c r="D313">
        <v>2022</v>
      </c>
      <c r="E313" t="s">
        <v>1088</v>
      </c>
      <c r="F313">
        <v>41</v>
      </c>
      <c r="G313" t="s">
        <v>19477</v>
      </c>
      <c r="H313" t="s">
        <v>19478</v>
      </c>
      <c r="I313" s="4" t="s">
        <v>19479</v>
      </c>
      <c r="J313" t="s">
        <v>71</v>
      </c>
      <c r="K313" t="s">
        <v>10782</v>
      </c>
      <c r="L313" t="s">
        <v>19480</v>
      </c>
    </row>
    <row r="314" spans="1:12" ht="244.8" x14ac:dyDescent="0.3">
      <c r="A314" s="4" t="s">
        <v>1055</v>
      </c>
      <c r="B314">
        <v>1</v>
      </c>
      <c r="C314">
        <v>1</v>
      </c>
      <c r="D314">
        <v>2022</v>
      </c>
      <c r="E314" t="s">
        <v>637</v>
      </c>
      <c r="F314">
        <v>10</v>
      </c>
      <c r="G314" t="s">
        <v>19481</v>
      </c>
      <c r="H314" t="s">
        <v>19482</v>
      </c>
      <c r="I314" s="4" t="s">
        <v>19483</v>
      </c>
      <c r="J314" t="s">
        <v>71</v>
      </c>
      <c r="K314" t="s">
        <v>10782</v>
      </c>
      <c r="L314" t="s">
        <v>19484</v>
      </c>
    </row>
    <row r="315" spans="1:12" ht="100.8" x14ac:dyDescent="0.3">
      <c r="A315" s="4" t="s">
        <v>3302</v>
      </c>
      <c r="B315">
        <v>1</v>
      </c>
      <c r="C315">
        <v>3</v>
      </c>
      <c r="D315">
        <v>2022</v>
      </c>
      <c r="E315" t="s">
        <v>1794</v>
      </c>
      <c r="F315">
        <v>0</v>
      </c>
      <c r="G315" t="s">
        <v>19673</v>
      </c>
      <c r="H315" t="s">
        <v>19674</v>
      </c>
      <c r="I315" s="4" t="s">
        <v>19675</v>
      </c>
      <c r="J315" t="s">
        <v>71</v>
      </c>
      <c r="K315" t="s">
        <v>10782</v>
      </c>
      <c r="L315" t="s">
        <v>19676</v>
      </c>
    </row>
    <row r="316" spans="1:12" ht="201.6" x14ac:dyDescent="0.3">
      <c r="A316" s="4" t="s">
        <v>3303</v>
      </c>
      <c r="B316">
        <v>1</v>
      </c>
      <c r="C316">
        <v>3</v>
      </c>
      <c r="D316">
        <v>2022</v>
      </c>
      <c r="E316" t="s">
        <v>622</v>
      </c>
      <c r="F316">
        <v>2</v>
      </c>
      <c r="G316" t="s">
        <v>19694</v>
      </c>
      <c r="H316" t="s">
        <v>19695</v>
      </c>
      <c r="I316" s="4" t="s">
        <v>19696</v>
      </c>
      <c r="J316" t="s">
        <v>71</v>
      </c>
      <c r="K316" t="s">
        <v>10782</v>
      </c>
      <c r="L316" t="s">
        <v>19697</v>
      </c>
    </row>
    <row r="317" spans="1:12" ht="172.8" x14ac:dyDescent="0.3">
      <c r="A317" s="4" t="s">
        <v>1056</v>
      </c>
      <c r="B317">
        <v>1</v>
      </c>
      <c r="C317">
        <v>1</v>
      </c>
      <c r="D317">
        <v>2022</v>
      </c>
      <c r="E317" t="s">
        <v>202</v>
      </c>
      <c r="F317">
        <v>6</v>
      </c>
      <c r="G317" t="s">
        <v>19752</v>
      </c>
      <c r="H317" t="s">
        <v>19753</v>
      </c>
      <c r="I317" s="4" t="s">
        <v>19754</v>
      </c>
      <c r="J317" t="s">
        <v>71</v>
      </c>
      <c r="K317" t="s">
        <v>10782</v>
      </c>
      <c r="L317" t="s">
        <v>19755</v>
      </c>
    </row>
    <row r="318" spans="1:12" ht="100.8" x14ac:dyDescent="0.3">
      <c r="A318" s="4" t="s">
        <v>1057</v>
      </c>
      <c r="B318">
        <v>1</v>
      </c>
      <c r="C318">
        <v>1</v>
      </c>
      <c r="D318">
        <v>2022</v>
      </c>
      <c r="E318" t="s">
        <v>227</v>
      </c>
      <c r="F318">
        <v>10</v>
      </c>
      <c r="G318" t="s">
        <v>19773</v>
      </c>
      <c r="H318" t="s">
        <v>19774</v>
      </c>
      <c r="I318" s="4" t="s">
        <v>19775</v>
      </c>
      <c r="J318" t="s">
        <v>71</v>
      </c>
      <c r="K318" t="s">
        <v>10782</v>
      </c>
      <c r="L318" t="s">
        <v>19776</v>
      </c>
    </row>
    <row r="319" spans="1:12" ht="216" x14ac:dyDescent="0.3">
      <c r="A319" s="4" t="s">
        <v>1058</v>
      </c>
      <c r="B319">
        <v>1</v>
      </c>
      <c r="C319">
        <v>1</v>
      </c>
      <c r="D319">
        <v>2022</v>
      </c>
      <c r="E319" t="s">
        <v>363</v>
      </c>
      <c r="F319">
        <v>26</v>
      </c>
      <c r="G319" t="s">
        <v>19784</v>
      </c>
      <c r="H319" t="s">
        <v>19785</v>
      </c>
      <c r="I319" s="4" t="s">
        <v>19786</v>
      </c>
    </row>
    <row r="320" spans="1:12" ht="115.2" x14ac:dyDescent="0.3">
      <c r="A320" s="4" t="s">
        <v>3304</v>
      </c>
      <c r="B320">
        <v>1</v>
      </c>
      <c r="C320">
        <v>3</v>
      </c>
      <c r="D320">
        <v>2022</v>
      </c>
      <c r="E320" t="s">
        <v>1088</v>
      </c>
      <c r="F320">
        <v>14</v>
      </c>
      <c r="G320" t="s">
        <v>19787</v>
      </c>
      <c r="H320" t="s">
        <v>19788</v>
      </c>
      <c r="I320" s="4" t="s">
        <v>19789</v>
      </c>
      <c r="J320" t="s">
        <v>71</v>
      </c>
      <c r="K320" t="s">
        <v>10782</v>
      </c>
      <c r="L320" t="s">
        <v>19790</v>
      </c>
    </row>
    <row r="321" spans="1:12" ht="158.4" x14ac:dyDescent="0.3">
      <c r="A321" s="4" t="s">
        <v>3305</v>
      </c>
      <c r="B321">
        <v>1</v>
      </c>
      <c r="C321">
        <v>3</v>
      </c>
      <c r="D321">
        <v>2022</v>
      </c>
      <c r="E321" t="s">
        <v>217</v>
      </c>
      <c r="F321">
        <v>7</v>
      </c>
      <c r="G321" t="s">
        <v>19791</v>
      </c>
      <c r="H321" t="s">
        <v>19792</v>
      </c>
      <c r="I321" s="4" t="s">
        <v>19793</v>
      </c>
    </row>
    <row r="322" spans="1:12" ht="158.4" x14ac:dyDescent="0.3">
      <c r="A322" s="4" t="s">
        <v>3306</v>
      </c>
      <c r="B322">
        <v>1</v>
      </c>
      <c r="C322">
        <v>3</v>
      </c>
      <c r="D322">
        <v>2022</v>
      </c>
      <c r="E322" t="s">
        <v>12593</v>
      </c>
      <c r="F322">
        <v>8</v>
      </c>
      <c r="G322" t="s">
        <v>19845</v>
      </c>
      <c r="H322" t="s">
        <v>19846</v>
      </c>
      <c r="I322" s="4" t="s">
        <v>19847</v>
      </c>
      <c r="J322" t="s">
        <v>71</v>
      </c>
      <c r="K322" t="s">
        <v>10782</v>
      </c>
      <c r="L322" t="s">
        <v>19848</v>
      </c>
    </row>
    <row r="323" spans="1:12" ht="115.2" x14ac:dyDescent="0.3">
      <c r="A323" s="4" t="s">
        <v>3307</v>
      </c>
      <c r="B323">
        <v>1</v>
      </c>
      <c r="C323">
        <v>2</v>
      </c>
      <c r="D323">
        <v>2022</v>
      </c>
      <c r="E323" t="s">
        <v>1088</v>
      </c>
      <c r="F323">
        <v>6</v>
      </c>
      <c r="G323" t="s">
        <v>19861</v>
      </c>
      <c r="H323" t="s">
        <v>19862</v>
      </c>
      <c r="I323" s="4" t="s">
        <v>19863</v>
      </c>
      <c r="J323" t="s">
        <v>71</v>
      </c>
      <c r="K323" t="s">
        <v>10782</v>
      </c>
      <c r="L323" t="s">
        <v>19864</v>
      </c>
    </row>
    <row r="324" spans="1:12" ht="172.8" x14ac:dyDescent="0.3">
      <c r="A324" s="4" t="s">
        <v>3308</v>
      </c>
      <c r="B324">
        <v>1</v>
      </c>
      <c r="C324">
        <v>3</v>
      </c>
      <c r="D324">
        <v>2022</v>
      </c>
      <c r="E324" t="s">
        <v>363</v>
      </c>
      <c r="F324">
        <v>5</v>
      </c>
      <c r="G324" t="s">
        <v>19869</v>
      </c>
      <c r="H324" t="s">
        <v>19870</v>
      </c>
      <c r="I324" s="4" t="s">
        <v>19871</v>
      </c>
      <c r="J324" t="s">
        <v>71</v>
      </c>
      <c r="K324" t="s">
        <v>10782</v>
      </c>
      <c r="L324" t="s">
        <v>19872</v>
      </c>
    </row>
    <row r="325" spans="1:12" ht="144" x14ac:dyDescent="0.3">
      <c r="A325" s="4" t="s">
        <v>3309</v>
      </c>
      <c r="B325">
        <v>1</v>
      </c>
      <c r="C325">
        <v>3</v>
      </c>
      <c r="D325">
        <v>2022</v>
      </c>
      <c r="E325" t="s">
        <v>817</v>
      </c>
      <c r="F325">
        <v>6</v>
      </c>
      <c r="G325" t="s">
        <v>19881</v>
      </c>
      <c r="H325" t="s">
        <v>19882</v>
      </c>
      <c r="I325" s="4" t="s">
        <v>19883</v>
      </c>
      <c r="J325" t="s">
        <v>71</v>
      </c>
      <c r="K325" t="s">
        <v>10782</v>
      </c>
      <c r="L325" t="s">
        <v>19884</v>
      </c>
    </row>
    <row r="326" spans="1:12" ht="115.2" x14ac:dyDescent="0.3">
      <c r="A326" s="4" t="s">
        <v>3310</v>
      </c>
      <c r="B326">
        <v>1</v>
      </c>
      <c r="C326">
        <v>2</v>
      </c>
      <c r="D326">
        <v>2022</v>
      </c>
      <c r="E326" t="s">
        <v>11495</v>
      </c>
      <c r="F326">
        <v>4</v>
      </c>
      <c r="G326" t="s">
        <v>19899</v>
      </c>
      <c r="H326" t="s">
        <v>19900</v>
      </c>
      <c r="I326" s="4" t="s">
        <v>19901</v>
      </c>
    </row>
    <row r="327" spans="1:12" ht="144" x14ac:dyDescent="0.3">
      <c r="A327" s="4" t="s">
        <v>1059</v>
      </c>
      <c r="B327">
        <v>1</v>
      </c>
      <c r="C327">
        <v>1</v>
      </c>
      <c r="D327">
        <v>2022</v>
      </c>
      <c r="E327" t="s">
        <v>964</v>
      </c>
      <c r="F327">
        <v>17</v>
      </c>
      <c r="G327" t="s">
        <v>19918</v>
      </c>
      <c r="H327" t="s">
        <v>19919</v>
      </c>
      <c r="I327" s="4" t="s">
        <v>19920</v>
      </c>
      <c r="J327" t="s">
        <v>71</v>
      </c>
      <c r="K327" t="s">
        <v>10782</v>
      </c>
      <c r="L327" t="s">
        <v>19921</v>
      </c>
    </row>
    <row r="328" spans="1:12" ht="201.6" x14ac:dyDescent="0.3">
      <c r="A328" s="4" t="s">
        <v>1060</v>
      </c>
      <c r="B328">
        <v>1</v>
      </c>
      <c r="C328">
        <v>1</v>
      </c>
      <c r="D328">
        <v>2021</v>
      </c>
      <c r="E328" t="s">
        <v>1125</v>
      </c>
      <c r="F328">
        <v>46</v>
      </c>
      <c r="G328" t="s">
        <v>19941</v>
      </c>
      <c r="H328" t="s">
        <v>19942</v>
      </c>
      <c r="I328" s="4" t="s">
        <v>19943</v>
      </c>
      <c r="J328" t="s">
        <v>10823</v>
      </c>
      <c r="K328" t="s">
        <v>10782</v>
      </c>
      <c r="L328" t="s">
        <v>19944</v>
      </c>
    </row>
    <row r="329" spans="1:12" ht="129.6" x14ac:dyDescent="0.3">
      <c r="A329" s="4" t="s">
        <v>1061</v>
      </c>
      <c r="B329">
        <v>1</v>
      </c>
      <c r="C329">
        <v>1</v>
      </c>
      <c r="D329">
        <v>2021</v>
      </c>
      <c r="E329" t="s">
        <v>1129</v>
      </c>
      <c r="F329">
        <v>48</v>
      </c>
      <c r="G329" t="s">
        <v>19958</v>
      </c>
      <c r="H329" t="s">
        <v>19959</v>
      </c>
      <c r="I329" s="4" t="s">
        <v>19960</v>
      </c>
      <c r="J329" t="s">
        <v>71</v>
      </c>
      <c r="K329" t="s">
        <v>10782</v>
      </c>
      <c r="L329" t="s">
        <v>19961</v>
      </c>
    </row>
    <row r="330" spans="1:12" ht="158.4" x14ac:dyDescent="0.3">
      <c r="A330" s="4" t="s">
        <v>3311</v>
      </c>
      <c r="B330">
        <v>1</v>
      </c>
      <c r="C330">
        <v>3</v>
      </c>
      <c r="D330">
        <v>2021</v>
      </c>
      <c r="E330" t="s">
        <v>13003</v>
      </c>
      <c r="F330">
        <v>6</v>
      </c>
      <c r="G330" t="s">
        <v>19966</v>
      </c>
      <c r="H330" t="s">
        <v>19967</v>
      </c>
      <c r="I330" s="4" t="s">
        <v>19968</v>
      </c>
      <c r="J330" t="s">
        <v>71</v>
      </c>
      <c r="K330" t="s">
        <v>10782</v>
      </c>
      <c r="L330" t="s">
        <v>19969</v>
      </c>
    </row>
    <row r="331" spans="1:12" ht="129.6" x14ac:dyDescent="0.3">
      <c r="A331" s="4" t="s">
        <v>3312</v>
      </c>
      <c r="B331">
        <v>1</v>
      </c>
      <c r="C331">
        <v>3</v>
      </c>
      <c r="D331">
        <v>2021</v>
      </c>
      <c r="E331" t="s">
        <v>405</v>
      </c>
      <c r="F331">
        <v>20</v>
      </c>
      <c r="G331" t="s">
        <v>20008</v>
      </c>
      <c r="H331" t="s">
        <v>20009</v>
      </c>
      <c r="I331" s="4" t="s">
        <v>20010</v>
      </c>
    </row>
    <row r="332" spans="1:12" ht="201.6" x14ac:dyDescent="0.3">
      <c r="A332" s="4" t="s">
        <v>3313</v>
      </c>
      <c r="B332">
        <v>1</v>
      </c>
      <c r="C332">
        <v>3</v>
      </c>
      <c r="D332">
        <v>2021</v>
      </c>
      <c r="E332" t="s">
        <v>11104</v>
      </c>
      <c r="F332">
        <v>14</v>
      </c>
      <c r="G332" t="s">
        <v>20039</v>
      </c>
      <c r="H332" t="s">
        <v>20040</v>
      </c>
      <c r="I332" s="4" t="s">
        <v>20041</v>
      </c>
      <c r="J332" t="s">
        <v>71</v>
      </c>
      <c r="K332" t="s">
        <v>10782</v>
      </c>
      <c r="L332" t="s">
        <v>20042</v>
      </c>
    </row>
    <row r="333" spans="1:12" ht="129.6" x14ac:dyDescent="0.3">
      <c r="A333" s="4" t="s">
        <v>1132</v>
      </c>
      <c r="B333">
        <v>1</v>
      </c>
      <c r="C333">
        <v>1</v>
      </c>
      <c r="D333">
        <v>2021</v>
      </c>
      <c r="E333" t="s">
        <v>398</v>
      </c>
      <c r="F333">
        <v>65</v>
      </c>
      <c r="G333" t="s">
        <v>20167</v>
      </c>
      <c r="H333" t="s">
        <v>20168</v>
      </c>
      <c r="I333" s="4" t="s">
        <v>20169</v>
      </c>
    </row>
    <row r="334" spans="1:12" ht="115.2" x14ac:dyDescent="0.3">
      <c r="A334" s="4" t="s">
        <v>1133</v>
      </c>
      <c r="B334">
        <v>1</v>
      </c>
      <c r="C334">
        <v>1</v>
      </c>
      <c r="D334">
        <v>2021</v>
      </c>
      <c r="E334" t="s">
        <v>217</v>
      </c>
      <c r="F334">
        <v>15</v>
      </c>
      <c r="G334" t="s">
        <v>20221</v>
      </c>
      <c r="H334" t="s">
        <v>20222</v>
      </c>
      <c r="I334" s="4" t="s">
        <v>20223</v>
      </c>
      <c r="J334" t="s">
        <v>71</v>
      </c>
      <c r="K334" t="s">
        <v>10782</v>
      </c>
      <c r="L334" t="s">
        <v>20224</v>
      </c>
    </row>
    <row r="335" spans="1:12" ht="144" x14ac:dyDescent="0.3">
      <c r="A335" s="4" t="s">
        <v>1134</v>
      </c>
      <c r="B335">
        <v>1</v>
      </c>
      <c r="C335">
        <v>1</v>
      </c>
      <c r="D335">
        <v>2021</v>
      </c>
      <c r="E335" t="s">
        <v>799</v>
      </c>
      <c r="F335">
        <v>10</v>
      </c>
      <c r="G335" t="s">
        <v>20225</v>
      </c>
      <c r="H335" t="s">
        <v>20226</v>
      </c>
      <c r="I335" s="4" t="s">
        <v>20227</v>
      </c>
      <c r="J335" t="s">
        <v>71</v>
      </c>
      <c r="K335" t="s">
        <v>10782</v>
      </c>
      <c r="L335" t="s">
        <v>20228</v>
      </c>
    </row>
    <row r="336" spans="1:12" ht="158.4" x14ac:dyDescent="0.3">
      <c r="A336" s="4" t="s">
        <v>3314</v>
      </c>
      <c r="B336">
        <v>1</v>
      </c>
      <c r="C336">
        <v>3</v>
      </c>
      <c r="D336">
        <v>2021</v>
      </c>
      <c r="E336" t="s">
        <v>432</v>
      </c>
      <c r="F336">
        <v>5</v>
      </c>
      <c r="G336" t="s">
        <v>20229</v>
      </c>
      <c r="H336" t="s">
        <v>20230</v>
      </c>
      <c r="I336" s="4" t="s">
        <v>20231</v>
      </c>
      <c r="J336" t="s">
        <v>71</v>
      </c>
      <c r="K336" t="s">
        <v>10782</v>
      </c>
      <c r="L336" t="s">
        <v>20232</v>
      </c>
    </row>
    <row r="337" spans="1:12" ht="158.4" x14ac:dyDescent="0.3">
      <c r="A337" s="4" t="s">
        <v>3315</v>
      </c>
      <c r="B337">
        <v>1</v>
      </c>
      <c r="C337">
        <v>3</v>
      </c>
      <c r="D337">
        <v>2021</v>
      </c>
      <c r="E337" t="s">
        <v>217</v>
      </c>
      <c r="F337">
        <v>14</v>
      </c>
      <c r="G337" t="s">
        <v>20487</v>
      </c>
      <c r="H337" t="s">
        <v>20488</v>
      </c>
      <c r="I337" s="4" t="s">
        <v>20489</v>
      </c>
      <c r="J337" t="s">
        <v>71</v>
      </c>
      <c r="K337" t="s">
        <v>10782</v>
      </c>
      <c r="L337" t="s">
        <v>20490</v>
      </c>
    </row>
    <row r="338" spans="1:12" ht="216" x14ac:dyDescent="0.3">
      <c r="A338" s="4" t="s">
        <v>3316</v>
      </c>
      <c r="B338">
        <v>1</v>
      </c>
      <c r="C338">
        <v>3</v>
      </c>
      <c r="D338">
        <v>2021</v>
      </c>
      <c r="E338" t="s">
        <v>704</v>
      </c>
      <c r="F338">
        <v>22</v>
      </c>
      <c r="G338" t="s">
        <v>20531</v>
      </c>
      <c r="H338" t="s">
        <v>20532</v>
      </c>
      <c r="I338" s="4" t="s">
        <v>20533</v>
      </c>
      <c r="J338" t="s">
        <v>71</v>
      </c>
      <c r="K338" t="s">
        <v>10782</v>
      </c>
      <c r="L338" t="s">
        <v>20534</v>
      </c>
    </row>
    <row r="339" spans="1:12" ht="216" x14ac:dyDescent="0.3">
      <c r="A339" s="4" t="s">
        <v>1135</v>
      </c>
      <c r="B339">
        <v>1</v>
      </c>
      <c r="C339">
        <v>1</v>
      </c>
      <c r="D339">
        <v>2021</v>
      </c>
      <c r="E339" t="s">
        <v>637</v>
      </c>
      <c r="F339">
        <v>8</v>
      </c>
      <c r="G339" t="s">
        <v>20613</v>
      </c>
      <c r="H339" t="s">
        <v>20614</v>
      </c>
      <c r="I339" s="4" t="s">
        <v>20615</v>
      </c>
      <c r="J339" t="s">
        <v>71</v>
      </c>
      <c r="K339" t="s">
        <v>10782</v>
      </c>
      <c r="L339" t="s">
        <v>20616</v>
      </c>
    </row>
    <row r="340" spans="1:12" ht="129.6" x14ac:dyDescent="0.3">
      <c r="A340" s="4" t="s">
        <v>3317</v>
      </c>
      <c r="B340">
        <v>1</v>
      </c>
      <c r="C340">
        <v>3</v>
      </c>
      <c r="D340">
        <v>2021</v>
      </c>
      <c r="E340" t="s">
        <v>1175</v>
      </c>
      <c r="F340">
        <v>2</v>
      </c>
      <c r="G340" t="s">
        <v>20617</v>
      </c>
      <c r="H340" t="s">
        <v>20618</v>
      </c>
      <c r="I340" s="4" t="s">
        <v>20619</v>
      </c>
      <c r="J340" t="s">
        <v>71</v>
      </c>
      <c r="K340" t="s">
        <v>10782</v>
      </c>
      <c r="L340" t="s">
        <v>20620</v>
      </c>
    </row>
    <row r="341" spans="1:12" ht="172.8" x14ac:dyDescent="0.3">
      <c r="A341" s="4" t="s">
        <v>1136</v>
      </c>
      <c r="B341">
        <v>1</v>
      </c>
      <c r="C341">
        <v>1</v>
      </c>
      <c r="D341">
        <v>2021</v>
      </c>
      <c r="E341" t="s">
        <v>1175</v>
      </c>
      <c r="F341">
        <v>24</v>
      </c>
      <c r="G341" t="s">
        <v>20641</v>
      </c>
      <c r="H341" t="s">
        <v>20642</v>
      </c>
      <c r="I341" s="4" t="s">
        <v>20643</v>
      </c>
    </row>
    <row r="342" spans="1:12" ht="129.6" x14ac:dyDescent="0.3">
      <c r="A342" s="4" t="s">
        <v>1137</v>
      </c>
      <c r="B342">
        <v>1</v>
      </c>
      <c r="C342">
        <v>1</v>
      </c>
      <c r="D342">
        <v>2021</v>
      </c>
      <c r="E342" t="s">
        <v>329</v>
      </c>
      <c r="F342">
        <v>20</v>
      </c>
      <c r="G342" t="s">
        <v>20648</v>
      </c>
      <c r="H342" t="s">
        <v>20649</v>
      </c>
      <c r="I342" s="4" t="s">
        <v>20650</v>
      </c>
      <c r="J342" t="s">
        <v>71</v>
      </c>
      <c r="K342" t="s">
        <v>10782</v>
      </c>
      <c r="L342" t="s">
        <v>20651</v>
      </c>
    </row>
    <row r="343" spans="1:12" ht="216" x14ac:dyDescent="0.3">
      <c r="A343" s="4" t="s">
        <v>1139</v>
      </c>
      <c r="B343">
        <v>1</v>
      </c>
      <c r="C343">
        <v>1</v>
      </c>
      <c r="D343">
        <v>2021</v>
      </c>
      <c r="E343" t="s">
        <v>704</v>
      </c>
      <c r="F343">
        <v>111</v>
      </c>
      <c r="G343" t="s">
        <v>20704</v>
      </c>
      <c r="H343" t="s">
        <v>20705</v>
      </c>
      <c r="I343" s="4" t="s">
        <v>20706</v>
      </c>
      <c r="J343" t="s">
        <v>71</v>
      </c>
      <c r="K343" t="s">
        <v>10782</v>
      </c>
      <c r="L343" t="s">
        <v>20707</v>
      </c>
    </row>
    <row r="344" spans="1:12" ht="288" x14ac:dyDescent="0.3">
      <c r="A344" s="4" t="s">
        <v>1142</v>
      </c>
      <c r="B344">
        <v>1</v>
      </c>
      <c r="C344">
        <v>1</v>
      </c>
      <c r="D344">
        <v>2021</v>
      </c>
      <c r="E344" t="s">
        <v>1197</v>
      </c>
      <c r="F344">
        <v>19</v>
      </c>
      <c r="G344" t="s">
        <v>20708</v>
      </c>
      <c r="H344" t="s">
        <v>20709</v>
      </c>
      <c r="I344" s="4" t="s">
        <v>20710</v>
      </c>
      <c r="J344" t="s">
        <v>10823</v>
      </c>
      <c r="K344" t="s">
        <v>10782</v>
      </c>
      <c r="L344" t="s">
        <v>20711</v>
      </c>
    </row>
    <row r="345" spans="1:12" ht="187.2" x14ac:dyDescent="0.3">
      <c r="A345" s="4" t="s">
        <v>3318</v>
      </c>
      <c r="B345">
        <v>1</v>
      </c>
      <c r="C345">
        <v>3</v>
      </c>
      <c r="D345">
        <v>2021</v>
      </c>
      <c r="E345" t="s">
        <v>704</v>
      </c>
      <c r="F345">
        <v>11</v>
      </c>
      <c r="G345" t="s">
        <v>20734</v>
      </c>
      <c r="H345" t="s">
        <v>20735</v>
      </c>
      <c r="I345" s="4" t="s">
        <v>20736</v>
      </c>
      <c r="J345" t="s">
        <v>71</v>
      </c>
      <c r="K345" t="s">
        <v>10782</v>
      </c>
      <c r="L345" t="s">
        <v>20737</v>
      </c>
    </row>
    <row r="346" spans="1:12" ht="144" x14ac:dyDescent="0.3">
      <c r="A346" s="4" t="s">
        <v>3319</v>
      </c>
      <c r="B346">
        <v>1</v>
      </c>
      <c r="C346">
        <v>3</v>
      </c>
      <c r="D346">
        <v>2021</v>
      </c>
      <c r="E346" t="s">
        <v>11337</v>
      </c>
      <c r="F346">
        <v>11</v>
      </c>
      <c r="G346" t="s">
        <v>20748</v>
      </c>
      <c r="H346" t="s">
        <v>20749</v>
      </c>
      <c r="I346" s="4" t="s">
        <v>20750</v>
      </c>
    </row>
    <row r="347" spans="1:12" ht="216" x14ac:dyDescent="0.3">
      <c r="A347" s="4" t="s">
        <v>3320</v>
      </c>
      <c r="B347">
        <v>1</v>
      </c>
      <c r="C347">
        <v>3</v>
      </c>
      <c r="D347">
        <v>2021</v>
      </c>
      <c r="E347" t="s">
        <v>10057</v>
      </c>
      <c r="F347">
        <v>70</v>
      </c>
      <c r="G347" t="s">
        <v>20777</v>
      </c>
      <c r="H347" t="s">
        <v>20778</v>
      </c>
      <c r="I347" s="4" t="s">
        <v>20779</v>
      </c>
      <c r="J347" t="s">
        <v>71</v>
      </c>
      <c r="K347" t="s">
        <v>10782</v>
      </c>
      <c r="L347" t="s">
        <v>20780</v>
      </c>
    </row>
    <row r="348" spans="1:12" ht="129.6" x14ac:dyDescent="0.3">
      <c r="A348" s="4" t="s">
        <v>3321</v>
      </c>
      <c r="B348">
        <v>1</v>
      </c>
      <c r="C348">
        <v>3</v>
      </c>
      <c r="D348">
        <v>2021</v>
      </c>
      <c r="E348" t="s">
        <v>1570</v>
      </c>
      <c r="F348">
        <v>1</v>
      </c>
      <c r="G348" t="s">
        <v>20796</v>
      </c>
      <c r="H348" t="s">
        <v>20797</v>
      </c>
      <c r="I348" s="4" t="s">
        <v>20798</v>
      </c>
      <c r="J348" t="s">
        <v>71</v>
      </c>
      <c r="K348" t="s">
        <v>10782</v>
      </c>
      <c r="L348" t="s">
        <v>20799</v>
      </c>
    </row>
    <row r="349" spans="1:12" ht="43.2" x14ac:dyDescent="0.3">
      <c r="A349" s="4" t="s">
        <v>1143</v>
      </c>
      <c r="B349">
        <v>1</v>
      </c>
      <c r="C349">
        <v>1</v>
      </c>
      <c r="D349">
        <v>2021</v>
      </c>
      <c r="E349" t="s">
        <v>1245</v>
      </c>
      <c r="F349">
        <v>67</v>
      </c>
      <c r="G349" t="s">
        <v>20841</v>
      </c>
      <c r="H349" t="s">
        <v>20842</v>
      </c>
      <c r="I349" s="4" t="s">
        <v>20843</v>
      </c>
    </row>
    <row r="350" spans="1:12" ht="216" x14ac:dyDescent="0.3">
      <c r="A350" s="4" t="s">
        <v>1148</v>
      </c>
      <c r="B350">
        <v>1</v>
      </c>
      <c r="C350">
        <v>1</v>
      </c>
      <c r="D350">
        <v>2021</v>
      </c>
      <c r="E350" t="s">
        <v>704</v>
      </c>
      <c r="F350">
        <v>26</v>
      </c>
      <c r="G350" t="s">
        <v>20844</v>
      </c>
      <c r="H350" t="s">
        <v>20845</v>
      </c>
      <c r="I350" s="4" t="s">
        <v>20846</v>
      </c>
      <c r="J350" t="s">
        <v>71</v>
      </c>
      <c r="K350" t="s">
        <v>10782</v>
      </c>
      <c r="L350" t="s">
        <v>20847</v>
      </c>
    </row>
    <row r="351" spans="1:12" ht="201.6" x14ac:dyDescent="0.3">
      <c r="A351" s="4" t="s">
        <v>1149</v>
      </c>
      <c r="B351">
        <v>1</v>
      </c>
      <c r="C351">
        <v>1</v>
      </c>
      <c r="D351">
        <v>2021</v>
      </c>
      <c r="E351" t="s">
        <v>622</v>
      </c>
      <c r="F351">
        <v>70</v>
      </c>
      <c r="G351" t="s">
        <v>20888</v>
      </c>
      <c r="H351" t="s">
        <v>20889</v>
      </c>
      <c r="I351" s="4" t="s">
        <v>20890</v>
      </c>
      <c r="J351" t="s">
        <v>71</v>
      </c>
      <c r="K351" t="s">
        <v>10782</v>
      </c>
      <c r="L351" t="s">
        <v>20891</v>
      </c>
    </row>
    <row r="352" spans="1:12" ht="172.8" x14ac:dyDescent="0.3">
      <c r="A352" s="4" t="s">
        <v>3322</v>
      </c>
      <c r="B352">
        <v>1</v>
      </c>
      <c r="C352">
        <v>3</v>
      </c>
      <c r="D352">
        <v>2021</v>
      </c>
      <c r="E352" t="s">
        <v>1802</v>
      </c>
      <c r="F352">
        <v>7</v>
      </c>
      <c r="G352" t="s">
        <v>20903</v>
      </c>
      <c r="H352" t="s">
        <v>20904</v>
      </c>
      <c r="I352" s="4" t="s">
        <v>20905</v>
      </c>
      <c r="J352" t="s">
        <v>71</v>
      </c>
      <c r="K352" t="s">
        <v>10782</v>
      </c>
      <c r="L352" t="s">
        <v>20906</v>
      </c>
    </row>
    <row r="353" spans="1:12" ht="187.2" x14ac:dyDescent="0.3">
      <c r="A353" s="4" t="s">
        <v>3323</v>
      </c>
      <c r="B353">
        <v>1</v>
      </c>
      <c r="C353">
        <v>3</v>
      </c>
      <c r="D353">
        <v>2021</v>
      </c>
      <c r="E353" t="s">
        <v>405</v>
      </c>
      <c r="F353">
        <v>52</v>
      </c>
      <c r="G353" t="s">
        <v>20922</v>
      </c>
      <c r="H353" t="s">
        <v>20923</v>
      </c>
      <c r="I353" s="4" t="s">
        <v>20924</v>
      </c>
      <c r="J353" t="s">
        <v>71</v>
      </c>
      <c r="K353" t="s">
        <v>10782</v>
      </c>
      <c r="L353" t="s">
        <v>20925</v>
      </c>
    </row>
    <row r="354" spans="1:12" ht="201.6" x14ac:dyDescent="0.3">
      <c r="A354" s="4" t="s">
        <v>1150</v>
      </c>
      <c r="B354">
        <v>1</v>
      </c>
      <c r="C354">
        <v>1</v>
      </c>
      <c r="D354">
        <v>2021</v>
      </c>
      <c r="E354" t="s">
        <v>318</v>
      </c>
      <c r="F354">
        <v>52</v>
      </c>
      <c r="G354" t="s">
        <v>20976</v>
      </c>
      <c r="H354" t="s">
        <v>20977</v>
      </c>
      <c r="I354" s="4" t="s">
        <v>20978</v>
      </c>
      <c r="J354" t="s">
        <v>71</v>
      </c>
      <c r="K354" t="s">
        <v>10782</v>
      </c>
      <c r="L354" t="s">
        <v>20979</v>
      </c>
    </row>
    <row r="355" spans="1:12" ht="216" x14ac:dyDescent="0.3">
      <c r="A355" s="4" t="s">
        <v>3324</v>
      </c>
      <c r="B355">
        <v>1</v>
      </c>
      <c r="C355">
        <v>3</v>
      </c>
      <c r="D355">
        <v>2021</v>
      </c>
      <c r="E355" t="s">
        <v>14052</v>
      </c>
      <c r="F355">
        <v>23</v>
      </c>
      <c r="G355" t="s">
        <v>21013</v>
      </c>
      <c r="H355" t="s">
        <v>21014</v>
      </c>
      <c r="I355" s="4" t="s">
        <v>21015</v>
      </c>
    </row>
    <row r="356" spans="1:12" ht="201.6" x14ac:dyDescent="0.3">
      <c r="A356" s="4" t="s">
        <v>3325</v>
      </c>
      <c r="B356">
        <v>1</v>
      </c>
      <c r="C356">
        <v>3</v>
      </c>
      <c r="D356">
        <v>2021</v>
      </c>
      <c r="E356" t="s">
        <v>1438</v>
      </c>
      <c r="F356">
        <v>15</v>
      </c>
      <c r="G356" t="s">
        <v>21078</v>
      </c>
      <c r="H356" t="s">
        <v>21079</v>
      </c>
      <c r="I356" s="4" t="s">
        <v>21080</v>
      </c>
      <c r="J356" t="s">
        <v>71</v>
      </c>
      <c r="K356" t="s">
        <v>10782</v>
      </c>
      <c r="L356" t="s">
        <v>21081</v>
      </c>
    </row>
    <row r="357" spans="1:12" ht="216" x14ac:dyDescent="0.3">
      <c r="A357" s="4" t="s">
        <v>1155</v>
      </c>
      <c r="B357">
        <v>1</v>
      </c>
      <c r="C357">
        <v>1</v>
      </c>
      <c r="D357">
        <v>2021</v>
      </c>
      <c r="E357" t="s">
        <v>1248</v>
      </c>
      <c r="F357">
        <v>13</v>
      </c>
      <c r="G357" t="s">
        <v>21145</v>
      </c>
      <c r="H357" t="s">
        <v>21146</v>
      </c>
      <c r="I357" s="4" t="s">
        <v>21147</v>
      </c>
      <c r="J357" t="s">
        <v>71</v>
      </c>
      <c r="K357" t="s">
        <v>10782</v>
      </c>
      <c r="L357" t="s">
        <v>21148</v>
      </c>
    </row>
    <row r="358" spans="1:12" ht="86.4" x14ac:dyDescent="0.3">
      <c r="A358" s="4" t="s">
        <v>3326</v>
      </c>
      <c r="B358">
        <v>1</v>
      </c>
      <c r="C358">
        <v>3</v>
      </c>
      <c r="D358">
        <v>2021</v>
      </c>
      <c r="E358" t="s">
        <v>329</v>
      </c>
      <c r="F358">
        <v>37</v>
      </c>
      <c r="G358" t="s">
        <v>21176</v>
      </c>
      <c r="H358" t="s">
        <v>21177</v>
      </c>
      <c r="I358" s="4" t="s">
        <v>21178</v>
      </c>
    </row>
    <row r="359" spans="1:12" ht="187.2" x14ac:dyDescent="0.3">
      <c r="A359" s="4" t="s">
        <v>1156</v>
      </c>
      <c r="B359">
        <v>1</v>
      </c>
      <c r="C359">
        <v>1</v>
      </c>
      <c r="D359">
        <v>2021</v>
      </c>
      <c r="E359" t="s">
        <v>1231</v>
      </c>
      <c r="F359">
        <v>2</v>
      </c>
      <c r="G359" t="s">
        <v>21179</v>
      </c>
      <c r="H359" t="s">
        <v>21180</v>
      </c>
      <c r="I359" s="4" t="s">
        <v>21181</v>
      </c>
      <c r="J359" t="s">
        <v>71</v>
      </c>
      <c r="K359" t="s">
        <v>10782</v>
      </c>
      <c r="L359" t="s">
        <v>21182</v>
      </c>
    </row>
    <row r="360" spans="1:12" ht="187.2" x14ac:dyDescent="0.3">
      <c r="A360" s="4" t="s">
        <v>3327</v>
      </c>
      <c r="B360">
        <v>1</v>
      </c>
      <c r="C360">
        <v>3</v>
      </c>
      <c r="D360">
        <v>2021</v>
      </c>
      <c r="E360" t="s">
        <v>14346</v>
      </c>
      <c r="F360">
        <v>41</v>
      </c>
      <c r="G360" t="s">
        <v>21187</v>
      </c>
      <c r="H360" t="s">
        <v>21188</v>
      </c>
      <c r="I360" s="4" t="s">
        <v>21189</v>
      </c>
      <c r="J360" t="s">
        <v>71</v>
      </c>
      <c r="K360" t="s">
        <v>10782</v>
      </c>
      <c r="L360" t="s">
        <v>21190</v>
      </c>
    </row>
    <row r="361" spans="1:12" ht="129.6" x14ac:dyDescent="0.3">
      <c r="A361" s="4" t="s">
        <v>3328</v>
      </c>
      <c r="B361">
        <v>1</v>
      </c>
      <c r="C361">
        <v>3</v>
      </c>
      <c r="D361">
        <v>2021</v>
      </c>
      <c r="E361" t="s">
        <v>217</v>
      </c>
      <c r="F361">
        <v>10</v>
      </c>
      <c r="G361" t="s">
        <v>21213</v>
      </c>
      <c r="H361" t="s">
        <v>21214</v>
      </c>
      <c r="I361" s="4" t="s">
        <v>21215</v>
      </c>
      <c r="J361" t="s">
        <v>71</v>
      </c>
      <c r="K361" t="s">
        <v>10782</v>
      </c>
      <c r="L361" t="s">
        <v>21216</v>
      </c>
    </row>
    <row r="362" spans="1:12" ht="144" x14ac:dyDescent="0.3">
      <c r="A362" s="4" t="s">
        <v>3329</v>
      </c>
      <c r="B362">
        <v>1</v>
      </c>
      <c r="C362">
        <v>3</v>
      </c>
      <c r="D362">
        <v>2021</v>
      </c>
      <c r="E362" t="s">
        <v>637</v>
      </c>
      <c r="F362">
        <v>11</v>
      </c>
      <c r="G362" t="s">
        <v>21217</v>
      </c>
      <c r="H362" t="s">
        <v>21218</v>
      </c>
      <c r="I362" s="4" t="s">
        <v>21219</v>
      </c>
      <c r="J362" t="s">
        <v>71</v>
      </c>
      <c r="K362" t="s">
        <v>10782</v>
      </c>
      <c r="L362" t="s">
        <v>21220</v>
      </c>
    </row>
    <row r="363" spans="1:12" ht="201.6" x14ac:dyDescent="0.3">
      <c r="A363" s="4" t="s">
        <v>1251</v>
      </c>
      <c r="B363">
        <v>1</v>
      </c>
      <c r="C363">
        <v>1</v>
      </c>
      <c r="D363">
        <v>2021</v>
      </c>
      <c r="E363" t="s">
        <v>318</v>
      </c>
      <c r="F363">
        <v>119</v>
      </c>
      <c r="G363" t="s">
        <v>21275</v>
      </c>
      <c r="H363" t="s">
        <v>21276</v>
      </c>
      <c r="I363" s="4" t="s">
        <v>21277</v>
      </c>
      <c r="J363" t="s">
        <v>71</v>
      </c>
      <c r="K363" t="s">
        <v>10782</v>
      </c>
      <c r="L363" t="s">
        <v>21278</v>
      </c>
    </row>
    <row r="364" spans="1:12" ht="129.6" x14ac:dyDescent="0.3">
      <c r="A364" s="4" t="s">
        <v>1252</v>
      </c>
      <c r="B364">
        <v>1</v>
      </c>
      <c r="C364">
        <v>1</v>
      </c>
      <c r="D364">
        <v>2021</v>
      </c>
      <c r="E364" t="s">
        <v>329</v>
      </c>
      <c r="F364">
        <v>17</v>
      </c>
      <c r="G364" t="s">
        <v>21343</v>
      </c>
      <c r="H364" t="s">
        <v>21344</v>
      </c>
      <c r="I364" s="4" t="s">
        <v>21345</v>
      </c>
      <c r="J364" t="s">
        <v>71</v>
      </c>
      <c r="K364" t="s">
        <v>10782</v>
      </c>
      <c r="L364" t="s">
        <v>21346</v>
      </c>
    </row>
    <row r="365" spans="1:12" ht="187.2" x14ac:dyDescent="0.3">
      <c r="A365" s="4" t="s">
        <v>3330</v>
      </c>
      <c r="B365">
        <v>1</v>
      </c>
      <c r="C365">
        <v>3</v>
      </c>
      <c r="D365">
        <v>2021</v>
      </c>
      <c r="E365" t="s">
        <v>12593</v>
      </c>
      <c r="F365">
        <v>11</v>
      </c>
      <c r="G365" t="s">
        <v>21347</v>
      </c>
      <c r="H365" t="s">
        <v>21348</v>
      </c>
      <c r="I365" s="4" t="s">
        <v>21349</v>
      </c>
      <c r="J365" t="s">
        <v>71</v>
      </c>
      <c r="K365" t="s">
        <v>10782</v>
      </c>
      <c r="L365" t="s">
        <v>21350</v>
      </c>
    </row>
    <row r="366" spans="1:12" ht="144" x14ac:dyDescent="0.3">
      <c r="A366" s="4" t="s">
        <v>1253</v>
      </c>
      <c r="B366">
        <v>1</v>
      </c>
      <c r="C366">
        <v>1</v>
      </c>
      <c r="D366">
        <v>2021</v>
      </c>
      <c r="E366" t="s">
        <v>405</v>
      </c>
      <c r="F366">
        <v>14</v>
      </c>
      <c r="G366" t="s">
        <v>21410</v>
      </c>
      <c r="H366" t="s">
        <v>21411</v>
      </c>
      <c r="I366" s="4" t="s">
        <v>21412</v>
      </c>
      <c r="J366" t="s">
        <v>71</v>
      </c>
      <c r="K366" t="s">
        <v>10782</v>
      </c>
      <c r="L366" t="s">
        <v>21413</v>
      </c>
    </row>
    <row r="367" spans="1:12" ht="129.6" x14ac:dyDescent="0.3">
      <c r="A367" s="4" t="s">
        <v>1254</v>
      </c>
      <c r="B367">
        <v>1</v>
      </c>
      <c r="C367">
        <v>1</v>
      </c>
      <c r="D367">
        <v>2021</v>
      </c>
      <c r="E367" t="s">
        <v>1426</v>
      </c>
      <c r="F367">
        <v>281</v>
      </c>
      <c r="G367" t="s">
        <v>21460</v>
      </c>
      <c r="H367" t="s">
        <v>21461</v>
      </c>
      <c r="I367" s="4" t="s">
        <v>21462</v>
      </c>
      <c r="J367" t="s">
        <v>71</v>
      </c>
      <c r="K367" t="s">
        <v>10782</v>
      </c>
      <c r="L367" t="s">
        <v>21463</v>
      </c>
    </row>
    <row r="368" spans="1:12" ht="172.8" x14ac:dyDescent="0.3">
      <c r="A368" s="4" t="s">
        <v>1258</v>
      </c>
      <c r="B368">
        <v>1</v>
      </c>
      <c r="C368">
        <v>1</v>
      </c>
      <c r="D368">
        <v>2021</v>
      </c>
      <c r="E368" t="s">
        <v>405</v>
      </c>
      <c r="F368">
        <v>49</v>
      </c>
      <c r="G368" t="s">
        <v>21480</v>
      </c>
      <c r="H368" t="s">
        <v>21481</v>
      </c>
      <c r="I368" s="4" t="s">
        <v>21482</v>
      </c>
      <c r="J368" t="s">
        <v>71</v>
      </c>
      <c r="K368" t="s">
        <v>10782</v>
      </c>
      <c r="L368" t="s">
        <v>21483</v>
      </c>
    </row>
    <row r="369" spans="1:12" ht="187.2" x14ac:dyDescent="0.3">
      <c r="A369" s="4" t="s">
        <v>3331</v>
      </c>
      <c r="B369">
        <v>1</v>
      </c>
      <c r="C369">
        <v>3</v>
      </c>
      <c r="D369">
        <v>2021</v>
      </c>
      <c r="E369" t="s">
        <v>724</v>
      </c>
      <c r="F369">
        <v>27</v>
      </c>
      <c r="G369" t="s">
        <v>21523</v>
      </c>
      <c r="H369" t="s">
        <v>21524</v>
      </c>
      <c r="I369" s="4" t="s">
        <v>21525</v>
      </c>
      <c r="J369" t="s">
        <v>71</v>
      </c>
      <c r="K369" t="s">
        <v>10782</v>
      </c>
      <c r="L369" t="s">
        <v>21526</v>
      </c>
    </row>
    <row r="370" spans="1:12" ht="187.2" x14ac:dyDescent="0.3">
      <c r="A370" s="4" t="s">
        <v>1259</v>
      </c>
      <c r="B370">
        <v>1</v>
      </c>
      <c r="C370">
        <v>1</v>
      </c>
      <c r="D370">
        <v>2021</v>
      </c>
      <c r="E370" t="s">
        <v>1316</v>
      </c>
      <c r="F370">
        <v>50</v>
      </c>
      <c r="G370" t="s">
        <v>21596</v>
      </c>
      <c r="H370" t="s">
        <v>21597</v>
      </c>
      <c r="I370" s="4" t="s">
        <v>21598</v>
      </c>
      <c r="J370" t="s">
        <v>71</v>
      </c>
      <c r="K370" t="s">
        <v>10782</v>
      </c>
      <c r="L370" t="s">
        <v>21599</v>
      </c>
    </row>
    <row r="371" spans="1:12" ht="172.8" x14ac:dyDescent="0.3">
      <c r="A371" s="4" t="s">
        <v>1260</v>
      </c>
      <c r="B371">
        <v>1</v>
      </c>
      <c r="C371">
        <v>1</v>
      </c>
      <c r="D371">
        <v>2021</v>
      </c>
      <c r="E371" t="s">
        <v>550</v>
      </c>
      <c r="F371">
        <v>5</v>
      </c>
      <c r="G371" t="s">
        <v>21621</v>
      </c>
      <c r="H371" t="s">
        <v>21622</v>
      </c>
      <c r="I371" s="4" t="s">
        <v>21623</v>
      </c>
      <c r="J371" t="s">
        <v>71</v>
      </c>
      <c r="K371" t="s">
        <v>10782</v>
      </c>
      <c r="L371" t="s">
        <v>21624</v>
      </c>
    </row>
    <row r="372" spans="1:12" ht="288" x14ac:dyDescent="0.3">
      <c r="A372" s="4" t="s">
        <v>3332</v>
      </c>
      <c r="B372">
        <v>1</v>
      </c>
      <c r="C372">
        <v>3</v>
      </c>
      <c r="D372">
        <v>2021</v>
      </c>
      <c r="E372" t="s">
        <v>329</v>
      </c>
      <c r="F372">
        <v>22</v>
      </c>
      <c r="G372" t="s">
        <v>21625</v>
      </c>
      <c r="H372" t="s">
        <v>21626</v>
      </c>
      <c r="I372" s="4" t="s">
        <v>21627</v>
      </c>
      <c r="J372" t="s">
        <v>71</v>
      </c>
      <c r="K372" t="s">
        <v>10782</v>
      </c>
      <c r="L372" t="s">
        <v>21628</v>
      </c>
    </row>
    <row r="373" spans="1:12" ht="172.8" x14ac:dyDescent="0.3">
      <c r="A373" s="4" t="s">
        <v>1261</v>
      </c>
      <c r="B373">
        <v>1</v>
      </c>
      <c r="C373">
        <v>1</v>
      </c>
      <c r="D373">
        <v>2021</v>
      </c>
      <c r="E373" t="s">
        <v>363</v>
      </c>
      <c r="F373">
        <v>22</v>
      </c>
      <c r="G373" t="s">
        <v>21687</v>
      </c>
      <c r="H373" t="s">
        <v>21688</v>
      </c>
      <c r="I373" s="4" t="s">
        <v>21689</v>
      </c>
      <c r="J373" t="s">
        <v>71</v>
      </c>
      <c r="K373" t="s">
        <v>10782</v>
      </c>
      <c r="L373" t="s">
        <v>21690</v>
      </c>
    </row>
    <row r="374" spans="1:12" ht="187.2" x14ac:dyDescent="0.3">
      <c r="A374" s="4" t="s">
        <v>1262</v>
      </c>
      <c r="B374">
        <v>1</v>
      </c>
      <c r="C374">
        <v>1</v>
      </c>
      <c r="D374">
        <v>2021</v>
      </c>
      <c r="E374" t="s">
        <v>1175</v>
      </c>
      <c r="F374">
        <v>5</v>
      </c>
      <c r="G374" t="s">
        <v>21707</v>
      </c>
      <c r="H374" t="s">
        <v>21708</v>
      </c>
      <c r="I374" s="4" t="s">
        <v>21709</v>
      </c>
      <c r="J374" t="s">
        <v>71</v>
      </c>
      <c r="K374" t="s">
        <v>10782</v>
      </c>
      <c r="L374" t="s">
        <v>21710</v>
      </c>
    </row>
    <row r="375" spans="1:12" ht="216" x14ac:dyDescent="0.3">
      <c r="A375" s="4" t="s">
        <v>1263</v>
      </c>
      <c r="B375">
        <v>1</v>
      </c>
      <c r="C375">
        <v>1</v>
      </c>
      <c r="D375">
        <v>2021</v>
      </c>
      <c r="E375" t="s">
        <v>1345</v>
      </c>
      <c r="F375">
        <v>12</v>
      </c>
      <c r="G375" t="s">
        <v>21759</v>
      </c>
      <c r="H375" t="s">
        <v>21760</v>
      </c>
      <c r="I375" s="4" t="s">
        <v>21761</v>
      </c>
      <c r="J375" t="s">
        <v>71</v>
      </c>
      <c r="K375" t="s">
        <v>10782</v>
      </c>
      <c r="L375" t="s">
        <v>21762</v>
      </c>
    </row>
    <row r="376" spans="1:12" ht="172.8" x14ac:dyDescent="0.3">
      <c r="A376" s="4" t="s">
        <v>1264</v>
      </c>
      <c r="B376">
        <v>1</v>
      </c>
      <c r="C376">
        <v>1</v>
      </c>
      <c r="D376">
        <v>2021</v>
      </c>
      <c r="E376" t="s">
        <v>550</v>
      </c>
      <c r="F376">
        <v>10</v>
      </c>
      <c r="G376" t="s">
        <v>21763</v>
      </c>
      <c r="H376" t="s">
        <v>21764</v>
      </c>
      <c r="I376" s="4" t="s">
        <v>21765</v>
      </c>
      <c r="J376" t="s">
        <v>71</v>
      </c>
      <c r="K376" t="s">
        <v>10782</v>
      </c>
      <c r="L376" t="s">
        <v>21766</v>
      </c>
    </row>
    <row r="377" spans="1:12" ht="201.6" x14ac:dyDescent="0.3">
      <c r="A377" s="4" t="s">
        <v>1266</v>
      </c>
      <c r="B377">
        <v>1</v>
      </c>
      <c r="C377">
        <v>1</v>
      </c>
      <c r="D377">
        <v>2021</v>
      </c>
      <c r="E377" t="s">
        <v>1357</v>
      </c>
      <c r="F377">
        <v>32</v>
      </c>
      <c r="G377" t="s">
        <v>21829</v>
      </c>
      <c r="H377" t="s">
        <v>21830</v>
      </c>
      <c r="I377" s="4" t="s">
        <v>21831</v>
      </c>
      <c r="J377" t="s">
        <v>71</v>
      </c>
      <c r="K377" t="s">
        <v>10782</v>
      </c>
      <c r="L377" t="s">
        <v>21832</v>
      </c>
    </row>
    <row r="378" spans="1:12" ht="100.8" x14ac:dyDescent="0.3">
      <c r="A378" s="4" t="s">
        <v>3333</v>
      </c>
      <c r="B378">
        <v>1</v>
      </c>
      <c r="C378">
        <v>3</v>
      </c>
      <c r="D378">
        <v>2021</v>
      </c>
      <c r="E378" t="s">
        <v>329</v>
      </c>
      <c r="F378">
        <v>14</v>
      </c>
      <c r="G378" t="s">
        <v>21853</v>
      </c>
      <c r="H378" t="s">
        <v>21854</v>
      </c>
      <c r="I378" s="4" t="s">
        <v>21855</v>
      </c>
    </row>
    <row r="379" spans="1:12" ht="129.6" x14ac:dyDescent="0.3">
      <c r="A379" s="4" t="s">
        <v>1267</v>
      </c>
      <c r="B379">
        <v>1</v>
      </c>
      <c r="C379">
        <v>1</v>
      </c>
      <c r="D379">
        <v>2021</v>
      </c>
      <c r="E379" t="s">
        <v>622</v>
      </c>
      <c r="F379">
        <v>3</v>
      </c>
      <c r="G379" t="s">
        <v>21871</v>
      </c>
      <c r="H379" t="s">
        <v>21872</v>
      </c>
      <c r="I379" s="4" t="s">
        <v>21873</v>
      </c>
      <c r="J379" t="s">
        <v>71</v>
      </c>
      <c r="K379" t="s">
        <v>10782</v>
      </c>
      <c r="L379" t="s">
        <v>21874</v>
      </c>
    </row>
    <row r="380" spans="1:12" ht="288" x14ac:dyDescent="0.3">
      <c r="A380" s="4" t="s">
        <v>3334</v>
      </c>
      <c r="B380">
        <v>1</v>
      </c>
      <c r="C380">
        <v>3</v>
      </c>
      <c r="D380">
        <v>2021</v>
      </c>
      <c r="E380" t="s">
        <v>1912</v>
      </c>
      <c r="F380">
        <v>27</v>
      </c>
      <c r="G380" t="s">
        <v>21903</v>
      </c>
      <c r="H380" t="s">
        <v>21904</v>
      </c>
      <c r="I380" s="4" t="s">
        <v>21905</v>
      </c>
      <c r="J380" t="s">
        <v>71</v>
      </c>
      <c r="K380" t="s">
        <v>10782</v>
      </c>
      <c r="L380" t="s">
        <v>21906</v>
      </c>
    </row>
    <row r="381" spans="1:12" ht="187.2" x14ac:dyDescent="0.3">
      <c r="A381" s="4" t="s">
        <v>1268</v>
      </c>
      <c r="B381">
        <v>1</v>
      </c>
      <c r="C381">
        <v>1</v>
      </c>
      <c r="D381">
        <v>2021</v>
      </c>
      <c r="E381" t="s">
        <v>1366</v>
      </c>
      <c r="F381">
        <v>91</v>
      </c>
      <c r="G381" t="s">
        <v>22011</v>
      </c>
      <c r="H381" t="s">
        <v>22012</v>
      </c>
      <c r="I381" s="4" t="s">
        <v>22013</v>
      </c>
      <c r="J381" t="s">
        <v>71</v>
      </c>
      <c r="K381" t="s">
        <v>10782</v>
      </c>
      <c r="L381" t="s">
        <v>22014</v>
      </c>
    </row>
    <row r="382" spans="1:12" ht="72" x14ac:dyDescent="0.3">
      <c r="A382" s="4" t="s">
        <v>1269</v>
      </c>
      <c r="B382">
        <v>1</v>
      </c>
      <c r="C382">
        <v>1</v>
      </c>
      <c r="D382">
        <v>2021</v>
      </c>
      <c r="E382" t="s">
        <v>1375</v>
      </c>
      <c r="F382">
        <v>10</v>
      </c>
      <c r="G382" t="s">
        <v>22054</v>
      </c>
      <c r="H382" t="s">
        <v>22055</v>
      </c>
      <c r="I382" s="4" t="s">
        <v>22056</v>
      </c>
      <c r="J382" t="s">
        <v>71</v>
      </c>
      <c r="K382" t="s">
        <v>10782</v>
      </c>
      <c r="L382" t="s">
        <v>22057</v>
      </c>
    </row>
    <row r="383" spans="1:12" ht="158.4" x14ac:dyDescent="0.3">
      <c r="A383" s="4" t="s">
        <v>1270</v>
      </c>
      <c r="B383">
        <v>1</v>
      </c>
      <c r="C383">
        <v>1</v>
      </c>
      <c r="D383">
        <v>2021</v>
      </c>
      <c r="E383" t="s">
        <v>1381</v>
      </c>
      <c r="F383">
        <v>3</v>
      </c>
      <c r="G383" t="s">
        <v>22058</v>
      </c>
      <c r="H383" t="s">
        <v>22059</v>
      </c>
      <c r="I383" s="4" t="s">
        <v>22060</v>
      </c>
      <c r="J383" t="s">
        <v>71</v>
      </c>
      <c r="K383" t="s">
        <v>10782</v>
      </c>
      <c r="L383" t="s">
        <v>22061</v>
      </c>
    </row>
    <row r="384" spans="1:12" ht="144" x14ac:dyDescent="0.3">
      <c r="A384" s="4" t="s">
        <v>1271</v>
      </c>
      <c r="B384">
        <v>1</v>
      </c>
      <c r="C384">
        <v>1</v>
      </c>
      <c r="D384">
        <v>2021</v>
      </c>
      <c r="E384" t="s">
        <v>1384</v>
      </c>
      <c r="F384">
        <v>2</v>
      </c>
      <c r="G384" t="s">
        <v>22096</v>
      </c>
      <c r="H384" t="s">
        <v>22097</v>
      </c>
      <c r="I384" s="4" t="s">
        <v>22098</v>
      </c>
      <c r="J384" t="s">
        <v>71</v>
      </c>
      <c r="K384" t="s">
        <v>10782</v>
      </c>
      <c r="L384" t="s">
        <v>22099</v>
      </c>
    </row>
    <row r="385" spans="1:12" ht="201.6" x14ac:dyDescent="0.3">
      <c r="A385" s="4" t="s">
        <v>1278</v>
      </c>
      <c r="B385">
        <v>1</v>
      </c>
      <c r="C385">
        <v>1</v>
      </c>
      <c r="D385">
        <v>2021</v>
      </c>
      <c r="E385" t="s">
        <v>958</v>
      </c>
      <c r="F385">
        <v>34</v>
      </c>
      <c r="G385" t="s">
        <v>22107</v>
      </c>
      <c r="H385" t="s">
        <v>22108</v>
      </c>
      <c r="I385" s="4" t="s">
        <v>22109</v>
      </c>
      <c r="J385" t="s">
        <v>71</v>
      </c>
      <c r="K385" t="s">
        <v>10782</v>
      </c>
      <c r="L385" t="s">
        <v>22110</v>
      </c>
    </row>
    <row r="386" spans="1:12" ht="187.2" x14ac:dyDescent="0.3">
      <c r="A386" s="4" t="s">
        <v>1279</v>
      </c>
      <c r="B386">
        <v>1</v>
      </c>
      <c r="C386">
        <v>1</v>
      </c>
      <c r="D386">
        <v>2021</v>
      </c>
      <c r="E386" t="s">
        <v>1401</v>
      </c>
      <c r="F386">
        <v>0</v>
      </c>
      <c r="G386" t="s">
        <v>22215</v>
      </c>
      <c r="H386" t="s">
        <v>22216</v>
      </c>
      <c r="I386" s="4" t="s">
        <v>22217</v>
      </c>
      <c r="J386" t="s">
        <v>71</v>
      </c>
      <c r="K386" t="s">
        <v>10782</v>
      </c>
      <c r="L386" t="s">
        <v>22218</v>
      </c>
    </row>
    <row r="387" spans="1:12" ht="144" x14ac:dyDescent="0.3">
      <c r="A387" s="4" t="s">
        <v>3335</v>
      </c>
      <c r="B387">
        <v>1</v>
      </c>
      <c r="C387">
        <v>3</v>
      </c>
      <c r="D387">
        <v>2021</v>
      </c>
      <c r="E387" t="s">
        <v>217</v>
      </c>
      <c r="F387">
        <v>9</v>
      </c>
      <c r="G387" t="s">
        <v>22312</v>
      </c>
      <c r="H387" t="s">
        <v>22313</v>
      </c>
      <c r="I387" s="4" t="s">
        <v>22314</v>
      </c>
      <c r="J387" t="s">
        <v>71</v>
      </c>
      <c r="K387" t="s">
        <v>10782</v>
      </c>
      <c r="L387" t="s">
        <v>22315</v>
      </c>
    </row>
    <row r="388" spans="1:12" ht="187.2" x14ac:dyDescent="0.3">
      <c r="A388" s="4" t="s">
        <v>3336</v>
      </c>
      <c r="B388">
        <v>1</v>
      </c>
      <c r="C388">
        <v>3</v>
      </c>
      <c r="D388">
        <v>2021</v>
      </c>
      <c r="E388" t="s">
        <v>2375</v>
      </c>
      <c r="F388">
        <v>5</v>
      </c>
      <c r="G388" t="s">
        <v>22316</v>
      </c>
      <c r="H388" t="s">
        <v>22317</v>
      </c>
      <c r="I388" s="4" t="s">
        <v>22318</v>
      </c>
      <c r="J388" t="s">
        <v>71</v>
      </c>
      <c r="K388" t="s">
        <v>10782</v>
      </c>
      <c r="L388" t="s">
        <v>22319</v>
      </c>
    </row>
    <row r="389" spans="1:12" ht="230.4" x14ac:dyDescent="0.3">
      <c r="A389" s="4" t="s">
        <v>1288</v>
      </c>
      <c r="B389">
        <v>1</v>
      </c>
      <c r="C389">
        <v>1</v>
      </c>
      <c r="D389">
        <v>2021</v>
      </c>
      <c r="E389" t="s">
        <v>958</v>
      </c>
      <c r="F389">
        <v>12</v>
      </c>
      <c r="G389" t="s">
        <v>22332</v>
      </c>
      <c r="H389" t="s">
        <v>22333</v>
      </c>
      <c r="I389" s="4" t="s">
        <v>22334</v>
      </c>
      <c r="J389" t="s">
        <v>71</v>
      </c>
      <c r="K389" t="s">
        <v>10782</v>
      </c>
      <c r="L389" t="s">
        <v>22335</v>
      </c>
    </row>
    <row r="390" spans="1:12" ht="144" x14ac:dyDescent="0.3">
      <c r="A390" s="4" t="s">
        <v>3337</v>
      </c>
      <c r="B390">
        <v>1</v>
      </c>
      <c r="C390">
        <v>3</v>
      </c>
      <c r="D390">
        <v>2021</v>
      </c>
      <c r="E390" t="s">
        <v>958</v>
      </c>
      <c r="F390">
        <v>10</v>
      </c>
      <c r="G390" t="s">
        <v>22336</v>
      </c>
      <c r="H390" t="s">
        <v>22337</v>
      </c>
      <c r="I390" s="4" t="s">
        <v>22338</v>
      </c>
      <c r="J390" t="s">
        <v>71</v>
      </c>
      <c r="K390" t="s">
        <v>10782</v>
      </c>
      <c r="L390" t="s">
        <v>22339</v>
      </c>
    </row>
    <row r="391" spans="1:12" ht="158.4" x14ac:dyDescent="0.3">
      <c r="A391" s="4" t="s">
        <v>3338</v>
      </c>
      <c r="B391">
        <v>1</v>
      </c>
      <c r="C391">
        <v>3</v>
      </c>
      <c r="D391">
        <v>2021</v>
      </c>
      <c r="E391" t="s">
        <v>964</v>
      </c>
      <c r="F391">
        <v>19</v>
      </c>
      <c r="G391" t="s">
        <v>22340</v>
      </c>
      <c r="H391" t="s">
        <v>22341</v>
      </c>
      <c r="I391" s="4" t="s">
        <v>22342</v>
      </c>
      <c r="J391" t="s">
        <v>71</v>
      </c>
      <c r="K391" t="s">
        <v>10782</v>
      </c>
      <c r="L391" t="s">
        <v>22343</v>
      </c>
    </row>
    <row r="392" spans="1:12" ht="187.2" x14ac:dyDescent="0.3">
      <c r="A392" s="4" t="s">
        <v>3339</v>
      </c>
      <c r="B392">
        <v>1</v>
      </c>
      <c r="C392">
        <v>3</v>
      </c>
      <c r="D392">
        <v>2020</v>
      </c>
      <c r="E392" t="s">
        <v>2328</v>
      </c>
      <c r="F392">
        <v>7</v>
      </c>
      <c r="G392" t="s">
        <v>22417</v>
      </c>
      <c r="H392" t="s">
        <v>22418</v>
      </c>
      <c r="I392" s="4" t="s">
        <v>22419</v>
      </c>
      <c r="J392" t="s">
        <v>71</v>
      </c>
      <c r="K392" t="s">
        <v>10782</v>
      </c>
      <c r="L392" t="s">
        <v>22420</v>
      </c>
    </row>
    <row r="393" spans="1:12" ht="158.4" x14ac:dyDescent="0.3">
      <c r="A393" s="4" t="s">
        <v>1289</v>
      </c>
      <c r="B393">
        <v>1</v>
      </c>
      <c r="C393">
        <v>1</v>
      </c>
      <c r="D393">
        <v>2020</v>
      </c>
      <c r="E393" t="s">
        <v>550</v>
      </c>
      <c r="F393">
        <v>13</v>
      </c>
      <c r="G393" t="s">
        <v>22437</v>
      </c>
      <c r="H393" t="s">
        <v>22438</v>
      </c>
      <c r="I393" s="4" t="s">
        <v>22439</v>
      </c>
      <c r="J393" t="s">
        <v>71</v>
      </c>
      <c r="K393" t="s">
        <v>10782</v>
      </c>
      <c r="L393" t="s">
        <v>22440</v>
      </c>
    </row>
    <row r="394" spans="1:12" ht="115.2" x14ac:dyDescent="0.3">
      <c r="A394" s="4" t="s">
        <v>1290</v>
      </c>
      <c r="B394">
        <v>1</v>
      </c>
      <c r="C394">
        <v>1</v>
      </c>
      <c r="D394">
        <v>2020</v>
      </c>
      <c r="E394" t="s">
        <v>1412</v>
      </c>
      <c r="F394">
        <v>1</v>
      </c>
      <c r="G394" t="s">
        <v>22600</v>
      </c>
      <c r="H394" t="s">
        <v>22601</v>
      </c>
      <c r="I394" s="4" t="s">
        <v>22602</v>
      </c>
    </row>
    <row r="395" spans="1:12" ht="43.2" x14ac:dyDescent="0.3">
      <c r="A395" s="4" t="s">
        <v>1291</v>
      </c>
      <c r="B395">
        <v>1</v>
      </c>
      <c r="C395">
        <v>1</v>
      </c>
      <c r="D395">
        <v>2020</v>
      </c>
      <c r="E395" t="s">
        <v>1438</v>
      </c>
      <c r="F395">
        <v>5</v>
      </c>
      <c r="G395" t="s">
        <v>22668</v>
      </c>
      <c r="H395" t="s">
        <v>22669</v>
      </c>
      <c r="I395" s="4" t="s">
        <v>22670</v>
      </c>
    </row>
    <row r="396" spans="1:12" ht="187.2" x14ac:dyDescent="0.3">
      <c r="A396" s="4" t="s">
        <v>3340</v>
      </c>
      <c r="B396">
        <v>1</v>
      </c>
      <c r="C396">
        <v>3</v>
      </c>
      <c r="D396">
        <v>2020</v>
      </c>
      <c r="E396" t="s">
        <v>318</v>
      </c>
      <c r="F396">
        <v>65</v>
      </c>
      <c r="G396" t="s">
        <v>22678</v>
      </c>
      <c r="H396" t="s">
        <v>22679</v>
      </c>
      <c r="I396" s="4" t="s">
        <v>22680</v>
      </c>
      <c r="J396" t="s">
        <v>71</v>
      </c>
      <c r="K396" t="s">
        <v>10782</v>
      </c>
      <c r="L396" t="s">
        <v>22681</v>
      </c>
    </row>
    <row r="397" spans="1:12" ht="100.8" x14ac:dyDescent="0.3">
      <c r="A397" s="4" t="s">
        <v>1295</v>
      </c>
      <c r="B397">
        <v>1</v>
      </c>
      <c r="C397">
        <v>1</v>
      </c>
      <c r="D397">
        <v>2020</v>
      </c>
      <c r="E397" t="s">
        <v>277</v>
      </c>
      <c r="F397">
        <v>357</v>
      </c>
      <c r="G397" t="s">
        <v>22754</v>
      </c>
      <c r="H397" t="s">
        <v>22755</v>
      </c>
      <c r="I397" s="4" t="s">
        <v>22756</v>
      </c>
      <c r="J397" t="s">
        <v>71</v>
      </c>
      <c r="K397" t="s">
        <v>10782</v>
      </c>
      <c r="L397" t="s">
        <v>22757</v>
      </c>
    </row>
    <row r="398" spans="1:12" ht="172.8" x14ac:dyDescent="0.3">
      <c r="A398" s="4" t="s">
        <v>3341</v>
      </c>
      <c r="B398">
        <v>1</v>
      </c>
      <c r="C398">
        <v>3</v>
      </c>
      <c r="D398">
        <v>2020</v>
      </c>
      <c r="E398" t="s">
        <v>12642</v>
      </c>
      <c r="F398">
        <v>18</v>
      </c>
      <c r="G398" t="s">
        <v>22816</v>
      </c>
      <c r="H398" t="s">
        <v>22817</v>
      </c>
      <c r="I398" s="4" t="s">
        <v>22818</v>
      </c>
      <c r="J398" t="s">
        <v>71</v>
      </c>
      <c r="K398" t="s">
        <v>10782</v>
      </c>
      <c r="L398" t="s">
        <v>22819</v>
      </c>
    </row>
    <row r="399" spans="1:12" ht="172.8" x14ac:dyDescent="0.3">
      <c r="A399" s="4" t="s">
        <v>3342</v>
      </c>
      <c r="B399">
        <v>1</v>
      </c>
      <c r="C399">
        <v>3</v>
      </c>
      <c r="D399">
        <v>2020</v>
      </c>
      <c r="E399" t="s">
        <v>17900</v>
      </c>
      <c r="F399">
        <v>22</v>
      </c>
      <c r="G399" t="s">
        <v>22820</v>
      </c>
      <c r="H399" t="s">
        <v>22821</v>
      </c>
      <c r="I399" s="4" t="s">
        <v>22822</v>
      </c>
    </row>
    <row r="400" spans="1:12" ht="158.4" x14ac:dyDescent="0.3">
      <c r="A400" s="4" t="s">
        <v>3343</v>
      </c>
      <c r="B400">
        <v>1</v>
      </c>
      <c r="C400">
        <v>3</v>
      </c>
      <c r="D400">
        <v>2020</v>
      </c>
      <c r="E400" t="s">
        <v>1570</v>
      </c>
      <c r="F400">
        <v>6</v>
      </c>
      <c r="G400" t="s">
        <v>22831</v>
      </c>
      <c r="H400" t="s">
        <v>22832</v>
      </c>
      <c r="I400" s="4" t="s">
        <v>22833</v>
      </c>
      <c r="J400" t="s">
        <v>10823</v>
      </c>
      <c r="K400" t="s">
        <v>10782</v>
      </c>
      <c r="L400" t="s">
        <v>22834</v>
      </c>
    </row>
    <row r="401" spans="1:12" ht="144" x14ac:dyDescent="0.3">
      <c r="A401" s="4" t="s">
        <v>3344</v>
      </c>
      <c r="B401">
        <v>1</v>
      </c>
      <c r="C401">
        <v>3</v>
      </c>
      <c r="D401">
        <v>2020</v>
      </c>
      <c r="E401" t="s">
        <v>329</v>
      </c>
      <c r="F401">
        <v>15</v>
      </c>
      <c r="G401" t="s">
        <v>22843</v>
      </c>
      <c r="H401" t="s">
        <v>22844</v>
      </c>
      <c r="I401" s="4" t="s">
        <v>22845</v>
      </c>
      <c r="J401" t="s">
        <v>71</v>
      </c>
      <c r="K401" t="s">
        <v>10782</v>
      </c>
      <c r="L401" t="s">
        <v>22846</v>
      </c>
    </row>
    <row r="402" spans="1:12" ht="43.2" x14ac:dyDescent="0.3">
      <c r="A402" s="4" t="s">
        <v>1299</v>
      </c>
      <c r="B402">
        <v>1</v>
      </c>
      <c r="C402">
        <v>1</v>
      </c>
      <c r="D402">
        <v>2020</v>
      </c>
      <c r="E402" t="s">
        <v>217</v>
      </c>
      <c r="F402">
        <v>14</v>
      </c>
      <c r="G402" t="s">
        <v>22896</v>
      </c>
      <c r="H402" t="s">
        <v>22897</v>
      </c>
      <c r="I402" s="4" t="s">
        <v>22898</v>
      </c>
    </row>
    <row r="403" spans="1:12" ht="172.8" x14ac:dyDescent="0.3">
      <c r="A403" s="4" t="s">
        <v>3345</v>
      </c>
      <c r="B403">
        <v>1</v>
      </c>
      <c r="C403">
        <v>3</v>
      </c>
      <c r="D403">
        <v>2020</v>
      </c>
      <c r="E403" t="s">
        <v>217</v>
      </c>
      <c r="F403">
        <v>34</v>
      </c>
      <c r="G403" t="s">
        <v>22918</v>
      </c>
      <c r="H403" t="s">
        <v>22919</v>
      </c>
      <c r="I403" s="4" t="s">
        <v>22920</v>
      </c>
      <c r="J403" t="s">
        <v>71</v>
      </c>
      <c r="K403" t="s">
        <v>10782</v>
      </c>
      <c r="L403" t="s">
        <v>22921</v>
      </c>
    </row>
    <row r="404" spans="1:12" ht="100.8" x14ac:dyDescent="0.3">
      <c r="A404" s="4" t="s">
        <v>3346</v>
      </c>
      <c r="B404">
        <v>1</v>
      </c>
      <c r="C404">
        <v>3</v>
      </c>
      <c r="D404">
        <v>2020</v>
      </c>
      <c r="E404" t="s">
        <v>18415</v>
      </c>
      <c r="F404">
        <v>2</v>
      </c>
      <c r="H404" t="s">
        <v>22922</v>
      </c>
      <c r="I404" s="4" t="s">
        <v>22923</v>
      </c>
      <c r="J404" s="4"/>
    </row>
    <row r="405" spans="1:12" ht="172.8" x14ac:dyDescent="0.3">
      <c r="A405" s="4" t="s">
        <v>3347</v>
      </c>
      <c r="B405">
        <v>1</v>
      </c>
      <c r="C405">
        <v>3</v>
      </c>
      <c r="D405">
        <v>2020</v>
      </c>
      <c r="E405" t="s">
        <v>1570</v>
      </c>
      <c r="F405">
        <v>20</v>
      </c>
      <c r="G405" t="s">
        <v>22928</v>
      </c>
      <c r="H405" t="s">
        <v>22929</v>
      </c>
      <c r="I405" s="4" t="s">
        <v>22930</v>
      </c>
      <c r="J405" t="s">
        <v>71</v>
      </c>
      <c r="K405" t="s">
        <v>10782</v>
      </c>
      <c r="L405" t="s">
        <v>22931</v>
      </c>
    </row>
    <row r="406" spans="1:12" ht="216" x14ac:dyDescent="0.3">
      <c r="A406" s="4" t="s">
        <v>1447</v>
      </c>
      <c r="B406">
        <v>1</v>
      </c>
      <c r="C406">
        <v>1</v>
      </c>
      <c r="D406">
        <v>2020</v>
      </c>
      <c r="E406" t="s">
        <v>217</v>
      </c>
      <c r="F406">
        <v>14</v>
      </c>
      <c r="G406" t="s">
        <v>22989</v>
      </c>
      <c r="H406" t="s">
        <v>22990</v>
      </c>
      <c r="I406" s="4" t="s">
        <v>22991</v>
      </c>
      <c r="J406" t="s">
        <v>71</v>
      </c>
      <c r="K406" t="s">
        <v>10782</v>
      </c>
      <c r="L406" t="s">
        <v>22992</v>
      </c>
    </row>
    <row r="407" spans="1:12" ht="129.6" x14ac:dyDescent="0.3">
      <c r="A407" s="4" t="s">
        <v>3348</v>
      </c>
      <c r="B407">
        <v>1</v>
      </c>
      <c r="C407">
        <v>3</v>
      </c>
      <c r="D407">
        <v>2020</v>
      </c>
      <c r="E407" t="s">
        <v>1175</v>
      </c>
      <c r="F407">
        <v>12</v>
      </c>
      <c r="G407" t="s">
        <v>23004</v>
      </c>
      <c r="H407" t="s">
        <v>23005</v>
      </c>
      <c r="I407" s="4" t="s">
        <v>23006</v>
      </c>
      <c r="J407" t="s">
        <v>71</v>
      </c>
      <c r="K407" t="s">
        <v>10782</v>
      </c>
      <c r="L407" t="s">
        <v>23007</v>
      </c>
    </row>
    <row r="408" spans="1:12" ht="187.2" x14ac:dyDescent="0.3">
      <c r="A408" s="4" t="s">
        <v>1448</v>
      </c>
      <c r="B408">
        <v>1</v>
      </c>
      <c r="C408">
        <v>1</v>
      </c>
      <c r="D408">
        <v>2020</v>
      </c>
      <c r="E408" t="s">
        <v>329</v>
      </c>
      <c r="F408">
        <v>22</v>
      </c>
      <c r="G408" t="s">
        <v>23008</v>
      </c>
      <c r="H408" t="s">
        <v>23009</v>
      </c>
      <c r="I408" s="4" t="s">
        <v>23010</v>
      </c>
      <c r="J408" t="s">
        <v>71</v>
      </c>
      <c r="K408" t="s">
        <v>10782</v>
      </c>
      <c r="L408" t="s">
        <v>23011</v>
      </c>
    </row>
    <row r="409" spans="1:12" ht="201.6" x14ac:dyDescent="0.3">
      <c r="A409" s="4" t="s">
        <v>1449</v>
      </c>
      <c r="B409">
        <v>1</v>
      </c>
      <c r="C409">
        <v>1</v>
      </c>
      <c r="D409">
        <v>2020</v>
      </c>
      <c r="E409" t="s">
        <v>1503</v>
      </c>
      <c r="F409">
        <v>6</v>
      </c>
      <c r="G409" t="s">
        <v>23076</v>
      </c>
      <c r="H409" t="s">
        <v>23077</v>
      </c>
      <c r="I409" s="4" t="s">
        <v>23078</v>
      </c>
      <c r="J409" t="s">
        <v>71</v>
      </c>
      <c r="K409" t="s">
        <v>10782</v>
      </c>
      <c r="L409" t="s">
        <v>23079</v>
      </c>
    </row>
    <row r="410" spans="1:12" ht="201.6" x14ac:dyDescent="0.3">
      <c r="A410" s="4" t="s">
        <v>1450</v>
      </c>
      <c r="B410">
        <v>1</v>
      </c>
      <c r="C410">
        <v>1</v>
      </c>
      <c r="D410">
        <v>2020</v>
      </c>
      <c r="E410" t="s">
        <v>637</v>
      </c>
      <c r="F410">
        <v>23</v>
      </c>
      <c r="G410" t="s">
        <v>23170</v>
      </c>
      <c r="H410" t="s">
        <v>23171</v>
      </c>
      <c r="I410" s="4" t="s">
        <v>23172</v>
      </c>
      <c r="J410" t="s">
        <v>71</v>
      </c>
      <c r="K410" t="s">
        <v>10782</v>
      </c>
      <c r="L410" t="s">
        <v>23173</v>
      </c>
    </row>
    <row r="411" spans="1:12" ht="187.2" x14ac:dyDescent="0.3">
      <c r="A411" s="4" t="s">
        <v>1459</v>
      </c>
      <c r="B411">
        <v>1</v>
      </c>
      <c r="C411">
        <v>1</v>
      </c>
      <c r="D411">
        <v>2020</v>
      </c>
      <c r="E411" t="s">
        <v>1175</v>
      </c>
      <c r="F411">
        <v>20</v>
      </c>
      <c r="G411" t="s">
        <v>23219</v>
      </c>
      <c r="H411" t="s">
        <v>23220</v>
      </c>
      <c r="I411" s="4" t="s">
        <v>23221</v>
      </c>
    </row>
    <row r="412" spans="1:12" ht="144" x14ac:dyDescent="0.3">
      <c r="A412" s="4" t="s">
        <v>1460</v>
      </c>
      <c r="B412">
        <v>1</v>
      </c>
      <c r="C412">
        <v>1</v>
      </c>
      <c r="D412">
        <v>2020</v>
      </c>
      <c r="E412" t="s">
        <v>637</v>
      </c>
      <c r="F412">
        <v>17</v>
      </c>
      <c r="G412" t="s">
        <v>23313</v>
      </c>
      <c r="H412" t="s">
        <v>23314</v>
      </c>
      <c r="I412" s="4" t="s">
        <v>23315</v>
      </c>
      <c r="J412" t="s">
        <v>71</v>
      </c>
      <c r="K412" t="s">
        <v>10782</v>
      </c>
      <c r="L412" t="s">
        <v>23316</v>
      </c>
    </row>
    <row r="413" spans="1:12" ht="100.8" x14ac:dyDescent="0.3">
      <c r="A413" s="4" t="s">
        <v>3349</v>
      </c>
      <c r="B413">
        <v>1</v>
      </c>
      <c r="C413">
        <v>3</v>
      </c>
      <c r="D413">
        <v>2020</v>
      </c>
      <c r="E413" t="s">
        <v>23537</v>
      </c>
      <c r="F413">
        <v>15</v>
      </c>
      <c r="G413" t="s">
        <v>23538</v>
      </c>
      <c r="H413" t="s">
        <v>23539</v>
      </c>
      <c r="I413" s="4" t="s">
        <v>23540</v>
      </c>
      <c r="J413" t="s">
        <v>71</v>
      </c>
      <c r="K413" t="s">
        <v>10782</v>
      </c>
      <c r="L413" t="s">
        <v>23541</v>
      </c>
    </row>
    <row r="414" spans="1:12" ht="172.8" x14ac:dyDescent="0.3">
      <c r="A414" s="4" t="s">
        <v>1461</v>
      </c>
      <c r="B414">
        <v>1</v>
      </c>
      <c r="C414">
        <v>1</v>
      </c>
      <c r="D414">
        <v>2020</v>
      </c>
      <c r="E414" t="s">
        <v>1525</v>
      </c>
      <c r="F414">
        <v>18</v>
      </c>
      <c r="G414" t="s">
        <v>23545</v>
      </c>
      <c r="H414" t="s">
        <v>23546</v>
      </c>
      <c r="I414" s="4" t="s">
        <v>23547</v>
      </c>
      <c r="J414" t="s">
        <v>71</v>
      </c>
      <c r="K414" t="s">
        <v>10782</v>
      </c>
      <c r="L414" t="s">
        <v>23548</v>
      </c>
    </row>
    <row r="415" spans="1:12" ht="115.2" x14ac:dyDescent="0.3">
      <c r="A415" s="4" t="s">
        <v>3350</v>
      </c>
      <c r="B415">
        <v>1</v>
      </c>
      <c r="C415">
        <v>3</v>
      </c>
      <c r="D415">
        <v>2020</v>
      </c>
      <c r="E415" t="s">
        <v>405</v>
      </c>
      <c r="F415">
        <v>43</v>
      </c>
      <c r="G415" t="s">
        <v>23556</v>
      </c>
      <c r="H415" t="s">
        <v>23557</v>
      </c>
      <c r="I415" s="4" t="s">
        <v>23558</v>
      </c>
      <c r="J415" t="s">
        <v>71</v>
      </c>
      <c r="K415" t="s">
        <v>10782</v>
      </c>
      <c r="L415" t="s">
        <v>23559</v>
      </c>
    </row>
    <row r="416" spans="1:12" ht="86.4" x14ac:dyDescent="0.3">
      <c r="A416" s="4" t="s">
        <v>1462</v>
      </c>
      <c r="B416">
        <v>1</v>
      </c>
      <c r="C416">
        <v>1</v>
      </c>
      <c r="D416">
        <v>2020</v>
      </c>
      <c r="E416" t="s">
        <v>1530</v>
      </c>
      <c r="F416">
        <v>15</v>
      </c>
      <c r="G416" t="s">
        <v>23564</v>
      </c>
      <c r="H416" t="s">
        <v>23565</v>
      </c>
      <c r="I416" s="4" t="s">
        <v>23566</v>
      </c>
    </row>
    <row r="417" spans="1:12" ht="187.2" x14ac:dyDescent="0.3">
      <c r="A417" s="4" t="s">
        <v>3351</v>
      </c>
      <c r="B417">
        <v>1</v>
      </c>
      <c r="C417">
        <v>3</v>
      </c>
      <c r="D417">
        <v>2020</v>
      </c>
      <c r="E417" t="s">
        <v>550</v>
      </c>
      <c r="F417">
        <v>55</v>
      </c>
      <c r="G417" t="s">
        <v>23571</v>
      </c>
      <c r="H417" t="s">
        <v>23572</v>
      </c>
      <c r="I417" s="4" t="s">
        <v>23573</v>
      </c>
      <c r="J417" t="s">
        <v>71</v>
      </c>
      <c r="K417" t="s">
        <v>10782</v>
      </c>
      <c r="L417" t="s">
        <v>23574</v>
      </c>
    </row>
    <row r="418" spans="1:12" ht="144" x14ac:dyDescent="0.3">
      <c r="A418" s="4" t="s">
        <v>3352</v>
      </c>
      <c r="B418">
        <v>1</v>
      </c>
      <c r="C418">
        <v>3</v>
      </c>
      <c r="D418">
        <v>2020</v>
      </c>
      <c r="E418" t="s">
        <v>1570</v>
      </c>
      <c r="F418">
        <v>2</v>
      </c>
      <c r="G418" t="s">
        <v>23690</v>
      </c>
      <c r="H418" t="s">
        <v>23691</v>
      </c>
      <c r="I418" s="4" t="s">
        <v>23692</v>
      </c>
    </row>
    <row r="419" spans="1:12" ht="244.8" x14ac:dyDescent="0.3">
      <c r="A419" s="4" t="s">
        <v>1463</v>
      </c>
      <c r="B419">
        <v>1</v>
      </c>
      <c r="C419">
        <v>1</v>
      </c>
      <c r="D419">
        <v>2020</v>
      </c>
      <c r="E419" t="s">
        <v>637</v>
      </c>
      <c r="F419">
        <v>25</v>
      </c>
      <c r="G419" t="s">
        <v>23804</v>
      </c>
      <c r="H419" t="s">
        <v>23805</v>
      </c>
      <c r="I419" s="4" t="s">
        <v>23806</v>
      </c>
      <c r="J419" t="s">
        <v>71</v>
      </c>
      <c r="K419" t="s">
        <v>10782</v>
      </c>
      <c r="L419" t="s">
        <v>23807</v>
      </c>
    </row>
    <row r="420" spans="1:12" ht="86.4" x14ac:dyDescent="0.3">
      <c r="A420" s="4" t="s">
        <v>1470</v>
      </c>
      <c r="B420">
        <v>1</v>
      </c>
      <c r="C420">
        <v>1</v>
      </c>
      <c r="D420">
        <v>2020</v>
      </c>
      <c r="E420" t="s">
        <v>1539</v>
      </c>
      <c r="F420">
        <v>5</v>
      </c>
      <c r="G420" t="s">
        <v>23877</v>
      </c>
      <c r="H420" t="s">
        <v>23878</v>
      </c>
      <c r="I420" s="4" t="s">
        <v>23879</v>
      </c>
      <c r="J420" t="s">
        <v>71</v>
      </c>
      <c r="K420" t="s">
        <v>10782</v>
      </c>
      <c r="L420" t="s">
        <v>23880</v>
      </c>
    </row>
    <row r="421" spans="1:12" ht="216" x14ac:dyDescent="0.3">
      <c r="A421" s="4" t="s">
        <v>3353</v>
      </c>
      <c r="B421">
        <v>1</v>
      </c>
      <c r="C421">
        <v>3</v>
      </c>
      <c r="D421">
        <v>2020</v>
      </c>
      <c r="E421" t="s">
        <v>318</v>
      </c>
      <c r="F421">
        <v>43</v>
      </c>
      <c r="G421" t="s">
        <v>23881</v>
      </c>
      <c r="H421" t="s">
        <v>23882</v>
      </c>
      <c r="I421" s="4" t="s">
        <v>23883</v>
      </c>
      <c r="J421" t="s">
        <v>71</v>
      </c>
      <c r="K421" t="s">
        <v>10782</v>
      </c>
      <c r="L421" t="s">
        <v>23884</v>
      </c>
    </row>
    <row r="422" spans="1:12" ht="216" x14ac:dyDescent="0.3">
      <c r="A422" s="4" t="s">
        <v>3354</v>
      </c>
      <c r="B422">
        <v>1</v>
      </c>
      <c r="C422">
        <v>2</v>
      </c>
      <c r="D422">
        <v>2020</v>
      </c>
      <c r="E422" t="s">
        <v>1570</v>
      </c>
      <c r="F422">
        <v>0</v>
      </c>
      <c r="G422" t="s">
        <v>23897</v>
      </c>
      <c r="H422" t="s">
        <v>23898</v>
      </c>
      <c r="I422" s="4" t="s">
        <v>23899</v>
      </c>
    </row>
    <row r="423" spans="1:12" ht="100.8" x14ac:dyDescent="0.3">
      <c r="A423" s="4" t="s">
        <v>3355</v>
      </c>
      <c r="B423">
        <v>1</v>
      </c>
      <c r="C423">
        <v>3</v>
      </c>
      <c r="D423">
        <v>2020</v>
      </c>
      <c r="E423" t="s">
        <v>318</v>
      </c>
      <c r="F423">
        <v>17</v>
      </c>
      <c r="G423" t="s">
        <v>23974</v>
      </c>
      <c r="H423" t="s">
        <v>23975</v>
      </c>
      <c r="I423" s="4" t="s">
        <v>23976</v>
      </c>
    </row>
    <row r="424" spans="1:12" ht="216" x14ac:dyDescent="0.3">
      <c r="A424" s="4" t="s">
        <v>1471</v>
      </c>
      <c r="B424">
        <v>1</v>
      </c>
      <c r="C424">
        <v>1</v>
      </c>
      <c r="D424">
        <v>2020</v>
      </c>
      <c r="E424" t="s">
        <v>1547</v>
      </c>
      <c r="F424">
        <v>1</v>
      </c>
      <c r="G424" t="s">
        <v>23997</v>
      </c>
      <c r="H424" t="s">
        <v>23998</v>
      </c>
      <c r="I424" s="4" t="s">
        <v>23999</v>
      </c>
      <c r="J424" t="s">
        <v>71</v>
      </c>
      <c r="K424" t="s">
        <v>10782</v>
      </c>
      <c r="L424" t="s">
        <v>24000</v>
      </c>
    </row>
    <row r="425" spans="1:12" ht="259.2" x14ac:dyDescent="0.3">
      <c r="A425" s="4" t="s">
        <v>3356</v>
      </c>
      <c r="B425">
        <v>1</v>
      </c>
      <c r="C425">
        <v>3</v>
      </c>
      <c r="D425">
        <v>2020</v>
      </c>
      <c r="E425" t="s">
        <v>1570</v>
      </c>
      <c r="F425">
        <v>4</v>
      </c>
      <c r="G425" t="s">
        <v>24022</v>
      </c>
      <c r="H425" t="s">
        <v>24023</v>
      </c>
      <c r="I425" s="4" t="s">
        <v>24024</v>
      </c>
      <c r="J425" t="s">
        <v>71</v>
      </c>
      <c r="K425" t="s">
        <v>10782</v>
      </c>
      <c r="L425" t="s">
        <v>24025</v>
      </c>
    </row>
    <row r="426" spans="1:12" ht="158.4" x14ac:dyDescent="0.3">
      <c r="A426" s="4" t="s">
        <v>1472</v>
      </c>
      <c r="B426">
        <v>1</v>
      </c>
      <c r="C426">
        <v>1</v>
      </c>
      <c r="D426">
        <v>2020</v>
      </c>
      <c r="E426" t="s">
        <v>1530</v>
      </c>
      <c r="F426">
        <v>30</v>
      </c>
      <c r="G426" t="s">
        <v>24033</v>
      </c>
      <c r="H426" t="s">
        <v>24034</v>
      </c>
      <c r="I426" s="4" t="s">
        <v>24035</v>
      </c>
      <c r="J426" t="s">
        <v>71</v>
      </c>
      <c r="K426" t="s">
        <v>10782</v>
      </c>
      <c r="L426" t="s">
        <v>24036</v>
      </c>
    </row>
    <row r="427" spans="1:12" ht="100.8" x14ac:dyDescent="0.3">
      <c r="A427" s="4" t="s">
        <v>1474</v>
      </c>
      <c r="B427">
        <v>1</v>
      </c>
      <c r="C427">
        <v>1</v>
      </c>
      <c r="D427">
        <v>2020</v>
      </c>
      <c r="E427" t="s">
        <v>217</v>
      </c>
      <c r="F427">
        <v>24</v>
      </c>
      <c r="G427" t="s">
        <v>24049</v>
      </c>
      <c r="H427" t="s">
        <v>24050</v>
      </c>
      <c r="I427" s="4" t="s">
        <v>24051</v>
      </c>
    </row>
    <row r="428" spans="1:12" ht="144" x14ac:dyDescent="0.3">
      <c r="A428" s="4" t="s">
        <v>3357</v>
      </c>
      <c r="B428">
        <v>1</v>
      </c>
      <c r="C428">
        <v>3</v>
      </c>
      <c r="D428">
        <v>2020</v>
      </c>
      <c r="E428" t="s">
        <v>1530</v>
      </c>
      <c r="F428">
        <v>3</v>
      </c>
      <c r="G428" t="s">
        <v>24138</v>
      </c>
      <c r="H428" t="s">
        <v>24139</v>
      </c>
      <c r="I428" s="4" t="s">
        <v>24140</v>
      </c>
      <c r="J428" t="s">
        <v>71</v>
      </c>
      <c r="K428" t="s">
        <v>10782</v>
      </c>
      <c r="L428" t="s">
        <v>24141</v>
      </c>
    </row>
    <row r="429" spans="1:12" ht="144" x14ac:dyDescent="0.3">
      <c r="A429" s="4" t="s">
        <v>1475</v>
      </c>
      <c r="B429">
        <v>1</v>
      </c>
      <c r="C429">
        <v>1</v>
      </c>
      <c r="D429">
        <v>2020</v>
      </c>
      <c r="E429" t="s">
        <v>1570</v>
      </c>
      <c r="F429">
        <v>2</v>
      </c>
      <c r="G429" t="s">
        <v>24146</v>
      </c>
      <c r="H429" t="s">
        <v>24147</v>
      </c>
      <c r="I429" s="4" t="s">
        <v>24148</v>
      </c>
    </row>
    <row r="430" spans="1:12" ht="230.4" x14ac:dyDescent="0.3">
      <c r="A430" s="4" t="s">
        <v>1476</v>
      </c>
      <c r="B430">
        <v>1</v>
      </c>
      <c r="C430">
        <v>1</v>
      </c>
      <c r="D430">
        <v>2020</v>
      </c>
      <c r="E430" t="s">
        <v>318</v>
      </c>
      <c r="F430">
        <v>74</v>
      </c>
      <c r="G430" t="s">
        <v>24182</v>
      </c>
      <c r="H430" t="s">
        <v>24183</v>
      </c>
      <c r="I430" s="4" t="s">
        <v>24184</v>
      </c>
      <c r="J430" t="s">
        <v>71</v>
      </c>
      <c r="K430" t="s">
        <v>10782</v>
      </c>
      <c r="L430" t="s">
        <v>24185</v>
      </c>
    </row>
    <row r="431" spans="1:12" ht="158.4" x14ac:dyDescent="0.3">
      <c r="A431" s="4" t="s">
        <v>3358</v>
      </c>
      <c r="B431">
        <v>1</v>
      </c>
      <c r="C431">
        <v>3</v>
      </c>
      <c r="D431">
        <v>2020</v>
      </c>
      <c r="E431" t="s">
        <v>637</v>
      </c>
      <c r="F431">
        <v>41</v>
      </c>
      <c r="G431" t="s">
        <v>24370</v>
      </c>
      <c r="H431" t="s">
        <v>24371</v>
      </c>
      <c r="I431" s="4" t="s">
        <v>24372</v>
      </c>
      <c r="J431" t="s">
        <v>71</v>
      </c>
      <c r="K431" t="s">
        <v>10782</v>
      </c>
      <c r="L431" t="s">
        <v>24373</v>
      </c>
    </row>
    <row r="432" spans="1:12" ht="129.6" x14ac:dyDescent="0.3">
      <c r="A432" s="4" t="s">
        <v>3359</v>
      </c>
      <c r="B432">
        <v>1</v>
      </c>
      <c r="C432">
        <v>3</v>
      </c>
      <c r="D432">
        <v>2020</v>
      </c>
      <c r="E432" t="s">
        <v>1849</v>
      </c>
      <c r="F432">
        <v>62</v>
      </c>
      <c r="G432" t="s">
        <v>24409</v>
      </c>
      <c r="H432" t="s">
        <v>24410</v>
      </c>
      <c r="I432" s="4" t="s">
        <v>24411</v>
      </c>
      <c r="J432" t="s">
        <v>71</v>
      </c>
      <c r="K432" t="s">
        <v>10782</v>
      </c>
      <c r="L432" t="s">
        <v>24412</v>
      </c>
    </row>
    <row r="433" spans="1:12" ht="129.6" x14ac:dyDescent="0.3">
      <c r="A433" s="4" t="s">
        <v>3360</v>
      </c>
      <c r="B433">
        <v>1</v>
      </c>
      <c r="C433">
        <v>3</v>
      </c>
      <c r="D433">
        <v>2020</v>
      </c>
      <c r="E433" t="s">
        <v>217</v>
      </c>
      <c r="F433">
        <v>37</v>
      </c>
      <c r="G433" t="s">
        <v>24566</v>
      </c>
      <c r="H433" t="s">
        <v>24567</v>
      </c>
      <c r="I433" s="4" t="s">
        <v>24568</v>
      </c>
      <c r="J433" t="s">
        <v>71</v>
      </c>
      <c r="K433" t="s">
        <v>10782</v>
      </c>
      <c r="L433" t="s">
        <v>24569</v>
      </c>
    </row>
    <row r="434" spans="1:12" ht="129.6" x14ac:dyDescent="0.3">
      <c r="A434" s="4" t="s">
        <v>1575</v>
      </c>
      <c r="B434">
        <v>1</v>
      </c>
      <c r="C434">
        <v>1</v>
      </c>
      <c r="D434">
        <v>2020</v>
      </c>
      <c r="E434" t="s">
        <v>958</v>
      </c>
      <c r="F434">
        <v>22</v>
      </c>
      <c r="G434" t="s">
        <v>24582</v>
      </c>
      <c r="H434" t="s">
        <v>24583</v>
      </c>
      <c r="I434" s="4" t="s">
        <v>24584</v>
      </c>
      <c r="J434" t="s">
        <v>71</v>
      </c>
      <c r="K434" t="s">
        <v>10782</v>
      </c>
      <c r="L434" t="s">
        <v>24585</v>
      </c>
    </row>
    <row r="435" spans="1:12" ht="172.8" x14ac:dyDescent="0.3">
      <c r="A435" s="4" t="s">
        <v>1576</v>
      </c>
      <c r="B435">
        <v>1</v>
      </c>
      <c r="C435">
        <v>1</v>
      </c>
      <c r="D435">
        <v>2019</v>
      </c>
      <c r="E435" t="s">
        <v>147</v>
      </c>
      <c r="F435">
        <v>33</v>
      </c>
      <c r="G435" t="s">
        <v>24731</v>
      </c>
      <c r="H435" t="s">
        <v>24732</v>
      </c>
      <c r="I435" s="4" t="s">
        <v>24733</v>
      </c>
      <c r="J435" t="s">
        <v>71</v>
      </c>
      <c r="K435" t="s">
        <v>10782</v>
      </c>
      <c r="L435" t="s">
        <v>24734</v>
      </c>
    </row>
    <row r="436" spans="1:12" ht="230.4" x14ac:dyDescent="0.3">
      <c r="A436" s="4" t="s">
        <v>3361</v>
      </c>
      <c r="B436">
        <v>1</v>
      </c>
      <c r="C436">
        <v>3</v>
      </c>
      <c r="D436">
        <v>2019</v>
      </c>
      <c r="E436" t="s">
        <v>318</v>
      </c>
      <c r="F436">
        <v>30</v>
      </c>
      <c r="G436" t="s">
        <v>24935</v>
      </c>
      <c r="H436" t="s">
        <v>24936</v>
      </c>
      <c r="I436" s="4" t="s">
        <v>24937</v>
      </c>
    </row>
    <row r="437" spans="1:12" ht="216" x14ac:dyDescent="0.3">
      <c r="A437" s="4" t="s">
        <v>3362</v>
      </c>
      <c r="B437">
        <v>1</v>
      </c>
      <c r="C437">
        <v>3</v>
      </c>
      <c r="D437">
        <v>2019</v>
      </c>
      <c r="E437" t="s">
        <v>10456</v>
      </c>
      <c r="F437">
        <v>22</v>
      </c>
      <c r="G437" t="s">
        <v>25220</v>
      </c>
      <c r="H437" t="s">
        <v>25221</v>
      </c>
      <c r="I437" s="4" t="s">
        <v>25222</v>
      </c>
      <c r="J437" t="s">
        <v>71</v>
      </c>
      <c r="K437" t="s">
        <v>10782</v>
      </c>
      <c r="L437" t="s">
        <v>25223</v>
      </c>
    </row>
    <row r="438" spans="1:12" ht="158.4" x14ac:dyDescent="0.3">
      <c r="A438" s="4" t="s">
        <v>3363</v>
      </c>
      <c r="B438">
        <v>1</v>
      </c>
      <c r="C438">
        <v>3</v>
      </c>
      <c r="D438">
        <v>2019</v>
      </c>
      <c r="E438" t="s">
        <v>25358</v>
      </c>
      <c r="F438">
        <v>3</v>
      </c>
      <c r="G438" t="s">
        <v>25359</v>
      </c>
      <c r="H438" t="s">
        <v>25360</v>
      </c>
      <c r="I438" s="4" t="s">
        <v>25361</v>
      </c>
      <c r="J438" t="s">
        <v>71</v>
      </c>
      <c r="K438" t="s">
        <v>10782</v>
      </c>
      <c r="L438" t="s">
        <v>25362</v>
      </c>
    </row>
    <row r="439" spans="1:12" ht="201.6" x14ac:dyDescent="0.3">
      <c r="A439" s="4" t="s">
        <v>1577</v>
      </c>
      <c r="B439">
        <v>1</v>
      </c>
      <c r="C439">
        <v>1</v>
      </c>
      <c r="D439">
        <v>2019</v>
      </c>
      <c r="E439" t="s">
        <v>217</v>
      </c>
      <c r="F439">
        <v>13</v>
      </c>
      <c r="G439" t="s">
        <v>25371</v>
      </c>
      <c r="H439" t="s">
        <v>25372</v>
      </c>
      <c r="I439" s="4" t="s">
        <v>25373</v>
      </c>
      <c r="J439" t="s">
        <v>71</v>
      </c>
      <c r="K439" t="s">
        <v>10782</v>
      </c>
      <c r="L439" t="s">
        <v>25374</v>
      </c>
    </row>
    <row r="440" spans="1:12" ht="144" x14ac:dyDescent="0.3">
      <c r="A440" s="4" t="s">
        <v>1578</v>
      </c>
      <c r="B440">
        <v>1</v>
      </c>
      <c r="C440">
        <v>1</v>
      </c>
      <c r="D440">
        <v>2019</v>
      </c>
      <c r="E440" t="s">
        <v>550</v>
      </c>
      <c r="F440">
        <v>6</v>
      </c>
      <c r="G440" t="s">
        <v>25540</v>
      </c>
      <c r="H440" t="s">
        <v>25541</v>
      </c>
      <c r="I440" s="4" t="s">
        <v>25542</v>
      </c>
      <c r="J440" t="s">
        <v>71</v>
      </c>
      <c r="K440" t="s">
        <v>10782</v>
      </c>
      <c r="L440" t="s">
        <v>25543</v>
      </c>
    </row>
    <row r="441" spans="1:12" ht="57.6" x14ac:dyDescent="0.3">
      <c r="A441" s="4" t="s">
        <v>1579</v>
      </c>
      <c r="B441">
        <v>1</v>
      </c>
      <c r="C441">
        <v>1</v>
      </c>
      <c r="D441">
        <v>2019</v>
      </c>
      <c r="E441" t="s">
        <v>329</v>
      </c>
      <c r="F441">
        <v>50</v>
      </c>
      <c r="G441" t="s">
        <v>25596</v>
      </c>
      <c r="H441" t="s">
        <v>25597</v>
      </c>
      <c r="I441" s="4" t="s">
        <v>25598</v>
      </c>
    </row>
    <row r="442" spans="1:12" ht="144" x14ac:dyDescent="0.3">
      <c r="A442" s="4" t="s">
        <v>1580</v>
      </c>
      <c r="B442">
        <v>1</v>
      </c>
      <c r="C442">
        <v>1</v>
      </c>
      <c r="D442">
        <v>2019</v>
      </c>
      <c r="E442" t="s">
        <v>1621</v>
      </c>
      <c r="F442">
        <v>13</v>
      </c>
      <c r="G442" t="s">
        <v>25795</v>
      </c>
      <c r="H442" t="s">
        <v>25796</v>
      </c>
      <c r="I442" s="4" t="s">
        <v>25797</v>
      </c>
      <c r="J442" t="s">
        <v>71</v>
      </c>
      <c r="K442" t="s">
        <v>10782</v>
      </c>
      <c r="L442" t="s">
        <v>25798</v>
      </c>
    </row>
    <row r="443" spans="1:12" ht="158.4" x14ac:dyDescent="0.3">
      <c r="A443" s="4" t="s">
        <v>3364</v>
      </c>
      <c r="B443">
        <v>1</v>
      </c>
      <c r="C443">
        <v>3</v>
      </c>
      <c r="D443">
        <v>2019</v>
      </c>
      <c r="E443" t="s">
        <v>2819</v>
      </c>
      <c r="F443">
        <v>34</v>
      </c>
      <c r="G443" t="s">
        <v>25815</v>
      </c>
      <c r="H443" t="s">
        <v>25816</v>
      </c>
      <c r="I443" s="4" t="s">
        <v>25817</v>
      </c>
      <c r="J443" t="s">
        <v>71</v>
      </c>
      <c r="K443" t="s">
        <v>10782</v>
      </c>
      <c r="L443" t="s">
        <v>25818</v>
      </c>
    </row>
    <row r="444" spans="1:12" ht="144" x14ac:dyDescent="0.3">
      <c r="A444" s="4" t="s">
        <v>1581</v>
      </c>
      <c r="B444">
        <v>1</v>
      </c>
      <c r="C444">
        <v>1</v>
      </c>
      <c r="D444">
        <v>2019</v>
      </c>
      <c r="E444" t="s">
        <v>217</v>
      </c>
      <c r="F444">
        <v>26</v>
      </c>
      <c r="G444" t="s">
        <v>25893</v>
      </c>
      <c r="H444" t="s">
        <v>25894</v>
      </c>
      <c r="I444" s="4" t="s">
        <v>25895</v>
      </c>
      <c r="J444" t="s">
        <v>71</v>
      </c>
      <c r="K444" t="s">
        <v>10782</v>
      </c>
      <c r="L444" t="s">
        <v>25896</v>
      </c>
    </row>
    <row r="445" spans="1:12" ht="115.2" x14ac:dyDescent="0.3">
      <c r="A445" s="4" t="s">
        <v>1591</v>
      </c>
      <c r="B445">
        <v>1</v>
      </c>
      <c r="C445">
        <v>1</v>
      </c>
      <c r="D445">
        <v>2019</v>
      </c>
      <c r="E445" t="s">
        <v>799</v>
      </c>
      <c r="F445">
        <v>36</v>
      </c>
      <c r="G445" t="s">
        <v>25897</v>
      </c>
      <c r="H445" t="s">
        <v>25898</v>
      </c>
      <c r="I445" s="4" t="s">
        <v>25899</v>
      </c>
      <c r="J445" t="s">
        <v>71</v>
      </c>
      <c r="K445" t="s">
        <v>10782</v>
      </c>
      <c r="L445" t="s">
        <v>25900</v>
      </c>
    </row>
    <row r="446" spans="1:12" ht="187.2" x14ac:dyDescent="0.3">
      <c r="A446" s="4" t="s">
        <v>1592</v>
      </c>
      <c r="B446">
        <v>1</v>
      </c>
      <c r="C446">
        <v>1</v>
      </c>
      <c r="D446">
        <v>2019</v>
      </c>
      <c r="E446" t="s">
        <v>80</v>
      </c>
      <c r="F446">
        <v>31</v>
      </c>
      <c r="G446" t="s">
        <v>25916</v>
      </c>
      <c r="H446" t="s">
        <v>25917</v>
      </c>
      <c r="I446" s="4" t="s">
        <v>25918</v>
      </c>
      <c r="J446" t="s">
        <v>71</v>
      </c>
      <c r="K446" t="s">
        <v>10782</v>
      </c>
      <c r="L446" t="s">
        <v>25919</v>
      </c>
    </row>
    <row r="447" spans="1:12" ht="244.8" x14ac:dyDescent="0.3">
      <c r="A447" s="4" t="s">
        <v>3365</v>
      </c>
      <c r="B447">
        <v>1</v>
      </c>
      <c r="C447">
        <v>3</v>
      </c>
      <c r="D447">
        <v>2019</v>
      </c>
      <c r="E447" t="s">
        <v>514</v>
      </c>
      <c r="F447">
        <v>22</v>
      </c>
      <c r="G447" t="s">
        <v>25924</v>
      </c>
      <c r="H447" t="s">
        <v>25925</v>
      </c>
      <c r="I447" s="4" t="s">
        <v>25926</v>
      </c>
      <c r="J447" t="s">
        <v>71</v>
      </c>
      <c r="K447" t="s">
        <v>10782</v>
      </c>
      <c r="L447" t="s">
        <v>25927</v>
      </c>
    </row>
    <row r="448" spans="1:12" ht="316.8" x14ac:dyDescent="0.3">
      <c r="A448" s="4" t="s">
        <v>3366</v>
      </c>
      <c r="B448">
        <v>1</v>
      </c>
      <c r="C448">
        <v>3</v>
      </c>
      <c r="D448">
        <v>2019</v>
      </c>
      <c r="E448" t="s">
        <v>329</v>
      </c>
      <c r="F448">
        <v>24</v>
      </c>
      <c r="G448" t="s">
        <v>25962</v>
      </c>
      <c r="H448" t="s">
        <v>25963</v>
      </c>
      <c r="I448" s="4" t="s">
        <v>25964</v>
      </c>
      <c r="J448" t="s">
        <v>71</v>
      </c>
      <c r="K448" t="s">
        <v>10782</v>
      </c>
      <c r="L448" t="s">
        <v>25965</v>
      </c>
    </row>
    <row r="449" spans="1:12" ht="187.2" x14ac:dyDescent="0.3">
      <c r="A449" s="4" t="s">
        <v>3367</v>
      </c>
      <c r="B449">
        <v>1</v>
      </c>
      <c r="C449">
        <v>3</v>
      </c>
      <c r="D449">
        <v>2019</v>
      </c>
      <c r="E449" t="s">
        <v>11337</v>
      </c>
      <c r="F449">
        <v>101</v>
      </c>
      <c r="G449" t="s">
        <v>26060</v>
      </c>
      <c r="H449" t="s">
        <v>26061</v>
      </c>
      <c r="I449" s="4" t="s">
        <v>26062</v>
      </c>
      <c r="J449" t="s">
        <v>10823</v>
      </c>
      <c r="K449" t="s">
        <v>10782</v>
      </c>
      <c r="L449" t="s">
        <v>26063</v>
      </c>
    </row>
    <row r="450" spans="1:12" ht="129.6" x14ac:dyDescent="0.3">
      <c r="A450" s="4" t="s">
        <v>1593</v>
      </c>
      <c r="B450">
        <v>1</v>
      </c>
      <c r="C450">
        <v>1</v>
      </c>
      <c r="D450">
        <v>2019</v>
      </c>
      <c r="E450" t="s">
        <v>80</v>
      </c>
      <c r="F450">
        <v>33</v>
      </c>
      <c r="G450" t="s">
        <v>26270</v>
      </c>
      <c r="H450" t="s">
        <v>26271</v>
      </c>
      <c r="I450" s="4" t="s">
        <v>26272</v>
      </c>
      <c r="J450" t="s">
        <v>71</v>
      </c>
      <c r="K450" t="s">
        <v>10782</v>
      </c>
      <c r="L450" t="s">
        <v>26273</v>
      </c>
    </row>
    <row r="451" spans="1:12" ht="144" x14ac:dyDescent="0.3">
      <c r="A451" s="4" t="s">
        <v>3368</v>
      </c>
      <c r="B451">
        <v>1</v>
      </c>
      <c r="C451">
        <v>3</v>
      </c>
      <c r="D451">
        <v>2019</v>
      </c>
      <c r="E451" t="s">
        <v>1794</v>
      </c>
      <c r="F451">
        <v>18</v>
      </c>
      <c r="G451" t="s">
        <v>26486</v>
      </c>
      <c r="H451" t="s">
        <v>26487</v>
      </c>
      <c r="I451" s="4" t="s">
        <v>26488</v>
      </c>
      <c r="J451" t="s">
        <v>71</v>
      </c>
      <c r="K451" t="s">
        <v>10782</v>
      </c>
      <c r="L451" t="s">
        <v>26489</v>
      </c>
    </row>
    <row r="452" spans="1:12" ht="100.8" x14ac:dyDescent="0.3">
      <c r="A452" s="4" t="s">
        <v>1595</v>
      </c>
      <c r="B452">
        <v>1</v>
      </c>
      <c r="C452">
        <v>1</v>
      </c>
      <c r="D452">
        <v>2019</v>
      </c>
      <c r="E452" t="s">
        <v>1570</v>
      </c>
      <c r="F452">
        <v>2</v>
      </c>
      <c r="G452" t="s">
        <v>26500</v>
      </c>
      <c r="H452" t="s">
        <v>26501</v>
      </c>
      <c r="I452" s="4" t="s">
        <v>26502</v>
      </c>
      <c r="J452" t="s">
        <v>71</v>
      </c>
      <c r="K452" t="s">
        <v>10782</v>
      </c>
      <c r="L452" t="s">
        <v>26503</v>
      </c>
    </row>
    <row r="453" spans="1:12" ht="187.2" x14ac:dyDescent="0.3">
      <c r="A453" s="4" t="s">
        <v>1596</v>
      </c>
      <c r="B453">
        <v>1</v>
      </c>
      <c r="C453">
        <v>1</v>
      </c>
      <c r="D453">
        <v>2018</v>
      </c>
      <c r="E453" t="s">
        <v>1525</v>
      </c>
      <c r="F453">
        <v>73</v>
      </c>
      <c r="G453" t="s">
        <v>26860</v>
      </c>
      <c r="H453" t="s">
        <v>26861</v>
      </c>
      <c r="I453" s="4" t="s">
        <v>26862</v>
      </c>
      <c r="J453" t="s">
        <v>71</v>
      </c>
      <c r="K453" t="s">
        <v>10782</v>
      </c>
      <c r="L453" t="s">
        <v>26863</v>
      </c>
    </row>
    <row r="454" spans="1:12" ht="57.6" x14ac:dyDescent="0.3">
      <c r="A454" s="4" t="s">
        <v>1603</v>
      </c>
      <c r="B454">
        <v>1</v>
      </c>
      <c r="C454">
        <v>1</v>
      </c>
      <c r="D454">
        <v>2018</v>
      </c>
      <c r="E454" t="s">
        <v>799</v>
      </c>
      <c r="F454">
        <v>34</v>
      </c>
      <c r="G454" t="s">
        <v>26883</v>
      </c>
      <c r="H454" t="s">
        <v>26884</v>
      </c>
      <c r="I454" s="4" t="s">
        <v>26885</v>
      </c>
    </row>
    <row r="455" spans="1:12" ht="115.2" x14ac:dyDescent="0.3">
      <c r="A455" s="4" t="s">
        <v>3369</v>
      </c>
      <c r="B455">
        <v>1</v>
      </c>
      <c r="C455">
        <v>3</v>
      </c>
      <c r="D455">
        <v>2018</v>
      </c>
      <c r="E455" t="s">
        <v>550</v>
      </c>
      <c r="F455">
        <v>13</v>
      </c>
      <c r="G455" t="s">
        <v>26915</v>
      </c>
      <c r="H455" t="s">
        <v>26916</v>
      </c>
      <c r="I455" s="4" t="s">
        <v>26917</v>
      </c>
    </row>
    <row r="456" spans="1:12" ht="158.4" x14ac:dyDescent="0.3">
      <c r="A456" s="4" t="s">
        <v>3370</v>
      </c>
      <c r="B456">
        <v>1</v>
      </c>
      <c r="C456">
        <v>3</v>
      </c>
      <c r="D456">
        <v>2018</v>
      </c>
      <c r="E456" t="s">
        <v>217</v>
      </c>
      <c r="F456">
        <v>205</v>
      </c>
      <c r="G456" t="s">
        <v>27065</v>
      </c>
      <c r="H456" t="s">
        <v>27066</v>
      </c>
      <c r="I456" s="4" t="s">
        <v>27067</v>
      </c>
      <c r="J456" t="s">
        <v>71</v>
      </c>
      <c r="K456" t="s">
        <v>10782</v>
      </c>
      <c r="L456" t="s">
        <v>27068</v>
      </c>
    </row>
    <row r="457" spans="1:12" ht="201.6" x14ac:dyDescent="0.3">
      <c r="A457" s="4" t="s">
        <v>1604</v>
      </c>
      <c r="B457">
        <v>1</v>
      </c>
      <c r="C457">
        <v>1</v>
      </c>
      <c r="D457">
        <v>2018</v>
      </c>
      <c r="E457" t="s">
        <v>528</v>
      </c>
      <c r="F457">
        <v>19</v>
      </c>
      <c r="G457" t="s">
        <v>27290</v>
      </c>
      <c r="H457" t="s">
        <v>27291</v>
      </c>
      <c r="I457" s="4" t="s">
        <v>27292</v>
      </c>
    </row>
    <row r="458" spans="1:12" ht="172.8" x14ac:dyDescent="0.3">
      <c r="A458" s="4" t="s">
        <v>1605</v>
      </c>
      <c r="B458">
        <v>1</v>
      </c>
      <c r="C458">
        <v>1</v>
      </c>
      <c r="D458">
        <v>2018</v>
      </c>
      <c r="E458" t="s">
        <v>217</v>
      </c>
      <c r="F458">
        <v>24</v>
      </c>
      <c r="G458" t="s">
        <v>27308</v>
      </c>
      <c r="H458" t="s">
        <v>27309</v>
      </c>
      <c r="I458" s="4" t="s">
        <v>27310</v>
      </c>
      <c r="J458" t="s">
        <v>71</v>
      </c>
      <c r="K458" t="s">
        <v>10782</v>
      </c>
      <c r="L458" t="s">
        <v>27311</v>
      </c>
    </row>
    <row r="459" spans="1:12" ht="187.2" x14ac:dyDescent="0.3">
      <c r="A459" s="4" t="s">
        <v>1606</v>
      </c>
      <c r="B459">
        <v>1</v>
      </c>
      <c r="C459">
        <v>1</v>
      </c>
      <c r="D459">
        <v>2018</v>
      </c>
      <c r="E459" t="s">
        <v>1688</v>
      </c>
      <c r="F459">
        <v>99</v>
      </c>
      <c r="G459" t="s">
        <v>27443</v>
      </c>
      <c r="H459" t="s">
        <v>27444</v>
      </c>
      <c r="I459" s="4" t="s">
        <v>27445</v>
      </c>
      <c r="J459" t="s">
        <v>71</v>
      </c>
      <c r="K459" t="s">
        <v>10782</v>
      </c>
      <c r="L459" t="s">
        <v>27446</v>
      </c>
    </row>
    <row r="460" spans="1:12" ht="172.8" x14ac:dyDescent="0.3">
      <c r="A460" s="4" t="s">
        <v>3371</v>
      </c>
      <c r="B460">
        <v>1</v>
      </c>
      <c r="C460">
        <v>3</v>
      </c>
      <c r="D460">
        <v>2018</v>
      </c>
      <c r="E460" t="s">
        <v>622</v>
      </c>
      <c r="F460">
        <v>6</v>
      </c>
      <c r="G460" t="s">
        <v>27526</v>
      </c>
      <c r="H460" t="s">
        <v>27527</v>
      </c>
      <c r="I460" s="4" t="s">
        <v>27528</v>
      </c>
      <c r="J460" t="s">
        <v>71</v>
      </c>
      <c r="K460" t="s">
        <v>10782</v>
      </c>
      <c r="L460" t="s">
        <v>27529</v>
      </c>
    </row>
    <row r="461" spans="1:12" ht="172.8" x14ac:dyDescent="0.3">
      <c r="A461" s="4" t="s">
        <v>3372</v>
      </c>
      <c r="B461">
        <v>1</v>
      </c>
      <c r="C461">
        <v>3</v>
      </c>
      <c r="D461">
        <v>2018</v>
      </c>
      <c r="E461" t="s">
        <v>217</v>
      </c>
      <c r="F461">
        <v>14</v>
      </c>
      <c r="G461" t="s">
        <v>27742</v>
      </c>
      <c r="H461" t="s">
        <v>27743</v>
      </c>
      <c r="I461" s="4" t="s">
        <v>27744</v>
      </c>
      <c r="J461" t="s">
        <v>71</v>
      </c>
      <c r="K461" t="s">
        <v>10782</v>
      </c>
      <c r="L461" t="s">
        <v>27745</v>
      </c>
    </row>
    <row r="462" spans="1:12" ht="172.8" x14ac:dyDescent="0.3">
      <c r="A462" s="4" t="s">
        <v>1689</v>
      </c>
      <c r="B462">
        <v>1</v>
      </c>
      <c r="C462">
        <v>1</v>
      </c>
      <c r="D462">
        <v>2018</v>
      </c>
      <c r="E462" t="s">
        <v>1525</v>
      </c>
      <c r="F462">
        <v>57</v>
      </c>
      <c r="G462" t="s">
        <v>27776</v>
      </c>
      <c r="H462" t="s">
        <v>27777</v>
      </c>
      <c r="I462" s="4" t="s">
        <v>27778</v>
      </c>
      <c r="J462" t="s">
        <v>71</v>
      </c>
      <c r="K462" t="s">
        <v>10782</v>
      </c>
      <c r="L462" t="s">
        <v>27779</v>
      </c>
    </row>
    <row r="463" spans="1:12" ht="187.2" x14ac:dyDescent="0.3">
      <c r="A463" s="4" t="s">
        <v>1690</v>
      </c>
      <c r="B463">
        <v>1</v>
      </c>
      <c r="C463">
        <v>1</v>
      </c>
      <c r="D463">
        <v>2018</v>
      </c>
      <c r="E463" t="s">
        <v>318</v>
      </c>
      <c r="F463">
        <v>106</v>
      </c>
      <c r="G463" t="s">
        <v>28000</v>
      </c>
      <c r="H463" t="s">
        <v>28001</v>
      </c>
      <c r="I463" s="4" t="s">
        <v>28002</v>
      </c>
    </row>
    <row r="464" spans="1:12" ht="172.8" x14ac:dyDescent="0.3">
      <c r="A464" s="4" t="s">
        <v>1694</v>
      </c>
      <c r="B464">
        <v>1</v>
      </c>
      <c r="C464">
        <v>1</v>
      </c>
      <c r="D464">
        <v>2018</v>
      </c>
      <c r="E464" t="s">
        <v>1002</v>
      </c>
      <c r="F464">
        <v>92</v>
      </c>
      <c r="G464" t="s">
        <v>28070</v>
      </c>
      <c r="H464" t="s">
        <v>28071</v>
      </c>
      <c r="I464" s="4" t="s">
        <v>28072</v>
      </c>
      <c r="J464" t="s">
        <v>71</v>
      </c>
      <c r="K464" t="s">
        <v>10782</v>
      </c>
      <c r="L464" t="s">
        <v>28073</v>
      </c>
    </row>
    <row r="465" spans="1:12" ht="187.2" x14ac:dyDescent="0.3">
      <c r="A465" s="4" t="s">
        <v>1701</v>
      </c>
      <c r="B465">
        <v>1</v>
      </c>
      <c r="C465">
        <v>1</v>
      </c>
      <c r="D465">
        <v>2018</v>
      </c>
      <c r="E465" t="s">
        <v>1746</v>
      </c>
      <c r="F465">
        <v>67</v>
      </c>
      <c r="G465" t="s">
        <v>28157</v>
      </c>
      <c r="H465" t="s">
        <v>28158</v>
      </c>
      <c r="I465" s="4" t="s">
        <v>28159</v>
      </c>
    </row>
    <row r="466" spans="1:12" ht="201.6" x14ac:dyDescent="0.3">
      <c r="A466" s="4" t="s">
        <v>3373</v>
      </c>
      <c r="B466">
        <v>1</v>
      </c>
      <c r="C466">
        <v>3</v>
      </c>
      <c r="D466">
        <v>2018</v>
      </c>
      <c r="E466" t="s">
        <v>704</v>
      </c>
      <c r="F466">
        <v>146</v>
      </c>
      <c r="G466" t="s">
        <v>28218</v>
      </c>
      <c r="H466" t="s">
        <v>28219</v>
      </c>
      <c r="I466" s="4" t="s">
        <v>28220</v>
      </c>
      <c r="J466" t="s">
        <v>71</v>
      </c>
      <c r="K466" t="s">
        <v>10782</v>
      </c>
      <c r="L466" t="s">
        <v>28221</v>
      </c>
    </row>
    <row r="467" spans="1:12" ht="201.6" x14ac:dyDescent="0.3">
      <c r="A467" s="4" t="s">
        <v>1702</v>
      </c>
      <c r="B467">
        <v>1</v>
      </c>
      <c r="C467">
        <v>1</v>
      </c>
      <c r="D467">
        <v>2018</v>
      </c>
      <c r="E467" t="s">
        <v>217</v>
      </c>
      <c r="F467">
        <v>7</v>
      </c>
      <c r="G467" t="s">
        <v>28301</v>
      </c>
      <c r="H467" t="s">
        <v>28302</v>
      </c>
      <c r="I467" s="4" t="s">
        <v>28303</v>
      </c>
      <c r="J467" t="s">
        <v>71</v>
      </c>
      <c r="K467" t="s">
        <v>10782</v>
      </c>
      <c r="L467" t="s">
        <v>28304</v>
      </c>
    </row>
    <row r="468" spans="1:12" ht="43.2" x14ac:dyDescent="0.3">
      <c r="A468" s="4" t="s">
        <v>3374</v>
      </c>
      <c r="B468">
        <v>1</v>
      </c>
      <c r="C468">
        <v>2</v>
      </c>
      <c r="D468">
        <v>2018</v>
      </c>
      <c r="E468" t="s">
        <v>11569</v>
      </c>
      <c r="F468">
        <v>54</v>
      </c>
      <c r="G468" t="s">
        <v>28370</v>
      </c>
      <c r="H468" t="s">
        <v>28371</v>
      </c>
      <c r="I468" s="4" t="s">
        <v>28372</v>
      </c>
    </row>
    <row r="469" spans="1:12" ht="216" x14ac:dyDescent="0.3">
      <c r="A469" s="4" t="s">
        <v>1704</v>
      </c>
      <c r="B469">
        <v>1</v>
      </c>
      <c r="C469">
        <v>1</v>
      </c>
      <c r="D469">
        <v>2018</v>
      </c>
      <c r="E469" t="s">
        <v>1759</v>
      </c>
      <c r="F469">
        <v>56</v>
      </c>
      <c r="G469" t="s">
        <v>28395</v>
      </c>
      <c r="H469" t="s">
        <v>28396</v>
      </c>
      <c r="I469" s="4" t="s">
        <v>28397</v>
      </c>
      <c r="J469" t="s">
        <v>71</v>
      </c>
      <c r="K469" t="s">
        <v>10782</v>
      </c>
      <c r="L469" t="s">
        <v>28398</v>
      </c>
    </row>
    <row r="470" spans="1:12" ht="201.6" x14ac:dyDescent="0.3">
      <c r="A470" s="4" t="s">
        <v>1703</v>
      </c>
      <c r="B470">
        <v>1</v>
      </c>
      <c r="C470">
        <v>1</v>
      </c>
      <c r="D470">
        <v>2018</v>
      </c>
      <c r="E470" t="s">
        <v>1525</v>
      </c>
      <c r="F470">
        <v>46</v>
      </c>
      <c r="G470" t="s">
        <v>28403</v>
      </c>
      <c r="H470" t="s">
        <v>28404</v>
      </c>
      <c r="I470" s="4" t="s">
        <v>28405</v>
      </c>
      <c r="J470" t="s">
        <v>71</v>
      </c>
      <c r="K470" t="s">
        <v>10782</v>
      </c>
      <c r="L470" t="s">
        <v>28406</v>
      </c>
    </row>
    <row r="471" spans="1:12" ht="144" x14ac:dyDescent="0.3">
      <c r="A471" s="4" t="s">
        <v>3375</v>
      </c>
      <c r="B471">
        <v>1</v>
      </c>
      <c r="C471">
        <v>3</v>
      </c>
      <c r="D471">
        <v>2018</v>
      </c>
      <c r="E471" t="s">
        <v>2222</v>
      </c>
      <c r="F471">
        <v>0</v>
      </c>
      <c r="H471" t="s">
        <v>28419</v>
      </c>
      <c r="I471" s="4" t="s">
        <v>28420</v>
      </c>
      <c r="J471" s="4" t="s">
        <v>71</v>
      </c>
      <c r="K471" t="s">
        <v>10782</v>
      </c>
      <c r="L471" t="s">
        <v>28421</v>
      </c>
    </row>
    <row r="472" spans="1:12" ht="158.4" x14ac:dyDescent="0.3">
      <c r="A472" s="4" t="s">
        <v>1705</v>
      </c>
      <c r="B472">
        <v>1</v>
      </c>
      <c r="C472">
        <v>1</v>
      </c>
      <c r="D472">
        <v>2017</v>
      </c>
      <c r="E472" t="s">
        <v>1770</v>
      </c>
      <c r="F472">
        <v>57</v>
      </c>
      <c r="G472" t="s">
        <v>28551</v>
      </c>
      <c r="H472" t="s">
        <v>28552</v>
      </c>
      <c r="I472" s="4" t="s">
        <v>28553</v>
      </c>
    </row>
    <row r="473" spans="1:12" ht="72" x14ac:dyDescent="0.3">
      <c r="A473" s="4" t="s">
        <v>3376</v>
      </c>
      <c r="B473">
        <v>1</v>
      </c>
      <c r="C473">
        <v>3</v>
      </c>
      <c r="D473">
        <v>2017</v>
      </c>
      <c r="E473" t="s">
        <v>217</v>
      </c>
      <c r="F473">
        <v>22</v>
      </c>
      <c r="G473" t="s">
        <v>28629</v>
      </c>
      <c r="H473" t="s">
        <v>28630</v>
      </c>
      <c r="I473" s="4" t="s">
        <v>28631</v>
      </c>
    </row>
    <row r="474" spans="1:12" ht="100.8" x14ac:dyDescent="0.3">
      <c r="A474" s="4" t="s">
        <v>1706</v>
      </c>
      <c r="B474">
        <v>1</v>
      </c>
      <c r="C474">
        <v>1</v>
      </c>
      <c r="D474">
        <v>2017</v>
      </c>
      <c r="E474" t="s">
        <v>217</v>
      </c>
      <c r="F474">
        <v>43</v>
      </c>
      <c r="G474" t="s">
        <v>28750</v>
      </c>
      <c r="H474" t="s">
        <v>28751</v>
      </c>
      <c r="I474" s="4" t="s">
        <v>28752</v>
      </c>
    </row>
    <row r="475" spans="1:12" ht="158.4" x14ac:dyDescent="0.3">
      <c r="A475" s="4" t="s">
        <v>1707</v>
      </c>
      <c r="B475">
        <v>1</v>
      </c>
      <c r="C475">
        <v>1</v>
      </c>
      <c r="D475">
        <v>2017</v>
      </c>
      <c r="E475" t="s">
        <v>1530</v>
      </c>
      <c r="F475">
        <v>33</v>
      </c>
      <c r="G475" t="s">
        <v>28896</v>
      </c>
      <c r="H475" t="s">
        <v>28897</v>
      </c>
      <c r="I475" s="4" t="s">
        <v>28898</v>
      </c>
      <c r="J475" t="s">
        <v>71</v>
      </c>
      <c r="K475" t="s">
        <v>10782</v>
      </c>
      <c r="L475" t="s">
        <v>28899</v>
      </c>
    </row>
    <row r="476" spans="1:12" ht="86.4" x14ac:dyDescent="0.3">
      <c r="A476" s="4" t="s">
        <v>3377</v>
      </c>
      <c r="B476">
        <v>1</v>
      </c>
      <c r="C476">
        <v>3</v>
      </c>
      <c r="D476">
        <v>2017</v>
      </c>
      <c r="E476" t="s">
        <v>217</v>
      </c>
      <c r="F476">
        <v>40</v>
      </c>
      <c r="G476" t="s">
        <v>28920</v>
      </c>
      <c r="H476" t="s">
        <v>28921</v>
      </c>
      <c r="I476" s="4" t="s">
        <v>28922</v>
      </c>
      <c r="J476" t="s">
        <v>71</v>
      </c>
      <c r="K476" t="s">
        <v>10782</v>
      </c>
      <c r="L476" t="s">
        <v>28923</v>
      </c>
    </row>
    <row r="477" spans="1:12" ht="187.2" x14ac:dyDescent="0.3">
      <c r="A477" s="4" t="s">
        <v>1708</v>
      </c>
      <c r="B477">
        <v>1</v>
      </c>
      <c r="C477">
        <v>1</v>
      </c>
      <c r="D477">
        <v>2017</v>
      </c>
      <c r="E477" t="s">
        <v>217</v>
      </c>
      <c r="F477">
        <v>15</v>
      </c>
      <c r="G477" t="s">
        <v>29070</v>
      </c>
      <c r="H477" t="s">
        <v>29071</v>
      </c>
      <c r="I477" s="4" t="s">
        <v>29072</v>
      </c>
      <c r="J477" t="s">
        <v>71</v>
      </c>
      <c r="K477" t="s">
        <v>10782</v>
      </c>
      <c r="L477" t="s">
        <v>29073</v>
      </c>
    </row>
    <row r="478" spans="1:12" ht="172.8" x14ac:dyDescent="0.3">
      <c r="A478" s="4" t="s">
        <v>1709</v>
      </c>
      <c r="B478">
        <v>1</v>
      </c>
      <c r="C478">
        <v>1</v>
      </c>
      <c r="D478">
        <v>2017</v>
      </c>
      <c r="E478" t="s">
        <v>363</v>
      </c>
      <c r="F478">
        <v>26</v>
      </c>
      <c r="G478" t="s">
        <v>29119</v>
      </c>
      <c r="H478" t="s">
        <v>29120</v>
      </c>
      <c r="I478" s="4" t="s">
        <v>29121</v>
      </c>
      <c r="J478" t="s">
        <v>71</v>
      </c>
      <c r="K478" t="s">
        <v>10782</v>
      </c>
      <c r="L478" t="s">
        <v>29122</v>
      </c>
    </row>
    <row r="479" spans="1:12" ht="230.4" x14ac:dyDescent="0.3">
      <c r="A479" s="4" t="s">
        <v>3378</v>
      </c>
      <c r="B479">
        <v>1</v>
      </c>
      <c r="C479">
        <v>3</v>
      </c>
      <c r="D479">
        <v>2017</v>
      </c>
      <c r="E479" t="s">
        <v>550</v>
      </c>
      <c r="F479">
        <v>38</v>
      </c>
      <c r="G479" t="s">
        <v>29144</v>
      </c>
      <c r="H479" t="s">
        <v>29145</v>
      </c>
      <c r="I479" s="4" t="s">
        <v>29146</v>
      </c>
      <c r="J479" t="s">
        <v>71</v>
      </c>
      <c r="K479" t="s">
        <v>10782</v>
      </c>
      <c r="L479" t="s">
        <v>29147</v>
      </c>
    </row>
    <row r="480" spans="1:12" ht="144" x14ac:dyDescent="0.3">
      <c r="A480" s="4" t="s">
        <v>1710</v>
      </c>
      <c r="B480">
        <v>1</v>
      </c>
      <c r="C480">
        <v>1</v>
      </c>
      <c r="D480">
        <v>2017</v>
      </c>
      <c r="E480" t="s">
        <v>1794</v>
      </c>
      <c r="F480">
        <v>8</v>
      </c>
      <c r="G480" t="s">
        <v>29252</v>
      </c>
      <c r="H480" t="s">
        <v>29253</v>
      </c>
      <c r="I480" s="4" t="s">
        <v>29254</v>
      </c>
      <c r="J480" t="s">
        <v>71</v>
      </c>
      <c r="K480" t="s">
        <v>10782</v>
      </c>
      <c r="L480" t="s">
        <v>29255</v>
      </c>
    </row>
    <row r="481" spans="1:12" ht="187.2" x14ac:dyDescent="0.3">
      <c r="A481" s="4" t="s">
        <v>1711</v>
      </c>
      <c r="B481">
        <v>1</v>
      </c>
      <c r="C481">
        <v>1</v>
      </c>
      <c r="D481">
        <v>2017</v>
      </c>
      <c r="E481" t="s">
        <v>147</v>
      </c>
      <c r="F481">
        <v>79</v>
      </c>
      <c r="G481" t="s">
        <v>29271</v>
      </c>
      <c r="H481" t="s">
        <v>29272</v>
      </c>
      <c r="I481" s="4" t="s">
        <v>29273</v>
      </c>
      <c r="J481" t="s">
        <v>71</v>
      </c>
      <c r="K481" t="s">
        <v>10782</v>
      </c>
      <c r="L481" t="s">
        <v>29274</v>
      </c>
    </row>
    <row r="482" spans="1:12" ht="144" x14ac:dyDescent="0.3">
      <c r="A482" s="4" t="s">
        <v>1713</v>
      </c>
      <c r="B482">
        <v>1</v>
      </c>
      <c r="C482">
        <v>1</v>
      </c>
      <c r="D482">
        <v>2017</v>
      </c>
      <c r="E482" t="s">
        <v>217</v>
      </c>
      <c r="F482">
        <v>5</v>
      </c>
      <c r="G482" t="s">
        <v>29281</v>
      </c>
      <c r="H482" t="s">
        <v>29282</v>
      </c>
      <c r="I482" s="4" t="s">
        <v>29283</v>
      </c>
      <c r="J482" t="s">
        <v>71</v>
      </c>
      <c r="K482" t="s">
        <v>10782</v>
      </c>
      <c r="L482" t="s">
        <v>29284</v>
      </c>
    </row>
    <row r="483" spans="1:12" ht="115.2" x14ac:dyDescent="0.3">
      <c r="A483" s="4" t="s">
        <v>1712</v>
      </c>
      <c r="B483">
        <v>1</v>
      </c>
      <c r="C483">
        <v>1</v>
      </c>
      <c r="D483">
        <v>2017</v>
      </c>
      <c r="E483" t="s">
        <v>1802</v>
      </c>
      <c r="F483">
        <v>14</v>
      </c>
      <c r="G483" t="s">
        <v>29310</v>
      </c>
      <c r="H483" t="s">
        <v>29311</v>
      </c>
      <c r="I483" s="4" t="s">
        <v>29312</v>
      </c>
      <c r="J483" t="s">
        <v>71</v>
      </c>
      <c r="K483" t="s">
        <v>10782</v>
      </c>
      <c r="L483" t="s">
        <v>29313</v>
      </c>
    </row>
    <row r="484" spans="1:12" ht="172.8" x14ac:dyDescent="0.3">
      <c r="A484" s="4" t="s">
        <v>1714</v>
      </c>
      <c r="B484">
        <v>1</v>
      </c>
      <c r="C484">
        <v>1</v>
      </c>
      <c r="D484">
        <v>2017</v>
      </c>
      <c r="E484" t="s">
        <v>405</v>
      </c>
      <c r="F484">
        <v>81</v>
      </c>
      <c r="G484" t="s">
        <v>29366</v>
      </c>
      <c r="H484" t="s">
        <v>29367</v>
      </c>
      <c r="I484" s="4" t="s">
        <v>29368</v>
      </c>
      <c r="J484" t="s">
        <v>71</v>
      </c>
      <c r="K484" t="s">
        <v>10782</v>
      </c>
      <c r="L484" t="s">
        <v>29369</v>
      </c>
    </row>
    <row r="485" spans="1:12" ht="172.8" x14ac:dyDescent="0.3">
      <c r="A485" s="4" t="s">
        <v>3379</v>
      </c>
      <c r="B485">
        <v>1</v>
      </c>
      <c r="C485">
        <v>3</v>
      </c>
      <c r="D485">
        <v>2017</v>
      </c>
      <c r="E485" t="s">
        <v>2585</v>
      </c>
      <c r="F485">
        <v>7</v>
      </c>
      <c r="G485" t="s">
        <v>29599</v>
      </c>
      <c r="H485" t="s">
        <v>29600</v>
      </c>
      <c r="I485" s="4" t="s">
        <v>29601</v>
      </c>
      <c r="J485" t="s">
        <v>71</v>
      </c>
      <c r="K485" t="s">
        <v>10782</v>
      </c>
      <c r="L485" t="s">
        <v>29602</v>
      </c>
    </row>
    <row r="486" spans="1:12" ht="129.6" x14ac:dyDescent="0.3">
      <c r="A486" s="4" t="s">
        <v>1716</v>
      </c>
      <c r="B486">
        <v>1</v>
      </c>
      <c r="C486">
        <v>1</v>
      </c>
      <c r="D486">
        <v>2017</v>
      </c>
      <c r="E486" t="s">
        <v>1836</v>
      </c>
      <c r="F486">
        <v>42</v>
      </c>
      <c r="G486" t="s">
        <v>29718</v>
      </c>
      <c r="H486" t="s">
        <v>29719</v>
      </c>
      <c r="I486" s="4" t="s">
        <v>29720</v>
      </c>
      <c r="J486" t="s">
        <v>71</v>
      </c>
      <c r="K486" t="s">
        <v>10782</v>
      </c>
      <c r="L486" t="s">
        <v>29721</v>
      </c>
    </row>
    <row r="487" spans="1:12" ht="172.8" x14ac:dyDescent="0.3">
      <c r="A487" s="4" t="s">
        <v>3380</v>
      </c>
      <c r="B487">
        <v>1</v>
      </c>
      <c r="C487">
        <v>3</v>
      </c>
      <c r="D487">
        <v>2017</v>
      </c>
      <c r="E487" t="s">
        <v>14116</v>
      </c>
      <c r="F487">
        <v>26</v>
      </c>
      <c r="G487" t="s">
        <v>29786</v>
      </c>
      <c r="H487" t="s">
        <v>29787</v>
      </c>
      <c r="I487" s="4" t="s">
        <v>29788</v>
      </c>
    </row>
    <row r="488" spans="1:12" ht="172.8" x14ac:dyDescent="0.3">
      <c r="A488" s="4" t="s">
        <v>1719</v>
      </c>
      <c r="B488">
        <v>1</v>
      </c>
      <c r="C488">
        <v>1</v>
      </c>
      <c r="D488">
        <v>2016</v>
      </c>
      <c r="E488" t="s">
        <v>1231</v>
      </c>
      <c r="F488">
        <v>9</v>
      </c>
      <c r="G488" t="s">
        <v>30048</v>
      </c>
      <c r="H488" t="s">
        <v>30049</v>
      </c>
      <c r="I488" s="4" t="s">
        <v>30050</v>
      </c>
      <c r="J488" t="s">
        <v>71</v>
      </c>
      <c r="K488" t="s">
        <v>10782</v>
      </c>
      <c r="L488" t="s">
        <v>30051</v>
      </c>
    </row>
    <row r="489" spans="1:12" ht="201.6" x14ac:dyDescent="0.3">
      <c r="A489" s="4" t="s">
        <v>1717</v>
      </c>
      <c r="B489">
        <v>1</v>
      </c>
      <c r="C489">
        <v>1</v>
      </c>
      <c r="D489">
        <v>2016</v>
      </c>
      <c r="E489" t="s">
        <v>1849</v>
      </c>
      <c r="F489">
        <v>7</v>
      </c>
      <c r="G489" t="s">
        <v>30307</v>
      </c>
      <c r="H489" t="s">
        <v>30308</v>
      </c>
      <c r="I489" s="4" t="s">
        <v>30309</v>
      </c>
    </row>
    <row r="490" spans="1:12" ht="187.2" x14ac:dyDescent="0.3">
      <c r="A490" s="4" t="s">
        <v>1720</v>
      </c>
      <c r="B490">
        <v>1</v>
      </c>
      <c r="C490">
        <v>1</v>
      </c>
      <c r="D490">
        <v>2016</v>
      </c>
      <c r="E490" t="s">
        <v>1836</v>
      </c>
      <c r="F490">
        <v>187</v>
      </c>
      <c r="G490" t="s">
        <v>30352</v>
      </c>
      <c r="H490" t="s">
        <v>30353</v>
      </c>
      <c r="I490" s="4" t="s">
        <v>30354</v>
      </c>
      <c r="J490" t="s">
        <v>71</v>
      </c>
      <c r="K490" t="s">
        <v>10782</v>
      </c>
      <c r="L490" t="s">
        <v>30355</v>
      </c>
    </row>
    <row r="491" spans="1:12" ht="187.2" x14ac:dyDescent="0.3">
      <c r="A491" s="4" t="s">
        <v>1723</v>
      </c>
      <c r="B491">
        <v>1</v>
      </c>
      <c r="C491">
        <v>1</v>
      </c>
      <c r="D491">
        <v>2016</v>
      </c>
      <c r="E491" t="s">
        <v>363</v>
      </c>
      <c r="F491">
        <v>66</v>
      </c>
      <c r="G491" t="s">
        <v>30428</v>
      </c>
      <c r="H491" t="s">
        <v>30429</v>
      </c>
      <c r="I491" s="4" t="s">
        <v>30430</v>
      </c>
      <c r="J491" t="s">
        <v>71</v>
      </c>
      <c r="K491" t="s">
        <v>10782</v>
      </c>
      <c r="L491" t="s">
        <v>30431</v>
      </c>
    </row>
    <row r="492" spans="1:12" ht="144" x14ac:dyDescent="0.3">
      <c r="A492" s="4" t="s">
        <v>1724</v>
      </c>
      <c r="B492">
        <v>1</v>
      </c>
      <c r="C492">
        <v>1</v>
      </c>
      <c r="D492">
        <v>2016</v>
      </c>
      <c r="E492" t="s">
        <v>1865</v>
      </c>
      <c r="F492">
        <v>15</v>
      </c>
      <c r="G492" t="s">
        <v>30455</v>
      </c>
      <c r="H492" t="s">
        <v>30456</v>
      </c>
      <c r="I492" s="4" t="s">
        <v>30457</v>
      </c>
      <c r="J492" t="s">
        <v>71</v>
      </c>
      <c r="K492" t="s">
        <v>10782</v>
      </c>
      <c r="L492" t="s">
        <v>30458</v>
      </c>
    </row>
    <row r="493" spans="1:12" ht="129.6" x14ac:dyDescent="0.3">
      <c r="A493" s="4" t="s">
        <v>1726</v>
      </c>
      <c r="B493">
        <v>1</v>
      </c>
      <c r="C493">
        <v>1</v>
      </c>
      <c r="D493">
        <v>2016</v>
      </c>
      <c r="E493" t="s">
        <v>217</v>
      </c>
      <c r="F493">
        <v>46</v>
      </c>
      <c r="G493" t="s">
        <v>30470</v>
      </c>
      <c r="H493" t="s">
        <v>30471</v>
      </c>
      <c r="I493" s="4" t="s">
        <v>30472</v>
      </c>
      <c r="J493" t="s">
        <v>71</v>
      </c>
      <c r="K493" t="s">
        <v>10782</v>
      </c>
      <c r="L493" t="s">
        <v>30473</v>
      </c>
    </row>
    <row r="494" spans="1:12" ht="172.8" x14ac:dyDescent="0.3">
      <c r="A494" s="4" t="s">
        <v>1727</v>
      </c>
      <c r="B494">
        <v>1</v>
      </c>
      <c r="C494">
        <v>1</v>
      </c>
      <c r="D494">
        <v>2016</v>
      </c>
      <c r="E494" t="s">
        <v>1829</v>
      </c>
      <c r="F494">
        <v>10</v>
      </c>
      <c r="G494" t="s">
        <v>30537</v>
      </c>
      <c r="H494" t="s">
        <v>30538</v>
      </c>
      <c r="I494" s="4" t="s">
        <v>30539</v>
      </c>
      <c r="J494" t="s">
        <v>71</v>
      </c>
      <c r="K494" t="s">
        <v>10782</v>
      </c>
      <c r="L494" t="s">
        <v>30540</v>
      </c>
    </row>
    <row r="495" spans="1:12" ht="201.6" x14ac:dyDescent="0.3">
      <c r="A495" s="4" t="s">
        <v>1728</v>
      </c>
      <c r="B495">
        <v>1</v>
      </c>
      <c r="C495">
        <v>1</v>
      </c>
      <c r="D495">
        <v>2016</v>
      </c>
      <c r="E495" t="s">
        <v>217</v>
      </c>
      <c r="F495">
        <v>17</v>
      </c>
      <c r="G495" t="s">
        <v>30581</v>
      </c>
      <c r="H495" t="s">
        <v>30582</v>
      </c>
      <c r="I495" s="4" t="s">
        <v>30583</v>
      </c>
      <c r="J495" t="s">
        <v>71</v>
      </c>
      <c r="K495" t="s">
        <v>10782</v>
      </c>
      <c r="L495" t="s">
        <v>30584</v>
      </c>
    </row>
    <row r="496" spans="1:12" ht="172.8" x14ac:dyDescent="0.3">
      <c r="A496" s="4" t="s">
        <v>1729</v>
      </c>
      <c r="B496">
        <v>1</v>
      </c>
      <c r="C496">
        <v>1</v>
      </c>
      <c r="D496">
        <v>2016</v>
      </c>
      <c r="E496" t="s">
        <v>147</v>
      </c>
      <c r="F496">
        <v>18</v>
      </c>
      <c r="G496" t="s">
        <v>30645</v>
      </c>
      <c r="H496" t="s">
        <v>30646</v>
      </c>
      <c r="I496" s="4" t="s">
        <v>30647</v>
      </c>
    </row>
    <row r="497" spans="1:12" ht="57.6" x14ac:dyDescent="0.3">
      <c r="A497" s="4" t="s">
        <v>1730</v>
      </c>
      <c r="B497">
        <v>1</v>
      </c>
      <c r="C497">
        <v>1</v>
      </c>
      <c r="D497">
        <v>2016</v>
      </c>
      <c r="E497" t="s">
        <v>329</v>
      </c>
      <c r="F497">
        <v>167</v>
      </c>
      <c r="G497" t="s">
        <v>30656</v>
      </c>
      <c r="H497" t="s">
        <v>30657</v>
      </c>
      <c r="I497" s="4" t="s">
        <v>30658</v>
      </c>
    </row>
    <row r="498" spans="1:12" ht="100.8" x14ac:dyDescent="0.3">
      <c r="A498" s="4" t="s">
        <v>1731</v>
      </c>
      <c r="B498">
        <v>1</v>
      </c>
      <c r="C498">
        <v>1</v>
      </c>
      <c r="D498">
        <v>2016</v>
      </c>
      <c r="E498" t="s">
        <v>1877</v>
      </c>
      <c r="F498">
        <v>20</v>
      </c>
      <c r="G498" t="s">
        <v>30749</v>
      </c>
      <c r="H498" t="s">
        <v>30750</v>
      </c>
      <c r="I498" s="4" t="s">
        <v>30751</v>
      </c>
      <c r="J498" t="s">
        <v>71</v>
      </c>
      <c r="K498" t="s">
        <v>10782</v>
      </c>
      <c r="L498" t="s">
        <v>30752</v>
      </c>
    </row>
    <row r="499" spans="1:12" ht="273.60000000000002" x14ac:dyDescent="0.3">
      <c r="A499" s="4" t="s">
        <v>3381</v>
      </c>
      <c r="B499">
        <v>1</v>
      </c>
      <c r="C499">
        <v>3</v>
      </c>
      <c r="D499">
        <v>2016</v>
      </c>
      <c r="E499" t="s">
        <v>217</v>
      </c>
      <c r="F499">
        <v>68</v>
      </c>
      <c r="G499" t="s">
        <v>30757</v>
      </c>
      <c r="H499" t="s">
        <v>30758</v>
      </c>
      <c r="I499" s="4" t="s">
        <v>30759</v>
      </c>
      <c r="J499" t="s">
        <v>71</v>
      </c>
      <c r="K499" t="s">
        <v>10782</v>
      </c>
      <c r="L499" t="s">
        <v>30760</v>
      </c>
    </row>
    <row r="500" spans="1:12" ht="187.2" x14ac:dyDescent="0.3">
      <c r="A500" s="4" t="s">
        <v>1732</v>
      </c>
      <c r="B500">
        <v>1</v>
      </c>
      <c r="C500">
        <v>1</v>
      </c>
      <c r="D500">
        <v>2016</v>
      </c>
      <c r="E500" t="s">
        <v>1841</v>
      </c>
      <c r="F500">
        <v>74</v>
      </c>
      <c r="G500" t="s">
        <v>30799</v>
      </c>
      <c r="H500" t="s">
        <v>30800</v>
      </c>
      <c r="I500" s="4" t="s">
        <v>30801</v>
      </c>
      <c r="J500" t="s">
        <v>71</v>
      </c>
      <c r="K500" t="s">
        <v>10782</v>
      </c>
      <c r="L500" t="s">
        <v>30802</v>
      </c>
    </row>
    <row r="501" spans="1:12" ht="100.8" x14ac:dyDescent="0.3">
      <c r="A501" s="4" t="s">
        <v>3382</v>
      </c>
      <c r="B501">
        <v>1</v>
      </c>
      <c r="C501">
        <v>3</v>
      </c>
      <c r="D501">
        <v>2016</v>
      </c>
      <c r="E501" t="s">
        <v>11649</v>
      </c>
      <c r="F501">
        <v>13</v>
      </c>
      <c r="G501" t="s">
        <v>30815</v>
      </c>
      <c r="H501" t="s">
        <v>30816</v>
      </c>
      <c r="I501" s="4" t="s">
        <v>30817</v>
      </c>
    </row>
    <row r="502" spans="1:12" ht="172.8" x14ac:dyDescent="0.3">
      <c r="A502" s="4" t="s">
        <v>3383</v>
      </c>
      <c r="B502">
        <v>1</v>
      </c>
      <c r="C502">
        <v>3</v>
      </c>
      <c r="D502">
        <v>2016</v>
      </c>
      <c r="E502" t="s">
        <v>1841</v>
      </c>
      <c r="F502">
        <v>14</v>
      </c>
      <c r="G502" t="s">
        <v>30914</v>
      </c>
      <c r="H502" t="s">
        <v>30915</v>
      </c>
      <c r="I502" s="4" t="s">
        <v>30916</v>
      </c>
      <c r="J502" t="s">
        <v>71</v>
      </c>
      <c r="K502" t="s">
        <v>10782</v>
      </c>
      <c r="L502" t="s">
        <v>30917</v>
      </c>
    </row>
    <row r="503" spans="1:12" ht="172.8" x14ac:dyDescent="0.3">
      <c r="A503" s="4" t="s">
        <v>1884</v>
      </c>
      <c r="B503">
        <v>1</v>
      </c>
      <c r="C503">
        <v>1</v>
      </c>
      <c r="D503">
        <v>2016</v>
      </c>
      <c r="E503" t="s">
        <v>1912</v>
      </c>
      <c r="F503">
        <v>39</v>
      </c>
      <c r="G503" t="s">
        <v>31066</v>
      </c>
      <c r="H503" t="s">
        <v>31067</v>
      </c>
      <c r="I503" s="4" t="s">
        <v>31068</v>
      </c>
      <c r="J503" t="s">
        <v>71</v>
      </c>
      <c r="K503" t="s">
        <v>10782</v>
      </c>
      <c r="L503" t="s">
        <v>31069</v>
      </c>
    </row>
    <row r="504" spans="1:12" ht="187.2" x14ac:dyDescent="0.3">
      <c r="A504" s="4" t="s">
        <v>1885</v>
      </c>
      <c r="B504">
        <v>1</v>
      </c>
      <c r="C504">
        <v>1</v>
      </c>
      <c r="D504">
        <v>2016</v>
      </c>
      <c r="E504" t="s">
        <v>1915</v>
      </c>
      <c r="F504">
        <v>80</v>
      </c>
      <c r="G504" t="s">
        <v>31087</v>
      </c>
      <c r="H504" t="s">
        <v>31088</v>
      </c>
      <c r="I504" s="4" t="s">
        <v>31089</v>
      </c>
      <c r="J504" t="s">
        <v>71</v>
      </c>
      <c r="K504" t="s">
        <v>10782</v>
      </c>
      <c r="L504" t="s">
        <v>31090</v>
      </c>
    </row>
    <row r="505" spans="1:12" ht="201.6" x14ac:dyDescent="0.3">
      <c r="A505" s="4" t="s">
        <v>1886</v>
      </c>
      <c r="B505">
        <v>1</v>
      </c>
      <c r="C505">
        <v>1</v>
      </c>
      <c r="D505">
        <v>2016</v>
      </c>
      <c r="E505" t="s">
        <v>1175</v>
      </c>
      <c r="F505">
        <v>5</v>
      </c>
      <c r="G505" t="s">
        <v>31102</v>
      </c>
      <c r="H505" t="s">
        <v>31103</v>
      </c>
      <c r="I505" s="4" t="s">
        <v>31104</v>
      </c>
      <c r="J505" t="s">
        <v>71</v>
      </c>
      <c r="K505" t="s">
        <v>10782</v>
      </c>
      <c r="L505" t="s">
        <v>31105</v>
      </c>
    </row>
    <row r="506" spans="1:12" ht="158.4" x14ac:dyDescent="0.3">
      <c r="A506" s="4" t="s">
        <v>3384</v>
      </c>
      <c r="B506">
        <v>1</v>
      </c>
      <c r="C506">
        <v>3</v>
      </c>
      <c r="D506">
        <v>2016</v>
      </c>
      <c r="E506" t="s">
        <v>217</v>
      </c>
      <c r="F506">
        <v>36</v>
      </c>
      <c r="G506" t="s">
        <v>31160</v>
      </c>
      <c r="H506" t="s">
        <v>31161</v>
      </c>
      <c r="I506" s="4" t="s">
        <v>31162</v>
      </c>
      <c r="J506" t="s">
        <v>71</v>
      </c>
      <c r="K506" t="s">
        <v>10782</v>
      </c>
      <c r="L506" t="s">
        <v>31163</v>
      </c>
    </row>
    <row r="507" spans="1:12" ht="129.6" x14ac:dyDescent="0.3">
      <c r="A507" s="4" t="s">
        <v>3385</v>
      </c>
      <c r="B507">
        <v>1</v>
      </c>
      <c r="C507">
        <v>3</v>
      </c>
      <c r="D507">
        <v>2016</v>
      </c>
      <c r="E507" t="s">
        <v>432</v>
      </c>
      <c r="F507">
        <v>4</v>
      </c>
      <c r="G507" t="s">
        <v>31303</v>
      </c>
      <c r="H507" t="s">
        <v>31304</v>
      </c>
      <c r="I507" s="4" t="s">
        <v>31305</v>
      </c>
      <c r="J507" t="s">
        <v>71</v>
      </c>
      <c r="K507" t="s">
        <v>10782</v>
      </c>
      <c r="L507" t="s">
        <v>31306</v>
      </c>
    </row>
    <row r="508" spans="1:12" ht="100.8" x14ac:dyDescent="0.3">
      <c r="A508" s="4" t="s">
        <v>1887</v>
      </c>
      <c r="B508">
        <v>1</v>
      </c>
      <c r="C508">
        <v>1</v>
      </c>
      <c r="D508">
        <v>2016</v>
      </c>
      <c r="E508" t="s">
        <v>217</v>
      </c>
      <c r="F508">
        <v>9</v>
      </c>
      <c r="G508" t="s">
        <v>31311</v>
      </c>
      <c r="H508" t="s">
        <v>31312</v>
      </c>
      <c r="I508" s="4" t="s">
        <v>31313</v>
      </c>
    </row>
    <row r="509" spans="1:12" ht="172.8" x14ac:dyDescent="0.3">
      <c r="A509" s="4" t="s">
        <v>1888</v>
      </c>
      <c r="B509">
        <v>1</v>
      </c>
      <c r="C509">
        <v>1</v>
      </c>
      <c r="D509">
        <v>2016</v>
      </c>
      <c r="E509" t="s">
        <v>1936</v>
      </c>
      <c r="F509">
        <v>1</v>
      </c>
      <c r="G509" t="s">
        <v>31406</v>
      </c>
      <c r="H509" t="s">
        <v>31407</v>
      </c>
      <c r="I509" s="4" t="s">
        <v>31408</v>
      </c>
      <c r="J509" t="s">
        <v>71</v>
      </c>
      <c r="K509" t="s">
        <v>10782</v>
      </c>
      <c r="L509" t="s">
        <v>31409</v>
      </c>
    </row>
    <row r="510" spans="1:12" ht="144" x14ac:dyDescent="0.3">
      <c r="A510" s="4" t="s">
        <v>3386</v>
      </c>
      <c r="B510">
        <v>1</v>
      </c>
      <c r="C510">
        <v>3</v>
      </c>
      <c r="D510">
        <v>2016</v>
      </c>
      <c r="E510" t="s">
        <v>31432</v>
      </c>
      <c r="F510">
        <v>27</v>
      </c>
      <c r="G510" t="s">
        <v>31433</v>
      </c>
      <c r="H510" t="s">
        <v>31434</v>
      </c>
      <c r="I510" s="4" t="s">
        <v>31435</v>
      </c>
      <c r="J510" t="s">
        <v>71</v>
      </c>
      <c r="K510" t="s">
        <v>10782</v>
      </c>
      <c r="L510" t="s">
        <v>31436</v>
      </c>
    </row>
    <row r="511" spans="1:12" ht="201.6" x14ac:dyDescent="0.3">
      <c r="A511" s="4" t="s">
        <v>1889</v>
      </c>
      <c r="B511">
        <v>1</v>
      </c>
      <c r="C511">
        <v>1</v>
      </c>
      <c r="D511">
        <v>2016</v>
      </c>
      <c r="E511" t="s">
        <v>217</v>
      </c>
      <c r="F511">
        <v>19</v>
      </c>
      <c r="G511" t="s">
        <v>31466</v>
      </c>
      <c r="H511" t="s">
        <v>31467</v>
      </c>
      <c r="I511" s="4" t="s">
        <v>31468</v>
      </c>
      <c r="J511" t="s">
        <v>71</v>
      </c>
      <c r="K511" t="s">
        <v>10782</v>
      </c>
      <c r="L511" t="s">
        <v>31469</v>
      </c>
    </row>
    <row r="512" spans="1:12" ht="144" x14ac:dyDescent="0.3">
      <c r="A512" s="4" t="s">
        <v>1890</v>
      </c>
      <c r="B512">
        <v>1</v>
      </c>
      <c r="C512">
        <v>1</v>
      </c>
      <c r="D512">
        <v>2016</v>
      </c>
      <c r="E512" t="s">
        <v>1950</v>
      </c>
      <c r="F512">
        <v>24</v>
      </c>
      <c r="G512" t="s">
        <v>31540</v>
      </c>
      <c r="H512" t="s">
        <v>31541</v>
      </c>
      <c r="I512" s="4" t="s">
        <v>31542</v>
      </c>
      <c r="J512" t="s">
        <v>71</v>
      </c>
      <c r="K512" t="s">
        <v>10782</v>
      </c>
      <c r="L512" t="s">
        <v>31543</v>
      </c>
    </row>
    <row r="513" spans="1:12" ht="100.8" x14ac:dyDescent="0.3">
      <c r="A513" s="4" t="s">
        <v>1891</v>
      </c>
      <c r="B513">
        <v>1</v>
      </c>
      <c r="C513">
        <v>1</v>
      </c>
      <c r="D513">
        <v>2015</v>
      </c>
      <c r="E513" t="s">
        <v>217</v>
      </c>
      <c r="F513">
        <v>89</v>
      </c>
      <c r="G513" t="s">
        <v>31616</v>
      </c>
      <c r="H513" t="s">
        <v>31617</v>
      </c>
      <c r="I513" s="4" t="s">
        <v>31618</v>
      </c>
      <c r="J513" t="s">
        <v>71</v>
      </c>
      <c r="K513" t="s">
        <v>10782</v>
      </c>
      <c r="L513" t="s">
        <v>31619</v>
      </c>
    </row>
    <row r="514" spans="1:12" ht="144" x14ac:dyDescent="0.3">
      <c r="A514" s="4" t="s">
        <v>3387</v>
      </c>
      <c r="B514">
        <v>1</v>
      </c>
      <c r="C514">
        <v>3</v>
      </c>
      <c r="D514">
        <v>2015</v>
      </c>
      <c r="E514" t="s">
        <v>329</v>
      </c>
      <c r="F514">
        <v>33</v>
      </c>
      <c r="G514" t="s">
        <v>31659</v>
      </c>
      <c r="H514" t="s">
        <v>31660</v>
      </c>
      <c r="I514" s="4" t="s">
        <v>31661</v>
      </c>
      <c r="J514" t="s">
        <v>71</v>
      </c>
      <c r="K514" t="s">
        <v>10782</v>
      </c>
      <c r="L514" t="s">
        <v>31662</v>
      </c>
    </row>
    <row r="515" spans="1:12" ht="144" x14ac:dyDescent="0.3">
      <c r="A515" s="4" t="s">
        <v>3388</v>
      </c>
      <c r="B515">
        <v>1</v>
      </c>
      <c r="C515">
        <v>3</v>
      </c>
      <c r="D515">
        <v>2015</v>
      </c>
      <c r="E515" t="s">
        <v>30118</v>
      </c>
      <c r="F515">
        <v>14</v>
      </c>
      <c r="G515" t="s">
        <v>31670</v>
      </c>
      <c r="H515" t="s">
        <v>31671</v>
      </c>
      <c r="I515" s="4" t="s">
        <v>31672</v>
      </c>
      <c r="J515" t="s">
        <v>71</v>
      </c>
      <c r="K515" t="s">
        <v>10782</v>
      </c>
      <c r="L515" t="s">
        <v>31673</v>
      </c>
    </row>
    <row r="516" spans="1:12" ht="86.4" x14ac:dyDescent="0.3">
      <c r="A516" s="4" t="s">
        <v>3389</v>
      </c>
      <c r="B516">
        <v>1</v>
      </c>
      <c r="C516">
        <v>3</v>
      </c>
      <c r="D516">
        <v>2015</v>
      </c>
      <c r="E516" t="s">
        <v>1426</v>
      </c>
      <c r="F516">
        <v>607</v>
      </c>
      <c r="G516" t="s">
        <v>31696</v>
      </c>
      <c r="H516" t="s">
        <v>31697</v>
      </c>
      <c r="I516" s="4" t="s">
        <v>31698</v>
      </c>
    </row>
    <row r="517" spans="1:12" ht="172.8" x14ac:dyDescent="0.3">
      <c r="A517" s="4" t="s">
        <v>3390</v>
      </c>
      <c r="B517">
        <v>1</v>
      </c>
      <c r="C517">
        <v>3</v>
      </c>
      <c r="D517">
        <v>2015</v>
      </c>
      <c r="E517" t="s">
        <v>1525</v>
      </c>
      <c r="F517">
        <v>34</v>
      </c>
      <c r="G517" t="s">
        <v>31739</v>
      </c>
      <c r="H517" t="s">
        <v>31740</v>
      </c>
      <c r="I517" s="4" t="s">
        <v>31741</v>
      </c>
      <c r="J517" t="s">
        <v>71</v>
      </c>
      <c r="K517" t="s">
        <v>10782</v>
      </c>
      <c r="L517" t="s">
        <v>31742</v>
      </c>
    </row>
    <row r="518" spans="1:12" ht="388.8" x14ac:dyDescent="0.3">
      <c r="A518" s="4" t="s">
        <v>3391</v>
      </c>
      <c r="B518">
        <v>1</v>
      </c>
      <c r="C518">
        <v>3</v>
      </c>
      <c r="D518">
        <v>2015</v>
      </c>
      <c r="E518" t="s">
        <v>329</v>
      </c>
      <c r="F518">
        <v>51</v>
      </c>
      <c r="G518" t="s">
        <v>31743</v>
      </c>
      <c r="H518" t="s">
        <v>31744</v>
      </c>
      <c r="I518" s="4" t="s">
        <v>31745</v>
      </c>
      <c r="J518" t="s">
        <v>71</v>
      </c>
      <c r="K518" t="s">
        <v>10782</v>
      </c>
      <c r="L518" t="s">
        <v>31746</v>
      </c>
    </row>
    <row r="519" spans="1:12" ht="144" x14ac:dyDescent="0.3">
      <c r="A519" s="4" t="s">
        <v>3392</v>
      </c>
      <c r="B519">
        <v>1</v>
      </c>
      <c r="C519">
        <v>3</v>
      </c>
      <c r="D519">
        <v>2015</v>
      </c>
      <c r="E519" t="s">
        <v>1570</v>
      </c>
      <c r="F519">
        <v>7</v>
      </c>
      <c r="G519" t="s">
        <v>31763</v>
      </c>
      <c r="H519" t="s">
        <v>31764</v>
      </c>
      <c r="I519" s="4" t="s">
        <v>31765</v>
      </c>
      <c r="J519" t="s">
        <v>71</v>
      </c>
      <c r="K519" t="s">
        <v>10782</v>
      </c>
      <c r="L519" t="s">
        <v>31766</v>
      </c>
    </row>
    <row r="520" spans="1:12" ht="115.2" x14ac:dyDescent="0.3">
      <c r="A520" s="4" t="s">
        <v>3393</v>
      </c>
      <c r="B520">
        <v>1</v>
      </c>
      <c r="C520">
        <v>3</v>
      </c>
      <c r="D520">
        <v>2015</v>
      </c>
      <c r="E520" t="s">
        <v>679</v>
      </c>
      <c r="F520">
        <v>61</v>
      </c>
      <c r="G520" t="s">
        <v>31799</v>
      </c>
      <c r="H520" t="s">
        <v>31800</v>
      </c>
      <c r="I520" s="4" t="s">
        <v>31801</v>
      </c>
      <c r="J520" t="s">
        <v>71</v>
      </c>
      <c r="K520" t="s">
        <v>10782</v>
      </c>
      <c r="L520" t="s">
        <v>31802</v>
      </c>
    </row>
    <row r="521" spans="1:12" ht="100.8" x14ac:dyDescent="0.3">
      <c r="A521" s="4" t="s">
        <v>1892</v>
      </c>
      <c r="B521">
        <v>1</v>
      </c>
      <c r="C521">
        <v>1</v>
      </c>
      <c r="D521">
        <v>2015</v>
      </c>
      <c r="E521" t="s">
        <v>164</v>
      </c>
      <c r="F521">
        <v>33</v>
      </c>
      <c r="G521" t="s">
        <v>31811</v>
      </c>
      <c r="H521" t="s">
        <v>31812</v>
      </c>
      <c r="I521" s="4" t="s">
        <v>31813</v>
      </c>
    </row>
    <row r="522" spans="1:12" ht="216" x14ac:dyDescent="0.3">
      <c r="A522" s="4" t="s">
        <v>1893</v>
      </c>
      <c r="B522">
        <v>1</v>
      </c>
      <c r="C522">
        <v>1</v>
      </c>
      <c r="D522">
        <v>2015</v>
      </c>
      <c r="E522" t="s">
        <v>1802</v>
      </c>
      <c r="F522">
        <v>22</v>
      </c>
      <c r="G522" t="s">
        <v>31828</v>
      </c>
      <c r="H522" t="s">
        <v>31829</v>
      </c>
      <c r="I522" s="4" t="s">
        <v>31830</v>
      </c>
      <c r="J522" t="s">
        <v>71</v>
      </c>
      <c r="K522" t="s">
        <v>10782</v>
      </c>
      <c r="L522" t="s">
        <v>31831</v>
      </c>
    </row>
    <row r="523" spans="1:12" ht="100.8" x14ac:dyDescent="0.3">
      <c r="A523" s="4" t="s">
        <v>3394</v>
      </c>
      <c r="B523">
        <v>1</v>
      </c>
      <c r="C523">
        <v>3</v>
      </c>
      <c r="D523">
        <v>2015</v>
      </c>
      <c r="E523" t="s">
        <v>1570</v>
      </c>
      <c r="F523">
        <v>16</v>
      </c>
      <c r="G523" t="s">
        <v>31907</v>
      </c>
      <c r="H523" t="s">
        <v>31908</v>
      </c>
      <c r="I523" s="4" t="s">
        <v>31909</v>
      </c>
      <c r="J523" t="s">
        <v>71</v>
      </c>
      <c r="K523" t="s">
        <v>10782</v>
      </c>
      <c r="L523" t="s">
        <v>31910</v>
      </c>
    </row>
    <row r="524" spans="1:12" ht="187.2" x14ac:dyDescent="0.3">
      <c r="A524" s="4" t="s">
        <v>3395</v>
      </c>
      <c r="B524">
        <v>1</v>
      </c>
      <c r="C524">
        <v>3</v>
      </c>
      <c r="D524">
        <v>2015</v>
      </c>
      <c r="E524" t="s">
        <v>622</v>
      </c>
      <c r="F524">
        <v>50</v>
      </c>
      <c r="G524" t="s">
        <v>31927</v>
      </c>
      <c r="H524" t="s">
        <v>31928</v>
      </c>
      <c r="I524" s="4" t="s">
        <v>31929</v>
      </c>
      <c r="J524" t="s">
        <v>71</v>
      </c>
      <c r="K524" t="s">
        <v>10782</v>
      </c>
      <c r="L524" t="s">
        <v>31930</v>
      </c>
    </row>
    <row r="525" spans="1:12" ht="158.4" x14ac:dyDescent="0.3">
      <c r="A525" s="4" t="s">
        <v>3396</v>
      </c>
      <c r="B525">
        <v>1</v>
      </c>
      <c r="C525">
        <v>3</v>
      </c>
      <c r="D525">
        <v>2015</v>
      </c>
      <c r="E525" t="s">
        <v>964</v>
      </c>
      <c r="F525">
        <v>21</v>
      </c>
      <c r="G525" t="s">
        <v>32015</v>
      </c>
      <c r="H525" t="s">
        <v>32016</v>
      </c>
      <c r="I525" s="4" t="s">
        <v>32017</v>
      </c>
      <c r="J525" t="s">
        <v>71</v>
      </c>
      <c r="K525" t="s">
        <v>10782</v>
      </c>
      <c r="L525" t="s">
        <v>32018</v>
      </c>
    </row>
    <row r="526" spans="1:12" ht="187.2" x14ac:dyDescent="0.3">
      <c r="A526" s="4" t="s">
        <v>3397</v>
      </c>
      <c r="B526">
        <v>1</v>
      </c>
      <c r="C526">
        <v>3</v>
      </c>
      <c r="D526">
        <v>2015</v>
      </c>
      <c r="E526" t="s">
        <v>550</v>
      </c>
      <c r="F526">
        <v>12</v>
      </c>
      <c r="G526" t="s">
        <v>32113</v>
      </c>
      <c r="H526" t="s">
        <v>32114</v>
      </c>
      <c r="I526" s="4" t="s">
        <v>32115</v>
      </c>
      <c r="J526" t="s">
        <v>71</v>
      </c>
      <c r="K526" t="s">
        <v>10782</v>
      </c>
      <c r="L526" t="s">
        <v>32116</v>
      </c>
    </row>
    <row r="527" spans="1:12" ht="72" x14ac:dyDescent="0.3">
      <c r="A527" s="4" t="s">
        <v>3398</v>
      </c>
      <c r="B527">
        <v>1</v>
      </c>
      <c r="C527">
        <v>3</v>
      </c>
      <c r="D527">
        <v>2015</v>
      </c>
      <c r="E527" t="s">
        <v>1570</v>
      </c>
      <c r="F527">
        <v>31</v>
      </c>
      <c r="G527" t="s">
        <v>32170</v>
      </c>
      <c r="H527" t="s">
        <v>32171</v>
      </c>
      <c r="I527" s="4" t="s">
        <v>32172</v>
      </c>
    </row>
    <row r="528" spans="1:12" ht="115.2" x14ac:dyDescent="0.3">
      <c r="A528" s="4" t="s">
        <v>3399</v>
      </c>
      <c r="B528">
        <v>1</v>
      </c>
      <c r="C528">
        <v>3</v>
      </c>
      <c r="D528">
        <v>2015</v>
      </c>
      <c r="E528" t="s">
        <v>26411</v>
      </c>
      <c r="F528">
        <v>1</v>
      </c>
      <c r="G528" t="s">
        <v>32192</v>
      </c>
      <c r="H528" t="s">
        <v>32193</v>
      </c>
      <c r="I528" s="4" t="s">
        <v>32194</v>
      </c>
    </row>
    <row r="529" spans="1:12" ht="86.4" x14ac:dyDescent="0.3">
      <c r="A529" s="4" t="s">
        <v>3400</v>
      </c>
      <c r="B529">
        <v>1</v>
      </c>
      <c r="C529">
        <v>3</v>
      </c>
      <c r="D529">
        <v>2015</v>
      </c>
      <c r="E529" t="s">
        <v>964</v>
      </c>
      <c r="F529">
        <v>53</v>
      </c>
      <c r="G529" t="s">
        <v>32342</v>
      </c>
      <c r="H529" t="s">
        <v>32343</v>
      </c>
      <c r="I529" s="4" t="s">
        <v>32344</v>
      </c>
      <c r="J529" t="s">
        <v>71</v>
      </c>
      <c r="K529" t="s">
        <v>10782</v>
      </c>
      <c r="L529" t="s">
        <v>32345</v>
      </c>
    </row>
    <row r="530" spans="1:12" ht="158.4" x14ac:dyDescent="0.3">
      <c r="A530" s="4" t="s">
        <v>3401</v>
      </c>
      <c r="B530">
        <v>1</v>
      </c>
      <c r="C530">
        <v>3</v>
      </c>
      <c r="D530">
        <v>2015</v>
      </c>
      <c r="E530" t="s">
        <v>329</v>
      </c>
      <c r="F530">
        <v>41</v>
      </c>
      <c r="G530" t="s">
        <v>32382</v>
      </c>
      <c r="H530" t="s">
        <v>32383</v>
      </c>
      <c r="I530" s="4" t="s">
        <v>32384</v>
      </c>
      <c r="J530" t="s">
        <v>71</v>
      </c>
      <c r="K530" t="s">
        <v>10782</v>
      </c>
      <c r="L530" t="s">
        <v>32385</v>
      </c>
    </row>
    <row r="531" spans="1:12" ht="230.4" x14ac:dyDescent="0.3">
      <c r="A531" s="4" t="s">
        <v>1894</v>
      </c>
      <c r="B531">
        <v>1</v>
      </c>
      <c r="C531">
        <v>1</v>
      </c>
      <c r="D531">
        <v>2015</v>
      </c>
      <c r="E531" t="s">
        <v>1849</v>
      </c>
      <c r="F531">
        <v>1863</v>
      </c>
      <c r="G531" t="s">
        <v>32437</v>
      </c>
      <c r="H531" t="s">
        <v>32438</v>
      </c>
      <c r="I531" s="4" t="s">
        <v>32439</v>
      </c>
      <c r="J531" t="s">
        <v>71</v>
      </c>
      <c r="K531" t="s">
        <v>10782</v>
      </c>
      <c r="L531" t="s">
        <v>32440</v>
      </c>
    </row>
    <row r="532" spans="1:12" ht="43.2" x14ac:dyDescent="0.3">
      <c r="A532" s="4" t="s">
        <v>3402</v>
      </c>
      <c r="B532">
        <v>1</v>
      </c>
      <c r="C532">
        <v>3</v>
      </c>
      <c r="D532">
        <v>2015</v>
      </c>
      <c r="E532" t="s">
        <v>318</v>
      </c>
      <c r="F532">
        <v>43</v>
      </c>
      <c r="G532" t="s">
        <v>32506</v>
      </c>
      <c r="H532" t="s">
        <v>32507</v>
      </c>
      <c r="I532" s="4" t="s">
        <v>32508</v>
      </c>
    </row>
    <row r="533" spans="1:12" ht="144" x14ac:dyDescent="0.3">
      <c r="A533" s="4" t="s">
        <v>3403</v>
      </c>
      <c r="B533">
        <v>1</v>
      </c>
      <c r="C533">
        <v>3</v>
      </c>
      <c r="D533">
        <v>2015</v>
      </c>
      <c r="E533" t="s">
        <v>217</v>
      </c>
      <c r="F533">
        <v>10</v>
      </c>
      <c r="G533" t="s">
        <v>32517</v>
      </c>
      <c r="H533" t="s">
        <v>32518</v>
      </c>
      <c r="I533" s="4" t="s">
        <v>32519</v>
      </c>
      <c r="J533" t="s">
        <v>71</v>
      </c>
      <c r="K533" t="s">
        <v>10782</v>
      </c>
      <c r="L533" t="s">
        <v>32520</v>
      </c>
    </row>
    <row r="534" spans="1:12" ht="230.4" x14ac:dyDescent="0.3">
      <c r="A534" s="4" t="s">
        <v>3404</v>
      </c>
      <c r="B534">
        <v>1</v>
      </c>
      <c r="C534">
        <v>3</v>
      </c>
      <c r="D534">
        <v>2015</v>
      </c>
      <c r="E534" t="s">
        <v>528</v>
      </c>
      <c r="F534">
        <v>53</v>
      </c>
      <c r="G534" t="s">
        <v>32535</v>
      </c>
      <c r="H534" t="s">
        <v>32536</v>
      </c>
      <c r="I534" s="4" t="s">
        <v>32537</v>
      </c>
    </row>
    <row r="535" spans="1:12" ht="201.6" x14ac:dyDescent="0.3">
      <c r="A535" s="4" t="s">
        <v>1983</v>
      </c>
      <c r="B535">
        <v>1</v>
      </c>
      <c r="C535">
        <v>1</v>
      </c>
      <c r="D535">
        <v>2015</v>
      </c>
      <c r="E535" t="s">
        <v>704</v>
      </c>
      <c r="F535">
        <v>43</v>
      </c>
      <c r="G535" t="s">
        <v>32564</v>
      </c>
      <c r="H535" t="s">
        <v>32565</v>
      </c>
      <c r="I535" s="4" t="s">
        <v>32566</v>
      </c>
      <c r="J535" t="s">
        <v>71</v>
      </c>
      <c r="K535" t="s">
        <v>10782</v>
      </c>
      <c r="L535" t="s">
        <v>32567</v>
      </c>
    </row>
    <row r="536" spans="1:12" ht="201.6" x14ac:dyDescent="0.3">
      <c r="A536" s="4" t="s">
        <v>1984</v>
      </c>
      <c r="B536">
        <v>1</v>
      </c>
      <c r="C536">
        <v>1</v>
      </c>
      <c r="D536">
        <v>2015</v>
      </c>
      <c r="E536" t="s">
        <v>177</v>
      </c>
      <c r="F536">
        <v>9</v>
      </c>
      <c r="G536" t="s">
        <v>32606</v>
      </c>
      <c r="H536" t="s">
        <v>32607</v>
      </c>
      <c r="I536" s="4" t="s">
        <v>32608</v>
      </c>
      <c r="J536" t="s">
        <v>71</v>
      </c>
      <c r="K536" t="s">
        <v>10782</v>
      </c>
      <c r="L536" t="s">
        <v>32609</v>
      </c>
    </row>
    <row r="537" spans="1:12" ht="259.2" x14ac:dyDescent="0.3">
      <c r="A537" s="4" t="s">
        <v>1986</v>
      </c>
      <c r="B537">
        <v>1</v>
      </c>
      <c r="C537">
        <v>1</v>
      </c>
      <c r="D537">
        <v>2015</v>
      </c>
      <c r="E537" t="s">
        <v>329</v>
      </c>
      <c r="F537">
        <v>6</v>
      </c>
      <c r="G537" t="s">
        <v>32617</v>
      </c>
      <c r="H537" t="s">
        <v>32618</v>
      </c>
      <c r="I537" s="4" t="s">
        <v>32619</v>
      </c>
      <c r="J537" t="s">
        <v>71</v>
      </c>
      <c r="K537" t="s">
        <v>10782</v>
      </c>
      <c r="L537" t="s">
        <v>32620</v>
      </c>
    </row>
    <row r="538" spans="1:12" ht="158.4" x14ac:dyDescent="0.3">
      <c r="A538" s="4" t="s">
        <v>1987</v>
      </c>
      <c r="B538">
        <v>1</v>
      </c>
      <c r="C538">
        <v>1</v>
      </c>
      <c r="D538">
        <v>2015</v>
      </c>
      <c r="E538" t="s">
        <v>2030</v>
      </c>
      <c r="F538">
        <v>44</v>
      </c>
      <c r="G538" t="s">
        <v>32756</v>
      </c>
      <c r="H538" t="s">
        <v>32757</v>
      </c>
      <c r="I538" s="4" t="s">
        <v>32758</v>
      </c>
      <c r="J538" t="s">
        <v>71</v>
      </c>
      <c r="K538" t="s">
        <v>10782</v>
      </c>
      <c r="L538" t="s">
        <v>32759</v>
      </c>
    </row>
    <row r="539" spans="1:12" ht="43.2" x14ac:dyDescent="0.3">
      <c r="A539" s="4" t="s">
        <v>3405</v>
      </c>
      <c r="B539">
        <v>1</v>
      </c>
      <c r="C539">
        <v>3</v>
      </c>
      <c r="D539">
        <v>2015</v>
      </c>
      <c r="E539" t="s">
        <v>799</v>
      </c>
      <c r="F539">
        <v>10</v>
      </c>
      <c r="G539" t="s">
        <v>32807</v>
      </c>
      <c r="H539" t="s">
        <v>32808</v>
      </c>
      <c r="I539" s="4" t="s">
        <v>32809</v>
      </c>
    </row>
    <row r="540" spans="1:12" ht="172.8" x14ac:dyDescent="0.3">
      <c r="A540" s="4" t="s">
        <v>3406</v>
      </c>
      <c r="B540">
        <v>1</v>
      </c>
      <c r="C540">
        <v>3</v>
      </c>
      <c r="D540">
        <v>2015</v>
      </c>
      <c r="E540" t="s">
        <v>1570</v>
      </c>
      <c r="F540">
        <v>34</v>
      </c>
      <c r="G540" t="s">
        <v>32886</v>
      </c>
      <c r="H540" t="s">
        <v>32887</v>
      </c>
      <c r="I540" s="4" t="s">
        <v>32888</v>
      </c>
      <c r="J540" t="s">
        <v>10823</v>
      </c>
      <c r="K540" t="s">
        <v>10782</v>
      </c>
      <c r="L540" t="s">
        <v>32889</v>
      </c>
    </row>
    <row r="541" spans="1:12" ht="144" x14ac:dyDescent="0.3">
      <c r="A541" s="4" t="s">
        <v>3407</v>
      </c>
      <c r="B541">
        <v>1</v>
      </c>
      <c r="C541">
        <v>3</v>
      </c>
      <c r="D541">
        <v>2015</v>
      </c>
      <c r="E541" t="s">
        <v>964</v>
      </c>
      <c r="F541">
        <v>88</v>
      </c>
      <c r="G541" t="s">
        <v>32926</v>
      </c>
      <c r="H541" t="s">
        <v>32927</v>
      </c>
      <c r="I541" s="4" t="s">
        <v>32928</v>
      </c>
      <c r="J541" t="s">
        <v>71</v>
      </c>
      <c r="K541" t="s">
        <v>10782</v>
      </c>
      <c r="L541" t="s">
        <v>32929</v>
      </c>
    </row>
    <row r="542" spans="1:12" ht="187.2" x14ac:dyDescent="0.3">
      <c r="A542" s="4" t="s">
        <v>1988</v>
      </c>
      <c r="B542">
        <v>1</v>
      </c>
      <c r="C542">
        <v>1</v>
      </c>
      <c r="D542">
        <v>2015</v>
      </c>
      <c r="E542" t="s">
        <v>217</v>
      </c>
      <c r="F542">
        <v>119</v>
      </c>
      <c r="G542" t="s">
        <v>32950</v>
      </c>
      <c r="H542" t="s">
        <v>32951</v>
      </c>
      <c r="I542" s="4" t="s">
        <v>32952</v>
      </c>
      <c r="J542" t="s">
        <v>71</v>
      </c>
      <c r="K542" t="s">
        <v>10782</v>
      </c>
      <c r="L542" t="s">
        <v>32953</v>
      </c>
    </row>
    <row r="543" spans="1:12" ht="187.2" x14ac:dyDescent="0.3">
      <c r="A543" s="4" t="s">
        <v>1989</v>
      </c>
      <c r="B543">
        <v>1</v>
      </c>
      <c r="C543">
        <v>1</v>
      </c>
      <c r="D543">
        <v>2014</v>
      </c>
      <c r="E543" t="s">
        <v>147</v>
      </c>
      <c r="F543">
        <v>10</v>
      </c>
      <c r="G543" t="s">
        <v>33065</v>
      </c>
      <c r="H543" t="s">
        <v>33066</v>
      </c>
      <c r="I543" s="4" t="s">
        <v>33067</v>
      </c>
      <c r="J543" t="s">
        <v>71</v>
      </c>
      <c r="K543" t="s">
        <v>10782</v>
      </c>
      <c r="L543" t="s">
        <v>33068</v>
      </c>
    </row>
    <row r="544" spans="1:12" ht="115.2" x14ac:dyDescent="0.3">
      <c r="A544" s="4" t="s">
        <v>3408</v>
      </c>
      <c r="B544">
        <v>1</v>
      </c>
      <c r="C544">
        <v>3</v>
      </c>
      <c r="D544">
        <v>2014</v>
      </c>
      <c r="E544" t="s">
        <v>11649</v>
      </c>
      <c r="F544">
        <v>16</v>
      </c>
      <c r="G544" t="s">
        <v>33097</v>
      </c>
      <c r="H544" t="s">
        <v>33098</v>
      </c>
      <c r="I544" s="4" t="s">
        <v>33099</v>
      </c>
      <c r="J544" t="s">
        <v>71</v>
      </c>
      <c r="K544" t="s">
        <v>10782</v>
      </c>
      <c r="L544" t="s">
        <v>33100</v>
      </c>
    </row>
    <row r="545" spans="1:12" ht="158.4" x14ac:dyDescent="0.3">
      <c r="A545" s="4" t="s">
        <v>1990</v>
      </c>
      <c r="B545">
        <v>1</v>
      </c>
      <c r="C545">
        <v>1</v>
      </c>
      <c r="D545">
        <v>2014</v>
      </c>
      <c r="E545" t="s">
        <v>329</v>
      </c>
      <c r="F545">
        <v>22</v>
      </c>
      <c r="G545" t="s">
        <v>33163</v>
      </c>
      <c r="H545" t="s">
        <v>33164</v>
      </c>
      <c r="I545" s="4" t="s">
        <v>33165</v>
      </c>
      <c r="J545" t="s">
        <v>71</v>
      </c>
      <c r="K545" t="s">
        <v>10782</v>
      </c>
      <c r="L545" t="s">
        <v>33166</v>
      </c>
    </row>
    <row r="546" spans="1:12" ht="187.2" x14ac:dyDescent="0.3">
      <c r="A546" s="4" t="s">
        <v>3409</v>
      </c>
      <c r="B546">
        <v>1</v>
      </c>
      <c r="C546">
        <v>3</v>
      </c>
      <c r="D546">
        <v>2014</v>
      </c>
      <c r="E546" t="s">
        <v>1794</v>
      </c>
      <c r="F546">
        <v>12</v>
      </c>
      <c r="G546" t="s">
        <v>33183</v>
      </c>
      <c r="H546" t="s">
        <v>33184</v>
      </c>
      <c r="I546" s="4" t="s">
        <v>33185</v>
      </c>
      <c r="J546" t="s">
        <v>71</v>
      </c>
      <c r="K546" t="s">
        <v>10782</v>
      </c>
      <c r="L546" t="s">
        <v>33186</v>
      </c>
    </row>
    <row r="547" spans="1:12" ht="201.6" x14ac:dyDescent="0.3">
      <c r="A547" s="4" t="s">
        <v>3410</v>
      </c>
      <c r="B547">
        <v>1</v>
      </c>
      <c r="C547">
        <v>3</v>
      </c>
      <c r="D547">
        <v>2014</v>
      </c>
      <c r="E547" t="s">
        <v>2389</v>
      </c>
      <c r="F547">
        <v>1</v>
      </c>
      <c r="G547" t="s">
        <v>33224</v>
      </c>
      <c r="H547" t="s">
        <v>33225</v>
      </c>
      <c r="I547" s="4" t="s">
        <v>33226</v>
      </c>
      <c r="J547" t="s">
        <v>71</v>
      </c>
      <c r="K547" t="s">
        <v>10782</v>
      </c>
      <c r="L547" t="s">
        <v>33227</v>
      </c>
    </row>
    <row r="548" spans="1:12" ht="216" x14ac:dyDescent="0.3">
      <c r="A548" s="4" t="s">
        <v>3411</v>
      </c>
      <c r="B548">
        <v>1</v>
      </c>
      <c r="C548">
        <v>3</v>
      </c>
      <c r="D548">
        <v>2014</v>
      </c>
      <c r="E548" t="s">
        <v>528</v>
      </c>
      <c r="F548">
        <v>39</v>
      </c>
      <c r="G548" t="s">
        <v>33330</v>
      </c>
      <c r="H548" t="s">
        <v>33331</v>
      </c>
      <c r="I548" s="4" t="s">
        <v>33332</v>
      </c>
      <c r="J548" t="s">
        <v>71</v>
      </c>
      <c r="K548" t="s">
        <v>10782</v>
      </c>
      <c r="L548" t="s">
        <v>33333</v>
      </c>
    </row>
    <row r="549" spans="1:12" ht="129.6" x14ac:dyDescent="0.3">
      <c r="A549" s="4" t="s">
        <v>1991</v>
      </c>
      <c r="B549">
        <v>1</v>
      </c>
      <c r="C549">
        <v>1</v>
      </c>
      <c r="D549">
        <v>2014</v>
      </c>
      <c r="E549" t="s">
        <v>627</v>
      </c>
      <c r="F549">
        <v>25</v>
      </c>
      <c r="G549" t="s">
        <v>33745</v>
      </c>
      <c r="H549" t="s">
        <v>33746</v>
      </c>
      <c r="I549" s="4" t="s">
        <v>33747</v>
      </c>
      <c r="J549" t="s">
        <v>71</v>
      </c>
      <c r="K549" t="s">
        <v>10782</v>
      </c>
      <c r="L549" t="s">
        <v>33748</v>
      </c>
    </row>
    <row r="550" spans="1:12" ht="100.8" x14ac:dyDescent="0.3">
      <c r="A550" s="4" t="s">
        <v>1992</v>
      </c>
      <c r="B550">
        <v>1</v>
      </c>
      <c r="C550">
        <v>1</v>
      </c>
      <c r="D550">
        <v>2014</v>
      </c>
      <c r="E550" t="s">
        <v>105</v>
      </c>
      <c r="F550">
        <v>5</v>
      </c>
      <c r="H550" t="s">
        <v>2074</v>
      </c>
      <c r="I550" s="4" t="s">
        <v>33779</v>
      </c>
      <c r="J550" s="4" t="s">
        <v>71</v>
      </c>
      <c r="K550" t="s">
        <v>10782</v>
      </c>
      <c r="L550" t="s">
        <v>33780</v>
      </c>
    </row>
    <row r="551" spans="1:12" ht="158.4" x14ac:dyDescent="0.3">
      <c r="A551" s="4" t="s">
        <v>1994</v>
      </c>
      <c r="B551">
        <v>1</v>
      </c>
      <c r="C551">
        <v>1</v>
      </c>
      <c r="D551">
        <v>2014</v>
      </c>
      <c r="E551" t="s">
        <v>2067</v>
      </c>
      <c r="F551">
        <v>26</v>
      </c>
      <c r="H551" t="s">
        <v>33781</v>
      </c>
      <c r="I551" s="4" t="s">
        <v>33782</v>
      </c>
      <c r="J551" s="4" t="s">
        <v>71</v>
      </c>
      <c r="K551" t="s">
        <v>10782</v>
      </c>
      <c r="L551" t="s">
        <v>33783</v>
      </c>
    </row>
    <row r="552" spans="1:12" ht="129.6" x14ac:dyDescent="0.3">
      <c r="A552" s="4" t="s">
        <v>1995</v>
      </c>
      <c r="B552">
        <v>1</v>
      </c>
      <c r="C552">
        <v>1</v>
      </c>
      <c r="D552">
        <v>2014</v>
      </c>
      <c r="E552" t="s">
        <v>2018</v>
      </c>
      <c r="F552">
        <v>33</v>
      </c>
      <c r="G552" t="s">
        <v>33826</v>
      </c>
      <c r="H552" t="s">
        <v>33827</v>
      </c>
      <c r="I552" s="4" t="s">
        <v>33828</v>
      </c>
      <c r="J552" t="s">
        <v>71</v>
      </c>
      <c r="K552" t="s">
        <v>10782</v>
      </c>
      <c r="L552" t="s">
        <v>33829</v>
      </c>
    </row>
    <row r="553" spans="1:12" ht="129.6" x14ac:dyDescent="0.3">
      <c r="A553" s="4" t="s">
        <v>3412</v>
      </c>
      <c r="B553">
        <v>1</v>
      </c>
      <c r="C553">
        <v>3</v>
      </c>
      <c r="D553">
        <v>2014</v>
      </c>
      <c r="E553" t="s">
        <v>217</v>
      </c>
      <c r="F553">
        <v>21</v>
      </c>
      <c r="G553" t="s">
        <v>33875</v>
      </c>
      <c r="H553" t="s">
        <v>33876</v>
      </c>
      <c r="I553" s="4" t="s">
        <v>33877</v>
      </c>
      <c r="J553" t="s">
        <v>71</v>
      </c>
      <c r="K553" t="s">
        <v>10782</v>
      </c>
      <c r="L553" t="s">
        <v>33878</v>
      </c>
    </row>
    <row r="554" spans="1:12" ht="158.4" x14ac:dyDescent="0.3">
      <c r="A554" s="4" t="s">
        <v>3413</v>
      </c>
      <c r="B554">
        <v>1</v>
      </c>
      <c r="C554">
        <v>3</v>
      </c>
      <c r="D554">
        <v>2014</v>
      </c>
      <c r="E554" t="s">
        <v>33940</v>
      </c>
      <c r="F554">
        <v>15</v>
      </c>
      <c r="G554" t="s">
        <v>33941</v>
      </c>
      <c r="H554" t="s">
        <v>33942</v>
      </c>
      <c r="I554" s="4" t="s">
        <v>33943</v>
      </c>
      <c r="J554" t="s">
        <v>10823</v>
      </c>
      <c r="K554" t="s">
        <v>10782</v>
      </c>
      <c r="L554" t="s">
        <v>33944</v>
      </c>
    </row>
    <row r="555" spans="1:12" ht="201.6" x14ac:dyDescent="0.3">
      <c r="A555" s="4" t="s">
        <v>3414</v>
      </c>
      <c r="B555">
        <v>1</v>
      </c>
      <c r="C555">
        <v>3</v>
      </c>
      <c r="D555">
        <v>2014</v>
      </c>
      <c r="E555" t="s">
        <v>11521</v>
      </c>
      <c r="F555">
        <v>40</v>
      </c>
      <c r="G555" t="s">
        <v>33971</v>
      </c>
      <c r="H555" t="s">
        <v>33972</v>
      </c>
      <c r="I555" s="4" t="s">
        <v>33973</v>
      </c>
    </row>
    <row r="556" spans="1:12" ht="201.6" x14ac:dyDescent="0.3">
      <c r="A556" s="4" t="s">
        <v>3415</v>
      </c>
      <c r="B556">
        <v>1</v>
      </c>
      <c r="C556">
        <v>3</v>
      </c>
      <c r="D556">
        <v>2014</v>
      </c>
      <c r="E556" t="s">
        <v>217</v>
      </c>
      <c r="F556">
        <v>1</v>
      </c>
      <c r="G556" t="s">
        <v>34041</v>
      </c>
      <c r="H556" t="s">
        <v>34042</v>
      </c>
      <c r="I556" s="4" t="s">
        <v>34043</v>
      </c>
      <c r="J556" t="s">
        <v>71</v>
      </c>
      <c r="K556" t="s">
        <v>10782</v>
      </c>
      <c r="L556" t="s">
        <v>34044</v>
      </c>
    </row>
    <row r="557" spans="1:12" ht="273.60000000000002" x14ac:dyDescent="0.3">
      <c r="A557" s="4" t="s">
        <v>3416</v>
      </c>
      <c r="B557">
        <v>1</v>
      </c>
      <c r="C557">
        <v>3</v>
      </c>
      <c r="D557">
        <v>2013</v>
      </c>
      <c r="E557" t="s">
        <v>550</v>
      </c>
      <c r="F557">
        <v>11</v>
      </c>
      <c r="G557" t="s">
        <v>34205</v>
      </c>
      <c r="H557" t="s">
        <v>34206</v>
      </c>
      <c r="I557" s="4" t="s">
        <v>34207</v>
      </c>
      <c r="J557" t="s">
        <v>71</v>
      </c>
      <c r="K557" t="s">
        <v>10782</v>
      </c>
      <c r="L557" t="s">
        <v>34208</v>
      </c>
    </row>
    <row r="558" spans="1:12" ht="216" x14ac:dyDescent="0.3">
      <c r="A558" s="4" t="s">
        <v>3417</v>
      </c>
      <c r="B558">
        <v>1</v>
      </c>
      <c r="C558">
        <v>3</v>
      </c>
      <c r="D558">
        <v>2013</v>
      </c>
      <c r="E558" t="s">
        <v>217</v>
      </c>
      <c r="F558">
        <v>92</v>
      </c>
      <c r="G558" t="s">
        <v>34217</v>
      </c>
      <c r="H558" t="s">
        <v>34218</v>
      </c>
      <c r="I558" s="4" t="s">
        <v>34219</v>
      </c>
      <c r="J558" t="s">
        <v>71</v>
      </c>
      <c r="K558" t="s">
        <v>10782</v>
      </c>
      <c r="L558" t="s">
        <v>34220</v>
      </c>
    </row>
    <row r="559" spans="1:12" ht="201.6" x14ac:dyDescent="0.3">
      <c r="A559" s="4" t="s">
        <v>3418</v>
      </c>
      <c r="B559">
        <v>1</v>
      </c>
      <c r="C559">
        <v>3</v>
      </c>
      <c r="D559">
        <v>2013</v>
      </c>
      <c r="E559" t="s">
        <v>550</v>
      </c>
      <c r="F559">
        <v>22</v>
      </c>
      <c r="G559" t="s">
        <v>34266</v>
      </c>
      <c r="H559" t="s">
        <v>34267</v>
      </c>
      <c r="I559" s="4" t="s">
        <v>34268</v>
      </c>
      <c r="J559" t="s">
        <v>71</v>
      </c>
      <c r="K559" t="s">
        <v>10782</v>
      </c>
      <c r="L559" t="s">
        <v>34269</v>
      </c>
    </row>
    <row r="560" spans="1:12" ht="259.2" x14ac:dyDescent="0.3">
      <c r="A560" s="4" t="s">
        <v>1996</v>
      </c>
      <c r="B560">
        <v>1</v>
      </c>
      <c r="C560">
        <v>1</v>
      </c>
      <c r="D560">
        <v>2013</v>
      </c>
      <c r="E560" t="s">
        <v>329</v>
      </c>
      <c r="F560">
        <v>186</v>
      </c>
      <c r="G560" t="s">
        <v>34309</v>
      </c>
      <c r="H560" t="s">
        <v>34310</v>
      </c>
      <c r="I560" s="4" t="s">
        <v>34311</v>
      </c>
      <c r="J560" t="s">
        <v>71</v>
      </c>
      <c r="K560" t="s">
        <v>10782</v>
      </c>
      <c r="L560" t="s">
        <v>34312</v>
      </c>
    </row>
    <row r="561" spans="1:12" ht="144" x14ac:dyDescent="0.3">
      <c r="A561" s="4" t="s">
        <v>1997</v>
      </c>
      <c r="B561">
        <v>1</v>
      </c>
      <c r="C561">
        <v>1</v>
      </c>
      <c r="D561">
        <v>2013</v>
      </c>
      <c r="E561" t="s">
        <v>1426</v>
      </c>
      <c r="F561">
        <v>1716</v>
      </c>
      <c r="G561" t="s">
        <v>34370</v>
      </c>
      <c r="H561" t="s">
        <v>34371</v>
      </c>
      <c r="I561" s="4" t="s">
        <v>34372</v>
      </c>
      <c r="J561" t="s">
        <v>71</v>
      </c>
      <c r="K561" t="s">
        <v>10782</v>
      </c>
      <c r="L561" t="s">
        <v>34373</v>
      </c>
    </row>
    <row r="562" spans="1:12" ht="172.8" x14ac:dyDescent="0.3">
      <c r="A562" s="4" t="s">
        <v>3419</v>
      </c>
      <c r="B562">
        <v>1</v>
      </c>
      <c r="C562">
        <v>3</v>
      </c>
      <c r="D562">
        <v>2013</v>
      </c>
      <c r="E562" t="s">
        <v>1570</v>
      </c>
      <c r="F562">
        <v>29</v>
      </c>
      <c r="G562" t="s">
        <v>34489</v>
      </c>
      <c r="H562" t="s">
        <v>34490</v>
      </c>
      <c r="I562" s="4" t="s">
        <v>34491</v>
      </c>
      <c r="J562" t="s">
        <v>71</v>
      </c>
      <c r="K562" t="s">
        <v>10782</v>
      </c>
      <c r="L562" t="s">
        <v>34492</v>
      </c>
    </row>
    <row r="563" spans="1:12" ht="187.2" x14ac:dyDescent="0.3">
      <c r="A563" s="4" t="s">
        <v>3420</v>
      </c>
      <c r="B563">
        <v>1</v>
      </c>
      <c r="C563">
        <v>3</v>
      </c>
      <c r="D563">
        <v>2013</v>
      </c>
      <c r="E563" t="s">
        <v>11231</v>
      </c>
      <c r="F563">
        <v>9</v>
      </c>
      <c r="G563" t="s">
        <v>34501</v>
      </c>
      <c r="H563" t="s">
        <v>34502</v>
      </c>
      <c r="I563" s="4" t="s">
        <v>34503</v>
      </c>
      <c r="J563" t="s">
        <v>71</v>
      </c>
      <c r="K563" t="s">
        <v>10782</v>
      </c>
      <c r="L563" t="s">
        <v>34504</v>
      </c>
    </row>
    <row r="564" spans="1:12" ht="187.2" x14ac:dyDescent="0.3">
      <c r="A564" s="4" t="s">
        <v>2078</v>
      </c>
      <c r="B564">
        <v>1</v>
      </c>
      <c r="C564">
        <v>1</v>
      </c>
      <c r="D564">
        <v>2013</v>
      </c>
      <c r="E564" t="s">
        <v>550</v>
      </c>
      <c r="F564">
        <v>53</v>
      </c>
      <c r="G564" t="s">
        <v>34591</v>
      </c>
      <c r="H564" t="s">
        <v>34592</v>
      </c>
      <c r="I564" s="4" t="s">
        <v>34593</v>
      </c>
      <c r="J564" t="s">
        <v>71</v>
      </c>
      <c r="K564" t="s">
        <v>10782</v>
      </c>
      <c r="L564" t="s">
        <v>34594</v>
      </c>
    </row>
    <row r="565" spans="1:12" ht="115.2" x14ac:dyDescent="0.3">
      <c r="A565" s="4" t="s">
        <v>3421</v>
      </c>
      <c r="B565">
        <v>1</v>
      </c>
      <c r="C565">
        <v>3</v>
      </c>
      <c r="D565">
        <v>2013</v>
      </c>
      <c r="E565" t="s">
        <v>217</v>
      </c>
      <c r="F565">
        <v>57</v>
      </c>
      <c r="G565" t="s">
        <v>34610</v>
      </c>
      <c r="H565" t="s">
        <v>34611</v>
      </c>
      <c r="I565" s="4" t="s">
        <v>34612</v>
      </c>
    </row>
    <row r="566" spans="1:12" ht="201.6" x14ac:dyDescent="0.3">
      <c r="A566" s="4" t="s">
        <v>2079</v>
      </c>
      <c r="B566">
        <v>1</v>
      </c>
      <c r="C566">
        <v>1</v>
      </c>
      <c r="D566">
        <v>2013</v>
      </c>
      <c r="E566" t="s">
        <v>217</v>
      </c>
      <c r="F566">
        <v>8</v>
      </c>
      <c r="G566" t="s">
        <v>34677</v>
      </c>
      <c r="H566" t="s">
        <v>34678</v>
      </c>
      <c r="I566" s="4" t="s">
        <v>34679</v>
      </c>
      <c r="J566" t="s">
        <v>71</v>
      </c>
      <c r="K566" t="s">
        <v>10782</v>
      </c>
      <c r="L566" t="s">
        <v>34680</v>
      </c>
    </row>
    <row r="567" spans="1:12" ht="172.8" x14ac:dyDescent="0.3">
      <c r="A567" s="4" t="s">
        <v>3422</v>
      </c>
      <c r="B567">
        <v>1</v>
      </c>
      <c r="C567">
        <v>3</v>
      </c>
      <c r="D567">
        <v>2013</v>
      </c>
      <c r="E567" t="s">
        <v>550</v>
      </c>
      <c r="F567">
        <v>12</v>
      </c>
      <c r="G567" t="s">
        <v>34699</v>
      </c>
      <c r="H567" t="s">
        <v>34700</v>
      </c>
      <c r="I567" s="4" t="s">
        <v>34701</v>
      </c>
      <c r="J567" t="s">
        <v>71</v>
      </c>
      <c r="K567" t="s">
        <v>10782</v>
      </c>
      <c r="L567" t="s">
        <v>34702</v>
      </c>
    </row>
    <row r="568" spans="1:12" ht="172.8" x14ac:dyDescent="0.3">
      <c r="A568" s="4" t="s">
        <v>3423</v>
      </c>
      <c r="B568">
        <v>1</v>
      </c>
      <c r="C568">
        <v>3</v>
      </c>
      <c r="D568">
        <v>2013</v>
      </c>
      <c r="E568" t="s">
        <v>1841</v>
      </c>
      <c r="F568">
        <v>31</v>
      </c>
      <c r="G568" t="s">
        <v>34726</v>
      </c>
      <c r="H568" t="s">
        <v>34727</v>
      </c>
      <c r="I568" s="4" t="s">
        <v>34728</v>
      </c>
      <c r="J568" t="s">
        <v>71</v>
      </c>
      <c r="K568" t="s">
        <v>10782</v>
      </c>
      <c r="L568" t="s">
        <v>34729</v>
      </c>
    </row>
    <row r="569" spans="1:12" ht="187.2" x14ac:dyDescent="0.3">
      <c r="A569" s="4" t="s">
        <v>2080</v>
      </c>
      <c r="B569">
        <v>1</v>
      </c>
      <c r="C569">
        <v>1</v>
      </c>
      <c r="D569">
        <v>2013</v>
      </c>
      <c r="E569" t="s">
        <v>177</v>
      </c>
      <c r="F569">
        <v>12</v>
      </c>
      <c r="G569" t="s">
        <v>34774</v>
      </c>
      <c r="H569" t="s">
        <v>34775</v>
      </c>
      <c r="I569" s="4" t="s">
        <v>34776</v>
      </c>
    </row>
    <row r="570" spans="1:12" ht="158.4" x14ac:dyDescent="0.3">
      <c r="A570" s="4" t="s">
        <v>3424</v>
      </c>
      <c r="B570">
        <v>1</v>
      </c>
      <c r="C570">
        <v>3</v>
      </c>
      <c r="D570">
        <v>2013</v>
      </c>
      <c r="E570" t="s">
        <v>13049</v>
      </c>
      <c r="F570">
        <v>25</v>
      </c>
      <c r="G570" t="s">
        <v>34817</v>
      </c>
      <c r="H570" t="s">
        <v>34818</v>
      </c>
      <c r="I570" s="4" t="s">
        <v>34819</v>
      </c>
      <c r="J570" t="s">
        <v>71</v>
      </c>
      <c r="K570" t="s">
        <v>10782</v>
      </c>
      <c r="L570" t="s">
        <v>34820</v>
      </c>
    </row>
    <row r="571" spans="1:12" ht="129.6" x14ac:dyDescent="0.3">
      <c r="A571" s="4" t="s">
        <v>3425</v>
      </c>
      <c r="B571">
        <v>1</v>
      </c>
      <c r="C571">
        <v>3</v>
      </c>
      <c r="D571">
        <v>2013</v>
      </c>
      <c r="E571" t="s">
        <v>1426</v>
      </c>
      <c r="F571">
        <v>209</v>
      </c>
      <c r="G571" t="s">
        <v>34910</v>
      </c>
      <c r="H571" t="s">
        <v>34911</v>
      </c>
      <c r="I571" s="4" t="s">
        <v>34912</v>
      </c>
      <c r="J571" t="s">
        <v>71</v>
      </c>
      <c r="K571" t="s">
        <v>10782</v>
      </c>
      <c r="L571" t="s">
        <v>34913</v>
      </c>
    </row>
    <row r="572" spans="1:12" ht="172.8" x14ac:dyDescent="0.3">
      <c r="A572" s="4" t="s">
        <v>3426</v>
      </c>
      <c r="B572">
        <v>1</v>
      </c>
      <c r="C572">
        <v>3</v>
      </c>
      <c r="D572">
        <v>2013</v>
      </c>
      <c r="E572" t="s">
        <v>2282</v>
      </c>
      <c r="F572">
        <v>81</v>
      </c>
      <c r="G572" t="s">
        <v>34976</v>
      </c>
      <c r="H572" t="s">
        <v>34977</v>
      </c>
      <c r="I572" s="4" t="s">
        <v>34978</v>
      </c>
      <c r="J572" t="s">
        <v>71</v>
      </c>
      <c r="K572" t="s">
        <v>10782</v>
      </c>
      <c r="L572" t="s">
        <v>34979</v>
      </c>
    </row>
    <row r="573" spans="1:12" ht="144" x14ac:dyDescent="0.3">
      <c r="A573" s="4" t="s">
        <v>3427</v>
      </c>
      <c r="B573">
        <v>1</v>
      </c>
      <c r="C573">
        <v>3</v>
      </c>
      <c r="D573">
        <v>2013</v>
      </c>
      <c r="E573" t="s">
        <v>14436</v>
      </c>
      <c r="F573">
        <v>14</v>
      </c>
      <c r="G573" t="s">
        <v>35039</v>
      </c>
      <c r="H573" t="s">
        <v>35040</v>
      </c>
      <c r="I573" s="4" t="s">
        <v>35041</v>
      </c>
      <c r="J573" t="s">
        <v>71</v>
      </c>
      <c r="K573" t="s">
        <v>10782</v>
      </c>
      <c r="L573" t="s">
        <v>35042</v>
      </c>
    </row>
    <row r="574" spans="1:12" ht="187.2" x14ac:dyDescent="0.3">
      <c r="A574" s="4" t="s">
        <v>2081</v>
      </c>
      <c r="B574">
        <v>1</v>
      </c>
      <c r="C574">
        <v>1</v>
      </c>
      <c r="D574">
        <v>2013</v>
      </c>
      <c r="E574" t="s">
        <v>329</v>
      </c>
      <c r="F574">
        <v>27</v>
      </c>
      <c r="G574" t="s">
        <v>35043</v>
      </c>
      <c r="H574" t="s">
        <v>35044</v>
      </c>
      <c r="I574" s="4" t="s">
        <v>35045</v>
      </c>
      <c r="J574" t="s">
        <v>71</v>
      </c>
      <c r="K574" t="s">
        <v>10782</v>
      </c>
      <c r="L574" t="s">
        <v>35046</v>
      </c>
    </row>
    <row r="575" spans="1:12" ht="244.8" x14ac:dyDescent="0.3">
      <c r="A575" s="4" t="s">
        <v>2082</v>
      </c>
      <c r="B575">
        <v>1</v>
      </c>
      <c r="C575">
        <v>1</v>
      </c>
      <c r="D575">
        <v>2013</v>
      </c>
      <c r="E575" t="s">
        <v>217</v>
      </c>
      <c r="F575">
        <v>56</v>
      </c>
      <c r="G575" t="s">
        <v>35095</v>
      </c>
      <c r="H575" t="s">
        <v>35096</v>
      </c>
      <c r="I575" s="4" t="s">
        <v>35097</v>
      </c>
      <c r="J575" t="s">
        <v>71</v>
      </c>
      <c r="K575" t="s">
        <v>10782</v>
      </c>
      <c r="L575" t="s">
        <v>35098</v>
      </c>
    </row>
    <row r="576" spans="1:12" ht="144" x14ac:dyDescent="0.3">
      <c r="A576" s="4" t="s">
        <v>2083</v>
      </c>
      <c r="B576">
        <v>1</v>
      </c>
      <c r="C576">
        <v>1</v>
      </c>
      <c r="D576">
        <v>2013</v>
      </c>
      <c r="E576" t="s">
        <v>2267</v>
      </c>
      <c r="F576">
        <v>104</v>
      </c>
      <c r="G576" t="s">
        <v>35466</v>
      </c>
      <c r="H576" t="s">
        <v>35467</v>
      </c>
      <c r="I576" s="4" t="s">
        <v>35468</v>
      </c>
      <c r="J576" t="s">
        <v>71</v>
      </c>
      <c r="K576" t="s">
        <v>10782</v>
      </c>
      <c r="L576" t="s">
        <v>35469</v>
      </c>
    </row>
    <row r="577" spans="1:12" ht="43.2" x14ac:dyDescent="0.3">
      <c r="A577" s="4" t="s">
        <v>2084</v>
      </c>
      <c r="B577">
        <v>1</v>
      </c>
      <c r="C577">
        <v>1</v>
      </c>
      <c r="D577">
        <v>2013</v>
      </c>
      <c r="E577" t="s">
        <v>217</v>
      </c>
      <c r="F577">
        <v>8</v>
      </c>
      <c r="G577" t="s">
        <v>35501</v>
      </c>
      <c r="H577" t="s">
        <v>35502</v>
      </c>
      <c r="I577" s="4" t="s">
        <v>35503</v>
      </c>
    </row>
    <row r="578" spans="1:12" ht="201.6" x14ac:dyDescent="0.3">
      <c r="A578" s="4" t="s">
        <v>3428</v>
      </c>
      <c r="B578">
        <v>1</v>
      </c>
      <c r="C578">
        <v>3</v>
      </c>
      <c r="D578">
        <v>2012</v>
      </c>
      <c r="E578" t="s">
        <v>1570</v>
      </c>
      <c r="F578">
        <v>5</v>
      </c>
      <c r="G578" t="s">
        <v>35569</v>
      </c>
      <c r="H578" t="s">
        <v>35570</v>
      </c>
      <c r="I578" s="4" t="s">
        <v>35571</v>
      </c>
      <c r="J578" t="s">
        <v>71</v>
      </c>
      <c r="K578" t="s">
        <v>10782</v>
      </c>
      <c r="L578" t="s">
        <v>35572</v>
      </c>
    </row>
    <row r="579" spans="1:12" ht="187.2" x14ac:dyDescent="0.3">
      <c r="A579" s="4" t="s">
        <v>3429</v>
      </c>
      <c r="B579">
        <v>1</v>
      </c>
      <c r="C579">
        <v>3</v>
      </c>
      <c r="D579">
        <v>2012</v>
      </c>
      <c r="E579" t="s">
        <v>35651</v>
      </c>
      <c r="F579">
        <v>57</v>
      </c>
      <c r="G579" t="s">
        <v>35652</v>
      </c>
      <c r="H579" t="s">
        <v>35653</v>
      </c>
      <c r="I579" s="4" t="s">
        <v>35654</v>
      </c>
      <c r="J579" t="s">
        <v>71</v>
      </c>
      <c r="K579" t="s">
        <v>10782</v>
      </c>
      <c r="L579" t="s">
        <v>35655</v>
      </c>
    </row>
    <row r="580" spans="1:12" ht="201.6" x14ac:dyDescent="0.3">
      <c r="A580" s="4" t="s">
        <v>2085</v>
      </c>
      <c r="B580">
        <v>1</v>
      </c>
      <c r="C580">
        <v>1</v>
      </c>
      <c r="D580">
        <v>2012</v>
      </c>
      <c r="E580" t="s">
        <v>1401</v>
      </c>
      <c r="F580">
        <v>6</v>
      </c>
      <c r="G580" t="s">
        <v>35712</v>
      </c>
      <c r="H580" t="s">
        <v>35713</v>
      </c>
      <c r="I580" s="4" t="s">
        <v>35714</v>
      </c>
      <c r="J580" t="s">
        <v>71</v>
      </c>
      <c r="K580" t="s">
        <v>10782</v>
      </c>
      <c r="L580" t="s">
        <v>35715</v>
      </c>
    </row>
    <row r="581" spans="1:12" ht="187.2" x14ac:dyDescent="0.3">
      <c r="A581" s="4" t="s">
        <v>2087</v>
      </c>
      <c r="B581">
        <v>1</v>
      </c>
      <c r="C581">
        <v>1</v>
      </c>
      <c r="D581">
        <v>2012</v>
      </c>
      <c r="E581" t="s">
        <v>2282</v>
      </c>
      <c r="F581">
        <v>44</v>
      </c>
      <c r="G581" t="s">
        <v>35921</v>
      </c>
      <c r="H581" t="s">
        <v>35922</v>
      </c>
      <c r="I581" s="4" t="s">
        <v>35923</v>
      </c>
      <c r="J581" t="s">
        <v>71</v>
      </c>
      <c r="K581" t="s">
        <v>10782</v>
      </c>
      <c r="L581" t="s">
        <v>35924</v>
      </c>
    </row>
    <row r="582" spans="1:12" ht="158.4" x14ac:dyDescent="0.3">
      <c r="A582" s="4" t="s">
        <v>2088</v>
      </c>
      <c r="B582">
        <v>1</v>
      </c>
      <c r="C582">
        <v>1</v>
      </c>
      <c r="D582">
        <v>2012</v>
      </c>
      <c r="E582" t="s">
        <v>550</v>
      </c>
      <c r="F582">
        <v>139</v>
      </c>
      <c r="G582" t="s">
        <v>35958</v>
      </c>
      <c r="H582" t="s">
        <v>35959</v>
      </c>
      <c r="I582" s="4" t="s">
        <v>35960</v>
      </c>
      <c r="J582" t="s">
        <v>71</v>
      </c>
      <c r="K582" t="s">
        <v>10782</v>
      </c>
      <c r="L582" t="s">
        <v>35961</v>
      </c>
    </row>
    <row r="583" spans="1:12" ht="172.8" x14ac:dyDescent="0.3">
      <c r="A583" s="4" t="s">
        <v>2089</v>
      </c>
      <c r="B583">
        <v>1</v>
      </c>
      <c r="C583">
        <v>1</v>
      </c>
      <c r="D583">
        <v>2012</v>
      </c>
      <c r="E583" t="s">
        <v>217</v>
      </c>
      <c r="F583">
        <v>142</v>
      </c>
      <c r="G583" t="s">
        <v>35978</v>
      </c>
      <c r="H583" t="s">
        <v>35979</v>
      </c>
      <c r="I583" s="4" t="s">
        <v>35980</v>
      </c>
      <c r="J583" t="s">
        <v>71</v>
      </c>
      <c r="K583" t="s">
        <v>10782</v>
      </c>
      <c r="L583" t="s">
        <v>35981</v>
      </c>
    </row>
    <row r="584" spans="1:12" ht="216" x14ac:dyDescent="0.3">
      <c r="A584" s="4" t="s">
        <v>2090</v>
      </c>
      <c r="B584">
        <v>1</v>
      </c>
      <c r="C584">
        <v>1</v>
      </c>
      <c r="D584">
        <v>2012</v>
      </c>
      <c r="E584" t="s">
        <v>799</v>
      </c>
      <c r="F584">
        <v>47</v>
      </c>
      <c r="G584" t="s">
        <v>35990</v>
      </c>
      <c r="H584" t="s">
        <v>35991</v>
      </c>
      <c r="I584" s="4" t="s">
        <v>35992</v>
      </c>
      <c r="J584" t="s">
        <v>71</v>
      </c>
      <c r="K584" t="s">
        <v>10782</v>
      </c>
      <c r="L584" t="s">
        <v>35993</v>
      </c>
    </row>
    <row r="585" spans="1:12" ht="158.4" x14ac:dyDescent="0.3">
      <c r="A585" s="4" t="s">
        <v>2092</v>
      </c>
      <c r="B585">
        <v>1</v>
      </c>
      <c r="C585">
        <v>1</v>
      </c>
      <c r="D585">
        <v>2012</v>
      </c>
      <c r="E585" t="s">
        <v>2222</v>
      </c>
      <c r="F585">
        <v>5</v>
      </c>
      <c r="H585" t="s">
        <v>2228</v>
      </c>
      <c r="I585" s="4" t="s">
        <v>36025</v>
      </c>
      <c r="J585" s="4" t="s">
        <v>71</v>
      </c>
      <c r="K585" t="s">
        <v>10782</v>
      </c>
      <c r="L585" t="s">
        <v>36026</v>
      </c>
    </row>
    <row r="586" spans="1:12" ht="57.6" x14ac:dyDescent="0.3">
      <c r="A586" s="4" t="s">
        <v>2091</v>
      </c>
      <c r="B586">
        <v>1</v>
      </c>
      <c r="C586">
        <v>1</v>
      </c>
      <c r="D586">
        <v>2012</v>
      </c>
      <c r="E586" t="s">
        <v>2233</v>
      </c>
      <c r="F586">
        <v>171</v>
      </c>
      <c r="G586" t="s">
        <v>36051</v>
      </c>
      <c r="H586" t="s">
        <v>36052</v>
      </c>
      <c r="I586" s="4" t="s">
        <v>36053</v>
      </c>
    </row>
    <row r="587" spans="1:12" ht="158.4" x14ac:dyDescent="0.3">
      <c r="A587" s="4" t="s">
        <v>2093</v>
      </c>
      <c r="B587">
        <v>1</v>
      </c>
      <c r="C587">
        <v>1</v>
      </c>
      <c r="D587">
        <v>2012</v>
      </c>
      <c r="E587" t="s">
        <v>2222</v>
      </c>
      <c r="F587">
        <v>4</v>
      </c>
      <c r="H587" t="s">
        <v>2223</v>
      </c>
      <c r="I587" s="4" t="s">
        <v>36066</v>
      </c>
      <c r="J587" s="4" t="s">
        <v>71</v>
      </c>
      <c r="K587" t="s">
        <v>10782</v>
      </c>
      <c r="L587" t="s">
        <v>36067</v>
      </c>
    </row>
    <row r="588" spans="1:12" ht="172.8" x14ac:dyDescent="0.3">
      <c r="A588" s="4" t="s">
        <v>2094</v>
      </c>
      <c r="B588">
        <v>1</v>
      </c>
      <c r="C588">
        <v>1</v>
      </c>
      <c r="D588">
        <v>2012</v>
      </c>
      <c r="E588" t="s">
        <v>2210</v>
      </c>
      <c r="F588">
        <v>1</v>
      </c>
      <c r="H588" t="s">
        <v>2211</v>
      </c>
      <c r="I588" s="4" t="s">
        <v>36076</v>
      </c>
      <c r="J588" s="4" t="s">
        <v>71</v>
      </c>
      <c r="K588" t="s">
        <v>10782</v>
      </c>
      <c r="L588" t="s">
        <v>36077</v>
      </c>
    </row>
    <row r="589" spans="1:12" ht="259.2" x14ac:dyDescent="0.3">
      <c r="A589" s="4" t="s">
        <v>2095</v>
      </c>
      <c r="B589">
        <v>1</v>
      </c>
      <c r="C589">
        <v>1</v>
      </c>
      <c r="D589">
        <v>2012</v>
      </c>
      <c r="E589" t="s">
        <v>217</v>
      </c>
      <c r="F589">
        <v>19</v>
      </c>
      <c r="G589" t="s">
        <v>36148</v>
      </c>
      <c r="H589" t="s">
        <v>36149</v>
      </c>
      <c r="I589" s="4" t="s">
        <v>36150</v>
      </c>
      <c r="J589" t="s">
        <v>71</v>
      </c>
      <c r="K589" t="s">
        <v>10782</v>
      </c>
      <c r="L589" t="s">
        <v>36151</v>
      </c>
    </row>
    <row r="590" spans="1:12" ht="144" x14ac:dyDescent="0.3">
      <c r="A590" s="4" t="s">
        <v>3430</v>
      </c>
      <c r="B590">
        <v>1</v>
      </c>
      <c r="C590">
        <v>3</v>
      </c>
      <c r="D590">
        <v>2012</v>
      </c>
      <c r="E590" t="s">
        <v>1794</v>
      </c>
      <c r="F590">
        <v>13</v>
      </c>
      <c r="G590" t="s">
        <v>36156</v>
      </c>
      <c r="H590" t="s">
        <v>36157</v>
      </c>
      <c r="I590" s="4" t="s">
        <v>36158</v>
      </c>
      <c r="J590" t="s">
        <v>71</v>
      </c>
      <c r="K590" t="s">
        <v>10782</v>
      </c>
      <c r="L590" t="s">
        <v>36159</v>
      </c>
    </row>
    <row r="591" spans="1:12" ht="172.8" x14ac:dyDescent="0.3">
      <c r="A591" s="4" t="s">
        <v>3431</v>
      </c>
      <c r="B591">
        <v>1</v>
      </c>
      <c r="C591">
        <v>3</v>
      </c>
      <c r="D591">
        <v>2012</v>
      </c>
      <c r="E591" t="s">
        <v>637</v>
      </c>
      <c r="F591">
        <v>88</v>
      </c>
      <c r="G591" t="s">
        <v>36175</v>
      </c>
      <c r="H591" t="s">
        <v>36176</v>
      </c>
      <c r="I591" s="4" t="s">
        <v>36177</v>
      </c>
      <c r="J591" t="s">
        <v>71</v>
      </c>
      <c r="K591" t="s">
        <v>10782</v>
      </c>
      <c r="L591" t="s">
        <v>36178</v>
      </c>
    </row>
    <row r="592" spans="1:12" ht="201.6" x14ac:dyDescent="0.3">
      <c r="A592" s="4" t="s">
        <v>2096</v>
      </c>
      <c r="B592">
        <v>1</v>
      </c>
      <c r="C592">
        <v>1</v>
      </c>
      <c r="D592">
        <v>2012</v>
      </c>
      <c r="E592" t="s">
        <v>2201</v>
      </c>
      <c r="F592">
        <v>78</v>
      </c>
      <c r="G592" t="s">
        <v>36198</v>
      </c>
      <c r="H592" t="s">
        <v>36199</v>
      </c>
      <c r="I592" s="4" t="s">
        <v>36200</v>
      </c>
    </row>
    <row r="593" spans="1:12" ht="100.8" x14ac:dyDescent="0.3">
      <c r="A593" s="4" t="s">
        <v>3432</v>
      </c>
      <c r="B593">
        <v>1</v>
      </c>
      <c r="C593">
        <v>2</v>
      </c>
      <c r="D593">
        <v>2012</v>
      </c>
      <c r="E593" t="s">
        <v>13066</v>
      </c>
      <c r="F593">
        <v>13</v>
      </c>
      <c r="G593" t="s">
        <v>36290</v>
      </c>
      <c r="H593" t="s">
        <v>36291</v>
      </c>
      <c r="I593" s="4" t="s">
        <v>36292</v>
      </c>
      <c r="J593" t="s">
        <v>71</v>
      </c>
      <c r="K593" t="s">
        <v>10782</v>
      </c>
      <c r="L593" t="s">
        <v>36293</v>
      </c>
    </row>
    <row r="594" spans="1:12" ht="129.6" x14ac:dyDescent="0.3">
      <c r="A594" s="4" t="s">
        <v>2097</v>
      </c>
      <c r="B594">
        <v>1</v>
      </c>
      <c r="C594">
        <v>1</v>
      </c>
      <c r="D594">
        <v>2012</v>
      </c>
      <c r="E594" t="s">
        <v>217</v>
      </c>
      <c r="F594">
        <v>1</v>
      </c>
      <c r="G594" t="s">
        <v>36342</v>
      </c>
      <c r="H594" t="s">
        <v>36343</v>
      </c>
      <c r="I594" s="4" t="s">
        <v>36344</v>
      </c>
      <c r="J594" t="s">
        <v>71</v>
      </c>
      <c r="K594" t="s">
        <v>10782</v>
      </c>
      <c r="L594" t="s">
        <v>36345</v>
      </c>
    </row>
    <row r="595" spans="1:12" ht="216" x14ac:dyDescent="0.3">
      <c r="A595" s="4" t="s">
        <v>2099</v>
      </c>
      <c r="B595">
        <v>1</v>
      </c>
      <c r="C595">
        <v>1</v>
      </c>
      <c r="D595">
        <v>2012</v>
      </c>
      <c r="E595" t="s">
        <v>1570</v>
      </c>
      <c r="F595">
        <v>32</v>
      </c>
      <c r="G595" t="s">
        <v>36424</v>
      </c>
      <c r="H595" t="s">
        <v>36425</v>
      </c>
      <c r="I595" s="4" t="s">
        <v>36426</v>
      </c>
      <c r="J595" t="s">
        <v>71</v>
      </c>
      <c r="K595" t="s">
        <v>10782</v>
      </c>
      <c r="L595" t="s">
        <v>36427</v>
      </c>
    </row>
    <row r="596" spans="1:12" ht="100.8" x14ac:dyDescent="0.3">
      <c r="A596" s="4" t="s">
        <v>2101</v>
      </c>
      <c r="B596">
        <v>1</v>
      </c>
      <c r="C596">
        <v>1</v>
      </c>
      <c r="D596">
        <v>2012</v>
      </c>
      <c r="E596" t="s">
        <v>217</v>
      </c>
      <c r="F596">
        <v>135</v>
      </c>
      <c r="G596" t="s">
        <v>36447</v>
      </c>
      <c r="H596" t="s">
        <v>36448</v>
      </c>
      <c r="I596" s="4" t="s">
        <v>36449</v>
      </c>
    </row>
    <row r="597" spans="1:12" ht="216" x14ac:dyDescent="0.3">
      <c r="A597" s="4" t="s">
        <v>2102</v>
      </c>
      <c r="B597">
        <v>1</v>
      </c>
      <c r="C597">
        <v>1</v>
      </c>
      <c r="D597">
        <v>2012</v>
      </c>
      <c r="E597" t="s">
        <v>1525</v>
      </c>
      <c r="F597">
        <v>59</v>
      </c>
      <c r="G597" t="s">
        <v>36494</v>
      </c>
      <c r="H597" t="s">
        <v>36495</v>
      </c>
      <c r="I597" s="4" t="s">
        <v>36496</v>
      </c>
      <c r="J597" t="s">
        <v>71</v>
      </c>
      <c r="K597" t="s">
        <v>10782</v>
      </c>
      <c r="L597" t="s">
        <v>36497</v>
      </c>
    </row>
    <row r="598" spans="1:12" ht="115.2" x14ac:dyDescent="0.3">
      <c r="A598" s="4" t="s">
        <v>3433</v>
      </c>
      <c r="B598">
        <v>1</v>
      </c>
      <c r="C598">
        <v>3</v>
      </c>
      <c r="D598">
        <v>2012</v>
      </c>
      <c r="E598" t="s">
        <v>2389</v>
      </c>
      <c r="F598">
        <v>2</v>
      </c>
      <c r="G598" t="s">
        <v>36561</v>
      </c>
      <c r="H598" t="s">
        <v>36562</v>
      </c>
      <c r="I598" s="4" t="s">
        <v>36563</v>
      </c>
      <c r="J598" t="s">
        <v>71</v>
      </c>
      <c r="K598" t="s">
        <v>10782</v>
      </c>
      <c r="L598" t="s">
        <v>36564</v>
      </c>
    </row>
    <row r="599" spans="1:12" ht="129.6" x14ac:dyDescent="0.3">
      <c r="A599" s="4" t="s">
        <v>2103</v>
      </c>
      <c r="B599">
        <v>1</v>
      </c>
      <c r="C599">
        <v>1</v>
      </c>
      <c r="D599">
        <v>2012</v>
      </c>
      <c r="E599" t="s">
        <v>217</v>
      </c>
      <c r="F599">
        <v>77</v>
      </c>
      <c r="G599" t="s">
        <v>36584</v>
      </c>
      <c r="H599" t="s">
        <v>36585</v>
      </c>
      <c r="I599" s="4" t="s">
        <v>36586</v>
      </c>
      <c r="J599" t="s">
        <v>71</v>
      </c>
      <c r="K599" t="s">
        <v>10782</v>
      </c>
      <c r="L599" t="s">
        <v>36587</v>
      </c>
    </row>
    <row r="600" spans="1:12" ht="216" x14ac:dyDescent="0.3">
      <c r="A600" s="4" t="s">
        <v>2104</v>
      </c>
      <c r="B600">
        <v>1</v>
      </c>
      <c r="C600">
        <v>1</v>
      </c>
      <c r="D600">
        <v>2012</v>
      </c>
      <c r="E600" t="s">
        <v>550</v>
      </c>
      <c r="F600">
        <v>62</v>
      </c>
      <c r="G600" t="s">
        <v>36622</v>
      </c>
      <c r="H600" t="s">
        <v>36623</v>
      </c>
      <c r="I600" s="4" t="s">
        <v>36624</v>
      </c>
      <c r="J600" t="s">
        <v>71</v>
      </c>
      <c r="K600" t="s">
        <v>10782</v>
      </c>
      <c r="L600" t="s">
        <v>36625</v>
      </c>
    </row>
    <row r="601" spans="1:12" ht="187.2" x14ac:dyDescent="0.3">
      <c r="A601" s="4" t="s">
        <v>2105</v>
      </c>
      <c r="B601">
        <v>1</v>
      </c>
      <c r="C601">
        <v>1</v>
      </c>
      <c r="D601">
        <v>2011</v>
      </c>
      <c r="E601" t="s">
        <v>550</v>
      </c>
      <c r="F601">
        <v>35</v>
      </c>
      <c r="G601" t="s">
        <v>36688</v>
      </c>
      <c r="H601" t="s">
        <v>36689</v>
      </c>
      <c r="I601" s="4" t="s">
        <v>36690</v>
      </c>
      <c r="J601" t="s">
        <v>71</v>
      </c>
      <c r="K601" t="s">
        <v>10782</v>
      </c>
      <c r="L601" t="s">
        <v>36691</v>
      </c>
    </row>
    <row r="602" spans="1:12" ht="129.6" x14ac:dyDescent="0.3">
      <c r="A602" s="4" t="s">
        <v>2287</v>
      </c>
      <c r="B602">
        <v>1</v>
      </c>
      <c r="C602">
        <v>1</v>
      </c>
      <c r="D602">
        <v>2011</v>
      </c>
      <c r="E602" t="s">
        <v>2328</v>
      </c>
      <c r="F602">
        <v>71</v>
      </c>
      <c r="G602" t="s">
        <v>36854</v>
      </c>
      <c r="H602" t="s">
        <v>36855</v>
      </c>
      <c r="I602" s="4" t="s">
        <v>36856</v>
      </c>
      <c r="J602" t="s">
        <v>71</v>
      </c>
      <c r="K602" t="s">
        <v>10782</v>
      </c>
      <c r="L602" t="s">
        <v>36857</v>
      </c>
    </row>
    <row r="603" spans="1:12" ht="201.6" x14ac:dyDescent="0.3">
      <c r="A603" s="4" t="s">
        <v>3434</v>
      </c>
      <c r="B603">
        <v>1</v>
      </c>
      <c r="C603">
        <v>3</v>
      </c>
      <c r="D603">
        <v>2011</v>
      </c>
      <c r="E603" t="s">
        <v>25007</v>
      </c>
      <c r="F603">
        <v>36</v>
      </c>
      <c r="G603" t="s">
        <v>36873</v>
      </c>
      <c r="H603" t="s">
        <v>36874</v>
      </c>
      <c r="I603" s="4" t="s">
        <v>36875</v>
      </c>
      <c r="J603" t="s">
        <v>71</v>
      </c>
      <c r="K603" t="s">
        <v>10782</v>
      </c>
      <c r="L603" t="s">
        <v>36876</v>
      </c>
    </row>
    <row r="604" spans="1:12" ht="172.8" x14ac:dyDescent="0.3">
      <c r="A604" s="4" t="s">
        <v>2288</v>
      </c>
      <c r="B604">
        <v>1</v>
      </c>
      <c r="C604">
        <v>1</v>
      </c>
      <c r="D604">
        <v>2011</v>
      </c>
      <c r="E604" t="s">
        <v>1570</v>
      </c>
      <c r="F604">
        <v>110</v>
      </c>
      <c r="G604" t="s">
        <v>36897</v>
      </c>
      <c r="H604" t="s">
        <v>36898</v>
      </c>
      <c r="I604" s="4" t="s">
        <v>36899</v>
      </c>
      <c r="J604" t="s">
        <v>71</v>
      </c>
      <c r="K604" t="s">
        <v>10782</v>
      </c>
      <c r="L604" t="s">
        <v>36900</v>
      </c>
    </row>
    <row r="605" spans="1:12" ht="144" x14ac:dyDescent="0.3">
      <c r="A605" s="4" t="s">
        <v>3435</v>
      </c>
      <c r="B605">
        <v>1</v>
      </c>
      <c r="C605">
        <v>3</v>
      </c>
      <c r="D605">
        <v>2011</v>
      </c>
      <c r="E605" t="s">
        <v>329</v>
      </c>
      <c r="F605">
        <v>35</v>
      </c>
      <c r="G605" t="s">
        <v>36935</v>
      </c>
      <c r="H605" t="s">
        <v>36936</v>
      </c>
      <c r="I605" s="4" t="s">
        <v>36937</v>
      </c>
      <c r="J605" t="s">
        <v>71</v>
      </c>
      <c r="K605" t="s">
        <v>10782</v>
      </c>
      <c r="L605" t="s">
        <v>36938</v>
      </c>
    </row>
    <row r="606" spans="1:12" ht="100.8" x14ac:dyDescent="0.3">
      <c r="A606" s="4" t="s">
        <v>2289</v>
      </c>
      <c r="B606">
        <v>1</v>
      </c>
      <c r="C606">
        <v>1</v>
      </c>
      <c r="D606">
        <v>2011</v>
      </c>
      <c r="E606" t="s">
        <v>550</v>
      </c>
      <c r="F606">
        <v>35</v>
      </c>
      <c r="G606" t="s">
        <v>37189</v>
      </c>
      <c r="H606" t="s">
        <v>37190</v>
      </c>
      <c r="I606" s="4" t="s">
        <v>37191</v>
      </c>
      <c r="J606" t="s">
        <v>71</v>
      </c>
      <c r="K606" t="s">
        <v>10782</v>
      </c>
      <c r="L606" t="s">
        <v>37192</v>
      </c>
    </row>
    <row r="607" spans="1:12" ht="187.2" x14ac:dyDescent="0.3">
      <c r="A607" s="4" t="s">
        <v>3436</v>
      </c>
      <c r="B607">
        <v>1</v>
      </c>
      <c r="C607">
        <v>3</v>
      </c>
      <c r="D607">
        <v>2011</v>
      </c>
      <c r="E607" t="s">
        <v>1688</v>
      </c>
      <c r="F607">
        <v>159</v>
      </c>
      <c r="G607" t="s">
        <v>37254</v>
      </c>
      <c r="H607" t="s">
        <v>37255</v>
      </c>
      <c r="I607" s="4" t="s">
        <v>37256</v>
      </c>
      <c r="J607" t="s">
        <v>71</v>
      </c>
      <c r="K607" t="s">
        <v>10782</v>
      </c>
      <c r="L607" t="s">
        <v>37257</v>
      </c>
    </row>
    <row r="608" spans="1:12" ht="172.8" x14ac:dyDescent="0.3">
      <c r="A608" s="4" t="s">
        <v>3437</v>
      </c>
      <c r="B608">
        <v>1</v>
      </c>
      <c r="C608">
        <v>3</v>
      </c>
      <c r="D608">
        <v>2011</v>
      </c>
      <c r="E608" t="s">
        <v>217</v>
      </c>
      <c r="F608">
        <v>137</v>
      </c>
      <c r="G608" t="s">
        <v>37349</v>
      </c>
      <c r="H608" t="s">
        <v>37350</v>
      </c>
      <c r="I608" s="4" t="s">
        <v>37351</v>
      </c>
    </row>
    <row r="609" spans="1:12" ht="144" x14ac:dyDescent="0.3">
      <c r="A609" s="4" t="s">
        <v>2290</v>
      </c>
      <c r="B609">
        <v>1</v>
      </c>
      <c r="C609">
        <v>1</v>
      </c>
      <c r="D609">
        <v>2011</v>
      </c>
      <c r="E609" t="s">
        <v>2349</v>
      </c>
      <c r="F609">
        <v>3</v>
      </c>
      <c r="G609" t="s">
        <v>37352</v>
      </c>
      <c r="H609" t="s">
        <v>37353</v>
      </c>
      <c r="I609" s="4" t="s">
        <v>37354</v>
      </c>
      <c r="J609" t="s">
        <v>71</v>
      </c>
      <c r="K609" t="s">
        <v>10782</v>
      </c>
      <c r="L609" t="s">
        <v>37355</v>
      </c>
    </row>
    <row r="610" spans="1:12" ht="187.2" x14ac:dyDescent="0.3">
      <c r="A610" s="4" t="s">
        <v>2291</v>
      </c>
      <c r="B610">
        <v>1</v>
      </c>
      <c r="C610">
        <v>1</v>
      </c>
      <c r="D610">
        <v>2011</v>
      </c>
      <c r="E610" t="s">
        <v>2282</v>
      </c>
      <c r="F610">
        <v>55</v>
      </c>
      <c r="G610" t="s">
        <v>37360</v>
      </c>
      <c r="H610" t="s">
        <v>37361</v>
      </c>
      <c r="I610" s="4" t="s">
        <v>37362</v>
      </c>
      <c r="J610" t="s">
        <v>71</v>
      </c>
      <c r="K610" t="s">
        <v>10782</v>
      </c>
      <c r="L610" t="s">
        <v>37363</v>
      </c>
    </row>
    <row r="611" spans="1:12" ht="187.2" x14ac:dyDescent="0.3">
      <c r="A611" s="4" t="s">
        <v>2292</v>
      </c>
      <c r="B611">
        <v>1</v>
      </c>
      <c r="C611">
        <v>1</v>
      </c>
      <c r="D611">
        <v>2011</v>
      </c>
      <c r="E611" t="s">
        <v>2361</v>
      </c>
      <c r="F611">
        <v>334</v>
      </c>
      <c r="G611" t="s">
        <v>37364</v>
      </c>
      <c r="H611" t="s">
        <v>37365</v>
      </c>
      <c r="I611" s="4" t="s">
        <v>37366</v>
      </c>
      <c r="J611" t="s">
        <v>71</v>
      </c>
      <c r="K611" t="s">
        <v>10782</v>
      </c>
      <c r="L611" t="s">
        <v>37367</v>
      </c>
    </row>
    <row r="612" spans="1:12" ht="144" x14ac:dyDescent="0.3">
      <c r="A612" s="4" t="s">
        <v>2293</v>
      </c>
      <c r="B612">
        <v>1</v>
      </c>
      <c r="C612">
        <v>1</v>
      </c>
      <c r="D612">
        <v>2011</v>
      </c>
      <c r="E612" t="s">
        <v>2375</v>
      </c>
      <c r="F612">
        <v>21</v>
      </c>
      <c r="G612" t="s">
        <v>37484</v>
      </c>
      <c r="H612" t="s">
        <v>37485</v>
      </c>
      <c r="I612" s="4" t="s">
        <v>37486</v>
      </c>
      <c r="J612" t="s">
        <v>71</v>
      </c>
      <c r="K612" t="s">
        <v>10782</v>
      </c>
      <c r="L612" t="s">
        <v>37487</v>
      </c>
    </row>
    <row r="613" spans="1:12" ht="115.2" x14ac:dyDescent="0.3">
      <c r="A613" s="4" t="s">
        <v>3438</v>
      </c>
      <c r="B613">
        <v>1</v>
      </c>
      <c r="C613">
        <v>3</v>
      </c>
      <c r="D613">
        <v>2011</v>
      </c>
      <c r="E613" t="s">
        <v>2375</v>
      </c>
      <c r="F613">
        <v>29</v>
      </c>
      <c r="G613" t="s">
        <v>37529</v>
      </c>
      <c r="H613" t="s">
        <v>37530</v>
      </c>
      <c r="I613" s="4" t="s">
        <v>37531</v>
      </c>
      <c r="J613" t="s">
        <v>71</v>
      </c>
      <c r="K613" t="s">
        <v>10782</v>
      </c>
      <c r="L613" t="s">
        <v>37532</v>
      </c>
    </row>
    <row r="614" spans="1:12" ht="201.6" x14ac:dyDescent="0.3">
      <c r="A614" s="4" t="s">
        <v>2294</v>
      </c>
      <c r="B614">
        <v>1</v>
      </c>
      <c r="C614">
        <v>1</v>
      </c>
      <c r="D614">
        <v>2011</v>
      </c>
      <c r="E614" t="s">
        <v>799</v>
      </c>
      <c r="F614">
        <v>567</v>
      </c>
      <c r="G614" t="s">
        <v>37584</v>
      </c>
      <c r="H614" t="s">
        <v>37585</v>
      </c>
      <c r="I614" s="4" t="s">
        <v>37586</v>
      </c>
    </row>
    <row r="615" spans="1:12" ht="158.4" x14ac:dyDescent="0.3">
      <c r="A615" s="4" t="s">
        <v>2298</v>
      </c>
      <c r="B615">
        <v>1</v>
      </c>
      <c r="C615">
        <v>1</v>
      </c>
      <c r="D615">
        <v>2011</v>
      </c>
      <c r="E615" t="s">
        <v>2389</v>
      </c>
      <c r="F615">
        <v>10</v>
      </c>
      <c r="G615" t="s">
        <v>37591</v>
      </c>
      <c r="H615" t="s">
        <v>37592</v>
      </c>
      <c r="I615" s="4" t="s">
        <v>37593</v>
      </c>
      <c r="J615" t="s">
        <v>71</v>
      </c>
      <c r="K615" t="s">
        <v>10782</v>
      </c>
      <c r="L615" t="s">
        <v>37594</v>
      </c>
    </row>
    <row r="616" spans="1:12" ht="72" x14ac:dyDescent="0.3">
      <c r="A616" s="4" t="s">
        <v>2299</v>
      </c>
      <c r="B616">
        <v>1</v>
      </c>
      <c r="C616">
        <v>1</v>
      </c>
      <c r="D616">
        <v>2010</v>
      </c>
      <c r="E616" t="s">
        <v>964</v>
      </c>
      <c r="F616">
        <v>61</v>
      </c>
      <c r="G616" t="s">
        <v>37634</v>
      </c>
      <c r="H616" t="s">
        <v>37635</v>
      </c>
      <c r="I616" s="4" t="s">
        <v>37636</v>
      </c>
      <c r="J616" t="s">
        <v>71</v>
      </c>
      <c r="K616" t="s">
        <v>10782</v>
      </c>
      <c r="L616" t="s">
        <v>37637</v>
      </c>
    </row>
    <row r="617" spans="1:12" ht="129.6" x14ac:dyDescent="0.3">
      <c r="A617" s="4" t="s">
        <v>3439</v>
      </c>
      <c r="B617">
        <v>1</v>
      </c>
      <c r="C617">
        <v>3</v>
      </c>
      <c r="D617">
        <v>2010</v>
      </c>
      <c r="E617" t="s">
        <v>10805</v>
      </c>
      <c r="F617">
        <v>74</v>
      </c>
      <c r="G617" t="s">
        <v>37654</v>
      </c>
      <c r="H617" t="s">
        <v>37655</v>
      </c>
      <c r="I617" s="4" t="s">
        <v>37656</v>
      </c>
      <c r="J617" t="s">
        <v>71</v>
      </c>
      <c r="K617" t="s">
        <v>10782</v>
      </c>
      <c r="L617" t="s">
        <v>37657</v>
      </c>
    </row>
    <row r="618" spans="1:12" ht="187.2" x14ac:dyDescent="0.3">
      <c r="A618" s="4" t="s">
        <v>2300</v>
      </c>
      <c r="B618">
        <v>1</v>
      </c>
      <c r="C618">
        <v>1</v>
      </c>
      <c r="D618">
        <v>2010</v>
      </c>
      <c r="E618" t="s">
        <v>622</v>
      </c>
      <c r="F618">
        <v>4</v>
      </c>
      <c r="G618" t="s">
        <v>37735</v>
      </c>
      <c r="H618" t="s">
        <v>37736</v>
      </c>
      <c r="I618" s="4" t="s">
        <v>37737</v>
      </c>
      <c r="J618" t="s">
        <v>71</v>
      </c>
      <c r="K618" t="s">
        <v>10782</v>
      </c>
      <c r="L618" t="s">
        <v>37738</v>
      </c>
    </row>
    <row r="619" spans="1:12" ht="216" x14ac:dyDescent="0.3">
      <c r="A619" s="4" t="s">
        <v>2301</v>
      </c>
      <c r="B619">
        <v>1</v>
      </c>
      <c r="C619">
        <v>1</v>
      </c>
      <c r="D619">
        <v>2010</v>
      </c>
      <c r="E619" t="s">
        <v>2416</v>
      </c>
      <c r="F619">
        <v>79</v>
      </c>
      <c r="G619" t="s">
        <v>37758</v>
      </c>
      <c r="H619" t="s">
        <v>37759</v>
      </c>
      <c r="I619" s="4" t="s">
        <v>37760</v>
      </c>
      <c r="J619" t="s">
        <v>71</v>
      </c>
      <c r="K619" t="s">
        <v>10782</v>
      </c>
      <c r="L619" t="s">
        <v>37761</v>
      </c>
    </row>
    <row r="620" spans="1:12" ht="144" x14ac:dyDescent="0.3">
      <c r="A620" s="4" t="s">
        <v>2303</v>
      </c>
      <c r="B620">
        <v>1</v>
      </c>
      <c r="C620">
        <v>1</v>
      </c>
      <c r="D620">
        <v>2010</v>
      </c>
      <c r="E620" t="s">
        <v>2431</v>
      </c>
      <c r="F620">
        <v>1</v>
      </c>
      <c r="H620" t="s">
        <v>2432</v>
      </c>
      <c r="I620" s="4" t="s">
        <v>37766</v>
      </c>
      <c r="J620" s="4" t="s">
        <v>71</v>
      </c>
      <c r="K620" t="s">
        <v>10782</v>
      </c>
      <c r="L620" t="s">
        <v>37767</v>
      </c>
    </row>
    <row r="621" spans="1:12" ht="230.4" x14ac:dyDescent="0.3">
      <c r="A621" s="4" t="s">
        <v>2304</v>
      </c>
      <c r="B621">
        <v>1</v>
      </c>
      <c r="C621">
        <v>1</v>
      </c>
      <c r="D621">
        <v>2010</v>
      </c>
      <c r="E621" t="s">
        <v>2441</v>
      </c>
      <c r="F621">
        <v>13</v>
      </c>
      <c r="H621" t="s">
        <v>2443</v>
      </c>
      <c r="I621" s="4" t="s">
        <v>37768</v>
      </c>
      <c r="J621" s="4" t="s">
        <v>71</v>
      </c>
      <c r="K621" t="s">
        <v>10782</v>
      </c>
      <c r="L621" t="s">
        <v>37769</v>
      </c>
    </row>
    <row r="622" spans="1:12" ht="115.2" x14ac:dyDescent="0.3">
      <c r="A622" s="4" t="s">
        <v>3440</v>
      </c>
      <c r="B622">
        <v>1</v>
      </c>
      <c r="C622">
        <v>2</v>
      </c>
      <c r="D622">
        <v>2010</v>
      </c>
      <c r="E622" t="s">
        <v>14692</v>
      </c>
      <c r="F622">
        <v>1</v>
      </c>
      <c r="H622" t="s">
        <v>37774</v>
      </c>
      <c r="I622" s="4" t="s">
        <v>37775</v>
      </c>
      <c r="J622" s="4" t="s">
        <v>71</v>
      </c>
      <c r="K622" t="s">
        <v>10782</v>
      </c>
      <c r="L622" t="s">
        <v>37776</v>
      </c>
    </row>
    <row r="623" spans="1:12" ht="144" x14ac:dyDescent="0.3">
      <c r="A623" s="4" t="s">
        <v>2305</v>
      </c>
      <c r="B623">
        <v>1</v>
      </c>
      <c r="C623">
        <v>1</v>
      </c>
      <c r="D623">
        <v>2010</v>
      </c>
      <c r="E623" t="s">
        <v>432</v>
      </c>
      <c r="F623">
        <v>142</v>
      </c>
      <c r="G623" t="s">
        <v>37784</v>
      </c>
      <c r="H623" t="s">
        <v>37785</v>
      </c>
      <c r="I623" s="4" t="s">
        <v>37786</v>
      </c>
      <c r="J623" t="s">
        <v>71</v>
      </c>
      <c r="K623" t="s">
        <v>10782</v>
      </c>
      <c r="L623" t="s">
        <v>37787</v>
      </c>
    </row>
    <row r="624" spans="1:12" ht="115.2" x14ac:dyDescent="0.3">
      <c r="A624" s="4" t="s">
        <v>2311</v>
      </c>
      <c r="B624">
        <v>1</v>
      </c>
      <c r="C624">
        <v>1</v>
      </c>
      <c r="D624">
        <v>2010</v>
      </c>
      <c r="E624" t="s">
        <v>1570</v>
      </c>
      <c r="F624">
        <v>287</v>
      </c>
      <c r="G624" t="s">
        <v>37788</v>
      </c>
      <c r="H624" t="s">
        <v>37789</v>
      </c>
      <c r="I624" s="4" t="s">
        <v>37790</v>
      </c>
    </row>
    <row r="625" spans="1:12" ht="244.8" x14ac:dyDescent="0.3">
      <c r="A625" s="4" t="s">
        <v>3441</v>
      </c>
      <c r="B625">
        <v>1</v>
      </c>
      <c r="C625">
        <v>3</v>
      </c>
      <c r="D625">
        <v>2010</v>
      </c>
      <c r="E625" t="s">
        <v>1570</v>
      </c>
      <c r="F625">
        <v>99</v>
      </c>
      <c r="G625" t="s">
        <v>37994</v>
      </c>
      <c r="H625" t="s">
        <v>37995</v>
      </c>
      <c r="I625" s="4" t="s">
        <v>37996</v>
      </c>
      <c r="J625" t="s">
        <v>71</v>
      </c>
      <c r="K625" t="s">
        <v>10782</v>
      </c>
      <c r="L625" t="s">
        <v>37997</v>
      </c>
    </row>
    <row r="626" spans="1:12" ht="172.8" x14ac:dyDescent="0.3">
      <c r="A626" s="4" t="s">
        <v>3442</v>
      </c>
      <c r="B626">
        <v>1</v>
      </c>
      <c r="C626">
        <v>3</v>
      </c>
      <c r="D626">
        <v>2010</v>
      </c>
      <c r="E626" t="s">
        <v>2282</v>
      </c>
      <c r="F626">
        <v>60</v>
      </c>
      <c r="G626" t="s">
        <v>38002</v>
      </c>
      <c r="H626" t="s">
        <v>38003</v>
      </c>
      <c r="I626" s="4" t="s">
        <v>38004</v>
      </c>
      <c r="J626" t="s">
        <v>71</v>
      </c>
      <c r="K626" t="s">
        <v>10782</v>
      </c>
      <c r="L626" t="s">
        <v>38005</v>
      </c>
    </row>
    <row r="627" spans="1:12" ht="259.2" x14ac:dyDescent="0.3">
      <c r="A627" s="4" t="s">
        <v>2312</v>
      </c>
      <c r="B627">
        <v>1</v>
      </c>
      <c r="C627">
        <v>1</v>
      </c>
      <c r="D627">
        <v>2010</v>
      </c>
      <c r="E627" t="s">
        <v>1836</v>
      </c>
      <c r="F627">
        <v>22</v>
      </c>
      <c r="G627" t="s">
        <v>38029</v>
      </c>
      <c r="H627" t="s">
        <v>38030</v>
      </c>
      <c r="I627" s="4" t="s">
        <v>38031</v>
      </c>
      <c r="J627" t="s">
        <v>71</v>
      </c>
      <c r="K627" t="s">
        <v>10782</v>
      </c>
      <c r="L627" t="s">
        <v>38032</v>
      </c>
    </row>
    <row r="628" spans="1:12" ht="216" x14ac:dyDescent="0.3">
      <c r="A628" s="4" t="s">
        <v>2313</v>
      </c>
      <c r="B628">
        <v>1</v>
      </c>
      <c r="C628">
        <v>1</v>
      </c>
      <c r="D628">
        <v>2010</v>
      </c>
      <c r="E628" t="s">
        <v>1841</v>
      </c>
      <c r="F628">
        <v>46</v>
      </c>
      <c r="G628" t="s">
        <v>38040</v>
      </c>
      <c r="H628" t="s">
        <v>38041</v>
      </c>
      <c r="I628" s="4" t="s">
        <v>38042</v>
      </c>
      <c r="J628" t="s">
        <v>71</v>
      </c>
      <c r="K628" t="s">
        <v>10782</v>
      </c>
      <c r="L628" t="s">
        <v>38043</v>
      </c>
    </row>
    <row r="629" spans="1:12" ht="115.2" x14ac:dyDescent="0.3">
      <c r="A629" s="4" t="s">
        <v>2316</v>
      </c>
      <c r="B629">
        <v>1</v>
      </c>
      <c r="C629">
        <v>1</v>
      </c>
      <c r="D629">
        <v>2009</v>
      </c>
      <c r="E629" t="s">
        <v>2384</v>
      </c>
      <c r="F629">
        <v>1854</v>
      </c>
      <c r="G629" t="s">
        <v>38466</v>
      </c>
      <c r="H629" t="s">
        <v>38467</v>
      </c>
      <c r="I629" s="4" t="s">
        <v>38468</v>
      </c>
      <c r="J629" t="s">
        <v>71</v>
      </c>
      <c r="K629" t="s">
        <v>10782</v>
      </c>
      <c r="L629" t="s">
        <v>38469</v>
      </c>
    </row>
    <row r="630" spans="1:12" ht="100.8" x14ac:dyDescent="0.3">
      <c r="A630" s="4" t="s">
        <v>2317</v>
      </c>
      <c r="B630">
        <v>1</v>
      </c>
      <c r="C630">
        <v>1</v>
      </c>
      <c r="D630">
        <v>2009</v>
      </c>
      <c r="E630" t="s">
        <v>2411</v>
      </c>
      <c r="F630">
        <v>65</v>
      </c>
      <c r="G630" t="s">
        <v>39052</v>
      </c>
      <c r="H630" t="s">
        <v>39053</v>
      </c>
      <c r="I630" s="4" t="s">
        <v>39054</v>
      </c>
      <c r="J630" t="s">
        <v>71</v>
      </c>
      <c r="K630" t="s">
        <v>10782</v>
      </c>
      <c r="L630" t="s">
        <v>39055</v>
      </c>
    </row>
    <row r="631" spans="1:12" ht="129.6" x14ac:dyDescent="0.3">
      <c r="A631" s="4" t="s">
        <v>2318</v>
      </c>
      <c r="B631">
        <v>1</v>
      </c>
      <c r="C631">
        <v>1</v>
      </c>
      <c r="D631">
        <v>2009</v>
      </c>
      <c r="E631" t="s">
        <v>1802</v>
      </c>
      <c r="F631">
        <v>11</v>
      </c>
      <c r="G631" t="s">
        <v>39081</v>
      </c>
      <c r="H631" t="s">
        <v>39082</v>
      </c>
      <c r="I631" s="4" t="s">
        <v>39083</v>
      </c>
      <c r="J631" t="s">
        <v>71</v>
      </c>
      <c r="K631" t="s">
        <v>10782</v>
      </c>
      <c r="L631" t="s">
        <v>39084</v>
      </c>
    </row>
    <row r="632" spans="1:12" ht="201.6" x14ac:dyDescent="0.3">
      <c r="A632" s="4" t="s">
        <v>3443</v>
      </c>
      <c r="B632">
        <v>2</v>
      </c>
      <c r="C632">
        <v>3</v>
      </c>
      <c r="D632">
        <v>2025</v>
      </c>
      <c r="E632" t="s">
        <v>637</v>
      </c>
      <c r="F632">
        <v>0</v>
      </c>
      <c r="G632" t="s">
        <v>10793</v>
      </c>
      <c r="H632" t="s">
        <v>10794</v>
      </c>
      <c r="I632" s="4" t="s">
        <v>10795</v>
      </c>
    </row>
    <row r="633" spans="1:12" ht="172.8" x14ac:dyDescent="0.3">
      <c r="A633" s="4" t="s">
        <v>3444</v>
      </c>
      <c r="B633">
        <v>2</v>
      </c>
      <c r="C633">
        <v>3</v>
      </c>
      <c r="D633">
        <v>2025</v>
      </c>
      <c r="E633" t="s">
        <v>329</v>
      </c>
      <c r="F633">
        <v>0</v>
      </c>
      <c r="G633" t="s">
        <v>10820</v>
      </c>
      <c r="H633" t="s">
        <v>10821</v>
      </c>
      <c r="I633" s="4" t="s">
        <v>10822</v>
      </c>
      <c r="J633" t="s">
        <v>10823</v>
      </c>
      <c r="K633" t="s">
        <v>10782</v>
      </c>
      <c r="L633" t="s">
        <v>10824</v>
      </c>
    </row>
    <row r="634" spans="1:12" ht="259.2" x14ac:dyDescent="0.3">
      <c r="A634" s="4" t="s">
        <v>3445</v>
      </c>
      <c r="B634">
        <v>2</v>
      </c>
      <c r="C634">
        <v>3</v>
      </c>
      <c r="D634">
        <v>2025</v>
      </c>
      <c r="E634" t="s">
        <v>318</v>
      </c>
      <c r="F634">
        <v>0</v>
      </c>
      <c r="G634" t="s">
        <v>10838</v>
      </c>
      <c r="H634" t="s">
        <v>10839</v>
      </c>
      <c r="I634" s="4" t="s">
        <v>10840</v>
      </c>
      <c r="J634" t="s">
        <v>71</v>
      </c>
      <c r="K634" t="s">
        <v>10782</v>
      </c>
      <c r="L634" t="s">
        <v>10841</v>
      </c>
    </row>
    <row r="635" spans="1:12" ht="201.6" x14ac:dyDescent="0.3">
      <c r="A635" s="4" t="s">
        <v>3446</v>
      </c>
      <c r="B635">
        <v>2</v>
      </c>
      <c r="C635">
        <v>3</v>
      </c>
      <c r="D635">
        <v>2025</v>
      </c>
      <c r="E635" t="s">
        <v>318</v>
      </c>
      <c r="F635">
        <v>0</v>
      </c>
      <c r="G635" t="s">
        <v>10842</v>
      </c>
      <c r="H635" t="s">
        <v>10843</v>
      </c>
      <c r="I635" s="4" t="s">
        <v>10844</v>
      </c>
      <c r="J635" t="s">
        <v>71</v>
      </c>
      <c r="K635" t="s">
        <v>10782</v>
      </c>
      <c r="L635" t="s">
        <v>10845</v>
      </c>
    </row>
    <row r="636" spans="1:12" ht="244.8" x14ac:dyDescent="0.3">
      <c r="A636" s="4" t="s">
        <v>3447</v>
      </c>
      <c r="B636">
        <v>2</v>
      </c>
      <c r="C636">
        <v>3</v>
      </c>
      <c r="D636">
        <v>2025</v>
      </c>
      <c r="E636" t="s">
        <v>80</v>
      </c>
      <c r="F636">
        <v>0</v>
      </c>
      <c r="G636" t="s">
        <v>10912</v>
      </c>
      <c r="H636" t="s">
        <v>10913</v>
      </c>
      <c r="I636" s="4" t="s">
        <v>10914</v>
      </c>
      <c r="J636" t="s">
        <v>71</v>
      </c>
      <c r="K636" t="s">
        <v>10782</v>
      </c>
      <c r="L636" t="s">
        <v>10915</v>
      </c>
    </row>
    <row r="637" spans="1:12" ht="158.4" x14ac:dyDescent="0.3">
      <c r="A637" s="4" t="s">
        <v>3448</v>
      </c>
      <c r="B637">
        <v>2</v>
      </c>
      <c r="C637">
        <v>3</v>
      </c>
      <c r="D637">
        <v>2025</v>
      </c>
      <c r="E637" t="s">
        <v>1002</v>
      </c>
      <c r="F637">
        <v>0</v>
      </c>
      <c r="G637" t="s">
        <v>11025</v>
      </c>
      <c r="H637" t="s">
        <v>11026</v>
      </c>
      <c r="I637" s="4" t="s">
        <v>11027</v>
      </c>
      <c r="J637" t="s">
        <v>71</v>
      </c>
      <c r="K637" t="s">
        <v>10782</v>
      </c>
      <c r="L637" t="s">
        <v>11028</v>
      </c>
    </row>
    <row r="638" spans="1:12" ht="100.8" x14ac:dyDescent="0.3">
      <c r="A638" s="4" t="s">
        <v>3449</v>
      </c>
      <c r="B638">
        <v>2</v>
      </c>
      <c r="C638">
        <v>3</v>
      </c>
      <c r="D638">
        <v>2025</v>
      </c>
      <c r="E638" t="s">
        <v>80</v>
      </c>
      <c r="F638">
        <v>0</v>
      </c>
      <c r="G638" t="s">
        <v>11081</v>
      </c>
      <c r="H638" t="s">
        <v>11082</v>
      </c>
      <c r="I638" s="4" t="s">
        <v>11083</v>
      </c>
    </row>
    <row r="639" spans="1:12" ht="158.4" x14ac:dyDescent="0.3">
      <c r="A639" s="4" t="s">
        <v>3450</v>
      </c>
      <c r="B639">
        <v>2</v>
      </c>
      <c r="C639">
        <v>3</v>
      </c>
      <c r="D639">
        <v>2025</v>
      </c>
      <c r="E639" t="s">
        <v>1621</v>
      </c>
      <c r="F639">
        <v>0</v>
      </c>
      <c r="G639" t="s">
        <v>11088</v>
      </c>
      <c r="H639" t="s">
        <v>11089</v>
      </c>
      <c r="I639" s="4" t="s">
        <v>11090</v>
      </c>
      <c r="J639" t="s">
        <v>71</v>
      </c>
      <c r="K639" t="s">
        <v>10782</v>
      </c>
      <c r="L639" t="s">
        <v>11091</v>
      </c>
    </row>
    <row r="640" spans="1:12" ht="172.8" x14ac:dyDescent="0.3">
      <c r="A640" s="4" t="s">
        <v>3451</v>
      </c>
      <c r="B640">
        <v>2</v>
      </c>
      <c r="C640">
        <v>3</v>
      </c>
      <c r="D640">
        <v>2025</v>
      </c>
      <c r="E640" t="s">
        <v>637</v>
      </c>
      <c r="F640">
        <v>0</v>
      </c>
      <c r="G640" t="s">
        <v>11140</v>
      </c>
      <c r="H640" t="s">
        <v>11141</v>
      </c>
      <c r="I640" s="4" t="s">
        <v>11142</v>
      </c>
      <c r="J640" t="s">
        <v>71</v>
      </c>
      <c r="K640" t="s">
        <v>10782</v>
      </c>
      <c r="L640" t="s">
        <v>11143</v>
      </c>
    </row>
    <row r="641" spans="1:12" ht="172.8" x14ac:dyDescent="0.3">
      <c r="A641" s="4" t="s">
        <v>3452</v>
      </c>
      <c r="B641">
        <v>2</v>
      </c>
      <c r="C641">
        <v>3</v>
      </c>
      <c r="D641">
        <v>2025</v>
      </c>
      <c r="E641" t="s">
        <v>11164</v>
      </c>
      <c r="F641">
        <v>0</v>
      </c>
      <c r="G641" t="s">
        <v>11165</v>
      </c>
      <c r="H641" t="s">
        <v>11166</v>
      </c>
      <c r="I641" s="4" t="s">
        <v>11167</v>
      </c>
    </row>
    <row r="642" spans="1:12" ht="187.2" x14ac:dyDescent="0.3">
      <c r="A642" s="4" t="s">
        <v>3453</v>
      </c>
      <c r="B642">
        <v>2</v>
      </c>
      <c r="C642">
        <v>3</v>
      </c>
      <c r="D642">
        <v>2025</v>
      </c>
      <c r="E642" t="s">
        <v>1770</v>
      </c>
      <c r="F642">
        <v>0</v>
      </c>
      <c r="G642" t="s">
        <v>11361</v>
      </c>
      <c r="H642" t="s">
        <v>11362</v>
      </c>
      <c r="I642" s="4" t="s">
        <v>11363</v>
      </c>
      <c r="J642" t="s">
        <v>71</v>
      </c>
      <c r="K642" t="s">
        <v>10782</v>
      </c>
      <c r="L642" t="s">
        <v>11364</v>
      </c>
    </row>
    <row r="643" spans="1:12" ht="100.8" x14ac:dyDescent="0.3">
      <c r="A643" s="4" t="s">
        <v>3454</v>
      </c>
      <c r="B643">
        <v>2</v>
      </c>
      <c r="C643">
        <v>3</v>
      </c>
      <c r="D643">
        <v>2025</v>
      </c>
      <c r="E643" t="s">
        <v>830</v>
      </c>
      <c r="F643">
        <v>0</v>
      </c>
      <c r="G643" t="s">
        <v>11441</v>
      </c>
      <c r="H643" t="s">
        <v>11442</v>
      </c>
      <c r="I643" s="4" t="s">
        <v>11443</v>
      </c>
    </row>
    <row r="644" spans="1:12" ht="216" x14ac:dyDescent="0.3">
      <c r="A644" s="4" t="s">
        <v>3455</v>
      </c>
      <c r="B644">
        <v>2</v>
      </c>
      <c r="C644">
        <v>3</v>
      </c>
      <c r="D644">
        <v>2025</v>
      </c>
      <c r="E644" t="s">
        <v>704</v>
      </c>
      <c r="F644">
        <v>1</v>
      </c>
      <c r="G644" t="s">
        <v>11670</v>
      </c>
      <c r="H644" t="s">
        <v>11671</v>
      </c>
      <c r="I644" s="4" t="s">
        <v>11672</v>
      </c>
      <c r="J644" t="s">
        <v>71</v>
      </c>
      <c r="K644" t="s">
        <v>10782</v>
      </c>
      <c r="L644" t="s">
        <v>11673</v>
      </c>
    </row>
    <row r="645" spans="1:12" ht="129.6" x14ac:dyDescent="0.3">
      <c r="A645" s="4" t="s">
        <v>3456</v>
      </c>
      <c r="B645">
        <v>2</v>
      </c>
      <c r="C645">
        <v>3</v>
      </c>
      <c r="D645">
        <v>2025</v>
      </c>
      <c r="E645" t="s">
        <v>679</v>
      </c>
      <c r="F645">
        <v>0</v>
      </c>
      <c r="G645" t="s">
        <v>11686</v>
      </c>
      <c r="H645" t="s">
        <v>11687</v>
      </c>
      <c r="I645" s="4" t="s">
        <v>11688</v>
      </c>
      <c r="J645" t="s">
        <v>71</v>
      </c>
      <c r="K645" t="s">
        <v>10782</v>
      </c>
      <c r="L645" t="s">
        <v>11689</v>
      </c>
    </row>
    <row r="646" spans="1:12" ht="345.6" x14ac:dyDescent="0.3">
      <c r="A646" s="4" t="s">
        <v>3457</v>
      </c>
      <c r="B646">
        <v>2</v>
      </c>
      <c r="C646">
        <v>3</v>
      </c>
      <c r="D646">
        <v>2024</v>
      </c>
      <c r="E646" t="s">
        <v>11711</v>
      </c>
      <c r="F646">
        <v>0</v>
      </c>
      <c r="G646" t="s">
        <v>11712</v>
      </c>
      <c r="H646" t="s">
        <v>11713</v>
      </c>
      <c r="I646" s="4" t="s">
        <v>11714</v>
      </c>
      <c r="J646" t="s">
        <v>71</v>
      </c>
      <c r="K646" t="s">
        <v>10782</v>
      </c>
      <c r="L646" t="s">
        <v>11715</v>
      </c>
    </row>
    <row r="647" spans="1:12" ht="129.6" x14ac:dyDescent="0.3">
      <c r="A647" s="4" t="s">
        <v>2446</v>
      </c>
      <c r="B647">
        <v>2</v>
      </c>
      <c r="C647">
        <v>1</v>
      </c>
      <c r="D647">
        <v>2024</v>
      </c>
      <c r="E647" t="s">
        <v>1129</v>
      </c>
      <c r="F647">
        <v>1</v>
      </c>
      <c r="G647" t="s">
        <v>11716</v>
      </c>
      <c r="H647" t="s">
        <v>11717</v>
      </c>
      <c r="I647" s="4" t="s">
        <v>11718</v>
      </c>
      <c r="J647" t="s">
        <v>71</v>
      </c>
      <c r="K647" t="s">
        <v>10782</v>
      </c>
      <c r="L647" t="s">
        <v>11719</v>
      </c>
    </row>
    <row r="648" spans="1:12" ht="172.8" x14ac:dyDescent="0.3">
      <c r="A648" s="4" t="s">
        <v>3458</v>
      </c>
      <c r="B648">
        <v>2</v>
      </c>
      <c r="C648">
        <v>3</v>
      </c>
      <c r="D648">
        <v>2024</v>
      </c>
      <c r="E648" t="s">
        <v>704</v>
      </c>
      <c r="F648">
        <v>2</v>
      </c>
      <c r="G648" t="s">
        <v>11992</v>
      </c>
      <c r="H648" t="s">
        <v>11993</v>
      </c>
      <c r="I648" s="4" t="s">
        <v>11994</v>
      </c>
      <c r="J648" t="s">
        <v>71</v>
      </c>
      <c r="K648" t="s">
        <v>10782</v>
      </c>
      <c r="L648" t="s">
        <v>11995</v>
      </c>
    </row>
    <row r="649" spans="1:12" ht="158.4" x14ac:dyDescent="0.3">
      <c r="A649" s="4" t="s">
        <v>3459</v>
      </c>
      <c r="B649">
        <v>2</v>
      </c>
      <c r="C649">
        <v>3</v>
      </c>
      <c r="D649">
        <v>2024</v>
      </c>
      <c r="E649" t="s">
        <v>1129</v>
      </c>
      <c r="F649">
        <v>0</v>
      </c>
      <c r="G649" t="s">
        <v>12016</v>
      </c>
      <c r="H649" t="s">
        <v>12017</v>
      </c>
      <c r="I649" s="4" t="s">
        <v>12018</v>
      </c>
      <c r="J649" t="s">
        <v>71</v>
      </c>
      <c r="K649" t="s">
        <v>10782</v>
      </c>
      <c r="L649" t="s">
        <v>12019</v>
      </c>
    </row>
    <row r="650" spans="1:12" ht="115.2" x14ac:dyDescent="0.3">
      <c r="A650" s="4" t="s">
        <v>2447</v>
      </c>
      <c r="B650">
        <v>2</v>
      </c>
      <c r="C650">
        <v>1</v>
      </c>
      <c r="D650">
        <v>2024</v>
      </c>
      <c r="E650" t="s">
        <v>1129</v>
      </c>
      <c r="F650">
        <v>0</v>
      </c>
      <c r="G650" t="s">
        <v>12029</v>
      </c>
      <c r="H650" t="s">
        <v>12030</v>
      </c>
      <c r="I650" s="4" t="s">
        <v>12031</v>
      </c>
      <c r="J650" t="s">
        <v>71</v>
      </c>
      <c r="K650" t="s">
        <v>10782</v>
      </c>
      <c r="L650" t="s">
        <v>12032</v>
      </c>
    </row>
    <row r="651" spans="1:12" ht="115.2" x14ac:dyDescent="0.3">
      <c r="A651" s="4" t="s">
        <v>3460</v>
      </c>
      <c r="B651">
        <v>2</v>
      </c>
      <c r="C651">
        <v>3</v>
      </c>
      <c r="D651">
        <v>2024</v>
      </c>
      <c r="E651" t="s">
        <v>385</v>
      </c>
      <c r="F651">
        <v>3</v>
      </c>
      <c r="G651" t="s">
        <v>12076</v>
      </c>
      <c r="H651" t="s">
        <v>12077</v>
      </c>
      <c r="I651" s="4" t="s">
        <v>12078</v>
      </c>
      <c r="J651" t="s">
        <v>71</v>
      </c>
      <c r="K651" t="s">
        <v>10782</v>
      </c>
      <c r="L651" t="s">
        <v>12079</v>
      </c>
    </row>
    <row r="652" spans="1:12" ht="144" x14ac:dyDescent="0.3">
      <c r="A652" s="4" t="s">
        <v>3461</v>
      </c>
      <c r="B652">
        <v>2</v>
      </c>
      <c r="C652">
        <v>3</v>
      </c>
      <c r="D652">
        <v>2024</v>
      </c>
      <c r="E652" t="s">
        <v>12080</v>
      </c>
      <c r="F652">
        <v>0</v>
      </c>
      <c r="G652" t="s">
        <v>12081</v>
      </c>
      <c r="H652" t="s">
        <v>12082</v>
      </c>
      <c r="I652" s="4" t="s">
        <v>12083</v>
      </c>
      <c r="J652" t="s">
        <v>71</v>
      </c>
      <c r="K652" t="s">
        <v>10782</v>
      </c>
      <c r="L652" t="s">
        <v>12084</v>
      </c>
    </row>
    <row r="653" spans="1:12" ht="230.4" x14ac:dyDescent="0.3">
      <c r="A653" s="4" t="s">
        <v>3462</v>
      </c>
      <c r="B653">
        <v>2</v>
      </c>
      <c r="C653">
        <v>3</v>
      </c>
      <c r="D653">
        <v>2024</v>
      </c>
      <c r="E653" t="s">
        <v>277</v>
      </c>
      <c r="F653">
        <v>6</v>
      </c>
      <c r="G653" t="s">
        <v>12085</v>
      </c>
      <c r="H653" t="s">
        <v>12086</v>
      </c>
      <c r="I653" s="4" t="s">
        <v>12087</v>
      </c>
      <c r="J653" t="s">
        <v>71</v>
      </c>
      <c r="K653" t="s">
        <v>10782</v>
      </c>
      <c r="L653" t="s">
        <v>12088</v>
      </c>
    </row>
    <row r="654" spans="1:12" ht="144" x14ac:dyDescent="0.3">
      <c r="A654" s="4" t="s">
        <v>3463</v>
      </c>
      <c r="B654">
        <v>2</v>
      </c>
      <c r="C654">
        <v>3</v>
      </c>
      <c r="D654">
        <v>2024</v>
      </c>
      <c r="E654" t="s">
        <v>190</v>
      </c>
      <c r="F654">
        <v>0</v>
      </c>
      <c r="G654" t="s">
        <v>12105</v>
      </c>
      <c r="H654" t="s">
        <v>12106</v>
      </c>
      <c r="I654" s="4" t="s">
        <v>12107</v>
      </c>
      <c r="J654" t="s">
        <v>71</v>
      </c>
      <c r="K654" t="s">
        <v>10782</v>
      </c>
      <c r="L654" t="s">
        <v>12108</v>
      </c>
    </row>
    <row r="655" spans="1:12" ht="115.2" x14ac:dyDescent="0.3">
      <c r="A655" s="4" t="s">
        <v>3464</v>
      </c>
      <c r="B655">
        <v>2</v>
      </c>
      <c r="C655">
        <v>3</v>
      </c>
      <c r="D655">
        <v>2024</v>
      </c>
      <c r="E655" t="s">
        <v>12128</v>
      </c>
      <c r="F655">
        <v>1</v>
      </c>
      <c r="G655" t="s">
        <v>12129</v>
      </c>
      <c r="H655" t="s">
        <v>12130</v>
      </c>
      <c r="I655" s="4" t="s">
        <v>12131</v>
      </c>
      <c r="J655" t="s">
        <v>71</v>
      </c>
      <c r="K655" t="s">
        <v>10782</v>
      </c>
      <c r="L655" t="s">
        <v>12132</v>
      </c>
    </row>
    <row r="656" spans="1:12" ht="216" x14ac:dyDescent="0.3">
      <c r="A656" s="4" t="s">
        <v>3465</v>
      </c>
      <c r="B656">
        <v>2</v>
      </c>
      <c r="C656">
        <v>3</v>
      </c>
      <c r="D656">
        <v>2024</v>
      </c>
      <c r="E656" t="s">
        <v>482</v>
      </c>
      <c r="F656">
        <v>0</v>
      </c>
      <c r="G656" t="s">
        <v>12145</v>
      </c>
      <c r="H656" t="s">
        <v>12146</v>
      </c>
      <c r="I656" s="4" t="s">
        <v>12147</v>
      </c>
      <c r="J656" t="s">
        <v>71</v>
      </c>
      <c r="K656" t="s">
        <v>10782</v>
      </c>
      <c r="L656" t="s">
        <v>12148</v>
      </c>
    </row>
    <row r="657" spans="1:12" ht="187.2" x14ac:dyDescent="0.3">
      <c r="A657" s="4" t="s">
        <v>3466</v>
      </c>
      <c r="B657">
        <v>2</v>
      </c>
      <c r="C657">
        <v>3</v>
      </c>
      <c r="D657">
        <v>2024</v>
      </c>
      <c r="E657" t="s">
        <v>318</v>
      </c>
      <c r="F657">
        <v>6</v>
      </c>
      <c r="G657" t="s">
        <v>12157</v>
      </c>
      <c r="H657" t="s">
        <v>12158</v>
      </c>
      <c r="I657" s="4" t="s">
        <v>12159</v>
      </c>
      <c r="J657" t="s">
        <v>71</v>
      </c>
      <c r="K657" t="s">
        <v>10782</v>
      </c>
      <c r="L657" t="s">
        <v>12160</v>
      </c>
    </row>
    <row r="658" spans="1:12" ht="201.6" x14ac:dyDescent="0.3">
      <c r="A658" s="4" t="s">
        <v>3467</v>
      </c>
      <c r="B658">
        <v>2</v>
      </c>
      <c r="C658">
        <v>3</v>
      </c>
      <c r="D658">
        <v>2024</v>
      </c>
      <c r="E658" t="s">
        <v>10924</v>
      </c>
      <c r="F658">
        <v>0</v>
      </c>
      <c r="G658" t="s">
        <v>12161</v>
      </c>
      <c r="H658" t="s">
        <v>12162</v>
      </c>
      <c r="I658" s="4" t="s">
        <v>12163</v>
      </c>
      <c r="J658" t="s">
        <v>71</v>
      </c>
      <c r="K658" t="s">
        <v>10782</v>
      </c>
      <c r="L658" t="s">
        <v>12164</v>
      </c>
    </row>
    <row r="659" spans="1:12" ht="201.6" x14ac:dyDescent="0.3">
      <c r="A659" s="4" t="s">
        <v>2448</v>
      </c>
      <c r="B659">
        <v>2</v>
      </c>
      <c r="C659">
        <v>1</v>
      </c>
      <c r="D659">
        <v>2024</v>
      </c>
      <c r="E659" t="s">
        <v>405</v>
      </c>
      <c r="F659">
        <v>0</v>
      </c>
      <c r="G659" t="s">
        <v>12177</v>
      </c>
      <c r="H659" t="s">
        <v>12178</v>
      </c>
      <c r="I659" s="4" t="s">
        <v>12179</v>
      </c>
      <c r="J659" t="s">
        <v>71</v>
      </c>
      <c r="K659" t="s">
        <v>10782</v>
      </c>
      <c r="L659" t="s">
        <v>12180</v>
      </c>
    </row>
    <row r="660" spans="1:12" ht="115.2" x14ac:dyDescent="0.3">
      <c r="A660" s="4" t="s">
        <v>3468</v>
      </c>
      <c r="B660">
        <v>2</v>
      </c>
      <c r="C660">
        <v>3</v>
      </c>
      <c r="D660">
        <v>2024</v>
      </c>
      <c r="E660" t="s">
        <v>277</v>
      </c>
      <c r="F660">
        <v>3</v>
      </c>
      <c r="G660" t="s">
        <v>12194</v>
      </c>
      <c r="H660" t="s">
        <v>12195</v>
      </c>
      <c r="I660" s="4" t="s">
        <v>12196</v>
      </c>
      <c r="J660" t="s">
        <v>71</v>
      </c>
      <c r="K660" t="s">
        <v>10782</v>
      </c>
      <c r="L660" t="s">
        <v>12197</v>
      </c>
    </row>
    <row r="661" spans="1:12" ht="158.4" x14ac:dyDescent="0.3">
      <c r="A661" s="4" t="s">
        <v>3469</v>
      </c>
      <c r="B661">
        <v>2</v>
      </c>
      <c r="C661">
        <v>3</v>
      </c>
      <c r="D661">
        <v>2024</v>
      </c>
      <c r="E661" t="s">
        <v>1802</v>
      </c>
      <c r="F661">
        <v>2</v>
      </c>
      <c r="G661" t="s">
        <v>12274</v>
      </c>
      <c r="H661" t="s">
        <v>12275</v>
      </c>
      <c r="I661" s="4" t="s">
        <v>12276</v>
      </c>
      <c r="J661" t="s">
        <v>10823</v>
      </c>
      <c r="K661" t="s">
        <v>10782</v>
      </c>
      <c r="L661" t="s">
        <v>12277</v>
      </c>
    </row>
    <row r="662" spans="1:12" ht="100.8" x14ac:dyDescent="0.3">
      <c r="A662" s="4" t="s">
        <v>3470</v>
      </c>
      <c r="B662">
        <v>2</v>
      </c>
      <c r="C662">
        <v>3</v>
      </c>
      <c r="D662">
        <v>2024</v>
      </c>
      <c r="E662" t="s">
        <v>329</v>
      </c>
      <c r="F662">
        <v>1</v>
      </c>
      <c r="G662" t="s">
        <v>12278</v>
      </c>
      <c r="H662" t="s">
        <v>12279</v>
      </c>
      <c r="I662" s="4" t="s">
        <v>12280</v>
      </c>
      <c r="J662" t="s">
        <v>71</v>
      </c>
      <c r="K662" t="s">
        <v>10782</v>
      </c>
      <c r="L662" t="s">
        <v>12281</v>
      </c>
    </row>
    <row r="663" spans="1:12" ht="115.2" x14ac:dyDescent="0.3">
      <c r="A663" s="4" t="s">
        <v>3471</v>
      </c>
      <c r="B663">
        <v>2</v>
      </c>
      <c r="C663">
        <v>3</v>
      </c>
      <c r="D663">
        <v>2024</v>
      </c>
      <c r="E663" t="s">
        <v>80</v>
      </c>
      <c r="F663">
        <v>1</v>
      </c>
      <c r="G663" t="s">
        <v>12295</v>
      </c>
      <c r="H663" t="s">
        <v>12296</v>
      </c>
      <c r="I663" s="4" t="s">
        <v>12297</v>
      </c>
    </row>
    <row r="664" spans="1:12" ht="129.6" x14ac:dyDescent="0.3">
      <c r="A664" s="4" t="s">
        <v>2449</v>
      </c>
      <c r="B664">
        <v>2</v>
      </c>
      <c r="C664">
        <v>1</v>
      </c>
      <c r="D664">
        <v>2024</v>
      </c>
      <c r="E664" t="s">
        <v>147</v>
      </c>
      <c r="F664">
        <v>0</v>
      </c>
      <c r="G664" t="s">
        <v>12306</v>
      </c>
      <c r="H664" t="s">
        <v>12307</v>
      </c>
      <c r="I664" s="4" t="s">
        <v>12308</v>
      </c>
      <c r="J664" t="s">
        <v>71</v>
      </c>
      <c r="K664" t="s">
        <v>10782</v>
      </c>
      <c r="L664" t="s">
        <v>12309</v>
      </c>
    </row>
    <row r="665" spans="1:12" ht="129.6" x14ac:dyDescent="0.3">
      <c r="A665" s="4" t="s">
        <v>3472</v>
      </c>
      <c r="B665">
        <v>2</v>
      </c>
      <c r="C665">
        <v>3</v>
      </c>
      <c r="D665">
        <v>2024</v>
      </c>
      <c r="E665" t="s">
        <v>1129</v>
      </c>
      <c r="F665">
        <v>3</v>
      </c>
      <c r="G665" t="s">
        <v>12314</v>
      </c>
      <c r="H665" t="s">
        <v>12315</v>
      </c>
      <c r="I665" s="4" t="s">
        <v>12316</v>
      </c>
      <c r="J665" t="s">
        <v>71</v>
      </c>
      <c r="K665" t="s">
        <v>10782</v>
      </c>
      <c r="L665" t="s">
        <v>12317</v>
      </c>
    </row>
    <row r="666" spans="1:12" ht="187.2" x14ac:dyDescent="0.3">
      <c r="A666" s="4" t="s">
        <v>2450</v>
      </c>
      <c r="B666">
        <v>2</v>
      </c>
      <c r="C666">
        <v>1</v>
      </c>
      <c r="D666">
        <v>2024</v>
      </c>
      <c r="E666" t="s">
        <v>147</v>
      </c>
      <c r="F666">
        <v>2</v>
      </c>
      <c r="G666" t="s">
        <v>12383</v>
      </c>
      <c r="H666" t="s">
        <v>12384</v>
      </c>
      <c r="I666" s="4" t="s">
        <v>12385</v>
      </c>
      <c r="J666" t="s">
        <v>71</v>
      </c>
      <c r="K666" t="s">
        <v>10782</v>
      </c>
      <c r="L666" t="s">
        <v>12386</v>
      </c>
    </row>
    <row r="667" spans="1:12" ht="158.4" x14ac:dyDescent="0.3">
      <c r="A667" s="4" t="s">
        <v>3473</v>
      </c>
      <c r="B667">
        <v>2</v>
      </c>
      <c r="C667">
        <v>3</v>
      </c>
      <c r="D667">
        <v>2024</v>
      </c>
      <c r="E667" t="s">
        <v>80</v>
      </c>
      <c r="F667">
        <v>0</v>
      </c>
      <c r="G667" t="s">
        <v>12416</v>
      </c>
      <c r="H667" t="s">
        <v>12417</v>
      </c>
      <c r="I667" s="4" t="s">
        <v>12418</v>
      </c>
      <c r="J667" t="s">
        <v>71</v>
      </c>
      <c r="K667" t="s">
        <v>10782</v>
      </c>
      <c r="L667" t="s">
        <v>12419</v>
      </c>
    </row>
    <row r="668" spans="1:12" ht="172.8" x14ac:dyDescent="0.3">
      <c r="A668" s="4" t="s">
        <v>2451</v>
      </c>
      <c r="B668">
        <v>2</v>
      </c>
      <c r="C668">
        <v>1</v>
      </c>
      <c r="D668">
        <v>2024</v>
      </c>
      <c r="E668" t="s">
        <v>147</v>
      </c>
      <c r="F668">
        <v>1</v>
      </c>
      <c r="G668" t="s">
        <v>12458</v>
      </c>
      <c r="H668" t="s">
        <v>12459</v>
      </c>
      <c r="I668" s="4" t="s">
        <v>12460</v>
      </c>
      <c r="J668" t="s">
        <v>71</v>
      </c>
      <c r="K668" t="s">
        <v>10782</v>
      </c>
      <c r="L668" t="s">
        <v>12461</v>
      </c>
    </row>
    <row r="669" spans="1:12" ht="273.60000000000002" x14ac:dyDescent="0.3">
      <c r="A669" s="4" t="s">
        <v>3474</v>
      </c>
      <c r="B669">
        <v>2</v>
      </c>
      <c r="C669">
        <v>3</v>
      </c>
      <c r="D669">
        <v>2024</v>
      </c>
      <c r="E669" t="s">
        <v>2893</v>
      </c>
      <c r="F669">
        <v>0</v>
      </c>
      <c r="G669" t="s">
        <v>12532</v>
      </c>
      <c r="H669" t="s">
        <v>12533</v>
      </c>
      <c r="I669" s="4" t="s">
        <v>12534</v>
      </c>
      <c r="J669" t="s">
        <v>71</v>
      </c>
      <c r="K669" t="s">
        <v>10782</v>
      </c>
      <c r="L669" t="s">
        <v>12535</v>
      </c>
    </row>
    <row r="670" spans="1:12" ht="187.2" x14ac:dyDescent="0.3">
      <c r="A670" s="4" t="s">
        <v>3475</v>
      </c>
      <c r="B670">
        <v>2</v>
      </c>
      <c r="C670">
        <v>3</v>
      </c>
      <c r="D670">
        <v>2024</v>
      </c>
      <c r="E670" t="s">
        <v>2361</v>
      </c>
      <c r="F670">
        <v>3</v>
      </c>
      <c r="G670" t="s">
        <v>12548</v>
      </c>
      <c r="H670" t="s">
        <v>12549</v>
      </c>
      <c r="I670" s="4" t="s">
        <v>12550</v>
      </c>
      <c r="J670" t="s">
        <v>71</v>
      </c>
      <c r="K670" t="s">
        <v>10782</v>
      </c>
      <c r="L670" t="s">
        <v>12551</v>
      </c>
    </row>
    <row r="671" spans="1:12" ht="288" x14ac:dyDescent="0.3">
      <c r="A671" s="4" t="s">
        <v>3476</v>
      </c>
      <c r="B671">
        <v>2</v>
      </c>
      <c r="C671">
        <v>3</v>
      </c>
      <c r="D671">
        <v>2024</v>
      </c>
      <c r="E671" t="s">
        <v>11805</v>
      </c>
      <c r="F671">
        <v>0</v>
      </c>
      <c r="G671" t="s">
        <v>12601</v>
      </c>
      <c r="H671" t="s">
        <v>12602</v>
      </c>
      <c r="I671" s="4" t="s">
        <v>12603</v>
      </c>
      <c r="J671" t="s">
        <v>71</v>
      </c>
      <c r="K671" t="s">
        <v>10782</v>
      </c>
      <c r="L671" t="s">
        <v>12604</v>
      </c>
    </row>
    <row r="672" spans="1:12" ht="158.4" x14ac:dyDescent="0.3">
      <c r="A672" s="4" t="s">
        <v>3477</v>
      </c>
      <c r="B672">
        <v>2</v>
      </c>
      <c r="C672">
        <v>3</v>
      </c>
      <c r="D672">
        <v>2024</v>
      </c>
      <c r="E672" t="s">
        <v>2853</v>
      </c>
      <c r="F672">
        <v>0</v>
      </c>
      <c r="G672" t="s">
        <v>12635</v>
      </c>
      <c r="H672" t="s">
        <v>12636</v>
      </c>
      <c r="I672" s="4" t="s">
        <v>12637</v>
      </c>
    </row>
    <row r="673" spans="1:12" ht="57.6" x14ac:dyDescent="0.3">
      <c r="A673" s="4" t="s">
        <v>3478</v>
      </c>
      <c r="B673">
        <v>2</v>
      </c>
      <c r="C673">
        <v>3</v>
      </c>
      <c r="D673">
        <v>2024</v>
      </c>
      <c r="E673" t="s">
        <v>12668</v>
      </c>
      <c r="F673">
        <v>1</v>
      </c>
      <c r="G673" t="s">
        <v>12669</v>
      </c>
      <c r="H673" t="s">
        <v>12670</v>
      </c>
      <c r="I673" s="4" t="s">
        <v>12671</v>
      </c>
    </row>
    <row r="674" spans="1:12" ht="129.6" x14ac:dyDescent="0.3">
      <c r="A674" s="4" t="s">
        <v>3479</v>
      </c>
      <c r="B674">
        <v>2</v>
      </c>
      <c r="C674">
        <v>3</v>
      </c>
      <c r="D674">
        <v>2024</v>
      </c>
      <c r="E674" t="s">
        <v>405</v>
      </c>
      <c r="F674">
        <v>1</v>
      </c>
      <c r="G674" t="s">
        <v>12717</v>
      </c>
      <c r="H674" t="s">
        <v>12718</v>
      </c>
      <c r="I674" s="4" t="s">
        <v>12719</v>
      </c>
      <c r="J674" t="s">
        <v>71</v>
      </c>
      <c r="K674" t="s">
        <v>10782</v>
      </c>
      <c r="L674" t="s">
        <v>12720</v>
      </c>
    </row>
    <row r="675" spans="1:12" ht="201.6" x14ac:dyDescent="0.3">
      <c r="A675" s="4" t="s">
        <v>3480</v>
      </c>
      <c r="B675">
        <v>2</v>
      </c>
      <c r="C675">
        <v>3</v>
      </c>
      <c r="D675">
        <v>2024</v>
      </c>
      <c r="E675" t="s">
        <v>10924</v>
      </c>
      <c r="F675">
        <v>0</v>
      </c>
      <c r="G675" t="s">
        <v>12725</v>
      </c>
      <c r="H675" t="s">
        <v>12726</v>
      </c>
      <c r="I675" s="4" t="s">
        <v>12727</v>
      </c>
      <c r="J675" t="s">
        <v>71</v>
      </c>
      <c r="K675" t="s">
        <v>10782</v>
      </c>
      <c r="L675" t="s">
        <v>12728</v>
      </c>
    </row>
    <row r="676" spans="1:12" ht="158.4" x14ac:dyDescent="0.3">
      <c r="A676" s="4" t="s">
        <v>3481</v>
      </c>
      <c r="B676">
        <v>2</v>
      </c>
      <c r="C676">
        <v>3</v>
      </c>
      <c r="D676">
        <v>2024</v>
      </c>
      <c r="E676" t="s">
        <v>1802</v>
      </c>
      <c r="F676">
        <v>2</v>
      </c>
      <c r="G676" t="s">
        <v>12749</v>
      </c>
      <c r="H676" t="s">
        <v>12750</v>
      </c>
      <c r="I676" s="4" t="s">
        <v>12751</v>
      </c>
      <c r="J676" t="s">
        <v>71</v>
      </c>
      <c r="K676" t="s">
        <v>10782</v>
      </c>
      <c r="L676" t="s">
        <v>12752</v>
      </c>
    </row>
    <row r="677" spans="1:12" ht="187.2" x14ac:dyDescent="0.3">
      <c r="A677" s="4" t="s">
        <v>2452</v>
      </c>
      <c r="B677">
        <v>2</v>
      </c>
      <c r="C677">
        <v>1</v>
      </c>
      <c r="D677">
        <v>2024</v>
      </c>
      <c r="E677" t="s">
        <v>405</v>
      </c>
      <c r="F677">
        <v>0</v>
      </c>
      <c r="G677" t="s">
        <v>12821</v>
      </c>
      <c r="H677" t="s">
        <v>12822</v>
      </c>
      <c r="I677" s="4" t="s">
        <v>12823</v>
      </c>
      <c r="J677" t="s">
        <v>71</v>
      </c>
      <c r="K677" t="s">
        <v>10782</v>
      </c>
      <c r="L677" t="s">
        <v>12824</v>
      </c>
    </row>
    <row r="678" spans="1:12" ht="259.2" x14ac:dyDescent="0.3">
      <c r="A678" s="4" t="s">
        <v>3482</v>
      </c>
      <c r="B678">
        <v>2</v>
      </c>
      <c r="C678">
        <v>3</v>
      </c>
      <c r="D678">
        <v>2024</v>
      </c>
      <c r="E678" t="s">
        <v>1125</v>
      </c>
      <c r="F678">
        <v>0</v>
      </c>
      <c r="G678" t="s">
        <v>12825</v>
      </c>
      <c r="H678" t="s">
        <v>12826</v>
      </c>
      <c r="I678" s="4" t="s">
        <v>12827</v>
      </c>
      <c r="J678" t="s">
        <v>10945</v>
      </c>
      <c r="K678" t="s">
        <v>10782</v>
      </c>
      <c r="L678" t="s">
        <v>12828</v>
      </c>
    </row>
    <row r="679" spans="1:12" ht="129.6" x14ac:dyDescent="0.3">
      <c r="A679" s="4" t="s">
        <v>3483</v>
      </c>
      <c r="B679">
        <v>2</v>
      </c>
      <c r="C679">
        <v>3</v>
      </c>
      <c r="D679">
        <v>2024</v>
      </c>
      <c r="E679" t="s">
        <v>217</v>
      </c>
      <c r="F679">
        <v>0</v>
      </c>
      <c r="G679" t="s">
        <v>12833</v>
      </c>
      <c r="H679" t="s">
        <v>12834</v>
      </c>
      <c r="I679" s="4" t="s">
        <v>12835</v>
      </c>
      <c r="J679" t="s">
        <v>71</v>
      </c>
      <c r="K679" t="s">
        <v>10782</v>
      </c>
      <c r="L679" t="s">
        <v>12836</v>
      </c>
    </row>
    <row r="680" spans="1:12" ht="216" x14ac:dyDescent="0.3">
      <c r="A680" s="4" t="s">
        <v>3484</v>
      </c>
      <c r="B680">
        <v>2</v>
      </c>
      <c r="C680">
        <v>3</v>
      </c>
      <c r="D680">
        <v>2024</v>
      </c>
      <c r="E680" t="s">
        <v>329</v>
      </c>
      <c r="F680">
        <v>2</v>
      </c>
      <c r="G680" t="s">
        <v>12871</v>
      </c>
      <c r="H680" t="s">
        <v>12872</v>
      </c>
      <c r="I680" s="4" t="s">
        <v>12873</v>
      </c>
      <c r="J680" t="s">
        <v>71</v>
      </c>
      <c r="K680" t="s">
        <v>10782</v>
      </c>
      <c r="L680" t="s">
        <v>12874</v>
      </c>
    </row>
    <row r="681" spans="1:12" ht="216" x14ac:dyDescent="0.3">
      <c r="A681" s="4" t="s">
        <v>3485</v>
      </c>
      <c r="B681">
        <v>2</v>
      </c>
      <c r="C681">
        <v>3</v>
      </c>
      <c r="D681">
        <v>2024</v>
      </c>
      <c r="E681" t="s">
        <v>11159</v>
      </c>
      <c r="F681">
        <v>1</v>
      </c>
      <c r="G681" t="s">
        <v>12903</v>
      </c>
      <c r="H681" t="s">
        <v>12904</v>
      </c>
      <c r="I681" s="4" t="s">
        <v>12905</v>
      </c>
      <c r="J681" t="s">
        <v>71</v>
      </c>
      <c r="K681" t="s">
        <v>10782</v>
      </c>
      <c r="L681" t="s">
        <v>12906</v>
      </c>
    </row>
    <row r="682" spans="1:12" ht="201.6" x14ac:dyDescent="0.3">
      <c r="A682" s="4" t="s">
        <v>3486</v>
      </c>
      <c r="B682">
        <v>2</v>
      </c>
      <c r="C682">
        <v>3</v>
      </c>
      <c r="D682">
        <v>2024</v>
      </c>
      <c r="E682" t="s">
        <v>147</v>
      </c>
      <c r="F682">
        <v>1</v>
      </c>
      <c r="G682" t="s">
        <v>12933</v>
      </c>
      <c r="H682" t="s">
        <v>12934</v>
      </c>
      <c r="I682" s="4" t="s">
        <v>12935</v>
      </c>
      <c r="J682" t="s">
        <v>71</v>
      </c>
      <c r="K682" t="s">
        <v>10782</v>
      </c>
      <c r="L682" t="s">
        <v>12936</v>
      </c>
    </row>
    <row r="683" spans="1:12" ht="259.2" x14ac:dyDescent="0.3">
      <c r="A683" s="4" t="s">
        <v>2453</v>
      </c>
      <c r="B683">
        <v>2</v>
      </c>
      <c r="C683">
        <v>1</v>
      </c>
      <c r="D683">
        <v>2024</v>
      </c>
      <c r="E683" t="s">
        <v>2519</v>
      </c>
      <c r="F683">
        <v>3</v>
      </c>
      <c r="G683" t="s">
        <v>12940</v>
      </c>
      <c r="H683" t="s">
        <v>12941</v>
      </c>
      <c r="I683" s="4" t="s">
        <v>12942</v>
      </c>
      <c r="J683" t="s">
        <v>71</v>
      </c>
      <c r="K683" t="s">
        <v>10782</v>
      </c>
      <c r="L683" t="s">
        <v>12943</v>
      </c>
    </row>
    <row r="684" spans="1:12" ht="115.2" x14ac:dyDescent="0.3">
      <c r="A684" s="4" t="s">
        <v>3487</v>
      </c>
      <c r="B684">
        <v>2</v>
      </c>
      <c r="C684">
        <v>3</v>
      </c>
      <c r="D684">
        <v>2024</v>
      </c>
      <c r="E684" t="s">
        <v>385</v>
      </c>
      <c r="F684">
        <v>0</v>
      </c>
      <c r="G684" t="s">
        <v>12980</v>
      </c>
      <c r="H684" t="s">
        <v>12981</v>
      </c>
      <c r="I684" s="4" t="s">
        <v>12982</v>
      </c>
      <c r="J684" t="s">
        <v>71</v>
      </c>
      <c r="K684" t="s">
        <v>10782</v>
      </c>
      <c r="L684" t="s">
        <v>12983</v>
      </c>
    </row>
    <row r="685" spans="1:12" ht="187.2" x14ac:dyDescent="0.3">
      <c r="A685" s="4" t="s">
        <v>3488</v>
      </c>
      <c r="B685">
        <v>2</v>
      </c>
      <c r="C685">
        <v>3</v>
      </c>
      <c r="D685">
        <v>2024</v>
      </c>
      <c r="E685" t="s">
        <v>329</v>
      </c>
      <c r="F685">
        <v>0</v>
      </c>
      <c r="G685" t="s">
        <v>13062</v>
      </c>
      <c r="H685" t="s">
        <v>13063</v>
      </c>
      <c r="I685" s="4" t="s">
        <v>13064</v>
      </c>
      <c r="J685" t="s">
        <v>71</v>
      </c>
      <c r="K685" t="s">
        <v>10782</v>
      </c>
      <c r="L685" t="s">
        <v>13065</v>
      </c>
    </row>
    <row r="686" spans="1:12" ht="259.2" x14ac:dyDescent="0.3">
      <c r="A686" s="4" t="s">
        <v>2457</v>
      </c>
      <c r="B686">
        <v>2</v>
      </c>
      <c r="C686">
        <v>1</v>
      </c>
      <c r="D686">
        <v>2024</v>
      </c>
      <c r="E686" t="s">
        <v>704</v>
      </c>
      <c r="F686">
        <v>10</v>
      </c>
      <c r="G686" t="s">
        <v>13159</v>
      </c>
      <c r="H686" t="s">
        <v>13160</v>
      </c>
      <c r="I686" s="4" t="s">
        <v>13161</v>
      </c>
    </row>
    <row r="687" spans="1:12" ht="216" x14ac:dyDescent="0.3">
      <c r="A687" s="4" t="s">
        <v>2455</v>
      </c>
      <c r="B687">
        <v>2</v>
      </c>
      <c r="C687">
        <v>1</v>
      </c>
      <c r="D687">
        <v>2024</v>
      </c>
      <c r="E687" t="s">
        <v>318</v>
      </c>
      <c r="F687">
        <v>2</v>
      </c>
      <c r="G687" t="s">
        <v>13291</v>
      </c>
      <c r="H687" t="s">
        <v>13292</v>
      </c>
      <c r="I687" s="4" t="s">
        <v>13293</v>
      </c>
      <c r="J687" t="s">
        <v>71</v>
      </c>
      <c r="K687" t="s">
        <v>10782</v>
      </c>
      <c r="L687" t="s">
        <v>13294</v>
      </c>
    </row>
    <row r="688" spans="1:12" ht="129.6" x14ac:dyDescent="0.3">
      <c r="A688" s="4" t="s">
        <v>2458</v>
      </c>
      <c r="B688">
        <v>2</v>
      </c>
      <c r="C688">
        <v>1</v>
      </c>
      <c r="D688">
        <v>2024</v>
      </c>
      <c r="E688" t="s">
        <v>318</v>
      </c>
      <c r="F688">
        <v>4</v>
      </c>
      <c r="G688" t="s">
        <v>13415</v>
      </c>
      <c r="H688" t="s">
        <v>13416</v>
      </c>
      <c r="I688" s="4" t="s">
        <v>13417</v>
      </c>
    </row>
    <row r="689" spans="1:12" ht="158.4" x14ac:dyDescent="0.3">
      <c r="A689" s="4" t="s">
        <v>3489</v>
      </c>
      <c r="B689">
        <v>2</v>
      </c>
      <c r="C689">
        <v>3</v>
      </c>
      <c r="D689">
        <v>2024</v>
      </c>
      <c r="E689" t="s">
        <v>11839</v>
      </c>
      <c r="F689">
        <v>0</v>
      </c>
      <c r="G689" t="s">
        <v>13422</v>
      </c>
      <c r="H689" t="s">
        <v>13423</v>
      </c>
      <c r="I689" s="4" t="s">
        <v>13424</v>
      </c>
      <c r="J689" t="s">
        <v>71</v>
      </c>
      <c r="K689" t="s">
        <v>10782</v>
      </c>
      <c r="L689" t="s">
        <v>13425</v>
      </c>
    </row>
    <row r="690" spans="1:12" ht="158.4" x14ac:dyDescent="0.3">
      <c r="A690" s="4" t="s">
        <v>3490</v>
      </c>
      <c r="B690">
        <v>2</v>
      </c>
      <c r="C690">
        <v>3</v>
      </c>
      <c r="D690">
        <v>2024</v>
      </c>
      <c r="E690" t="s">
        <v>147</v>
      </c>
      <c r="F690">
        <v>3</v>
      </c>
      <c r="G690" t="s">
        <v>13426</v>
      </c>
      <c r="H690" t="s">
        <v>13427</v>
      </c>
      <c r="I690" s="4" t="s">
        <v>13428</v>
      </c>
      <c r="J690" t="s">
        <v>71</v>
      </c>
      <c r="K690" t="s">
        <v>10782</v>
      </c>
      <c r="L690" t="s">
        <v>13429</v>
      </c>
    </row>
    <row r="691" spans="1:12" ht="230.4" x14ac:dyDescent="0.3">
      <c r="A691" s="4" t="s">
        <v>2459</v>
      </c>
      <c r="B691">
        <v>2</v>
      </c>
      <c r="C691">
        <v>1</v>
      </c>
      <c r="D691">
        <v>2024</v>
      </c>
      <c r="E691" t="s">
        <v>318</v>
      </c>
      <c r="F691">
        <v>3</v>
      </c>
      <c r="G691" t="s">
        <v>13501</v>
      </c>
      <c r="H691" t="s">
        <v>13502</v>
      </c>
      <c r="I691" s="4" t="s">
        <v>13503</v>
      </c>
      <c r="J691" t="s">
        <v>71</v>
      </c>
      <c r="K691" t="s">
        <v>10782</v>
      </c>
      <c r="L691" t="s">
        <v>13504</v>
      </c>
    </row>
    <row r="692" spans="1:12" ht="172.8" x14ac:dyDescent="0.3">
      <c r="A692" s="4" t="s">
        <v>3491</v>
      </c>
      <c r="B692">
        <v>2</v>
      </c>
      <c r="C692">
        <v>3</v>
      </c>
      <c r="D692">
        <v>2024</v>
      </c>
      <c r="E692" t="s">
        <v>147</v>
      </c>
      <c r="F692">
        <v>15</v>
      </c>
      <c r="G692" t="s">
        <v>13717</v>
      </c>
      <c r="H692" t="s">
        <v>13718</v>
      </c>
      <c r="I692" s="4" t="s">
        <v>13719</v>
      </c>
      <c r="J692" t="s">
        <v>71</v>
      </c>
      <c r="K692" t="s">
        <v>10782</v>
      </c>
      <c r="L692" t="s">
        <v>13720</v>
      </c>
    </row>
    <row r="693" spans="1:12" ht="115.2" x14ac:dyDescent="0.3">
      <c r="A693" s="4" t="s">
        <v>3492</v>
      </c>
      <c r="B693">
        <v>2</v>
      </c>
      <c r="C693">
        <v>3</v>
      </c>
      <c r="D693">
        <v>2024</v>
      </c>
      <c r="E693" t="s">
        <v>217</v>
      </c>
      <c r="F693">
        <v>1</v>
      </c>
      <c r="G693" t="s">
        <v>13753</v>
      </c>
      <c r="H693" t="s">
        <v>13754</v>
      </c>
      <c r="I693" s="4" t="s">
        <v>13755</v>
      </c>
    </row>
    <row r="694" spans="1:12" ht="144" x14ac:dyDescent="0.3">
      <c r="A694" s="4" t="s">
        <v>3493</v>
      </c>
      <c r="B694">
        <v>2</v>
      </c>
      <c r="C694">
        <v>3</v>
      </c>
      <c r="D694">
        <v>2024</v>
      </c>
      <c r="E694" t="s">
        <v>217</v>
      </c>
      <c r="F694">
        <v>4</v>
      </c>
      <c r="G694" t="s">
        <v>13767</v>
      </c>
      <c r="H694" t="s">
        <v>13768</v>
      </c>
      <c r="I694" s="4" t="s">
        <v>13769</v>
      </c>
      <c r="J694" t="s">
        <v>71</v>
      </c>
      <c r="K694" t="s">
        <v>10782</v>
      </c>
      <c r="L694" t="s">
        <v>13770</v>
      </c>
    </row>
    <row r="695" spans="1:12" ht="115.2" x14ac:dyDescent="0.3">
      <c r="A695" s="4" t="s">
        <v>3494</v>
      </c>
      <c r="B695">
        <v>2</v>
      </c>
      <c r="C695">
        <v>3</v>
      </c>
      <c r="D695">
        <v>2024</v>
      </c>
      <c r="E695" t="s">
        <v>799</v>
      </c>
      <c r="F695">
        <v>5</v>
      </c>
      <c r="G695" t="s">
        <v>13847</v>
      </c>
      <c r="H695" t="s">
        <v>13848</v>
      </c>
      <c r="I695" s="4" t="s">
        <v>13849</v>
      </c>
      <c r="J695" t="s">
        <v>71</v>
      </c>
      <c r="K695" t="s">
        <v>10782</v>
      </c>
      <c r="L695" t="s">
        <v>13850</v>
      </c>
    </row>
    <row r="696" spans="1:12" ht="158.4" x14ac:dyDescent="0.3">
      <c r="A696" s="4" t="s">
        <v>3495</v>
      </c>
      <c r="B696">
        <v>2</v>
      </c>
      <c r="C696">
        <v>3</v>
      </c>
      <c r="D696">
        <v>2024</v>
      </c>
      <c r="E696" t="s">
        <v>1002</v>
      </c>
      <c r="F696">
        <v>5</v>
      </c>
      <c r="G696" t="s">
        <v>14001</v>
      </c>
      <c r="H696" t="s">
        <v>14002</v>
      </c>
      <c r="I696" s="4" t="s">
        <v>14003</v>
      </c>
      <c r="J696" t="s">
        <v>71</v>
      </c>
      <c r="K696" t="s">
        <v>10782</v>
      </c>
      <c r="L696" t="s">
        <v>14004</v>
      </c>
    </row>
    <row r="697" spans="1:12" ht="129.6" x14ac:dyDescent="0.3">
      <c r="A697" s="4" t="s">
        <v>2460</v>
      </c>
      <c r="B697">
        <v>2</v>
      </c>
      <c r="C697">
        <v>1</v>
      </c>
      <c r="D697">
        <v>2024</v>
      </c>
      <c r="E697" t="s">
        <v>2500</v>
      </c>
      <c r="F697">
        <v>14</v>
      </c>
      <c r="G697" t="s">
        <v>14009</v>
      </c>
      <c r="H697" t="s">
        <v>14010</v>
      </c>
      <c r="I697" s="4" t="s">
        <v>14011</v>
      </c>
      <c r="J697" t="s">
        <v>10823</v>
      </c>
      <c r="K697" t="s">
        <v>10782</v>
      </c>
      <c r="L697" t="s">
        <v>14012</v>
      </c>
    </row>
    <row r="698" spans="1:12" ht="172.8" x14ac:dyDescent="0.3">
      <c r="A698" s="4" t="s">
        <v>3496</v>
      </c>
      <c r="B698">
        <v>2</v>
      </c>
      <c r="C698">
        <v>3</v>
      </c>
      <c r="D698">
        <v>2024</v>
      </c>
      <c r="E698" t="s">
        <v>80</v>
      </c>
      <c r="F698">
        <v>0</v>
      </c>
      <c r="G698" t="s">
        <v>14026</v>
      </c>
      <c r="H698" t="s">
        <v>14027</v>
      </c>
      <c r="I698" s="4" t="s">
        <v>14028</v>
      </c>
      <c r="J698" t="s">
        <v>71</v>
      </c>
      <c r="K698" t="s">
        <v>10782</v>
      </c>
      <c r="L698" t="s">
        <v>14029</v>
      </c>
    </row>
    <row r="699" spans="1:12" ht="259.2" x14ac:dyDescent="0.3">
      <c r="A699" s="4" t="s">
        <v>2462</v>
      </c>
      <c r="B699">
        <v>2</v>
      </c>
      <c r="C699">
        <v>1</v>
      </c>
      <c r="D699">
        <v>2024</v>
      </c>
      <c r="E699" t="s">
        <v>264</v>
      </c>
      <c r="F699">
        <v>0</v>
      </c>
      <c r="G699" t="s">
        <v>14057</v>
      </c>
      <c r="H699" t="s">
        <v>14058</v>
      </c>
      <c r="I699" s="4" t="s">
        <v>14059</v>
      </c>
      <c r="J699" t="s">
        <v>71</v>
      </c>
      <c r="K699" t="s">
        <v>10782</v>
      </c>
      <c r="L699" t="s">
        <v>14060</v>
      </c>
    </row>
    <row r="700" spans="1:12" ht="259.2" x14ac:dyDescent="0.3">
      <c r="A700" s="4" t="s">
        <v>3497</v>
      </c>
      <c r="B700">
        <v>2</v>
      </c>
      <c r="C700">
        <v>3</v>
      </c>
      <c r="D700">
        <v>2024</v>
      </c>
      <c r="E700" t="s">
        <v>14090</v>
      </c>
      <c r="F700">
        <v>0</v>
      </c>
      <c r="G700" t="s">
        <v>14091</v>
      </c>
      <c r="I700" s="4" t="s">
        <v>14092</v>
      </c>
      <c r="J700" s="4" t="s">
        <v>10823</v>
      </c>
      <c r="K700" t="s">
        <v>10782</v>
      </c>
      <c r="L700" t="s">
        <v>14093</v>
      </c>
    </row>
    <row r="701" spans="1:12" ht="216" x14ac:dyDescent="0.3">
      <c r="A701" s="4" t="s">
        <v>3498</v>
      </c>
      <c r="B701">
        <v>2</v>
      </c>
      <c r="C701">
        <v>3</v>
      </c>
      <c r="D701">
        <v>2024</v>
      </c>
      <c r="E701" t="s">
        <v>14245</v>
      </c>
      <c r="F701">
        <v>0</v>
      </c>
      <c r="G701" t="s">
        <v>14246</v>
      </c>
      <c r="H701" t="s">
        <v>14247</v>
      </c>
      <c r="I701" s="4" t="s">
        <v>14248</v>
      </c>
      <c r="J701" t="s">
        <v>71</v>
      </c>
      <c r="K701" t="s">
        <v>10782</v>
      </c>
      <c r="L701" t="s">
        <v>14249</v>
      </c>
    </row>
    <row r="702" spans="1:12" ht="158.4" x14ac:dyDescent="0.3">
      <c r="A702" s="4" t="s">
        <v>2544</v>
      </c>
      <c r="B702">
        <v>2</v>
      </c>
      <c r="C702">
        <v>1</v>
      </c>
      <c r="D702">
        <v>2024</v>
      </c>
      <c r="E702" t="s">
        <v>964</v>
      </c>
      <c r="F702">
        <v>3</v>
      </c>
      <c r="G702" t="s">
        <v>14330</v>
      </c>
      <c r="H702" t="s">
        <v>14331</v>
      </c>
      <c r="I702" s="4" t="s">
        <v>14332</v>
      </c>
      <c r="J702" t="s">
        <v>71</v>
      </c>
      <c r="K702" t="s">
        <v>10782</v>
      </c>
      <c r="L702" t="s">
        <v>14333</v>
      </c>
    </row>
    <row r="703" spans="1:12" ht="144" x14ac:dyDescent="0.3">
      <c r="A703" s="4" t="s">
        <v>3499</v>
      </c>
      <c r="B703">
        <v>2</v>
      </c>
      <c r="C703">
        <v>3</v>
      </c>
      <c r="D703">
        <v>2024</v>
      </c>
      <c r="E703" t="s">
        <v>363</v>
      </c>
      <c r="F703">
        <v>4</v>
      </c>
      <c r="G703" t="s">
        <v>14342</v>
      </c>
      <c r="H703" t="s">
        <v>14343</v>
      </c>
      <c r="I703" s="4" t="s">
        <v>14344</v>
      </c>
      <c r="J703" t="s">
        <v>71</v>
      </c>
      <c r="K703" t="s">
        <v>10782</v>
      </c>
      <c r="L703" t="s">
        <v>14345</v>
      </c>
    </row>
    <row r="704" spans="1:12" ht="201.6" x14ac:dyDescent="0.3">
      <c r="A704" s="4" t="s">
        <v>3500</v>
      </c>
      <c r="B704">
        <v>2</v>
      </c>
      <c r="C704">
        <v>3</v>
      </c>
      <c r="D704">
        <v>2024</v>
      </c>
      <c r="E704" t="s">
        <v>958</v>
      </c>
      <c r="F704">
        <v>0</v>
      </c>
      <c r="G704" t="s">
        <v>14475</v>
      </c>
      <c r="H704" t="s">
        <v>14476</v>
      </c>
      <c r="I704" s="4" t="s">
        <v>14477</v>
      </c>
      <c r="J704" t="s">
        <v>71</v>
      </c>
      <c r="K704" t="s">
        <v>10782</v>
      </c>
      <c r="L704" t="s">
        <v>14478</v>
      </c>
    </row>
    <row r="705" spans="1:12" ht="230.4" x14ac:dyDescent="0.3">
      <c r="A705" s="4" t="s">
        <v>3501</v>
      </c>
      <c r="B705">
        <v>2</v>
      </c>
      <c r="C705">
        <v>3</v>
      </c>
      <c r="D705">
        <v>2024</v>
      </c>
      <c r="E705" t="s">
        <v>80</v>
      </c>
      <c r="F705">
        <v>9</v>
      </c>
      <c r="G705" t="s">
        <v>14487</v>
      </c>
      <c r="H705" t="s">
        <v>14488</v>
      </c>
      <c r="I705" s="4" t="s">
        <v>14489</v>
      </c>
    </row>
    <row r="706" spans="1:12" ht="144" x14ac:dyDescent="0.3">
      <c r="A706" s="4" t="s">
        <v>3502</v>
      </c>
      <c r="B706">
        <v>2</v>
      </c>
      <c r="C706">
        <v>3</v>
      </c>
      <c r="D706">
        <v>2024</v>
      </c>
      <c r="E706" t="s">
        <v>637</v>
      </c>
      <c r="F706">
        <v>2</v>
      </c>
      <c r="G706" t="s">
        <v>14593</v>
      </c>
      <c r="H706" t="s">
        <v>14594</v>
      </c>
      <c r="I706" s="4" t="s">
        <v>14595</v>
      </c>
      <c r="J706" t="s">
        <v>10823</v>
      </c>
      <c r="K706" t="s">
        <v>10782</v>
      </c>
      <c r="L706" t="s">
        <v>14596</v>
      </c>
    </row>
    <row r="707" spans="1:12" ht="172.8" x14ac:dyDescent="0.3">
      <c r="A707" s="4" t="s">
        <v>3503</v>
      </c>
      <c r="B707">
        <v>2</v>
      </c>
      <c r="C707">
        <v>3</v>
      </c>
      <c r="D707">
        <v>2024</v>
      </c>
      <c r="E707" t="s">
        <v>637</v>
      </c>
      <c r="F707">
        <v>14</v>
      </c>
      <c r="G707" t="s">
        <v>14611</v>
      </c>
      <c r="H707" t="s">
        <v>14612</v>
      </c>
      <c r="I707" s="4" t="s">
        <v>14613</v>
      </c>
      <c r="J707" t="s">
        <v>10823</v>
      </c>
      <c r="K707" t="s">
        <v>10782</v>
      </c>
      <c r="L707" t="s">
        <v>14614</v>
      </c>
    </row>
    <row r="708" spans="1:12" ht="72" x14ac:dyDescent="0.3">
      <c r="A708" s="4" t="s">
        <v>3504</v>
      </c>
      <c r="B708">
        <v>2</v>
      </c>
      <c r="C708">
        <v>3</v>
      </c>
      <c r="D708">
        <v>2024</v>
      </c>
      <c r="E708" t="s">
        <v>1438</v>
      </c>
      <c r="F708">
        <v>4</v>
      </c>
      <c r="G708" t="s">
        <v>14657</v>
      </c>
      <c r="H708" t="s">
        <v>14658</v>
      </c>
      <c r="I708" s="4" t="s">
        <v>14659</v>
      </c>
    </row>
    <row r="709" spans="1:12" ht="230.4" x14ac:dyDescent="0.3">
      <c r="A709" s="4" t="s">
        <v>3505</v>
      </c>
      <c r="B709">
        <v>2</v>
      </c>
      <c r="C709">
        <v>3</v>
      </c>
      <c r="D709">
        <v>2024</v>
      </c>
      <c r="E709" t="s">
        <v>217</v>
      </c>
      <c r="F709">
        <v>1</v>
      </c>
      <c r="G709" t="s">
        <v>14688</v>
      </c>
      <c r="H709" t="s">
        <v>14689</v>
      </c>
      <c r="I709" s="4" t="s">
        <v>14690</v>
      </c>
      <c r="J709" t="s">
        <v>71</v>
      </c>
      <c r="K709" t="s">
        <v>10782</v>
      </c>
      <c r="L709" t="s">
        <v>14691</v>
      </c>
    </row>
    <row r="710" spans="1:12" ht="230.4" x14ac:dyDescent="0.3">
      <c r="A710" s="4" t="s">
        <v>3506</v>
      </c>
      <c r="B710">
        <v>2</v>
      </c>
      <c r="C710">
        <v>3</v>
      </c>
      <c r="D710">
        <v>2023</v>
      </c>
      <c r="E710" t="s">
        <v>329</v>
      </c>
      <c r="F710">
        <v>7</v>
      </c>
      <c r="G710" t="s">
        <v>14792</v>
      </c>
      <c r="H710" t="s">
        <v>14793</v>
      </c>
      <c r="I710" s="4" t="s">
        <v>14794</v>
      </c>
      <c r="J710" t="s">
        <v>71</v>
      </c>
      <c r="K710" t="s">
        <v>10782</v>
      </c>
      <c r="L710" t="s">
        <v>14795</v>
      </c>
    </row>
    <row r="711" spans="1:12" ht="158.4" x14ac:dyDescent="0.3">
      <c r="A711" s="4" t="s">
        <v>3507</v>
      </c>
      <c r="B711">
        <v>2</v>
      </c>
      <c r="C711">
        <v>3</v>
      </c>
      <c r="D711">
        <v>2023</v>
      </c>
      <c r="E711" t="s">
        <v>1129</v>
      </c>
      <c r="F711">
        <v>23</v>
      </c>
      <c r="G711" t="s">
        <v>14934</v>
      </c>
      <c r="H711" t="s">
        <v>14935</v>
      </c>
      <c r="I711" s="4" t="s">
        <v>14936</v>
      </c>
    </row>
    <row r="712" spans="1:12" ht="244.8" x14ac:dyDescent="0.3">
      <c r="A712" s="4" t="s">
        <v>3508</v>
      </c>
      <c r="B712">
        <v>2</v>
      </c>
      <c r="C712">
        <v>3</v>
      </c>
      <c r="D712">
        <v>2023</v>
      </c>
      <c r="E712" t="s">
        <v>10057</v>
      </c>
      <c r="F712">
        <v>11</v>
      </c>
      <c r="G712" t="s">
        <v>14937</v>
      </c>
      <c r="H712" t="s">
        <v>14938</v>
      </c>
      <c r="I712" s="4" t="s">
        <v>14939</v>
      </c>
      <c r="J712" t="s">
        <v>71</v>
      </c>
      <c r="K712" t="s">
        <v>10782</v>
      </c>
      <c r="L712" t="s">
        <v>14940</v>
      </c>
    </row>
    <row r="713" spans="1:12" ht="144" x14ac:dyDescent="0.3">
      <c r="A713" s="4" t="s">
        <v>2545</v>
      </c>
      <c r="B713">
        <v>2</v>
      </c>
      <c r="C713">
        <v>1</v>
      </c>
      <c r="D713">
        <v>2023</v>
      </c>
      <c r="E713" t="s">
        <v>1015</v>
      </c>
      <c r="F713">
        <v>1</v>
      </c>
      <c r="G713" t="s">
        <v>14999</v>
      </c>
      <c r="H713" t="s">
        <v>15000</v>
      </c>
      <c r="I713" s="4" t="s">
        <v>15001</v>
      </c>
      <c r="J713" t="s">
        <v>71</v>
      </c>
      <c r="K713" t="s">
        <v>10782</v>
      </c>
      <c r="L713" t="s">
        <v>15002</v>
      </c>
    </row>
    <row r="714" spans="1:12" ht="115.2" x14ac:dyDescent="0.3">
      <c r="A714" s="4" t="s">
        <v>3509</v>
      </c>
      <c r="B714">
        <v>2</v>
      </c>
      <c r="C714">
        <v>3</v>
      </c>
      <c r="D714">
        <v>2023</v>
      </c>
      <c r="E714" t="s">
        <v>1129</v>
      </c>
      <c r="F714">
        <v>13</v>
      </c>
      <c r="G714" t="s">
        <v>15003</v>
      </c>
      <c r="H714" t="s">
        <v>15004</v>
      </c>
      <c r="I714" s="4" t="s">
        <v>15005</v>
      </c>
      <c r="J714" t="s">
        <v>71</v>
      </c>
      <c r="K714" t="s">
        <v>10782</v>
      </c>
      <c r="L714" t="s">
        <v>15006</v>
      </c>
    </row>
    <row r="715" spans="1:12" ht="273.60000000000002" x14ac:dyDescent="0.3">
      <c r="A715" s="4" t="s">
        <v>2546</v>
      </c>
      <c r="B715">
        <v>2</v>
      </c>
      <c r="C715">
        <v>1</v>
      </c>
      <c r="D715">
        <v>2023</v>
      </c>
      <c r="E715" t="s">
        <v>704</v>
      </c>
      <c r="F715">
        <v>24</v>
      </c>
      <c r="G715" t="s">
        <v>15076</v>
      </c>
      <c r="H715" t="s">
        <v>15077</v>
      </c>
      <c r="I715" s="4" t="s">
        <v>15078</v>
      </c>
      <c r="J715" t="s">
        <v>71</v>
      </c>
      <c r="K715" t="s">
        <v>10782</v>
      </c>
      <c r="L715" t="s">
        <v>15079</v>
      </c>
    </row>
    <row r="716" spans="1:12" ht="187.2" x14ac:dyDescent="0.3">
      <c r="A716" s="4" t="s">
        <v>2547</v>
      </c>
      <c r="B716">
        <v>2</v>
      </c>
      <c r="C716">
        <v>1</v>
      </c>
      <c r="D716">
        <v>2023</v>
      </c>
      <c r="E716" t="s">
        <v>147</v>
      </c>
      <c r="F716">
        <v>14</v>
      </c>
      <c r="G716" t="s">
        <v>15080</v>
      </c>
      <c r="H716" t="s">
        <v>15081</v>
      </c>
      <c r="I716" s="4" t="s">
        <v>15082</v>
      </c>
      <c r="J716" t="s">
        <v>71</v>
      </c>
      <c r="K716" t="s">
        <v>10782</v>
      </c>
      <c r="L716" t="s">
        <v>15083</v>
      </c>
    </row>
    <row r="717" spans="1:12" ht="187.2" x14ac:dyDescent="0.3">
      <c r="A717" s="4" t="s">
        <v>3510</v>
      </c>
      <c r="B717">
        <v>2</v>
      </c>
      <c r="C717">
        <v>3</v>
      </c>
      <c r="D717">
        <v>2023</v>
      </c>
      <c r="E717" t="s">
        <v>11231</v>
      </c>
      <c r="F717">
        <v>2</v>
      </c>
      <c r="G717" t="s">
        <v>15108</v>
      </c>
      <c r="H717" t="s">
        <v>15109</v>
      </c>
      <c r="I717" s="4" t="s">
        <v>15110</v>
      </c>
      <c r="J717" t="s">
        <v>71</v>
      </c>
      <c r="K717" t="s">
        <v>10782</v>
      </c>
      <c r="L717" t="s">
        <v>15111</v>
      </c>
    </row>
    <row r="718" spans="1:12" ht="100.8" x14ac:dyDescent="0.3">
      <c r="A718" s="4" t="s">
        <v>3511</v>
      </c>
      <c r="B718">
        <v>2</v>
      </c>
      <c r="C718">
        <v>3</v>
      </c>
      <c r="D718">
        <v>2023</v>
      </c>
      <c r="E718" t="s">
        <v>318</v>
      </c>
      <c r="F718">
        <v>8</v>
      </c>
      <c r="G718" t="s">
        <v>15207</v>
      </c>
      <c r="H718" t="s">
        <v>15208</v>
      </c>
      <c r="I718" s="4" t="s">
        <v>15209</v>
      </c>
    </row>
    <row r="719" spans="1:12" ht="187.2" x14ac:dyDescent="0.3">
      <c r="A719" s="4" t="s">
        <v>3512</v>
      </c>
      <c r="B719">
        <v>2</v>
      </c>
      <c r="C719">
        <v>3</v>
      </c>
      <c r="D719">
        <v>2023</v>
      </c>
      <c r="E719" t="s">
        <v>217</v>
      </c>
      <c r="F719">
        <v>0</v>
      </c>
      <c r="G719" t="s">
        <v>15287</v>
      </c>
      <c r="H719" t="s">
        <v>15288</v>
      </c>
      <c r="I719" s="4" t="s">
        <v>15289</v>
      </c>
      <c r="J719" t="s">
        <v>71</v>
      </c>
      <c r="K719" t="s">
        <v>10782</v>
      </c>
      <c r="L719" t="s">
        <v>15290</v>
      </c>
    </row>
    <row r="720" spans="1:12" ht="187.2" x14ac:dyDescent="0.3">
      <c r="A720" s="4" t="s">
        <v>3513</v>
      </c>
      <c r="B720">
        <v>2</v>
      </c>
      <c r="C720">
        <v>3</v>
      </c>
      <c r="D720">
        <v>2023</v>
      </c>
      <c r="E720" t="s">
        <v>405</v>
      </c>
      <c r="F720">
        <v>9</v>
      </c>
      <c r="G720" t="s">
        <v>15360</v>
      </c>
      <c r="H720" t="s">
        <v>15361</v>
      </c>
      <c r="I720" s="4" t="s">
        <v>15362</v>
      </c>
      <c r="J720" t="s">
        <v>71</v>
      </c>
      <c r="K720" t="s">
        <v>10782</v>
      </c>
      <c r="L720" t="s">
        <v>15363</v>
      </c>
    </row>
    <row r="721" spans="1:12" ht="172.8" x14ac:dyDescent="0.3">
      <c r="A721" s="4" t="s">
        <v>3514</v>
      </c>
      <c r="B721">
        <v>2</v>
      </c>
      <c r="C721">
        <v>3</v>
      </c>
      <c r="D721">
        <v>2023</v>
      </c>
      <c r="E721" t="s">
        <v>329</v>
      </c>
      <c r="F721">
        <v>15</v>
      </c>
      <c r="G721" t="s">
        <v>15418</v>
      </c>
      <c r="H721" t="s">
        <v>15419</v>
      </c>
      <c r="I721" s="4" t="s">
        <v>15420</v>
      </c>
      <c r="J721" t="s">
        <v>71</v>
      </c>
      <c r="K721" t="s">
        <v>10782</v>
      </c>
      <c r="L721" t="s">
        <v>15421</v>
      </c>
    </row>
    <row r="722" spans="1:12" ht="72" x14ac:dyDescent="0.3">
      <c r="A722" s="4" t="s">
        <v>2548</v>
      </c>
      <c r="B722">
        <v>2</v>
      </c>
      <c r="C722">
        <v>1</v>
      </c>
      <c r="D722">
        <v>2023</v>
      </c>
      <c r="E722" t="s">
        <v>2585</v>
      </c>
      <c r="F722">
        <v>6</v>
      </c>
      <c r="G722" t="s">
        <v>15474</v>
      </c>
      <c r="H722" t="s">
        <v>15475</v>
      </c>
      <c r="I722" s="4" t="s">
        <v>15476</v>
      </c>
    </row>
    <row r="723" spans="1:12" ht="201.6" x14ac:dyDescent="0.3">
      <c r="A723" s="4" t="s">
        <v>3515</v>
      </c>
      <c r="B723">
        <v>2</v>
      </c>
      <c r="C723">
        <v>3</v>
      </c>
      <c r="D723">
        <v>2023</v>
      </c>
      <c r="E723" t="s">
        <v>80</v>
      </c>
      <c r="F723">
        <v>12</v>
      </c>
      <c r="G723" t="s">
        <v>15841</v>
      </c>
      <c r="H723" t="s">
        <v>15842</v>
      </c>
      <c r="I723" s="4" t="s">
        <v>15843</v>
      </c>
      <c r="J723" t="s">
        <v>71</v>
      </c>
      <c r="K723" t="s">
        <v>10782</v>
      </c>
      <c r="L723" t="s">
        <v>15844</v>
      </c>
    </row>
    <row r="724" spans="1:12" ht="144" x14ac:dyDescent="0.3">
      <c r="A724" s="4" t="s">
        <v>2549</v>
      </c>
      <c r="B724">
        <v>2</v>
      </c>
      <c r="C724">
        <v>1</v>
      </c>
      <c r="D724">
        <v>2023</v>
      </c>
      <c r="E724" t="s">
        <v>622</v>
      </c>
      <c r="F724">
        <v>4</v>
      </c>
      <c r="G724" t="s">
        <v>15869</v>
      </c>
      <c r="H724" t="s">
        <v>15870</v>
      </c>
      <c r="I724" s="4" t="s">
        <v>15871</v>
      </c>
      <c r="J724" t="s">
        <v>71</v>
      </c>
      <c r="K724" t="s">
        <v>10782</v>
      </c>
      <c r="L724" t="s">
        <v>15872</v>
      </c>
    </row>
    <row r="725" spans="1:12" ht="129.6" x14ac:dyDescent="0.3">
      <c r="A725" s="4" t="s">
        <v>2550</v>
      </c>
      <c r="B725">
        <v>2</v>
      </c>
      <c r="C725">
        <v>1</v>
      </c>
      <c r="D725">
        <v>2023</v>
      </c>
      <c r="E725" t="s">
        <v>2596</v>
      </c>
      <c r="F725">
        <v>1</v>
      </c>
      <c r="G725" t="s">
        <v>16089</v>
      </c>
      <c r="H725" t="s">
        <v>16090</v>
      </c>
      <c r="I725" s="4" t="s">
        <v>16091</v>
      </c>
      <c r="J725" t="s">
        <v>71</v>
      </c>
      <c r="K725" t="s">
        <v>10782</v>
      </c>
      <c r="L725" t="s">
        <v>16092</v>
      </c>
    </row>
    <row r="726" spans="1:12" ht="187.2" x14ac:dyDescent="0.3">
      <c r="A726" s="4" t="s">
        <v>3516</v>
      </c>
      <c r="B726">
        <v>2</v>
      </c>
      <c r="C726">
        <v>3</v>
      </c>
      <c r="D726">
        <v>2023</v>
      </c>
      <c r="E726" t="s">
        <v>11276</v>
      </c>
      <c r="F726">
        <v>3</v>
      </c>
      <c r="G726" t="s">
        <v>16101</v>
      </c>
      <c r="H726" t="s">
        <v>16102</v>
      </c>
      <c r="I726" s="4" t="s">
        <v>16103</v>
      </c>
      <c r="J726" t="s">
        <v>71</v>
      </c>
      <c r="K726" t="s">
        <v>10782</v>
      </c>
      <c r="L726" t="s">
        <v>16104</v>
      </c>
    </row>
    <row r="727" spans="1:12" ht="201.6" x14ac:dyDescent="0.3">
      <c r="A727" s="4" t="s">
        <v>3517</v>
      </c>
      <c r="B727">
        <v>2</v>
      </c>
      <c r="C727">
        <v>3</v>
      </c>
      <c r="D727">
        <v>2023</v>
      </c>
      <c r="E727" t="s">
        <v>637</v>
      </c>
      <c r="F727">
        <v>9</v>
      </c>
      <c r="G727" t="s">
        <v>16132</v>
      </c>
      <c r="H727" t="s">
        <v>16133</v>
      </c>
      <c r="I727" s="4" t="s">
        <v>16134</v>
      </c>
      <c r="J727" t="s">
        <v>71</v>
      </c>
      <c r="K727" t="s">
        <v>10782</v>
      </c>
      <c r="L727" t="s">
        <v>16135</v>
      </c>
    </row>
    <row r="728" spans="1:12" ht="172.8" x14ac:dyDescent="0.3">
      <c r="A728" s="4" t="s">
        <v>3518</v>
      </c>
      <c r="B728">
        <v>2</v>
      </c>
      <c r="C728">
        <v>3</v>
      </c>
      <c r="D728">
        <v>2023</v>
      </c>
      <c r="E728" t="s">
        <v>2819</v>
      </c>
      <c r="F728">
        <v>6</v>
      </c>
      <c r="G728" t="s">
        <v>16157</v>
      </c>
      <c r="H728" t="s">
        <v>16158</v>
      </c>
      <c r="I728" s="4" t="s">
        <v>16159</v>
      </c>
      <c r="J728" t="s">
        <v>10823</v>
      </c>
      <c r="K728" t="s">
        <v>10782</v>
      </c>
      <c r="L728" t="s">
        <v>16160</v>
      </c>
    </row>
    <row r="729" spans="1:12" ht="100.8" x14ac:dyDescent="0.3">
      <c r="A729" s="4" t="s">
        <v>3519</v>
      </c>
      <c r="B729">
        <v>2</v>
      </c>
      <c r="C729">
        <v>3</v>
      </c>
      <c r="D729">
        <v>2023</v>
      </c>
      <c r="E729" t="s">
        <v>217</v>
      </c>
      <c r="F729">
        <v>6</v>
      </c>
      <c r="G729" t="s">
        <v>16304</v>
      </c>
      <c r="H729" t="s">
        <v>16305</v>
      </c>
      <c r="I729" s="4" t="s">
        <v>16306</v>
      </c>
      <c r="J729" t="s">
        <v>71</v>
      </c>
      <c r="K729" t="s">
        <v>10782</v>
      </c>
      <c r="L729" t="s">
        <v>16307</v>
      </c>
    </row>
    <row r="730" spans="1:12" ht="158.4" x14ac:dyDescent="0.3">
      <c r="A730" s="4" t="s">
        <v>3520</v>
      </c>
      <c r="B730">
        <v>2</v>
      </c>
      <c r="C730">
        <v>3</v>
      </c>
      <c r="D730">
        <v>2023</v>
      </c>
      <c r="E730" t="s">
        <v>1002</v>
      </c>
      <c r="F730">
        <v>16</v>
      </c>
      <c r="G730" t="s">
        <v>16374</v>
      </c>
      <c r="H730" t="s">
        <v>16375</v>
      </c>
      <c r="I730" s="4" t="s">
        <v>16376</v>
      </c>
      <c r="J730" t="s">
        <v>71</v>
      </c>
      <c r="K730" t="s">
        <v>10782</v>
      </c>
      <c r="L730" t="s">
        <v>16377</v>
      </c>
    </row>
    <row r="731" spans="1:12" ht="115.2" x14ac:dyDescent="0.3">
      <c r="A731" s="4" t="s">
        <v>3521</v>
      </c>
      <c r="B731">
        <v>2</v>
      </c>
      <c r="C731">
        <v>3</v>
      </c>
      <c r="D731">
        <v>2023</v>
      </c>
      <c r="E731" t="s">
        <v>11649</v>
      </c>
      <c r="F731">
        <v>1</v>
      </c>
      <c r="G731" t="s">
        <v>16540</v>
      </c>
      <c r="H731" t="s">
        <v>16541</v>
      </c>
      <c r="I731" s="4" t="s">
        <v>16542</v>
      </c>
      <c r="J731" t="s">
        <v>71</v>
      </c>
      <c r="K731" t="s">
        <v>10782</v>
      </c>
      <c r="L731" t="s">
        <v>16543</v>
      </c>
    </row>
    <row r="732" spans="1:12" ht="172.8" x14ac:dyDescent="0.3">
      <c r="A732" s="4" t="s">
        <v>2551</v>
      </c>
      <c r="B732">
        <v>2</v>
      </c>
      <c r="C732">
        <v>1</v>
      </c>
      <c r="D732">
        <v>2023</v>
      </c>
      <c r="E732" t="s">
        <v>1912</v>
      </c>
      <c r="F732">
        <v>8</v>
      </c>
      <c r="G732" t="s">
        <v>16631</v>
      </c>
      <c r="H732" t="s">
        <v>16632</v>
      </c>
      <c r="I732" s="4" t="s">
        <v>16633</v>
      </c>
      <c r="J732" t="s">
        <v>71</v>
      </c>
      <c r="K732" t="s">
        <v>10782</v>
      </c>
      <c r="L732" t="s">
        <v>16634</v>
      </c>
    </row>
    <row r="733" spans="1:12" ht="216" x14ac:dyDescent="0.3">
      <c r="A733" s="4" t="s">
        <v>3522</v>
      </c>
      <c r="B733">
        <v>2</v>
      </c>
      <c r="C733">
        <v>3</v>
      </c>
      <c r="D733">
        <v>2023</v>
      </c>
      <c r="E733" t="s">
        <v>11337</v>
      </c>
      <c r="F733">
        <v>5</v>
      </c>
      <c r="G733" t="s">
        <v>16639</v>
      </c>
      <c r="H733" t="s">
        <v>16640</v>
      </c>
      <c r="I733" s="4" t="s">
        <v>16641</v>
      </c>
      <c r="J733" t="s">
        <v>71</v>
      </c>
      <c r="K733" t="s">
        <v>10782</v>
      </c>
      <c r="L733" t="s">
        <v>16642</v>
      </c>
    </row>
    <row r="734" spans="1:12" ht="100.8" x14ac:dyDescent="0.3">
      <c r="A734" s="4" t="s">
        <v>3523</v>
      </c>
      <c r="B734">
        <v>2</v>
      </c>
      <c r="C734">
        <v>2</v>
      </c>
      <c r="D734">
        <v>2023</v>
      </c>
      <c r="E734" t="s">
        <v>14636</v>
      </c>
      <c r="F734">
        <v>5</v>
      </c>
      <c r="G734" t="s">
        <v>16726</v>
      </c>
      <c r="H734" t="s">
        <v>16727</v>
      </c>
      <c r="I734" s="4" t="s">
        <v>16728</v>
      </c>
      <c r="J734" t="s">
        <v>71</v>
      </c>
      <c r="K734" t="s">
        <v>10782</v>
      </c>
      <c r="L734" t="s">
        <v>16729</v>
      </c>
    </row>
    <row r="735" spans="1:12" ht="172.8" x14ac:dyDescent="0.3">
      <c r="A735" s="4" t="s">
        <v>3524</v>
      </c>
      <c r="B735">
        <v>2</v>
      </c>
      <c r="C735">
        <v>3</v>
      </c>
      <c r="D735">
        <v>2023</v>
      </c>
      <c r="E735" t="s">
        <v>16742</v>
      </c>
      <c r="F735">
        <v>3</v>
      </c>
      <c r="G735" t="s">
        <v>16743</v>
      </c>
      <c r="H735" t="s">
        <v>16744</v>
      </c>
      <c r="I735" s="4" t="s">
        <v>16745</v>
      </c>
    </row>
    <row r="736" spans="1:12" ht="244.8" x14ac:dyDescent="0.3">
      <c r="A736" s="4" t="s">
        <v>2552</v>
      </c>
      <c r="B736">
        <v>2</v>
      </c>
      <c r="C736">
        <v>1</v>
      </c>
      <c r="D736">
        <v>2023</v>
      </c>
      <c r="E736" t="s">
        <v>704</v>
      </c>
      <c r="F736">
        <v>8</v>
      </c>
      <c r="G736" t="s">
        <v>16763</v>
      </c>
      <c r="H736" t="s">
        <v>16764</v>
      </c>
      <c r="I736" s="4" t="s">
        <v>16765</v>
      </c>
      <c r="J736" t="s">
        <v>71</v>
      </c>
      <c r="K736" t="s">
        <v>10782</v>
      </c>
      <c r="L736" t="s">
        <v>16766</v>
      </c>
    </row>
    <row r="737" spans="1:12" ht="288" x14ac:dyDescent="0.3">
      <c r="A737" s="4" t="s">
        <v>3525</v>
      </c>
      <c r="B737">
        <v>2</v>
      </c>
      <c r="C737">
        <v>3</v>
      </c>
      <c r="D737">
        <v>2023</v>
      </c>
      <c r="E737" t="s">
        <v>177</v>
      </c>
      <c r="F737">
        <v>37</v>
      </c>
      <c r="G737" t="s">
        <v>16916</v>
      </c>
      <c r="H737" t="s">
        <v>16917</v>
      </c>
      <c r="I737" s="4" t="s">
        <v>16918</v>
      </c>
      <c r="J737" t="s">
        <v>71</v>
      </c>
      <c r="K737" t="s">
        <v>10782</v>
      </c>
      <c r="L737" t="s">
        <v>16919</v>
      </c>
    </row>
    <row r="738" spans="1:12" ht="172.8" x14ac:dyDescent="0.3">
      <c r="A738" s="4" t="s">
        <v>3526</v>
      </c>
      <c r="B738">
        <v>2</v>
      </c>
      <c r="C738">
        <v>3</v>
      </c>
      <c r="D738">
        <v>2023</v>
      </c>
      <c r="E738" t="s">
        <v>482</v>
      </c>
      <c r="F738">
        <v>5</v>
      </c>
      <c r="G738" t="s">
        <v>17031</v>
      </c>
      <c r="H738" t="s">
        <v>17032</v>
      </c>
      <c r="I738" s="4" t="s">
        <v>17033</v>
      </c>
      <c r="J738" t="s">
        <v>71</v>
      </c>
      <c r="K738" t="s">
        <v>10782</v>
      </c>
      <c r="L738" t="s">
        <v>17034</v>
      </c>
    </row>
    <row r="739" spans="1:12" ht="115.2" x14ac:dyDescent="0.3">
      <c r="A739" s="4" t="s">
        <v>3527</v>
      </c>
      <c r="B739">
        <v>2</v>
      </c>
      <c r="C739">
        <v>3</v>
      </c>
      <c r="D739">
        <v>2023</v>
      </c>
      <c r="E739" t="s">
        <v>11521</v>
      </c>
      <c r="F739">
        <v>2</v>
      </c>
      <c r="G739" t="s">
        <v>17229</v>
      </c>
      <c r="H739" t="s">
        <v>17230</v>
      </c>
      <c r="I739" s="4" t="s">
        <v>17231</v>
      </c>
      <c r="J739" t="s">
        <v>71</v>
      </c>
      <c r="K739" t="s">
        <v>10782</v>
      </c>
      <c r="L739" t="s">
        <v>17232</v>
      </c>
    </row>
    <row r="740" spans="1:12" ht="230.4" x14ac:dyDescent="0.3">
      <c r="A740" s="4" t="s">
        <v>3528</v>
      </c>
      <c r="B740">
        <v>2</v>
      </c>
      <c r="C740">
        <v>3</v>
      </c>
      <c r="D740">
        <v>2022</v>
      </c>
      <c r="E740" t="s">
        <v>12037</v>
      </c>
      <c r="F740">
        <v>12</v>
      </c>
      <c r="G740" t="s">
        <v>17375</v>
      </c>
      <c r="H740" t="s">
        <v>17376</v>
      </c>
      <c r="I740" s="4" t="s">
        <v>17377</v>
      </c>
    </row>
    <row r="741" spans="1:12" ht="187.2" x14ac:dyDescent="0.3">
      <c r="A741" s="4" t="s">
        <v>2553</v>
      </c>
      <c r="B741">
        <v>2</v>
      </c>
      <c r="C741">
        <v>1</v>
      </c>
      <c r="D741">
        <v>2022</v>
      </c>
      <c r="E741" t="s">
        <v>405</v>
      </c>
      <c r="F741">
        <v>4</v>
      </c>
      <c r="G741" t="s">
        <v>17426</v>
      </c>
      <c r="H741" t="s">
        <v>17427</v>
      </c>
      <c r="I741" s="4" t="s">
        <v>17428</v>
      </c>
      <c r="J741" t="s">
        <v>71</v>
      </c>
      <c r="K741" t="s">
        <v>10782</v>
      </c>
      <c r="L741" t="s">
        <v>17429</v>
      </c>
    </row>
    <row r="742" spans="1:12" ht="172.8" x14ac:dyDescent="0.3">
      <c r="A742" s="4" t="s">
        <v>2554</v>
      </c>
      <c r="B742">
        <v>2</v>
      </c>
      <c r="C742">
        <v>1</v>
      </c>
      <c r="D742">
        <v>2022</v>
      </c>
      <c r="E742" t="s">
        <v>1015</v>
      </c>
      <c r="F742">
        <v>1</v>
      </c>
      <c r="G742" t="s">
        <v>17737</v>
      </c>
      <c r="H742" t="s">
        <v>17738</v>
      </c>
      <c r="I742" s="4" t="s">
        <v>17739</v>
      </c>
      <c r="J742" t="s">
        <v>71</v>
      </c>
      <c r="K742" t="s">
        <v>10782</v>
      </c>
      <c r="L742" t="s">
        <v>17740</v>
      </c>
    </row>
    <row r="743" spans="1:12" ht="129.6" x14ac:dyDescent="0.3">
      <c r="A743" s="4" t="s">
        <v>2555</v>
      </c>
      <c r="B743">
        <v>2</v>
      </c>
      <c r="C743">
        <v>1</v>
      </c>
      <c r="D743">
        <v>2022</v>
      </c>
      <c r="E743" t="s">
        <v>2628</v>
      </c>
      <c r="F743">
        <v>2</v>
      </c>
      <c r="G743" t="s">
        <v>17741</v>
      </c>
      <c r="H743" t="s">
        <v>17742</v>
      </c>
      <c r="I743" s="4" t="s">
        <v>17743</v>
      </c>
      <c r="J743" t="s">
        <v>71</v>
      </c>
      <c r="K743" t="s">
        <v>10782</v>
      </c>
      <c r="L743" t="s">
        <v>17744</v>
      </c>
    </row>
    <row r="744" spans="1:12" ht="115.2" x14ac:dyDescent="0.3">
      <c r="A744" s="4" t="s">
        <v>2557</v>
      </c>
      <c r="B744">
        <v>2</v>
      </c>
      <c r="C744">
        <v>1</v>
      </c>
      <c r="D744">
        <v>2022</v>
      </c>
      <c r="E744" t="s">
        <v>80</v>
      </c>
      <c r="F744">
        <v>12</v>
      </c>
      <c r="G744" t="s">
        <v>17754</v>
      </c>
      <c r="H744" t="s">
        <v>17755</v>
      </c>
      <c r="I744" s="4" t="s">
        <v>17756</v>
      </c>
      <c r="J744" t="s">
        <v>71</v>
      </c>
      <c r="K744" t="s">
        <v>10782</v>
      </c>
      <c r="L744" t="s">
        <v>17757</v>
      </c>
    </row>
    <row r="745" spans="1:12" ht="187.2" x14ac:dyDescent="0.3">
      <c r="A745" s="4" t="s">
        <v>3529</v>
      </c>
      <c r="B745">
        <v>2</v>
      </c>
      <c r="C745">
        <v>3</v>
      </c>
      <c r="D745">
        <v>2022</v>
      </c>
      <c r="E745" t="s">
        <v>434</v>
      </c>
      <c r="F745">
        <v>65</v>
      </c>
      <c r="G745" t="s">
        <v>17849</v>
      </c>
      <c r="H745" t="s">
        <v>17850</v>
      </c>
      <c r="I745" s="4" t="s">
        <v>17851</v>
      </c>
      <c r="J745" t="s">
        <v>71</v>
      </c>
      <c r="K745" t="s">
        <v>10782</v>
      </c>
      <c r="L745" t="s">
        <v>17852</v>
      </c>
    </row>
    <row r="746" spans="1:12" ht="115.2" x14ac:dyDescent="0.3">
      <c r="A746" s="4" t="s">
        <v>2558</v>
      </c>
      <c r="B746">
        <v>2</v>
      </c>
      <c r="C746">
        <v>1</v>
      </c>
      <c r="D746">
        <v>2022</v>
      </c>
      <c r="E746" t="s">
        <v>234</v>
      </c>
      <c r="F746">
        <v>1</v>
      </c>
      <c r="G746" t="s">
        <v>17872</v>
      </c>
      <c r="H746" t="s">
        <v>17873</v>
      </c>
      <c r="I746" s="4" t="s">
        <v>17874</v>
      </c>
      <c r="J746" t="s">
        <v>71</v>
      </c>
      <c r="K746" t="s">
        <v>10782</v>
      </c>
      <c r="L746" t="s">
        <v>17875</v>
      </c>
    </row>
    <row r="747" spans="1:12" ht="201.6" x14ac:dyDescent="0.3">
      <c r="A747" s="4" t="s">
        <v>2559</v>
      </c>
      <c r="B747">
        <v>2</v>
      </c>
      <c r="C747">
        <v>1</v>
      </c>
      <c r="D747">
        <v>2022</v>
      </c>
      <c r="E747" t="s">
        <v>217</v>
      </c>
      <c r="F747">
        <v>6</v>
      </c>
      <c r="G747" t="s">
        <v>17937</v>
      </c>
      <c r="H747" t="s">
        <v>17938</v>
      </c>
      <c r="I747" s="4" t="s">
        <v>17939</v>
      </c>
      <c r="J747" t="s">
        <v>71</v>
      </c>
      <c r="K747" t="s">
        <v>10782</v>
      </c>
      <c r="L747" t="s">
        <v>17940</v>
      </c>
    </row>
    <row r="748" spans="1:12" ht="172.8" x14ac:dyDescent="0.3">
      <c r="A748" s="4" t="s">
        <v>2560</v>
      </c>
      <c r="B748">
        <v>2</v>
      </c>
      <c r="C748">
        <v>1</v>
      </c>
      <c r="D748">
        <v>2022</v>
      </c>
      <c r="E748" t="s">
        <v>1530</v>
      </c>
      <c r="F748">
        <v>4</v>
      </c>
      <c r="G748" t="s">
        <v>18256</v>
      </c>
      <c r="H748" t="s">
        <v>18257</v>
      </c>
      <c r="I748" s="4" t="s">
        <v>18258</v>
      </c>
      <c r="J748" t="s">
        <v>71</v>
      </c>
      <c r="K748" t="s">
        <v>10782</v>
      </c>
      <c r="L748" t="s">
        <v>18259</v>
      </c>
    </row>
    <row r="749" spans="1:12" ht="187.2" x14ac:dyDescent="0.3">
      <c r="A749" s="4" t="s">
        <v>3530</v>
      </c>
      <c r="B749">
        <v>2</v>
      </c>
      <c r="C749">
        <v>3</v>
      </c>
      <c r="D749">
        <v>2022</v>
      </c>
      <c r="E749" t="s">
        <v>2893</v>
      </c>
      <c r="F749">
        <v>21</v>
      </c>
      <c r="G749" t="s">
        <v>18598</v>
      </c>
      <c r="H749" t="s">
        <v>18599</v>
      </c>
      <c r="I749" s="4" t="s">
        <v>18600</v>
      </c>
      <c r="J749" t="s">
        <v>71</v>
      </c>
      <c r="K749" t="s">
        <v>10782</v>
      </c>
      <c r="L749" t="s">
        <v>18601</v>
      </c>
    </row>
    <row r="750" spans="1:12" ht="129.6" x14ac:dyDescent="0.3">
      <c r="A750" s="4" t="s">
        <v>3531</v>
      </c>
      <c r="B750">
        <v>2</v>
      </c>
      <c r="C750">
        <v>3</v>
      </c>
      <c r="D750">
        <v>2022</v>
      </c>
      <c r="E750" t="s">
        <v>892</v>
      </c>
      <c r="F750">
        <v>8</v>
      </c>
      <c r="G750" t="s">
        <v>18708</v>
      </c>
      <c r="H750" t="s">
        <v>18709</v>
      </c>
      <c r="I750" s="4" t="s">
        <v>18710</v>
      </c>
    </row>
    <row r="751" spans="1:12" ht="115.2" x14ac:dyDescent="0.3">
      <c r="A751" s="4" t="s">
        <v>3532</v>
      </c>
      <c r="B751">
        <v>2</v>
      </c>
      <c r="C751">
        <v>3</v>
      </c>
      <c r="D751">
        <v>2022</v>
      </c>
      <c r="E751" t="s">
        <v>385</v>
      </c>
      <c r="F751">
        <v>1</v>
      </c>
      <c r="G751" t="s">
        <v>18726</v>
      </c>
      <c r="H751" t="s">
        <v>18727</v>
      </c>
      <c r="I751" s="4" t="s">
        <v>18728</v>
      </c>
      <c r="J751" t="s">
        <v>71</v>
      </c>
      <c r="K751" t="s">
        <v>10782</v>
      </c>
      <c r="L751" t="s">
        <v>18729</v>
      </c>
    </row>
    <row r="752" spans="1:12" ht="409.6" x14ac:dyDescent="0.3">
      <c r="A752" s="4" t="s">
        <v>3533</v>
      </c>
      <c r="B752">
        <v>2</v>
      </c>
      <c r="C752">
        <v>3</v>
      </c>
      <c r="D752">
        <v>2022</v>
      </c>
      <c r="E752" t="s">
        <v>811</v>
      </c>
      <c r="F752">
        <v>6</v>
      </c>
      <c r="G752" t="s">
        <v>18965</v>
      </c>
      <c r="H752" t="s">
        <v>18966</v>
      </c>
      <c r="I752" s="4" t="s">
        <v>18967</v>
      </c>
    </row>
    <row r="753" spans="1:12" ht="230.4" x14ac:dyDescent="0.3">
      <c r="A753" s="4" t="s">
        <v>3534</v>
      </c>
      <c r="B753">
        <v>2</v>
      </c>
      <c r="C753">
        <v>3</v>
      </c>
      <c r="D753">
        <v>2022</v>
      </c>
      <c r="E753" t="s">
        <v>329</v>
      </c>
      <c r="F753">
        <v>16</v>
      </c>
      <c r="G753" t="s">
        <v>18988</v>
      </c>
      <c r="H753" t="s">
        <v>18989</v>
      </c>
      <c r="I753" s="4" t="s">
        <v>18990</v>
      </c>
      <c r="J753" t="s">
        <v>71</v>
      </c>
      <c r="K753" t="s">
        <v>10782</v>
      </c>
      <c r="L753" t="s">
        <v>18991</v>
      </c>
    </row>
    <row r="754" spans="1:12" ht="288" x14ac:dyDescent="0.3">
      <c r="A754" s="4" t="s">
        <v>2658</v>
      </c>
      <c r="B754">
        <v>2</v>
      </c>
      <c r="C754">
        <v>1</v>
      </c>
      <c r="D754">
        <v>2022</v>
      </c>
      <c r="E754" t="s">
        <v>217</v>
      </c>
      <c r="F754">
        <v>2</v>
      </c>
      <c r="G754" t="s">
        <v>19106</v>
      </c>
      <c r="H754" t="s">
        <v>19107</v>
      </c>
      <c r="I754" s="4" t="s">
        <v>19108</v>
      </c>
    </row>
    <row r="755" spans="1:12" ht="115.2" x14ac:dyDescent="0.3">
      <c r="A755" s="4" t="s">
        <v>3535</v>
      </c>
      <c r="B755">
        <v>2</v>
      </c>
      <c r="C755">
        <v>3</v>
      </c>
      <c r="D755">
        <v>2022</v>
      </c>
      <c r="E755" t="s">
        <v>19267</v>
      </c>
      <c r="F755">
        <v>5</v>
      </c>
      <c r="G755" t="s">
        <v>19268</v>
      </c>
      <c r="H755" t="s">
        <v>19269</v>
      </c>
      <c r="I755" s="4" t="s">
        <v>19270</v>
      </c>
      <c r="J755" t="s">
        <v>71</v>
      </c>
      <c r="K755" t="s">
        <v>10782</v>
      </c>
      <c r="L755" t="s">
        <v>19271</v>
      </c>
    </row>
    <row r="756" spans="1:12" ht="172.8" x14ac:dyDescent="0.3">
      <c r="A756" s="4" t="s">
        <v>2659</v>
      </c>
      <c r="B756">
        <v>2</v>
      </c>
      <c r="C756">
        <v>1</v>
      </c>
      <c r="D756">
        <v>2022</v>
      </c>
      <c r="E756" t="s">
        <v>2222</v>
      </c>
      <c r="F756">
        <v>4</v>
      </c>
      <c r="H756" t="s">
        <v>2680</v>
      </c>
      <c r="I756" s="4" t="s">
        <v>19380</v>
      </c>
      <c r="J756" s="4" t="s">
        <v>71</v>
      </c>
      <c r="K756" t="s">
        <v>10782</v>
      </c>
      <c r="L756" t="s">
        <v>19381</v>
      </c>
    </row>
    <row r="757" spans="1:12" ht="201.6" x14ac:dyDescent="0.3">
      <c r="A757" s="4" t="s">
        <v>3536</v>
      </c>
      <c r="B757">
        <v>2</v>
      </c>
      <c r="C757">
        <v>3</v>
      </c>
      <c r="D757">
        <v>2022</v>
      </c>
      <c r="E757" t="s">
        <v>10924</v>
      </c>
      <c r="F757">
        <v>13</v>
      </c>
      <c r="G757" t="s">
        <v>19454</v>
      </c>
      <c r="H757" t="s">
        <v>19455</v>
      </c>
      <c r="I757" s="4" t="s">
        <v>19456</v>
      </c>
      <c r="J757" t="s">
        <v>71</v>
      </c>
      <c r="K757" t="s">
        <v>10782</v>
      </c>
      <c r="L757" t="s">
        <v>19457</v>
      </c>
    </row>
    <row r="758" spans="1:12" ht="216" x14ac:dyDescent="0.3">
      <c r="A758" s="4" t="s">
        <v>3537</v>
      </c>
      <c r="B758">
        <v>2</v>
      </c>
      <c r="C758">
        <v>3</v>
      </c>
      <c r="D758">
        <v>2022</v>
      </c>
      <c r="E758" t="s">
        <v>217</v>
      </c>
      <c r="F758">
        <v>11</v>
      </c>
      <c r="G758" t="s">
        <v>19458</v>
      </c>
      <c r="H758" t="s">
        <v>19459</v>
      </c>
      <c r="I758" s="4" t="s">
        <v>19460</v>
      </c>
      <c r="J758" t="s">
        <v>71</v>
      </c>
      <c r="K758" t="s">
        <v>10782</v>
      </c>
      <c r="L758" t="s">
        <v>19461</v>
      </c>
    </row>
    <row r="759" spans="1:12" ht="201.6" x14ac:dyDescent="0.3">
      <c r="A759" s="4" t="s">
        <v>3538</v>
      </c>
      <c r="B759">
        <v>2</v>
      </c>
      <c r="C759">
        <v>3</v>
      </c>
      <c r="D759">
        <v>2022</v>
      </c>
      <c r="E759" t="s">
        <v>19494</v>
      </c>
      <c r="F759">
        <v>23</v>
      </c>
      <c r="G759" t="s">
        <v>19495</v>
      </c>
      <c r="H759" t="s">
        <v>19496</v>
      </c>
      <c r="I759" s="4" t="s">
        <v>19497</v>
      </c>
      <c r="J759" t="s">
        <v>71</v>
      </c>
      <c r="K759" t="s">
        <v>10782</v>
      </c>
      <c r="L759" t="s">
        <v>19498</v>
      </c>
    </row>
    <row r="760" spans="1:12" ht="28.8" x14ac:dyDescent="0.3">
      <c r="A760" s="4" t="s">
        <v>3539</v>
      </c>
      <c r="B760">
        <v>2</v>
      </c>
      <c r="C760">
        <v>3</v>
      </c>
      <c r="D760">
        <v>2022</v>
      </c>
      <c r="E760" t="s">
        <v>19499</v>
      </c>
      <c r="F760">
        <v>0</v>
      </c>
      <c r="H760" t="s">
        <v>19500</v>
      </c>
      <c r="I760" t="s">
        <v>19501</v>
      </c>
      <c r="J760" s="4"/>
    </row>
    <row r="761" spans="1:12" ht="172.8" x14ac:dyDescent="0.3">
      <c r="A761" s="4" t="s">
        <v>3540</v>
      </c>
      <c r="B761">
        <v>2</v>
      </c>
      <c r="C761">
        <v>3</v>
      </c>
      <c r="D761">
        <v>2022</v>
      </c>
      <c r="E761" t="s">
        <v>16937</v>
      </c>
      <c r="F761">
        <v>27</v>
      </c>
      <c r="G761" t="s">
        <v>19603</v>
      </c>
      <c r="H761" t="s">
        <v>19604</v>
      </c>
      <c r="I761" s="4" t="s">
        <v>19605</v>
      </c>
      <c r="J761" t="s">
        <v>71</v>
      </c>
      <c r="K761" t="s">
        <v>10782</v>
      </c>
      <c r="L761" t="s">
        <v>19606</v>
      </c>
    </row>
    <row r="762" spans="1:12" ht="144" x14ac:dyDescent="0.3">
      <c r="A762" s="4" t="s">
        <v>3541</v>
      </c>
      <c r="B762">
        <v>2</v>
      </c>
      <c r="C762">
        <v>3</v>
      </c>
      <c r="D762">
        <v>2022</v>
      </c>
      <c r="E762" t="s">
        <v>217</v>
      </c>
      <c r="F762">
        <v>11</v>
      </c>
      <c r="G762" t="s">
        <v>19621</v>
      </c>
      <c r="H762" t="s">
        <v>19622</v>
      </c>
      <c r="I762" s="4" t="s">
        <v>19623</v>
      </c>
      <c r="J762" t="s">
        <v>71</v>
      </c>
      <c r="K762" t="s">
        <v>10782</v>
      </c>
      <c r="L762" t="s">
        <v>19624</v>
      </c>
    </row>
    <row r="763" spans="1:12" ht="158.4" x14ac:dyDescent="0.3">
      <c r="A763" s="4" t="s">
        <v>2660</v>
      </c>
      <c r="B763">
        <v>2</v>
      </c>
      <c r="C763">
        <v>1</v>
      </c>
      <c r="D763">
        <v>2022</v>
      </c>
      <c r="E763" t="s">
        <v>665</v>
      </c>
      <c r="F763">
        <v>3</v>
      </c>
      <c r="G763" t="s">
        <v>19730</v>
      </c>
      <c r="H763" t="s">
        <v>19731</v>
      </c>
      <c r="I763" s="4" t="s">
        <v>19732</v>
      </c>
      <c r="J763" t="s">
        <v>71</v>
      </c>
      <c r="K763" t="s">
        <v>10782</v>
      </c>
      <c r="L763" t="s">
        <v>19733</v>
      </c>
    </row>
    <row r="764" spans="1:12" ht="230.4" x14ac:dyDescent="0.3">
      <c r="A764" s="4" t="s">
        <v>3542</v>
      </c>
      <c r="B764">
        <v>2</v>
      </c>
      <c r="C764">
        <v>3</v>
      </c>
      <c r="D764">
        <v>2022</v>
      </c>
      <c r="E764" t="s">
        <v>202</v>
      </c>
      <c r="F764">
        <v>49</v>
      </c>
      <c r="G764" t="s">
        <v>19798</v>
      </c>
      <c r="H764" t="s">
        <v>19799</v>
      </c>
      <c r="I764" s="4" t="s">
        <v>19800</v>
      </c>
      <c r="J764" t="s">
        <v>71</v>
      </c>
      <c r="K764" t="s">
        <v>10782</v>
      </c>
      <c r="L764" t="s">
        <v>19801</v>
      </c>
    </row>
    <row r="765" spans="1:12" ht="115.2" x14ac:dyDescent="0.3">
      <c r="A765" s="4" t="s">
        <v>3543</v>
      </c>
      <c r="B765">
        <v>2</v>
      </c>
      <c r="C765">
        <v>3</v>
      </c>
      <c r="D765">
        <v>2022</v>
      </c>
      <c r="E765" t="s">
        <v>1088</v>
      </c>
      <c r="F765">
        <v>9</v>
      </c>
      <c r="G765" t="s">
        <v>19841</v>
      </c>
      <c r="H765" t="s">
        <v>19842</v>
      </c>
      <c r="I765" s="4" t="s">
        <v>19843</v>
      </c>
      <c r="J765" t="s">
        <v>71</v>
      </c>
      <c r="K765" t="s">
        <v>10782</v>
      </c>
      <c r="L765" t="s">
        <v>19844</v>
      </c>
    </row>
    <row r="766" spans="1:12" ht="244.8" x14ac:dyDescent="0.3">
      <c r="A766" s="4" t="s">
        <v>3544</v>
      </c>
      <c r="B766">
        <v>2</v>
      </c>
      <c r="C766">
        <v>3</v>
      </c>
      <c r="D766">
        <v>2021</v>
      </c>
      <c r="E766" t="s">
        <v>405</v>
      </c>
      <c r="F766">
        <v>9</v>
      </c>
      <c r="G766" t="s">
        <v>20004</v>
      </c>
      <c r="H766" t="s">
        <v>20005</v>
      </c>
      <c r="I766" s="4" t="s">
        <v>20006</v>
      </c>
      <c r="J766" t="s">
        <v>71</v>
      </c>
      <c r="K766" t="s">
        <v>10782</v>
      </c>
      <c r="L766" t="s">
        <v>20007</v>
      </c>
    </row>
    <row r="767" spans="1:12" ht="244.8" x14ac:dyDescent="0.3">
      <c r="A767" s="4" t="s">
        <v>3545</v>
      </c>
      <c r="B767">
        <v>2</v>
      </c>
      <c r="C767">
        <v>3</v>
      </c>
      <c r="D767">
        <v>2021</v>
      </c>
      <c r="E767" t="s">
        <v>13816</v>
      </c>
      <c r="F767">
        <v>6</v>
      </c>
      <c r="G767" t="s">
        <v>20043</v>
      </c>
      <c r="H767" t="s">
        <v>20044</v>
      </c>
      <c r="I767" s="4" t="s">
        <v>20045</v>
      </c>
      <c r="J767" t="s">
        <v>71</v>
      </c>
      <c r="K767" t="s">
        <v>10782</v>
      </c>
      <c r="L767" t="s">
        <v>20046</v>
      </c>
    </row>
    <row r="768" spans="1:12" ht="187.2" x14ac:dyDescent="0.3">
      <c r="A768" s="4" t="s">
        <v>2692</v>
      </c>
      <c r="B768">
        <v>2</v>
      </c>
      <c r="C768">
        <v>1</v>
      </c>
      <c r="D768">
        <v>2021</v>
      </c>
      <c r="E768" t="s">
        <v>637</v>
      </c>
      <c r="F768">
        <v>4</v>
      </c>
      <c r="G768" t="s">
        <v>20198</v>
      </c>
      <c r="H768" t="s">
        <v>20199</v>
      </c>
      <c r="I768" s="4" t="s">
        <v>20200</v>
      </c>
      <c r="J768" t="s">
        <v>71</v>
      </c>
      <c r="K768" t="s">
        <v>10782</v>
      </c>
      <c r="L768" t="s">
        <v>20201</v>
      </c>
    </row>
    <row r="769" spans="1:12" ht="230.4" x14ac:dyDescent="0.3">
      <c r="A769" s="4" t="s">
        <v>2661</v>
      </c>
      <c r="B769">
        <v>2</v>
      </c>
      <c r="C769">
        <v>1</v>
      </c>
      <c r="D769">
        <v>2021</v>
      </c>
      <c r="E769" t="s">
        <v>1688</v>
      </c>
      <c r="F769">
        <v>18</v>
      </c>
      <c r="G769" t="s">
        <v>20233</v>
      </c>
      <c r="H769" t="s">
        <v>20234</v>
      </c>
      <c r="I769" s="4" t="s">
        <v>20235</v>
      </c>
      <c r="J769" t="s">
        <v>71</v>
      </c>
      <c r="K769" t="s">
        <v>10782</v>
      </c>
      <c r="L769" t="s">
        <v>20236</v>
      </c>
    </row>
    <row r="770" spans="1:12" ht="172.8" x14ac:dyDescent="0.3">
      <c r="A770" s="4" t="s">
        <v>3546</v>
      </c>
      <c r="B770">
        <v>2</v>
      </c>
      <c r="C770">
        <v>3</v>
      </c>
      <c r="D770">
        <v>2021</v>
      </c>
      <c r="E770" t="s">
        <v>177</v>
      </c>
      <c r="F770">
        <v>15</v>
      </c>
      <c r="G770" t="s">
        <v>20240</v>
      </c>
      <c r="H770" t="s">
        <v>20241</v>
      </c>
      <c r="I770" s="4" t="s">
        <v>20242</v>
      </c>
      <c r="J770" t="s">
        <v>71</v>
      </c>
      <c r="K770" t="s">
        <v>10782</v>
      </c>
      <c r="L770" t="s">
        <v>20243</v>
      </c>
    </row>
    <row r="771" spans="1:12" ht="172.8" x14ac:dyDescent="0.3">
      <c r="A771" s="4" t="s">
        <v>2662</v>
      </c>
      <c r="B771">
        <v>2</v>
      </c>
      <c r="C771">
        <v>1</v>
      </c>
      <c r="D771">
        <v>2021</v>
      </c>
      <c r="E771" t="s">
        <v>2708</v>
      </c>
      <c r="F771">
        <v>20</v>
      </c>
      <c r="G771" t="s">
        <v>20404</v>
      </c>
      <c r="H771" t="s">
        <v>20405</v>
      </c>
      <c r="I771" s="4" t="s">
        <v>20406</v>
      </c>
      <c r="J771" t="s">
        <v>71</v>
      </c>
      <c r="K771" t="s">
        <v>10782</v>
      </c>
      <c r="L771" t="s">
        <v>20407</v>
      </c>
    </row>
    <row r="772" spans="1:12" ht="129.6" x14ac:dyDescent="0.3">
      <c r="A772" s="4" t="s">
        <v>3547</v>
      </c>
      <c r="B772">
        <v>2</v>
      </c>
      <c r="C772">
        <v>3</v>
      </c>
      <c r="D772">
        <v>2021</v>
      </c>
      <c r="E772" t="s">
        <v>1570</v>
      </c>
      <c r="F772">
        <v>0</v>
      </c>
      <c r="G772" t="s">
        <v>20491</v>
      </c>
      <c r="H772" t="s">
        <v>20492</v>
      </c>
      <c r="I772" s="4" t="s">
        <v>20493</v>
      </c>
    </row>
    <row r="773" spans="1:12" ht="273.60000000000002" x14ac:dyDescent="0.3">
      <c r="A773" s="4" t="s">
        <v>2663</v>
      </c>
      <c r="B773">
        <v>2</v>
      </c>
      <c r="C773">
        <v>1</v>
      </c>
      <c r="D773">
        <v>2021</v>
      </c>
      <c r="E773" t="s">
        <v>217</v>
      </c>
      <c r="F773">
        <v>13</v>
      </c>
      <c r="G773" t="s">
        <v>20625</v>
      </c>
      <c r="H773" t="s">
        <v>20626</v>
      </c>
      <c r="I773" s="4" t="s">
        <v>20627</v>
      </c>
      <c r="J773" t="s">
        <v>71</v>
      </c>
      <c r="K773" t="s">
        <v>10782</v>
      </c>
      <c r="L773" t="s">
        <v>20628</v>
      </c>
    </row>
    <row r="774" spans="1:12" ht="172.8" x14ac:dyDescent="0.3">
      <c r="A774" s="4" t="s">
        <v>2664</v>
      </c>
      <c r="B774">
        <v>2</v>
      </c>
      <c r="C774">
        <v>1</v>
      </c>
      <c r="D774">
        <v>2021</v>
      </c>
      <c r="E774" t="s">
        <v>217</v>
      </c>
      <c r="F774">
        <v>9</v>
      </c>
      <c r="G774" t="s">
        <v>20715</v>
      </c>
      <c r="H774" t="s">
        <v>20716</v>
      </c>
      <c r="I774" s="4" t="s">
        <v>20717</v>
      </c>
      <c r="J774" t="s">
        <v>71</v>
      </c>
      <c r="K774" t="s">
        <v>10782</v>
      </c>
      <c r="L774" t="s">
        <v>20718</v>
      </c>
    </row>
    <row r="775" spans="1:12" ht="172.8" x14ac:dyDescent="0.3">
      <c r="A775" s="4" t="s">
        <v>3548</v>
      </c>
      <c r="B775">
        <v>2</v>
      </c>
      <c r="C775">
        <v>3</v>
      </c>
      <c r="D775">
        <v>2021</v>
      </c>
      <c r="E775" t="s">
        <v>478</v>
      </c>
      <c r="F775">
        <v>7</v>
      </c>
      <c r="G775" t="s">
        <v>20930</v>
      </c>
      <c r="H775" t="s">
        <v>20931</v>
      </c>
      <c r="I775" s="4" t="s">
        <v>20932</v>
      </c>
      <c r="J775" t="s">
        <v>71</v>
      </c>
      <c r="K775" t="s">
        <v>10782</v>
      </c>
      <c r="L775" t="s">
        <v>20933</v>
      </c>
    </row>
    <row r="776" spans="1:12" ht="172.8" x14ac:dyDescent="0.3">
      <c r="A776" s="4" t="s">
        <v>3549</v>
      </c>
      <c r="B776">
        <v>2</v>
      </c>
      <c r="C776">
        <v>3</v>
      </c>
      <c r="D776">
        <v>2021</v>
      </c>
      <c r="E776" t="s">
        <v>2361</v>
      </c>
      <c r="F776">
        <v>27</v>
      </c>
      <c r="G776" t="s">
        <v>20942</v>
      </c>
      <c r="H776" t="s">
        <v>20943</v>
      </c>
      <c r="I776" s="4" t="s">
        <v>20944</v>
      </c>
    </row>
    <row r="777" spans="1:12" ht="172.8" x14ac:dyDescent="0.3">
      <c r="A777" s="4" t="s">
        <v>2665</v>
      </c>
      <c r="B777">
        <v>2</v>
      </c>
      <c r="C777">
        <v>1</v>
      </c>
      <c r="D777">
        <v>2021</v>
      </c>
      <c r="E777" t="s">
        <v>147</v>
      </c>
      <c r="F777">
        <v>86</v>
      </c>
      <c r="G777" t="s">
        <v>20945</v>
      </c>
      <c r="H777" t="s">
        <v>20946</v>
      </c>
      <c r="I777" s="4" t="s">
        <v>20947</v>
      </c>
      <c r="J777" t="s">
        <v>71</v>
      </c>
      <c r="K777" t="s">
        <v>10782</v>
      </c>
      <c r="L777" t="s">
        <v>20948</v>
      </c>
    </row>
    <row r="778" spans="1:12" ht="158.4" x14ac:dyDescent="0.3">
      <c r="A778" s="4" t="s">
        <v>3550</v>
      </c>
      <c r="B778">
        <v>2</v>
      </c>
      <c r="C778">
        <v>3</v>
      </c>
      <c r="D778">
        <v>2021</v>
      </c>
      <c r="E778" t="s">
        <v>398</v>
      </c>
      <c r="F778">
        <v>13</v>
      </c>
      <c r="G778" t="s">
        <v>20956</v>
      </c>
      <c r="H778" t="s">
        <v>20957</v>
      </c>
      <c r="I778" s="4" t="s">
        <v>20958</v>
      </c>
      <c r="J778" t="s">
        <v>71</v>
      </c>
      <c r="K778" t="s">
        <v>10782</v>
      </c>
      <c r="L778" t="s">
        <v>20959</v>
      </c>
    </row>
    <row r="779" spans="1:12" ht="129.6" x14ac:dyDescent="0.3">
      <c r="A779" s="4" t="s">
        <v>3551</v>
      </c>
      <c r="B779">
        <v>2</v>
      </c>
      <c r="C779">
        <v>3</v>
      </c>
      <c r="D779">
        <v>2021</v>
      </c>
      <c r="E779" t="s">
        <v>2416</v>
      </c>
      <c r="F779">
        <v>7</v>
      </c>
      <c r="G779" t="s">
        <v>21031</v>
      </c>
      <c r="H779" t="s">
        <v>21032</v>
      </c>
      <c r="I779" s="4" t="s">
        <v>21033</v>
      </c>
      <c r="J779" t="s">
        <v>71</v>
      </c>
      <c r="K779" t="s">
        <v>10782</v>
      </c>
      <c r="L779" t="s">
        <v>21034</v>
      </c>
    </row>
    <row r="780" spans="1:12" ht="115.2" x14ac:dyDescent="0.3">
      <c r="A780" s="4" t="s">
        <v>2666</v>
      </c>
      <c r="B780">
        <v>2</v>
      </c>
      <c r="C780">
        <v>1</v>
      </c>
      <c r="D780">
        <v>2021</v>
      </c>
      <c r="E780" t="s">
        <v>1175</v>
      </c>
      <c r="F780">
        <v>17</v>
      </c>
      <c r="G780" t="s">
        <v>21090</v>
      </c>
      <c r="H780" t="s">
        <v>21091</v>
      </c>
      <c r="I780" s="4" t="s">
        <v>21092</v>
      </c>
      <c r="J780" t="s">
        <v>71</v>
      </c>
      <c r="K780" t="s">
        <v>10782</v>
      </c>
      <c r="L780" t="s">
        <v>21093</v>
      </c>
    </row>
    <row r="781" spans="1:12" ht="187.2" x14ac:dyDescent="0.3">
      <c r="A781" s="4" t="s">
        <v>3552</v>
      </c>
      <c r="B781">
        <v>2</v>
      </c>
      <c r="C781">
        <v>3</v>
      </c>
      <c r="D781">
        <v>2021</v>
      </c>
      <c r="E781" t="s">
        <v>21140</v>
      </c>
      <c r="F781">
        <v>60</v>
      </c>
      <c r="G781" t="s">
        <v>21141</v>
      </c>
      <c r="H781" t="s">
        <v>21142</v>
      </c>
      <c r="I781" s="4" t="s">
        <v>21143</v>
      </c>
      <c r="J781" t="s">
        <v>71</v>
      </c>
      <c r="K781" t="s">
        <v>10782</v>
      </c>
      <c r="L781" t="s">
        <v>21144</v>
      </c>
    </row>
    <row r="782" spans="1:12" ht="158.4" x14ac:dyDescent="0.3">
      <c r="A782" s="4" t="s">
        <v>2667</v>
      </c>
      <c r="B782">
        <v>2</v>
      </c>
      <c r="C782">
        <v>1</v>
      </c>
      <c r="D782">
        <v>2021</v>
      </c>
      <c r="E782" t="s">
        <v>329</v>
      </c>
      <c r="F782">
        <v>39</v>
      </c>
      <c r="G782" t="s">
        <v>21149</v>
      </c>
      <c r="H782" t="s">
        <v>21150</v>
      </c>
      <c r="I782" s="4" t="s">
        <v>21151</v>
      </c>
      <c r="J782" t="s">
        <v>71</v>
      </c>
      <c r="K782" t="s">
        <v>10782</v>
      </c>
      <c r="L782" t="s">
        <v>21152</v>
      </c>
    </row>
    <row r="783" spans="1:12" ht="86.4" x14ac:dyDescent="0.3">
      <c r="A783" s="4" t="s">
        <v>2669</v>
      </c>
      <c r="B783">
        <v>2</v>
      </c>
      <c r="C783">
        <v>1</v>
      </c>
      <c r="D783">
        <v>2021</v>
      </c>
      <c r="E783" t="s">
        <v>2742</v>
      </c>
      <c r="F783">
        <v>2</v>
      </c>
      <c r="G783" t="s">
        <v>21395</v>
      </c>
      <c r="H783" t="s">
        <v>21396</v>
      </c>
      <c r="I783" s="4" t="s">
        <v>21397</v>
      </c>
      <c r="J783" t="s">
        <v>71</v>
      </c>
      <c r="K783" t="s">
        <v>10782</v>
      </c>
      <c r="L783" t="s">
        <v>21398</v>
      </c>
    </row>
    <row r="784" spans="1:12" ht="115.2" x14ac:dyDescent="0.3">
      <c r="A784" s="4" t="s">
        <v>3553</v>
      </c>
      <c r="B784">
        <v>2</v>
      </c>
      <c r="C784">
        <v>3</v>
      </c>
      <c r="D784">
        <v>2021</v>
      </c>
      <c r="E784" t="s">
        <v>217</v>
      </c>
      <c r="F784">
        <v>22</v>
      </c>
      <c r="G784" t="s">
        <v>21476</v>
      </c>
      <c r="H784" t="s">
        <v>21477</v>
      </c>
      <c r="I784" s="4" t="s">
        <v>21478</v>
      </c>
      <c r="J784" t="s">
        <v>71</v>
      </c>
      <c r="K784" t="s">
        <v>10782</v>
      </c>
      <c r="L784" t="s">
        <v>21479</v>
      </c>
    </row>
    <row r="785" spans="1:12" ht="129.6" x14ac:dyDescent="0.3">
      <c r="A785" s="4" t="s">
        <v>3554</v>
      </c>
      <c r="B785">
        <v>2</v>
      </c>
      <c r="C785">
        <v>3</v>
      </c>
      <c r="D785">
        <v>2021</v>
      </c>
      <c r="E785" t="s">
        <v>217</v>
      </c>
      <c r="F785">
        <v>16</v>
      </c>
      <c r="G785" t="s">
        <v>21527</v>
      </c>
      <c r="H785" t="s">
        <v>21528</v>
      </c>
      <c r="I785" s="4" t="s">
        <v>21529</v>
      </c>
    </row>
    <row r="786" spans="1:12" ht="129.6" x14ac:dyDescent="0.3">
      <c r="A786" s="4" t="s">
        <v>3555</v>
      </c>
      <c r="B786">
        <v>2</v>
      </c>
      <c r="C786">
        <v>3</v>
      </c>
      <c r="D786">
        <v>2021</v>
      </c>
      <c r="E786" t="s">
        <v>2893</v>
      </c>
      <c r="F786">
        <v>53</v>
      </c>
      <c r="G786" t="s">
        <v>21550</v>
      </c>
      <c r="H786" t="s">
        <v>21551</v>
      </c>
      <c r="I786" s="4" t="s">
        <v>21552</v>
      </c>
      <c r="J786" t="s">
        <v>10823</v>
      </c>
      <c r="K786" t="s">
        <v>10782</v>
      </c>
      <c r="L786" t="s">
        <v>21553</v>
      </c>
    </row>
    <row r="787" spans="1:12" ht="115.2" x14ac:dyDescent="0.3">
      <c r="A787" s="4" t="s">
        <v>3556</v>
      </c>
      <c r="B787">
        <v>2</v>
      </c>
      <c r="C787">
        <v>3</v>
      </c>
      <c r="D787">
        <v>2021</v>
      </c>
      <c r="E787" t="s">
        <v>16771</v>
      </c>
      <c r="F787">
        <v>48</v>
      </c>
      <c r="G787" t="s">
        <v>21751</v>
      </c>
      <c r="H787" t="s">
        <v>21752</v>
      </c>
      <c r="I787" s="4" t="s">
        <v>21753</v>
      </c>
    </row>
    <row r="788" spans="1:12" ht="187.2" x14ac:dyDescent="0.3">
      <c r="A788" s="4" t="s">
        <v>3557</v>
      </c>
      <c r="B788">
        <v>2</v>
      </c>
      <c r="C788">
        <v>3</v>
      </c>
      <c r="D788">
        <v>2021</v>
      </c>
      <c r="E788" t="s">
        <v>637</v>
      </c>
      <c r="F788">
        <v>26</v>
      </c>
      <c r="G788" t="s">
        <v>21790</v>
      </c>
      <c r="H788" t="s">
        <v>21791</v>
      </c>
      <c r="I788" s="4" t="s">
        <v>21792</v>
      </c>
      <c r="J788" t="s">
        <v>71</v>
      </c>
      <c r="K788" t="s">
        <v>10782</v>
      </c>
      <c r="L788" t="s">
        <v>21793</v>
      </c>
    </row>
    <row r="789" spans="1:12" ht="172.8" x14ac:dyDescent="0.3">
      <c r="A789" s="4" t="s">
        <v>2670</v>
      </c>
      <c r="B789">
        <v>2</v>
      </c>
      <c r="C789">
        <v>1</v>
      </c>
      <c r="D789">
        <v>2021</v>
      </c>
      <c r="E789" t="s">
        <v>1746</v>
      </c>
      <c r="F789">
        <v>26</v>
      </c>
      <c r="G789" t="s">
        <v>21891</v>
      </c>
      <c r="H789" t="s">
        <v>21892</v>
      </c>
      <c r="I789" s="4" t="s">
        <v>21893</v>
      </c>
      <c r="J789" t="s">
        <v>71</v>
      </c>
      <c r="K789" t="s">
        <v>10782</v>
      </c>
      <c r="L789" t="s">
        <v>21894</v>
      </c>
    </row>
    <row r="790" spans="1:12" ht="144" x14ac:dyDescent="0.3">
      <c r="A790" s="4" t="s">
        <v>2671</v>
      </c>
      <c r="B790">
        <v>2</v>
      </c>
      <c r="C790">
        <v>1</v>
      </c>
      <c r="D790">
        <v>2021</v>
      </c>
      <c r="E790" t="s">
        <v>217</v>
      </c>
      <c r="F790">
        <v>6</v>
      </c>
      <c r="G790" t="s">
        <v>21966</v>
      </c>
      <c r="H790" t="s">
        <v>21967</v>
      </c>
      <c r="I790" s="4" t="s">
        <v>21968</v>
      </c>
    </row>
    <row r="791" spans="1:12" ht="259.2" x14ac:dyDescent="0.3">
      <c r="A791" s="4" t="s">
        <v>3558</v>
      </c>
      <c r="B791">
        <v>2</v>
      </c>
      <c r="C791">
        <v>3</v>
      </c>
      <c r="D791">
        <v>2021</v>
      </c>
      <c r="E791" t="s">
        <v>964</v>
      </c>
      <c r="F791">
        <v>13</v>
      </c>
      <c r="G791" t="s">
        <v>21990</v>
      </c>
      <c r="H791" t="s">
        <v>21991</v>
      </c>
      <c r="I791" s="4" t="s">
        <v>21992</v>
      </c>
      <c r="J791" t="s">
        <v>71</v>
      </c>
      <c r="K791" t="s">
        <v>10782</v>
      </c>
      <c r="L791" t="s">
        <v>21993</v>
      </c>
    </row>
    <row r="792" spans="1:12" ht="144" x14ac:dyDescent="0.3">
      <c r="A792" s="4" t="s">
        <v>3559</v>
      </c>
      <c r="B792">
        <v>2</v>
      </c>
      <c r="C792">
        <v>3</v>
      </c>
      <c r="D792">
        <v>2021</v>
      </c>
      <c r="E792" t="s">
        <v>14061</v>
      </c>
      <c r="F792">
        <v>3</v>
      </c>
      <c r="G792" t="s">
        <v>22034</v>
      </c>
      <c r="H792" t="s">
        <v>22035</v>
      </c>
      <c r="I792" s="4" t="s">
        <v>22036</v>
      </c>
      <c r="J792" t="s">
        <v>71</v>
      </c>
      <c r="K792" t="s">
        <v>10782</v>
      </c>
      <c r="L792" t="s">
        <v>22037</v>
      </c>
    </row>
    <row r="793" spans="1:12" ht="172.8" x14ac:dyDescent="0.3">
      <c r="A793" s="4" t="s">
        <v>3560</v>
      </c>
      <c r="B793">
        <v>2</v>
      </c>
      <c r="C793">
        <v>3</v>
      </c>
      <c r="D793">
        <v>2021</v>
      </c>
      <c r="E793" t="s">
        <v>14320</v>
      </c>
      <c r="F793">
        <v>22</v>
      </c>
      <c r="G793" t="s">
        <v>22062</v>
      </c>
      <c r="H793" t="s">
        <v>22063</v>
      </c>
      <c r="I793" s="4" t="s">
        <v>22064</v>
      </c>
      <c r="J793" t="s">
        <v>71</v>
      </c>
      <c r="K793" t="s">
        <v>10782</v>
      </c>
      <c r="L793" t="s">
        <v>22065</v>
      </c>
    </row>
    <row r="794" spans="1:12" ht="172.8" x14ac:dyDescent="0.3">
      <c r="A794" s="4" t="s">
        <v>3561</v>
      </c>
      <c r="B794">
        <v>2</v>
      </c>
      <c r="C794">
        <v>3</v>
      </c>
      <c r="D794">
        <v>2021</v>
      </c>
      <c r="E794" t="s">
        <v>1770</v>
      </c>
      <c r="F794">
        <v>19</v>
      </c>
      <c r="G794" t="s">
        <v>22224</v>
      </c>
      <c r="H794" t="s">
        <v>22225</v>
      </c>
      <c r="I794" s="4" t="s">
        <v>22226</v>
      </c>
      <c r="J794" t="s">
        <v>71</v>
      </c>
      <c r="K794" t="s">
        <v>10782</v>
      </c>
      <c r="L794" t="s">
        <v>22227</v>
      </c>
    </row>
    <row r="795" spans="1:12" ht="201.6" x14ac:dyDescent="0.3">
      <c r="A795" s="4" t="s">
        <v>2672</v>
      </c>
      <c r="B795">
        <v>2</v>
      </c>
      <c r="C795">
        <v>1</v>
      </c>
      <c r="D795">
        <v>2021</v>
      </c>
      <c r="E795" t="s">
        <v>2763</v>
      </c>
      <c r="F795">
        <v>10</v>
      </c>
      <c r="G795" t="s">
        <v>22257</v>
      </c>
      <c r="H795" t="s">
        <v>22258</v>
      </c>
      <c r="I795" s="4" t="s">
        <v>22259</v>
      </c>
      <c r="J795" t="s">
        <v>71</v>
      </c>
      <c r="K795" t="s">
        <v>10782</v>
      </c>
      <c r="L795" t="s">
        <v>22260</v>
      </c>
    </row>
    <row r="796" spans="1:12" ht="187.2" x14ac:dyDescent="0.3">
      <c r="A796" s="4" t="s">
        <v>3562</v>
      </c>
      <c r="B796">
        <v>2</v>
      </c>
      <c r="C796">
        <v>3</v>
      </c>
      <c r="D796">
        <v>2021</v>
      </c>
      <c r="E796" t="s">
        <v>217</v>
      </c>
      <c r="F796">
        <v>19</v>
      </c>
      <c r="G796" t="s">
        <v>22261</v>
      </c>
      <c r="H796" t="s">
        <v>22262</v>
      </c>
      <c r="I796" s="4" t="s">
        <v>22263</v>
      </c>
      <c r="J796" t="s">
        <v>71</v>
      </c>
      <c r="K796" t="s">
        <v>10782</v>
      </c>
      <c r="L796" t="s">
        <v>22264</v>
      </c>
    </row>
    <row r="797" spans="1:12" ht="201.6" x14ac:dyDescent="0.3">
      <c r="A797" s="4" t="s">
        <v>3563</v>
      </c>
      <c r="B797">
        <v>2</v>
      </c>
      <c r="C797">
        <v>3</v>
      </c>
      <c r="D797">
        <v>2021</v>
      </c>
      <c r="E797" t="s">
        <v>22320</v>
      </c>
      <c r="F797">
        <v>0</v>
      </c>
      <c r="G797" t="s">
        <v>22321</v>
      </c>
      <c r="H797" t="s">
        <v>22322</v>
      </c>
      <c r="I797" s="4" t="s">
        <v>22323</v>
      </c>
      <c r="J797" t="s">
        <v>71</v>
      </c>
      <c r="K797" t="s">
        <v>10782</v>
      </c>
      <c r="L797" t="s">
        <v>22324</v>
      </c>
    </row>
    <row r="798" spans="1:12" ht="172.8" x14ac:dyDescent="0.3">
      <c r="A798" s="4" t="s">
        <v>3564</v>
      </c>
      <c r="B798">
        <v>2</v>
      </c>
      <c r="C798">
        <v>3</v>
      </c>
      <c r="D798">
        <v>2020</v>
      </c>
      <c r="E798" t="s">
        <v>329</v>
      </c>
      <c r="F798">
        <v>13</v>
      </c>
      <c r="G798" t="s">
        <v>22513</v>
      </c>
      <c r="H798" t="s">
        <v>22514</v>
      </c>
      <c r="I798" s="4" t="s">
        <v>22515</v>
      </c>
      <c r="J798" t="s">
        <v>71</v>
      </c>
      <c r="K798" t="s">
        <v>10782</v>
      </c>
      <c r="L798" t="s">
        <v>22516</v>
      </c>
    </row>
    <row r="799" spans="1:12" ht="144" x14ac:dyDescent="0.3">
      <c r="A799" s="4" t="s">
        <v>2673</v>
      </c>
      <c r="B799">
        <v>2</v>
      </c>
      <c r="C799">
        <v>1</v>
      </c>
      <c r="D799">
        <v>2020</v>
      </c>
      <c r="E799" t="s">
        <v>227</v>
      </c>
      <c r="F799">
        <v>12</v>
      </c>
      <c r="G799" t="s">
        <v>22573</v>
      </c>
      <c r="H799" t="s">
        <v>22574</v>
      </c>
      <c r="I799" s="4" t="s">
        <v>22575</v>
      </c>
      <c r="J799" t="s">
        <v>71</v>
      </c>
      <c r="K799" t="s">
        <v>10782</v>
      </c>
      <c r="L799" t="s">
        <v>22576</v>
      </c>
    </row>
    <row r="800" spans="1:12" ht="201.6" x14ac:dyDescent="0.3">
      <c r="A800" s="4" t="s">
        <v>3565</v>
      </c>
      <c r="B800">
        <v>2</v>
      </c>
      <c r="C800">
        <v>3</v>
      </c>
      <c r="D800">
        <v>2020</v>
      </c>
      <c r="E800" t="s">
        <v>22728</v>
      </c>
      <c r="F800">
        <v>3</v>
      </c>
      <c r="G800" t="s">
        <v>22729</v>
      </c>
      <c r="H800" t="s">
        <v>22730</v>
      </c>
      <c r="I800" s="4" t="s">
        <v>22731</v>
      </c>
      <c r="J800" t="s">
        <v>71</v>
      </c>
      <c r="K800" t="s">
        <v>10782</v>
      </c>
      <c r="L800" t="s">
        <v>22732</v>
      </c>
    </row>
    <row r="801" spans="1:12" ht="158.4" x14ac:dyDescent="0.3">
      <c r="A801" s="4" t="s">
        <v>3566</v>
      </c>
      <c r="B801">
        <v>2</v>
      </c>
      <c r="C801">
        <v>3</v>
      </c>
      <c r="D801">
        <v>2020</v>
      </c>
      <c r="E801" t="s">
        <v>405</v>
      </c>
      <c r="F801">
        <v>35</v>
      </c>
      <c r="G801" t="s">
        <v>22859</v>
      </c>
      <c r="H801" t="s">
        <v>22860</v>
      </c>
      <c r="I801" s="4" t="s">
        <v>22861</v>
      </c>
      <c r="J801" t="s">
        <v>71</v>
      </c>
      <c r="K801" t="s">
        <v>10782</v>
      </c>
      <c r="L801" t="s">
        <v>22862</v>
      </c>
    </row>
    <row r="802" spans="1:12" ht="129.6" x14ac:dyDescent="0.3">
      <c r="A802" s="4" t="s">
        <v>3567</v>
      </c>
      <c r="B802">
        <v>2</v>
      </c>
      <c r="C802">
        <v>3</v>
      </c>
      <c r="D802">
        <v>2020</v>
      </c>
      <c r="E802" t="s">
        <v>432</v>
      </c>
      <c r="F802">
        <v>2</v>
      </c>
      <c r="G802" t="s">
        <v>22950</v>
      </c>
      <c r="H802" t="s">
        <v>22951</v>
      </c>
      <c r="I802" s="4" t="s">
        <v>22952</v>
      </c>
      <c r="J802" t="s">
        <v>71</v>
      </c>
      <c r="K802" t="s">
        <v>10782</v>
      </c>
      <c r="L802" t="s">
        <v>22953</v>
      </c>
    </row>
    <row r="803" spans="1:12" ht="158.4" x14ac:dyDescent="0.3">
      <c r="A803" s="4" t="s">
        <v>2771</v>
      </c>
      <c r="B803">
        <v>2</v>
      </c>
      <c r="C803">
        <v>1</v>
      </c>
      <c r="D803">
        <v>2020</v>
      </c>
      <c r="E803" t="s">
        <v>1525</v>
      </c>
      <c r="F803">
        <v>29</v>
      </c>
      <c r="G803" t="s">
        <v>23015</v>
      </c>
      <c r="H803" t="s">
        <v>23016</v>
      </c>
      <c r="I803" s="4" t="s">
        <v>23017</v>
      </c>
    </row>
    <row r="804" spans="1:12" ht="158.4" x14ac:dyDescent="0.3">
      <c r="A804" s="4" t="s">
        <v>2772</v>
      </c>
      <c r="B804">
        <v>2</v>
      </c>
      <c r="C804">
        <v>1</v>
      </c>
      <c r="D804">
        <v>2020</v>
      </c>
      <c r="E804" t="s">
        <v>217</v>
      </c>
      <c r="F804">
        <v>17</v>
      </c>
      <c r="G804" t="s">
        <v>23138</v>
      </c>
      <c r="H804" t="s">
        <v>23139</v>
      </c>
      <c r="I804" s="4" t="s">
        <v>23140</v>
      </c>
      <c r="J804" t="s">
        <v>71</v>
      </c>
      <c r="K804" t="s">
        <v>10782</v>
      </c>
      <c r="L804" t="s">
        <v>23141</v>
      </c>
    </row>
    <row r="805" spans="1:12" ht="115.2" x14ac:dyDescent="0.3">
      <c r="A805" s="4" t="s">
        <v>2773</v>
      </c>
      <c r="B805">
        <v>2</v>
      </c>
      <c r="C805">
        <v>1</v>
      </c>
      <c r="D805">
        <v>2020</v>
      </c>
      <c r="E805" t="s">
        <v>2806</v>
      </c>
      <c r="F805">
        <v>3</v>
      </c>
      <c r="G805" t="s">
        <v>23199</v>
      </c>
      <c r="H805" t="s">
        <v>23200</v>
      </c>
      <c r="I805" s="4" t="s">
        <v>23201</v>
      </c>
      <c r="J805" t="s">
        <v>71</v>
      </c>
      <c r="K805" t="s">
        <v>10782</v>
      </c>
      <c r="L805" t="s">
        <v>23202</v>
      </c>
    </row>
    <row r="806" spans="1:12" ht="144" x14ac:dyDescent="0.3">
      <c r="A806" s="4" t="s">
        <v>3568</v>
      </c>
      <c r="B806">
        <v>2</v>
      </c>
      <c r="C806">
        <v>3</v>
      </c>
      <c r="D806">
        <v>2020</v>
      </c>
      <c r="E806" t="s">
        <v>18333</v>
      </c>
      <c r="F806">
        <v>6</v>
      </c>
      <c r="G806" t="s">
        <v>23378</v>
      </c>
      <c r="H806" t="s">
        <v>23379</v>
      </c>
      <c r="I806" s="4" t="s">
        <v>23380</v>
      </c>
      <c r="J806" t="s">
        <v>71</v>
      </c>
      <c r="K806" t="s">
        <v>10782</v>
      </c>
      <c r="L806" t="s">
        <v>23381</v>
      </c>
    </row>
    <row r="807" spans="1:12" ht="158.4" x14ac:dyDescent="0.3">
      <c r="A807" s="4" t="s">
        <v>2774</v>
      </c>
      <c r="B807">
        <v>2</v>
      </c>
      <c r="C807">
        <v>1</v>
      </c>
      <c r="D807">
        <v>2020</v>
      </c>
      <c r="E807" t="s">
        <v>1002</v>
      </c>
      <c r="F807">
        <v>11</v>
      </c>
      <c r="G807" t="s">
        <v>23442</v>
      </c>
      <c r="H807" t="s">
        <v>23443</v>
      </c>
      <c r="I807" s="4" t="s">
        <v>23444</v>
      </c>
      <c r="J807" t="s">
        <v>71</v>
      </c>
      <c r="K807" t="s">
        <v>10782</v>
      </c>
      <c r="L807" t="s">
        <v>23445</v>
      </c>
    </row>
    <row r="808" spans="1:12" ht="115.2" x14ac:dyDescent="0.3">
      <c r="A808" s="4" t="s">
        <v>3569</v>
      </c>
      <c r="B808">
        <v>2</v>
      </c>
      <c r="C808">
        <v>3</v>
      </c>
      <c r="D808">
        <v>2020</v>
      </c>
      <c r="E808" t="s">
        <v>1530</v>
      </c>
      <c r="F808">
        <v>11</v>
      </c>
      <c r="G808" t="s">
        <v>23653</v>
      </c>
      <c r="H808" t="s">
        <v>23654</v>
      </c>
      <c r="I808" s="4" t="s">
        <v>23655</v>
      </c>
    </row>
    <row r="809" spans="1:12" ht="172.8" x14ac:dyDescent="0.3">
      <c r="A809" s="4" t="s">
        <v>3570</v>
      </c>
      <c r="B809">
        <v>2</v>
      </c>
      <c r="C809">
        <v>3</v>
      </c>
      <c r="D809">
        <v>2020</v>
      </c>
      <c r="E809" t="s">
        <v>23664</v>
      </c>
      <c r="F809">
        <v>2</v>
      </c>
      <c r="G809" t="s">
        <v>23665</v>
      </c>
      <c r="H809" t="s">
        <v>23666</v>
      </c>
      <c r="I809" s="4" t="s">
        <v>23667</v>
      </c>
      <c r="J809" t="s">
        <v>71</v>
      </c>
      <c r="K809" t="s">
        <v>10782</v>
      </c>
      <c r="L809" t="s">
        <v>23668</v>
      </c>
    </row>
    <row r="810" spans="1:12" ht="201.6" x14ac:dyDescent="0.3">
      <c r="A810" s="4" t="s">
        <v>3571</v>
      </c>
      <c r="B810">
        <v>2</v>
      </c>
      <c r="C810">
        <v>3</v>
      </c>
      <c r="D810">
        <v>2020</v>
      </c>
      <c r="E810" t="s">
        <v>1570</v>
      </c>
      <c r="F810">
        <v>2</v>
      </c>
      <c r="G810" t="s">
        <v>23669</v>
      </c>
      <c r="H810" t="s">
        <v>23670</v>
      </c>
      <c r="I810" s="4" t="s">
        <v>23671</v>
      </c>
    </row>
    <row r="811" spans="1:12" ht="216" x14ac:dyDescent="0.3">
      <c r="A811" s="4" t="s">
        <v>3572</v>
      </c>
      <c r="B811">
        <v>2</v>
      </c>
      <c r="C811">
        <v>3</v>
      </c>
      <c r="D811">
        <v>2020</v>
      </c>
      <c r="E811" t="s">
        <v>2375</v>
      </c>
      <c r="F811">
        <v>49</v>
      </c>
      <c r="G811" t="s">
        <v>23712</v>
      </c>
      <c r="H811" t="s">
        <v>23713</v>
      </c>
      <c r="I811" s="4" t="s">
        <v>23714</v>
      </c>
      <c r="J811" t="s">
        <v>71</v>
      </c>
      <c r="K811" t="s">
        <v>10782</v>
      </c>
      <c r="L811" t="s">
        <v>23715</v>
      </c>
    </row>
    <row r="812" spans="1:12" ht="201.6" x14ac:dyDescent="0.3">
      <c r="A812" s="4" t="s">
        <v>3573</v>
      </c>
      <c r="B812">
        <v>2</v>
      </c>
      <c r="C812">
        <v>3</v>
      </c>
      <c r="D812">
        <v>2020</v>
      </c>
      <c r="E812" t="s">
        <v>217</v>
      </c>
      <c r="F812">
        <v>57</v>
      </c>
      <c r="G812" t="s">
        <v>23740</v>
      </c>
      <c r="H812" t="s">
        <v>23741</v>
      </c>
      <c r="I812" s="4" t="s">
        <v>23742</v>
      </c>
      <c r="J812" t="s">
        <v>71</v>
      </c>
      <c r="K812" t="s">
        <v>10782</v>
      </c>
      <c r="L812" t="s">
        <v>23743</v>
      </c>
    </row>
    <row r="813" spans="1:12" ht="158.4" x14ac:dyDescent="0.3">
      <c r="A813" s="4" t="s">
        <v>3574</v>
      </c>
      <c r="B813">
        <v>2</v>
      </c>
      <c r="C813">
        <v>3</v>
      </c>
      <c r="D813">
        <v>2020</v>
      </c>
      <c r="E813" t="s">
        <v>1570</v>
      </c>
      <c r="F813">
        <v>1</v>
      </c>
      <c r="G813" t="s">
        <v>23752</v>
      </c>
      <c r="H813" t="s">
        <v>23753</v>
      </c>
      <c r="I813" s="4" t="s">
        <v>23754</v>
      </c>
    </row>
    <row r="814" spans="1:12" ht="172.8" x14ac:dyDescent="0.3">
      <c r="A814" s="4" t="s">
        <v>2775</v>
      </c>
      <c r="B814">
        <v>2</v>
      </c>
      <c r="C814">
        <v>1</v>
      </c>
      <c r="D814">
        <v>2020</v>
      </c>
      <c r="E814" t="s">
        <v>2819</v>
      </c>
      <c r="F814">
        <v>9</v>
      </c>
      <c r="G814" t="s">
        <v>23800</v>
      </c>
      <c r="H814" t="s">
        <v>23801</v>
      </c>
      <c r="I814" s="4" t="s">
        <v>23802</v>
      </c>
      <c r="J814" t="s">
        <v>71</v>
      </c>
      <c r="K814" t="s">
        <v>10782</v>
      </c>
      <c r="L814" t="s">
        <v>23803</v>
      </c>
    </row>
    <row r="815" spans="1:12" ht="158.4" x14ac:dyDescent="0.3">
      <c r="A815" s="4" t="s">
        <v>3575</v>
      </c>
      <c r="B815">
        <v>2</v>
      </c>
      <c r="C815">
        <v>3</v>
      </c>
      <c r="D815">
        <v>2020</v>
      </c>
      <c r="E815" t="s">
        <v>23889</v>
      </c>
      <c r="F815">
        <v>8</v>
      </c>
      <c r="G815" t="s">
        <v>23890</v>
      </c>
      <c r="H815" t="s">
        <v>23891</v>
      </c>
      <c r="I815" s="4" t="s">
        <v>23892</v>
      </c>
      <c r="J815" t="s">
        <v>71</v>
      </c>
      <c r="K815" t="s">
        <v>10782</v>
      </c>
      <c r="L815" t="s">
        <v>23893</v>
      </c>
    </row>
    <row r="816" spans="1:12" ht="172.8" x14ac:dyDescent="0.3">
      <c r="A816" s="4" t="s">
        <v>2776</v>
      </c>
      <c r="B816">
        <v>2</v>
      </c>
      <c r="C816">
        <v>1</v>
      </c>
      <c r="D816">
        <v>2020</v>
      </c>
      <c r="E816" t="s">
        <v>264</v>
      </c>
      <c r="F816">
        <v>14</v>
      </c>
      <c r="G816" t="s">
        <v>23967</v>
      </c>
      <c r="H816" t="s">
        <v>23968</v>
      </c>
      <c r="I816" s="4" t="s">
        <v>23969</v>
      </c>
      <c r="J816" t="s">
        <v>71</v>
      </c>
      <c r="K816" t="s">
        <v>10782</v>
      </c>
      <c r="L816" t="s">
        <v>23970</v>
      </c>
    </row>
    <row r="817" spans="1:12" ht="158.4" x14ac:dyDescent="0.3">
      <c r="A817" s="4" t="s">
        <v>3576</v>
      </c>
      <c r="B817">
        <v>2</v>
      </c>
      <c r="C817">
        <v>3</v>
      </c>
      <c r="D817">
        <v>2020</v>
      </c>
      <c r="E817" t="s">
        <v>1175</v>
      </c>
      <c r="F817">
        <v>4</v>
      </c>
      <c r="G817" t="s">
        <v>24026</v>
      </c>
      <c r="H817" t="s">
        <v>24027</v>
      </c>
      <c r="I817" s="4" t="s">
        <v>24028</v>
      </c>
      <c r="J817" t="s">
        <v>71</v>
      </c>
      <c r="K817" t="s">
        <v>10782</v>
      </c>
      <c r="L817" t="s">
        <v>24029</v>
      </c>
    </row>
    <row r="818" spans="1:12" ht="216" x14ac:dyDescent="0.3">
      <c r="A818" s="4" t="s">
        <v>3577</v>
      </c>
      <c r="B818">
        <v>2</v>
      </c>
      <c r="C818">
        <v>3</v>
      </c>
      <c r="D818">
        <v>2020</v>
      </c>
      <c r="E818" t="s">
        <v>329</v>
      </c>
      <c r="F818">
        <v>34</v>
      </c>
      <c r="G818" t="s">
        <v>24110</v>
      </c>
      <c r="H818" t="s">
        <v>24111</v>
      </c>
      <c r="I818" s="4" t="s">
        <v>24112</v>
      </c>
      <c r="J818" t="s">
        <v>71</v>
      </c>
      <c r="K818" t="s">
        <v>10782</v>
      </c>
      <c r="L818" t="s">
        <v>24113</v>
      </c>
    </row>
    <row r="819" spans="1:12" ht="129.6" x14ac:dyDescent="0.3">
      <c r="A819" s="4" t="s">
        <v>3578</v>
      </c>
      <c r="B819">
        <v>2</v>
      </c>
      <c r="C819">
        <v>3</v>
      </c>
      <c r="D819">
        <v>2020</v>
      </c>
      <c r="E819" t="s">
        <v>1570</v>
      </c>
      <c r="F819">
        <v>4</v>
      </c>
      <c r="G819" t="s">
        <v>24114</v>
      </c>
      <c r="H819" t="s">
        <v>24115</v>
      </c>
      <c r="I819" s="4" t="s">
        <v>24116</v>
      </c>
    </row>
    <row r="820" spans="1:12" ht="187.2" x14ac:dyDescent="0.3">
      <c r="A820" s="4" t="s">
        <v>3579</v>
      </c>
      <c r="B820">
        <v>2</v>
      </c>
      <c r="C820">
        <v>3</v>
      </c>
      <c r="D820">
        <v>2020</v>
      </c>
      <c r="E820" t="s">
        <v>1570</v>
      </c>
      <c r="F820">
        <v>3</v>
      </c>
      <c r="G820" t="s">
        <v>24217</v>
      </c>
      <c r="H820" t="s">
        <v>24218</v>
      </c>
      <c r="I820" s="4" t="s">
        <v>24219</v>
      </c>
      <c r="J820" t="s">
        <v>71</v>
      </c>
      <c r="K820" t="s">
        <v>10782</v>
      </c>
      <c r="L820" t="s">
        <v>24220</v>
      </c>
    </row>
    <row r="821" spans="1:12" ht="144" x14ac:dyDescent="0.3">
      <c r="A821" s="4" t="s">
        <v>3580</v>
      </c>
      <c r="B821">
        <v>2</v>
      </c>
      <c r="C821">
        <v>3</v>
      </c>
      <c r="D821">
        <v>2020</v>
      </c>
      <c r="E821" t="s">
        <v>1570</v>
      </c>
      <c r="F821">
        <v>3</v>
      </c>
      <c r="G821" t="s">
        <v>24221</v>
      </c>
      <c r="H821" t="s">
        <v>24222</v>
      </c>
      <c r="I821" s="4" t="s">
        <v>24223</v>
      </c>
    </row>
    <row r="822" spans="1:12" ht="172.8" x14ac:dyDescent="0.3">
      <c r="A822" s="4" t="s">
        <v>2777</v>
      </c>
      <c r="B822">
        <v>2</v>
      </c>
      <c r="C822">
        <v>1</v>
      </c>
      <c r="D822">
        <v>2020</v>
      </c>
      <c r="E822" t="s">
        <v>637</v>
      </c>
      <c r="F822">
        <v>10</v>
      </c>
      <c r="G822" t="s">
        <v>24438</v>
      </c>
      <c r="H822" t="s">
        <v>24439</v>
      </c>
      <c r="I822" s="4" t="s">
        <v>24440</v>
      </c>
      <c r="J822" t="s">
        <v>71</v>
      </c>
      <c r="K822" t="s">
        <v>10782</v>
      </c>
      <c r="L822" t="s">
        <v>24441</v>
      </c>
    </row>
    <row r="823" spans="1:12" ht="144" x14ac:dyDescent="0.3">
      <c r="A823" s="4" t="s">
        <v>3581</v>
      </c>
      <c r="B823">
        <v>2</v>
      </c>
      <c r="C823">
        <v>3</v>
      </c>
      <c r="D823">
        <v>2020</v>
      </c>
      <c r="E823" t="s">
        <v>432</v>
      </c>
      <c r="F823">
        <v>6</v>
      </c>
      <c r="G823" t="s">
        <v>24522</v>
      </c>
      <c r="H823" t="s">
        <v>24523</v>
      </c>
      <c r="I823" s="4" t="s">
        <v>24524</v>
      </c>
      <c r="J823" t="s">
        <v>71</v>
      </c>
      <c r="K823" t="s">
        <v>10782</v>
      </c>
      <c r="L823" t="s">
        <v>24525</v>
      </c>
    </row>
    <row r="824" spans="1:12" ht="115.2" x14ac:dyDescent="0.3">
      <c r="A824" s="4" t="s">
        <v>3582</v>
      </c>
      <c r="B824">
        <v>2</v>
      </c>
      <c r="C824">
        <v>3</v>
      </c>
      <c r="D824">
        <v>2020</v>
      </c>
      <c r="E824" t="s">
        <v>14285</v>
      </c>
      <c r="F824">
        <v>21</v>
      </c>
      <c r="G824" t="s">
        <v>24570</v>
      </c>
      <c r="H824" t="s">
        <v>24571</v>
      </c>
      <c r="I824" s="4" t="s">
        <v>24572</v>
      </c>
      <c r="J824" t="s">
        <v>71</v>
      </c>
      <c r="K824" t="s">
        <v>10782</v>
      </c>
      <c r="L824" t="s">
        <v>24573</v>
      </c>
    </row>
    <row r="825" spans="1:12" ht="187.2" x14ac:dyDescent="0.3">
      <c r="A825" s="4" t="s">
        <v>3583</v>
      </c>
      <c r="B825">
        <v>2</v>
      </c>
      <c r="C825">
        <v>3</v>
      </c>
      <c r="D825">
        <v>2020</v>
      </c>
      <c r="E825" t="s">
        <v>24577</v>
      </c>
      <c r="F825">
        <v>2</v>
      </c>
      <c r="G825" t="s">
        <v>24578</v>
      </c>
      <c r="H825" t="s">
        <v>24579</v>
      </c>
      <c r="I825" s="4" t="s">
        <v>24580</v>
      </c>
      <c r="J825" t="s">
        <v>71</v>
      </c>
      <c r="K825" t="s">
        <v>10782</v>
      </c>
      <c r="L825" t="s">
        <v>24581</v>
      </c>
    </row>
    <row r="826" spans="1:12" ht="158.4" x14ac:dyDescent="0.3">
      <c r="A826" s="4" t="s">
        <v>2778</v>
      </c>
      <c r="B826">
        <v>2</v>
      </c>
      <c r="C826">
        <v>1</v>
      </c>
      <c r="D826">
        <v>2019</v>
      </c>
      <c r="E826" t="s">
        <v>2853</v>
      </c>
      <c r="F826">
        <v>83</v>
      </c>
      <c r="G826" t="s">
        <v>24657</v>
      </c>
      <c r="H826" t="s">
        <v>24658</v>
      </c>
      <c r="I826" s="4" t="s">
        <v>24659</v>
      </c>
      <c r="J826" t="s">
        <v>71</v>
      </c>
      <c r="K826" t="s">
        <v>10782</v>
      </c>
      <c r="L826" t="s">
        <v>24660</v>
      </c>
    </row>
    <row r="827" spans="1:12" ht="201.6" x14ac:dyDescent="0.3">
      <c r="A827" s="4" t="s">
        <v>3584</v>
      </c>
      <c r="B827">
        <v>2</v>
      </c>
      <c r="C827">
        <v>3</v>
      </c>
      <c r="D827">
        <v>2019</v>
      </c>
      <c r="E827" t="s">
        <v>704</v>
      </c>
      <c r="F827">
        <v>59</v>
      </c>
      <c r="G827" t="s">
        <v>24665</v>
      </c>
      <c r="H827" t="s">
        <v>24666</v>
      </c>
      <c r="I827" s="4" t="s">
        <v>24667</v>
      </c>
      <c r="J827" t="s">
        <v>71</v>
      </c>
      <c r="K827" t="s">
        <v>10782</v>
      </c>
      <c r="L827" t="s">
        <v>24668</v>
      </c>
    </row>
    <row r="828" spans="1:12" ht="187.2" x14ac:dyDescent="0.3">
      <c r="A828" s="4" t="s">
        <v>3585</v>
      </c>
      <c r="B828">
        <v>2</v>
      </c>
      <c r="C828">
        <v>3</v>
      </c>
      <c r="D828">
        <v>2019</v>
      </c>
      <c r="E828" t="s">
        <v>1412</v>
      </c>
      <c r="F828">
        <v>28</v>
      </c>
      <c r="G828" t="s">
        <v>24681</v>
      </c>
      <c r="H828" t="s">
        <v>24682</v>
      </c>
      <c r="I828" s="4" t="s">
        <v>24683</v>
      </c>
      <c r="J828" t="s">
        <v>71</v>
      </c>
      <c r="K828" t="s">
        <v>10782</v>
      </c>
      <c r="L828" t="s">
        <v>24684</v>
      </c>
    </row>
    <row r="829" spans="1:12" ht="158.4" x14ac:dyDescent="0.3">
      <c r="A829" s="4" t="s">
        <v>2779</v>
      </c>
      <c r="B829">
        <v>2</v>
      </c>
      <c r="C829">
        <v>1</v>
      </c>
      <c r="D829">
        <v>2019</v>
      </c>
      <c r="E829" t="s">
        <v>2859</v>
      </c>
      <c r="F829">
        <v>60</v>
      </c>
      <c r="G829" t="s">
        <v>24821</v>
      </c>
      <c r="H829" t="s">
        <v>24822</v>
      </c>
      <c r="I829" s="4" t="s">
        <v>24823</v>
      </c>
      <c r="J829" t="s">
        <v>71</v>
      </c>
      <c r="K829" t="s">
        <v>10782</v>
      </c>
      <c r="L829" t="s">
        <v>24824</v>
      </c>
    </row>
    <row r="830" spans="1:12" ht="201.6" x14ac:dyDescent="0.3">
      <c r="A830" s="4" t="s">
        <v>2781</v>
      </c>
      <c r="B830">
        <v>2</v>
      </c>
      <c r="C830">
        <v>1</v>
      </c>
      <c r="D830">
        <v>2019</v>
      </c>
      <c r="E830" t="s">
        <v>2819</v>
      </c>
      <c r="F830">
        <v>10</v>
      </c>
      <c r="G830" t="s">
        <v>25144</v>
      </c>
      <c r="H830" t="s">
        <v>25145</v>
      </c>
      <c r="I830" s="4" t="s">
        <v>25146</v>
      </c>
      <c r="J830" t="s">
        <v>71</v>
      </c>
      <c r="K830" t="s">
        <v>10782</v>
      </c>
      <c r="L830" t="s">
        <v>25147</v>
      </c>
    </row>
    <row r="831" spans="1:12" ht="201.6" x14ac:dyDescent="0.3">
      <c r="A831" s="4" t="s">
        <v>2782</v>
      </c>
      <c r="B831">
        <v>2</v>
      </c>
      <c r="C831">
        <v>1</v>
      </c>
      <c r="D831">
        <v>2019</v>
      </c>
      <c r="E831" t="s">
        <v>329</v>
      </c>
      <c r="F831">
        <v>13</v>
      </c>
      <c r="G831" t="s">
        <v>25269</v>
      </c>
      <c r="H831" t="s">
        <v>25270</v>
      </c>
      <c r="I831" s="4" t="s">
        <v>25271</v>
      </c>
      <c r="J831" t="s">
        <v>71</v>
      </c>
      <c r="K831" t="s">
        <v>10782</v>
      </c>
      <c r="L831" t="s">
        <v>25272</v>
      </c>
    </row>
    <row r="832" spans="1:12" ht="57.6" x14ac:dyDescent="0.3">
      <c r="A832" s="4" t="s">
        <v>3586</v>
      </c>
      <c r="B832">
        <v>2</v>
      </c>
      <c r="C832">
        <v>3</v>
      </c>
      <c r="D832">
        <v>2019</v>
      </c>
      <c r="E832" t="s">
        <v>550</v>
      </c>
      <c r="F832">
        <v>6</v>
      </c>
      <c r="G832" t="s">
        <v>25350</v>
      </c>
      <c r="H832" t="s">
        <v>25351</v>
      </c>
      <c r="I832" s="4" t="s">
        <v>25352</v>
      </c>
      <c r="J832" t="s">
        <v>71</v>
      </c>
      <c r="K832" t="s">
        <v>10782</v>
      </c>
      <c r="L832" t="s">
        <v>25353</v>
      </c>
    </row>
    <row r="833" spans="1:12" ht="115.2" x14ac:dyDescent="0.3">
      <c r="A833" s="4" t="s">
        <v>3587</v>
      </c>
      <c r="B833">
        <v>2</v>
      </c>
      <c r="C833">
        <v>2</v>
      </c>
      <c r="D833">
        <v>2019</v>
      </c>
      <c r="E833" t="s">
        <v>1570</v>
      </c>
      <c r="F833">
        <v>4</v>
      </c>
      <c r="G833" t="s">
        <v>25354</v>
      </c>
      <c r="H833" t="s">
        <v>25355</v>
      </c>
      <c r="I833" s="4" t="s">
        <v>25356</v>
      </c>
      <c r="J833" t="s">
        <v>71</v>
      </c>
      <c r="K833" t="s">
        <v>10782</v>
      </c>
      <c r="L833" t="s">
        <v>25357</v>
      </c>
    </row>
    <row r="834" spans="1:12" ht="158.4" x14ac:dyDescent="0.3">
      <c r="A834" s="4" t="s">
        <v>3588</v>
      </c>
      <c r="B834">
        <v>2</v>
      </c>
      <c r="C834">
        <v>3</v>
      </c>
      <c r="D834">
        <v>2019</v>
      </c>
      <c r="E834" t="s">
        <v>177</v>
      </c>
      <c r="F834">
        <v>1</v>
      </c>
      <c r="G834" t="s">
        <v>25414</v>
      </c>
      <c r="H834" t="s">
        <v>25415</v>
      </c>
      <c r="I834" s="4" t="s">
        <v>25416</v>
      </c>
      <c r="J834" t="s">
        <v>71</v>
      </c>
      <c r="K834" t="s">
        <v>10782</v>
      </c>
      <c r="L834" t="s">
        <v>25417</v>
      </c>
    </row>
    <row r="835" spans="1:12" ht="244.8" x14ac:dyDescent="0.3">
      <c r="A835" s="4" t="s">
        <v>2783</v>
      </c>
      <c r="B835">
        <v>2</v>
      </c>
      <c r="C835">
        <v>1</v>
      </c>
      <c r="D835">
        <v>2019</v>
      </c>
      <c r="E835" t="s">
        <v>177</v>
      </c>
      <c r="F835">
        <v>65</v>
      </c>
      <c r="G835" t="s">
        <v>25438</v>
      </c>
      <c r="H835" t="s">
        <v>25439</v>
      </c>
      <c r="I835" s="4" t="s">
        <v>25440</v>
      </c>
      <c r="J835" t="s">
        <v>71</v>
      </c>
      <c r="K835" t="s">
        <v>10782</v>
      </c>
      <c r="L835" t="s">
        <v>25441</v>
      </c>
    </row>
    <row r="836" spans="1:12" ht="244.8" x14ac:dyDescent="0.3">
      <c r="A836" s="4" t="s">
        <v>2784</v>
      </c>
      <c r="B836">
        <v>2</v>
      </c>
      <c r="C836">
        <v>1</v>
      </c>
      <c r="D836">
        <v>2019</v>
      </c>
      <c r="E836" t="s">
        <v>2886</v>
      </c>
      <c r="F836">
        <v>41</v>
      </c>
      <c r="G836" t="s">
        <v>26018</v>
      </c>
      <c r="H836" t="s">
        <v>26019</v>
      </c>
      <c r="I836" s="4" t="s">
        <v>26020</v>
      </c>
      <c r="J836" t="s">
        <v>71</v>
      </c>
      <c r="K836" t="s">
        <v>10782</v>
      </c>
      <c r="L836" t="s">
        <v>26021</v>
      </c>
    </row>
    <row r="837" spans="1:12" ht="201.6" x14ac:dyDescent="0.3">
      <c r="A837" s="4" t="s">
        <v>2786</v>
      </c>
      <c r="B837">
        <v>2</v>
      </c>
      <c r="C837">
        <v>1</v>
      </c>
      <c r="D837">
        <v>2019</v>
      </c>
      <c r="E837" t="s">
        <v>2893</v>
      </c>
      <c r="F837">
        <v>50</v>
      </c>
      <c r="G837" t="s">
        <v>26176</v>
      </c>
      <c r="H837" t="s">
        <v>26177</v>
      </c>
      <c r="I837" s="4" t="s">
        <v>26178</v>
      </c>
      <c r="J837" t="s">
        <v>71</v>
      </c>
      <c r="K837" t="s">
        <v>10782</v>
      </c>
      <c r="L837" t="s">
        <v>26179</v>
      </c>
    </row>
    <row r="838" spans="1:12" ht="115.2" x14ac:dyDescent="0.3">
      <c r="A838" s="4" t="s">
        <v>3589</v>
      </c>
      <c r="B838">
        <v>2</v>
      </c>
      <c r="C838">
        <v>3</v>
      </c>
      <c r="D838">
        <v>2019</v>
      </c>
      <c r="E838" t="s">
        <v>16928</v>
      </c>
      <c r="F838">
        <v>0</v>
      </c>
      <c r="G838" t="s">
        <v>26527</v>
      </c>
      <c r="H838" t="s">
        <v>26528</v>
      </c>
      <c r="I838" s="4" t="s">
        <v>26529</v>
      </c>
      <c r="J838" t="s">
        <v>71</v>
      </c>
      <c r="K838" t="s">
        <v>10782</v>
      </c>
      <c r="L838" t="s">
        <v>26530</v>
      </c>
    </row>
    <row r="839" spans="1:12" ht="187.2" x14ac:dyDescent="0.3">
      <c r="A839" s="4" t="s">
        <v>3590</v>
      </c>
      <c r="B839">
        <v>2</v>
      </c>
      <c r="C839">
        <v>3</v>
      </c>
      <c r="D839">
        <v>2019</v>
      </c>
      <c r="E839" t="s">
        <v>10825</v>
      </c>
      <c r="F839">
        <v>30</v>
      </c>
      <c r="G839" t="s">
        <v>26677</v>
      </c>
      <c r="H839" t="s">
        <v>26678</v>
      </c>
      <c r="I839" s="4" t="s">
        <v>26679</v>
      </c>
      <c r="J839" t="s">
        <v>71</v>
      </c>
      <c r="K839" t="s">
        <v>10782</v>
      </c>
      <c r="L839" t="s">
        <v>26680</v>
      </c>
    </row>
    <row r="840" spans="1:12" ht="216" x14ac:dyDescent="0.3">
      <c r="A840" s="4" t="s">
        <v>3591</v>
      </c>
      <c r="B840">
        <v>2</v>
      </c>
      <c r="C840">
        <v>3</v>
      </c>
      <c r="D840">
        <v>2018</v>
      </c>
      <c r="E840" t="s">
        <v>217</v>
      </c>
      <c r="F840">
        <v>19</v>
      </c>
      <c r="G840" t="s">
        <v>26751</v>
      </c>
      <c r="H840" t="s">
        <v>26752</v>
      </c>
      <c r="I840" s="4" t="s">
        <v>26753</v>
      </c>
      <c r="J840" t="s">
        <v>71</v>
      </c>
      <c r="K840" t="s">
        <v>10782</v>
      </c>
      <c r="L840" t="s">
        <v>26754</v>
      </c>
    </row>
    <row r="841" spans="1:12" ht="144" x14ac:dyDescent="0.3">
      <c r="A841" s="4" t="s">
        <v>2788</v>
      </c>
      <c r="B841">
        <v>2</v>
      </c>
      <c r="C841">
        <v>1</v>
      </c>
      <c r="D841">
        <v>2018</v>
      </c>
      <c r="E841" t="s">
        <v>1802</v>
      </c>
      <c r="F841">
        <v>0</v>
      </c>
      <c r="G841" t="s">
        <v>26763</v>
      </c>
      <c r="H841" t="s">
        <v>26764</v>
      </c>
      <c r="I841" s="4" t="s">
        <v>26765</v>
      </c>
      <c r="J841" t="s">
        <v>71</v>
      </c>
      <c r="K841" t="s">
        <v>10782</v>
      </c>
      <c r="L841" t="s">
        <v>26766</v>
      </c>
    </row>
    <row r="842" spans="1:12" ht="158.4" x14ac:dyDescent="0.3">
      <c r="A842" s="4" t="s">
        <v>3592</v>
      </c>
      <c r="B842">
        <v>2</v>
      </c>
      <c r="C842">
        <v>3</v>
      </c>
      <c r="D842">
        <v>2018</v>
      </c>
      <c r="E842" t="s">
        <v>1525</v>
      </c>
      <c r="F842">
        <v>6</v>
      </c>
      <c r="G842" t="s">
        <v>26789</v>
      </c>
      <c r="H842" t="s">
        <v>26790</v>
      </c>
      <c r="I842" s="4" t="s">
        <v>26791</v>
      </c>
      <c r="J842" t="s">
        <v>71</v>
      </c>
      <c r="K842" t="s">
        <v>10782</v>
      </c>
      <c r="L842" t="s">
        <v>26792</v>
      </c>
    </row>
    <row r="843" spans="1:12" ht="144" x14ac:dyDescent="0.3">
      <c r="A843" s="4" t="s">
        <v>2789</v>
      </c>
      <c r="B843">
        <v>2</v>
      </c>
      <c r="C843">
        <v>1</v>
      </c>
      <c r="D843">
        <v>2018</v>
      </c>
      <c r="E843" t="s">
        <v>2819</v>
      </c>
      <c r="F843">
        <v>12</v>
      </c>
      <c r="G843" t="s">
        <v>26801</v>
      </c>
      <c r="H843" t="s">
        <v>26802</v>
      </c>
      <c r="I843" s="4" t="s">
        <v>26803</v>
      </c>
      <c r="J843" t="s">
        <v>71</v>
      </c>
      <c r="K843" t="s">
        <v>10782</v>
      </c>
      <c r="L843" t="s">
        <v>26804</v>
      </c>
    </row>
    <row r="844" spans="1:12" ht="216" x14ac:dyDescent="0.3">
      <c r="A844" s="4" t="s">
        <v>3593</v>
      </c>
      <c r="B844">
        <v>2</v>
      </c>
      <c r="C844">
        <v>3</v>
      </c>
      <c r="D844">
        <v>2018</v>
      </c>
      <c r="E844" t="s">
        <v>1570</v>
      </c>
      <c r="F844">
        <v>28</v>
      </c>
      <c r="G844" t="s">
        <v>26868</v>
      </c>
      <c r="H844" t="s">
        <v>26869</v>
      </c>
      <c r="I844" s="4" t="s">
        <v>26870</v>
      </c>
      <c r="J844" t="s">
        <v>71</v>
      </c>
      <c r="K844" t="s">
        <v>10782</v>
      </c>
      <c r="L844" t="s">
        <v>26871</v>
      </c>
    </row>
    <row r="845" spans="1:12" ht="144" x14ac:dyDescent="0.3">
      <c r="A845" s="4" t="s">
        <v>3594</v>
      </c>
      <c r="B845">
        <v>2</v>
      </c>
      <c r="C845">
        <v>3</v>
      </c>
      <c r="D845">
        <v>2018</v>
      </c>
      <c r="E845" t="s">
        <v>277</v>
      </c>
      <c r="F845">
        <v>14</v>
      </c>
      <c r="G845" t="s">
        <v>26983</v>
      </c>
      <c r="H845" t="s">
        <v>26984</v>
      </c>
      <c r="I845" s="4" t="s">
        <v>26985</v>
      </c>
      <c r="J845" t="s">
        <v>71</v>
      </c>
      <c r="K845" t="s">
        <v>10782</v>
      </c>
      <c r="L845" t="s">
        <v>26986</v>
      </c>
    </row>
    <row r="846" spans="1:12" ht="158.4" x14ac:dyDescent="0.3">
      <c r="A846" s="4" t="s">
        <v>2790</v>
      </c>
      <c r="B846">
        <v>2</v>
      </c>
      <c r="C846">
        <v>1</v>
      </c>
      <c r="D846">
        <v>2018</v>
      </c>
      <c r="E846" t="s">
        <v>1175</v>
      </c>
      <c r="F846">
        <v>163</v>
      </c>
      <c r="G846" t="s">
        <v>27019</v>
      </c>
      <c r="H846" t="s">
        <v>27020</v>
      </c>
      <c r="I846" s="4" t="s">
        <v>27021</v>
      </c>
      <c r="J846" t="s">
        <v>71</v>
      </c>
      <c r="K846" t="s">
        <v>10782</v>
      </c>
      <c r="L846" t="s">
        <v>27022</v>
      </c>
    </row>
    <row r="847" spans="1:12" ht="201.6" x14ac:dyDescent="0.3">
      <c r="A847" s="4" t="s">
        <v>3595</v>
      </c>
      <c r="B847">
        <v>2</v>
      </c>
      <c r="C847">
        <v>3</v>
      </c>
      <c r="D847">
        <v>2018</v>
      </c>
      <c r="E847" t="s">
        <v>11310</v>
      </c>
      <c r="F847">
        <v>15</v>
      </c>
      <c r="G847" t="s">
        <v>27035</v>
      </c>
      <c r="H847" t="s">
        <v>27036</v>
      </c>
      <c r="I847" s="4" t="s">
        <v>27037</v>
      </c>
      <c r="J847" t="s">
        <v>71</v>
      </c>
      <c r="K847" t="s">
        <v>10782</v>
      </c>
      <c r="L847" t="s">
        <v>27038</v>
      </c>
    </row>
    <row r="848" spans="1:12" ht="172.8" x14ac:dyDescent="0.3">
      <c r="A848" s="4" t="s">
        <v>2791</v>
      </c>
      <c r="B848">
        <v>2</v>
      </c>
      <c r="C848">
        <v>1</v>
      </c>
      <c r="D848">
        <v>2018</v>
      </c>
      <c r="E848" t="s">
        <v>2914</v>
      </c>
      <c r="F848">
        <v>21</v>
      </c>
      <c r="G848" t="s">
        <v>27097</v>
      </c>
      <c r="H848" t="s">
        <v>27098</v>
      </c>
      <c r="I848" s="4" t="s">
        <v>27099</v>
      </c>
      <c r="J848" t="s">
        <v>71</v>
      </c>
      <c r="K848" t="s">
        <v>10782</v>
      </c>
      <c r="L848" t="s">
        <v>27100</v>
      </c>
    </row>
    <row r="849" spans="1:12" ht="259.2" x14ac:dyDescent="0.3">
      <c r="A849" s="4" t="s">
        <v>3596</v>
      </c>
      <c r="B849">
        <v>2</v>
      </c>
      <c r="C849">
        <v>3</v>
      </c>
      <c r="D849">
        <v>2018</v>
      </c>
      <c r="E849" t="s">
        <v>11658</v>
      </c>
      <c r="F849">
        <v>33</v>
      </c>
      <c r="G849" t="s">
        <v>27146</v>
      </c>
      <c r="H849" t="s">
        <v>27147</v>
      </c>
      <c r="I849" s="4" t="s">
        <v>27148</v>
      </c>
      <c r="J849" t="s">
        <v>71</v>
      </c>
      <c r="K849" t="s">
        <v>10782</v>
      </c>
      <c r="L849" t="s">
        <v>27149</v>
      </c>
    </row>
    <row r="850" spans="1:12" ht="187.2" x14ac:dyDescent="0.3">
      <c r="A850" s="4" t="s">
        <v>2792</v>
      </c>
      <c r="B850">
        <v>2</v>
      </c>
      <c r="C850">
        <v>1</v>
      </c>
      <c r="D850">
        <v>2018</v>
      </c>
      <c r="E850" t="s">
        <v>329</v>
      </c>
      <c r="F850">
        <v>60</v>
      </c>
      <c r="G850" t="s">
        <v>27158</v>
      </c>
      <c r="H850" t="s">
        <v>27159</v>
      </c>
      <c r="I850" s="4" t="s">
        <v>27160</v>
      </c>
      <c r="J850" t="s">
        <v>71</v>
      </c>
      <c r="K850" t="s">
        <v>10782</v>
      </c>
      <c r="L850" t="s">
        <v>27161</v>
      </c>
    </row>
    <row r="851" spans="1:12" ht="129.6" x14ac:dyDescent="0.3">
      <c r="A851" s="4" t="s">
        <v>3597</v>
      </c>
      <c r="B851">
        <v>2</v>
      </c>
      <c r="C851">
        <v>3</v>
      </c>
      <c r="D851">
        <v>2018</v>
      </c>
      <c r="E851" t="s">
        <v>2819</v>
      </c>
      <c r="F851">
        <v>151</v>
      </c>
      <c r="G851" t="s">
        <v>27192</v>
      </c>
      <c r="H851" t="s">
        <v>27193</v>
      </c>
      <c r="I851" s="4" t="s">
        <v>27194</v>
      </c>
    </row>
    <row r="852" spans="1:12" ht="187.2" x14ac:dyDescent="0.3">
      <c r="A852" s="4" t="s">
        <v>2930</v>
      </c>
      <c r="B852">
        <v>2</v>
      </c>
      <c r="C852">
        <v>1</v>
      </c>
      <c r="D852">
        <v>2018</v>
      </c>
      <c r="E852" t="s">
        <v>1175</v>
      </c>
      <c r="F852">
        <v>137</v>
      </c>
      <c r="G852" t="s">
        <v>27240</v>
      </c>
      <c r="H852" t="s">
        <v>27241</v>
      </c>
      <c r="I852" s="4" t="s">
        <v>27242</v>
      </c>
    </row>
    <row r="853" spans="1:12" ht="216" x14ac:dyDescent="0.3">
      <c r="A853" s="4" t="s">
        <v>3598</v>
      </c>
      <c r="B853">
        <v>2</v>
      </c>
      <c r="C853">
        <v>3</v>
      </c>
      <c r="D853">
        <v>2018</v>
      </c>
      <c r="E853" t="s">
        <v>217</v>
      </c>
      <c r="F853">
        <v>17</v>
      </c>
      <c r="G853" t="s">
        <v>27304</v>
      </c>
      <c r="H853" t="s">
        <v>27305</v>
      </c>
      <c r="I853" s="4" t="s">
        <v>27306</v>
      </c>
      <c r="J853" t="s">
        <v>71</v>
      </c>
      <c r="K853" t="s">
        <v>10782</v>
      </c>
      <c r="L853" t="s">
        <v>27307</v>
      </c>
    </row>
    <row r="854" spans="1:12" ht="288" x14ac:dyDescent="0.3">
      <c r="A854" s="4" t="s">
        <v>3599</v>
      </c>
      <c r="B854">
        <v>2</v>
      </c>
      <c r="C854">
        <v>3</v>
      </c>
      <c r="D854">
        <v>2018</v>
      </c>
      <c r="E854" t="s">
        <v>12580</v>
      </c>
      <c r="F854">
        <v>47</v>
      </c>
      <c r="G854" t="s">
        <v>27454</v>
      </c>
      <c r="H854" t="s">
        <v>27455</v>
      </c>
      <c r="I854" s="4" t="s">
        <v>27456</v>
      </c>
      <c r="J854" t="s">
        <v>71</v>
      </c>
      <c r="K854" t="s">
        <v>10782</v>
      </c>
      <c r="L854" t="s">
        <v>27457</v>
      </c>
    </row>
    <row r="855" spans="1:12" ht="187.2" x14ac:dyDescent="0.3">
      <c r="A855" s="4" t="s">
        <v>3600</v>
      </c>
      <c r="B855">
        <v>2</v>
      </c>
      <c r="C855">
        <v>3</v>
      </c>
      <c r="D855">
        <v>2018</v>
      </c>
      <c r="E855" t="s">
        <v>217</v>
      </c>
      <c r="F855">
        <v>47</v>
      </c>
      <c r="G855" t="s">
        <v>27808</v>
      </c>
      <c r="H855" t="s">
        <v>27809</v>
      </c>
      <c r="I855" s="4" t="s">
        <v>27810</v>
      </c>
      <c r="J855" t="s">
        <v>71</v>
      </c>
      <c r="K855" t="s">
        <v>10782</v>
      </c>
      <c r="L855" t="s">
        <v>27811</v>
      </c>
    </row>
    <row r="856" spans="1:12" ht="259.2" x14ac:dyDescent="0.3">
      <c r="A856" s="4" t="s">
        <v>3601</v>
      </c>
      <c r="B856">
        <v>2</v>
      </c>
      <c r="C856">
        <v>3</v>
      </c>
      <c r="D856">
        <v>2018</v>
      </c>
      <c r="E856" t="s">
        <v>1849</v>
      </c>
      <c r="F856">
        <v>160</v>
      </c>
      <c r="G856" t="s">
        <v>27986</v>
      </c>
      <c r="H856" t="s">
        <v>27987</v>
      </c>
      <c r="I856" s="4" t="s">
        <v>27988</v>
      </c>
      <c r="J856" t="s">
        <v>71</v>
      </c>
      <c r="K856" t="s">
        <v>10782</v>
      </c>
      <c r="L856" t="s">
        <v>27989</v>
      </c>
    </row>
    <row r="857" spans="1:12" ht="172.8" x14ac:dyDescent="0.3">
      <c r="A857" s="4" t="s">
        <v>2931</v>
      </c>
      <c r="B857">
        <v>2</v>
      </c>
      <c r="C857">
        <v>1</v>
      </c>
      <c r="D857">
        <v>2018</v>
      </c>
      <c r="E857" t="s">
        <v>405</v>
      </c>
      <c r="F857">
        <v>71</v>
      </c>
      <c r="G857" t="s">
        <v>28010</v>
      </c>
      <c r="H857" t="s">
        <v>28011</v>
      </c>
      <c r="I857" s="4" t="s">
        <v>28012</v>
      </c>
      <c r="J857" t="s">
        <v>71</v>
      </c>
      <c r="K857" t="s">
        <v>10782</v>
      </c>
      <c r="L857" t="s">
        <v>28013</v>
      </c>
    </row>
    <row r="858" spans="1:12" ht="115.2" x14ac:dyDescent="0.3">
      <c r="A858" s="4" t="s">
        <v>3602</v>
      </c>
      <c r="B858">
        <v>2</v>
      </c>
      <c r="C858">
        <v>3</v>
      </c>
      <c r="D858">
        <v>2018</v>
      </c>
      <c r="E858" t="s">
        <v>13210</v>
      </c>
      <c r="F858">
        <v>133</v>
      </c>
      <c r="G858" t="s">
        <v>28029</v>
      </c>
      <c r="H858" t="s">
        <v>28030</v>
      </c>
      <c r="I858" s="4" t="s">
        <v>28031</v>
      </c>
      <c r="J858" t="s">
        <v>71</v>
      </c>
      <c r="K858" t="s">
        <v>10782</v>
      </c>
      <c r="L858" t="s">
        <v>28032</v>
      </c>
    </row>
    <row r="859" spans="1:12" ht="172.8" x14ac:dyDescent="0.3">
      <c r="A859" s="4" t="s">
        <v>3603</v>
      </c>
      <c r="B859">
        <v>2</v>
      </c>
      <c r="C859">
        <v>3</v>
      </c>
      <c r="D859">
        <v>2017</v>
      </c>
      <c r="E859" t="s">
        <v>217</v>
      </c>
      <c r="F859">
        <v>24</v>
      </c>
      <c r="G859" t="s">
        <v>28644</v>
      </c>
      <c r="H859" t="s">
        <v>28645</v>
      </c>
      <c r="I859" s="4" t="s">
        <v>28646</v>
      </c>
      <c r="J859" t="s">
        <v>71</v>
      </c>
      <c r="K859" t="s">
        <v>10782</v>
      </c>
      <c r="L859" t="s">
        <v>28647</v>
      </c>
    </row>
    <row r="860" spans="1:12" ht="72" x14ac:dyDescent="0.3">
      <c r="A860" s="4" t="s">
        <v>3604</v>
      </c>
      <c r="B860">
        <v>2</v>
      </c>
      <c r="C860">
        <v>3</v>
      </c>
      <c r="D860">
        <v>2017</v>
      </c>
      <c r="E860" t="s">
        <v>14517</v>
      </c>
      <c r="F860">
        <v>5</v>
      </c>
      <c r="G860" t="s">
        <v>28864</v>
      </c>
      <c r="H860" t="s">
        <v>28865</v>
      </c>
      <c r="I860" s="4" t="s">
        <v>28866</v>
      </c>
    </row>
    <row r="861" spans="1:12" ht="187.2" x14ac:dyDescent="0.3">
      <c r="A861" s="4" t="s">
        <v>3605</v>
      </c>
      <c r="B861">
        <v>2</v>
      </c>
      <c r="C861">
        <v>3</v>
      </c>
      <c r="D861">
        <v>2017</v>
      </c>
      <c r="E861" t="s">
        <v>80</v>
      </c>
      <c r="F861">
        <v>82</v>
      </c>
      <c r="G861" t="s">
        <v>29082</v>
      </c>
      <c r="H861" t="s">
        <v>29083</v>
      </c>
      <c r="I861" s="4" t="s">
        <v>29084</v>
      </c>
      <c r="J861" t="s">
        <v>71</v>
      </c>
      <c r="K861" t="s">
        <v>10782</v>
      </c>
      <c r="L861" t="s">
        <v>29085</v>
      </c>
    </row>
    <row r="862" spans="1:12" ht="216" x14ac:dyDescent="0.3">
      <c r="A862" s="4" t="s">
        <v>3606</v>
      </c>
      <c r="B862">
        <v>2</v>
      </c>
      <c r="C862">
        <v>3</v>
      </c>
      <c r="D862">
        <v>2017</v>
      </c>
      <c r="E862" t="s">
        <v>1175</v>
      </c>
      <c r="F862">
        <v>36</v>
      </c>
      <c r="G862" t="s">
        <v>29183</v>
      </c>
      <c r="H862" t="s">
        <v>29184</v>
      </c>
      <c r="I862" s="4" t="s">
        <v>29185</v>
      </c>
      <c r="J862" t="s">
        <v>71</v>
      </c>
      <c r="K862" t="s">
        <v>10782</v>
      </c>
      <c r="L862" t="s">
        <v>29186</v>
      </c>
    </row>
    <row r="863" spans="1:12" ht="129.6" x14ac:dyDescent="0.3">
      <c r="A863" s="4" t="s">
        <v>3607</v>
      </c>
      <c r="B863">
        <v>2</v>
      </c>
      <c r="C863">
        <v>3</v>
      </c>
      <c r="D863">
        <v>2017</v>
      </c>
      <c r="E863" t="s">
        <v>1426</v>
      </c>
      <c r="F863">
        <v>186</v>
      </c>
      <c r="G863" t="s">
        <v>29392</v>
      </c>
      <c r="H863" t="s">
        <v>29393</v>
      </c>
      <c r="I863" s="4" t="s">
        <v>29394</v>
      </c>
      <c r="J863" t="s">
        <v>71</v>
      </c>
      <c r="K863" t="s">
        <v>10782</v>
      </c>
      <c r="L863" t="s">
        <v>29395</v>
      </c>
    </row>
    <row r="864" spans="1:12" ht="172.8" x14ac:dyDescent="0.3">
      <c r="A864" s="4" t="s">
        <v>2933</v>
      </c>
      <c r="B864">
        <v>2</v>
      </c>
      <c r="C864">
        <v>1</v>
      </c>
      <c r="D864">
        <v>2017</v>
      </c>
      <c r="E864" t="s">
        <v>217</v>
      </c>
      <c r="F864">
        <v>9</v>
      </c>
      <c r="G864" t="s">
        <v>29396</v>
      </c>
      <c r="H864" t="s">
        <v>29397</v>
      </c>
      <c r="I864" s="4" t="s">
        <v>29398</v>
      </c>
      <c r="J864" t="s">
        <v>71</v>
      </c>
      <c r="K864" t="s">
        <v>10782</v>
      </c>
      <c r="L864" t="s">
        <v>29399</v>
      </c>
    </row>
    <row r="865" spans="1:12" ht="129.6" x14ac:dyDescent="0.3">
      <c r="A865" s="4" t="s">
        <v>3608</v>
      </c>
      <c r="B865">
        <v>2</v>
      </c>
      <c r="C865">
        <v>3</v>
      </c>
      <c r="D865">
        <v>2017</v>
      </c>
      <c r="E865" t="s">
        <v>10072</v>
      </c>
      <c r="F865">
        <v>43</v>
      </c>
      <c r="G865" t="s">
        <v>29962</v>
      </c>
      <c r="H865" t="s">
        <v>29963</v>
      </c>
      <c r="I865" s="4" t="s">
        <v>29964</v>
      </c>
      <c r="J865" t="s">
        <v>71</v>
      </c>
      <c r="K865" t="s">
        <v>10782</v>
      </c>
      <c r="L865" t="s">
        <v>29965</v>
      </c>
    </row>
    <row r="866" spans="1:12" ht="187.2" x14ac:dyDescent="0.3">
      <c r="A866" s="4" t="s">
        <v>2934</v>
      </c>
      <c r="B866">
        <v>2</v>
      </c>
      <c r="C866">
        <v>1</v>
      </c>
      <c r="D866">
        <v>2016</v>
      </c>
      <c r="E866" t="s">
        <v>217</v>
      </c>
      <c r="F866">
        <v>19</v>
      </c>
      <c r="G866" t="s">
        <v>30439</v>
      </c>
      <c r="H866" t="s">
        <v>30440</v>
      </c>
      <c r="I866" s="4" t="s">
        <v>30441</v>
      </c>
      <c r="J866" t="s">
        <v>71</v>
      </c>
      <c r="K866" t="s">
        <v>10782</v>
      </c>
      <c r="L866" t="s">
        <v>30442</v>
      </c>
    </row>
    <row r="867" spans="1:12" ht="187.2" x14ac:dyDescent="0.3">
      <c r="A867" s="4" t="s">
        <v>3609</v>
      </c>
      <c r="B867">
        <v>2</v>
      </c>
      <c r="C867">
        <v>3</v>
      </c>
      <c r="D867">
        <v>2016</v>
      </c>
      <c r="E867" t="s">
        <v>1570</v>
      </c>
      <c r="F867">
        <v>47</v>
      </c>
      <c r="G867" t="s">
        <v>30506</v>
      </c>
      <c r="H867" t="s">
        <v>30507</v>
      </c>
      <c r="I867" s="4" t="s">
        <v>30508</v>
      </c>
      <c r="J867" t="s">
        <v>71</v>
      </c>
      <c r="K867" t="s">
        <v>10782</v>
      </c>
      <c r="L867" t="s">
        <v>30509</v>
      </c>
    </row>
    <row r="868" spans="1:12" ht="187.2" x14ac:dyDescent="0.3">
      <c r="A868" s="4" t="s">
        <v>2935</v>
      </c>
      <c r="B868">
        <v>2</v>
      </c>
      <c r="C868">
        <v>1</v>
      </c>
      <c r="D868">
        <v>2016</v>
      </c>
      <c r="E868" t="s">
        <v>799</v>
      </c>
      <c r="F868">
        <v>95</v>
      </c>
      <c r="G868" t="s">
        <v>30573</v>
      </c>
      <c r="H868" t="s">
        <v>30574</v>
      </c>
      <c r="I868" s="4" t="s">
        <v>30575</v>
      </c>
      <c r="J868" t="s">
        <v>71</v>
      </c>
      <c r="K868" t="s">
        <v>10782</v>
      </c>
      <c r="L868" t="s">
        <v>30576</v>
      </c>
    </row>
    <row r="869" spans="1:12" ht="129.6" x14ac:dyDescent="0.3">
      <c r="A869" s="4" t="s">
        <v>3610</v>
      </c>
      <c r="B869">
        <v>2</v>
      </c>
      <c r="C869">
        <v>3</v>
      </c>
      <c r="D869">
        <v>2016</v>
      </c>
      <c r="E869" t="s">
        <v>1426</v>
      </c>
      <c r="F869">
        <v>91</v>
      </c>
      <c r="G869" t="s">
        <v>30597</v>
      </c>
      <c r="H869" t="s">
        <v>30598</v>
      </c>
      <c r="I869" s="4" t="s">
        <v>30599</v>
      </c>
      <c r="J869" t="s">
        <v>71</v>
      </c>
      <c r="K869" t="s">
        <v>10782</v>
      </c>
      <c r="L869" t="s">
        <v>30600</v>
      </c>
    </row>
    <row r="870" spans="1:12" ht="187.2" x14ac:dyDescent="0.3">
      <c r="A870" s="4" t="s">
        <v>3611</v>
      </c>
      <c r="B870">
        <v>2</v>
      </c>
      <c r="C870">
        <v>3</v>
      </c>
      <c r="D870">
        <v>2016</v>
      </c>
      <c r="E870" t="s">
        <v>2375</v>
      </c>
      <c r="F870">
        <v>16</v>
      </c>
      <c r="G870" t="s">
        <v>30921</v>
      </c>
      <c r="H870" t="s">
        <v>30922</v>
      </c>
      <c r="I870" s="4" t="s">
        <v>30923</v>
      </c>
      <c r="J870" t="s">
        <v>71</v>
      </c>
      <c r="K870" t="s">
        <v>10782</v>
      </c>
      <c r="L870" t="s">
        <v>30924</v>
      </c>
    </row>
    <row r="871" spans="1:12" ht="187.2" x14ac:dyDescent="0.3">
      <c r="A871" s="4" t="s">
        <v>3612</v>
      </c>
      <c r="B871">
        <v>2</v>
      </c>
      <c r="C871">
        <v>3</v>
      </c>
      <c r="D871">
        <v>2016</v>
      </c>
      <c r="E871" t="s">
        <v>405</v>
      </c>
      <c r="F871">
        <v>90</v>
      </c>
      <c r="G871" t="s">
        <v>31019</v>
      </c>
      <c r="H871" t="s">
        <v>31020</v>
      </c>
      <c r="I871" s="4" t="s">
        <v>31021</v>
      </c>
      <c r="J871" t="s">
        <v>71</v>
      </c>
      <c r="K871" t="s">
        <v>10782</v>
      </c>
      <c r="L871" t="s">
        <v>31022</v>
      </c>
    </row>
    <row r="872" spans="1:12" ht="144" x14ac:dyDescent="0.3">
      <c r="A872" s="4" t="s">
        <v>3613</v>
      </c>
      <c r="B872">
        <v>2</v>
      </c>
      <c r="C872">
        <v>3</v>
      </c>
      <c r="D872">
        <v>2016</v>
      </c>
      <c r="E872" t="s">
        <v>21322</v>
      </c>
      <c r="F872">
        <v>73</v>
      </c>
      <c r="G872" t="s">
        <v>31420</v>
      </c>
      <c r="H872" t="s">
        <v>31421</v>
      </c>
      <c r="I872" s="4" t="s">
        <v>31422</v>
      </c>
      <c r="J872" t="s">
        <v>71</v>
      </c>
      <c r="K872" t="s">
        <v>10782</v>
      </c>
      <c r="L872" t="s">
        <v>31423</v>
      </c>
    </row>
    <row r="873" spans="1:12" ht="172.8" x14ac:dyDescent="0.3">
      <c r="A873" s="4" t="s">
        <v>3614</v>
      </c>
      <c r="B873">
        <v>2</v>
      </c>
      <c r="C873">
        <v>3</v>
      </c>
      <c r="D873">
        <v>2015</v>
      </c>
      <c r="E873" t="s">
        <v>217</v>
      </c>
      <c r="F873">
        <v>9</v>
      </c>
      <c r="G873" t="s">
        <v>31666</v>
      </c>
      <c r="H873" t="s">
        <v>31667</v>
      </c>
      <c r="I873" s="4" t="s">
        <v>31668</v>
      </c>
      <c r="J873" t="s">
        <v>71</v>
      </c>
      <c r="K873" t="s">
        <v>10782</v>
      </c>
      <c r="L873" t="s">
        <v>31669</v>
      </c>
    </row>
    <row r="874" spans="1:12" ht="129.6" x14ac:dyDescent="0.3">
      <c r="A874" s="4" t="s">
        <v>2936</v>
      </c>
      <c r="B874">
        <v>2</v>
      </c>
      <c r="C874">
        <v>1</v>
      </c>
      <c r="D874">
        <v>2015</v>
      </c>
      <c r="E874" t="s">
        <v>190</v>
      </c>
      <c r="F874">
        <v>55</v>
      </c>
      <c r="G874" t="s">
        <v>31711</v>
      </c>
      <c r="H874" t="s">
        <v>31712</v>
      </c>
      <c r="I874" s="4" t="s">
        <v>31713</v>
      </c>
      <c r="J874" t="s">
        <v>71</v>
      </c>
      <c r="K874" t="s">
        <v>10782</v>
      </c>
      <c r="L874" t="s">
        <v>31714</v>
      </c>
    </row>
    <row r="875" spans="1:12" ht="172.8" x14ac:dyDescent="0.3">
      <c r="A875" s="4" t="s">
        <v>3615</v>
      </c>
      <c r="B875">
        <v>2</v>
      </c>
      <c r="C875">
        <v>3</v>
      </c>
      <c r="D875">
        <v>2015</v>
      </c>
      <c r="E875" t="s">
        <v>83</v>
      </c>
      <c r="F875">
        <v>21</v>
      </c>
      <c r="G875" t="s">
        <v>31759</v>
      </c>
      <c r="H875" t="s">
        <v>31760</v>
      </c>
      <c r="I875" s="4" t="s">
        <v>31761</v>
      </c>
      <c r="J875" t="s">
        <v>71</v>
      </c>
      <c r="K875" t="s">
        <v>10782</v>
      </c>
      <c r="L875" t="s">
        <v>31762</v>
      </c>
    </row>
    <row r="876" spans="1:12" ht="144" x14ac:dyDescent="0.3">
      <c r="A876" s="4" t="s">
        <v>3616</v>
      </c>
      <c r="B876">
        <v>2</v>
      </c>
      <c r="C876">
        <v>3</v>
      </c>
      <c r="D876">
        <v>2015</v>
      </c>
      <c r="E876" t="s">
        <v>2886</v>
      </c>
      <c r="F876">
        <v>17</v>
      </c>
      <c r="G876" t="s">
        <v>31795</v>
      </c>
      <c r="H876" t="s">
        <v>31796</v>
      </c>
      <c r="I876" s="4" t="s">
        <v>31797</v>
      </c>
      <c r="J876" t="s">
        <v>71</v>
      </c>
      <c r="K876" t="s">
        <v>10782</v>
      </c>
      <c r="L876" t="s">
        <v>31798</v>
      </c>
    </row>
    <row r="877" spans="1:12" ht="172.8" x14ac:dyDescent="0.3">
      <c r="A877" s="4" t="s">
        <v>3617</v>
      </c>
      <c r="B877">
        <v>2</v>
      </c>
      <c r="C877">
        <v>3</v>
      </c>
      <c r="D877">
        <v>2015</v>
      </c>
      <c r="E877" t="s">
        <v>13914</v>
      </c>
      <c r="F877">
        <v>48</v>
      </c>
      <c r="G877" t="s">
        <v>31840</v>
      </c>
      <c r="H877" t="s">
        <v>31841</v>
      </c>
      <c r="I877" s="4" t="s">
        <v>31842</v>
      </c>
      <c r="J877" t="s">
        <v>71</v>
      </c>
      <c r="K877" t="s">
        <v>10782</v>
      </c>
      <c r="L877" t="s">
        <v>31843</v>
      </c>
    </row>
    <row r="878" spans="1:12" ht="172.8" x14ac:dyDescent="0.3">
      <c r="A878" s="4" t="s">
        <v>3618</v>
      </c>
      <c r="B878">
        <v>2</v>
      </c>
      <c r="C878">
        <v>3</v>
      </c>
      <c r="D878">
        <v>2015</v>
      </c>
      <c r="E878" t="s">
        <v>385</v>
      </c>
      <c r="F878">
        <v>161</v>
      </c>
      <c r="G878" t="s">
        <v>31860</v>
      </c>
      <c r="H878" t="s">
        <v>31861</v>
      </c>
      <c r="I878" s="4" t="s">
        <v>31862</v>
      </c>
      <c r="J878" t="s">
        <v>71</v>
      </c>
      <c r="K878" t="s">
        <v>10782</v>
      </c>
      <c r="L878" t="s">
        <v>31863</v>
      </c>
    </row>
    <row r="879" spans="1:12" ht="172.8" x14ac:dyDescent="0.3">
      <c r="A879" s="4" t="s">
        <v>3619</v>
      </c>
      <c r="B879">
        <v>2</v>
      </c>
      <c r="C879">
        <v>3</v>
      </c>
      <c r="D879">
        <v>2015</v>
      </c>
      <c r="E879" t="s">
        <v>10805</v>
      </c>
      <c r="F879">
        <v>77</v>
      </c>
      <c r="G879" t="s">
        <v>31923</v>
      </c>
      <c r="H879" t="s">
        <v>31924</v>
      </c>
      <c r="I879" s="4" t="s">
        <v>31925</v>
      </c>
      <c r="J879" t="s">
        <v>71</v>
      </c>
      <c r="K879" t="s">
        <v>10782</v>
      </c>
      <c r="L879" t="s">
        <v>31926</v>
      </c>
    </row>
    <row r="880" spans="1:12" ht="187.2" x14ac:dyDescent="0.3">
      <c r="A880" s="4" t="s">
        <v>3620</v>
      </c>
      <c r="B880">
        <v>2</v>
      </c>
      <c r="C880">
        <v>3</v>
      </c>
      <c r="D880">
        <v>2015</v>
      </c>
      <c r="E880" t="s">
        <v>217</v>
      </c>
      <c r="F880">
        <v>68</v>
      </c>
      <c r="G880" t="s">
        <v>31970</v>
      </c>
      <c r="H880" t="s">
        <v>31971</v>
      </c>
      <c r="I880" s="4" t="s">
        <v>31972</v>
      </c>
      <c r="J880" t="s">
        <v>71</v>
      </c>
      <c r="K880" t="s">
        <v>10782</v>
      </c>
      <c r="L880" t="s">
        <v>31973</v>
      </c>
    </row>
    <row r="881" spans="1:12" ht="172.8" x14ac:dyDescent="0.3">
      <c r="A881" s="4" t="s">
        <v>3621</v>
      </c>
      <c r="B881">
        <v>2</v>
      </c>
      <c r="C881">
        <v>3</v>
      </c>
      <c r="D881">
        <v>2015</v>
      </c>
      <c r="E881" t="s">
        <v>2853</v>
      </c>
      <c r="F881">
        <v>39</v>
      </c>
      <c r="G881" t="s">
        <v>32011</v>
      </c>
      <c r="H881" t="s">
        <v>32012</v>
      </c>
      <c r="I881" s="4" t="s">
        <v>32013</v>
      </c>
      <c r="J881" t="s">
        <v>71</v>
      </c>
      <c r="K881" t="s">
        <v>10782</v>
      </c>
      <c r="L881" t="s">
        <v>32014</v>
      </c>
    </row>
    <row r="882" spans="1:12" ht="201.6" x14ac:dyDescent="0.3">
      <c r="A882" s="4" t="s">
        <v>3622</v>
      </c>
      <c r="B882">
        <v>2</v>
      </c>
      <c r="C882">
        <v>3</v>
      </c>
      <c r="D882">
        <v>2015</v>
      </c>
      <c r="E882" t="s">
        <v>799</v>
      </c>
      <c r="F882">
        <v>128</v>
      </c>
      <c r="G882" t="s">
        <v>32041</v>
      </c>
      <c r="H882" t="s">
        <v>32042</v>
      </c>
      <c r="I882" s="4" t="s">
        <v>32043</v>
      </c>
      <c r="J882" t="s">
        <v>71</v>
      </c>
      <c r="K882" t="s">
        <v>10782</v>
      </c>
      <c r="L882" t="s">
        <v>32044</v>
      </c>
    </row>
    <row r="883" spans="1:12" ht="72" x14ac:dyDescent="0.3">
      <c r="A883" s="4" t="s">
        <v>3623</v>
      </c>
      <c r="B883">
        <v>2</v>
      </c>
      <c r="C883">
        <v>3</v>
      </c>
      <c r="D883">
        <v>2015</v>
      </c>
      <c r="E883" t="s">
        <v>11574</v>
      </c>
      <c r="F883">
        <v>143</v>
      </c>
      <c r="G883" t="s">
        <v>32101</v>
      </c>
      <c r="H883" t="s">
        <v>32102</v>
      </c>
      <c r="I883" s="4" t="s">
        <v>32103</v>
      </c>
    </row>
    <row r="884" spans="1:12" ht="72" x14ac:dyDescent="0.3">
      <c r="A884" s="4" t="s">
        <v>3624</v>
      </c>
      <c r="B884">
        <v>2</v>
      </c>
      <c r="C884">
        <v>3</v>
      </c>
      <c r="D884">
        <v>2015</v>
      </c>
      <c r="E884" t="s">
        <v>550</v>
      </c>
      <c r="F884">
        <v>31</v>
      </c>
      <c r="G884" t="s">
        <v>32205</v>
      </c>
      <c r="H884" t="s">
        <v>32206</v>
      </c>
      <c r="I884" s="4" t="s">
        <v>32207</v>
      </c>
    </row>
    <row r="885" spans="1:12" ht="86.4" x14ac:dyDescent="0.3">
      <c r="A885" s="4" t="s">
        <v>2937</v>
      </c>
      <c r="B885">
        <v>2</v>
      </c>
      <c r="C885">
        <v>1</v>
      </c>
      <c r="D885">
        <v>2015</v>
      </c>
      <c r="E885" t="s">
        <v>177</v>
      </c>
      <c r="F885">
        <v>25</v>
      </c>
      <c r="G885" t="s">
        <v>32211</v>
      </c>
      <c r="H885" t="s">
        <v>32212</v>
      </c>
      <c r="I885" s="4" t="s">
        <v>32213</v>
      </c>
    </row>
    <row r="886" spans="1:12" ht="216" x14ac:dyDescent="0.3">
      <c r="A886" s="4" t="s">
        <v>3625</v>
      </c>
      <c r="B886">
        <v>2</v>
      </c>
      <c r="C886">
        <v>3</v>
      </c>
      <c r="D886">
        <v>2015</v>
      </c>
      <c r="E886" t="s">
        <v>217</v>
      </c>
      <c r="F886">
        <v>79</v>
      </c>
      <c r="G886" t="s">
        <v>32222</v>
      </c>
      <c r="H886" t="s">
        <v>32223</v>
      </c>
      <c r="I886" s="4" t="s">
        <v>32224</v>
      </c>
      <c r="J886" t="s">
        <v>71</v>
      </c>
      <c r="K886" t="s">
        <v>10782</v>
      </c>
      <c r="L886" t="s">
        <v>32225</v>
      </c>
    </row>
    <row r="887" spans="1:12" ht="187.2" x14ac:dyDescent="0.3">
      <c r="A887" s="4" t="s">
        <v>3626</v>
      </c>
      <c r="B887">
        <v>2</v>
      </c>
      <c r="C887">
        <v>3</v>
      </c>
      <c r="D887">
        <v>2015</v>
      </c>
      <c r="E887" t="s">
        <v>405</v>
      </c>
      <c r="F887">
        <v>278</v>
      </c>
      <c r="G887" t="s">
        <v>32246</v>
      </c>
      <c r="H887" t="s">
        <v>32247</v>
      </c>
      <c r="I887" s="4" t="s">
        <v>32248</v>
      </c>
      <c r="J887" t="s">
        <v>10823</v>
      </c>
      <c r="K887" t="s">
        <v>10782</v>
      </c>
      <c r="L887" t="s">
        <v>32249</v>
      </c>
    </row>
    <row r="888" spans="1:12" ht="158.4" x14ac:dyDescent="0.3">
      <c r="A888" s="4" t="s">
        <v>2938</v>
      </c>
      <c r="B888">
        <v>2</v>
      </c>
      <c r="C888">
        <v>1</v>
      </c>
      <c r="D888">
        <v>2015</v>
      </c>
      <c r="E888" t="s">
        <v>550</v>
      </c>
      <c r="F888">
        <v>25</v>
      </c>
      <c r="G888" t="s">
        <v>32260</v>
      </c>
      <c r="H888" t="s">
        <v>32261</v>
      </c>
      <c r="I888" s="4" t="s">
        <v>32262</v>
      </c>
      <c r="J888" t="s">
        <v>71</v>
      </c>
      <c r="K888" t="s">
        <v>10782</v>
      </c>
      <c r="L888" t="s">
        <v>32263</v>
      </c>
    </row>
    <row r="889" spans="1:12" ht="144" x14ac:dyDescent="0.3">
      <c r="A889" s="4" t="s">
        <v>3627</v>
      </c>
      <c r="B889">
        <v>2</v>
      </c>
      <c r="C889">
        <v>3</v>
      </c>
      <c r="D889">
        <v>2015</v>
      </c>
      <c r="E889" t="s">
        <v>1794</v>
      </c>
      <c r="F889">
        <v>8</v>
      </c>
      <c r="G889" t="s">
        <v>32298</v>
      </c>
      <c r="H889" t="s">
        <v>32299</v>
      </c>
      <c r="I889" s="4" t="s">
        <v>32300</v>
      </c>
      <c r="J889" t="s">
        <v>71</v>
      </c>
      <c r="K889" t="s">
        <v>10782</v>
      </c>
      <c r="L889" t="s">
        <v>32301</v>
      </c>
    </row>
    <row r="890" spans="1:12" ht="100.8" x14ac:dyDescent="0.3">
      <c r="A890" s="4" t="s">
        <v>3628</v>
      </c>
      <c r="B890">
        <v>2</v>
      </c>
      <c r="C890">
        <v>3</v>
      </c>
      <c r="D890">
        <v>2015</v>
      </c>
      <c r="E890" t="s">
        <v>329</v>
      </c>
      <c r="F890">
        <v>20</v>
      </c>
      <c r="G890" t="s">
        <v>32310</v>
      </c>
      <c r="H890" t="s">
        <v>32311</v>
      </c>
      <c r="I890" s="4" t="s">
        <v>32312</v>
      </c>
    </row>
    <row r="891" spans="1:12" ht="115.2" x14ac:dyDescent="0.3">
      <c r="A891" s="4" t="s">
        <v>2939</v>
      </c>
      <c r="B891">
        <v>2</v>
      </c>
      <c r="C891">
        <v>1</v>
      </c>
      <c r="D891">
        <v>2015</v>
      </c>
      <c r="E891" t="s">
        <v>2986</v>
      </c>
      <c r="F891">
        <v>484</v>
      </c>
      <c r="G891" t="s">
        <v>32354</v>
      </c>
      <c r="H891" t="s">
        <v>32355</v>
      </c>
      <c r="I891" s="4" t="s">
        <v>32356</v>
      </c>
      <c r="J891" t="s">
        <v>71</v>
      </c>
      <c r="K891" t="s">
        <v>10782</v>
      </c>
      <c r="L891" t="s">
        <v>32357</v>
      </c>
    </row>
    <row r="892" spans="1:12" ht="158.4" x14ac:dyDescent="0.3">
      <c r="A892" s="4" t="s">
        <v>2940</v>
      </c>
      <c r="B892">
        <v>2</v>
      </c>
      <c r="C892">
        <v>1</v>
      </c>
      <c r="D892">
        <v>2015</v>
      </c>
      <c r="E892" t="s">
        <v>799</v>
      </c>
      <c r="F892">
        <v>41</v>
      </c>
      <c r="G892" t="s">
        <v>32418</v>
      </c>
      <c r="H892" t="s">
        <v>32419</v>
      </c>
      <c r="I892" s="4" t="s">
        <v>32420</v>
      </c>
      <c r="J892" t="s">
        <v>71</v>
      </c>
      <c r="K892" t="s">
        <v>10782</v>
      </c>
      <c r="L892" t="s">
        <v>32421</v>
      </c>
    </row>
    <row r="893" spans="1:12" ht="158.4" x14ac:dyDescent="0.3">
      <c r="A893" s="4" t="s">
        <v>3629</v>
      </c>
      <c r="B893">
        <v>2</v>
      </c>
      <c r="C893">
        <v>3</v>
      </c>
      <c r="D893">
        <v>2015</v>
      </c>
      <c r="E893" t="s">
        <v>10456</v>
      </c>
      <c r="F893">
        <v>54</v>
      </c>
      <c r="G893" t="s">
        <v>32552</v>
      </c>
      <c r="H893" t="s">
        <v>32553</v>
      </c>
      <c r="I893" s="4" t="s">
        <v>32554</v>
      </c>
      <c r="J893" t="s">
        <v>71</v>
      </c>
      <c r="K893" t="s">
        <v>10782</v>
      </c>
      <c r="L893" t="s">
        <v>32555</v>
      </c>
    </row>
    <row r="894" spans="1:12" ht="216" x14ac:dyDescent="0.3">
      <c r="A894" s="4" t="s">
        <v>3630</v>
      </c>
      <c r="B894">
        <v>2</v>
      </c>
      <c r="C894">
        <v>3</v>
      </c>
      <c r="D894">
        <v>2015</v>
      </c>
      <c r="E894" t="s">
        <v>11826</v>
      </c>
      <c r="F894">
        <v>16</v>
      </c>
      <c r="G894" t="s">
        <v>32610</v>
      </c>
      <c r="H894" t="s">
        <v>32611</v>
      </c>
      <c r="I894" s="4" t="s">
        <v>32612</v>
      </c>
      <c r="J894" t="s">
        <v>71</v>
      </c>
      <c r="K894" t="s">
        <v>10782</v>
      </c>
      <c r="L894" t="s">
        <v>32613</v>
      </c>
    </row>
    <row r="895" spans="1:12" ht="187.2" x14ac:dyDescent="0.3">
      <c r="A895" s="4" t="s">
        <v>2941</v>
      </c>
      <c r="B895">
        <v>2</v>
      </c>
      <c r="C895">
        <v>1</v>
      </c>
      <c r="D895">
        <v>2015</v>
      </c>
      <c r="E895" t="s">
        <v>1525</v>
      </c>
      <c r="F895">
        <v>102</v>
      </c>
      <c r="G895" t="s">
        <v>32715</v>
      </c>
      <c r="H895" t="s">
        <v>32716</v>
      </c>
      <c r="I895" s="4" t="s">
        <v>32717</v>
      </c>
      <c r="J895" t="s">
        <v>71</v>
      </c>
      <c r="K895" t="s">
        <v>10782</v>
      </c>
      <c r="L895" t="s">
        <v>32718</v>
      </c>
    </row>
    <row r="896" spans="1:12" ht="230.4" x14ac:dyDescent="0.3">
      <c r="A896" s="4" t="s">
        <v>3631</v>
      </c>
      <c r="B896">
        <v>2</v>
      </c>
      <c r="C896">
        <v>3</v>
      </c>
      <c r="D896">
        <v>2015</v>
      </c>
      <c r="E896" t="s">
        <v>32870</v>
      </c>
      <c r="F896">
        <v>44</v>
      </c>
      <c r="G896" t="s">
        <v>32871</v>
      </c>
      <c r="H896" t="s">
        <v>32872</v>
      </c>
      <c r="I896" s="4" t="s">
        <v>32873</v>
      </c>
      <c r="J896" t="s">
        <v>71</v>
      </c>
      <c r="K896" t="s">
        <v>10782</v>
      </c>
      <c r="L896" t="s">
        <v>32874</v>
      </c>
    </row>
    <row r="897" spans="1:12" ht="187.2" x14ac:dyDescent="0.3">
      <c r="A897" s="4" t="s">
        <v>3632</v>
      </c>
      <c r="B897">
        <v>2</v>
      </c>
      <c r="C897">
        <v>3</v>
      </c>
      <c r="D897">
        <v>2014</v>
      </c>
      <c r="E897" t="s">
        <v>724</v>
      </c>
      <c r="F897">
        <v>32</v>
      </c>
      <c r="G897" t="s">
        <v>33262</v>
      </c>
      <c r="H897" t="s">
        <v>33263</v>
      </c>
      <c r="I897" s="4" t="s">
        <v>33264</v>
      </c>
    </row>
    <row r="898" spans="1:12" ht="172.8" x14ac:dyDescent="0.3">
      <c r="A898" s="4" t="s">
        <v>3633</v>
      </c>
      <c r="B898">
        <v>2</v>
      </c>
      <c r="C898">
        <v>3</v>
      </c>
      <c r="D898">
        <v>2014</v>
      </c>
      <c r="E898" t="s">
        <v>217</v>
      </c>
      <c r="F898">
        <v>55</v>
      </c>
      <c r="G898" t="s">
        <v>33274</v>
      </c>
      <c r="H898" t="s">
        <v>33275</v>
      </c>
      <c r="I898" s="4" t="s">
        <v>33276</v>
      </c>
      <c r="J898" t="s">
        <v>71</v>
      </c>
      <c r="K898" t="s">
        <v>10782</v>
      </c>
      <c r="L898" t="s">
        <v>33277</v>
      </c>
    </row>
    <row r="899" spans="1:12" ht="115.2" x14ac:dyDescent="0.3">
      <c r="A899" s="4" t="s">
        <v>3634</v>
      </c>
      <c r="B899">
        <v>2</v>
      </c>
      <c r="C899">
        <v>3</v>
      </c>
      <c r="D899">
        <v>2014</v>
      </c>
      <c r="E899" t="s">
        <v>385</v>
      </c>
      <c r="F899">
        <v>171</v>
      </c>
      <c r="G899" t="s">
        <v>33278</v>
      </c>
      <c r="H899" t="s">
        <v>33279</v>
      </c>
      <c r="I899" s="4" t="s">
        <v>33280</v>
      </c>
      <c r="J899" t="s">
        <v>71</v>
      </c>
      <c r="K899" t="s">
        <v>10782</v>
      </c>
      <c r="L899" t="s">
        <v>33281</v>
      </c>
    </row>
    <row r="900" spans="1:12" ht="259.2" x14ac:dyDescent="0.3">
      <c r="A900" s="4" t="s">
        <v>3635</v>
      </c>
      <c r="B900">
        <v>2</v>
      </c>
      <c r="C900">
        <v>3</v>
      </c>
      <c r="D900">
        <v>2014</v>
      </c>
      <c r="E900" t="s">
        <v>2030</v>
      </c>
      <c r="F900">
        <v>4</v>
      </c>
      <c r="G900" t="s">
        <v>33402</v>
      </c>
      <c r="H900" t="s">
        <v>33403</v>
      </c>
      <c r="I900" s="4" t="s">
        <v>33404</v>
      </c>
      <c r="J900" t="s">
        <v>10823</v>
      </c>
      <c r="K900" t="s">
        <v>10782</v>
      </c>
      <c r="L900" t="s">
        <v>33405</v>
      </c>
    </row>
    <row r="901" spans="1:12" ht="115.2" x14ac:dyDescent="0.3">
      <c r="A901" s="4" t="s">
        <v>3636</v>
      </c>
      <c r="B901">
        <v>2</v>
      </c>
      <c r="C901">
        <v>3</v>
      </c>
      <c r="D901">
        <v>2014</v>
      </c>
      <c r="E901" t="s">
        <v>12677</v>
      </c>
      <c r="F901">
        <v>59</v>
      </c>
      <c r="G901" t="s">
        <v>33571</v>
      </c>
      <c r="H901" t="s">
        <v>33572</v>
      </c>
      <c r="I901" s="4" t="s">
        <v>33573</v>
      </c>
      <c r="J901" t="s">
        <v>71</v>
      </c>
      <c r="K901" t="s">
        <v>10782</v>
      </c>
      <c r="L901" t="s">
        <v>33574</v>
      </c>
    </row>
    <row r="902" spans="1:12" ht="129.6" x14ac:dyDescent="0.3">
      <c r="A902" s="4" t="s">
        <v>2942</v>
      </c>
      <c r="B902">
        <v>2</v>
      </c>
      <c r="C902">
        <v>1</v>
      </c>
      <c r="D902">
        <v>2014</v>
      </c>
      <c r="E902" t="s">
        <v>147</v>
      </c>
      <c r="F902">
        <v>39</v>
      </c>
      <c r="G902" t="s">
        <v>33936</v>
      </c>
      <c r="H902" t="s">
        <v>33937</v>
      </c>
      <c r="I902" s="4" t="s">
        <v>33938</v>
      </c>
      <c r="J902" t="s">
        <v>10823</v>
      </c>
      <c r="K902" t="s">
        <v>10782</v>
      </c>
      <c r="L902" t="s">
        <v>33939</v>
      </c>
    </row>
    <row r="903" spans="1:12" ht="187.2" x14ac:dyDescent="0.3">
      <c r="A903" s="4" t="s">
        <v>3637</v>
      </c>
      <c r="B903">
        <v>2</v>
      </c>
      <c r="C903">
        <v>3</v>
      </c>
      <c r="D903">
        <v>2014</v>
      </c>
      <c r="E903" t="s">
        <v>12491</v>
      </c>
      <c r="F903">
        <v>112</v>
      </c>
      <c r="G903" t="s">
        <v>34116</v>
      </c>
      <c r="H903" t="s">
        <v>34117</v>
      </c>
      <c r="I903" s="4" t="s">
        <v>34118</v>
      </c>
      <c r="J903" t="s">
        <v>71</v>
      </c>
      <c r="K903" t="s">
        <v>10782</v>
      </c>
      <c r="L903" t="s">
        <v>34119</v>
      </c>
    </row>
    <row r="904" spans="1:12" ht="158.4" x14ac:dyDescent="0.3">
      <c r="A904" s="4" t="s">
        <v>3638</v>
      </c>
      <c r="B904">
        <v>2</v>
      </c>
      <c r="C904">
        <v>3</v>
      </c>
      <c r="D904">
        <v>2014</v>
      </c>
      <c r="E904" t="s">
        <v>217</v>
      </c>
      <c r="F904">
        <v>15</v>
      </c>
      <c r="G904" t="s">
        <v>34129</v>
      </c>
      <c r="H904" t="s">
        <v>34130</v>
      </c>
      <c r="I904" s="4" t="s">
        <v>34131</v>
      </c>
      <c r="J904" t="s">
        <v>71</v>
      </c>
      <c r="K904" t="s">
        <v>10782</v>
      </c>
      <c r="L904" t="s">
        <v>34132</v>
      </c>
    </row>
    <row r="905" spans="1:12" ht="129.6" x14ac:dyDescent="0.3">
      <c r="A905" s="4" t="s">
        <v>3639</v>
      </c>
      <c r="B905">
        <v>2</v>
      </c>
      <c r="C905">
        <v>3</v>
      </c>
      <c r="D905">
        <v>2014</v>
      </c>
      <c r="E905" t="s">
        <v>14623</v>
      </c>
      <c r="F905">
        <v>94</v>
      </c>
      <c r="G905" t="s">
        <v>34192</v>
      </c>
      <c r="H905" t="s">
        <v>34193</v>
      </c>
      <c r="I905" s="4" t="s">
        <v>34194</v>
      </c>
      <c r="J905" t="s">
        <v>71</v>
      </c>
      <c r="K905" t="s">
        <v>10782</v>
      </c>
      <c r="L905" t="s">
        <v>34195</v>
      </c>
    </row>
    <row r="906" spans="1:12" ht="201.6" x14ac:dyDescent="0.3">
      <c r="A906" s="4" t="s">
        <v>2943</v>
      </c>
      <c r="B906">
        <v>2</v>
      </c>
      <c r="C906">
        <v>1</v>
      </c>
      <c r="D906">
        <v>2013</v>
      </c>
      <c r="E906" t="s">
        <v>1836</v>
      </c>
      <c r="F906">
        <v>212</v>
      </c>
      <c r="G906" t="s">
        <v>34221</v>
      </c>
      <c r="H906" t="s">
        <v>34222</v>
      </c>
      <c r="I906" s="4" t="s">
        <v>34223</v>
      </c>
      <c r="J906" t="s">
        <v>71</v>
      </c>
      <c r="K906" t="s">
        <v>10782</v>
      </c>
      <c r="L906" t="s">
        <v>34224</v>
      </c>
    </row>
    <row r="907" spans="1:12" ht="331.2" x14ac:dyDescent="0.3">
      <c r="A907" s="4" t="s">
        <v>3640</v>
      </c>
      <c r="B907">
        <v>2</v>
      </c>
      <c r="C907">
        <v>3</v>
      </c>
      <c r="D907">
        <v>2013</v>
      </c>
      <c r="E907" t="s">
        <v>2893</v>
      </c>
      <c r="F907">
        <v>45</v>
      </c>
      <c r="G907" t="s">
        <v>34225</v>
      </c>
      <c r="H907" t="s">
        <v>34226</v>
      </c>
      <c r="I907" s="4" t="s">
        <v>34227</v>
      </c>
      <c r="J907" t="s">
        <v>71</v>
      </c>
      <c r="K907" t="s">
        <v>10782</v>
      </c>
      <c r="L907" t="s">
        <v>34228</v>
      </c>
    </row>
    <row r="908" spans="1:12" ht="28.8" x14ac:dyDescent="0.3">
      <c r="A908" s="4" t="s">
        <v>3641</v>
      </c>
      <c r="B908">
        <v>2</v>
      </c>
      <c r="C908">
        <v>3</v>
      </c>
      <c r="D908">
        <v>2013</v>
      </c>
      <c r="E908" t="s">
        <v>329</v>
      </c>
      <c r="F908">
        <v>21</v>
      </c>
      <c r="G908" t="s">
        <v>34229</v>
      </c>
      <c r="H908" t="s">
        <v>34230</v>
      </c>
      <c r="I908" s="4" t="s">
        <v>34231</v>
      </c>
    </row>
    <row r="909" spans="1:12" ht="115.2" x14ac:dyDescent="0.3">
      <c r="A909" s="4" t="s">
        <v>3642</v>
      </c>
      <c r="B909">
        <v>2</v>
      </c>
      <c r="C909">
        <v>3</v>
      </c>
      <c r="D909">
        <v>2013</v>
      </c>
      <c r="E909" t="s">
        <v>1570</v>
      </c>
      <c r="F909">
        <v>56</v>
      </c>
      <c r="G909" t="s">
        <v>34251</v>
      </c>
      <c r="H909" t="s">
        <v>34252</v>
      </c>
      <c r="I909" s="4" t="s">
        <v>34253</v>
      </c>
    </row>
    <row r="910" spans="1:12" ht="259.2" x14ac:dyDescent="0.3">
      <c r="A910" s="4" t="s">
        <v>3643</v>
      </c>
      <c r="B910">
        <v>2</v>
      </c>
      <c r="C910">
        <v>3</v>
      </c>
      <c r="D910">
        <v>2013</v>
      </c>
      <c r="E910" t="s">
        <v>24598</v>
      </c>
      <c r="F910">
        <v>6</v>
      </c>
      <c r="H910" t="s">
        <v>34367</v>
      </c>
      <c r="I910" s="4" t="s">
        <v>34368</v>
      </c>
      <c r="J910" s="4" t="s">
        <v>71</v>
      </c>
      <c r="K910" t="s">
        <v>10782</v>
      </c>
      <c r="L910" t="s">
        <v>34369</v>
      </c>
    </row>
    <row r="911" spans="1:12" ht="187.2" x14ac:dyDescent="0.3">
      <c r="A911" s="4" t="s">
        <v>3644</v>
      </c>
      <c r="B911">
        <v>2</v>
      </c>
      <c r="C911">
        <v>3</v>
      </c>
      <c r="D911">
        <v>2013</v>
      </c>
      <c r="E911" t="s">
        <v>177</v>
      </c>
      <c r="F911">
        <v>25</v>
      </c>
      <c r="G911" t="s">
        <v>34401</v>
      </c>
      <c r="H911" t="s">
        <v>34402</v>
      </c>
      <c r="I911" s="4" t="s">
        <v>34403</v>
      </c>
      <c r="J911" t="s">
        <v>71</v>
      </c>
      <c r="K911" t="s">
        <v>10782</v>
      </c>
      <c r="L911" t="s">
        <v>34404</v>
      </c>
    </row>
    <row r="912" spans="1:12" ht="230.4" x14ac:dyDescent="0.3">
      <c r="A912" s="4" t="s">
        <v>2945</v>
      </c>
      <c r="B912">
        <v>2</v>
      </c>
      <c r="C912">
        <v>1</v>
      </c>
      <c r="D912">
        <v>2013</v>
      </c>
      <c r="E912" t="s">
        <v>217</v>
      </c>
      <c r="F912">
        <v>19</v>
      </c>
      <c r="G912" t="s">
        <v>34569</v>
      </c>
      <c r="H912" t="s">
        <v>34570</v>
      </c>
      <c r="I912" s="4" t="s">
        <v>34571</v>
      </c>
      <c r="J912" t="s">
        <v>71</v>
      </c>
      <c r="K912" t="s">
        <v>10782</v>
      </c>
      <c r="L912" t="s">
        <v>34572</v>
      </c>
    </row>
    <row r="913" spans="1:12" ht="187.2" x14ac:dyDescent="0.3">
      <c r="A913" s="4" t="s">
        <v>3645</v>
      </c>
      <c r="B913">
        <v>2</v>
      </c>
      <c r="C913">
        <v>3</v>
      </c>
      <c r="D913">
        <v>2013</v>
      </c>
      <c r="E913" t="s">
        <v>177</v>
      </c>
      <c r="F913">
        <v>14</v>
      </c>
      <c r="G913" t="s">
        <v>34595</v>
      </c>
      <c r="H913" t="s">
        <v>34596</v>
      </c>
      <c r="I913" s="4" t="s">
        <v>34597</v>
      </c>
      <c r="J913" t="s">
        <v>71</v>
      </c>
      <c r="K913" t="s">
        <v>10782</v>
      </c>
      <c r="L913" t="s">
        <v>34598</v>
      </c>
    </row>
    <row r="914" spans="1:12" ht="216" x14ac:dyDescent="0.3">
      <c r="A914" s="4" t="s">
        <v>3646</v>
      </c>
      <c r="B914">
        <v>2</v>
      </c>
      <c r="C914">
        <v>3</v>
      </c>
      <c r="D914">
        <v>2013</v>
      </c>
      <c r="E914" t="s">
        <v>217</v>
      </c>
      <c r="F914">
        <v>64</v>
      </c>
      <c r="G914" t="s">
        <v>34821</v>
      </c>
      <c r="H914" t="s">
        <v>34822</v>
      </c>
      <c r="I914" s="4" t="s">
        <v>34823</v>
      </c>
      <c r="J914" t="s">
        <v>71</v>
      </c>
      <c r="K914" t="s">
        <v>10782</v>
      </c>
      <c r="L914" t="s">
        <v>34824</v>
      </c>
    </row>
    <row r="915" spans="1:12" ht="43.2" x14ac:dyDescent="0.3">
      <c r="A915" s="4" t="s">
        <v>3647</v>
      </c>
      <c r="B915">
        <v>2</v>
      </c>
      <c r="C915">
        <v>3</v>
      </c>
      <c r="D915">
        <v>2013</v>
      </c>
      <c r="E915" t="s">
        <v>17071</v>
      </c>
      <c r="F915">
        <v>6</v>
      </c>
      <c r="G915" t="s">
        <v>34839</v>
      </c>
      <c r="H915" t="s">
        <v>34840</v>
      </c>
      <c r="I915" s="4" t="s">
        <v>71</v>
      </c>
      <c r="J915" t="s">
        <v>10782</v>
      </c>
      <c r="K915" t="s">
        <v>34841</v>
      </c>
    </row>
    <row r="916" spans="1:12" ht="172.8" x14ac:dyDescent="0.3">
      <c r="A916" s="4" t="s">
        <v>3648</v>
      </c>
      <c r="B916">
        <v>2</v>
      </c>
      <c r="C916">
        <v>3</v>
      </c>
      <c r="D916">
        <v>2013</v>
      </c>
      <c r="E916" t="s">
        <v>217</v>
      </c>
      <c r="F916">
        <v>48</v>
      </c>
      <c r="G916" t="s">
        <v>34846</v>
      </c>
      <c r="H916" t="s">
        <v>34847</v>
      </c>
      <c r="I916" s="4" t="s">
        <v>34848</v>
      </c>
      <c r="J916" t="s">
        <v>71</v>
      </c>
      <c r="K916" t="s">
        <v>10782</v>
      </c>
      <c r="L916" t="s">
        <v>34849</v>
      </c>
    </row>
    <row r="917" spans="1:12" ht="187.2" x14ac:dyDescent="0.3">
      <c r="A917" s="4" t="s">
        <v>3649</v>
      </c>
      <c r="B917">
        <v>2</v>
      </c>
      <c r="C917">
        <v>3</v>
      </c>
      <c r="D917">
        <v>2013</v>
      </c>
      <c r="E917" t="s">
        <v>1841</v>
      </c>
      <c r="F917">
        <v>60</v>
      </c>
      <c r="G917" t="s">
        <v>34957</v>
      </c>
      <c r="H917" t="s">
        <v>34958</v>
      </c>
      <c r="I917" s="4" t="s">
        <v>34959</v>
      </c>
      <c r="J917" t="s">
        <v>71</v>
      </c>
      <c r="K917" t="s">
        <v>10782</v>
      </c>
      <c r="L917" t="s">
        <v>34960</v>
      </c>
    </row>
    <row r="918" spans="1:12" ht="144" x14ac:dyDescent="0.3">
      <c r="A918" s="4" t="s">
        <v>3650</v>
      </c>
      <c r="B918">
        <v>2</v>
      </c>
      <c r="C918">
        <v>3</v>
      </c>
      <c r="D918">
        <v>2013</v>
      </c>
      <c r="E918" t="s">
        <v>1426</v>
      </c>
      <c r="F918">
        <v>89</v>
      </c>
      <c r="G918" t="s">
        <v>34999</v>
      </c>
      <c r="H918" t="s">
        <v>35000</v>
      </c>
      <c r="I918" s="4" t="s">
        <v>35001</v>
      </c>
      <c r="J918" t="s">
        <v>71</v>
      </c>
      <c r="K918" t="s">
        <v>10782</v>
      </c>
      <c r="L918" t="s">
        <v>35002</v>
      </c>
    </row>
    <row r="919" spans="1:12" ht="187.2" x14ac:dyDescent="0.3">
      <c r="A919" s="4" t="s">
        <v>2946</v>
      </c>
      <c r="B919">
        <v>2</v>
      </c>
      <c r="C919">
        <v>1</v>
      </c>
      <c r="D919">
        <v>2013</v>
      </c>
      <c r="E919" t="s">
        <v>1770</v>
      </c>
      <c r="F919">
        <v>169</v>
      </c>
      <c r="G919" t="s">
        <v>35058</v>
      </c>
      <c r="H919" t="s">
        <v>35059</v>
      </c>
      <c r="I919" s="4" t="s">
        <v>35060</v>
      </c>
      <c r="J919" t="s">
        <v>71</v>
      </c>
      <c r="K919" t="s">
        <v>10782</v>
      </c>
      <c r="L919" t="s">
        <v>35061</v>
      </c>
    </row>
    <row r="920" spans="1:12" ht="144" x14ac:dyDescent="0.3">
      <c r="A920" s="4" t="s">
        <v>3651</v>
      </c>
      <c r="B920">
        <v>2</v>
      </c>
      <c r="C920">
        <v>3</v>
      </c>
      <c r="D920">
        <v>2013</v>
      </c>
      <c r="E920" t="s">
        <v>217</v>
      </c>
      <c r="F920">
        <v>20</v>
      </c>
      <c r="G920" t="s">
        <v>35091</v>
      </c>
      <c r="H920" t="s">
        <v>35092</v>
      </c>
      <c r="I920" s="4" t="s">
        <v>35093</v>
      </c>
      <c r="J920" t="s">
        <v>71</v>
      </c>
      <c r="K920" t="s">
        <v>10782</v>
      </c>
      <c r="L920" t="s">
        <v>35094</v>
      </c>
    </row>
    <row r="921" spans="1:12" ht="57.6" x14ac:dyDescent="0.3">
      <c r="A921" s="4" t="s">
        <v>3652</v>
      </c>
      <c r="B921">
        <v>2</v>
      </c>
      <c r="C921">
        <v>2</v>
      </c>
      <c r="D921">
        <v>2013</v>
      </c>
      <c r="E921" t="s">
        <v>32768</v>
      </c>
      <c r="F921">
        <v>11</v>
      </c>
      <c r="H921" t="s">
        <v>35210</v>
      </c>
      <c r="I921" s="4" t="s">
        <v>35211</v>
      </c>
      <c r="J921" s="4"/>
    </row>
    <row r="922" spans="1:12" ht="187.2" x14ac:dyDescent="0.3">
      <c r="A922" s="4" t="s">
        <v>3653</v>
      </c>
      <c r="B922">
        <v>2</v>
      </c>
      <c r="C922">
        <v>3</v>
      </c>
      <c r="D922">
        <v>2013</v>
      </c>
      <c r="E922" t="s">
        <v>1570</v>
      </c>
      <c r="F922">
        <v>114</v>
      </c>
      <c r="G922" t="s">
        <v>35241</v>
      </c>
      <c r="H922" t="s">
        <v>35242</v>
      </c>
      <c r="I922" s="4" t="s">
        <v>35243</v>
      </c>
      <c r="J922" t="s">
        <v>71</v>
      </c>
      <c r="K922" t="s">
        <v>10782</v>
      </c>
      <c r="L922" t="s">
        <v>35244</v>
      </c>
    </row>
    <row r="923" spans="1:12" ht="201.6" x14ac:dyDescent="0.3">
      <c r="A923" s="4" t="s">
        <v>3654</v>
      </c>
      <c r="B923">
        <v>2</v>
      </c>
      <c r="C923">
        <v>3</v>
      </c>
      <c r="D923">
        <v>2013</v>
      </c>
      <c r="E923" t="s">
        <v>1570</v>
      </c>
      <c r="F923">
        <v>34</v>
      </c>
      <c r="G923" t="s">
        <v>35378</v>
      </c>
      <c r="H923" t="s">
        <v>35379</v>
      </c>
      <c r="I923" s="4" t="s">
        <v>35380</v>
      </c>
      <c r="J923" t="s">
        <v>71</v>
      </c>
      <c r="K923" t="s">
        <v>10782</v>
      </c>
      <c r="L923" t="s">
        <v>35381</v>
      </c>
    </row>
    <row r="924" spans="1:12" ht="172.8" x14ac:dyDescent="0.3">
      <c r="A924" s="4" t="s">
        <v>3655</v>
      </c>
      <c r="B924">
        <v>2</v>
      </c>
      <c r="C924">
        <v>3</v>
      </c>
      <c r="D924">
        <v>2013</v>
      </c>
      <c r="E924" t="s">
        <v>1570</v>
      </c>
      <c r="F924">
        <v>24</v>
      </c>
      <c r="G924" t="s">
        <v>35439</v>
      </c>
      <c r="H924" t="s">
        <v>35440</v>
      </c>
      <c r="I924" s="4" t="s">
        <v>35441</v>
      </c>
      <c r="J924" t="s">
        <v>71</v>
      </c>
      <c r="K924" t="s">
        <v>10782</v>
      </c>
      <c r="L924" t="s">
        <v>35442</v>
      </c>
    </row>
    <row r="925" spans="1:12" ht="115.2" x14ac:dyDescent="0.3">
      <c r="A925" s="4" t="s">
        <v>3656</v>
      </c>
      <c r="B925">
        <v>2</v>
      </c>
      <c r="C925">
        <v>3</v>
      </c>
      <c r="D925">
        <v>2012</v>
      </c>
      <c r="E925" t="s">
        <v>799</v>
      </c>
      <c r="F925">
        <v>236</v>
      </c>
      <c r="G925" t="s">
        <v>35535</v>
      </c>
      <c r="H925" t="s">
        <v>35536</v>
      </c>
      <c r="I925" s="4" t="s">
        <v>35537</v>
      </c>
      <c r="J925" t="s">
        <v>71</v>
      </c>
      <c r="K925" t="s">
        <v>10782</v>
      </c>
      <c r="L925" t="s">
        <v>35538</v>
      </c>
    </row>
    <row r="926" spans="1:12" ht="144" x14ac:dyDescent="0.3">
      <c r="A926" s="4" t="s">
        <v>3657</v>
      </c>
      <c r="B926">
        <v>2</v>
      </c>
      <c r="C926">
        <v>3</v>
      </c>
      <c r="D926">
        <v>2012</v>
      </c>
      <c r="E926" t="s">
        <v>550</v>
      </c>
      <c r="F926">
        <v>26</v>
      </c>
      <c r="G926" t="s">
        <v>35620</v>
      </c>
      <c r="H926" t="s">
        <v>35621</v>
      </c>
      <c r="I926" s="4" t="s">
        <v>35622</v>
      </c>
      <c r="J926" t="s">
        <v>71</v>
      </c>
      <c r="K926" t="s">
        <v>10782</v>
      </c>
      <c r="L926" t="s">
        <v>35623</v>
      </c>
    </row>
    <row r="927" spans="1:12" ht="187.2" x14ac:dyDescent="0.3">
      <c r="A927" s="4" t="s">
        <v>2948</v>
      </c>
      <c r="B927">
        <v>2</v>
      </c>
      <c r="C927">
        <v>1</v>
      </c>
      <c r="D927">
        <v>2012</v>
      </c>
      <c r="E927" t="s">
        <v>1688</v>
      </c>
      <c r="F927">
        <v>657</v>
      </c>
      <c r="G927" t="s">
        <v>35647</v>
      </c>
      <c r="H927" t="s">
        <v>35648</v>
      </c>
      <c r="I927" s="4" t="s">
        <v>35649</v>
      </c>
      <c r="J927" t="s">
        <v>71</v>
      </c>
      <c r="K927" t="s">
        <v>10782</v>
      </c>
      <c r="L927" t="s">
        <v>35650</v>
      </c>
    </row>
    <row r="928" spans="1:12" ht="129.6" x14ac:dyDescent="0.3">
      <c r="A928" s="4" t="s">
        <v>3658</v>
      </c>
      <c r="B928">
        <v>2</v>
      </c>
      <c r="C928">
        <v>3</v>
      </c>
      <c r="D928">
        <v>2012</v>
      </c>
      <c r="E928" t="s">
        <v>217</v>
      </c>
      <c r="F928">
        <v>16</v>
      </c>
      <c r="G928" t="s">
        <v>35778</v>
      </c>
      <c r="H928" t="s">
        <v>35779</v>
      </c>
      <c r="I928" s="4" t="s">
        <v>35780</v>
      </c>
      <c r="J928" t="s">
        <v>71</v>
      </c>
      <c r="K928" t="s">
        <v>10782</v>
      </c>
      <c r="L928" t="s">
        <v>35781</v>
      </c>
    </row>
    <row r="929" spans="1:12" ht="158.4" x14ac:dyDescent="0.3">
      <c r="A929" s="4" t="s">
        <v>2949</v>
      </c>
      <c r="B929">
        <v>2</v>
      </c>
      <c r="C929">
        <v>1</v>
      </c>
      <c r="D929">
        <v>2012</v>
      </c>
      <c r="E929" t="s">
        <v>1877</v>
      </c>
      <c r="F929">
        <v>9</v>
      </c>
      <c r="G929" t="s">
        <v>35817</v>
      </c>
      <c r="H929" t="s">
        <v>35818</v>
      </c>
      <c r="I929" s="4" t="s">
        <v>35819</v>
      </c>
      <c r="J929" t="s">
        <v>71</v>
      </c>
      <c r="K929" t="s">
        <v>10782</v>
      </c>
      <c r="L929" t="s">
        <v>35820</v>
      </c>
    </row>
    <row r="930" spans="1:12" ht="172.8" x14ac:dyDescent="0.3">
      <c r="A930" s="4" t="s">
        <v>3659</v>
      </c>
      <c r="B930">
        <v>2</v>
      </c>
      <c r="C930">
        <v>3</v>
      </c>
      <c r="D930">
        <v>2012</v>
      </c>
      <c r="E930" t="s">
        <v>637</v>
      </c>
      <c r="F930">
        <v>164</v>
      </c>
      <c r="G930" t="s">
        <v>35824</v>
      </c>
      <c r="H930" t="s">
        <v>35825</v>
      </c>
      <c r="I930" s="4" t="s">
        <v>35826</v>
      </c>
      <c r="J930" t="s">
        <v>71</v>
      </c>
      <c r="K930" t="s">
        <v>10782</v>
      </c>
      <c r="L930" t="s">
        <v>35827</v>
      </c>
    </row>
    <row r="931" spans="1:12" ht="144" x14ac:dyDescent="0.3">
      <c r="A931" s="4" t="s">
        <v>2950</v>
      </c>
      <c r="B931">
        <v>2</v>
      </c>
      <c r="C931">
        <v>1</v>
      </c>
      <c r="D931">
        <v>2012</v>
      </c>
      <c r="E931" t="s">
        <v>799</v>
      </c>
      <c r="F931">
        <v>121</v>
      </c>
      <c r="G931" t="s">
        <v>35878</v>
      </c>
      <c r="H931" t="s">
        <v>35879</v>
      </c>
      <c r="I931" s="4" t="s">
        <v>35880</v>
      </c>
    </row>
    <row r="932" spans="1:12" ht="129.6" x14ac:dyDescent="0.3">
      <c r="A932" s="4" t="s">
        <v>2951</v>
      </c>
      <c r="B932">
        <v>2</v>
      </c>
      <c r="C932">
        <v>1</v>
      </c>
      <c r="D932">
        <v>2012</v>
      </c>
      <c r="E932" t="s">
        <v>3026</v>
      </c>
      <c r="F932">
        <v>27</v>
      </c>
      <c r="G932" t="s">
        <v>35944</v>
      </c>
      <c r="H932" t="s">
        <v>35945</v>
      </c>
      <c r="I932" s="4" t="s">
        <v>35946</v>
      </c>
    </row>
    <row r="933" spans="1:12" ht="158.4" x14ac:dyDescent="0.3">
      <c r="A933" s="4" t="s">
        <v>3660</v>
      </c>
      <c r="B933">
        <v>2</v>
      </c>
      <c r="C933">
        <v>3</v>
      </c>
      <c r="D933">
        <v>2012</v>
      </c>
      <c r="E933" t="s">
        <v>217</v>
      </c>
      <c r="F933">
        <v>95</v>
      </c>
      <c r="G933" t="s">
        <v>36085</v>
      </c>
      <c r="H933" t="s">
        <v>36086</v>
      </c>
      <c r="I933" s="4" t="s">
        <v>36087</v>
      </c>
    </row>
    <row r="934" spans="1:12" ht="172.8" x14ac:dyDescent="0.3">
      <c r="A934" s="4" t="s">
        <v>3661</v>
      </c>
      <c r="B934">
        <v>2</v>
      </c>
      <c r="C934">
        <v>3</v>
      </c>
      <c r="D934">
        <v>2012</v>
      </c>
      <c r="E934" t="s">
        <v>2282</v>
      </c>
      <c r="F934">
        <v>54</v>
      </c>
      <c r="G934" t="s">
        <v>36096</v>
      </c>
      <c r="H934" t="s">
        <v>36097</v>
      </c>
      <c r="I934" s="4" t="s">
        <v>36098</v>
      </c>
      <c r="J934" t="s">
        <v>71</v>
      </c>
      <c r="K934" t="s">
        <v>10782</v>
      </c>
      <c r="L934" t="s">
        <v>36099</v>
      </c>
    </row>
    <row r="935" spans="1:12" ht="187.2" x14ac:dyDescent="0.3">
      <c r="A935" s="4" t="s">
        <v>2952</v>
      </c>
      <c r="B935">
        <v>2</v>
      </c>
      <c r="C935">
        <v>1</v>
      </c>
      <c r="D935">
        <v>2012</v>
      </c>
      <c r="E935" t="s">
        <v>217</v>
      </c>
      <c r="F935">
        <v>24</v>
      </c>
      <c r="G935" t="s">
        <v>36230</v>
      </c>
      <c r="H935" t="s">
        <v>36231</v>
      </c>
      <c r="I935" s="4" t="s">
        <v>36232</v>
      </c>
      <c r="J935" t="s">
        <v>71</v>
      </c>
      <c r="K935" t="s">
        <v>10782</v>
      </c>
      <c r="L935" t="s">
        <v>36233</v>
      </c>
    </row>
    <row r="936" spans="1:12" ht="158.4" x14ac:dyDescent="0.3">
      <c r="A936" s="4" t="s">
        <v>3662</v>
      </c>
      <c r="B936">
        <v>2</v>
      </c>
      <c r="C936">
        <v>3</v>
      </c>
      <c r="D936">
        <v>2012</v>
      </c>
      <c r="E936" t="s">
        <v>36541</v>
      </c>
      <c r="F936">
        <v>9</v>
      </c>
      <c r="G936" t="s">
        <v>36542</v>
      </c>
      <c r="H936" t="s">
        <v>36543</v>
      </c>
      <c r="I936" s="4" t="s">
        <v>36544</v>
      </c>
    </row>
    <row r="937" spans="1:12" ht="115.2" x14ac:dyDescent="0.3">
      <c r="A937" s="4" t="s">
        <v>3663</v>
      </c>
      <c r="B937">
        <v>2</v>
      </c>
      <c r="C937">
        <v>3</v>
      </c>
      <c r="D937">
        <v>2011</v>
      </c>
      <c r="E937" t="s">
        <v>2282</v>
      </c>
      <c r="F937">
        <v>39</v>
      </c>
      <c r="G937" t="s">
        <v>36650</v>
      </c>
      <c r="H937" t="s">
        <v>36651</v>
      </c>
      <c r="I937" s="4" t="s">
        <v>36652</v>
      </c>
    </row>
    <row r="938" spans="1:12" ht="115.2" x14ac:dyDescent="0.3">
      <c r="A938" s="4" t="s">
        <v>3664</v>
      </c>
      <c r="B938">
        <v>2</v>
      </c>
      <c r="C938">
        <v>3</v>
      </c>
      <c r="D938">
        <v>2011</v>
      </c>
      <c r="E938" t="s">
        <v>2282</v>
      </c>
      <c r="F938">
        <v>48</v>
      </c>
      <c r="G938" t="s">
        <v>36681</v>
      </c>
      <c r="H938" t="s">
        <v>36682</v>
      </c>
      <c r="I938" s="4" t="s">
        <v>36683</v>
      </c>
    </row>
    <row r="939" spans="1:12" ht="172.8" x14ac:dyDescent="0.3">
      <c r="A939" s="4" t="s">
        <v>3665</v>
      </c>
      <c r="B939">
        <v>2</v>
      </c>
      <c r="C939">
        <v>3</v>
      </c>
      <c r="D939">
        <v>2011</v>
      </c>
      <c r="E939" t="s">
        <v>432</v>
      </c>
      <c r="F939">
        <v>24</v>
      </c>
      <c r="G939" t="s">
        <v>36818</v>
      </c>
      <c r="H939" t="s">
        <v>36819</v>
      </c>
      <c r="I939" s="4" t="s">
        <v>36820</v>
      </c>
      <c r="J939" t="s">
        <v>71</v>
      </c>
      <c r="K939" t="s">
        <v>10782</v>
      </c>
      <c r="L939" t="s">
        <v>36821</v>
      </c>
    </row>
    <row r="940" spans="1:12" ht="115.2" x14ac:dyDescent="0.3">
      <c r="A940" s="4" t="s">
        <v>3666</v>
      </c>
      <c r="B940">
        <v>2</v>
      </c>
      <c r="C940">
        <v>3</v>
      </c>
      <c r="D940">
        <v>2011</v>
      </c>
      <c r="E940" t="s">
        <v>177</v>
      </c>
      <c r="F940">
        <v>15</v>
      </c>
      <c r="G940" t="s">
        <v>36830</v>
      </c>
      <c r="H940" t="s">
        <v>36831</v>
      </c>
      <c r="I940" s="4" t="s">
        <v>36832</v>
      </c>
      <c r="J940" t="s">
        <v>71</v>
      </c>
      <c r="K940" t="s">
        <v>10782</v>
      </c>
      <c r="L940" t="s">
        <v>36833</v>
      </c>
    </row>
    <row r="941" spans="1:12" ht="172.8" x14ac:dyDescent="0.3">
      <c r="A941" s="4" t="s">
        <v>3667</v>
      </c>
      <c r="B941">
        <v>2</v>
      </c>
      <c r="C941">
        <v>3</v>
      </c>
      <c r="D941">
        <v>2011</v>
      </c>
      <c r="E941" t="s">
        <v>799</v>
      </c>
      <c r="F941">
        <v>95</v>
      </c>
      <c r="G941" t="s">
        <v>36834</v>
      </c>
      <c r="H941" t="s">
        <v>36835</v>
      </c>
      <c r="I941" s="4" t="s">
        <v>36836</v>
      </c>
      <c r="J941" t="s">
        <v>71</v>
      </c>
      <c r="K941" t="s">
        <v>10782</v>
      </c>
      <c r="L941" t="s">
        <v>36837</v>
      </c>
    </row>
    <row r="942" spans="1:12" ht="144" x14ac:dyDescent="0.3">
      <c r="A942" s="4" t="s">
        <v>3668</v>
      </c>
      <c r="B942">
        <v>2</v>
      </c>
      <c r="C942">
        <v>3</v>
      </c>
      <c r="D942">
        <v>2011</v>
      </c>
      <c r="E942" t="s">
        <v>2282</v>
      </c>
      <c r="F942">
        <v>75</v>
      </c>
      <c r="G942" t="s">
        <v>37197</v>
      </c>
      <c r="H942" t="s">
        <v>37198</v>
      </c>
      <c r="I942" s="4" t="s">
        <v>37199</v>
      </c>
      <c r="J942" t="s">
        <v>71</v>
      </c>
      <c r="K942" t="s">
        <v>10782</v>
      </c>
      <c r="L942" t="s">
        <v>37200</v>
      </c>
    </row>
    <row r="943" spans="1:12" ht="187.2" x14ac:dyDescent="0.3">
      <c r="A943" s="4" t="s">
        <v>3669</v>
      </c>
      <c r="B943">
        <v>2</v>
      </c>
      <c r="C943">
        <v>3</v>
      </c>
      <c r="D943">
        <v>2011</v>
      </c>
      <c r="E943" t="s">
        <v>10057</v>
      </c>
      <c r="F943">
        <v>77</v>
      </c>
      <c r="G943" t="s">
        <v>37394</v>
      </c>
      <c r="H943" t="s">
        <v>37395</v>
      </c>
      <c r="I943" s="4" t="s">
        <v>37396</v>
      </c>
      <c r="J943" t="s">
        <v>71</v>
      </c>
      <c r="K943" t="s">
        <v>10782</v>
      </c>
      <c r="L943" t="s">
        <v>37397</v>
      </c>
    </row>
    <row r="944" spans="1:12" ht="158.4" x14ac:dyDescent="0.3">
      <c r="A944" s="4" t="s">
        <v>3670</v>
      </c>
      <c r="B944">
        <v>2</v>
      </c>
      <c r="C944">
        <v>3</v>
      </c>
      <c r="D944">
        <v>2010</v>
      </c>
      <c r="E944" t="s">
        <v>10815</v>
      </c>
      <c r="F944">
        <v>28</v>
      </c>
      <c r="G944" t="s">
        <v>37799</v>
      </c>
      <c r="H944" t="s">
        <v>37800</v>
      </c>
      <c r="I944" s="4" t="s">
        <v>37801</v>
      </c>
    </row>
    <row r="945" spans="1:12" ht="172.8" x14ac:dyDescent="0.3">
      <c r="A945" s="4" t="s">
        <v>3671</v>
      </c>
      <c r="B945">
        <v>2</v>
      </c>
      <c r="C945">
        <v>3</v>
      </c>
      <c r="D945">
        <v>2010</v>
      </c>
      <c r="E945" t="s">
        <v>2030</v>
      </c>
      <c r="F945">
        <v>93</v>
      </c>
      <c r="G945" t="s">
        <v>37814</v>
      </c>
      <c r="H945" t="s">
        <v>37815</v>
      </c>
      <c r="I945" s="4" t="s">
        <v>37816</v>
      </c>
      <c r="J945" t="s">
        <v>71</v>
      </c>
      <c r="K945" t="s">
        <v>10782</v>
      </c>
      <c r="L945" t="s">
        <v>37817</v>
      </c>
    </row>
    <row r="946" spans="1:12" ht="115.2" x14ac:dyDescent="0.3">
      <c r="A946" s="4" t="s">
        <v>3672</v>
      </c>
      <c r="B946">
        <v>2</v>
      </c>
      <c r="C946">
        <v>3</v>
      </c>
      <c r="D946">
        <v>2010</v>
      </c>
      <c r="E946" t="s">
        <v>37825</v>
      </c>
      <c r="F946">
        <v>23</v>
      </c>
      <c r="H946" t="s">
        <v>37826</v>
      </c>
      <c r="I946" s="4" t="s">
        <v>37827</v>
      </c>
      <c r="J946" s="4" t="s">
        <v>71</v>
      </c>
      <c r="K946" t="s">
        <v>10782</v>
      </c>
      <c r="L946" t="s">
        <v>37828</v>
      </c>
    </row>
    <row r="947" spans="1:12" ht="115.2" x14ac:dyDescent="0.3">
      <c r="A947" s="4" t="s">
        <v>3673</v>
      </c>
      <c r="B947">
        <v>2</v>
      </c>
      <c r="C947">
        <v>3</v>
      </c>
      <c r="D947">
        <v>2010</v>
      </c>
      <c r="E947" t="s">
        <v>550</v>
      </c>
      <c r="F947">
        <v>25</v>
      </c>
      <c r="G947" t="s">
        <v>37893</v>
      </c>
      <c r="H947" t="s">
        <v>37894</v>
      </c>
      <c r="I947" s="4" t="s">
        <v>37895</v>
      </c>
      <c r="J947" t="s">
        <v>71</v>
      </c>
      <c r="K947" t="s">
        <v>10782</v>
      </c>
      <c r="L947" t="s">
        <v>37896</v>
      </c>
    </row>
    <row r="948" spans="1:12" ht="115.2" x14ac:dyDescent="0.3">
      <c r="A948" s="4" t="s">
        <v>3674</v>
      </c>
      <c r="B948">
        <v>2</v>
      </c>
      <c r="C948">
        <v>3</v>
      </c>
      <c r="D948">
        <v>2010</v>
      </c>
      <c r="E948" t="s">
        <v>35974</v>
      </c>
      <c r="F948">
        <v>8</v>
      </c>
      <c r="G948" t="s">
        <v>38009</v>
      </c>
      <c r="H948" t="s">
        <v>38010</v>
      </c>
      <c r="I948" s="4" t="s">
        <v>38011</v>
      </c>
      <c r="J948" t="s">
        <v>71</v>
      </c>
      <c r="K948" t="s">
        <v>10782</v>
      </c>
      <c r="L948" t="s">
        <v>38012</v>
      </c>
    </row>
    <row r="949" spans="1:12" ht="230.4" x14ac:dyDescent="0.3">
      <c r="A949" s="4" t="s">
        <v>3675</v>
      </c>
      <c r="B949">
        <v>2</v>
      </c>
      <c r="C949">
        <v>3</v>
      </c>
      <c r="D949">
        <v>2010</v>
      </c>
      <c r="E949" t="s">
        <v>550</v>
      </c>
      <c r="F949">
        <v>130</v>
      </c>
      <c r="G949" t="s">
        <v>38025</v>
      </c>
      <c r="H949" t="s">
        <v>38026</v>
      </c>
      <c r="I949" s="4" t="s">
        <v>38027</v>
      </c>
      <c r="J949" t="s">
        <v>71</v>
      </c>
      <c r="K949" t="s">
        <v>10782</v>
      </c>
      <c r="L949" t="s">
        <v>38028</v>
      </c>
    </row>
    <row r="950" spans="1:12" ht="158.4" x14ac:dyDescent="0.3">
      <c r="A950" s="4" t="s">
        <v>2953</v>
      </c>
      <c r="B950">
        <v>2</v>
      </c>
      <c r="C950">
        <v>1</v>
      </c>
      <c r="D950">
        <v>2010</v>
      </c>
      <c r="E950" t="s">
        <v>3061</v>
      </c>
      <c r="F950">
        <v>3</v>
      </c>
      <c r="G950" t="s">
        <v>38036</v>
      </c>
      <c r="H950" t="s">
        <v>38037</v>
      </c>
      <c r="I950" s="4" t="s">
        <v>38038</v>
      </c>
      <c r="J950" t="s">
        <v>71</v>
      </c>
      <c r="K950" t="s">
        <v>10782</v>
      </c>
      <c r="L950" t="s">
        <v>38039</v>
      </c>
    </row>
    <row r="951" spans="1:12" ht="100.8" x14ac:dyDescent="0.3">
      <c r="A951" s="4" t="s">
        <v>2954</v>
      </c>
      <c r="B951">
        <v>2</v>
      </c>
      <c r="C951">
        <v>1</v>
      </c>
      <c r="D951">
        <v>2010</v>
      </c>
      <c r="E951" t="s">
        <v>3058</v>
      </c>
      <c r="F951">
        <v>29</v>
      </c>
      <c r="G951" t="s">
        <v>38104</v>
      </c>
      <c r="H951" t="s">
        <v>38105</v>
      </c>
      <c r="I951" s="4" t="s">
        <v>38106</v>
      </c>
      <c r="J951" t="s">
        <v>71</v>
      </c>
      <c r="K951" t="s">
        <v>10782</v>
      </c>
      <c r="L951" t="s">
        <v>38107</v>
      </c>
    </row>
    <row r="952" spans="1:12" ht="187.2" x14ac:dyDescent="0.3">
      <c r="A952" s="4" t="s">
        <v>3676</v>
      </c>
      <c r="B952">
        <v>2</v>
      </c>
      <c r="C952">
        <v>3</v>
      </c>
      <c r="D952">
        <v>2010</v>
      </c>
      <c r="E952" t="s">
        <v>2853</v>
      </c>
      <c r="F952">
        <v>120</v>
      </c>
      <c r="G952" t="s">
        <v>38176</v>
      </c>
      <c r="H952" t="s">
        <v>38177</v>
      </c>
      <c r="I952" s="4" t="s">
        <v>38178</v>
      </c>
      <c r="J952" t="s">
        <v>71</v>
      </c>
      <c r="K952" t="s">
        <v>10782</v>
      </c>
      <c r="L952" t="s">
        <v>38179</v>
      </c>
    </row>
    <row r="953" spans="1:12" ht="187.2" x14ac:dyDescent="0.3">
      <c r="A953" s="4" t="s">
        <v>3677</v>
      </c>
      <c r="B953">
        <v>2</v>
      </c>
      <c r="C953">
        <v>3</v>
      </c>
      <c r="D953">
        <v>2010</v>
      </c>
      <c r="E953" t="s">
        <v>2853</v>
      </c>
      <c r="F953">
        <v>33</v>
      </c>
      <c r="G953" t="s">
        <v>38223</v>
      </c>
      <c r="H953" t="s">
        <v>38224</v>
      </c>
      <c r="I953" s="4" t="s">
        <v>38225</v>
      </c>
      <c r="J953" t="s">
        <v>71</v>
      </c>
      <c r="K953" t="s">
        <v>10782</v>
      </c>
      <c r="L953" t="s">
        <v>38226</v>
      </c>
    </row>
    <row r="954" spans="1:12" ht="158.4" x14ac:dyDescent="0.3">
      <c r="A954" s="4" t="s">
        <v>3678</v>
      </c>
      <c r="B954">
        <v>2</v>
      </c>
      <c r="C954">
        <v>3</v>
      </c>
      <c r="D954">
        <v>2009</v>
      </c>
      <c r="E954" t="s">
        <v>10924</v>
      </c>
      <c r="F954">
        <v>61</v>
      </c>
      <c r="G954" t="s">
        <v>38699</v>
      </c>
      <c r="H954" t="s">
        <v>38700</v>
      </c>
      <c r="I954" s="4" t="s">
        <v>38701</v>
      </c>
      <c r="J954" t="s">
        <v>71</v>
      </c>
      <c r="K954" t="s">
        <v>10782</v>
      </c>
      <c r="L954" t="s">
        <v>38702</v>
      </c>
    </row>
    <row r="955" spans="1:12" ht="158.4" x14ac:dyDescent="0.3">
      <c r="A955" s="4" t="s">
        <v>2956</v>
      </c>
      <c r="B955">
        <v>2</v>
      </c>
      <c r="C955">
        <v>1</v>
      </c>
      <c r="D955">
        <v>2009</v>
      </c>
      <c r="E955" t="s">
        <v>2282</v>
      </c>
      <c r="F955">
        <v>121</v>
      </c>
      <c r="G955" t="s">
        <v>38772</v>
      </c>
      <c r="H955" t="s">
        <v>38773</v>
      </c>
      <c r="I955" s="4" t="s">
        <v>38774</v>
      </c>
      <c r="J955" t="s">
        <v>71</v>
      </c>
      <c r="K955" t="s">
        <v>10782</v>
      </c>
      <c r="L955" t="s">
        <v>38775</v>
      </c>
    </row>
    <row r="956" spans="1:12" ht="115.2" x14ac:dyDescent="0.3">
      <c r="A956" s="4" t="s">
        <v>3679</v>
      </c>
      <c r="B956">
        <v>2</v>
      </c>
      <c r="C956">
        <v>2</v>
      </c>
      <c r="D956">
        <v>2009</v>
      </c>
      <c r="E956" t="s">
        <v>38788</v>
      </c>
      <c r="F956">
        <v>0</v>
      </c>
      <c r="H956" t="s">
        <v>38789</v>
      </c>
      <c r="I956" s="4" t="s">
        <v>38790</v>
      </c>
      <c r="J956" s="4" t="s">
        <v>71</v>
      </c>
      <c r="K956" t="s">
        <v>10782</v>
      </c>
      <c r="L956" t="s">
        <v>38791</v>
      </c>
    </row>
    <row r="957" spans="1:12" ht="100.8" x14ac:dyDescent="0.3">
      <c r="A957" s="4" t="s">
        <v>3680</v>
      </c>
      <c r="B957">
        <v>2</v>
      </c>
      <c r="C957">
        <v>3</v>
      </c>
      <c r="D957">
        <v>2009</v>
      </c>
      <c r="E957" t="s">
        <v>11310</v>
      </c>
      <c r="F957">
        <v>9</v>
      </c>
      <c r="G957" t="s">
        <v>38862</v>
      </c>
      <c r="H957" t="s">
        <v>38863</v>
      </c>
      <c r="I957" s="4" t="s">
        <v>38864</v>
      </c>
      <c r="J957" t="s">
        <v>71</v>
      </c>
      <c r="K957" t="s">
        <v>10782</v>
      </c>
      <c r="L957" t="s">
        <v>38865</v>
      </c>
    </row>
    <row r="959" spans="1:12" x14ac:dyDescent="0.3">
      <c r="B959" t="s">
        <v>39105</v>
      </c>
      <c r="C959" s="2">
        <f>COUNTIF($C$2:$C$957,1)</f>
        <v>385</v>
      </c>
    </row>
    <row r="960" spans="1:12" x14ac:dyDescent="0.3">
      <c r="B960" t="s">
        <v>39106</v>
      </c>
      <c r="C960" s="2">
        <f>COUNTIF($C$2:$C$957,2)</f>
        <v>12</v>
      </c>
    </row>
    <row r="961" spans="2:3" x14ac:dyDescent="0.3">
      <c r="B961" t="s">
        <v>39107</v>
      </c>
      <c r="C961" s="2">
        <f>COUNTIF($C$2:$C$957,3)</f>
        <v>559</v>
      </c>
    </row>
    <row r="963" spans="2:3" x14ac:dyDescent="0.3">
      <c r="B963" s="45" t="s">
        <v>39108</v>
      </c>
      <c r="C963">
        <f>COUNTIFS($B$2:$B$957,1,$C$2:$C$957,1)</f>
        <v>297</v>
      </c>
    </row>
    <row r="964" spans="2:3" x14ac:dyDescent="0.3">
      <c r="B964" t="s">
        <v>39109</v>
      </c>
      <c r="C964">
        <f>COUNTIFS($B$2:$B$957,1,$C$2:$C$957,2)</f>
        <v>8</v>
      </c>
    </row>
    <row r="965" spans="2:3" x14ac:dyDescent="0.3">
      <c r="B965" t="s">
        <v>39110</v>
      </c>
      <c r="C965">
        <f>COUNTIFS($B$2:$B$957,1,$C$2:$C$957,3)</f>
        <v>325</v>
      </c>
    </row>
    <row r="967" spans="2:3" x14ac:dyDescent="0.3">
      <c r="B967" t="s">
        <v>39111</v>
      </c>
      <c r="C967">
        <f>COUNTIFS($B$2:$B$957,2,$C$2:$C$957,1)</f>
        <v>88</v>
      </c>
    </row>
    <row r="968" spans="2:3" x14ac:dyDescent="0.3">
      <c r="B968" t="s">
        <v>39112</v>
      </c>
      <c r="C968">
        <f>COUNTIFS($B$2:$B$957,2,$C$2:$C$957,2)</f>
        <v>4</v>
      </c>
    </row>
    <row r="969" spans="2:3" x14ac:dyDescent="0.3">
      <c r="B969" t="s">
        <v>39113</v>
      </c>
      <c r="C969">
        <f>COUNTIFS($B$2:$B$957,2,$C$2:$C$957,3)</f>
        <v>234</v>
      </c>
    </row>
    <row r="971" spans="2:3" x14ac:dyDescent="0.3">
      <c r="B971" t="s">
        <v>39114</v>
      </c>
      <c r="C971">
        <f>COUNTIFS($B$2:$B$957,3,$C$2:$C$957,1)</f>
        <v>0</v>
      </c>
    </row>
    <row r="972" spans="2:3" x14ac:dyDescent="0.3">
      <c r="B972" t="s">
        <v>39115</v>
      </c>
      <c r="C972">
        <f>COUNTIFS($B$2:$B$957,3,$C$2:$C$957,2)</f>
        <v>0</v>
      </c>
    </row>
    <row r="973" spans="2:3" x14ac:dyDescent="0.3">
      <c r="B973" t="s">
        <v>39116</v>
      </c>
      <c r="C973">
        <f>COUNTIFS($B$2:$B$957,3,$C$2:$C$957,3)</f>
        <v>0</v>
      </c>
    </row>
  </sheetData>
  <hyperlinks>
    <hyperlink ref="H312" r:id="rId1" xr:uid="{D1833FEC-D307-4B1F-BE4F-B3254064F6AB}"/>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5DD3E-EA82-41FD-BF0F-8B28054510AD}">
  <dimension ref="A1:AJ414"/>
  <sheetViews>
    <sheetView topLeftCell="X1" workbookViewId="0">
      <pane ySplit="1" topLeftCell="A2" activePane="bottomLeft" state="frozen"/>
      <selection pane="bottomLeft" activeCell="AF215" sqref="AF215"/>
    </sheetView>
  </sheetViews>
  <sheetFormatPr baseColWidth="10" defaultRowHeight="14.4" x14ac:dyDescent="0.3"/>
  <cols>
    <col min="1" max="1" width="20.33203125" bestFit="1" customWidth="1"/>
    <col min="3" max="3" width="11.5546875" style="3"/>
    <col min="4" max="4" width="22.44140625" bestFit="1" customWidth="1"/>
    <col min="5" max="5" width="14.6640625" style="3" bestFit="1" customWidth="1"/>
    <col min="7" max="7" width="22.44140625" customWidth="1"/>
    <col min="8" max="8" width="35.88671875" bestFit="1" customWidth="1"/>
    <col min="9" max="9" width="13.109375" customWidth="1"/>
    <col min="10" max="10" width="13.109375" style="3" customWidth="1"/>
    <col min="11" max="11" width="20" bestFit="1" customWidth="1"/>
    <col min="12" max="12" width="28.88671875" bestFit="1" customWidth="1"/>
    <col min="13" max="13" width="21.77734375" style="3" bestFit="1" customWidth="1"/>
    <col min="15" max="15" width="11.5546875" style="3"/>
    <col min="16" max="16" width="15.109375" style="3" bestFit="1" customWidth="1"/>
    <col min="18" max="18" width="13.109375" bestFit="1" customWidth="1"/>
    <col min="19" max="19" width="28.33203125" bestFit="1" customWidth="1"/>
    <col min="20" max="20" width="28.6640625" customWidth="1"/>
    <col min="21" max="21" width="17.6640625" bestFit="1" customWidth="1"/>
    <col min="22" max="22" width="15.21875" customWidth="1"/>
    <col min="23" max="23" width="27.21875" style="3" bestFit="1" customWidth="1"/>
    <col min="24" max="24" width="33.33203125" style="3" bestFit="1" customWidth="1"/>
    <col min="25" max="25" width="20.21875" style="3" customWidth="1"/>
    <col min="26" max="26" width="27" style="3" bestFit="1" customWidth="1"/>
    <col min="27" max="27" width="23.5546875" bestFit="1" customWidth="1"/>
    <col min="28" max="28" width="23.109375" style="3" bestFit="1" customWidth="1"/>
    <col min="29" max="29" width="15.5546875" bestFit="1" customWidth="1"/>
    <col min="30" max="30" width="19.109375" bestFit="1" customWidth="1"/>
  </cols>
  <sheetData>
    <row r="1" spans="1:32" s="2" customFormat="1" x14ac:dyDescent="0.3">
      <c r="A1" s="2" t="s">
        <v>55</v>
      </c>
      <c r="B1" s="2" t="s">
        <v>0</v>
      </c>
      <c r="C1" s="1" t="s">
        <v>0</v>
      </c>
      <c r="D1" s="2" t="s">
        <v>1</v>
      </c>
      <c r="E1" s="1" t="s">
        <v>1</v>
      </c>
      <c r="F1" s="2" t="s">
        <v>56</v>
      </c>
      <c r="G1" s="2" t="s">
        <v>57</v>
      </c>
      <c r="H1" s="2" t="s">
        <v>58</v>
      </c>
      <c r="I1" s="8" t="s">
        <v>2</v>
      </c>
      <c r="J1" s="9" t="s">
        <v>2</v>
      </c>
      <c r="K1" s="2" t="s">
        <v>59</v>
      </c>
      <c r="L1" s="2" t="s">
        <v>3</v>
      </c>
      <c r="M1" s="1" t="s">
        <v>3</v>
      </c>
      <c r="N1" s="2" t="s">
        <v>60</v>
      </c>
      <c r="O1" s="1" t="s">
        <v>4</v>
      </c>
      <c r="P1" s="1" t="s">
        <v>5</v>
      </c>
      <c r="Q1" s="2" t="s">
        <v>61</v>
      </c>
      <c r="R1" s="2" t="s">
        <v>62</v>
      </c>
      <c r="S1" s="2" t="s">
        <v>63</v>
      </c>
      <c r="T1" s="2" t="s">
        <v>64</v>
      </c>
      <c r="U1" s="2" t="s">
        <v>7</v>
      </c>
      <c r="V1" s="2" t="s">
        <v>65</v>
      </c>
      <c r="W1" s="1" t="s">
        <v>6</v>
      </c>
      <c r="X1" s="1" t="s">
        <v>39119</v>
      </c>
      <c r="Y1" s="1" t="s">
        <v>7</v>
      </c>
      <c r="Z1" s="1" t="s">
        <v>39118</v>
      </c>
      <c r="AA1" s="2" t="s">
        <v>66</v>
      </c>
      <c r="AB1" s="1" t="s">
        <v>8</v>
      </c>
      <c r="AC1" s="2" t="s">
        <v>67</v>
      </c>
      <c r="AD1" s="2" t="s">
        <v>68</v>
      </c>
      <c r="AE1" s="2" t="s">
        <v>69</v>
      </c>
      <c r="AF1" s="2" t="s">
        <v>70</v>
      </c>
    </row>
    <row r="2" spans="1:32" s="6" customFormat="1" ht="57.6" x14ac:dyDescent="0.3">
      <c r="A2" s="6" t="s">
        <v>82</v>
      </c>
      <c r="B2">
        <v>2025</v>
      </c>
      <c r="C2" s="7">
        <v>17</v>
      </c>
      <c r="D2" t="s">
        <v>71</v>
      </c>
      <c r="E2" s="7">
        <v>1</v>
      </c>
      <c r="F2" s="14" t="s">
        <v>84</v>
      </c>
      <c r="G2" t="s">
        <v>83</v>
      </c>
      <c r="H2" s="4" t="s">
        <v>81</v>
      </c>
      <c r="I2" s="10" t="s">
        <v>79</v>
      </c>
      <c r="J2" s="11">
        <v>3</v>
      </c>
      <c r="K2" s="6" t="s">
        <v>85</v>
      </c>
      <c r="L2" s="10" t="s">
        <v>86</v>
      </c>
      <c r="M2" s="11">
        <v>6</v>
      </c>
      <c r="N2" s="12" t="s">
        <v>75</v>
      </c>
      <c r="O2" s="11">
        <v>100</v>
      </c>
      <c r="P2" s="11">
        <v>100</v>
      </c>
      <c r="Q2" s="12" t="s">
        <v>75</v>
      </c>
      <c r="R2" s="12" t="s">
        <v>75</v>
      </c>
      <c r="S2" s="12" t="s">
        <v>75</v>
      </c>
      <c r="T2" s="12" t="s">
        <v>75</v>
      </c>
      <c r="U2" s="12" t="s">
        <v>75</v>
      </c>
      <c r="V2" s="12" t="s">
        <v>75</v>
      </c>
      <c r="W2" s="7">
        <v>3</v>
      </c>
      <c r="X2" s="7">
        <v>3</v>
      </c>
      <c r="Y2" s="7">
        <v>17</v>
      </c>
      <c r="Z2" s="7">
        <v>4</v>
      </c>
      <c r="AA2" s="13" t="s">
        <v>74</v>
      </c>
      <c r="AB2" s="11">
        <v>2</v>
      </c>
      <c r="AC2" s="12" t="s">
        <v>75</v>
      </c>
      <c r="AD2" s="12" t="s">
        <v>75</v>
      </c>
      <c r="AE2" s="12" t="s">
        <v>75</v>
      </c>
    </row>
    <row r="3" spans="1:32" s="6" customFormat="1" ht="86.4" x14ac:dyDescent="0.3">
      <c r="A3" s="6" t="s">
        <v>95</v>
      </c>
      <c r="B3">
        <v>2025</v>
      </c>
      <c r="C3" s="7">
        <v>17</v>
      </c>
      <c r="D3" t="s">
        <v>71</v>
      </c>
      <c r="E3" s="7">
        <v>1</v>
      </c>
      <c r="F3" s="14" t="s">
        <v>97</v>
      </c>
      <c r="G3" s="6" t="s">
        <v>88</v>
      </c>
      <c r="H3" s="4" t="s">
        <v>87</v>
      </c>
      <c r="I3" s="10" t="s">
        <v>48</v>
      </c>
      <c r="J3" s="11">
        <v>8</v>
      </c>
      <c r="L3" s="10" t="s">
        <v>89</v>
      </c>
      <c r="M3" s="7">
        <v>4</v>
      </c>
      <c r="N3" s="10" t="s">
        <v>93</v>
      </c>
      <c r="O3" s="7">
        <v>2</v>
      </c>
      <c r="P3" s="7">
        <v>5</v>
      </c>
      <c r="Q3" s="6" t="s">
        <v>90</v>
      </c>
      <c r="R3" s="6" t="s">
        <v>91</v>
      </c>
      <c r="S3" s="10" t="s">
        <v>92</v>
      </c>
      <c r="T3" s="10" t="s">
        <v>2469</v>
      </c>
      <c r="U3" s="10" t="s">
        <v>76</v>
      </c>
      <c r="V3" s="10" t="s">
        <v>94</v>
      </c>
      <c r="W3" s="7">
        <v>2</v>
      </c>
      <c r="X3" s="7">
        <v>2</v>
      </c>
      <c r="Y3" s="7">
        <v>16</v>
      </c>
      <c r="Z3" s="7">
        <v>3</v>
      </c>
      <c r="AA3" s="13" t="s">
        <v>74</v>
      </c>
      <c r="AB3" s="7">
        <v>2</v>
      </c>
      <c r="AC3" s="12" t="s">
        <v>75</v>
      </c>
      <c r="AD3" s="6">
        <v>90</v>
      </c>
      <c r="AE3" s="6" t="s">
        <v>73</v>
      </c>
      <c r="AF3" s="6" t="s">
        <v>39124</v>
      </c>
    </row>
    <row r="4" spans="1:32" s="6" customFormat="1" ht="187.2" x14ac:dyDescent="0.3">
      <c r="A4" s="6" t="s">
        <v>103</v>
      </c>
      <c r="B4">
        <v>2025</v>
      </c>
      <c r="C4" s="7">
        <v>17</v>
      </c>
      <c r="D4" t="s">
        <v>71</v>
      </c>
      <c r="E4" s="7">
        <v>1</v>
      </c>
      <c r="F4" s="14" t="s">
        <v>98</v>
      </c>
      <c r="G4" t="s">
        <v>80</v>
      </c>
      <c r="H4" s="4" t="s">
        <v>96</v>
      </c>
      <c r="I4" s="10" t="s">
        <v>99</v>
      </c>
      <c r="J4" s="11">
        <v>6</v>
      </c>
      <c r="K4" s="6" t="s">
        <v>101</v>
      </c>
      <c r="L4" s="10" t="s">
        <v>102</v>
      </c>
      <c r="M4" s="11">
        <v>5</v>
      </c>
      <c r="N4" s="10" t="s">
        <v>112</v>
      </c>
      <c r="O4" s="11">
        <v>5</v>
      </c>
      <c r="P4" s="11">
        <v>3</v>
      </c>
      <c r="Q4" s="10" t="s">
        <v>113</v>
      </c>
      <c r="R4" s="10" t="s">
        <v>114</v>
      </c>
      <c r="S4" s="10" t="s">
        <v>123</v>
      </c>
      <c r="T4" s="10" t="s">
        <v>115</v>
      </c>
      <c r="U4" s="12" t="s">
        <v>127</v>
      </c>
      <c r="V4" s="10" t="s">
        <v>140</v>
      </c>
      <c r="W4" s="7">
        <v>3</v>
      </c>
      <c r="X4" s="7">
        <v>3</v>
      </c>
      <c r="Y4" s="7">
        <v>17</v>
      </c>
      <c r="Z4" s="7">
        <v>4</v>
      </c>
      <c r="AA4" s="10" t="s">
        <v>126</v>
      </c>
      <c r="AB4" s="11">
        <v>1</v>
      </c>
      <c r="AC4" s="6" t="s">
        <v>100</v>
      </c>
      <c r="AD4" s="10" t="s">
        <v>124</v>
      </c>
      <c r="AE4" s="10" t="s">
        <v>73</v>
      </c>
      <c r="AF4" s="6" t="s">
        <v>125</v>
      </c>
    </row>
    <row r="5" spans="1:32" s="6" customFormat="1" ht="72" x14ac:dyDescent="0.3">
      <c r="A5" s="6" t="s">
        <v>107</v>
      </c>
      <c r="B5">
        <v>2025</v>
      </c>
      <c r="C5" s="7">
        <v>17</v>
      </c>
      <c r="D5" t="s">
        <v>71</v>
      </c>
      <c r="E5" s="7">
        <v>1</v>
      </c>
      <c r="F5" s="14" t="s">
        <v>121</v>
      </c>
      <c r="G5" t="s">
        <v>105</v>
      </c>
      <c r="H5" s="4" t="s">
        <v>104</v>
      </c>
      <c r="I5" s="10" t="s">
        <v>108</v>
      </c>
      <c r="J5" s="11">
        <v>3</v>
      </c>
      <c r="K5" s="6" t="s">
        <v>109</v>
      </c>
      <c r="L5" s="10" t="s">
        <v>110</v>
      </c>
      <c r="M5" s="11">
        <v>4</v>
      </c>
      <c r="N5" s="10" t="s">
        <v>111</v>
      </c>
      <c r="O5" s="11">
        <v>1</v>
      </c>
      <c r="P5" s="11">
        <v>100</v>
      </c>
      <c r="Q5" s="10" t="s">
        <v>118</v>
      </c>
      <c r="R5" s="10" t="s">
        <v>119</v>
      </c>
      <c r="S5" s="12" t="s">
        <v>75</v>
      </c>
      <c r="T5" s="10" t="s">
        <v>120</v>
      </c>
      <c r="U5" s="12" t="s">
        <v>116</v>
      </c>
      <c r="V5" s="10" t="s">
        <v>141</v>
      </c>
      <c r="W5" s="7">
        <v>3</v>
      </c>
      <c r="X5" s="7">
        <v>3</v>
      </c>
      <c r="Y5" s="7">
        <v>17</v>
      </c>
      <c r="Z5" s="7">
        <v>4</v>
      </c>
      <c r="AA5" s="13" t="s">
        <v>74</v>
      </c>
      <c r="AB5" s="11">
        <v>2</v>
      </c>
      <c r="AC5" s="10" t="s">
        <v>117</v>
      </c>
      <c r="AD5" s="6">
        <v>30</v>
      </c>
      <c r="AE5" s="12" t="s">
        <v>75</v>
      </c>
      <c r="AF5" s="6" t="s">
        <v>122</v>
      </c>
    </row>
    <row r="6" spans="1:32" s="6" customFormat="1" ht="72" x14ac:dyDescent="0.3">
      <c r="A6" s="6" t="s">
        <v>145</v>
      </c>
      <c r="B6">
        <v>2025</v>
      </c>
      <c r="C6" s="7">
        <v>17</v>
      </c>
      <c r="D6" t="s">
        <v>71</v>
      </c>
      <c r="E6" s="7">
        <v>1</v>
      </c>
      <c r="F6" s="14" t="s">
        <v>129</v>
      </c>
      <c r="G6" t="s">
        <v>128</v>
      </c>
      <c r="H6" s="4" t="s">
        <v>106</v>
      </c>
      <c r="I6" s="10" t="s">
        <v>130</v>
      </c>
      <c r="J6" s="11">
        <v>6</v>
      </c>
      <c r="K6" s="6" t="s">
        <v>131</v>
      </c>
      <c r="L6" s="10" t="s">
        <v>132</v>
      </c>
      <c r="M6" s="11">
        <v>15</v>
      </c>
      <c r="N6" s="10" t="s">
        <v>133</v>
      </c>
      <c r="O6" s="11">
        <v>2</v>
      </c>
      <c r="P6" s="11">
        <v>3</v>
      </c>
      <c r="Q6" s="10" t="s">
        <v>134</v>
      </c>
      <c r="R6" s="10" t="s">
        <v>135</v>
      </c>
      <c r="S6" s="10" t="s">
        <v>136</v>
      </c>
      <c r="T6" s="10" t="s">
        <v>137</v>
      </c>
      <c r="U6" s="12" t="s">
        <v>138</v>
      </c>
      <c r="V6" s="10" t="s">
        <v>139</v>
      </c>
      <c r="W6" s="7">
        <v>3</v>
      </c>
      <c r="X6" s="7">
        <v>3</v>
      </c>
      <c r="Y6" s="7">
        <v>17</v>
      </c>
      <c r="Z6" s="7">
        <v>4</v>
      </c>
      <c r="AA6" s="10" t="s">
        <v>142</v>
      </c>
      <c r="AB6" s="11">
        <v>1</v>
      </c>
      <c r="AC6" s="12" t="s">
        <v>75</v>
      </c>
      <c r="AD6" s="6" t="s">
        <v>143</v>
      </c>
      <c r="AE6" s="10" t="s">
        <v>73</v>
      </c>
      <c r="AF6" s="6" t="s">
        <v>144</v>
      </c>
    </row>
    <row r="7" spans="1:32" s="6" customFormat="1" ht="100.8" x14ac:dyDescent="0.3">
      <c r="A7" s="6" t="s">
        <v>161</v>
      </c>
      <c r="B7">
        <v>2025</v>
      </c>
      <c r="C7" s="7">
        <v>17</v>
      </c>
      <c r="D7" t="s">
        <v>71</v>
      </c>
      <c r="E7" s="7">
        <v>1</v>
      </c>
      <c r="F7" s="14" t="s">
        <v>160</v>
      </c>
      <c r="G7" t="s">
        <v>147</v>
      </c>
      <c r="H7" s="4" t="s">
        <v>146</v>
      </c>
      <c r="I7" s="10" t="s">
        <v>2524</v>
      </c>
      <c r="J7" s="11">
        <v>3</v>
      </c>
      <c r="K7" s="6" t="s">
        <v>148</v>
      </c>
      <c r="L7" s="10" t="s">
        <v>149</v>
      </c>
      <c r="M7" s="11">
        <v>14</v>
      </c>
      <c r="N7" s="10" t="s">
        <v>155</v>
      </c>
      <c r="O7" s="11">
        <v>1</v>
      </c>
      <c r="P7" s="11">
        <v>2</v>
      </c>
      <c r="Q7" s="10" t="s">
        <v>118</v>
      </c>
      <c r="R7" s="6" t="s">
        <v>156</v>
      </c>
      <c r="S7" s="10" t="s">
        <v>157</v>
      </c>
      <c r="T7" s="10" t="s">
        <v>39126</v>
      </c>
      <c r="U7" s="10" t="s">
        <v>158</v>
      </c>
      <c r="V7" s="10" t="s">
        <v>78</v>
      </c>
      <c r="W7" s="11">
        <v>1</v>
      </c>
      <c r="X7" s="11">
        <v>3</v>
      </c>
      <c r="Y7" s="11">
        <v>2</v>
      </c>
      <c r="Z7" s="11">
        <v>5</v>
      </c>
      <c r="AA7" s="12" t="s">
        <v>74</v>
      </c>
      <c r="AB7" s="11">
        <v>2</v>
      </c>
      <c r="AC7" s="10" t="s">
        <v>159</v>
      </c>
      <c r="AD7" s="6">
        <v>30</v>
      </c>
      <c r="AE7" s="10" t="s">
        <v>73</v>
      </c>
      <c r="AF7" s="12"/>
    </row>
    <row r="8" spans="1:32" s="6" customFormat="1" ht="72" x14ac:dyDescent="0.3">
      <c r="A8" s="6" t="s">
        <v>162</v>
      </c>
      <c r="B8" s="6">
        <v>2025</v>
      </c>
      <c r="C8" s="7">
        <v>17</v>
      </c>
      <c r="D8" s="6" t="s">
        <v>71</v>
      </c>
      <c r="E8" s="7">
        <v>1</v>
      </c>
      <c r="F8" s="14" t="s">
        <v>175</v>
      </c>
      <c r="G8" t="s">
        <v>164</v>
      </c>
      <c r="H8" s="4" t="s">
        <v>163</v>
      </c>
      <c r="I8" s="10" t="s">
        <v>167</v>
      </c>
      <c r="J8" s="11">
        <v>3</v>
      </c>
      <c r="K8" s="6" t="s">
        <v>165</v>
      </c>
      <c r="L8" s="10" t="s">
        <v>166</v>
      </c>
      <c r="M8" s="11">
        <v>2</v>
      </c>
      <c r="N8" s="10" t="s">
        <v>168</v>
      </c>
      <c r="O8" s="11">
        <v>3</v>
      </c>
      <c r="P8" s="11">
        <v>3</v>
      </c>
      <c r="Q8" s="10" t="s">
        <v>169</v>
      </c>
      <c r="R8" s="10" t="s">
        <v>171</v>
      </c>
      <c r="S8" s="10" t="s">
        <v>172</v>
      </c>
      <c r="T8" s="10" t="s">
        <v>170</v>
      </c>
      <c r="U8" s="10" t="s">
        <v>173</v>
      </c>
      <c r="V8" s="10" t="s">
        <v>139</v>
      </c>
      <c r="W8" s="7">
        <v>3</v>
      </c>
      <c r="X8" s="7">
        <v>3</v>
      </c>
      <c r="Y8" s="7">
        <v>17</v>
      </c>
      <c r="Z8" s="7">
        <v>4</v>
      </c>
      <c r="AA8" s="12" t="s">
        <v>74</v>
      </c>
      <c r="AB8" s="11">
        <v>2</v>
      </c>
      <c r="AC8" s="12" t="s">
        <v>75</v>
      </c>
      <c r="AD8" s="10" t="s">
        <v>174</v>
      </c>
      <c r="AE8" s="12" t="s">
        <v>75</v>
      </c>
    </row>
    <row r="9" spans="1:32" s="6" customFormat="1" ht="57.6" x14ac:dyDescent="0.3">
      <c r="A9" s="6" t="s">
        <v>188</v>
      </c>
      <c r="B9" s="6">
        <v>2025</v>
      </c>
      <c r="C9" s="7">
        <v>17</v>
      </c>
      <c r="D9" s="6" t="s">
        <v>71</v>
      </c>
      <c r="E9" s="7">
        <v>1</v>
      </c>
      <c r="F9" s="14" t="s">
        <v>176</v>
      </c>
      <c r="G9" t="s">
        <v>177</v>
      </c>
      <c r="H9" s="4" t="s">
        <v>178</v>
      </c>
      <c r="I9" s="10" t="s">
        <v>179</v>
      </c>
      <c r="J9" s="11">
        <v>1</v>
      </c>
      <c r="K9" s="6" t="s">
        <v>180</v>
      </c>
      <c r="L9" s="10" t="s">
        <v>181</v>
      </c>
      <c r="M9" s="11">
        <v>3</v>
      </c>
      <c r="N9" s="10" t="s">
        <v>182</v>
      </c>
      <c r="O9" s="11">
        <v>1</v>
      </c>
      <c r="P9" s="11">
        <v>100</v>
      </c>
      <c r="Q9" s="10" t="s">
        <v>118</v>
      </c>
      <c r="R9" s="6" t="s">
        <v>156</v>
      </c>
      <c r="S9" s="10" t="s">
        <v>184</v>
      </c>
      <c r="T9" s="10" t="s">
        <v>183</v>
      </c>
      <c r="U9" s="10" t="s">
        <v>185</v>
      </c>
      <c r="V9" s="10" t="s">
        <v>186</v>
      </c>
      <c r="W9" s="7">
        <v>3</v>
      </c>
      <c r="X9" s="7">
        <v>3</v>
      </c>
      <c r="Y9" s="7">
        <v>17</v>
      </c>
      <c r="Z9" s="7">
        <v>4</v>
      </c>
      <c r="AA9" s="12" t="s">
        <v>74</v>
      </c>
      <c r="AB9" s="11">
        <v>2</v>
      </c>
      <c r="AC9" s="10" t="s">
        <v>72</v>
      </c>
      <c r="AD9" s="10" t="s">
        <v>187</v>
      </c>
      <c r="AE9" s="6" t="s">
        <v>73</v>
      </c>
    </row>
    <row r="10" spans="1:32" s="6" customFormat="1" ht="129.6" x14ac:dyDescent="0.3">
      <c r="A10" s="6" t="s">
        <v>199</v>
      </c>
      <c r="B10" s="6">
        <v>2025</v>
      </c>
      <c r="C10" s="7">
        <v>17</v>
      </c>
      <c r="D10" s="6" t="s">
        <v>71</v>
      </c>
      <c r="E10" s="7">
        <v>1</v>
      </c>
      <c r="F10" s="15" t="s">
        <v>198</v>
      </c>
      <c r="G10" t="s">
        <v>190</v>
      </c>
      <c r="H10" s="4" t="s">
        <v>189</v>
      </c>
      <c r="I10" s="10" t="s">
        <v>197</v>
      </c>
      <c r="J10" s="11">
        <v>3</v>
      </c>
      <c r="K10" s="6" t="s">
        <v>196</v>
      </c>
      <c r="L10" s="10" t="s">
        <v>191</v>
      </c>
      <c r="M10" s="11">
        <v>15</v>
      </c>
      <c r="N10" s="10" t="s">
        <v>192</v>
      </c>
      <c r="O10" s="7">
        <v>1</v>
      </c>
      <c r="P10" s="7">
        <v>2</v>
      </c>
      <c r="Q10" s="10" t="s">
        <v>118</v>
      </c>
      <c r="R10" s="10" t="s">
        <v>193</v>
      </c>
      <c r="S10" s="10" t="s">
        <v>194</v>
      </c>
      <c r="T10" s="10" t="s">
        <v>195</v>
      </c>
      <c r="U10" s="12" t="s">
        <v>116</v>
      </c>
      <c r="V10" s="10" t="s">
        <v>186</v>
      </c>
      <c r="W10" s="7">
        <v>3</v>
      </c>
      <c r="X10" s="7">
        <v>3</v>
      </c>
      <c r="Y10" s="7">
        <v>17</v>
      </c>
      <c r="Z10" s="7">
        <v>4</v>
      </c>
      <c r="AA10" s="12" t="s">
        <v>74</v>
      </c>
      <c r="AB10" s="11">
        <v>2</v>
      </c>
      <c r="AC10" s="12" t="s">
        <v>75</v>
      </c>
      <c r="AD10" s="6">
        <v>90</v>
      </c>
      <c r="AE10" s="10" t="s">
        <v>73</v>
      </c>
    </row>
    <row r="11" spans="1:32" s="6" customFormat="1" ht="409.2" customHeight="1" x14ac:dyDescent="0.3">
      <c r="A11" s="6" t="s">
        <v>200</v>
      </c>
      <c r="B11" s="6">
        <v>2025</v>
      </c>
      <c r="C11" s="7">
        <v>17</v>
      </c>
      <c r="D11" s="6" t="s">
        <v>71</v>
      </c>
      <c r="E11" s="7">
        <v>1</v>
      </c>
      <c r="F11" s="14" t="s">
        <v>215</v>
      </c>
      <c r="G11" t="s">
        <v>202</v>
      </c>
      <c r="H11" s="4" t="s">
        <v>201</v>
      </c>
      <c r="I11" s="10" t="s">
        <v>203</v>
      </c>
      <c r="J11" s="11">
        <v>3</v>
      </c>
      <c r="K11" s="6" t="s">
        <v>204</v>
      </c>
      <c r="L11" s="10" t="s">
        <v>205</v>
      </c>
      <c r="M11" s="11">
        <v>14</v>
      </c>
      <c r="N11" s="10" t="s">
        <v>208</v>
      </c>
      <c r="O11" s="7">
        <v>11</v>
      </c>
      <c r="P11" s="7">
        <v>3</v>
      </c>
      <c r="Q11" s="10" t="s">
        <v>206</v>
      </c>
      <c r="R11" s="10" t="s">
        <v>207</v>
      </c>
      <c r="S11" s="12" t="s">
        <v>210</v>
      </c>
      <c r="T11" s="10" t="s">
        <v>211</v>
      </c>
      <c r="U11" s="6" t="s">
        <v>158</v>
      </c>
      <c r="V11" s="10" t="s">
        <v>78</v>
      </c>
      <c r="W11" s="11">
        <v>2</v>
      </c>
      <c r="X11" s="11">
        <v>2</v>
      </c>
      <c r="Y11" s="11">
        <v>2</v>
      </c>
      <c r="Z11" s="11">
        <v>5</v>
      </c>
      <c r="AA11" s="10" t="s">
        <v>212</v>
      </c>
      <c r="AB11" s="11">
        <v>1</v>
      </c>
      <c r="AC11" s="12" t="s">
        <v>75</v>
      </c>
      <c r="AD11" s="6" t="s">
        <v>213</v>
      </c>
      <c r="AE11" s="6" t="s">
        <v>73</v>
      </c>
      <c r="AF11" s="6" t="s">
        <v>214</v>
      </c>
    </row>
    <row r="12" spans="1:32" s="6" customFormat="1" ht="57.6" x14ac:dyDescent="0.3">
      <c r="A12" s="6" t="s">
        <v>225</v>
      </c>
      <c r="B12" s="6">
        <v>2025</v>
      </c>
      <c r="C12" s="7">
        <v>17</v>
      </c>
      <c r="D12" s="6" t="s">
        <v>71</v>
      </c>
      <c r="E12" s="7">
        <v>1</v>
      </c>
      <c r="F12" s="14" t="s">
        <v>218</v>
      </c>
      <c r="G12" t="s">
        <v>217</v>
      </c>
      <c r="H12" s="4" t="s">
        <v>216</v>
      </c>
      <c r="I12" s="10" t="s">
        <v>219</v>
      </c>
      <c r="J12" s="11">
        <v>3</v>
      </c>
      <c r="K12" s="6" t="s">
        <v>221</v>
      </c>
      <c r="L12" s="10" t="s">
        <v>220</v>
      </c>
      <c r="M12" s="11">
        <v>4</v>
      </c>
      <c r="N12" s="10" t="s">
        <v>224</v>
      </c>
      <c r="O12" s="11">
        <v>100</v>
      </c>
      <c r="P12" s="11">
        <v>100</v>
      </c>
      <c r="Q12" s="10" t="s">
        <v>223</v>
      </c>
      <c r="R12" s="13" t="s">
        <v>75</v>
      </c>
      <c r="S12" s="13" t="s">
        <v>75</v>
      </c>
      <c r="T12" s="13" t="s">
        <v>75</v>
      </c>
      <c r="U12" s="13" t="s">
        <v>75</v>
      </c>
      <c r="V12" s="13" t="s">
        <v>75</v>
      </c>
      <c r="W12" s="7">
        <v>3</v>
      </c>
      <c r="X12" s="7">
        <v>3</v>
      </c>
      <c r="Y12" s="7">
        <v>17</v>
      </c>
      <c r="Z12" s="7">
        <v>4</v>
      </c>
      <c r="AA12" s="12" t="s">
        <v>74</v>
      </c>
      <c r="AB12" s="7">
        <v>2</v>
      </c>
      <c r="AC12" s="6" t="s">
        <v>222</v>
      </c>
      <c r="AD12" s="6">
        <v>30</v>
      </c>
      <c r="AE12" s="6" t="s">
        <v>73</v>
      </c>
    </row>
    <row r="13" spans="1:32" s="6" customFormat="1" ht="57.6" x14ac:dyDescent="0.3">
      <c r="A13" s="6" t="s">
        <v>232</v>
      </c>
      <c r="B13" s="6">
        <v>2025</v>
      </c>
      <c r="C13" s="7">
        <v>17</v>
      </c>
      <c r="D13" s="6" t="s">
        <v>71</v>
      </c>
      <c r="E13" s="7">
        <v>1</v>
      </c>
      <c r="F13" s="14" t="s">
        <v>228</v>
      </c>
      <c r="G13" t="s">
        <v>227</v>
      </c>
      <c r="H13" s="4" t="s">
        <v>226</v>
      </c>
      <c r="I13" s="10" t="s">
        <v>229</v>
      </c>
      <c r="J13" s="11">
        <v>3</v>
      </c>
      <c r="K13" s="6" t="s">
        <v>230</v>
      </c>
      <c r="L13" s="10" t="s">
        <v>231</v>
      </c>
      <c r="M13" s="11">
        <v>4</v>
      </c>
      <c r="N13" s="10" t="s">
        <v>192</v>
      </c>
      <c r="O13" s="11">
        <v>1</v>
      </c>
      <c r="P13" s="11">
        <v>2</v>
      </c>
      <c r="Q13" s="10" t="s">
        <v>118</v>
      </c>
      <c r="R13" s="10" t="s">
        <v>193</v>
      </c>
      <c r="S13" s="10" t="s">
        <v>194</v>
      </c>
      <c r="T13" s="10" t="s">
        <v>195</v>
      </c>
      <c r="U13" s="12" t="s">
        <v>116</v>
      </c>
      <c r="V13" s="10" t="s">
        <v>186</v>
      </c>
      <c r="W13" s="7">
        <v>3</v>
      </c>
      <c r="X13" s="7">
        <v>3</v>
      </c>
      <c r="Y13" s="7">
        <v>17</v>
      </c>
      <c r="Z13" s="7">
        <v>4</v>
      </c>
      <c r="AA13" s="12" t="s">
        <v>74</v>
      </c>
      <c r="AB13" s="7">
        <v>2</v>
      </c>
      <c r="AC13" s="10" t="s">
        <v>72</v>
      </c>
      <c r="AD13" s="6">
        <v>30</v>
      </c>
      <c r="AE13" s="10" t="s">
        <v>73</v>
      </c>
    </row>
    <row r="14" spans="1:32" s="6" customFormat="1" ht="57.6" x14ac:dyDescent="0.3">
      <c r="A14" s="6" t="s">
        <v>240</v>
      </c>
      <c r="B14" s="6">
        <v>2025</v>
      </c>
      <c r="C14" s="7">
        <v>17</v>
      </c>
      <c r="D14" s="6" t="s">
        <v>71</v>
      </c>
      <c r="E14" s="7">
        <v>1</v>
      </c>
      <c r="F14" s="14" t="s">
        <v>239</v>
      </c>
      <c r="G14" t="s">
        <v>234</v>
      </c>
      <c r="H14" s="4" t="s">
        <v>233</v>
      </c>
      <c r="I14" s="10" t="s">
        <v>235</v>
      </c>
      <c r="J14" s="11">
        <v>7</v>
      </c>
      <c r="K14" s="6" t="s">
        <v>236</v>
      </c>
      <c r="L14" s="10" t="s">
        <v>237</v>
      </c>
      <c r="M14" s="11">
        <v>15</v>
      </c>
      <c r="N14" s="12" t="s">
        <v>75</v>
      </c>
      <c r="O14" s="11">
        <v>100</v>
      </c>
      <c r="P14" s="11">
        <v>100</v>
      </c>
      <c r="Q14" s="12" t="s">
        <v>75</v>
      </c>
      <c r="R14" s="12" t="s">
        <v>75</v>
      </c>
      <c r="S14" s="12" t="s">
        <v>75</v>
      </c>
      <c r="T14" s="12" t="s">
        <v>75</v>
      </c>
      <c r="U14" s="12" t="s">
        <v>75</v>
      </c>
      <c r="V14" s="12" t="s">
        <v>75</v>
      </c>
      <c r="W14" s="7">
        <v>3</v>
      </c>
      <c r="X14" s="7">
        <v>3</v>
      </c>
      <c r="Y14" s="7">
        <v>17</v>
      </c>
      <c r="Z14" s="7">
        <v>4</v>
      </c>
      <c r="AA14" s="13" t="s">
        <v>74</v>
      </c>
      <c r="AB14" s="11">
        <v>2</v>
      </c>
      <c r="AC14" s="12" t="s">
        <v>75</v>
      </c>
      <c r="AD14" s="12" t="s">
        <v>75</v>
      </c>
      <c r="AE14" s="12" t="s">
        <v>75</v>
      </c>
      <c r="AF14" s="6" t="s">
        <v>238</v>
      </c>
    </row>
    <row r="15" spans="1:32" s="6" customFormat="1" ht="144" x14ac:dyDescent="0.3">
      <c r="A15" s="6" t="s">
        <v>254</v>
      </c>
      <c r="B15" s="6">
        <v>2025</v>
      </c>
      <c r="C15" s="7">
        <v>17</v>
      </c>
      <c r="D15" s="6" t="s">
        <v>71</v>
      </c>
      <c r="E15" s="7">
        <v>1</v>
      </c>
      <c r="F15" s="14" t="s">
        <v>245</v>
      </c>
      <c r="G15" t="s">
        <v>217</v>
      </c>
      <c r="H15" s="4" t="s">
        <v>244</v>
      </c>
      <c r="I15" s="10" t="s">
        <v>242</v>
      </c>
      <c r="J15" s="11">
        <v>5</v>
      </c>
      <c r="K15" s="6" t="s">
        <v>243</v>
      </c>
      <c r="L15" s="10" t="s">
        <v>241</v>
      </c>
      <c r="M15" s="11">
        <v>5</v>
      </c>
      <c r="N15" s="10" t="s">
        <v>246</v>
      </c>
      <c r="O15" s="11">
        <v>5</v>
      </c>
      <c r="P15" s="11">
        <v>3</v>
      </c>
      <c r="Q15" s="10" t="s">
        <v>250</v>
      </c>
      <c r="R15" s="10" t="s">
        <v>247</v>
      </c>
      <c r="S15" s="10" t="s">
        <v>249</v>
      </c>
      <c r="T15" s="10" t="s">
        <v>248</v>
      </c>
      <c r="U15" s="10" t="s">
        <v>251</v>
      </c>
      <c r="V15" s="10" t="s">
        <v>252</v>
      </c>
      <c r="W15" s="11">
        <v>2</v>
      </c>
      <c r="X15" s="11">
        <v>3</v>
      </c>
      <c r="Y15" s="11">
        <v>17</v>
      </c>
      <c r="Z15" s="11">
        <v>4</v>
      </c>
      <c r="AA15" s="13" t="s">
        <v>74</v>
      </c>
      <c r="AB15" s="11">
        <v>2</v>
      </c>
      <c r="AC15" s="12" t="s">
        <v>75</v>
      </c>
      <c r="AD15" s="6" t="s">
        <v>253</v>
      </c>
      <c r="AE15" s="10" t="s">
        <v>73</v>
      </c>
    </row>
    <row r="16" spans="1:32" s="6" customFormat="1" ht="86.4" x14ac:dyDescent="0.3">
      <c r="A16" s="6" t="s">
        <v>262</v>
      </c>
      <c r="B16" s="6">
        <v>2025</v>
      </c>
      <c r="C16" s="7">
        <v>17</v>
      </c>
      <c r="D16" s="6" t="s">
        <v>71</v>
      </c>
      <c r="E16" s="7">
        <v>1</v>
      </c>
      <c r="F16" s="16" t="s">
        <v>261</v>
      </c>
      <c r="G16" t="s">
        <v>217</v>
      </c>
      <c r="H16" s="4" t="s">
        <v>255</v>
      </c>
      <c r="I16" s="10" t="s">
        <v>256</v>
      </c>
      <c r="J16" s="11">
        <v>3</v>
      </c>
      <c r="K16" s="6" t="s">
        <v>260</v>
      </c>
      <c r="L16" s="10" t="s">
        <v>257</v>
      </c>
      <c r="M16" s="7">
        <v>4</v>
      </c>
      <c r="N16" s="10" t="s">
        <v>155</v>
      </c>
      <c r="O16" s="11">
        <v>1</v>
      </c>
      <c r="P16" s="11">
        <v>2</v>
      </c>
      <c r="Q16" s="6" t="s">
        <v>118</v>
      </c>
      <c r="R16" s="6" t="s">
        <v>156</v>
      </c>
      <c r="S16" s="10" t="s">
        <v>157</v>
      </c>
      <c r="T16" s="10" t="s">
        <v>258</v>
      </c>
      <c r="U16" s="10" t="s">
        <v>259</v>
      </c>
      <c r="V16" s="10" t="s">
        <v>141</v>
      </c>
      <c r="W16" s="7">
        <v>3</v>
      </c>
      <c r="X16" s="7">
        <v>3</v>
      </c>
      <c r="Y16" s="7">
        <v>17</v>
      </c>
      <c r="Z16" s="7">
        <v>4</v>
      </c>
      <c r="AA16" s="13" t="s">
        <v>74</v>
      </c>
      <c r="AB16" s="11">
        <v>2</v>
      </c>
      <c r="AC16" s="12" t="s">
        <v>75</v>
      </c>
      <c r="AD16" s="6">
        <v>30</v>
      </c>
      <c r="AE16" s="10" t="s">
        <v>73</v>
      </c>
    </row>
    <row r="17" spans="1:32" s="6" customFormat="1" ht="57.6" x14ac:dyDescent="0.3">
      <c r="A17" s="6" t="s">
        <v>275</v>
      </c>
      <c r="B17" s="6">
        <v>2025</v>
      </c>
      <c r="C17" s="7">
        <v>17</v>
      </c>
      <c r="D17" s="6" t="s">
        <v>71</v>
      </c>
      <c r="E17" s="7">
        <v>1</v>
      </c>
      <c r="F17" s="15" t="s">
        <v>274</v>
      </c>
      <c r="G17" t="s">
        <v>264</v>
      </c>
      <c r="H17" s="4" t="s">
        <v>263</v>
      </c>
      <c r="I17" s="10" t="s">
        <v>271</v>
      </c>
      <c r="J17" s="11">
        <v>3</v>
      </c>
      <c r="K17" s="6" t="s">
        <v>273</v>
      </c>
      <c r="L17" s="10" t="s">
        <v>270</v>
      </c>
      <c r="M17" s="11">
        <v>15</v>
      </c>
      <c r="N17" s="10" t="s">
        <v>265</v>
      </c>
      <c r="O17" s="7">
        <v>1</v>
      </c>
      <c r="P17" s="7">
        <v>2</v>
      </c>
      <c r="Q17" s="10" t="s">
        <v>118</v>
      </c>
      <c r="R17" s="10" t="s">
        <v>266</v>
      </c>
      <c r="S17" s="6" t="s">
        <v>267</v>
      </c>
      <c r="T17" s="10" t="s">
        <v>268</v>
      </c>
      <c r="U17" s="10" t="s">
        <v>259</v>
      </c>
      <c r="V17" s="10" t="s">
        <v>186</v>
      </c>
      <c r="W17" s="7">
        <v>3</v>
      </c>
      <c r="X17" s="7">
        <v>3</v>
      </c>
      <c r="Y17" s="7">
        <v>17</v>
      </c>
      <c r="Z17" s="7">
        <v>4</v>
      </c>
      <c r="AA17" s="12" t="s">
        <v>74</v>
      </c>
      <c r="AB17" s="11">
        <v>2</v>
      </c>
      <c r="AC17" s="10" t="s">
        <v>269</v>
      </c>
      <c r="AD17" s="10">
        <v>30</v>
      </c>
      <c r="AE17" s="10" t="s">
        <v>73</v>
      </c>
      <c r="AF17" s="6" t="s">
        <v>272</v>
      </c>
    </row>
    <row r="18" spans="1:32" s="6" customFormat="1" ht="57.6" x14ac:dyDescent="0.3">
      <c r="A18" s="6" t="s">
        <v>279</v>
      </c>
      <c r="B18" s="6">
        <v>2024</v>
      </c>
      <c r="C18" s="7">
        <v>16</v>
      </c>
      <c r="D18" s="6" t="s">
        <v>71</v>
      </c>
      <c r="E18" s="7">
        <v>1</v>
      </c>
      <c r="F18" s="14" t="s">
        <v>280</v>
      </c>
      <c r="G18" t="s">
        <v>277</v>
      </c>
      <c r="H18" s="4" t="s">
        <v>276</v>
      </c>
      <c r="I18" s="10" t="s">
        <v>48</v>
      </c>
      <c r="J18" s="11">
        <v>8</v>
      </c>
      <c r="L18" s="10" t="s">
        <v>278</v>
      </c>
      <c r="M18" s="11">
        <v>4</v>
      </c>
      <c r="N18" s="10" t="s">
        <v>182</v>
      </c>
      <c r="O18" s="11">
        <v>1</v>
      </c>
      <c r="P18" s="11">
        <v>2</v>
      </c>
      <c r="Q18" s="10" t="s">
        <v>118</v>
      </c>
      <c r="R18" s="6" t="s">
        <v>156</v>
      </c>
      <c r="S18" s="10" t="s">
        <v>184</v>
      </c>
      <c r="T18" s="10" t="s">
        <v>183</v>
      </c>
      <c r="U18" s="10" t="s">
        <v>185</v>
      </c>
      <c r="V18" s="10" t="s">
        <v>186</v>
      </c>
      <c r="W18" s="7">
        <v>2</v>
      </c>
      <c r="X18" s="7">
        <v>2</v>
      </c>
      <c r="Y18" s="7">
        <v>16</v>
      </c>
      <c r="Z18" s="7">
        <v>4</v>
      </c>
      <c r="AA18" s="12" t="s">
        <v>74</v>
      </c>
      <c r="AB18" s="11">
        <v>2</v>
      </c>
      <c r="AC18" s="12" t="s">
        <v>75</v>
      </c>
      <c r="AD18" s="10">
        <v>30</v>
      </c>
      <c r="AE18" s="6" t="s">
        <v>73</v>
      </c>
    </row>
    <row r="19" spans="1:32" s="6" customFormat="1" ht="72" x14ac:dyDescent="0.3">
      <c r="A19" s="6" t="s">
        <v>288</v>
      </c>
      <c r="B19" s="6">
        <v>2024</v>
      </c>
      <c r="C19" s="7">
        <v>16</v>
      </c>
      <c r="D19" s="6" t="s">
        <v>71</v>
      </c>
      <c r="E19" s="7">
        <v>1</v>
      </c>
      <c r="F19" s="14" t="s">
        <v>287</v>
      </c>
      <c r="G19" t="s">
        <v>282</v>
      </c>
      <c r="H19" s="4" t="s">
        <v>281</v>
      </c>
      <c r="I19" s="10" t="s">
        <v>283</v>
      </c>
      <c r="J19" s="11">
        <v>1</v>
      </c>
      <c r="K19" s="6" t="s">
        <v>286</v>
      </c>
      <c r="L19" s="10" t="s">
        <v>284</v>
      </c>
      <c r="M19" s="11">
        <v>4</v>
      </c>
      <c r="N19" s="10" t="s">
        <v>192</v>
      </c>
      <c r="O19" s="11">
        <v>1</v>
      </c>
      <c r="P19" s="11">
        <v>2</v>
      </c>
      <c r="Q19" s="10" t="s">
        <v>118</v>
      </c>
      <c r="R19" s="10" t="s">
        <v>193</v>
      </c>
      <c r="S19" s="10" t="s">
        <v>194</v>
      </c>
      <c r="T19" s="10" t="s">
        <v>195</v>
      </c>
      <c r="U19" s="12" t="s">
        <v>116</v>
      </c>
      <c r="V19" s="10" t="s">
        <v>186</v>
      </c>
      <c r="W19" s="7">
        <v>3</v>
      </c>
      <c r="X19" s="7">
        <v>3</v>
      </c>
      <c r="Y19" s="7">
        <v>17</v>
      </c>
      <c r="Z19" s="7">
        <v>4</v>
      </c>
      <c r="AA19" s="12" t="s">
        <v>74</v>
      </c>
      <c r="AB19" s="11">
        <v>2</v>
      </c>
      <c r="AC19" s="12" t="s">
        <v>285</v>
      </c>
      <c r="AD19" s="6">
        <v>30</v>
      </c>
      <c r="AE19" s="10" t="s">
        <v>73</v>
      </c>
    </row>
    <row r="20" spans="1:32" s="6" customFormat="1" ht="43.2" x14ac:dyDescent="0.3">
      <c r="A20" s="6" t="s">
        <v>290</v>
      </c>
      <c r="B20" s="6">
        <v>2024</v>
      </c>
      <c r="C20" s="7">
        <v>16</v>
      </c>
      <c r="D20" s="6" t="s">
        <v>71</v>
      </c>
      <c r="E20" s="7">
        <v>1</v>
      </c>
      <c r="F20" s="14" t="s">
        <v>295</v>
      </c>
      <c r="G20" t="s">
        <v>217</v>
      </c>
      <c r="H20" s="4" t="s">
        <v>294</v>
      </c>
      <c r="I20" s="10" t="s">
        <v>289</v>
      </c>
      <c r="J20" s="11">
        <v>3</v>
      </c>
      <c r="K20" s="6" t="s">
        <v>292</v>
      </c>
      <c r="L20" s="10" t="s">
        <v>291</v>
      </c>
      <c r="M20" s="11">
        <v>4</v>
      </c>
      <c r="N20" s="10" t="s">
        <v>192</v>
      </c>
      <c r="O20" s="11">
        <v>1</v>
      </c>
      <c r="P20" s="11">
        <v>2</v>
      </c>
      <c r="Q20" s="10" t="s">
        <v>118</v>
      </c>
      <c r="R20" s="10" t="s">
        <v>193</v>
      </c>
      <c r="S20" s="10" t="s">
        <v>194</v>
      </c>
      <c r="T20" s="10" t="s">
        <v>195</v>
      </c>
      <c r="U20" s="10" t="s">
        <v>158</v>
      </c>
      <c r="V20" s="10" t="s">
        <v>77</v>
      </c>
      <c r="W20" s="11">
        <v>1</v>
      </c>
      <c r="X20" s="11">
        <v>3</v>
      </c>
      <c r="Y20" s="11">
        <v>1</v>
      </c>
      <c r="Z20" s="11">
        <v>5</v>
      </c>
      <c r="AA20" s="12" t="s">
        <v>74</v>
      </c>
      <c r="AB20" s="11">
        <v>2</v>
      </c>
      <c r="AC20" s="10" t="s">
        <v>293</v>
      </c>
      <c r="AD20" s="6">
        <v>30</v>
      </c>
      <c r="AE20" s="10" t="s">
        <v>73</v>
      </c>
    </row>
    <row r="21" spans="1:32" s="6" customFormat="1" ht="115.2" x14ac:dyDescent="0.3">
      <c r="A21" s="6" t="s">
        <v>302</v>
      </c>
      <c r="B21" s="6">
        <v>2024</v>
      </c>
      <c r="C21" s="7">
        <v>16</v>
      </c>
      <c r="D21" s="6" t="s">
        <v>71</v>
      </c>
      <c r="E21" s="7">
        <v>1</v>
      </c>
      <c r="F21" s="14" t="s">
        <v>301</v>
      </c>
      <c r="G21" t="s">
        <v>217</v>
      </c>
      <c r="H21" s="4" t="s">
        <v>300</v>
      </c>
      <c r="I21" s="10" t="s">
        <v>296</v>
      </c>
      <c r="J21" s="11">
        <v>3</v>
      </c>
      <c r="K21" s="6" t="s">
        <v>297</v>
      </c>
      <c r="L21" s="10" t="s">
        <v>298</v>
      </c>
      <c r="M21" s="11">
        <v>4</v>
      </c>
      <c r="N21" s="12" t="s">
        <v>75</v>
      </c>
      <c r="O21" s="7">
        <v>100</v>
      </c>
      <c r="P21" s="7">
        <v>100</v>
      </c>
      <c r="Q21" s="12" t="s">
        <v>75</v>
      </c>
      <c r="R21" s="12" t="s">
        <v>75</v>
      </c>
      <c r="S21" s="12" t="s">
        <v>75</v>
      </c>
      <c r="T21" s="12" t="s">
        <v>75</v>
      </c>
      <c r="U21" s="12" t="s">
        <v>75</v>
      </c>
      <c r="V21" s="12" t="s">
        <v>75</v>
      </c>
      <c r="W21" s="7">
        <v>3</v>
      </c>
      <c r="X21" s="7">
        <v>3</v>
      </c>
      <c r="Y21" s="7">
        <v>17</v>
      </c>
      <c r="Z21" s="7">
        <v>4</v>
      </c>
      <c r="AA21" s="12" t="s">
        <v>74</v>
      </c>
      <c r="AB21" s="7">
        <v>2</v>
      </c>
      <c r="AC21" s="12" t="s">
        <v>75</v>
      </c>
      <c r="AD21" s="12" t="s">
        <v>75</v>
      </c>
      <c r="AE21" s="12" t="s">
        <v>75</v>
      </c>
      <c r="AF21" s="6" t="s">
        <v>299</v>
      </c>
    </row>
    <row r="22" spans="1:32" s="6" customFormat="1" ht="57.6" x14ac:dyDescent="0.3">
      <c r="A22" s="6" t="s">
        <v>310</v>
      </c>
      <c r="B22" s="6">
        <v>2024</v>
      </c>
      <c r="C22" s="7">
        <v>16</v>
      </c>
      <c r="D22" s="6" t="s">
        <v>71</v>
      </c>
      <c r="E22" s="7">
        <v>1</v>
      </c>
      <c r="F22" s="14" t="s">
        <v>309</v>
      </c>
      <c r="G22" t="s">
        <v>277</v>
      </c>
      <c r="H22" s="4" t="s">
        <v>303</v>
      </c>
      <c r="I22" s="10" t="s">
        <v>305</v>
      </c>
      <c r="J22" s="11">
        <v>1</v>
      </c>
      <c r="L22" s="10" t="s">
        <v>306</v>
      </c>
      <c r="M22" s="11">
        <v>4</v>
      </c>
      <c r="N22" s="10" t="s">
        <v>304</v>
      </c>
      <c r="O22" s="11">
        <v>1</v>
      </c>
      <c r="P22" s="11">
        <v>2</v>
      </c>
      <c r="Q22" s="10" t="s">
        <v>307</v>
      </c>
      <c r="R22" s="6" t="s">
        <v>156</v>
      </c>
      <c r="S22" s="17" t="s">
        <v>157</v>
      </c>
      <c r="T22" s="10" t="s">
        <v>308</v>
      </c>
      <c r="U22" s="10" t="s">
        <v>158</v>
      </c>
      <c r="V22" s="10" t="s">
        <v>78</v>
      </c>
      <c r="W22" s="11">
        <v>1</v>
      </c>
      <c r="X22" s="11">
        <v>3</v>
      </c>
      <c r="Y22" s="11">
        <v>2</v>
      </c>
      <c r="Z22" s="11">
        <v>5</v>
      </c>
      <c r="AA22" s="13" t="s">
        <v>74</v>
      </c>
      <c r="AB22" s="7">
        <v>2</v>
      </c>
      <c r="AC22" s="12" t="s">
        <v>285</v>
      </c>
      <c r="AD22" s="6">
        <v>30</v>
      </c>
      <c r="AE22" s="10" t="s">
        <v>73</v>
      </c>
    </row>
    <row r="23" spans="1:32" s="6" customFormat="1" ht="57.6" x14ac:dyDescent="0.3">
      <c r="A23" s="6" t="s">
        <v>316</v>
      </c>
      <c r="B23" s="6">
        <v>2024</v>
      </c>
      <c r="C23" s="7">
        <v>16</v>
      </c>
      <c r="D23" s="6" t="s">
        <v>71</v>
      </c>
      <c r="E23" s="7">
        <v>1</v>
      </c>
      <c r="F23" s="14" t="s">
        <v>315</v>
      </c>
      <c r="G23" t="s">
        <v>227</v>
      </c>
      <c r="H23" s="4" t="s">
        <v>311</v>
      </c>
      <c r="I23" s="10" t="s">
        <v>313</v>
      </c>
      <c r="J23" s="11">
        <v>3</v>
      </c>
      <c r="K23" s="6" t="s">
        <v>312</v>
      </c>
      <c r="L23" s="10" t="s">
        <v>314</v>
      </c>
      <c r="M23" s="11">
        <v>4</v>
      </c>
      <c r="N23" s="10" t="s">
        <v>192</v>
      </c>
      <c r="O23" s="11">
        <v>1</v>
      </c>
      <c r="P23" s="11">
        <v>2</v>
      </c>
      <c r="Q23" s="10" t="s">
        <v>118</v>
      </c>
      <c r="R23" s="10" t="s">
        <v>193</v>
      </c>
      <c r="S23" s="10" t="s">
        <v>194</v>
      </c>
      <c r="T23" s="10" t="s">
        <v>195</v>
      </c>
      <c r="U23" s="10" t="s">
        <v>158</v>
      </c>
      <c r="V23" s="10" t="s">
        <v>77</v>
      </c>
      <c r="W23" s="7">
        <v>1</v>
      </c>
      <c r="X23" s="7">
        <v>3</v>
      </c>
      <c r="Y23" s="7">
        <v>1</v>
      </c>
      <c r="Z23" s="7">
        <v>5</v>
      </c>
      <c r="AA23" s="12" t="s">
        <v>74</v>
      </c>
      <c r="AB23" s="11">
        <v>2</v>
      </c>
      <c r="AC23" s="12" t="s">
        <v>285</v>
      </c>
      <c r="AD23" s="6">
        <v>30</v>
      </c>
      <c r="AE23" s="10" t="s">
        <v>73</v>
      </c>
    </row>
    <row r="24" spans="1:32" s="6" customFormat="1" ht="86.4" x14ac:dyDescent="0.3">
      <c r="A24" s="6" t="s">
        <v>322</v>
      </c>
      <c r="B24" s="6">
        <v>2024</v>
      </c>
      <c r="C24" s="7">
        <v>16</v>
      </c>
      <c r="D24" s="6" t="s">
        <v>71</v>
      </c>
      <c r="E24" s="7">
        <v>1</v>
      </c>
      <c r="F24" s="14" t="s">
        <v>321</v>
      </c>
      <c r="G24" t="s">
        <v>318</v>
      </c>
      <c r="H24" s="4" t="s">
        <v>317</v>
      </c>
      <c r="I24" s="10" t="s">
        <v>319</v>
      </c>
      <c r="J24" s="11">
        <v>9</v>
      </c>
      <c r="L24" s="10" t="s">
        <v>320</v>
      </c>
      <c r="M24" s="11">
        <v>15</v>
      </c>
      <c r="N24" s="10" t="s">
        <v>155</v>
      </c>
      <c r="O24" s="11">
        <v>1</v>
      </c>
      <c r="P24" s="11">
        <v>2</v>
      </c>
      <c r="Q24" s="10" t="s">
        <v>118</v>
      </c>
      <c r="R24" s="6" t="s">
        <v>156</v>
      </c>
      <c r="S24" s="10" t="s">
        <v>157</v>
      </c>
      <c r="T24" s="10" t="s">
        <v>258</v>
      </c>
      <c r="U24" s="10" t="s">
        <v>158</v>
      </c>
      <c r="V24" s="10" t="s">
        <v>78</v>
      </c>
      <c r="W24" s="11">
        <v>1</v>
      </c>
      <c r="X24" s="11">
        <v>3</v>
      </c>
      <c r="Y24" s="11">
        <v>2</v>
      </c>
      <c r="Z24" s="11">
        <v>5</v>
      </c>
      <c r="AA24" s="12" t="s">
        <v>74</v>
      </c>
      <c r="AB24" s="11">
        <v>2</v>
      </c>
      <c r="AC24" s="10" t="s">
        <v>72</v>
      </c>
      <c r="AD24" s="6">
        <v>30</v>
      </c>
      <c r="AE24" s="10" t="s">
        <v>73</v>
      </c>
    </row>
    <row r="25" spans="1:32" s="6" customFormat="1" ht="57.6" x14ac:dyDescent="0.3">
      <c r="A25" s="6" t="s">
        <v>327</v>
      </c>
      <c r="B25" s="6">
        <v>2024</v>
      </c>
      <c r="C25" s="7">
        <v>16</v>
      </c>
      <c r="D25" s="6" t="s">
        <v>71</v>
      </c>
      <c r="E25" s="7">
        <v>1</v>
      </c>
      <c r="F25" s="14" t="s">
        <v>326</v>
      </c>
      <c r="G25" t="s">
        <v>277</v>
      </c>
      <c r="H25" s="4" t="s">
        <v>323</v>
      </c>
      <c r="I25" s="10" t="s">
        <v>37</v>
      </c>
      <c r="J25" s="11">
        <v>5</v>
      </c>
      <c r="L25" s="10" t="s">
        <v>324</v>
      </c>
      <c r="M25" s="11">
        <v>1</v>
      </c>
      <c r="N25" s="12" t="s">
        <v>75</v>
      </c>
      <c r="O25" s="7">
        <v>100</v>
      </c>
      <c r="P25" s="7">
        <v>100</v>
      </c>
      <c r="Q25" s="12" t="s">
        <v>75</v>
      </c>
      <c r="R25" s="12" t="s">
        <v>75</v>
      </c>
      <c r="S25" s="12" t="s">
        <v>75</v>
      </c>
      <c r="T25" s="12" t="s">
        <v>75</v>
      </c>
      <c r="U25" s="12" t="s">
        <v>75</v>
      </c>
      <c r="V25" s="12" t="s">
        <v>75</v>
      </c>
      <c r="W25" s="7">
        <v>3</v>
      </c>
      <c r="X25" s="7">
        <v>3</v>
      </c>
      <c r="Y25" s="7">
        <v>17</v>
      </c>
      <c r="Z25" s="7">
        <v>4</v>
      </c>
      <c r="AA25" s="12" t="s">
        <v>74</v>
      </c>
      <c r="AB25" s="7">
        <v>2</v>
      </c>
      <c r="AC25" s="12" t="s">
        <v>75</v>
      </c>
      <c r="AD25" s="12" t="s">
        <v>75</v>
      </c>
      <c r="AE25" s="12" t="s">
        <v>75</v>
      </c>
      <c r="AF25" s="6" t="s">
        <v>325</v>
      </c>
    </row>
    <row r="26" spans="1:32" s="6" customFormat="1" ht="57.6" x14ac:dyDescent="0.3">
      <c r="A26" s="6" t="s">
        <v>337</v>
      </c>
      <c r="B26" s="6">
        <v>2024</v>
      </c>
      <c r="C26" s="7">
        <v>16</v>
      </c>
      <c r="D26" s="6" t="s">
        <v>71</v>
      </c>
      <c r="E26" s="7">
        <v>1</v>
      </c>
      <c r="F26" s="14" t="s">
        <v>336</v>
      </c>
      <c r="G26" t="s">
        <v>329</v>
      </c>
      <c r="H26" s="4" t="s">
        <v>328</v>
      </c>
      <c r="I26" s="10" t="s">
        <v>330</v>
      </c>
      <c r="J26" s="11">
        <v>3</v>
      </c>
      <c r="K26" s="6" t="s">
        <v>331</v>
      </c>
      <c r="L26" s="10" t="s">
        <v>332</v>
      </c>
      <c r="M26" s="11">
        <v>4</v>
      </c>
      <c r="N26" s="10" t="s">
        <v>304</v>
      </c>
      <c r="O26" s="11">
        <v>1</v>
      </c>
      <c r="P26" s="11">
        <v>2</v>
      </c>
      <c r="Q26" s="10" t="s">
        <v>307</v>
      </c>
      <c r="R26" s="6" t="s">
        <v>156</v>
      </c>
      <c r="S26" s="17" t="s">
        <v>157</v>
      </c>
      <c r="T26" s="10" t="s">
        <v>308</v>
      </c>
      <c r="U26" s="10" t="s">
        <v>76</v>
      </c>
      <c r="V26" s="10" t="s">
        <v>334</v>
      </c>
      <c r="W26" s="11">
        <v>1</v>
      </c>
      <c r="X26" s="11">
        <v>1</v>
      </c>
      <c r="Y26" s="11">
        <v>8</v>
      </c>
      <c r="Z26" s="11">
        <v>2</v>
      </c>
      <c r="AA26" s="12" t="s">
        <v>74</v>
      </c>
      <c r="AB26" s="7">
        <v>2</v>
      </c>
      <c r="AC26" s="10" t="s">
        <v>335</v>
      </c>
      <c r="AD26" s="6">
        <v>30</v>
      </c>
      <c r="AE26" s="10" t="s">
        <v>73</v>
      </c>
      <c r="AF26" s="6" t="s">
        <v>333</v>
      </c>
    </row>
    <row r="27" spans="1:32" s="6" customFormat="1" ht="158.4" x14ac:dyDescent="0.3">
      <c r="A27" s="6" t="s">
        <v>362</v>
      </c>
      <c r="B27" s="6">
        <v>2024</v>
      </c>
      <c r="C27" s="7">
        <v>16</v>
      </c>
      <c r="D27" s="6" t="s">
        <v>71</v>
      </c>
      <c r="E27" s="7">
        <v>1</v>
      </c>
      <c r="F27" s="16" t="s">
        <v>358</v>
      </c>
      <c r="G27" t="s">
        <v>318</v>
      </c>
      <c r="H27" s="4" t="s">
        <v>338</v>
      </c>
      <c r="I27" s="10" t="s">
        <v>79</v>
      </c>
      <c r="J27" s="11">
        <v>3</v>
      </c>
      <c r="K27" s="6" t="s">
        <v>359</v>
      </c>
      <c r="L27" s="10" t="s">
        <v>360</v>
      </c>
      <c r="M27" s="11">
        <v>4</v>
      </c>
      <c r="N27" s="10" t="s">
        <v>355</v>
      </c>
      <c r="O27" s="11">
        <v>1</v>
      </c>
      <c r="P27" s="11">
        <v>2</v>
      </c>
      <c r="Q27" s="10" t="s">
        <v>356</v>
      </c>
      <c r="R27" s="10" t="s">
        <v>193</v>
      </c>
      <c r="S27" s="10" t="s">
        <v>194</v>
      </c>
      <c r="T27" s="10" t="s">
        <v>195</v>
      </c>
      <c r="U27" s="10" t="s">
        <v>158</v>
      </c>
      <c r="V27" s="10" t="s">
        <v>39156</v>
      </c>
      <c r="W27" s="11">
        <v>2</v>
      </c>
      <c r="X27" s="11">
        <v>2</v>
      </c>
      <c r="Y27" s="11">
        <v>16</v>
      </c>
      <c r="Z27" s="11">
        <v>3</v>
      </c>
      <c r="AA27" s="13" t="s">
        <v>74</v>
      </c>
      <c r="AB27" s="7">
        <v>2</v>
      </c>
      <c r="AC27" s="12" t="s">
        <v>75</v>
      </c>
      <c r="AD27" s="6">
        <v>30</v>
      </c>
      <c r="AE27" s="10" t="s">
        <v>73</v>
      </c>
      <c r="AF27" s="6" t="s">
        <v>357</v>
      </c>
    </row>
    <row r="28" spans="1:32" s="6" customFormat="1" ht="144" x14ac:dyDescent="0.3">
      <c r="A28" s="6" t="s">
        <v>349</v>
      </c>
      <c r="B28" s="6">
        <v>2024</v>
      </c>
      <c r="C28" s="7">
        <v>16</v>
      </c>
      <c r="D28" s="6" t="s">
        <v>71</v>
      </c>
      <c r="E28" s="7">
        <v>1</v>
      </c>
      <c r="F28" s="14" t="s">
        <v>350</v>
      </c>
      <c r="G28" t="s">
        <v>277</v>
      </c>
      <c r="H28" s="4" t="s">
        <v>339</v>
      </c>
      <c r="I28" s="10" t="s">
        <v>340</v>
      </c>
      <c r="J28" s="11">
        <v>1</v>
      </c>
      <c r="K28" s="6" t="s">
        <v>341</v>
      </c>
      <c r="L28" s="10" t="s">
        <v>342</v>
      </c>
      <c r="M28" s="11">
        <v>4</v>
      </c>
      <c r="N28" s="10" t="s">
        <v>343</v>
      </c>
      <c r="O28" s="11">
        <v>1</v>
      </c>
      <c r="P28" s="11">
        <v>2</v>
      </c>
      <c r="Q28" s="10" t="s">
        <v>118</v>
      </c>
      <c r="R28" s="10" t="s">
        <v>344</v>
      </c>
      <c r="S28" s="6" t="s">
        <v>345</v>
      </c>
      <c r="T28" s="10" t="s">
        <v>346</v>
      </c>
      <c r="U28" s="12" t="s">
        <v>347</v>
      </c>
      <c r="V28" s="10" t="s">
        <v>348</v>
      </c>
      <c r="W28" s="11">
        <v>2</v>
      </c>
      <c r="X28" s="11">
        <v>2</v>
      </c>
      <c r="Y28" s="11">
        <v>17</v>
      </c>
      <c r="Z28" s="11">
        <v>3</v>
      </c>
      <c r="AA28" s="12" t="s">
        <v>74</v>
      </c>
      <c r="AB28" s="11">
        <v>2</v>
      </c>
      <c r="AC28" s="12" t="s">
        <v>75</v>
      </c>
      <c r="AD28" s="6">
        <v>30</v>
      </c>
      <c r="AE28" s="10" t="s">
        <v>73</v>
      </c>
      <c r="AF28" s="6" t="s">
        <v>361</v>
      </c>
    </row>
    <row r="29" spans="1:32" s="6" customFormat="1" ht="43.2" x14ac:dyDescent="0.3">
      <c r="A29" s="6" t="s">
        <v>369</v>
      </c>
      <c r="B29" s="6">
        <v>2024</v>
      </c>
      <c r="C29" s="7">
        <v>16</v>
      </c>
      <c r="D29" s="6" t="s">
        <v>71</v>
      </c>
      <c r="E29" s="7">
        <v>1</v>
      </c>
      <c r="F29" s="14" t="s">
        <v>368</v>
      </c>
      <c r="G29" t="s">
        <v>363</v>
      </c>
      <c r="H29" s="4" t="s">
        <v>351</v>
      </c>
      <c r="I29" s="10" t="s">
        <v>364</v>
      </c>
      <c r="J29" s="11">
        <v>1</v>
      </c>
      <c r="K29" s="6" t="s">
        <v>365</v>
      </c>
      <c r="L29" s="10" t="s">
        <v>366</v>
      </c>
      <c r="M29" s="11">
        <v>4</v>
      </c>
      <c r="N29" s="10" t="s">
        <v>192</v>
      </c>
      <c r="O29" s="11">
        <v>1</v>
      </c>
      <c r="P29" s="11">
        <v>2</v>
      </c>
      <c r="Q29" s="10" t="s">
        <v>118</v>
      </c>
      <c r="R29" s="10" t="s">
        <v>193</v>
      </c>
      <c r="S29" s="10" t="s">
        <v>194</v>
      </c>
      <c r="T29" s="10" t="s">
        <v>195</v>
      </c>
      <c r="U29" s="12" t="s">
        <v>116</v>
      </c>
      <c r="V29" s="10" t="s">
        <v>186</v>
      </c>
      <c r="W29" s="7">
        <v>3</v>
      </c>
      <c r="X29" s="7">
        <v>3</v>
      </c>
      <c r="Y29" s="7">
        <v>17</v>
      </c>
      <c r="Z29" s="7">
        <v>4</v>
      </c>
      <c r="AA29" s="12" t="s">
        <v>74</v>
      </c>
      <c r="AB29" s="11">
        <v>2</v>
      </c>
      <c r="AC29" s="10" t="s">
        <v>367</v>
      </c>
      <c r="AD29" s="13" t="s">
        <v>75</v>
      </c>
      <c r="AE29" s="10" t="s">
        <v>73</v>
      </c>
    </row>
    <row r="30" spans="1:32" s="6" customFormat="1" ht="43.2" x14ac:dyDescent="0.3">
      <c r="A30" s="6" t="s">
        <v>374</v>
      </c>
      <c r="B30" s="6">
        <v>2024</v>
      </c>
      <c r="C30" s="7">
        <v>16</v>
      </c>
      <c r="D30" s="6" t="s">
        <v>71</v>
      </c>
      <c r="E30" s="7">
        <v>1</v>
      </c>
      <c r="F30" s="14" t="s">
        <v>373</v>
      </c>
      <c r="G30" t="s">
        <v>234</v>
      </c>
      <c r="H30" s="4" t="s">
        <v>352</v>
      </c>
      <c r="I30" s="10" t="s">
        <v>371</v>
      </c>
      <c r="J30" s="11">
        <v>7</v>
      </c>
      <c r="K30" s="6" t="s">
        <v>370</v>
      </c>
      <c r="L30" s="10" t="s">
        <v>372</v>
      </c>
      <c r="M30" s="11">
        <v>4</v>
      </c>
      <c r="N30" s="10" t="s">
        <v>192</v>
      </c>
      <c r="O30" s="11">
        <v>1</v>
      </c>
      <c r="P30" s="11">
        <v>2</v>
      </c>
      <c r="Q30" s="10" t="s">
        <v>118</v>
      </c>
      <c r="R30" s="10" t="s">
        <v>193</v>
      </c>
      <c r="S30" s="10" t="s">
        <v>194</v>
      </c>
      <c r="T30" s="10" t="s">
        <v>195</v>
      </c>
      <c r="U30" s="10" t="s">
        <v>158</v>
      </c>
      <c r="V30" s="10" t="s">
        <v>77</v>
      </c>
      <c r="W30" s="7">
        <v>1</v>
      </c>
      <c r="X30" s="7">
        <v>3</v>
      </c>
      <c r="Y30" s="7">
        <v>1</v>
      </c>
      <c r="Z30" s="7">
        <v>5</v>
      </c>
      <c r="AA30" s="12" t="s">
        <v>74</v>
      </c>
      <c r="AB30" s="11">
        <v>2</v>
      </c>
      <c r="AC30" s="12" t="s">
        <v>285</v>
      </c>
      <c r="AD30" s="6">
        <v>90</v>
      </c>
      <c r="AE30" s="10" t="s">
        <v>73</v>
      </c>
    </row>
    <row r="31" spans="1:32" s="6" customFormat="1" ht="43.2" x14ac:dyDescent="0.3">
      <c r="A31" s="6" t="s">
        <v>382</v>
      </c>
      <c r="B31" s="6">
        <v>2024</v>
      </c>
      <c r="C31" s="7">
        <v>16</v>
      </c>
      <c r="D31" s="6" t="s">
        <v>71</v>
      </c>
      <c r="E31" s="7">
        <v>1</v>
      </c>
      <c r="F31" s="14" t="s">
        <v>381</v>
      </c>
      <c r="G31" t="s">
        <v>380</v>
      </c>
      <c r="H31" s="4" t="s">
        <v>353</v>
      </c>
      <c r="I31" s="10" t="s">
        <v>375</v>
      </c>
      <c r="J31" s="11">
        <v>1</v>
      </c>
      <c r="K31" s="6" t="s">
        <v>376</v>
      </c>
      <c r="L31" s="10" t="s">
        <v>377</v>
      </c>
      <c r="M31" s="11">
        <v>4</v>
      </c>
      <c r="N31" s="10" t="s">
        <v>192</v>
      </c>
      <c r="O31" s="11">
        <v>1</v>
      </c>
      <c r="P31" s="11">
        <v>2</v>
      </c>
      <c r="Q31" s="10" t="s">
        <v>118</v>
      </c>
      <c r="R31" s="10" t="s">
        <v>193</v>
      </c>
      <c r="S31" s="10" t="s">
        <v>194</v>
      </c>
      <c r="T31" s="10" t="s">
        <v>195</v>
      </c>
      <c r="U31" s="10" t="s">
        <v>158</v>
      </c>
      <c r="V31" s="10" t="s">
        <v>77</v>
      </c>
      <c r="W31" s="7">
        <v>1</v>
      </c>
      <c r="X31" s="7">
        <v>3</v>
      </c>
      <c r="Y31" s="7">
        <v>1</v>
      </c>
      <c r="Z31" s="7">
        <v>5</v>
      </c>
      <c r="AA31" s="12" t="s">
        <v>74</v>
      </c>
      <c r="AB31" s="11">
        <v>2</v>
      </c>
      <c r="AC31" s="10" t="s">
        <v>378</v>
      </c>
      <c r="AD31" s="6">
        <v>30</v>
      </c>
      <c r="AE31" s="10" t="s">
        <v>73</v>
      </c>
      <c r="AF31" s="6" t="s">
        <v>379</v>
      </c>
    </row>
    <row r="32" spans="1:32" s="6" customFormat="1" ht="43.2" x14ac:dyDescent="0.3">
      <c r="A32" s="6" t="s">
        <v>388</v>
      </c>
      <c r="B32" s="6">
        <v>2024</v>
      </c>
      <c r="C32" s="7">
        <v>16</v>
      </c>
      <c r="D32" s="6" t="s">
        <v>71</v>
      </c>
      <c r="E32" s="7">
        <v>1</v>
      </c>
      <c r="F32" s="14" t="s">
        <v>387</v>
      </c>
      <c r="G32" t="s">
        <v>385</v>
      </c>
      <c r="H32" s="4" t="s">
        <v>354</v>
      </c>
      <c r="I32" s="10" t="s">
        <v>48</v>
      </c>
      <c r="J32" s="11">
        <v>8</v>
      </c>
      <c r="L32" s="10" t="s">
        <v>386</v>
      </c>
      <c r="M32" s="11">
        <v>4</v>
      </c>
      <c r="N32" s="10" t="s">
        <v>384</v>
      </c>
      <c r="O32" s="11">
        <v>1</v>
      </c>
      <c r="P32" s="11">
        <v>2</v>
      </c>
      <c r="Q32" s="10" t="s">
        <v>118</v>
      </c>
      <c r="R32" s="10" t="s">
        <v>193</v>
      </c>
      <c r="S32" s="10" t="s">
        <v>184</v>
      </c>
      <c r="T32" s="10" t="s">
        <v>383</v>
      </c>
      <c r="U32" s="10" t="s">
        <v>158</v>
      </c>
      <c r="V32" s="10" t="s">
        <v>77</v>
      </c>
      <c r="W32" s="7">
        <v>1</v>
      </c>
      <c r="X32" s="7">
        <v>3</v>
      </c>
      <c r="Y32" s="7">
        <v>1</v>
      </c>
      <c r="Z32" s="7">
        <v>5</v>
      </c>
      <c r="AA32" s="12" t="s">
        <v>74</v>
      </c>
      <c r="AB32" s="7">
        <v>2</v>
      </c>
      <c r="AC32" s="12" t="s">
        <v>285</v>
      </c>
      <c r="AD32" s="6">
        <v>90</v>
      </c>
      <c r="AE32" s="10" t="s">
        <v>73</v>
      </c>
    </row>
    <row r="33" spans="1:32" s="6" customFormat="1" ht="72" x14ac:dyDescent="0.3">
      <c r="A33" s="6" t="s">
        <v>394</v>
      </c>
      <c r="B33" s="6">
        <v>2024</v>
      </c>
      <c r="C33" s="7">
        <v>16</v>
      </c>
      <c r="D33" s="6" t="s">
        <v>71</v>
      </c>
      <c r="E33" s="7">
        <v>1</v>
      </c>
      <c r="F33" s="14" t="s">
        <v>393</v>
      </c>
      <c r="G33" t="s">
        <v>147</v>
      </c>
      <c r="H33" s="4" t="s">
        <v>389</v>
      </c>
      <c r="I33" s="10" t="s">
        <v>390</v>
      </c>
      <c r="J33" s="11">
        <v>3</v>
      </c>
      <c r="K33" s="6" t="s">
        <v>395</v>
      </c>
      <c r="L33" s="10" t="s">
        <v>391</v>
      </c>
      <c r="M33" s="11">
        <v>4</v>
      </c>
      <c r="N33" s="12" t="s">
        <v>75</v>
      </c>
      <c r="O33" s="7">
        <v>100</v>
      </c>
      <c r="P33" s="7">
        <v>100</v>
      </c>
      <c r="Q33" s="12" t="s">
        <v>75</v>
      </c>
      <c r="R33" s="12" t="s">
        <v>75</v>
      </c>
      <c r="S33" s="12" t="s">
        <v>75</v>
      </c>
      <c r="T33" s="12" t="s">
        <v>75</v>
      </c>
      <c r="U33" s="12" t="s">
        <v>75</v>
      </c>
      <c r="V33" s="12" t="s">
        <v>75</v>
      </c>
      <c r="W33" s="7">
        <v>3</v>
      </c>
      <c r="X33" s="7">
        <v>3</v>
      </c>
      <c r="Y33" s="7">
        <v>17</v>
      </c>
      <c r="Z33" s="7">
        <v>4</v>
      </c>
      <c r="AA33" s="12" t="s">
        <v>74</v>
      </c>
      <c r="AB33" s="7">
        <v>2</v>
      </c>
      <c r="AC33" s="12" t="s">
        <v>75</v>
      </c>
      <c r="AD33" s="12" t="s">
        <v>75</v>
      </c>
      <c r="AE33" s="12" t="s">
        <v>75</v>
      </c>
      <c r="AF33" s="6" t="s">
        <v>392</v>
      </c>
    </row>
    <row r="34" spans="1:32" s="6" customFormat="1" ht="43.2" x14ac:dyDescent="0.3">
      <c r="A34" s="6" t="s">
        <v>401</v>
      </c>
      <c r="B34" s="6">
        <v>2024</v>
      </c>
      <c r="C34" s="7">
        <v>16</v>
      </c>
      <c r="D34" s="6" t="s">
        <v>71</v>
      </c>
      <c r="E34" s="7">
        <v>1</v>
      </c>
      <c r="F34" s="14" t="s">
        <v>402</v>
      </c>
      <c r="G34" t="s">
        <v>398</v>
      </c>
      <c r="H34" s="4" t="s">
        <v>397</v>
      </c>
      <c r="I34" s="10" t="s">
        <v>396</v>
      </c>
      <c r="J34" s="11">
        <v>3</v>
      </c>
      <c r="K34" s="6" t="s">
        <v>404</v>
      </c>
      <c r="L34" s="10" t="s">
        <v>399</v>
      </c>
      <c r="M34" s="11">
        <v>4</v>
      </c>
      <c r="N34" s="12" t="s">
        <v>75</v>
      </c>
      <c r="O34" s="7">
        <v>100</v>
      </c>
      <c r="P34" s="7">
        <v>100</v>
      </c>
      <c r="Q34" s="12" t="s">
        <v>75</v>
      </c>
      <c r="R34" s="12" t="s">
        <v>75</v>
      </c>
      <c r="S34" s="12" t="s">
        <v>75</v>
      </c>
      <c r="T34" s="12" t="s">
        <v>75</v>
      </c>
      <c r="U34" s="12" t="s">
        <v>75</v>
      </c>
      <c r="V34" s="12" t="s">
        <v>75</v>
      </c>
      <c r="W34" s="7">
        <v>3</v>
      </c>
      <c r="X34" s="7">
        <v>3</v>
      </c>
      <c r="Y34" s="7">
        <v>17</v>
      </c>
      <c r="Z34" s="7">
        <v>4</v>
      </c>
      <c r="AA34" s="12" t="s">
        <v>74</v>
      </c>
      <c r="AB34" s="7">
        <v>2</v>
      </c>
      <c r="AC34" s="12" t="s">
        <v>75</v>
      </c>
      <c r="AD34" s="12" t="s">
        <v>75</v>
      </c>
      <c r="AE34" s="12" t="s">
        <v>75</v>
      </c>
      <c r="AF34" s="6" t="s">
        <v>400</v>
      </c>
    </row>
    <row r="35" spans="1:32" s="6" customFormat="1" ht="86.4" x14ac:dyDescent="0.3">
      <c r="A35" s="6" t="s">
        <v>411</v>
      </c>
      <c r="B35" s="6">
        <v>2024</v>
      </c>
      <c r="C35" s="7">
        <v>16</v>
      </c>
      <c r="D35" s="6" t="s">
        <v>71</v>
      </c>
      <c r="E35" s="7">
        <v>1</v>
      </c>
      <c r="F35" s="14" t="s">
        <v>410</v>
      </c>
      <c r="G35" t="s">
        <v>405</v>
      </c>
      <c r="H35" s="4" t="s">
        <v>403</v>
      </c>
      <c r="I35" s="10" t="s">
        <v>406</v>
      </c>
      <c r="J35" s="7">
        <v>3</v>
      </c>
      <c r="K35" s="6" t="s">
        <v>408</v>
      </c>
      <c r="L35" s="10" t="s">
        <v>407</v>
      </c>
      <c r="M35" s="11">
        <v>15</v>
      </c>
      <c r="N35" s="10" t="s">
        <v>192</v>
      </c>
      <c r="O35" s="11">
        <v>1</v>
      </c>
      <c r="P35" s="11">
        <v>2</v>
      </c>
      <c r="Q35" s="10" t="s">
        <v>118</v>
      </c>
      <c r="R35" s="10" t="s">
        <v>193</v>
      </c>
      <c r="S35" s="10" t="s">
        <v>194</v>
      </c>
      <c r="T35" s="10" t="s">
        <v>195</v>
      </c>
      <c r="U35" s="10" t="s">
        <v>76</v>
      </c>
      <c r="V35" s="10" t="s">
        <v>409</v>
      </c>
      <c r="W35" s="7">
        <v>2</v>
      </c>
      <c r="X35" s="7">
        <v>2</v>
      </c>
      <c r="Y35" s="7">
        <v>9</v>
      </c>
      <c r="Z35" s="7">
        <v>4</v>
      </c>
      <c r="AA35" s="12" t="s">
        <v>74</v>
      </c>
      <c r="AB35" s="11">
        <v>2</v>
      </c>
      <c r="AC35" s="12" t="s">
        <v>75</v>
      </c>
      <c r="AD35" s="6">
        <v>90</v>
      </c>
      <c r="AE35" s="10" t="s">
        <v>73</v>
      </c>
    </row>
    <row r="36" spans="1:32" s="6" customFormat="1" ht="43.2" x14ac:dyDescent="0.3">
      <c r="A36" s="6" t="s">
        <v>419</v>
      </c>
      <c r="B36" s="6">
        <v>2024</v>
      </c>
      <c r="C36" s="7">
        <v>16</v>
      </c>
      <c r="D36" s="6" t="s">
        <v>71</v>
      </c>
      <c r="E36" s="7">
        <v>1</v>
      </c>
      <c r="F36" s="14" t="s">
        <v>418</v>
      </c>
      <c r="G36" t="s">
        <v>398</v>
      </c>
      <c r="H36" s="4" t="s">
        <v>412</v>
      </c>
      <c r="I36" s="10" t="s">
        <v>414</v>
      </c>
      <c r="J36" s="11">
        <v>3</v>
      </c>
      <c r="L36" s="10" t="s">
        <v>413</v>
      </c>
      <c r="M36" s="11">
        <v>4</v>
      </c>
      <c r="N36" s="10" t="s">
        <v>415</v>
      </c>
      <c r="O36" s="11">
        <v>1</v>
      </c>
      <c r="P36" s="11">
        <v>2</v>
      </c>
      <c r="Q36" s="10" t="s">
        <v>416</v>
      </c>
      <c r="R36" s="10" t="s">
        <v>193</v>
      </c>
      <c r="S36" s="10" t="s">
        <v>194</v>
      </c>
      <c r="T36" s="10" t="s">
        <v>417</v>
      </c>
      <c r="U36" s="10" t="s">
        <v>76</v>
      </c>
      <c r="V36" s="10" t="s">
        <v>409</v>
      </c>
      <c r="W36" s="11">
        <v>2</v>
      </c>
      <c r="X36" s="11">
        <v>2</v>
      </c>
      <c r="Y36" s="11">
        <v>4</v>
      </c>
      <c r="Z36" s="11">
        <v>2</v>
      </c>
      <c r="AA36" s="13" t="s">
        <v>74</v>
      </c>
      <c r="AB36" s="7">
        <v>2</v>
      </c>
      <c r="AC36" s="12" t="s">
        <v>75</v>
      </c>
      <c r="AD36" s="10">
        <v>1000</v>
      </c>
      <c r="AE36" s="10" t="s">
        <v>73</v>
      </c>
      <c r="AF36" s="6" t="s">
        <v>2536</v>
      </c>
    </row>
    <row r="37" spans="1:32" s="6" customFormat="1" ht="57.6" x14ac:dyDescent="0.3">
      <c r="A37" s="6" t="s">
        <v>430</v>
      </c>
      <c r="B37" s="6">
        <v>2024</v>
      </c>
      <c r="C37" s="7">
        <v>16</v>
      </c>
      <c r="D37" s="6" t="s">
        <v>71</v>
      </c>
      <c r="E37" s="7">
        <v>1</v>
      </c>
      <c r="F37" s="14" t="s">
        <v>429</v>
      </c>
      <c r="G37" t="s">
        <v>329</v>
      </c>
      <c r="H37" s="4" t="s">
        <v>420</v>
      </c>
      <c r="I37" s="10" t="s">
        <v>425</v>
      </c>
      <c r="J37" s="11">
        <v>3</v>
      </c>
      <c r="K37" s="6" t="s">
        <v>426</v>
      </c>
      <c r="L37" s="10" t="s">
        <v>421</v>
      </c>
      <c r="M37" s="11">
        <v>3</v>
      </c>
      <c r="N37" s="10" t="s">
        <v>422</v>
      </c>
      <c r="O37" s="11">
        <v>1</v>
      </c>
      <c r="P37" s="11">
        <v>2</v>
      </c>
      <c r="Q37" s="10" t="s">
        <v>118</v>
      </c>
      <c r="R37" s="10" t="s">
        <v>156</v>
      </c>
      <c r="S37" s="10" t="s">
        <v>423</v>
      </c>
      <c r="T37" s="10" t="s">
        <v>424</v>
      </c>
      <c r="U37" s="12" t="s">
        <v>75</v>
      </c>
      <c r="V37" s="12" t="s">
        <v>75</v>
      </c>
      <c r="W37" s="11">
        <v>3</v>
      </c>
      <c r="X37" s="11">
        <v>3</v>
      </c>
      <c r="Y37" s="11">
        <v>17</v>
      </c>
      <c r="Z37" s="11">
        <v>4</v>
      </c>
      <c r="AA37" s="12" t="s">
        <v>74</v>
      </c>
      <c r="AB37" s="7">
        <v>2</v>
      </c>
      <c r="AC37" s="12" t="s">
        <v>75</v>
      </c>
      <c r="AD37" s="10">
        <v>12</v>
      </c>
      <c r="AE37" s="10" t="s">
        <v>427</v>
      </c>
      <c r="AF37" s="6" t="s">
        <v>428</v>
      </c>
    </row>
    <row r="38" spans="1:32" s="6" customFormat="1" ht="43.2" x14ac:dyDescent="0.3">
      <c r="A38" s="6" t="s">
        <v>443</v>
      </c>
      <c r="B38" s="6">
        <v>2024</v>
      </c>
      <c r="C38" s="7">
        <v>16</v>
      </c>
      <c r="D38" s="6" t="s">
        <v>71</v>
      </c>
      <c r="E38" s="7">
        <v>1</v>
      </c>
      <c r="F38" s="16" t="s">
        <v>442</v>
      </c>
      <c r="G38" t="s">
        <v>432</v>
      </c>
      <c r="H38" s="4" t="s">
        <v>431</v>
      </c>
      <c r="I38" s="10" t="s">
        <v>438</v>
      </c>
      <c r="J38" s="11">
        <v>3</v>
      </c>
      <c r="K38" s="6" t="s">
        <v>439</v>
      </c>
      <c r="L38" s="10" t="s">
        <v>440</v>
      </c>
      <c r="M38" s="11">
        <v>12</v>
      </c>
      <c r="N38" s="12" t="s">
        <v>75</v>
      </c>
      <c r="O38" s="7">
        <v>100</v>
      </c>
      <c r="P38" s="7">
        <v>100</v>
      </c>
      <c r="Q38" s="12" t="s">
        <v>75</v>
      </c>
      <c r="R38" s="12" t="s">
        <v>75</v>
      </c>
      <c r="S38" s="12" t="s">
        <v>75</v>
      </c>
      <c r="T38" s="12" t="s">
        <v>75</v>
      </c>
      <c r="U38" s="12" t="s">
        <v>75</v>
      </c>
      <c r="V38" s="12" t="s">
        <v>75</v>
      </c>
      <c r="W38" s="7">
        <v>3</v>
      </c>
      <c r="X38" s="7">
        <v>3</v>
      </c>
      <c r="Y38" s="7">
        <v>17</v>
      </c>
      <c r="Z38" s="7">
        <v>4</v>
      </c>
      <c r="AA38" s="12" t="s">
        <v>74</v>
      </c>
      <c r="AB38" s="7">
        <v>2</v>
      </c>
      <c r="AC38" s="12" t="s">
        <v>75</v>
      </c>
      <c r="AD38" s="12" t="s">
        <v>75</v>
      </c>
      <c r="AE38" s="12" t="s">
        <v>75</v>
      </c>
      <c r="AF38" s="6" t="s">
        <v>441</v>
      </c>
    </row>
    <row r="39" spans="1:32" s="6" customFormat="1" ht="57.6" x14ac:dyDescent="0.3">
      <c r="A39" s="6" t="s">
        <v>448</v>
      </c>
      <c r="B39" s="6">
        <v>2024</v>
      </c>
      <c r="C39" s="7">
        <v>16</v>
      </c>
      <c r="D39" s="6" t="s">
        <v>71</v>
      </c>
      <c r="E39" s="7">
        <v>1</v>
      </c>
      <c r="F39" s="14" t="s">
        <v>447</v>
      </c>
      <c r="G39" t="s">
        <v>434</v>
      </c>
      <c r="H39" s="4" t="s">
        <v>433</v>
      </c>
      <c r="I39" s="10" t="s">
        <v>445</v>
      </c>
      <c r="J39" s="11">
        <v>3</v>
      </c>
      <c r="K39" s="6" t="s">
        <v>444</v>
      </c>
      <c r="L39" s="10" t="s">
        <v>446</v>
      </c>
      <c r="M39" s="11">
        <v>4</v>
      </c>
      <c r="N39" s="10" t="s">
        <v>192</v>
      </c>
      <c r="O39" s="11">
        <v>1</v>
      </c>
      <c r="P39" s="11">
        <v>2</v>
      </c>
      <c r="Q39" s="10" t="s">
        <v>118</v>
      </c>
      <c r="R39" s="10" t="s">
        <v>193</v>
      </c>
      <c r="S39" s="10" t="s">
        <v>194</v>
      </c>
      <c r="T39" s="10" t="s">
        <v>195</v>
      </c>
      <c r="U39" s="10" t="s">
        <v>158</v>
      </c>
      <c r="V39" s="10" t="s">
        <v>77</v>
      </c>
      <c r="W39" s="7">
        <v>1</v>
      </c>
      <c r="X39" s="7">
        <v>3</v>
      </c>
      <c r="Y39" s="7">
        <v>1</v>
      </c>
      <c r="Z39" s="7">
        <v>5</v>
      </c>
      <c r="AA39" s="12" t="s">
        <v>74</v>
      </c>
      <c r="AB39" s="11">
        <v>2</v>
      </c>
      <c r="AC39" s="10" t="s">
        <v>293</v>
      </c>
      <c r="AD39" s="6">
        <v>30</v>
      </c>
      <c r="AE39" s="10" t="s">
        <v>73</v>
      </c>
    </row>
    <row r="40" spans="1:32" s="6" customFormat="1" ht="86.4" x14ac:dyDescent="0.3">
      <c r="A40" s="6" t="s">
        <v>451</v>
      </c>
      <c r="B40" s="6">
        <v>2024</v>
      </c>
      <c r="C40" s="7">
        <v>16</v>
      </c>
      <c r="D40" s="6" t="s">
        <v>71</v>
      </c>
      <c r="E40" s="7">
        <v>1</v>
      </c>
      <c r="F40" s="14" t="s">
        <v>450</v>
      </c>
      <c r="G40" t="s">
        <v>436</v>
      </c>
      <c r="H40" s="4" t="s">
        <v>435</v>
      </c>
      <c r="I40" s="10" t="s">
        <v>437</v>
      </c>
      <c r="J40" s="11">
        <v>3</v>
      </c>
      <c r="L40" s="10" t="s">
        <v>452</v>
      </c>
      <c r="M40" s="11">
        <v>4</v>
      </c>
      <c r="N40" s="12" t="s">
        <v>75</v>
      </c>
      <c r="O40" s="7">
        <v>100</v>
      </c>
      <c r="P40" s="7">
        <v>2</v>
      </c>
      <c r="Q40" s="12" t="s">
        <v>75</v>
      </c>
      <c r="R40" s="12" t="s">
        <v>75</v>
      </c>
      <c r="S40" s="6">
        <v>2000</v>
      </c>
      <c r="T40" s="12" t="s">
        <v>75</v>
      </c>
      <c r="U40" s="12" t="s">
        <v>75</v>
      </c>
      <c r="V40" s="12" t="s">
        <v>75</v>
      </c>
      <c r="W40" s="7">
        <v>3</v>
      </c>
      <c r="X40" s="7">
        <v>3</v>
      </c>
      <c r="Y40" s="7">
        <v>17</v>
      </c>
      <c r="Z40" s="7">
        <v>4</v>
      </c>
      <c r="AA40" s="12" t="s">
        <v>74</v>
      </c>
      <c r="AB40" s="7">
        <v>2</v>
      </c>
      <c r="AC40" s="12" t="s">
        <v>75</v>
      </c>
      <c r="AD40" s="12" t="s">
        <v>75</v>
      </c>
      <c r="AE40" s="12" t="s">
        <v>75</v>
      </c>
      <c r="AF40" s="6" t="s">
        <v>449</v>
      </c>
    </row>
    <row r="41" spans="1:32" s="6" customFormat="1" ht="115.2" x14ac:dyDescent="0.3">
      <c r="A41" s="6" t="s">
        <v>469</v>
      </c>
      <c r="B41" s="6">
        <v>2024</v>
      </c>
      <c r="C41" s="7">
        <v>16</v>
      </c>
      <c r="D41" s="6" t="s">
        <v>71</v>
      </c>
      <c r="E41" s="7">
        <v>1</v>
      </c>
      <c r="F41" s="14" t="s">
        <v>468</v>
      </c>
      <c r="G41" t="s">
        <v>217</v>
      </c>
      <c r="H41" s="4" t="s">
        <v>453</v>
      </c>
      <c r="I41" s="10" t="s">
        <v>455</v>
      </c>
      <c r="J41" s="11">
        <v>3</v>
      </c>
      <c r="K41" s="6" t="s">
        <v>454</v>
      </c>
      <c r="L41" s="10" t="s">
        <v>467</v>
      </c>
      <c r="M41" s="11">
        <v>5</v>
      </c>
      <c r="N41" s="10" t="s">
        <v>456</v>
      </c>
      <c r="O41" s="11">
        <v>3</v>
      </c>
      <c r="P41" s="11">
        <v>3</v>
      </c>
      <c r="Q41" s="10" t="s">
        <v>457</v>
      </c>
      <c r="R41" s="10" t="s">
        <v>458</v>
      </c>
      <c r="S41" s="10" t="s">
        <v>459</v>
      </c>
      <c r="T41" s="10" t="s">
        <v>460</v>
      </c>
      <c r="U41" s="10" t="s">
        <v>461</v>
      </c>
      <c r="V41" s="10" t="s">
        <v>462</v>
      </c>
      <c r="W41" s="11">
        <v>1</v>
      </c>
      <c r="X41" s="11">
        <v>3</v>
      </c>
      <c r="Y41" s="11">
        <v>16</v>
      </c>
      <c r="Z41" s="11">
        <v>5</v>
      </c>
      <c r="AA41" s="6" t="s">
        <v>463</v>
      </c>
      <c r="AB41" s="7">
        <v>1</v>
      </c>
      <c r="AC41" s="10" t="s">
        <v>72</v>
      </c>
      <c r="AD41" s="10" t="s">
        <v>464</v>
      </c>
      <c r="AE41" s="10" t="s">
        <v>465</v>
      </c>
      <c r="AF41" s="6" t="s">
        <v>466</v>
      </c>
    </row>
    <row r="42" spans="1:32" s="6" customFormat="1" ht="43.2" x14ac:dyDescent="0.3">
      <c r="A42" s="6" t="s">
        <v>476</v>
      </c>
      <c r="B42" s="6">
        <v>2024</v>
      </c>
      <c r="C42" s="7">
        <v>16</v>
      </c>
      <c r="D42" s="6" t="s">
        <v>71</v>
      </c>
      <c r="E42" s="7">
        <v>1</v>
      </c>
      <c r="F42" s="14" t="s">
        <v>475</v>
      </c>
      <c r="G42" t="s">
        <v>472</v>
      </c>
      <c r="H42" s="4" t="s">
        <v>471</v>
      </c>
      <c r="I42" s="6" t="s">
        <v>473</v>
      </c>
      <c r="J42" s="11">
        <v>3</v>
      </c>
      <c r="K42" s="6" t="s">
        <v>204</v>
      </c>
      <c r="L42" s="10" t="s">
        <v>474</v>
      </c>
      <c r="M42" s="11">
        <v>4</v>
      </c>
      <c r="N42" s="10" t="s">
        <v>192</v>
      </c>
      <c r="O42" s="11">
        <v>1</v>
      </c>
      <c r="P42" s="11">
        <v>2</v>
      </c>
      <c r="Q42" s="10" t="s">
        <v>118</v>
      </c>
      <c r="R42" s="10" t="s">
        <v>193</v>
      </c>
      <c r="S42" s="10" t="s">
        <v>194</v>
      </c>
      <c r="T42" s="10" t="s">
        <v>195</v>
      </c>
      <c r="U42" s="10" t="s">
        <v>158</v>
      </c>
      <c r="V42" s="10" t="s">
        <v>77</v>
      </c>
      <c r="W42" s="7">
        <v>1</v>
      </c>
      <c r="X42" s="7">
        <v>3</v>
      </c>
      <c r="Y42" s="7">
        <v>1</v>
      </c>
      <c r="Z42" s="7">
        <v>5</v>
      </c>
      <c r="AA42" s="12" t="s">
        <v>74</v>
      </c>
      <c r="AB42" s="11">
        <v>2</v>
      </c>
      <c r="AC42" s="12" t="s">
        <v>75</v>
      </c>
      <c r="AD42" s="10" t="s">
        <v>470</v>
      </c>
      <c r="AE42" s="10" t="s">
        <v>73</v>
      </c>
    </row>
    <row r="43" spans="1:32" s="6" customFormat="1" ht="59.4" x14ac:dyDescent="0.3">
      <c r="A43" s="6" t="s">
        <v>495</v>
      </c>
      <c r="B43" s="6">
        <v>2024</v>
      </c>
      <c r="C43" s="7">
        <v>16</v>
      </c>
      <c r="D43" s="6" t="s">
        <v>71</v>
      </c>
      <c r="E43" s="7">
        <v>1</v>
      </c>
      <c r="F43" s="14" t="s">
        <v>484</v>
      </c>
      <c r="G43" t="s">
        <v>478</v>
      </c>
      <c r="H43" s="4" t="s">
        <v>477</v>
      </c>
      <c r="I43" s="10" t="s">
        <v>489</v>
      </c>
      <c r="J43" s="11">
        <v>1</v>
      </c>
      <c r="K43" s="6" t="s">
        <v>491</v>
      </c>
      <c r="L43" s="10" t="s">
        <v>490</v>
      </c>
      <c r="M43" s="11">
        <v>4</v>
      </c>
      <c r="N43" s="10" t="s">
        <v>479</v>
      </c>
      <c r="O43" s="11">
        <v>1</v>
      </c>
      <c r="P43" s="11">
        <v>2</v>
      </c>
      <c r="Q43" s="10" t="s">
        <v>480</v>
      </c>
      <c r="R43" s="10" t="s">
        <v>494</v>
      </c>
      <c r="S43" s="6" t="s">
        <v>492</v>
      </c>
      <c r="T43" s="10" t="s">
        <v>493</v>
      </c>
      <c r="U43" s="12" t="s">
        <v>75</v>
      </c>
      <c r="V43" s="12" t="s">
        <v>75</v>
      </c>
      <c r="W43" s="7">
        <v>3</v>
      </c>
      <c r="X43" s="7">
        <v>3</v>
      </c>
      <c r="Y43" s="7">
        <v>17</v>
      </c>
      <c r="Z43" s="7">
        <v>4</v>
      </c>
      <c r="AA43" s="6">
        <v>0.1</v>
      </c>
      <c r="AB43" s="7">
        <v>1</v>
      </c>
      <c r="AC43" s="12" t="s">
        <v>75</v>
      </c>
      <c r="AD43" s="10">
        <v>10</v>
      </c>
      <c r="AE43" s="12" t="s">
        <v>75</v>
      </c>
    </row>
    <row r="44" spans="1:32" s="6" customFormat="1" ht="57.6" x14ac:dyDescent="0.3">
      <c r="A44" s="6" t="s">
        <v>488</v>
      </c>
      <c r="B44" s="6">
        <v>2024</v>
      </c>
      <c r="C44" s="7">
        <v>16</v>
      </c>
      <c r="D44" s="6" t="s">
        <v>71</v>
      </c>
      <c r="E44" s="7">
        <v>1</v>
      </c>
      <c r="F44" s="14" t="s">
        <v>483</v>
      </c>
      <c r="G44" t="s">
        <v>482</v>
      </c>
      <c r="H44" s="4" t="s">
        <v>481</v>
      </c>
      <c r="I44" s="10" t="s">
        <v>485</v>
      </c>
      <c r="J44" s="11">
        <v>1</v>
      </c>
      <c r="K44" s="6" t="s">
        <v>486</v>
      </c>
      <c r="L44" s="10" t="s">
        <v>487</v>
      </c>
      <c r="M44" s="11">
        <v>4</v>
      </c>
      <c r="N44" s="10" t="s">
        <v>192</v>
      </c>
      <c r="O44" s="11">
        <v>1</v>
      </c>
      <c r="P44" s="11">
        <v>2</v>
      </c>
      <c r="Q44" s="10" t="s">
        <v>118</v>
      </c>
      <c r="R44" s="10" t="s">
        <v>193</v>
      </c>
      <c r="S44" s="10" t="s">
        <v>194</v>
      </c>
      <c r="T44" s="10" t="s">
        <v>195</v>
      </c>
      <c r="U44" s="12" t="s">
        <v>116</v>
      </c>
      <c r="V44" s="10" t="s">
        <v>186</v>
      </c>
      <c r="W44" s="7">
        <v>3</v>
      </c>
      <c r="X44" s="7">
        <v>3</v>
      </c>
      <c r="Y44" s="7">
        <v>17</v>
      </c>
      <c r="Z44" s="7">
        <v>4</v>
      </c>
      <c r="AA44" s="12" t="s">
        <v>74</v>
      </c>
      <c r="AB44" s="11">
        <v>2</v>
      </c>
      <c r="AC44" s="12" t="s">
        <v>75</v>
      </c>
      <c r="AD44" s="6">
        <v>30</v>
      </c>
      <c r="AE44" s="10" t="s">
        <v>73</v>
      </c>
    </row>
    <row r="45" spans="1:32" s="6" customFormat="1" ht="57.6" x14ac:dyDescent="0.3">
      <c r="A45" s="6" t="s">
        <v>500</v>
      </c>
      <c r="B45" s="6">
        <v>2024</v>
      </c>
      <c r="C45" s="7">
        <v>16</v>
      </c>
      <c r="D45" s="6" t="s">
        <v>71</v>
      </c>
      <c r="E45" s="7">
        <v>1</v>
      </c>
      <c r="F45" s="14" t="s">
        <v>501</v>
      </c>
      <c r="G45" t="s">
        <v>497</v>
      </c>
      <c r="H45" s="4" t="s">
        <v>496</v>
      </c>
      <c r="I45" s="10" t="s">
        <v>498</v>
      </c>
      <c r="J45" s="7">
        <v>3</v>
      </c>
      <c r="K45" s="6" t="s">
        <v>365</v>
      </c>
      <c r="L45" s="10" t="s">
        <v>499</v>
      </c>
      <c r="M45" s="11">
        <v>4</v>
      </c>
      <c r="N45" s="10" t="s">
        <v>192</v>
      </c>
      <c r="O45" s="11">
        <v>1</v>
      </c>
      <c r="P45" s="11">
        <v>2</v>
      </c>
      <c r="Q45" s="10" t="s">
        <v>118</v>
      </c>
      <c r="R45" s="10" t="s">
        <v>193</v>
      </c>
      <c r="S45" s="10" t="s">
        <v>194</v>
      </c>
      <c r="T45" s="10" t="s">
        <v>195</v>
      </c>
      <c r="U45" s="10" t="s">
        <v>158</v>
      </c>
      <c r="V45" s="10" t="s">
        <v>77</v>
      </c>
      <c r="W45" s="7">
        <v>1</v>
      </c>
      <c r="X45" s="7">
        <v>3</v>
      </c>
      <c r="Y45" s="7">
        <v>1</v>
      </c>
      <c r="Z45" s="7">
        <v>5</v>
      </c>
      <c r="AA45" s="12" t="s">
        <v>74</v>
      </c>
      <c r="AB45" s="11">
        <v>2</v>
      </c>
      <c r="AC45" s="12" t="s">
        <v>75</v>
      </c>
      <c r="AD45" s="10">
        <v>30</v>
      </c>
      <c r="AE45" s="10" t="s">
        <v>73</v>
      </c>
    </row>
    <row r="46" spans="1:32" s="6" customFormat="1" ht="57.6" x14ac:dyDescent="0.3">
      <c r="A46" s="6" t="s">
        <v>511</v>
      </c>
      <c r="B46" s="6">
        <v>2024</v>
      </c>
      <c r="C46" s="7">
        <v>16</v>
      </c>
      <c r="D46" s="6" t="s">
        <v>71</v>
      </c>
      <c r="E46" s="7">
        <v>1</v>
      </c>
      <c r="F46" s="14" t="s">
        <v>510</v>
      </c>
      <c r="G46" t="s">
        <v>380</v>
      </c>
      <c r="H46" s="4" t="s">
        <v>503</v>
      </c>
      <c r="I46" s="10" t="s">
        <v>502</v>
      </c>
      <c r="J46" s="7">
        <v>3</v>
      </c>
      <c r="K46" s="6" t="s">
        <v>512</v>
      </c>
      <c r="L46" s="10" t="s">
        <v>504</v>
      </c>
      <c r="M46" s="11">
        <v>1</v>
      </c>
      <c r="N46" s="10" t="s">
        <v>505</v>
      </c>
      <c r="O46" s="11">
        <v>1</v>
      </c>
      <c r="P46" s="11">
        <v>2</v>
      </c>
      <c r="Q46" s="10" t="s">
        <v>118</v>
      </c>
      <c r="R46" s="6" t="s">
        <v>193</v>
      </c>
      <c r="S46" s="6" t="s">
        <v>194</v>
      </c>
      <c r="T46" s="10" t="s">
        <v>195</v>
      </c>
      <c r="U46" s="12" t="s">
        <v>347</v>
      </c>
      <c r="V46" s="12" t="s">
        <v>506</v>
      </c>
      <c r="W46" s="7">
        <v>3</v>
      </c>
      <c r="X46" s="7">
        <v>3</v>
      </c>
      <c r="Y46" s="7">
        <v>17</v>
      </c>
      <c r="Z46" s="7">
        <v>4</v>
      </c>
      <c r="AA46" s="12" t="s">
        <v>74</v>
      </c>
      <c r="AB46" s="11">
        <v>2</v>
      </c>
      <c r="AC46" s="10" t="s">
        <v>507</v>
      </c>
      <c r="AD46" s="10" t="s">
        <v>508</v>
      </c>
      <c r="AE46" s="10" t="s">
        <v>73</v>
      </c>
      <c r="AF46" s="6" t="s">
        <v>509</v>
      </c>
    </row>
    <row r="47" spans="1:32" s="6" customFormat="1" ht="72" x14ac:dyDescent="0.3">
      <c r="A47" s="6" t="s">
        <v>519</v>
      </c>
      <c r="B47" s="6">
        <v>2024</v>
      </c>
      <c r="C47" s="7">
        <v>16</v>
      </c>
      <c r="D47" s="6" t="s">
        <v>71</v>
      </c>
      <c r="E47" s="7">
        <v>1</v>
      </c>
      <c r="F47" s="14" t="s">
        <v>521</v>
      </c>
      <c r="G47" t="s">
        <v>514</v>
      </c>
      <c r="H47" s="4" t="s">
        <v>513</v>
      </c>
      <c r="I47" s="10" t="s">
        <v>515</v>
      </c>
      <c r="J47" s="11">
        <v>3</v>
      </c>
      <c r="K47" s="6" t="s">
        <v>518</v>
      </c>
      <c r="L47" s="10" t="s">
        <v>516</v>
      </c>
      <c r="M47" s="11">
        <v>2</v>
      </c>
      <c r="N47" s="10" t="s">
        <v>517</v>
      </c>
      <c r="O47" s="11">
        <v>1</v>
      </c>
      <c r="P47" s="11">
        <v>2</v>
      </c>
      <c r="Q47" s="10" t="s">
        <v>118</v>
      </c>
      <c r="R47" s="6" t="s">
        <v>344</v>
      </c>
      <c r="S47" s="6" t="s">
        <v>345</v>
      </c>
      <c r="T47" s="10" t="s">
        <v>346</v>
      </c>
      <c r="U47" s="12" t="s">
        <v>347</v>
      </c>
      <c r="V47" s="12" t="s">
        <v>506</v>
      </c>
      <c r="W47" s="7">
        <v>3</v>
      </c>
      <c r="X47" s="7">
        <v>3</v>
      </c>
      <c r="Y47" s="7">
        <v>17</v>
      </c>
      <c r="Z47" s="7">
        <v>4</v>
      </c>
      <c r="AA47" s="12" t="s">
        <v>74</v>
      </c>
      <c r="AB47" s="11">
        <v>2</v>
      </c>
      <c r="AC47" s="12" t="s">
        <v>75</v>
      </c>
      <c r="AD47" s="12" t="s">
        <v>75</v>
      </c>
      <c r="AE47" s="10" t="s">
        <v>520</v>
      </c>
    </row>
    <row r="48" spans="1:32" ht="43.2" x14ac:dyDescent="0.3">
      <c r="A48" s="6" t="s">
        <v>531</v>
      </c>
      <c r="B48" s="6">
        <v>2024</v>
      </c>
      <c r="C48" s="7">
        <v>16</v>
      </c>
      <c r="D48" s="6" t="s">
        <v>71</v>
      </c>
      <c r="E48" s="7">
        <v>1</v>
      </c>
      <c r="F48" s="14" t="s">
        <v>529</v>
      </c>
      <c r="G48" t="s">
        <v>528</v>
      </c>
      <c r="H48" s="4" t="s">
        <v>527</v>
      </c>
      <c r="I48" s="10" t="s">
        <v>532</v>
      </c>
      <c r="J48" s="3">
        <v>1</v>
      </c>
      <c r="K48" s="6" t="s">
        <v>530</v>
      </c>
      <c r="L48" s="10" t="s">
        <v>533</v>
      </c>
      <c r="M48" s="3">
        <v>4</v>
      </c>
      <c r="N48" s="10" t="s">
        <v>192</v>
      </c>
      <c r="O48" s="11">
        <v>1</v>
      </c>
      <c r="P48" s="11">
        <v>2</v>
      </c>
      <c r="Q48" s="10" t="s">
        <v>118</v>
      </c>
      <c r="R48" s="10" t="s">
        <v>193</v>
      </c>
      <c r="S48" s="10" t="s">
        <v>194</v>
      </c>
      <c r="T48" s="10" t="s">
        <v>195</v>
      </c>
      <c r="U48" s="12" t="s">
        <v>116</v>
      </c>
      <c r="V48" s="10" t="s">
        <v>186</v>
      </c>
      <c r="W48" s="7">
        <v>3</v>
      </c>
      <c r="X48" s="7">
        <v>3</v>
      </c>
      <c r="Y48" s="7">
        <v>17</v>
      </c>
      <c r="Z48" s="7">
        <v>4</v>
      </c>
      <c r="AA48" s="12" t="s">
        <v>74</v>
      </c>
      <c r="AB48" s="11">
        <v>2</v>
      </c>
      <c r="AC48" s="6" t="s">
        <v>534</v>
      </c>
      <c r="AD48" s="6">
        <v>30</v>
      </c>
      <c r="AE48" s="10" t="s">
        <v>73</v>
      </c>
    </row>
    <row r="49" spans="1:32" s="6" customFormat="1" ht="43.2" x14ac:dyDescent="0.3">
      <c r="A49" s="6" t="s">
        <v>526</v>
      </c>
      <c r="B49" s="6">
        <v>2024</v>
      </c>
      <c r="C49" s="7">
        <v>16</v>
      </c>
      <c r="D49" s="6" t="s">
        <v>71</v>
      </c>
      <c r="E49" s="7">
        <v>1</v>
      </c>
      <c r="F49" s="14" t="s">
        <v>525</v>
      </c>
      <c r="G49" t="s">
        <v>217</v>
      </c>
      <c r="H49" s="4" t="s">
        <v>524</v>
      </c>
      <c r="I49" s="10" t="s">
        <v>2034</v>
      </c>
      <c r="J49" s="11">
        <v>3</v>
      </c>
      <c r="K49" s="6" t="s">
        <v>522</v>
      </c>
      <c r="L49" s="10" t="s">
        <v>523</v>
      </c>
      <c r="M49" s="11">
        <v>4</v>
      </c>
      <c r="N49" s="10" t="s">
        <v>192</v>
      </c>
      <c r="O49" s="11">
        <v>1</v>
      </c>
      <c r="P49" s="11">
        <v>2</v>
      </c>
      <c r="Q49" s="10" t="s">
        <v>118</v>
      </c>
      <c r="R49" s="10" t="s">
        <v>193</v>
      </c>
      <c r="S49" s="10" t="s">
        <v>194</v>
      </c>
      <c r="T49" s="10" t="s">
        <v>195</v>
      </c>
      <c r="U49" s="12" t="s">
        <v>116</v>
      </c>
      <c r="V49" s="10" t="s">
        <v>186</v>
      </c>
      <c r="W49" s="7">
        <v>3</v>
      </c>
      <c r="X49" s="7">
        <v>3</v>
      </c>
      <c r="Y49" s="7">
        <v>17</v>
      </c>
      <c r="Z49" s="7">
        <v>4</v>
      </c>
      <c r="AA49" s="12" t="s">
        <v>74</v>
      </c>
      <c r="AB49" s="11">
        <v>2</v>
      </c>
      <c r="AC49" s="12" t="s">
        <v>75</v>
      </c>
      <c r="AD49" s="12" t="s">
        <v>75</v>
      </c>
      <c r="AE49" s="10" t="s">
        <v>73</v>
      </c>
    </row>
    <row r="50" spans="1:32" s="6" customFormat="1" ht="43.2" x14ac:dyDescent="0.3">
      <c r="A50" s="6" t="s">
        <v>540</v>
      </c>
      <c r="B50" s="6">
        <v>2024</v>
      </c>
      <c r="C50" s="7">
        <v>16</v>
      </c>
      <c r="D50" s="6" t="s">
        <v>71</v>
      </c>
      <c r="E50" s="7">
        <v>1</v>
      </c>
      <c r="F50" s="14" t="s">
        <v>541</v>
      </c>
      <c r="G50" t="s">
        <v>538</v>
      </c>
      <c r="H50" s="4" t="s">
        <v>537</v>
      </c>
      <c r="I50" s="10" t="s">
        <v>535</v>
      </c>
      <c r="J50" s="11">
        <v>1</v>
      </c>
      <c r="K50" s="6" t="s">
        <v>539</v>
      </c>
      <c r="L50" s="10" t="s">
        <v>536</v>
      </c>
      <c r="M50" s="11">
        <v>4</v>
      </c>
      <c r="N50" s="10" t="s">
        <v>192</v>
      </c>
      <c r="O50" s="11">
        <v>1</v>
      </c>
      <c r="P50" s="11">
        <v>2</v>
      </c>
      <c r="Q50" s="10" t="s">
        <v>118</v>
      </c>
      <c r="R50" s="10" t="s">
        <v>193</v>
      </c>
      <c r="S50" s="10" t="s">
        <v>194</v>
      </c>
      <c r="T50" s="10" t="s">
        <v>195</v>
      </c>
      <c r="U50" s="10" t="s">
        <v>158</v>
      </c>
      <c r="V50" s="10" t="s">
        <v>77</v>
      </c>
      <c r="W50" s="7">
        <v>1</v>
      </c>
      <c r="X50" s="7">
        <v>3</v>
      </c>
      <c r="Y50" s="7">
        <v>1</v>
      </c>
      <c r="Z50" s="7">
        <v>5</v>
      </c>
      <c r="AA50" s="12" t="s">
        <v>74</v>
      </c>
      <c r="AB50" s="11">
        <v>2</v>
      </c>
      <c r="AC50" s="12" t="s">
        <v>75</v>
      </c>
      <c r="AD50" s="10">
        <v>30</v>
      </c>
      <c r="AE50" s="10" t="s">
        <v>73</v>
      </c>
    </row>
    <row r="51" spans="1:32" s="6" customFormat="1" ht="72" x14ac:dyDescent="0.3">
      <c r="A51" s="6" t="s">
        <v>548</v>
      </c>
      <c r="B51" s="6">
        <v>2024</v>
      </c>
      <c r="C51" s="7">
        <v>16</v>
      </c>
      <c r="D51" s="6" t="s">
        <v>71</v>
      </c>
      <c r="E51" s="7">
        <v>1</v>
      </c>
      <c r="F51" s="14" t="s">
        <v>543</v>
      </c>
      <c r="G51" t="s">
        <v>544</v>
      </c>
      <c r="H51" s="4" t="s">
        <v>542</v>
      </c>
      <c r="I51" s="10" t="s">
        <v>546</v>
      </c>
      <c r="J51" s="11">
        <v>3</v>
      </c>
      <c r="K51" s="6" t="s">
        <v>547</v>
      </c>
      <c r="L51" s="10" t="s">
        <v>545</v>
      </c>
      <c r="M51" s="11">
        <v>12</v>
      </c>
      <c r="N51" s="10" t="s">
        <v>265</v>
      </c>
      <c r="O51" s="11">
        <v>1</v>
      </c>
      <c r="P51" s="11">
        <v>2</v>
      </c>
      <c r="Q51" s="10" t="s">
        <v>118</v>
      </c>
      <c r="R51" s="10" t="s">
        <v>266</v>
      </c>
      <c r="S51" s="6" t="s">
        <v>267</v>
      </c>
      <c r="T51" s="10" t="s">
        <v>268</v>
      </c>
      <c r="U51" s="10" t="s">
        <v>259</v>
      </c>
      <c r="V51" s="10" t="s">
        <v>186</v>
      </c>
      <c r="W51" s="7">
        <v>3</v>
      </c>
      <c r="X51" s="7">
        <v>3</v>
      </c>
      <c r="Y51" s="7">
        <v>17</v>
      </c>
      <c r="Z51" s="7">
        <v>4</v>
      </c>
      <c r="AA51" s="12" t="s">
        <v>74</v>
      </c>
      <c r="AB51" s="11">
        <v>2</v>
      </c>
      <c r="AC51" s="12" t="s">
        <v>75</v>
      </c>
      <c r="AD51" s="12" t="s">
        <v>75</v>
      </c>
      <c r="AE51" s="10" t="s">
        <v>73</v>
      </c>
    </row>
    <row r="52" spans="1:32" s="6" customFormat="1" ht="57.6" x14ac:dyDescent="0.3">
      <c r="A52" s="6" t="s">
        <v>554</v>
      </c>
      <c r="B52" s="6">
        <v>2024</v>
      </c>
      <c r="C52" s="7">
        <v>16</v>
      </c>
      <c r="D52" s="6" t="s">
        <v>71</v>
      </c>
      <c r="E52" s="7">
        <v>1</v>
      </c>
      <c r="F52" s="14" t="s">
        <v>553</v>
      </c>
      <c r="G52" t="s">
        <v>550</v>
      </c>
      <c r="H52" s="4" t="s">
        <v>549</v>
      </c>
      <c r="I52" s="10" t="s">
        <v>551</v>
      </c>
      <c r="J52" s="11">
        <v>3</v>
      </c>
      <c r="K52" s="6" t="s">
        <v>555</v>
      </c>
      <c r="L52" s="10" t="s">
        <v>552</v>
      </c>
      <c r="M52" s="11">
        <v>6</v>
      </c>
      <c r="N52" s="10" t="s">
        <v>182</v>
      </c>
      <c r="O52" s="11">
        <v>1</v>
      </c>
      <c r="P52" s="11">
        <v>2</v>
      </c>
      <c r="Q52" s="10" t="s">
        <v>118</v>
      </c>
      <c r="R52" s="6" t="s">
        <v>156</v>
      </c>
      <c r="S52" s="10" t="s">
        <v>184</v>
      </c>
      <c r="T52" s="10" t="s">
        <v>183</v>
      </c>
      <c r="U52" s="10" t="s">
        <v>185</v>
      </c>
      <c r="V52" s="10" t="s">
        <v>186</v>
      </c>
      <c r="W52" s="7">
        <v>3</v>
      </c>
      <c r="X52" s="7">
        <v>3</v>
      </c>
      <c r="Y52" s="7">
        <v>17</v>
      </c>
      <c r="Z52" s="7">
        <v>4</v>
      </c>
      <c r="AA52" s="12" t="s">
        <v>74</v>
      </c>
      <c r="AB52" s="11">
        <v>2</v>
      </c>
      <c r="AC52" s="12" t="s">
        <v>75</v>
      </c>
      <c r="AD52" s="10">
        <v>1000</v>
      </c>
      <c r="AE52" s="6" t="s">
        <v>73</v>
      </c>
      <c r="AF52" s="6" t="s">
        <v>556</v>
      </c>
    </row>
    <row r="53" spans="1:32" s="6" customFormat="1" ht="172.8" x14ac:dyDescent="0.3">
      <c r="A53" s="6" t="s">
        <v>569</v>
      </c>
      <c r="B53" s="6">
        <v>2024</v>
      </c>
      <c r="C53" s="7">
        <v>16</v>
      </c>
      <c r="D53" s="6" t="s">
        <v>71</v>
      </c>
      <c r="E53" s="7">
        <v>1</v>
      </c>
      <c r="F53" s="14" t="s">
        <v>558</v>
      </c>
      <c r="G53" t="s">
        <v>318</v>
      </c>
      <c r="H53" s="4" t="s">
        <v>557</v>
      </c>
      <c r="I53" s="10" t="s">
        <v>559</v>
      </c>
      <c r="J53" s="11">
        <v>3</v>
      </c>
      <c r="K53" s="6" t="s">
        <v>560</v>
      </c>
      <c r="L53" s="10" t="s">
        <v>568</v>
      </c>
      <c r="M53" s="11">
        <v>15</v>
      </c>
      <c r="N53" s="10" t="s">
        <v>561</v>
      </c>
      <c r="O53" s="11">
        <v>5</v>
      </c>
      <c r="P53" s="11">
        <v>5</v>
      </c>
      <c r="Q53" s="10" t="s">
        <v>562</v>
      </c>
      <c r="R53" s="10" t="s">
        <v>563</v>
      </c>
      <c r="S53" s="10" t="s">
        <v>564</v>
      </c>
      <c r="T53" s="10" t="s">
        <v>565</v>
      </c>
      <c r="U53" s="10" t="s">
        <v>158</v>
      </c>
      <c r="V53" s="10" t="s">
        <v>77</v>
      </c>
      <c r="W53" s="11">
        <v>1</v>
      </c>
      <c r="X53" s="11">
        <v>3</v>
      </c>
      <c r="Y53" s="11">
        <v>1</v>
      </c>
      <c r="Z53" s="11">
        <v>5</v>
      </c>
      <c r="AA53" s="12" t="s">
        <v>74</v>
      </c>
      <c r="AB53" s="11">
        <v>2</v>
      </c>
      <c r="AC53" s="10" t="s">
        <v>72</v>
      </c>
      <c r="AD53" s="10" t="s">
        <v>566</v>
      </c>
      <c r="AE53" s="10" t="s">
        <v>567</v>
      </c>
      <c r="AF53" s="13"/>
    </row>
    <row r="54" spans="1:32" s="6" customFormat="1" ht="72" x14ac:dyDescent="0.3">
      <c r="A54" s="6" t="s">
        <v>575</v>
      </c>
      <c r="B54" s="6">
        <v>2024</v>
      </c>
      <c r="C54" s="7">
        <v>16</v>
      </c>
      <c r="D54" s="6" t="s">
        <v>71</v>
      </c>
      <c r="E54" s="7">
        <v>1</v>
      </c>
      <c r="F54" s="14" t="s">
        <v>574</v>
      </c>
      <c r="G54" t="s">
        <v>217</v>
      </c>
      <c r="H54" s="4" t="s">
        <v>570</v>
      </c>
      <c r="I54" s="10" t="s">
        <v>571</v>
      </c>
      <c r="J54" s="11">
        <v>3</v>
      </c>
      <c r="K54" s="6" t="s">
        <v>573</v>
      </c>
      <c r="L54" s="10" t="s">
        <v>572</v>
      </c>
      <c r="M54" s="11">
        <v>4</v>
      </c>
      <c r="N54" s="10" t="s">
        <v>517</v>
      </c>
      <c r="O54" s="11">
        <v>1</v>
      </c>
      <c r="P54" s="11">
        <v>2</v>
      </c>
      <c r="Q54" s="10" t="s">
        <v>118</v>
      </c>
      <c r="R54" s="6" t="s">
        <v>344</v>
      </c>
      <c r="S54" s="6" t="s">
        <v>345</v>
      </c>
      <c r="T54" s="10" t="s">
        <v>346</v>
      </c>
      <c r="U54" s="10" t="s">
        <v>185</v>
      </c>
      <c r="V54" s="10" t="s">
        <v>186</v>
      </c>
      <c r="W54" s="7">
        <v>3</v>
      </c>
      <c r="X54" s="7">
        <v>3</v>
      </c>
      <c r="Y54" s="7">
        <v>17</v>
      </c>
      <c r="Z54" s="7">
        <v>4</v>
      </c>
      <c r="AA54" s="12" t="s">
        <v>74</v>
      </c>
      <c r="AB54" s="11">
        <v>2</v>
      </c>
      <c r="AC54" s="12" t="s">
        <v>75</v>
      </c>
      <c r="AD54" s="12" t="s">
        <v>75</v>
      </c>
      <c r="AE54" s="12" t="s">
        <v>75</v>
      </c>
    </row>
    <row r="55" spans="1:32" s="6" customFormat="1" ht="57.6" x14ac:dyDescent="0.3">
      <c r="A55" s="6" t="s">
        <v>582</v>
      </c>
      <c r="B55" s="6">
        <v>2024</v>
      </c>
      <c r="C55" s="7">
        <v>16</v>
      </c>
      <c r="D55" s="6" t="s">
        <v>71</v>
      </c>
      <c r="E55" s="7">
        <v>1</v>
      </c>
      <c r="F55" s="14" t="s">
        <v>581</v>
      </c>
      <c r="G55" t="s">
        <v>234</v>
      </c>
      <c r="H55" s="4" t="s">
        <v>576</v>
      </c>
      <c r="I55" s="10" t="s">
        <v>579</v>
      </c>
      <c r="J55" s="11">
        <v>7</v>
      </c>
      <c r="K55" s="6" t="s">
        <v>395</v>
      </c>
      <c r="L55" s="10" t="s">
        <v>580</v>
      </c>
      <c r="M55" s="11">
        <v>8</v>
      </c>
      <c r="N55" s="10" t="s">
        <v>577</v>
      </c>
      <c r="O55" s="11">
        <v>1</v>
      </c>
      <c r="P55" s="11">
        <v>2</v>
      </c>
      <c r="Q55" s="10" t="s">
        <v>118</v>
      </c>
      <c r="R55" s="6" t="s">
        <v>193</v>
      </c>
      <c r="S55" s="6" t="s">
        <v>194</v>
      </c>
      <c r="T55" s="10" t="s">
        <v>578</v>
      </c>
      <c r="U55" s="10" t="s">
        <v>158</v>
      </c>
      <c r="V55" s="10" t="s">
        <v>77</v>
      </c>
      <c r="W55" s="11">
        <v>1</v>
      </c>
      <c r="X55" s="11">
        <v>3</v>
      </c>
      <c r="Y55" s="11">
        <v>1</v>
      </c>
      <c r="Z55" s="11">
        <v>5</v>
      </c>
      <c r="AA55" s="12" t="s">
        <v>74</v>
      </c>
      <c r="AB55" s="11">
        <v>2</v>
      </c>
      <c r="AC55" s="10" t="s">
        <v>72</v>
      </c>
      <c r="AD55" s="10">
        <v>30</v>
      </c>
      <c r="AE55" s="10" t="s">
        <v>73</v>
      </c>
    </row>
    <row r="56" spans="1:32" s="6" customFormat="1" ht="43.2" x14ac:dyDescent="0.3">
      <c r="A56" s="6" t="s">
        <v>588</v>
      </c>
      <c r="B56" s="6">
        <v>2024</v>
      </c>
      <c r="C56" s="7">
        <v>16</v>
      </c>
      <c r="D56" s="6" t="s">
        <v>71</v>
      </c>
      <c r="E56" s="7">
        <v>1</v>
      </c>
      <c r="F56" s="14" t="s">
        <v>587</v>
      </c>
      <c r="G56" t="s">
        <v>147</v>
      </c>
      <c r="H56" s="4" t="s">
        <v>583</v>
      </c>
      <c r="I56" s="10" t="s">
        <v>584</v>
      </c>
      <c r="J56" s="11">
        <v>3</v>
      </c>
      <c r="K56" s="6" t="s">
        <v>547</v>
      </c>
      <c r="L56" s="10" t="s">
        <v>585</v>
      </c>
      <c r="M56" s="11">
        <v>15</v>
      </c>
      <c r="N56" s="12" t="s">
        <v>75</v>
      </c>
      <c r="O56" s="7">
        <v>100</v>
      </c>
      <c r="P56" s="7">
        <v>100</v>
      </c>
      <c r="Q56" s="12" t="s">
        <v>75</v>
      </c>
      <c r="R56" s="12" t="s">
        <v>75</v>
      </c>
      <c r="S56" s="12" t="s">
        <v>75</v>
      </c>
      <c r="T56" s="12" t="s">
        <v>75</v>
      </c>
      <c r="U56" s="12" t="s">
        <v>75</v>
      </c>
      <c r="V56" s="12" t="s">
        <v>75</v>
      </c>
      <c r="W56" s="7">
        <v>3</v>
      </c>
      <c r="X56" s="7">
        <v>3</v>
      </c>
      <c r="Y56" s="7">
        <v>17</v>
      </c>
      <c r="Z56" s="7">
        <v>4</v>
      </c>
      <c r="AA56" s="12" t="s">
        <v>74</v>
      </c>
      <c r="AB56" s="7">
        <v>2</v>
      </c>
      <c r="AC56" s="12" t="s">
        <v>75</v>
      </c>
      <c r="AD56" s="12" t="s">
        <v>75</v>
      </c>
      <c r="AE56" s="10" t="s">
        <v>73</v>
      </c>
      <c r="AF56" s="6" t="s">
        <v>586</v>
      </c>
    </row>
    <row r="57" spans="1:32" s="6" customFormat="1" ht="28.8" x14ac:dyDescent="0.3">
      <c r="A57" s="6" t="s">
        <v>594</v>
      </c>
      <c r="B57" s="6">
        <v>2024</v>
      </c>
      <c r="C57" s="7">
        <v>16</v>
      </c>
      <c r="D57" s="6" t="s">
        <v>71</v>
      </c>
      <c r="E57" s="7">
        <v>1</v>
      </c>
      <c r="F57" s="14" t="s">
        <v>593</v>
      </c>
      <c r="G57" t="s">
        <v>590</v>
      </c>
      <c r="H57" s="4" t="s">
        <v>589</v>
      </c>
      <c r="I57" s="10" t="s">
        <v>455</v>
      </c>
      <c r="J57" s="11">
        <v>3</v>
      </c>
      <c r="K57" s="10" t="s">
        <v>592</v>
      </c>
      <c r="L57" s="10" t="s">
        <v>591</v>
      </c>
      <c r="M57" s="11">
        <v>1</v>
      </c>
      <c r="N57" s="6" t="s">
        <v>192</v>
      </c>
      <c r="O57" s="11">
        <v>1</v>
      </c>
      <c r="P57" s="11">
        <v>2</v>
      </c>
      <c r="Q57" s="6" t="s">
        <v>118</v>
      </c>
      <c r="R57" s="6" t="s">
        <v>193</v>
      </c>
      <c r="S57" s="6" t="s">
        <v>194</v>
      </c>
      <c r="T57" s="10" t="s">
        <v>195</v>
      </c>
      <c r="U57" s="10" t="s">
        <v>185</v>
      </c>
      <c r="V57" s="10" t="s">
        <v>186</v>
      </c>
      <c r="W57" s="7">
        <v>3</v>
      </c>
      <c r="X57" s="7">
        <v>3</v>
      </c>
      <c r="Y57" s="7">
        <v>17</v>
      </c>
      <c r="Z57" s="7">
        <v>4</v>
      </c>
      <c r="AA57" s="12" t="s">
        <v>74</v>
      </c>
      <c r="AB57" s="11">
        <v>2</v>
      </c>
      <c r="AC57" s="12" t="s">
        <v>75</v>
      </c>
      <c r="AD57" s="12" t="s">
        <v>75</v>
      </c>
      <c r="AE57" s="10" t="s">
        <v>73</v>
      </c>
      <c r="AF57" s="6" t="s">
        <v>595</v>
      </c>
    </row>
    <row r="58" spans="1:32" s="6" customFormat="1" ht="43.2" x14ac:dyDescent="0.3">
      <c r="A58" s="6" t="s">
        <v>600</v>
      </c>
      <c r="B58" s="6">
        <v>2024</v>
      </c>
      <c r="C58" s="7">
        <v>16</v>
      </c>
      <c r="D58" s="6" t="s">
        <v>71</v>
      </c>
      <c r="E58" s="7">
        <v>1</v>
      </c>
      <c r="F58" s="14" t="s">
        <v>599</v>
      </c>
      <c r="G58" t="s">
        <v>217</v>
      </c>
      <c r="H58" s="4" t="s">
        <v>598</v>
      </c>
      <c r="I58" s="10" t="s">
        <v>2035</v>
      </c>
      <c r="J58" s="11">
        <v>6</v>
      </c>
      <c r="K58" s="6" t="s">
        <v>597</v>
      </c>
      <c r="L58" s="10" t="s">
        <v>596</v>
      </c>
      <c r="M58" s="11">
        <v>11</v>
      </c>
      <c r="N58" s="10" t="s">
        <v>192</v>
      </c>
      <c r="O58" s="11">
        <v>1</v>
      </c>
      <c r="P58" s="11">
        <v>2</v>
      </c>
      <c r="Q58" s="6" t="s">
        <v>118</v>
      </c>
      <c r="R58" s="6" t="s">
        <v>193</v>
      </c>
      <c r="S58" s="6" t="s">
        <v>194</v>
      </c>
      <c r="T58" s="10" t="s">
        <v>195</v>
      </c>
      <c r="U58" s="10" t="s">
        <v>185</v>
      </c>
      <c r="V58" s="10" t="s">
        <v>186</v>
      </c>
      <c r="W58" s="7">
        <v>3</v>
      </c>
      <c r="X58" s="7">
        <v>3</v>
      </c>
      <c r="Y58" s="7">
        <v>17</v>
      </c>
      <c r="Z58" s="7">
        <v>4</v>
      </c>
      <c r="AA58" s="12" t="s">
        <v>74</v>
      </c>
      <c r="AB58" s="11">
        <v>2</v>
      </c>
      <c r="AC58" s="12" t="s">
        <v>75</v>
      </c>
      <c r="AD58" s="12" t="s">
        <v>75</v>
      </c>
      <c r="AE58" s="10" t="s">
        <v>73</v>
      </c>
    </row>
    <row r="59" spans="1:32" s="6" customFormat="1" ht="57.6" x14ac:dyDescent="0.3">
      <c r="A59" s="6" t="s">
        <v>606</v>
      </c>
      <c r="B59" s="6">
        <v>2024</v>
      </c>
      <c r="C59" s="7">
        <v>16</v>
      </c>
      <c r="D59" s="6" t="s">
        <v>71</v>
      </c>
      <c r="E59" s="7">
        <v>1</v>
      </c>
      <c r="F59" s="14" t="s">
        <v>602</v>
      </c>
      <c r="G59" t="s">
        <v>147</v>
      </c>
      <c r="H59" s="4" t="s">
        <v>601</v>
      </c>
      <c r="I59" s="10" t="s">
        <v>603</v>
      </c>
      <c r="J59" s="11">
        <v>3</v>
      </c>
      <c r="K59" s="6" t="s">
        <v>604</v>
      </c>
      <c r="L59" s="10" t="s">
        <v>605</v>
      </c>
      <c r="M59" s="11">
        <v>4</v>
      </c>
      <c r="N59" s="12" t="s">
        <v>75</v>
      </c>
      <c r="O59" s="11">
        <v>1</v>
      </c>
      <c r="P59" s="11">
        <v>100</v>
      </c>
      <c r="Q59" s="12" t="s">
        <v>75</v>
      </c>
      <c r="R59" s="12" t="s">
        <v>75</v>
      </c>
      <c r="S59" s="12" t="s">
        <v>75</v>
      </c>
      <c r="T59" s="12" t="s">
        <v>75</v>
      </c>
      <c r="U59" s="12" t="s">
        <v>75</v>
      </c>
      <c r="V59" s="12" t="s">
        <v>75</v>
      </c>
      <c r="W59" s="7">
        <v>3</v>
      </c>
      <c r="X59" s="7">
        <v>3</v>
      </c>
      <c r="Y59" s="7">
        <v>17</v>
      </c>
      <c r="Z59" s="7">
        <v>4</v>
      </c>
      <c r="AA59" s="12" t="s">
        <v>74</v>
      </c>
      <c r="AB59" s="11">
        <v>2</v>
      </c>
      <c r="AC59" s="12" t="s">
        <v>75</v>
      </c>
      <c r="AD59" s="10">
        <v>30</v>
      </c>
      <c r="AE59" s="12" t="s">
        <v>75</v>
      </c>
      <c r="AF59" s="13"/>
    </row>
    <row r="60" spans="1:32" s="6" customFormat="1" ht="72" x14ac:dyDescent="0.3">
      <c r="A60" s="6" t="s">
        <v>619</v>
      </c>
      <c r="B60" s="6">
        <v>2024</v>
      </c>
      <c r="C60" s="7">
        <v>16</v>
      </c>
      <c r="D60" s="6" t="s">
        <v>71</v>
      </c>
      <c r="E60" s="7">
        <v>1</v>
      </c>
      <c r="F60" s="14" t="s">
        <v>618</v>
      </c>
      <c r="G60" t="s">
        <v>217</v>
      </c>
      <c r="H60" s="4" t="s">
        <v>608</v>
      </c>
      <c r="I60" s="10" t="s">
        <v>616</v>
      </c>
      <c r="J60" s="11">
        <v>3</v>
      </c>
      <c r="K60" s="6" t="s">
        <v>615</v>
      </c>
      <c r="L60" s="10" t="s">
        <v>617</v>
      </c>
      <c r="M60" s="11">
        <v>4</v>
      </c>
      <c r="N60" s="10" t="s">
        <v>607</v>
      </c>
      <c r="O60" s="11">
        <v>3</v>
      </c>
      <c r="P60" s="11">
        <v>4</v>
      </c>
      <c r="Q60" s="10" t="s">
        <v>612</v>
      </c>
      <c r="R60" s="12" t="s">
        <v>75</v>
      </c>
      <c r="S60" s="12" t="s">
        <v>75</v>
      </c>
      <c r="T60" s="10" t="s">
        <v>610</v>
      </c>
      <c r="U60" s="10" t="s">
        <v>158</v>
      </c>
      <c r="V60" s="10" t="s">
        <v>78</v>
      </c>
      <c r="W60" s="11">
        <v>1</v>
      </c>
      <c r="X60" s="11">
        <v>3</v>
      </c>
      <c r="Y60" s="11">
        <v>2</v>
      </c>
      <c r="Z60" s="11">
        <v>5</v>
      </c>
      <c r="AA60" s="6" t="s">
        <v>613</v>
      </c>
      <c r="AB60" s="7">
        <v>1</v>
      </c>
      <c r="AC60" s="12" t="s">
        <v>75</v>
      </c>
      <c r="AD60" s="10" t="s">
        <v>614</v>
      </c>
      <c r="AE60" s="12" t="s">
        <v>75</v>
      </c>
      <c r="AF60" s="6" t="s">
        <v>611</v>
      </c>
    </row>
    <row r="61" spans="1:32" s="6" customFormat="1" ht="57.6" x14ac:dyDescent="0.3">
      <c r="A61" s="6" t="s">
        <v>620</v>
      </c>
      <c r="B61" s="6">
        <v>2024</v>
      </c>
      <c r="C61" s="7">
        <v>16</v>
      </c>
      <c r="D61" s="6" t="s">
        <v>71</v>
      </c>
      <c r="E61" s="7">
        <v>1</v>
      </c>
      <c r="F61" s="14" t="s">
        <v>621</v>
      </c>
      <c r="G61" t="s">
        <v>622</v>
      </c>
      <c r="H61" s="4" t="s">
        <v>609</v>
      </c>
      <c r="I61" s="10" t="s">
        <v>623</v>
      </c>
      <c r="J61" s="11">
        <v>3</v>
      </c>
      <c r="K61" s="6" t="s">
        <v>624</v>
      </c>
      <c r="L61" s="10" t="s">
        <v>625</v>
      </c>
      <c r="M61" s="11">
        <v>4</v>
      </c>
      <c r="N61" s="10" t="s">
        <v>192</v>
      </c>
      <c r="O61" s="11">
        <v>1</v>
      </c>
      <c r="P61" s="11">
        <v>2</v>
      </c>
      <c r="Q61" s="10" t="s">
        <v>118</v>
      </c>
      <c r="R61" s="10" t="s">
        <v>193</v>
      </c>
      <c r="S61" s="10" t="s">
        <v>194</v>
      </c>
      <c r="T61" s="10" t="s">
        <v>195</v>
      </c>
      <c r="U61" s="10" t="s">
        <v>158</v>
      </c>
      <c r="V61" s="10" t="s">
        <v>77</v>
      </c>
      <c r="W61" s="7">
        <v>1</v>
      </c>
      <c r="X61" s="7">
        <v>3</v>
      </c>
      <c r="Y61" s="7">
        <v>1</v>
      </c>
      <c r="Z61" s="7">
        <v>5</v>
      </c>
      <c r="AA61" s="12" t="s">
        <v>74</v>
      </c>
      <c r="AB61" s="11">
        <v>2</v>
      </c>
      <c r="AC61" s="12" t="s">
        <v>75</v>
      </c>
      <c r="AD61" s="10">
        <v>30</v>
      </c>
      <c r="AE61" s="10" t="s">
        <v>73</v>
      </c>
      <c r="AF61" s="13"/>
    </row>
    <row r="62" spans="1:32" s="6" customFormat="1" ht="57.6" x14ac:dyDescent="0.3">
      <c r="A62" s="6" t="s">
        <v>634</v>
      </c>
      <c r="B62" s="6">
        <v>2024</v>
      </c>
      <c r="C62" s="7">
        <v>16</v>
      </c>
      <c r="D62" s="6" t="s">
        <v>71</v>
      </c>
      <c r="E62" s="7">
        <v>1</v>
      </c>
      <c r="F62" s="14" t="s">
        <v>628</v>
      </c>
      <c r="G62" t="s">
        <v>627</v>
      </c>
      <c r="H62" s="4" t="s">
        <v>626</v>
      </c>
      <c r="I62" s="10" t="s">
        <v>633</v>
      </c>
      <c r="J62" s="11">
        <v>3</v>
      </c>
      <c r="K62" s="6" t="s">
        <v>632</v>
      </c>
      <c r="L62" s="10" t="s">
        <v>631</v>
      </c>
      <c r="M62" s="11">
        <v>4</v>
      </c>
      <c r="N62" s="10" t="s">
        <v>415</v>
      </c>
      <c r="O62" s="11">
        <v>1</v>
      </c>
      <c r="P62" s="11">
        <v>2</v>
      </c>
      <c r="Q62" s="10" t="s">
        <v>416</v>
      </c>
      <c r="R62" s="10" t="s">
        <v>193</v>
      </c>
      <c r="S62" s="10" t="s">
        <v>194</v>
      </c>
      <c r="T62" s="10" t="s">
        <v>417</v>
      </c>
      <c r="U62" s="10" t="s">
        <v>158</v>
      </c>
      <c r="V62" s="10" t="s">
        <v>77</v>
      </c>
      <c r="W62" s="7">
        <v>1</v>
      </c>
      <c r="X62" s="7">
        <v>3</v>
      </c>
      <c r="Y62" s="7">
        <v>1</v>
      </c>
      <c r="Z62" s="7">
        <v>5</v>
      </c>
      <c r="AA62" s="10" t="s">
        <v>629</v>
      </c>
      <c r="AB62" s="7">
        <v>1</v>
      </c>
      <c r="AC62" s="10" t="s">
        <v>630</v>
      </c>
      <c r="AD62" s="10">
        <v>90</v>
      </c>
      <c r="AE62" s="10" t="s">
        <v>73</v>
      </c>
      <c r="AF62" s="6" t="s">
        <v>635</v>
      </c>
    </row>
    <row r="63" spans="1:32" s="6" customFormat="1" ht="57.6" x14ac:dyDescent="0.3">
      <c r="A63" s="6" t="s">
        <v>643</v>
      </c>
      <c r="B63" s="6">
        <v>2024</v>
      </c>
      <c r="C63" s="7">
        <v>16</v>
      </c>
      <c r="D63" s="6" t="s">
        <v>71</v>
      </c>
      <c r="E63" s="7">
        <v>1</v>
      </c>
      <c r="F63" s="14" t="s">
        <v>642</v>
      </c>
      <c r="G63" t="s">
        <v>637</v>
      </c>
      <c r="H63" s="4" t="s">
        <v>636</v>
      </c>
      <c r="I63" s="10" t="s">
        <v>640</v>
      </c>
      <c r="J63" s="11">
        <v>3</v>
      </c>
      <c r="K63" s="6" t="s">
        <v>624</v>
      </c>
      <c r="L63" s="10" t="s">
        <v>641</v>
      </c>
      <c r="M63" s="11">
        <v>4</v>
      </c>
      <c r="N63" s="6" t="s">
        <v>517</v>
      </c>
      <c r="O63" s="7">
        <v>1</v>
      </c>
      <c r="P63" s="7">
        <v>2</v>
      </c>
      <c r="Q63" s="6" t="s">
        <v>118</v>
      </c>
      <c r="R63" s="6" t="s">
        <v>344</v>
      </c>
      <c r="S63" s="6" t="s">
        <v>345</v>
      </c>
      <c r="T63" s="10" t="s">
        <v>639</v>
      </c>
      <c r="U63" s="10" t="s">
        <v>185</v>
      </c>
      <c r="V63" s="10" t="s">
        <v>186</v>
      </c>
      <c r="W63" s="7">
        <v>3</v>
      </c>
      <c r="X63" s="7">
        <v>3</v>
      </c>
      <c r="Y63" s="7">
        <v>17</v>
      </c>
      <c r="Z63" s="7">
        <v>4</v>
      </c>
      <c r="AA63" s="12" t="s">
        <v>74</v>
      </c>
      <c r="AB63" s="11">
        <v>2</v>
      </c>
      <c r="AC63" s="12" t="s">
        <v>75</v>
      </c>
      <c r="AD63" s="6">
        <v>5</v>
      </c>
      <c r="AE63" s="6" t="s">
        <v>638</v>
      </c>
      <c r="AF63" s="13"/>
    </row>
    <row r="64" spans="1:32" s="6" customFormat="1" ht="57.6" x14ac:dyDescent="0.3">
      <c r="A64" s="6" t="s">
        <v>648</v>
      </c>
      <c r="B64" s="6">
        <v>2024</v>
      </c>
      <c r="C64" s="7">
        <v>16</v>
      </c>
      <c r="D64" s="6" t="s">
        <v>71</v>
      </c>
      <c r="E64" s="7">
        <v>1</v>
      </c>
      <c r="F64" s="14" t="s">
        <v>647</v>
      </c>
      <c r="G64" t="s">
        <v>550</v>
      </c>
      <c r="H64" s="4" t="s">
        <v>645</v>
      </c>
      <c r="I64" s="10" t="s">
        <v>646</v>
      </c>
      <c r="J64" s="11">
        <v>3</v>
      </c>
      <c r="K64" s="6" t="s">
        <v>365</v>
      </c>
      <c r="L64" s="10" t="s">
        <v>644</v>
      </c>
      <c r="M64" s="11">
        <v>4</v>
      </c>
      <c r="N64" s="10" t="s">
        <v>517</v>
      </c>
      <c r="O64" s="11">
        <v>1</v>
      </c>
      <c r="P64" s="11">
        <v>2</v>
      </c>
      <c r="Q64" s="10" t="s">
        <v>118</v>
      </c>
      <c r="R64" s="6" t="s">
        <v>344</v>
      </c>
      <c r="S64" s="6" t="s">
        <v>345</v>
      </c>
      <c r="T64" s="10" t="s">
        <v>639</v>
      </c>
      <c r="U64" s="10" t="s">
        <v>185</v>
      </c>
      <c r="V64" s="10" t="s">
        <v>186</v>
      </c>
      <c r="W64" s="7">
        <v>3</v>
      </c>
      <c r="X64" s="7">
        <v>3</v>
      </c>
      <c r="Y64" s="7">
        <v>17</v>
      </c>
      <c r="Z64" s="7">
        <v>4</v>
      </c>
      <c r="AA64" s="12" t="s">
        <v>74</v>
      </c>
      <c r="AB64" s="11">
        <v>2</v>
      </c>
      <c r="AC64" s="12" t="s">
        <v>75</v>
      </c>
      <c r="AD64" s="12" t="s">
        <v>75</v>
      </c>
      <c r="AE64" s="12" t="s">
        <v>75</v>
      </c>
      <c r="AF64" s="13"/>
    </row>
    <row r="65" spans="1:32" s="6" customFormat="1" ht="28.8" x14ac:dyDescent="0.3">
      <c r="A65" s="6" t="s">
        <v>655</v>
      </c>
      <c r="B65" s="6">
        <v>2024</v>
      </c>
      <c r="C65" s="7">
        <v>16</v>
      </c>
      <c r="D65" s="6" t="s">
        <v>71</v>
      </c>
      <c r="E65" s="7">
        <v>1</v>
      </c>
      <c r="F65" s="14" t="s">
        <v>654</v>
      </c>
      <c r="G65" t="s">
        <v>318</v>
      </c>
      <c r="H65" s="4" t="s">
        <v>649</v>
      </c>
      <c r="I65" s="10" t="s">
        <v>650</v>
      </c>
      <c r="J65" s="11">
        <v>3</v>
      </c>
      <c r="K65" s="6" t="s">
        <v>653</v>
      </c>
      <c r="L65" s="10" t="s">
        <v>651</v>
      </c>
      <c r="M65" s="11">
        <v>4</v>
      </c>
      <c r="N65" s="12" t="s">
        <v>75</v>
      </c>
      <c r="O65" s="11">
        <v>100</v>
      </c>
      <c r="P65" s="11">
        <v>2</v>
      </c>
      <c r="Q65" s="12" t="s">
        <v>75</v>
      </c>
      <c r="R65" s="12" t="s">
        <v>75</v>
      </c>
      <c r="S65" s="10" t="s">
        <v>652</v>
      </c>
      <c r="T65" s="12" t="s">
        <v>75</v>
      </c>
      <c r="U65" s="12" t="s">
        <v>75</v>
      </c>
      <c r="V65" s="12" t="s">
        <v>75</v>
      </c>
      <c r="W65" s="7">
        <v>3</v>
      </c>
      <c r="X65" s="7">
        <v>3</v>
      </c>
      <c r="Y65" s="7">
        <v>17</v>
      </c>
      <c r="Z65" s="7">
        <v>4</v>
      </c>
      <c r="AA65" s="12" t="s">
        <v>74</v>
      </c>
      <c r="AB65" s="11">
        <v>2</v>
      </c>
      <c r="AC65" s="12" t="s">
        <v>75</v>
      </c>
      <c r="AD65" s="12" t="s">
        <v>75</v>
      </c>
      <c r="AE65" s="12" t="s">
        <v>75</v>
      </c>
      <c r="AF65" s="13"/>
    </row>
    <row r="66" spans="1:32" s="6" customFormat="1" ht="43.2" x14ac:dyDescent="0.3">
      <c r="A66" s="6" t="s">
        <v>662</v>
      </c>
      <c r="B66" s="6">
        <v>2024</v>
      </c>
      <c r="C66" s="7">
        <v>16</v>
      </c>
      <c r="D66" s="6" t="s">
        <v>71</v>
      </c>
      <c r="E66" s="7">
        <v>1</v>
      </c>
      <c r="F66" s="14" t="s">
        <v>661</v>
      </c>
      <c r="G66" t="s">
        <v>657</v>
      </c>
      <c r="H66" s="4" t="s">
        <v>656</v>
      </c>
      <c r="I66" s="10" t="s">
        <v>658</v>
      </c>
      <c r="J66" s="11">
        <v>3</v>
      </c>
      <c r="K66" s="6" t="s">
        <v>660</v>
      </c>
      <c r="L66" s="10" t="s">
        <v>659</v>
      </c>
      <c r="M66" s="11">
        <v>2</v>
      </c>
      <c r="N66" s="12" t="s">
        <v>75</v>
      </c>
      <c r="O66" s="11">
        <v>100</v>
      </c>
      <c r="P66" s="11">
        <v>100</v>
      </c>
      <c r="Q66" s="12" t="s">
        <v>75</v>
      </c>
      <c r="R66" s="12" t="s">
        <v>75</v>
      </c>
      <c r="S66" s="12" t="s">
        <v>75</v>
      </c>
      <c r="T66" s="12" t="s">
        <v>75</v>
      </c>
      <c r="U66" s="12" t="s">
        <v>75</v>
      </c>
      <c r="V66" s="12" t="s">
        <v>75</v>
      </c>
      <c r="W66" s="7">
        <v>3</v>
      </c>
      <c r="X66" s="7">
        <v>3</v>
      </c>
      <c r="Y66" s="7">
        <v>17</v>
      </c>
      <c r="Z66" s="7">
        <v>4</v>
      </c>
      <c r="AA66" s="12" t="s">
        <v>74</v>
      </c>
      <c r="AB66" s="11">
        <v>2</v>
      </c>
      <c r="AC66" s="12" t="s">
        <v>75</v>
      </c>
      <c r="AD66" s="12" t="s">
        <v>75</v>
      </c>
      <c r="AE66" s="12" t="s">
        <v>75</v>
      </c>
      <c r="AF66" s="13"/>
    </row>
    <row r="67" spans="1:32" ht="72" x14ac:dyDescent="0.3">
      <c r="A67" s="6" t="s">
        <v>686</v>
      </c>
      <c r="B67" s="6">
        <v>2024</v>
      </c>
      <c r="C67" s="7">
        <v>16</v>
      </c>
      <c r="D67" s="6" t="s">
        <v>71</v>
      </c>
      <c r="E67" s="7">
        <v>1</v>
      </c>
      <c r="F67" s="14" t="s">
        <v>687</v>
      </c>
      <c r="G67" t="s">
        <v>665</v>
      </c>
      <c r="H67" s="4" t="s">
        <v>664</v>
      </c>
      <c r="I67" s="10" t="s">
        <v>2036</v>
      </c>
      <c r="J67" s="3">
        <v>3</v>
      </c>
      <c r="K67" s="6" t="s">
        <v>685</v>
      </c>
      <c r="L67" s="10" t="s">
        <v>684</v>
      </c>
      <c r="M67" s="3">
        <v>4</v>
      </c>
      <c r="N67" s="10" t="s">
        <v>681</v>
      </c>
      <c r="O67" s="11">
        <v>2</v>
      </c>
      <c r="P67" s="11">
        <v>100</v>
      </c>
      <c r="Q67" s="10" t="s">
        <v>134</v>
      </c>
      <c r="R67" s="10" t="s">
        <v>682</v>
      </c>
      <c r="S67" s="12" t="s">
        <v>75</v>
      </c>
      <c r="T67" s="10" t="s">
        <v>683</v>
      </c>
      <c r="U67" s="12" t="s">
        <v>116</v>
      </c>
      <c r="V67" s="10" t="s">
        <v>141</v>
      </c>
      <c r="W67" s="7">
        <v>3</v>
      </c>
      <c r="X67" s="7">
        <v>3</v>
      </c>
      <c r="Y67" s="7">
        <v>17</v>
      </c>
      <c r="Z67" s="7">
        <v>4</v>
      </c>
      <c r="AA67" s="13" t="s">
        <v>74</v>
      </c>
      <c r="AB67" s="11">
        <v>2</v>
      </c>
      <c r="AC67" s="12" t="s">
        <v>75</v>
      </c>
      <c r="AD67" s="12" t="s">
        <v>75</v>
      </c>
      <c r="AE67" s="12" t="s">
        <v>75</v>
      </c>
      <c r="AF67" s="6" t="s">
        <v>1030</v>
      </c>
    </row>
    <row r="68" spans="1:32" s="6" customFormat="1" ht="115.2" x14ac:dyDescent="0.3">
      <c r="A68" s="6" t="s">
        <v>677</v>
      </c>
      <c r="B68" s="6">
        <v>2024</v>
      </c>
      <c r="C68" s="7">
        <v>16</v>
      </c>
      <c r="D68" s="6" t="s">
        <v>71</v>
      </c>
      <c r="E68" s="7">
        <v>1</v>
      </c>
      <c r="F68" s="14" t="s">
        <v>676</v>
      </c>
      <c r="G68" t="s">
        <v>405</v>
      </c>
      <c r="H68" s="4" t="s">
        <v>663</v>
      </c>
      <c r="I68" s="6" t="s">
        <v>48</v>
      </c>
      <c r="J68" s="7">
        <v>8</v>
      </c>
      <c r="L68" s="10" t="s">
        <v>666</v>
      </c>
      <c r="M68" s="11">
        <v>1</v>
      </c>
      <c r="N68" s="10" t="s">
        <v>667</v>
      </c>
      <c r="O68" s="11">
        <v>3</v>
      </c>
      <c r="P68" s="11">
        <v>5</v>
      </c>
      <c r="Q68" s="10" t="s">
        <v>668</v>
      </c>
      <c r="R68" s="10" t="s">
        <v>669</v>
      </c>
      <c r="S68" s="10" t="s">
        <v>670</v>
      </c>
      <c r="T68" s="10" t="s">
        <v>671</v>
      </c>
      <c r="U68" s="10" t="s">
        <v>76</v>
      </c>
      <c r="V68" s="10" t="s">
        <v>39127</v>
      </c>
      <c r="W68" s="11">
        <v>2</v>
      </c>
      <c r="X68" s="11">
        <v>2</v>
      </c>
      <c r="Y68" s="11">
        <v>17</v>
      </c>
      <c r="Z68" s="11">
        <v>4</v>
      </c>
      <c r="AA68" s="13" t="s">
        <v>74</v>
      </c>
      <c r="AB68" s="7">
        <v>2</v>
      </c>
      <c r="AC68" s="10" t="s">
        <v>672</v>
      </c>
      <c r="AD68" s="10" t="s">
        <v>673</v>
      </c>
      <c r="AE68" s="10" t="s">
        <v>674</v>
      </c>
      <c r="AF68" s="6" t="s">
        <v>675</v>
      </c>
    </row>
    <row r="69" spans="1:32" s="6" customFormat="1" ht="72" x14ac:dyDescent="0.3">
      <c r="A69" s="6" t="s">
        <v>701</v>
      </c>
      <c r="B69" s="6">
        <v>2024</v>
      </c>
      <c r="C69" s="7">
        <v>16</v>
      </c>
      <c r="D69" s="6" t="s">
        <v>71</v>
      </c>
      <c r="E69" s="7">
        <v>1</v>
      </c>
      <c r="F69" s="14" t="s">
        <v>700</v>
      </c>
      <c r="G69" t="s">
        <v>679</v>
      </c>
      <c r="H69" s="4" t="s">
        <v>678</v>
      </c>
      <c r="I69" s="10" t="s">
        <v>690</v>
      </c>
      <c r="J69" s="7">
        <v>9</v>
      </c>
      <c r="L69" s="10" t="s">
        <v>688</v>
      </c>
      <c r="M69" s="11">
        <v>4</v>
      </c>
      <c r="N69" s="10" t="s">
        <v>689</v>
      </c>
      <c r="O69" s="11">
        <v>3</v>
      </c>
      <c r="P69" s="11">
        <v>3</v>
      </c>
      <c r="Q69" s="10" t="s">
        <v>612</v>
      </c>
      <c r="R69" s="10" t="s">
        <v>691</v>
      </c>
      <c r="S69" s="6" t="s">
        <v>692</v>
      </c>
      <c r="T69" s="10" t="s">
        <v>693</v>
      </c>
      <c r="U69" s="10" t="s">
        <v>158</v>
      </c>
      <c r="V69" s="10" t="s">
        <v>699</v>
      </c>
      <c r="W69" s="11">
        <v>1</v>
      </c>
      <c r="X69" s="11">
        <v>3</v>
      </c>
      <c r="Y69" s="11">
        <v>16</v>
      </c>
      <c r="Z69" s="11">
        <v>5</v>
      </c>
      <c r="AA69" s="10" t="s">
        <v>696</v>
      </c>
      <c r="AB69" s="11">
        <v>1</v>
      </c>
      <c r="AC69" s="10" t="s">
        <v>698</v>
      </c>
      <c r="AD69" s="10" t="s">
        <v>695</v>
      </c>
      <c r="AE69" s="12" t="s">
        <v>694</v>
      </c>
      <c r="AF69" s="6" t="s">
        <v>697</v>
      </c>
    </row>
    <row r="70" spans="1:32" s="6" customFormat="1" ht="57.6" x14ac:dyDescent="0.3">
      <c r="A70" s="6" t="s">
        <v>702</v>
      </c>
      <c r="B70" s="6">
        <v>2024</v>
      </c>
      <c r="C70" s="7">
        <v>16</v>
      </c>
      <c r="D70" s="6" t="s">
        <v>71</v>
      </c>
      <c r="E70" s="7">
        <v>1</v>
      </c>
      <c r="F70" s="16" t="s">
        <v>706</v>
      </c>
      <c r="G70" t="s">
        <v>190</v>
      </c>
      <c r="H70" s="4" t="s">
        <v>680</v>
      </c>
      <c r="I70" s="10" t="s">
        <v>709</v>
      </c>
      <c r="J70" s="7">
        <v>3</v>
      </c>
      <c r="K70" s="6" t="s">
        <v>710</v>
      </c>
      <c r="L70" s="10" t="s">
        <v>708</v>
      </c>
      <c r="M70" s="11">
        <v>4</v>
      </c>
      <c r="N70" s="12" t="s">
        <v>75</v>
      </c>
      <c r="O70" s="7">
        <v>100</v>
      </c>
      <c r="P70" s="7">
        <v>3</v>
      </c>
      <c r="Q70" s="12" t="s">
        <v>75</v>
      </c>
      <c r="R70" s="12" t="s">
        <v>75</v>
      </c>
      <c r="S70" s="6" t="s">
        <v>711</v>
      </c>
      <c r="T70" s="12" t="s">
        <v>75</v>
      </c>
      <c r="U70" s="12" t="s">
        <v>75</v>
      </c>
      <c r="V70" s="12" t="s">
        <v>75</v>
      </c>
      <c r="W70" s="7">
        <v>3</v>
      </c>
      <c r="X70" s="7">
        <v>3</v>
      </c>
      <c r="Y70" s="7">
        <v>17</v>
      </c>
      <c r="Z70" s="7">
        <v>4</v>
      </c>
      <c r="AA70" s="12" t="s">
        <v>74</v>
      </c>
      <c r="AB70" s="7">
        <v>2</v>
      </c>
      <c r="AC70" s="12" t="s">
        <v>75</v>
      </c>
      <c r="AD70" s="10">
        <v>30</v>
      </c>
      <c r="AE70" s="12" t="s">
        <v>75</v>
      </c>
      <c r="AF70" s="6" t="s">
        <v>712</v>
      </c>
    </row>
    <row r="71" spans="1:32" s="6" customFormat="1" ht="72" x14ac:dyDescent="0.3">
      <c r="A71" s="6" t="s">
        <v>707</v>
      </c>
      <c r="B71" s="6">
        <v>2024</v>
      </c>
      <c r="C71" s="7">
        <v>16</v>
      </c>
      <c r="D71" s="6" t="s">
        <v>71</v>
      </c>
      <c r="E71" s="7">
        <v>1</v>
      </c>
      <c r="F71" s="14" t="s">
        <v>705</v>
      </c>
      <c r="G71" t="s">
        <v>704</v>
      </c>
      <c r="H71" s="4" t="s">
        <v>703</v>
      </c>
      <c r="I71" s="10" t="s">
        <v>713</v>
      </c>
      <c r="J71" s="7">
        <v>3</v>
      </c>
      <c r="K71" s="6" t="s">
        <v>560</v>
      </c>
      <c r="L71" s="10" t="s">
        <v>714</v>
      </c>
      <c r="M71" s="11">
        <v>15</v>
      </c>
      <c r="N71" s="12" t="s">
        <v>75</v>
      </c>
      <c r="O71" s="7">
        <v>100</v>
      </c>
      <c r="P71" s="7">
        <v>100</v>
      </c>
      <c r="Q71" s="12" t="s">
        <v>75</v>
      </c>
      <c r="R71" s="12" t="s">
        <v>75</v>
      </c>
      <c r="S71" s="12" t="s">
        <v>75</v>
      </c>
      <c r="T71" s="12" t="s">
        <v>75</v>
      </c>
      <c r="U71" s="12" t="s">
        <v>75</v>
      </c>
      <c r="V71" s="12" t="s">
        <v>75</v>
      </c>
      <c r="W71" s="7">
        <v>3</v>
      </c>
      <c r="X71" s="7">
        <v>3</v>
      </c>
      <c r="Y71" s="7">
        <v>17</v>
      </c>
      <c r="Z71" s="7">
        <v>4</v>
      </c>
      <c r="AA71" s="12" t="s">
        <v>74</v>
      </c>
      <c r="AB71" s="7">
        <v>2</v>
      </c>
      <c r="AC71" s="12" t="s">
        <v>75</v>
      </c>
      <c r="AD71" s="12" t="s">
        <v>75</v>
      </c>
      <c r="AE71" s="12" t="s">
        <v>75</v>
      </c>
    </row>
    <row r="72" spans="1:32" s="6" customFormat="1" ht="43.2" x14ac:dyDescent="0.3">
      <c r="A72" s="6" t="s">
        <v>717</v>
      </c>
      <c r="B72" s="6">
        <v>2023</v>
      </c>
      <c r="C72" s="7">
        <v>15</v>
      </c>
      <c r="D72" s="6" t="s">
        <v>71</v>
      </c>
      <c r="E72" s="7">
        <v>1</v>
      </c>
      <c r="F72" s="14" t="s">
        <v>716</v>
      </c>
      <c r="G72" t="s">
        <v>318</v>
      </c>
      <c r="H72" s="4" t="s">
        <v>715</v>
      </c>
      <c r="I72" s="10" t="s">
        <v>719</v>
      </c>
      <c r="J72" s="7">
        <v>6</v>
      </c>
      <c r="K72" s="6" t="s">
        <v>236</v>
      </c>
      <c r="L72" s="10" t="s">
        <v>718</v>
      </c>
      <c r="M72" s="11">
        <v>1</v>
      </c>
      <c r="N72" s="6" t="s">
        <v>133</v>
      </c>
      <c r="O72" s="7">
        <v>2</v>
      </c>
      <c r="P72" s="7">
        <v>3</v>
      </c>
      <c r="Q72" s="6" t="s">
        <v>134</v>
      </c>
      <c r="R72" s="10" t="s">
        <v>135</v>
      </c>
      <c r="S72" s="10" t="s">
        <v>721</v>
      </c>
      <c r="T72" s="10" t="s">
        <v>137</v>
      </c>
      <c r="U72" s="12" t="s">
        <v>75</v>
      </c>
      <c r="V72" s="12" t="s">
        <v>75</v>
      </c>
      <c r="W72" s="7">
        <v>2</v>
      </c>
      <c r="X72" s="7">
        <v>3</v>
      </c>
      <c r="Y72" s="7">
        <v>17</v>
      </c>
      <c r="Z72" s="7">
        <v>4</v>
      </c>
      <c r="AA72" s="12" t="s">
        <v>74</v>
      </c>
      <c r="AB72" s="7">
        <v>2</v>
      </c>
      <c r="AC72" s="12" t="s">
        <v>75</v>
      </c>
      <c r="AD72" s="6" t="s">
        <v>720</v>
      </c>
      <c r="AE72" s="10" t="s">
        <v>744</v>
      </c>
      <c r="AF72" s="6" t="s">
        <v>39128</v>
      </c>
    </row>
    <row r="73" spans="1:32" s="6" customFormat="1" ht="57.6" x14ac:dyDescent="0.3">
      <c r="A73" s="6" t="s">
        <v>722</v>
      </c>
      <c r="B73" s="6">
        <v>2023</v>
      </c>
      <c r="C73" s="7">
        <v>15</v>
      </c>
      <c r="D73" s="6" t="s">
        <v>71</v>
      </c>
      <c r="E73" s="7">
        <v>1</v>
      </c>
      <c r="F73" s="14" t="s">
        <v>723</v>
      </c>
      <c r="G73" t="s">
        <v>724</v>
      </c>
      <c r="H73" s="4" t="s">
        <v>725</v>
      </c>
      <c r="I73" s="10" t="s">
        <v>709</v>
      </c>
      <c r="J73" s="11">
        <v>3</v>
      </c>
      <c r="K73" s="6" t="s">
        <v>710</v>
      </c>
      <c r="L73" s="10" t="s">
        <v>726</v>
      </c>
      <c r="M73" s="11">
        <v>4</v>
      </c>
      <c r="N73" s="12" t="s">
        <v>75</v>
      </c>
      <c r="O73" s="7">
        <v>100</v>
      </c>
      <c r="P73" s="7">
        <v>100</v>
      </c>
      <c r="Q73" s="12" t="s">
        <v>75</v>
      </c>
      <c r="R73" s="12" t="s">
        <v>75</v>
      </c>
      <c r="S73" s="12" t="s">
        <v>75</v>
      </c>
      <c r="T73" s="12" t="s">
        <v>75</v>
      </c>
      <c r="U73" s="12" t="s">
        <v>75</v>
      </c>
      <c r="V73" s="12" t="s">
        <v>75</v>
      </c>
      <c r="W73" s="7">
        <v>3</v>
      </c>
      <c r="X73" s="7">
        <v>3</v>
      </c>
      <c r="Y73" s="7">
        <v>17</v>
      </c>
      <c r="Z73" s="7">
        <v>4</v>
      </c>
      <c r="AA73" s="12" t="s">
        <v>74</v>
      </c>
      <c r="AB73" s="7">
        <v>2</v>
      </c>
      <c r="AC73" s="12" t="s">
        <v>75</v>
      </c>
      <c r="AD73" s="10">
        <v>30</v>
      </c>
      <c r="AE73" s="10" t="s">
        <v>73</v>
      </c>
      <c r="AF73" s="6" t="s">
        <v>727</v>
      </c>
    </row>
    <row r="74" spans="1:32" s="6" customFormat="1" ht="72" x14ac:dyDescent="0.3">
      <c r="A74" s="6" t="s">
        <v>730</v>
      </c>
      <c r="B74" s="6">
        <v>2023</v>
      </c>
      <c r="C74" s="7">
        <v>15</v>
      </c>
      <c r="D74" s="6" t="s">
        <v>71</v>
      </c>
      <c r="E74" s="7">
        <v>1</v>
      </c>
      <c r="F74" s="16" t="s">
        <v>729</v>
      </c>
      <c r="G74" t="s">
        <v>202</v>
      </c>
      <c r="H74" s="4" t="s">
        <v>728</v>
      </c>
      <c r="I74" s="10" t="s">
        <v>755</v>
      </c>
      <c r="J74" s="7">
        <v>3</v>
      </c>
      <c r="K74" s="6" t="s">
        <v>109</v>
      </c>
      <c r="L74" s="10" t="s">
        <v>731</v>
      </c>
      <c r="M74" s="11">
        <v>4</v>
      </c>
      <c r="N74" s="10" t="s">
        <v>517</v>
      </c>
      <c r="O74" s="7">
        <v>1</v>
      </c>
      <c r="P74" s="7">
        <v>2</v>
      </c>
      <c r="Q74" s="6" t="s">
        <v>118</v>
      </c>
      <c r="R74" s="10" t="s">
        <v>344</v>
      </c>
      <c r="S74" s="10" t="s">
        <v>345</v>
      </c>
      <c r="T74" s="10" t="s">
        <v>346</v>
      </c>
      <c r="U74" s="12" t="s">
        <v>75</v>
      </c>
      <c r="V74" s="12" t="s">
        <v>75</v>
      </c>
      <c r="W74" s="7">
        <v>3</v>
      </c>
      <c r="X74" s="7">
        <v>3</v>
      </c>
      <c r="Y74" s="7">
        <v>17</v>
      </c>
      <c r="Z74" s="7">
        <v>4</v>
      </c>
      <c r="AA74" s="12" t="s">
        <v>74</v>
      </c>
      <c r="AB74" s="7">
        <v>2</v>
      </c>
      <c r="AC74" s="12" t="s">
        <v>75</v>
      </c>
      <c r="AD74" s="10">
        <v>12.5</v>
      </c>
      <c r="AE74" s="10" t="s">
        <v>732</v>
      </c>
    </row>
    <row r="75" spans="1:32" s="6" customFormat="1" ht="43.2" x14ac:dyDescent="0.3">
      <c r="A75" s="6" t="s">
        <v>735</v>
      </c>
      <c r="B75" s="6">
        <v>2023</v>
      </c>
      <c r="C75" s="7">
        <v>15</v>
      </c>
      <c r="D75" s="6" t="s">
        <v>71</v>
      </c>
      <c r="E75" s="7">
        <v>1</v>
      </c>
      <c r="F75" s="14" t="s">
        <v>734</v>
      </c>
      <c r="G75" t="s">
        <v>147</v>
      </c>
      <c r="H75" s="4" t="s">
        <v>733</v>
      </c>
      <c r="I75" s="10" t="s">
        <v>736</v>
      </c>
      <c r="J75" s="7">
        <v>4</v>
      </c>
      <c r="K75" s="6" t="s">
        <v>221</v>
      </c>
      <c r="L75" s="10" t="s">
        <v>737</v>
      </c>
      <c r="M75" s="11">
        <v>8</v>
      </c>
      <c r="N75" s="10" t="s">
        <v>738</v>
      </c>
      <c r="O75" s="11">
        <v>2</v>
      </c>
      <c r="P75" s="11">
        <v>3</v>
      </c>
      <c r="Q75" s="6" t="s">
        <v>739</v>
      </c>
      <c r="R75" s="10" t="s">
        <v>740</v>
      </c>
      <c r="S75" s="10" t="s">
        <v>741</v>
      </c>
      <c r="T75" s="10" t="s">
        <v>742</v>
      </c>
      <c r="U75" s="12" t="s">
        <v>75</v>
      </c>
      <c r="V75" s="12" t="s">
        <v>75</v>
      </c>
      <c r="W75" s="7">
        <v>3</v>
      </c>
      <c r="X75" s="7">
        <v>3</v>
      </c>
      <c r="Y75" s="7">
        <v>17</v>
      </c>
      <c r="Z75" s="7">
        <v>4</v>
      </c>
      <c r="AA75" s="12" t="s">
        <v>74</v>
      </c>
      <c r="AB75" s="7">
        <v>2</v>
      </c>
      <c r="AC75" s="12" t="s">
        <v>75</v>
      </c>
      <c r="AD75" s="12" t="s">
        <v>75</v>
      </c>
      <c r="AE75" s="10" t="s">
        <v>743</v>
      </c>
      <c r="AF75" s="13"/>
    </row>
    <row r="76" spans="1:32" s="6" customFormat="1" ht="187.2" x14ac:dyDescent="0.3">
      <c r="A76" s="6" t="s">
        <v>747</v>
      </c>
      <c r="B76" s="6">
        <v>2023</v>
      </c>
      <c r="C76" s="7">
        <v>15</v>
      </c>
      <c r="D76" s="6" t="s">
        <v>71</v>
      </c>
      <c r="E76" s="7">
        <v>1</v>
      </c>
      <c r="F76" s="14" t="s">
        <v>746</v>
      </c>
      <c r="G76" t="s">
        <v>329</v>
      </c>
      <c r="H76" s="4" t="s">
        <v>745</v>
      </c>
      <c r="I76" s="10" t="s">
        <v>748</v>
      </c>
      <c r="J76" s="7">
        <v>5</v>
      </c>
      <c r="L76" s="10" t="s">
        <v>749</v>
      </c>
      <c r="M76" s="11">
        <v>4</v>
      </c>
      <c r="N76" s="10" t="s">
        <v>155</v>
      </c>
      <c r="O76" s="11">
        <v>1</v>
      </c>
      <c r="P76" s="11">
        <v>2</v>
      </c>
      <c r="Q76" s="10" t="s">
        <v>118</v>
      </c>
      <c r="R76" s="6" t="s">
        <v>156</v>
      </c>
      <c r="S76" s="10" t="s">
        <v>157</v>
      </c>
      <c r="T76" s="10" t="s">
        <v>209</v>
      </c>
      <c r="U76" s="10" t="s">
        <v>158</v>
      </c>
      <c r="V76" s="10" t="s">
        <v>78</v>
      </c>
      <c r="W76" s="11">
        <v>1</v>
      </c>
      <c r="X76" s="11">
        <v>3</v>
      </c>
      <c r="Y76" s="11">
        <v>2</v>
      </c>
      <c r="Z76" s="11">
        <v>5</v>
      </c>
      <c r="AA76" s="12" t="s">
        <v>74</v>
      </c>
      <c r="AB76" s="11">
        <v>2</v>
      </c>
      <c r="AC76" s="10" t="s">
        <v>72</v>
      </c>
      <c r="AD76" s="6" t="s">
        <v>750</v>
      </c>
      <c r="AE76" s="10" t="s">
        <v>732</v>
      </c>
      <c r="AF76" s="13"/>
    </row>
    <row r="77" spans="1:32" s="6" customFormat="1" ht="28.8" x14ac:dyDescent="0.3">
      <c r="A77" s="6" t="s">
        <v>758</v>
      </c>
      <c r="B77" s="6">
        <v>2023</v>
      </c>
      <c r="C77" s="7">
        <v>15</v>
      </c>
      <c r="D77" s="6" t="s">
        <v>71</v>
      </c>
      <c r="E77" s="7">
        <v>1</v>
      </c>
      <c r="F77" s="14" t="s">
        <v>757</v>
      </c>
      <c r="G77" t="s">
        <v>637</v>
      </c>
      <c r="H77" s="4" t="s">
        <v>756</v>
      </c>
      <c r="I77" s="10" t="s">
        <v>754</v>
      </c>
      <c r="J77" s="7">
        <v>3</v>
      </c>
      <c r="K77" s="6" t="s">
        <v>752</v>
      </c>
      <c r="L77" s="10" t="s">
        <v>753</v>
      </c>
      <c r="M77" s="11">
        <v>2</v>
      </c>
      <c r="N77" s="10" t="s">
        <v>192</v>
      </c>
      <c r="O77" s="11">
        <v>1</v>
      </c>
      <c r="P77" s="11">
        <v>2</v>
      </c>
      <c r="Q77" s="6" t="s">
        <v>118</v>
      </c>
      <c r="R77" s="6" t="s">
        <v>751</v>
      </c>
      <c r="S77" s="6" t="s">
        <v>194</v>
      </c>
      <c r="T77" s="10" t="s">
        <v>195</v>
      </c>
      <c r="U77" s="10" t="s">
        <v>158</v>
      </c>
      <c r="V77" s="10" t="s">
        <v>77</v>
      </c>
      <c r="W77" s="11">
        <v>1</v>
      </c>
      <c r="X77" s="11">
        <v>3</v>
      </c>
      <c r="Y77" s="11">
        <v>1</v>
      </c>
      <c r="Z77" s="11">
        <v>5</v>
      </c>
      <c r="AA77" s="12" t="s">
        <v>74</v>
      </c>
      <c r="AB77" s="11">
        <v>2</v>
      </c>
      <c r="AC77" s="10" t="s">
        <v>72</v>
      </c>
      <c r="AD77" s="6">
        <v>500</v>
      </c>
      <c r="AE77" s="10" t="s">
        <v>73</v>
      </c>
    </row>
    <row r="78" spans="1:32" s="6" customFormat="1" ht="57.6" x14ac:dyDescent="0.3">
      <c r="A78" s="6" t="s">
        <v>763</v>
      </c>
      <c r="B78" s="6">
        <v>2023</v>
      </c>
      <c r="C78" s="7">
        <v>15</v>
      </c>
      <c r="D78" s="6" t="s">
        <v>71</v>
      </c>
      <c r="E78" s="7">
        <v>1</v>
      </c>
      <c r="F78" s="14" t="s">
        <v>762</v>
      </c>
      <c r="G78" t="s">
        <v>637</v>
      </c>
      <c r="H78" s="4" t="s">
        <v>759</v>
      </c>
      <c r="I78" s="6" t="s">
        <v>760</v>
      </c>
      <c r="J78" s="7">
        <v>3</v>
      </c>
      <c r="L78" s="10" t="s">
        <v>761</v>
      </c>
      <c r="M78" s="11">
        <v>11</v>
      </c>
      <c r="N78" s="10" t="s">
        <v>192</v>
      </c>
      <c r="O78" s="11">
        <v>1</v>
      </c>
      <c r="P78" s="11">
        <v>2</v>
      </c>
      <c r="Q78" s="6" t="s">
        <v>118</v>
      </c>
      <c r="R78" s="6" t="s">
        <v>751</v>
      </c>
      <c r="S78" s="6" t="s">
        <v>194</v>
      </c>
      <c r="T78" s="10" t="s">
        <v>195</v>
      </c>
      <c r="U78" s="10" t="s">
        <v>185</v>
      </c>
      <c r="V78" s="10" t="s">
        <v>186</v>
      </c>
      <c r="W78" s="7">
        <v>3</v>
      </c>
      <c r="X78" s="7">
        <v>3</v>
      </c>
      <c r="Y78" s="7">
        <v>17</v>
      </c>
      <c r="Z78" s="7">
        <v>4</v>
      </c>
      <c r="AA78" s="12" t="s">
        <v>74</v>
      </c>
      <c r="AB78" s="11">
        <v>2</v>
      </c>
      <c r="AC78" s="12" t="s">
        <v>75</v>
      </c>
      <c r="AD78" s="6">
        <v>30</v>
      </c>
      <c r="AE78" s="10" t="s">
        <v>73</v>
      </c>
    </row>
    <row r="79" spans="1:32" s="6" customFormat="1" ht="72" x14ac:dyDescent="0.3">
      <c r="A79" s="6" t="s">
        <v>780</v>
      </c>
      <c r="B79" s="6">
        <v>2023</v>
      </c>
      <c r="C79" s="7">
        <v>15</v>
      </c>
      <c r="D79" s="6" t="s">
        <v>71</v>
      </c>
      <c r="E79" s="7">
        <v>1</v>
      </c>
      <c r="F79" s="14" t="s">
        <v>766</v>
      </c>
      <c r="G79" t="s">
        <v>773</v>
      </c>
      <c r="H79" s="4" t="s">
        <v>764</v>
      </c>
      <c r="I79" s="10" t="s">
        <v>774</v>
      </c>
      <c r="J79" s="7">
        <v>1</v>
      </c>
      <c r="K79" s="6" t="s">
        <v>775</v>
      </c>
      <c r="L79" s="10" t="s">
        <v>781</v>
      </c>
      <c r="M79" s="11">
        <v>14</v>
      </c>
      <c r="N79" s="10" t="s">
        <v>765</v>
      </c>
      <c r="O79" s="11">
        <v>1</v>
      </c>
      <c r="P79" s="11">
        <v>2</v>
      </c>
      <c r="Q79" s="10" t="s">
        <v>307</v>
      </c>
      <c r="R79" s="6" t="s">
        <v>776</v>
      </c>
      <c r="S79" s="10" t="s">
        <v>777</v>
      </c>
      <c r="T79" s="10" t="s">
        <v>778</v>
      </c>
      <c r="U79" s="12" t="s">
        <v>75</v>
      </c>
      <c r="V79" s="12" t="s">
        <v>75</v>
      </c>
      <c r="W79" s="7">
        <v>2</v>
      </c>
      <c r="X79" s="7">
        <v>3</v>
      </c>
      <c r="Y79" s="7">
        <v>17</v>
      </c>
      <c r="Z79" s="7">
        <v>4</v>
      </c>
      <c r="AA79" s="12" t="s">
        <v>74</v>
      </c>
      <c r="AB79" s="11">
        <v>2</v>
      </c>
      <c r="AC79" s="10" t="s">
        <v>779</v>
      </c>
      <c r="AD79" s="10">
        <v>30</v>
      </c>
      <c r="AE79" s="10" t="s">
        <v>744</v>
      </c>
      <c r="AF79" s="6" t="s">
        <v>39129</v>
      </c>
    </row>
    <row r="80" spans="1:32" s="6" customFormat="1" ht="43.2" x14ac:dyDescent="0.3">
      <c r="A80" s="6" t="s">
        <v>786</v>
      </c>
      <c r="B80" s="6">
        <v>2023</v>
      </c>
      <c r="C80" s="7">
        <v>15</v>
      </c>
      <c r="D80" s="6" t="s">
        <v>71</v>
      </c>
      <c r="E80" s="7">
        <v>1</v>
      </c>
      <c r="F80" s="14" t="s">
        <v>785</v>
      </c>
      <c r="G80" t="s">
        <v>782</v>
      </c>
      <c r="H80" s="4" t="s">
        <v>767</v>
      </c>
      <c r="I80" s="10" t="s">
        <v>783</v>
      </c>
      <c r="J80" s="7">
        <v>6</v>
      </c>
      <c r="L80" s="10" t="s">
        <v>784</v>
      </c>
      <c r="M80" s="11">
        <v>1</v>
      </c>
      <c r="N80" s="10" t="s">
        <v>192</v>
      </c>
      <c r="O80" s="7">
        <v>1</v>
      </c>
      <c r="P80" s="7">
        <v>2</v>
      </c>
      <c r="Q80" s="6" t="s">
        <v>118</v>
      </c>
      <c r="R80" s="6" t="s">
        <v>751</v>
      </c>
      <c r="S80" s="6" t="s">
        <v>194</v>
      </c>
      <c r="T80" s="10" t="s">
        <v>195</v>
      </c>
      <c r="U80" s="10" t="s">
        <v>158</v>
      </c>
      <c r="V80" s="10" t="s">
        <v>77</v>
      </c>
      <c r="W80" s="11">
        <v>1</v>
      </c>
      <c r="X80" s="11">
        <v>3</v>
      </c>
      <c r="Y80" s="11">
        <v>1</v>
      </c>
      <c r="Z80" s="11">
        <v>5</v>
      </c>
      <c r="AA80" s="12" t="s">
        <v>74</v>
      </c>
      <c r="AB80" s="7">
        <v>2</v>
      </c>
      <c r="AC80" s="10" t="s">
        <v>72</v>
      </c>
      <c r="AD80" s="10">
        <v>30</v>
      </c>
      <c r="AE80" s="10" t="s">
        <v>73</v>
      </c>
    </row>
    <row r="81" spans="1:32" s="6" customFormat="1" ht="72" x14ac:dyDescent="0.3">
      <c r="A81" s="6" t="s">
        <v>791</v>
      </c>
      <c r="B81" s="6">
        <v>2023</v>
      </c>
      <c r="C81" s="7">
        <v>15</v>
      </c>
      <c r="D81" s="6" t="s">
        <v>71</v>
      </c>
      <c r="E81" s="7">
        <v>1</v>
      </c>
      <c r="F81" s="14" t="s">
        <v>790</v>
      </c>
      <c r="G81" t="s">
        <v>217</v>
      </c>
      <c r="H81" s="4" t="s">
        <v>768</v>
      </c>
      <c r="I81" s="10" t="s">
        <v>788</v>
      </c>
      <c r="J81" s="7">
        <v>3</v>
      </c>
      <c r="K81" s="6" t="s">
        <v>789</v>
      </c>
      <c r="L81" s="10" t="s">
        <v>787</v>
      </c>
      <c r="M81" s="11">
        <v>4</v>
      </c>
      <c r="N81" s="10" t="s">
        <v>192</v>
      </c>
      <c r="O81" s="7">
        <v>1</v>
      </c>
      <c r="P81" s="7">
        <v>2</v>
      </c>
      <c r="Q81" s="6" t="s">
        <v>118</v>
      </c>
      <c r="R81" s="6" t="s">
        <v>751</v>
      </c>
      <c r="S81" s="6" t="s">
        <v>194</v>
      </c>
      <c r="T81" s="10" t="s">
        <v>195</v>
      </c>
      <c r="U81" s="10" t="s">
        <v>185</v>
      </c>
      <c r="V81" s="10" t="s">
        <v>186</v>
      </c>
      <c r="W81" s="7">
        <v>3</v>
      </c>
      <c r="X81" s="7">
        <v>3</v>
      </c>
      <c r="Y81" s="7">
        <v>17</v>
      </c>
      <c r="Z81" s="7">
        <v>4</v>
      </c>
      <c r="AA81" s="12" t="s">
        <v>74</v>
      </c>
      <c r="AB81" s="11">
        <v>2</v>
      </c>
      <c r="AC81" s="12" t="s">
        <v>75</v>
      </c>
      <c r="AD81" s="12" t="s">
        <v>75</v>
      </c>
      <c r="AE81" s="10" t="s">
        <v>73</v>
      </c>
    </row>
    <row r="82" spans="1:32" s="6" customFormat="1" ht="100.8" x14ac:dyDescent="0.3">
      <c r="A82" s="6" t="s">
        <v>798</v>
      </c>
      <c r="B82" s="6">
        <v>2023</v>
      </c>
      <c r="C82" s="7">
        <v>15</v>
      </c>
      <c r="D82" s="6" t="s">
        <v>71</v>
      </c>
      <c r="E82" s="7">
        <v>1</v>
      </c>
      <c r="F82" s="14" t="s">
        <v>797</v>
      </c>
      <c r="G82" t="s">
        <v>544</v>
      </c>
      <c r="H82" s="4" t="s">
        <v>771</v>
      </c>
      <c r="I82" s="6" t="s">
        <v>48</v>
      </c>
      <c r="J82" s="7">
        <v>8</v>
      </c>
      <c r="L82" s="10" t="s">
        <v>796</v>
      </c>
      <c r="M82" s="11">
        <v>15</v>
      </c>
      <c r="N82" s="10" t="s">
        <v>769</v>
      </c>
      <c r="O82" s="11">
        <v>2</v>
      </c>
      <c r="P82" s="11">
        <v>3</v>
      </c>
      <c r="Q82" s="10" t="s">
        <v>793</v>
      </c>
      <c r="R82" s="10" t="s">
        <v>792</v>
      </c>
      <c r="S82" s="10" t="s">
        <v>770</v>
      </c>
      <c r="T82" s="10" t="s">
        <v>794</v>
      </c>
      <c r="U82" s="10" t="s">
        <v>1635</v>
      </c>
      <c r="V82" s="10" t="s">
        <v>795</v>
      </c>
      <c r="W82" s="11">
        <v>1</v>
      </c>
      <c r="X82" s="11">
        <v>2</v>
      </c>
      <c r="Y82" s="11">
        <v>4</v>
      </c>
      <c r="Z82" s="11">
        <v>3</v>
      </c>
      <c r="AA82" s="12" t="s">
        <v>74</v>
      </c>
      <c r="AB82" s="11">
        <v>2</v>
      </c>
      <c r="AC82" s="10" t="s">
        <v>72</v>
      </c>
      <c r="AD82" s="6">
        <v>30</v>
      </c>
      <c r="AE82" s="10" t="s">
        <v>732</v>
      </c>
      <c r="AF82" s="6" t="s">
        <v>1443</v>
      </c>
    </row>
    <row r="83" spans="1:32" s="6" customFormat="1" ht="43.2" x14ac:dyDescent="0.3">
      <c r="A83" s="6" t="s">
        <v>803</v>
      </c>
      <c r="B83" s="6">
        <v>2023</v>
      </c>
      <c r="C83" s="7">
        <v>15</v>
      </c>
      <c r="D83" s="6" t="s">
        <v>71</v>
      </c>
      <c r="E83" s="7">
        <v>1</v>
      </c>
      <c r="F83" s="14" t="s">
        <v>802</v>
      </c>
      <c r="G83" t="s">
        <v>799</v>
      </c>
      <c r="H83" s="4" t="s">
        <v>772</v>
      </c>
      <c r="I83" s="6" t="s">
        <v>800</v>
      </c>
      <c r="J83" s="7">
        <v>6</v>
      </c>
      <c r="K83" s="6" t="s">
        <v>801</v>
      </c>
      <c r="L83" s="10" t="s">
        <v>784</v>
      </c>
      <c r="M83" s="11">
        <v>1</v>
      </c>
      <c r="N83" s="12" t="s">
        <v>75</v>
      </c>
      <c r="O83" s="7">
        <v>100</v>
      </c>
      <c r="P83" s="7">
        <v>100</v>
      </c>
      <c r="Q83" s="12" t="s">
        <v>75</v>
      </c>
      <c r="R83" s="12" t="s">
        <v>75</v>
      </c>
      <c r="S83" s="12" t="s">
        <v>75</v>
      </c>
      <c r="T83" s="12" t="s">
        <v>75</v>
      </c>
      <c r="U83" s="12" t="s">
        <v>75</v>
      </c>
      <c r="V83" s="12" t="s">
        <v>75</v>
      </c>
      <c r="W83" s="7">
        <v>3</v>
      </c>
      <c r="X83" s="7">
        <v>3</v>
      </c>
      <c r="Y83" s="7">
        <v>17</v>
      </c>
      <c r="Z83" s="7">
        <v>4</v>
      </c>
      <c r="AA83" s="12" t="s">
        <v>74</v>
      </c>
      <c r="AB83" s="7">
        <v>2</v>
      </c>
      <c r="AC83" s="12" t="s">
        <v>75</v>
      </c>
      <c r="AD83" s="12" t="s">
        <v>75</v>
      </c>
      <c r="AE83" s="12" t="s">
        <v>75</v>
      </c>
    </row>
    <row r="84" spans="1:32" s="6" customFormat="1" ht="57.6" x14ac:dyDescent="0.3">
      <c r="A84" s="6" t="s">
        <v>813</v>
      </c>
      <c r="B84" s="6">
        <v>2023</v>
      </c>
      <c r="C84" s="7">
        <v>15</v>
      </c>
      <c r="D84" s="6" t="s">
        <v>71</v>
      </c>
      <c r="E84" s="7">
        <v>1</v>
      </c>
      <c r="F84" s="14" t="s">
        <v>812</v>
      </c>
      <c r="G84" t="s">
        <v>811</v>
      </c>
      <c r="H84" s="4" t="s">
        <v>804</v>
      </c>
      <c r="I84" s="10" t="s">
        <v>810</v>
      </c>
      <c r="J84" s="11">
        <v>3</v>
      </c>
      <c r="K84" s="6" t="s">
        <v>809</v>
      </c>
      <c r="L84" s="10" t="s">
        <v>487</v>
      </c>
      <c r="M84" s="11">
        <v>4</v>
      </c>
      <c r="N84" s="10" t="s">
        <v>192</v>
      </c>
      <c r="O84" s="11">
        <v>1</v>
      </c>
      <c r="P84" s="11">
        <v>2</v>
      </c>
      <c r="Q84" s="10" t="s">
        <v>118</v>
      </c>
      <c r="R84" s="6" t="s">
        <v>751</v>
      </c>
      <c r="S84" s="6" t="s">
        <v>194</v>
      </c>
      <c r="T84" s="10" t="s">
        <v>195</v>
      </c>
      <c r="U84" s="10" t="s">
        <v>185</v>
      </c>
      <c r="V84" s="10" t="s">
        <v>186</v>
      </c>
      <c r="W84" s="7">
        <v>3</v>
      </c>
      <c r="X84" s="7">
        <v>3</v>
      </c>
      <c r="Y84" s="7">
        <v>17</v>
      </c>
      <c r="Z84" s="7">
        <v>4</v>
      </c>
      <c r="AA84" s="12" t="s">
        <v>74</v>
      </c>
      <c r="AB84" s="11">
        <v>2</v>
      </c>
      <c r="AC84" s="12" t="s">
        <v>75</v>
      </c>
      <c r="AD84" s="6">
        <v>30</v>
      </c>
      <c r="AE84" s="6" t="s">
        <v>73</v>
      </c>
    </row>
    <row r="85" spans="1:32" s="6" customFormat="1" ht="43.2" x14ac:dyDescent="0.3">
      <c r="A85" s="6" t="s">
        <v>1469</v>
      </c>
      <c r="B85" s="6">
        <v>2023</v>
      </c>
      <c r="C85" s="7">
        <v>15</v>
      </c>
      <c r="D85" s="6" t="s">
        <v>71</v>
      </c>
      <c r="E85" s="7">
        <v>1</v>
      </c>
      <c r="F85" s="16" t="s">
        <v>1468</v>
      </c>
      <c r="G85" t="s">
        <v>380</v>
      </c>
      <c r="H85" s="4" t="s">
        <v>1464</v>
      </c>
      <c r="I85" s="10" t="s">
        <v>1465</v>
      </c>
      <c r="J85" s="11">
        <v>3</v>
      </c>
      <c r="K85" s="6" t="s">
        <v>624</v>
      </c>
      <c r="L85" s="10" t="s">
        <v>1466</v>
      </c>
      <c r="M85" s="11">
        <v>1</v>
      </c>
      <c r="N85" s="10" t="s">
        <v>192</v>
      </c>
      <c r="O85" s="11">
        <v>1</v>
      </c>
      <c r="P85" s="11">
        <v>2</v>
      </c>
      <c r="Q85" s="10" t="s">
        <v>118</v>
      </c>
      <c r="R85" s="6" t="s">
        <v>751</v>
      </c>
      <c r="S85" s="6" t="s">
        <v>194</v>
      </c>
      <c r="T85" s="10" t="s">
        <v>195</v>
      </c>
      <c r="U85" s="10" t="s">
        <v>185</v>
      </c>
      <c r="V85" s="10" t="s">
        <v>186</v>
      </c>
      <c r="W85" s="7">
        <v>3</v>
      </c>
      <c r="X85" s="7">
        <v>3</v>
      </c>
      <c r="Y85" s="7">
        <v>17</v>
      </c>
      <c r="Z85" s="7">
        <v>4</v>
      </c>
      <c r="AA85" s="12" t="s">
        <v>74</v>
      </c>
      <c r="AB85" s="11">
        <v>2</v>
      </c>
      <c r="AC85" s="10" t="s">
        <v>1467</v>
      </c>
      <c r="AD85" s="6">
        <v>90</v>
      </c>
      <c r="AE85" s="6" t="s">
        <v>73</v>
      </c>
    </row>
    <row r="86" spans="1:32" s="6" customFormat="1" ht="43.2" x14ac:dyDescent="0.3">
      <c r="A86" s="6" t="s">
        <v>819</v>
      </c>
      <c r="B86" s="6">
        <v>2023</v>
      </c>
      <c r="C86" s="7">
        <v>15</v>
      </c>
      <c r="D86" s="6" t="s">
        <v>71</v>
      </c>
      <c r="E86" s="7">
        <v>1</v>
      </c>
      <c r="F86" s="14" t="s">
        <v>818</v>
      </c>
      <c r="G86" t="s">
        <v>817</v>
      </c>
      <c r="H86" s="4" t="s">
        <v>805</v>
      </c>
      <c r="I86" s="10" t="s">
        <v>815</v>
      </c>
      <c r="J86" s="7">
        <v>6</v>
      </c>
      <c r="K86" s="6" t="s">
        <v>816</v>
      </c>
      <c r="L86" s="10" t="s">
        <v>814</v>
      </c>
      <c r="M86" s="11">
        <v>2</v>
      </c>
      <c r="N86" s="12" t="s">
        <v>75</v>
      </c>
      <c r="O86" s="7">
        <v>100</v>
      </c>
      <c r="P86" s="7">
        <v>100</v>
      </c>
      <c r="Q86" s="12" t="s">
        <v>75</v>
      </c>
      <c r="R86" s="12" t="s">
        <v>75</v>
      </c>
      <c r="S86" s="12" t="s">
        <v>75</v>
      </c>
      <c r="T86" s="12" t="s">
        <v>75</v>
      </c>
      <c r="U86" s="12" t="s">
        <v>75</v>
      </c>
      <c r="V86" s="12" t="s">
        <v>75</v>
      </c>
      <c r="W86" s="7">
        <v>3</v>
      </c>
      <c r="X86" s="7">
        <v>3</v>
      </c>
      <c r="Y86" s="7">
        <v>17</v>
      </c>
      <c r="Z86" s="7">
        <v>4</v>
      </c>
      <c r="AA86" s="12" t="s">
        <v>74</v>
      </c>
      <c r="AB86" s="7">
        <v>2</v>
      </c>
      <c r="AC86" s="12" t="s">
        <v>75</v>
      </c>
      <c r="AD86" s="12" t="s">
        <v>75</v>
      </c>
      <c r="AE86" s="12" t="s">
        <v>75</v>
      </c>
      <c r="AF86" s="13"/>
    </row>
    <row r="87" spans="1:32" s="6" customFormat="1" ht="43.2" x14ac:dyDescent="0.3">
      <c r="A87" s="6" t="s">
        <v>822</v>
      </c>
      <c r="B87" s="6">
        <v>2023</v>
      </c>
      <c r="C87" s="7">
        <v>15</v>
      </c>
      <c r="D87" s="6" t="s">
        <v>71</v>
      </c>
      <c r="E87" s="7">
        <v>1</v>
      </c>
      <c r="F87" s="14" t="s">
        <v>821</v>
      </c>
      <c r="G87" t="s">
        <v>622</v>
      </c>
      <c r="H87" s="4" t="s">
        <v>806</v>
      </c>
      <c r="I87" s="10" t="s">
        <v>820</v>
      </c>
      <c r="J87" s="7">
        <v>3</v>
      </c>
      <c r="K87" s="6" t="s">
        <v>196</v>
      </c>
      <c r="L87" s="10" t="s">
        <v>504</v>
      </c>
      <c r="M87" s="11">
        <v>1</v>
      </c>
      <c r="N87" s="10" t="s">
        <v>192</v>
      </c>
      <c r="O87" s="11">
        <v>1</v>
      </c>
      <c r="P87" s="11">
        <v>2</v>
      </c>
      <c r="Q87" s="10" t="s">
        <v>118</v>
      </c>
      <c r="R87" s="6" t="s">
        <v>751</v>
      </c>
      <c r="S87" s="6" t="s">
        <v>194</v>
      </c>
      <c r="T87" s="10" t="s">
        <v>195</v>
      </c>
      <c r="U87" s="10" t="s">
        <v>185</v>
      </c>
      <c r="V87" s="10" t="s">
        <v>186</v>
      </c>
      <c r="W87" s="7">
        <v>3</v>
      </c>
      <c r="X87" s="7">
        <v>3</v>
      </c>
      <c r="Y87" s="7">
        <v>17</v>
      </c>
      <c r="Z87" s="7">
        <v>4</v>
      </c>
      <c r="AA87" s="12" t="s">
        <v>74</v>
      </c>
      <c r="AB87" s="11">
        <v>2</v>
      </c>
      <c r="AC87" s="12" t="s">
        <v>75</v>
      </c>
      <c r="AD87" s="6">
        <v>30</v>
      </c>
      <c r="AE87" s="6" t="s">
        <v>73</v>
      </c>
    </row>
    <row r="88" spans="1:32" s="6" customFormat="1" ht="129.6" x14ac:dyDescent="0.3">
      <c r="A88" s="6" t="s">
        <v>430</v>
      </c>
      <c r="B88" s="6">
        <v>2023</v>
      </c>
      <c r="C88" s="7">
        <v>15</v>
      </c>
      <c r="D88" s="6" t="s">
        <v>71</v>
      </c>
      <c r="E88" s="7">
        <v>1</v>
      </c>
      <c r="F88" s="14" t="s">
        <v>831</v>
      </c>
      <c r="G88" t="s">
        <v>830</v>
      </c>
      <c r="H88" s="4" t="s">
        <v>807</v>
      </c>
      <c r="I88" s="10" t="s">
        <v>824</v>
      </c>
      <c r="J88" s="7">
        <v>3</v>
      </c>
      <c r="K88" s="6" t="s">
        <v>826</v>
      </c>
      <c r="L88" s="10" t="s">
        <v>825</v>
      </c>
      <c r="M88" s="11">
        <v>3</v>
      </c>
      <c r="N88" s="10" t="s">
        <v>422</v>
      </c>
      <c r="O88" s="11">
        <v>1</v>
      </c>
      <c r="P88" s="11">
        <v>2</v>
      </c>
      <c r="Q88" s="10" t="s">
        <v>827</v>
      </c>
      <c r="R88" s="10" t="s">
        <v>156</v>
      </c>
      <c r="S88" s="10" t="s">
        <v>423</v>
      </c>
      <c r="T88" s="10" t="s">
        <v>424</v>
      </c>
      <c r="U88" s="10" t="s">
        <v>828</v>
      </c>
      <c r="V88" s="10" t="s">
        <v>829</v>
      </c>
      <c r="W88" s="7">
        <v>3</v>
      </c>
      <c r="X88" s="7">
        <v>3</v>
      </c>
      <c r="Y88" s="7">
        <v>17</v>
      </c>
      <c r="Z88" s="7">
        <v>4</v>
      </c>
      <c r="AA88" s="12" t="s">
        <v>74</v>
      </c>
      <c r="AB88" s="11">
        <v>2</v>
      </c>
      <c r="AC88" s="12" t="s">
        <v>75</v>
      </c>
      <c r="AD88" s="6">
        <v>12</v>
      </c>
      <c r="AE88" s="10" t="s">
        <v>427</v>
      </c>
    </row>
    <row r="89" spans="1:32" s="6" customFormat="1" ht="57.6" x14ac:dyDescent="0.3">
      <c r="A89" s="6" t="s">
        <v>837</v>
      </c>
      <c r="B89" s="6">
        <v>2023</v>
      </c>
      <c r="C89" s="7">
        <v>15</v>
      </c>
      <c r="D89" s="6" t="s">
        <v>71</v>
      </c>
      <c r="E89" s="7">
        <v>1</v>
      </c>
      <c r="F89" s="14" t="s">
        <v>836</v>
      </c>
      <c r="G89" t="s">
        <v>329</v>
      </c>
      <c r="H89" s="4" t="s">
        <v>808</v>
      </c>
      <c r="I89" s="10" t="s">
        <v>833</v>
      </c>
      <c r="J89" s="7">
        <v>1</v>
      </c>
      <c r="K89" s="6" t="s">
        <v>835</v>
      </c>
      <c r="L89" s="10" t="s">
        <v>832</v>
      </c>
      <c r="M89" s="11">
        <v>15</v>
      </c>
      <c r="N89" s="10" t="s">
        <v>415</v>
      </c>
      <c r="O89" s="11">
        <v>1</v>
      </c>
      <c r="P89" s="11">
        <v>2</v>
      </c>
      <c r="Q89" s="10" t="s">
        <v>416</v>
      </c>
      <c r="R89" s="10" t="s">
        <v>193</v>
      </c>
      <c r="S89" s="10" t="s">
        <v>194</v>
      </c>
      <c r="T89" s="10" t="s">
        <v>417</v>
      </c>
      <c r="U89" s="10" t="s">
        <v>158</v>
      </c>
      <c r="V89" s="10" t="s">
        <v>77</v>
      </c>
      <c r="W89" s="7">
        <v>1</v>
      </c>
      <c r="X89" s="7">
        <v>3</v>
      </c>
      <c r="Y89" s="7">
        <v>1</v>
      </c>
      <c r="Z89" s="7">
        <v>3</v>
      </c>
      <c r="AA89" s="12" t="s">
        <v>74</v>
      </c>
      <c r="AB89" s="11">
        <v>2</v>
      </c>
      <c r="AC89" s="10" t="s">
        <v>834</v>
      </c>
      <c r="AD89" s="6">
        <v>90</v>
      </c>
      <c r="AE89" s="10" t="s">
        <v>73</v>
      </c>
      <c r="AF89" s="6" t="s">
        <v>39130</v>
      </c>
    </row>
    <row r="90" spans="1:32" s="6" customFormat="1" ht="72" x14ac:dyDescent="0.3">
      <c r="A90" s="6" t="s">
        <v>848</v>
      </c>
      <c r="B90" s="6">
        <v>2023</v>
      </c>
      <c r="C90" s="7">
        <v>15</v>
      </c>
      <c r="D90" s="6" t="s">
        <v>71</v>
      </c>
      <c r="E90" s="7">
        <v>1</v>
      </c>
      <c r="F90" s="14" t="s">
        <v>847</v>
      </c>
      <c r="G90" t="s">
        <v>811</v>
      </c>
      <c r="H90" s="4" t="s">
        <v>838</v>
      </c>
      <c r="I90" s="10" t="s">
        <v>843</v>
      </c>
      <c r="J90" s="11">
        <v>3</v>
      </c>
      <c r="K90" s="6" t="s">
        <v>846</v>
      </c>
      <c r="L90" s="10" t="s">
        <v>844</v>
      </c>
      <c r="M90" s="11">
        <v>4</v>
      </c>
      <c r="N90" s="10" t="s">
        <v>192</v>
      </c>
      <c r="O90" s="11">
        <v>1</v>
      </c>
      <c r="P90" s="11">
        <v>2</v>
      </c>
      <c r="Q90" s="10" t="s">
        <v>118</v>
      </c>
      <c r="R90" s="6" t="s">
        <v>751</v>
      </c>
      <c r="S90" s="6" t="s">
        <v>194</v>
      </c>
      <c r="T90" s="10" t="s">
        <v>195</v>
      </c>
      <c r="U90" s="10" t="s">
        <v>185</v>
      </c>
      <c r="V90" s="10" t="s">
        <v>186</v>
      </c>
      <c r="W90" s="7">
        <v>3</v>
      </c>
      <c r="X90" s="7">
        <v>3</v>
      </c>
      <c r="Y90" s="7">
        <v>17</v>
      </c>
      <c r="Z90" s="7">
        <v>4</v>
      </c>
      <c r="AA90" s="12" t="s">
        <v>74</v>
      </c>
      <c r="AB90" s="11">
        <v>2</v>
      </c>
      <c r="AC90" s="12" t="s">
        <v>75</v>
      </c>
      <c r="AD90" s="6">
        <v>30</v>
      </c>
      <c r="AE90" s="10" t="s">
        <v>73</v>
      </c>
      <c r="AF90" s="6" t="s">
        <v>845</v>
      </c>
    </row>
    <row r="91" spans="1:32" s="6" customFormat="1" ht="57.6" x14ac:dyDescent="0.3">
      <c r="A91" s="6" t="s">
        <v>860</v>
      </c>
      <c r="B91" s="6">
        <v>2023</v>
      </c>
      <c r="C91" s="7">
        <v>15</v>
      </c>
      <c r="D91" s="6" t="s">
        <v>71</v>
      </c>
      <c r="E91" s="7">
        <v>1</v>
      </c>
      <c r="F91" s="14" t="s">
        <v>859</v>
      </c>
      <c r="G91" t="s">
        <v>858</v>
      </c>
      <c r="H91" s="4" t="s">
        <v>839</v>
      </c>
      <c r="I91" s="10" t="s">
        <v>849</v>
      </c>
      <c r="J91" s="7">
        <v>1</v>
      </c>
      <c r="K91" s="6" t="s">
        <v>857</v>
      </c>
      <c r="L91" s="10" t="s">
        <v>823</v>
      </c>
      <c r="M91" s="11">
        <v>3</v>
      </c>
      <c r="N91" s="10" t="s">
        <v>850</v>
      </c>
      <c r="O91" s="11">
        <v>2</v>
      </c>
      <c r="P91" s="11">
        <v>5</v>
      </c>
      <c r="Q91" s="10" t="s">
        <v>851</v>
      </c>
      <c r="R91" s="10" t="s">
        <v>852</v>
      </c>
      <c r="S91" s="10" t="s">
        <v>853</v>
      </c>
      <c r="T91" s="10" t="s">
        <v>854</v>
      </c>
      <c r="U91" s="10" t="s">
        <v>185</v>
      </c>
      <c r="V91" s="10" t="s">
        <v>186</v>
      </c>
      <c r="W91" s="7">
        <v>3</v>
      </c>
      <c r="X91" s="7">
        <v>3</v>
      </c>
      <c r="Y91" s="7">
        <v>17</v>
      </c>
      <c r="Z91" s="7">
        <v>4</v>
      </c>
      <c r="AA91" s="12" t="s">
        <v>74</v>
      </c>
      <c r="AB91" s="11">
        <v>2</v>
      </c>
      <c r="AC91" s="10" t="s">
        <v>855</v>
      </c>
      <c r="AD91" s="6">
        <v>50</v>
      </c>
      <c r="AE91" s="10" t="s">
        <v>73</v>
      </c>
      <c r="AF91" s="6" t="s">
        <v>856</v>
      </c>
    </row>
    <row r="92" spans="1:32" s="6" customFormat="1" ht="57.6" x14ac:dyDescent="0.3">
      <c r="A92" s="6" t="s">
        <v>865</v>
      </c>
      <c r="B92" s="6">
        <v>2023</v>
      </c>
      <c r="C92" s="7">
        <v>15</v>
      </c>
      <c r="D92" s="6" t="s">
        <v>71</v>
      </c>
      <c r="E92" s="7">
        <v>1</v>
      </c>
      <c r="F92" s="14" t="s">
        <v>864</v>
      </c>
      <c r="G92" t="s">
        <v>217</v>
      </c>
      <c r="H92" s="4" t="s">
        <v>840</v>
      </c>
      <c r="I92" s="10" t="s">
        <v>862</v>
      </c>
      <c r="J92" s="7">
        <v>3</v>
      </c>
      <c r="K92" s="6" t="s">
        <v>863</v>
      </c>
      <c r="L92" s="10" t="s">
        <v>861</v>
      </c>
      <c r="M92" s="11">
        <v>11</v>
      </c>
      <c r="N92" s="10" t="s">
        <v>192</v>
      </c>
      <c r="O92" s="11">
        <v>1</v>
      </c>
      <c r="P92" s="11">
        <v>2</v>
      </c>
      <c r="Q92" s="10" t="s">
        <v>118</v>
      </c>
      <c r="R92" s="6" t="s">
        <v>751</v>
      </c>
      <c r="S92" s="6" t="s">
        <v>194</v>
      </c>
      <c r="T92" s="10" t="s">
        <v>195</v>
      </c>
      <c r="U92" s="10" t="s">
        <v>158</v>
      </c>
      <c r="V92" s="10" t="s">
        <v>77</v>
      </c>
      <c r="W92" s="11">
        <v>1</v>
      </c>
      <c r="X92" s="11">
        <v>3</v>
      </c>
      <c r="Y92" s="11">
        <v>1</v>
      </c>
      <c r="Z92" s="11">
        <v>5</v>
      </c>
      <c r="AA92" s="12" t="s">
        <v>74</v>
      </c>
      <c r="AB92" s="7">
        <v>2</v>
      </c>
      <c r="AC92" s="10" t="s">
        <v>72</v>
      </c>
      <c r="AD92" s="12" t="s">
        <v>75</v>
      </c>
      <c r="AE92" s="10" t="s">
        <v>73</v>
      </c>
    </row>
    <row r="93" spans="1:32" s="6" customFormat="1" ht="86.4" x14ac:dyDescent="0.3">
      <c r="A93" s="6" t="s">
        <v>878</v>
      </c>
      <c r="B93" s="6">
        <v>2023</v>
      </c>
      <c r="C93" s="7">
        <v>15</v>
      </c>
      <c r="D93" s="6" t="s">
        <v>71</v>
      </c>
      <c r="E93" s="7">
        <v>1</v>
      </c>
      <c r="F93" s="14" t="s">
        <v>877</v>
      </c>
      <c r="G93" t="s">
        <v>217</v>
      </c>
      <c r="H93" s="4" t="s">
        <v>841</v>
      </c>
      <c r="I93" s="10" t="s">
        <v>875</v>
      </c>
      <c r="J93" s="7">
        <v>3</v>
      </c>
      <c r="K93" s="6" t="s">
        <v>876</v>
      </c>
      <c r="L93" s="10" t="s">
        <v>874</v>
      </c>
      <c r="M93" s="11">
        <v>3</v>
      </c>
      <c r="N93" s="10" t="s">
        <v>842</v>
      </c>
      <c r="O93" s="11">
        <v>2</v>
      </c>
      <c r="P93" s="11">
        <v>5</v>
      </c>
      <c r="Q93" s="10" t="s">
        <v>866</v>
      </c>
      <c r="R93" s="6" t="s">
        <v>867</v>
      </c>
      <c r="S93" s="10" t="s">
        <v>868</v>
      </c>
      <c r="T93" s="10" t="s">
        <v>869</v>
      </c>
      <c r="U93" s="10" t="s">
        <v>870</v>
      </c>
      <c r="V93" s="10" t="s">
        <v>871</v>
      </c>
      <c r="W93" s="7">
        <v>2</v>
      </c>
      <c r="X93" s="7">
        <v>3</v>
      </c>
      <c r="Y93" s="7">
        <v>16</v>
      </c>
      <c r="Z93" s="7">
        <v>4</v>
      </c>
      <c r="AA93" s="12" t="s">
        <v>74</v>
      </c>
      <c r="AB93" s="7">
        <v>2</v>
      </c>
      <c r="AC93" s="10" t="s">
        <v>72</v>
      </c>
      <c r="AD93" s="6" t="s">
        <v>872</v>
      </c>
      <c r="AE93" s="10" t="s">
        <v>73</v>
      </c>
      <c r="AF93" s="6" t="s">
        <v>873</v>
      </c>
    </row>
    <row r="94" spans="1:32" s="6" customFormat="1" ht="57.6" x14ac:dyDescent="0.3">
      <c r="A94" s="6" t="s">
        <v>894</v>
      </c>
      <c r="B94" s="6">
        <v>2023</v>
      </c>
      <c r="C94" s="7">
        <v>15</v>
      </c>
      <c r="D94" s="6" t="s">
        <v>71</v>
      </c>
      <c r="E94" s="7">
        <v>1</v>
      </c>
      <c r="F94" s="14" t="s">
        <v>893</v>
      </c>
      <c r="G94" t="s">
        <v>892</v>
      </c>
      <c r="H94" s="4" t="s">
        <v>879</v>
      </c>
      <c r="I94" s="10" t="s">
        <v>889</v>
      </c>
      <c r="J94" s="11">
        <v>3</v>
      </c>
      <c r="K94" s="6" t="s">
        <v>890</v>
      </c>
      <c r="L94" s="10" t="s">
        <v>490</v>
      </c>
      <c r="M94" s="11">
        <v>4</v>
      </c>
      <c r="N94" s="10" t="s">
        <v>192</v>
      </c>
      <c r="O94" s="11">
        <v>1</v>
      </c>
      <c r="P94" s="11">
        <v>2</v>
      </c>
      <c r="Q94" s="10" t="s">
        <v>118</v>
      </c>
      <c r="R94" s="6" t="s">
        <v>751</v>
      </c>
      <c r="S94" s="6" t="s">
        <v>194</v>
      </c>
      <c r="T94" s="10" t="s">
        <v>195</v>
      </c>
      <c r="U94" s="10" t="s">
        <v>185</v>
      </c>
      <c r="V94" s="10" t="s">
        <v>186</v>
      </c>
      <c r="W94" s="7">
        <v>3</v>
      </c>
      <c r="X94" s="7">
        <v>3</v>
      </c>
      <c r="Y94" s="7">
        <v>17</v>
      </c>
      <c r="Z94" s="7">
        <v>4</v>
      </c>
      <c r="AA94" s="12" t="s">
        <v>74</v>
      </c>
      <c r="AB94" s="11">
        <v>2</v>
      </c>
      <c r="AC94" s="12" t="s">
        <v>75</v>
      </c>
      <c r="AD94" s="6">
        <v>30</v>
      </c>
      <c r="AE94" s="10" t="s">
        <v>73</v>
      </c>
      <c r="AF94" s="6" t="s">
        <v>891</v>
      </c>
    </row>
    <row r="95" spans="1:32" s="6" customFormat="1" ht="201.6" x14ac:dyDescent="0.3">
      <c r="A95" s="6" t="s">
        <v>899</v>
      </c>
      <c r="B95" s="6">
        <v>2023</v>
      </c>
      <c r="C95" s="7">
        <v>15</v>
      </c>
      <c r="D95" s="6" t="s">
        <v>71</v>
      </c>
      <c r="E95" s="7">
        <v>1</v>
      </c>
      <c r="F95" s="14" t="s">
        <v>898</v>
      </c>
      <c r="G95" t="s">
        <v>329</v>
      </c>
      <c r="H95" s="4" t="s">
        <v>880</v>
      </c>
      <c r="I95" s="10" t="s">
        <v>833</v>
      </c>
      <c r="J95" s="7">
        <v>1</v>
      </c>
      <c r="K95" s="6" t="s">
        <v>895</v>
      </c>
      <c r="L95" s="10" t="s">
        <v>896</v>
      </c>
      <c r="M95" s="11">
        <v>15</v>
      </c>
      <c r="N95" s="10" t="s">
        <v>415</v>
      </c>
      <c r="O95" s="11">
        <v>1</v>
      </c>
      <c r="P95" s="11">
        <v>2</v>
      </c>
      <c r="Q95" s="10" t="s">
        <v>416</v>
      </c>
      <c r="R95" s="10" t="s">
        <v>193</v>
      </c>
      <c r="S95" s="10" t="s">
        <v>194</v>
      </c>
      <c r="T95" s="10" t="s">
        <v>417</v>
      </c>
      <c r="U95" s="10" t="s">
        <v>158</v>
      </c>
      <c r="V95" s="10" t="s">
        <v>39162</v>
      </c>
      <c r="W95" s="11">
        <v>2</v>
      </c>
      <c r="X95" s="11">
        <v>2</v>
      </c>
      <c r="Y95" s="11">
        <v>16</v>
      </c>
      <c r="Z95" s="11">
        <v>3</v>
      </c>
      <c r="AA95" s="12" t="s">
        <v>74</v>
      </c>
      <c r="AB95" s="11">
        <v>2</v>
      </c>
      <c r="AC95" s="12" t="s">
        <v>75</v>
      </c>
      <c r="AD95" s="6">
        <v>90</v>
      </c>
      <c r="AE95" s="10" t="s">
        <v>73</v>
      </c>
      <c r="AF95" s="6" t="s">
        <v>897</v>
      </c>
    </row>
    <row r="96" spans="1:32" s="6" customFormat="1" ht="72" x14ac:dyDescent="0.3">
      <c r="A96" s="6" t="s">
        <v>903</v>
      </c>
      <c r="B96" s="6">
        <v>2023</v>
      </c>
      <c r="C96" s="7">
        <v>15</v>
      </c>
      <c r="D96" s="6" t="s">
        <v>71</v>
      </c>
      <c r="E96" s="7">
        <v>1</v>
      </c>
      <c r="F96" s="14" t="s">
        <v>902</v>
      </c>
      <c r="G96" t="s">
        <v>892</v>
      </c>
      <c r="H96" s="4" t="s">
        <v>881</v>
      </c>
      <c r="I96" s="10" t="s">
        <v>900</v>
      </c>
      <c r="J96" s="7">
        <v>6</v>
      </c>
      <c r="L96" s="10" t="s">
        <v>901</v>
      </c>
      <c r="M96" s="11">
        <v>4</v>
      </c>
      <c r="N96" s="10" t="s">
        <v>415</v>
      </c>
      <c r="O96" s="11">
        <v>1</v>
      </c>
      <c r="P96" s="11">
        <v>2</v>
      </c>
      <c r="Q96" s="10" t="s">
        <v>416</v>
      </c>
      <c r="R96" s="10" t="s">
        <v>193</v>
      </c>
      <c r="S96" s="10" t="s">
        <v>194</v>
      </c>
      <c r="T96" s="10" t="s">
        <v>417</v>
      </c>
      <c r="U96" s="10" t="s">
        <v>158</v>
      </c>
      <c r="V96" s="6" t="s">
        <v>77</v>
      </c>
      <c r="W96" s="7">
        <v>1</v>
      </c>
      <c r="X96" s="7">
        <v>3</v>
      </c>
      <c r="Y96" s="7">
        <v>1</v>
      </c>
      <c r="Z96" s="7">
        <v>5</v>
      </c>
      <c r="AA96" s="12" t="s">
        <v>74</v>
      </c>
      <c r="AB96" s="11">
        <v>2</v>
      </c>
      <c r="AC96" s="12" t="s">
        <v>75</v>
      </c>
      <c r="AD96" s="6">
        <v>90</v>
      </c>
      <c r="AE96" s="10" t="s">
        <v>73</v>
      </c>
    </row>
    <row r="97" spans="1:32" s="6" customFormat="1" ht="72" x14ac:dyDescent="0.3">
      <c r="A97" s="6" t="s">
        <v>909</v>
      </c>
      <c r="B97" s="6">
        <v>2023</v>
      </c>
      <c r="C97" s="7">
        <v>15</v>
      </c>
      <c r="D97" s="6" t="s">
        <v>71</v>
      </c>
      <c r="E97" s="7">
        <v>1</v>
      </c>
      <c r="F97" s="14" t="s">
        <v>908</v>
      </c>
      <c r="G97" t="s">
        <v>907</v>
      </c>
      <c r="H97" s="4" t="s">
        <v>882</v>
      </c>
      <c r="I97" s="10" t="s">
        <v>906</v>
      </c>
      <c r="J97" s="11">
        <v>3</v>
      </c>
      <c r="K97" s="6" t="s">
        <v>905</v>
      </c>
      <c r="L97" s="10" t="s">
        <v>787</v>
      </c>
      <c r="M97" s="11">
        <v>4</v>
      </c>
      <c r="N97" s="12" t="s">
        <v>75</v>
      </c>
      <c r="O97" s="7">
        <v>100</v>
      </c>
      <c r="P97" s="7">
        <v>100</v>
      </c>
      <c r="Q97" s="12" t="s">
        <v>75</v>
      </c>
      <c r="R97" s="12" t="s">
        <v>75</v>
      </c>
      <c r="S97" s="12" t="s">
        <v>75</v>
      </c>
      <c r="T97" s="12" t="s">
        <v>75</v>
      </c>
      <c r="U97" s="12" t="s">
        <v>75</v>
      </c>
      <c r="V97" s="12" t="s">
        <v>75</v>
      </c>
      <c r="W97" s="7">
        <v>3</v>
      </c>
      <c r="X97" s="7">
        <v>3</v>
      </c>
      <c r="Y97" s="7">
        <v>17</v>
      </c>
      <c r="Z97" s="7">
        <v>4</v>
      </c>
      <c r="AA97" s="10">
        <v>1.03</v>
      </c>
      <c r="AB97" s="11">
        <v>1</v>
      </c>
      <c r="AC97" s="10" t="s">
        <v>904</v>
      </c>
      <c r="AD97" s="12" t="s">
        <v>75</v>
      </c>
      <c r="AE97" s="12" t="s">
        <v>75</v>
      </c>
    </row>
    <row r="98" spans="1:32" s="6" customFormat="1" ht="72" x14ac:dyDescent="0.3">
      <c r="A98" s="6" t="s">
        <v>910</v>
      </c>
      <c r="B98" s="6">
        <v>2023</v>
      </c>
      <c r="C98" s="7">
        <v>15</v>
      </c>
      <c r="D98" s="6" t="s">
        <v>71</v>
      </c>
      <c r="E98" s="7">
        <v>1</v>
      </c>
      <c r="F98" s="14" t="s">
        <v>913</v>
      </c>
      <c r="G98" t="s">
        <v>912</v>
      </c>
      <c r="H98" s="4" t="s">
        <v>883</v>
      </c>
      <c r="I98" s="6" t="s">
        <v>911</v>
      </c>
      <c r="J98" s="7">
        <v>1</v>
      </c>
      <c r="K98" s="6" t="s">
        <v>376</v>
      </c>
      <c r="L98" s="10" t="s">
        <v>504</v>
      </c>
      <c r="M98" s="11">
        <v>1</v>
      </c>
      <c r="N98" s="10" t="s">
        <v>517</v>
      </c>
      <c r="O98" s="11">
        <v>1</v>
      </c>
      <c r="P98" s="11">
        <v>2</v>
      </c>
      <c r="Q98" s="6" t="s">
        <v>118</v>
      </c>
      <c r="R98" s="10" t="s">
        <v>344</v>
      </c>
      <c r="S98" s="10" t="s">
        <v>345</v>
      </c>
      <c r="T98" s="10" t="s">
        <v>346</v>
      </c>
      <c r="U98" s="12" t="s">
        <v>75</v>
      </c>
      <c r="V98" s="12" t="s">
        <v>75</v>
      </c>
      <c r="W98" s="7">
        <v>3</v>
      </c>
      <c r="X98" s="7">
        <v>3</v>
      </c>
      <c r="Y98" s="7">
        <v>17</v>
      </c>
      <c r="Z98" s="7">
        <v>4</v>
      </c>
      <c r="AA98" s="12" t="s">
        <v>74</v>
      </c>
      <c r="AB98" s="7">
        <v>2</v>
      </c>
      <c r="AC98" s="12" t="s">
        <v>75</v>
      </c>
      <c r="AD98" s="10">
        <v>12</v>
      </c>
      <c r="AE98" s="10" t="s">
        <v>732</v>
      </c>
      <c r="AF98" s="13"/>
    </row>
    <row r="99" spans="1:32" s="6" customFormat="1" ht="57.6" x14ac:dyDescent="0.3">
      <c r="A99" s="6" t="s">
        <v>920</v>
      </c>
      <c r="B99" s="6">
        <v>2023</v>
      </c>
      <c r="C99" s="7">
        <v>15</v>
      </c>
      <c r="D99" s="6" t="s">
        <v>71</v>
      </c>
      <c r="E99" s="7">
        <v>1</v>
      </c>
      <c r="F99" s="16" t="s">
        <v>919</v>
      </c>
      <c r="G99" t="s">
        <v>918</v>
      </c>
      <c r="H99" s="4" t="s">
        <v>884</v>
      </c>
      <c r="I99" s="10" t="s">
        <v>633</v>
      </c>
      <c r="J99" s="7">
        <v>3</v>
      </c>
      <c r="K99" s="6" t="s">
        <v>915</v>
      </c>
      <c r="L99" s="10" t="s">
        <v>914</v>
      </c>
      <c r="M99" s="11">
        <v>9</v>
      </c>
      <c r="N99" s="10" t="s">
        <v>577</v>
      </c>
      <c r="O99" s="11">
        <v>1</v>
      </c>
      <c r="P99" s="11">
        <v>2</v>
      </c>
      <c r="Q99" s="10" t="s">
        <v>118</v>
      </c>
      <c r="R99" s="6" t="s">
        <v>193</v>
      </c>
      <c r="S99" s="6" t="s">
        <v>194</v>
      </c>
      <c r="T99" s="10" t="s">
        <v>578</v>
      </c>
      <c r="U99" s="10" t="s">
        <v>158</v>
      </c>
      <c r="V99" s="10" t="s">
        <v>77</v>
      </c>
      <c r="W99" s="11">
        <v>1</v>
      </c>
      <c r="X99" s="11">
        <v>3</v>
      </c>
      <c r="Y99" s="11">
        <v>1</v>
      </c>
      <c r="Z99" s="11">
        <v>5</v>
      </c>
      <c r="AA99" s="10" t="s">
        <v>916</v>
      </c>
      <c r="AB99" s="7">
        <v>1</v>
      </c>
      <c r="AC99" s="10" t="s">
        <v>72</v>
      </c>
      <c r="AD99" s="6">
        <v>30</v>
      </c>
      <c r="AE99" s="10" t="s">
        <v>73</v>
      </c>
      <c r="AF99" s="6" t="s">
        <v>917</v>
      </c>
    </row>
    <row r="100" spans="1:32" s="6" customFormat="1" ht="409.6" x14ac:dyDescent="0.3">
      <c r="A100" s="6" t="s">
        <v>928</v>
      </c>
      <c r="B100" s="6">
        <v>2023</v>
      </c>
      <c r="C100" s="7">
        <v>15</v>
      </c>
      <c r="D100" s="6" t="s">
        <v>71</v>
      </c>
      <c r="E100" s="7">
        <v>1</v>
      </c>
      <c r="F100" s="14" t="s">
        <v>927</v>
      </c>
      <c r="G100" t="s">
        <v>405</v>
      </c>
      <c r="H100" s="4" t="s">
        <v>885</v>
      </c>
      <c r="I100" s="6" t="s">
        <v>48</v>
      </c>
      <c r="J100" s="7">
        <v>8</v>
      </c>
      <c r="L100" s="10" t="s">
        <v>887</v>
      </c>
      <c r="M100" s="11">
        <v>9</v>
      </c>
      <c r="N100" s="10" t="s">
        <v>886</v>
      </c>
      <c r="O100" s="7">
        <v>10</v>
      </c>
      <c r="P100" s="7">
        <v>3</v>
      </c>
      <c r="Q100" s="10" t="s">
        <v>921</v>
      </c>
      <c r="R100" s="10" t="s">
        <v>922</v>
      </c>
      <c r="S100" s="10" t="s">
        <v>923</v>
      </c>
      <c r="T100" s="10" t="s">
        <v>924</v>
      </c>
      <c r="U100" s="6" t="s">
        <v>1635</v>
      </c>
      <c r="V100" s="10" t="s">
        <v>39155</v>
      </c>
      <c r="W100" s="11">
        <v>2</v>
      </c>
      <c r="X100" s="11">
        <v>2</v>
      </c>
      <c r="Y100" s="11">
        <v>16</v>
      </c>
      <c r="Z100" s="11">
        <v>3</v>
      </c>
      <c r="AA100" s="10" t="s">
        <v>925</v>
      </c>
      <c r="AB100" s="11">
        <v>1</v>
      </c>
      <c r="AC100" s="10" t="s">
        <v>72</v>
      </c>
      <c r="AD100" s="10" t="s">
        <v>926</v>
      </c>
      <c r="AE100" s="10" t="s">
        <v>73</v>
      </c>
      <c r="AF100" s="10"/>
    </row>
    <row r="101" spans="1:32" s="6" customFormat="1" ht="57.6" x14ac:dyDescent="0.3">
      <c r="A101" s="6" t="s">
        <v>932</v>
      </c>
      <c r="B101" s="6">
        <v>2023</v>
      </c>
      <c r="C101" s="7">
        <v>15</v>
      </c>
      <c r="D101" s="6" t="s">
        <v>71</v>
      </c>
      <c r="E101" s="7">
        <v>1</v>
      </c>
      <c r="F101" s="14" t="s">
        <v>929</v>
      </c>
      <c r="G101" t="s">
        <v>958</v>
      </c>
      <c r="H101" s="4" t="s">
        <v>888</v>
      </c>
      <c r="I101" s="10" t="s">
        <v>930</v>
      </c>
      <c r="J101" s="11">
        <v>7</v>
      </c>
      <c r="K101" s="6" t="s">
        <v>931</v>
      </c>
      <c r="L101" s="10" t="s">
        <v>504</v>
      </c>
      <c r="M101" s="11">
        <v>1</v>
      </c>
      <c r="N101" s="10" t="s">
        <v>415</v>
      </c>
      <c r="O101" s="11">
        <v>1</v>
      </c>
      <c r="P101" s="11">
        <v>2</v>
      </c>
      <c r="Q101" s="10" t="s">
        <v>416</v>
      </c>
      <c r="R101" s="10" t="s">
        <v>193</v>
      </c>
      <c r="S101" s="10" t="s">
        <v>194</v>
      </c>
      <c r="T101" s="10" t="s">
        <v>417</v>
      </c>
      <c r="U101" s="10" t="s">
        <v>158</v>
      </c>
      <c r="V101" s="10" t="s">
        <v>77</v>
      </c>
      <c r="W101" s="11">
        <v>1</v>
      </c>
      <c r="X101" s="11">
        <v>3</v>
      </c>
      <c r="Y101" s="11">
        <v>1</v>
      </c>
      <c r="Z101" s="11">
        <v>5</v>
      </c>
      <c r="AA101" s="12" t="s">
        <v>74</v>
      </c>
      <c r="AB101" s="7">
        <v>2</v>
      </c>
      <c r="AC101" s="10" t="s">
        <v>72</v>
      </c>
      <c r="AD101" s="6">
        <v>90</v>
      </c>
      <c r="AE101" s="10" t="s">
        <v>73</v>
      </c>
    </row>
    <row r="102" spans="1:32" s="6" customFormat="1" ht="43.2" x14ac:dyDescent="0.3">
      <c r="A102" s="6" t="s">
        <v>961</v>
      </c>
      <c r="B102" s="6">
        <v>2023</v>
      </c>
      <c r="C102" s="7">
        <v>15</v>
      </c>
      <c r="D102" s="6" t="s">
        <v>71</v>
      </c>
      <c r="E102" s="7">
        <v>1</v>
      </c>
      <c r="F102" s="14" t="s">
        <v>960</v>
      </c>
      <c r="G102" t="s">
        <v>959</v>
      </c>
      <c r="H102" s="4" t="s">
        <v>933</v>
      </c>
      <c r="I102" s="10" t="s">
        <v>954</v>
      </c>
      <c r="J102" s="7">
        <v>1</v>
      </c>
      <c r="K102" s="6" t="s">
        <v>957</v>
      </c>
      <c r="L102" s="10" t="s">
        <v>956</v>
      </c>
      <c r="M102" s="11">
        <v>4</v>
      </c>
      <c r="N102" s="6" t="s">
        <v>192</v>
      </c>
      <c r="O102" s="7">
        <v>1</v>
      </c>
      <c r="P102" s="7">
        <v>2</v>
      </c>
      <c r="Q102" s="6" t="s">
        <v>118</v>
      </c>
      <c r="R102" s="10" t="s">
        <v>193</v>
      </c>
      <c r="S102" s="10" t="s">
        <v>194</v>
      </c>
      <c r="T102" s="10" t="s">
        <v>195</v>
      </c>
      <c r="U102" s="10" t="s">
        <v>955</v>
      </c>
      <c r="V102" s="10" t="s">
        <v>72</v>
      </c>
      <c r="W102" s="7">
        <v>1</v>
      </c>
      <c r="X102" s="7">
        <v>3</v>
      </c>
      <c r="Y102" s="7">
        <v>3</v>
      </c>
      <c r="Z102" s="7">
        <v>5</v>
      </c>
      <c r="AA102" s="12" t="s">
        <v>74</v>
      </c>
      <c r="AB102" s="7">
        <v>2</v>
      </c>
      <c r="AC102" s="10" t="s">
        <v>367</v>
      </c>
      <c r="AD102" s="12" t="s">
        <v>75</v>
      </c>
      <c r="AE102" s="6" t="s">
        <v>73</v>
      </c>
    </row>
    <row r="103" spans="1:32" s="6" customFormat="1" ht="86.4" x14ac:dyDescent="0.3">
      <c r="A103" s="6" t="s">
        <v>962</v>
      </c>
      <c r="B103" s="6">
        <v>2023</v>
      </c>
      <c r="C103" s="7">
        <v>15</v>
      </c>
      <c r="D103" s="6" t="s">
        <v>71</v>
      </c>
      <c r="E103" s="7">
        <v>1</v>
      </c>
      <c r="F103" s="14" t="s">
        <v>963</v>
      </c>
      <c r="G103" t="s">
        <v>964</v>
      </c>
      <c r="H103" s="4" t="s">
        <v>934</v>
      </c>
      <c r="I103" s="10" t="s">
        <v>966</v>
      </c>
      <c r="J103" s="11">
        <v>3</v>
      </c>
      <c r="K103" s="6" t="s">
        <v>967</v>
      </c>
      <c r="L103" s="10" t="s">
        <v>965</v>
      </c>
      <c r="M103" s="11">
        <v>12</v>
      </c>
      <c r="N103" s="10" t="s">
        <v>304</v>
      </c>
      <c r="O103" s="11">
        <v>1</v>
      </c>
      <c r="P103" s="11">
        <v>1</v>
      </c>
      <c r="Q103" s="10" t="s">
        <v>307</v>
      </c>
      <c r="R103" s="6" t="s">
        <v>156</v>
      </c>
      <c r="S103" s="17" t="s">
        <v>157</v>
      </c>
      <c r="T103" s="10" t="s">
        <v>308</v>
      </c>
      <c r="U103" s="10" t="s">
        <v>158</v>
      </c>
      <c r="V103" s="10" t="s">
        <v>78</v>
      </c>
      <c r="W103" s="11">
        <v>1</v>
      </c>
      <c r="X103" s="11">
        <v>3</v>
      </c>
      <c r="Y103" s="11">
        <v>2</v>
      </c>
      <c r="Z103" s="11">
        <v>5</v>
      </c>
      <c r="AA103" s="13" t="s">
        <v>74</v>
      </c>
      <c r="AB103" s="7">
        <v>2</v>
      </c>
      <c r="AC103" s="12" t="s">
        <v>285</v>
      </c>
      <c r="AD103" s="6">
        <v>30</v>
      </c>
      <c r="AE103" s="10" t="s">
        <v>73</v>
      </c>
    </row>
    <row r="104" spans="1:32" s="6" customFormat="1" ht="115.2" x14ac:dyDescent="0.3">
      <c r="A104" s="6" t="s">
        <v>971</v>
      </c>
      <c r="B104" s="6">
        <v>2022</v>
      </c>
      <c r="C104" s="7">
        <v>14</v>
      </c>
      <c r="D104" s="6" t="s">
        <v>71</v>
      </c>
      <c r="E104" s="7">
        <v>1</v>
      </c>
      <c r="F104" s="15" t="s">
        <v>970</v>
      </c>
      <c r="G104" t="s">
        <v>277</v>
      </c>
      <c r="H104" s="4" t="s">
        <v>935</v>
      </c>
      <c r="I104" s="6" t="s">
        <v>48</v>
      </c>
      <c r="J104" s="7">
        <v>8</v>
      </c>
      <c r="L104" s="10" t="s">
        <v>968</v>
      </c>
      <c r="M104" s="11">
        <v>1</v>
      </c>
      <c r="N104" s="6" t="s">
        <v>936</v>
      </c>
      <c r="O104" s="11">
        <v>1</v>
      </c>
      <c r="P104" s="11">
        <v>2</v>
      </c>
      <c r="Q104" s="10" t="s">
        <v>937</v>
      </c>
      <c r="R104" s="6" t="s">
        <v>156</v>
      </c>
      <c r="S104" s="6" t="s">
        <v>938</v>
      </c>
      <c r="T104" s="10" t="s">
        <v>939</v>
      </c>
      <c r="U104" s="10" t="s">
        <v>2609</v>
      </c>
      <c r="V104" s="10" t="s">
        <v>940</v>
      </c>
      <c r="W104" s="7">
        <v>2</v>
      </c>
      <c r="X104" s="7">
        <v>3</v>
      </c>
      <c r="Y104" s="7">
        <v>16</v>
      </c>
      <c r="Z104" s="7">
        <v>4</v>
      </c>
      <c r="AA104" s="13" t="s">
        <v>74</v>
      </c>
      <c r="AB104" s="7">
        <v>2</v>
      </c>
      <c r="AC104" s="12" t="s">
        <v>285</v>
      </c>
      <c r="AD104" s="6">
        <v>1000</v>
      </c>
      <c r="AE104" s="10" t="s">
        <v>73</v>
      </c>
      <c r="AF104" s="6" t="s">
        <v>969</v>
      </c>
    </row>
    <row r="105" spans="1:32" s="6" customFormat="1" ht="115.2" x14ac:dyDescent="0.3">
      <c r="A105" s="6" t="s">
        <v>987</v>
      </c>
      <c r="B105" s="6">
        <v>2022</v>
      </c>
      <c r="C105" s="7">
        <v>14</v>
      </c>
      <c r="D105" s="6" t="s">
        <v>71</v>
      </c>
      <c r="E105" s="7">
        <v>1</v>
      </c>
      <c r="F105" s="14" t="s">
        <v>986</v>
      </c>
      <c r="G105" t="s">
        <v>128</v>
      </c>
      <c r="H105" s="4" t="s">
        <v>941</v>
      </c>
      <c r="I105" s="10" t="s">
        <v>973</v>
      </c>
      <c r="J105" s="11">
        <v>3</v>
      </c>
      <c r="K105" s="6" t="s">
        <v>975</v>
      </c>
      <c r="L105" s="10" t="s">
        <v>972</v>
      </c>
      <c r="M105" s="11">
        <v>14</v>
      </c>
      <c r="N105" s="10" t="s">
        <v>974</v>
      </c>
      <c r="O105" s="11">
        <v>4</v>
      </c>
      <c r="P105" s="11">
        <v>3</v>
      </c>
      <c r="Q105" s="10" t="s">
        <v>981</v>
      </c>
      <c r="R105" s="10" t="s">
        <v>976</v>
      </c>
      <c r="S105" s="10" t="s">
        <v>977</v>
      </c>
      <c r="T105" s="10" t="s">
        <v>978</v>
      </c>
      <c r="U105" s="10" t="s">
        <v>979</v>
      </c>
      <c r="V105" s="10" t="s">
        <v>980</v>
      </c>
      <c r="W105" s="7">
        <v>2</v>
      </c>
      <c r="X105" s="7">
        <v>2</v>
      </c>
      <c r="Y105" s="7">
        <v>16</v>
      </c>
      <c r="Z105" s="7">
        <v>3</v>
      </c>
      <c r="AA105" s="10" t="s">
        <v>982</v>
      </c>
      <c r="AB105" s="11">
        <v>1</v>
      </c>
      <c r="AC105" s="10" t="s">
        <v>72</v>
      </c>
      <c r="AD105" s="6" t="s">
        <v>983</v>
      </c>
      <c r="AE105" s="10" t="s">
        <v>984</v>
      </c>
      <c r="AF105" s="6" t="s">
        <v>985</v>
      </c>
    </row>
    <row r="106" spans="1:32" s="6" customFormat="1" ht="72" x14ac:dyDescent="0.3">
      <c r="A106" s="6" t="s">
        <v>990</v>
      </c>
      <c r="B106" s="6">
        <v>2022</v>
      </c>
      <c r="C106" s="7">
        <v>14</v>
      </c>
      <c r="D106" s="6" t="s">
        <v>71</v>
      </c>
      <c r="E106" s="7">
        <v>1</v>
      </c>
      <c r="F106" s="14" t="s">
        <v>989</v>
      </c>
      <c r="G106" t="s">
        <v>405</v>
      </c>
      <c r="H106" s="4" t="s">
        <v>942</v>
      </c>
      <c r="I106" s="6" t="s">
        <v>48</v>
      </c>
      <c r="J106" s="7">
        <v>8</v>
      </c>
      <c r="L106" s="10" t="s">
        <v>988</v>
      </c>
      <c r="M106" s="11">
        <v>4</v>
      </c>
      <c r="N106" s="6" t="s">
        <v>415</v>
      </c>
      <c r="O106" s="7">
        <v>1</v>
      </c>
      <c r="P106" s="7">
        <v>1</v>
      </c>
      <c r="Q106" s="10" t="s">
        <v>416</v>
      </c>
      <c r="R106" s="10" t="s">
        <v>193</v>
      </c>
      <c r="S106" s="10" t="s">
        <v>194</v>
      </c>
      <c r="T106" s="10" t="s">
        <v>417</v>
      </c>
      <c r="U106" s="10" t="s">
        <v>158</v>
      </c>
      <c r="V106" s="10" t="s">
        <v>39158</v>
      </c>
      <c r="W106" s="11">
        <v>2</v>
      </c>
      <c r="X106" s="11">
        <v>2</v>
      </c>
      <c r="Y106" s="11">
        <v>16</v>
      </c>
      <c r="Z106" s="11">
        <v>3</v>
      </c>
      <c r="AA106" s="12" t="s">
        <v>74</v>
      </c>
      <c r="AB106" s="7">
        <v>2</v>
      </c>
      <c r="AC106" s="10" t="s">
        <v>72</v>
      </c>
      <c r="AD106" s="6">
        <v>90</v>
      </c>
      <c r="AE106" s="10" t="s">
        <v>73</v>
      </c>
      <c r="AF106" s="13"/>
    </row>
    <row r="107" spans="1:32" s="6" customFormat="1" ht="86.4" x14ac:dyDescent="0.3">
      <c r="A107" s="6" t="s">
        <v>997</v>
      </c>
      <c r="B107" s="6">
        <v>2022</v>
      </c>
      <c r="C107" s="7">
        <v>14</v>
      </c>
      <c r="D107" s="6" t="s">
        <v>71</v>
      </c>
      <c r="E107" s="7">
        <v>1</v>
      </c>
      <c r="F107" s="14" t="s">
        <v>996</v>
      </c>
      <c r="G107" t="s">
        <v>550</v>
      </c>
      <c r="H107" s="4" t="s">
        <v>943</v>
      </c>
      <c r="I107" s="10" t="s">
        <v>991</v>
      </c>
      <c r="J107" s="7">
        <v>1</v>
      </c>
      <c r="K107" s="6" t="s">
        <v>491</v>
      </c>
      <c r="L107" s="10" t="s">
        <v>992</v>
      </c>
      <c r="M107" s="11">
        <v>8</v>
      </c>
      <c r="N107" s="6" t="s">
        <v>192</v>
      </c>
      <c r="O107" s="7">
        <v>1</v>
      </c>
      <c r="P107" s="7">
        <v>2</v>
      </c>
      <c r="Q107" s="10" t="s">
        <v>993</v>
      </c>
      <c r="R107" s="10" t="s">
        <v>193</v>
      </c>
      <c r="S107" s="10" t="s">
        <v>194</v>
      </c>
      <c r="T107" s="10" t="s">
        <v>195</v>
      </c>
      <c r="U107" s="10" t="s">
        <v>185</v>
      </c>
      <c r="V107" s="10" t="s">
        <v>186</v>
      </c>
      <c r="W107" s="7">
        <v>3</v>
      </c>
      <c r="X107" s="7">
        <v>3</v>
      </c>
      <c r="Y107" s="7">
        <v>17</v>
      </c>
      <c r="Z107" s="7">
        <v>4</v>
      </c>
      <c r="AA107" s="6" t="s">
        <v>994</v>
      </c>
      <c r="AB107" s="7">
        <v>1</v>
      </c>
      <c r="AC107" s="12" t="s">
        <v>285</v>
      </c>
      <c r="AD107" s="6">
        <v>30</v>
      </c>
      <c r="AE107" s="6" t="s">
        <v>73</v>
      </c>
      <c r="AF107" s="6" t="s">
        <v>995</v>
      </c>
    </row>
    <row r="108" spans="1:32" s="6" customFormat="1" ht="86.4" x14ac:dyDescent="0.3">
      <c r="A108" s="6" t="s">
        <v>1004</v>
      </c>
      <c r="B108" s="6">
        <v>2022</v>
      </c>
      <c r="C108" s="7">
        <v>14</v>
      </c>
      <c r="D108" s="6" t="s">
        <v>71</v>
      </c>
      <c r="E108" s="7">
        <v>1</v>
      </c>
      <c r="F108" s="14" t="s">
        <v>1003</v>
      </c>
      <c r="G108" t="s">
        <v>1002</v>
      </c>
      <c r="H108" s="4" t="s">
        <v>944</v>
      </c>
      <c r="I108" s="10" t="s">
        <v>998</v>
      </c>
      <c r="J108" s="7">
        <v>1</v>
      </c>
      <c r="K108" s="6" t="s">
        <v>1000</v>
      </c>
      <c r="L108" s="10" t="s">
        <v>999</v>
      </c>
      <c r="M108" s="11">
        <v>15</v>
      </c>
      <c r="N108" s="10" t="s">
        <v>155</v>
      </c>
      <c r="O108" s="11">
        <v>1</v>
      </c>
      <c r="P108" s="11">
        <v>1</v>
      </c>
      <c r="Q108" s="10" t="s">
        <v>118</v>
      </c>
      <c r="R108" s="6" t="s">
        <v>156</v>
      </c>
      <c r="S108" s="10" t="s">
        <v>157</v>
      </c>
      <c r="T108" s="10" t="s">
        <v>209</v>
      </c>
      <c r="U108" s="10" t="s">
        <v>158</v>
      </c>
      <c r="V108" s="10" t="s">
        <v>78</v>
      </c>
      <c r="W108" s="11">
        <v>1</v>
      </c>
      <c r="X108" s="11">
        <v>3</v>
      </c>
      <c r="Y108" s="11">
        <v>2</v>
      </c>
      <c r="Z108" s="11">
        <v>5</v>
      </c>
      <c r="AA108" s="12" t="s">
        <v>74</v>
      </c>
      <c r="AB108" s="7">
        <v>2</v>
      </c>
      <c r="AC108" s="10" t="s">
        <v>72</v>
      </c>
      <c r="AD108" s="10">
        <v>30</v>
      </c>
      <c r="AE108" s="10" t="s">
        <v>73</v>
      </c>
      <c r="AF108" s="6" t="s">
        <v>1001</v>
      </c>
    </row>
    <row r="109" spans="1:32" s="6" customFormat="1" ht="72" x14ac:dyDescent="0.3">
      <c r="A109" s="6" t="s">
        <v>1010</v>
      </c>
      <c r="B109" s="6">
        <v>2022</v>
      </c>
      <c r="C109" s="7">
        <v>14</v>
      </c>
      <c r="D109" s="6" t="s">
        <v>71</v>
      </c>
      <c r="E109" s="7">
        <v>1</v>
      </c>
      <c r="F109" s="14" t="s">
        <v>1009</v>
      </c>
      <c r="G109" t="s">
        <v>227</v>
      </c>
      <c r="H109" s="4" t="s">
        <v>945</v>
      </c>
      <c r="I109" s="10" t="s">
        <v>1006</v>
      </c>
      <c r="J109" s="7">
        <v>3</v>
      </c>
      <c r="K109" s="10" t="s">
        <v>1007</v>
      </c>
      <c r="L109" s="10" t="s">
        <v>1005</v>
      </c>
      <c r="M109" s="11">
        <v>4</v>
      </c>
      <c r="N109" s="10" t="s">
        <v>517</v>
      </c>
      <c r="O109" s="11">
        <v>1</v>
      </c>
      <c r="P109" s="11">
        <v>2</v>
      </c>
      <c r="Q109" s="10" t="s">
        <v>118</v>
      </c>
      <c r="R109" s="6" t="s">
        <v>344</v>
      </c>
      <c r="S109" s="6" t="s">
        <v>345</v>
      </c>
      <c r="T109" s="10" t="s">
        <v>346</v>
      </c>
      <c r="U109" s="12" t="s">
        <v>347</v>
      </c>
      <c r="V109" s="12" t="s">
        <v>506</v>
      </c>
      <c r="W109" s="7">
        <v>3</v>
      </c>
      <c r="X109" s="7">
        <v>3</v>
      </c>
      <c r="Y109" s="7">
        <v>17</v>
      </c>
      <c r="Z109" s="7">
        <v>4</v>
      </c>
      <c r="AA109" s="12" t="s">
        <v>74</v>
      </c>
      <c r="AB109" s="11">
        <v>2</v>
      </c>
      <c r="AC109" s="12" t="s">
        <v>75</v>
      </c>
      <c r="AD109" s="12" t="s">
        <v>75</v>
      </c>
      <c r="AE109" s="10" t="s">
        <v>520</v>
      </c>
      <c r="AF109" s="6" t="s">
        <v>1008</v>
      </c>
    </row>
    <row r="110" spans="1:32" s="6" customFormat="1" ht="57.6" x14ac:dyDescent="0.3">
      <c r="A110" s="6" t="s">
        <v>1017</v>
      </c>
      <c r="B110" s="6">
        <v>2022</v>
      </c>
      <c r="C110" s="7">
        <v>14</v>
      </c>
      <c r="D110" s="6" t="s">
        <v>71</v>
      </c>
      <c r="E110" s="7">
        <v>1</v>
      </c>
      <c r="F110" s="14" t="s">
        <v>1016</v>
      </c>
      <c r="G110" t="s">
        <v>1015</v>
      </c>
      <c r="H110" s="4" t="s">
        <v>946</v>
      </c>
      <c r="I110" s="10" t="s">
        <v>1011</v>
      </c>
      <c r="J110" s="11">
        <v>3</v>
      </c>
      <c r="K110" s="6" t="s">
        <v>454</v>
      </c>
      <c r="L110" s="10" t="s">
        <v>1012</v>
      </c>
      <c r="M110" s="11">
        <v>4</v>
      </c>
      <c r="N110" s="12" t="s">
        <v>75</v>
      </c>
      <c r="O110" s="11">
        <v>100</v>
      </c>
      <c r="P110" s="11">
        <v>100</v>
      </c>
      <c r="Q110" s="12" t="s">
        <v>75</v>
      </c>
      <c r="R110" s="12" t="s">
        <v>75</v>
      </c>
      <c r="S110" s="12" t="s">
        <v>75</v>
      </c>
      <c r="T110" s="12" t="s">
        <v>75</v>
      </c>
      <c r="U110" s="12" t="s">
        <v>75</v>
      </c>
      <c r="V110" s="12" t="s">
        <v>75</v>
      </c>
      <c r="W110" s="7">
        <v>3</v>
      </c>
      <c r="X110" s="7">
        <v>3</v>
      </c>
      <c r="Y110" s="7">
        <v>17</v>
      </c>
      <c r="Z110" s="7">
        <v>4</v>
      </c>
      <c r="AA110" s="12" t="s">
        <v>74</v>
      </c>
      <c r="AB110" s="11">
        <v>2</v>
      </c>
      <c r="AC110" s="12" t="s">
        <v>75</v>
      </c>
      <c r="AD110" s="12" t="s">
        <v>75</v>
      </c>
      <c r="AE110" s="12" t="s">
        <v>75</v>
      </c>
      <c r="AF110" s="6" t="s">
        <v>1014</v>
      </c>
    </row>
    <row r="111" spans="1:32" s="6" customFormat="1" ht="43.2" x14ac:dyDescent="0.3">
      <c r="A111" s="6" t="s">
        <v>1023</v>
      </c>
      <c r="B111" s="6">
        <v>2022</v>
      </c>
      <c r="C111" s="7">
        <v>14</v>
      </c>
      <c r="D111" s="6" t="s">
        <v>71</v>
      </c>
      <c r="E111" s="7">
        <v>1</v>
      </c>
      <c r="F111" s="14" t="s">
        <v>1022</v>
      </c>
      <c r="G111" t="s">
        <v>329</v>
      </c>
      <c r="H111" s="4" t="s">
        <v>947</v>
      </c>
      <c r="I111" s="10" t="s">
        <v>79</v>
      </c>
      <c r="J111" s="11">
        <v>3</v>
      </c>
      <c r="K111" s="6" t="s">
        <v>1021</v>
      </c>
      <c r="L111" s="10" t="s">
        <v>1018</v>
      </c>
      <c r="M111" s="11">
        <v>2</v>
      </c>
      <c r="N111" s="12" t="s">
        <v>75</v>
      </c>
      <c r="O111" s="11">
        <v>100</v>
      </c>
      <c r="P111" s="11">
        <v>100</v>
      </c>
      <c r="Q111" s="12" t="s">
        <v>75</v>
      </c>
      <c r="R111" s="12" t="s">
        <v>75</v>
      </c>
      <c r="S111" s="12" t="s">
        <v>75</v>
      </c>
      <c r="T111" s="12" t="s">
        <v>75</v>
      </c>
      <c r="U111" s="12" t="s">
        <v>75</v>
      </c>
      <c r="V111" s="12" t="s">
        <v>75</v>
      </c>
      <c r="W111" s="7">
        <v>3</v>
      </c>
      <c r="X111" s="7">
        <v>3</v>
      </c>
      <c r="Y111" s="7">
        <v>17</v>
      </c>
      <c r="Z111" s="7">
        <v>4</v>
      </c>
      <c r="AA111" s="12" t="s">
        <v>74</v>
      </c>
      <c r="AB111" s="11">
        <v>2</v>
      </c>
      <c r="AC111" s="12" t="s">
        <v>75</v>
      </c>
      <c r="AD111" s="12" t="s">
        <v>75</v>
      </c>
      <c r="AE111" s="12" t="s">
        <v>75</v>
      </c>
      <c r="AF111" s="6" t="s">
        <v>1020</v>
      </c>
    </row>
    <row r="112" spans="1:32" s="6" customFormat="1" ht="57.6" x14ac:dyDescent="0.3">
      <c r="A112" s="6" t="s">
        <v>1028</v>
      </c>
      <c r="B112" s="6">
        <v>2022</v>
      </c>
      <c r="C112" s="7">
        <v>14</v>
      </c>
      <c r="D112" s="6" t="s">
        <v>71</v>
      </c>
      <c r="E112" s="7">
        <v>1</v>
      </c>
      <c r="F112" s="14" t="s">
        <v>1027</v>
      </c>
      <c r="G112" t="s">
        <v>622</v>
      </c>
      <c r="H112" s="4" t="s">
        <v>948</v>
      </c>
      <c r="I112" s="10" t="s">
        <v>1024</v>
      </c>
      <c r="J112" s="11">
        <v>3</v>
      </c>
      <c r="K112" s="6" t="s">
        <v>1025</v>
      </c>
      <c r="L112" s="10" t="s">
        <v>1005</v>
      </c>
      <c r="M112" s="11">
        <v>4</v>
      </c>
      <c r="N112" s="10" t="s">
        <v>265</v>
      </c>
      <c r="O112" s="7">
        <v>1</v>
      </c>
      <c r="P112" s="7">
        <v>2</v>
      </c>
      <c r="Q112" s="10" t="s">
        <v>118</v>
      </c>
      <c r="R112" s="10" t="s">
        <v>266</v>
      </c>
      <c r="S112" s="6" t="s">
        <v>267</v>
      </c>
      <c r="T112" s="10" t="s">
        <v>268</v>
      </c>
      <c r="U112" s="10" t="s">
        <v>259</v>
      </c>
      <c r="V112" s="10" t="s">
        <v>186</v>
      </c>
      <c r="W112" s="7">
        <v>3</v>
      </c>
      <c r="X112" s="7">
        <v>3</v>
      </c>
      <c r="Y112" s="7">
        <v>17</v>
      </c>
      <c r="Z112" s="7">
        <v>4</v>
      </c>
      <c r="AA112" s="12" t="s">
        <v>74</v>
      </c>
      <c r="AB112" s="11">
        <v>2</v>
      </c>
      <c r="AC112" s="10" t="s">
        <v>1026</v>
      </c>
      <c r="AD112" s="10">
        <v>90</v>
      </c>
      <c r="AE112" s="10" t="s">
        <v>73</v>
      </c>
      <c r="AF112" s="6" t="s">
        <v>1029</v>
      </c>
    </row>
    <row r="113" spans="1:36" s="6" customFormat="1" ht="72" x14ac:dyDescent="0.3">
      <c r="A113" s="6" t="s">
        <v>1033</v>
      </c>
      <c r="B113" s="6">
        <v>2022</v>
      </c>
      <c r="C113" s="7">
        <v>14</v>
      </c>
      <c r="D113" s="6" t="s">
        <v>71</v>
      </c>
      <c r="E113" s="7">
        <v>1</v>
      </c>
      <c r="F113" s="14" t="s">
        <v>1031</v>
      </c>
      <c r="G113" t="s">
        <v>637</v>
      </c>
      <c r="H113" s="4" t="s">
        <v>949</v>
      </c>
      <c r="I113" s="10" t="s">
        <v>1034</v>
      </c>
      <c r="J113" s="11">
        <v>3</v>
      </c>
      <c r="K113" s="6" t="s">
        <v>547</v>
      </c>
      <c r="L113" s="10" t="s">
        <v>950</v>
      </c>
      <c r="M113" s="11">
        <v>4</v>
      </c>
      <c r="N113" s="10" t="s">
        <v>111</v>
      </c>
      <c r="O113" s="11">
        <v>1</v>
      </c>
      <c r="P113" s="11">
        <v>100</v>
      </c>
      <c r="Q113" s="10" t="s">
        <v>118</v>
      </c>
      <c r="R113" s="10" t="s">
        <v>119</v>
      </c>
      <c r="S113" s="12" t="s">
        <v>75</v>
      </c>
      <c r="T113" s="10" t="s">
        <v>120</v>
      </c>
      <c r="U113" s="10" t="s">
        <v>158</v>
      </c>
      <c r="V113" s="10" t="s">
        <v>78</v>
      </c>
      <c r="W113" s="11">
        <v>1</v>
      </c>
      <c r="X113" s="11">
        <v>3</v>
      </c>
      <c r="Y113" s="11">
        <v>2</v>
      </c>
      <c r="Z113" s="11">
        <v>5</v>
      </c>
      <c r="AA113" s="12" t="s">
        <v>74</v>
      </c>
      <c r="AB113" s="7">
        <v>2</v>
      </c>
      <c r="AC113" s="12" t="s">
        <v>75</v>
      </c>
      <c r="AD113" s="10">
        <v>8.1</v>
      </c>
      <c r="AE113" s="12" t="s">
        <v>75</v>
      </c>
      <c r="AF113" s="6" t="s">
        <v>1032</v>
      </c>
    </row>
    <row r="114" spans="1:36" s="6" customFormat="1" ht="57.6" x14ac:dyDescent="0.3">
      <c r="A114" s="6" t="s">
        <v>1040</v>
      </c>
      <c r="B114" s="6">
        <v>2022</v>
      </c>
      <c r="C114" s="7">
        <v>14</v>
      </c>
      <c r="D114" s="6" t="s">
        <v>71</v>
      </c>
      <c r="E114" s="7">
        <v>1</v>
      </c>
      <c r="F114" s="14" t="s">
        <v>1039</v>
      </c>
      <c r="G114" t="s">
        <v>1038</v>
      </c>
      <c r="H114" s="4" t="s">
        <v>951</v>
      </c>
      <c r="I114" s="10" t="s">
        <v>1035</v>
      </c>
      <c r="J114" s="11">
        <v>3</v>
      </c>
      <c r="K114" s="10" t="s">
        <v>1037</v>
      </c>
      <c r="L114" s="10" t="s">
        <v>1036</v>
      </c>
      <c r="M114" s="11">
        <v>15</v>
      </c>
      <c r="N114" s="10" t="s">
        <v>192</v>
      </c>
      <c r="O114" s="11">
        <v>1</v>
      </c>
      <c r="P114" s="11">
        <v>2</v>
      </c>
      <c r="Q114" s="6" t="s">
        <v>118</v>
      </c>
      <c r="R114" s="10" t="s">
        <v>193</v>
      </c>
      <c r="S114" s="10" t="s">
        <v>194</v>
      </c>
      <c r="T114" s="10" t="s">
        <v>195</v>
      </c>
      <c r="U114" s="10" t="s">
        <v>158</v>
      </c>
      <c r="V114" s="10" t="s">
        <v>77</v>
      </c>
      <c r="W114" s="11">
        <v>1</v>
      </c>
      <c r="X114" s="11">
        <v>3</v>
      </c>
      <c r="Y114" s="11">
        <v>1</v>
      </c>
      <c r="Z114" s="11">
        <v>5</v>
      </c>
      <c r="AA114" s="12" t="s">
        <v>74</v>
      </c>
      <c r="AB114" s="7">
        <v>2</v>
      </c>
      <c r="AC114" s="10" t="s">
        <v>72</v>
      </c>
      <c r="AD114" s="12" t="s">
        <v>75</v>
      </c>
      <c r="AE114" s="10" t="s">
        <v>73</v>
      </c>
      <c r="AF114" s="13"/>
    </row>
    <row r="115" spans="1:36" s="6" customFormat="1" ht="144" x14ac:dyDescent="0.3">
      <c r="A115" s="6" t="s">
        <v>1045</v>
      </c>
      <c r="B115" s="6">
        <v>2022</v>
      </c>
      <c r="C115" s="7">
        <v>14</v>
      </c>
      <c r="D115" s="6" t="s">
        <v>71</v>
      </c>
      <c r="E115" s="7">
        <v>1</v>
      </c>
      <c r="F115" s="14" t="s">
        <v>1044</v>
      </c>
      <c r="G115" t="s">
        <v>147</v>
      </c>
      <c r="H115" s="4" t="s">
        <v>952</v>
      </c>
      <c r="I115" s="10" t="s">
        <v>1041</v>
      </c>
      <c r="J115" s="11">
        <v>3</v>
      </c>
      <c r="K115" s="6" t="s">
        <v>1043</v>
      </c>
      <c r="L115" s="10" t="s">
        <v>1042</v>
      </c>
      <c r="M115" s="11">
        <v>4</v>
      </c>
      <c r="N115" s="10" t="s">
        <v>192</v>
      </c>
      <c r="O115" s="11">
        <v>1</v>
      </c>
      <c r="P115" s="11">
        <v>2</v>
      </c>
      <c r="Q115" s="10" t="s">
        <v>118</v>
      </c>
      <c r="R115" s="10" t="s">
        <v>193</v>
      </c>
      <c r="S115" s="10" t="s">
        <v>194</v>
      </c>
      <c r="T115" s="10" t="s">
        <v>195</v>
      </c>
      <c r="U115" s="10" t="s">
        <v>259</v>
      </c>
      <c r="V115" s="10" t="s">
        <v>186</v>
      </c>
      <c r="W115" s="7">
        <v>3</v>
      </c>
      <c r="X115" s="7">
        <v>3</v>
      </c>
      <c r="Y115" s="7">
        <v>17</v>
      </c>
      <c r="Z115" s="7">
        <v>4</v>
      </c>
      <c r="AA115" s="12" t="s">
        <v>74</v>
      </c>
      <c r="AB115" s="11">
        <v>2</v>
      </c>
      <c r="AC115" s="12" t="s">
        <v>285</v>
      </c>
      <c r="AD115" s="6">
        <v>30</v>
      </c>
      <c r="AE115" s="10" t="s">
        <v>73</v>
      </c>
      <c r="AF115" s="6" t="s">
        <v>1013</v>
      </c>
    </row>
    <row r="116" spans="1:36" s="6" customFormat="1" ht="43.2" x14ac:dyDescent="0.3">
      <c r="A116" s="6" t="s">
        <v>1049</v>
      </c>
      <c r="B116" s="6">
        <v>2022</v>
      </c>
      <c r="C116" s="7">
        <v>14</v>
      </c>
      <c r="D116" s="6" t="s">
        <v>71</v>
      </c>
      <c r="E116" s="7">
        <v>1</v>
      </c>
      <c r="F116" s="14" t="s">
        <v>1048</v>
      </c>
      <c r="G116" t="s">
        <v>227</v>
      </c>
      <c r="H116" s="4" t="s">
        <v>953</v>
      </c>
      <c r="I116" s="10" t="s">
        <v>1047</v>
      </c>
      <c r="J116" s="11">
        <v>3</v>
      </c>
      <c r="K116" s="6" t="s">
        <v>236</v>
      </c>
      <c r="L116" s="10" t="s">
        <v>1046</v>
      </c>
      <c r="M116" s="11">
        <v>4</v>
      </c>
      <c r="N116" s="12" t="s">
        <v>75</v>
      </c>
      <c r="O116" s="11">
        <v>100</v>
      </c>
      <c r="P116" s="11">
        <v>100</v>
      </c>
      <c r="Q116" s="12" t="s">
        <v>75</v>
      </c>
      <c r="R116" s="12" t="s">
        <v>75</v>
      </c>
      <c r="S116" s="12" t="s">
        <v>75</v>
      </c>
      <c r="T116" s="12" t="s">
        <v>75</v>
      </c>
      <c r="U116" s="12" t="s">
        <v>75</v>
      </c>
      <c r="V116" s="12" t="s">
        <v>75</v>
      </c>
      <c r="W116" s="7">
        <v>3</v>
      </c>
      <c r="X116" s="7">
        <v>3</v>
      </c>
      <c r="Y116" s="7">
        <v>17</v>
      </c>
      <c r="Z116" s="7">
        <v>4</v>
      </c>
      <c r="AA116" s="12" t="s">
        <v>74</v>
      </c>
      <c r="AB116" s="11">
        <v>2</v>
      </c>
      <c r="AC116" s="12" t="s">
        <v>75</v>
      </c>
      <c r="AD116" s="12" t="s">
        <v>75</v>
      </c>
      <c r="AE116" s="12" t="s">
        <v>75</v>
      </c>
      <c r="AF116" s="6" t="s">
        <v>1019</v>
      </c>
    </row>
    <row r="117" spans="1:36" s="6" customFormat="1" ht="43.2" x14ac:dyDescent="0.3">
      <c r="A117" s="6" t="s">
        <v>1067</v>
      </c>
      <c r="B117" s="6">
        <v>2022</v>
      </c>
      <c r="C117" s="7">
        <v>14</v>
      </c>
      <c r="D117" s="6" t="s">
        <v>71</v>
      </c>
      <c r="E117" s="7">
        <v>1</v>
      </c>
      <c r="F117" s="14" t="s">
        <v>1066</v>
      </c>
      <c r="G117" t="s">
        <v>1065</v>
      </c>
      <c r="H117" s="4" t="s">
        <v>1050</v>
      </c>
      <c r="I117" s="10" t="s">
        <v>1062</v>
      </c>
      <c r="J117" s="11">
        <v>3</v>
      </c>
      <c r="K117" s="6" t="s">
        <v>1064</v>
      </c>
      <c r="L117" s="10" t="s">
        <v>1063</v>
      </c>
      <c r="M117" s="11">
        <v>4</v>
      </c>
      <c r="N117" s="10" t="s">
        <v>192</v>
      </c>
      <c r="O117" s="11">
        <v>1</v>
      </c>
      <c r="P117" s="11">
        <v>2</v>
      </c>
      <c r="Q117" s="10" t="s">
        <v>118</v>
      </c>
      <c r="R117" s="10" t="s">
        <v>193</v>
      </c>
      <c r="S117" s="10" t="s">
        <v>194</v>
      </c>
      <c r="T117" s="10" t="s">
        <v>195</v>
      </c>
      <c r="U117" s="10" t="s">
        <v>259</v>
      </c>
      <c r="V117" s="10" t="s">
        <v>186</v>
      </c>
      <c r="W117" s="7">
        <v>3</v>
      </c>
      <c r="X117" s="7">
        <v>3</v>
      </c>
      <c r="Y117" s="7">
        <v>17</v>
      </c>
      <c r="Z117" s="7">
        <v>4</v>
      </c>
      <c r="AA117" s="12" t="s">
        <v>74</v>
      </c>
      <c r="AB117" s="11">
        <v>2</v>
      </c>
      <c r="AC117" s="12" t="s">
        <v>285</v>
      </c>
      <c r="AD117" s="12" t="s">
        <v>75</v>
      </c>
      <c r="AE117" s="10" t="s">
        <v>73</v>
      </c>
    </row>
    <row r="118" spans="1:36" s="6" customFormat="1" ht="72" x14ac:dyDescent="0.3">
      <c r="A118" s="6" t="s">
        <v>1074</v>
      </c>
      <c r="B118" s="6">
        <v>2022</v>
      </c>
      <c r="C118" s="7">
        <v>14</v>
      </c>
      <c r="D118" s="6" t="s">
        <v>71</v>
      </c>
      <c r="E118" s="7">
        <v>1</v>
      </c>
      <c r="F118" s="14" t="s">
        <v>1073</v>
      </c>
      <c r="G118" t="s">
        <v>724</v>
      </c>
      <c r="H118" s="4" t="s">
        <v>1051</v>
      </c>
      <c r="I118" s="10" t="s">
        <v>1068</v>
      </c>
      <c r="J118" s="11">
        <v>1</v>
      </c>
      <c r="K118" s="6" t="s">
        <v>1070</v>
      </c>
      <c r="L118" s="10" t="s">
        <v>1069</v>
      </c>
      <c r="M118" s="11">
        <v>8</v>
      </c>
      <c r="N118" s="10" t="s">
        <v>422</v>
      </c>
      <c r="O118" s="11">
        <v>1</v>
      </c>
      <c r="P118" s="11">
        <v>2</v>
      </c>
      <c r="Q118" s="10" t="s">
        <v>118</v>
      </c>
      <c r="R118" s="10" t="s">
        <v>156</v>
      </c>
      <c r="S118" s="10" t="s">
        <v>423</v>
      </c>
      <c r="T118" s="10" t="s">
        <v>424</v>
      </c>
      <c r="U118" s="10" t="s">
        <v>158</v>
      </c>
      <c r="V118" s="10" t="s">
        <v>78</v>
      </c>
      <c r="W118" s="11">
        <v>1</v>
      </c>
      <c r="X118" s="11">
        <v>3</v>
      </c>
      <c r="Y118" s="11">
        <v>2</v>
      </c>
      <c r="Z118" s="11">
        <v>5</v>
      </c>
      <c r="AA118" s="12" t="s">
        <v>74</v>
      </c>
      <c r="AB118" s="11">
        <v>2</v>
      </c>
      <c r="AC118" s="10" t="s">
        <v>1071</v>
      </c>
      <c r="AD118" s="10" t="s">
        <v>1072</v>
      </c>
      <c r="AE118" s="10" t="s">
        <v>427</v>
      </c>
      <c r="AF118" s="13"/>
    </row>
    <row r="119" spans="1:36" s="6" customFormat="1" ht="43.2" x14ac:dyDescent="0.3">
      <c r="A119" s="6" t="s">
        <v>1078</v>
      </c>
      <c r="B119" s="6">
        <v>2022</v>
      </c>
      <c r="C119" s="7">
        <v>14</v>
      </c>
      <c r="D119" s="6" t="s">
        <v>71</v>
      </c>
      <c r="E119" s="7">
        <v>1</v>
      </c>
      <c r="F119" s="14" t="s">
        <v>1077</v>
      </c>
      <c r="G119" t="s">
        <v>637</v>
      </c>
      <c r="H119" s="4" t="s">
        <v>1052</v>
      </c>
      <c r="I119" s="10" t="s">
        <v>1076</v>
      </c>
      <c r="J119" s="11">
        <v>6</v>
      </c>
      <c r="K119" s="6" t="s">
        <v>486</v>
      </c>
      <c r="L119" s="10" t="s">
        <v>1075</v>
      </c>
      <c r="M119" s="11">
        <v>8</v>
      </c>
      <c r="N119" s="10" t="s">
        <v>192</v>
      </c>
      <c r="O119" s="11">
        <v>1</v>
      </c>
      <c r="P119" s="11">
        <v>2</v>
      </c>
      <c r="Q119" s="10" t="s">
        <v>118</v>
      </c>
      <c r="R119" s="10" t="s">
        <v>193</v>
      </c>
      <c r="S119" s="10" t="s">
        <v>194</v>
      </c>
      <c r="T119" s="10" t="s">
        <v>195</v>
      </c>
      <c r="U119" s="10" t="s">
        <v>158</v>
      </c>
      <c r="V119" s="10" t="s">
        <v>77</v>
      </c>
      <c r="W119" s="7">
        <v>1</v>
      </c>
      <c r="X119" s="7">
        <v>3</v>
      </c>
      <c r="Y119" s="7">
        <v>1</v>
      </c>
      <c r="Z119" s="7">
        <v>5</v>
      </c>
      <c r="AA119" s="12" t="s">
        <v>74</v>
      </c>
      <c r="AB119" s="11">
        <v>2</v>
      </c>
      <c r="AC119" s="12" t="s">
        <v>285</v>
      </c>
      <c r="AD119" s="6">
        <v>30</v>
      </c>
      <c r="AE119" s="6" t="s">
        <v>73</v>
      </c>
      <c r="AF119" s="13"/>
    </row>
    <row r="120" spans="1:36" s="6" customFormat="1" ht="86.4" x14ac:dyDescent="0.3">
      <c r="A120" s="6" t="s">
        <v>1084</v>
      </c>
      <c r="B120" s="6">
        <v>2022</v>
      </c>
      <c r="C120" s="7">
        <v>14</v>
      </c>
      <c r="D120" s="6" t="s">
        <v>71</v>
      </c>
      <c r="E120" s="7">
        <v>1</v>
      </c>
      <c r="F120" s="14" t="s">
        <v>1083</v>
      </c>
      <c r="G120" t="s">
        <v>1082</v>
      </c>
      <c r="H120" s="4" t="s">
        <v>1053</v>
      </c>
      <c r="I120" s="10" t="s">
        <v>1080</v>
      </c>
      <c r="J120" s="11">
        <v>1</v>
      </c>
      <c r="K120" s="6" t="s">
        <v>180</v>
      </c>
      <c r="L120" s="10" t="s">
        <v>1079</v>
      </c>
      <c r="M120" s="11">
        <v>4</v>
      </c>
      <c r="N120" s="12" t="s">
        <v>75</v>
      </c>
      <c r="O120" s="11">
        <v>100</v>
      </c>
      <c r="P120" s="11">
        <v>100</v>
      </c>
      <c r="Q120" s="12" t="s">
        <v>75</v>
      </c>
      <c r="R120" s="12" t="s">
        <v>75</v>
      </c>
      <c r="S120" s="12" t="s">
        <v>75</v>
      </c>
      <c r="T120" s="12" t="s">
        <v>75</v>
      </c>
      <c r="U120" s="12" t="s">
        <v>75</v>
      </c>
      <c r="V120" s="12" t="s">
        <v>75</v>
      </c>
      <c r="W120" s="7">
        <v>3</v>
      </c>
      <c r="X120" s="7">
        <v>3</v>
      </c>
      <c r="Y120" s="7">
        <v>17</v>
      </c>
      <c r="Z120" s="7">
        <v>4</v>
      </c>
      <c r="AA120" s="12" t="s">
        <v>74</v>
      </c>
      <c r="AB120" s="11">
        <v>2</v>
      </c>
      <c r="AC120" s="12" t="s">
        <v>75</v>
      </c>
      <c r="AD120" s="12" t="s">
        <v>75</v>
      </c>
      <c r="AE120" s="12" t="s">
        <v>75</v>
      </c>
      <c r="AF120" s="6" t="s">
        <v>1081</v>
      </c>
      <c r="AI120"/>
      <c r="AJ120"/>
    </row>
    <row r="121" spans="1:36" ht="158.4" x14ac:dyDescent="0.3">
      <c r="A121" s="6" t="s">
        <v>1090</v>
      </c>
      <c r="B121" s="6">
        <v>2022</v>
      </c>
      <c r="C121" s="7">
        <v>14</v>
      </c>
      <c r="D121" s="6" t="s">
        <v>71</v>
      </c>
      <c r="E121" s="7">
        <v>1</v>
      </c>
      <c r="F121" s="14" t="s">
        <v>1089</v>
      </c>
      <c r="G121" t="s">
        <v>1088</v>
      </c>
      <c r="H121" s="4" t="s">
        <v>1054</v>
      </c>
      <c r="I121" s="10" t="s">
        <v>1085</v>
      </c>
      <c r="J121" s="3">
        <v>3</v>
      </c>
      <c r="K121" s="6" t="s">
        <v>1087</v>
      </c>
      <c r="L121" s="10" t="s">
        <v>399</v>
      </c>
      <c r="M121" s="3">
        <v>4</v>
      </c>
      <c r="N121" s="10" t="s">
        <v>192</v>
      </c>
      <c r="O121" s="3">
        <v>1</v>
      </c>
      <c r="P121" s="3">
        <v>2</v>
      </c>
      <c r="Q121" s="10" t="s">
        <v>118</v>
      </c>
      <c r="R121" s="10" t="s">
        <v>193</v>
      </c>
      <c r="S121" s="10" t="s">
        <v>194</v>
      </c>
      <c r="T121" s="10" t="s">
        <v>195</v>
      </c>
      <c r="U121" s="10" t="s">
        <v>259</v>
      </c>
      <c r="V121" s="10" t="s">
        <v>186</v>
      </c>
      <c r="W121" s="7">
        <v>3</v>
      </c>
      <c r="X121" s="7">
        <v>3</v>
      </c>
      <c r="Y121" s="7">
        <v>17</v>
      </c>
      <c r="Z121" s="7">
        <v>4</v>
      </c>
      <c r="AA121" s="12" t="s">
        <v>74</v>
      </c>
      <c r="AB121" s="11">
        <v>2</v>
      </c>
      <c r="AC121" s="12" t="s">
        <v>285</v>
      </c>
      <c r="AD121">
        <v>30</v>
      </c>
      <c r="AE121" t="s">
        <v>73</v>
      </c>
      <c r="AF121" s="6" t="s">
        <v>1086</v>
      </c>
    </row>
    <row r="122" spans="1:36" ht="144" x14ac:dyDescent="0.3">
      <c r="A122" t="s">
        <v>1100</v>
      </c>
      <c r="B122" s="6">
        <v>2022</v>
      </c>
      <c r="C122" s="7">
        <v>14</v>
      </c>
      <c r="D122" s="6" t="s">
        <v>71</v>
      </c>
      <c r="E122" s="7">
        <v>1</v>
      </c>
      <c r="F122" s="14" t="s">
        <v>1099</v>
      </c>
      <c r="G122" t="s">
        <v>637</v>
      </c>
      <c r="H122" s="4" t="s">
        <v>1055</v>
      </c>
      <c r="I122" s="4" t="s">
        <v>1092</v>
      </c>
      <c r="J122" s="3">
        <v>3</v>
      </c>
      <c r="K122" s="6" t="s">
        <v>486</v>
      </c>
      <c r="L122" s="4" t="s">
        <v>1091</v>
      </c>
      <c r="M122" s="3">
        <v>4</v>
      </c>
      <c r="N122" s="10" t="s">
        <v>1093</v>
      </c>
      <c r="O122" s="3">
        <v>4</v>
      </c>
      <c r="P122" s="3">
        <v>5</v>
      </c>
      <c r="Q122" s="10" t="s">
        <v>1094</v>
      </c>
      <c r="R122" s="10" t="s">
        <v>1096</v>
      </c>
      <c r="S122" s="10" t="s">
        <v>1097</v>
      </c>
      <c r="T122" s="10" t="s">
        <v>1098</v>
      </c>
      <c r="U122" s="10" t="s">
        <v>158</v>
      </c>
      <c r="V122" t="s">
        <v>77</v>
      </c>
      <c r="W122" s="3">
        <v>1</v>
      </c>
      <c r="X122" s="3">
        <v>2</v>
      </c>
      <c r="Y122" s="3">
        <v>1</v>
      </c>
      <c r="Z122" s="3">
        <v>3</v>
      </c>
      <c r="AA122" s="12" t="s">
        <v>74</v>
      </c>
      <c r="AB122" s="11">
        <v>2</v>
      </c>
      <c r="AC122" s="10" t="s">
        <v>72</v>
      </c>
      <c r="AD122" t="s">
        <v>1095</v>
      </c>
      <c r="AE122" t="s">
        <v>73</v>
      </c>
      <c r="AF122" t="s">
        <v>1444</v>
      </c>
    </row>
    <row r="123" spans="1:36" ht="43.2" x14ac:dyDescent="0.3">
      <c r="A123" s="6" t="s">
        <v>1104</v>
      </c>
      <c r="B123" s="6">
        <v>2022</v>
      </c>
      <c r="C123" s="7">
        <v>14</v>
      </c>
      <c r="D123" s="6" t="s">
        <v>71</v>
      </c>
      <c r="E123" s="7">
        <v>1</v>
      </c>
      <c r="F123" s="14" t="s">
        <v>1103</v>
      </c>
      <c r="G123" t="s">
        <v>202</v>
      </c>
      <c r="H123" s="4" t="s">
        <v>1056</v>
      </c>
      <c r="I123" s="4" t="s">
        <v>1102</v>
      </c>
      <c r="J123" s="3">
        <v>3</v>
      </c>
      <c r="K123" s="6" t="s">
        <v>905</v>
      </c>
      <c r="L123" s="10" t="s">
        <v>1101</v>
      </c>
      <c r="M123" s="11">
        <v>4</v>
      </c>
      <c r="N123" s="10" t="s">
        <v>192</v>
      </c>
      <c r="O123" s="3">
        <v>1</v>
      </c>
      <c r="P123" s="3">
        <v>2</v>
      </c>
      <c r="Q123" s="10" t="s">
        <v>118</v>
      </c>
      <c r="R123" s="10" t="s">
        <v>193</v>
      </c>
      <c r="S123" s="10" t="s">
        <v>194</v>
      </c>
      <c r="T123" s="10" t="s">
        <v>195</v>
      </c>
      <c r="U123" s="10" t="s">
        <v>158</v>
      </c>
      <c r="V123" s="4" t="s">
        <v>77</v>
      </c>
      <c r="W123" s="3">
        <v>1</v>
      </c>
      <c r="X123" s="3">
        <v>3</v>
      </c>
      <c r="Y123" s="3">
        <v>1</v>
      </c>
      <c r="Z123" s="3">
        <v>5</v>
      </c>
      <c r="AA123" s="12" t="s">
        <v>74</v>
      </c>
      <c r="AB123" s="11">
        <v>2</v>
      </c>
      <c r="AC123" s="10" t="s">
        <v>72</v>
      </c>
      <c r="AD123">
        <v>30</v>
      </c>
      <c r="AE123" t="s">
        <v>73</v>
      </c>
    </row>
    <row r="124" spans="1:36" ht="43.2" x14ac:dyDescent="0.3">
      <c r="A124" s="6" t="s">
        <v>1108</v>
      </c>
      <c r="B124" s="6">
        <v>2022</v>
      </c>
      <c r="C124" s="7">
        <v>14</v>
      </c>
      <c r="D124" s="6" t="s">
        <v>71</v>
      </c>
      <c r="E124" s="7">
        <v>1</v>
      </c>
      <c r="F124" s="14" t="s">
        <v>1107</v>
      </c>
      <c r="G124" t="s">
        <v>227</v>
      </c>
      <c r="H124" s="4" t="s">
        <v>1057</v>
      </c>
      <c r="I124" s="4" t="s">
        <v>1105</v>
      </c>
      <c r="J124" s="3">
        <v>3</v>
      </c>
      <c r="K124" s="6" t="s">
        <v>789</v>
      </c>
      <c r="L124" s="4" t="s">
        <v>1106</v>
      </c>
      <c r="M124" s="3">
        <v>2</v>
      </c>
      <c r="N124" s="10" t="s">
        <v>192</v>
      </c>
      <c r="O124" s="3">
        <v>1</v>
      </c>
      <c r="P124" s="3">
        <v>2</v>
      </c>
      <c r="Q124" s="10" t="s">
        <v>118</v>
      </c>
      <c r="R124" s="10" t="s">
        <v>193</v>
      </c>
      <c r="S124" s="10" t="s">
        <v>194</v>
      </c>
      <c r="T124" s="10" t="s">
        <v>195</v>
      </c>
      <c r="U124" s="10" t="s">
        <v>259</v>
      </c>
      <c r="V124" s="10" t="s">
        <v>186</v>
      </c>
      <c r="W124" s="7">
        <v>3</v>
      </c>
      <c r="X124" s="7">
        <v>3</v>
      </c>
      <c r="Y124" s="7">
        <v>17</v>
      </c>
      <c r="Z124" s="7">
        <v>4</v>
      </c>
      <c r="AA124" s="12" t="s">
        <v>74</v>
      </c>
      <c r="AB124" s="11">
        <v>2</v>
      </c>
      <c r="AC124" s="12" t="s">
        <v>285</v>
      </c>
      <c r="AD124">
        <v>30</v>
      </c>
      <c r="AE124" t="s">
        <v>73</v>
      </c>
    </row>
    <row r="125" spans="1:36" ht="57.6" x14ac:dyDescent="0.3">
      <c r="A125" s="6" t="s">
        <v>1113</v>
      </c>
      <c r="B125" s="6">
        <v>2022</v>
      </c>
      <c r="C125" s="7">
        <v>14</v>
      </c>
      <c r="D125" s="6" t="s">
        <v>71</v>
      </c>
      <c r="E125" s="7">
        <v>1</v>
      </c>
      <c r="F125" s="14" t="s">
        <v>1112</v>
      </c>
      <c r="G125" t="s">
        <v>363</v>
      </c>
      <c r="H125" s="4" t="s">
        <v>1058</v>
      </c>
      <c r="I125" s="4" t="s">
        <v>1110</v>
      </c>
      <c r="J125" s="3">
        <v>1</v>
      </c>
      <c r="K125" s="6" t="s">
        <v>1111</v>
      </c>
      <c r="L125" s="4" t="s">
        <v>1109</v>
      </c>
      <c r="M125" s="3">
        <v>8</v>
      </c>
      <c r="N125" s="4" t="s">
        <v>265</v>
      </c>
      <c r="O125" s="3">
        <v>1</v>
      </c>
      <c r="P125" s="3">
        <v>2</v>
      </c>
      <c r="Q125" t="s">
        <v>118</v>
      </c>
      <c r="R125" s="10" t="s">
        <v>266</v>
      </c>
      <c r="S125" s="10" t="s">
        <v>267</v>
      </c>
      <c r="T125" s="10" t="s">
        <v>268</v>
      </c>
      <c r="U125" s="10" t="s">
        <v>259</v>
      </c>
      <c r="V125" s="10" t="s">
        <v>186</v>
      </c>
      <c r="W125" s="7">
        <v>3</v>
      </c>
      <c r="X125" s="7">
        <v>3</v>
      </c>
      <c r="Y125" s="7">
        <v>17</v>
      </c>
      <c r="Z125" s="7">
        <v>4</v>
      </c>
      <c r="AA125" s="12" t="s">
        <v>74</v>
      </c>
      <c r="AB125" s="11">
        <v>2</v>
      </c>
      <c r="AC125" s="12" t="s">
        <v>285</v>
      </c>
      <c r="AD125">
        <v>30</v>
      </c>
      <c r="AE125" t="s">
        <v>73</v>
      </c>
    </row>
    <row r="126" spans="1:36" ht="72" x14ac:dyDescent="0.3">
      <c r="A126" s="6" t="s">
        <v>1117</v>
      </c>
      <c r="B126" s="6">
        <v>2022</v>
      </c>
      <c r="C126" s="7">
        <v>14</v>
      </c>
      <c r="D126" s="6" t="s">
        <v>71</v>
      </c>
      <c r="E126" s="7">
        <v>1</v>
      </c>
      <c r="F126" s="14" t="s">
        <v>1116</v>
      </c>
      <c r="G126" t="s">
        <v>964</v>
      </c>
      <c r="H126" s="4" t="s">
        <v>1059</v>
      </c>
      <c r="I126" s="4" t="s">
        <v>1115</v>
      </c>
      <c r="J126" s="3">
        <v>3</v>
      </c>
      <c r="K126" s="6" t="s">
        <v>204</v>
      </c>
      <c r="L126" s="4" t="s">
        <v>1114</v>
      </c>
      <c r="M126" s="3">
        <v>15</v>
      </c>
      <c r="N126" s="10" t="s">
        <v>111</v>
      </c>
      <c r="O126" s="11">
        <v>1</v>
      </c>
      <c r="P126" s="11">
        <v>100</v>
      </c>
      <c r="Q126" s="10" t="s">
        <v>118</v>
      </c>
      <c r="R126" s="10" t="s">
        <v>119</v>
      </c>
      <c r="S126" s="12" t="s">
        <v>75</v>
      </c>
      <c r="T126" s="10" t="s">
        <v>120</v>
      </c>
      <c r="U126" s="10" t="s">
        <v>158</v>
      </c>
      <c r="V126" s="10" t="s">
        <v>78</v>
      </c>
      <c r="W126" s="11">
        <v>1</v>
      </c>
      <c r="X126" s="11">
        <v>3</v>
      </c>
      <c r="Y126" s="11">
        <v>2</v>
      </c>
      <c r="Z126" s="11">
        <v>5</v>
      </c>
      <c r="AA126" s="12" t="s">
        <v>74</v>
      </c>
      <c r="AB126" s="7">
        <v>2</v>
      </c>
      <c r="AC126" s="12" t="s">
        <v>75</v>
      </c>
      <c r="AD126">
        <v>8.25</v>
      </c>
      <c r="AE126" s="12" t="s">
        <v>75</v>
      </c>
      <c r="AF126" s="6" t="s">
        <v>1032</v>
      </c>
    </row>
    <row r="127" spans="1:36" ht="216" x14ac:dyDescent="0.3">
      <c r="A127" s="6" t="s">
        <v>1127</v>
      </c>
      <c r="B127" s="6">
        <v>2021</v>
      </c>
      <c r="C127" s="7">
        <v>13</v>
      </c>
      <c r="D127" s="6" t="s">
        <v>71</v>
      </c>
      <c r="E127" s="7">
        <v>1</v>
      </c>
      <c r="F127" s="14" t="s">
        <v>1126</v>
      </c>
      <c r="G127" t="s">
        <v>1125</v>
      </c>
      <c r="H127" s="4" t="s">
        <v>1060</v>
      </c>
      <c r="I127" s="6" t="s">
        <v>48</v>
      </c>
      <c r="J127" s="3">
        <v>8</v>
      </c>
      <c r="L127" s="4" t="s">
        <v>1118</v>
      </c>
      <c r="M127" s="3">
        <v>15</v>
      </c>
      <c r="N127" s="4" t="s">
        <v>1120</v>
      </c>
      <c r="O127" s="3">
        <v>5</v>
      </c>
      <c r="P127" s="3">
        <v>3</v>
      </c>
      <c r="Q127" s="4" t="s">
        <v>1119</v>
      </c>
      <c r="R127" s="10" t="s">
        <v>1121</v>
      </c>
      <c r="S127" s="10" t="s">
        <v>1122</v>
      </c>
      <c r="T127" s="10" t="s">
        <v>1123</v>
      </c>
      <c r="U127" s="10" t="s">
        <v>158</v>
      </c>
      <c r="V127" s="10" t="s">
        <v>77</v>
      </c>
      <c r="W127" s="3">
        <v>1</v>
      </c>
      <c r="X127" s="3">
        <v>3</v>
      </c>
      <c r="Y127" s="3">
        <v>1</v>
      </c>
      <c r="Z127" s="3">
        <v>5</v>
      </c>
      <c r="AA127" s="12" t="s">
        <v>74</v>
      </c>
      <c r="AB127" s="7">
        <v>2</v>
      </c>
      <c r="AC127" s="10" t="s">
        <v>72</v>
      </c>
      <c r="AD127" t="s">
        <v>1124</v>
      </c>
      <c r="AE127" t="s">
        <v>73</v>
      </c>
    </row>
    <row r="128" spans="1:36" ht="72" x14ac:dyDescent="0.3">
      <c r="A128" s="6" t="s">
        <v>1131</v>
      </c>
      <c r="B128" s="6">
        <v>2021</v>
      </c>
      <c r="C128" s="7">
        <v>13</v>
      </c>
      <c r="D128" s="6" t="s">
        <v>71</v>
      </c>
      <c r="E128" s="7">
        <v>1</v>
      </c>
      <c r="F128" s="14" t="s">
        <v>1130</v>
      </c>
      <c r="G128" t="s">
        <v>1129</v>
      </c>
      <c r="H128" s="4" t="s">
        <v>1061</v>
      </c>
      <c r="I128" s="6" t="s">
        <v>48</v>
      </c>
      <c r="J128" s="3">
        <v>8</v>
      </c>
      <c r="L128" s="4" t="s">
        <v>1128</v>
      </c>
      <c r="M128" s="3">
        <v>2</v>
      </c>
      <c r="N128" s="4" t="s">
        <v>415</v>
      </c>
      <c r="O128" s="3">
        <v>1</v>
      </c>
      <c r="P128" s="3">
        <v>1</v>
      </c>
      <c r="Q128" t="s">
        <v>416</v>
      </c>
      <c r="R128" s="10" t="s">
        <v>193</v>
      </c>
      <c r="S128" s="4" t="s">
        <v>770</v>
      </c>
      <c r="T128" t="s">
        <v>417</v>
      </c>
      <c r="U128" s="10" t="s">
        <v>158</v>
      </c>
      <c r="V128" s="10" t="s">
        <v>39157</v>
      </c>
      <c r="W128" s="11">
        <v>2</v>
      </c>
      <c r="X128" s="11">
        <v>2</v>
      </c>
      <c r="Y128" s="11">
        <v>16</v>
      </c>
      <c r="Z128" s="11">
        <v>3</v>
      </c>
      <c r="AA128" s="12" t="s">
        <v>74</v>
      </c>
      <c r="AB128" s="7">
        <v>2</v>
      </c>
      <c r="AC128" s="10" t="s">
        <v>72</v>
      </c>
      <c r="AD128">
        <v>1000</v>
      </c>
      <c r="AE128" t="s">
        <v>73</v>
      </c>
    </row>
    <row r="129" spans="1:32" ht="273.60000000000002" x14ac:dyDescent="0.3">
      <c r="A129" s="6" t="s">
        <v>1172</v>
      </c>
      <c r="B129" s="6">
        <v>2021</v>
      </c>
      <c r="C129" s="7">
        <v>13</v>
      </c>
      <c r="D129" s="6" t="s">
        <v>71</v>
      </c>
      <c r="E129" s="7">
        <v>1</v>
      </c>
      <c r="F129" s="14" t="s">
        <v>1171</v>
      </c>
      <c r="G129" t="s">
        <v>398</v>
      </c>
      <c r="H129" s="4" t="s">
        <v>1132</v>
      </c>
      <c r="I129" s="4" t="s">
        <v>390</v>
      </c>
      <c r="J129" s="3">
        <v>3</v>
      </c>
      <c r="K129" s="6" t="s">
        <v>1170</v>
      </c>
      <c r="L129" s="4" t="s">
        <v>1161</v>
      </c>
      <c r="M129" s="3">
        <v>5</v>
      </c>
      <c r="N129" s="4" t="s">
        <v>1166</v>
      </c>
      <c r="O129" s="3">
        <v>6</v>
      </c>
      <c r="P129" s="3">
        <v>3</v>
      </c>
      <c r="Q129" s="4" t="s">
        <v>1162</v>
      </c>
      <c r="R129" s="10" t="s">
        <v>1163</v>
      </c>
      <c r="S129" s="4" t="s">
        <v>1164</v>
      </c>
      <c r="T129" s="4" t="s">
        <v>1165</v>
      </c>
      <c r="U129" s="10" t="s">
        <v>158</v>
      </c>
      <c r="V129" s="10" t="s">
        <v>77</v>
      </c>
      <c r="W129" s="3">
        <v>1</v>
      </c>
      <c r="X129" s="3">
        <v>3</v>
      </c>
      <c r="Y129" s="3">
        <v>1</v>
      </c>
      <c r="Z129" s="3">
        <v>5</v>
      </c>
      <c r="AA129" s="10" t="s">
        <v>1167</v>
      </c>
      <c r="AB129" s="3">
        <v>1</v>
      </c>
      <c r="AC129" s="10" t="s">
        <v>72</v>
      </c>
      <c r="AD129" s="4" t="s">
        <v>1168</v>
      </c>
      <c r="AE129" t="s">
        <v>73</v>
      </c>
      <c r="AF129" t="s">
        <v>1169</v>
      </c>
    </row>
    <row r="130" spans="1:32" ht="86.4" x14ac:dyDescent="0.3">
      <c r="A130" s="6" t="s">
        <v>1216</v>
      </c>
      <c r="B130" s="6">
        <v>2021</v>
      </c>
      <c r="C130" s="7">
        <v>13</v>
      </c>
      <c r="D130" s="6" t="s">
        <v>71</v>
      </c>
      <c r="E130" s="7">
        <v>1</v>
      </c>
      <c r="F130" s="14" t="s">
        <v>1215</v>
      </c>
      <c r="G130" t="s">
        <v>217</v>
      </c>
      <c r="H130" s="4" t="s">
        <v>1133</v>
      </c>
      <c r="I130" s="4" t="s">
        <v>1205</v>
      </c>
      <c r="J130" s="3">
        <v>3</v>
      </c>
      <c r="K130" s="6" t="s">
        <v>1207</v>
      </c>
      <c r="L130" s="4" t="s">
        <v>1206</v>
      </c>
      <c r="M130" s="3">
        <v>8</v>
      </c>
      <c r="N130" s="4" t="s">
        <v>1208</v>
      </c>
      <c r="O130" s="3">
        <v>1</v>
      </c>
      <c r="P130" s="3">
        <v>2</v>
      </c>
      <c r="Q130" t="s">
        <v>1209</v>
      </c>
      <c r="R130" s="10" t="s">
        <v>1210</v>
      </c>
      <c r="S130" s="10" t="s">
        <v>1211</v>
      </c>
      <c r="T130" s="10" t="s">
        <v>1212</v>
      </c>
      <c r="U130" s="10" t="s">
        <v>1213</v>
      </c>
      <c r="V130" s="10" t="s">
        <v>1214</v>
      </c>
      <c r="W130" s="3">
        <v>3</v>
      </c>
      <c r="X130" s="3">
        <v>3</v>
      </c>
      <c r="Y130" s="3">
        <v>17</v>
      </c>
      <c r="Z130" s="3">
        <v>4</v>
      </c>
      <c r="AA130" s="12" t="s">
        <v>74</v>
      </c>
      <c r="AB130" s="11">
        <v>2</v>
      </c>
      <c r="AC130" s="10" t="s">
        <v>293</v>
      </c>
      <c r="AD130">
        <v>90</v>
      </c>
      <c r="AE130" s="12" t="s">
        <v>75</v>
      </c>
    </row>
    <row r="131" spans="1:32" ht="86.4" x14ac:dyDescent="0.3">
      <c r="A131" s="6" t="s">
        <v>1160</v>
      </c>
      <c r="B131" s="6">
        <v>2021</v>
      </c>
      <c r="C131" s="7">
        <v>13</v>
      </c>
      <c r="D131" s="6" t="s">
        <v>71</v>
      </c>
      <c r="E131" s="7">
        <v>1</v>
      </c>
      <c r="F131" s="14" t="s">
        <v>1159</v>
      </c>
      <c r="G131" t="s">
        <v>799</v>
      </c>
      <c r="H131" s="4" t="s">
        <v>1134</v>
      </c>
      <c r="I131" s="4" t="s">
        <v>1157</v>
      </c>
      <c r="J131" s="3">
        <v>3</v>
      </c>
      <c r="K131" t="s">
        <v>180</v>
      </c>
      <c r="L131" s="4" t="s">
        <v>1158</v>
      </c>
      <c r="M131" s="3">
        <v>2</v>
      </c>
      <c r="N131" s="12" t="s">
        <v>75</v>
      </c>
      <c r="O131" s="11">
        <v>100</v>
      </c>
      <c r="P131" s="11">
        <v>100</v>
      </c>
      <c r="Q131" s="12" t="s">
        <v>75</v>
      </c>
      <c r="R131" s="12" t="s">
        <v>75</v>
      </c>
      <c r="S131" s="12" t="s">
        <v>75</v>
      </c>
      <c r="T131" s="12" t="s">
        <v>75</v>
      </c>
      <c r="U131" s="12" t="s">
        <v>75</v>
      </c>
      <c r="V131" s="12" t="s">
        <v>75</v>
      </c>
      <c r="W131" s="7">
        <v>3</v>
      </c>
      <c r="X131" s="7">
        <v>3</v>
      </c>
      <c r="Y131" s="7">
        <v>17</v>
      </c>
      <c r="Z131" s="7">
        <v>4</v>
      </c>
      <c r="AA131" s="12" t="s">
        <v>74</v>
      </c>
      <c r="AB131" s="11">
        <v>2</v>
      </c>
      <c r="AC131" s="12" t="s">
        <v>75</v>
      </c>
      <c r="AD131" s="10">
        <v>30</v>
      </c>
      <c r="AE131" s="12" t="s">
        <v>75</v>
      </c>
      <c r="AF131" s="6" t="s">
        <v>1081</v>
      </c>
    </row>
    <row r="132" spans="1:32" ht="86.4" x14ac:dyDescent="0.3">
      <c r="A132" s="6" t="s">
        <v>1228</v>
      </c>
      <c r="B132" s="6">
        <v>2021</v>
      </c>
      <c r="C132" s="7">
        <v>13</v>
      </c>
      <c r="D132" s="6" t="s">
        <v>71</v>
      </c>
      <c r="E132" s="7">
        <v>1</v>
      </c>
      <c r="F132" s="14" t="s">
        <v>1227</v>
      </c>
      <c r="G132" t="s">
        <v>637</v>
      </c>
      <c r="H132" s="4" t="s">
        <v>1135</v>
      </c>
      <c r="I132" s="4" t="s">
        <v>1226</v>
      </c>
      <c r="J132" s="3">
        <v>3</v>
      </c>
      <c r="L132" s="4" t="s">
        <v>1217</v>
      </c>
      <c r="M132" s="3">
        <v>1</v>
      </c>
      <c r="N132" s="4" t="s">
        <v>1218</v>
      </c>
      <c r="O132" s="3">
        <v>2</v>
      </c>
      <c r="P132" s="3">
        <v>5</v>
      </c>
      <c r="Q132" t="s">
        <v>851</v>
      </c>
      <c r="R132" s="10" t="s">
        <v>1219</v>
      </c>
      <c r="S132" s="10" t="s">
        <v>1220</v>
      </c>
      <c r="T132" s="10" t="s">
        <v>1221</v>
      </c>
      <c r="U132" s="10" t="s">
        <v>1222</v>
      </c>
      <c r="V132" s="12" t="s">
        <v>1223</v>
      </c>
      <c r="W132" s="3">
        <v>3</v>
      </c>
      <c r="X132" s="3">
        <v>3</v>
      </c>
      <c r="Y132" s="3">
        <v>17</v>
      </c>
      <c r="Z132" s="3">
        <v>4</v>
      </c>
      <c r="AA132" s="12" t="s">
        <v>74</v>
      </c>
      <c r="AB132" s="11">
        <v>2</v>
      </c>
      <c r="AC132" s="12" t="s">
        <v>75</v>
      </c>
      <c r="AD132" t="s">
        <v>1224</v>
      </c>
      <c r="AE132" t="s">
        <v>1225</v>
      </c>
      <c r="AF132" t="s">
        <v>39136</v>
      </c>
    </row>
    <row r="133" spans="1:32" ht="43.2" x14ac:dyDescent="0.3">
      <c r="A133" t="s">
        <v>1177</v>
      </c>
      <c r="B133" s="6">
        <v>2021</v>
      </c>
      <c r="C133" s="7">
        <v>13</v>
      </c>
      <c r="D133" s="6" t="s">
        <v>71</v>
      </c>
      <c r="E133" s="7">
        <v>1</v>
      </c>
      <c r="F133" s="14" t="s">
        <v>1176</v>
      </c>
      <c r="G133" t="s">
        <v>1175</v>
      </c>
      <c r="H133" s="4" t="s">
        <v>1136</v>
      </c>
      <c r="I133" s="4" t="s">
        <v>1174</v>
      </c>
      <c r="J133" s="3">
        <v>3</v>
      </c>
      <c r="K133" t="s">
        <v>789</v>
      </c>
      <c r="L133" s="4" t="s">
        <v>1173</v>
      </c>
      <c r="M133" s="3">
        <v>5</v>
      </c>
      <c r="N133" s="4" t="s">
        <v>192</v>
      </c>
      <c r="O133" s="3">
        <v>1</v>
      </c>
      <c r="P133" s="3">
        <v>2</v>
      </c>
      <c r="Q133" s="10" t="s">
        <v>118</v>
      </c>
      <c r="R133" s="10" t="s">
        <v>193</v>
      </c>
      <c r="S133" s="10" t="s">
        <v>194</v>
      </c>
      <c r="T133" s="10" t="s">
        <v>195</v>
      </c>
      <c r="U133" s="10" t="s">
        <v>158</v>
      </c>
      <c r="V133" s="4" t="s">
        <v>77</v>
      </c>
      <c r="W133" s="3">
        <v>1</v>
      </c>
      <c r="X133" s="3">
        <v>3</v>
      </c>
      <c r="Y133" s="3">
        <v>1</v>
      </c>
      <c r="Z133" s="3">
        <v>5</v>
      </c>
      <c r="AA133" s="12" t="s">
        <v>74</v>
      </c>
      <c r="AB133" s="11">
        <v>2</v>
      </c>
      <c r="AC133" s="10" t="s">
        <v>72</v>
      </c>
      <c r="AD133">
        <v>30</v>
      </c>
      <c r="AE133" t="s">
        <v>73</v>
      </c>
    </row>
    <row r="134" spans="1:32" ht="57.6" x14ac:dyDescent="0.3">
      <c r="A134" t="s">
        <v>1194</v>
      </c>
      <c r="B134" s="6">
        <v>2021</v>
      </c>
      <c r="C134" s="7">
        <v>13</v>
      </c>
      <c r="D134" s="6" t="s">
        <v>71</v>
      </c>
      <c r="E134" s="7">
        <v>1</v>
      </c>
      <c r="F134" s="14" t="s">
        <v>1193</v>
      </c>
      <c r="G134" t="s">
        <v>329</v>
      </c>
      <c r="H134" s="4" t="s">
        <v>1137</v>
      </c>
      <c r="I134" s="10" t="s">
        <v>79</v>
      </c>
      <c r="J134" s="11">
        <v>3</v>
      </c>
      <c r="K134" s="6" t="s">
        <v>1021</v>
      </c>
      <c r="L134" s="4" t="s">
        <v>1191</v>
      </c>
      <c r="M134" s="3">
        <v>2</v>
      </c>
      <c r="N134" t="s">
        <v>192</v>
      </c>
      <c r="O134" s="3">
        <v>1</v>
      </c>
      <c r="P134" s="3">
        <v>2</v>
      </c>
      <c r="Q134" t="s">
        <v>118</v>
      </c>
      <c r="R134" s="10" t="s">
        <v>193</v>
      </c>
      <c r="S134" s="10" t="s">
        <v>194</v>
      </c>
      <c r="T134" s="10" t="s">
        <v>195</v>
      </c>
      <c r="U134" s="10" t="s">
        <v>259</v>
      </c>
      <c r="V134" s="10" t="s">
        <v>186</v>
      </c>
      <c r="W134" s="7">
        <v>3</v>
      </c>
      <c r="X134" s="7">
        <v>3</v>
      </c>
      <c r="Y134" s="7">
        <v>17</v>
      </c>
      <c r="Z134" s="7">
        <v>4</v>
      </c>
      <c r="AA134" s="12" t="s">
        <v>74</v>
      </c>
      <c r="AB134" s="11">
        <v>2</v>
      </c>
      <c r="AC134" s="12" t="s">
        <v>285</v>
      </c>
      <c r="AD134">
        <v>50</v>
      </c>
      <c r="AE134" t="s">
        <v>73</v>
      </c>
      <c r="AF134" t="s">
        <v>1192</v>
      </c>
    </row>
    <row r="135" spans="1:32" ht="57.6" x14ac:dyDescent="0.3">
      <c r="A135" s="6" t="s">
        <v>1240</v>
      </c>
      <c r="B135" s="6">
        <v>2021</v>
      </c>
      <c r="C135" s="7">
        <v>13</v>
      </c>
      <c r="D135" s="6" t="s">
        <v>71</v>
      </c>
      <c r="E135" s="7">
        <v>1</v>
      </c>
      <c r="F135" s="14" t="s">
        <v>1239</v>
      </c>
      <c r="G135" t="s">
        <v>704</v>
      </c>
      <c r="H135" s="4" t="s">
        <v>1139</v>
      </c>
      <c r="I135" s="10" t="s">
        <v>1301</v>
      </c>
      <c r="J135" s="11">
        <v>3</v>
      </c>
      <c r="K135" s="6" t="s">
        <v>1140</v>
      </c>
      <c r="L135" s="10" t="s">
        <v>1141</v>
      </c>
      <c r="M135" s="3">
        <v>15</v>
      </c>
      <c r="N135" s="10" t="s">
        <v>1138</v>
      </c>
      <c r="O135" s="7">
        <v>1</v>
      </c>
      <c r="P135" s="7">
        <v>2</v>
      </c>
      <c r="Q135" s="6" t="s">
        <v>118</v>
      </c>
      <c r="R135" s="10" t="s">
        <v>1234</v>
      </c>
      <c r="S135" s="10" t="s">
        <v>1235</v>
      </c>
      <c r="T135" s="10" t="s">
        <v>1236</v>
      </c>
      <c r="U135" s="12" t="s">
        <v>347</v>
      </c>
      <c r="V135" s="10" t="s">
        <v>1237</v>
      </c>
      <c r="W135" s="7">
        <v>3</v>
      </c>
      <c r="X135" s="7">
        <v>3</v>
      </c>
      <c r="Y135" s="7">
        <v>17</v>
      </c>
      <c r="Z135" s="7">
        <v>4</v>
      </c>
      <c r="AA135" s="13" t="s">
        <v>74</v>
      </c>
      <c r="AB135" s="7">
        <v>2</v>
      </c>
      <c r="AC135" s="12" t="s">
        <v>75</v>
      </c>
      <c r="AD135" s="6">
        <v>30</v>
      </c>
      <c r="AE135" s="6" t="s">
        <v>73</v>
      </c>
      <c r="AF135" s="6" t="s">
        <v>1238</v>
      </c>
    </row>
    <row r="136" spans="1:32" ht="72" x14ac:dyDescent="0.3">
      <c r="A136" t="s">
        <v>1199</v>
      </c>
      <c r="B136" s="6">
        <v>2021</v>
      </c>
      <c r="C136" s="7">
        <v>13</v>
      </c>
      <c r="D136" s="6" t="s">
        <v>71</v>
      </c>
      <c r="E136" s="7">
        <v>1</v>
      </c>
      <c r="F136" s="14" t="s">
        <v>1198</v>
      </c>
      <c r="G136" t="s">
        <v>1197</v>
      </c>
      <c r="H136" s="4" t="s">
        <v>1142</v>
      </c>
      <c r="I136" s="4" t="s">
        <v>1195</v>
      </c>
      <c r="J136" s="3">
        <v>1</v>
      </c>
      <c r="K136" t="s">
        <v>573</v>
      </c>
      <c r="L136" s="4" t="s">
        <v>1196</v>
      </c>
      <c r="M136" s="3">
        <v>4</v>
      </c>
      <c r="N136" t="s">
        <v>517</v>
      </c>
      <c r="O136" s="7">
        <v>1</v>
      </c>
      <c r="P136" s="3">
        <v>2</v>
      </c>
      <c r="Q136" s="6" t="s">
        <v>118</v>
      </c>
      <c r="R136" s="10" t="s">
        <v>344</v>
      </c>
      <c r="S136" s="10" t="s">
        <v>345</v>
      </c>
      <c r="T136" s="10" t="s">
        <v>346</v>
      </c>
      <c r="U136" s="10" t="s">
        <v>158</v>
      </c>
      <c r="V136" s="4" t="s">
        <v>77</v>
      </c>
      <c r="W136" s="3">
        <v>1</v>
      </c>
      <c r="X136" s="3">
        <v>3</v>
      </c>
      <c r="Y136" s="3">
        <v>1</v>
      </c>
      <c r="Z136" s="3">
        <v>5</v>
      </c>
      <c r="AA136" s="12" t="s">
        <v>74</v>
      </c>
      <c r="AB136" s="11">
        <v>2</v>
      </c>
      <c r="AC136" t="s">
        <v>855</v>
      </c>
      <c r="AD136">
        <v>12.5</v>
      </c>
      <c r="AE136" t="s">
        <v>732</v>
      </c>
      <c r="AF136" s="6" t="s">
        <v>1001</v>
      </c>
    </row>
    <row r="137" spans="1:32" ht="100.8" x14ac:dyDescent="0.3">
      <c r="A137" t="s">
        <v>1247</v>
      </c>
      <c r="B137" s="6">
        <v>2021</v>
      </c>
      <c r="C137" s="7">
        <v>13</v>
      </c>
      <c r="D137" s="6" t="s">
        <v>71</v>
      </c>
      <c r="E137" s="7">
        <v>1</v>
      </c>
      <c r="F137" s="14" t="s">
        <v>1246</v>
      </c>
      <c r="G137" t="s">
        <v>1245</v>
      </c>
      <c r="H137" s="4" t="s">
        <v>1143</v>
      </c>
      <c r="I137" s="10" t="s">
        <v>1144</v>
      </c>
      <c r="J137" s="7">
        <v>8</v>
      </c>
      <c r="K137" s="6"/>
      <c r="L137" s="10" t="s">
        <v>1145</v>
      </c>
      <c r="M137" s="11">
        <v>1</v>
      </c>
      <c r="N137" s="10" t="s">
        <v>1146</v>
      </c>
      <c r="O137" s="11">
        <v>2</v>
      </c>
      <c r="P137" s="11">
        <v>3</v>
      </c>
      <c r="Q137" s="10" t="s">
        <v>1147</v>
      </c>
      <c r="R137" s="10" t="s">
        <v>1241</v>
      </c>
      <c r="S137" s="10" t="s">
        <v>194</v>
      </c>
      <c r="T137" s="10" t="s">
        <v>1242</v>
      </c>
      <c r="U137" s="10" t="s">
        <v>158</v>
      </c>
      <c r="V137" s="4" t="s">
        <v>77</v>
      </c>
      <c r="W137" s="3">
        <v>1</v>
      </c>
      <c r="X137" s="3">
        <v>3</v>
      </c>
      <c r="Y137" s="3">
        <v>1</v>
      </c>
      <c r="Z137" s="3">
        <v>5</v>
      </c>
      <c r="AA137" s="13" t="s">
        <v>74</v>
      </c>
      <c r="AB137" s="7">
        <v>2</v>
      </c>
      <c r="AC137" s="12" t="s">
        <v>75</v>
      </c>
      <c r="AD137" s="12" t="s">
        <v>1244</v>
      </c>
      <c r="AE137" s="10" t="s">
        <v>1243</v>
      </c>
      <c r="AF137" s="6"/>
    </row>
    <row r="138" spans="1:32" ht="72" x14ac:dyDescent="0.3">
      <c r="A138" t="s">
        <v>1204</v>
      </c>
      <c r="B138" s="6">
        <v>2021</v>
      </c>
      <c r="C138" s="7">
        <v>13</v>
      </c>
      <c r="D138" s="6" t="s">
        <v>71</v>
      </c>
      <c r="E138" s="7">
        <v>1</v>
      </c>
      <c r="F138" s="14" t="s">
        <v>1203</v>
      </c>
      <c r="G138" t="s">
        <v>704</v>
      </c>
      <c r="H138" s="4" t="s">
        <v>1148</v>
      </c>
      <c r="I138" s="10" t="s">
        <v>1201</v>
      </c>
      <c r="J138" s="3">
        <v>3</v>
      </c>
      <c r="K138" s="6" t="s">
        <v>180</v>
      </c>
      <c r="L138" s="4" t="s">
        <v>1200</v>
      </c>
      <c r="M138" s="3">
        <v>12</v>
      </c>
      <c r="N138" s="12" t="s">
        <v>75</v>
      </c>
      <c r="O138" s="7">
        <v>100</v>
      </c>
      <c r="P138" s="7">
        <v>100</v>
      </c>
      <c r="Q138" s="12" t="s">
        <v>75</v>
      </c>
      <c r="R138" s="12" t="s">
        <v>75</v>
      </c>
      <c r="S138" s="12" t="s">
        <v>75</v>
      </c>
      <c r="T138" s="12" t="s">
        <v>75</v>
      </c>
      <c r="U138" s="12" t="s">
        <v>75</v>
      </c>
      <c r="V138" s="12" t="s">
        <v>75</v>
      </c>
      <c r="W138" s="7">
        <v>3</v>
      </c>
      <c r="X138" s="7">
        <v>3</v>
      </c>
      <c r="Y138" s="7">
        <v>17</v>
      </c>
      <c r="Z138" s="7">
        <v>4</v>
      </c>
      <c r="AA138" s="12" t="s">
        <v>74</v>
      </c>
      <c r="AB138" s="7">
        <v>2</v>
      </c>
      <c r="AC138" s="12" t="s">
        <v>75</v>
      </c>
      <c r="AD138" s="12" t="s">
        <v>75</v>
      </c>
      <c r="AE138" s="12" t="s">
        <v>75</v>
      </c>
      <c r="AF138" s="6" t="s">
        <v>1202</v>
      </c>
    </row>
    <row r="139" spans="1:32" ht="129.6" x14ac:dyDescent="0.3">
      <c r="A139" t="s">
        <v>1190</v>
      </c>
      <c r="B139" s="6">
        <v>2021</v>
      </c>
      <c r="C139" s="7">
        <v>13</v>
      </c>
      <c r="D139" s="6" t="s">
        <v>71</v>
      </c>
      <c r="E139" s="7">
        <v>1</v>
      </c>
      <c r="F139" s="14" t="s">
        <v>1189</v>
      </c>
      <c r="G139" t="s">
        <v>622</v>
      </c>
      <c r="H139" s="4" t="s">
        <v>1149</v>
      </c>
      <c r="I139" s="4" t="s">
        <v>1185</v>
      </c>
      <c r="J139" s="3">
        <v>3</v>
      </c>
      <c r="K139" t="s">
        <v>1188</v>
      </c>
      <c r="L139" s="4" t="s">
        <v>1186</v>
      </c>
      <c r="M139" s="3">
        <v>4</v>
      </c>
      <c r="N139" t="s">
        <v>192</v>
      </c>
      <c r="O139" s="3">
        <v>1</v>
      </c>
      <c r="P139" s="3">
        <v>2</v>
      </c>
      <c r="Q139" s="10" t="s">
        <v>118</v>
      </c>
      <c r="R139" s="10" t="s">
        <v>193</v>
      </c>
      <c r="S139" s="10" t="s">
        <v>194</v>
      </c>
      <c r="T139" s="10" t="s">
        <v>195</v>
      </c>
      <c r="U139" s="10" t="s">
        <v>259</v>
      </c>
      <c r="V139" s="10" t="s">
        <v>186</v>
      </c>
      <c r="W139" s="7">
        <v>3</v>
      </c>
      <c r="X139" s="7">
        <v>3</v>
      </c>
      <c r="Y139" s="7">
        <v>17</v>
      </c>
      <c r="Z139" s="7">
        <v>4</v>
      </c>
      <c r="AA139" s="12" t="s">
        <v>74</v>
      </c>
      <c r="AB139" s="11">
        <v>2</v>
      </c>
      <c r="AC139" s="12" t="s">
        <v>285</v>
      </c>
      <c r="AD139">
        <v>30</v>
      </c>
      <c r="AE139" t="s">
        <v>73</v>
      </c>
      <c r="AF139" t="s">
        <v>1187</v>
      </c>
    </row>
    <row r="140" spans="1:32" ht="57.6" x14ac:dyDescent="0.3">
      <c r="A140" t="s">
        <v>1184</v>
      </c>
      <c r="B140" s="6">
        <v>2021</v>
      </c>
      <c r="C140" s="7">
        <v>13</v>
      </c>
      <c r="D140" s="6" t="s">
        <v>71</v>
      </c>
      <c r="E140" s="7">
        <v>1</v>
      </c>
      <c r="F140" s="14" t="s">
        <v>1183</v>
      </c>
      <c r="G140" t="s">
        <v>318</v>
      </c>
      <c r="H140" s="4" t="s">
        <v>1150</v>
      </c>
      <c r="I140" t="s">
        <v>2033</v>
      </c>
      <c r="J140" s="3">
        <v>5</v>
      </c>
      <c r="K140" t="s">
        <v>597</v>
      </c>
      <c r="L140" s="4" t="s">
        <v>1178</v>
      </c>
      <c r="M140" s="3">
        <v>15</v>
      </c>
      <c r="N140" s="4" t="s">
        <v>1180</v>
      </c>
      <c r="O140" s="3">
        <v>1</v>
      </c>
      <c r="P140" s="3">
        <v>1</v>
      </c>
      <c r="Q140" t="s">
        <v>118</v>
      </c>
      <c r="R140" t="s">
        <v>1179</v>
      </c>
      <c r="S140" s="4" t="s">
        <v>1181</v>
      </c>
      <c r="T140" s="4" t="s">
        <v>1182</v>
      </c>
      <c r="U140" s="12" t="s">
        <v>75</v>
      </c>
      <c r="V140" s="12" t="s">
        <v>75</v>
      </c>
      <c r="W140" s="7">
        <v>3</v>
      </c>
      <c r="X140" s="7">
        <v>3</v>
      </c>
      <c r="Y140" s="7">
        <v>17</v>
      </c>
      <c r="Z140" s="7">
        <v>4</v>
      </c>
      <c r="AA140" s="12" t="s">
        <v>74</v>
      </c>
      <c r="AB140" s="11">
        <v>2</v>
      </c>
      <c r="AC140" s="12" t="s">
        <v>75</v>
      </c>
      <c r="AD140" s="10">
        <v>25</v>
      </c>
      <c r="AE140" s="10" t="s">
        <v>73</v>
      </c>
      <c r="AF140" s="6" t="s">
        <v>1008</v>
      </c>
    </row>
    <row r="141" spans="1:32" ht="100.8" x14ac:dyDescent="0.3">
      <c r="A141" t="s">
        <v>1250</v>
      </c>
      <c r="B141" s="6">
        <v>2021</v>
      </c>
      <c r="C141" s="7">
        <v>13</v>
      </c>
      <c r="D141" s="6" t="s">
        <v>71</v>
      </c>
      <c r="E141" s="7">
        <v>1</v>
      </c>
      <c r="F141" s="14" t="s">
        <v>1249</v>
      </c>
      <c r="G141" t="s">
        <v>1248</v>
      </c>
      <c r="H141" s="4" t="s">
        <v>1155</v>
      </c>
      <c r="I141" s="10" t="s">
        <v>1151</v>
      </c>
      <c r="J141" s="11">
        <v>1</v>
      </c>
      <c r="K141" s="6" t="s">
        <v>615</v>
      </c>
      <c r="L141" s="10" t="s">
        <v>1152</v>
      </c>
      <c r="M141" s="11">
        <v>4</v>
      </c>
      <c r="N141" s="10" t="s">
        <v>192</v>
      </c>
      <c r="O141" s="11">
        <v>1</v>
      </c>
      <c r="P141" s="11">
        <v>2</v>
      </c>
      <c r="Q141" s="10" t="s">
        <v>118</v>
      </c>
      <c r="R141" s="6" t="s">
        <v>193</v>
      </c>
      <c r="S141" s="6" t="s">
        <v>194</v>
      </c>
      <c r="T141" s="10" t="s">
        <v>195</v>
      </c>
      <c r="U141" s="12" t="s">
        <v>116</v>
      </c>
      <c r="V141" s="12" t="s">
        <v>506</v>
      </c>
      <c r="W141" s="7">
        <v>3</v>
      </c>
      <c r="X141" s="7">
        <v>3</v>
      </c>
      <c r="Y141" s="7">
        <v>17</v>
      </c>
      <c r="Z141" s="7">
        <v>4</v>
      </c>
      <c r="AA141" s="12" t="s">
        <v>74</v>
      </c>
      <c r="AB141" s="11">
        <v>2</v>
      </c>
      <c r="AC141" s="10" t="s">
        <v>1153</v>
      </c>
      <c r="AD141" s="6" t="s">
        <v>1154</v>
      </c>
      <c r="AE141" s="10" t="s">
        <v>73</v>
      </c>
    </row>
    <row r="142" spans="1:32" ht="72" x14ac:dyDescent="0.3">
      <c r="A142" t="s">
        <v>1233</v>
      </c>
      <c r="B142" s="6">
        <v>2021</v>
      </c>
      <c r="C142" s="7">
        <v>13</v>
      </c>
      <c r="D142" s="6" t="s">
        <v>71</v>
      </c>
      <c r="E142" s="7">
        <v>1</v>
      </c>
      <c r="F142" s="14" t="s">
        <v>1232</v>
      </c>
      <c r="G142" t="s">
        <v>1231</v>
      </c>
      <c r="H142" s="4" t="s">
        <v>1156</v>
      </c>
      <c r="I142" s="4" t="s">
        <v>1229</v>
      </c>
      <c r="J142" s="3">
        <v>3</v>
      </c>
      <c r="K142" t="s">
        <v>454</v>
      </c>
      <c r="L142" s="4" t="s">
        <v>1230</v>
      </c>
      <c r="M142" s="3">
        <v>4</v>
      </c>
      <c r="N142" t="s">
        <v>111</v>
      </c>
      <c r="O142" s="11">
        <v>1</v>
      </c>
      <c r="P142" s="11">
        <v>100</v>
      </c>
      <c r="Q142" s="10" t="s">
        <v>118</v>
      </c>
      <c r="R142" s="10" t="s">
        <v>119</v>
      </c>
      <c r="S142" s="12" t="s">
        <v>75</v>
      </c>
      <c r="T142" s="10" t="s">
        <v>120</v>
      </c>
      <c r="U142" s="12" t="s">
        <v>116</v>
      </c>
      <c r="V142" s="10" t="s">
        <v>141</v>
      </c>
      <c r="W142" s="7">
        <v>3</v>
      </c>
      <c r="X142" s="7">
        <v>3</v>
      </c>
      <c r="Y142" s="7">
        <v>17</v>
      </c>
      <c r="Z142" s="7">
        <v>4</v>
      </c>
      <c r="AA142" s="13" t="s">
        <v>74</v>
      </c>
      <c r="AB142" s="11">
        <v>2</v>
      </c>
      <c r="AC142" s="10" t="s">
        <v>72</v>
      </c>
      <c r="AD142" s="6">
        <v>30</v>
      </c>
      <c r="AE142" s="12" t="s">
        <v>75</v>
      </c>
      <c r="AF142" s="6" t="s">
        <v>122</v>
      </c>
    </row>
    <row r="143" spans="1:32" ht="57.6" x14ac:dyDescent="0.3">
      <c r="A143" t="s">
        <v>1304</v>
      </c>
      <c r="B143" s="6">
        <v>2021</v>
      </c>
      <c r="C143" s="7">
        <v>13</v>
      </c>
      <c r="D143" s="6" t="s">
        <v>71</v>
      </c>
      <c r="E143" s="7">
        <v>1</v>
      </c>
      <c r="F143" s="14" t="s">
        <v>1303</v>
      </c>
      <c r="G143" t="s">
        <v>318</v>
      </c>
      <c r="H143" s="4" t="s">
        <v>1251</v>
      </c>
      <c r="I143" s="4" t="s">
        <v>1301</v>
      </c>
      <c r="J143" s="3">
        <v>3</v>
      </c>
      <c r="K143" t="s">
        <v>1302</v>
      </c>
      <c r="L143" s="4" t="s">
        <v>1300</v>
      </c>
      <c r="M143" s="3">
        <v>4</v>
      </c>
      <c r="N143" t="s">
        <v>192</v>
      </c>
      <c r="O143" s="3">
        <v>1</v>
      </c>
      <c r="P143" s="3">
        <v>2</v>
      </c>
      <c r="Q143" s="10" t="s">
        <v>118</v>
      </c>
      <c r="R143" s="6" t="s">
        <v>193</v>
      </c>
      <c r="S143" s="6" t="s">
        <v>194</v>
      </c>
      <c r="T143" s="10" t="s">
        <v>195</v>
      </c>
      <c r="U143" s="12" t="s">
        <v>116</v>
      </c>
      <c r="V143" s="12" t="s">
        <v>506</v>
      </c>
      <c r="W143" s="7">
        <v>3</v>
      </c>
      <c r="X143" s="7">
        <v>3</v>
      </c>
      <c r="Y143" s="7">
        <v>17</v>
      </c>
      <c r="Z143" s="7">
        <v>4</v>
      </c>
      <c r="AA143" s="12" t="s">
        <v>74</v>
      </c>
      <c r="AB143" s="11">
        <v>2</v>
      </c>
      <c r="AC143" s="12" t="s">
        <v>75</v>
      </c>
      <c r="AD143">
        <v>90</v>
      </c>
      <c r="AE143" t="s">
        <v>73</v>
      </c>
      <c r="AF143" s="6" t="s">
        <v>122</v>
      </c>
    </row>
    <row r="144" spans="1:32" ht="57.6" x14ac:dyDescent="0.3">
      <c r="A144" t="s">
        <v>1308</v>
      </c>
      <c r="B144" s="6">
        <v>2021</v>
      </c>
      <c r="C144" s="7">
        <v>13</v>
      </c>
      <c r="D144" s="6" t="s">
        <v>71</v>
      </c>
      <c r="E144" s="7">
        <v>1</v>
      </c>
      <c r="F144" s="14" t="s">
        <v>1307</v>
      </c>
      <c r="G144" t="s">
        <v>329</v>
      </c>
      <c r="H144" s="4" t="s">
        <v>1252</v>
      </c>
      <c r="I144" s="4" t="s">
        <v>1306</v>
      </c>
      <c r="J144" s="3">
        <v>1</v>
      </c>
      <c r="K144" t="s">
        <v>439</v>
      </c>
      <c r="L144" s="4" t="s">
        <v>1305</v>
      </c>
      <c r="M144" s="3">
        <v>4</v>
      </c>
      <c r="N144" t="s">
        <v>265</v>
      </c>
      <c r="O144" s="3">
        <v>1</v>
      </c>
      <c r="P144" s="3">
        <v>2</v>
      </c>
      <c r="Q144" t="s">
        <v>118</v>
      </c>
      <c r="R144" s="10" t="s">
        <v>266</v>
      </c>
      <c r="S144" s="10" t="s">
        <v>267</v>
      </c>
      <c r="T144" s="10" t="s">
        <v>268</v>
      </c>
      <c r="U144" s="12" t="s">
        <v>116</v>
      </c>
      <c r="V144" s="12" t="s">
        <v>506</v>
      </c>
      <c r="W144" s="7">
        <v>3</v>
      </c>
      <c r="X144" s="7">
        <v>3</v>
      </c>
      <c r="Y144" s="7">
        <v>17</v>
      </c>
      <c r="Z144" s="7">
        <v>4</v>
      </c>
      <c r="AA144" s="12" t="s">
        <v>74</v>
      </c>
      <c r="AB144" s="11">
        <v>2</v>
      </c>
      <c r="AC144" s="12" t="s">
        <v>75</v>
      </c>
      <c r="AD144">
        <v>30</v>
      </c>
      <c r="AE144" t="s">
        <v>73</v>
      </c>
    </row>
    <row r="145" spans="1:33" ht="57.6" x14ac:dyDescent="0.3">
      <c r="A145" t="s">
        <v>1313</v>
      </c>
      <c r="B145" s="6">
        <v>2021</v>
      </c>
      <c r="C145" s="7">
        <v>13</v>
      </c>
      <c r="D145" s="6" t="s">
        <v>71</v>
      </c>
      <c r="E145" s="7">
        <v>1</v>
      </c>
      <c r="F145" s="14" t="s">
        <v>1312</v>
      </c>
      <c r="G145" t="s">
        <v>405</v>
      </c>
      <c r="H145" s="4" t="s">
        <v>1253</v>
      </c>
      <c r="I145" s="4" t="s">
        <v>1310</v>
      </c>
      <c r="J145" s="3">
        <v>3</v>
      </c>
      <c r="K145" t="s">
        <v>1311</v>
      </c>
      <c r="L145" s="4" t="s">
        <v>1309</v>
      </c>
      <c r="M145" s="3">
        <v>15</v>
      </c>
      <c r="N145" t="s">
        <v>192</v>
      </c>
      <c r="O145" s="3">
        <v>1</v>
      </c>
      <c r="P145" s="3">
        <v>2</v>
      </c>
      <c r="Q145" s="10" t="s">
        <v>118</v>
      </c>
      <c r="R145" s="6" t="s">
        <v>193</v>
      </c>
      <c r="S145" s="6" t="s">
        <v>194</v>
      </c>
      <c r="T145" s="10" t="s">
        <v>195</v>
      </c>
      <c r="U145" s="10" t="s">
        <v>158</v>
      </c>
      <c r="V145" s="10" t="s">
        <v>77</v>
      </c>
      <c r="W145" s="3">
        <v>1</v>
      </c>
      <c r="X145" s="3">
        <v>3</v>
      </c>
      <c r="Y145" s="3">
        <v>1</v>
      </c>
      <c r="Z145" s="3">
        <v>5</v>
      </c>
      <c r="AA145" s="12" t="s">
        <v>74</v>
      </c>
      <c r="AB145" s="11">
        <v>2</v>
      </c>
      <c r="AC145" s="12" t="s">
        <v>75</v>
      </c>
      <c r="AD145">
        <v>30</v>
      </c>
      <c r="AE145" t="s">
        <v>73</v>
      </c>
      <c r="AF145" s="6" t="s">
        <v>1001</v>
      </c>
    </row>
    <row r="146" spans="1:33" ht="43.2" x14ac:dyDescent="0.3">
      <c r="A146" t="s">
        <v>1427</v>
      </c>
      <c r="B146" s="6">
        <v>2021</v>
      </c>
      <c r="C146" s="7">
        <v>13</v>
      </c>
      <c r="D146" s="6" t="s">
        <v>71</v>
      </c>
      <c r="E146" s="7">
        <v>1</v>
      </c>
      <c r="F146" s="18" t="s">
        <v>1425</v>
      </c>
      <c r="G146" t="s">
        <v>1426</v>
      </c>
      <c r="H146" s="4" t="s">
        <v>1254</v>
      </c>
      <c r="I146" s="10" t="s">
        <v>48</v>
      </c>
      <c r="J146" s="11">
        <v>8</v>
      </c>
      <c r="K146" s="6"/>
      <c r="L146" s="10" t="s">
        <v>1424</v>
      </c>
      <c r="M146" s="11">
        <v>8</v>
      </c>
      <c r="N146" s="10" t="s">
        <v>192</v>
      </c>
      <c r="O146" s="11">
        <v>1</v>
      </c>
      <c r="P146" s="11">
        <v>2</v>
      </c>
      <c r="Q146" s="10" t="s">
        <v>118</v>
      </c>
      <c r="R146" s="6" t="s">
        <v>193</v>
      </c>
      <c r="S146" s="6" t="s">
        <v>194</v>
      </c>
      <c r="T146" s="10" t="s">
        <v>195</v>
      </c>
      <c r="U146" s="10" t="s">
        <v>158</v>
      </c>
      <c r="V146" s="10" t="s">
        <v>77</v>
      </c>
      <c r="W146" s="11">
        <v>1</v>
      </c>
      <c r="X146" s="11">
        <v>2</v>
      </c>
      <c r="Y146" s="11">
        <v>1</v>
      </c>
      <c r="Z146" s="11">
        <v>3</v>
      </c>
      <c r="AA146" s="13" t="s">
        <v>74</v>
      </c>
      <c r="AB146" s="7">
        <v>2</v>
      </c>
      <c r="AC146" s="12" t="s">
        <v>75</v>
      </c>
      <c r="AD146" s="6">
        <v>90</v>
      </c>
      <c r="AE146" s="10" t="s">
        <v>73</v>
      </c>
      <c r="AF146" s="6" t="s">
        <v>39147</v>
      </c>
    </row>
    <row r="147" spans="1:33" ht="57.6" x14ac:dyDescent="0.3">
      <c r="A147" t="s">
        <v>1429</v>
      </c>
      <c r="B147" s="6">
        <v>2021</v>
      </c>
      <c r="C147" s="7">
        <v>13</v>
      </c>
      <c r="D147" s="6" t="s">
        <v>71</v>
      </c>
      <c r="E147" s="7">
        <v>1</v>
      </c>
      <c r="F147" s="16" t="s">
        <v>1428</v>
      </c>
      <c r="G147" t="s">
        <v>405</v>
      </c>
      <c r="H147" s="4" t="s">
        <v>1258</v>
      </c>
      <c r="I147" s="10" t="s">
        <v>48</v>
      </c>
      <c r="J147" s="11">
        <v>8</v>
      </c>
      <c r="K147" s="6"/>
      <c r="L147" s="10" t="s">
        <v>1255</v>
      </c>
      <c r="M147" s="11">
        <v>4</v>
      </c>
      <c r="N147" s="10" t="s">
        <v>1256</v>
      </c>
      <c r="O147" s="11">
        <v>100</v>
      </c>
      <c r="P147" s="11">
        <v>100</v>
      </c>
      <c r="Q147" s="12" t="s">
        <v>75</v>
      </c>
      <c r="R147" s="12" t="s">
        <v>75</v>
      </c>
      <c r="S147" s="12" t="s">
        <v>75</v>
      </c>
      <c r="T147" s="12" t="s">
        <v>75</v>
      </c>
      <c r="U147" s="10" t="s">
        <v>185</v>
      </c>
      <c r="V147" s="10" t="s">
        <v>186</v>
      </c>
      <c r="W147" s="11">
        <v>3</v>
      </c>
      <c r="X147" s="11">
        <v>3</v>
      </c>
      <c r="Y147" s="11">
        <v>17</v>
      </c>
      <c r="Z147" s="11">
        <v>3</v>
      </c>
      <c r="AA147" s="13" t="s">
        <v>74</v>
      </c>
      <c r="AB147" s="7">
        <v>2</v>
      </c>
      <c r="AC147" s="12" t="s">
        <v>75</v>
      </c>
      <c r="AD147" s="6" t="s">
        <v>1257</v>
      </c>
      <c r="AE147" s="10" t="s">
        <v>73</v>
      </c>
      <c r="AF147" s="6" t="s">
        <v>1445</v>
      </c>
      <c r="AG147" s="6"/>
    </row>
    <row r="148" spans="1:33" ht="86.4" x14ac:dyDescent="0.3">
      <c r="A148" t="s">
        <v>1318</v>
      </c>
      <c r="B148" s="6">
        <v>2021</v>
      </c>
      <c r="C148" s="7">
        <v>13</v>
      </c>
      <c r="D148" s="6" t="s">
        <v>71</v>
      </c>
      <c r="E148" s="7">
        <v>1</v>
      </c>
      <c r="F148" s="14" t="s">
        <v>1317</v>
      </c>
      <c r="G148" t="s">
        <v>1316</v>
      </c>
      <c r="H148" s="4" t="s">
        <v>1259</v>
      </c>
      <c r="I148" s="4" t="s">
        <v>1315</v>
      </c>
      <c r="J148" s="3">
        <v>6</v>
      </c>
      <c r="K148" t="s">
        <v>109</v>
      </c>
      <c r="L148" s="4" t="s">
        <v>1314</v>
      </c>
      <c r="M148" s="3">
        <v>4</v>
      </c>
      <c r="N148" t="s">
        <v>343</v>
      </c>
      <c r="O148" s="3">
        <v>1</v>
      </c>
      <c r="P148" s="3">
        <v>2</v>
      </c>
      <c r="Q148" s="10" t="s">
        <v>118</v>
      </c>
      <c r="R148" s="10" t="s">
        <v>344</v>
      </c>
      <c r="S148" s="6" t="s">
        <v>345</v>
      </c>
      <c r="T148" s="10" t="s">
        <v>346</v>
      </c>
      <c r="U148" s="12" t="s">
        <v>116</v>
      </c>
      <c r="V148" s="12" t="s">
        <v>506</v>
      </c>
      <c r="W148" s="7">
        <v>3</v>
      </c>
      <c r="X148" s="7">
        <v>3</v>
      </c>
      <c r="Y148" s="7">
        <v>17</v>
      </c>
      <c r="Z148" s="7">
        <v>4</v>
      </c>
      <c r="AA148" s="12" t="s">
        <v>74</v>
      </c>
      <c r="AB148" s="11">
        <v>2</v>
      </c>
      <c r="AC148" s="12" t="s">
        <v>75</v>
      </c>
      <c r="AD148">
        <v>30</v>
      </c>
      <c r="AE148" t="s">
        <v>73</v>
      </c>
    </row>
    <row r="149" spans="1:33" ht="72" x14ac:dyDescent="0.3">
      <c r="A149" t="s">
        <v>1323</v>
      </c>
      <c r="B149" s="6">
        <v>2021</v>
      </c>
      <c r="C149" s="7">
        <v>13</v>
      </c>
      <c r="D149" s="6" t="s">
        <v>71</v>
      </c>
      <c r="E149" s="7">
        <v>1</v>
      </c>
      <c r="F149" s="14" t="s">
        <v>1322</v>
      </c>
      <c r="G149" t="s">
        <v>550</v>
      </c>
      <c r="H149" s="4" t="s">
        <v>1260</v>
      </c>
      <c r="I149" s="4" t="s">
        <v>1319</v>
      </c>
      <c r="J149" s="3">
        <v>3</v>
      </c>
      <c r="K149" t="s">
        <v>1321</v>
      </c>
      <c r="L149" s="4" t="s">
        <v>1320</v>
      </c>
      <c r="M149" s="3">
        <v>2</v>
      </c>
      <c r="N149" t="s">
        <v>517</v>
      </c>
      <c r="O149" s="3">
        <v>1</v>
      </c>
      <c r="P149" s="3">
        <v>2</v>
      </c>
      <c r="Q149" s="10" t="s">
        <v>118</v>
      </c>
      <c r="R149" s="10" t="s">
        <v>344</v>
      </c>
      <c r="S149" s="10" t="s">
        <v>345</v>
      </c>
      <c r="T149" s="10" t="s">
        <v>346</v>
      </c>
      <c r="U149" s="12" t="s">
        <v>116</v>
      </c>
      <c r="V149" s="12" t="s">
        <v>506</v>
      </c>
      <c r="W149" s="7">
        <v>3</v>
      </c>
      <c r="X149" s="7">
        <v>3</v>
      </c>
      <c r="Y149" s="7">
        <v>17</v>
      </c>
      <c r="Z149" s="7">
        <v>4</v>
      </c>
      <c r="AA149" s="12" t="s">
        <v>74</v>
      </c>
      <c r="AB149" s="11">
        <v>2</v>
      </c>
      <c r="AC149" s="10" t="s">
        <v>293</v>
      </c>
      <c r="AD149">
        <v>12.5</v>
      </c>
      <c r="AE149" t="s">
        <v>732</v>
      </c>
    </row>
    <row r="150" spans="1:33" ht="43.2" x14ac:dyDescent="0.3">
      <c r="A150" t="s">
        <v>1328</v>
      </c>
      <c r="B150" s="6">
        <v>2021</v>
      </c>
      <c r="C150" s="7">
        <v>13</v>
      </c>
      <c r="D150" s="6" t="s">
        <v>71</v>
      </c>
      <c r="E150" s="7">
        <v>1</v>
      </c>
      <c r="F150" s="14" t="s">
        <v>1327</v>
      </c>
      <c r="G150" t="s">
        <v>363</v>
      </c>
      <c r="H150" s="4" t="s">
        <v>1261</v>
      </c>
      <c r="I150" s="6" t="s">
        <v>1324</v>
      </c>
      <c r="J150" s="7">
        <v>1</v>
      </c>
      <c r="K150" s="6"/>
      <c r="L150" s="10" t="s">
        <v>1325</v>
      </c>
      <c r="M150" s="11">
        <v>4</v>
      </c>
      <c r="N150" s="6" t="s">
        <v>192</v>
      </c>
      <c r="O150" s="7">
        <v>1</v>
      </c>
      <c r="P150" s="7">
        <v>2</v>
      </c>
      <c r="Q150" s="10" t="s">
        <v>118</v>
      </c>
      <c r="R150" s="6" t="s">
        <v>193</v>
      </c>
      <c r="S150" s="6" t="s">
        <v>194</v>
      </c>
      <c r="T150" s="10" t="s">
        <v>195</v>
      </c>
      <c r="U150" s="12" t="s">
        <v>116</v>
      </c>
      <c r="V150" s="12" t="s">
        <v>506</v>
      </c>
      <c r="W150" s="7">
        <v>3</v>
      </c>
      <c r="X150" s="7">
        <v>3</v>
      </c>
      <c r="Y150" s="7">
        <v>17</v>
      </c>
      <c r="Z150" s="7">
        <v>4</v>
      </c>
      <c r="AA150" s="12" t="s">
        <v>74</v>
      </c>
      <c r="AB150" s="11">
        <v>2</v>
      </c>
      <c r="AC150" s="6" t="s">
        <v>1326</v>
      </c>
      <c r="AD150" s="6">
        <v>250</v>
      </c>
      <c r="AE150" s="10" t="s">
        <v>73</v>
      </c>
    </row>
    <row r="151" spans="1:33" ht="72" x14ac:dyDescent="0.3">
      <c r="A151" t="s">
        <v>1341</v>
      </c>
      <c r="B151" s="6">
        <v>2021</v>
      </c>
      <c r="C151" s="7">
        <v>13</v>
      </c>
      <c r="D151" s="6" t="s">
        <v>71</v>
      </c>
      <c r="E151" s="7">
        <v>1</v>
      </c>
      <c r="F151" s="14" t="s">
        <v>1340</v>
      </c>
      <c r="G151" t="s">
        <v>1175</v>
      </c>
      <c r="H151" s="4" t="s">
        <v>1262</v>
      </c>
      <c r="I151" s="4" t="s">
        <v>1329</v>
      </c>
      <c r="J151" s="3">
        <v>1</v>
      </c>
      <c r="K151" t="s">
        <v>846</v>
      </c>
      <c r="L151" s="4" t="s">
        <v>1330</v>
      </c>
      <c r="M151" s="3">
        <v>8</v>
      </c>
      <c r="N151" s="4" t="s">
        <v>1331</v>
      </c>
      <c r="O151" s="3">
        <v>3</v>
      </c>
      <c r="P151" s="3">
        <v>3</v>
      </c>
      <c r="Q151" s="4" t="s">
        <v>1332</v>
      </c>
      <c r="R151" s="10" t="s">
        <v>1333</v>
      </c>
      <c r="S151" s="10" t="s">
        <v>1334</v>
      </c>
      <c r="T151" s="10" t="s">
        <v>1335</v>
      </c>
      <c r="U151" s="10" t="s">
        <v>1336</v>
      </c>
      <c r="V151" s="10" t="s">
        <v>1337</v>
      </c>
      <c r="W151" s="3">
        <v>3</v>
      </c>
      <c r="X151" s="3">
        <v>3</v>
      </c>
      <c r="Y151" s="3">
        <v>17</v>
      </c>
      <c r="Z151" s="3">
        <v>4</v>
      </c>
      <c r="AA151" s="12" t="s">
        <v>74</v>
      </c>
      <c r="AB151" s="11">
        <v>2</v>
      </c>
      <c r="AC151" t="s">
        <v>855</v>
      </c>
      <c r="AD151" s="4" t="s">
        <v>1338</v>
      </c>
      <c r="AE151" s="4" t="s">
        <v>1339</v>
      </c>
    </row>
    <row r="152" spans="1:33" ht="72" x14ac:dyDescent="0.3">
      <c r="A152" t="s">
        <v>1347</v>
      </c>
      <c r="B152" s="6">
        <v>2021</v>
      </c>
      <c r="C152" s="7">
        <v>13</v>
      </c>
      <c r="D152" s="6" t="s">
        <v>71</v>
      </c>
      <c r="E152" s="7">
        <v>1</v>
      </c>
      <c r="F152" s="14" t="s">
        <v>1346</v>
      </c>
      <c r="G152" t="s">
        <v>1345</v>
      </c>
      <c r="H152" s="4" t="s">
        <v>1263</v>
      </c>
      <c r="I152" s="4" t="s">
        <v>1343</v>
      </c>
      <c r="J152" s="3">
        <v>3</v>
      </c>
      <c r="L152" s="4" t="s">
        <v>1342</v>
      </c>
      <c r="M152" s="3">
        <v>9</v>
      </c>
      <c r="N152" s="4" t="s">
        <v>422</v>
      </c>
      <c r="O152" s="3">
        <v>1</v>
      </c>
      <c r="P152" s="3">
        <v>2</v>
      </c>
      <c r="Q152" s="10" t="s">
        <v>118</v>
      </c>
      <c r="R152" s="10" t="s">
        <v>156</v>
      </c>
      <c r="S152" s="10" t="s">
        <v>423</v>
      </c>
      <c r="T152" s="10" t="s">
        <v>424</v>
      </c>
      <c r="U152" s="10" t="s">
        <v>158</v>
      </c>
      <c r="V152" s="10" t="s">
        <v>77</v>
      </c>
      <c r="W152" s="3">
        <v>1</v>
      </c>
      <c r="X152" s="3">
        <v>3</v>
      </c>
      <c r="Y152" s="3">
        <v>1</v>
      </c>
      <c r="Z152" s="3">
        <v>5</v>
      </c>
      <c r="AA152" s="12" t="s">
        <v>74</v>
      </c>
      <c r="AB152" s="11">
        <v>2</v>
      </c>
      <c r="AC152" s="12" t="s">
        <v>75</v>
      </c>
      <c r="AD152">
        <v>6</v>
      </c>
      <c r="AE152" s="4" t="s">
        <v>427</v>
      </c>
      <c r="AF152" t="s">
        <v>1344</v>
      </c>
    </row>
    <row r="153" spans="1:33" ht="57.6" x14ac:dyDescent="0.3">
      <c r="A153" t="s">
        <v>1352</v>
      </c>
      <c r="B153" s="6">
        <v>2021</v>
      </c>
      <c r="C153" s="7">
        <v>13</v>
      </c>
      <c r="D153" s="6" t="s">
        <v>71</v>
      </c>
      <c r="E153" s="7">
        <v>1</v>
      </c>
      <c r="F153" s="14" t="s">
        <v>1351</v>
      </c>
      <c r="G153" t="s">
        <v>550</v>
      </c>
      <c r="H153" s="4" t="s">
        <v>1264</v>
      </c>
      <c r="I153" s="4" t="s">
        <v>1348</v>
      </c>
      <c r="J153" s="3">
        <v>3</v>
      </c>
      <c r="K153" t="s">
        <v>905</v>
      </c>
      <c r="L153" s="4" t="s">
        <v>1349</v>
      </c>
      <c r="M153" s="3">
        <v>1</v>
      </c>
      <c r="N153" t="s">
        <v>1265</v>
      </c>
      <c r="O153" s="3">
        <v>1</v>
      </c>
      <c r="P153" s="3">
        <v>100</v>
      </c>
      <c r="Q153" s="12" t="s">
        <v>75</v>
      </c>
      <c r="R153" s="12" t="s">
        <v>75</v>
      </c>
      <c r="S153" s="12" t="s">
        <v>75</v>
      </c>
      <c r="T153" s="12" t="s">
        <v>75</v>
      </c>
      <c r="U153" s="12" t="s">
        <v>75</v>
      </c>
      <c r="V153" s="12" t="s">
        <v>75</v>
      </c>
      <c r="W153" s="7">
        <v>3</v>
      </c>
      <c r="X153" s="7">
        <v>3</v>
      </c>
      <c r="Y153" s="7">
        <v>17</v>
      </c>
      <c r="Z153" s="7">
        <v>4</v>
      </c>
      <c r="AA153" s="12" t="s">
        <v>74</v>
      </c>
      <c r="AB153" s="11">
        <v>2</v>
      </c>
      <c r="AC153" s="12" t="s">
        <v>75</v>
      </c>
      <c r="AD153" s="10">
        <v>30</v>
      </c>
      <c r="AE153" s="12" t="s">
        <v>75</v>
      </c>
      <c r="AF153" s="6" t="s">
        <v>1350</v>
      </c>
    </row>
    <row r="154" spans="1:33" ht="100.8" x14ac:dyDescent="0.3">
      <c r="A154" t="s">
        <v>1359</v>
      </c>
      <c r="B154" s="6">
        <v>2021</v>
      </c>
      <c r="C154" s="7">
        <v>13</v>
      </c>
      <c r="D154" s="6" t="s">
        <v>71</v>
      </c>
      <c r="E154" s="7">
        <v>1</v>
      </c>
      <c r="F154" s="14" t="s">
        <v>1358</v>
      </c>
      <c r="G154" t="s">
        <v>1357</v>
      </c>
      <c r="H154" s="4" t="s">
        <v>1266</v>
      </c>
      <c r="I154" s="4" t="s">
        <v>1354</v>
      </c>
      <c r="J154" s="3">
        <v>3</v>
      </c>
      <c r="K154" t="s">
        <v>1355</v>
      </c>
      <c r="L154" s="4" t="s">
        <v>1353</v>
      </c>
      <c r="M154" s="3">
        <v>15</v>
      </c>
      <c r="N154" s="8" t="s">
        <v>75</v>
      </c>
      <c r="O154" s="3">
        <v>100</v>
      </c>
      <c r="P154" s="3">
        <v>100</v>
      </c>
      <c r="Q154" s="12" t="s">
        <v>75</v>
      </c>
      <c r="R154" s="12" t="s">
        <v>75</v>
      </c>
      <c r="S154" s="12" t="s">
        <v>75</v>
      </c>
      <c r="T154" s="12" t="s">
        <v>75</v>
      </c>
      <c r="U154" s="12" t="s">
        <v>75</v>
      </c>
      <c r="V154" s="12" t="s">
        <v>75</v>
      </c>
      <c r="W154" s="7">
        <v>3</v>
      </c>
      <c r="X154" s="7">
        <v>3</v>
      </c>
      <c r="Y154" s="7">
        <v>17</v>
      </c>
      <c r="Z154" s="7">
        <v>4</v>
      </c>
      <c r="AA154" s="12" t="s">
        <v>74</v>
      </c>
      <c r="AB154" s="11">
        <v>2</v>
      </c>
      <c r="AC154" s="12" t="s">
        <v>75</v>
      </c>
      <c r="AD154" s="10">
        <v>30</v>
      </c>
      <c r="AE154" s="12" t="s">
        <v>75</v>
      </c>
      <c r="AF154" s="6" t="s">
        <v>1356</v>
      </c>
    </row>
    <row r="155" spans="1:33" ht="43.2" x14ac:dyDescent="0.3">
      <c r="A155" t="s">
        <v>1363</v>
      </c>
      <c r="B155" s="6">
        <v>2021</v>
      </c>
      <c r="C155" s="7">
        <v>13</v>
      </c>
      <c r="D155" s="6" t="s">
        <v>71</v>
      </c>
      <c r="E155" s="7">
        <v>1</v>
      </c>
      <c r="F155" s="14" t="s">
        <v>1362</v>
      </c>
      <c r="G155" t="s">
        <v>622</v>
      </c>
      <c r="H155" s="4" t="s">
        <v>1267</v>
      </c>
      <c r="I155" s="4" t="s">
        <v>2037</v>
      </c>
      <c r="J155" s="3">
        <v>3</v>
      </c>
      <c r="K155" t="s">
        <v>1360</v>
      </c>
      <c r="L155" s="4" t="s">
        <v>1361</v>
      </c>
      <c r="M155" s="3">
        <v>4</v>
      </c>
      <c r="N155" t="s">
        <v>192</v>
      </c>
      <c r="O155" s="3">
        <v>1</v>
      </c>
      <c r="P155" s="3">
        <v>2</v>
      </c>
      <c r="Q155" s="10" t="s">
        <v>118</v>
      </c>
      <c r="R155" s="6" t="s">
        <v>193</v>
      </c>
      <c r="S155" s="6" t="s">
        <v>194</v>
      </c>
      <c r="T155" s="10" t="s">
        <v>195</v>
      </c>
      <c r="U155" s="12" t="s">
        <v>116</v>
      </c>
      <c r="V155" s="12" t="s">
        <v>506</v>
      </c>
      <c r="W155" s="7">
        <v>3</v>
      </c>
      <c r="X155" s="7">
        <v>3</v>
      </c>
      <c r="Y155" s="7">
        <v>17</v>
      </c>
      <c r="Z155" s="7">
        <v>4</v>
      </c>
      <c r="AA155" s="12" t="s">
        <v>74</v>
      </c>
      <c r="AB155" s="11">
        <v>2</v>
      </c>
      <c r="AC155" s="12" t="s">
        <v>75</v>
      </c>
      <c r="AD155" s="12" t="s">
        <v>75</v>
      </c>
      <c r="AE155" t="s">
        <v>73</v>
      </c>
      <c r="AF155" t="s">
        <v>1013</v>
      </c>
    </row>
    <row r="156" spans="1:33" ht="57.6" x14ac:dyDescent="0.3">
      <c r="A156" t="s">
        <v>1368</v>
      </c>
      <c r="B156" s="6">
        <v>2021</v>
      </c>
      <c r="C156" s="7">
        <v>13</v>
      </c>
      <c r="D156" s="6" t="s">
        <v>71</v>
      </c>
      <c r="E156" s="7">
        <v>1</v>
      </c>
      <c r="F156" s="14" t="s">
        <v>1367</v>
      </c>
      <c r="G156" t="s">
        <v>1366</v>
      </c>
      <c r="H156" s="4" t="s">
        <v>1268</v>
      </c>
      <c r="I156" s="4" t="s">
        <v>1364</v>
      </c>
      <c r="J156" s="3">
        <v>3</v>
      </c>
      <c r="K156" t="s">
        <v>260</v>
      </c>
      <c r="L156" s="4" t="s">
        <v>1365</v>
      </c>
      <c r="M156" s="3">
        <v>4</v>
      </c>
      <c r="N156" t="s">
        <v>192</v>
      </c>
      <c r="O156" s="3">
        <v>1</v>
      </c>
      <c r="P156" s="3">
        <v>2</v>
      </c>
      <c r="Q156" s="10" t="s">
        <v>118</v>
      </c>
      <c r="R156" s="6" t="s">
        <v>193</v>
      </c>
      <c r="S156" s="6" t="s">
        <v>194</v>
      </c>
      <c r="T156" s="10" t="s">
        <v>195</v>
      </c>
      <c r="U156" s="12" t="s">
        <v>116</v>
      </c>
      <c r="V156" s="12" t="s">
        <v>506</v>
      </c>
      <c r="W156" s="7">
        <v>3</v>
      </c>
      <c r="X156" s="7">
        <v>3</v>
      </c>
      <c r="Y156" s="7">
        <v>17</v>
      </c>
      <c r="Z156" s="7">
        <v>4</v>
      </c>
      <c r="AA156" s="12" t="s">
        <v>74</v>
      </c>
      <c r="AB156" s="11">
        <v>2</v>
      </c>
      <c r="AC156" s="12" t="s">
        <v>75</v>
      </c>
      <c r="AD156" s="12" t="s">
        <v>75</v>
      </c>
      <c r="AE156" t="s">
        <v>73</v>
      </c>
    </row>
    <row r="157" spans="1:33" ht="43.2" x14ac:dyDescent="0.3">
      <c r="A157" t="s">
        <v>1377</v>
      </c>
      <c r="B157" s="6">
        <v>2021</v>
      </c>
      <c r="C157" s="7">
        <v>13</v>
      </c>
      <c r="D157" s="6" t="s">
        <v>71</v>
      </c>
      <c r="E157" s="7">
        <v>1</v>
      </c>
      <c r="F157" s="14" t="s">
        <v>1376</v>
      </c>
      <c r="G157" t="s">
        <v>1375</v>
      </c>
      <c r="H157" s="4" t="s">
        <v>1269</v>
      </c>
      <c r="I157" s="4" t="s">
        <v>1370</v>
      </c>
      <c r="J157" s="3">
        <v>3</v>
      </c>
      <c r="K157" t="s">
        <v>1374</v>
      </c>
      <c r="L157" s="4" t="s">
        <v>1369</v>
      </c>
      <c r="M157" s="3">
        <v>8</v>
      </c>
      <c r="N157" s="8" t="s">
        <v>1373</v>
      </c>
      <c r="O157" s="3">
        <v>100</v>
      </c>
      <c r="P157" s="3">
        <v>100</v>
      </c>
      <c r="Q157" s="12" t="s">
        <v>75</v>
      </c>
      <c r="R157" s="12" t="s">
        <v>75</v>
      </c>
      <c r="S157" s="12" t="s">
        <v>75</v>
      </c>
      <c r="T157" s="12" t="s">
        <v>75</v>
      </c>
      <c r="U157" s="12" t="s">
        <v>75</v>
      </c>
      <c r="V157" s="12" t="s">
        <v>75</v>
      </c>
      <c r="W157" s="7">
        <v>3</v>
      </c>
      <c r="X157" s="7">
        <v>3</v>
      </c>
      <c r="Y157" s="7">
        <v>17</v>
      </c>
      <c r="Z157" s="7">
        <v>4</v>
      </c>
      <c r="AA157" s="12" t="s">
        <v>74</v>
      </c>
      <c r="AB157" s="11">
        <v>2</v>
      </c>
      <c r="AC157" s="12" t="s">
        <v>75</v>
      </c>
      <c r="AD157" s="12" t="s">
        <v>1372</v>
      </c>
      <c r="AE157" s="12" t="s">
        <v>75</v>
      </c>
      <c r="AF157" s="6" t="s">
        <v>1371</v>
      </c>
    </row>
    <row r="158" spans="1:33" ht="72" x14ac:dyDescent="0.3">
      <c r="A158" t="s">
        <v>1383</v>
      </c>
      <c r="B158" s="6">
        <v>2021</v>
      </c>
      <c r="C158" s="7">
        <v>13</v>
      </c>
      <c r="D158" s="6" t="s">
        <v>71</v>
      </c>
      <c r="E158" s="7">
        <v>1</v>
      </c>
      <c r="F158" s="14" t="s">
        <v>1382</v>
      </c>
      <c r="G158" t="s">
        <v>1381</v>
      </c>
      <c r="H158" s="4" t="s">
        <v>1270</v>
      </c>
      <c r="I158" s="4" t="s">
        <v>1380</v>
      </c>
      <c r="J158" s="3">
        <v>3</v>
      </c>
      <c r="K158" t="s">
        <v>1379</v>
      </c>
      <c r="L158" s="4" t="s">
        <v>1378</v>
      </c>
      <c r="M158" s="3">
        <v>12</v>
      </c>
      <c r="N158" t="s">
        <v>517</v>
      </c>
      <c r="O158" s="3">
        <v>1</v>
      </c>
      <c r="P158" s="3">
        <v>2</v>
      </c>
      <c r="Q158" s="6" t="s">
        <v>118</v>
      </c>
      <c r="R158" s="10" t="s">
        <v>344</v>
      </c>
      <c r="S158" s="10" t="s">
        <v>345</v>
      </c>
      <c r="T158" s="10" t="s">
        <v>346</v>
      </c>
      <c r="U158" s="12" t="s">
        <v>116</v>
      </c>
      <c r="V158" s="12" t="s">
        <v>506</v>
      </c>
      <c r="W158" s="7">
        <v>3</v>
      </c>
      <c r="X158" s="7">
        <v>3</v>
      </c>
      <c r="Y158" s="7">
        <v>17</v>
      </c>
      <c r="Z158" s="7">
        <v>4</v>
      </c>
      <c r="AA158" s="12" t="s">
        <v>74</v>
      </c>
      <c r="AB158" s="11">
        <v>2</v>
      </c>
      <c r="AC158" s="12" t="s">
        <v>75</v>
      </c>
      <c r="AD158">
        <v>12.5</v>
      </c>
      <c r="AE158" s="6" t="s">
        <v>732</v>
      </c>
    </row>
    <row r="159" spans="1:33" ht="100.8" x14ac:dyDescent="0.3">
      <c r="A159" t="s">
        <v>1398</v>
      </c>
      <c r="B159" s="6">
        <v>2021</v>
      </c>
      <c r="C159" s="7">
        <v>13</v>
      </c>
      <c r="D159" s="6" t="s">
        <v>71</v>
      </c>
      <c r="E159" s="7">
        <v>1</v>
      </c>
      <c r="F159" s="14" t="s">
        <v>1397</v>
      </c>
      <c r="G159" t="s">
        <v>1384</v>
      </c>
      <c r="H159" s="4" t="s">
        <v>1271</v>
      </c>
      <c r="I159" s="4" t="s">
        <v>1416</v>
      </c>
      <c r="J159" s="3">
        <v>6</v>
      </c>
      <c r="K159" t="s">
        <v>1396</v>
      </c>
      <c r="L159" s="4" t="s">
        <v>1385</v>
      </c>
      <c r="M159" s="3">
        <v>9</v>
      </c>
      <c r="N159" s="4" t="s">
        <v>1386</v>
      </c>
      <c r="O159" s="3">
        <v>3</v>
      </c>
      <c r="P159" s="3">
        <v>3</v>
      </c>
      <c r="Q159" s="4" t="s">
        <v>1387</v>
      </c>
      <c r="R159" s="10" t="s">
        <v>1388</v>
      </c>
      <c r="S159" s="10" t="s">
        <v>1389</v>
      </c>
      <c r="T159" s="10" t="s">
        <v>1390</v>
      </c>
      <c r="U159" s="10" t="s">
        <v>1908</v>
      </c>
      <c r="V159" s="10" t="s">
        <v>1391</v>
      </c>
      <c r="W159" s="3">
        <v>2</v>
      </c>
      <c r="X159" s="3">
        <v>3</v>
      </c>
      <c r="Y159" s="3">
        <v>16</v>
      </c>
      <c r="Z159" s="3">
        <v>4</v>
      </c>
      <c r="AA159" s="4" t="s">
        <v>1392</v>
      </c>
      <c r="AB159" s="3">
        <v>1</v>
      </c>
      <c r="AC159" s="10" t="s">
        <v>1395</v>
      </c>
      <c r="AD159" s="10" t="s">
        <v>1393</v>
      </c>
      <c r="AE159" t="s">
        <v>1394</v>
      </c>
    </row>
    <row r="160" spans="1:33" ht="72" x14ac:dyDescent="0.3">
      <c r="A160" t="s">
        <v>1431</v>
      </c>
      <c r="B160" s="6">
        <v>2021</v>
      </c>
      <c r="C160" s="7">
        <v>13</v>
      </c>
      <c r="D160" s="6" t="s">
        <v>71</v>
      </c>
      <c r="E160" s="7">
        <v>1</v>
      </c>
      <c r="F160" s="16" t="s">
        <v>1430</v>
      </c>
      <c r="G160" t="s">
        <v>958</v>
      </c>
      <c r="H160" s="4" t="s">
        <v>1278</v>
      </c>
      <c r="I160" s="10" t="s">
        <v>1272</v>
      </c>
      <c r="J160" s="7">
        <v>8</v>
      </c>
      <c r="K160" s="6"/>
      <c r="L160" s="10" t="s">
        <v>1273</v>
      </c>
      <c r="M160" s="11">
        <v>1</v>
      </c>
      <c r="N160" s="10" t="s">
        <v>1274</v>
      </c>
      <c r="O160" s="11">
        <v>100</v>
      </c>
      <c r="P160" s="11">
        <v>100</v>
      </c>
      <c r="Q160" s="10" t="s">
        <v>1275</v>
      </c>
      <c r="R160" s="10" t="s">
        <v>1276</v>
      </c>
      <c r="S160" s="13" t="s">
        <v>75</v>
      </c>
      <c r="T160" s="10" t="s">
        <v>1277</v>
      </c>
      <c r="U160" s="12" t="s">
        <v>75</v>
      </c>
      <c r="V160" s="12" t="s">
        <v>75</v>
      </c>
      <c r="W160" s="11">
        <v>3</v>
      </c>
      <c r="X160" s="11">
        <v>3</v>
      </c>
      <c r="Y160" s="11">
        <v>17</v>
      </c>
      <c r="Z160" s="11">
        <v>4</v>
      </c>
      <c r="AA160" s="12" t="s">
        <v>75</v>
      </c>
      <c r="AB160" s="11">
        <v>2</v>
      </c>
      <c r="AC160" s="12" t="s">
        <v>75</v>
      </c>
      <c r="AD160" s="12" t="s">
        <v>75</v>
      </c>
      <c r="AE160" s="12" t="s">
        <v>75</v>
      </c>
      <c r="AF160" s="6" t="s">
        <v>1446</v>
      </c>
    </row>
    <row r="161" spans="1:32" ht="86.4" x14ac:dyDescent="0.3">
      <c r="A161" t="s">
        <v>1403</v>
      </c>
      <c r="B161" s="6">
        <v>2021</v>
      </c>
      <c r="C161" s="7">
        <v>13</v>
      </c>
      <c r="D161" s="6" t="s">
        <v>71</v>
      </c>
      <c r="E161" s="7">
        <v>1</v>
      </c>
      <c r="F161" s="14" t="s">
        <v>1402</v>
      </c>
      <c r="G161" t="s">
        <v>1401</v>
      </c>
      <c r="H161" s="4" t="s">
        <v>1279</v>
      </c>
      <c r="I161" s="4" t="s">
        <v>1400</v>
      </c>
      <c r="J161" s="3">
        <v>1</v>
      </c>
      <c r="K161" t="s">
        <v>685</v>
      </c>
      <c r="L161" s="4" t="s">
        <v>1399</v>
      </c>
      <c r="M161" s="3">
        <v>11</v>
      </c>
      <c r="N161" t="s">
        <v>265</v>
      </c>
      <c r="O161" s="3">
        <v>1</v>
      </c>
      <c r="P161" s="3">
        <v>2</v>
      </c>
      <c r="Q161" t="s">
        <v>118</v>
      </c>
      <c r="R161" s="10" t="s">
        <v>266</v>
      </c>
      <c r="S161" s="6" t="s">
        <v>267</v>
      </c>
      <c r="T161" s="10" t="s">
        <v>268</v>
      </c>
      <c r="U161" s="12" t="s">
        <v>116</v>
      </c>
      <c r="V161" s="12" t="s">
        <v>506</v>
      </c>
      <c r="W161" s="7">
        <v>3</v>
      </c>
      <c r="X161" s="7">
        <v>3</v>
      </c>
      <c r="Y161" s="7">
        <v>17</v>
      </c>
      <c r="Z161" s="7">
        <v>4</v>
      </c>
      <c r="AA161" s="12" t="s">
        <v>74</v>
      </c>
      <c r="AB161" s="11">
        <v>2</v>
      </c>
      <c r="AC161" s="12" t="s">
        <v>75</v>
      </c>
      <c r="AD161">
        <v>30</v>
      </c>
      <c r="AE161" s="6" t="s">
        <v>73</v>
      </c>
    </row>
    <row r="162" spans="1:32" ht="129.6" x14ac:dyDescent="0.3">
      <c r="A162" t="s">
        <v>1434</v>
      </c>
      <c r="B162" s="6">
        <v>2021</v>
      </c>
      <c r="C162" s="7">
        <v>13</v>
      </c>
      <c r="D162" s="6" t="s">
        <v>71</v>
      </c>
      <c r="E162" s="7">
        <v>1</v>
      </c>
      <c r="F162" s="16" t="s">
        <v>1433</v>
      </c>
      <c r="G162" t="s">
        <v>958</v>
      </c>
      <c r="H162" s="4" t="s">
        <v>1288</v>
      </c>
      <c r="I162" s="10" t="s">
        <v>1280</v>
      </c>
      <c r="J162" s="11">
        <v>3</v>
      </c>
      <c r="K162" s="6" t="s">
        <v>1281</v>
      </c>
      <c r="L162" s="10" t="s">
        <v>1282</v>
      </c>
      <c r="M162" s="11">
        <v>8</v>
      </c>
      <c r="N162" s="10" t="s">
        <v>1283</v>
      </c>
      <c r="O162" s="11">
        <v>1</v>
      </c>
      <c r="P162" s="11">
        <v>1</v>
      </c>
      <c r="Q162" s="6" t="s">
        <v>307</v>
      </c>
      <c r="R162" s="6" t="s">
        <v>193</v>
      </c>
      <c r="S162" s="10" t="s">
        <v>770</v>
      </c>
      <c r="T162" s="10" t="s">
        <v>1284</v>
      </c>
      <c r="U162" s="10" t="s">
        <v>1285</v>
      </c>
      <c r="V162" s="10" t="s">
        <v>1286</v>
      </c>
      <c r="W162" s="11">
        <v>2</v>
      </c>
      <c r="X162" s="11">
        <v>2</v>
      </c>
      <c r="Y162" s="11">
        <v>16</v>
      </c>
      <c r="Z162" s="11">
        <v>3</v>
      </c>
      <c r="AA162" s="12" t="s">
        <v>74</v>
      </c>
      <c r="AB162" s="11">
        <v>2</v>
      </c>
      <c r="AC162" s="6" t="s">
        <v>72</v>
      </c>
      <c r="AD162" s="10" t="s">
        <v>1287</v>
      </c>
      <c r="AE162" s="10" t="s">
        <v>732</v>
      </c>
      <c r="AF162" s="6" t="s">
        <v>1432</v>
      </c>
    </row>
    <row r="163" spans="1:32" ht="43.2" x14ac:dyDescent="0.3">
      <c r="A163" t="s">
        <v>1407</v>
      </c>
      <c r="B163" s="6">
        <v>2020</v>
      </c>
      <c r="C163" s="7">
        <v>12</v>
      </c>
      <c r="D163" s="6" t="s">
        <v>71</v>
      </c>
      <c r="E163" s="7">
        <v>1</v>
      </c>
      <c r="F163" s="14" t="s">
        <v>1406</v>
      </c>
      <c r="G163" t="s">
        <v>550</v>
      </c>
      <c r="H163" s="4" t="s">
        <v>1289</v>
      </c>
      <c r="I163" s="4" t="s">
        <v>1404</v>
      </c>
      <c r="J163" s="3">
        <v>3</v>
      </c>
      <c r="K163" t="s">
        <v>101</v>
      </c>
      <c r="L163" s="4" t="s">
        <v>1405</v>
      </c>
      <c r="M163" s="3">
        <v>4</v>
      </c>
      <c r="N163" t="s">
        <v>192</v>
      </c>
      <c r="O163" s="3">
        <v>1</v>
      </c>
      <c r="P163" s="3">
        <v>2</v>
      </c>
      <c r="Q163" s="10" t="s">
        <v>118</v>
      </c>
      <c r="R163" s="6" t="s">
        <v>193</v>
      </c>
      <c r="S163" s="6" t="s">
        <v>194</v>
      </c>
      <c r="T163" s="10" t="s">
        <v>195</v>
      </c>
      <c r="U163" s="12" t="s">
        <v>116</v>
      </c>
      <c r="V163" s="12" t="s">
        <v>506</v>
      </c>
      <c r="W163" s="7">
        <v>3</v>
      </c>
      <c r="X163" s="7">
        <v>3</v>
      </c>
      <c r="Y163" s="7">
        <v>17</v>
      </c>
      <c r="Z163" s="7">
        <v>4</v>
      </c>
      <c r="AA163" s="12" t="s">
        <v>74</v>
      </c>
      <c r="AB163" s="11">
        <v>2</v>
      </c>
      <c r="AC163" s="12" t="s">
        <v>75</v>
      </c>
      <c r="AD163">
        <v>30</v>
      </c>
      <c r="AE163" t="s">
        <v>73</v>
      </c>
    </row>
    <row r="164" spans="1:32" ht="100.8" x14ac:dyDescent="0.3">
      <c r="A164" t="s">
        <v>1414</v>
      </c>
      <c r="B164" s="6">
        <v>2020</v>
      </c>
      <c r="C164" s="7">
        <v>12</v>
      </c>
      <c r="D164" s="6" t="s">
        <v>71</v>
      </c>
      <c r="E164" s="7">
        <v>1</v>
      </c>
      <c r="F164" s="14" t="s">
        <v>1413</v>
      </c>
      <c r="G164" t="s">
        <v>1412</v>
      </c>
      <c r="H164" s="4" t="s">
        <v>1290</v>
      </c>
      <c r="I164" s="10" t="s">
        <v>1408</v>
      </c>
      <c r="J164" s="3">
        <v>5</v>
      </c>
      <c r="K164" s="6" t="s">
        <v>1409</v>
      </c>
      <c r="L164" s="10" t="s">
        <v>1410</v>
      </c>
      <c r="M164" s="3">
        <v>1</v>
      </c>
      <c r="N164" s="10" t="s">
        <v>422</v>
      </c>
      <c r="O164" s="3">
        <v>1</v>
      </c>
      <c r="P164" s="3">
        <v>2</v>
      </c>
      <c r="Q164" s="10" t="s">
        <v>118</v>
      </c>
      <c r="R164" s="10" t="s">
        <v>156</v>
      </c>
      <c r="S164" s="10" t="s">
        <v>423</v>
      </c>
      <c r="T164" s="10" t="s">
        <v>424</v>
      </c>
      <c r="U164" s="10" t="s">
        <v>158</v>
      </c>
      <c r="V164" s="10" t="s">
        <v>39159</v>
      </c>
      <c r="W164" s="11">
        <v>2</v>
      </c>
      <c r="X164" s="11">
        <v>2</v>
      </c>
      <c r="Y164" s="11">
        <v>16</v>
      </c>
      <c r="Z164" s="11">
        <v>3</v>
      </c>
      <c r="AA164" s="12" t="s">
        <v>74</v>
      </c>
      <c r="AB164" s="11">
        <v>2</v>
      </c>
      <c r="AC164" t="s">
        <v>72</v>
      </c>
      <c r="AD164">
        <v>10</v>
      </c>
      <c r="AE164" s="4" t="s">
        <v>427</v>
      </c>
      <c r="AF164" t="s">
        <v>1411</v>
      </c>
    </row>
    <row r="165" spans="1:32" ht="57.6" x14ac:dyDescent="0.3">
      <c r="A165" t="s">
        <v>1440</v>
      </c>
      <c r="B165" s="6">
        <v>2020</v>
      </c>
      <c r="C165" s="7">
        <v>12</v>
      </c>
      <c r="D165" s="6" t="s">
        <v>71</v>
      </c>
      <c r="E165" s="7">
        <v>1</v>
      </c>
      <c r="F165" s="16" t="s">
        <v>1439</v>
      </c>
      <c r="G165" t="s">
        <v>1438</v>
      </c>
      <c r="H165" s="4" t="s">
        <v>1291</v>
      </c>
      <c r="I165" s="10" t="s">
        <v>1435</v>
      </c>
      <c r="J165" s="11">
        <v>4</v>
      </c>
      <c r="K165" s="6" t="s">
        <v>1437</v>
      </c>
      <c r="L165" s="10" t="s">
        <v>1436</v>
      </c>
      <c r="M165" s="11">
        <v>6</v>
      </c>
      <c r="N165" s="10" t="s">
        <v>1292</v>
      </c>
      <c r="O165" s="11">
        <v>1</v>
      </c>
      <c r="P165" s="11">
        <v>2</v>
      </c>
      <c r="Q165" s="10" t="s">
        <v>118</v>
      </c>
      <c r="R165" s="6" t="s">
        <v>193</v>
      </c>
      <c r="S165" s="6" t="s">
        <v>194</v>
      </c>
      <c r="T165" s="10" t="s">
        <v>1293</v>
      </c>
      <c r="U165" s="10" t="s">
        <v>158</v>
      </c>
      <c r="V165" s="10" t="s">
        <v>77</v>
      </c>
      <c r="W165" s="11">
        <v>1</v>
      </c>
      <c r="X165" s="11">
        <v>3</v>
      </c>
      <c r="Y165" s="11">
        <v>1</v>
      </c>
      <c r="Z165" s="11">
        <v>5</v>
      </c>
      <c r="AA165" s="13" t="s">
        <v>74</v>
      </c>
      <c r="AB165" s="7">
        <v>2</v>
      </c>
      <c r="AC165" s="10" t="s">
        <v>72</v>
      </c>
      <c r="AD165" s="6">
        <v>90</v>
      </c>
      <c r="AE165" s="10" t="s">
        <v>73</v>
      </c>
      <c r="AF165" s="6" t="s">
        <v>1294</v>
      </c>
    </row>
    <row r="166" spans="1:32" ht="43.2" x14ac:dyDescent="0.3">
      <c r="A166" t="s">
        <v>1442</v>
      </c>
      <c r="B166" s="6">
        <v>2020</v>
      </c>
      <c r="C166" s="7">
        <v>12</v>
      </c>
      <c r="D166" s="6" t="s">
        <v>71</v>
      </c>
      <c r="E166" s="7">
        <v>1</v>
      </c>
      <c r="F166" s="16" t="s">
        <v>1441</v>
      </c>
      <c r="G166" t="s">
        <v>277</v>
      </c>
      <c r="H166" s="4" t="s">
        <v>1295</v>
      </c>
      <c r="I166" s="10" t="s">
        <v>48</v>
      </c>
      <c r="J166" s="11">
        <v>8</v>
      </c>
      <c r="K166" s="6"/>
      <c r="L166" s="10" t="s">
        <v>1296</v>
      </c>
      <c r="M166" s="11">
        <v>4</v>
      </c>
      <c r="N166" s="10" t="s">
        <v>415</v>
      </c>
      <c r="O166" s="11">
        <v>1</v>
      </c>
      <c r="P166" s="11">
        <v>1</v>
      </c>
      <c r="Q166" s="10" t="s">
        <v>416</v>
      </c>
      <c r="R166" s="6" t="s">
        <v>193</v>
      </c>
      <c r="S166" s="6" t="s">
        <v>194</v>
      </c>
      <c r="T166" s="6" t="s">
        <v>417</v>
      </c>
      <c r="U166" s="10" t="s">
        <v>158</v>
      </c>
      <c r="V166" s="10" t="s">
        <v>1297</v>
      </c>
      <c r="W166" s="11">
        <v>2</v>
      </c>
      <c r="X166" s="11">
        <v>2</v>
      </c>
      <c r="Y166" s="11">
        <v>16</v>
      </c>
      <c r="Z166" s="11">
        <v>3</v>
      </c>
      <c r="AA166" s="13" t="s">
        <v>74</v>
      </c>
      <c r="AB166" s="7">
        <v>2</v>
      </c>
      <c r="AC166" s="10" t="s">
        <v>72</v>
      </c>
      <c r="AD166" s="6">
        <v>90</v>
      </c>
      <c r="AE166" s="10" t="s">
        <v>73</v>
      </c>
      <c r="AF166" s="6" t="s">
        <v>1298</v>
      </c>
    </row>
    <row r="167" spans="1:32" ht="100.8" x14ac:dyDescent="0.3">
      <c r="A167" t="s">
        <v>1423</v>
      </c>
      <c r="B167" s="6">
        <v>2020</v>
      </c>
      <c r="C167" s="7">
        <v>12</v>
      </c>
      <c r="D167" s="6" t="s">
        <v>71</v>
      </c>
      <c r="E167" s="7">
        <v>1</v>
      </c>
      <c r="F167" s="14" t="s">
        <v>1422</v>
      </c>
      <c r="G167" t="s">
        <v>217</v>
      </c>
      <c r="H167" s="4" t="s">
        <v>1299</v>
      </c>
      <c r="I167" s="10" t="s">
        <v>1417</v>
      </c>
      <c r="J167" s="3">
        <v>6</v>
      </c>
      <c r="K167" s="6" t="s">
        <v>967</v>
      </c>
      <c r="L167" s="10" t="s">
        <v>1415</v>
      </c>
      <c r="M167" s="3">
        <v>15</v>
      </c>
      <c r="N167" s="10" t="s">
        <v>738</v>
      </c>
      <c r="O167" s="3">
        <v>2</v>
      </c>
      <c r="P167" s="3">
        <v>3</v>
      </c>
      <c r="Q167" s="10" t="s">
        <v>739</v>
      </c>
      <c r="R167" s="10" t="s">
        <v>740</v>
      </c>
      <c r="S167" s="10" t="s">
        <v>741</v>
      </c>
      <c r="T167" s="10" t="s">
        <v>742</v>
      </c>
      <c r="U167" s="12" t="s">
        <v>1909</v>
      </c>
      <c r="V167" s="12" t="s">
        <v>1421</v>
      </c>
      <c r="W167" s="3">
        <v>3</v>
      </c>
      <c r="X167" s="3">
        <v>3</v>
      </c>
      <c r="Y167" s="3">
        <v>17</v>
      </c>
      <c r="Z167" s="3">
        <v>4</v>
      </c>
      <c r="AA167" s="13" t="s">
        <v>74</v>
      </c>
      <c r="AB167" s="7">
        <v>2</v>
      </c>
      <c r="AC167" s="12" t="s">
        <v>75</v>
      </c>
      <c r="AD167" t="s">
        <v>1419</v>
      </c>
      <c r="AE167" s="10" t="s">
        <v>1420</v>
      </c>
      <c r="AF167" t="s">
        <v>1418</v>
      </c>
    </row>
    <row r="168" spans="1:32" ht="144" x14ac:dyDescent="0.3">
      <c r="A168" t="s">
        <v>1487</v>
      </c>
      <c r="B168" s="6">
        <v>2020</v>
      </c>
      <c r="C168" s="7">
        <v>12</v>
      </c>
      <c r="D168" s="6" t="s">
        <v>71</v>
      </c>
      <c r="E168" s="7">
        <v>1</v>
      </c>
      <c r="F168" s="14" t="s">
        <v>1486</v>
      </c>
      <c r="G168" t="s">
        <v>217</v>
      </c>
      <c r="H168" s="4" t="s">
        <v>1447</v>
      </c>
      <c r="I168" s="10" t="s">
        <v>1485</v>
      </c>
      <c r="J168" s="3">
        <v>3</v>
      </c>
      <c r="K168" s="6" t="s">
        <v>236</v>
      </c>
      <c r="L168" s="10" t="s">
        <v>1481</v>
      </c>
      <c r="M168" s="3">
        <v>2</v>
      </c>
      <c r="N168" s="10" t="s">
        <v>1482</v>
      </c>
      <c r="O168" s="3">
        <v>1</v>
      </c>
      <c r="P168" s="3">
        <v>1</v>
      </c>
      <c r="Q168" s="10" t="s">
        <v>169</v>
      </c>
      <c r="R168" s="10" t="s">
        <v>171</v>
      </c>
      <c r="S168" s="10" t="s">
        <v>172</v>
      </c>
      <c r="T168" s="10" t="s">
        <v>170</v>
      </c>
      <c r="U168" s="10" t="s">
        <v>173</v>
      </c>
      <c r="V168" s="10" t="s">
        <v>1484</v>
      </c>
      <c r="W168" s="7">
        <v>3</v>
      </c>
      <c r="X168" s="7">
        <v>3</v>
      </c>
      <c r="Y168" s="7">
        <v>17</v>
      </c>
      <c r="Z168" s="7">
        <v>4</v>
      </c>
      <c r="AA168" s="13" t="s">
        <v>74</v>
      </c>
      <c r="AB168" s="7">
        <v>2</v>
      </c>
      <c r="AC168" s="12" t="s">
        <v>75</v>
      </c>
      <c r="AD168" t="s">
        <v>174</v>
      </c>
      <c r="AE168" s="12" t="s">
        <v>75</v>
      </c>
      <c r="AF168" t="s">
        <v>1483</v>
      </c>
    </row>
    <row r="169" spans="1:32" ht="144" x14ac:dyDescent="0.3">
      <c r="A169" t="s">
        <v>1500</v>
      </c>
      <c r="B169" s="6">
        <v>2020</v>
      </c>
      <c r="C169" s="7">
        <v>12</v>
      </c>
      <c r="D169" s="6" t="s">
        <v>71</v>
      </c>
      <c r="E169" s="7">
        <v>1</v>
      </c>
      <c r="F169" s="14" t="s">
        <v>1499</v>
      </c>
      <c r="G169" t="s">
        <v>329</v>
      </c>
      <c r="H169" s="4" t="s">
        <v>1448</v>
      </c>
      <c r="I169" s="10" t="s">
        <v>1489</v>
      </c>
      <c r="J169" s="3">
        <v>1</v>
      </c>
      <c r="K169" s="6" t="s">
        <v>1490</v>
      </c>
      <c r="L169" s="10" t="s">
        <v>1488</v>
      </c>
      <c r="M169" s="3">
        <v>15</v>
      </c>
      <c r="N169" s="10" t="s">
        <v>1506</v>
      </c>
      <c r="O169" s="3">
        <v>6</v>
      </c>
      <c r="P169" s="3">
        <v>3</v>
      </c>
      <c r="Q169" s="10" t="s">
        <v>480</v>
      </c>
      <c r="R169" s="10" t="s">
        <v>1492</v>
      </c>
      <c r="S169" s="19" t="s">
        <v>1491</v>
      </c>
      <c r="T169" s="10" t="s">
        <v>1508</v>
      </c>
      <c r="U169" s="10" t="s">
        <v>1493</v>
      </c>
      <c r="V169" s="10" t="s">
        <v>1494</v>
      </c>
      <c r="W169" s="3">
        <v>2</v>
      </c>
      <c r="X169" s="3">
        <v>2</v>
      </c>
      <c r="Y169" s="3">
        <v>16</v>
      </c>
      <c r="Z169" s="3">
        <v>4</v>
      </c>
      <c r="AA169" s="10" t="s">
        <v>1495</v>
      </c>
      <c r="AB169" s="3">
        <v>1</v>
      </c>
      <c r="AC169" t="s">
        <v>72</v>
      </c>
      <c r="AD169" t="s">
        <v>1496</v>
      </c>
      <c r="AE169" s="10" t="s">
        <v>1497</v>
      </c>
      <c r="AF169" t="s">
        <v>1498</v>
      </c>
    </row>
    <row r="170" spans="1:32" ht="43.2" x14ac:dyDescent="0.3">
      <c r="A170" t="s">
        <v>1504</v>
      </c>
      <c r="B170" s="6">
        <v>2020</v>
      </c>
      <c r="C170" s="7">
        <v>12</v>
      </c>
      <c r="D170" s="6" t="s">
        <v>71</v>
      </c>
      <c r="E170" s="7">
        <v>1</v>
      </c>
      <c r="F170" s="14" t="s">
        <v>1502</v>
      </c>
      <c r="G170" t="s">
        <v>1503</v>
      </c>
      <c r="H170" s="4" t="s">
        <v>1449</v>
      </c>
      <c r="I170" s="10" t="s">
        <v>1310</v>
      </c>
      <c r="J170" s="3">
        <v>3</v>
      </c>
      <c r="K170" s="6" t="s">
        <v>1311</v>
      </c>
      <c r="L170" s="10" t="s">
        <v>1501</v>
      </c>
      <c r="M170" s="3">
        <v>4</v>
      </c>
      <c r="N170" s="10" t="s">
        <v>415</v>
      </c>
      <c r="O170" s="3">
        <v>1</v>
      </c>
      <c r="P170" s="3">
        <v>1</v>
      </c>
      <c r="Q170" s="10" t="s">
        <v>416</v>
      </c>
      <c r="R170" s="6" t="s">
        <v>193</v>
      </c>
      <c r="S170" s="6" t="s">
        <v>194</v>
      </c>
      <c r="T170" s="6" t="s">
        <v>417</v>
      </c>
      <c r="U170" s="10" t="s">
        <v>158</v>
      </c>
      <c r="V170" s="10" t="s">
        <v>77</v>
      </c>
      <c r="W170" s="3">
        <v>1</v>
      </c>
      <c r="X170" s="3">
        <v>3</v>
      </c>
      <c r="Y170" s="3">
        <v>1</v>
      </c>
      <c r="Z170" s="3">
        <v>5</v>
      </c>
      <c r="AA170" s="13" t="s">
        <v>74</v>
      </c>
      <c r="AB170" s="7">
        <v>2</v>
      </c>
      <c r="AC170" t="s">
        <v>72</v>
      </c>
      <c r="AD170">
        <v>90</v>
      </c>
      <c r="AE170" s="10" t="s">
        <v>73</v>
      </c>
    </row>
    <row r="171" spans="1:32" ht="172.8" x14ac:dyDescent="0.3">
      <c r="A171" t="s">
        <v>1512</v>
      </c>
      <c r="B171" s="6">
        <v>2020</v>
      </c>
      <c r="C171" s="7">
        <v>12</v>
      </c>
      <c r="D171" s="6" t="s">
        <v>71</v>
      </c>
      <c r="E171" s="7">
        <v>1</v>
      </c>
      <c r="F171" s="14" t="s">
        <v>1511</v>
      </c>
      <c r="G171" t="s">
        <v>637</v>
      </c>
      <c r="H171" s="4" t="s">
        <v>1450</v>
      </c>
      <c r="I171" s="10" t="s">
        <v>48</v>
      </c>
      <c r="J171" s="11">
        <v>8</v>
      </c>
      <c r="K171" s="6"/>
      <c r="L171" s="10" t="s">
        <v>1451</v>
      </c>
      <c r="M171" s="11">
        <v>9</v>
      </c>
      <c r="N171" s="10" t="s">
        <v>1452</v>
      </c>
      <c r="O171" s="11">
        <v>5</v>
      </c>
      <c r="P171" s="11">
        <v>3</v>
      </c>
      <c r="Q171" s="10" t="s">
        <v>1453</v>
      </c>
      <c r="R171" s="10" t="s">
        <v>1505</v>
      </c>
      <c r="S171" s="10" t="s">
        <v>1507</v>
      </c>
      <c r="T171" s="10" t="s">
        <v>1509</v>
      </c>
      <c r="U171" s="10" t="s">
        <v>1635</v>
      </c>
      <c r="V171" s="10" t="s">
        <v>39160</v>
      </c>
      <c r="W171" s="11">
        <v>2</v>
      </c>
      <c r="X171" s="11">
        <v>2</v>
      </c>
      <c r="Y171" s="11">
        <v>16</v>
      </c>
      <c r="Z171" s="11">
        <v>3</v>
      </c>
      <c r="AA171" s="10" t="s">
        <v>1454</v>
      </c>
      <c r="AB171" s="11">
        <v>1</v>
      </c>
      <c r="AC171" s="10" t="s">
        <v>72</v>
      </c>
      <c r="AD171" s="10" t="s">
        <v>1510</v>
      </c>
      <c r="AE171" s="10" t="s">
        <v>73</v>
      </c>
    </row>
    <row r="172" spans="1:32" ht="57.6" x14ac:dyDescent="0.3">
      <c r="A172" t="s">
        <v>1514</v>
      </c>
      <c r="B172" s="6">
        <v>2020</v>
      </c>
      <c r="C172" s="7">
        <v>12</v>
      </c>
      <c r="D172" s="6" t="s">
        <v>71</v>
      </c>
      <c r="E172" s="7">
        <v>1</v>
      </c>
      <c r="F172" s="14" t="s">
        <v>1513</v>
      </c>
      <c r="G172" t="s">
        <v>1175</v>
      </c>
      <c r="H172" s="4" t="s">
        <v>1459</v>
      </c>
      <c r="I172" s="10" t="s">
        <v>1455</v>
      </c>
      <c r="J172" s="7">
        <v>1</v>
      </c>
      <c r="K172" s="6" t="s">
        <v>1456</v>
      </c>
      <c r="L172" s="10" t="s">
        <v>1457</v>
      </c>
      <c r="M172" s="11">
        <v>4</v>
      </c>
      <c r="N172" s="10" t="s">
        <v>1458</v>
      </c>
      <c r="O172" s="11">
        <v>100</v>
      </c>
      <c r="P172" s="11">
        <v>100</v>
      </c>
      <c r="Q172" s="10" t="s">
        <v>118</v>
      </c>
      <c r="R172" s="13" t="s">
        <v>75</v>
      </c>
      <c r="S172" s="13" t="s">
        <v>75</v>
      </c>
      <c r="T172" s="13" t="s">
        <v>75</v>
      </c>
      <c r="U172" s="13" t="s">
        <v>75</v>
      </c>
      <c r="V172" s="13" t="s">
        <v>75</v>
      </c>
      <c r="W172" s="7">
        <v>3</v>
      </c>
      <c r="X172" s="7">
        <v>3</v>
      </c>
      <c r="Y172" s="7">
        <v>17</v>
      </c>
      <c r="Z172" s="7">
        <v>4</v>
      </c>
      <c r="AA172" s="13" t="s">
        <v>75</v>
      </c>
      <c r="AB172" s="7">
        <v>2</v>
      </c>
      <c r="AC172" s="13" t="s">
        <v>75</v>
      </c>
      <c r="AD172" s="13" t="s">
        <v>75</v>
      </c>
      <c r="AE172" s="10" t="s">
        <v>73</v>
      </c>
      <c r="AF172" s="6" t="s">
        <v>1086</v>
      </c>
    </row>
    <row r="173" spans="1:32" ht="86.4" x14ac:dyDescent="0.3">
      <c r="A173" t="s">
        <v>1520</v>
      </c>
      <c r="B173" s="6">
        <v>2020</v>
      </c>
      <c r="C173" s="7">
        <v>12</v>
      </c>
      <c r="D173" s="6" t="s">
        <v>71</v>
      </c>
      <c r="E173" s="7">
        <v>1</v>
      </c>
      <c r="F173" s="14" t="s">
        <v>1519</v>
      </c>
      <c r="G173" t="s">
        <v>637</v>
      </c>
      <c r="H173" s="4" t="s">
        <v>1460</v>
      </c>
      <c r="I173" s="10" t="s">
        <v>658</v>
      </c>
      <c r="J173" s="3">
        <v>3</v>
      </c>
      <c r="K173" s="6" t="s">
        <v>1518</v>
      </c>
      <c r="L173" s="10" t="s">
        <v>1515</v>
      </c>
      <c r="M173" s="3">
        <v>2</v>
      </c>
      <c r="N173" s="10" t="s">
        <v>265</v>
      </c>
      <c r="O173" s="3">
        <v>1</v>
      </c>
      <c r="P173" s="3">
        <v>2</v>
      </c>
      <c r="Q173" s="10" t="s">
        <v>118</v>
      </c>
      <c r="R173" s="10" t="s">
        <v>266</v>
      </c>
      <c r="S173" s="6" t="s">
        <v>267</v>
      </c>
      <c r="T173" s="10" t="s">
        <v>268</v>
      </c>
      <c r="U173" s="12" t="s">
        <v>116</v>
      </c>
      <c r="V173" s="12" t="s">
        <v>506</v>
      </c>
      <c r="W173" s="3">
        <v>3</v>
      </c>
      <c r="X173" s="3">
        <v>3</v>
      </c>
      <c r="Y173" s="3">
        <v>17</v>
      </c>
      <c r="Z173" s="3">
        <v>4</v>
      </c>
      <c r="AA173" s="13" t="s">
        <v>74</v>
      </c>
      <c r="AB173" s="7">
        <v>2</v>
      </c>
      <c r="AC173" s="4" t="s">
        <v>1516</v>
      </c>
      <c r="AD173">
        <v>30</v>
      </c>
      <c r="AE173" s="10" t="s">
        <v>73</v>
      </c>
      <c r="AF173" s="6" t="s">
        <v>1517</v>
      </c>
    </row>
    <row r="174" spans="1:32" ht="86.4" x14ac:dyDescent="0.3">
      <c r="A174" t="s">
        <v>1527</v>
      </c>
      <c r="B174" s="6">
        <v>2020</v>
      </c>
      <c r="C174" s="7">
        <v>12</v>
      </c>
      <c r="D174" s="6" t="s">
        <v>71</v>
      </c>
      <c r="E174" s="7">
        <v>1</v>
      </c>
      <c r="F174" s="14" t="s">
        <v>1526</v>
      </c>
      <c r="G174" t="s">
        <v>1525</v>
      </c>
      <c r="H174" s="4" t="s">
        <v>1461</v>
      </c>
      <c r="I174" s="10" t="s">
        <v>1522</v>
      </c>
      <c r="J174" s="3">
        <v>5</v>
      </c>
      <c r="L174" s="10" t="s">
        <v>1521</v>
      </c>
      <c r="M174" s="3">
        <v>8</v>
      </c>
      <c r="N174" s="10" t="s">
        <v>192</v>
      </c>
      <c r="O174" s="3">
        <v>1</v>
      </c>
      <c r="P174" s="3">
        <v>2</v>
      </c>
      <c r="Q174" s="10" t="s">
        <v>118</v>
      </c>
      <c r="R174" s="6" t="s">
        <v>193</v>
      </c>
      <c r="S174" s="6" t="s">
        <v>194</v>
      </c>
      <c r="T174" s="10" t="s">
        <v>195</v>
      </c>
      <c r="U174" s="10" t="s">
        <v>1523</v>
      </c>
      <c r="V174" s="10" t="s">
        <v>39161</v>
      </c>
      <c r="W174" s="3">
        <v>2</v>
      </c>
      <c r="X174" s="3">
        <v>2</v>
      </c>
      <c r="Y174" s="3">
        <v>16</v>
      </c>
      <c r="Z174" s="3">
        <v>3</v>
      </c>
      <c r="AA174" s="13" t="s">
        <v>74</v>
      </c>
      <c r="AB174" s="7">
        <v>2</v>
      </c>
      <c r="AC174" s="10" t="s">
        <v>72</v>
      </c>
      <c r="AD174">
        <v>30</v>
      </c>
      <c r="AE174" s="10" t="s">
        <v>73</v>
      </c>
      <c r="AF174" t="s">
        <v>1524</v>
      </c>
    </row>
    <row r="175" spans="1:32" ht="43.2" x14ac:dyDescent="0.3">
      <c r="A175" t="s">
        <v>1532</v>
      </c>
      <c r="B175" s="6">
        <v>2020</v>
      </c>
      <c r="C175" s="7">
        <v>12</v>
      </c>
      <c r="D175" s="6" t="s">
        <v>71</v>
      </c>
      <c r="E175" s="7">
        <v>1</v>
      </c>
      <c r="F175" s="14" t="s">
        <v>1531</v>
      </c>
      <c r="G175" t="s">
        <v>1530</v>
      </c>
      <c r="H175" s="4" t="s">
        <v>1462</v>
      </c>
      <c r="I175" s="10" t="s">
        <v>1528</v>
      </c>
      <c r="J175" s="3">
        <v>1</v>
      </c>
      <c r="K175" s="6" t="s">
        <v>967</v>
      </c>
      <c r="L175" s="10" t="s">
        <v>1529</v>
      </c>
      <c r="M175" s="3">
        <v>6</v>
      </c>
      <c r="N175" s="8" t="s">
        <v>75</v>
      </c>
      <c r="O175" s="3">
        <v>100</v>
      </c>
      <c r="P175" s="3">
        <v>100</v>
      </c>
      <c r="Q175" s="12" t="s">
        <v>75</v>
      </c>
      <c r="R175" s="12" t="s">
        <v>75</v>
      </c>
      <c r="S175" s="13" t="s">
        <v>75</v>
      </c>
      <c r="T175" s="13" t="s">
        <v>75</v>
      </c>
      <c r="U175" s="13" t="s">
        <v>75</v>
      </c>
      <c r="V175" s="13" t="s">
        <v>75</v>
      </c>
      <c r="W175" s="7">
        <v>3</v>
      </c>
      <c r="X175" s="7">
        <v>3</v>
      </c>
      <c r="Y175" s="7">
        <v>17</v>
      </c>
      <c r="Z175" s="7">
        <v>4</v>
      </c>
      <c r="AA175" s="13" t="s">
        <v>75</v>
      </c>
      <c r="AB175" s="7">
        <v>2</v>
      </c>
      <c r="AC175" s="13" t="s">
        <v>75</v>
      </c>
      <c r="AD175" s="13" t="s">
        <v>75</v>
      </c>
      <c r="AE175" s="12" t="s">
        <v>75</v>
      </c>
    </row>
    <row r="176" spans="1:32" ht="57.6" x14ac:dyDescent="0.3">
      <c r="A176" t="s">
        <v>1537</v>
      </c>
      <c r="B176" s="6">
        <v>2020</v>
      </c>
      <c r="C176" s="7">
        <v>12</v>
      </c>
      <c r="D176" s="6" t="s">
        <v>71</v>
      </c>
      <c r="E176" s="7">
        <v>1</v>
      </c>
      <c r="F176" s="14" t="s">
        <v>1536</v>
      </c>
      <c r="G176" t="s">
        <v>637</v>
      </c>
      <c r="H176" s="4" t="s">
        <v>1463</v>
      </c>
      <c r="I176" s="10" t="s">
        <v>1534</v>
      </c>
      <c r="J176" s="3">
        <v>3</v>
      </c>
      <c r="K176" s="6" t="s">
        <v>1535</v>
      </c>
      <c r="L176" s="10" t="s">
        <v>1533</v>
      </c>
      <c r="M176" s="3">
        <v>12</v>
      </c>
      <c r="N176" s="10" t="s">
        <v>192</v>
      </c>
      <c r="O176" s="3">
        <v>1</v>
      </c>
      <c r="P176" s="3">
        <v>2</v>
      </c>
      <c r="Q176" t="s">
        <v>118</v>
      </c>
      <c r="R176" s="6" t="s">
        <v>193</v>
      </c>
      <c r="S176" s="6" t="s">
        <v>194</v>
      </c>
      <c r="T176" s="10" t="s">
        <v>195</v>
      </c>
      <c r="U176" t="s">
        <v>955</v>
      </c>
      <c r="V176" t="s">
        <v>72</v>
      </c>
      <c r="W176" s="3">
        <v>1</v>
      </c>
      <c r="X176" s="3">
        <v>3</v>
      </c>
      <c r="Y176" s="3">
        <v>3</v>
      </c>
      <c r="Z176" s="3">
        <v>5</v>
      </c>
      <c r="AA176" s="13" t="s">
        <v>75</v>
      </c>
      <c r="AB176" s="7">
        <v>2</v>
      </c>
      <c r="AC176" s="10" t="s">
        <v>72</v>
      </c>
      <c r="AD176">
        <v>30</v>
      </c>
      <c r="AE176" s="10" t="s">
        <v>73</v>
      </c>
    </row>
    <row r="177" spans="1:32" ht="43.2" x14ac:dyDescent="0.3">
      <c r="A177" t="s">
        <v>1541</v>
      </c>
      <c r="B177" s="6">
        <v>2020</v>
      </c>
      <c r="C177" s="7">
        <v>12</v>
      </c>
      <c r="D177" s="6" t="s">
        <v>71</v>
      </c>
      <c r="E177" s="7">
        <v>1</v>
      </c>
      <c r="F177" s="14" t="s">
        <v>1540</v>
      </c>
      <c r="G177" t="s">
        <v>1539</v>
      </c>
      <c r="H177" s="4" t="s">
        <v>1470</v>
      </c>
      <c r="I177" s="10" t="s">
        <v>1538</v>
      </c>
      <c r="J177" s="3">
        <v>3</v>
      </c>
      <c r="K177" s="6" t="s">
        <v>547</v>
      </c>
      <c r="L177" s="10" t="s">
        <v>504</v>
      </c>
      <c r="M177" s="3">
        <v>1</v>
      </c>
      <c r="N177" s="10" t="s">
        <v>192</v>
      </c>
      <c r="O177" s="3">
        <v>1</v>
      </c>
      <c r="P177" s="3">
        <v>2</v>
      </c>
      <c r="Q177" t="s">
        <v>118</v>
      </c>
      <c r="R177" s="6" t="s">
        <v>193</v>
      </c>
      <c r="S177" s="6" t="s">
        <v>194</v>
      </c>
      <c r="T177" s="10" t="s">
        <v>195</v>
      </c>
      <c r="U177" s="12" t="s">
        <v>116</v>
      </c>
      <c r="V177" s="12" t="s">
        <v>506</v>
      </c>
      <c r="W177" s="3">
        <v>3</v>
      </c>
      <c r="X177" s="3">
        <v>3</v>
      </c>
      <c r="Y177" s="3">
        <v>17</v>
      </c>
      <c r="Z177" s="3">
        <v>4</v>
      </c>
      <c r="AA177" s="13" t="s">
        <v>74</v>
      </c>
      <c r="AB177" s="7">
        <v>2</v>
      </c>
      <c r="AC177" s="4" t="s">
        <v>1516</v>
      </c>
      <c r="AD177">
        <v>30</v>
      </c>
      <c r="AE177" s="10" t="s">
        <v>73</v>
      </c>
    </row>
    <row r="178" spans="1:32" ht="57.6" x14ac:dyDescent="0.3">
      <c r="A178" t="s">
        <v>1548</v>
      </c>
      <c r="B178" s="6">
        <v>2020</v>
      </c>
      <c r="C178" s="7">
        <v>12</v>
      </c>
      <c r="D178" s="6" t="s">
        <v>71</v>
      </c>
      <c r="E178" s="7">
        <v>1</v>
      </c>
      <c r="F178" s="14" t="s">
        <v>1546</v>
      </c>
      <c r="G178" t="s">
        <v>1547</v>
      </c>
      <c r="H178" s="4" t="s">
        <v>1471</v>
      </c>
      <c r="I178" s="10" t="s">
        <v>1544</v>
      </c>
      <c r="J178" s="3">
        <v>3</v>
      </c>
      <c r="K178" s="6" t="s">
        <v>1545</v>
      </c>
      <c r="L178" s="10" t="s">
        <v>1543</v>
      </c>
      <c r="M178" s="3">
        <v>4</v>
      </c>
      <c r="N178" s="10" t="s">
        <v>192</v>
      </c>
      <c r="O178" s="3">
        <v>1</v>
      </c>
      <c r="P178" s="3">
        <v>2</v>
      </c>
      <c r="Q178" t="s">
        <v>118</v>
      </c>
      <c r="R178" s="6" t="s">
        <v>193</v>
      </c>
      <c r="S178" s="6" t="s">
        <v>194</v>
      </c>
      <c r="T178" s="10" t="s">
        <v>195</v>
      </c>
      <c r="U178" t="s">
        <v>158</v>
      </c>
      <c r="V178" t="s">
        <v>77</v>
      </c>
      <c r="W178" s="3">
        <v>1</v>
      </c>
      <c r="X178" s="3">
        <v>3</v>
      </c>
      <c r="Y178" s="3">
        <v>1</v>
      </c>
      <c r="Z178" s="3">
        <v>5</v>
      </c>
      <c r="AA178" s="13" t="s">
        <v>74</v>
      </c>
      <c r="AB178" s="7">
        <v>2</v>
      </c>
      <c r="AC178" s="10" t="s">
        <v>72</v>
      </c>
      <c r="AD178">
        <v>30</v>
      </c>
      <c r="AE178" s="10" t="s">
        <v>73</v>
      </c>
    </row>
    <row r="179" spans="1:32" ht="86.4" x14ac:dyDescent="0.3">
      <c r="A179" t="s">
        <v>1556</v>
      </c>
      <c r="B179" s="6">
        <v>2020</v>
      </c>
      <c r="C179" s="7">
        <v>12</v>
      </c>
      <c r="D179" s="6" t="s">
        <v>71</v>
      </c>
      <c r="E179" s="7">
        <v>1</v>
      </c>
      <c r="F179" s="14" t="s">
        <v>1555</v>
      </c>
      <c r="G179" t="s">
        <v>1530</v>
      </c>
      <c r="H179" s="4" t="s">
        <v>1472</v>
      </c>
      <c r="I179" s="10" t="s">
        <v>1549</v>
      </c>
      <c r="J179" s="3">
        <v>1</v>
      </c>
      <c r="K179" s="6" t="s">
        <v>1550</v>
      </c>
      <c r="L179" s="10" t="s">
        <v>1542</v>
      </c>
      <c r="M179" s="3">
        <v>4</v>
      </c>
      <c r="N179" s="10" t="s">
        <v>1473</v>
      </c>
      <c r="O179" s="3">
        <v>1</v>
      </c>
      <c r="P179" s="3">
        <v>2</v>
      </c>
      <c r="Q179" s="4" t="s">
        <v>1551</v>
      </c>
      <c r="R179" s="6" t="s">
        <v>1210</v>
      </c>
      <c r="S179" s="6" t="s">
        <v>1552</v>
      </c>
      <c r="T179" s="10" t="s">
        <v>1553</v>
      </c>
      <c r="U179" s="4" t="s">
        <v>39137</v>
      </c>
      <c r="V179" s="4" t="s">
        <v>39138</v>
      </c>
      <c r="W179" s="3">
        <v>3</v>
      </c>
      <c r="X179" s="3">
        <v>3</v>
      </c>
      <c r="Y179" s="3">
        <v>17</v>
      </c>
      <c r="Z179" s="3">
        <v>4</v>
      </c>
      <c r="AA179" s="13" t="s">
        <v>74</v>
      </c>
      <c r="AB179" s="7">
        <v>2</v>
      </c>
      <c r="AC179" s="4" t="s">
        <v>1516</v>
      </c>
      <c r="AD179" t="s">
        <v>1554</v>
      </c>
      <c r="AE179" s="10" t="s">
        <v>1339</v>
      </c>
    </row>
    <row r="180" spans="1:32" ht="43.2" x14ac:dyDescent="0.3">
      <c r="A180" t="s">
        <v>1560</v>
      </c>
      <c r="B180" s="6">
        <v>2020</v>
      </c>
      <c r="C180" s="7">
        <v>12</v>
      </c>
      <c r="D180" s="6" t="s">
        <v>71</v>
      </c>
      <c r="E180" s="7">
        <v>1</v>
      </c>
      <c r="F180" s="14" t="s">
        <v>1559</v>
      </c>
      <c r="G180" t="s">
        <v>217</v>
      </c>
      <c r="H180" s="4" t="s">
        <v>1474</v>
      </c>
      <c r="I180" s="10" t="s">
        <v>1485</v>
      </c>
      <c r="J180" s="3">
        <v>3</v>
      </c>
      <c r="K180" s="6" t="s">
        <v>1557</v>
      </c>
      <c r="L180" s="10" t="s">
        <v>1558</v>
      </c>
      <c r="M180" s="3">
        <v>2</v>
      </c>
      <c r="N180" s="10" t="s">
        <v>192</v>
      </c>
      <c r="O180" s="3">
        <v>1</v>
      </c>
      <c r="P180" s="3">
        <v>2</v>
      </c>
      <c r="Q180" t="s">
        <v>118</v>
      </c>
      <c r="R180" s="6" t="s">
        <v>193</v>
      </c>
      <c r="S180" s="6" t="s">
        <v>194</v>
      </c>
      <c r="T180" s="10" t="s">
        <v>195</v>
      </c>
      <c r="U180" s="12" t="s">
        <v>116</v>
      </c>
      <c r="V180" s="12" t="s">
        <v>506</v>
      </c>
      <c r="W180" s="3">
        <v>3</v>
      </c>
      <c r="X180" s="3">
        <v>3</v>
      </c>
      <c r="Y180" s="3">
        <v>17</v>
      </c>
      <c r="Z180" s="3">
        <v>4</v>
      </c>
      <c r="AA180" s="13" t="s">
        <v>74</v>
      </c>
      <c r="AB180" s="7">
        <v>2</v>
      </c>
      <c r="AC180" s="4" t="s">
        <v>1516</v>
      </c>
      <c r="AD180">
        <v>90</v>
      </c>
      <c r="AE180" s="10" t="s">
        <v>73</v>
      </c>
    </row>
    <row r="181" spans="1:32" ht="72" x14ac:dyDescent="0.3">
      <c r="A181" t="s">
        <v>1572</v>
      </c>
      <c r="B181" s="6">
        <v>2020</v>
      </c>
      <c r="C181" s="7">
        <v>12</v>
      </c>
      <c r="D181" s="6" t="s">
        <v>71</v>
      </c>
      <c r="E181" s="7">
        <v>1</v>
      </c>
      <c r="F181" s="14" t="s">
        <v>1571</v>
      </c>
      <c r="G181" t="s">
        <v>1570</v>
      </c>
      <c r="H181" s="4" t="s">
        <v>1475</v>
      </c>
      <c r="I181" s="10" t="s">
        <v>1569</v>
      </c>
      <c r="J181" s="3">
        <v>5</v>
      </c>
      <c r="K181" s="6" t="s">
        <v>109</v>
      </c>
      <c r="L181" s="10" t="s">
        <v>1561</v>
      </c>
      <c r="M181" s="3">
        <v>1</v>
      </c>
      <c r="N181" s="10" t="s">
        <v>1562</v>
      </c>
      <c r="O181" s="11">
        <v>1</v>
      </c>
      <c r="P181" s="11">
        <v>100</v>
      </c>
      <c r="Q181" s="10" t="s">
        <v>134</v>
      </c>
      <c r="R181" s="10" t="s">
        <v>1563</v>
      </c>
      <c r="S181" s="10" t="s">
        <v>1564</v>
      </c>
      <c r="T181" s="10" t="s">
        <v>1565</v>
      </c>
      <c r="U181" s="10" t="s">
        <v>185</v>
      </c>
      <c r="V181" s="10" t="s">
        <v>1566</v>
      </c>
      <c r="W181" s="3">
        <v>3</v>
      </c>
      <c r="X181" s="3">
        <v>3</v>
      </c>
      <c r="Y181" s="3">
        <v>17</v>
      </c>
      <c r="Z181" s="3">
        <v>4</v>
      </c>
      <c r="AA181" s="13" t="s">
        <v>74</v>
      </c>
      <c r="AB181" s="7">
        <v>2</v>
      </c>
      <c r="AC181" s="4" t="s">
        <v>1516</v>
      </c>
      <c r="AD181" t="s">
        <v>1568</v>
      </c>
      <c r="AE181" s="10" t="s">
        <v>1567</v>
      </c>
    </row>
    <row r="182" spans="1:32" ht="86.4" x14ac:dyDescent="0.3">
      <c r="A182" t="s">
        <v>1574</v>
      </c>
      <c r="B182" s="6">
        <v>2020</v>
      </c>
      <c r="C182" s="7">
        <v>12</v>
      </c>
      <c r="D182" s="6" t="s">
        <v>71</v>
      </c>
      <c r="E182" s="7">
        <v>1</v>
      </c>
      <c r="F182" s="14" t="s">
        <v>1573</v>
      </c>
      <c r="G182" t="s">
        <v>318</v>
      </c>
      <c r="H182" s="4" t="s">
        <v>1476</v>
      </c>
      <c r="I182" s="10" t="s">
        <v>1477</v>
      </c>
      <c r="J182" s="11">
        <v>3</v>
      </c>
      <c r="K182" s="6"/>
      <c r="L182" s="10" t="s">
        <v>1478</v>
      </c>
      <c r="M182" s="11">
        <v>4</v>
      </c>
      <c r="N182" s="10" t="s">
        <v>343</v>
      </c>
      <c r="O182" s="11">
        <v>1</v>
      </c>
      <c r="P182" s="11">
        <v>2</v>
      </c>
      <c r="Q182" s="10" t="s">
        <v>118</v>
      </c>
      <c r="R182" s="10" t="s">
        <v>344</v>
      </c>
      <c r="S182" s="6" t="s">
        <v>345</v>
      </c>
      <c r="T182" s="10" t="s">
        <v>346</v>
      </c>
      <c r="U182" s="12" t="s">
        <v>347</v>
      </c>
      <c r="V182" s="10" t="s">
        <v>1479</v>
      </c>
      <c r="W182" s="11">
        <v>2</v>
      </c>
      <c r="X182" s="11">
        <v>2</v>
      </c>
      <c r="Y182" s="11">
        <v>16</v>
      </c>
      <c r="Z182" s="11">
        <v>3</v>
      </c>
      <c r="AA182" s="12" t="s">
        <v>74</v>
      </c>
      <c r="AB182" s="11">
        <v>2</v>
      </c>
      <c r="AC182" s="12" t="s">
        <v>75</v>
      </c>
      <c r="AD182" s="6">
        <v>30</v>
      </c>
      <c r="AE182" s="10" t="s">
        <v>73</v>
      </c>
      <c r="AF182" s="6" t="s">
        <v>1480</v>
      </c>
    </row>
    <row r="183" spans="1:32" ht="72" x14ac:dyDescent="0.3">
      <c r="A183" t="s">
        <v>1612</v>
      </c>
      <c r="B183" s="6">
        <v>2020</v>
      </c>
      <c r="C183" s="7">
        <v>12</v>
      </c>
      <c r="D183" s="6" t="s">
        <v>71</v>
      </c>
      <c r="E183" s="7">
        <v>1</v>
      </c>
      <c r="F183" s="14" t="s">
        <v>1611</v>
      </c>
      <c r="G183" t="s">
        <v>958</v>
      </c>
      <c r="H183" s="4" t="s">
        <v>1575</v>
      </c>
      <c r="I183" s="10" t="s">
        <v>1310</v>
      </c>
      <c r="J183" s="3">
        <v>3</v>
      </c>
      <c r="K183" s="6" t="s">
        <v>1311</v>
      </c>
      <c r="L183" s="10" t="s">
        <v>1610</v>
      </c>
      <c r="M183" s="3">
        <v>1</v>
      </c>
      <c r="N183" s="10" t="s">
        <v>343</v>
      </c>
      <c r="O183" s="11">
        <v>1</v>
      </c>
      <c r="P183" s="11">
        <v>2</v>
      </c>
      <c r="Q183" s="10" t="s">
        <v>118</v>
      </c>
      <c r="R183" s="10" t="s">
        <v>344</v>
      </c>
      <c r="S183" s="6" t="s">
        <v>345</v>
      </c>
      <c r="T183" s="10" t="s">
        <v>346</v>
      </c>
      <c r="U183" s="10" t="s">
        <v>158</v>
      </c>
      <c r="V183" s="10" t="s">
        <v>77</v>
      </c>
      <c r="W183" s="3">
        <v>1</v>
      </c>
      <c r="X183" s="3">
        <v>3</v>
      </c>
      <c r="Y183" s="3">
        <v>1</v>
      </c>
      <c r="Z183" s="3">
        <v>5</v>
      </c>
      <c r="AA183" s="13" t="s">
        <v>74</v>
      </c>
      <c r="AB183" s="7">
        <v>2</v>
      </c>
      <c r="AC183" s="10" t="s">
        <v>72</v>
      </c>
      <c r="AD183">
        <v>30</v>
      </c>
      <c r="AE183" s="10" t="s">
        <v>73</v>
      </c>
    </row>
    <row r="184" spans="1:32" ht="72" x14ac:dyDescent="0.3">
      <c r="A184" t="s">
        <v>1650</v>
      </c>
      <c r="B184" s="6">
        <v>2019</v>
      </c>
      <c r="C184" s="7">
        <v>11</v>
      </c>
      <c r="D184" s="6" t="s">
        <v>71</v>
      </c>
      <c r="E184" s="7">
        <v>1</v>
      </c>
      <c r="F184" s="14" t="s">
        <v>1649</v>
      </c>
      <c r="G184" t="s">
        <v>147</v>
      </c>
      <c r="H184" s="4" t="s">
        <v>1576</v>
      </c>
      <c r="I184" s="10" t="s">
        <v>203</v>
      </c>
      <c r="J184" s="3">
        <v>3</v>
      </c>
      <c r="K184" s="6" t="s">
        <v>109</v>
      </c>
      <c r="L184" s="10" t="s">
        <v>1651</v>
      </c>
      <c r="M184" s="3">
        <v>1</v>
      </c>
      <c r="N184" s="10" t="s">
        <v>111</v>
      </c>
      <c r="O184" s="3">
        <v>1</v>
      </c>
      <c r="P184" s="3">
        <v>100</v>
      </c>
      <c r="Q184" s="10" t="s">
        <v>118</v>
      </c>
      <c r="R184" s="10" t="s">
        <v>119</v>
      </c>
      <c r="S184" s="12" t="s">
        <v>75</v>
      </c>
      <c r="T184" s="10" t="s">
        <v>120</v>
      </c>
      <c r="U184" s="10" t="s">
        <v>158</v>
      </c>
      <c r="V184" s="10" t="s">
        <v>78</v>
      </c>
      <c r="W184" s="11">
        <v>1</v>
      </c>
      <c r="X184" s="11">
        <v>3</v>
      </c>
      <c r="Y184" s="11">
        <v>2</v>
      </c>
      <c r="Z184" s="11">
        <v>5</v>
      </c>
      <c r="AA184" s="12" t="s">
        <v>74</v>
      </c>
      <c r="AB184" s="7">
        <v>2</v>
      </c>
      <c r="AC184" s="12" t="s">
        <v>75</v>
      </c>
      <c r="AD184" s="10">
        <v>8.1</v>
      </c>
      <c r="AE184" s="12" t="s">
        <v>75</v>
      </c>
    </row>
    <row r="185" spans="1:32" ht="57.6" x14ac:dyDescent="0.3">
      <c r="A185" t="s">
        <v>1616</v>
      </c>
      <c r="B185" s="6">
        <v>2019</v>
      </c>
      <c r="C185" s="7">
        <v>11</v>
      </c>
      <c r="D185" s="6" t="s">
        <v>71</v>
      </c>
      <c r="E185" s="7">
        <v>1</v>
      </c>
      <c r="F185" s="14" t="s">
        <v>1615</v>
      </c>
      <c r="G185" t="s">
        <v>217</v>
      </c>
      <c r="H185" s="4" t="s">
        <v>1577</v>
      </c>
      <c r="I185" s="10" t="s">
        <v>1614</v>
      </c>
      <c r="J185" s="3">
        <v>7</v>
      </c>
      <c r="K185" s="6" t="s">
        <v>547</v>
      </c>
      <c r="L185" s="10" t="s">
        <v>1613</v>
      </c>
      <c r="M185" s="3">
        <v>15</v>
      </c>
      <c r="N185" s="8" t="s">
        <v>75</v>
      </c>
      <c r="O185" s="3">
        <v>100</v>
      </c>
      <c r="P185" s="3">
        <v>100</v>
      </c>
      <c r="Q185" s="12" t="s">
        <v>75</v>
      </c>
      <c r="R185" s="12" t="s">
        <v>75</v>
      </c>
      <c r="S185" s="13" t="s">
        <v>75</v>
      </c>
      <c r="T185" s="13" t="s">
        <v>75</v>
      </c>
      <c r="U185" s="13" t="s">
        <v>75</v>
      </c>
      <c r="V185" s="13" t="s">
        <v>75</v>
      </c>
      <c r="W185" s="7">
        <v>3</v>
      </c>
      <c r="X185" s="7">
        <v>3</v>
      </c>
      <c r="Y185" s="7">
        <v>17</v>
      </c>
      <c r="Z185" s="7">
        <v>4</v>
      </c>
      <c r="AA185" s="13" t="s">
        <v>75</v>
      </c>
      <c r="AB185" s="7">
        <v>2</v>
      </c>
      <c r="AC185" s="13" t="s">
        <v>75</v>
      </c>
      <c r="AD185" s="6">
        <v>5</v>
      </c>
      <c r="AE185" s="12" t="s">
        <v>75</v>
      </c>
    </row>
    <row r="186" spans="1:32" ht="43.2" x14ac:dyDescent="0.3">
      <c r="A186" t="s">
        <v>1655</v>
      </c>
      <c r="B186" s="6">
        <v>2019</v>
      </c>
      <c r="C186" s="7">
        <v>11</v>
      </c>
      <c r="D186" s="6" t="s">
        <v>71</v>
      </c>
      <c r="E186" s="7">
        <v>1</v>
      </c>
      <c r="F186" s="14" t="s">
        <v>1654</v>
      </c>
      <c r="G186" t="s">
        <v>217</v>
      </c>
      <c r="H186" s="4" t="s">
        <v>1578</v>
      </c>
      <c r="I186" s="10" t="s">
        <v>1652</v>
      </c>
      <c r="J186" s="3">
        <v>7</v>
      </c>
      <c r="K186" s="6" t="s">
        <v>573</v>
      </c>
      <c r="L186" s="10" t="s">
        <v>504</v>
      </c>
      <c r="M186" s="3">
        <v>1</v>
      </c>
      <c r="N186" s="10" t="s">
        <v>192</v>
      </c>
      <c r="O186" s="3">
        <v>1</v>
      </c>
      <c r="P186" s="3">
        <v>2</v>
      </c>
      <c r="Q186" t="s">
        <v>118</v>
      </c>
      <c r="R186" s="6" t="s">
        <v>193</v>
      </c>
      <c r="S186" s="6" t="s">
        <v>194</v>
      </c>
      <c r="T186" s="10" t="s">
        <v>195</v>
      </c>
      <c r="U186" s="12" t="s">
        <v>347</v>
      </c>
      <c r="V186" s="12" t="s">
        <v>506</v>
      </c>
      <c r="W186" s="3">
        <v>3</v>
      </c>
      <c r="X186" s="3">
        <v>3</v>
      </c>
      <c r="Y186" s="3">
        <v>17</v>
      </c>
      <c r="Z186" s="3">
        <v>4</v>
      </c>
      <c r="AA186" s="13" t="s">
        <v>75</v>
      </c>
      <c r="AB186" s="7">
        <v>2</v>
      </c>
      <c r="AC186" s="12" t="s">
        <v>1653</v>
      </c>
      <c r="AD186">
        <v>90</v>
      </c>
      <c r="AE186" t="s">
        <v>73</v>
      </c>
    </row>
    <row r="187" spans="1:32" ht="86.4" x14ac:dyDescent="0.3">
      <c r="A187" t="s">
        <v>1658</v>
      </c>
      <c r="B187" s="6">
        <v>2019</v>
      </c>
      <c r="C187" s="7">
        <v>11</v>
      </c>
      <c r="D187" s="6" t="s">
        <v>71</v>
      </c>
      <c r="E187" s="7">
        <v>1</v>
      </c>
      <c r="F187" s="14" t="s">
        <v>1657</v>
      </c>
      <c r="G187" t="s">
        <v>329</v>
      </c>
      <c r="H187" s="4" t="s">
        <v>1579</v>
      </c>
      <c r="I187" s="10" t="s">
        <v>48</v>
      </c>
      <c r="J187" s="3">
        <v>8</v>
      </c>
      <c r="L187" s="10" t="s">
        <v>1656</v>
      </c>
      <c r="M187" s="3">
        <v>5</v>
      </c>
      <c r="N187" s="10" t="s">
        <v>1292</v>
      </c>
      <c r="O187" s="3">
        <v>1</v>
      </c>
      <c r="P187" s="3">
        <v>2</v>
      </c>
      <c r="Q187" t="s">
        <v>118</v>
      </c>
      <c r="R187" s="6" t="s">
        <v>193</v>
      </c>
      <c r="S187" s="6" t="s">
        <v>194</v>
      </c>
      <c r="T187" s="10" t="s">
        <v>195</v>
      </c>
      <c r="U187" s="10" t="s">
        <v>158</v>
      </c>
      <c r="V187" s="4" t="s">
        <v>77</v>
      </c>
      <c r="W187" s="3">
        <v>1</v>
      </c>
      <c r="X187" s="3">
        <v>3</v>
      </c>
      <c r="Y187" s="3">
        <v>1</v>
      </c>
      <c r="Z187" s="3">
        <v>5</v>
      </c>
      <c r="AA187" s="13" t="s">
        <v>75</v>
      </c>
      <c r="AB187" s="7">
        <v>2</v>
      </c>
      <c r="AC187" t="s">
        <v>72</v>
      </c>
      <c r="AD187">
        <v>90</v>
      </c>
      <c r="AE187" t="s">
        <v>73</v>
      </c>
    </row>
    <row r="188" spans="1:32" ht="86.4" x14ac:dyDescent="0.3">
      <c r="A188" t="s">
        <v>1623</v>
      </c>
      <c r="B188" s="6">
        <v>2019</v>
      </c>
      <c r="C188" s="7">
        <v>11</v>
      </c>
      <c r="D188" s="6" t="s">
        <v>71</v>
      </c>
      <c r="E188" s="7">
        <v>1</v>
      </c>
      <c r="F188" s="14" t="s">
        <v>1622</v>
      </c>
      <c r="G188" t="s">
        <v>1621</v>
      </c>
      <c r="H188" s="4" t="s">
        <v>1580</v>
      </c>
      <c r="I188" s="4" t="s">
        <v>1618</v>
      </c>
      <c r="J188" s="3">
        <v>4</v>
      </c>
      <c r="K188" t="s">
        <v>1619</v>
      </c>
      <c r="L188" s="4" t="s">
        <v>1617</v>
      </c>
      <c r="M188" s="3">
        <v>4</v>
      </c>
      <c r="N188" s="10" t="s">
        <v>517</v>
      </c>
      <c r="O188" s="3">
        <v>1</v>
      </c>
      <c r="P188" s="3">
        <v>2</v>
      </c>
      <c r="Q188" t="s">
        <v>118</v>
      </c>
      <c r="R188" s="10" t="s">
        <v>344</v>
      </c>
      <c r="S188" s="10" t="s">
        <v>345</v>
      </c>
      <c r="T188" s="10" t="s">
        <v>346</v>
      </c>
      <c r="U188" s="10" t="s">
        <v>158</v>
      </c>
      <c r="V188" s="4" t="s">
        <v>77</v>
      </c>
      <c r="W188" s="3">
        <v>1</v>
      </c>
      <c r="X188" s="3">
        <v>3</v>
      </c>
      <c r="Y188" s="3">
        <v>1</v>
      </c>
      <c r="Z188" s="3">
        <v>5</v>
      </c>
      <c r="AA188" s="13" t="s">
        <v>75</v>
      </c>
      <c r="AB188" s="7">
        <v>2</v>
      </c>
      <c r="AC188" t="s">
        <v>72</v>
      </c>
      <c r="AD188" t="s">
        <v>1620</v>
      </c>
      <c r="AE188" t="s">
        <v>732</v>
      </c>
      <c r="AF188" t="s">
        <v>1001</v>
      </c>
    </row>
    <row r="189" spans="1:32" ht="43.2" x14ac:dyDescent="0.3">
      <c r="A189" t="s">
        <v>1627</v>
      </c>
      <c r="B189" s="6">
        <v>2019</v>
      </c>
      <c r="C189" s="7">
        <v>11</v>
      </c>
      <c r="D189" s="6" t="s">
        <v>71</v>
      </c>
      <c r="E189" s="7">
        <v>1</v>
      </c>
      <c r="F189" s="14" t="s">
        <v>1626</v>
      </c>
      <c r="G189" t="s">
        <v>217</v>
      </c>
      <c r="H189" s="4" t="s">
        <v>1581</v>
      </c>
      <c r="I189" s="4" t="s">
        <v>1047</v>
      </c>
      <c r="J189" s="3">
        <v>3</v>
      </c>
      <c r="K189" t="s">
        <v>109</v>
      </c>
      <c r="L189" t="s">
        <v>1542</v>
      </c>
      <c r="M189" s="3">
        <v>4</v>
      </c>
      <c r="N189" s="4" t="s">
        <v>1582</v>
      </c>
      <c r="O189" s="11">
        <v>2</v>
      </c>
      <c r="P189" s="11">
        <v>3</v>
      </c>
      <c r="Q189" s="10" t="s">
        <v>134</v>
      </c>
      <c r="R189" s="6" t="s">
        <v>135</v>
      </c>
      <c r="S189" s="10" t="s">
        <v>1624</v>
      </c>
      <c r="T189" s="10" t="s">
        <v>1625</v>
      </c>
      <c r="U189" s="12" t="s">
        <v>347</v>
      </c>
      <c r="V189" s="12" t="s">
        <v>506</v>
      </c>
      <c r="W189" s="3">
        <v>3</v>
      </c>
      <c r="X189" s="3">
        <v>3</v>
      </c>
      <c r="Y189" s="3">
        <v>17</v>
      </c>
      <c r="Z189" s="3">
        <v>4</v>
      </c>
      <c r="AA189" s="13" t="s">
        <v>75</v>
      </c>
      <c r="AB189" s="7">
        <v>2</v>
      </c>
      <c r="AC189" s="13" t="s">
        <v>75</v>
      </c>
      <c r="AD189" s="13" t="s">
        <v>75</v>
      </c>
      <c r="AE189" s="12" t="s">
        <v>75</v>
      </c>
    </row>
    <row r="190" spans="1:32" ht="57.6" x14ac:dyDescent="0.3">
      <c r="A190" t="s">
        <v>1679</v>
      </c>
      <c r="B190" s="6">
        <v>2019</v>
      </c>
      <c r="C190" s="7">
        <v>11</v>
      </c>
      <c r="D190" s="6" t="s">
        <v>71</v>
      </c>
      <c r="E190" s="7">
        <v>1</v>
      </c>
      <c r="F190" s="16" t="s">
        <v>1678</v>
      </c>
      <c r="G190" t="s">
        <v>799</v>
      </c>
      <c r="H190" s="4" t="s">
        <v>1591</v>
      </c>
      <c r="I190" s="10" t="s">
        <v>48</v>
      </c>
      <c r="J190" s="11">
        <v>8</v>
      </c>
      <c r="K190" s="6"/>
      <c r="L190" s="10" t="s">
        <v>1583</v>
      </c>
      <c r="M190" s="11">
        <v>1</v>
      </c>
      <c r="N190" s="10" t="s">
        <v>1584</v>
      </c>
      <c r="O190" s="11">
        <v>1</v>
      </c>
      <c r="P190" s="11">
        <v>2</v>
      </c>
      <c r="Q190" s="10" t="s">
        <v>1585</v>
      </c>
      <c r="R190" s="6"/>
      <c r="S190" s="6" t="s">
        <v>1586</v>
      </c>
      <c r="T190" s="10" t="s">
        <v>1587</v>
      </c>
      <c r="U190" s="10" t="s">
        <v>1588</v>
      </c>
      <c r="V190" s="10" t="s">
        <v>1589</v>
      </c>
      <c r="W190" s="7">
        <v>2</v>
      </c>
      <c r="X190" s="7">
        <v>2</v>
      </c>
      <c r="Y190" s="7">
        <v>16</v>
      </c>
      <c r="Z190" s="7">
        <v>3</v>
      </c>
      <c r="AA190" s="13" t="s">
        <v>74</v>
      </c>
      <c r="AB190" s="7">
        <v>2</v>
      </c>
      <c r="AC190" s="10" t="s">
        <v>72</v>
      </c>
      <c r="AD190" s="6">
        <v>2000</v>
      </c>
      <c r="AE190" s="10" t="s">
        <v>73</v>
      </c>
      <c r="AF190" s="6" t="s">
        <v>1590</v>
      </c>
    </row>
    <row r="191" spans="1:32" ht="57.6" x14ac:dyDescent="0.3">
      <c r="A191" t="s">
        <v>1682</v>
      </c>
      <c r="B191" s="6">
        <v>2019</v>
      </c>
      <c r="C191" s="7">
        <v>11</v>
      </c>
      <c r="D191" s="6" t="s">
        <v>71</v>
      </c>
      <c r="E191" s="7">
        <v>1</v>
      </c>
      <c r="F191" s="16" t="s">
        <v>1681</v>
      </c>
      <c r="G191" t="s">
        <v>80</v>
      </c>
      <c r="H191" s="4" t="s">
        <v>1592</v>
      </c>
      <c r="I191" s="10" t="s">
        <v>1674</v>
      </c>
      <c r="J191" s="11">
        <v>9</v>
      </c>
      <c r="K191" s="6"/>
      <c r="L191" s="10" t="s">
        <v>1680</v>
      </c>
      <c r="M191" s="11">
        <v>1</v>
      </c>
      <c r="N191" s="10" t="s">
        <v>192</v>
      </c>
      <c r="O191" s="11">
        <v>1</v>
      </c>
      <c r="P191" s="11">
        <v>2</v>
      </c>
      <c r="Q191" s="10" t="s">
        <v>118</v>
      </c>
      <c r="R191" s="6" t="s">
        <v>193</v>
      </c>
      <c r="S191" s="6" t="s">
        <v>194</v>
      </c>
      <c r="T191" s="10" t="s">
        <v>195</v>
      </c>
      <c r="U191" s="12" t="s">
        <v>347</v>
      </c>
      <c r="V191" s="12" t="s">
        <v>506</v>
      </c>
      <c r="W191" s="7">
        <v>3</v>
      </c>
      <c r="X191" s="7">
        <v>3</v>
      </c>
      <c r="Y191" s="7">
        <v>17</v>
      </c>
      <c r="Z191" s="7">
        <v>4</v>
      </c>
      <c r="AA191" s="12" t="s">
        <v>74</v>
      </c>
      <c r="AB191" s="11">
        <v>2</v>
      </c>
      <c r="AC191" s="12" t="s">
        <v>75</v>
      </c>
      <c r="AD191" s="6">
        <v>30</v>
      </c>
      <c r="AE191" s="10" t="s">
        <v>73</v>
      </c>
    </row>
    <row r="192" spans="1:32" ht="57.6" x14ac:dyDescent="0.3">
      <c r="A192" t="s">
        <v>1668</v>
      </c>
      <c r="B192" s="6">
        <v>2019</v>
      </c>
      <c r="C192" s="7">
        <v>11</v>
      </c>
      <c r="D192" s="6" t="s">
        <v>71</v>
      </c>
      <c r="E192" s="7">
        <v>1</v>
      </c>
      <c r="F192" s="14" t="s">
        <v>1667</v>
      </c>
      <c r="G192" t="s">
        <v>80</v>
      </c>
      <c r="H192" s="4" t="s">
        <v>1593</v>
      </c>
      <c r="I192" s="4" t="s">
        <v>1663</v>
      </c>
      <c r="J192" s="3">
        <v>3</v>
      </c>
      <c r="K192" t="s">
        <v>1662</v>
      </c>
      <c r="L192" t="s">
        <v>1666</v>
      </c>
      <c r="M192" s="3">
        <v>1</v>
      </c>
      <c r="N192" s="10" t="s">
        <v>1594</v>
      </c>
      <c r="O192" s="3">
        <v>1</v>
      </c>
      <c r="P192" s="3">
        <v>1</v>
      </c>
      <c r="Q192" t="s">
        <v>118</v>
      </c>
      <c r="R192" s="6" t="s">
        <v>1210</v>
      </c>
      <c r="S192" s="20" t="s">
        <v>1664</v>
      </c>
      <c r="T192" s="10" t="s">
        <v>424</v>
      </c>
      <c r="U192" t="s">
        <v>955</v>
      </c>
      <c r="V192" t="s">
        <v>72</v>
      </c>
      <c r="W192" s="3">
        <v>1</v>
      </c>
      <c r="X192" s="3">
        <v>3</v>
      </c>
      <c r="Y192" s="3">
        <v>3</v>
      </c>
      <c r="Z192" s="3">
        <v>5</v>
      </c>
      <c r="AA192" s="13" t="s">
        <v>74</v>
      </c>
      <c r="AB192" s="7">
        <v>2</v>
      </c>
      <c r="AC192" t="s">
        <v>72</v>
      </c>
      <c r="AD192" t="s">
        <v>1665</v>
      </c>
      <c r="AE192" s="4" t="s">
        <v>427</v>
      </c>
    </row>
    <row r="193" spans="1:32" ht="57.6" x14ac:dyDescent="0.3">
      <c r="A193" t="s">
        <v>1677</v>
      </c>
      <c r="B193" s="6">
        <v>2019</v>
      </c>
      <c r="C193" s="7">
        <v>11</v>
      </c>
      <c r="D193" s="6" t="s">
        <v>71</v>
      </c>
      <c r="E193" s="7">
        <v>1</v>
      </c>
      <c r="F193" s="14" t="s">
        <v>1676</v>
      </c>
      <c r="G193" t="s">
        <v>1570</v>
      </c>
      <c r="H193" s="4" t="s">
        <v>1595</v>
      </c>
      <c r="I193" s="4" t="s">
        <v>1686</v>
      </c>
      <c r="J193" s="3">
        <v>6</v>
      </c>
      <c r="K193" t="s">
        <v>1188</v>
      </c>
      <c r="L193" s="4" t="s">
        <v>1675</v>
      </c>
      <c r="M193" s="3">
        <v>2</v>
      </c>
      <c r="N193" s="8" t="s">
        <v>75</v>
      </c>
      <c r="O193" s="3">
        <v>100</v>
      </c>
      <c r="P193" s="3">
        <v>100</v>
      </c>
      <c r="Q193" s="12" t="s">
        <v>75</v>
      </c>
      <c r="R193" s="12" t="s">
        <v>75</v>
      </c>
      <c r="S193" s="13" t="s">
        <v>75</v>
      </c>
      <c r="T193" s="13" t="s">
        <v>75</v>
      </c>
      <c r="U193" s="13" t="s">
        <v>75</v>
      </c>
      <c r="V193" s="13" t="s">
        <v>75</v>
      </c>
      <c r="W193" s="7">
        <v>3</v>
      </c>
      <c r="X193" s="7">
        <v>3</v>
      </c>
      <c r="Y193" s="7">
        <v>17</v>
      </c>
      <c r="Z193" s="7">
        <v>4</v>
      </c>
      <c r="AA193" s="13" t="s">
        <v>75</v>
      </c>
      <c r="AB193" s="7">
        <v>2</v>
      </c>
      <c r="AC193" s="13" t="s">
        <v>75</v>
      </c>
      <c r="AD193" s="13" t="s">
        <v>75</v>
      </c>
      <c r="AE193" s="12" t="s">
        <v>75</v>
      </c>
    </row>
    <row r="194" spans="1:32" ht="72" x14ac:dyDescent="0.3">
      <c r="A194" t="s">
        <v>1648</v>
      </c>
      <c r="B194" s="6">
        <v>2018</v>
      </c>
      <c r="C194" s="7">
        <v>10</v>
      </c>
      <c r="D194" s="6" t="s">
        <v>71</v>
      </c>
      <c r="E194" s="7">
        <v>1</v>
      </c>
      <c r="F194" s="14" t="s">
        <v>1647</v>
      </c>
      <c r="G194" t="s">
        <v>1525</v>
      </c>
      <c r="H194" s="4" t="s">
        <v>1596</v>
      </c>
      <c r="I194" s="4" t="s">
        <v>1628</v>
      </c>
      <c r="J194" s="3">
        <v>6</v>
      </c>
      <c r="K194" t="s">
        <v>1646</v>
      </c>
      <c r="L194" s="4" t="s">
        <v>1629</v>
      </c>
      <c r="M194" s="3">
        <v>4</v>
      </c>
      <c r="N194" s="10" t="s">
        <v>1630</v>
      </c>
      <c r="O194" s="3">
        <v>2</v>
      </c>
      <c r="P194" s="3">
        <v>3</v>
      </c>
      <c r="Q194" s="4" t="s">
        <v>1631</v>
      </c>
      <c r="R194" s="10" t="s">
        <v>1632</v>
      </c>
      <c r="S194" s="10" t="s">
        <v>1633</v>
      </c>
      <c r="T194" s="10" t="s">
        <v>1634</v>
      </c>
      <c r="U194" s="10" t="s">
        <v>1635</v>
      </c>
      <c r="V194" s="10" t="s">
        <v>1636</v>
      </c>
      <c r="W194" s="3">
        <v>2</v>
      </c>
      <c r="X194" s="3">
        <v>2</v>
      </c>
      <c r="Y194" s="3">
        <v>9</v>
      </c>
      <c r="Z194" s="3">
        <v>3</v>
      </c>
      <c r="AA194" s="13" t="s">
        <v>74</v>
      </c>
      <c r="AB194" s="7">
        <v>2</v>
      </c>
      <c r="AC194" s="13" t="s">
        <v>75</v>
      </c>
      <c r="AD194" s="4" t="s">
        <v>1645</v>
      </c>
      <c r="AE194" s="4" t="s">
        <v>744</v>
      </c>
    </row>
    <row r="195" spans="1:32" ht="115.2" x14ac:dyDescent="0.3">
      <c r="A195" t="s">
        <v>1685</v>
      </c>
      <c r="B195" s="6">
        <v>2018</v>
      </c>
      <c r="C195" s="7">
        <v>10</v>
      </c>
      <c r="D195" s="6" t="s">
        <v>71</v>
      </c>
      <c r="E195" s="7">
        <v>1</v>
      </c>
      <c r="F195" s="16" t="s">
        <v>1684</v>
      </c>
      <c r="G195" t="s">
        <v>799</v>
      </c>
      <c r="H195" s="4" t="s">
        <v>1603</v>
      </c>
      <c r="I195" s="10" t="s">
        <v>48</v>
      </c>
      <c r="J195" s="11">
        <v>8</v>
      </c>
      <c r="K195" s="6"/>
      <c r="L195" s="10" t="s">
        <v>1597</v>
      </c>
      <c r="M195" s="11">
        <v>8</v>
      </c>
      <c r="N195" s="10" t="s">
        <v>1683</v>
      </c>
      <c r="O195" s="11">
        <v>2</v>
      </c>
      <c r="P195" s="11">
        <v>5</v>
      </c>
      <c r="Q195" s="10" t="s">
        <v>851</v>
      </c>
      <c r="R195" s="10" t="s">
        <v>1219</v>
      </c>
      <c r="S195" s="10" t="s">
        <v>1599</v>
      </c>
      <c r="T195" s="10" t="s">
        <v>1600</v>
      </c>
      <c r="U195" s="10" t="s">
        <v>1601</v>
      </c>
      <c r="V195" s="10" t="s">
        <v>1602</v>
      </c>
      <c r="W195" s="11">
        <v>2</v>
      </c>
      <c r="X195" s="11">
        <v>3</v>
      </c>
      <c r="Y195" s="11">
        <v>16</v>
      </c>
      <c r="Z195" s="11">
        <v>4</v>
      </c>
      <c r="AA195" s="13" t="s">
        <v>74</v>
      </c>
      <c r="AB195" s="7">
        <v>2</v>
      </c>
      <c r="AC195" s="12" t="s">
        <v>75</v>
      </c>
      <c r="AD195" s="10" t="s">
        <v>1863</v>
      </c>
      <c r="AE195" s="10" t="s">
        <v>73</v>
      </c>
    </row>
    <row r="196" spans="1:32" ht="100.8" x14ac:dyDescent="0.3">
      <c r="A196" t="s">
        <v>1673</v>
      </c>
      <c r="B196" s="6">
        <v>2018</v>
      </c>
      <c r="C196" s="7">
        <v>10</v>
      </c>
      <c r="D196" s="6" t="s">
        <v>71</v>
      </c>
      <c r="E196" s="7">
        <v>1</v>
      </c>
      <c r="F196" s="14" t="s">
        <v>1672</v>
      </c>
      <c r="G196" t="s">
        <v>528</v>
      </c>
      <c r="H196" s="4" t="s">
        <v>1604</v>
      </c>
      <c r="I196" s="4" t="s">
        <v>1670</v>
      </c>
      <c r="J196" s="3">
        <v>3</v>
      </c>
      <c r="K196" t="s">
        <v>1662</v>
      </c>
      <c r="L196" s="4" t="s">
        <v>1669</v>
      </c>
      <c r="M196" s="3">
        <v>9</v>
      </c>
      <c r="N196" s="8" t="s">
        <v>75</v>
      </c>
      <c r="O196" s="3">
        <v>100</v>
      </c>
      <c r="P196" s="3">
        <v>100</v>
      </c>
      <c r="Q196" s="12" t="s">
        <v>75</v>
      </c>
      <c r="R196" s="12" t="s">
        <v>75</v>
      </c>
      <c r="S196" s="13" t="s">
        <v>75</v>
      </c>
      <c r="T196" s="13" t="s">
        <v>75</v>
      </c>
      <c r="U196" s="13" t="s">
        <v>75</v>
      </c>
      <c r="V196" s="13" t="s">
        <v>75</v>
      </c>
      <c r="W196" s="7">
        <v>3</v>
      </c>
      <c r="X196" s="7">
        <v>3</v>
      </c>
      <c r="Y196" s="7">
        <v>17</v>
      </c>
      <c r="Z196" s="7">
        <v>4</v>
      </c>
      <c r="AA196" s="13" t="s">
        <v>75</v>
      </c>
      <c r="AB196" s="7">
        <v>2</v>
      </c>
      <c r="AC196" s="13" t="s">
        <v>75</v>
      </c>
      <c r="AD196">
        <v>30</v>
      </c>
      <c r="AE196" t="s">
        <v>73</v>
      </c>
      <c r="AF196" t="s">
        <v>1671</v>
      </c>
    </row>
    <row r="197" spans="1:32" ht="57.6" x14ac:dyDescent="0.3">
      <c r="A197" t="s">
        <v>1661</v>
      </c>
      <c r="B197" s="6">
        <v>2018</v>
      </c>
      <c r="C197" s="7">
        <v>10</v>
      </c>
      <c r="D197" s="6" t="s">
        <v>71</v>
      </c>
      <c r="E197" s="7">
        <v>1</v>
      </c>
      <c r="F197" s="14" t="s">
        <v>1660</v>
      </c>
      <c r="G197" t="s">
        <v>217</v>
      </c>
      <c r="H197" s="4" t="s">
        <v>1605</v>
      </c>
      <c r="I197" s="4" t="s">
        <v>1659</v>
      </c>
      <c r="J197" s="3">
        <v>3</v>
      </c>
      <c r="K197" t="s">
        <v>573</v>
      </c>
      <c r="L197" t="s">
        <v>1012</v>
      </c>
      <c r="M197" s="3">
        <v>4</v>
      </c>
      <c r="N197" s="10" t="s">
        <v>192</v>
      </c>
      <c r="O197" s="11">
        <v>1</v>
      </c>
      <c r="P197" s="11">
        <v>2</v>
      </c>
      <c r="Q197" s="10" t="s">
        <v>118</v>
      </c>
      <c r="R197" s="6" t="s">
        <v>193</v>
      </c>
      <c r="S197" s="6" t="s">
        <v>194</v>
      </c>
      <c r="T197" s="10" t="s">
        <v>195</v>
      </c>
      <c r="U197" s="12" t="s">
        <v>347</v>
      </c>
      <c r="V197" s="12" t="s">
        <v>506</v>
      </c>
      <c r="W197" s="3">
        <v>3</v>
      </c>
      <c r="X197" s="3">
        <v>3</v>
      </c>
      <c r="Y197" s="3">
        <v>17</v>
      </c>
      <c r="Z197" s="3">
        <v>4</v>
      </c>
      <c r="AA197" s="13" t="s">
        <v>75</v>
      </c>
      <c r="AB197" s="7">
        <v>2</v>
      </c>
      <c r="AC197" s="12" t="s">
        <v>1653</v>
      </c>
      <c r="AD197">
        <v>30</v>
      </c>
      <c r="AE197" t="s">
        <v>73</v>
      </c>
    </row>
    <row r="198" spans="1:32" ht="72" x14ac:dyDescent="0.3">
      <c r="A198" t="s">
        <v>1429</v>
      </c>
      <c r="B198" s="6">
        <v>2018</v>
      </c>
      <c r="C198" s="7">
        <v>10</v>
      </c>
      <c r="D198" s="6" t="s">
        <v>71</v>
      </c>
      <c r="E198" s="7">
        <v>1</v>
      </c>
      <c r="F198" s="16" t="s">
        <v>1687</v>
      </c>
      <c r="G198" t="s">
        <v>1688</v>
      </c>
      <c r="H198" s="4" t="s">
        <v>1606</v>
      </c>
      <c r="I198" s="10" t="s">
        <v>48</v>
      </c>
      <c r="J198" s="11">
        <v>8</v>
      </c>
      <c r="K198" s="6"/>
      <c r="L198" s="10" t="s">
        <v>1607</v>
      </c>
      <c r="M198" s="11">
        <v>4</v>
      </c>
      <c r="N198" s="10" t="s">
        <v>192</v>
      </c>
      <c r="O198" s="11">
        <v>1</v>
      </c>
      <c r="P198" s="11">
        <v>2</v>
      </c>
      <c r="Q198" s="10" t="s">
        <v>118</v>
      </c>
      <c r="R198" s="6" t="s">
        <v>193</v>
      </c>
      <c r="S198" s="6" t="s">
        <v>1608</v>
      </c>
      <c r="T198" s="10" t="s">
        <v>195</v>
      </c>
      <c r="U198" s="10" t="s">
        <v>955</v>
      </c>
      <c r="V198" s="10" t="s">
        <v>72</v>
      </c>
      <c r="W198" s="7">
        <v>1</v>
      </c>
      <c r="X198" s="7">
        <v>3</v>
      </c>
      <c r="Y198" s="7">
        <v>3</v>
      </c>
      <c r="Z198" s="7">
        <v>5</v>
      </c>
      <c r="AA198" s="13" t="s">
        <v>74</v>
      </c>
      <c r="AB198" s="7">
        <v>2</v>
      </c>
      <c r="AC198" t="s">
        <v>72</v>
      </c>
      <c r="AD198" s="10">
        <v>30</v>
      </c>
      <c r="AE198" s="10" t="s">
        <v>73</v>
      </c>
    </row>
    <row r="199" spans="1:32" ht="57.6" x14ac:dyDescent="0.3">
      <c r="A199" t="s">
        <v>1739</v>
      </c>
      <c r="B199" s="6">
        <v>2018</v>
      </c>
      <c r="C199" s="7">
        <v>10</v>
      </c>
      <c r="D199" s="6" t="s">
        <v>71</v>
      </c>
      <c r="E199" s="7">
        <v>1</v>
      </c>
      <c r="F199" s="14" t="s">
        <v>1738</v>
      </c>
      <c r="G199" t="s">
        <v>1525</v>
      </c>
      <c r="H199" s="4" t="s">
        <v>1689</v>
      </c>
      <c r="I199" s="4" t="s">
        <v>1733</v>
      </c>
      <c r="J199" s="3">
        <v>3</v>
      </c>
      <c r="K199" t="s">
        <v>1734</v>
      </c>
      <c r="L199" t="s">
        <v>504</v>
      </c>
      <c r="M199" s="3">
        <v>1</v>
      </c>
      <c r="N199" s="10" t="s">
        <v>192</v>
      </c>
      <c r="O199" s="11">
        <v>1</v>
      </c>
      <c r="P199" s="11">
        <v>2</v>
      </c>
      <c r="Q199" s="10" t="s">
        <v>118</v>
      </c>
      <c r="R199" s="6" t="s">
        <v>193</v>
      </c>
      <c r="S199" s="6" t="s">
        <v>1608</v>
      </c>
      <c r="T199" s="10" t="s">
        <v>195</v>
      </c>
      <c r="U199" s="10" t="s">
        <v>1735</v>
      </c>
      <c r="V199" s="10" t="s">
        <v>1736</v>
      </c>
      <c r="W199" s="3">
        <v>2</v>
      </c>
      <c r="X199" s="3">
        <v>3</v>
      </c>
      <c r="Y199" s="3">
        <v>16</v>
      </c>
      <c r="Z199" s="3">
        <v>3</v>
      </c>
      <c r="AA199" s="13" t="s">
        <v>74</v>
      </c>
      <c r="AB199" s="7">
        <v>2</v>
      </c>
      <c r="AC199" t="s">
        <v>72</v>
      </c>
      <c r="AD199">
        <v>90</v>
      </c>
      <c r="AE199" t="s">
        <v>73</v>
      </c>
      <c r="AF199" t="s">
        <v>1737</v>
      </c>
    </row>
    <row r="200" spans="1:32" ht="100.8" x14ac:dyDescent="0.3">
      <c r="A200" t="s">
        <v>1741</v>
      </c>
      <c r="B200" s="6">
        <v>2018</v>
      </c>
      <c r="C200" s="7">
        <v>10</v>
      </c>
      <c r="D200" s="6" t="s">
        <v>71</v>
      </c>
      <c r="E200" s="7">
        <v>1</v>
      </c>
      <c r="F200" s="14" t="s">
        <v>1740</v>
      </c>
      <c r="G200" t="s">
        <v>318</v>
      </c>
      <c r="H200" s="4" t="s">
        <v>1690</v>
      </c>
      <c r="I200" s="10" t="s">
        <v>390</v>
      </c>
      <c r="J200" s="7">
        <v>3</v>
      </c>
      <c r="K200" s="6" t="s">
        <v>835</v>
      </c>
      <c r="L200" s="10" t="s">
        <v>1691</v>
      </c>
      <c r="M200" s="11">
        <v>1</v>
      </c>
      <c r="N200" s="10" t="s">
        <v>1692</v>
      </c>
      <c r="O200" s="7">
        <v>100</v>
      </c>
      <c r="P200" s="7">
        <v>100</v>
      </c>
      <c r="Q200" s="12" t="s">
        <v>75</v>
      </c>
      <c r="R200" s="10" t="s">
        <v>1693</v>
      </c>
      <c r="S200" s="12" t="s">
        <v>75</v>
      </c>
      <c r="T200" s="12" t="s">
        <v>75</v>
      </c>
      <c r="U200" s="12" t="s">
        <v>75</v>
      </c>
      <c r="V200" s="12" t="s">
        <v>75</v>
      </c>
      <c r="W200" s="11">
        <v>3</v>
      </c>
      <c r="X200" s="11">
        <v>3</v>
      </c>
      <c r="Y200" s="11">
        <v>17</v>
      </c>
      <c r="Z200" s="11">
        <v>4</v>
      </c>
      <c r="AA200" s="12" t="s">
        <v>75</v>
      </c>
      <c r="AB200" s="11">
        <v>2</v>
      </c>
      <c r="AC200" s="12" t="s">
        <v>75</v>
      </c>
      <c r="AD200" s="12" t="s">
        <v>75</v>
      </c>
      <c r="AE200" s="12" t="s">
        <v>75</v>
      </c>
    </row>
    <row r="201" spans="1:32" ht="72" x14ac:dyDescent="0.3">
      <c r="A201" t="s">
        <v>1743</v>
      </c>
      <c r="B201" s="6">
        <v>2018</v>
      </c>
      <c r="C201" s="7">
        <v>10</v>
      </c>
      <c r="D201" s="6" t="s">
        <v>71</v>
      </c>
      <c r="E201" s="7">
        <v>1</v>
      </c>
      <c r="F201" s="14" t="s">
        <v>1742</v>
      </c>
      <c r="G201" t="s">
        <v>1002</v>
      </c>
      <c r="H201" s="4" t="s">
        <v>1694</v>
      </c>
      <c r="I201" s="6" t="s">
        <v>1695</v>
      </c>
      <c r="J201" s="7">
        <v>3</v>
      </c>
      <c r="K201" s="10" t="s">
        <v>857</v>
      </c>
      <c r="L201" s="10" t="s">
        <v>1696</v>
      </c>
      <c r="M201" s="11">
        <v>1</v>
      </c>
      <c r="N201" s="10" t="s">
        <v>192</v>
      </c>
      <c r="O201" s="11">
        <v>1</v>
      </c>
      <c r="P201" s="11">
        <v>2</v>
      </c>
      <c r="Q201" s="10" t="s">
        <v>118</v>
      </c>
      <c r="R201" s="6" t="s">
        <v>193</v>
      </c>
      <c r="S201" s="6" t="s">
        <v>194</v>
      </c>
      <c r="T201" s="10" t="s">
        <v>195</v>
      </c>
      <c r="U201" s="12" t="s">
        <v>347</v>
      </c>
      <c r="V201" s="12" t="s">
        <v>506</v>
      </c>
      <c r="W201" s="7">
        <v>3</v>
      </c>
      <c r="X201" s="7">
        <v>3</v>
      </c>
      <c r="Y201" s="7">
        <v>17</v>
      </c>
      <c r="Z201" s="7">
        <v>4</v>
      </c>
      <c r="AA201" s="12" t="s">
        <v>74</v>
      </c>
      <c r="AB201" s="11">
        <v>2</v>
      </c>
      <c r="AC201" s="10" t="s">
        <v>672</v>
      </c>
      <c r="AD201" s="6">
        <v>90</v>
      </c>
      <c r="AE201" s="10" t="s">
        <v>73</v>
      </c>
      <c r="AF201" s="6" t="s">
        <v>1697</v>
      </c>
    </row>
    <row r="202" spans="1:32" ht="57.6" x14ac:dyDescent="0.3">
      <c r="A202" t="s">
        <v>1747</v>
      </c>
      <c r="B202" s="6">
        <v>2018</v>
      </c>
      <c r="C202" s="7">
        <v>10</v>
      </c>
      <c r="D202" s="6" t="s">
        <v>71</v>
      </c>
      <c r="E202" s="7">
        <v>1</v>
      </c>
      <c r="F202" s="14" t="s">
        <v>1745</v>
      </c>
      <c r="G202" t="s">
        <v>1746</v>
      </c>
      <c r="H202" s="4" t="s">
        <v>1701</v>
      </c>
      <c r="I202" s="10" t="s">
        <v>1744</v>
      </c>
      <c r="J202" s="11">
        <v>1</v>
      </c>
      <c r="K202" s="6" t="s">
        <v>486</v>
      </c>
      <c r="L202" s="10" t="s">
        <v>1698</v>
      </c>
      <c r="M202" s="11">
        <v>1</v>
      </c>
      <c r="N202" s="10" t="s">
        <v>422</v>
      </c>
      <c r="O202" s="11">
        <v>1</v>
      </c>
      <c r="P202" s="11">
        <v>1</v>
      </c>
      <c r="Q202" s="10" t="s">
        <v>118</v>
      </c>
      <c r="R202" s="10" t="s">
        <v>156</v>
      </c>
      <c r="S202" s="10" t="s">
        <v>423</v>
      </c>
      <c r="T202" s="10" t="s">
        <v>424</v>
      </c>
      <c r="U202" s="10" t="s">
        <v>158</v>
      </c>
      <c r="V202" s="10" t="s">
        <v>1699</v>
      </c>
      <c r="W202" s="11">
        <v>1</v>
      </c>
      <c r="X202" s="11">
        <v>3</v>
      </c>
      <c r="Y202" s="11">
        <v>2</v>
      </c>
      <c r="Z202" s="11">
        <v>5</v>
      </c>
      <c r="AA202" s="10" t="s">
        <v>1700</v>
      </c>
      <c r="AB202" s="11">
        <v>1</v>
      </c>
      <c r="AC202" s="12" t="s">
        <v>75</v>
      </c>
      <c r="AD202" s="6">
        <v>12</v>
      </c>
      <c r="AE202" s="10" t="s">
        <v>427</v>
      </c>
    </row>
    <row r="203" spans="1:32" ht="86.4" x14ac:dyDescent="0.3">
      <c r="A203" t="s">
        <v>1757</v>
      </c>
      <c r="B203" s="6">
        <v>2018</v>
      </c>
      <c r="C203" s="7">
        <v>10</v>
      </c>
      <c r="D203" s="6" t="s">
        <v>71</v>
      </c>
      <c r="E203" s="7">
        <v>1</v>
      </c>
      <c r="F203" s="14" t="s">
        <v>1756</v>
      </c>
      <c r="G203" t="s">
        <v>217</v>
      </c>
      <c r="H203" s="4" t="s">
        <v>1702</v>
      </c>
      <c r="I203" s="10" t="s">
        <v>1310</v>
      </c>
      <c r="J203" s="3">
        <v>3</v>
      </c>
      <c r="K203" s="6" t="s">
        <v>1311</v>
      </c>
      <c r="L203" s="10" t="s">
        <v>1748</v>
      </c>
      <c r="M203" s="3">
        <v>4</v>
      </c>
      <c r="N203" s="10" t="s">
        <v>1749</v>
      </c>
      <c r="O203" s="11">
        <v>3</v>
      </c>
      <c r="P203" s="11">
        <v>5</v>
      </c>
      <c r="Q203" s="10" t="s">
        <v>1750</v>
      </c>
      <c r="R203" s="10" t="s">
        <v>1751</v>
      </c>
      <c r="S203" s="10" t="s">
        <v>1752</v>
      </c>
      <c r="T203" s="10" t="s">
        <v>1753</v>
      </c>
      <c r="U203" s="10" t="s">
        <v>158</v>
      </c>
      <c r="V203" s="10" t="s">
        <v>77</v>
      </c>
      <c r="W203" s="7">
        <v>1</v>
      </c>
      <c r="X203" s="7">
        <v>3</v>
      </c>
      <c r="Y203" s="7">
        <v>1</v>
      </c>
      <c r="Z203" s="7">
        <v>5</v>
      </c>
      <c r="AA203" s="4" t="s">
        <v>1755</v>
      </c>
      <c r="AB203" s="3">
        <v>1</v>
      </c>
      <c r="AC203" t="s">
        <v>72</v>
      </c>
      <c r="AD203">
        <v>90</v>
      </c>
      <c r="AE203" s="10" t="s">
        <v>73</v>
      </c>
      <c r="AF203" t="s">
        <v>1754</v>
      </c>
    </row>
    <row r="204" spans="1:32" ht="57.6" x14ac:dyDescent="0.3">
      <c r="A204" t="s">
        <v>1761</v>
      </c>
      <c r="B204" s="6">
        <v>2018</v>
      </c>
      <c r="C204" s="7">
        <v>10</v>
      </c>
      <c r="D204" s="6" t="s">
        <v>71</v>
      </c>
      <c r="E204" s="7">
        <v>1</v>
      </c>
      <c r="F204" s="14" t="s">
        <v>1760</v>
      </c>
      <c r="G204" t="s">
        <v>1759</v>
      </c>
      <c r="H204" s="4" t="s">
        <v>1704</v>
      </c>
      <c r="I204" s="10" t="s">
        <v>1485</v>
      </c>
      <c r="J204" s="3">
        <v>3</v>
      </c>
      <c r="K204" s="6" t="s">
        <v>512</v>
      </c>
      <c r="L204" s="10" t="s">
        <v>1758</v>
      </c>
      <c r="M204" s="3">
        <v>2</v>
      </c>
      <c r="N204" s="10" t="s">
        <v>182</v>
      </c>
      <c r="O204" s="11">
        <v>1</v>
      </c>
      <c r="P204" s="11">
        <v>100</v>
      </c>
      <c r="Q204" s="10" t="s">
        <v>118</v>
      </c>
      <c r="R204" s="6" t="s">
        <v>156</v>
      </c>
      <c r="S204" s="10" t="s">
        <v>184</v>
      </c>
      <c r="T204" s="10" t="s">
        <v>183</v>
      </c>
      <c r="U204" s="10" t="s">
        <v>185</v>
      </c>
      <c r="V204" s="10" t="s">
        <v>186</v>
      </c>
      <c r="W204" s="7">
        <v>3</v>
      </c>
      <c r="X204" s="7">
        <v>3</v>
      </c>
      <c r="Y204" s="7">
        <v>17</v>
      </c>
      <c r="Z204" s="7">
        <v>4</v>
      </c>
      <c r="AA204" s="12" t="s">
        <v>74</v>
      </c>
      <c r="AB204" s="11">
        <v>2</v>
      </c>
      <c r="AC204" s="10" t="s">
        <v>672</v>
      </c>
      <c r="AD204" s="12" t="s">
        <v>75</v>
      </c>
      <c r="AE204" s="6" t="s">
        <v>73</v>
      </c>
    </row>
    <row r="205" spans="1:32" ht="57.6" x14ac:dyDescent="0.3">
      <c r="A205" t="s">
        <v>1765</v>
      </c>
      <c r="B205" s="6">
        <v>2018</v>
      </c>
      <c r="C205" s="7">
        <v>10</v>
      </c>
      <c r="D205" s="6" t="s">
        <v>71</v>
      </c>
      <c r="E205" s="7">
        <v>1</v>
      </c>
      <c r="F205" s="14" t="s">
        <v>1764</v>
      </c>
      <c r="G205" t="s">
        <v>1525</v>
      </c>
      <c r="H205" s="4" t="s">
        <v>1703</v>
      </c>
      <c r="I205" s="10" t="s">
        <v>1763</v>
      </c>
      <c r="J205" s="3">
        <v>5</v>
      </c>
      <c r="L205" s="10" t="s">
        <v>1762</v>
      </c>
      <c r="M205" s="3">
        <v>4</v>
      </c>
      <c r="N205" s="10" t="s">
        <v>1292</v>
      </c>
      <c r="O205" s="11">
        <v>1</v>
      </c>
      <c r="P205" s="11">
        <v>2</v>
      </c>
      <c r="Q205" s="10" t="s">
        <v>118</v>
      </c>
      <c r="R205" s="6" t="s">
        <v>193</v>
      </c>
      <c r="S205" s="6" t="s">
        <v>194</v>
      </c>
      <c r="T205" s="10" t="s">
        <v>195</v>
      </c>
      <c r="U205" s="10" t="s">
        <v>158</v>
      </c>
      <c r="V205" s="10" t="s">
        <v>77</v>
      </c>
      <c r="W205" s="7">
        <v>1</v>
      </c>
      <c r="X205" s="7">
        <v>3</v>
      </c>
      <c r="Y205" s="7">
        <v>1</v>
      </c>
      <c r="Z205" s="7">
        <v>5</v>
      </c>
      <c r="AA205" s="12" t="s">
        <v>74</v>
      </c>
      <c r="AB205" s="11">
        <v>2</v>
      </c>
      <c r="AC205" t="s">
        <v>72</v>
      </c>
      <c r="AD205">
        <v>90</v>
      </c>
      <c r="AE205" t="s">
        <v>73</v>
      </c>
    </row>
    <row r="206" spans="1:32" ht="43.2" x14ac:dyDescent="0.3">
      <c r="A206" t="s">
        <v>1772</v>
      </c>
      <c r="B206" s="6">
        <v>2017</v>
      </c>
      <c r="C206" s="7">
        <v>9</v>
      </c>
      <c r="D206" s="6" t="s">
        <v>71</v>
      </c>
      <c r="E206" s="7">
        <v>1</v>
      </c>
      <c r="F206" s="14" t="s">
        <v>1771</v>
      </c>
      <c r="G206" t="s">
        <v>1770</v>
      </c>
      <c r="H206" s="4" t="s">
        <v>1705</v>
      </c>
      <c r="I206" s="10" t="s">
        <v>1766</v>
      </c>
      <c r="J206" s="3">
        <v>3</v>
      </c>
      <c r="K206" s="6" t="s">
        <v>1769</v>
      </c>
      <c r="L206" s="10" t="s">
        <v>1543</v>
      </c>
      <c r="M206" s="3">
        <v>4</v>
      </c>
      <c r="N206" s="8" t="s">
        <v>75</v>
      </c>
      <c r="O206" s="3">
        <v>100</v>
      </c>
      <c r="P206" s="3">
        <v>100</v>
      </c>
      <c r="Q206" s="12" t="s">
        <v>75</v>
      </c>
      <c r="R206" s="12" t="s">
        <v>75</v>
      </c>
      <c r="S206" s="13" t="s">
        <v>75</v>
      </c>
      <c r="T206" s="13" t="s">
        <v>75</v>
      </c>
      <c r="U206" s="13" t="s">
        <v>75</v>
      </c>
      <c r="V206" s="13" t="s">
        <v>75</v>
      </c>
      <c r="W206" s="7">
        <v>3</v>
      </c>
      <c r="X206" s="7">
        <v>3</v>
      </c>
      <c r="Y206" s="7">
        <v>17</v>
      </c>
      <c r="Z206" s="7">
        <v>4</v>
      </c>
      <c r="AA206" s="13" t="s">
        <v>75</v>
      </c>
      <c r="AB206" s="7">
        <v>2</v>
      </c>
      <c r="AC206" t="s">
        <v>1768</v>
      </c>
      <c r="AD206" s="6">
        <v>10</v>
      </c>
      <c r="AE206" s="12" t="s">
        <v>75</v>
      </c>
    </row>
    <row r="207" spans="1:32" ht="57.6" x14ac:dyDescent="0.3">
      <c r="A207" t="s">
        <v>1776</v>
      </c>
      <c r="B207" s="6">
        <v>2017</v>
      </c>
      <c r="C207" s="7">
        <v>9</v>
      </c>
      <c r="D207" s="6" t="s">
        <v>71</v>
      </c>
      <c r="E207" s="7">
        <v>1</v>
      </c>
      <c r="F207" s="15" t="s">
        <v>1775</v>
      </c>
      <c r="G207" t="s">
        <v>217</v>
      </c>
      <c r="H207" s="4" t="s">
        <v>1706</v>
      </c>
      <c r="I207" s="10" t="s">
        <v>1767</v>
      </c>
      <c r="J207" s="3">
        <v>1</v>
      </c>
      <c r="K207" s="6" t="s">
        <v>1774</v>
      </c>
      <c r="L207" s="10" t="s">
        <v>1542</v>
      </c>
      <c r="M207" s="3">
        <v>4</v>
      </c>
      <c r="N207" s="10" t="s">
        <v>192</v>
      </c>
      <c r="O207" s="11">
        <v>1</v>
      </c>
      <c r="P207" s="11">
        <v>2</v>
      </c>
      <c r="Q207" s="10" t="s">
        <v>118</v>
      </c>
      <c r="R207" s="6" t="s">
        <v>193</v>
      </c>
      <c r="S207" s="6" t="s">
        <v>194</v>
      </c>
      <c r="T207" s="10" t="s">
        <v>195</v>
      </c>
      <c r="U207" s="10" t="s">
        <v>158</v>
      </c>
      <c r="V207" s="10" t="s">
        <v>77</v>
      </c>
      <c r="W207" s="7">
        <v>1</v>
      </c>
      <c r="X207" s="7">
        <v>3</v>
      </c>
      <c r="Y207" s="7">
        <v>1</v>
      </c>
      <c r="Z207" s="7">
        <v>5</v>
      </c>
      <c r="AA207" s="12" t="s">
        <v>74</v>
      </c>
      <c r="AB207" s="11">
        <v>2</v>
      </c>
      <c r="AC207" t="s">
        <v>72</v>
      </c>
      <c r="AD207">
        <v>90</v>
      </c>
      <c r="AE207" t="s">
        <v>73</v>
      </c>
      <c r="AF207" t="s">
        <v>1773</v>
      </c>
    </row>
    <row r="208" spans="1:32" ht="43.2" x14ac:dyDescent="0.3">
      <c r="A208" t="s">
        <v>1781</v>
      </c>
      <c r="B208" s="6">
        <v>2017</v>
      </c>
      <c r="C208" s="7">
        <v>9</v>
      </c>
      <c r="D208" s="6" t="s">
        <v>71</v>
      </c>
      <c r="E208" s="7">
        <v>1</v>
      </c>
      <c r="F208" s="14" t="s">
        <v>1780</v>
      </c>
      <c r="G208" t="s">
        <v>1530</v>
      </c>
      <c r="H208" s="4" t="s">
        <v>1707</v>
      </c>
      <c r="I208" s="10" t="s">
        <v>1777</v>
      </c>
      <c r="J208" s="3">
        <v>1</v>
      </c>
      <c r="K208" s="6" t="s">
        <v>1779</v>
      </c>
      <c r="L208" s="10" t="s">
        <v>1778</v>
      </c>
      <c r="M208" s="3">
        <v>8</v>
      </c>
      <c r="N208" s="10" t="s">
        <v>265</v>
      </c>
      <c r="O208" s="3">
        <v>1</v>
      </c>
      <c r="P208" s="3">
        <v>2</v>
      </c>
      <c r="Q208" s="10" t="s">
        <v>118</v>
      </c>
      <c r="R208" s="10" t="s">
        <v>266</v>
      </c>
      <c r="S208" s="6" t="s">
        <v>267</v>
      </c>
      <c r="T208" s="10" t="s">
        <v>268</v>
      </c>
      <c r="U208" s="10" t="s">
        <v>158</v>
      </c>
      <c r="V208" s="10" t="s">
        <v>77</v>
      </c>
      <c r="W208" s="7">
        <v>1</v>
      </c>
      <c r="X208" s="7">
        <v>3</v>
      </c>
      <c r="Y208" s="7">
        <v>1</v>
      </c>
      <c r="Z208" s="7">
        <v>5</v>
      </c>
      <c r="AA208" s="12" t="s">
        <v>74</v>
      </c>
      <c r="AB208" s="11">
        <v>2</v>
      </c>
      <c r="AC208" t="s">
        <v>72</v>
      </c>
      <c r="AD208">
        <v>30</v>
      </c>
      <c r="AE208" t="s">
        <v>73</v>
      </c>
      <c r="AF208" t="s">
        <v>1773</v>
      </c>
    </row>
    <row r="209" spans="1:32" ht="86.4" x14ac:dyDescent="0.3">
      <c r="A209" t="s">
        <v>1787</v>
      </c>
      <c r="B209" s="6">
        <v>2017</v>
      </c>
      <c r="C209" s="7">
        <v>9</v>
      </c>
      <c r="D209" s="6" t="s">
        <v>71</v>
      </c>
      <c r="E209" s="7">
        <v>1</v>
      </c>
      <c r="F209" s="14" t="s">
        <v>1786</v>
      </c>
      <c r="G209" t="s">
        <v>217</v>
      </c>
      <c r="H209" s="4" t="s">
        <v>1708</v>
      </c>
      <c r="I209" s="10" t="s">
        <v>1783</v>
      </c>
      <c r="J209" s="3">
        <v>3</v>
      </c>
      <c r="L209" s="10" t="s">
        <v>1782</v>
      </c>
      <c r="M209" s="3">
        <v>2</v>
      </c>
      <c r="N209" s="8" t="s">
        <v>75</v>
      </c>
      <c r="O209" s="3">
        <v>100</v>
      </c>
      <c r="P209" s="3">
        <v>100</v>
      </c>
      <c r="Q209" s="12" t="s">
        <v>75</v>
      </c>
      <c r="R209" s="12" t="s">
        <v>75</v>
      </c>
      <c r="S209" s="13" t="s">
        <v>75</v>
      </c>
      <c r="T209" s="13" t="s">
        <v>75</v>
      </c>
      <c r="U209" s="13" t="s">
        <v>75</v>
      </c>
      <c r="V209" s="13" t="s">
        <v>75</v>
      </c>
      <c r="W209" s="7">
        <v>3</v>
      </c>
      <c r="X209" s="7">
        <v>3</v>
      </c>
      <c r="Y209" s="7">
        <v>17</v>
      </c>
      <c r="Z209" s="7">
        <v>4</v>
      </c>
      <c r="AA209" s="13" t="s">
        <v>75</v>
      </c>
      <c r="AB209" s="7">
        <v>2</v>
      </c>
      <c r="AC209" s="10" t="s">
        <v>1784</v>
      </c>
      <c r="AD209" s="4" t="s">
        <v>1785</v>
      </c>
      <c r="AE209" s="12" t="s">
        <v>75</v>
      </c>
    </row>
    <row r="210" spans="1:32" ht="43.2" x14ac:dyDescent="0.3">
      <c r="A210" t="s">
        <v>1791</v>
      </c>
      <c r="B210" s="6">
        <v>2017</v>
      </c>
      <c r="C210" s="7">
        <v>9</v>
      </c>
      <c r="D210" s="6" t="s">
        <v>71</v>
      </c>
      <c r="E210" s="7">
        <v>1</v>
      </c>
      <c r="F210" s="14" t="s">
        <v>1790</v>
      </c>
      <c r="G210" t="s">
        <v>363</v>
      </c>
      <c r="H210" s="4" t="s">
        <v>1709</v>
      </c>
      <c r="I210" s="10" t="s">
        <v>1788</v>
      </c>
      <c r="J210" s="3">
        <v>3</v>
      </c>
      <c r="K210" s="6" t="s">
        <v>1111</v>
      </c>
      <c r="L210" s="10" t="s">
        <v>1789</v>
      </c>
      <c r="M210" s="3">
        <v>1</v>
      </c>
      <c r="N210" s="10" t="s">
        <v>192</v>
      </c>
      <c r="O210" s="11">
        <v>1</v>
      </c>
      <c r="P210" s="11">
        <v>2</v>
      </c>
      <c r="Q210" s="10" t="s">
        <v>118</v>
      </c>
      <c r="R210" s="6" t="s">
        <v>193</v>
      </c>
      <c r="S210" s="6" t="s">
        <v>194</v>
      </c>
      <c r="T210" s="10" t="s">
        <v>195</v>
      </c>
      <c r="U210" s="10" t="s">
        <v>185</v>
      </c>
      <c r="V210" s="10" t="s">
        <v>186</v>
      </c>
      <c r="W210" s="7">
        <v>3</v>
      </c>
      <c r="X210" s="7">
        <v>3</v>
      </c>
      <c r="Y210" s="7">
        <v>17</v>
      </c>
      <c r="Z210" s="7">
        <v>4</v>
      </c>
      <c r="AA210" s="12" t="s">
        <v>74</v>
      </c>
      <c r="AB210" s="11">
        <v>2</v>
      </c>
      <c r="AC210" s="10" t="s">
        <v>672</v>
      </c>
      <c r="AD210">
        <v>90</v>
      </c>
      <c r="AE210" t="s">
        <v>73</v>
      </c>
    </row>
    <row r="211" spans="1:32" ht="43.2" x14ac:dyDescent="0.3">
      <c r="A211" t="s">
        <v>1796</v>
      </c>
      <c r="B211" s="6">
        <v>2017</v>
      </c>
      <c r="C211" s="7">
        <v>9</v>
      </c>
      <c r="D211" s="6" t="s">
        <v>71</v>
      </c>
      <c r="E211" s="7">
        <v>1</v>
      </c>
      <c r="F211" s="14" t="s">
        <v>1795</v>
      </c>
      <c r="G211" t="s">
        <v>1794</v>
      </c>
      <c r="H211" s="4" t="s">
        <v>1710</v>
      </c>
      <c r="I211" s="10" t="s">
        <v>1793</v>
      </c>
      <c r="J211" s="3">
        <v>7</v>
      </c>
      <c r="L211" s="10" t="s">
        <v>1792</v>
      </c>
      <c r="M211" s="3">
        <v>1</v>
      </c>
      <c r="N211" s="10" t="s">
        <v>505</v>
      </c>
      <c r="O211" s="11">
        <v>1</v>
      </c>
      <c r="P211" s="11">
        <v>2</v>
      </c>
      <c r="Q211" s="10" t="s">
        <v>118</v>
      </c>
      <c r="R211" s="6" t="s">
        <v>193</v>
      </c>
      <c r="S211" s="6" t="s">
        <v>194</v>
      </c>
      <c r="T211" s="10" t="s">
        <v>195</v>
      </c>
      <c r="U211" s="12" t="s">
        <v>347</v>
      </c>
      <c r="V211" s="12" t="s">
        <v>506</v>
      </c>
      <c r="W211" s="7">
        <v>3</v>
      </c>
      <c r="X211" s="7">
        <v>3</v>
      </c>
      <c r="Y211" s="7">
        <v>17</v>
      </c>
      <c r="Z211" s="7">
        <v>4</v>
      </c>
      <c r="AA211" s="12" t="s">
        <v>74</v>
      </c>
      <c r="AB211" s="11">
        <v>2</v>
      </c>
      <c r="AC211" s="10" t="s">
        <v>672</v>
      </c>
      <c r="AD211" s="12" t="s">
        <v>75</v>
      </c>
      <c r="AE211" t="s">
        <v>73</v>
      </c>
    </row>
    <row r="212" spans="1:32" ht="72" x14ac:dyDescent="0.3">
      <c r="A212" t="s">
        <v>1799</v>
      </c>
      <c r="B212" s="6">
        <v>2017</v>
      </c>
      <c r="C212" s="7">
        <v>9</v>
      </c>
      <c r="D212" s="6" t="s">
        <v>71</v>
      </c>
      <c r="E212" s="7">
        <v>1</v>
      </c>
      <c r="F212" s="14" t="s">
        <v>1798</v>
      </c>
      <c r="G212" t="s">
        <v>147</v>
      </c>
      <c r="H212" s="4" t="s">
        <v>1711</v>
      </c>
      <c r="I212" s="10" t="s">
        <v>1763</v>
      </c>
      <c r="J212" s="3">
        <v>5</v>
      </c>
      <c r="L212" s="10" t="s">
        <v>1797</v>
      </c>
      <c r="M212" s="3">
        <v>4</v>
      </c>
      <c r="N212" s="10" t="s">
        <v>192</v>
      </c>
      <c r="O212" s="11">
        <v>1</v>
      </c>
      <c r="P212" s="11">
        <v>2</v>
      </c>
      <c r="Q212" s="10" t="s">
        <v>118</v>
      </c>
      <c r="R212" s="6" t="s">
        <v>193</v>
      </c>
      <c r="S212" s="6" t="s">
        <v>194</v>
      </c>
      <c r="T212" s="10" t="s">
        <v>195</v>
      </c>
      <c r="U212" s="12" t="s">
        <v>347</v>
      </c>
      <c r="V212" s="12" t="s">
        <v>506</v>
      </c>
      <c r="W212" s="7">
        <v>3</v>
      </c>
      <c r="X212" s="7">
        <v>3</v>
      </c>
      <c r="Y212" s="7">
        <v>17</v>
      </c>
      <c r="Z212" s="7">
        <v>4</v>
      </c>
      <c r="AA212" s="12" t="s">
        <v>74</v>
      </c>
      <c r="AB212" s="11">
        <v>2</v>
      </c>
      <c r="AC212" s="10" t="s">
        <v>672</v>
      </c>
      <c r="AD212">
        <v>90</v>
      </c>
      <c r="AE212" t="s">
        <v>73</v>
      </c>
    </row>
    <row r="213" spans="1:32" ht="57.6" x14ac:dyDescent="0.3">
      <c r="A213" t="s">
        <v>1809</v>
      </c>
      <c r="B213" s="6">
        <v>2017</v>
      </c>
      <c r="C213" s="7">
        <v>9</v>
      </c>
      <c r="D213" s="6" t="s">
        <v>71</v>
      </c>
      <c r="E213" s="7">
        <v>1</v>
      </c>
      <c r="F213" s="14" t="s">
        <v>1808</v>
      </c>
      <c r="G213" t="s">
        <v>217</v>
      </c>
      <c r="H213" s="4" t="s">
        <v>1713</v>
      </c>
      <c r="I213" s="10" t="s">
        <v>1805</v>
      </c>
      <c r="J213" s="3">
        <v>7</v>
      </c>
      <c r="K213" t="s">
        <v>1807</v>
      </c>
      <c r="L213" s="10" t="s">
        <v>1806</v>
      </c>
      <c r="M213" s="3">
        <v>4</v>
      </c>
      <c r="N213" s="10" t="s">
        <v>265</v>
      </c>
      <c r="O213" s="3">
        <v>1</v>
      </c>
      <c r="P213" s="3">
        <v>2</v>
      </c>
      <c r="Q213" s="10" t="s">
        <v>118</v>
      </c>
      <c r="R213" s="10" t="s">
        <v>266</v>
      </c>
      <c r="S213" s="6" t="s">
        <v>267</v>
      </c>
      <c r="T213" s="10" t="s">
        <v>268</v>
      </c>
      <c r="U213" s="12" t="s">
        <v>347</v>
      </c>
      <c r="V213" s="12" t="s">
        <v>506</v>
      </c>
      <c r="W213" s="7">
        <v>3</v>
      </c>
      <c r="X213" s="7">
        <v>3</v>
      </c>
      <c r="Y213" s="7">
        <v>17</v>
      </c>
      <c r="Z213" s="7">
        <v>4</v>
      </c>
      <c r="AA213" s="12" t="s">
        <v>74</v>
      </c>
      <c r="AB213" s="11">
        <v>2</v>
      </c>
      <c r="AC213" s="10" t="s">
        <v>672</v>
      </c>
      <c r="AD213">
        <v>25</v>
      </c>
      <c r="AE213" t="s">
        <v>73</v>
      </c>
    </row>
    <row r="214" spans="1:32" ht="43.2" x14ac:dyDescent="0.3">
      <c r="A214" t="s">
        <v>1804</v>
      </c>
      <c r="B214" s="6">
        <v>2017</v>
      </c>
      <c r="C214" s="7">
        <v>9</v>
      </c>
      <c r="D214" s="6" t="s">
        <v>71</v>
      </c>
      <c r="E214" s="7">
        <v>1</v>
      </c>
      <c r="F214" s="14" t="s">
        <v>1803</v>
      </c>
      <c r="G214" t="s">
        <v>1802</v>
      </c>
      <c r="H214" s="4" t="s">
        <v>1712</v>
      </c>
      <c r="I214" s="10" t="s">
        <v>1801</v>
      </c>
      <c r="J214" s="3">
        <v>1</v>
      </c>
      <c r="K214" t="s">
        <v>685</v>
      </c>
      <c r="L214" s="10" t="s">
        <v>1800</v>
      </c>
      <c r="M214" s="3">
        <v>4</v>
      </c>
      <c r="N214" s="10" t="s">
        <v>192</v>
      </c>
      <c r="O214" s="11">
        <v>1</v>
      </c>
      <c r="P214" s="11">
        <v>2</v>
      </c>
      <c r="Q214" s="10" t="s">
        <v>118</v>
      </c>
      <c r="R214" s="6" t="s">
        <v>193</v>
      </c>
      <c r="S214" s="6" t="s">
        <v>194</v>
      </c>
      <c r="T214" s="10" t="s">
        <v>195</v>
      </c>
      <c r="U214" s="12" t="s">
        <v>347</v>
      </c>
      <c r="V214" s="12" t="s">
        <v>506</v>
      </c>
      <c r="W214" s="7">
        <v>3</v>
      </c>
      <c r="X214" s="7">
        <v>3</v>
      </c>
      <c r="Y214" s="7">
        <v>17</v>
      </c>
      <c r="Z214" s="7">
        <v>4</v>
      </c>
      <c r="AA214" s="12" t="s">
        <v>74</v>
      </c>
      <c r="AB214" s="11">
        <v>2</v>
      </c>
      <c r="AC214" s="10" t="s">
        <v>855</v>
      </c>
      <c r="AD214">
        <v>30</v>
      </c>
      <c r="AE214" t="s">
        <v>73</v>
      </c>
    </row>
    <row r="215" spans="1:32" ht="129.6" x14ac:dyDescent="0.3">
      <c r="A215" t="s">
        <v>1883</v>
      </c>
      <c r="B215" s="6">
        <v>2017</v>
      </c>
      <c r="C215" s="7">
        <v>9</v>
      </c>
      <c r="D215" s="6" t="s">
        <v>71</v>
      </c>
      <c r="E215" s="7">
        <v>1</v>
      </c>
      <c r="F215" s="14" t="s">
        <v>1882</v>
      </c>
      <c r="G215" t="s">
        <v>405</v>
      </c>
      <c r="H215" s="4" t="s">
        <v>1714</v>
      </c>
      <c r="I215" s="10" t="s">
        <v>48</v>
      </c>
      <c r="J215" s="11">
        <v>8</v>
      </c>
      <c r="K215" s="6"/>
      <c r="L215" s="10" t="s">
        <v>1715</v>
      </c>
      <c r="M215" s="11">
        <v>15</v>
      </c>
      <c r="N215" s="10" t="s">
        <v>192</v>
      </c>
      <c r="O215" s="11">
        <v>1</v>
      </c>
      <c r="P215" s="11">
        <v>2</v>
      </c>
      <c r="Q215" s="10" t="s">
        <v>118</v>
      </c>
      <c r="R215" s="6" t="s">
        <v>193</v>
      </c>
      <c r="S215" s="6" t="s">
        <v>194</v>
      </c>
      <c r="T215" s="10" t="s">
        <v>195</v>
      </c>
      <c r="U215" s="10" t="s">
        <v>158</v>
      </c>
      <c r="V215" s="10" t="s">
        <v>39151</v>
      </c>
      <c r="W215" s="11">
        <v>2</v>
      </c>
      <c r="X215" s="11">
        <v>2</v>
      </c>
      <c r="Y215" s="11">
        <v>16</v>
      </c>
      <c r="Z215" s="11">
        <v>3</v>
      </c>
      <c r="AA215" s="13" t="s">
        <v>74</v>
      </c>
      <c r="AB215" s="7">
        <v>2</v>
      </c>
      <c r="AC215" s="12" t="s">
        <v>75</v>
      </c>
      <c r="AD215" s="6">
        <v>30</v>
      </c>
      <c r="AE215" s="10" t="s">
        <v>73</v>
      </c>
      <c r="AF215" s="6" t="s">
        <v>39601</v>
      </c>
    </row>
    <row r="216" spans="1:32" ht="43.2" x14ac:dyDescent="0.3">
      <c r="A216" t="s">
        <v>1838</v>
      </c>
      <c r="B216" s="6">
        <v>2017</v>
      </c>
      <c r="C216" s="7">
        <v>9</v>
      </c>
      <c r="D216" s="6" t="s">
        <v>71</v>
      </c>
      <c r="E216" s="7">
        <v>1</v>
      </c>
      <c r="F216" s="14" t="s">
        <v>1837</v>
      </c>
      <c r="G216" t="s">
        <v>1836</v>
      </c>
      <c r="H216" s="4" t="s">
        <v>1716</v>
      </c>
      <c r="I216" s="10" t="s">
        <v>1834</v>
      </c>
      <c r="J216" s="3">
        <v>3</v>
      </c>
      <c r="K216" t="s">
        <v>1835</v>
      </c>
      <c r="L216" s="10" t="s">
        <v>1833</v>
      </c>
      <c r="M216" s="3">
        <v>2</v>
      </c>
      <c r="N216" s="8" t="s">
        <v>75</v>
      </c>
      <c r="O216" s="3">
        <v>100</v>
      </c>
      <c r="P216" s="3">
        <v>100</v>
      </c>
      <c r="Q216" s="12" t="s">
        <v>75</v>
      </c>
      <c r="R216" s="12" t="s">
        <v>75</v>
      </c>
      <c r="S216" s="13" t="s">
        <v>75</v>
      </c>
      <c r="T216" s="13" t="s">
        <v>75</v>
      </c>
      <c r="U216" s="13" t="s">
        <v>75</v>
      </c>
      <c r="V216" s="13" t="s">
        <v>75</v>
      </c>
      <c r="W216" s="7">
        <v>3</v>
      </c>
      <c r="X216" s="7">
        <v>3</v>
      </c>
      <c r="Y216" s="7">
        <v>17</v>
      </c>
      <c r="Z216" s="7">
        <v>4</v>
      </c>
      <c r="AA216" s="13" t="s">
        <v>75</v>
      </c>
      <c r="AB216" s="7">
        <v>2</v>
      </c>
      <c r="AC216" s="13" t="s">
        <v>75</v>
      </c>
      <c r="AD216" s="13" t="s">
        <v>75</v>
      </c>
      <c r="AE216" s="12" t="s">
        <v>75</v>
      </c>
    </row>
    <row r="217" spans="1:32" ht="43.2" x14ac:dyDescent="0.3">
      <c r="A217" t="s">
        <v>1858</v>
      </c>
      <c r="B217" s="6">
        <v>2016</v>
      </c>
      <c r="C217" s="7">
        <v>8</v>
      </c>
      <c r="D217" s="6" t="s">
        <v>71</v>
      </c>
      <c r="E217" s="7">
        <v>1</v>
      </c>
      <c r="F217" s="14" t="s">
        <v>1857</v>
      </c>
      <c r="G217" t="s">
        <v>1231</v>
      </c>
      <c r="H217" s="4" t="s">
        <v>1719</v>
      </c>
      <c r="I217" s="10" t="s">
        <v>1852</v>
      </c>
      <c r="J217" s="3">
        <v>3</v>
      </c>
      <c r="K217" t="s">
        <v>1856</v>
      </c>
      <c r="L217" s="10" t="s">
        <v>1853</v>
      </c>
      <c r="M217" s="3">
        <v>2</v>
      </c>
      <c r="N217" s="8" t="s">
        <v>75</v>
      </c>
      <c r="O217" s="3">
        <v>100</v>
      </c>
      <c r="P217" s="3">
        <v>100</v>
      </c>
      <c r="Q217" s="12" t="s">
        <v>75</v>
      </c>
      <c r="R217" s="12" t="s">
        <v>75</v>
      </c>
      <c r="S217" s="13" t="s">
        <v>75</v>
      </c>
      <c r="T217" s="13" t="s">
        <v>75</v>
      </c>
      <c r="U217" s="13" t="s">
        <v>75</v>
      </c>
      <c r="V217" s="13" t="s">
        <v>75</v>
      </c>
      <c r="W217" s="7">
        <v>3</v>
      </c>
      <c r="X217" s="7">
        <v>3</v>
      </c>
      <c r="Y217" s="7">
        <v>17</v>
      </c>
      <c r="Z217" s="7">
        <v>4</v>
      </c>
      <c r="AA217" s="13" t="s">
        <v>75</v>
      </c>
      <c r="AB217" s="7">
        <v>2</v>
      </c>
      <c r="AC217" s="13" t="s">
        <v>75</v>
      </c>
      <c r="AD217" s="10" t="s">
        <v>1855</v>
      </c>
      <c r="AE217" s="12" t="s">
        <v>75</v>
      </c>
      <c r="AF217" t="s">
        <v>1854</v>
      </c>
    </row>
    <row r="218" spans="1:32" ht="57.6" x14ac:dyDescent="0.3">
      <c r="A218" t="s">
        <v>1851</v>
      </c>
      <c r="B218" s="6">
        <v>2016</v>
      </c>
      <c r="C218" s="7">
        <v>8</v>
      </c>
      <c r="D218" s="6" t="s">
        <v>71</v>
      </c>
      <c r="E218" s="7">
        <v>1</v>
      </c>
      <c r="F218" s="14" t="s">
        <v>1850</v>
      </c>
      <c r="G218" t="s">
        <v>1849</v>
      </c>
      <c r="H218" s="4" t="s">
        <v>1717</v>
      </c>
      <c r="I218" s="10" t="s">
        <v>1845</v>
      </c>
      <c r="J218" s="3">
        <v>6</v>
      </c>
      <c r="K218" t="s">
        <v>1662</v>
      </c>
      <c r="L218" s="10" t="s">
        <v>1844</v>
      </c>
      <c r="M218" s="3">
        <v>4</v>
      </c>
      <c r="N218" s="10" t="s">
        <v>1718</v>
      </c>
      <c r="O218" s="3">
        <v>1</v>
      </c>
      <c r="P218" s="3">
        <v>1</v>
      </c>
      <c r="Q218" s="10" t="s">
        <v>118</v>
      </c>
      <c r="R218" t="s">
        <v>1846</v>
      </c>
      <c r="S218" s="10" t="s">
        <v>1848</v>
      </c>
      <c r="T218" s="10" t="s">
        <v>1847</v>
      </c>
      <c r="U218" s="10" t="s">
        <v>158</v>
      </c>
      <c r="V218" s="10" t="s">
        <v>77</v>
      </c>
      <c r="W218" s="7">
        <v>1</v>
      </c>
      <c r="X218" s="7">
        <v>3</v>
      </c>
      <c r="Y218" s="7">
        <v>1</v>
      </c>
      <c r="Z218" s="7">
        <v>5</v>
      </c>
      <c r="AA218" s="13" t="s">
        <v>75</v>
      </c>
      <c r="AB218" s="7">
        <v>2</v>
      </c>
      <c r="AC218" t="s">
        <v>72</v>
      </c>
      <c r="AD218">
        <v>30</v>
      </c>
      <c r="AE218" t="s">
        <v>73</v>
      </c>
      <c r="AF218" s="6" t="s">
        <v>1001</v>
      </c>
    </row>
    <row r="219" spans="1:32" ht="72" x14ac:dyDescent="0.3">
      <c r="A219" t="s">
        <v>1881</v>
      </c>
      <c r="B219" s="6">
        <v>2016</v>
      </c>
      <c r="C219" s="7">
        <v>8</v>
      </c>
      <c r="D219" s="6" t="s">
        <v>71</v>
      </c>
      <c r="E219" s="7">
        <v>1</v>
      </c>
      <c r="F219" s="14" t="s">
        <v>1880</v>
      </c>
      <c r="G219" t="s">
        <v>1836</v>
      </c>
      <c r="H219" s="4" t="s">
        <v>1720</v>
      </c>
      <c r="I219" s="10" t="s">
        <v>48</v>
      </c>
      <c r="J219" s="11">
        <v>8</v>
      </c>
      <c r="K219" s="6"/>
      <c r="L219" s="10" t="s">
        <v>1721</v>
      </c>
      <c r="M219" s="11">
        <v>4</v>
      </c>
      <c r="N219" s="10" t="s">
        <v>1598</v>
      </c>
      <c r="O219" s="11">
        <v>2</v>
      </c>
      <c r="P219" s="11">
        <v>4</v>
      </c>
      <c r="Q219" s="10" t="s">
        <v>851</v>
      </c>
      <c r="R219" s="6" t="s">
        <v>1219</v>
      </c>
      <c r="S219" s="10" t="s">
        <v>1599</v>
      </c>
      <c r="T219" s="10" t="s">
        <v>1600</v>
      </c>
      <c r="U219" s="10" t="s">
        <v>1601</v>
      </c>
      <c r="V219" s="10" t="s">
        <v>1722</v>
      </c>
      <c r="W219" s="11">
        <v>2</v>
      </c>
      <c r="X219" s="11">
        <v>3</v>
      </c>
      <c r="Y219" s="11">
        <v>16</v>
      </c>
      <c r="Z219" s="11">
        <v>4</v>
      </c>
      <c r="AA219" s="13" t="s">
        <v>74</v>
      </c>
      <c r="AB219" s="7">
        <v>2</v>
      </c>
      <c r="AC219" s="12" t="s">
        <v>1609</v>
      </c>
      <c r="AD219" s="10" t="s">
        <v>1863</v>
      </c>
      <c r="AE219" s="10" t="s">
        <v>73</v>
      </c>
    </row>
    <row r="220" spans="1:32" ht="57.6" x14ac:dyDescent="0.3">
      <c r="A220" t="s">
        <v>1871</v>
      </c>
      <c r="B220" s="6">
        <v>2016</v>
      </c>
      <c r="C220" s="7">
        <v>8</v>
      </c>
      <c r="D220" s="6" t="s">
        <v>71</v>
      </c>
      <c r="E220" s="7">
        <v>1</v>
      </c>
      <c r="F220" s="14" t="s">
        <v>1870</v>
      </c>
      <c r="G220" t="s">
        <v>363</v>
      </c>
      <c r="H220" s="4" t="s">
        <v>1723</v>
      </c>
      <c r="I220" s="10" t="s">
        <v>1872</v>
      </c>
      <c r="J220" s="3">
        <v>3</v>
      </c>
      <c r="K220" t="s">
        <v>1869</v>
      </c>
      <c r="L220" s="10" t="s">
        <v>1868</v>
      </c>
      <c r="M220" s="3">
        <v>4</v>
      </c>
      <c r="N220" s="10" t="s">
        <v>192</v>
      </c>
      <c r="O220" s="11">
        <v>1</v>
      </c>
      <c r="P220" s="11">
        <v>1</v>
      </c>
      <c r="Q220" s="10" t="s">
        <v>118</v>
      </c>
      <c r="R220" s="6" t="s">
        <v>193</v>
      </c>
      <c r="S220" s="6" t="s">
        <v>194</v>
      </c>
      <c r="T220" s="10" t="s">
        <v>195</v>
      </c>
      <c r="U220" s="12" t="s">
        <v>347</v>
      </c>
      <c r="V220" s="12" t="s">
        <v>506</v>
      </c>
      <c r="W220" s="7">
        <v>3</v>
      </c>
      <c r="X220" s="7">
        <v>3</v>
      </c>
      <c r="Y220" s="7">
        <v>17</v>
      </c>
      <c r="Z220" s="7">
        <v>4</v>
      </c>
      <c r="AA220" s="12" t="s">
        <v>74</v>
      </c>
      <c r="AB220" s="11">
        <v>2</v>
      </c>
      <c r="AC220" s="12" t="s">
        <v>1609</v>
      </c>
      <c r="AD220">
        <v>90</v>
      </c>
      <c r="AE220" t="s">
        <v>73</v>
      </c>
      <c r="AF220" t="s">
        <v>1823</v>
      </c>
    </row>
    <row r="221" spans="1:32" ht="288" x14ac:dyDescent="0.3">
      <c r="A221" t="s">
        <v>1867</v>
      </c>
      <c r="B221" s="6">
        <v>2016</v>
      </c>
      <c r="C221" s="7">
        <v>8</v>
      </c>
      <c r="D221" s="6" t="s">
        <v>71</v>
      </c>
      <c r="E221" s="7">
        <v>1</v>
      </c>
      <c r="F221" s="14" t="s">
        <v>1866</v>
      </c>
      <c r="G221" t="s">
        <v>1865</v>
      </c>
      <c r="H221" s="4" t="s">
        <v>1724</v>
      </c>
      <c r="I221" s="10" t="s">
        <v>1864</v>
      </c>
      <c r="J221" s="3">
        <v>9</v>
      </c>
      <c r="L221" s="10" t="s">
        <v>1859</v>
      </c>
      <c r="M221" s="3">
        <v>1</v>
      </c>
      <c r="N221" s="10" t="s">
        <v>1725</v>
      </c>
      <c r="O221" s="3">
        <v>1</v>
      </c>
      <c r="P221" s="3">
        <v>2</v>
      </c>
      <c r="Q221" s="10" t="s">
        <v>118</v>
      </c>
      <c r="R221" t="s">
        <v>1846</v>
      </c>
      <c r="S221" t="s">
        <v>1860</v>
      </c>
      <c r="T221" s="4" t="s">
        <v>1861</v>
      </c>
      <c r="U221" t="s">
        <v>76</v>
      </c>
      <c r="V221" s="2" t="s">
        <v>1862</v>
      </c>
      <c r="W221" s="7">
        <v>2</v>
      </c>
      <c r="X221" s="7">
        <v>3</v>
      </c>
      <c r="Y221" s="7">
        <v>16</v>
      </c>
      <c r="Z221" s="7">
        <v>4</v>
      </c>
      <c r="AA221" s="13" t="s">
        <v>74</v>
      </c>
      <c r="AB221" s="7">
        <v>2</v>
      </c>
      <c r="AC221" s="12" t="s">
        <v>75</v>
      </c>
      <c r="AD221">
        <v>1000</v>
      </c>
      <c r="AE221" t="s">
        <v>73</v>
      </c>
    </row>
    <row r="222" spans="1:32" ht="57.6" x14ac:dyDescent="0.3">
      <c r="A222" t="s">
        <v>1813</v>
      </c>
      <c r="B222" s="6">
        <v>2016</v>
      </c>
      <c r="C222" s="7">
        <v>8</v>
      </c>
      <c r="D222" s="6" t="s">
        <v>71</v>
      </c>
      <c r="E222" s="7">
        <v>1</v>
      </c>
      <c r="F222" s="14" t="s">
        <v>1812</v>
      </c>
      <c r="G222" t="s">
        <v>217</v>
      </c>
      <c r="H222" s="4" t="s">
        <v>1726</v>
      </c>
      <c r="I222" s="4" t="s">
        <v>709</v>
      </c>
      <c r="J222" s="3">
        <v>3</v>
      </c>
      <c r="K222" t="s">
        <v>1811</v>
      </c>
      <c r="L222" s="4" t="s">
        <v>625</v>
      </c>
      <c r="M222" s="3">
        <v>4</v>
      </c>
      <c r="N222" s="10" t="s">
        <v>192</v>
      </c>
      <c r="O222" s="11">
        <v>1</v>
      </c>
      <c r="P222" s="11">
        <v>1</v>
      </c>
      <c r="Q222" s="10" t="s">
        <v>118</v>
      </c>
      <c r="R222" s="6" t="s">
        <v>193</v>
      </c>
      <c r="S222" s="6" t="s">
        <v>194</v>
      </c>
      <c r="T222" s="10" t="s">
        <v>195</v>
      </c>
      <c r="U222" s="12" t="s">
        <v>347</v>
      </c>
      <c r="V222" s="12" t="s">
        <v>506</v>
      </c>
      <c r="W222" s="7">
        <v>3</v>
      </c>
      <c r="X222" s="7">
        <v>3</v>
      </c>
      <c r="Y222" s="7">
        <v>17</v>
      </c>
      <c r="Z222" s="7">
        <v>4</v>
      </c>
      <c r="AA222" s="12" t="s">
        <v>74</v>
      </c>
      <c r="AB222" s="11">
        <v>2</v>
      </c>
      <c r="AC222" s="10" t="s">
        <v>672</v>
      </c>
      <c r="AD222">
        <v>90</v>
      </c>
      <c r="AE222" t="s">
        <v>73</v>
      </c>
      <c r="AF222" t="s">
        <v>1810</v>
      </c>
    </row>
    <row r="223" spans="1:32" ht="57.6" x14ac:dyDescent="0.3">
      <c r="A223" t="s">
        <v>1832</v>
      </c>
      <c r="B223" s="6">
        <v>2016</v>
      </c>
      <c r="C223" s="7">
        <v>8</v>
      </c>
      <c r="D223" s="6" t="s">
        <v>71</v>
      </c>
      <c r="E223" s="7">
        <v>1</v>
      </c>
      <c r="F223" s="14" t="s">
        <v>1828</v>
      </c>
      <c r="G223" t="s">
        <v>1829</v>
      </c>
      <c r="H223" s="4" t="s">
        <v>1727</v>
      </c>
      <c r="I223" s="4" t="s">
        <v>1006</v>
      </c>
      <c r="J223" s="3">
        <v>3</v>
      </c>
      <c r="K223" t="s">
        <v>1831</v>
      </c>
      <c r="L223" s="4" t="s">
        <v>1830</v>
      </c>
      <c r="M223" s="3">
        <v>4</v>
      </c>
      <c r="N223" s="10" t="s">
        <v>1292</v>
      </c>
      <c r="O223" s="11">
        <v>1</v>
      </c>
      <c r="P223" s="11">
        <v>1</v>
      </c>
      <c r="Q223" s="10" t="s">
        <v>118</v>
      </c>
      <c r="R223" s="6" t="s">
        <v>193</v>
      </c>
      <c r="S223" s="6" t="s">
        <v>194</v>
      </c>
      <c r="T223" s="10" t="s">
        <v>195</v>
      </c>
      <c r="U223" s="10" t="s">
        <v>158</v>
      </c>
      <c r="V223" s="10" t="s">
        <v>77</v>
      </c>
      <c r="W223" s="7">
        <v>1</v>
      </c>
      <c r="X223" s="7">
        <v>3</v>
      </c>
      <c r="Y223" s="7">
        <v>1</v>
      </c>
      <c r="Z223" s="7">
        <v>5</v>
      </c>
      <c r="AA223" s="12" t="s">
        <v>74</v>
      </c>
      <c r="AB223" s="11">
        <v>2</v>
      </c>
      <c r="AC223" t="s">
        <v>72</v>
      </c>
      <c r="AD223">
        <v>90</v>
      </c>
      <c r="AE223" t="s">
        <v>73</v>
      </c>
    </row>
    <row r="224" spans="1:32" ht="57.6" x14ac:dyDescent="0.3">
      <c r="A224" t="s">
        <v>1818</v>
      </c>
      <c r="B224" s="6">
        <v>2016</v>
      </c>
      <c r="C224" s="7">
        <v>8</v>
      </c>
      <c r="D224" s="6" t="s">
        <v>71</v>
      </c>
      <c r="E224" s="7">
        <v>1</v>
      </c>
      <c r="F224" s="14" t="s">
        <v>1816</v>
      </c>
      <c r="G224" t="s">
        <v>217</v>
      </c>
      <c r="H224" s="4" t="s">
        <v>1728</v>
      </c>
      <c r="I224" t="s">
        <v>1814</v>
      </c>
      <c r="J224" s="3">
        <v>3</v>
      </c>
      <c r="K224" t="s">
        <v>1817</v>
      </c>
      <c r="L224" t="s">
        <v>1815</v>
      </c>
      <c r="M224" s="3">
        <v>3</v>
      </c>
      <c r="N224" s="10" t="s">
        <v>1292</v>
      </c>
      <c r="O224" s="11">
        <v>1</v>
      </c>
      <c r="P224" s="11">
        <v>1</v>
      </c>
      <c r="Q224" s="10" t="s">
        <v>118</v>
      </c>
      <c r="R224" s="6" t="s">
        <v>193</v>
      </c>
      <c r="S224" s="6" t="s">
        <v>194</v>
      </c>
      <c r="T224" s="10" t="s">
        <v>195</v>
      </c>
      <c r="U224" s="10" t="s">
        <v>158</v>
      </c>
      <c r="V224" s="10" t="s">
        <v>77</v>
      </c>
      <c r="W224" s="7">
        <v>1</v>
      </c>
      <c r="X224" s="7">
        <v>3</v>
      </c>
      <c r="Y224" s="7">
        <v>1</v>
      </c>
      <c r="Z224" s="7">
        <v>5</v>
      </c>
      <c r="AA224" s="12" t="s">
        <v>74</v>
      </c>
      <c r="AB224" s="11">
        <v>2</v>
      </c>
      <c r="AC224" t="s">
        <v>72</v>
      </c>
      <c r="AD224">
        <v>90</v>
      </c>
      <c r="AE224" t="s">
        <v>73</v>
      </c>
    </row>
    <row r="225" spans="1:32" ht="43.2" x14ac:dyDescent="0.3">
      <c r="A225" t="s">
        <v>1822</v>
      </c>
      <c r="B225" s="6">
        <v>2016</v>
      </c>
      <c r="C225" s="7">
        <v>8</v>
      </c>
      <c r="D225" s="6" t="s">
        <v>71</v>
      </c>
      <c r="E225" s="7">
        <v>1</v>
      </c>
      <c r="F225" s="14" t="s">
        <v>1821</v>
      </c>
      <c r="G225" t="s">
        <v>147</v>
      </c>
      <c r="H225" s="4" t="s">
        <v>1729</v>
      </c>
      <c r="I225" s="4" t="s">
        <v>1819</v>
      </c>
      <c r="J225" s="3">
        <v>3</v>
      </c>
      <c r="K225" t="s">
        <v>905</v>
      </c>
      <c r="L225" s="4" t="s">
        <v>1820</v>
      </c>
      <c r="M225" s="3">
        <v>14</v>
      </c>
      <c r="N225" s="10" t="s">
        <v>505</v>
      </c>
      <c r="O225" s="11">
        <v>1</v>
      </c>
      <c r="P225" s="11">
        <v>1</v>
      </c>
      <c r="Q225" s="10" t="s">
        <v>118</v>
      </c>
      <c r="R225" s="6" t="s">
        <v>193</v>
      </c>
      <c r="S225" s="6" t="s">
        <v>194</v>
      </c>
      <c r="T225" s="10" t="s">
        <v>195</v>
      </c>
      <c r="U225" s="12" t="s">
        <v>347</v>
      </c>
      <c r="V225" s="12" t="s">
        <v>506</v>
      </c>
      <c r="W225" s="7">
        <v>3</v>
      </c>
      <c r="X225" s="7">
        <v>3</v>
      </c>
      <c r="Y225" s="7">
        <v>17</v>
      </c>
      <c r="Z225" s="7">
        <v>4</v>
      </c>
      <c r="AA225" s="12" t="s">
        <v>74</v>
      </c>
      <c r="AB225" s="11">
        <v>2</v>
      </c>
      <c r="AC225" s="10" t="s">
        <v>672</v>
      </c>
      <c r="AD225" s="12" t="s">
        <v>75</v>
      </c>
      <c r="AE225" t="s">
        <v>73</v>
      </c>
    </row>
    <row r="226" spans="1:32" ht="43.2" x14ac:dyDescent="0.3">
      <c r="A226" t="s">
        <v>1827</v>
      </c>
      <c r="B226" s="6">
        <v>2016</v>
      </c>
      <c r="C226" s="7">
        <v>8</v>
      </c>
      <c r="D226" s="6" t="s">
        <v>71</v>
      </c>
      <c r="E226" s="7">
        <v>1</v>
      </c>
      <c r="F226" s="14" t="s">
        <v>1826</v>
      </c>
      <c r="G226" t="s">
        <v>329</v>
      </c>
      <c r="H226" s="4" t="s">
        <v>1730</v>
      </c>
      <c r="I226" s="4" t="s">
        <v>1824</v>
      </c>
      <c r="J226" s="3">
        <v>5</v>
      </c>
      <c r="K226" t="s">
        <v>1825</v>
      </c>
      <c r="L226" s="4" t="s">
        <v>9972</v>
      </c>
      <c r="M226" s="3">
        <v>4</v>
      </c>
      <c r="N226" s="10" t="s">
        <v>192</v>
      </c>
      <c r="O226" s="11">
        <v>1</v>
      </c>
      <c r="P226" s="11">
        <v>1</v>
      </c>
      <c r="Q226" s="10" t="s">
        <v>118</v>
      </c>
      <c r="R226" s="6" t="s">
        <v>193</v>
      </c>
      <c r="S226" s="6" t="s">
        <v>194</v>
      </c>
      <c r="T226" s="10" t="s">
        <v>195</v>
      </c>
      <c r="U226" s="12" t="s">
        <v>347</v>
      </c>
      <c r="V226" s="12" t="s">
        <v>506</v>
      </c>
      <c r="W226" s="7">
        <v>3</v>
      </c>
      <c r="X226" s="7">
        <v>3</v>
      </c>
      <c r="Y226" s="7">
        <v>17</v>
      </c>
      <c r="Z226" s="7">
        <v>3</v>
      </c>
      <c r="AA226" s="12" t="s">
        <v>74</v>
      </c>
      <c r="AB226" s="11">
        <v>2</v>
      </c>
      <c r="AC226" s="10" t="s">
        <v>672</v>
      </c>
      <c r="AD226">
        <v>90</v>
      </c>
      <c r="AE226" t="s">
        <v>73</v>
      </c>
      <c r="AF226" t="s">
        <v>1823</v>
      </c>
    </row>
    <row r="227" spans="1:32" ht="72" x14ac:dyDescent="0.3">
      <c r="A227" t="s">
        <v>1879</v>
      </c>
      <c r="B227" s="6">
        <v>2016</v>
      </c>
      <c r="C227" s="7">
        <v>8</v>
      </c>
      <c r="D227" s="6" t="s">
        <v>71</v>
      </c>
      <c r="E227" s="7">
        <v>1</v>
      </c>
      <c r="F227" s="14" t="s">
        <v>1878</v>
      </c>
      <c r="G227" t="s">
        <v>1877</v>
      </c>
      <c r="H227" s="4" t="s">
        <v>1731</v>
      </c>
      <c r="I227" s="4" t="s">
        <v>1744</v>
      </c>
      <c r="J227" s="3">
        <v>1</v>
      </c>
      <c r="K227" t="s">
        <v>1876</v>
      </c>
      <c r="L227" s="4" t="s">
        <v>1875</v>
      </c>
      <c r="M227" s="3">
        <v>5</v>
      </c>
      <c r="N227" s="10" t="s">
        <v>1973</v>
      </c>
      <c r="O227" s="11">
        <v>3</v>
      </c>
      <c r="P227" s="11">
        <v>3</v>
      </c>
      <c r="Q227" s="10" t="s">
        <v>1966</v>
      </c>
      <c r="R227" s="10" t="s">
        <v>1974</v>
      </c>
      <c r="S227" s="10" t="s">
        <v>1975</v>
      </c>
      <c r="T227" s="10" t="s">
        <v>1976</v>
      </c>
      <c r="U227" s="10" t="s">
        <v>1977</v>
      </c>
      <c r="V227" s="10" t="s">
        <v>1978</v>
      </c>
      <c r="W227" s="11">
        <v>2</v>
      </c>
      <c r="X227" s="11">
        <v>3</v>
      </c>
      <c r="Y227" s="11">
        <v>16</v>
      </c>
      <c r="Z227" s="11">
        <v>4</v>
      </c>
      <c r="AA227" s="10" t="s">
        <v>1874</v>
      </c>
      <c r="AB227" s="3">
        <v>1</v>
      </c>
      <c r="AC227" s="10" t="s">
        <v>855</v>
      </c>
      <c r="AD227" t="s">
        <v>1863</v>
      </c>
      <c r="AE227" s="4" t="s">
        <v>1971</v>
      </c>
      <c r="AF227" t="s">
        <v>1873</v>
      </c>
    </row>
    <row r="228" spans="1:32" ht="57.6" x14ac:dyDescent="0.3">
      <c r="A228" t="s">
        <v>1843</v>
      </c>
      <c r="B228" s="6">
        <v>2016</v>
      </c>
      <c r="C228" s="7">
        <v>8</v>
      </c>
      <c r="D228" s="6" t="s">
        <v>71</v>
      </c>
      <c r="E228" s="7">
        <v>1</v>
      </c>
      <c r="F228" s="14" t="s">
        <v>1842</v>
      </c>
      <c r="G228" t="s">
        <v>1841</v>
      </c>
      <c r="H228" s="4" t="s">
        <v>1732</v>
      </c>
      <c r="I228" s="4" t="s">
        <v>1840</v>
      </c>
      <c r="J228" s="3">
        <v>7</v>
      </c>
      <c r="K228" t="s">
        <v>1779</v>
      </c>
      <c r="L228" s="4" t="s">
        <v>1839</v>
      </c>
      <c r="M228" s="3">
        <v>4</v>
      </c>
      <c r="N228" s="10" t="s">
        <v>192</v>
      </c>
      <c r="O228" s="11">
        <v>1</v>
      </c>
      <c r="P228" s="11">
        <v>1</v>
      </c>
      <c r="Q228" s="10" t="s">
        <v>118</v>
      </c>
      <c r="R228" s="6" t="s">
        <v>193</v>
      </c>
      <c r="S228" s="6" t="s">
        <v>194</v>
      </c>
      <c r="T228" s="10" t="s">
        <v>195</v>
      </c>
      <c r="U228" s="12" t="s">
        <v>347</v>
      </c>
      <c r="V228" s="12" t="s">
        <v>506</v>
      </c>
      <c r="W228" s="7">
        <v>3</v>
      </c>
      <c r="X228" s="7">
        <v>3</v>
      </c>
      <c r="Y228" s="7">
        <v>17</v>
      </c>
      <c r="Z228" s="7">
        <v>4</v>
      </c>
      <c r="AA228" s="12" t="s">
        <v>74</v>
      </c>
      <c r="AB228" s="11">
        <v>2</v>
      </c>
      <c r="AC228" s="10" t="s">
        <v>672</v>
      </c>
      <c r="AD228">
        <v>30</v>
      </c>
      <c r="AE228" t="s">
        <v>73</v>
      </c>
    </row>
    <row r="229" spans="1:32" ht="115.2" x14ac:dyDescent="0.3">
      <c r="A229" t="s">
        <v>1913</v>
      </c>
      <c r="B229" s="6">
        <v>2016</v>
      </c>
      <c r="C229" s="7">
        <v>8</v>
      </c>
      <c r="D229" s="6" t="s">
        <v>71</v>
      </c>
      <c r="E229" s="7">
        <v>1</v>
      </c>
      <c r="F229" s="14" t="s">
        <v>1911</v>
      </c>
      <c r="G229" t="s">
        <v>1912</v>
      </c>
      <c r="H229" s="4" t="s">
        <v>1884</v>
      </c>
      <c r="I229" s="4" t="s">
        <v>900</v>
      </c>
      <c r="J229" s="3">
        <v>6</v>
      </c>
      <c r="L229" s="4" t="s">
        <v>1899</v>
      </c>
      <c r="M229" s="3">
        <v>5</v>
      </c>
      <c r="N229" s="10" t="s">
        <v>1900</v>
      </c>
      <c r="O229" s="3">
        <v>3</v>
      </c>
      <c r="P229" s="3">
        <v>3</v>
      </c>
      <c r="Q229" s="10" t="s">
        <v>1901</v>
      </c>
      <c r="R229" s="10" t="s">
        <v>1902</v>
      </c>
      <c r="S229" s="10" t="s">
        <v>1903</v>
      </c>
      <c r="T229" s="10" t="s">
        <v>1904</v>
      </c>
      <c r="U229" s="10" t="s">
        <v>76</v>
      </c>
      <c r="V229" s="10" t="s">
        <v>1907</v>
      </c>
      <c r="W229" s="3">
        <v>1</v>
      </c>
      <c r="X229" s="3">
        <v>1</v>
      </c>
      <c r="Y229" s="3">
        <v>12</v>
      </c>
      <c r="Z229" s="3">
        <v>1</v>
      </c>
      <c r="AA229" s="10" t="s">
        <v>1910</v>
      </c>
      <c r="AB229" s="3">
        <v>1</v>
      </c>
      <c r="AC229" s="10" t="s">
        <v>72</v>
      </c>
      <c r="AD229" t="s">
        <v>1905</v>
      </c>
      <c r="AE229" s="4" t="s">
        <v>1906</v>
      </c>
    </row>
    <row r="230" spans="1:32" ht="57.6" x14ac:dyDescent="0.3">
      <c r="A230" t="s">
        <v>1917</v>
      </c>
      <c r="B230" s="6">
        <v>2016</v>
      </c>
      <c r="C230" s="7">
        <v>8</v>
      </c>
      <c r="D230" s="6" t="s">
        <v>71</v>
      </c>
      <c r="E230" s="7">
        <v>1</v>
      </c>
      <c r="F230" s="14" t="s">
        <v>1916</v>
      </c>
      <c r="G230" t="s">
        <v>1915</v>
      </c>
      <c r="H230" s="4" t="s">
        <v>1885</v>
      </c>
      <c r="I230" s="4" t="s">
        <v>1914</v>
      </c>
      <c r="J230" s="3">
        <v>3</v>
      </c>
      <c r="K230" t="s">
        <v>1831</v>
      </c>
      <c r="L230" s="4" t="s">
        <v>1853</v>
      </c>
      <c r="M230" s="3">
        <v>2</v>
      </c>
      <c r="N230" s="10" t="s">
        <v>192</v>
      </c>
      <c r="O230" s="3">
        <v>1</v>
      </c>
      <c r="P230" s="3">
        <v>1</v>
      </c>
      <c r="Q230" s="10" t="s">
        <v>118</v>
      </c>
      <c r="R230" s="6" t="s">
        <v>193</v>
      </c>
      <c r="S230" s="6" t="s">
        <v>194</v>
      </c>
      <c r="T230" s="10" t="s">
        <v>195</v>
      </c>
      <c r="U230" s="12" t="s">
        <v>347</v>
      </c>
      <c r="V230" s="12" t="s">
        <v>506</v>
      </c>
      <c r="W230" s="7">
        <v>3</v>
      </c>
      <c r="X230" s="7">
        <v>3</v>
      </c>
      <c r="Y230" s="7">
        <v>17</v>
      </c>
      <c r="Z230" s="7">
        <v>4</v>
      </c>
      <c r="AA230" s="12" t="s">
        <v>74</v>
      </c>
      <c r="AB230" s="11">
        <v>2</v>
      </c>
      <c r="AC230" s="10" t="s">
        <v>672</v>
      </c>
      <c r="AD230">
        <v>90</v>
      </c>
      <c r="AE230" t="s">
        <v>73</v>
      </c>
    </row>
    <row r="231" spans="1:32" ht="43.2" x14ac:dyDescent="0.3">
      <c r="A231" t="s">
        <v>1923</v>
      </c>
      <c r="B231" s="6">
        <v>2016</v>
      </c>
      <c r="C231" s="7">
        <v>8</v>
      </c>
      <c r="D231" s="6" t="s">
        <v>71</v>
      </c>
      <c r="E231" s="7">
        <v>1</v>
      </c>
      <c r="F231" s="14" t="s">
        <v>1922</v>
      </c>
      <c r="G231" t="s">
        <v>1175</v>
      </c>
      <c r="H231" s="4" t="s">
        <v>1886</v>
      </c>
      <c r="I231" s="4" t="s">
        <v>1918</v>
      </c>
      <c r="J231" s="3">
        <v>3</v>
      </c>
      <c r="K231" t="s">
        <v>1920</v>
      </c>
      <c r="L231" s="4" t="s">
        <v>490</v>
      </c>
      <c r="M231" s="3">
        <v>4</v>
      </c>
      <c r="N231" s="10" t="s">
        <v>265</v>
      </c>
      <c r="O231" s="3">
        <v>1</v>
      </c>
      <c r="P231" s="3">
        <v>1</v>
      </c>
      <c r="Q231" s="10" t="s">
        <v>118</v>
      </c>
      <c r="R231" s="10" t="s">
        <v>266</v>
      </c>
      <c r="S231" s="6" t="s">
        <v>267</v>
      </c>
      <c r="T231" s="10" t="s">
        <v>268</v>
      </c>
      <c r="U231" s="10" t="s">
        <v>158</v>
      </c>
      <c r="V231" s="10" t="s">
        <v>77</v>
      </c>
      <c r="W231" s="7">
        <v>1</v>
      </c>
      <c r="X231" s="7">
        <v>3</v>
      </c>
      <c r="Y231" s="7">
        <v>1</v>
      </c>
      <c r="Z231" s="7">
        <v>5</v>
      </c>
      <c r="AA231" s="12" t="s">
        <v>74</v>
      </c>
      <c r="AB231" s="11">
        <v>2</v>
      </c>
      <c r="AC231" s="10" t="s">
        <v>1919</v>
      </c>
      <c r="AD231">
        <v>30</v>
      </c>
      <c r="AE231" t="s">
        <v>73</v>
      </c>
      <c r="AF231" t="s">
        <v>1921</v>
      </c>
    </row>
    <row r="232" spans="1:32" ht="28.8" x14ac:dyDescent="0.3">
      <c r="A232" t="s">
        <v>1930</v>
      </c>
      <c r="B232" s="6">
        <v>2016</v>
      </c>
      <c r="C232" s="7">
        <v>8</v>
      </c>
      <c r="D232" s="6" t="s">
        <v>71</v>
      </c>
      <c r="E232" s="7">
        <v>1</v>
      </c>
      <c r="F232" s="14" t="s">
        <v>1929</v>
      </c>
      <c r="G232" t="s">
        <v>217</v>
      </c>
      <c r="H232" s="4" t="s">
        <v>1887</v>
      </c>
      <c r="I232" s="4" t="s">
        <v>1924</v>
      </c>
      <c r="J232" s="3">
        <v>3</v>
      </c>
      <c r="K232" t="s">
        <v>1928</v>
      </c>
      <c r="L232" s="4" t="s">
        <v>1925</v>
      </c>
      <c r="M232" s="3">
        <v>1</v>
      </c>
      <c r="N232" s="10" t="s">
        <v>265</v>
      </c>
      <c r="O232" s="3">
        <v>1</v>
      </c>
      <c r="P232" s="3">
        <v>1</v>
      </c>
      <c r="Q232" s="10" t="s">
        <v>118</v>
      </c>
      <c r="R232" s="10" t="s">
        <v>266</v>
      </c>
      <c r="S232" s="6" t="s">
        <v>267</v>
      </c>
      <c r="T232" s="10" t="s">
        <v>268</v>
      </c>
      <c r="U232" s="12" t="s">
        <v>347</v>
      </c>
      <c r="V232" s="12" t="s">
        <v>506</v>
      </c>
      <c r="W232" s="7">
        <v>3</v>
      </c>
      <c r="X232" s="7">
        <v>3</v>
      </c>
      <c r="Y232" s="7">
        <v>17</v>
      </c>
      <c r="Z232" s="7">
        <v>4</v>
      </c>
      <c r="AA232" s="10" t="s">
        <v>1926</v>
      </c>
      <c r="AB232" s="3">
        <v>1</v>
      </c>
      <c r="AC232" s="10" t="s">
        <v>72</v>
      </c>
      <c r="AD232">
        <v>30</v>
      </c>
      <c r="AE232" t="s">
        <v>73</v>
      </c>
      <c r="AF232" t="s">
        <v>1927</v>
      </c>
    </row>
    <row r="233" spans="1:32" ht="43.2" x14ac:dyDescent="0.3">
      <c r="A233" t="s">
        <v>1938</v>
      </c>
      <c r="B233" s="6">
        <v>2016</v>
      </c>
      <c r="C233" s="7">
        <v>8</v>
      </c>
      <c r="D233" s="6" t="s">
        <v>71</v>
      </c>
      <c r="E233" s="7">
        <v>1</v>
      </c>
      <c r="F233" s="14" t="s">
        <v>1937</v>
      </c>
      <c r="G233" t="s">
        <v>1936</v>
      </c>
      <c r="H233" s="4" t="s">
        <v>1888</v>
      </c>
      <c r="I233" s="4" t="s">
        <v>1931</v>
      </c>
      <c r="J233" s="3">
        <v>3</v>
      </c>
      <c r="K233" t="s">
        <v>890</v>
      </c>
      <c r="L233" s="4" t="s">
        <v>1932</v>
      </c>
      <c r="M233" s="3">
        <v>5</v>
      </c>
      <c r="N233" s="10" t="s">
        <v>265</v>
      </c>
      <c r="O233" s="3">
        <v>1</v>
      </c>
      <c r="P233" s="3">
        <v>1</v>
      </c>
      <c r="Q233" s="10" t="s">
        <v>118</v>
      </c>
      <c r="R233" s="10" t="s">
        <v>266</v>
      </c>
      <c r="S233" s="6" t="s">
        <v>267</v>
      </c>
      <c r="T233" s="10" t="s">
        <v>268</v>
      </c>
      <c r="U233" s="10" t="s">
        <v>158</v>
      </c>
      <c r="V233" s="10" t="s">
        <v>77</v>
      </c>
      <c r="W233" s="7">
        <v>1</v>
      </c>
      <c r="X233" s="7">
        <v>3</v>
      </c>
      <c r="Y233" s="7">
        <v>1</v>
      </c>
      <c r="Z233" s="7">
        <v>5</v>
      </c>
      <c r="AA233" s="10" t="s">
        <v>1935</v>
      </c>
      <c r="AB233" s="3">
        <v>1</v>
      </c>
      <c r="AC233" s="10" t="s">
        <v>72</v>
      </c>
      <c r="AD233" s="4" t="s">
        <v>1933</v>
      </c>
      <c r="AE233" t="s">
        <v>73</v>
      </c>
      <c r="AF233" t="s">
        <v>1934</v>
      </c>
    </row>
    <row r="234" spans="1:32" ht="57.6" x14ac:dyDescent="0.3">
      <c r="A234" t="s">
        <v>1943</v>
      </c>
      <c r="B234" s="6">
        <v>2016</v>
      </c>
      <c r="C234" s="7">
        <v>8</v>
      </c>
      <c r="D234" s="6" t="s">
        <v>71</v>
      </c>
      <c r="E234" s="7">
        <v>1</v>
      </c>
      <c r="F234" s="14" t="s">
        <v>1942</v>
      </c>
      <c r="G234" t="s">
        <v>217</v>
      </c>
      <c r="H234" s="4" t="s">
        <v>1889</v>
      </c>
      <c r="I234" s="4" t="s">
        <v>1939</v>
      </c>
      <c r="J234" s="3">
        <v>3</v>
      </c>
      <c r="K234" t="s">
        <v>863</v>
      </c>
      <c r="L234" s="4" t="s">
        <v>1005</v>
      </c>
      <c r="M234" s="3">
        <v>4</v>
      </c>
      <c r="N234" s="10" t="s">
        <v>265</v>
      </c>
      <c r="O234" s="3">
        <v>1</v>
      </c>
      <c r="P234" s="3">
        <v>1</v>
      </c>
      <c r="Q234" s="10" t="s">
        <v>118</v>
      </c>
      <c r="R234" s="10" t="s">
        <v>266</v>
      </c>
      <c r="S234" s="6" t="s">
        <v>267</v>
      </c>
      <c r="T234" s="10" t="s">
        <v>268</v>
      </c>
      <c r="U234" s="12" t="s">
        <v>347</v>
      </c>
      <c r="V234" s="12" t="s">
        <v>506</v>
      </c>
      <c r="W234" s="7">
        <v>3</v>
      </c>
      <c r="X234" s="7">
        <v>3</v>
      </c>
      <c r="Y234" s="7">
        <v>17</v>
      </c>
      <c r="Z234" s="7">
        <v>4</v>
      </c>
      <c r="AA234" s="12" t="s">
        <v>74</v>
      </c>
      <c r="AB234" s="11">
        <v>2</v>
      </c>
      <c r="AC234" s="10" t="s">
        <v>672</v>
      </c>
      <c r="AD234" s="12" t="s">
        <v>1940</v>
      </c>
      <c r="AE234" t="s">
        <v>73</v>
      </c>
      <c r="AF234" t="s">
        <v>1941</v>
      </c>
    </row>
    <row r="235" spans="1:32" ht="28.8" x14ac:dyDescent="0.3">
      <c r="A235" t="s">
        <v>1952</v>
      </c>
      <c r="B235" s="6">
        <v>2016</v>
      </c>
      <c r="C235" s="7">
        <v>8</v>
      </c>
      <c r="D235" s="6" t="s">
        <v>71</v>
      </c>
      <c r="E235" s="7">
        <v>1</v>
      </c>
      <c r="F235" s="14" t="s">
        <v>1951</v>
      </c>
      <c r="G235" t="s">
        <v>1950</v>
      </c>
      <c r="H235" s="4" t="s">
        <v>1890</v>
      </c>
      <c r="I235" s="4" t="s">
        <v>1944</v>
      </c>
      <c r="J235" s="3">
        <v>3</v>
      </c>
      <c r="K235" t="s">
        <v>1945</v>
      </c>
      <c r="L235" s="4" t="s">
        <v>1946</v>
      </c>
      <c r="M235" s="3">
        <v>1</v>
      </c>
      <c r="N235" s="10" t="s">
        <v>265</v>
      </c>
      <c r="O235" s="3">
        <v>1</v>
      </c>
      <c r="P235" s="3">
        <v>1</v>
      </c>
      <c r="Q235" s="10" t="s">
        <v>118</v>
      </c>
      <c r="R235" s="10" t="s">
        <v>266</v>
      </c>
      <c r="S235" s="6" t="s">
        <v>267</v>
      </c>
      <c r="T235" s="10" t="s">
        <v>268</v>
      </c>
      <c r="U235" s="12" t="s">
        <v>347</v>
      </c>
      <c r="V235" s="12" t="s">
        <v>506</v>
      </c>
      <c r="W235" s="7">
        <v>3</v>
      </c>
      <c r="X235" s="7">
        <v>3</v>
      </c>
      <c r="Y235" s="7">
        <v>17</v>
      </c>
      <c r="Z235" s="7">
        <v>4</v>
      </c>
      <c r="AA235" s="10" t="s">
        <v>1947</v>
      </c>
      <c r="AB235" s="3">
        <v>1</v>
      </c>
      <c r="AC235" s="10" t="s">
        <v>672</v>
      </c>
      <c r="AD235" t="s">
        <v>1948</v>
      </c>
      <c r="AE235" t="s">
        <v>73</v>
      </c>
      <c r="AF235" t="s">
        <v>1949</v>
      </c>
    </row>
    <row r="236" spans="1:32" ht="43.2" x14ac:dyDescent="0.3">
      <c r="A236" t="s">
        <v>1957</v>
      </c>
      <c r="B236" s="6">
        <v>2015</v>
      </c>
      <c r="C236" s="7">
        <v>7</v>
      </c>
      <c r="D236" s="6" t="s">
        <v>71</v>
      </c>
      <c r="E236" s="7">
        <v>1</v>
      </c>
      <c r="F236" s="14" t="s">
        <v>1956</v>
      </c>
      <c r="G236" t="s">
        <v>217</v>
      </c>
      <c r="H236" s="4" t="s">
        <v>1891</v>
      </c>
      <c r="I236" s="4" t="s">
        <v>1953</v>
      </c>
      <c r="J236" s="3">
        <v>3</v>
      </c>
      <c r="K236" t="s">
        <v>1955</v>
      </c>
      <c r="L236" s="4" t="s">
        <v>1954</v>
      </c>
      <c r="M236" s="3">
        <v>4</v>
      </c>
      <c r="N236" s="10" t="s">
        <v>192</v>
      </c>
      <c r="O236" s="3">
        <v>1</v>
      </c>
      <c r="P236" s="3">
        <v>1</v>
      </c>
      <c r="Q236" s="10" t="s">
        <v>118</v>
      </c>
      <c r="R236" s="6" t="s">
        <v>193</v>
      </c>
      <c r="S236" s="6" t="s">
        <v>194</v>
      </c>
      <c r="T236" s="10" t="s">
        <v>195</v>
      </c>
      <c r="U236" s="12" t="s">
        <v>347</v>
      </c>
      <c r="V236" s="12" t="s">
        <v>506</v>
      </c>
      <c r="W236" s="7">
        <v>3</v>
      </c>
      <c r="X236" s="7">
        <v>3</v>
      </c>
      <c r="Y236" s="7">
        <v>17</v>
      </c>
      <c r="Z236" s="7">
        <v>4</v>
      </c>
      <c r="AA236" s="12" t="s">
        <v>74</v>
      </c>
      <c r="AB236" s="11">
        <v>2</v>
      </c>
      <c r="AC236" s="10" t="s">
        <v>672</v>
      </c>
      <c r="AD236" s="12" t="s">
        <v>1940</v>
      </c>
      <c r="AE236" t="s">
        <v>73</v>
      </c>
    </row>
    <row r="237" spans="1:32" ht="57.6" x14ac:dyDescent="0.3">
      <c r="A237" t="s">
        <v>1960</v>
      </c>
      <c r="B237" s="6">
        <v>2015</v>
      </c>
      <c r="C237" s="7">
        <v>7</v>
      </c>
      <c r="D237" s="6" t="s">
        <v>71</v>
      </c>
      <c r="E237" s="7">
        <v>1</v>
      </c>
      <c r="F237" s="14" t="s">
        <v>1959</v>
      </c>
      <c r="G237" t="s">
        <v>164</v>
      </c>
      <c r="H237" s="4" t="s">
        <v>1892</v>
      </c>
      <c r="I237" s="4" t="s">
        <v>2038</v>
      </c>
      <c r="J237" s="3">
        <v>5</v>
      </c>
      <c r="K237" t="s">
        <v>1955</v>
      </c>
      <c r="L237" s="4" t="s">
        <v>1958</v>
      </c>
      <c r="M237" s="3">
        <v>3</v>
      </c>
      <c r="N237" s="10" t="s">
        <v>192</v>
      </c>
      <c r="O237" s="3">
        <v>1</v>
      </c>
      <c r="P237" s="3">
        <v>1</v>
      </c>
      <c r="Q237" s="10" t="s">
        <v>118</v>
      </c>
      <c r="R237" s="6" t="s">
        <v>193</v>
      </c>
      <c r="S237" s="6" t="s">
        <v>194</v>
      </c>
      <c r="T237" s="10" t="s">
        <v>195</v>
      </c>
      <c r="U237" s="12" t="s">
        <v>347</v>
      </c>
      <c r="V237" s="12" t="s">
        <v>506</v>
      </c>
      <c r="W237" s="7">
        <v>3</v>
      </c>
      <c r="X237" s="7">
        <v>3</v>
      </c>
      <c r="Y237" s="7">
        <v>17</v>
      </c>
      <c r="Z237" s="7">
        <v>4</v>
      </c>
      <c r="AA237" s="12" t="s">
        <v>74</v>
      </c>
      <c r="AB237" s="11">
        <v>2</v>
      </c>
      <c r="AC237" s="10" t="s">
        <v>672</v>
      </c>
      <c r="AD237" s="12" t="s">
        <v>1940</v>
      </c>
      <c r="AE237" t="s">
        <v>73</v>
      </c>
      <c r="AF237" t="s">
        <v>1810</v>
      </c>
    </row>
    <row r="238" spans="1:32" ht="72" x14ac:dyDescent="0.3">
      <c r="A238" t="s">
        <v>1980</v>
      </c>
      <c r="B238" s="6">
        <v>2015</v>
      </c>
      <c r="C238" s="7">
        <v>7</v>
      </c>
      <c r="D238" s="6" t="s">
        <v>71</v>
      </c>
      <c r="E238" s="7">
        <v>1</v>
      </c>
      <c r="F238" s="14" t="s">
        <v>1979</v>
      </c>
      <c r="G238" t="s">
        <v>1802</v>
      </c>
      <c r="H238" s="4" t="s">
        <v>1893</v>
      </c>
      <c r="I238" s="4" t="s">
        <v>1744</v>
      </c>
      <c r="J238" s="3">
        <v>1</v>
      </c>
      <c r="K238" t="s">
        <v>486</v>
      </c>
      <c r="L238" s="4" t="s">
        <v>1961</v>
      </c>
      <c r="M238" s="3">
        <v>9</v>
      </c>
      <c r="N238" s="10" t="s">
        <v>1965</v>
      </c>
      <c r="O238" s="3">
        <v>3</v>
      </c>
      <c r="P238" s="3">
        <v>4</v>
      </c>
      <c r="Q238" s="10" t="s">
        <v>1966</v>
      </c>
      <c r="R238" s="10" t="s">
        <v>1967</v>
      </c>
      <c r="S238" s="10" t="s">
        <v>1968</v>
      </c>
      <c r="T238" s="10" t="s">
        <v>2069</v>
      </c>
      <c r="U238" s="12" t="s">
        <v>1969</v>
      </c>
      <c r="V238" s="12" t="s">
        <v>1970</v>
      </c>
      <c r="W238" s="7">
        <v>3</v>
      </c>
      <c r="X238" s="7">
        <v>3</v>
      </c>
      <c r="Y238" s="7">
        <v>17</v>
      </c>
      <c r="Z238" s="7">
        <v>4</v>
      </c>
      <c r="AA238" s="10" t="s">
        <v>1962</v>
      </c>
      <c r="AB238" s="3">
        <v>1</v>
      </c>
      <c r="AC238" s="10" t="s">
        <v>672</v>
      </c>
      <c r="AD238" s="10" t="s">
        <v>1963</v>
      </c>
      <c r="AE238" s="4" t="s">
        <v>1971</v>
      </c>
      <c r="AF238" t="s">
        <v>1972</v>
      </c>
    </row>
    <row r="239" spans="1:32" ht="72" x14ac:dyDescent="0.3">
      <c r="A239" t="s">
        <v>1982</v>
      </c>
      <c r="B239" s="6">
        <v>2015</v>
      </c>
      <c r="C239" s="7">
        <v>7</v>
      </c>
      <c r="D239" s="6" t="s">
        <v>71</v>
      </c>
      <c r="E239" s="7">
        <v>1</v>
      </c>
      <c r="F239" s="14" t="s">
        <v>1981</v>
      </c>
      <c r="G239" t="s">
        <v>1849</v>
      </c>
      <c r="H239" s="4" t="s">
        <v>1894</v>
      </c>
      <c r="I239" s="10" t="s">
        <v>48</v>
      </c>
      <c r="J239" s="11">
        <v>8</v>
      </c>
      <c r="K239" s="6"/>
      <c r="L239" s="10" t="s">
        <v>1895</v>
      </c>
      <c r="M239" s="11">
        <v>4</v>
      </c>
      <c r="N239" s="10" t="s">
        <v>1896</v>
      </c>
      <c r="O239" s="11">
        <v>2</v>
      </c>
      <c r="P239" s="11">
        <v>4</v>
      </c>
      <c r="Q239" s="10" t="s">
        <v>851</v>
      </c>
      <c r="R239" s="10" t="s">
        <v>1219</v>
      </c>
      <c r="S239" s="10" t="s">
        <v>1599</v>
      </c>
      <c r="T239" s="10" t="s">
        <v>1600</v>
      </c>
      <c r="U239" s="10" t="s">
        <v>1897</v>
      </c>
      <c r="V239" s="10" t="s">
        <v>1898</v>
      </c>
      <c r="W239" s="11">
        <v>3</v>
      </c>
      <c r="X239" s="11">
        <v>3</v>
      </c>
      <c r="Y239" s="11">
        <v>17</v>
      </c>
      <c r="Z239" s="11">
        <v>4</v>
      </c>
      <c r="AA239" s="13" t="s">
        <v>74</v>
      </c>
      <c r="AB239" s="7">
        <v>2</v>
      </c>
      <c r="AC239" s="12" t="s">
        <v>75</v>
      </c>
      <c r="AD239" s="10" t="s">
        <v>1964</v>
      </c>
      <c r="AE239" s="10" t="s">
        <v>73</v>
      </c>
      <c r="AF239" s="6" t="s">
        <v>2051</v>
      </c>
    </row>
    <row r="240" spans="1:32" ht="43.2" x14ac:dyDescent="0.3">
      <c r="A240" t="s">
        <v>2012</v>
      </c>
      <c r="B240" s="6">
        <v>2015</v>
      </c>
      <c r="C240" s="7">
        <v>7</v>
      </c>
      <c r="D240" s="6" t="s">
        <v>71</v>
      </c>
      <c r="E240" s="7">
        <v>1</v>
      </c>
      <c r="F240" s="14" t="s">
        <v>2011</v>
      </c>
      <c r="G240" t="s">
        <v>704</v>
      </c>
      <c r="H240" s="4" t="s">
        <v>1983</v>
      </c>
      <c r="I240" s="4" t="s">
        <v>1953</v>
      </c>
      <c r="J240" s="3">
        <v>3</v>
      </c>
      <c r="K240" t="s">
        <v>846</v>
      </c>
      <c r="L240" s="4" t="s">
        <v>2009</v>
      </c>
      <c r="M240" s="3">
        <v>1</v>
      </c>
      <c r="N240" s="10" t="s">
        <v>192</v>
      </c>
      <c r="O240" s="3">
        <v>1</v>
      </c>
      <c r="P240" s="3">
        <v>1</v>
      </c>
      <c r="Q240" s="10" t="s">
        <v>118</v>
      </c>
      <c r="R240" s="6" t="s">
        <v>193</v>
      </c>
      <c r="S240" s="6" t="s">
        <v>194</v>
      </c>
      <c r="T240" s="10" t="s">
        <v>195</v>
      </c>
      <c r="U240" s="12" t="s">
        <v>347</v>
      </c>
      <c r="V240" s="12" t="s">
        <v>506</v>
      </c>
      <c r="W240" s="7">
        <v>3</v>
      </c>
      <c r="X240" s="7">
        <v>3</v>
      </c>
      <c r="Y240" s="7">
        <v>17</v>
      </c>
      <c r="Z240" s="7">
        <v>4</v>
      </c>
      <c r="AA240" s="12" t="s">
        <v>74</v>
      </c>
      <c r="AB240" s="11">
        <v>2</v>
      </c>
      <c r="AC240" s="10" t="s">
        <v>2010</v>
      </c>
      <c r="AD240">
        <v>90</v>
      </c>
      <c r="AE240" t="s">
        <v>73</v>
      </c>
    </row>
    <row r="241" spans="1:32" ht="43.2" x14ac:dyDescent="0.3">
      <c r="A241" t="s">
        <v>2028</v>
      </c>
      <c r="B241" s="6">
        <v>2015</v>
      </c>
      <c r="C241" s="7">
        <v>7</v>
      </c>
      <c r="D241" s="6" t="s">
        <v>71</v>
      </c>
      <c r="E241" s="7">
        <v>1</v>
      </c>
      <c r="F241" s="14" t="s">
        <v>2027</v>
      </c>
      <c r="G241" t="s">
        <v>177</v>
      </c>
      <c r="H241" s="4" t="s">
        <v>1984</v>
      </c>
      <c r="I241" s="4" t="s">
        <v>2021</v>
      </c>
      <c r="J241" s="3">
        <v>3</v>
      </c>
      <c r="K241" t="s">
        <v>975</v>
      </c>
      <c r="L241" s="4" t="s">
        <v>2026</v>
      </c>
      <c r="M241" s="3">
        <v>3</v>
      </c>
      <c r="N241" s="10" t="s">
        <v>1985</v>
      </c>
      <c r="O241" s="3">
        <v>1</v>
      </c>
      <c r="P241" s="3">
        <v>1</v>
      </c>
      <c r="Q241" s="10" t="s">
        <v>118</v>
      </c>
      <c r="R241" s="6" t="s">
        <v>1210</v>
      </c>
      <c r="S241">
        <v>1994</v>
      </c>
      <c r="T241" s="10" t="s">
        <v>2023</v>
      </c>
      <c r="U241" s="10" t="s">
        <v>1635</v>
      </c>
      <c r="V241" s="12" t="s">
        <v>2022</v>
      </c>
      <c r="W241" s="3">
        <v>2</v>
      </c>
      <c r="X241" s="3">
        <v>3</v>
      </c>
      <c r="Y241" s="3">
        <v>9</v>
      </c>
      <c r="Z241" s="3">
        <v>4</v>
      </c>
      <c r="AA241">
        <v>2.44</v>
      </c>
      <c r="AB241" s="3">
        <v>1</v>
      </c>
      <c r="AC241" s="10" t="s">
        <v>72</v>
      </c>
      <c r="AD241">
        <v>3.66</v>
      </c>
      <c r="AE241" t="s">
        <v>2024</v>
      </c>
      <c r="AF241" t="s">
        <v>2025</v>
      </c>
    </row>
    <row r="242" spans="1:32" ht="86.4" x14ac:dyDescent="0.3">
      <c r="A242" t="s">
        <v>2043</v>
      </c>
      <c r="B242" s="6">
        <v>2015</v>
      </c>
      <c r="C242" s="7">
        <v>7</v>
      </c>
      <c r="D242" s="6" t="s">
        <v>71</v>
      </c>
      <c r="E242" s="7">
        <v>1</v>
      </c>
      <c r="F242" s="14" t="s">
        <v>2042</v>
      </c>
      <c r="G242" t="s">
        <v>329</v>
      </c>
      <c r="H242" s="4" t="s">
        <v>1986</v>
      </c>
      <c r="I242" s="4" t="s">
        <v>2040</v>
      </c>
      <c r="J242" s="3">
        <v>3</v>
      </c>
      <c r="K242" t="s">
        <v>1043</v>
      </c>
      <c r="L242" s="4" t="s">
        <v>2039</v>
      </c>
      <c r="M242" s="3">
        <v>2</v>
      </c>
      <c r="N242" s="10" t="s">
        <v>192</v>
      </c>
      <c r="O242" s="3">
        <v>1</v>
      </c>
      <c r="P242" s="3">
        <v>1</v>
      </c>
      <c r="Q242" s="10" t="s">
        <v>118</v>
      </c>
      <c r="R242" s="6" t="s">
        <v>193</v>
      </c>
      <c r="S242" s="6" t="s">
        <v>194</v>
      </c>
      <c r="T242" s="10" t="s">
        <v>195</v>
      </c>
      <c r="U242" s="12" t="s">
        <v>347</v>
      </c>
      <c r="V242" s="12" t="s">
        <v>506</v>
      </c>
      <c r="W242" s="7">
        <v>3</v>
      </c>
      <c r="X242" s="7">
        <v>3</v>
      </c>
      <c r="Y242" s="7">
        <v>17</v>
      </c>
      <c r="Z242" s="7">
        <v>4</v>
      </c>
      <c r="AA242" s="12" t="s">
        <v>74</v>
      </c>
      <c r="AB242" s="11">
        <v>2</v>
      </c>
      <c r="AC242" s="10" t="s">
        <v>672</v>
      </c>
      <c r="AD242" s="12" t="s">
        <v>1940</v>
      </c>
      <c r="AE242" t="s">
        <v>73</v>
      </c>
      <c r="AF242" t="s">
        <v>2041</v>
      </c>
    </row>
    <row r="243" spans="1:32" ht="57.6" x14ac:dyDescent="0.3">
      <c r="A243" t="s">
        <v>2032</v>
      </c>
      <c r="B243" s="6">
        <v>2015</v>
      </c>
      <c r="C243" s="7">
        <v>7</v>
      </c>
      <c r="D243" s="6" t="s">
        <v>71</v>
      </c>
      <c r="E243" s="7">
        <v>1</v>
      </c>
      <c r="F243" s="14" t="s">
        <v>2031</v>
      </c>
      <c r="G243" t="s">
        <v>2030</v>
      </c>
      <c r="H243" s="4" t="s">
        <v>1987</v>
      </c>
      <c r="I243" s="4" t="s">
        <v>760</v>
      </c>
      <c r="J243" s="3">
        <v>3</v>
      </c>
      <c r="L243" s="4" t="s">
        <v>2029</v>
      </c>
      <c r="M243" s="3">
        <v>4</v>
      </c>
      <c r="N243" s="10" t="s">
        <v>265</v>
      </c>
      <c r="O243" s="3">
        <v>1</v>
      </c>
      <c r="P243" s="3">
        <v>1</v>
      </c>
      <c r="Q243" s="10" t="s">
        <v>118</v>
      </c>
      <c r="R243" s="10" t="s">
        <v>266</v>
      </c>
      <c r="S243" s="6" t="s">
        <v>267</v>
      </c>
      <c r="T243" s="10" t="s">
        <v>268</v>
      </c>
      <c r="U243" s="10" t="s">
        <v>158</v>
      </c>
      <c r="V243" s="10" t="s">
        <v>77</v>
      </c>
      <c r="W243" s="7">
        <v>1</v>
      </c>
      <c r="X243" s="7">
        <v>3</v>
      </c>
      <c r="Y243" s="7">
        <v>1</v>
      </c>
      <c r="Z243" s="7">
        <v>5</v>
      </c>
      <c r="AA243" s="12" t="s">
        <v>74</v>
      </c>
      <c r="AB243" s="11">
        <v>2</v>
      </c>
      <c r="AC243" s="10" t="s">
        <v>72</v>
      </c>
      <c r="AD243">
        <v>30</v>
      </c>
      <c r="AE243" t="s">
        <v>73</v>
      </c>
    </row>
    <row r="244" spans="1:32" ht="43.2" x14ac:dyDescent="0.3">
      <c r="A244" t="s">
        <v>2048</v>
      </c>
      <c r="B244" s="6">
        <v>2015</v>
      </c>
      <c r="C244" s="7">
        <v>7</v>
      </c>
      <c r="D244" s="6" t="s">
        <v>71</v>
      </c>
      <c r="E244" s="7">
        <v>1</v>
      </c>
      <c r="F244" s="14" t="s">
        <v>2047</v>
      </c>
      <c r="G244" t="s">
        <v>217</v>
      </c>
      <c r="H244" s="4" t="s">
        <v>1988</v>
      </c>
      <c r="I244" s="4" t="s">
        <v>1229</v>
      </c>
      <c r="J244" s="3">
        <v>3</v>
      </c>
      <c r="K244" t="s">
        <v>454</v>
      </c>
      <c r="L244" s="4" t="s">
        <v>2044</v>
      </c>
      <c r="M244" s="3">
        <v>4</v>
      </c>
      <c r="N244" s="8" t="s">
        <v>2045</v>
      </c>
      <c r="O244" s="3">
        <v>100</v>
      </c>
      <c r="P244" s="3">
        <v>100</v>
      </c>
      <c r="Q244" s="12" t="s">
        <v>75</v>
      </c>
      <c r="R244" s="12" t="s">
        <v>75</v>
      </c>
      <c r="S244" s="13" t="s">
        <v>75</v>
      </c>
      <c r="T244" s="13" t="s">
        <v>75</v>
      </c>
      <c r="U244" s="13" t="s">
        <v>75</v>
      </c>
      <c r="V244" s="13" t="s">
        <v>75</v>
      </c>
      <c r="W244" s="7">
        <v>3</v>
      </c>
      <c r="X244" s="7">
        <v>3</v>
      </c>
      <c r="Y244" s="7">
        <v>17</v>
      </c>
      <c r="Z244" s="7">
        <v>4</v>
      </c>
      <c r="AA244" s="13" t="s">
        <v>75</v>
      </c>
      <c r="AB244" s="7">
        <v>2</v>
      </c>
      <c r="AC244" s="13" t="s">
        <v>75</v>
      </c>
      <c r="AD244" s="4" t="s">
        <v>2046</v>
      </c>
      <c r="AE244" s="12" t="s">
        <v>75</v>
      </c>
    </row>
    <row r="245" spans="1:32" ht="57.6" x14ac:dyDescent="0.3">
      <c r="A245" t="s">
        <v>2054</v>
      </c>
      <c r="B245" s="6">
        <v>2014</v>
      </c>
      <c r="C245" s="7">
        <v>6</v>
      </c>
      <c r="D245" s="6" t="s">
        <v>71</v>
      </c>
      <c r="E245" s="7">
        <v>1</v>
      </c>
      <c r="F245" s="14" t="s">
        <v>2053</v>
      </c>
      <c r="G245" t="s">
        <v>147</v>
      </c>
      <c r="H245" s="4" t="s">
        <v>1989</v>
      </c>
      <c r="I245" s="4" t="s">
        <v>2050</v>
      </c>
      <c r="J245" s="3">
        <v>7</v>
      </c>
      <c r="L245" s="4" t="s">
        <v>2049</v>
      </c>
      <c r="M245" s="3">
        <v>15</v>
      </c>
      <c r="N245" s="10" t="s">
        <v>265</v>
      </c>
      <c r="O245" s="3">
        <v>1</v>
      </c>
      <c r="P245" s="3">
        <v>1</v>
      </c>
      <c r="Q245" s="10" t="s">
        <v>118</v>
      </c>
      <c r="R245" s="10" t="s">
        <v>266</v>
      </c>
      <c r="S245" s="6" t="s">
        <v>267</v>
      </c>
      <c r="T245" s="10" t="s">
        <v>268</v>
      </c>
      <c r="U245" s="10" t="s">
        <v>158</v>
      </c>
      <c r="V245" s="10" t="s">
        <v>77</v>
      </c>
      <c r="W245" s="7">
        <v>1</v>
      </c>
      <c r="X245" s="7">
        <v>3</v>
      </c>
      <c r="Y245" s="7">
        <v>1</v>
      </c>
      <c r="Z245" s="7">
        <v>5</v>
      </c>
      <c r="AA245" s="12" t="s">
        <v>74</v>
      </c>
      <c r="AB245" s="11">
        <v>2</v>
      </c>
      <c r="AC245" s="10" t="s">
        <v>72</v>
      </c>
      <c r="AD245">
        <v>30</v>
      </c>
      <c r="AE245" t="s">
        <v>73</v>
      </c>
      <c r="AF245" t="s">
        <v>2052</v>
      </c>
    </row>
    <row r="246" spans="1:32" ht="28.8" x14ac:dyDescent="0.3">
      <c r="A246" t="s">
        <v>2057</v>
      </c>
      <c r="B246" s="6">
        <v>2014</v>
      </c>
      <c r="C246" s="7">
        <v>6</v>
      </c>
      <c r="D246" s="6" t="s">
        <v>71</v>
      </c>
      <c r="E246" s="7">
        <v>1</v>
      </c>
      <c r="F246" s="14" t="s">
        <v>2056</v>
      </c>
      <c r="G246" t="s">
        <v>329</v>
      </c>
      <c r="H246" s="4" t="s">
        <v>1990</v>
      </c>
      <c r="I246" s="4" t="s">
        <v>559</v>
      </c>
      <c r="J246" s="3">
        <v>1</v>
      </c>
      <c r="K246" t="s">
        <v>2055</v>
      </c>
      <c r="L246" s="4" t="s">
        <v>1542</v>
      </c>
      <c r="M246" s="3">
        <v>4</v>
      </c>
      <c r="N246" s="10" t="s">
        <v>192</v>
      </c>
      <c r="O246" s="3">
        <v>1</v>
      </c>
      <c r="P246" s="3">
        <v>1</v>
      </c>
      <c r="Q246" s="10" t="s">
        <v>118</v>
      </c>
      <c r="R246" s="6" t="s">
        <v>193</v>
      </c>
      <c r="S246" s="6" t="s">
        <v>194</v>
      </c>
      <c r="T246" s="10" t="s">
        <v>195</v>
      </c>
      <c r="U246" s="10" t="s">
        <v>158</v>
      </c>
      <c r="V246" s="10" t="s">
        <v>77</v>
      </c>
      <c r="W246" s="7">
        <v>1</v>
      </c>
      <c r="X246" s="7">
        <v>3</v>
      </c>
      <c r="Y246" s="7">
        <v>1</v>
      </c>
      <c r="Z246" s="7">
        <v>5</v>
      </c>
      <c r="AA246" s="12" t="s">
        <v>74</v>
      </c>
      <c r="AB246" s="11">
        <v>2</v>
      </c>
      <c r="AC246" s="10" t="s">
        <v>72</v>
      </c>
      <c r="AD246">
        <v>90</v>
      </c>
      <c r="AE246" t="s">
        <v>73</v>
      </c>
    </row>
    <row r="247" spans="1:32" ht="28.8" x14ac:dyDescent="0.3">
      <c r="A247" t="s">
        <v>2062</v>
      </c>
      <c r="B247" s="6">
        <v>2014</v>
      </c>
      <c r="C247" s="7">
        <v>6</v>
      </c>
      <c r="D247" s="6" t="s">
        <v>71</v>
      </c>
      <c r="E247" s="7">
        <v>1</v>
      </c>
      <c r="F247" s="14" t="s">
        <v>2061</v>
      </c>
      <c r="G247" t="s">
        <v>627</v>
      </c>
      <c r="H247" s="4" t="s">
        <v>1991</v>
      </c>
      <c r="I247" s="4" t="s">
        <v>2059</v>
      </c>
      <c r="J247" s="3">
        <v>3</v>
      </c>
      <c r="K247" t="s">
        <v>2060</v>
      </c>
      <c r="L247" s="4" t="s">
        <v>2058</v>
      </c>
      <c r="M247" s="3">
        <v>4</v>
      </c>
      <c r="N247" s="10" t="s">
        <v>1725</v>
      </c>
      <c r="O247" s="3">
        <v>1</v>
      </c>
      <c r="P247" s="3">
        <v>2</v>
      </c>
      <c r="Q247" s="10" t="s">
        <v>118</v>
      </c>
      <c r="R247" t="s">
        <v>1846</v>
      </c>
      <c r="S247" t="s">
        <v>1860</v>
      </c>
      <c r="T247" s="4" t="s">
        <v>1861</v>
      </c>
      <c r="U247" t="s">
        <v>76</v>
      </c>
      <c r="V247" s="2" t="s">
        <v>1862</v>
      </c>
      <c r="W247" s="7">
        <v>2</v>
      </c>
      <c r="X247" s="7">
        <v>3</v>
      </c>
      <c r="Y247" s="7">
        <v>16</v>
      </c>
      <c r="Z247" s="7">
        <v>4</v>
      </c>
      <c r="AA247" s="13" t="s">
        <v>74</v>
      </c>
      <c r="AB247" s="7">
        <v>2</v>
      </c>
      <c r="AC247" s="12" t="s">
        <v>75</v>
      </c>
      <c r="AD247">
        <v>1000</v>
      </c>
      <c r="AE247" t="s">
        <v>73</v>
      </c>
    </row>
    <row r="248" spans="1:32" ht="57.6" x14ac:dyDescent="0.3">
      <c r="A248" t="s">
        <v>2075</v>
      </c>
      <c r="B248" s="6">
        <v>2014</v>
      </c>
      <c r="C248" s="7">
        <v>6</v>
      </c>
      <c r="D248" s="6" t="s">
        <v>71</v>
      </c>
      <c r="E248" s="7">
        <v>1</v>
      </c>
      <c r="F248" s="14" t="s">
        <v>2074</v>
      </c>
      <c r="G248" t="s">
        <v>105</v>
      </c>
      <c r="H248" s="4" t="s">
        <v>1992</v>
      </c>
      <c r="I248" s="4" t="s">
        <v>2073</v>
      </c>
      <c r="J248" s="3">
        <v>3</v>
      </c>
      <c r="K248" t="s">
        <v>775</v>
      </c>
      <c r="L248" s="4" t="s">
        <v>1466</v>
      </c>
      <c r="M248" s="3">
        <v>1</v>
      </c>
      <c r="N248" s="10" t="s">
        <v>1993</v>
      </c>
      <c r="O248" s="3">
        <v>2</v>
      </c>
      <c r="P248" s="3">
        <v>4</v>
      </c>
      <c r="Q248" s="10" t="s">
        <v>2068</v>
      </c>
      <c r="R248" s="10" t="s">
        <v>135</v>
      </c>
      <c r="S248" s="10" t="s">
        <v>1633</v>
      </c>
      <c r="T248" s="10" t="s">
        <v>1625</v>
      </c>
      <c r="U248" s="10" t="s">
        <v>1222</v>
      </c>
      <c r="V248" s="12" t="s">
        <v>1223</v>
      </c>
      <c r="W248" s="3">
        <v>2</v>
      </c>
      <c r="X248" s="3">
        <v>3</v>
      </c>
      <c r="Y248" s="3">
        <v>17</v>
      </c>
      <c r="Z248" s="3">
        <v>4</v>
      </c>
      <c r="AA248" s="10" t="s">
        <v>2071</v>
      </c>
      <c r="AB248" s="3">
        <v>1</v>
      </c>
      <c r="AC248" s="10" t="s">
        <v>2070</v>
      </c>
      <c r="AD248">
        <v>90</v>
      </c>
      <c r="AE248" t="s">
        <v>73</v>
      </c>
      <c r="AF248" t="s">
        <v>2072</v>
      </c>
    </row>
    <row r="249" spans="1:32" ht="28.8" x14ac:dyDescent="0.3">
      <c r="A249" t="s">
        <v>2066</v>
      </c>
      <c r="B249" s="6">
        <v>2014</v>
      </c>
      <c r="C249" s="7">
        <v>6</v>
      </c>
      <c r="D249" s="6" t="s">
        <v>71</v>
      </c>
      <c r="E249" s="7">
        <v>1</v>
      </c>
      <c r="F249" s="14" t="s">
        <v>2065</v>
      </c>
      <c r="G249" t="s">
        <v>2067</v>
      </c>
      <c r="H249" s="4" t="s">
        <v>1994</v>
      </c>
      <c r="I249" s="4" t="s">
        <v>2063</v>
      </c>
      <c r="J249" s="3">
        <v>3</v>
      </c>
      <c r="K249" t="s">
        <v>2077</v>
      </c>
      <c r="L249" s="4" t="s">
        <v>2064</v>
      </c>
      <c r="M249" s="3">
        <v>1</v>
      </c>
      <c r="N249" s="8" t="s">
        <v>75</v>
      </c>
      <c r="O249" s="3">
        <v>100</v>
      </c>
      <c r="P249" s="3">
        <v>100</v>
      </c>
      <c r="Q249" s="12" t="s">
        <v>75</v>
      </c>
      <c r="R249" s="12" t="s">
        <v>75</v>
      </c>
      <c r="S249" s="13" t="s">
        <v>75</v>
      </c>
      <c r="T249" s="13" t="s">
        <v>75</v>
      </c>
      <c r="U249" s="13" t="s">
        <v>75</v>
      </c>
      <c r="V249" s="13" t="s">
        <v>75</v>
      </c>
      <c r="W249" s="7">
        <v>3</v>
      </c>
      <c r="X249" s="7">
        <v>3</v>
      </c>
      <c r="Y249" s="7">
        <v>17</v>
      </c>
      <c r="Z249" s="7">
        <v>4</v>
      </c>
      <c r="AA249" s="13" t="s">
        <v>75</v>
      </c>
      <c r="AB249" s="7">
        <v>2</v>
      </c>
      <c r="AC249" s="13" t="s">
        <v>75</v>
      </c>
      <c r="AD249" s="13" t="s">
        <v>75</v>
      </c>
      <c r="AE249" s="12" t="s">
        <v>75</v>
      </c>
    </row>
    <row r="250" spans="1:32" ht="43.2" x14ac:dyDescent="0.3">
      <c r="A250" t="s">
        <v>2020</v>
      </c>
      <c r="B250" s="6">
        <v>2014</v>
      </c>
      <c r="C250" s="7">
        <v>6</v>
      </c>
      <c r="D250" s="6" t="s">
        <v>71</v>
      </c>
      <c r="E250" s="7">
        <v>1</v>
      </c>
      <c r="F250" s="14" t="s">
        <v>2019</v>
      </c>
      <c r="G250" t="s">
        <v>2018</v>
      </c>
      <c r="H250" s="4" t="s">
        <v>1995</v>
      </c>
      <c r="I250" s="4" t="s">
        <v>2076</v>
      </c>
      <c r="J250" s="3">
        <v>1</v>
      </c>
      <c r="K250" t="s">
        <v>2017</v>
      </c>
      <c r="L250" s="4" t="s">
        <v>2016</v>
      </c>
      <c r="M250" s="3">
        <v>4</v>
      </c>
      <c r="N250" s="10" t="s">
        <v>192</v>
      </c>
      <c r="O250" s="3">
        <v>1</v>
      </c>
      <c r="P250" s="3">
        <v>1</v>
      </c>
      <c r="Q250" s="10" t="s">
        <v>118</v>
      </c>
      <c r="R250" s="6" t="s">
        <v>193</v>
      </c>
      <c r="S250" s="6" t="s">
        <v>194</v>
      </c>
      <c r="T250" s="10" t="s">
        <v>195</v>
      </c>
      <c r="U250" s="12" t="s">
        <v>347</v>
      </c>
      <c r="V250" s="12" t="s">
        <v>506</v>
      </c>
      <c r="W250" s="7">
        <v>3</v>
      </c>
      <c r="X250" s="7">
        <v>3</v>
      </c>
      <c r="Y250" s="7">
        <v>17</v>
      </c>
      <c r="Z250" s="7">
        <v>4</v>
      </c>
      <c r="AA250" s="12" t="s">
        <v>74</v>
      </c>
      <c r="AB250" s="11">
        <v>2</v>
      </c>
      <c r="AC250" s="10" t="s">
        <v>672</v>
      </c>
      <c r="AD250" s="12" t="s">
        <v>1940</v>
      </c>
      <c r="AE250" t="s">
        <v>73</v>
      </c>
    </row>
    <row r="251" spans="1:32" ht="43.2" x14ac:dyDescent="0.3">
      <c r="A251" t="s">
        <v>2015</v>
      </c>
      <c r="B251" s="6">
        <v>2013</v>
      </c>
      <c r="C251" s="7">
        <v>5</v>
      </c>
      <c r="D251" s="6" t="s">
        <v>71</v>
      </c>
      <c r="E251" s="7">
        <v>1</v>
      </c>
      <c r="F251" s="14" t="s">
        <v>2014</v>
      </c>
      <c r="G251" t="s">
        <v>329</v>
      </c>
      <c r="H251" s="4" t="s">
        <v>1996</v>
      </c>
      <c r="I251" s="4" t="s">
        <v>2013</v>
      </c>
      <c r="J251" s="3">
        <v>3</v>
      </c>
      <c r="K251" t="s">
        <v>752</v>
      </c>
      <c r="L251" s="10" t="s">
        <v>533</v>
      </c>
      <c r="M251" s="3">
        <v>4</v>
      </c>
      <c r="N251" s="10" t="s">
        <v>192</v>
      </c>
      <c r="O251" s="3">
        <v>1</v>
      </c>
      <c r="P251" s="3">
        <v>1</v>
      </c>
      <c r="Q251" s="10" t="s">
        <v>118</v>
      </c>
      <c r="R251" s="6" t="s">
        <v>193</v>
      </c>
      <c r="S251" s="6" t="s">
        <v>194</v>
      </c>
      <c r="T251" s="10" t="s">
        <v>195</v>
      </c>
      <c r="U251" s="10" t="s">
        <v>158</v>
      </c>
      <c r="V251" s="10" t="s">
        <v>77</v>
      </c>
      <c r="W251" s="7">
        <v>1</v>
      </c>
      <c r="X251" s="7">
        <v>3</v>
      </c>
      <c r="Y251" s="7">
        <v>1</v>
      </c>
      <c r="Z251" s="7">
        <v>5</v>
      </c>
      <c r="AA251" s="13" t="s">
        <v>74</v>
      </c>
      <c r="AB251" s="7">
        <v>2</v>
      </c>
      <c r="AC251" t="s">
        <v>72</v>
      </c>
      <c r="AD251">
        <v>90</v>
      </c>
      <c r="AE251" t="s">
        <v>73</v>
      </c>
      <c r="AF251" t="s">
        <v>1773</v>
      </c>
    </row>
    <row r="252" spans="1:32" ht="57.6" x14ac:dyDescent="0.3">
      <c r="A252" t="s">
        <v>2008</v>
      </c>
      <c r="B252" s="6">
        <v>2013</v>
      </c>
      <c r="C252" s="7">
        <v>5</v>
      </c>
      <c r="D252" s="6" t="s">
        <v>71</v>
      </c>
      <c r="E252" s="7">
        <v>1</v>
      </c>
      <c r="F252" s="14" t="s">
        <v>2007</v>
      </c>
      <c r="G252" t="s">
        <v>1426</v>
      </c>
      <c r="H252" s="4" t="s">
        <v>1997</v>
      </c>
      <c r="I252" s="10" t="s">
        <v>1998</v>
      </c>
      <c r="J252" s="7">
        <v>8</v>
      </c>
      <c r="K252" s="6"/>
      <c r="L252" s="10" t="s">
        <v>1999</v>
      </c>
      <c r="M252" s="11">
        <v>4</v>
      </c>
      <c r="N252" s="10" t="s">
        <v>2000</v>
      </c>
      <c r="O252" s="11">
        <v>2</v>
      </c>
      <c r="P252" s="11">
        <v>4</v>
      </c>
      <c r="Q252" s="10" t="s">
        <v>2005</v>
      </c>
      <c r="R252" s="10" t="s">
        <v>2001</v>
      </c>
      <c r="S252" s="10" t="s">
        <v>721</v>
      </c>
      <c r="T252" s="10" t="s">
        <v>2006</v>
      </c>
      <c r="U252" s="10" t="s">
        <v>2003</v>
      </c>
      <c r="V252" s="10" t="s">
        <v>2004</v>
      </c>
      <c r="W252" s="11">
        <v>3</v>
      </c>
      <c r="X252" s="11">
        <v>3</v>
      </c>
      <c r="Y252" s="11">
        <v>17</v>
      </c>
      <c r="Z252" s="11">
        <v>4</v>
      </c>
      <c r="AA252" s="13" t="s">
        <v>74</v>
      </c>
      <c r="AB252" s="7">
        <v>2</v>
      </c>
      <c r="AC252" s="12" t="s">
        <v>75</v>
      </c>
      <c r="AD252" s="10" t="s">
        <v>2002</v>
      </c>
      <c r="AE252" s="10" t="s">
        <v>744</v>
      </c>
    </row>
    <row r="253" spans="1:32" ht="43.2" x14ac:dyDescent="0.3">
      <c r="A253" t="s">
        <v>2121</v>
      </c>
      <c r="B253" s="6">
        <v>2013</v>
      </c>
      <c r="C253" s="7">
        <v>5</v>
      </c>
      <c r="D253" s="6" t="s">
        <v>71</v>
      </c>
      <c r="E253" s="7">
        <v>1</v>
      </c>
      <c r="F253" s="14" t="s">
        <v>2120</v>
      </c>
      <c r="G253" t="s">
        <v>550</v>
      </c>
      <c r="H253" s="4" t="s">
        <v>2078</v>
      </c>
      <c r="I253" s="4" t="s">
        <v>2119</v>
      </c>
      <c r="J253" s="3">
        <v>5</v>
      </c>
      <c r="L253" s="4" t="s">
        <v>2117</v>
      </c>
      <c r="M253" s="3">
        <v>4</v>
      </c>
      <c r="N253" s="8" t="s">
        <v>1373</v>
      </c>
      <c r="O253" s="3">
        <v>100</v>
      </c>
      <c r="P253" s="3">
        <v>100</v>
      </c>
      <c r="Q253" s="12" t="s">
        <v>75</v>
      </c>
      <c r="R253" s="12" t="s">
        <v>75</v>
      </c>
      <c r="S253" s="13" t="s">
        <v>75</v>
      </c>
      <c r="T253" s="13" t="s">
        <v>75</v>
      </c>
      <c r="U253" s="13" t="s">
        <v>75</v>
      </c>
      <c r="V253" s="13" t="s">
        <v>75</v>
      </c>
      <c r="W253" s="7">
        <v>3</v>
      </c>
      <c r="X253" s="7">
        <v>3</v>
      </c>
      <c r="Y253" s="7">
        <v>17</v>
      </c>
      <c r="Z253" s="7">
        <v>4</v>
      </c>
      <c r="AA253" s="13" t="s">
        <v>75</v>
      </c>
      <c r="AB253" s="7">
        <v>2</v>
      </c>
      <c r="AC253" s="13" t="s">
        <v>75</v>
      </c>
      <c r="AD253" s="13" t="s">
        <v>75</v>
      </c>
      <c r="AE253" s="12" t="s">
        <v>75</v>
      </c>
      <c r="AF253" s="6" t="s">
        <v>2118</v>
      </c>
    </row>
    <row r="254" spans="1:32" ht="86.4" x14ac:dyDescent="0.3">
      <c r="A254" t="s">
        <v>2133</v>
      </c>
      <c r="B254" s="6">
        <v>2013</v>
      </c>
      <c r="C254" s="7">
        <v>5</v>
      </c>
      <c r="D254" s="6" t="s">
        <v>71</v>
      </c>
      <c r="E254" s="7">
        <v>1</v>
      </c>
      <c r="F254" s="14" t="s">
        <v>2132</v>
      </c>
      <c r="G254" t="s">
        <v>217</v>
      </c>
      <c r="H254" s="4" t="s">
        <v>2079</v>
      </c>
      <c r="I254" s="4" t="s">
        <v>2122</v>
      </c>
      <c r="J254" s="3">
        <v>3</v>
      </c>
      <c r="K254" t="s">
        <v>2131</v>
      </c>
      <c r="L254" s="4" t="s">
        <v>2123</v>
      </c>
      <c r="M254" s="3">
        <v>4</v>
      </c>
      <c r="N254" s="10" t="s">
        <v>2124</v>
      </c>
      <c r="O254" s="3">
        <v>3</v>
      </c>
      <c r="P254" s="3">
        <v>4</v>
      </c>
      <c r="Q254" s="10" t="s">
        <v>2125</v>
      </c>
      <c r="R254" s="10" t="s">
        <v>2126</v>
      </c>
      <c r="S254" s="10" t="s">
        <v>2127</v>
      </c>
      <c r="T254" s="10" t="s">
        <v>2128</v>
      </c>
      <c r="U254" s="13" t="s">
        <v>75</v>
      </c>
      <c r="V254" s="13" t="s">
        <v>75</v>
      </c>
      <c r="W254" s="7">
        <v>3</v>
      </c>
      <c r="X254" s="7">
        <v>3</v>
      </c>
      <c r="Y254" s="7">
        <v>17</v>
      </c>
      <c r="Z254" s="7">
        <v>4</v>
      </c>
      <c r="AA254" s="10" t="s">
        <v>2129</v>
      </c>
      <c r="AB254" s="7">
        <v>1</v>
      </c>
      <c r="AC254" s="13" t="s">
        <v>75</v>
      </c>
      <c r="AD254">
        <v>90</v>
      </c>
      <c r="AE254" t="s">
        <v>73</v>
      </c>
      <c r="AF254" t="s">
        <v>2130</v>
      </c>
    </row>
    <row r="255" spans="1:32" ht="129.6" x14ac:dyDescent="0.3">
      <c r="A255" t="s">
        <v>2144</v>
      </c>
      <c r="B255" s="6">
        <v>2013</v>
      </c>
      <c r="C255" s="7">
        <v>5</v>
      </c>
      <c r="D255" s="6" t="s">
        <v>71</v>
      </c>
      <c r="E255" s="7">
        <v>1</v>
      </c>
      <c r="F255" s="14" t="s">
        <v>2143</v>
      </c>
      <c r="G255" t="s">
        <v>177</v>
      </c>
      <c r="H255" s="4" t="s">
        <v>2080</v>
      </c>
      <c r="I255" s="4" t="s">
        <v>2134</v>
      </c>
      <c r="J255" s="3">
        <v>3</v>
      </c>
      <c r="L255" s="4" t="s">
        <v>2142</v>
      </c>
      <c r="M255" s="3">
        <v>3</v>
      </c>
      <c r="N255" s="10" t="s">
        <v>2135</v>
      </c>
      <c r="O255" s="3">
        <v>3</v>
      </c>
      <c r="P255" s="3">
        <v>4</v>
      </c>
      <c r="Q255" s="10" t="s">
        <v>1966</v>
      </c>
      <c r="R255" s="10" t="s">
        <v>1967</v>
      </c>
      <c r="S255" s="10" t="s">
        <v>2136</v>
      </c>
      <c r="T255" s="10" t="s">
        <v>2137</v>
      </c>
      <c r="U255" s="10" t="s">
        <v>158</v>
      </c>
      <c r="V255" s="10" t="s">
        <v>77</v>
      </c>
      <c r="W255" s="7">
        <v>1</v>
      </c>
      <c r="X255" s="7">
        <v>3</v>
      </c>
      <c r="Y255" s="7">
        <v>1</v>
      </c>
      <c r="Z255" s="7">
        <v>5</v>
      </c>
      <c r="AA255" s="10" t="s">
        <v>2138</v>
      </c>
      <c r="AB255" s="3">
        <v>1</v>
      </c>
      <c r="AC255" t="s">
        <v>72</v>
      </c>
      <c r="AD255" t="s">
        <v>2139</v>
      </c>
      <c r="AE255" s="4" t="s">
        <v>2140</v>
      </c>
      <c r="AF255" t="s">
        <v>2141</v>
      </c>
    </row>
    <row r="256" spans="1:32" ht="86.4" x14ac:dyDescent="0.3">
      <c r="A256" t="s">
        <v>2152</v>
      </c>
      <c r="B256" s="6">
        <v>2013</v>
      </c>
      <c r="C256" s="7">
        <v>5</v>
      </c>
      <c r="D256" s="6" t="s">
        <v>71</v>
      </c>
      <c r="E256" s="7">
        <v>1</v>
      </c>
      <c r="F256" s="14" t="s">
        <v>2151</v>
      </c>
      <c r="G256" t="s">
        <v>329</v>
      </c>
      <c r="H256" s="4" t="s">
        <v>2081</v>
      </c>
      <c r="I256" s="4" t="s">
        <v>2145</v>
      </c>
      <c r="J256" s="3">
        <v>7</v>
      </c>
      <c r="K256" t="s">
        <v>2150</v>
      </c>
      <c r="L256" s="4" t="s">
        <v>1666</v>
      </c>
      <c r="M256" s="3">
        <v>1</v>
      </c>
      <c r="N256" s="10" t="s">
        <v>2147</v>
      </c>
      <c r="O256" s="3">
        <v>2</v>
      </c>
      <c r="P256" s="3">
        <v>4</v>
      </c>
      <c r="Q256" s="10" t="s">
        <v>2146</v>
      </c>
      <c r="R256" s="10" t="s">
        <v>135</v>
      </c>
      <c r="S256" s="10" t="s">
        <v>721</v>
      </c>
      <c r="T256" s="10" t="s">
        <v>2006</v>
      </c>
      <c r="U256" s="10" t="s">
        <v>2003</v>
      </c>
      <c r="V256" s="10" t="s">
        <v>2004</v>
      </c>
      <c r="W256" s="11">
        <v>3</v>
      </c>
      <c r="X256" s="11">
        <v>3</v>
      </c>
      <c r="Y256" s="11">
        <v>17</v>
      </c>
      <c r="Z256" s="11">
        <v>4</v>
      </c>
      <c r="AA256" s="13" t="s">
        <v>74</v>
      </c>
      <c r="AB256" s="7">
        <v>2</v>
      </c>
      <c r="AC256" t="s">
        <v>72</v>
      </c>
      <c r="AD256">
        <v>90</v>
      </c>
      <c r="AE256" s="4" t="s">
        <v>2148</v>
      </c>
      <c r="AF256" t="s">
        <v>2149</v>
      </c>
    </row>
    <row r="257" spans="1:32" ht="57.6" x14ac:dyDescent="0.3">
      <c r="A257" t="s">
        <v>2160</v>
      </c>
      <c r="B257" s="6">
        <v>2013</v>
      </c>
      <c r="C257" s="7">
        <v>5</v>
      </c>
      <c r="D257" s="6" t="s">
        <v>71</v>
      </c>
      <c r="E257" s="7">
        <v>1</v>
      </c>
      <c r="F257" s="14" t="s">
        <v>2159</v>
      </c>
      <c r="G257" t="s">
        <v>217</v>
      </c>
      <c r="H257" s="4" t="s">
        <v>2082</v>
      </c>
      <c r="I257" s="4" t="s">
        <v>1485</v>
      </c>
      <c r="J257" s="3">
        <v>3</v>
      </c>
      <c r="K257" t="s">
        <v>376</v>
      </c>
      <c r="L257" s="4" t="s">
        <v>2153</v>
      </c>
      <c r="M257" s="3">
        <v>2</v>
      </c>
      <c r="N257" s="8" t="s">
        <v>2154</v>
      </c>
      <c r="O257" s="11">
        <v>100</v>
      </c>
      <c r="P257" s="11">
        <v>100</v>
      </c>
      <c r="Q257" s="10" t="s">
        <v>2155</v>
      </c>
      <c r="R257" s="10" t="s">
        <v>2156</v>
      </c>
      <c r="S257" s="10" t="s">
        <v>2157</v>
      </c>
      <c r="T257" s="10" t="s">
        <v>2158</v>
      </c>
      <c r="U257" s="10" t="s">
        <v>185</v>
      </c>
      <c r="V257" s="10" t="s">
        <v>186</v>
      </c>
      <c r="W257" s="7">
        <v>3</v>
      </c>
      <c r="X257" s="7">
        <v>3</v>
      </c>
      <c r="Y257" s="7">
        <v>17</v>
      </c>
      <c r="Z257" s="7">
        <v>4</v>
      </c>
      <c r="AA257" s="13" t="s">
        <v>75</v>
      </c>
      <c r="AB257" s="7">
        <v>2</v>
      </c>
      <c r="AC257" s="13" t="s">
        <v>75</v>
      </c>
      <c r="AD257" s="13" t="s">
        <v>75</v>
      </c>
      <c r="AE257" s="12" t="s">
        <v>75</v>
      </c>
    </row>
    <row r="258" spans="1:32" ht="144" x14ac:dyDescent="0.3">
      <c r="A258" t="s">
        <v>2271</v>
      </c>
      <c r="B258" s="6">
        <v>2013</v>
      </c>
      <c r="C258" s="7">
        <v>5</v>
      </c>
      <c r="D258" s="6" t="s">
        <v>71</v>
      </c>
      <c r="E258" s="7">
        <v>1</v>
      </c>
      <c r="F258" s="16" t="s">
        <v>2273</v>
      </c>
      <c r="G258" t="s">
        <v>2267</v>
      </c>
      <c r="H258" s="4" t="s">
        <v>2083</v>
      </c>
      <c r="I258" s="4" t="s">
        <v>2269</v>
      </c>
      <c r="J258" s="3">
        <v>3</v>
      </c>
      <c r="K258" t="s">
        <v>2270</v>
      </c>
      <c r="L258" s="4" t="s">
        <v>2264</v>
      </c>
      <c r="M258" s="3">
        <v>15</v>
      </c>
      <c r="N258" s="10" t="s">
        <v>1292</v>
      </c>
      <c r="O258" s="3">
        <v>1</v>
      </c>
      <c r="P258" s="3">
        <v>1</v>
      </c>
      <c r="Q258" s="10" t="s">
        <v>2265</v>
      </c>
      <c r="R258" s="6" t="s">
        <v>193</v>
      </c>
      <c r="S258" s="6" t="s">
        <v>194</v>
      </c>
      <c r="T258" s="10" t="s">
        <v>1293</v>
      </c>
      <c r="U258" s="10" t="s">
        <v>158</v>
      </c>
      <c r="V258" s="10" t="s">
        <v>2266</v>
      </c>
      <c r="W258" s="7">
        <v>2</v>
      </c>
      <c r="X258" s="7">
        <v>2</v>
      </c>
      <c r="Y258" s="7">
        <v>17</v>
      </c>
      <c r="Z258" s="7">
        <v>4</v>
      </c>
      <c r="AA258" s="13" t="s">
        <v>74</v>
      </c>
      <c r="AB258" s="7">
        <v>2</v>
      </c>
      <c r="AC258" t="s">
        <v>72</v>
      </c>
      <c r="AD258" t="s">
        <v>2263</v>
      </c>
      <c r="AE258" t="s">
        <v>73</v>
      </c>
      <c r="AF258" t="s">
        <v>2268</v>
      </c>
    </row>
    <row r="259" spans="1:32" ht="28.8" x14ac:dyDescent="0.3">
      <c r="A259" t="s">
        <v>2261</v>
      </c>
      <c r="B259" s="6">
        <v>2013</v>
      </c>
      <c r="C259" s="7">
        <v>5</v>
      </c>
      <c r="D259" s="6" t="s">
        <v>71</v>
      </c>
      <c r="E259" s="7">
        <v>1</v>
      </c>
      <c r="F259" s="14" t="s">
        <v>2262</v>
      </c>
      <c r="G259" t="s">
        <v>217</v>
      </c>
      <c r="H259" s="4" t="s">
        <v>2084</v>
      </c>
      <c r="I259" s="4" t="s">
        <v>2259</v>
      </c>
      <c r="J259" s="3">
        <v>3</v>
      </c>
      <c r="K259" t="s">
        <v>2285</v>
      </c>
      <c r="L259" s="4" t="s">
        <v>2260</v>
      </c>
      <c r="M259" s="3">
        <v>4</v>
      </c>
      <c r="N259" s="10" t="s">
        <v>265</v>
      </c>
      <c r="O259" s="3">
        <v>1</v>
      </c>
      <c r="P259" s="3">
        <v>1</v>
      </c>
      <c r="Q259" s="10" t="s">
        <v>118</v>
      </c>
      <c r="R259" s="10" t="s">
        <v>266</v>
      </c>
      <c r="S259" s="6" t="s">
        <v>267</v>
      </c>
      <c r="T259" s="10" t="s">
        <v>268</v>
      </c>
      <c r="U259" s="10" t="s">
        <v>185</v>
      </c>
      <c r="V259" s="10" t="s">
        <v>186</v>
      </c>
      <c r="W259" s="7">
        <v>3</v>
      </c>
      <c r="X259" s="7">
        <v>3</v>
      </c>
      <c r="Y259" s="7">
        <v>17</v>
      </c>
      <c r="Z259" s="7">
        <v>4</v>
      </c>
      <c r="AA259" s="13" t="s">
        <v>75</v>
      </c>
      <c r="AB259" s="7">
        <v>2</v>
      </c>
      <c r="AC259" s="13" t="s">
        <v>75</v>
      </c>
      <c r="AD259">
        <v>30</v>
      </c>
      <c r="AE259" t="s">
        <v>73</v>
      </c>
    </row>
    <row r="260" spans="1:32" ht="115.2" x14ac:dyDescent="0.3">
      <c r="A260" t="s">
        <v>2258</v>
      </c>
      <c r="B260" s="6">
        <v>2012</v>
      </c>
      <c r="C260" s="7">
        <v>4</v>
      </c>
      <c r="D260" s="6" t="s">
        <v>71</v>
      </c>
      <c r="E260" s="7">
        <v>1</v>
      </c>
      <c r="F260" s="14" t="s">
        <v>2257</v>
      </c>
      <c r="G260" t="s">
        <v>1401</v>
      </c>
      <c r="H260" s="4" t="s">
        <v>2085</v>
      </c>
      <c r="I260" s="4" t="s">
        <v>2256</v>
      </c>
      <c r="J260" s="3">
        <v>3</v>
      </c>
      <c r="K260" t="s">
        <v>2286</v>
      </c>
      <c r="L260" s="4" t="s">
        <v>2255</v>
      </c>
      <c r="M260" s="3">
        <v>12</v>
      </c>
      <c r="N260" s="8" t="s">
        <v>75</v>
      </c>
      <c r="O260" s="3">
        <v>100</v>
      </c>
      <c r="P260" s="3">
        <v>100</v>
      </c>
      <c r="Q260" s="12" t="s">
        <v>75</v>
      </c>
      <c r="R260" s="12" t="s">
        <v>75</v>
      </c>
      <c r="S260" s="13" t="s">
        <v>75</v>
      </c>
      <c r="T260" s="13" t="s">
        <v>75</v>
      </c>
      <c r="U260" s="13" t="s">
        <v>75</v>
      </c>
      <c r="V260" s="13" t="s">
        <v>75</v>
      </c>
      <c r="W260" s="7">
        <v>3</v>
      </c>
      <c r="X260" s="7">
        <v>3</v>
      </c>
      <c r="Y260" s="7">
        <v>17</v>
      </c>
      <c r="Z260" s="7">
        <v>4</v>
      </c>
      <c r="AA260" s="13" t="s">
        <v>75</v>
      </c>
      <c r="AB260" s="7">
        <v>2</v>
      </c>
      <c r="AC260" s="13" t="s">
        <v>75</v>
      </c>
      <c r="AD260" s="13" t="s">
        <v>75</v>
      </c>
      <c r="AE260" s="12" t="s">
        <v>75</v>
      </c>
    </row>
    <row r="261" spans="1:32" ht="244.8" x14ac:dyDescent="0.3">
      <c r="A261" t="s">
        <v>2284</v>
      </c>
      <c r="B261" s="6">
        <v>2012</v>
      </c>
      <c r="C261" s="7">
        <v>4</v>
      </c>
      <c r="D261" s="6" t="s">
        <v>71</v>
      </c>
      <c r="E261" s="7">
        <v>1</v>
      </c>
      <c r="F261" s="14" t="s">
        <v>2283</v>
      </c>
      <c r="G261" t="s">
        <v>2282</v>
      </c>
      <c r="H261" s="4" t="s">
        <v>2087</v>
      </c>
      <c r="I261" s="4" t="s">
        <v>2274</v>
      </c>
      <c r="J261" s="3">
        <v>3</v>
      </c>
      <c r="K261" t="s">
        <v>890</v>
      </c>
      <c r="L261" s="4" t="s">
        <v>2272</v>
      </c>
      <c r="M261" s="3">
        <v>13</v>
      </c>
      <c r="N261" s="10" t="s">
        <v>2086</v>
      </c>
      <c r="O261" s="3">
        <v>1</v>
      </c>
      <c r="P261" s="3">
        <v>1</v>
      </c>
      <c r="Q261" s="10" t="s">
        <v>2280</v>
      </c>
      <c r="R261" s="10" t="s">
        <v>2275</v>
      </c>
      <c r="S261" s="10" t="s">
        <v>2276</v>
      </c>
      <c r="T261" s="10" t="s">
        <v>2277</v>
      </c>
      <c r="U261" s="10" t="s">
        <v>185</v>
      </c>
      <c r="V261" s="10" t="s">
        <v>186</v>
      </c>
      <c r="W261" s="7">
        <v>3</v>
      </c>
      <c r="X261" s="7">
        <v>3</v>
      </c>
      <c r="Y261" s="7">
        <v>17</v>
      </c>
      <c r="Z261" s="7">
        <v>4</v>
      </c>
      <c r="AA261" s="13" t="s">
        <v>75</v>
      </c>
      <c r="AB261" s="3">
        <v>2</v>
      </c>
      <c r="AC261" s="10" t="s">
        <v>672</v>
      </c>
      <c r="AD261" s="4" t="s">
        <v>2278</v>
      </c>
      <c r="AE261" s="4" t="s">
        <v>2279</v>
      </c>
      <c r="AF261" t="s">
        <v>2281</v>
      </c>
    </row>
    <row r="262" spans="1:32" ht="43.2" x14ac:dyDescent="0.3">
      <c r="A262" t="s">
        <v>2252</v>
      </c>
      <c r="B262" s="6">
        <v>2012</v>
      </c>
      <c r="C262" s="7">
        <v>4</v>
      </c>
      <c r="D262" s="6" t="s">
        <v>71</v>
      </c>
      <c r="E262" s="7">
        <v>1</v>
      </c>
      <c r="F262" s="14" t="s">
        <v>2253</v>
      </c>
      <c r="G262" t="s">
        <v>550</v>
      </c>
      <c r="H262" s="4" t="s">
        <v>2088</v>
      </c>
      <c r="I262" t="s">
        <v>2251</v>
      </c>
      <c r="J262" s="3">
        <v>3</v>
      </c>
      <c r="K262" t="s">
        <v>2254</v>
      </c>
      <c r="L262" t="s">
        <v>1542</v>
      </c>
      <c r="M262" s="3">
        <v>4</v>
      </c>
      <c r="N262" s="10" t="s">
        <v>192</v>
      </c>
      <c r="O262" s="3">
        <v>1</v>
      </c>
      <c r="P262" s="3">
        <v>1</v>
      </c>
      <c r="Q262" s="10" t="s">
        <v>118</v>
      </c>
      <c r="R262" s="6" t="s">
        <v>193</v>
      </c>
      <c r="S262" s="6" t="s">
        <v>194</v>
      </c>
      <c r="T262" s="10" t="s">
        <v>195</v>
      </c>
      <c r="U262" t="s">
        <v>158</v>
      </c>
      <c r="V262" t="s">
        <v>77</v>
      </c>
      <c r="W262" s="11">
        <v>1</v>
      </c>
      <c r="X262" s="11">
        <v>3</v>
      </c>
      <c r="Y262" s="11">
        <v>1</v>
      </c>
      <c r="Z262" s="11">
        <v>5</v>
      </c>
      <c r="AA262" s="13" t="s">
        <v>74</v>
      </c>
      <c r="AB262" s="7">
        <v>2</v>
      </c>
      <c r="AC262" t="s">
        <v>72</v>
      </c>
      <c r="AD262">
        <v>90</v>
      </c>
      <c r="AE262" t="s">
        <v>73</v>
      </c>
      <c r="AF262" t="s">
        <v>1773</v>
      </c>
    </row>
    <row r="263" spans="1:32" ht="43.2" x14ac:dyDescent="0.3">
      <c r="A263" t="s">
        <v>2248</v>
      </c>
      <c r="B263" s="6">
        <v>2012</v>
      </c>
      <c r="C263" s="7">
        <v>4</v>
      </c>
      <c r="D263" s="6" t="s">
        <v>71</v>
      </c>
      <c r="E263" s="7">
        <v>1</v>
      </c>
      <c r="F263" s="14" t="s">
        <v>2250</v>
      </c>
      <c r="G263" t="s">
        <v>217</v>
      </c>
      <c r="H263" s="4" t="s">
        <v>2089</v>
      </c>
      <c r="I263" s="4" t="s">
        <v>2247</v>
      </c>
      <c r="J263" s="3">
        <v>3</v>
      </c>
      <c r="K263" t="s">
        <v>180</v>
      </c>
      <c r="L263" t="s">
        <v>1542</v>
      </c>
      <c r="M263" s="3">
        <v>4</v>
      </c>
      <c r="N263" s="10" t="s">
        <v>192</v>
      </c>
      <c r="O263" s="3">
        <v>1</v>
      </c>
      <c r="P263" s="3">
        <v>1</v>
      </c>
      <c r="Q263" s="10" t="s">
        <v>118</v>
      </c>
      <c r="R263" s="6" t="s">
        <v>193</v>
      </c>
      <c r="S263" s="6" t="s">
        <v>194</v>
      </c>
      <c r="T263" s="10" t="s">
        <v>195</v>
      </c>
      <c r="U263" s="10" t="s">
        <v>185</v>
      </c>
      <c r="V263" s="10" t="s">
        <v>186</v>
      </c>
      <c r="W263" s="7">
        <v>3</v>
      </c>
      <c r="X263" s="7">
        <v>3</v>
      </c>
      <c r="Y263" s="7">
        <v>17</v>
      </c>
      <c r="Z263" s="7">
        <v>4</v>
      </c>
      <c r="AA263" s="13" t="s">
        <v>75</v>
      </c>
      <c r="AB263" s="7">
        <v>2</v>
      </c>
      <c r="AC263" s="13" t="s">
        <v>75</v>
      </c>
      <c r="AD263" s="13" t="s">
        <v>75</v>
      </c>
      <c r="AE263" s="6" t="s">
        <v>73</v>
      </c>
      <c r="AF263" s="6" t="s">
        <v>2249</v>
      </c>
    </row>
    <row r="264" spans="1:32" ht="72" x14ac:dyDescent="0.3">
      <c r="A264" t="s">
        <v>2109</v>
      </c>
      <c r="B264" s="6">
        <v>2012</v>
      </c>
      <c r="C264" s="7">
        <v>4</v>
      </c>
      <c r="D264" s="6" t="s">
        <v>71</v>
      </c>
      <c r="E264" s="7">
        <v>1</v>
      </c>
      <c r="F264" s="14" t="s">
        <v>2246</v>
      </c>
      <c r="G264" t="s">
        <v>799</v>
      </c>
      <c r="H264" s="4" t="s">
        <v>2090</v>
      </c>
      <c r="I264" s="4" t="s">
        <v>2236</v>
      </c>
      <c r="J264" s="3">
        <v>1</v>
      </c>
      <c r="K264" t="s">
        <v>2237</v>
      </c>
      <c r="L264" t="s">
        <v>1466</v>
      </c>
      <c r="M264" s="3">
        <v>1</v>
      </c>
      <c r="N264" s="10" t="s">
        <v>2238</v>
      </c>
      <c r="O264" s="3">
        <v>2</v>
      </c>
      <c r="P264" s="3">
        <v>4</v>
      </c>
      <c r="Q264" s="10" t="s">
        <v>2068</v>
      </c>
      <c r="R264" s="10" t="s">
        <v>2239</v>
      </c>
      <c r="S264" s="6" t="s">
        <v>2240</v>
      </c>
      <c r="T264" s="10" t="s">
        <v>2241</v>
      </c>
      <c r="U264" s="10" t="s">
        <v>2242</v>
      </c>
      <c r="V264" s="10" t="s">
        <v>2243</v>
      </c>
      <c r="W264" s="3">
        <v>3</v>
      </c>
      <c r="X264" s="3">
        <v>3</v>
      </c>
      <c r="Y264" s="3">
        <v>17</v>
      </c>
      <c r="Z264" s="3">
        <v>4</v>
      </c>
      <c r="AA264" s="13" t="s">
        <v>75</v>
      </c>
      <c r="AB264" s="7">
        <v>2</v>
      </c>
      <c r="AC264" s="10" t="s">
        <v>2244</v>
      </c>
      <c r="AD264" s="13" t="s">
        <v>75</v>
      </c>
      <c r="AE264" s="4" t="s">
        <v>2148</v>
      </c>
      <c r="AF264" t="s">
        <v>2245</v>
      </c>
    </row>
    <row r="265" spans="1:32" ht="43.2" x14ac:dyDescent="0.3">
      <c r="A265" t="s">
        <v>2229</v>
      </c>
      <c r="B265" s="6">
        <v>2012</v>
      </c>
      <c r="C265" s="7">
        <v>4</v>
      </c>
      <c r="D265" s="6" t="s">
        <v>71</v>
      </c>
      <c r="E265" s="7">
        <v>1</v>
      </c>
      <c r="F265" s="14" t="s">
        <v>2228</v>
      </c>
      <c r="G265" t="s">
        <v>2222</v>
      </c>
      <c r="H265" s="4" t="s">
        <v>2092</v>
      </c>
      <c r="I265" s="4" t="s">
        <v>2227</v>
      </c>
      <c r="J265" s="3">
        <v>1</v>
      </c>
      <c r="K265" t="s">
        <v>2226</v>
      </c>
      <c r="L265" s="4" t="s">
        <v>2225</v>
      </c>
      <c r="M265" s="3">
        <v>14</v>
      </c>
      <c r="N265" s="8" t="s">
        <v>75</v>
      </c>
      <c r="O265" s="3">
        <v>100</v>
      </c>
      <c r="P265" s="3">
        <v>100</v>
      </c>
      <c r="Q265" s="12" t="s">
        <v>75</v>
      </c>
      <c r="R265" s="12" t="s">
        <v>75</v>
      </c>
      <c r="S265" s="13" t="s">
        <v>75</v>
      </c>
      <c r="T265" s="13" t="s">
        <v>75</v>
      </c>
      <c r="U265" s="13" t="s">
        <v>75</v>
      </c>
      <c r="V265" s="13" t="s">
        <v>75</v>
      </c>
      <c r="W265" s="7">
        <v>3</v>
      </c>
      <c r="X265" s="7">
        <v>3</v>
      </c>
      <c r="Y265" s="7">
        <v>17</v>
      </c>
      <c r="Z265" s="7">
        <v>4</v>
      </c>
      <c r="AA265" s="13" t="s">
        <v>75</v>
      </c>
      <c r="AB265" s="7">
        <v>2</v>
      </c>
      <c r="AC265" s="13" t="s">
        <v>75</v>
      </c>
      <c r="AD265" s="13" t="s">
        <v>75</v>
      </c>
      <c r="AE265" s="12" t="s">
        <v>75</v>
      </c>
    </row>
    <row r="266" spans="1:32" ht="57.6" x14ac:dyDescent="0.3">
      <c r="A266" t="s">
        <v>2235</v>
      </c>
      <c r="B266" s="6">
        <v>2012</v>
      </c>
      <c r="C266" s="7">
        <v>4</v>
      </c>
      <c r="D266" s="6" t="s">
        <v>71</v>
      </c>
      <c r="E266" s="7">
        <v>1</v>
      </c>
      <c r="F266" s="14" t="s">
        <v>2234</v>
      </c>
      <c r="G266" t="s">
        <v>2233</v>
      </c>
      <c r="H266" s="4" t="s">
        <v>2091</v>
      </c>
      <c r="I266" s="4" t="s">
        <v>2231</v>
      </c>
      <c r="J266" s="3">
        <v>7</v>
      </c>
      <c r="L266" s="4" t="s">
        <v>2230</v>
      </c>
      <c r="M266" s="3">
        <v>9</v>
      </c>
      <c r="N266" s="10" t="s">
        <v>265</v>
      </c>
      <c r="O266" s="3">
        <v>1</v>
      </c>
      <c r="P266" s="3">
        <v>1</v>
      </c>
      <c r="Q266" s="10" t="s">
        <v>118</v>
      </c>
      <c r="R266" s="10" t="s">
        <v>266</v>
      </c>
      <c r="S266" s="6" t="s">
        <v>267</v>
      </c>
      <c r="T266" s="10" t="s">
        <v>268</v>
      </c>
      <c r="U266" s="10" t="s">
        <v>185</v>
      </c>
      <c r="V266" s="10" t="s">
        <v>186</v>
      </c>
      <c r="W266" s="7">
        <v>3</v>
      </c>
      <c r="X266" s="7">
        <v>3</v>
      </c>
      <c r="Y266" s="7">
        <v>17</v>
      </c>
      <c r="Z266" s="7">
        <v>4</v>
      </c>
      <c r="AA266" s="13" t="s">
        <v>75</v>
      </c>
      <c r="AB266" s="7">
        <v>2</v>
      </c>
      <c r="AC266" s="4" t="s">
        <v>2232</v>
      </c>
      <c r="AD266">
        <v>30</v>
      </c>
      <c r="AE266" t="s">
        <v>73</v>
      </c>
    </row>
    <row r="267" spans="1:32" ht="57.6" x14ac:dyDescent="0.3">
      <c r="A267" t="s">
        <v>2224</v>
      </c>
      <c r="B267" s="6">
        <v>2012</v>
      </c>
      <c r="C267" s="7">
        <v>4</v>
      </c>
      <c r="D267" s="6" t="s">
        <v>71</v>
      </c>
      <c r="E267" s="7">
        <v>1</v>
      </c>
      <c r="F267" s="14" t="s">
        <v>2223</v>
      </c>
      <c r="G267" t="s">
        <v>2222</v>
      </c>
      <c r="H267" s="4" t="s">
        <v>2093</v>
      </c>
      <c r="I267" t="s">
        <v>2214</v>
      </c>
      <c r="J267" s="3">
        <v>9</v>
      </c>
      <c r="L267" s="4" t="s">
        <v>2213</v>
      </c>
      <c r="M267" s="3">
        <v>3</v>
      </c>
      <c r="N267" s="10" t="s">
        <v>2215</v>
      </c>
      <c r="O267" s="3">
        <v>2</v>
      </c>
      <c r="P267" s="3">
        <v>4</v>
      </c>
      <c r="Q267" s="10" t="s">
        <v>2221</v>
      </c>
      <c r="R267" s="10" t="s">
        <v>2188</v>
      </c>
      <c r="S267" s="10" t="s">
        <v>741</v>
      </c>
      <c r="T267" s="10" t="s">
        <v>2220</v>
      </c>
      <c r="U267" s="10" t="s">
        <v>2216</v>
      </c>
      <c r="V267" s="10" t="s">
        <v>2217</v>
      </c>
      <c r="W267" s="3">
        <v>3</v>
      </c>
      <c r="X267" s="3">
        <v>3</v>
      </c>
      <c r="Y267" s="3">
        <v>17</v>
      </c>
      <c r="Z267" s="3">
        <v>4</v>
      </c>
      <c r="AA267" s="13" t="s">
        <v>74</v>
      </c>
      <c r="AB267" s="7">
        <v>2</v>
      </c>
      <c r="AC267" s="10" t="s">
        <v>672</v>
      </c>
      <c r="AD267" t="s">
        <v>2218</v>
      </c>
      <c r="AE267" t="s">
        <v>73</v>
      </c>
      <c r="AF267" t="s">
        <v>2219</v>
      </c>
    </row>
    <row r="268" spans="1:32" ht="28.8" x14ac:dyDescent="0.3">
      <c r="A268" t="s">
        <v>2212</v>
      </c>
      <c r="B268" s="6">
        <v>2012</v>
      </c>
      <c r="C268" s="7">
        <v>4</v>
      </c>
      <c r="D268" s="6" t="s">
        <v>71</v>
      </c>
      <c r="E268" s="7">
        <v>1</v>
      </c>
      <c r="F268" s="14" t="s">
        <v>2211</v>
      </c>
      <c r="G268" t="s">
        <v>2210</v>
      </c>
      <c r="H268" s="4" t="s">
        <v>2094</v>
      </c>
      <c r="I268" s="4" t="s">
        <v>2209</v>
      </c>
      <c r="J268" s="3">
        <v>3</v>
      </c>
      <c r="K268" t="s">
        <v>905</v>
      </c>
      <c r="L268" t="s">
        <v>2208</v>
      </c>
      <c r="M268" s="3">
        <v>1</v>
      </c>
      <c r="N268" s="8" t="s">
        <v>75</v>
      </c>
      <c r="O268" s="3">
        <v>100</v>
      </c>
      <c r="P268" s="3">
        <v>100</v>
      </c>
      <c r="Q268" s="12" t="s">
        <v>75</v>
      </c>
      <c r="R268" s="12" t="s">
        <v>75</v>
      </c>
      <c r="S268" s="13" t="s">
        <v>75</v>
      </c>
      <c r="T268" s="13" t="s">
        <v>75</v>
      </c>
      <c r="U268" s="13" t="s">
        <v>75</v>
      </c>
      <c r="V268" s="13" t="s">
        <v>75</v>
      </c>
      <c r="W268" s="7">
        <v>3</v>
      </c>
      <c r="X268" s="7">
        <v>3</v>
      </c>
      <c r="Y268" s="7">
        <v>17</v>
      </c>
      <c r="Z268" s="7">
        <v>4</v>
      </c>
      <c r="AA268" s="13" t="s">
        <v>75</v>
      </c>
      <c r="AB268" s="7">
        <v>2</v>
      </c>
      <c r="AC268" s="13" t="s">
        <v>75</v>
      </c>
      <c r="AD268" s="13" t="s">
        <v>75</v>
      </c>
      <c r="AE268" s="12" t="s">
        <v>75</v>
      </c>
    </row>
    <row r="269" spans="1:32" ht="43.2" x14ac:dyDescent="0.3">
      <c r="A269" t="s">
        <v>2207</v>
      </c>
      <c r="B269" s="6">
        <v>2012</v>
      </c>
      <c r="C269" s="7">
        <v>4</v>
      </c>
      <c r="D269" s="6" t="s">
        <v>71</v>
      </c>
      <c r="E269" s="7">
        <v>1</v>
      </c>
      <c r="F269" s="15" t="s">
        <v>2206</v>
      </c>
      <c r="G269" t="s">
        <v>217</v>
      </c>
      <c r="H269" s="4" t="s">
        <v>2095</v>
      </c>
      <c r="I269" s="4" t="s">
        <v>2204</v>
      </c>
      <c r="J269" s="3">
        <v>3</v>
      </c>
      <c r="K269" t="s">
        <v>2205</v>
      </c>
      <c r="L269" t="s">
        <v>1815</v>
      </c>
      <c r="M269" s="3">
        <v>3</v>
      </c>
      <c r="N269" s="8" t="s">
        <v>75</v>
      </c>
      <c r="O269" s="3">
        <v>100</v>
      </c>
      <c r="P269" s="3">
        <v>100</v>
      </c>
      <c r="Q269" s="12" t="s">
        <v>75</v>
      </c>
      <c r="R269" s="12" t="s">
        <v>75</v>
      </c>
      <c r="S269" s="13" t="s">
        <v>75</v>
      </c>
      <c r="T269" s="13" t="s">
        <v>75</v>
      </c>
      <c r="U269" s="13" t="s">
        <v>75</v>
      </c>
      <c r="V269" s="13" t="s">
        <v>75</v>
      </c>
      <c r="W269" s="7">
        <v>3</v>
      </c>
      <c r="X269" s="7">
        <v>3</v>
      </c>
      <c r="Y269" s="7">
        <v>17</v>
      </c>
      <c r="Z269" s="7">
        <v>4</v>
      </c>
      <c r="AA269" s="13" t="s">
        <v>75</v>
      </c>
      <c r="AB269" s="7">
        <v>2</v>
      </c>
      <c r="AC269" s="13" t="s">
        <v>75</v>
      </c>
      <c r="AD269" s="13" t="s">
        <v>75</v>
      </c>
      <c r="AE269" s="12" t="s">
        <v>75</v>
      </c>
    </row>
    <row r="270" spans="1:32" ht="57.6" x14ac:dyDescent="0.3">
      <c r="A270" t="s">
        <v>2203</v>
      </c>
      <c r="B270" s="6">
        <v>2012</v>
      </c>
      <c r="C270" s="7">
        <v>4</v>
      </c>
      <c r="D270" s="6" t="s">
        <v>71</v>
      </c>
      <c r="E270" s="7">
        <v>1</v>
      </c>
      <c r="F270" s="14" t="s">
        <v>2202</v>
      </c>
      <c r="G270" t="s">
        <v>2201</v>
      </c>
      <c r="H270" s="4" t="s">
        <v>2096</v>
      </c>
      <c r="I270" s="4" t="s">
        <v>2200</v>
      </c>
      <c r="J270" s="3">
        <v>9</v>
      </c>
      <c r="L270" s="4" t="s">
        <v>2199</v>
      </c>
      <c r="M270" s="3">
        <v>1</v>
      </c>
      <c r="N270" s="10" t="s">
        <v>1292</v>
      </c>
      <c r="O270" s="11">
        <v>1</v>
      </c>
      <c r="P270" s="11">
        <v>1</v>
      </c>
      <c r="Q270" s="10" t="s">
        <v>118</v>
      </c>
      <c r="R270" s="6" t="s">
        <v>193</v>
      </c>
      <c r="S270" s="6" t="s">
        <v>194</v>
      </c>
      <c r="T270" s="10" t="s">
        <v>1293</v>
      </c>
      <c r="U270" s="10" t="s">
        <v>158</v>
      </c>
      <c r="V270" s="10" t="s">
        <v>77</v>
      </c>
      <c r="W270" s="11">
        <v>1</v>
      </c>
      <c r="X270" s="11">
        <v>3</v>
      </c>
      <c r="Y270" s="11">
        <v>1</v>
      </c>
      <c r="Z270" s="11">
        <v>5</v>
      </c>
      <c r="AA270" s="13" t="s">
        <v>74</v>
      </c>
      <c r="AB270" s="7">
        <v>2</v>
      </c>
      <c r="AC270" s="10" t="s">
        <v>72</v>
      </c>
      <c r="AD270" s="6">
        <v>90</v>
      </c>
      <c r="AE270" s="10" t="s">
        <v>73</v>
      </c>
    </row>
    <row r="271" spans="1:32" ht="86.4" x14ac:dyDescent="0.3">
      <c r="A271" t="s">
        <v>2198</v>
      </c>
      <c r="B271" s="6">
        <v>2012</v>
      </c>
      <c r="C271" s="7">
        <v>4</v>
      </c>
      <c r="D271" s="6" t="s">
        <v>71</v>
      </c>
      <c r="E271" s="7">
        <v>1</v>
      </c>
      <c r="F271" s="14" t="s">
        <v>2197</v>
      </c>
      <c r="G271" t="s">
        <v>217</v>
      </c>
      <c r="H271" s="4" t="s">
        <v>2097</v>
      </c>
      <c r="I271" s="4" t="s">
        <v>2186</v>
      </c>
      <c r="J271" s="3">
        <v>3</v>
      </c>
      <c r="K271" t="s">
        <v>2185</v>
      </c>
      <c r="L271" s="4" t="s">
        <v>2187</v>
      </c>
      <c r="M271" s="3">
        <v>3</v>
      </c>
      <c r="N271" s="10" t="s">
        <v>2098</v>
      </c>
      <c r="O271" s="3">
        <v>2</v>
      </c>
      <c r="P271" s="3">
        <v>4</v>
      </c>
      <c r="Q271" s="10" t="s">
        <v>739</v>
      </c>
      <c r="R271" s="10" t="s">
        <v>2189</v>
      </c>
      <c r="S271" s="10" t="s">
        <v>2190</v>
      </c>
      <c r="T271" s="10" t="s">
        <v>2192</v>
      </c>
      <c r="U271" s="10" t="s">
        <v>2193</v>
      </c>
      <c r="V271" s="10" t="s">
        <v>2194</v>
      </c>
      <c r="W271" s="3">
        <v>3</v>
      </c>
      <c r="X271" s="3">
        <v>2</v>
      </c>
      <c r="Y271" s="3">
        <v>17</v>
      </c>
      <c r="Z271" s="3">
        <v>4</v>
      </c>
      <c r="AA271" t="s">
        <v>2191</v>
      </c>
      <c r="AB271" s="3">
        <v>1</v>
      </c>
      <c r="AC271" s="10" t="s">
        <v>672</v>
      </c>
      <c r="AD271" s="13" t="s">
        <v>75</v>
      </c>
      <c r="AE271" s="4" t="s">
        <v>2195</v>
      </c>
      <c r="AF271" t="s">
        <v>2196</v>
      </c>
    </row>
    <row r="272" spans="1:32" ht="43.2" x14ac:dyDescent="0.3">
      <c r="A272" t="s">
        <v>2184</v>
      </c>
      <c r="B272" s="6">
        <v>2012</v>
      </c>
      <c r="C272" s="7">
        <v>4</v>
      </c>
      <c r="D272" s="6" t="s">
        <v>71</v>
      </c>
      <c r="E272" s="7">
        <v>1</v>
      </c>
      <c r="F272" s="14" t="s">
        <v>2183</v>
      </c>
      <c r="G272" t="s">
        <v>1570</v>
      </c>
      <c r="H272" s="4" t="s">
        <v>2099</v>
      </c>
      <c r="I272" s="4" t="s">
        <v>2180</v>
      </c>
      <c r="J272" s="3">
        <v>1</v>
      </c>
      <c r="K272" t="s">
        <v>297</v>
      </c>
      <c r="L272" s="4" t="s">
        <v>2177</v>
      </c>
      <c r="M272" s="3">
        <v>4</v>
      </c>
      <c r="N272" s="10" t="s">
        <v>2100</v>
      </c>
      <c r="O272" s="3">
        <v>100</v>
      </c>
      <c r="P272" s="3">
        <v>100</v>
      </c>
      <c r="Q272" s="12" t="s">
        <v>75</v>
      </c>
      <c r="R272" s="12" t="s">
        <v>75</v>
      </c>
      <c r="S272" s="13" t="s">
        <v>75</v>
      </c>
      <c r="T272" s="13" t="s">
        <v>75</v>
      </c>
      <c r="U272" s="13" t="s">
        <v>75</v>
      </c>
      <c r="V272" s="13" t="s">
        <v>75</v>
      </c>
      <c r="W272" s="7">
        <v>3</v>
      </c>
      <c r="X272" s="7">
        <v>3</v>
      </c>
      <c r="Y272" s="7">
        <v>17</v>
      </c>
      <c r="Z272" s="7">
        <v>4</v>
      </c>
      <c r="AA272" s="13" t="s">
        <v>75</v>
      </c>
      <c r="AB272" s="7">
        <v>2</v>
      </c>
      <c r="AC272" s="13" t="s">
        <v>75</v>
      </c>
      <c r="AD272" s="13" t="s">
        <v>75</v>
      </c>
      <c r="AE272" s="12" t="s">
        <v>75</v>
      </c>
      <c r="AF272" s="6" t="s">
        <v>2182</v>
      </c>
    </row>
    <row r="273" spans="1:32" ht="43.2" x14ac:dyDescent="0.3">
      <c r="A273" t="s">
        <v>2167</v>
      </c>
      <c r="B273" s="6">
        <v>2012</v>
      </c>
      <c r="C273" s="7">
        <v>4</v>
      </c>
      <c r="D273" s="6" t="s">
        <v>71</v>
      </c>
      <c r="E273" s="7">
        <v>1</v>
      </c>
      <c r="F273" s="14" t="s">
        <v>2165</v>
      </c>
      <c r="G273" t="s">
        <v>217</v>
      </c>
      <c r="H273" s="4" t="s">
        <v>2101</v>
      </c>
      <c r="I273" s="4" t="s">
        <v>2166</v>
      </c>
      <c r="J273" s="3">
        <v>3</v>
      </c>
      <c r="K273" t="s">
        <v>2164</v>
      </c>
      <c r="L273" t="s">
        <v>2161</v>
      </c>
      <c r="M273" s="3">
        <v>4</v>
      </c>
      <c r="N273" s="10" t="s">
        <v>192</v>
      </c>
      <c r="O273" s="3">
        <v>1</v>
      </c>
      <c r="P273" s="3">
        <v>1</v>
      </c>
      <c r="Q273" s="10" t="s">
        <v>118</v>
      </c>
      <c r="R273" s="6" t="s">
        <v>193</v>
      </c>
      <c r="S273" s="6" t="s">
        <v>194</v>
      </c>
      <c r="T273" s="10" t="s">
        <v>195</v>
      </c>
      <c r="U273" s="12" t="s">
        <v>347</v>
      </c>
      <c r="V273" s="12" t="s">
        <v>506</v>
      </c>
      <c r="W273" s="7">
        <v>3</v>
      </c>
      <c r="X273" s="7">
        <v>3</v>
      </c>
      <c r="Y273" s="7">
        <v>17</v>
      </c>
      <c r="Z273" s="7">
        <v>4</v>
      </c>
      <c r="AA273" s="13" t="s">
        <v>74</v>
      </c>
      <c r="AB273" s="7">
        <v>2</v>
      </c>
      <c r="AC273" t="s">
        <v>269</v>
      </c>
      <c r="AD273" t="s">
        <v>2162</v>
      </c>
      <c r="AE273" t="s">
        <v>73</v>
      </c>
      <c r="AF273" t="s">
        <v>2163</v>
      </c>
    </row>
    <row r="274" spans="1:32" ht="57.6" x14ac:dyDescent="0.3">
      <c r="A274" t="s">
        <v>2178</v>
      </c>
      <c r="B274" s="6">
        <v>2012</v>
      </c>
      <c r="C274" s="7">
        <v>4</v>
      </c>
      <c r="D274" s="6" t="s">
        <v>71</v>
      </c>
      <c r="E274" s="7">
        <v>1</v>
      </c>
      <c r="F274" s="14" t="s">
        <v>2181</v>
      </c>
      <c r="G274" t="s">
        <v>1525</v>
      </c>
      <c r="H274" s="4" t="s">
        <v>2102</v>
      </c>
      <c r="I274" s="4" t="s">
        <v>2176</v>
      </c>
      <c r="J274" s="3">
        <v>1</v>
      </c>
      <c r="K274" t="s">
        <v>547</v>
      </c>
      <c r="L274" s="4" t="s">
        <v>2177</v>
      </c>
      <c r="M274" s="3">
        <v>4</v>
      </c>
      <c r="N274" s="10" t="s">
        <v>192</v>
      </c>
      <c r="O274" s="3">
        <v>1</v>
      </c>
      <c r="P274" s="3">
        <v>1</v>
      </c>
      <c r="Q274" s="10" t="s">
        <v>118</v>
      </c>
      <c r="R274" s="6" t="s">
        <v>193</v>
      </c>
      <c r="S274" s="6" t="s">
        <v>194</v>
      </c>
      <c r="T274" s="10" t="s">
        <v>195</v>
      </c>
      <c r="U274" s="10" t="s">
        <v>158</v>
      </c>
      <c r="V274" s="10" t="s">
        <v>77</v>
      </c>
      <c r="W274" s="7">
        <v>1</v>
      </c>
      <c r="X274" s="7">
        <v>3</v>
      </c>
      <c r="Y274" s="7">
        <v>1</v>
      </c>
      <c r="Z274" s="7">
        <v>5</v>
      </c>
      <c r="AA274" s="13" t="s">
        <v>74</v>
      </c>
      <c r="AB274" s="7">
        <v>2</v>
      </c>
      <c r="AC274" t="s">
        <v>72</v>
      </c>
      <c r="AD274" s="6">
        <v>90</v>
      </c>
      <c r="AE274" t="s">
        <v>73</v>
      </c>
      <c r="AF274" t="s">
        <v>845</v>
      </c>
    </row>
    <row r="275" spans="1:32" ht="57.6" x14ac:dyDescent="0.3">
      <c r="A275" t="s">
        <v>2175</v>
      </c>
      <c r="B275" s="6">
        <v>2012</v>
      </c>
      <c r="C275" s="7">
        <v>4</v>
      </c>
      <c r="D275" s="6" t="s">
        <v>71</v>
      </c>
      <c r="E275" s="7">
        <v>1</v>
      </c>
      <c r="F275" s="14" t="s">
        <v>2174</v>
      </c>
      <c r="G275" t="s">
        <v>217</v>
      </c>
      <c r="H275" s="4" t="s">
        <v>2103</v>
      </c>
      <c r="I275" s="4" t="s">
        <v>2168</v>
      </c>
      <c r="J275" s="3">
        <v>3</v>
      </c>
      <c r="K275" t="s">
        <v>2170</v>
      </c>
      <c r="L275" t="s">
        <v>2169</v>
      </c>
      <c r="M275" s="3">
        <v>8</v>
      </c>
      <c r="N275" s="10" t="s">
        <v>2171</v>
      </c>
      <c r="O275" s="3">
        <v>1</v>
      </c>
      <c r="P275" s="3">
        <v>2</v>
      </c>
      <c r="Q275" s="10" t="s">
        <v>118</v>
      </c>
      <c r="R275" t="s">
        <v>1846</v>
      </c>
      <c r="S275" t="s">
        <v>1860</v>
      </c>
      <c r="T275" s="4" t="s">
        <v>1861</v>
      </c>
      <c r="U275" s="4" t="s">
        <v>2172</v>
      </c>
      <c r="V275" s="8" t="s">
        <v>2173</v>
      </c>
      <c r="W275" s="7">
        <v>3</v>
      </c>
      <c r="X275" s="7">
        <v>3</v>
      </c>
      <c r="Y275" s="7">
        <v>17</v>
      </c>
      <c r="Z275" s="7">
        <v>4</v>
      </c>
      <c r="AA275" s="13" t="s">
        <v>74</v>
      </c>
      <c r="AB275" s="7">
        <v>2</v>
      </c>
      <c r="AC275" s="12" t="s">
        <v>75</v>
      </c>
      <c r="AD275">
        <v>1000</v>
      </c>
      <c r="AE275" t="s">
        <v>73</v>
      </c>
    </row>
    <row r="276" spans="1:32" ht="43.2" x14ac:dyDescent="0.3">
      <c r="A276" t="s">
        <v>2109</v>
      </c>
      <c r="B276" s="6">
        <v>2012</v>
      </c>
      <c r="C276" s="7">
        <v>4</v>
      </c>
      <c r="D276" s="6" t="s">
        <v>71</v>
      </c>
      <c r="E276" s="7">
        <v>1</v>
      </c>
      <c r="F276" s="14" t="s">
        <v>2108</v>
      </c>
      <c r="G276" t="s">
        <v>550</v>
      </c>
      <c r="H276" s="4" t="s">
        <v>2104</v>
      </c>
      <c r="I276" s="4" t="s">
        <v>2106</v>
      </c>
      <c r="J276" s="3">
        <v>3</v>
      </c>
      <c r="K276" t="s">
        <v>957</v>
      </c>
      <c r="L276" s="4" t="s">
        <v>2107</v>
      </c>
      <c r="M276" s="3">
        <v>4</v>
      </c>
      <c r="N276" s="10" t="s">
        <v>192</v>
      </c>
      <c r="O276" s="3">
        <v>1</v>
      </c>
      <c r="P276" s="3">
        <v>1</v>
      </c>
      <c r="Q276" s="10" t="s">
        <v>118</v>
      </c>
      <c r="R276" s="6" t="s">
        <v>193</v>
      </c>
      <c r="S276" s="6" t="s">
        <v>194</v>
      </c>
      <c r="T276" s="10" t="s">
        <v>195</v>
      </c>
      <c r="U276" s="12" t="s">
        <v>347</v>
      </c>
      <c r="V276" s="12" t="s">
        <v>506</v>
      </c>
      <c r="W276" s="7">
        <v>3</v>
      </c>
      <c r="X276" s="7">
        <v>3</v>
      </c>
      <c r="Y276" s="7">
        <v>17</v>
      </c>
      <c r="Z276" s="7">
        <v>4</v>
      </c>
      <c r="AA276" s="12" t="s">
        <v>74</v>
      </c>
      <c r="AB276" s="11">
        <v>2</v>
      </c>
      <c r="AC276" s="10" t="s">
        <v>672</v>
      </c>
      <c r="AD276" s="12" t="s">
        <v>1940</v>
      </c>
      <c r="AE276" t="s">
        <v>73</v>
      </c>
      <c r="AF276" t="s">
        <v>2179</v>
      </c>
    </row>
    <row r="277" spans="1:32" ht="100.8" x14ac:dyDescent="0.3">
      <c r="A277" t="s">
        <v>2116</v>
      </c>
      <c r="B277" s="6">
        <v>2011</v>
      </c>
      <c r="C277" s="7">
        <v>3</v>
      </c>
      <c r="D277" s="6" t="s">
        <v>71</v>
      </c>
      <c r="E277" s="7">
        <v>1</v>
      </c>
      <c r="F277" s="14" t="s">
        <v>2115</v>
      </c>
      <c r="G277" t="s">
        <v>550</v>
      </c>
      <c r="H277" s="4" t="s">
        <v>2105</v>
      </c>
      <c r="I277" s="4" t="s">
        <v>2110</v>
      </c>
      <c r="J277" s="3">
        <v>5</v>
      </c>
      <c r="L277" s="4" t="s">
        <v>2111</v>
      </c>
      <c r="M277" s="3">
        <v>2</v>
      </c>
      <c r="N277" s="10" t="s">
        <v>192</v>
      </c>
      <c r="O277" s="3">
        <v>1</v>
      </c>
      <c r="P277" s="3">
        <v>1</v>
      </c>
      <c r="Q277" s="10" t="s">
        <v>118</v>
      </c>
      <c r="R277" s="6" t="s">
        <v>193</v>
      </c>
      <c r="S277" s="6" t="s">
        <v>194</v>
      </c>
      <c r="T277" s="10" t="s">
        <v>195</v>
      </c>
      <c r="U277" s="10" t="s">
        <v>2113</v>
      </c>
      <c r="V277" s="10" t="s">
        <v>2114</v>
      </c>
      <c r="W277" s="7">
        <v>2</v>
      </c>
      <c r="X277" s="7">
        <v>3</v>
      </c>
      <c r="Y277" s="7">
        <v>17</v>
      </c>
      <c r="Z277" s="7">
        <v>3</v>
      </c>
      <c r="AA277" s="13" t="s">
        <v>74</v>
      </c>
      <c r="AB277" s="7">
        <v>2</v>
      </c>
      <c r="AC277" t="s">
        <v>72</v>
      </c>
      <c r="AD277">
        <v>90</v>
      </c>
      <c r="AE277" t="s">
        <v>73</v>
      </c>
      <c r="AF277" t="s">
        <v>2112</v>
      </c>
    </row>
    <row r="278" spans="1:32" ht="72" x14ac:dyDescent="0.3">
      <c r="A278" t="s">
        <v>2330</v>
      </c>
      <c r="B278" s="6">
        <v>2011</v>
      </c>
      <c r="C278" s="7">
        <v>3</v>
      </c>
      <c r="D278" s="6" t="s">
        <v>71</v>
      </c>
      <c r="E278" s="7">
        <v>1</v>
      </c>
      <c r="F278" s="14" t="s">
        <v>2329</v>
      </c>
      <c r="G278" t="s">
        <v>2328</v>
      </c>
      <c r="H278" s="4" t="s">
        <v>2287</v>
      </c>
      <c r="I278" s="4" t="s">
        <v>2322</v>
      </c>
      <c r="J278" s="3">
        <v>6</v>
      </c>
      <c r="K278" t="s">
        <v>2323</v>
      </c>
      <c r="L278" s="4" t="s">
        <v>1946</v>
      </c>
      <c r="M278" s="3">
        <v>1</v>
      </c>
      <c r="N278" s="10" t="s">
        <v>2238</v>
      </c>
      <c r="O278" s="3">
        <v>2</v>
      </c>
      <c r="P278" s="3">
        <v>4</v>
      </c>
      <c r="Q278" s="10" t="s">
        <v>134</v>
      </c>
      <c r="R278" s="10" t="s">
        <v>2239</v>
      </c>
      <c r="S278" s="6" t="s">
        <v>2326</v>
      </c>
      <c r="T278" s="10" t="s">
        <v>2319</v>
      </c>
      <c r="U278" s="10" t="s">
        <v>2324</v>
      </c>
      <c r="V278" s="10" t="s">
        <v>2325</v>
      </c>
      <c r="W278" s="7">
        <v>3</v>
      </c>
      <c r="X278" s="7">
        <v>3</v>
      </c>
      <c r="Y278" s="7">
        <v>17</v>
      </c>
      <c r="Z278" s="7">
        <v>4</v>
      </c>
      <c r="AA278" s="13" t="s">
        <v>74</v>
      </c>
      <c r="AB278" s="7">
        <v>2</v>
      </c>
      <c r="AC278" s="4" t="s">
        <v>2320</v>
      </c>
      <c r="AD278" s="12" t="s">
        <v>2327</v>
      </c>
      <c r="AE278" s="4" t="s">
        <v>744</v>
      </c>
      <c r="AF278" t="s">
        <v>2321</v>
      </c>
    </row>
    <row r="279" spans="1:32" ht="86.4" x14ac:dyDescent="0.3">
      <c r="A279" t="s">
        <v>2342</v>
      </c>
      <c r="B279" s="6">
        <v>2011</v>
      </c>
      <c r="C279" s="7">
        <v>3</v>
      </c>
      <c r="D279" s="6" t="s">
        <v>71</v>
      </c>
      <c r="E279" s="7">
        <v>1</v>
      </c>
      <c r="F279" s="14" t="s">
        <v>2341</v>
      </c>
      <c r="G279" t="s">
        <v>1570</v>
      </c>
      <c r="H279" s="4" t="s">
        <v>2288</v>
      </c>
      <c r="I279" s="4" t="s">
        <v>2295</v>
      </c>
      <c r="J279" s="3">
        <v>8</v>
      </c>
      <c r="L279" s="4" t="s">
        <v>2331</v>
      </c>
      <c r="M279" s="3">
        <v>15</v>
      </c>
      <c r="N279" s="10" t="s">
        <v>2332</v>
      </c>
      <c r="O279" s="3">
        <v>3</v>
      </c>
      <c r="P279" s="3">
        <v>4</v>
      </c>
      <c r="Q279" s="10" t="s">
        <v>2333</v>
      </c>
      <c r="R279" s="10" t="s">
        <v>2334</v>
      </c>
      <c r="S279" s="10" t="s">
        <v>2335</v>
      </c>
      <c r="T279" s="10" t="s">
        <v>2336</v>
      </c>
      <c r="U279" s="10" t="s">
        <v>29</v>
      </c>
      <c r="V279" s="10" t="s">
        <v>2337</v>
      </c>
      <c r="W279" s="3">
        <v>2</v>
      </c>
      <c r="X279" s="3">
        <v>3</v>
      </c>
      <c r="Y279" s="3">
        <v>16</v>
      </c>
      <c r="Z279" s="3">
        <v>4</v>
      </c>
      <c r="AA279" s="13" t="s">
        <v>74</v>
      </c>
      <c r="AB279" s="7">
        <v>2</v>
      </c>
      <c r="AC279" s="4" t="s">
        <v>2338</v>
      </c>
      <c r="AD279" t="s">
        <v>2339</v>
      </c>
      <c r="AE279" s="4" t="s">
        <v>1906</v>
      </c>
      <c r="AF279" t="s">
        <v>2340</v>
      </c>
    </row>
    <row r="280" spans="1:32" ht="72" x14ac:dyDescent="0.3">
      <c r="A280" t="s">
        <v>2347</v>
      </c>
      <c r="B280" s="6">
        <v>2011</v>
      </c>
      <c r="C280" s="7">
        <v>3</v>
      </c>
      <c r="D280" s="6" t="s">
        <v>71</v>
      </c>
      <c r="E280" s="7">
        <v>1</v>
      </c>
      <c r="F280" s="14" t="s">
        <v>2346</v>
      </c>
      <c r="G280" t="s">
        <v>550</v>
      </c>
      <c r="H280" s="4" t="s">
        <v>2289</v>
      </c>
      <c r="I280" s="4" t="s">
        <v>2344</v>
      </c>
      <c r="J280" s="3">
        <v>4</v>
      </c>
      <c r="K280" t="s">
        <v>2345</v>
      </c>
      <c r="L280" s="4" t="s">
        <v>2343</v>
      </c>
      <c r="M280" s="3">
        <v>1</v>
      </c>
      <c r="N280" s="8" t="s">
        <v>75</v>
      </c>
      <c r="O280" s="3">
        <v>100</v>
      </c>
      <c r="P280" s="3">
        <v>100</v>
      </c>
      <c r="Q280" s="12" t="s">
        <v>75</v>
      </c>
      <c r="R280" s="12" t="s">
        <v>75</v>
      </c>
      <c r="S280" s="13" t="s">
        <v>75</v>
      </c>
      <c r="T280" s="13" t="s">
        <v>75</v>
      </c>
      <c r="U280" s="12" t="s">
        <v>75</v>
      </c>
      <c r="V280" s="12" t="s">
        <v>75</v>
      </c>
      <c r="W280" s="7">
        <v>3</v>
      </c>
      <c r="X280" s="7">
        <v>3</v>
      </c>
      <c r="Y280" s="7">
        <v>17</v>
      </c>
      <c r="Z280" s="7">
        <v>4</v>
      </c>
      <c r="AA280" s="13" t="s">
        <v>74</v>
      </c>
      <c r="AB280" s="11">
        <v>2</v>
      </c>
      <c r="AC280" s="12" t="s">
        <v>75</v>
      </c>
      <c r="AD280" s="10">
        <v>25</v>
      </c>
      <c r="AE280" s="12" t="s">
        <v>75</v>
      </c>
    </row>
    <row r="281" spans="1:32" ht="28.8" x14ac:dyDescent="0.3">
      <c r="A281" t="s">
        <v>2351</v>
      </c>
      <c r="B281" s="6">
        <v>2011</v>
      </c>
      <c r="C281" s="7">
        <v>3</v>
      </c>
      <c r="D281" s="6" t="s">
        <v>71</v>
      </c>
      <c r="E281" s="7">
        <v>1</v>
      </c>
      <c r="F281" s="14" t="s">
        <v>2350</v>
      </c>
      <c r="G281" t="s">
        <v>2349</v>
      </c>
      <c r="H281" s="4" t="s">
        <v>2290</v>
      </c>
      <c r="I281" s="4" t="s">
        <v>515</v>
      </c>
      <c r="J281" s="3">
        <v>3</v>
      </c>
      <c r="K281" t="s">
        <v>312</v>
      </c>
      <c r="L281" s="4" t="s">
        <v>2348</v>
      </c>
      <c r="M281" s="3">
        <v>2</v>
      </c>
      <c r="N281" s="8" t="s">
        <v>75</v>
      </c>
      <c r="O281" s="3">
        <v>100</v>
      </c>
      <c r="P281" s="3">
        <v>100</v>
      </c>
      <c r="Q281" s="12" t="s">
        <v>75</v>
      </c>
      <c r="R281" s="12" t="s">
        <v>75</v>
      </c>
      <c r="S281" s="13" t="s">
        <v>75</v>
      </c>
      <c r="T281" s="13" t="s">
        <v>75</v>
      </c>
      <c r="U281" s="12" t="s">
        <v>75</v>
      </c>
      <c r="V281" s="12" t="s">
        <v>75</v>
      </c>
      <c r="W281" s="7">
        <v>3</v>
      </c>
      <c r="X281" s="7">
        <v>3</v>
      </c>
      <c r="Y281" s="7">
        <v>17</v>
      </c>
      <c r="Z281" s="7">
        <v>4</v>
      </c>
      <c r="AA281" s="13" t="s">
        <v>74</v>
      </c>
      <c r="AB281" s="11">
        <v>2</v>
      </c>
      <c r="AC281" s="12" t="s">
        <v>75</v>
      </c>
      <c r="AD281" s="12" t="s">
        <v>75</v>
      </c>
      <c r="AE281" s="12" t="s">
        <v>75</v>
      </c>
    </row>
    <row r="282" spans="1:32" ht="57.6" x14ac:dyDescent="0.3">
      <c r="A282" t="s">
        <v>2358</v>
      </c>
      <c r="B282" s="6">
        <v>2011</v>
      </c>
      <c r="C282" s="7">
        <v>3</v>
      </c>
      <c r="D282" s="6" t="s">
        <v>71</v>
      </c>
      <c r="E282" s="7">
        <v>1</v>
      </c>
      <c r="F282" s="14" t="s">
        <v>2357</v>
      </c>
      <c r="G282" t="s">
        <v>2282</v>
      </c>
      <c r="H282" s="4" t="s">
        <v>2291</v>
      </c>
      <c r="I282" s="4" t="s">
        <v>2352</v>
      </c>
      <c r="J282" s="3">
        <v>5</v>
      </c>
      <c r="K282" t="s">
        <v>439</v>
      </c>
      <c r="L282" s="4" t="s">
        <v>1815</v>
      </c>
      <c r="M282" s="3">
        <v>3</v>
      </c>
      <c r="N282" s="10" t="s">
        <v>2353</v>
      </c>
      <c r="O282" s="3">
        <v>2</v>
      </c>
      <c r="P282" s="3">
        <v>4</v>
      </c>
      <c r="Q282" s="10" t="s">
        <v>2354</v>
      </c>
      <c r="R282" s="10" t="s">
        <v>135</v>
      </c>
      <c r="S282" s="10" t="s">
        <v>721</v>
      </c>
      <c r="T282" s="10" t="s">
        <v>2006</v>
      </c>
      <c r="U282" s="10" t="s">
        <v>2242</v>
      </c>
      <c r="V282" s="10" t="s">
        <v>2243</v>
      </c>
      <c r="W282" s="3">
        <v>3</v>
      </c>
      <c r="X282" s="3">
        <v>3</v>
      </c>
      <c r="Y282" s="3">
        <v>17</v>
      </c>
      <c r="Z282" s="3">
        <v>4</v>
      </c>
      <c r="AA282" s="13" t="s">
        <v>74</v>
      </c>
      <c r="AB282" s="11">
        <v>2</v>
      </c>
      <c r="AC282" t="s">
        <v>2356</v>
      </c>
      <c r="AD282" t="s">
        <v>2355</v>
      </c>
      <c r="AE282" s="4" t="s">
        <v>744</v>
      </c>
    </row>
    <row r="283" spans="1:32" ht="28.8" x14ac:dyDescent="0.3">
      <c r="A283" t="s">
        <v>2363</v>
      </c>
      <c r="B283" s="6">
        <v>2011</v>
      </c>
      <c r="C283" s="7">
        <v>3</v>
      </c>
      <c r="D283" s="6" t="s">
        <v>71</v>
      </c>
      <c r="E283" s="7">
        <v>1</v>
      </c>
      <c r="F283" s="14" t="s">
        <v>2362</v>
      </c>
      <c r="G283" t="s">
        <v>2361</v>
      </c>
      <c r="H283" s="4" t="s">
        <v>2292</v>
      </c>
      <c r="I283" s="4" t="s">
        <v>37</v>
      </c>
      <c r="J283" s="3">
        <v>5</v>
      </c>
      <c r="L283" s="4" t="s">
        <v>2359</v>
      </c>
      <c r="M283" s="3">
        <v>4</v>
      </c>
      <c r="N283" s="8" t="s">
        <v>75</v>
      </c>
      <c r="O283" s="3">
        <v>100</v>
      </c>
      <c r="P283" s="3">
        <v>100</v>
      </c>
      <c r="Q283" s="12" t="s">
        <v>75</v>
      </c>
      <c r="R283" s="12" t="s">
        <v>75</v>
      </c>
      <c r="S283" s="13" t="s">
        <v>75</v>
      </c>
      <c r="T283" s="13" t="s">
        <v>75</v>
      </c>
      <c r="U283" s="13" t="s">
        <v>75</v>
      </c>
      <c r="V283" s="13" t="s">
        <v>75</v>
      </c>
      <c r="W283" s="3">
        <v>3</v>
      </c>
      <c r="X283" s="3">
        <v>3</v>
      </c>
      <c r="Y283" s="3">
        <v>17</v>
      </c>
      <c r="Z283" s="3">
        <v>4</v>
      </c>
      <c r="AA283" s="13" t="s">
        <v>74</v>
      </c>
      <c r="AB283" s="11">
        <v>2</v>
      </c>
      <c r="AC283" s="12" t="s">
        <v>75</v>
      </c>
      <c r="AD283" s="12" t="s">
        <v>75</v>
      </c>
      <c r="AE283" s="12" t="s">
        <v>75</v>
      </c>
      <c r="AF283" s="6" t="s">
        <v>2360</v>
      </c>
    </row>
    <row r="284" spans="1:32" ht="100.8" x14ac:dyDescent="0.3">
      <c r="A284" t="s">
        <v>2377</v>
      </c>
      <c r="B284" s="6">
        <v>2011</v>
      </c>
      <c r="C284" s="7">
        <v>3</v>
      </c>
      <c r="D284" s="6" t="s">
        <v>71</v>
      </c>
      <c r="E284" s="7">
        <v>1</v>
      </c>
      <c r="F284" s="14" t="s">
        <v>2376</v>
      </c>
      <c r="G284" t="s">
        <v>2375</v>
      </c>
      <c r="H284" s="4" t="s">
        <v>2293</v>
      </c>
      <c r="I284" s="4" t="s">
        <v>2365</v>
      </c>
      <c r="J284" s="3">
        <v>1</v>
      </c>
      <c r="K284" t="s">
        <v>2366</v>
      </c>
      <c r="L284" s="4" t="s">
        <v>2364</v>
      </c>
      <c r="M284" s="3">
        <v>5</v>
      </c>
      <c r="N284" s="4" t="s">
        <v>2367</v>
      </c>
      <c r="O284" s="3">
        <v>3</v>
      </c>
      <c r="P284" s="3">
        <v>4</v>
      </c>
      <c r="Q284" s="10" t="s">
        <v>1966</v>
      </c>
      <c r="R284" s="4" t="s">
        <v>2368</v>
      </c>
      <c r="S284" s="4" t="s">
        <v>1975</v>
      </c>
      <c r="T284" s="4" t="s">
        <v>2369</v>
      </c>
      <c r="U284" s="4" t="s">
        <v>2370</v>
      </c>
      <c r="V284" s="8" t="s">
        <v>2371</v>
      </c>
      <c r="W284" s="7">
        <v>3</v>
      </c>
      <c r="X284" s="7">
        <v>3</v>
      </c>
      <c r="Y284" s="7">
        <v>17</v>
      </c>
      <c r="Z284" s="7">
        <v>4</v>
      </c>
      <c r="AA284" s="10" t="s">
        <v>2372</v>
      </c>
      <c r="AB284" s="3">
        <v>1</v>
      </c>
      <c r="AC284" s="10" t="s">
        <v>2373</v>
      </c>
      <c r="AD284" t="s">
        <v>1863</v>
      </c>
      <c r="AE284" s="10" t="s">
        <v>1971</v>
      </c>
      <c r="AF284" s="6" t="s">
        <v>2374</v>
      </c>
    </row>
    <row r="285" spans="1:32" ht="86.4" x14ac:dyDescent="0.3">
      <c r="A285" t="s">
        <v>2379</v>
      </c>
      <c r="B285" s="6">
        <v>2011</v>
      </c>
      <c r="C285" s="7">
        <v>3</v>
      </c>
      <c r="D285" s="6" t="s">
        <v>71</v>
      </c>
      <c r="E285" s="7">
        <v>1</v>
      </c>
      <c r="F285" s="14" t="s">
        <v>2378</v>
      </c>
      <c r="G285" t="s">
        <v>799</v>
      </c>
      <c r="H285" s="4" t="s">
        <v>2294</v>
      </c>
      <c r="I285" s="6" t="s">
        <v>2295</v>
      </c>
      <c r="J285" s="7">
        <v>8</v>
      </c>
      <c r="K285" s="6"/>
      <c r="L285" s="10" t="s">
        <v>2296</v>
      </c>
      <c r="M285" s="11">
        <v>4</v>
      </c>
      <c r="N285" s="10" t="s">
        <v>192</v>
      </c>
      <c r="O285" s="11">
        <v>1</v>
      </c>
      <c r="P285" s="11">
        <v>1</v>
      </c>
      <c r="Q285" s="10" t="s">
        <v>118</v>
      </c>
      <c r="R285" s="6" t="s">
        <v>193</v>
      </c>
      <c r="S285" s="6" t="s">
        <v>194</v>
      </c>
      <c r="T285" s="10" t="s">
        <v>195</v>
      </c>
      <c r="U285" s="12" t="s">
        <v>347</v>
      </c>
      <c r="V285" s="12" t="s">
        <v>506</v>
      </c>
      <c r="W285" s="7">
        <v>3</v>
      </c>
      <c r="X285" s="7">
        <v>3</v>
      </c>
      <c r="Y285" s="7">
        <v>17</v>
      </c>
      <c r="Z285" s="7">
        <v>4</v>
      </c>
      <c r="AA285" s="12" t="s">
        <v>74</v>
      </c>
      <c r="AB285" s="11">
        <v>2</v>
      </c>
      <c r="AC285" s="10" t="s">
        <v>672</v>
      </c>
      <c r="AD285" s="6">
        <v>90</v>
      </c>
      <c r="AE285" s="10" t="s">
        <v>73</v>
      </c>
      <c r="AF285" s="6" t="s">
        <v>2297</v>
      </c>
    </row>
    <row r="286" spans="1:32" ht="43.2" x14ac:dyDescent="0.3">
      <c r="A286" t="s">
        <v>2391</v>
      </c>
      <c r="B286" s="6">
        <v>2011</v>
      </c>
      <c r="C286" s="7">
        <v>3</v>
      </c>
      <c r="D286" s="6" t="s">
        <v>71</v>
      </c>
      <c r="E286" s="7">
        <v>1</v>
      </c>
      <c r="F286" s="14" t="s">
        <v>2390</v>
      </c>
      <c r="G286" t="s">
        <v>2389</v>
      </c>
      <c r="H286" s="4" t="s">
        <v>2298</v>
      </c>
      <c r="I286" s="4" t="s">
        <v>1744</v>
      </c>
      <c r="J286" s="3">
        <v>1</v>
      </c>
      <c r="K286" t="s">
        <v>1928</v>
      </c>
      <c r="L286" s="4" t="s">
        <v>2387</v>
      </c>
      <c r="M286" s="3">
        <v>1</v>
      </c>
      <c r="N286" s="8" t="s">
        <v>75</v>
      </c>
      <c r="O286" s="3">
        <v>100</v>
      </c>
      <c r="P286" s="3">
        <v>100</v>
      </c>
      <c r="Q286" s="12" t="s">
        <v>75</v>
      </c>
      <c r="R286" s="12" t="s">
        <v>75</v>
      </c>
      <c r="S286" s="13" t="s">
        <v>75</v>
      </c>
      <c r="T286" s="13" t="s">
        <v>75</v>
      </c>
      <c r="U286" s="13" t="s">
        <v>75</v>
      </c>
      <c r="V286" s="13" t="s">
        <v>75</v>
      </c>
      <c r="W286" s="3">
        <v>3</v>
      </c>
      <c r="X286" s="3">
        <v>3</v>
      </c>
      <c r="Y286" s="3">
        <v>17</v>
      </c>
      <c r="Z286" s="3">
        <v>4</v>
      </c>
      <c r="AA286" s="13" t="s">
        <v>74</v>
      </c>
      <c r="AB286" s="11">
        <v>2</v>
      </c>
      <c r="AC286" s="12" t="s">
        <v>75</v>
      </c>
      <c r="AD286" s="12" t="s">
        <v>75</v>
      </c>
      <c r="AE286" s="12" t="s">
        <v>75</v>
      </c>
      <c r="AF286" s="6" t="s">
        <v>2388</v>
      </c>
    </row>
    <row r="287" spans="1:32" ht="28.8" x14ac:dyDescent="0.3">
      <c r="A287" t="s">
        <v>2445</v>
      </c>
      <c r="B287" s="6">
        <v>2010</v>
      </c>
      <c r="C287" s="7">
        <v>2</v>
      </c>
      <c r="D287" s="6" t="s">
        <v>71</v>
      </c>
      <c r="E287" s="7">
        <v>1</v>
      </c>
      <c r="F287" s="14" t="s">
        <v>2444</v>
      </c>
      <c r="G287" t="s">
        <v>964</v>
      </c>
      <c r="H287" s="4" t="s">
        <v>2299</v>
      </c>
      <c r="I287" s="4" t="s">
        <v>1744</v>
      </c>
      <c r="J287" s="3">
        <v>1</v>
      </c>
      <c r="K287" t="s">
        <v>2185</v>
      </c>
      <c r="L287" s="4" t="s">
        <v>1946</v>
      </c>
      <c r="M287" s="3">
        <v>1</v>
      </c>
      <c r="N287" s="10" t="s">
        <v>192</v>
      </c>
      <c r="O287" s="3">
        <v>1</v>
      </c>
      <c r="P287" s="3">
        <v>1</v>
      </c>
      <c r="Q287" s="10" t="s">
        <v>118</v>
      </c>
      <c r="R287" s="6" t="s">
        <v>193</v>
      </c>
      <c r="S287" s="6" t="s">
        <v>194</v>
      </c>
      <c r="T287" s="10" t="s">
        <v>195</v>
      </c>
      <c r="U287" t="s">
        <v>158</v>
      </c>
      <c r="V287" t="s">
        <v>77</v>
      </c>
      <c r="W287" s="7">
        <v>1</v>
      </c>
      <c r="X287" s="7">
        <v>3</v>
      </c>
      <c r="Y287" s="7">
        <v>1</v>
      </c>
      <c r="Z287" s="7">
        <v>5</v>
      </c>
      <c r="AA287" s="13" t="s">
        <v>74</v>
      </c>
      <c r="AB287" s="11">
        <v>2</v>
      </c>
      <c r="AC287" t="s">
        <v>72</v>
      </c>
      <c r="AD287">
        <v>90</v>
      </c>
      <c r="AE287" t="s">
        <v>73</v>
      </c>
      <c r="AF287" s="6" t="s">
        <v>845</v>
      </c>
    </row>
    <row r="288" spans="1:32" ht="43.2" x14ac:dyDescent="0.3">
      <c r="A288" t="s">
        <v>2424</v>
      </c>
      <c r="B288" s="6">
        <v>2010</v>
      </c>
      <c r="C288" s="7">
        <v>2</v>
      </c>
      <c r="D288" s="6" t="s">
        <v>71</v>
      </c>
      <c r="E288" s="7">
        <v>1</v>
      </c>
      <c r="F288" s="14" t="s">
        <v>2423</v>
      </c>
      <c r="G288" t="s">
        <v>622</v>
      </c>
      <c r="H288" s="4" t="s">
        <v>2300</v>
      </c>
      <c r="I288" s="4" t="s">
        <v>2420</v>
      </c>
      <c r="J288" s="3">
        <v>3</v>
      </c>
      <c r="K288" t="s">
        <v>863</v>
      </c>
      <c r="L288" s="4" t="s">
        <v>1466</v>
      </c>
      <c r="M288" s="3">
        <v>1</v>
      </c>
      <c r="N288" s="10" t="s">
        <v>192</v>
      </c>
      <c r="O288" s="3">
        <v>1</v>
      </c>
      <c r="P288" s="3">
        <v>1</v>
      </c>
      <c r="Q288" s="10" t="s">
        <v>118</v>
      </c>
      <c r="R288" s="6" t="s">
        <v>193</v>
      </c>
      <c r="S288" s="6" t="s">
        <v>194</v>
      </c>
      <c r="T288" s="10" t="s">
        <v>195</v>
      </c>
      <c r="U288" t="s">
        <v>158</v>
      </c>
      <c r="V288" t="s">
        <v>77</v>
      </c>
      <c r="W288" s="7">
        <v>1</v>
      </c>
      <c r="X288" s="7">
        <v>3</v>
      </c>
      <c r="Y288" s="7">
        <v>1</v>
      </c>
      <c r="Z288" s="7">
        <v>5</v>
      </c>
      <c r="AA288" s="13" t="s">
        <v>74</v>
      </c>
      <c r="AB288" s="7">
        <v>2</v>
      </c>
      <c r="AC288" t="s">
        <v>72</v>
      </c>
      <c r="AD288" s="10" t="s">
        <v>2421</v>
      </c>
      <c r="AE288" t="s">
        <v>73</v>
      </c>
      <c r="AF288" s="6" t="s">
        <v>2422</v>
      </c>
    </row>
    <row r="289" spans="1:32" ht="57.6" x14ac:dyDescent="0.3">
      <c r="A289" t="s">
        <v>2419</v>
      </c>
      <c r="B289" s="6">
        <v>2010</v>
      </c>
      <c r="C289" s="7">
        <v>2</v>
      </c>
      <c r="D289" s="6" t="s">
        <v>71</v>
      </c>
      <c r="E289" s="7">
        <v>1</v>
      </c>
      <c r="F289" s="14" t="s">
        <v>2418</v>
      </c>
      <c r="G289" t="s">
        <v>2416</v>
      </c>
      <c r="H289" s="4" t="s">
        <v>2301</v>
      </c>
      <c r="I289" s="4" t="s">
        <v>2415</v>
      </c>
      <c r="J289" s="3">
        <v>6</v>
      </c>
      <c r="L289" s="4" t="s">
        <v>2414</v>
      </c>
      <c r="M289" s="3">
        <v>2</v>
      </c>
      <c r="N289" s="8" t="s">
        <v>75</v>
      </c>
      <c r="O289" s="3">
        <v>100</v>
      </c>
      <c r="P289" s="3">
        <v>100</v>
      </c>
      <c r="Q289" s="12" t="s">
        <v>75</v>
      </c>
      <c r="R289" s="12" t="s">
        <v>75</v>
      </c>
      <c r="S289" s="13" t="s">
        <v>75</v>
      </c>
      <c r="T289" s="13" t="s">
        <v>75</v>
      </c>
      <c r="U289" s="4" t="s">
        <v>2417</v>
      </c>
      <c r="V289" t="s">
        <v>2302</v>
      </c>
      <c r="W289" s="3">
        <v>1</v>
      </c>
      <c r="X289" s="3">
        <v>1</v>
      </c>
      <c r="Y289" s="3">
        <v>10</v>
      </c>
      <c r="Z289" s="3">
        <v>2</v>
      </c>
      <c r="AA289" s="13" t="s">
        <v>75</v>
      </c>
      <c r="AB289" s="7">
        <v>2</v>
      </c>
      <c r="AC289" s="13" t="s">
        <v>75</v>
      </c>
      <c r="AD289" s="13" t="s">
        <v>75</v>
      </c>
      <c r="AE289" s="12" t="s">
        <v>75</v>
      </c>
    </row>
    <row r="290" spans="1:32" ht="43.2" x14ac:dyDescent="0.3">
      <c r="A290" t="s">
        <v>2433</v>
      </c>
      <c r="B290" s="6">
        <v>2010</v>
      </c>
      <c r="C290" s="7">
        <v>2</v>
      </c>
      <c r="D290" s="6" t="s">
        <v>71</v>
      </c>
      <c r="E290" s="7">
        <v>1</v>
      </c>
      <c r="F290" s="14" t="s">
        <v>2432</v>
      </c>
      <c r="G290" t="s">
        <v>2431</v>
      </c>
      <c r="H290" s="4" t="s">
        <v>2303</v>
      </c>
      <c r="I290" s="4" t="s">
        <v>2429</v>
      </c>
      <c r="J290" s="3">
        <v>3</v>
      </c>
      <c r="K290" t="s">
        <v>2430</v>
      </c>
      <c r="L290" s="4" t="s">
        <v>2428</v>
      </c>
      <c r="M290" s="3">
        <v>3</v>
      </c>
      <c r="N290" s="10" t="s">
        <v>192</v>
      </c>
      <c r="O290" s="3">
        <v>1</v>
      </c>
      <c r="P290" s="3">
        <v>1</v>
      </c>
      <c r="Q290" s="10" t="s">
        <v>118</v>
      </c>
      <c r="R290" s="6" t="s">
        <v>193</v>
      </c>
      <c r="S290" s="6" t="s">
        <v>194</v>
      </c>
      <c r="T290" s="10" t="s">
        <v>195</v>
      </c>
      <c r="U290" t="s">
        <v>158</v>
      </c>
      <c r="V290" t="s">
        <v>77</v>
      </c>
      <c r="W290" s="7">
        <v>1</v>
      </c>
      <c r="X290" s="7">
        <v>3</v>
      </c>
      <c r="Y290" s="7">
        <v>1</v>
      </c>
      <c r="Z290" s="7">
        <v>5</v>
      </c>
      <c r="AA290" s="13" t="s">
        <v>74</v>
      </c>
      <c r="AB290" s="7">
        <v>2</v>
      </c>
      <c r="AC290" t="s">
        <v>72</v>
      </c>
      <c r="AD290" s="12" t="s">
        <v>1940</v>
      </c>
      <c r="AE290" t="s">
        <v>73</v>
      </c>
      <c r="AF290" s="6" t="s">
        <v>1001</v>
      </c>
    </row>
    <row r="291" spans="1:32" ht="57.6" x14ac:dyDescent="0.3">
      <c r="A291" t="s">
        <v>2442</v>
      </c>
      <c r="B291" s="6">
        <v>2010</v>
      </c>
      <c r="C291" s="7">
        <v>2</v>
      </c>
      <c r="D291" s="6" t="s">
        <v>71</v>
      </c>
      <c r="E291" s="7">
        <v>1</v>
      </c>
      <c r="F291" s="14" t="s">
        <v>2443</v>
      </c>
      <c r="G291" t="s">
        <v>2441</v>
      </c>
      <c r="H291" s="4" t="s">
        <v>2304</v>
      </c>
      <c r="I291" s="4" t="s">
        <v>2438</v>
      </c>
      <c r="J291" s="3">
        <v>3</v>
      </c>
      <c r="K291" t="s">
        <v>286</v>
      </c>
      <c r="L291" s="4" t="s">
        <v>2439</v>
      </c>
      <c r="M291" s="3">
        <v>13</v>
      </c>
      <c r="N291" s="10" t="s">
        <v>850</v>
      </c>
      <c r="O291" s="3">
        <v>2</v>
      </c>
      <c r="P291" s="3">
        <v>4</v>
      </c>
      <c r="Q291" s="10" t="s">
        <v>851</v>
      </c>
      <c r="R291" s="10" t="s">
        <v>2440</v>
      </c>
      <c r="S291" s="10" t="s">
        <v>853</v>
      </c>
      <c r="T291" s="10" t="s">
        <v>854</v>
      </c>
      <c r="U291" s="12" t="s">
        <v>116</v>
      </c>
      <c r="V291" s="10" t="s">
        <v>186</v>
      </c>
      <c r="W291" s="7">
        <v>3</v>
      </c>
      <c r="X291" s="7">
        <v>3</v>
      </c>
      <c r="Y291" s="7">
        <v>17</v>
      </c>
      <c r="Z291" s="7">
        <v>4</v>
      </c>
      <c r="AA291" s="13" t="s">
        <v>74</v>
      </c>
      <c r="AB291" s="11">
        <v>2</v>
      </c>
      <c r="AC291" s="10" t="s">
        <v>672</v>
      </c>
      <c r="AD291" s="12" t="s">
        <v>1940</v>
      </c>
      <c r="AE291" t="s">
        <v>1567</v>
      </c>
    </row>
    <row r="292" spans="1:32" ht="57.6" x14ac:dyDescent="0.3">
      <c r="A292" t="s">
        <v>2437</v>
      </c>
      <c r="B292" s="6">
        <v>2010</v>
      </c>
      <c r="C292" s="7">
        <v>2</v>
      </c>
      <c r="D292" s="6" t="s">
        <v>71</v>
      </c>
      <c r="E292" s="7">
        <v>1</v>
      </c>
      <c r="F292" s="14" t="s">
        <v>2436</v>
      </c>
      <c r="G292" t="s">
        <v>432</v>
      </c>
      <c r="H292" s="4" t="s">
        <v>2305</v>
      </c>
      <c r="I292" s="4" t="s">
        <v>2434</v>
      </c>
      <c r="J292" s="3">
        <v>3</v>
      </c>
      <c r="K292" t="s">
        <v>2435</v>
      </c>
      <c r="L292" s="4" t="s">
        <v>2392</v>
      </c>
      <c r="M292" s="3">
        <v>4</v>
      </c>
      <c r="N292" s="8" t="s">
        <v>75</v>
      </c>
      <c r="O292" s="3">
        <v>100</v>
      </c>
      <c r="P292" s="3">
        <v>100</v>
      </c>
      <c r="Q292" s="12" t="s">
        <v>75</v>
      </c>
      <c r="R292" s="12" t="s">
        <v>75</v>
      </c>
      <c r="S292" s="13" t="s">
        <v>75</v>
      </c>
      <c r="T292" s="13" t="s">
        <v>75</v>
      </c>
      <c r="U292" s="13" t="s">
        <v>75</v>
      </c>
      <c r="V292" s="13" t="s">
        <v>75</v>
      </c>
      <c r="W292" s="3">
        <v>3</v>
      </c>
      <c r="X292" s="3">
        <v>3</v>
      </c>
      <c r="Y292" s="3">
        <v>17</v>
      </c>
      <c r="Z292" s="3">
        <v>4</v>
      </c>
      <c r="AA292" s="13" t="s">
        <v>74</v>
      </c>
      <c r="AB292" s="11">
        <v>2</v>
      </c>
      <c r="AC292" s="12" t="s">
        <v>75</v>
      </c>
      <c r="AD292" s="12" t="s">
        <v>75</v>
      </c>
      <c r="AE292" s="12" t="s">
        <v>75</v>
      </c>
      <c r="AF292" s="6"/>
    </row>
    <row r="293" spans="1:32" ht="86.4" x14ac:dyDescent="0.3">
      <c r="A293" t="s">
        <v>2381</v>
      </c>
      <c r="B293" s="6">
        <v>2010</v>
      </c>
      <c r="C293" s="7">
        <v>2</v>
      </c>
      <c r="D293" s="6" t="s">
        <v>71</v>
      </c>
      <c r="E293" s="7">
        <v>1</v>
      </c>
      <c r="F293" s="14" t="s">
        <v>2380</v>
      </c>
      <c r="G293" t="s">
        <v>1570</v>
      </c>
      <c r="H293" s="4" t="s">
        <v>2311</v>
      </c>
      <c r="I293" s="10" t="s">
        <v>2306</v>
      </c>
      <c r="J293" s="11">
        <v>3</v>
      </c>
      <c r="K293" s="6" t="s">
        <v>2307</v>
      </c>
      <c r="L293" s="10" t="s">
        <v>2308</v>
      </c>
      <c r="M293" s="11">
        <v>4</v>
      </c>
      <c r="N293" s="10" t="s">
        <v>192</v>
      </c>
      <c r="O293" s="11">
        <v>1</v>
      </c>
      <c r="P293" s="11">
        <v>1</v>
      </c>
      <c r="Q293" s="10" t="s">
        <v>118</v>
      </c>
      <c r="R293" s="6" t="s">
        <v>193</v>
      </c>
      <c r="S293" s="6" t="s">
        <v>194</v>
      </c>
      <c r="T293" s="10" t="s">
        <v>195</v>
      </c>
      <c r="U293" s="12" t="s">
        <v>347</v>
      </c>
      <c r="V293" s="12" t="s">
        <v>506</v>
      </c>
      <c r="W293" s="7">
        <v>3</v>
      </c>
      <c r="X293" s="7">
        <v>3</v>
      </c>
      <c r="Y293" s="7">
        <v>17</v>
      </c>
      <c r="Z293" s="7">
        <v>4</v>
      </c>
      <c r="AA293" s="12" t="s">
        <v>74</v>
      </c>
      <c r="AB293" s="11">
        <v>2</v>
      </c>
      <c r="AC293" s="6" t="s">
        <v>507</v>
      </c>
      <c r="AD293" s="6" t="s">
        <v>2309</v>
      </c>
      <c r="AE293" s="10" t="s">
        <v>73</v>
      </c>
      <c r="AF293" s="6" t="s">
        <v>2310</v>
      </c>
    </row>
    <row r="294" spans="1:32" ht="72" x14ac:dyDescent="0.3">
      <c r="A294" t="s">
        <v>2399</v>
      </c>
      <c r="B294" s="6">
        <v>2010</v>
      </c>
      <c r="C294" s="7">
        <v>2</v>
      </c>
      <c r="D294" s="6" t="s">
        <v>71</v>
      </c>
      <c r="E294" s="7">
        <v>1</v>
      </c>
      <c r="F294" s="14" t="s">
        <v>2398</v>
      </c>
      <c r="G294" t="s">
        <v>1836</v>
      </c>
      <c r="H294" s="4" t="s">
        <v>2312</v>
      </c>
      <c r="I294" s="4" t="s">
        <v>2394</v>
      </c>
      <c r="J294" s="3">
        <v>1</v>
      </c>
      <c r="K294" t="s">
        <v>2397</v>
      </c>
      <c r="L294" s="4" t="s">
        <v>2393</v>
      </c>
      <c r="M294" s="3">
        <v>4</v>
      </c>
      <c r="N294" s="10" t="s">
        <v>2395</v>
      </c>
      <c r="O294" s="3">
        <v>100</v>
      </c>
      <c r="P294" s="3">
        <v>100</v>
      </c>
      <c r="Q294" s="12" t="s">
        <v>75</v>
      </c>
      <c r="R294" s="12" t="s">
        <v>75</v>
      </c>
      <c r="S294" s="13" t="s">
        <v>75</v>
      </c>
      <c r="T294" s="13" t="s">
        <v>75</v>
      </c>
      <c r="U294" s="13" t="s">
        <v>75</v>
      </c>
      <c r="V294" s="13" t="s">
        <v>75</v>
      </c>
      <c r="W294" s="3">
        <v>3</v>
      </c>
      <c r="X294" s="3">
        <v>3</v>
      </c>
      <c r="Y294" s="3">
        <v>17</v>
      </c>
      <c r="Z294" s="3">
        <v>4</v>
      </c>
      <c r="AA294" s="13" t="s">
        <v>74</v>
      </c>
      <c r="AB294" s="11">
        <v>2</v>
      </c>
      <c r="AC294" s="12" t="s">
        <v>75</v>
      </c>
      <c r="AD294" s="12" t="s">
        <v>75</v>
      </c>
      <c r="AE294" s="12" t="s">
        <v>75</v>
      </c>
      <c r="AF294" s="6" t="s">
        <v>2396</v>
      </c>
    </row>
    <row r="295" spans="1:32" ht="115.2" x14ac:dyDescent="0.3">
      <c r="A295" t="s">
        <v>2427</v>
      </c>
      <c r="B295" s="6">
        <v>2010</v>
      </c>
      <c r="C295" s="7">
        <v>2</v>
      </c>
      <c r="D295" s="6" t="s">
        <v>71</v>
      </c>
      <c r="E295" s="7">
        <v>1</v>
      </c>
      <c r="F295" s="14" t="s">
        <v>2426</v>
      </c>
      <c r="G295" t="s">
        <v>1841</v>
      </c>
      <c r="H295" s="4" t="s">
        <v>2313</v>
      </c>
      <c r="I295" s="4" t="s">
        <v>2425</v>
      </c>
      <c r="J295" s="3">
        <v>9</v>
      </c>
      <c r="L295" t="s">
        <v>1925</v>
      </c>
      <c r="M295" s="3">
        <v>1</v>
      </c>
      <c r="N295" s="10" t="s">
        <v>192</v>
      </c>
      <c r="O295" s="11">
        <v>1</v>
      </c>
      <c r="P295" s="11">
        <v>1</v>
      </c>
      <c r="Q295" s="10" t="s">
        <v>118</v>
      </c>
      <c r="R295" s="6" t="s">
        <v>193</v>
      </c>
      <c r="S295" s="6" t="s">
        <v>194</v>
      </c>
      <c r="T295" s="10" t="s">
        <v>195</v>
      </c>
      <c r="U295" t="s">
        <v>955</v>
      </c>
      <c r="V295" t="s">
        <v>72</v>
      </c>
      <c r="W295" s="7">
        <v>1</v>
      </c>
      <c r="X295" s="7">
        <v>3</v>
      </c>
      <c r="Y295" s="7">
        <v>3</v>
      </c>
      <c r="Z295" s="7">
        <v>5</v>
      </c>
      <c r="AA295" s="12" t="s">
        <v>74</v>
      </c>
      <c r="AB295" s="7">
        <v>2</v>
      </c>
      <c r="AC295" s="10" t="s">
        <v>72</v>
      </c>
      <c r="AD295" s="10">
        <v>90</v>
      </c>
      <c r="AE295" s="6" t="s">
        <v>73</v>
      </c>
    </row>
    <row r="296" spans="1:32" ht="28.8" x14ac:dyDescent="0.3">
      <c r="A296" t="s">
        <v>2386</v>
      </c>
      <c r="B296" s="6">
        <v>2009</v>
      </c>
      <c r="C296" s="7">
        <v>1</v>
      </c>
      <c r="D296" s="6" t="s">
        <v>71</v>
      </c>
      <c r="E296" s="7">
        <v>1</v>
      </c>
      <c r="F296" s="14" t="s">
        <v>2385</v>
      </c>
      <c r="G296" t="s">
        <v>2384</v>
      </c>
      <c r="H296" s="4" t="s">
        <v>2316</v>
      </c>
      <c r="I296" s="10" t="s">
        <v>2314</v>
      </c>
      <c r="J296" s="11">
        <v>8</v>
      </c>
      <c r="K296" s="6"/>
      <c r="L296" s="10" t="s">
        <v>2315</v>
      </c>
      <c r="M296" s="11">
        <v>4</v>
      </c>
      <c r="N296" s="6" t="s">
        <v>192</v>
      </c>
      <c r="O296" s="7">
        <v>1</v>
      </c>
      <c r="P296" s="7">
        <v>1</v>
      </c>
      <c r="Q296" s="6" t="s">
        <v>118</v>
      </c>
      <c r="R296" s="6" t="s">
        <v>193</v>
      </c>
      <c r="S296" s="6" t="s">
        <v>194</v>
      </c>
      <c r="T296" s="10" t="s">
        <v>195</v>
      </c>
      <c r="U296" s="6" t="s">
        <v>158</v>
      </c>
      <c r="V296" s="6" t="s">
        <v>77</v>
      </c>
      <c r="W296" s="7">
        <v>1</v>
      </c>
      <c r="X296" s="7">
        <v>3</v>
      </c>
      <c r="Y296" s="7">
        <v>1</v>
      </c>
      <c r="Z296" s="7">
        <v>5</v>
      </c>
      <c r="AA296" s="12" t="s">
        <v>74</v>
      </c>
      <c r="AB296" s="7">
        <v>2</v>
      </c>
      <c r="AC296" s="6" t="s">
        <v>72</v>
      </c>
      <c r="AD296" s="10" t="s">
        <v>2383</v>
      </c>
      <c r="AE296" s="6" t="s">
        <v>73</v>
      </c>
      <c r="AF296" s="6" t="s">
        <v>2382</v>
      </c>
    </row>
    <row r="297" spans="1:32" ht="187.2" x14ac:dyDescent="0.3">
      <c r="A297" t="s">
        <v>2413</v>
      </c>
      <c r="B297" s="6">
        <v>2009</v>
      </c>
      <c r="C297" s="7">
        <v>1</v>
      </c>
      <c r="D297" s="6" t="s">
        <v>71</v>
      </c>
      <c r="E297" s="7">
        <v>1</v>
      </c>
      <c r="F297" s="14" t="s">
        <v>2412</v>
      </c>
      <c r="G297" t="s">
        <v>2411</v>
      </c>
      <c r="H297" s="4" t="s">
        <v>2317</v>
      </c>
      <c r="I297" t="s">
        <v>48</v>
      </c>
      <c r="J297" s="3">
        <v>8</v>
      </c>
      <c r="L297" t="s">
        <v>1946</v>
      </c>
      <c r="M297" s="3">
        <v>1</v>
      </c>
      <c r="N297" s="10" t="s">
        <v>2404</v>
      </c>
      <c r="O297" s="3">
        <v>3</v>
      </c>
      <c r="P297" s="3">
        <v>4</v>
      </c>
      <c r="Q297" s="10" t="s">
        <v>2405</v>
      </c>
      <c r="R297" s="6" t="s">
        <v>2406</v>
      </c>
      <c r="S297" s="10" t="s">
        <v>2407</v>
      </c>
      <c r="T297" s="10" t="s">
        <v>2408</v>
      </c>
      <c r="U297" s="10" t="s">
        <v>2409</v>
      </c>
      <c r="V297" s="10" t="s">
        <v>2410</v>
      </c>
      <c r="W297" s="7">
        <v>2</v>
      </c>
      <c r="X297" s="7">
        <v>3</v>
      </c>
      <c r="Y297" s="7">
        <v>16</v>
      </c>
      <c r="Z297" s="7">
        <v>4</v>
      </c>
      <c r="AA297" s="13" t="s">
        <v>74</v>
      </c>
      <c r="AB297" s="7">
        <v>2</v>
      </c>
      <c r="AC297" s="6" t="s">
        <v>72</v>
      </c>
      <c r="AD297" s="6" t="s">
        <v>2403</v>
      </c>
      <c r="AE297" s="10" t="s">
        <v>1906</v>
      </c>
    </row>
    <row r="298" spans="1:32" ht="43.2" x14ac:dyDescent="0.3">
      <c r="A298" t="s">
        <v>2402</v>
      </c>
      <c r="B298" s="6">
        <v>2009</v>
      </c>
      <c r="C298" s="7">
        <v>1</v>
      </c>
      <c r="D298" s="6" t="s">
        <v>71</v>
      </c>
      <c r="E298" s="7">
        <v>1</v>
      </c>
      <c r="F298" s="14" t="s">
        <v>2401</v>
      </c>
      <c r="G298" t="s">
        <v>1802</v>
      </c>
      <c r="H298" s="4" t="s">
        <v>2318</v>
      </c>
      <c r="I298" t="s">
        <v>2400</v>
      </c>
      <c r="J298" s="3">
        <v>3</v>
      </c>
      <c r="L298" t="s">
        <v>1946</v>
      </c>
      <c r="M298" s="3">
        <v>1</v>
      </c>
      <c r="N298" s="10" t="s">
        <v>192</v>
      </c>
      <c r="O298" s="11">
        <v>1</v>
      </c>
      <c r="P298" s="11">
        <v>1</v>
      </c>
      <c r="Q298" s="10" t="s">
        <v>118</v>
      </c>
      <c r="R298" s="6" t="s">
        <v>193</v>
      </c>
      <c r="S298" s="6" t="s">
        <v>194</v>
      </c>
      <c r="T298" s="10" t="s">
        <v>195</v>
      </c>
      <c r="U298" s="6" t="s">
        <v>158</v>
      </c>
      <c r="V298" s="6" t="s">
        <v>77</v>
      </c>
      <c r="W298" s="7">
        <v>1</v>
      </c>
      <c r="X298" s="7">
        <v>3</v>
      </c>
      <c r="Y298" s="7">
        <v>1</v>
      </c>
      <c r="Z298" s="7">
        <v>5</v>
      </c>
      <c r="AA298" s="12" t="s">
        <v>74</v>
      </c>
      <c r="AB298" s="7">
        <v>2</v>
      </c>
      <c r="AC298" s="6" t="s">
        <v>72</v>
      </c>
      <c r="AD298">
        <v>90</v>
      </c>
      <c r="AE298" t="s">
        <v>73</v>
      </c>
      <c r="AF298" s="6" t="s">
        <v>1001</v>
      </c>
    </row>
    <row r="299" spans="1:32" ht="115.2" x14ac:dyDescent="0.3">
      <c r="A299" t="s">
        <v>2472</v>
      </c>
      <c r="B299" s="6">
        <v>2024</v>
      </c>
      <c r="C299" s="7">
        <v>16</v>
      </c>
      <c r="D299" s="6" t="s">
        <v>71</v>
      </c>
      <c r="E299" s="7">
        <v>1</v>
      </c>
      <c r="F299" s="14" t="s">
        <v>2471</v>
      </c>
      <c r="G299" t="s">
        <v>1129</v>
      </c>
      <c r="H299" s="4" t="s">
        <v>2446</v>
      </c>
      <c r="I299" t="s">
        <v>48</v>
      </c>
      <c r="J299" s="3">
        <v>8</v>
      </c>
      <c r="L299" s="4" t="s">
        <v>2463</v>
      </c>
      <c r="M299" s="3">
        <v>12</v>
      </c>
      <c r="N299" s="10" t="s">
        <v>2464</v>
      </c>
      <c r="O299" s="3">
        <v>3</v>
      </c>
      <c r="P299" s="3">
        <v>3</v>
      </c>
      <c r="Q299" s="10" t="s">
        <v>2465</v>
      </c>
      <c r="R299" s="10" t="s">
        <v>2466</v>
      </c>
      <c r="S299" s="10" t="s">
        <v>2467</v>
      </c>
      <c r="T299" s="4" t="s">
        <v>2468</v>
      </c>
      <c r="U299" s="6" t="s">
        <v>158</v>
      </c>
      <c r="V299" s="6" t="s">
        <v>77</v>
      </c>
      <c r="W299" s="7">
        <v>1</v>
      </c>
      <c r="X299" s="7">
        <v>3</v>
      </c>
      <c r="Y299" s="7">
        <v>1</v>
      </c>
      <c r="Z299" s="7">
        <v>5</v>
      </c>
      <c r="AA299" s="12" t="s">
        <v>74</v>
      </c>
      <c r="AB299" s="7">
        <v>2</v>
      </c>
      <c r="AC299" s="6" t="s">
        <v>72</v>
      </c>
      <c r="AD299" s="4" t="s">
        <v>2470</v>
      </c>
      <c r="AE299" s="4" t="s">
        <v>1906</v>
      </c>
    </row>
    <row r="300" spans="1:32" ht="57.6" x14ac:dyDescent="0.3">
      <c r="A300" t="s">
        <v>2476</v>
      </c>
      <c r="B300" s="6">
        <v>2024</v>
      </c>
      <c r="C300" s="7">
        <v>16</v>
      </c>
      <c r="D300" s="6" t="s">
        <v>71</v>
      </c>
      <c r="E300" s="7">
        <v>1</v>
      </c>
      <c r="F300" s="14" t="s">
        <v>2475</v>
      </c>
      <c r="G300" t="s">
        <v>1129</v>
      </c>
      <c r="H300" s="4" t="s">
        <v>2447</v>
      </c>
      <c r="I300" s="4" t="s">
        <v>2474</v>
      </c>
      <c r="J300" s="3">
        <v>3</v>
      </c>
      <c r="L300" s="4" t="s">
        <v>2473</v>
      </c>
      <c r="M300" s="3">
        <v>11</v>
      </c>
      <c r="N300" s="10" t="s">
        <v>192</v>
      </c>
      <c r="O300" s="11">
        <v>1</v>
      </c>
      <c r="P300" s="11">
        <v>2</v>
      </c>
      <c r="Q300" s="10" t="s">
        <v>118</v>
      </c>
      <c r="R300" s="6" t="s">
        <v>193</v>
      </c>
      <c r="S300" s="6" t="s">
        <v>194</v>
      </c>
      <c r="T300" s="10" t="s">
        <v>195</v>
      </c>
      <c r="U300" s="6" t="s">
        <v>158</v>
      </c>
      <c r="V300" s="6" t="s">
        <v>77</v>
      </c>
      <c r="W300" s="7">
        <v>1</v>
      </c>
      <c r="X300" s="7">
        <v>3</v>
      </c>
      <c r="Y300" s="7">
        <v>1</v>
      </c>
      <c r="Z300" s="7">
        <v>5</v>
      </c>
      <c r="AA300" s="12" t="s">
        <v>74</v>
      </c>
      <c r="AB300" s="7">
        <v>2</v>
      </c>
      <c r="AC300" s="6" t="s">
        <v>72</v>
      </c>
      <c r="AD300">
        <v>90</v>
      </c>
      <c r="AE300" t="s">
        <v>73</v>
      </c>
    </row>
    <row r="301" spans="1:32" ht="57.6" x14ac:dyDescent="0.3">
      <c r="A301" t="s">
        <v>2480</v>
      </c>
      <c r="B301" s="6">
        <v>2024</v>
      </c>
      <c r="C301" s="7">
        <v>16</v>
      </c>
      <c r="D301" s="6" t="s">
        <v>71</v>
      </c>
      <c r="E301" s="7">
        <v>1</v>
      </c>
      <c r="F301" s="14" t="s">
        <v>2479</v>
      </c>
      <c r="G301" t="s">
        <v>405</v>
      </c>
      <c r="H301" s="4" t="s">
        <v>2448</v>
      </c>
      <c r="I301" s="4" t="s">
        <v>1766</v>
      </c>
      <c r="J301" s="3">
        <v>3</v>
      </c>
      <c r="K301" t="s">
        <v>2478</v>
      </c>
      <c r="L301" s="4" t="s">
        <v>2477</v>
      </c>
      <c r="M301" s="3">
        <v>4</v>
      </c>
      <c r="N301" s="8" t="s">
        <v>75</v>
      </c>
      <c r="O301" s="3">
        <v>100</v>
      </c>
      <c r="P301" s="3">
        <v>100</v>
      </c>
      <c r="Q301" s="12" t="s">
        <v>75</v>
      </c>
      <c r="R301" s="12" t="s">
        <v>75</v>
      </c>
      <c r="S301" s="13" t="s">
        <v>75</v>
      </c>
      <c r="T301" s="13" t="s">
        <v>75</v>
      </c>
      <c r="U301" s="13" t="s">
        <v>75</v>
      </c>
      <c r="V301" s="13" t="s">
        <v>75</v>
      </c>
      <c r="W301" s="3">
        <v>3</v>
      </c>
      <c r="X301" s="3">
        <v>3</v>
      </c>
      <c r="Y301" s="3">
        <v>17</v>
      </c>
      <c r="Z301" s="3">
        <v>4</v>
      </c>
      <c r="AA301" s="13" t="s">
        <v>74</v>
      </c>
      <c r="AB301" s="11">
        <v>2</v>
      </c>
      <c r="AC301" s="12" t="s">
        <v>75</v>
      </c>
      <c r="AD301" s="12" t="s">
        <v>75</v>
      </c>
      <c r="AE301" s="12" t="s">
        <v>75</v>
      </c>
      <c r="AF301" s="6"/>
    </row>
    <row r="302" spans="1:32" ht="57.6" x14ac:dyDescent="0.3">
      <c r="A302" t="s">
        <v>2484</v>
      </c>
      <c r="B302" s="6">
        <v>2024</v>
      </c>
      <c r="C302" s="7">
        <v>16</v>
      </c>
      <c r="D302" s="6" t="s">
        <v>71</v>
      </c>
      <c r="E302" s="7">
        <v>1</v>
      </c>
      <c r="F302" s="14" t="s">
        <v>2483</v>
      </c>
      <c r="G302" t="s">
        <v>147</v>
      </c>
      <c r="H302" s="4" t="s">
        <v>2449</v>
      </c>
      <c r="I302" s="4" t="s">
        <v>2481</v>
      </c>
      <c r="J302" s="3">
        <v>7</v>
      </c>
      <c r="K302" t="s">
        <v>1064</v>
      </c>
      <c r="L302" s="4" t="s">
        <v>1542</v>
      </c>
      <c r="M302" s="3">
        <v>4</v>
      </c>
      <c r="N302" s="8" t="s">
        <v>75</v>
      </c>
      <c r="O302" s="3">
        <v>100</v>
      </c>
      <c r="P302" s="3">
        <v>100</v>
      </c>
      <c r="Q302" s="12" t="s">
        <v>75</v>
      </c>
      <c r="R302" s="12" t="s">
        <v>75</v>
      </c>
      <c r="S302" s="13" t="s">
        <v>75</v>
      </c>
      <c r="T302" s="13" t="s">
        <v>75</v>
      </c>
      <c r="U302" s="13" t="s">
        <v>75</v>
      </c>
      <c r="V302" s="13" t="s">
        <v>75</v>
      </c>
      <c r="W302" s="3">
        <v>3</v>
      </c>
      <c r="X302" s="3">
        <v>3</v>
      </c>
      <c r="Y302" s="3">
        <v>17</v>
      </c>
      <c r="Z302" s="3">
        <v>4</v>
      </c>
      <c r="AA302" s="13" t="s">
        <v>74</v>
      </c>
      <c r="AB302" s="11">
        <v>2</v>
      </c>
      <c r="AC302" s="12" t="s">
        <v>75</v>
      </c>
      <c r="AD302" s="12" t="s">
        <v>75</v>
      </c>
      <c r="AE302" s="12" t="s">
        <v>75</v>
      </c>
      <c r="AF302" s="6" t="s">
        <v>2482</v>
      </c>
    </row>
    <row r="303" spans="1:32" ht="57.6" x14ac:dyDescent="0.3">
      <c r="A303" t="s">
        <v>2490</v>
      </c>
      <c r="B303" s="6">
        <v>2024</v>
      </c>
      <c r="C303" s="7">
        <v>16</v>
      </c>
      <c r="D303" s="6" t="s">
        <v>71</v>
      </c>
      <c r="E303" s="7">
        <v>1</v>
      </c>
      <c r="F303" s="14" t="s">
        <v>2489</v>
      </c>
      <c r="G303" t="s">
        <v>147</v>
      </c>
      <c r="H303" s="4" t="s">
        <v>2450</v>
      </c>
      <c r="I303" s="4" t="s">
        <v>2486</v>
      </c>
      <c r="J303" s="3">
        <v>3</v>
      </c>
      <c r="K303" t="s">
        <v>2487</v>
      </c>
      <c r="L303" s="4" t="s">
        <v>2488</v>
      </c>
      <c r="M303" s="3">
        <v>15</v>
      </c>
      <c r="N303" s="10" t="s">
        <v>192</v>
      </c>
      <c r="O303" s="3">
        <v>1</v>
      </c>
      <c r="P303" s="11">
        <v>2</v>
      </c>
      <c r="Q303" s="10" t="s">
        <v>118</v>
      </c>
      <c r="R303" s="6" t="s">
        <v>193</v>
      </c>
      <c r="S303" s="6" t="s">
        <v>194</v>
      </c>
      <c r="T303" s="10" t="s">
        <v>195</v>
      </c>
      <c r="U303" s="12" t="s">
        <v>116</v>
      </c>
      <c r="V303" s="10" t="s">
        <v>186</v>
      </c>
      <c r="W303" s="7">
        <v>3</v>
      </c>
      <c r="X303" s="7">
        <v>3</v>
      </c>
      <c r="Y303" s="7">
        <v>17</v>
      </c>
      <c r="Z303" s="7">
        <v>4</v>
      </c>
      <c r="AA303" s="13" t="s">
        <v>74</v>
      </c>
      <c r="AB303" s="11">
        <v>2</v>
      </c>
      <c r="AC303" s="10" t="s">
        <v>2485</v>
      </c>
      <c r="AD303" t="s">
        <v>2309</v>
      </c>
      <c r="AE303" t="s">
        <v>73</v>
      </c>
    </row>
    <row r="304" spans="1:32" ht="72" x14ac:dyDescent="0.3">
      <c r="A304" t="s">
        <v>2495</v>
      </c>
      <c r="B304" s="6">
        <v>2024</v>
      </c>
      <c r="C304" s="7">
        <v>16</v>
      </c>
      <c r="D304" s="6" t="s">
        <v>71</v>
      </c>
      <c r="E304" s="7">
        <v>1</v>
      </c>
      <c r="F304" s="14" t="s">
        <v>2494</v>
      </c>
      <c r="G304" t="s">
        <v>147</v>
      </c>
      <c r="H304" s="4" t="s">
        <v>2451</v>
      </c>
      <c r="I304" s="4" t="s">
        <v>2491</v>
      </c>
      <c r="J304" s="3">
        <v>3</v>
      </c>
      <c r="K304" t="s">
        <v>2493</v>
      </c>
      <c r="L304" s="4" t="s">
        <v>2492</v>
      </c>
      <c r="M304" s="3">
        <v>15</v>
      </c>
      <c r="N304" s="10" t="s">
        <v>343</v>
      </c>
      <c r="O304" s="3">
        <v>1</v>
      </c>
      <c r="P304" s="3">
        <v>2</v>
      </c>
      <c r="Q304" s="10" t="s">
        <v>118</v>
      </c>
      <c r="R304" s="10" t="s">
        <v>344</v>
      </c>
      <c r="S304" s="6" t="s">
        <v>345</v>
      </c>
      <c r="T304" s="10" t="s">
        <v>346</v>
      </c>
      <c r="U304" s="6" t="s">
        <v>158</v>
      </c>
      <c r="V304" s="6" t="s">
        <v>77</v>
      </c>
      <c r="W304" s="7">
        <v>1</v>
      </c>
      <c r="X304" s="7">
        <v>3</v>
      </c>
      <c r="Y304" s="7">
        <v>1</v>
      </c>
      <c r="Z304" s="7">
        <v>5</v>
      </c>
      <c r="AA304" s="13" t="s">
        <v>74</v>
      </c>
      <c r="AB304" s="11">
        <v>2</v>
      </c>
      <c r="AC304" t="s">
        <v>72</v>
      </c>
      <c r="AD304">
        <v>30</v>
      </c>
      <c r="AE304" t="s">
        <v>73</v>
      </c>
    </row>
    <row r="305" spans="1:32" ht="72" x14ac:dyDescent="0.3">
      <c r="A305" t="s">
        <v>2515</v>
      </c>
      <c r="B305" s="6">
        <v>2024</v>
      </c>
      <c r="C305" s="7">
        <v>16</v>
      </c>
      <c r="D305" s="6" t="s">
        <v>71</v>
      </c>
      <c r="E305" s="7">
        <v>1</v>
      </c>
      <c r="F305" s="14" t="s">
        <v>2514</v>
      </c>
      <c r="G305" t="s">
        <v>405</v>
      </c>
      <c r="H305" s="4" t="s">
        <v>2452</v>
      </c>
      <c r="I305" s="4" t="s">
        <v>48</v>
      </c>
      <c r="J305" s="3">
        <v>8</v>
      </c>
      <c r="L305" s="4" t="s">
        <v>2508</v>
      </c>
      <c r="M305" s="3">
        <v>9</v>
      </c>
      <c r="N305" s="4" t="s">
        <v>2509</v>
      </c>
      <c r="O305" s="3">
        <v>2</v>
      </c>
      <c r="P305" s="3">
        <v>5</v>
      </c>
      <c r="Q305" s="10" t="s">
        <v>2510</v>
      </c>
      <c r="R305" s="10" t="s">
        <v>91</v>
      </c>
      <c r="S305" s="10" t="s">
        <v>2511</v>
      </c>
      <c r="T305" s="10" t="s">
        <v>2512</v>
      </c>
      <c r="U305" s="6" t="s">
        <v>158</v>
      </c>
      <c r="V305" s="6" t="s">
        <v>77</v>
      </c>
      <c r="W305" s="7">
        <v>1</v>
      </c>
      <c r="X305" s="7">
        <v>3</v>
      </c>
      <c r="Y305" s="7">
        <v>1</v>
      </c>
      <c r="Z305" s="7">
        <v>5</v>
      </c>
      <c r="AA305" s="13" t="s">
        <v>74</v>
      </c>
      <c r="AB305" s="11">
        <v>2</v>
      </c>
      <c r="AC305" t="s">
        <v>72</v>
      </c>
      <c r="AD305" t="s">
        <v>2513</v>
      </c>
      <c r="AE305" t="s">
        <v>1567</v>
      </c>
      <c r="AF305" t="s">
        <v>1773</v>
      </c>
    </row>
    <row r="306" spans="1:32" ht="72" x14ac:dyDescent="0.3">
      <c r="A306" t="s">
        <v>2521</v>
      </c>
      <c r="B306" s="6">
        <v>2024</v>
      </c>
      <c r="C306" s="7">
        <v>16</v>
      </c>
      <c r="D306" s="6" t="s">
        <v>71</v>
      </c>
      <c r="E306" s="7">
        <v>1</v>
      </c>
      <c r="F306" s="14" t="s">
        <v>2520</v>
      </c>
      <c r="G306" t="s">
        <v>2519</v>
      </c>
      <c r="H306" s="4" t="s">
        <v>2453</v>
      </c>
      <c r="I306" s="4" t="s">
        <v>2517</v>
      </c>
      <c r="J306" s="3">
        <v>1</v>
      </c>
      <c r="K306" t="s">
        <v>975</v>
      </c>
      <c r="L306" s="4" t="s">
        <v>2516</v>
      </c>
      <c r="M306" s="3">
        <v>4</v>
      </c>
      <c r="N306" t="s">
        <v>2454</v>
      </c>
      <c r="O306" s="3">
        <v>1</v>
      </c>
      <c r="P306" s="11">
        <v>2</v>
      </c>
      <c r="Q306" s="10" t="s">
        <v>118</v>
      </c>
      <c r="R306" s="6" t="s">
        <v>193</v>
      </c>
      <c r="S306" s="6" t="s">
        <v>194</v>
      </c>
      <c r="T306" s="10" t="s">
        <v>195</v>
      </c>
      <c r="U306" s="12" t="s">
        <v>347</v>
      </c>
      <c r="V306" s="12" t="s">
        <v>506</v>
      </c>
      <c r="W306" s="7">
        <v>3</v>
      </c>
      <c r="X306" s="7">
        <v>3</v>
      </c>
      <c r="Y306" s="7">
        <v>17</v>
      </c>
      <c r="Z306" s="7">
        <v>4</v>
      </c>
      <c r="AA306" s="12" t="s">
        <v>74</v>
      </c>
      <c r="AB306" s="11">
        <v>2</v>
      </c>
      <c r="AC306" s="10" t="s">
        <v>672</v>
      </c>
      <c r="AD306" s="10">
        <v>10</v>
      </c>
      <c r="AE306" t="s">
        <v>73</v>
      </c>
      <c r="AF306" t="s">
        <v>2518</v>
      </c>
    </row>
    <row r="307" spans="1:32" ht="57.6" x14ac:dyDescent="0.3">
      <c r="A307" t="s">
        <v>2507</v>
      </c>
      <c r="B307" s="6">
        <v>2024</v>
      </c>
      <c r="C307" s="7">
        <v>16</v>
      </c>
      <c r="D307" s="6" t="s">
        <v>71</v>
      </c>
      <c r="E307" s="7">
        <v>1</v>
      </c>
      <c r="F307" s="14" t="s">
        <v>2506</v>
      </c>
      <c r="G307" t="s">
        <v>704</v>
      </c>
      <c r="H307" s="4" t="s">
        <v>2457</v>
      </c>
      <c r="I307" s="4" t="s">
        <v>2504</v>
      </c>
      <c r="J307" s="3">
        <v>5</v>
      </c>
      <c r="K307" t="s">
        <v>2505</v>
      </c>
      <c r="L307" s="4" t="s">
        <v>2503</v>
      </c>
      <c r="M307" s="3">
        <v>15</v>
      </c>
      <c r="N307" s="8" t="s">
        <v>75</v>
      </c>
      <c r="O307" s="3">
        <v>100</v>
      </c>
      <c r="P307" s="3">
        <v>100</v>
      </c>
      <c r="Q307" s="12" t="s">
        <v>75</v>
      </c>
      <c r="R307" s="12" t="s">
        <v>75</v>
      </c>
      <c r="S307" s="13" t="s">
        <v>75</v>
      </c>
      <c r="T307" s="13" t="s">
        <v>75</v>
      </c>
      <c r="U307" s="13" t="s">
        <v>75</v>
      </c>
      <c r="V307" s="13" t="s">
        <v>75</v>
      </c>
      <c r="W307" s="3">
        <v>3</v>
      </c>
      <c r="X307" s="3">
        <v>3</v>
      </c>
      <c r="Y307" s="3">
        <v>17</v>
      </c>
      <c r="Z307" s="3">
        <v>4</v>
      </c>
      <c r="AA307" s="13" t="s">
        <v>74</v>
      </c>
      <c r="AB307" s="11">
        <v>2</v>
      </c>
      <c r="AC307" s="12" t="s">
        <v>75</v>
      </c>
      <c r="AD307" s="12" t="s">
        <v>75</v>
      </c>
      <c r="AE307" s="12" t="s">
        <v>75</v>
      </c>
    </row>
    <row r="308" spans="1:32" ht="115.2" x14ac:dyDescent="0.3">
      <c r="A308" t="s">
        <v>2527</v>
      </c>
      <c r="B308" s="6">
        <v>2024</v>
      </c>
      <c r="C308" s="7">
        <v>16</v>
      </c>
      <c r="D308" s="6" t="s">
        <v>71</v>
      </c>
      <c r="E308" s="7">
        <v>1</v>
      </c>
      <c r="F308" s="14" t="s">
        <v>2526</v>
      </c>
      <c r="G308" t="s">
        <v>318</v>
      </c>
      <c r="H308" s="4" t="s">
        <v>2455</v>
      </c>
      <c r="I308" s="4" t="s">
        <v>1301</v>
      </c>
      <c r="J308" s="3">
        <v>3</v>
      </c>
      <c r="K308" t="s">
        <v>2525</v>
      </c>
      <c r="L308" s="4" t="s">
        <v>2522</v>
      </c>
      <c r="M308" s="3">
        <v>15</v>
      </c>
      <c r="N308" s="4" t="s">
        <v>2456</v>
      </c>
      <c r="O308" s="3">
        <v>100</v>
      </c>
      <c r="P308" s="3">
        <v>100</v>
      </c>
      <c r="Q308" s="12" t="s">
        <v>75</v>
      </c>
      <c r="R308" s="12" t="s">
        <v>75</v>
      </c>
      <c r="S308" s="13" t="s">
        <v>75</v>
      </c>
      <c r="T308" s="13" t="s">
        <v>75</v>
      </c>
      <c r="U308" s="13" t="s">
        <v>75</v>
      </c>
      <c r="V308" s="13" t="s">
        <v>75</v>
      </c>
      <c r="W308" s="3">
        <v>3</v>
      </c>
      <c r="X308" s="3">
        <v>3</v>
      </c>
      <c r="Y308" s="3">
        <v>17</v>
      </c>
      <c r="Z308" s="3">
        <v>4</v>
      </c>
      <c r="AA308" s="13" t="s">
        <v>74</v>
      </c>
      <c r="AB308" s="11">
        <v>2</v>
      </c>
      <c r="AC308" t="s">
        <v>72</v>
      </c>
      <c r="AD308">
        <v>611.5</v>
      </c>
      <c r="AE308" t="s">
        <v>73</v>
      </c>
      <c r="AF308" t="s">
        <v>2523</v>
      </c>
    </row>
    <row r="309" spans="1:32" ht="115.2" x14ac:dyDescent="0.3">
      <c r="A309" t="s">
        <v>2534</v>
      </c>
      <c r="B309" s="6">
        <v>2024</v>
      </c>
      <c r="C309" s="7">
        <v>16</v>
      </c>
      <c r="D309" s="6" t="s">
        <v>71</v>
      </c>
      <c r="E309" s="7">
        <v>1</v>
      </c>
      <c r="F309" s="14" t="s">
        <v>2533</v>
      </c>
      <c r="G309" t="s">
        <v>318</v>
      </c>
      <c r="H309" s="4" t="s">
        <v>2458</v>
      </c>
      <c r="I309" s="4" t="s">
        <v>2530</v>
      </c>
      <c r="J309" s="3">
        <v>3</v>
      </c>
      <c r="K309" t="s">
        <v>2529</v>
      </c>
      <c r="L309" s="4" t="s">
        <v>2528</v>
      </c>
      <c r="M309" s="3">
        <v>4</v>
      </c>
      <c r="N309" t="s">
        <v>192</v>
      </c>
      <c r="O309" s="11">
        <v>1</v>
      </c>
      <c r="P309" s="11">
        <v>2</v>
      </c>
      <c r="Q309" s="10" t="s">
        <v>118</v>
      </c>
      <c r="R309" s="6" t="s">
        <v>193</v>
      </c>
      <c r="S309" s="6" t="s">
        <v>194</v>
      </c>
      <c r="T309" s="10" t="s">
        <v>195</v>
      </c>
      <c r="U309" s="6" t="s">
        <v>158</v>
      </c>
      <c r="V309" s="6" t="s">
        <v>77</v>
      </c>
      <c r="W309" s="7">
        <v>1</v>
      </c>
      <c r="X309" s="7">
        <v>3</v>
      </c>
      <c r="Y309" s="7">
        <v>1</v>
      </c>
      <c r="Z309" s="7">
        <v>5</v>
      </c>
      <c r="AA309" s="13" t="s">
        <v>74</v>
      </c>
      <c r="AB309" s="11">
        <v>2</v>
      </c>
      <c r="AC309" t="s">
        <v>72</v>
      </c>
      <c r="AD309" t="s">
        <v>2531</v>
      </c>
      <c r="AE309" t="s">
        <v>73</v>
      </c>
      <c r="AF309" t="s">
        <v>2532</v>
      </c>
    </row>
    <row r="310" spans="1:32" ht="57.6" x14ac:dyDescent="0.3">
      <c r="A310" t="s">
        <v>2539</v>
      </c>
      <c r="B310" s="6">
        <v>2024</v>
      </c>
      <c r="C310" s="7">
        <v>16</v>
      </c>
      <c r="D310" s="6" t="s">
        <v>71</v>
      </c>
      <c r="E310" s="7">
        <v>1</v>
      </c>
      <c r="F310" s="14" t="s">
        <v>2538</v>
      </c>
      <c r="G310" t="s">
        <v>318</v>
      </c>
      <c r="H310" s="4" t="s">
        <v>2459</v>
      </c>
      <c r="I310" s="4" t="s">
        <v>2537</v>
      </c>
      <c r="J310" s="3">
        <v>5</v>
      </c>
      <c r="L310" s="4" t="s">
        <v>2535</v>
      </c>
      <c r="M310" s="3">
        <v>8</v>
      </c>
      <c r="N310" t="s">
        <v>415</v>
      </c>
      <c r="O310" s="11">
        <v>1</v>
      </c>
      <c r="P310" s="11">
        <v>2</v>
      </c>
      <c r="Q310" s="10" t="s">
        <v>416</v>
      </c>
      <c r="R310" s="10" t="s">
        <v>193</v>
      </c>
      <c r="S310" s="10" t="s">
        <v>194</v>
      </c>
      <c r="T310" s="10" t="s">
        <v>417</v>
      </c>
      <c r="U310" s="10" t="s">
        <v>76</v>
      </c>
      <c r="V310" s="10" t="s">
        <v>409</v>
      </c>
      <c r="W310" s="11">
        <v>2</v>
      </c>
      <c r="X310" s="11">
        <v>2</v>
      </c>
      <c r="Y310" s="11">
        <v>4</v>
      </c>
      <c r="Z310" s="11">
        <v>2</v>
      </c>
      <c r="AA310" s="13" t="s">
        <v>74</v>
      </c>
      <c r="AB310" s="7">
        <v>2</v>
      </c>
      <c r="AC310" s="12" t="s">
        <v>75</v>
      </c>
      <c r="AD310" s="10">
        <v>1000</v>
      </c>
      <c r="AE310" s="10" t="s">
        <v>73</v>
      </c>
      <c r="AF310" s="6" t="s">
        <v>2536</v>
      </c>
    </row>
    <row r="311" spans="1:32" ht="86.4" x14ac:dyDescent="0.3">
      <c r="A311" t="s">
        <v>2502</v>
      </c>
      <c r="B311" s="6">
        <v>2024</v>
      </c>
      <c r="C311" s="7">
        <v>16</v>
      </c>
      <c r="D311" s="6" t="s">
        <v>71</v>
      </c>
      <c r="E311" s="7">
        <v>1</v>
      </c>
      <c r="F311" s="14" t="s">
        <v>2501</v>
      </c>
      <c r="G311" t="s">
        <v>2500</v>
      </c>
      <c r="H311" s="4" t="s">
        <v>2460</v>
      </c>
      <c r="I311" t="s">
        <v>48</v>
      </c>
      <c r="J311" s="3">
        <v>8</v>
      </c>
      <c r="L311" s="4" t="s">
        <v>2496</v>
      </c>
      <c r="M311" s="3">
        <v>8</v>
      </c>
      <c r="N311" s="10" t="s">
        <v>2461</v>
      </c>
      <c r="O311" s="7">
        <v>1</v>
      </c>
      <c r="P311" s="7">
        <v>1</v>
      </c>
      <c r="Q311" s="6" t="s">
        <v>307</v>
      </c>
      <c r="R311" s="6" t="s">
        <v>193</v>
      </c>
      <c r="S311" s="10" t="s">
        <v>2498</v>
      </c>
      <c r="T311" s="10" t="s">
        <v>2497</v>
      </c>
      <c r="U311" t="s">
        <v>158</v>
      </c>
      <c r="V311" t="s">
        <v>77</v>
      </c>
      <c r="W311" s="7">
        <v>1</v>
      </c>
      <c r="X311" s="7">
        <v>3</v>
      </c>
      <c r="Y311" s="7">
        <v>1</v>
      </c>
      <c r="Z311" s="7">
        <v>5</v>
      </c>
      <c r="AA311" s="13" t="s">
        <v>74</v>
      </c>
      <c r="AB311" s="11">
        <v>2</v>
      </c>
      <c r="AC311" t="s">
        <v>72</v>
      </c>
      <c r="AD311" s="10" t="s">
        <v>2383</v>
      </c>
      <c r="AE311" s="10" t="s">
        <v>2499</v>
      </c>
    </row>
    <row r="312" spans="1:32" ht="72" x14ac:dyDescent="0.3">
      <c r="A312" t="s">
        <v>2543</v>
      </c>
      <c r="B312" s="6">
        <v>2024</v>
      </c>
      <c r="C312" s="7">
        <v>16</v>
      </c>
      <c r="D312" s="6" t="s">
        <v>71</v>
      </c>
      <c r="E312" s="7">
        <v>1</v>
      </c>
      <c r="F312" s="14" t="s">
        <v>2542</v>
      </c>
      <c r="G312" t="s">
        <v>264</v>
      </c>
      <c r="H312" s="4" t="s">
        <v>2462</v>
      </c>
      <c r="I312" s="4" t="s">
        <v>2540</v>
      </c>
      <c r="J312" s="3">
        <v>3</v>
      </c>
      <c r="K312" t="s">
        <v>109</v>
      </c>
      <c r="L312" s="4" t="s">
        <v>2541</v>
      </c>
      <c r="M312" s="3">
        <v>15</v>
      </c>
      <c r="N312" t="s">
        <v>111</v>
      </c>
      <c r="O312" s="3">
        <v>1</v>
      </c>
      <c r="P312" s="3">
        <v>1</v>
      </c>
      <c r="Q312" t="s">
        <v>118</v>
      </c>
      <c r="R312" s="10" t="s">
        <v>119</v>
      </c>
      <c r="S312" s="10">
        <v>2018</v>
      </c>
      <c r="T312" s="10" t="s">
        <v>120</v>
      </c>
      <c r="U312" s="10" t="s">
        <v>158</v>
      </c>
      <c r="V312" s="10" t="s">
        <v>78</v>
      </c>
      <c r="W312" s="11">
        <v>1</v>
      </c>
      <c r="X312" s="11">
        <v>3</v>
      </c>
      <c r="Y312" s="11">
        <v>2</v>
      </c>
      <c r="Z312" s="11">
        <v>5</v>
      </c>
      <c r="AA312" s="12" t="s">
        <v>74</v>
      </c>
      <c r="AB312" s="7">
        <v>2</v>
      </c>
      <c r="AC312" s="12" t="s">
        <v>75</v>
      </c>
      <c r="AD312">
        <v>8</v>
      </c>
      <c r="AE312" s="12" t="s">
        <v>75</v>
      </c>
      <c r="AF312" t="s">
        <v>1773</v>
      </c>
    </row>
    <row r="313" spans="1:32" ht="57.6" x14ac:dyDescent="0.3">
      <c r="A313" t="s">
        <v>2564</v>
      </c>
      <c r="B313" s="6">
        <v>2024</v>
      </c>
      <c r="C313" s="7">
        <v>16</v>
      </c>
      <c r="D313" s="6" t="s">
        <v>71</v>
      </c>
      <c r="E313" s="7">
        <v>1</v>
      </c>
      <c r="F313" s="14" t="s">
        <v>2563</v>
      </c>
      <c r="G313" t="s">
        <v>964</v>
      </c>
      <c r="H313" s="4" t="s">
        <v>2544</v>
      </c>
      <c r="I313" s="4" t="s">
        <v>2562</v>
      </c>
      <c r="J313" s="3">
        <v>3</v>
      </c>
      <c r="K313" t="s">
        <v>1774</v>
      </c>
      <c r="L313" s="4" t="s">
        <v>2561</v>
      </c>
      <c r="M313" s="3">
        <v>2</v>
      </c>
      <c r="N313" s="10" t="s">
        <v>192</v>
      </c>
      <c r="O313" s="3">
        <v>1</v>
      </c>
      <c r="P313" s="11">
        <v>2</v>
      </c>
      <c r="Q313" s="10" t="s">
        <v>118</v>
      </c>
      <c r="R313" s="6" t="s">
        <v>193</v>
      </c>
      <c r="S313" s="6" t="s">
        <v>194</v>
      </c>
      <c r="T313" s="10" t="s">
        <v>195</v>
      </c>
      <c r="U313" t="s">
        <v>158</v>
      </c>
      <c r="V313" t="s">
        <v>77</v>
      </c>
      <c r="W313" s="7">
        <v>1</v>
      </c>
      <c r="X313" s="7">
        <v>3</v>
      </c>
      <c r="Y313" s="7">
        <v>1</v>
      </c>
      <c r="Z313" s="7">
        <v>5</v>
      </c>
      <c r="AA313" s="13" t="s">
        <v>74</v>
      </c>
      <c r="AB313" s="11">
        <v>2</v>
      </c>
      <c r="AC313" t="s">
        <v>72</v>
      </c>
      <c r="AD313">
        <v>30</v>
      </c>
      <c r="AE313" t="s">
        <v>73</v>
      </c>
    </row>
    <row r="314" spans="1:32" ht="115.2" x14ac:dyDescent="0.3">
      <c r="A314" t="s">
        <v>2566</v>
      </c>
      <c r="B314" s="6">
        <v>2023</v>
      </c>
      <c r="C314" s="7">
        <v>15</v>
      </c>
      <c r="D314" s="6" t="s">
        <v>71</v>
      </c>
      <c r="E314" s="7">
        <v>1</v>
      </c>
      <c r="F314" s="14" t="s">
        <v>2565</v>
      </c>
      <c r="G314" t="s">
        <v>1015</v>
      </c>
      <c r="H314" s="4" t="s">
        <v>2545</v>
      </c>
      <c r="I314" s="4" t="s">
        <v>2567</v>
      </c>
      <c r="J314" s="3">
        <v>3</v>
      </c>
      <c r="K314" t="s">
        <v>365</v>
      </c>
      <c r="L314" s="4" t="s">
        <v>181</v>
      </c>
      <c r="M314" s="3">
        <v>3</v>
      </c>
      <c r="N314" s="10" t="s">
        <v>111</v>
      </c>
      <c r="O314" s="3">
        <v>1</v>
      </c>
      <c r="P314" s="3">
        <v>100</v>
      </c>
      <c r="Q314" s="10" t="s">
        <v>118</v>
      </c>
      <c r="R314" s="10" t="s">
        <v>119</v>
      </c>
      <c r="S314" s="12" t="s">
        <v>75</v>
      </c>
      <c r="T314" s="10" t="s">
        <v>120</v>
      </c>
      <c r="U314" s="12" t="s">
        <v>116</v>
      </c>
      <c r="V314" s="10" t="s">
        <v>141</v>
      </c>
      <c r="W314" s="3">
        <v>3</v>
      </c>
      <c r="X314" s="3">
        <v>3</v>
      </c>
      <c r="Y314" s="3">
        <v>17</v>
      </c>
      <c r="Z314" s="3">
        <v>4</v>
      </c>
      <c r="AA314" s="13" t="s">
        <v>74</v>
      </c>
      <c r="AB314" s="11">
        <v>2</v>
      </c>
      <c r="AC314" s="12" t="s">
        <v>75</v>
      </c>
      <c r="AD314" s="4">
        <v>8.5</v>
      </c>
      <c r="AE314" s="12" t="s">
        <v>75</v>
      </c>
    </row>
    <row r="315" spans="1:32" ht="86.4" x14ac:dyDescent="0.3">
      <c r="A315" t="s">
        <v>2572</v>
      </c>
      <c r="B315" s="6">
        <v>2023</v>
      </c>
      <c r="C315" s="7">
        <v>15</v>
      </c>
      <c r="D315" s="6" t="s">
        <v>71</v>
      </c>
      <c r="E315" s="7">
        <v>1</v>
      </c>
      <c r="F315" s="14" t="s">
        <v>2571</v>
      </c>
      <c r="G315" t="s">
        <v>704</v>
      </c>
      <c r="H315" s="4" t="s">
        <v>2546</v>
      </c>
      <c r="I315" s="4" t="s">
        <v>2568</v>
      </c>
      <c r="J315" s="3">
        <v>3</v>
      </c>
      <c r="K315" t="s">
        <v>2570</v>
      </c>
      <c r="L315" s="4" t="s">
        <v>2569</v>
      </c>
      <c r="M315" s="3">
        <v>4</v>
      </c>
      <c r="N315" s="10" t="s">
        <v>192</v>
      </c>
      <c r="O315" s="3">
        <v>1</v>
      </c>
      <c r="P315" s="11">
        <v>2</v>
      </c>
      <c r="Q315" s="10" t="s">
        <v>118</v>
      </c>
      <c r="R315" s="6" t="s">
        <v>193</v>
      </c>
      <c r="S315" s="6" t="s">
        <v>194</v>
      </c>
      <c r="T315" s="10" t="s">
        <v>195</v>
      </c>
      <c r="U315" t="s">
        <v>158</v>
      </c>
      <c r="V315" t="s">
        <v>77</v>
      </c>
      <c r="W315" s="7">
        <v>1</v>
      </c>
      <c r="X315" s="7">
        <v>3</v>
      </c>
      <c r="Y315" s="7">
        <v>1</v>
      </c>
      <c r="Z315" s="7">
        <v>5</v>
      </c>
      <c r="AA315" s="13" t="s">
        <v>74</v>
      </c>
      <c r="AB315" s="11">
        <v>2</v>
      </c>
      <c r="AC315" t="s">
        <v>72</v>
      </c>
      <c r="AD315">
        <v>90</v>
      </c>
      <c r="AE315" t="s">
        <v>73</v>
      </c>
    </row>
    <row r="316" spans="1:32" ht="72" x14ac:dyDescent="0.3">
      <c r="A316" t="s">
        <v>2582</v>
      </c>
      <c r="B316" s="6">
        <v>2023</v>
      </c>
      <c r="C316" s="7">
        <v>15</v>
      </c>
      <c r="D316" s="6" t="s">
        <v>71</v>
      </c>
      <c r="E316" s="7">
        <v>1</v>
      </c>
      <c r="F316" s="14" t="s">
        <v>2581</v>
      </c>
      <c r="G316" t="s">
        <v>147</v>
      </c>
      <c r="H316" s="4" t="s">
        <v>2547</v>
      </c>
      <c r="I316" s="4" t="s">
        <v>1301</v>
      </c>
      <c r="J316" s="3">
        <v>3</v>
      </c>
      <c r="K316" t="s">
        <v>2575</v>
      </c>
      <c r="L316" s="4" t="s">
        <v>2573</v>
      </c>
      <c r="M316" s="3">
        <v>15</v>
      </c>
      <c r="N316" s="10" t="s">
        <v>2576</v>
      </c>
      <c r="O316" s="3">
        <v>1</v>
      </c>
      <c r="P316" s="3">
        <v>2</v>
      </c>
      <c r="Q316" s="10" t="s">
        <v>2155</v>
      </c>
      <c r="R316" s="10" t="s">
        <v>2578</v>
      </c>
      <c r="S316" s="10" t="s">
        <v>2579</v>
      </c>
      <c r="T316" s="10" t="s">
        <v>2580</v>
      </c>
      <c r="U316" s="12" t="s">
        <v>347</v>
      </c>
      <c r="V316" s="10" t="s">
        <v>186</v>
      </c>
      <c r="W316" s="3">
        <v>3</v>
      </c>
      <c r="X316" s="3">
        <v>3</v>
      </c>
      <c r="Y316" s="3">
        <v>17</v>
      </c>
      <c r="Z316" s="3">
        <v>4</v>
      </c>
      <c r="AA316" s="13" t="s">
        <v>74</v>
      </c>
      <c r="AB316" s="11">
        <v>2</v>
      </c>
      <c r="AC316" s="12" t="s">
        <v>75</v>
      </c>
      <c r="AD316" t="s">
        <v>2574</v>
      </c>
      <c r="AE316" t="s">
        <v>73</v>
      </c>
      <c r="AF316" t="s">
        <v>2577</v>
      </c>
    </row>
    <row r="317" spans="1:32" ht="86.4" x14ac:dyDescent="0.3">
      <c r="A317" t="s">
        <v>2587</v>
      </c>
      <c r="B317" s="6">
        <v>2023</v>
      </c>
      <c r="C317" s="7">
        <v>15</v>
      </c>
      <c r="D317" s="6" t="s">
        <v>71</v>
      </c>
      <c r="E317" s="7">
        <v>1</v>
      </c>
      <c r="F317" s="14" t="s">
        <v>2586</v>
      </c>
      <c r="G317" t="s">
        <v>2585</v>
      </c>
      <c r="H317" s="4" t="s">
        <v>2548</v>
      </c>
      <c r="I317" s="4" t="s">
        <v>2584</v>
      </c>
      <c r="J317" s="3">
        <v>3</v>
      </c>
      <c r="K317" t="s">
        <v>975</v>
      </c>
      <c r="L317" s="4" t="s">
        <v>2588</v>
      </c>
      <c r="M317" s="3">
        <v>15</v>
      </c>
      <c r="N317" s="8" t="s">
        <v>75</v>
      </c>
      <c r="O317" s="3">
        <v>100</v>
      </c>
      <c r="P317" s="3">
        <v>100</v>
      </c>
      <c r="Q317" s="12" t="s">
        <v>75</v>
      </c>
      <c r="R317" s="12" t="s">
        <v>75</v>
      </c>
      <c r="S317" s="13" t="s">
        <v>75</v>
      </c>
      <c r="T317" s="13" t="s">
        <v>75</v>
      </c>
      <c r="U317" s="13" t="s">
        <v>75</v>
      </c>
      <c r="V317" s="13" t="s">
        <v>75</v>
      </c>
      <c r="W317" s="3">
        <v>3</v>
      </c>
      <c r="X317" s="3">
        <v>3</v>
      </c>
      <c r="Y317" s="3">
        <v>17</v>
      </c>
      <c r="Z317" s="3">
        <v>4</v>
      </c>
      <c r="AA317" s="13" t="s">
        <v>74</v>
      </c>
      <c r="AB317" s="11">
        <v>2</v>
      </c>
      <c r="AC317" s="12" t="s">
        <v>75</v>
      </c>
      <c r="AD317" s="12" t="s">
        <v>75</v>
      </c>
      <c r="AE317" s="12" t="s">
        <v>75</v>
      </c>
      <c r="AF317" s="6" t="s">
        <v>2583</v>
      </c>
    </row>
    <row r="318" spans="1:32" ht="43.2" x14ac:dyDescent="0.3">
      <c r="A318" t="s">
        <v>2593</v>
      </c>
      <c r="B318" s="6">
        <v>2023</v>
      </c>
      <c r="C318" s="7">
        <v>15</v>
      </c>
      <c r="D318" s="6" t="s">
        <v>71</v>
      </c>
      <c r="E318" s="7">
        <v>1</v>
      </c>
      <c r="F318" s="14" t="s">
        <v>2592</v>
      </c>
      <c r="G318" t="s">
        <v>622</v>
      </c>
      <c r="H318" s="4" t="s">
        <v>2549</v>
      </c>
      <c r="I318" s="4" t="s">
        <v>2589</v>
      </c>
      <c r="J318" s="3">
        <v>3</v>
      </c>
      <c r="K318" t="s">
        <v>439</v>
      </c>
      <c r="L318" s="4" t="s">
        <v>487</v>
      </c>
      <c r="M318" s="3">
        <v>4</v>
      </c>
      <c r="N318" s="10" t="s">
        <v>192</v>
      </c>
      <c r="O318" s="3">
        <v>1</v>
      </c>
      <c r="P318" s="11">
        <v>2</v>
      </c>
      <c r="Q318" s="10" t="s">
        <v>118</v>
      </c>
      <c r="R318" s="6" t="s">
        <v>193</v>
      </c>
      <c r="S318" s="6" t="s">
        <v>194</v>
      </c>
      <c r="T318" s="10" t="s">
        <v>195</v>
      </c>
      <c r="U318" t="s">
        <v>158</v>
      </c>
      <c r="V318" t="s">
        <v>77</v>
      </c>
      <c r="W318" s="7">
        <v>1</v>
      </c>
      <c r="X318" s="7">
        <v>3</v>
      </c>
      <c r="Y318" s="7">
        <v>1</v>
      </c>
      <c r="Z318" s="7">
        <v>5</v>
      </c>
      <c r="AA318" s="13" t="s">
        <v>74</v>
      </c>
      <c r="AB318" s="11">
        <v>2</v>
      </c>
      <c r="AC318" t="s">
        <v>2590</v>
      </c>
      <c r="AD318" s="10">
        <v>30</v>
      </c>
      <c r="AE318" s="10" t="s">
        <v>73</v>
      </c>
      <c r="AF318" t="s">
        <v>2591</v>
      </c>
    </row>
    <row r="319" spans="1:32" ht="57.6" x14ac:dyDescent="0.3">
      <c r="A319" t="s">
        <v>2597</v>
      </c>
      <c r="B319" s="6">
        <v>2023</v>
      </c>
      <c r="C319" s="7">
        <v>15</v>
      </c>
      <c r="D319" s="6" t="s">
        <v>71</v>
      </c>
      <c r="E319" s="7">
        <v>1</v>
      </c>
      <c r="F319" s="14" t="s">
        <v>2595</v>
      </c>
      <c r="G319" t="s">
        <v>2596</v>
      </c>
      <c r="H319" s="4" t="s">
        <v>2550</v>
      </c>
      <c r="I319" s="4" t="s">
        <v>2594</v>
      </c>
      <c r="J319" s="3">
        <v>3</v>
      </c>
      <c r="K319" t="s">
        <v>967</v>
      </c>
      <c r="L319" s="4" t="s">
        <v>2161</v>
      </c>
      <c r="M319" s="3">
        <v>4</v>
      </c>
      <c r="N319" s="8" t="s">
        <v>75</v>
      </c>
      <c r="O319" s="3">
        <v>100</v>
      </c>
      <c r="P319" s="3">
        <v>100</v>
      </c>
      <c r="Q319" s="12" t="s">
        <v>75</v>
      </c>
      <c r="R319" s="12" t="s">
        <v>75</v>
      </c>
      <c r="S319" s="13" t="s">
        <v>75</v>
      </c>
      <c r="T319" s="13" t="s">
        <v>75</v>
      </c>
      <c r="U319" s="13" t="s">
        <v>75</v>
      </c>
      <c r="V319" s="13" t="s">
        <v>75</v>
      </c>
      <c r="W319" s="3">
        <v>3</v>
      </c>
      <c r="X319" s="3">
        <v>3</v>
      </c>
      <c r="Y319" s="3">
        <v>17</v>
      </c>
      <c r="Z319" s="3">
        <v>4</v>
      </c>
      <c r="AA319" s="13" t="s">
        <v>74</v>
      </c>
      <c r="AB319" s="11">
        <v>2</v>
      </c>
      <c r="AC319" s="12" t="s">
        <v>75</v>
      </c>
      <c r="AD319" s="12" t="s">
        <v>75</v>
      </c>
      <c r="AE319" s="12" t="s">
        <v>75</v>
      </c>
    </row>
    <row r="320" spans="1:32" ht="43.2" x14ac:dyDescent="0.3">
      <c r="A320" t="s">
        <v>2601</v>
      </c>
      <c r="B320" s="6">
        <v>2023</v>
      </c>
      <c r="C320" s="7">
        <v>15</v>
      </c>
      <c r="D320" s="6" t="s">
        <v>71</v>
      </c>
      <c r="E320" s="7">
        <v>1</v>
      </c>
      <c r="F320" s="14" t="s">
        <v>2600</v>
      </c>
      <c r="G320" t="s">
        <v>1912</v>
      </c>
      <c r="H320" s="4" t="s">
        <v>2551</v>
      </c>
      <c r="I320" s="4" t="s">
        <v>2598</v>
      </c>
      <c r="J320" s="3">
        <v>3</v>
      </c>
      <c r="K320" t="s">
        <v>2575</v>
      </c>
      <c r="L320" s="4" t="s">
        <v>2599</v>
      </c>
      <c r="M320" s="3">
        <v>4</v>
      </c>
      <c r="N320" s="10" t="s">
        <v>192</v>
      </c>
      <c r="O320" s="3">
        <v>1</v>
      </c>
      <c r="P320" s="11">
        <v>2</v>
      </c>
      <c r="Q320" s="10" t="s">
        <v>118</v>
      </c>
      <c r="R320" s="6" t="s">
        <v>193</v>
      </c>
      <c r="S320" s="6" t="s">
        <v>194</v>
      </c>
      <c r="T320" s="10" t="s">
        <v>195</v>
      </c>
      <c r="U320" s="12" t="s">
        <v>116</v>
      </c>
      <c r="V320" s="10" t="s">
        <v>186</v>
      </c>
      <c r="W320" s="3">
        <v>3</v>
      </c>
      <c r="X320" s="3">
        <v>3</v>
      </c>
      <c r="Y320" s="3">
        <v>17</v>
      </c>
      <c r="Z320" s="3">
        <v>4</v>
      </c>
      <c r="AA320" s="13" t="s">
        <v>74</v>
      </c>
      <c r="AB320" s="11">
        <v>2</v>
      </c>
      <c r="AC320" s="12" t="s">
        <v>75</v>
      </c>
      <c r="AD320">
        <v>90</v>
      </c>
      <c r="AE320" s="10" t="s">
        <v>73</v>
      </c>
    </row>
    <row r="321" spans="1:32" ht="144" x14ac:dyDescent="0.3">
      <c r="A321" t="s">
        <v>2607</v>
      </c>
      <c r="B321" s="6">
        <v>2023</v>
      </c>
      <c r="C321" s="7">
        <v>15</v>
      </c>
      <c r="D321" s="6" t="s">
        <v>71</v>
      </c>
      <c r="E321" s="7">
        <v>1</v>
      </c>
      <c r="F321" s="14" t="s">
        <v>2606</v>
      </c>
      <c r="G321" t="s">
        <v>704</v>
      </c>
      <c r="H321" s="4" t="s">
        <v>2552</v>
      </c>
      <c r="I321" s="4" t="s">
        <v>1834</v>
      </c>
      <c r="J321" s="3">
        <v>3</v>
      </c>
      <c r="K321" t="s">
        <v>2603</v>
      </c>
      <c r="L321" s="4" t="s">
        <v>2602</v>
      </c>
      <c r="M321" s="3">
        <v>2</v>
      </c>
      <c r="N321" s="10" t="s">
        <v>265</v>
      </c>
      <c r="O321" s="3">
        <v>1</v>
      </c>
      <c r="P321" s="3">
        <v>2</v>
      </c>
      <c r="Q321" s="10" t="s">
        <v>118</v>
      </c>
      <c r="R321" s="10" t="s">
        <v>266</v>
      </c>
      <c r="S321" s="6" t="s">
        <v>267</v>
      </c>
      <c r="T321" s="10" t="s">
        <v>268</v>
      </c>
      <c r="U321" s="10" t="s">
        <v>1735</v>
      </c>
      <c r="V321" s="10" t="s">
        <v>2604</v>
      </c>
      <c r="W321" s="3">
        <v>2</v>
      </c>
      <c r="X321" s="3">
        <v>2</v>
      </c>
      <c r="Y321" s="3">
        <v>16</v>
      </c>
      <c r="Z321" s="3">
        <v>3</v>
      </c>
      <c r="AA321" s="13" t="s">
        <v>74</v>
      </c>
      <c r="AB321" s="11">
        <v>2</v>
      </c>
      <c r="AC321" s="12" t="s">
        <v>75</v>
      </c>
      <c r="AD321" s="10" t="s">
        <v>2383</v>
      </c>
      <c r="AE321" t="s">
        <v>73</v>
      </c>
      <c r="AF321" t="s">
        <v>2605</v>
      </c>
    </row>
    <row r="322" spans="1:32" ht="86.4" x14ac:dyDescent="0.3">
      <c r="A322" t="s">
        <v>2613</v>
      </c>
      <c r="B322" s="6">
        <v>2022</v>
      </c>
      <c r="C322" s="7">
        <v>14</v>
      </c>
      <c r="D322" s="6" t="s">
        <v>71</v>
      </c>
      <c r="E322" s="7">
        <v>1</v>
      </c>
      <c r="F322" s="14" t="s">
        <v>2612</v>
      </c>
      <c r="G322" t="s">
        <v>405</v>
      </c>
      <c r="H322" s="4" t="s">
        <v>2553</v>
      </c>
      <c r="I322" s="4" t="s">
        <v>48</v>
      </c>
      <c r="J322" s="3">
        <v>8</v>
      </c>
      <c r="L322" s="4" t="s">
        <v>2608</v>
      </c>
      <c r="M322" s="3">
        <v>5</v>
      </c>
      <c r="N322" s="4" t="s">
        <v>936</v>
      </c>
      <c r="O322" s="11">
        <v>1</v>
      </c>
      <c r="P322" s="11">
        <v>2</v>
      </c>
      <c r="Q322" s="10" t="s">
        <v>937</v>
      </c>
      <c r="R322" s="6" t="s">
        <v>156</v>
      </c>
      <c r="S322" s="6" t="s">
        <v>938</v>
      </c>
      <c r="T322" s="10" t="s">
        <v>939</v>
      </c>
      <c r="U322" s="10" t="s">
        <v>2609</v>
      </c>
      <c r="V322" s="10" t="s">
        <v>2610</v>
      </c>
      <c r="W322" s="7">
        <v>3</v>
      </c>
      <c r="X322" s="7">
        <v>3</v>
      </c>
      <c r="Y322" s="7">
        <v>17</v>
      </c>
      <c r="Z322" s="7">
        <v>4</v>
      </c>
      <c r="AA322" s="13" t="s">
        <v>74</v>
      </c>
      <c r="AB322" s="7">
        <v>2</v>
      </c>
      <c r="AC322" s="12" t="s">
        <v>285</v>
      </c>
      <c r="AD322" s="10" t="s">
        <v>2611</v>
      </c>
      <c r="AE322" s="10" t="s">
        <v>73</v>
      </c>
    </row>
    <row r="323" spans="1:32" ht="115.2" x14ac:dyDescent="0.3">
      <c r="A323" t="s">
        <v>2618</v>
      </c>
      <c r="B323" s="6">
        <v>2022</v>
      </c>
      <c r="C323" s="7">
        <v>14</v>
      </c>
      <c r="D323" s="6" t="s">
        <v>71</v>
      </c>
      <c r="E323" s="7">
        <v>1</v>
      </c>
      <c r="F323" s="14" t="s">
        <v>2617</v>
      </c>
      <c r="G323" t="s">
        <v>1015</v>
      </c>
      <c r="H323" s="4" t="s">
        <v>2554</v>
      </c>
      <c r="I323" s="4" t="s">
        <v>1035</v>
      </c>
      <c r="J323" s="3">
        <v>3</v>
      </c>
      <c r="K323" t="s">
        <v>2615</v>
      </c>
      <c r="L323" s="4" t="s">
        <v>2614</v>
      </c>
      <c r="M323" s="3">
        <v>4</v>
      </c>
      <c r="N323" t="s">
        <v>111</v>
      </c>
      <c r="O323" s="3">
        <v>1</v>
      </c>
      <c r="P323" s="3">
        <v>100</v>
      </c>
      <c r="Q323" s="10" t="s">
        <v>2616</v>
      </c>
      <c r="R323" s="10" t="s">
        <v>119</v>
      </c>
      <c r="S323" s="12" t="s">
        <v>75</v>
      </c>
      <c r="T323" s="10" t="s">
        <v>120</v>
      </c>
      <c r="U323" s="12" t="s">
        <v>116</v>
      </c>
      <c r="V323" s="10" t="s">
        <v>141</v>
      </c>
      <c r="W323" s="3">
        <v>3</v>
      </c>
      <c r="X323" s="3">
        <v>3</v>
      </c>
      <c r="Y323" s="3">
        <v>17</v>
      </c>
      <c r="Z323" s="3">
        <v>4</v>
      </c>
      <c r="AA323" s="13" t="s">
        <v>74</v>
      </c>
      <c r="AB323" s="11">
        <v>2</v>
      </c>
      <c r="AC323" s="12" t="s">
        <v>75</v>
      </c>
      <c r="AD323" s="4">
        <v>8.5</v>
      </c>
      <c r="AE323" s="12" t="s">
        <v>75</v>
      </c>
      <c r="AF323" t="s">
        <v>2619</v>
      </c>
    </row>
    <row r="324" spans="1:32" ht="86.4" x14ac:dyDescent="0.3">
      <c r="A324" t="s">
        <v>2630</v>
      </c>
      <c r="B324" s="6">
        <v>2022</v>
      </c>
      <c r="C324" s="7">
        <v>14</v>
      </c>
      <c r="D324" s="6" t="s">
        <v>71</v>
      </c>
      <c r="E324" s="7">
        <v>1</v>
      </c>
      <c r="F324" s="14" t="s">
        <v>2629</v>
      </c>
      <c r="G324" t="s">
        <v>2628</v>
      </c>
      <c r="H324" s="4" t="s">
        <v>2555</v>
      </c>
      <c r="I324" s="4" t="s">
        <v>2627</v>
      </c>
      <c r="J324" s="3">
        <v>3</v>
      </c>
      <c r="K324" t="s">
        <v>286</v>
      </c>
      <c r="L324" s="4" t="s">
        <v>2620</v>
      </c>
      <c r="M324" s="3">
        <v>3</v>
      </c>
      <c r="N324" s="4" t="s">
        <v>2621</v>
      </c>
      <c r="O324" s="3">
        <v>1</v>
      </c>
      <c r="P324" s="3">
        <v>3</v>
      </c>
      <c r="Q324" s="10" t="s">
        <v>416</v>
      </c>
      <c r="R324" t="s">
        <v>1210</v>
      </c>
      <c r="S324" s="10" t="s">
        <v>172</v>
      </c>
      <c r="T324" s="10" t="s">
        <v>2622</v>
      </c>
      <c r="U324" s="12" t="s">
        <v>2623</v>
      </c>
      <c r="V324" s="10" t="s">
        <v>2624</v>
      </c>
      <c r="W324" s="3">
        <v>3</v>
      </c>
      <c r="X324" s="3">
        <v>3</v>
      </c>
      <c r="Y324" s="3">
        <v>17</v>
      </c>
      <c r="Z324" s="3">
        <v>4</v>
      </c>
      <c r="AA324" s="13" t="s">
        <v>74</v>
      </c>
      <c r="AB324" s="11">
        <v>2</v>
      </c>
      <c r="AC324" s="12" t="s">
        <v>75</v>
      </c>
      <c r="AD324" s="4" t="s">
        <v>2625</v>
      </c>
      <c r="AE324" s="12" t="s">
        <v>75</v>
      </c>
      <c r="AF324" t="s">
        <v>2626</v>
      </c>
    </row>
    <row r="325" spans="1:32" ht="187.2" x14ac:dyDescent="0.3">
      <c r="A325" t="s">
        <v>2640</v>
      </c>
      <c r="B325" s="6">
        <v>2022</v>
      </c>
      <c r="C325" s="7">
        <v>14</v>
      </c>
      <c r="D325" s="6" t="s">
        <v>71</v>
      </c>
      <c r="E325" s="7">
        <v>1</v>
      </c>
      <c r="F325" s="14" t="s">
        <v>2639</v>
      </c>
      <c r="G325" t="s">
        <v>80</v>
      </c>
      <c r="H325" s="4" t="s">
        <v>2557</v>
      </c>
      <c r="I325" s="4" t="s">
        <v>2638</v>
      </c>
      <c r="J325" s="3">
        <v>3</v>
      </c>
      <c r="K325" t="s">
        <v>2150</v>
      </c>
      <c r="L325" s="4" t="s">
        <v>2631</v>
      </c>
      <c r="M325" s="3">
        <v>1</v>
      </c>
      <c r="N325" s="4" t="s">
        <v>2556</v>
      </c>
      <c r="O325" s="3">
        <v>4</v>
      </c>
      <c r="P325" s="3">
        <v>5</v>
      </c>
      <c r="Q325" s="10" t="s">
        <v>1094</v>
      </c>
      <c r="R325" s="10" t="s">
        <v>2632</v>
      </c>
      <c r="S325" s="10" t="s">
        <v>2633</v>
      </c>
      <c r="T325" s="10" t="s">
        <v>2635</v>
      </c>
      <c r="U325" s="10" t="s">
        <v>158</v>
      </c>
      <c r="V325" s="10" t="s">
        <v>2637</v>
      </c>
      <c r="W325" s="7">
        <v>1</v>
      </c>
      <c r="X325" s="7">
        <v>3</v>
      </c>
      <c r="Y325" s="7">
        <v>1</v>
      </c>
      <c r="Z325" s="7">
        <v>5</v>
      </c>
      <c r="AA325" s="13" t="s">
        <v>74</v>
      </c>
      <c r="AB325" s="11">
        <v>2</v>
      </c>
      <c r="AC325" t="s">
        <v>72</v>
      </c>
      <c r="AD325" t="s">
        <v>2634</v>
      </c>
      <c r="AE325" s="4" t="s">
        <v>2636</v>
      </c>
    </row>
    <row r="326" spans="1:32" ht="144" x14ac:dyDescent="0.3">
      <c r="A326" t="s">
        <v>2648</v>
      </c>
      <c r="B326" s="6">
        <v>2022</v>
      </c>
      <c r="C326" s="7">
        <v>14</v>
      </c>
      <c r="D326" s="6" t="s">
        <v>71</v>
      </c>
      <c r="E326" s="7">
        <v>1</v>
      </c>
      <c r="F326" s="14" t="s">
        <v>2646</v>
      </c>
      <c r="G326" t="s">
        <v>234</v>
      </c>
      <c r="H326" s="4" t="s">
        <v>2558</v>
      </c>
      <c r="I326" s="4" t="s">
        <v>2641</v>
      </c>
      <c r="J326" s="3">
        <v>6</v>
      </c>
      <c r="K326" t="s">
        <v>2643</v>
      </c>
      <c r="L326" s="4" t="s">
        <v>2642</v>
      </c>
      <c r="M326" s="3">
        <v>3</v>
      </c>
      <c r="N326" s="4" t="s">
        <v>192</v>
      </c>
      <c r="O326" s="3">
        <v>1</v>
      </c>
      <c r="P326" s="3">
        <v>2</v>
      </c>
      <c r="Q326" s="10" t="s">
        <v>118</v>
      </c>
      <c r="R326" s="6" t="s">
        <v>193</v>
      </c>
      <c r="S326" s="6" t="s">
        <v>194</v>
      </c>
      <c r="T326" s="10" t="s">
        <v>195</v>
      </c>
      <c r="U326" s="12" t="s">
        <v>116</v>
      </c>
      <c r="V326" s="10" t="s">
        <v>2645</v>
      </c>
      <c r="W326" s="3">
        <v>3</v>
      </c>
      <c r="X326" s="3">
        <v>3</v>
      </c>
      <c r="Y326" s="3">
        <v>17</v>
      </c>
      <c r="Z326" s="3">
        <v>4</v>
      </c>
      <c r="AA326" s="13" t="s">
        <v>74</v>
      </c>
      <c r="AB326" s="11">
        <v>2</v>
      </c>
      <c r="AC326" s="12" t="s">
        <v>75</v>
      </c>
      <c r="AD326">
        <v>30</v>
      </c>
      <c r="AE326" s="10" t="s">
        <v>73</v>
      </c>
      <c r="AF326" t="s">
        <v>2644</v>
      </c>
    </row>
    <row r="327" spans="1:32" ht="72" x14ac:dyDescent="0.3">
      <c r="A327" t="s">
        <v>2657</v>
      </c>
      <c r="B327" s="6">
        <v>2022</v>
      </c>
      <c r="C327" s="7">
        <v>14</v>
      </c>
      <c r="D327" s="6" t="s">
        <v>71</v>
      </c>
      <c r="E327" s="7">
        <v>1</v>
      </c>
      <c r="F327" s="14" t="s">
        <v>2656</v>
      </c>
      <c r="G327" t="s">
        <v>217</v>
      </c>
      <c r="H327" s="4" t="s">
        <v>2559</v>
      </c>
      <c r="I327" s="4" t="s">
        <v>2654</v>
      </c>
      <c r="J327" s="3">
        <v>1</v>
      </c>
      <c r="K327" t="s">
        <v>1955</v>
      </c>
      <c r="L327" s="4" t="s">
        <v>2653</v>
      </c>
      <c r="M327" s="3">
        <v>4</v>
      </c>
      <c r="N327" s="10" t="s">
        <v>2655</v>
      </c>
      <c r="O327" s="3">
        <v>100</v>
      </c>
      <c r="P327" s="3">
        <v>100</v>
      </c>
      <c r="Q327" s="12" t="s">
        <v>75</v>
      </c>
      <c r="R327" s="12" t="s">
        <v>75</v>
      </c>
      <c r="S327" s="13" t="s">
        <v>75</v>
      </c>
      <c r="T327" s="13" t="s">
        <v>75</v>
      </c>
      <c r="U327" s="13" t="s">
        <v>75</v>
      </c>
      <c r="V327" s="13" t="s">
        <v>75</v>
      </c>
      <c r="W327" s="3">
        <v>3</v>
      </c>
      <c r="X327" s="3">
        <v>3</v>
      </c>
      <c r="Y327" s="3">
        <v>17</v>
      </c>
      <c r="Z327" s="3">
        <v>4</v>
      </c>
      <c r="AA327" s="13" t="s">
        <v>74</v>
      </c>
      <c r="AB327" s="11">
        <v>2</v>
      </c>
      <c r="AC327" s="12" t="s">
        <v>75</v>
      </c>
      <c r="AD327" s="12" t="s">
        <v>75</v>
      </c>
      <c r="AE327" s="12" t="s">
        <v>75</v>
      </c>
      <c r="AF327" s="6" t="s">
        <v>39139</v>
      </c>
    </row>
    <row r="328" spans="1:32" ht="57.6" x14ac:dyDescent="0.3">
      <c r="A328" t="s">
        <v>2647</v>
      </c>
      <c r="B328" s="6">
        <v>2022</v>
      </c>
      <c r="C328" s="7">
        <v>14</v>
      </c>
      <c r="D328" s="6" t="s">
        <v>71</v>
      </c>
      <c r="E328" s="7">
        <v>1</v>
      </c>
      <c r="F328" s="14" t="s">
        <v>2652</v>
      </c>
      <c r="G328" t="s">
        <v>1530</v>
      </c>
      <c r="H328" s="4" t="s">
        <v>2560</v>
      </c>
      <c r="I328" s="4" t="s">
        <v>2650</v>
      </c>
      <c r="J328" s="3">
        <v>9</v>
      </c>
      <c r="K328" t="s">
        <v>1955</v>
      </c>
      <c r="L328" s="4" t="s">
        <v>2649</v>
      </c>
      <c r="M328" s="3">
        <v>3</v>
      </c>
      <c r="N328" s="10" t="s">
        <v>182</v>
      </c>
      <c r="O328" s="11">
        <v>1</v>
      </c>
      <c r="P328" s="11">
        <v>100</v>
      </c>
      <c r="Q328" s="10" t="s">
        <v>118</v>
      </c>
      <c r="R328" s="6" t="s">
        <v>156</v>
      </c>
      <c r="S328" s="10" t="s">
        <v>184</v>
      </c>
      <c r="T328" s="10" t="s">
        <v>183</v>
      </c>
      <c r="U328" s="10" t="s">
        <v>185</v>
      </c>
      <c r="V328" s="10" t="s">
        <v>186</v>
      </c>
      <c r="W328" s="7">
        <v>3</v>
      </c>
      <c r="X328" s="7">
        <v>3</v>
      </c>
      <c r="Y328" s="7">
        <v>17</v>
      </c>
      <c r="Z328" s="7">
        <v>4</v>
      </c>
      <c r="AA328" s="12" t="s">
        <v>74</v>
      </c>
      <c r="AB328" s="11">
        <v>2</v>
      </c>
      <c r="AC328" s="10" t="s">
        <v>72</v>
      </c>
      <c r="AD328" s="10" t="s">
        <v>2651</v>
      </c>
      <c r="AE328" s="6" t="s">
        <v>73</v>
      </c>
    </row>
    <row r="329" spans="1:32" ht="57.6" x14ac:dyDescent="0.3">
      <c r="A329" t="s">
        <v>2677</v>
      </c>
      <c r="B329" s="6">
        <v>2022</v>
      </c>
      <c r="C329" s="7">
        <v>14</v>
      </c>
      <c r="D329" s="6" t="s">
        <v>71</v>
      </c>
      <c r="E329" s="7">
        <v>1</v>
      </c>
      <c r="F329" s="14" t="s">
        <v>2676</v>
      </c>
      <c r="G329" t="s">
        <v>217</v>
      </c>
      <c r="H329" s="4" t="s">
        <v>2658</v>
      </c>
      <c r="I329" s="4" t="s">
        <v>2675</v>
      </c>
      <c r="J329" s="3">
        <v>6</v>
      </c>
      <c r="L329" s="4" t="s">
        <v>2674</v>
      </c>
      <c r="M329" s="3">
        <v>3</v>
      </c>
      <c r="N329" s="4" t="s">
        <v>1584</v>
      </c>
      <c r="O329" s="11">
        <v>1</v>
      </c>
      <c r="P329" s="11">
        <v>2</v>
      </c>
      <c r="Q329" s="10" t="s">
        <v>1585</v>
      </c>
      <c r="R329" s="6"/>
      <c r="S329" s="6" t="s">
        <v>1586</v>
      </c>
      <c r="T329" s="10" t="s">
        <v>1587</v>
      </c>
      <c r="U329" s="10" t="s">
        <v>1588</v>
      </c>
      <c r="V329" s="10" t="s">
        <v>1589</v>
      </c>
      <c r="W329" s="7">
        <v>3</v>
      </c>
      <c r="X329" s="7">
        <v>3</v>
      </c>
      <c r="Y329" s="7">
        <v>17</v>
      </c>
      <c r="Z329" s="7">
        <v>4</v>
      </c>
      <c r="AA329" s="13" t="s">
        <v>74</v>
      </c>
      <c r="AB329" s="7">
        <v>2</v>
      </c>
      <c r="AC329" s="10" t="s">
        <v>72</v>
      </c>
      <c r="AD329" s="6">
        <v>2000</v>
      </c>
      <c r="AE329" s="10" t="s">
        <v>73</v>
      </c>
    </row>
    <row r="330" spans="1:32" ht="72" x14ac:dyDescent="0.3">
      <c r="A330" t="s">
        <v>2681</v>
      </c>
      <c r="B330" s="6">
        <v>2022</v>
      </c>
      <c r="C330" s="7">
        <v>14</v>
      </c>
      <c r="D330" s="6" t="s">
        <v>71</v>
      </c>
      <c r="E330" s="7">
        <v>1</v>
      </c>
      <c r="F330" s="14" t="s">
        <v>2680</v>
      </c>
      <c r="G330" t="s">
        <v>2222</v>
      </c>
      <c r="H330" s="4" t="s">
        <v>2659</v>
      </c>
      <c r="I330" s="4" t="s">
        <v>2679</v>
      </c>
      <c r="J330" s="3">
        <v>3</v>
      </c>
      <c r="K330" t="s">
        <v>365</v>
      </c>
      <c r="L330" s="4" t="s">
        <v>2678</v>
      </c>
      <c r="M330" s="3">
        <v>3</v>
      </c>
      <c r="N330" s="10" t="s">
        <v>111</v>
      </c>
      <c r="O330" s="11">
        <v>1</v>
      </c>
      <c r="P330" s="11">
        <v>100</v>
      </c>
      <c r="Q330" s="10" t="s">
        <v>118</v>
      </c>
      <c r="R330" s="10" t="s">
        <v>119</v>
      </c>
      <c r="S330" s="12" t="s">
        <v>75</v>
      </c>
      <c r="T330" s="10" t="s">
        <v>120</v>
      </c>
      <c r="U330" s="10" t="s">
        <v>158</v>
      </c>
      <c r="V330" s="10" t="s">
        <v>78</v>
      </c>
      <c r="W330" s="11">
        <v>1</v>
      </c>
      <c r="X330" s="11">
        <v>3</v>
      </c>
      <c r="Y330" s="11">
        <v>2</v>
      </c>
      <c r="Z330" s="11">
        <v>5</v>
      </c>
      <c r="AA330" s="12" t="s">
        <v>74</v>
      </c>
      <c r="AB330" s="7">
        <v>2</v>
      </c>
      <c r="AC330" s="12" t="s">
        <v>75</v>
      </c>
      <c r="AD330">
        <v>8.1</v>
      </c>
      <c r="AE330" s="12" t="s">
        <v>75</v>
      </c>
    </row>
    <row r="331" spans="1:32" ht="57.6" x14ac:dyDescent="0.3">
      <c r="A331" t="s">
        <v>2685</v>
      </c>
      <c r="B331" s="6">
        <v>2022</v>
      </c>
      <c r="C331" s="7">
        <v>14</v>
      </c>
      <c r="D331" s="6" t="s">
        <v>71</v>
      </c>
      <c r="E331" s="7">
        <v>1</v>
      </c>
      <c r="F331" s="15" t="s">
        <v>2684</v>
      </c>
      <c r="G331" t="s">
        <v>665</v>
      </c>
      <c r="H331" s="4" t="s">
        <v>2660</v>
      </c>
      <c r="I331" s="4" t="s">
        <v>2682</v>
      </c>
      <c r="J331" s="3">
        <v>1</v>
      </c>
      <c r="K331" t="s">
        <v>905</v>
      </c>
      <c r="L331" s="4" t="s">
        <v>2683</v>
      </c>
      <c r="M331" s="3">
        <v>3</v>
      </c>
      <c r="N331" s="10" t="s">
        <v>224</v>
      </c>
      <c r="O331" s="11">
        <v>100</v>
      </c>
      <c r="P331" s="11">
        <v>100</v>
      </c>
      <c r="Q331" s="10" t="s">
        <v>223</v>
      </c>
      <c r="R331" s="13" t="s">
        <v>75</v>
      </c>
      <c r="S331" s="13" t="s">
        <v>75</v>
      </c>
      <c r="T331" s="13" t="s">
        <v>75</v>
      </c>
      <c r="U331" s="13" t="s">
        <v>75</v>
      </c>
      <c r="V331" s="13" t="s">
        <v>75</v>
      </c>
      <c r="W331" s="7">
        <v>3</v>
      </c>
      <c r="X331" s="7">
        <v>3</v>
      </c>
      <c r="Y331" s="7">
        <v>17</v>
      </c>
      <c r="Z331" s="7">
        <v>4</v>
      </c>
      <c r="AA331" s="12" t="s">
        <v>74</v>
      </c>
      <c r="AB331" s="7">
        <v>2</v>
      </c>
      <c r="AC331" s="10" t="s">
        <v>72</v>
      </c>
      <c r="AD331" s="6">
        <v>30</v>
      </c>
      <c r="AE331" s="6" t="s">
        <v>73</v>
      </c>
    </row>
    <row r="332" spans="1:32" ht="43.2" x14ac:dyDescent="0.3">
      <c r="A332" t="s">
        <v>2694</v>
      </c>
      <c r="B332" s="6">
        <v>2021</v>
      </c>
      <c r="C332" s="7">
        <v>13</v>
      </c>
      <c r="D332" s="6" t="s">
        <v>71</v>
      </c>
      <c r="E332" s="7">
        <v>1</v>
      </c>
      <c r="F332" s="14" t="s">
        <v>2693</v>
      </c>
      <c r="G332" t="s">
        <v>637</v>
      </c>
      <c r="H332" s="4" t="s">
        <v>2692</v>
      </c>
      <c r="I332" s="4" t="s">
        <v>2687</v>
      </c>
      <c r="J332" s="3">
        <v>3</v>
      </c>
      <c r="K332" t="s">
        <v>2688</v>
      </c>
      <c r="L332" s="4" t="s">
        <v>2686</v>
      </c>
      <c r="M332" s="3">
        <v>4</v>
      </c>
      <c r="N332" s="10" t="s">
        <v>422</v>
      </c>
      <c r="O332" s="11">
        <v>1</v>
      </c>
      <c r="P332" s="11">
        <v>2</v>
      </c>
      <c r="Q332" s="10" t="s">
        <v>118</v>
      </c>
      <c r="R332" s="10" t="s">
        <v>156</v>
      </c>
      <c r="S332" s="10" t="s">
        <v>423</v>
      </c>
      <c r="T332" s="10" t="s">
        <v>424</v>
      </c>
      <c r="U332" s="12" t="s">
        <v>2690</v>
      </c>
      <c r="V332" s="12" t="s">
        <v>2691</v>
      </c>
      <c r="W332" s="7">
        <v>3</v>
      </c>
      <c r="X332" s="7">
        <v>3</v>
      </c>
      <c r="Y332" s="7">
        <v>17</v>
      </c>
      <c r="Z332" s="7">
        <v>4</v>
      </c>
      <c r="AA332" s="12" t="s">
        <v>74</v>
      </c>
      <c r="AB332" s="7">
        <v>2</v>
      </c>
      <c r="AC332" s="10" t="s">
        <v>672</v>
      </c>
      <c r="AD332" t="s">
        <v>1620</v>
      </c>
      <c r="AE332" s="4" t="s">
        <v>427</v>
      </c>
      <c r="AF332" t="s">
        <v>2689</v>
      </c>
    </row>
    <row r="333" spans="1:32" ht="86.4" x14ac:dyDescent="0.3">
      <c r="A333" t="s">
        <v>2704</v>
      </c>
      <c r="B333" s="6">
        <v>2021</v>
      </c>
      <c r="C333" s="7">
        <v>13</v>
      </c>
      <c r="D333" s="6" t="s">
        <v>71</v>
      </c>
      <c r="E333" s="7">
        <v>1</v>
      </c>
      <c r="F333" s="14" t="s">
        <v>2703</v>
      </c>
      <c r="G333" t="s">
        <v>1688</v>
      </c>
      <c r="H333" s="4" t="s">
        <v>2661</v>
      </c>
      <c r="I333" s="4" t="s">
        <v>48</v>
      </c>
      <c r="J333" s="3">
        <v>8</v>
      </c>
      <c r="L333" s="4" t="s">
        <v>2695</v>
      </c>
      <c r="M333" s="3">
        <v>4</v>
      </c>
      <c r="N333" s="10" t="s">
        <v>2696</v>
      </c>
      <c r="O333" s="3">
        <v>2</v>
      </c>
      <c r="P333" s="3">
        <v>5</v>
      </c>
      <c r="Q333" s="10" t="s">
        <v>851</v>
      </c>
      <c r="R333" s="10" t="s">
        <v>2697</v>
      </c>
      <c r="S333" s="10" t="s">
        <v>2698</v>
      </c>
      <c r="T333" s="10" t="s">
        <v>2699</v>
      </c>
      <c r="U333" s="10" t="s">
        <v>2700</v>
      </c>
      <c r="V333" s="10" t="s">
        <v>2701</v>
      </c>
      <c r="W333" s="3">
        <v>3</v>
      </c>
      <c r="X333" s="3">
        <v>3</v>
      </c>
      <c r="Y333" s="3">
        <v>17</v>
      </c>
      <c r="Z333" s="3">
        <v>4</v>
      </c>
      <c r="AA333" s="12" t="s">
        <v>74</v>
      </c>
      <c r="AB333" s="7">
        <v>2</v>
      </c>
      <c r="AC333" s="10" t="s">
        <v>72</v>
      </c>
      <c r="AD333">
        <v>450</v>
      </c>
      <c r="AE333" t="s">
        <v>1567</v>
      </c>
      <c r="AF333" t="s">
        <v>2702</v>
      </c>
    </row>
    <row r="334" spans="1:32" ht="43.2" x14ac:dyDescent="0.3">
      <c r="A334" t="s">
        <v>2709</v>
      </c>
      <c r="B334" s="6">
        <v>2021</v>
      </c>
      <c r="C334" s="7">
        <v>13</v>
      </c>
      <c r="D334" s="6" t="s">
        <v>71</v>
      </c>
      <c r="E334" s="7">
        <v>1</v>
      </c>
      <c r="F334" s="14" t="s">
        <v>2707</v>
      </c>
      <c r="G334" t="s">
        <v>2708</v>
      </c>
      <c r="H334" s="4" t="s">
        <v>2662</v>
      </c>
      <c r="I334" s="4" t="s">
        <v>1102</v>
      </c>
      <c r="J334" s="3">
        <v>3</v>
      </c>
      <c r="K334" t="s">
        <v>2706</v>
      </c>
      <c r="L334" s="4" t="s">
        <v>2705</v>
      </c>
      <c r="M334" s="3">
        <v>2</v>
      </c>
      <c r="N334" s="4" t="s">
        <v>192</v>
      </c>
      <c r="O334" s="3">
        <v>1</v>
      </c>
      <c r="P334" s="3">
        <v>2</v>
      </c>
      <c r="Q334" s="10" t="s">
        <v>118</v>
      </c>
      <c r="R334" s="6" t="s">
        <v>193</v>
      </c>
      <c r="S334" s="6" t="s">
        <v>194</v>
      </c>
      <c r="T334" s="10" t="s">
        <v>195</v>
      </c>
      <c r="U334" s="12" t="s">
        <v>116</v>
      </c>
      <c r="V334" s="10" t="s">
        <v>186</v>
      </c>
      <c r="W334" s="3">
        <v>3</v>
      </c>
      <c r="X334" s="3">
        <v>3</v>
      </c>
      <c r="Y334" s="3">
        <v>17</v>
      </c>
      <c r="Z334" s="3">
        <v>4</v>
      </c>
      <c r="AA334" s="12" t="s">
        <v>74</v>
      </c>
      <c r="AB334" s="7">
        <v>2</v>
      </c>
      <c r="AC334" s="10" t="s">
        <v>269</v>
      </c>
      <c r="AD334">
        <v>30</v>
      </c>
      <c r="AE334" t="s">
        <v>73</v>
      </c>
    </row>
    <row r="335" spans="1:32" ht="86.4" x14ac:dyDescent="0.3">
      <c r="A335" t="s">
        <v>2722</v>
      </c>
      <c r="B335" s="6">
        <v>2021</v>
      </c>
      <c r="C335" s="7">
        <v>13</v>
      </c>
      <c r="D335" s="6" t="s">
        <v>71</v>
      </c>
      <c r="E335" s="7">
        <v>1</v>
      </c>
      <c r="F335" s="14" t="s">
        <v>2721</v>
      </c>
      <c r="G335" t="s">
        <v>217</v>
      </c>
      <c r="H335" s="4" t="s">
        <v>2663</v>
      </c>
      <c r="I335" s="4" t="s">
        <v>2710</v>
      </c>
      <c r="J335" s="3">
        <v>3</v>
      </c>
      <c r="K335" t="s">
        <v>2720</v>
      </c>
      <c r="L335" s="4" t="s">
        <v>2711</v>
      </c>
      <c r="M335" s="3">
        <v>4</v>
      </c>
      <c r="N335" s="10" t="s">
        <v>2713</v>
      </c>
      <c r="O335" s="11">
        <v>1</v>
      </c>
      <c r="P335" s="11">
        <v>2</v>
      </c>
      <c r="Q335" s="10" t="s">
        <v>2714</v>
      </c>
      <c r="R335" s="10" t="s">
        <v>2715</v>
      </c>
      <c r="S335" s="10" t="s">
        <v>2716</v>
      </c>
      <c r="T335" s="10" t="s">
        <v>2717</v>
      </c>
      <c r="U335" s="12" t="s">
        <v>2718</v>
      </c>
      <c r="V335" s="10" t="s">
        <v>2243</v>
      </c>
      <c r="W335" s="3">
        <v>3</v>
      </c>
      <c r="X335" s="3">
        <v>3</v>
      </c>
      <c r="Y335" s="3">
        <v>17</v>
      </c>
      <c r="Z335" s="3">
        <v>4</v>
      </c>
      <c r="AA335" s="12" t="s">
        <v>74</v>
      </c>
      <c r="AB335" s="11">
        <v>2</v>
      </c>
      <c r="AC335" s="10" t="s">
        <v>2712</v>
      </c>
      <c r="AD335" s="6">
        <v>30</v>
      </c>
      <c r="AE335" s="10" t="s">
        <v>73</v>
      </c>
      <c r="AF335" t="s">
        <v>2719</v>
      </c>
    </row>
    <row r="336" spans="1:32" ht="43.2" x14ac:dyDescent="0.3">
      <c r="A336" t="s">
        <v>2726</v>
      </c>
      <c r="B336" s="6">
        <v>2021</v>
      </c>
      <c r="C336" s="7">
        <v>13</v>
      </c>
      <c r="D336" s="6" t="s">
        <v>71</v>
      </c>
      <c r="E336" s="7">
        <v>1</v>
      </c>
      <c r="F336" s="14" t="s">
        <v>2728</v>
      </c>
      <c r="G336" t="s">
        <v>217</v>
      </c>
      <c r="H336" s="4" t="s">
        <v>2664</v>
      </c>
      <c r="I336" s="4" t="s">
        <v>2723</v>
      </c>
      <c r="J336" s="3">
        <v>3</v>
      </c>
      <c r="K336" t="s">
        <v>2725</v>
      </c>
      <c r="L336" s="4" t="s">
        <v>2724</v>
      </c>
      <c r="M336" s="3">
        <v>4</v>
      </c>
      <c r="N336" s="4" t="s">
        <v>192</v>
      </c>
      <c r="O336" s="3">
        <v>1</v>
      </c>
      <c r="P336" s="3">
        <v>2</v>
      </c>
      <c r="Q336" s="10" t="s">
        <v>118</v>
      </c>
      <c r="R336" s="6" t="s">
        <v>193</v>
      </c>
      <c r="S336" s="6" t="s">
        <v>194</v>
      </c>
      <c r="T336" s="10" t="s">
        <v>195</v>
      </c>
      <c r="U336" s="12" t="s">
        <v>116</v>
      </c>
      <c r="V336" s="10" t="s">
        <v>186</v>
      </c>
      <c r="W336" s="3">
        <v>3</v>
      </c>
      <c r="X336" s="3">
        <v>3</v>
      </c>
      <c r="Y336" s="3">
        <v>17</v>
      </c>
      <c r="Z336" s="3">
        <v>4</v>
      </c>
      <c r="AA336" s="12" t="s">
        <v>74</v>
      </c>
      <c r="AB336" s="7">
        <v>2</v>
      </c>
      <c r="AC336" s="10" t="s">
        <v>672</v>
      </c>
      <c r="AD336">
        <v>90</v>
      </c>
      <c r="AE336" t="s">
        <v>73</v>
      </c>
    </row>
    <row r="337" spans="1:32" ht="43.2" x14ac:dyDescent="0.3">
      <c r="A337" t="s">
        <v>2731</v>
      </c>
      <c r="B337" s="6">
        <v>2021</v>
      </c>
      <c r="C337" s="7">
        <v>13</v>
      </c>
      <c r="D337" s="6" t="s">
        <v>71</v>
      </c>
      <c r="E337" s="7">
        <v>1</v>
      </c>
      <c r="F337" s="14" t="s">
        <v>2729</v>
      </c>
      <c r="G337" t="s">
        <v>147</v>
      </c>
      <c r="H337" s="4" t="s">
        <v>2665</v>
      </c>
      <c r="I337" s="4" t="s">
        <v>396</v>
      </c>
      <c r="J337" s="3">
        <v>3</v>
      </c>
      <c r="K337" t="s">
        <v>2730</v>
      </c>
      <c r="L337" s="4" t="s">
        <v>2727</v>
      </c>
      <c r="M337" s="3">
        <v>15</v>
      </c>
      <c r="N337" s="8" t="s">
        <v>75</v>
      </c>
      <c r="O337" s="3">
        <v>100</v>
      </c>
      <c r="P337" s="3">
        <v>100</v>
      </c>
      <c r="Q337" s="12" t="s">
        <v>75</v>
      </c>
      <c r="R337" s="13" t="s">
        <v>75</v>
      </c>
      <c r="S337" s="13" t="s">
        <v>75</v>
      </c>
      <c r="T337" s="13" t="s">
        <v>75</v>
      </c>
      <c r="U337" s="13" t="s">
        <v>75</v>
      </c>
      <c r="V337" s="13" t="s">
        <v>75</v>
      </c>
      <c r="W337" s="7">
        <v>3</v>
      </c>
      <c r="X337" s="7">
        <v>3</v>
      </c>
      <c r="Y337" s="7">
        <v>17</v>
      </c>
      <c r="Z337" s="7">
        <v>4</v>
      </c>
      <c r="AA337" s="12" t="s">
        <v>74</v>
      </c>
      <c r="AB337" s="7">
        <v>2</v>
      </c>
      <c r="AC337" s="12" t="s">
        <v>75</v>
      </c>
      <c r="AD337">
        <v>30</v>
      </c>
      <c r="AE337" t="s">
        <v>73</v>
      </c>
      <c r="AF337" s="6" t="s">
        <v>2482</v>
      </c>
    </row>
    <row r="338" spans="1:32" ht="57.6" x14ac:dyDescent="0.3">
      <c r="A338" t="s">
        <v>2736</v>
      </c>
      <c r="B338" s="6">
        <v>2021</v>
      </c>
      <c r="C338" s="7">
        <v>13</v>
      </c>
      <c r="D338" s="6" t="s">
        <v>71</v>
      </c>
      <c r="E338" s="7">
        <v>1</v>
      </c>
      <c r="F338" s="14" t="s">
        <v>2735</v>
      </c>
      <c r="G338" t="s">
        <v>1175</v>
      </c>
      <c r="H338" s="4" t="s">
        <v>2666</v>
      </c>
      <c r="I338" s="4" t="s">
        <v>2732</v>
      </c>
      <c r="J338" s="3">
        <v>3</v>
      </c>
      <c r="K338" t="s">
        <v>2734</v>
      </c>
      <c r="L338" s="4" t="s">
        <v>2733</v>
      </c>
      <c r="M338" s="3">
        <v>4</v>
      </c>
      <c r="N338" s="4" t="s">
        <v>192</v>
      </c>
      <c r="O338" s="3">
        <v>1</v>
      </c>
      <c r="P338" s="3">
        <v>2</v>
      </c>
      <c r="Q338" s="10" t="s">
        <v>118</v>
      </c>
      <c r="R338" s="6" t="s">
        <v>193</v>
      </c>
      <c r="S338" s="6" t="s">
        <v>194</v>
      </c>
      <c r="T338" s="10" t="s">
        <v>195</v>
      </c>
      <c r="U338" s="12" t="s">
        <v>116</v>
      </c>
      <c r="V338" s="10" t="s">
        <v>186</v>
      </c>
      <c r="W338" s="3">
        <v>3</v>
      </c>
      <c r="X338" s="3">
        <v>3</v>
      </c>
      <c r="Y338" s="3">
        <v>17</v>
      </c>
      <c r="Z338" s="3">
        <v>4</v>
      </c>
      <c r="AA338" s="12" t="s">
        <v>74</v>
      </c>
      <c r="AB338" s="7">
        <v>2</v>
      </c>
      <c r="AC338" s="10" t="s">
        <v>672</v>
      </c>
      <c r="AD338">
        <v>30</v>
      </c>
      <c r="AE338" t="s">
        <v>73</v>
      </c>
    </row>
    <row r="339" spans="1:32" ht="57.6" x14ac:dyDescent="0.3">
      <c r="A339" t="s">
        <v>2740</v>
      </c>
      <c r="B339" s="6">
        <v>2021</v>
      </c>
      <c r="C339" s="7">
        <v>13</v>
      </c>
      <c r="D339" s="6" t="s">
        <v>71</v>
      </c>
      <c r="E339" s="7">
        <v>1</v>
      </c>
      <c r="F339" s="14" t="s">
        <v>2739</v>
      </c>
      <c r="G339" t="s">
        <v>329</v>
      </c>
      <c r="H339" s="4" t="s">
        <v>2667</v>
      </c>
      <c r="I339" s="4" t="s">
        <v>37</v>
      </c>
      <c r="J339" s="3">
        <v>5</v>
      </c>
      <c r="L339" s="4" t="s">
        <v>2737</v>
      </c>
      <c r="M339" s="3">
        <v>4</v>
      </c>
      <c r="N339" s="8" t="s">
        <v>2668</v>
      </c>
      <c r="O339" s="3">
        <v>100</v>
      </c>
      <c r="P339" s="3">
        <v>100</v>
      </c>
      <c r="Q339" s="12" t="s">
        <v>75</v>
      </c>
      <c r="R339" s="13" t="s">
        <v>75</v>
      </c>
      <c r="S339" s="13" t="s">
        <v>75</v>
      </c>
      <c r="T339" s="13" t="s">
        <v>75</v>
      </c>
      <c r="U339" s="13" t="s">
        <v>75</v>
      </c>
      <c r="V339" s="13" t="s">
        <v>75</v>
      </c>
      <c r="W339" s="7">
        <v>3</v>
      </c>
      <c r="X339" s="7">
        <v>3</v>
      </c>
      <c r="Y339" s="7">
        <v>17</v>
      </c>
      <c r="Z339" s="7">
        <v>3</v>
      </c>
      <c r="AA339" s="12" t="s">
        <v>74</v>
      </c>
      <c r="AB339" s="7">
        <v>2</v>
      </c>
      <c r="AC339" s="12" t="s">
        <v>75</v>
      </c>
      <c r="AD339" s="12" t="s">
        <v>75</v>
      </c>
      <c r="AE339" s="12" t="s">
        <v>75</v>
      </c>
      <c r="AF339" s="6" t="s">
        <v>2738</v>
      </c>
    </row>
    <row r="340" spans="1:32" ht="57.6" x14ac:dyDescent="0.3">
      <c r="A340" t="s">
        <v>2744</v>
      </c>
      <c r="B340" s="6">
        <v>2021</v>
      </c>
      <c r="C340" s="7">
        <v>13</v>
      </c>
      <c r="D340" s="6" t="s">
        <v>71</v>
      </c>
      <c r="E340" s="7">
        <v>1</v>
      </c>
      <c r="F340" s="14" t="s">
        <v>2743</v>
      </c>
      <c r="G340" t="s">
        <v>2742</v>
      </c>
      <c r="H340" s="4" t="s">
        <v>2669</v>
      </c>
      <c r="I340" s="4" t="s">
        <v>2741</v>
      </c>
      <c r="J340" s="3">
        <v>3</v>
      </c>
      <c r="K340" t="s">
        <v>1490</v>
      </c>
      <c r="L340" s="4" t="s">
        <v>2678</v>
      </c>
      <c r="M340" s="3">
        <v>3</v>
      </c>
      <c r="N340" s="10" t="s">
        <v>182</v>
      </c>
      <c r="O340" s="11">
        <v>1</v>
      </c>
      <c r="P340" s="11">
        <v>100</v>
      </c>
      <c r="Q340" s="10" t="s">
        <v>118</v>
      </c>
      <c r="R340" s="6" t="s">
        <v>156</v>
      </c>
      <c r="S340" s="10" t="s">
        <v>184</v>
      </c>
      <c r="T340" s="10" t="s">
        <v>183</v>
      </c>
      <c r="U340" s="10" t="s">
        <v>185</v>
      </c>
      <c r="V340" s="10" t="s">
        <v>186</v>
      </c>
      <c r="W340" s="7">
        <v>3</v>
      </c>
      <c r="X340" s="7">
        <v>3</v>
      </c>
      <c r="Y340" s="7">
        <v>17</v>
      </c>
      <c r="Z340" s="7">
        <v>4</v>
      </c>
      <c r="AA340" s="12" t="s">
        <v>74</v>
      </c>
      <c r="AB340" s="11">
        <v>2</v>
      </c>
      <c r="AC340" s="10" t="s">
        <v>672</v>
      </c>
      <c r="AD340" s="12" t="s">
        <v>75</v>
      </c>
      <c r="AE340" s="6" t="s">
        <v>73</v>
      </c>
    </row>
    <row r="341" spans="1:32" ht="72" x14ac:dyDescent="0.3">
      <c r="A341" t="s">
        <v>2749</v>
      </c>
      <c r="B341" s="6">
        <v>2021</v>
      </c>
      <c r="C341" s="7">
        <v>13</v>
      </c>
      <c r="D341" s="6" t="s">
        <v>71</v>
      </c>
      <c r="E341" s="7">
        <v>1</v>
      </c>
      <c r="F341" s="14" t="s">
        <v>2748</v>
      </c>
      <c r="G341" t="s">
        <v>1746</v>
      </c>
      <c r="H341" s="4" t="s">
        <v>2670</v>
      </c>
      <c r="I341" s="4" t="s">
        <v>2745</v>
      </c>
      <c r="J341" s="3">
        <v>3</v>
      </c>
      <c r="L341" s="4" t="s">
        <v>2746</v>
      </c>
      <c r="M341" s="3">
        <v>3</v>
      </c>
      <c r="N341" s="4" t="s">
        <v>1584</v>
      </c>
      <c r="O341" s="11">
        <v>1</v>
      </c>
      <c r="P341" s="11">
        <v>2</v>
      </c>
      <c r="Q341" s="10" t="s">
        <v>1585</v>
      </c>
      <c r="R341" s="6"/>
      <c r="S341" s="6" t="s">
        <v>1586</v>
      </c>
      <c r="T341" s="10" t="s">
        <v>1587</v>
      </c>
      <c r="U341" s="10" t="s">
        <v>2747</v>
      </c>
      <c r="V341" s="10" t="s">
        <v>1589</v>
      </c>
      <c r="W341" s="7">
        <v>3</v>
      </c>
      <c r="X341" s="7">
        <v>3</v>
      </c>
      <c r="Y341" s="7">
        <v>17</v>
      </c>
      <c r="Z341" s="7">
        <v>4</v>
      </c>
      <c r="AA341" s="13" t="s">
        <v>74</v>
      </c>
      <c r="AB341" s="7">
        <v>2</v>
      </c>
      <c r="AC341" s="10" t="s">
        <v>672</v>
      </c>
      <c r="AD341" s="10" t="s">
        <v>2826</v>
      </c>
      <c r="AE341" s="10" t="s">
        <v>73</v>
      </c>
      <c r="AF341" s="6"/>
    </row>
    <row r="342" spans="1:32" ht="158.4" x14ac:dyDescent="0.3">
      <c r="A342" t="s">
        <v>2760</v>
      </c>
      <c r="B342" s="6">
        <v>2021</v>
      </c>
      <c r="C342" s="7">
        <v>13</v>
      </c>
      <c r="D342" s="6" t="s">
        <v>71</v>
      </c>
      <c r="E342" s="7">
        <v>1</v>
      </c>
      <c r="F342" s="14" t="s">
        <v>2759</v>
      </c>
      <c r="G342" t="s">
        <v>217</v>
      </c>
      <c r="H342" s="4" t="s">
        <v>2671</v>
      </c>
      <c r="I342" s="4" t="s">
        <v>2751</v>
      </c>
      <c r="J342" s="3">
        <v>5</v>
      </c>
      <c r="L342" s="4" t="s">
        <v>2750</v>
      </c>
      <c r="M342" s="3">
        <v>3</v>
      </c>
      <c r="N342" s="10" t="s">
        <v>2752</v>
      </c>
      <c r="O342" s="3">
        <v>1</v>
      </c>
      <c r="P342" s="3">
        <v>2</v>
      </c>
      <c r="Q342" s="10" t="s">
        <v>2753</v>
      </c>
      <c r="R342" s="10" t="s">
        <v>1210</v>
      </c>
      <c r="S342" s="10" t="s">
        <v>2754</v>
      </c>
      <c r="T342" s="10" t="s">
        <v>2755</v>
      </c>
      <c r="U342" s="10" t="s">
        <v>2756</v>
      </c>
      <c r="V342" s="10" t="s">
        <v>2758</v>
      </c>
      <c r="W342" s="3">
        <v>3</v>
      </c>
      <c r="X342" s="3">
        <v>3</v>
      </c>
      <c r="Y342" s="3">
        <v>17</v>
      </c>
      <c r="Z342" s="3">
        <v>4</v>
      </c>
      <c r="AA342" s="12" t="s">
        <v>74</v>
      </c>
      <c r="AB342" s="11">
        <v>2</v>
      </c>
      <c r="AC342" s="12" t="s">
        <v>75</v>
      </c>
      <c r="AD342">
        <v>25</v>
      </c>
      <c r="AE342" t="s">
        <v>73</v>
      </c>
      <c r="AF342" s="6" t="s">
        <v>2757</v>
      </c>
    </row>
    <row r="343" spans="1:32" ht="43.2" x14ac:dyDescent="0.3">
      <c r="A343" t="s">
        <v>2765</v>
      </c>
      <c r="B343" s="6">
        <v>2021</v>
      </c>
      <c r="C343" s="7">
        <v>13</v>
      </c>
      <c r="D343" s="6" t="s">
        <v>71</v>
      </c>
      <c r="E343" s="7">
        <v>1</v>
      </c>
      <c r="F343" s="14" t="s">
        <v>2764</v>
      </c>
      <c r="G343" t="s">
        <v>2763</v>
      </c>
      <c r="H343" s="4" t="s">
        <v>2672</v>
      </c>
      <c r="I343" s="4" t="s">
        <v>390</v>
      </c>
      <c r="J343" s="3">
        <v>3</v>
      </c>
      <c r="K343" t="s">
        <v>260</v>
      </c>
      <c r="L343" s="4" t="s">
        <v>2761</v>
      </c>
      <c r="M343" s="3">
        <v>2</v>
      </c>
      <c r="N343" s="8" t="s">
        <v>75</v>
      </c>
      <c r="O343" s="3">
        <v>100</v>
      </c>
      <c r="P343" s="3">
        <v>100</v>
      </c>
      <c r="Q343" s="12" t="s">
        <v>75</v>
      </c>
      <c r="R343" s="12" t="s">
        <v>75</v>
      </c>
      <c r="S343" s="13" t="s">
        <v>75</v>
      </c>
      <c r="T343" s="13" t="s">
        <v>75</v>
      </c>
      <c r="U343" s="13" t="s">
        <v>75</v>
      </c>
      <c r="V343" s="13" t="s">
        <v>75</v>
      </c>
      <c r="W343" s="3">
        <v>3</v>
      </c>
      <c r="X343" s="3">
        <v>3</v>
      </c>
      <c r="Y343" s="3">
        <v>17</v>
      </c>
      <c r="Z343" s="3">
        <v>4</v>
      </c>
      <c r="AA343" s="12" t="s">
        <v>74</v>
      </c>
      <c r="AB343" s="11">
        <v>2</v>
      </c>
      <c r="AC343" s="12" t="s">
        <v>75</v>
      </c>
      <c r="AD343" s="12" t="s">
        <v>75</v>
      </c>
      <c r="AE343" s="12" t="s">
        <v>75</v>
      </c>
      <c r="AF343" s="6" t="s">
        <v>2762</v>
      </c>
    </row>
    <row r="344" spans="1:32" ht="72" x14ac:dyDescent="0.3">
      <c r="A344" t="s">
        <v>2770</v>
      </c>
      <c r="B344" s="6">
        <v>2020</v>
      </c>
      <c r="C344" s="7">
        <v>12</v>
      </c>
      <c r="D344" s="6" t="s">
        <v>71</v>
      </c>
      <c r="E344" s="7">
        <v>1</v>
      </c>
      <c r="F344" s="14" t="s">
        <v>2769</v>
      </c>
      <c r="G344" t="s">
        <v>227</v>
      </c>
      <c r="H344" s="4" t="s">
        <v>2673</v>
      </c>
      <c r="I344" s="4" t="s">
        <v>2767</v>
      </c>
      <c r="J344" s="3">
        <v>3</v>
      </c>
      <c r="K344" t="s">
        <v>2768</v>
      </c>
      <c r="L344" s="4" t="s">
        <v>2766</v>
      </c>
      <c r="M344" s="3">
        <v>12</v>
      </c>
      <c r="N344" s="4" t="s">
        <v>192</v>
      </c>
      <c r="O344" s="3">
        <v>1</v>
      </c>
      <c r="P344" s="3">
        <v>2</v>
      </c>
      <c r="Q344" s="10" t="s">
        <v>118</v>
      </c>
      <c r="R344" s="6" t="s">
        <v>193</v>
      </c>
      <c r="S344" s="6" t="s">
        <v>194</v>
      </c>
      <c r="T344" s="10" t="s">
        <v>195</v>
      </c>
      <c r="U344" t="s">
        <v>158</v>
      </c>
      <c r="V344" t="s">
        <v>77</v>
      </c>
      <c r="W344" s="7">
        <v>1</v>
      </c>
      <c r="X344" s="7">
        <v>3</v>
      </c>
      <c r="Y344" s="7">
        <v>1</v>
      </c>
      <c r="Z344" s="7">
        <v>5</v>
      </c>
      <c r="AA344" s="12" t="s">
        <v>74</v>
      </c>
      <c r="AB344" s="11">
        <v>2</v>
      </c>
      <c r="AC344" s="10" t="s">
        <v>72</v>
      </c>
      <c r="AD344">
        <v>30</v>
      </c>
      <c r="AE344" t="s">
        <v>73</v>
      </c>
    </row>
    <row r="345" spans="1:32" ht="43.2" x14ac:dyDescent="0.3">
      <c r="A345" t="s">
        <v>2797</v>
      </c>
      <c r="B345" s="6">
        <v>2020</v>
      </c>
      <c r="C345" s="7">
        <v>12</v>
      </c>
      <c r="D345" s="6" t="s">
        <v>71</v>
      </c>
      <c r="E345" s="7">
        <v>1</v>
      </c>
      <c r="F345" s="14" t="s">
        <v>2796</v>
      </c>
      <c r="G345" t="s">
        <v>1525</v>
      </c>
      <c r="H345" s="4" t="s">
        <v>2771</v>
      </c>
      <c r="I345" s="4" t="s">
        <v>2795</v>
      </c>
      <c r="J345" s="3">
        <v>3</v>
      </c>
      <c r="K345" t="s">
        <v>2794</v>
      </c>
      <c r="L345" s="4" t="s">
        <v>2793</v>
      </c>
      <c r="M345" s="3">
        <v>4</v>
      </c>
      <c r="N345" s="8" t="s">
        <v>75</v>
      </c>
      <c r="O345" s="3">
        <v>100</v>
      </c>
      <c r="P345" s="3">
        <v>100</v>
      </c>
      <c r="Q345" s="12" t="s">
        <v>75</v>
      </c>
      <c r="R345" s="12" t="s">
        <v>75</v>
      </c>
      <c r="S345" s="13" t="s">
        <v>75</v>
      </c>
      <c r="T345" s="13" t="s">
        <v>75</v>
      </c>
      <c r="U345" s="13" t="s">
        <v>75</v>
      </c>
      <c r="V345" s="13" t="s">
        <v>75</v>
      </c>
      <c r="W345" s="3">
        <v>3</v>
      </c>
      <c r="X345" s="3">
        <v>3</v>
      </c>
      <c r="Y345" s="3">
        <v>17</v>
      </c>
      <c r="Z345" s="3">
        <v>4</v>
      </c>
      <c r="AA345" s="12" t="s">
        <v>74</v>
      </c>
      <c r="AB345" s="11">
        <v>2</v>
      </c>
      <c r="AC345" s="12" t="s">
        <v>75</v>
      </c>
      <c r="AD345" s="12" t="s">
        <v>75</v>
      </c>
      <c r="AE345" s="12" t="s">
        <v>75</v>
      </c>
    </row>
    <row r="346" spans="1:32" ht="43.2" x14ac:dyDescent="0.3">
      <c r="A346" t="s">
        <v>2801</v>
      </c>
      <c r="B346" s="6">
        <v>2020</v>
      </c>
      <c r="C346" s="7">
        <v>12</v>
      </c>
      <c r="D346" s="6" t="s">
        <v>71</v>
      </c>
      <c r="E346" s="7">
        <v>1</v>
      </c>
      <c r="F346" s="14" t="s">
        <v>2800</v>
      </c>
      <c r="G346" t="s">
        <v>217</v>
      </c>
      <c r="H346" s="4" t="s">
        <v>2772</v>
      </c>
      <c r="I346" s="4" t="s">
        <v>2798</v>
      </c>
      <c r="J346" s="3">
        <v>9</v>
      </c>
      <c r="L346" s="4" t="s">
        <v>2799</v>
      </c>
      <c r="M346" s="3">
        <v>14</v>
      </c>
      <c r="N346" s="4" t="s">
        <v>192</v>
      </c>
      <c r="O346" s="3">
        <v>1</v>
      </c>
      <c r="P346" s="3">
        <v>2</v>
      </c>
      <c r="Q346" s="10" t="s">
        <v>118</v>
      </c>
      <c r="R346" s="6" t="s">
        <v>193</v>
      </c>
      <c r="S346" s="6" t="s">
        <v>194</v>
      </c>
      <c r="T346" s="10" t="s">
        <v>195</v>
      </c>
      <c r="U346" t="s">
        <v>158</v>
      </c>
      <c r="V346" t="s">
        <v>77</v>
      </c>
      <c r="W346" s="7">
        <v>1</v>
      </c>
      <c r="X346" s="7">
        <v>3</v>
      </c>
      <c r="Y346" s="7">
        <v>1</v>
      </c>
      <c r="Z346" s="7">
        <v>5</v>
      </c>
      <c r="AA346" s="12" t="s">
        <v>74</v>
      </c>
      <c r="AB346" s="11">
        <v>2</v>
      </c>
      <c r="AC346" s="10" t="s">
        <v>72</v>
      </c>
      <c r="AD346">
        <v>30</v>
      </c>
      <c r="AE346" t="s">
        <v>73</v>
      </c>
      <c r="AF346" t="s">
        <v>1773</v>
      </c>
    </row>
    <row r="347" spans="1:32" ht="72" x14ac:dyDescent="0.3">
      <c r="A347" t="s">
        <v>2808</v>
      </c>
      <c r="B347" s="6">
        <v>2020</v>
      </c>
      <c r="C347" s="7">
        <v>12</v>
      </c>
      <c r="D347" s="6" t="s">
        <v>71</v>
      </c>
      <c r="E347" s="7">
        <v>1</v>
      </c>
      <c r="F347" s="14" t="s">
        <v>2807</v>
      </c>
      <c r="G347" t="s">
        <v>2806</v>
      </c>
      <c r="H347" s="4" t="s">
        <v>2773</v>
      </c>
      <c r="I347" s="4" t="s">
        <v>2802</v>
      </c>
      <c r="J347" s="3">
        <v>1</v>
      </c>
      <c r="K347" t="s">
        <v>2803</v>
      </c>
      <c r="L347" s="4" t="s">
        <v>487</v>
      </c>
      <c r="M347" s="3">
        <v>4</v>
      </c>
      <c r="N347" s="4" t="s">
        <v>2804</v>
      </c>
      <c r="O347" s="3">
        <v>100</v>
      </c>
      <c r="P347" s="3">
        <v>100</v>
      </c>
      <c r="Q347" s="12" t="s">
        <v>75</v>
      </c>
      <c r="R347" s="12" t="s">
        <v>75</v>
      </c>
      <c r="S347" s="13" t="s">
        <v>75</v>
      </c>
      <c r="T347" s="13" t="s">
        <v>75</v>
      </c>
      <c r="U347" s="13" t="s">
        <v>75</v>
      </c>
      <c r="V347" s="13" t="s">
        <v>75</v>
      </c>
      <c r="W347" s="3">
        <v>3</v>
      </c>
      <c r="X347" s="3">
        <v>3</v>
      </c>
      <c r="Y347" s="3">
        <v>17</v>
      </c>
      <c r="Z347" s="3">
        <v>4</v>
      </c>
      <c r="AA347" s="12" t="s">
        <v>74</v>
      </c>
      <c r="AB347" s="11">
        <v>2</v>
      </c>
      <c r="AC347" s="12" t="s">
        <v>75</v>
      </c>
      <c r="AD347" s="12" t="s">
        <v>75</v>
      </c>
      <c r="AE347" s="12" t="s">
        <v>75</v>
      </c>
      <c r="AF347" s="6" t="s">
        <v>2805</v>
      </c>
    </row>
    <row r="348" spans="1:32" ht="57.6" x14ac:dyDescent="0.3">
      <c r="A348" t="s">
        <v>2813</v>
      </c>
      <c r="B348" s="6">
        <v>2020</v>
      </c>
      <c r="C348" s="7">
        <v>12</v>
      </c>
      <c r="D348" s="6" t="s">
        <v>71</v>
      </c>
      <c r="E348" s="7">
        <v>1</v>
      </c>
      <c r="F348" s="14" t="s">
        <v>2812</v>
      </c>
      <c r="G348" t="s">
        <v>1002</v>
      </c>
      <c r="H348" s="4" t="s">
        <v>2774</v>
      </c>
      <c r="I348" s="4" t="s">
        <v>2809</v>
      </c>
      <c r="J348" s="3">
        <v>1</v>
      </c>
      <c r="K348" t="s">
        <v>2811</v>
      </c>
      <c r="L348" s="4" t="s">
        <v>2810</v>
      </c>
      <c r="M348" s="3">
        <v>4</v>
      </c>
      <c r="N348" s="10" t="s">
        <v>415</v>
      </c>
      <c r="O348" s="11">
        <v>1</v>
      </c>
      <c r="P348" s="11">
        <v>1</v>
      </c>
      <c r="Q348" s="10" t="s">
        <v>416</v>
      </c>
      <c r="R348" s="10" t="s">
        <v>193</v>
      </c>
      <c r="S348" s="10" t="s">
        <v>194</v>
      </c>
      <c r="T348" s="10" t="s">
        <v>417</v>
      </c>
      <c r="U348" t="s">
        <v>158</v>
      </c>
      <c r="V348" t="s">
        <v>77</v>
      </c>
      <c r="W348" s="7">
        <v>1</v>
      </c>
      <c r="X348" s="7">
        <v>3</v>
      </c>
      <c r="Y348" s="7">
        <v>1</v>
      </c>
      <c r="Z348" s="7">
        <v>5</v>
      </c>
      <c r="AA348" s="12" t="s">
        <v>74</v>
      </c>
      <c r="AB348" s="11">
        <v>2</v>
      </c>
      <c r="AC348" s="10" t="s">
        <v>779</v>
      </c>
      <c r="AD348">
        <v>90</v>
      </c>
      <c r="AE348" t="s">
        <v>73</v>
      </c>
    </row>
    <row r="349" spans="1:32" ht="43.2" x14ac:dyDescent="0.3">
      <c r="A349" t="s">
        <v>2445</v>
      </c>
      <c r="B349" s="6">
        <v>2020</v>
      </c>
      <c r="C349" s="7">
        <v>12</v>
      </c>
      <c r="D349" s="6" t="s">
        <v>71</v>
      </c>
      <c r="E349" s="7">
        <v>1</v>
      </c>
      <c r="F349" s="14" t="s">
        <v>2818</v>
      </c>
      <c r="G349" t="s">
        <v>2819</v>
      </c>
      <c r="H349" s="4" t="s">
        <v>2775</v>
      </c>
      <c r="I349" s="4" t="s">
        <v>2816</v>
      </c>
      <c r="J349" s="3">
        <v>3</v>
      </c>
      <c r="K349" t="s">
        <v>2817</v>
      </c>
      <c r="L349" s="4" t="s">
        <v>2814</v>
      </c>
      <c r="M349" s="3">
        <v>3</v>
      </c>
      <c r="N349" s="10" t="s">
        <v>265</v>
      </c>
      <c r="O349" s="7">
        <v>1</v>
      </c>
      <c r="P349" s="7">
        <v>2</v>
      </c>
      <c r="Q349" s="10" t="s">
        <v>118</v>
      </c>
      <c r="R349" s="10" t="s">
        <v>266</v>
      </c>
      <c r="S349" s="6" t="s">
        <v>267</v>
      </c>
      <c r="T349" s="10" t="s">
        <v>268</v>
      </c>
      <c r="U349" t="s">
        <v>158</v>
      </c>
      <c r="V349" t="s">
        <v>77</v>
      </c>
      <c r="W349" s="7">
        <v>1</v>
      </c>
      <c r="X349" s="7">
        <v>3</v>
      </c>
      <c r="Y349" s="7">
        <v>1</v>
      </c>
      <c r="Z349" s="7">
        <v>5</v>
      </c>
      <c r="AA349" s="12" t="s">
        <v>74</v>
      </c>
      <c r="AB349" s="11">
        <v>2</v>
      </c>
      <c r="AC349" s="10" t="s">
        <v>72</v>
      </c>
      <c r="AD349">
        <v>30</v>
      </c>
      <c r="AE349" t="s">
        <v>73</v>
      </c>
      <c r="AF349" t="s">
        <v>2815</v>
      </c>
    </row>
    <row r="350" spans="1:32" ht="86.4" x14ac:dyDescent="0.3">
      <c r="A350" t="s">
        <v>2829</v>
      </c>
      <c r="B350" s="6">
        <v>2020</v>
      </c>
      <c r="C350" s="7">
        <v>12</v>
      </c>
      <c r="D350" s="6" t="s">
        <v>71</v>
      </c>
      <c r="E350" s="7">
        <v>1</v>
      </c>
      <c r="F350" s="14" t="s">
        <v>2828</v>
      </c>
      <c r="G350" t="s">
        <v>264</v>
      </c>
      <c r="H350" s="4" t="s">
        <v>2776</v>
      </c>
      <c r="I350" s="4" t="s">
        <v>2821</v>
      </c>
      <c r="J350" s="3">
        <v>3</v>
      </c>
      <c r="K350" t="s">
        <v>2827</v>
      </c>
      <c r="L350" s="4" t="s">
        <v>2820</v>
      </c>
      <c r="M350" s="3">
        <v>1</v>
      </c>
      <c r="N350" s="4" t="s">
        <v>192</v>
      </c>
      <c r="O350" s="3">
        <v>1</v>
      </c>
      <c r="P350" s="3">
        <v>2</v>
      </c>
      <c r="Q350" s="10" t="s">
        <v>118</v>
      </c>
      <c r="R350" s="6" t="s">
        <v>193</v>
      </c>
      <c r="S350" s="6" t="s">
        <v>194</v>
      </c>
      <c r="T350" s="10" t="s">
        <v>195</v>
      </c>
      <c r="U350" s="4" t="s">
        <v>2822</v>
      </c>
      <c r="V350" s="4" t="s">
        <v>2823</v>
      </c>
      <c r="W350" s="3">
        <v>2</v>
      </c>
      <c r="X350" s="3">
        <v>3</v>
      </c>
      <c r="Y350" s="3">
        <v>16</v>
      </c>
      <c r="Z350" s="3">
        <v>3</v>
      </c>
      <c r="AA350" s="12" t="s">
        <v>74</v>
      </c>
      <c r="AB350" s="11">
        <v>2</v>
      </c>
      <c r="AC350" s="10" t="s">
        <v>2825</v>
      </c>
      <c r="AD350" s="10" t="s">
        <v>2383</v>
      </c>
      <c r="AE350" t="s">
        <v>73</v>
      </c>
      <c r="AF350" t="s">
        <v>2824</v>
      </c>
    </row>
    <row r="351" spans="1:32" ht="201.6" x14ac:dyDescent="0.3">
      <c r="A351" t="s">
        <v>2844</v>
      </c>
      <c r="B351" s="6">
        <v>2020</v>
      </c>
      <c r="C351" s="7">
        <v>12</v>
      </c>
      <c r="D351" s="6" t="s">
        <v>71</v>
      </c>
      <c r="E351" s="7">
        <v>1</v>
      </c>
      <c r="F351" s="14" t="s">
        <v>2843</v>
      </c>
      <c r="G351" t="s">
        <v>637</v>
      </c>
      <c r="H351" s="4" t="s">
        <v>2777</v>
      </c>
      <c r="I351" s="4" t="s">
        <v>2845</v>
      </c>
      <c r="J351" s="3">
        <v>4</v>
      </c>
      <c r="K351" t="s">
        <v>2842</v>
      </c>
      <c r="L351" s="4" t="s">
        <v>2830</v>
      </c>
      <c r="M351" s="3">
        <v>15</v>
      </c>
      <c r="N351" s="4" t="s">
        <v>2839</v>
      </c>
      <c r="O351" s="3">
        <v>7</v>
      </c>
      <c r="P351" s="3">
        <v>3</v>
      </c>
      <c r="Q351" s="10" t="s">
        <v>2831</v>
      </c>
      <c r="R351" s="4" t="s">
        <v>2832</v>
      </c>
      <c r="S351" s="10" t="s">
        <v>2840</v>
      </c>
      <c r="T351" s="10" t="s">
        <v>2841</v>
      </c>
      <c r="U351" s="10" t="s">
        <v>2833</v>
      </c>
      <c r="V351" s="10" t="s">
        <v>2834</v>
      </c>
      <c r="W351" s="11">
        <v>2</v>
      </c>
      <c r="X351" s="11">
        <v>2</v>
      </c>
      <c r="Y351" s="11">
        <v>17</v>
      </c>
      <c r="Z351" s="11">
        <v>3</v>
      </c>
      <c r="AA351" s="10" t="s">
        <v>2835</v>
      </c>
      <c r="AB351" s="3">
        <v>1</v>
      </c>
      <c r="AC351" s="10" t="s">
        <v>72</v>
      </c>
      <c r="AD351" t="s">
        <v>2838</v>
      </c>
      <c r="AE351" s="4" t="s">
        <v>2837</v>
      </c>
      <c r="AF351" t="s">
        <v>2836</v>
      </c>
    </row>
    <row r="352" spans="1:32" ht="100.8" x14ac:dyDescent="0.3">
      <c r="A352" t="s">
        <v>2855</v>
      </c>
      <c r="B352" s="6">
        <v>2019</v>
      </c>
      <c r="C352" s="7">
        <v>11</v>
      </c>
      <c r="D352" s="6" t="s">
        <v>71</v>
      </c>
      <c r="E352" s="7">
        <v>1</v>
      </c>
      <c r="F352" s="14" t="s">
        <v>2854</v>
      </c>
      <c r="G352" t="s">
        <v>2853</v>
      </c>
      <c r="H352" s="4" t="s">
        <v>2778</v>
      </c>
      <c r="I352" s="4" t="s">
        <v>2846</v>
      </c>
      <c r="J352" s="3">
        <v>3</v>
      </c>
      <c r="K352" t="s">
        <v>905</v>
      </c>
      <c r="L352" s="4" t="s">
        <v>2847</v>
      </c>
      <c r="M352" s="3">
        <v>2</v>
      </c>
      <c r="N352" s="4" t="s">
        <v>2848</v>
      </c>
      <c r="O352" s="3">
        <v>2</v>
      </c>
      <c r="P352" s="3">
        <v>3</v>
      </c>
      <c r="Q352" s="10" t="s">
        <v>2849</v>
      </c>
      <c r="R352" s="4" t="s">
        <v>2188</v>
      </c>
      <c r="S352" s="4" t="s">
        <v>741</v>
      </c>
      <c r="T352" s="10" t="s">
        <v>2850</v>
      </c>
      <c r="U352" t="s">
        <v>76</v>
      </c>
      <c r="V352" t="s">
        <v>2851</v>
      </c>
      <c r="W352" s="7">
        <v>2</v>
      </c>
      <c r="X352" s="7">
        <v>3</v>
      </c>
      <c r="Y352" s="7">
        <v>9</v>
      </c>
      <c r="Z352" s="7">
        <v>3</v>
      </c>
      <c r="AA352" s="13" t="s">
        <v>74</v>
      </c>
      <c r="AB352" s="7">
        <v>2</v>
      </c>
      <c r="AC352" s="12" t="s">
        <v>75</v>
      </c>
      <c r="AD352" s="6">
        <v>30</v>
      </c>
      <c r="AE352" s="4" t="s">
        <v>73</v>
      </c>
      <c r="AF352" t="s">
        <v>2852</v>
      </c>
    </row>
    <row r="353" spans="1:32" ht="43.2" x14ac:dyDescent="0.3">
      <c r="A353" t="s">
        <v>2861</v>
      </c>
      <c r="B353" s="6">
        <v>2019</v>
      </c>
      <c r="C353" s="7">
        <v>11</v>
      </c>
      <c r="D353" s="6" t="s">
        <v>71</v>
      </c>
      <c r="E353" s="7">
        <v>1</v>
      </c>
      <c r="F353" s="14" t="s">
        <v>2860</v>
      </c>
      <c r="G353" t="s">
        <v>2859</v>
      </c>
      <c r="H353" s="4" t="s">
        <v>2779</v>
      </c>
      <c r="I353" s="4" t="s">
        <v>754</v>
      </c>
      <c r="J353" s="3">
        <v>3</v>
      </c>
      <c r="K353" t="s">
        <v>2858</v>
      </c>
      <c r="L353" s="4" t="s">
        <v>2856</v>
      </c>
      <c r="M353" s="3">
        <v>4</v>
      </c>
      <c r="N353" s="8" t="s">
        <v>75</v>
      </c>
      <c r="O353" s="3">
        <v>100</v>
      </c>
      <c r="P353" s="3">
        <v>100</v>
      </c>
      <c r="Q353" s="12" t="s">
        <v>75</v>
      </c>
      <c r="R353" s="12" t="s">
        <v>75</v>
      </c>
      <c r="S353" s="13" t="s">
        <v>75</v>
      </c>
      <c r="T353" s="13" t="s">
        <v>75</v>
      </c>
      <c r="U353" s="13" t="s">
        <v>75</v>
      </c>
      <c r="V353" s="13" t="s">
        <v>75</v>
      </c>
      <c r="W353" s="3">
        <v>3</v>
      </c>
      <c r="X353" s="3">
        <v>3</v>
      </c>
      <c r="Y353" s="3">
        <v>17</v>
      </c>
      <c r="Z353" s="3">
        <v>4</v>
      </c>
      <c r="AA353" s="12" t="s">
        <v>74</v>
      </c>
      <c r="AB353" s="11">
        <v>2</v>
      </c>
      <c r="AC353" s="12" t="s">
        <v>75</v>
      </c>
      <c r="AD353" s="12" t="s">
        <v>75</v>
      </c>
      <c r="AE353" s="12" t="s">
        <v>75</v>
      </c>
      <c r="AF353" t="s">
        <v>2857</v>
      </c>
    </row>
    <row r="354" spans="1:32" ht="115.2" x14ac:dyDescent="0.3">
      <c r="A354" t="s">
        <v>2869</v>
      </c>
      <c r="B354" s="6">
        <v>2019</v>
      </c>
      <c r="C354" s="7">
        <v>11</v>
      </c>
      <c r="D354" s="6" t="s">
        <v>71</v>
      </c>
      <c r="E354" s="7">
        <v>1</v>
      </c>
      <c r="F354" s="14" t="s">
        <v>2868</v>
      </c>
      <c r="G354" t="s">
        <v>2819</v>
      </c>
      <c r="H354" s="4" t="s">
        <v>2781</v>
      </c>
      <c r="I354" s="4" t="s">
        <v>2866</v>
      </c>
      <c r="J354" s="3">
        <v>3</v>
      </c>
      <c r="K354" t="s">
        <v>2150</v>
      </c>
      <c r="L354" s="4" t="s">
        <v>2862</v>
      </c>
      <c r="M354" s="3">
        <v>4</v>
      </c>
      <c r="N354" s="4" t="s">
        <v>2780</v>
      </c>
      <c r="O354" s="3">
        <v>3</v>
      </c>
      <c r="P354" s="3">
        <v>5</v>
      </c>
      <c r="Q354" t="s">
        <v>1750</v>
      </c>
      <c r="R354" s="10" t="s">
        <v>2863</v>
      </c>
      <c r="S354" s="10" t="s">
        <v>2864</v>
      </c>
      <c r="T354" s="10" t="s">
        <v>2865</v>
      </c>
      <c r="U354" s="12" t="s">
        <v>116</v>
      </c>
      <c r="V354" s="10" t="s">
        <v>186</v>
      </c>
      <c r="W354" s="3">
        <v>3</v>
      </c>
      <c r="X354" s="3">
        <v>3</v>
      </c>
      <c r="Y354" s="3">
        <v>17</v>
      </c>
      <c r="Z354" s="3">
        <v>4</v>
      </c>
      <c r="AA354" s="12" t="s">
        <v>74</v>
      </c>
      <c r="AB354" s="7">
        <v>2</v>
      </c>
      <c r="AC354" s="10" t="s">
        <v>672</v>
      </c>
      <c r="AD354" t="s">
        <v>2867</v>
      </c>
      <c r="AE354" t="s">
        <v>1906</v>
      </c>
    </row>
    <row r="355" spans="1:32" ht="158.4" x14ac:dyDescent="0.3">
      <c r="A355" t="s">
        <v>2875</v>
      </c>
      <c r="B355" s="6">
        <v>2019</v>
      </c>
      <c r="C355" s="7">
        <v>11</v>
      </c>
      <c r="D355" s="6" t="s">
        <v>71</v>
      </c>
      <c r="E355" s="7">
        <v>1</v>
      </c>
      <c r="F355" s="14" t="s">
        <v>2874</v>
      </c>
      <c r="G355" t="s">
        <v>329</v>
      </c>
      <c r="H355" s="4" t="s">
        <v>2782</v>
      </c>
      <c r="I355" s="4" t="s">
        <v>2871</v>
      </c>
      <c r="J355" s="3">
        <v>5</v>
      </c>
      <c r="K355" t="s">
        <v>975</v>
      </c>
      <c r="L355" s="4" t="s">
        <v>2870</v>
      </c>
      <c r="M355" s="3">
        <v>3</v>
      </c>
      <c r="N355" s="4" t="s">
        <v>1292</v>
      </c>
      <c r="O355" s="3">
        <v>1</v>
      </c>
      <c r="P355" s="3">
        <v>2</v>
      </c>
      <c r="Q355" s="10" t="s">
        <v>118</v>
      </c>
      <c r="R355" s="6" t="s">
        <v>193</v>
      </c>
      <c r="S355" s="6" t="s">
        <v>194</v>
      </c>
      <c r="T355" s="10" t="s">
        <v>1293</v>
      </c>
      <c r="U355" s="10" t="s">
        <v>158</v>
      </c>
      <c r="V355" s="10" t="s">
        <v>2873</v>
      </c>
      <c r="W355" s="7">
        <v>2</v>
      </c>
      <c r="X355" s="7">
        <v>3</v>
      </c>
      <c r="Y355" s="7">
        <v>17</v>
      </c>
      <c r="Z355" s="7">
        <v>4</v>
      </c>
      <c r="AA355" s="13" t="s">
        <v>74</v>
      </c>
      <c r="AB355" s="7">
        <v>2</v>
      </c>
      <c r="AC355" t="s">
        <v>72</v>
      </c>
      <c r="AD355">
        <v>90</v>
      </c>
      <c r="AE355" t="s">
        <v>73</v>
      </c>
      <c r="AF355" t="s">
        <v>2872</v>
      </c>
    </row>
    <row r="356" spans="1:32" ht="158.4" x14ac:dyDescent="0.3">
      <c r="A356" t="s">
        <v>2881</v>
      </c>
      <c r="B356" s="6">
        <v>2019</v>
      </c>
      <c r="C356" s="7">
        <v>11</v>
      </c>
      <c r="D356" s="6" t="s">
        <v>71</v>
      </c>
      <c r="E356" s="7">
        <v>1</v>
      </c>
      <c r="F356" s="14" t="s">
        <v>2880</v>
      </c>
      <c r="G356" t="s">
        <v>177</v>
      </c>
      <c r="H356" s="4" t="s">
        <v>2783</v>
      </c>
      <c r="I356" s="4" t="s">
        <v>2876</v>
      </c>
      <c r="J356" s="3">
        <v>3</v>
      </c>
      <c r="K356" t="s">
        <v>439</v>
      </c>
      <c r="L356" s="4" t="s">
        <v>2877</v>
      </c>
      <c r="M356" s="3">
        <v>3</v>
      </c>
      <c r="N356" s="8" t="s">
        <v>75</v>
      </c>
      <c r="O356" s="3">
        <v>100</v>
      </c>
      <c r="P356" s="3">
        <v>100</v>
      </c>
      <c r="Q356" s="10" t="s">
        <v>2878</v>
      </c>
      <c r="R356" s="12" t="s">
        <v>75</v>
      </c>
      <c r="S356" s="13" t="s">
        <v>75</v>
      </c>
      <c r="T356" s="13" t="s">
        <v>75</v>
      </c>
      <c r="U356" s="13" t="s">
        <v>75</v>
      </c>
      <c r="V356" s="13" t="s">
        <v>75</v>
      </c>
      <c r="W356" s="3">
        <v>3</v>
      </c>
      <c r="X356" s="3">
        <v>3</v>
      </c>
      <c r="Y356" s="3">
        <v>17</v>
      </c>
      <c r="Z356" s="3">
        <v>4</v>
      </c>
      <c r="AA356" s="12" t="s">
        <v>74</v>
      </c>
      <c r="AB356" s="11">
        <v>2</v>
      </c>
      <c r="AC356" s="12" t="s">
        <v>75</v>
      </c>
      <c r="AD356" t="s">
        <v>2879</v>
      </c>
      <c r="AE356" s="12" t="s">
        <v>75</v>
      </c>
    </row>
    <row r="357" spans="1:32" ht="57.6" x14ac:dyDescent="0.3">
      <c r="A357" t="s">
        <v>2887</v>
      </c>
      <c r="B357" s="6">
        <v>2019</v>
      </c>
      <c r="C357" s="7">
        <v>11</v>
      </c>
      <c r="D357" s="6" t="s">
        <v>71</v>
      </c>
      <c r="E357" s="7">
        <v>1</v>
      </c>
      <c r="F357" s="14" t="s">
        <v>2885</v>
      </c>
      <c r="G357" t="s">
        <v>2886</v>
      </c>
      <c r="H357" s="4" t="s">
        <v>2784</v>
      </c>
      <c r="I357" s="4" t="s">
        <v>2882</v>
      </c>
      <c r="J357" s="3">
        <v>3</v>
      </c>
      <c r="K357" t="s">
        <v>863</v>
      </c>
      <c r="L357" s="4" t="s">
        <v>2883</v>
      </c>
      <c r="M357" s="3">
        <v>15</v>
      </c>
      <c r="N357" s="4" t="s">
        <v>2785</v>
      </c>
      <c r="O357" s="3">
        <v>1</v>
      </c>
      <c r="P357" s="3">
        <v>100</v>
      </c>
      <c r="Q357" s="10" t="s">
        <v>118</v>
      </c>
      <c r="R357" t="s">
        <v>119</v>
      </c>
      <c r="S357" s="2" t="s">
        <v>75</v>
      </c>
      <c r="T357" t="s">
        <v>2884</v>
      </c>
      <c r="U357" t="s">
        <v>955</v>
      </c>
      <c r="V357" t="s">
        <v>72</v>
      </c>
      <c r="W357" s="7">
        <v>1</v>
      </c>
      <c r="X357" s="7">
        <v>3</v>
      </c>
      <c r="Y357" s="7">
        <v>3</v>
      </c>
      <c r="Z357" s="7">
        <v>5</v>
      </c>
      <c r="AA357" s="12" t="s">
        <v>74</v>
      </c>
      <c r="AB357" s="7">
        <v>2</v>
      </c>
      <c r="AC357" t="s">
        <v>72</v>
      </c>
      <c r="AD357">
        <v>10</v>
      </c>
      <c r="AE357" s="12" t="s">
        <v>75</v>
      </c>
      <c r="AF357" t="s">
        <v>1001</v>
      </c>
    </row>
    <row r="358" spans="1:32" ht="57.6" x14ac:dyDescent="0.3">
      <c r="A358" t="s">
        <v>1761</v>
      </c>
      <c r="B358" s="6">
        <v>2019</v>
      </c>
      <c r="C358" s="7">
        <v>11</v>
      </c>
      <c r="D358" s="6" t="s">
        <v>71</v>
      </c>
      <c r="E358" s="7">
        <v>1</v>
      </c>
      <c r="F358" s="14" t="s">
        <v>2892</v>
      </c>
      <c r="G358" t="s">
        <v>2893</v>
      </c>
      <c r="H358" s="4" t="s">
        <v>2786</v>
      </c>
      <c r="I358" s="4" t="s">
        <v>2889</v>
      </c>
      <c r="J358" s="3">
        <v>3</v>
      </c>
      <c r="K358" t="s">
        <v>2890</v>
      </c>
      <c r="L358" s="4" t="s">
        <v>2888</v>
      </c>
      <c r="M358" s="3">
        <v>12</v>
      </c>
      <c r="N358" s="8" t="s">
        <v>75</v>
      </c>
      <c r="O358" s="3">
        <v>100</v>
      </c>
      <c r="P358" s="3">
        <v>100</v>
      </c>
      <c r="Q358" s="12" t="s">
        <v>75</v>
      </c>
      <c r="R358" s="12" t="s">
        <v>75</v>
      </c>
      <c r="S358" s="13" t="s">
        <v>75</v>
      </c>
      <c r="T358" s="13" t="s">
        <v>75</v>
      </c>
      <c r="U358" s="13" t="s">
        <v>75</v>
      </c>
      <c r="V358" s="13" t="s">
        <v>75</v>
      </c>
      <c r="W358" s="3">
        <v>3</v>
      </c>
      <c r="X358" s="3">
        <v>3</v>
      </c>
      <c r="Y358" s="3">
        <v>17</v>
      </c>
      <c r="Z358" s="3">
        <v>4</v>
      </c>
      <c r="AA358" s="12" t="s">
        <v>74</v>
      </c>
      <c r="AB358" s="11">
        <v>2</v>
      </c>
      <c r="AC358" s="12" t="s">
        <v>75</v>
      </c>
      <c r="AD358" s="12" t="s">
        <v>75</v>
      </c>
      <c r="AE358" s="12" t="s">
        <v>75</v>
      </c>
      <c r="AF358" s="6" t="s">
        <v>2891</v>
      </c>
    </row>
    <row r="359" spans="1:32" ht="57.6" x14ac:dyDescent="0.3">
      <c r="A359" t="s">
        <v>2900</v>
      </c>
      <c r="B359" s="6">
        <v>2018</v>
      </c>
      <c r="C359" s="7">
        <v>10</v>
      </c>
      <c r="D359" s="6" t="s">
        <v>71</v>
      </c>
      <c r="E359" s="7">
        <v>1</v>
      </c>
      <c r="F359" s="14" t="s">
        <v>2899</v>
      </c>
      <c r="G359" t="s">
        <v>1802</v>
      </c>
      <c r="H359" s="4" t="s">
        <v>2788</v>
      </c>
      <c r="I359" s="4" t="s">
        <v>2894</v>
      </c>
      <c r="J359" s="3">
        <v>3</v>
      </c>
      <c r="K359" t="s">
        <v>2898</v>
      </c>
      <c r="L359" s="4" t="s">
        <v>1815</v>
      </c>
      <c r="M359" s="3">
        <v>3</v>
      </c>
      <c r="N359" s="10" t="s">
        <v>2787</v>
      </c>
      <c r="O359" s="11">
        <v>2</v>
      </c>
      <c r="P359" s="11">
        <v>3</v>
      </c>
      <c r="Q359" s="10" t="s">
        <v>866</v>
      </c>
      <c r="R359" s="6" t="s">
        <v>193</v>
      </c>
      <c r="S359" s="10" t="s">
        <v>868</v>
      </c>
      <c r="T359" s="10" t="s">
        <v>869</v>
      </c>
      <c r="U359" s="10" t="s">
        <v>2897</v>
      </c>
      <c r="V359" s="10" t="s">
        <v>2896</v>
      </c>
      <c r="W359" s="7">
        <v>1</v>
      </c>
      <c r="X359" s="7">
        <v>2</v>
      </c>
      <c r="Y359" s="7">
        <v>16</v>
      </c>
      <c r="Z359" s="7">
        <v>5</v>
      </c>
      <c r="AA359" s="13" t="s">
        <v>74</v>
      </c>
      <c r="AB359" s="7">
        <v>2</v>
      </c>
      <c r="AC359" s="10" t="s">
        <v>72</v>
      </c>
      <c r="AD359" t="s">
        <v>2895</v>
      </c>
      <c r="AE359" s="10" t="s">
        <v>1567</v>
      </c>
    </row>
    <row r="360" spans="1:32" ht="72" x14ac:dyDescent="0.3">
      <c r="A360" t="s">
        <v>2905</v>
      </c>
      <c r="B360" s="6">
        <v>2018</v>
      </c>
      <c r="C360" s="7">
        <v>10</v>
      </c>
      <c r="D360" s="6" t="s">
        <v>71</v>
      </c>
      <c r="E360" s="7">
        <v>1</v>
      </c>
      <c r="F360" s="14" t="s">
        <v>2904</v>
      </c>
      <c r="G360" t="s">
        <v>2819</v>
      </c>
      <c r="H360" s="4" t="s">
        <v>2789</v>
      </c>
      <c r="I360" s="4" t="s">
        <v>2902</v>
      </c>
      <c r="J360" s="3">
        <v>3</v>
      </c>
      <c r="K360" t="s">
        <v>905</v>
      </c>
      <c r="L360" s="4" t="s">
        <v>2901</v>
      </c>
      <c r="M360" s="3">
        <v>15</v>
      </c>
      <c r="N360" s="8" t="s">
        <v>75</v>
      </c>
      <c r="O360" s="3">
        <v>100</v>
      </c>
      <c r="P360" s="3">
        <v>100</v>
      </c>
      <c r="Q360" s="12" t="s">
        <v>75</v>
      </c>
      <c r="R360" s="12" t="s">
        <v>75</v>
      </c>
      <c r="S360" s="13" t="s">
        <v>75</v>
      </c>
      <c r="T360" s="13" t="s">
        <v>75</v>
      </c>
      <c r="U360" s="13" t="s">
        <v>75</v>
      </c>
      <c r="V360" s="13" t="s">
        <v>75</v>
      </c>
      <c r="W360" s="3">
        <v>3</v>
      </c>
      <c r="X360" s="3">
        <v>3</v>
      </c>
      <c r="Y360" s="3">
        <v>17</v>
      </c>
      <c r="Z360" s="3">
        <v>4</v>
      </c>
      <c r="AA360" s="12" t="s">
        <v>74</v>
      </c>
      <c r="AB360" s="11">
        <v>2</v>
      </c>
      <c r="AC360" s="12" t="s">
        <v>75</v>
      </c>
      <c r="AD360" s="12" t="s">
        <v>75</v>
      </c>
      <c r="AE360" s="12" t="s">
        <v>75</v>
      </c>
      <c r="AF360" s="6" t="s">
        <v>2903</v>
      </c>
    </row>
    <row r="361" spans="1:32" ht="43.2" x14ac:dyDescent="0.3">
      <c r="A361" t="s">
        <v>2911</v>
      </c>
      <c r="B361" s="6">
        <v>2018</v>
      </c>
      <c r="C361" s="7">
        <v>10</v>
      </c>
      <c r="D361" s="6" t="s">
        <v>71</v>
      </c>
      <c r="E361" s="7">
        <v>1</v>
      </c>
      <c r="F361" s="14" t="s">
        <v>2910</v>
      </c>
      <c r="G361" t="s">
        <v>1175</v>
      </c>
      <c r="H361" s="4" t="s">
        <v>2790</v>
      </c>
      <c r="I361" s="4" t="s">
        <v>2906</v>
      </c>
      <c r="J361" s="3">
        <v>3</v>
      </c>
      <c r="K361" t="s">
        <v>2907</v>
      </c>
      <c r="L361" s="4" t="s">
        <v>2908</v>
      </c>
      <c r="M361" s="3">
        <v>4</v>
      </c>
      <c r="N361" s="8" t="s">
        <v>2909</v>
      </c>
      <c r="O361" s="3">
        <v>100</v>
      </c>
      <c r="P361" s="3">
        <v>100</v>
      </c>
      <c r="Q361" s="12" t="s">
        <v>75</v>
      </c>
      <c r="R361" s="12" t="s">
        <v>75</v>
      </c>
      <c r="S361" s="13" t="s">
        <v>75</v>
      </c>
      <c r="T361" s="13" t="s">
        <v>75</v>
      </c>
      <c r="U361" s="13" t="s">
        <v>75</v>
      </c>
      <c r="V361" s="13" t="s">
        <v>75</v>
      </c>
      <c r="W361" s="3">
        <v>3</v>
      </c>
      <c r="X361" s="3">
        <v>3</v>
      </c>
      <c r="Y361" s="3">
        <v>17</v>
      </c>
      <c r="Z361" s="3">
        <v>4</v>
      </c>
      <c r="AA361" s="12" t="s">
        <v>74</v>
      </c>
      <c r="AB361" s="11">
        <v>2</v>
      </c>
      <c r="AC361" s="12" t="s">
        <v>75</v>
      </c>
      <c r="AD361" s="12" t="s">
        <v>75</v>
      </c>
      <c r="AE361" s="12" t="s">
        <v>75</v>
      </c>
    </row>
    <row r="362" spans="1:32" ht="72" x14ac:dyDescent="0.3">
      <c r="A362" t="s">
        <v>2916</v>
      </c>
      <c r="B362" s="6">
        <v>2018</v>
      </c>
      <c r="C362" s="7">
        <v>10</v>
      </c>
      <c r="D362" s="6" t="s">
        <v>71</v>
      </c>
      <c r="E362" s="7">
        <v>1</v>
      </c>
      <c r="F362" s="14" t="s">
        <v>2915</v>
      </c>
      <c r="G362" t="s">
        <v>2914</v>
      </c>
      <c r="H362" s="4" t="s">
        <v>2791</v>
      </c>
      <c r="I362" s="4" t="s">
        <v>2913</v>
      </c>
      <c r="J362" s="3">
        <v>3</v>
      </c>
      <c r="L362" s="4" t="s">
        <v>2912</v>
      </c>
      <c r="M362" s="3">
        <v>14</v>
      </c>
      <c r="N362" s="8" t="s">
        <v>75</v>
      </c>
      <c r="O362" s="3">
        <v>100</v>
      </c>
      <c r="P362" s="3">
        <v>100</v>
      </c>
      <c r="Q362" s="12" t="s">
        <v>75</v>
      </c>
      <c r="R362" s="12" t="s">
        <v>75</v>
      </c>
      <c r="S362" s="13" t="s">
        <v>75</v>
      </c>
      <c r="T362" s="13" t="s">
        <v>75</v>
      </c>
      <c r="U362" s="13" t="s">
        <v>75</v>
      </c>
      <c r="V362" s="13" t="s">
        <v>75</v>
      </c>
      <c r="W362" s="3">
        <v>3</v>
      </c>
      <c r="X362" s="3">
        <v>3</v>
      </c>
      <c r="Y362" s="3">
        <v>17</v>
      </c>
      <c r="Z362" s="3">
        <v>4</v>
      </c>
      <c r="AA362" s="12" t="s">
        <v>74</v>
      </c>
      <c r="AB362" s="11">
        <v>2</v>
      </c>
      <c r="AC362" s="12" t="s">
        <v>75</v>
      </c>
      <c r="AD362" s="12" t="s">
        <v>75</v>
      </c>
      <c r="AE362" s="12" t="s">
        <v>75</v>
      </c>
    </row>
    <row r="363" spans="1:32" ht="72" x14ac:dyDescent="0.3">
      <c r="A363" t="s">
        <v>2929</v>
      </c>
      <c r="B363" s="6">
        <v>2018</v>
      </c>
      <c r="C363" s="7">
        <v>10</v>
      </c>
      <c r="D363" s="6" t="s">
        <v>71</v>
      </c>
      <c r="E363" s="7">
        <v>1</v>
      </c>
      <c r="F363" s="14" t="s">
        <v>2928</v>
      </c>
      <c r="G363" t="s">
        <v>329</v>
      </c>
      <c r="H363" s="4" t="s">
        <v>2792</v>
      </c>
      <c r="I363" s="4" t="s">
        <v>2918</v>
      </c>
      <c r="J363" s="3">
        <v>5</v>
      </c>
      <c r="L363" s="4" t="s">
        <v>2917</v>
      </c>
      <c r="M363" s="3">
        <v>5</v>
      </c>
      <c r="N363" s="4" t="s">
        <v>133</v>
      </c>
      <c r="O363" s="3">
        <v>2</v>
      </c>
      <c r="P363" s="3">
        <v>3</v>
      </c>
      <c r="Q363" s="10" t="s">
        <v>134</v>
      </c>
      <c r="R363" s="10" t="s">
        <v>2925</v>
      </c>
      <c r="S363" s="10" t="s">
        <v>2926</v>
      </c>
      <c r="T363" s="10" t="s">
        <v>137</v>
      </c>
      <c r="U363" s="4" t="s">
        <v>2923</v>
      </c>
      <c r="V363" s="4" t="s">
        <v>2924</v>
      </c>
      <c r="W363" s="7">
        <v>1</v>
      </c>
      <c r="X363" s="7">
        <v>2</v>
      </c>
      <c r="Y363" s="7">
        <v>16</v>
      </c>
      <c r="Z363" s="7">
        <v>3</v>
      </c>
      <c r="AA363" t="s">
        <v>2921</v>
      </c>
      <c r="AB363" s="3">
        <v>1</v>
      </c>
      <c r="AC363" s="10" t="s">
        <v>2927</v>
      </c>
      <c r="AD363" s="10" t="s">
        <v>2922</v>
      </c>
      <c r="AE363" s="10" t="s">
        <v>2919</v>
      </c>
      <c r="AF363" t="s">
        <v>2920</v>
      </c>
    </row>
    <row r="364" spans="1:32" ht="43.2" x14ac:dyDescent="0.3">
      <c r="A364" t="s">
        <v>2960</v>
      </c>
      <c r="B364" s="6">
        <v>2018</v>
      </c>
      <c r="C364" s="7">
        <v>10</v>
      </c>
      <c r="D364" s="6" t="s">
        <v>71</v>
      </c>
      <c r="E364" s="7">
        <v>1</v>
      </c>
      <c r="F364" s="14" t="s">
        <v>2959</v>
      </c>
      <c r="G364" t="s">
        <v>1175</v>
      </c>
      <c r="H364" s="4" t="s">
        <v>2930</v>
      </c>
      <c r="I364" s="4" t="s">
        <v>2957</v>
      </c>
      <c r="J364" s="3">
        <v>3</v>
      </c>
      <c r="K364" t="s">
        <v>2958</v>
      </c>
      <c r="L364" s="4" t="s">
        <v>490</v>
      </c>
      <c r="M364" s="3">
        <v>4</v>
      </c>
      <c r="N364" s="4" t="s">
        <v>192</v>
      </c>
      <c r="O364" s="3">
        <v>1</v>
      </c>
      <c r="P364" s="3">
        <v>2</v>
      </c>
      <c r="Q364" s="10" t="s">
        <v>118</v>
      </c>
      <c r="R364" s="6" t="s">
        <v>193</v>
      </c>
      <c r="S364" s="6" t="s">
        <v>194</v>
      </c>
      <c r="T364" s="10" t="s">
        <v>195</v>
      </c>
      <c r="U364" t="s">
        <v>158</v>
      </c>
      <c r="V364" t="s">
        <v>77</v>
      </c>
      <c r="W364" s="7">
        <v>1</v>
      </c>
      <c r="X364" s="7">
        <v>3</v>
      </c>
      <c r="Y364" s="7">
        <v>1</v>
      </c>
      <c r="Z364" s="7">
        <v>5</v>
      </c>
      <c r="AA364" s="12" t="s">
        <v>74</v>
      </c>
      <c r="AB364" s="11">
        <v>2</v>
      </c>
      <c r="AC364" s="10" t="s">
        <v>72</v>
      </c>
      <c r="AD364">
        <v>90</v>
      </c>
      <c r="AE364" t="s">
        <v>73</v>
      </c>
      <c r="AF364" t="s">
        <v>845</v>
      </c>
    </row>
    <row r="365" spans="1:32" ht="57.6" x14ac:dyDescent="0.3">
      <c r="A365" t="s">
        <v>2964</v>
      </c>
      <c r="B365" s="6">
        <v>2018</v>
      </c>
      <c r="C365" s="7">
        <v>10</v>
      </c>
      <c r="D365" s="6" t="s">
        <v>71</v>
      </c>
      <c r="E365" s="7">
        <v>1</v>
      </c>
      <c r="F365" s="14" t="s">
        <v>2963</v>
      </c>
      <c r="G365" t="s">
        <v>405</v>
      </c>
      <c r="H365" s="4" t="s">
        <v>2931</v>
      </c>
      <c r="I365" s="4" t="s">
        <v>760</v>
      </c>
      <c r="J365" s="3">
        <v>3</v>
      </c>
      <c r="L365" s="4" t="s">
        <v>2962</v>
      </c>
      <c r="M365" s="3">
        <v>4</v>
      </c>
      <c r="N365" s="8" t="s">
        <v>75</v>
      </c>
      <c r="O365" s="3">
        <v>100</v>
      </c>
      <c r="P365" s="3">
        <v>100</v>
      </c>
      <c r="Q365" s="12" t="s">
        <v>75</v>
      </c>
      <c r="R365" s="12" t="s">
        <v>75</v>
      </c>
      <c r="S365" s="13" t="s">
        <v>75</v>
      </c>
      <c r="T365" s="13" t="s">
        <v>75</v>
      </c>
      <c r="U365" s="13" t="s">
        <v>75</v>
      </c>
      <c r="V365" s="13" t="s">
        <v>75</v>
      </c>
      <c r="W365" s="3">
        <v>3</v>
      </c>
      <c r="X365" s="3">
        <v>3</v>
      </c>
      <c r="Y365" s="3">
        <v>17</v>
      </c>
      <c r="Z365" s="3">
        <v>4</v>
      </c>
      <c r="AA365" s="12" t="s">
        <v>74</v>
      </c>
      <c r="AB365" s="11">
        <v>2</v>
      </c>
      <c r="AC365" s="12" t="s">
        <v>75</v>
      </c>
      <c r="AD365" s="12" t="s">
        <v>75</v>
      </c>
      <c r="AE365" s="12" t="s">
        <v>75</v>
      </c>
      <c r="AF365" t="s">
        <v>2961</v>
      </c>
    </row>
    <row r="366" spans="1:32" ht="43.2" x14ac:dyDescent="0.3">
      <c r="A366" t="s">
        <v>3006</v>
      </c>
      <c r="B366" s="6">
        <v>2017</v>
      </c>
      <c r="C366" s="7">
        <v>9</v>
      </c>
      <c r="D366" s="6" t="s">
        <v>71</v>
      </c>
      <c r="E366" s="7">
        <v>1</v>
      </c>
      <c r="F366" s="14" t="s">
        <v>3007</v>
      </c>
      <c r="G366" t="s">
        <v>217</v>
      </c>
      <c r="H366" s="4" t="s">
        <v>2933</v>
      </c>
      <c r="I366" s="4" t="s">
        <v>3004</v>
      </c>
      <c r="J366" s="3">
        <v>3</v>
      </c>
      <c r="K366" t="s">
        <v>3005</v>
      </c>
      <c r="L366" s="4" t="s">
        <v>1542</v>
      </c>
      <c r="M366" s="3">
        <v>4</v>
      </c>
      <c r="N366" s="4" t="s">
        <v>2932</v>
      </c>
      <c r="O366" s="3">
        <v>1</v>
      </c>
      <c r="P366" s="3">
        <v>100</v>
      </c>
      <c r="Q366" s="10" t="s">
        <v>118</v>
      </c>
      <c r="R366" t="s">
        <v>119</v>
      </c>
      <c r="S366" s="2" t="s">
        <v>75</v>
      </c>
      <c r="T366" t="s">
        <v>2884</v>
      </c>
      <c r="U366" s="13" t="s">
        <v>75</v>
      </c>
      <c r="V366" s="13" t="s">
        <v>75</v>
      </c>
      <c r="W366" s="3">
        <v>3</v>
      </c>
      <c r="X366" s="3">
        <v>3</v>
      </c>
      <c r="Y366" s="3">
        <v>17</v>
      </c>
      <c r="Z366" s="3">
        <v>4</v>
      </c>
      <c r="AA366" s="12" t="s">
        <v>74</v>
      </c>
      <c r="AB366" s="11">
        <v>2</v>
      </c>
      <c r="AC366" s="12" t="s">
        <v>75</v>
      </c>
      <c r="AD366" s="12" t="s">
        <v>75</v>
      </c>
      <c r="AE366" s="12" t="s">
        <v>75</v>
      </c>
    </row>
    <row r="367" spans="1:32" ht="57.6" x14ac:dyDescent="0.3">
      <c r="A367" t="s">
        <v>2997</v>
      </c>
      <c r="B367" s="6">
        <v>2016</v>
      </c>
      <c r="C367" s="7">
        <v>8</v>
      </c>
      <c r="D367" s="6" t="s">
        <v>71</v>
      </c>
      <c r="E367" s="7">
        <v>1</v>
      </c>
      <c r="F367" s="14" t="s">
        <v>2996</v>
      </c>
      <c r="G367" t="s">
        <v>217</v>
      </c>
      <c r="H367" s="4" t="s">
        <v>2934</v>
      </c>
      <c r="I367" s="4" t="s">
        <v>2994</v>
      </c>
      <c r="J367" s="3">
        <v>6</v>
      </c>
      <c r="K367" t="s">
        <v>1070</v>
      </c>
      <c r="L367" s="4" t="s">
        <v>2995</v>
      </c>
      <c r="M367" s="3">
        <v>15</v>
      </c>
      <c r="N367" s="8" t="s">
        <v>75</v>
      </c>
      <c r="O367" s="3">
        <v>100</v>
      </c>
      <c r="P367" s="3">
        <v>100</v>
      </c>
      <c r="Q367" s="12" t="s">
        <v>75</v>
      </c>
      <c r="R367" s="12" t="s">
        <v>75</v>
      </c>
      <c r="S367" s="13" t="s">
        <v>75</v>
      </c>
      <c r="T367" s="13" t="s">
        <v>75</v>
      </c>
      <c r="U367" s="13" t="s">
        <v>75</v>
      </c>
      <c r="V367" s="13" t="s">
        <v>75</v>
      </c>
      <c r="W367" s="3">
        <v>3</v>
      </c>
      <c r="X367" s="3">
        <v>3</v>
      </c>
      <c r="Y367" s="3">
        <v>17</v>
      </c>
      <c r="Z367" s="3">
        <v>4</v>
      </c>
      <c r="AA367" s="12" t="s">
        <v>74</v>
      </c>
      <c r="AB367" s="11">
        <v>2</v>
      </c>
      <c r="AC367" s="12" t="s">
        <v>75</v>
      </c>
      <c r="AD367" s="12" t="s">
        <v>75</v>
      </c>
      <c r="AE367" s="12" t="s">
        <v>75</v>
      </c>
    </row>
    <row r="368" spans="1:32" ht="86.4" x14ac:dyDescent="0.3">
      <c r="A368" t="s">
        <v>2993</v>
      </c>
      <c r="B368" s="6">
        <v>2016</v>
      </c>
      <c r="C368" s="7">
        <v>8</v>
      </c>
      <c r="D368" s="6" t="s">
        <v>71</v>
      </c>
      <c r="E368" s="7">
        <v>1</v>
      </c>
      <c r="F368" s="14" t="s">
        <v>2998</v>
      </c>
      <c r="G368" t="s">
        <v>799</v>
      </c>
      <c r="H368" s="4" t="s">
        <v>2935</v>
      </c>
      <c r="I368" s="4" t="s">
        <v>48</v>
      </c>
      <c r="J368" s="3">
        <v>8</v>
      </c>
      <c r="L368" s="4" t="s">
        <v>2992</v>
      </c>
      <c r="M368" s="3">
        <v>9</v>
      </c>
      <c r="N368" s="4" t="s">
        <v>936</v>
      </c>
      <c r="O368" s="3">
        <v>1</v>
      </c>
      <c r="P368" s="3">
        <v>2</v>
      </c>
      <c r="Q368" s="10" t="s">
        <v>937</v>
      </c>
      <c r="R368" s="6" t="s">
        <v>156</v>
      </c>
      <c r="S368" s="6" t="s">
        <v>938</v>
      </c>
      <c r="T368" s="10" t="s">
        <v>939</v>
      </c>
      <c r="U368" s="10" t="s">
        <v>2609</v>
      </c>
      <c r="V368" s="10" t="s">
        <v>2610</v>
      </c>
      <c r="W368" s="7">
        <v>3</v>
      </c>
      <c r="X368" s="7">
        <v>3</v>
      </c>
      <c r="Y368" s="7">
        <v>17</v>
      </c>
      <c r="Z368" s="7">
        <v>4</v>
      </c>
      <c r="AA368" s="13" t="s">
        <v>74</v>
      </c>
      <c r="AB368" s="7">
        <v>2</v>
      </c>
      <c r="AC368" s="12" t="s">
        <v>285</v>
      </c>
      <c r="AD368" s="10" t="s">
        <v>2611</v>
      </c>
      <c r="AE368" s="10" t="s">
        <v>73</v>
      </c>
    </row>
    <row r="369" spans="1:32" ht="57.6" x14ac:dyDescent="0.3">
      <c r="A369" t="s">
        <v>3010</v>
      </c>
      <c r="B369" s="6">
        <v>2015</v>
      </c>
      <c r="C369" s="7">
        <v>7</v>
      </c>
      <c r="D369" s="6" t="s">
        <v>71</v>
      </c>
      <c r="E369" s="7">
        <v>1</v>
      </c>
      <c r="F369" s="14" t="s">
        <v>3009</v>
      </c>
      <c r="G369" t="s">
        <v>190</v>
      </c>
      <c r="H369" s="4" t="s">
        <v>2936</v>
      </c>
      <c r="I369" s="4" t="s">
        <v>1744</v>
      </c>
      <c r="J369" s="3">
        <v>1</v>
      </c>
      <c r="K369" t="s">
        <v>2323</v>
      </c>
      <c r="L369" s="4" t="s">
        <v>3008</v>
      </c>
      <c r="M369" s="3">
        <v>15</v>
      </c>
      <c r="N369" s="8" t="s">
        <v>75</v>
      </c>
      <c r="O369" s="3">
        <v>100</v>
      </c>
      <c r="P369" s="3">
        <v>100</v>
      </c>
      <c r="Q369" s="12" t="s">
        <v>75</v>
      </c>
      <c r="R369" s="12" t="s">
        <v>75</v>
      </c>
      <c r="S369" s="13" t="s">
        <v>75</v>
      </c>
      <c r="T369" s="13" t="s">
        <v>75</v>
      </c>
      <c r="U369" s="13" t="s">
        <v>75</v>
      </c>
      <c r="V369" s="13" t="s">
        <v>75</v>
      </c>
      <c r="W369" s="3">
        <v>3</v>
      </c>
      <c r="X369" s="3">
        <v>3</v>
      </c>
      <c r="Y369" s="3">
        <v>17</v>
      </c>
      <c r="Z369" s="3">
        <v>4</v>
      </c>
      <c r="AA369" s="12" t="s">
        <v>74</v>
      </c>
      <c r="AB369" s="11">
        <v>2</v>
      </c>
      <c r="AC369" s="12" t="s">
        <v>75</v>
      </c>
      <c r="AD369" s="12" t="s">
        <v>75</v>
      </c>
      <c r="AE369" s="12" t="s">
        <v>75</v>
      </c>
    </row>
    <row r="370" spans="1:32" ht="57.6" x14ac:dyDescent="0.3">
      <c r="A370" t="s">
        <v>3003</v>
      </c>
      <c r="B370" s="6">
        <v>2015</v>
      </c>
      <c r="C370" s="7">
        <v>7</v>
      </c>
      <c r="D370" s="6" t="s">
        <v>71</v>
      </c>
      <c r="E370" s="7">
        <v>1</v>
      </c>
      <c r="F370" s="14" t="s">
        <v>3002</v>
      </c>
      <c r="G370" t="s">
        <v>177</v>
      </c>
      <c r="H370" s="4" t="s">
        <v>2937</v>
      </c>
      <c r="I370" s="4" t="s">
        <v>3001</v>
      </c>
      <c r="J370" s="3">
        <v>6</v>
      </c>
      <c r="K370" t="s">
        <v>975</v>
      </c>
      <c r="L370" s="4" t="s">
        <v>3000</v>
      </c>
      <c r="M370" s="3">
        <v>3</v>
      </c>
      <c r="N370" s="8" t="s">
        <v>75</v>
      </c>
      <c r="O370" s="3">
        <v>100</v>
      </c>
      <c r="P370" s="3">
        <v>100</v>
      </c>
      <c r="Q370" s="12" t="s">
        <v>75</v>
      </c>
      <c r="R370" s="12" t="s">
        <v>75</v>
      </c>
      <c r="S370" s="13" t="s">
        <v>75</v>
      </c>
      <c r="T370" s="13" t="s">
        <v>75</v>
      </c>
      <c r="U370" t="s">
        <v>76</v>
      </c>
      <c r="V370" t="s">
        <v>2999</v>
      </c>
      <c r="W370" s="3">
        <v>2</v>
      </c>
      <c r="X370" s="3">
        <v>3</v>
      </c>
      <c r="Y370" s="3">
        <v>11</v>
      </c>
      <c r="Z370" s="3">
        <v>3</v>
      </c>
      <c r="AA370" s="12" t="s">
        <v>74</v>
      </c>
      <c r="AB370" s="11">
        <v>2</v>
      </c>
      <c r="AC370" s="12" t="s">
        <v>75</v>
      </c>
      <c r="AD370" s="12" t="s">
        <v>75</v>
      </c>
      <c r="AE370" s="12" t="s">
        <v>75</v>
      </c>
    </row>
    <row r="371" spans="1:32" ht="57.6" x14ac:dyDescent="0.3">
      <c r="A371" t="s">
        <v>2984</v>
      </c>
      <c r="B371" s="6">
        <v>2015</v>
      </c>
      <c r="C371" s="7">
        <v>7</v>
      </c>
      <c r="D371" s="6" t="s">
        <v>71</v>
      </c>
      <c r="E371" s="7">
        <v>1</v>
      </c>
      <c r="F371" s="15" t="s">
        <v>2983</v>
      </c>
      <c r="G371" t="s">
        <v>550</v>
      </c>
      <c r="H371" s="4" t="s">
        <v>2938</v>
      </c>
      <c r="I371" t="s">
        <v>50</v>
      </c>
      <c r="J371" s="3">
        <v>9</v>
      </c>
      <c r="L371" s="4" t="s">
        <v>2982</v>
      </c>
      <c r="M371" s="3">
        <v>5</v>
      </c>
      <c r="N371" t="s">
        <v>2454</v>
      </c>
      <c r="O371" s="3">
        <v>1</v>
      </c>
      <c r="P371" s="11">
        <v>1</v>
      </c>
      <c r="Q371" s="10" t="s">
        <v>118</v>
      </c>
      <c r="R371" s="6" t="s">
        <v>193</v>
      </c>
      <c r="S371" s="6" t="s">
        <v>194</v>
      </c>
      <c r="T371" s="10" t="s">
        <v>195</v>
      </c>
      <c r="U371" s="12" t="s">
        <v>347</v>
      </c>
      <c r="V371" s="12" t="s">
        <v>506</v>
      </c>
      <c r="W371" s="7">
        <v>3</v>
      </c>
      <c r="X371" s="7">
        <v>3</v>
      </c>
      <c r="Y371" s="7">
        <v>17</v>
      </c>
      <c r="Z371" s="7">
        <v>4</v>
      </c>
      <c r="AA371" s="12" t="s">
        <v>74</v>
      </c>
      <c r="AB371" s="11">
        <v>2</v>
      </c>
      <c r="AC371" s="10" t="s">
        <v>672</v>
      </c>
      <c r="AD371" s="12" t="s">
        <v>75</v>
      </c>
      <c r="AE371" t="s">
        <v>73</v>
      </c>
    </row>
    <row r="372" spans="1:32" ht="28.8" x14ac:dyDescent="0.3">
      <c r="A372" t="s">
        <v>2988</v>
      </c>
      <c r="B372" s="6">
        <v>2015</v>
      </c>
      <c r="C372" s="7">
        <v>7</v>
      </c>
      <c r="D372" s="6" t="s">
        <v>71</v>
      </c>
      <c r="E372" s="7">
        <v>1</v>
      </c>
      <c r="F372" s="14" t="s">
        <v>2987</v>
      </c>
      <c r="G372" t="s">
        <v>2986</v>
      </c>
      <c r="H372" s="4" t="s">
        <v>2939</v>
      </c>
      <c r="I372" t="s">
        <v>48</v>
      </c>
      <c r="J372" s="3">
        <v>8</v>
      </c>
      <c r="L372" s="4" t="s">
        <v>2985</v>
      </c>
      <c r="M372" s="3">
        <v>4</v>
      </c>
      <c r="N372" s="4" t="s">
        <v>192</v>
      </c>
      <c r="O372" s="3">
        <v>1</v>
      </c>
      <c r="P372" s="3">
        <v>1</v>
      </c>
      <c r="Q372" s="10" t="s">
        <v>118</v>
      </c>
      <c r="R372" s="6" t="s">
        <v>193</v>
      </c>
      <c r="S372" s="6" t="s">
        <v>194</v>
      </c>
      <c r="T372" s="10" t="s">
        <v>195</v>
      </c>
      <c r="U372" s="12" t="s">
        <v>116</v>
      </c>
      <c r="V372" s="10" t="s">
        <v>186</v>
      </c>
      <c r="W372" s="3">
        <v>3</v>
      </c>
      <c r="X372" s="3">
        <v>3</v>
      </c>
      <c r="Y372" s="3">
        <v>17</v>
      </c>
      <c r="Z372" s="3">
        <v>4</v>
      </c>
      <c r="AA372" s="12" t="s">
        <v>74</v>
      </c>
      <c r="AB372" s="7">
        <v>2</v>
      </c>
      <c r="AC372" s="10" t="s">
        <v>672</v>
      </c>
      <c r="AD372" s="10" t="s">
        <v>2383</v>
      </c>
      <c r="AE372" t="s">
        <v>73</v>
      </c>
    </row>
    <row r="373" spans="1:32" ht="86.4" x14ac:dyDescent="0.3">
      <c r="A373" t="s">
        <v>2971</v>
      </c>
      <c r="B373" s="6">
        <v>2015</v>
      </c>
      <c r="C373" s="7">
        <v>7</v>
      </c>
      <c r="D373" s="6" t="s">
        <v>71</v>
      </c>
      <c r="E373" s="7">
        <v>1</v>
      </c>
      <c r="F373" s="14" t="s">
        <v>2967</v>
      </c>
      <c r="G373" t="s">
        <v>799</v>
      </c>
      <c r="H373" s="4" t="s">
        <v>2940</v>
      </c>
      <c r="I373" t="s">
        <v>37</v>
      </c>
      <c r="J373" s="3">
        <v>5</v>
      </c>
      <c r="L373" s="4" t="s">
        <v>2965</v>
      </c>
      <c r="M373" s="3">
        <v>15</v>
      </c>
      <c r="N373" s="4" t="s">
        <v>2966</v>
      </c>
      <c r="O373" s="3">
        <v>1</v>
      </c>
      <c r="P373" s="3">
        <v>1</v>
      </c>
      <c r="Q373" s="10" t="s">
        <v>851</v>
      </c>
      <c r="R373" s="10" t="s">
        <v>1219</v>
      </c>
      <c r="S373" s="10" t="s">
        <v>1599</v>
      </c>
      <c r="T373" s="10" t="s">
        <v>2968</v>
      </c>
      <c r="U373" s="10" t="s">
        <v>1213</v>
      </c>
      <c r="V373" s="10" t="s">
        <v>2969</v>
      </c>
      <c r="W373" s="3">
        <v>3</v>
      </c>
      <c r="X373" s="3">
        <v>3</v>
      </c>
      <c r="Y373" s="3">
        <v>17</v>
      </c>
      <c r="Z373" s="3">
        <v>4</v>
      </c>
      <c r="AA373" s="12" t="s">
        <v>74</v>
      </c>
      <c r="AB373" s="7">
        <v>2</v>
      </c>
      <c r="AC373" s="10" t="s">
        <v>672</v>
      </c>
      <c r="AD373" t="s">
        <v>2970</v>
      </c>
      <c r="AE373" t="s">
        <v>1567</v>
      </c>
    </row>
    <row r="374" spans="1:32" ht="57.6" x14ac:dyDescent="0.3">
      <c r="A374" t="s">
        <v>2981</v>
      </c>
      <c r="B374" s="6">
        <v>2015</v>
      </c>
      <c r="C374" s="7">
        <v>7</v>
      </c>
      <c r="D374" s="6" t="s">
        <v>71</v>
      </c>
      <c r="E374" s="7">
        <v>1</v>
      </c>
      <c r="F374" s="14" t="s">
        <v>2980</v>
      </c>
      <c r="G374" t="s">
        <v>1525</v>
      </c>
      <c r="H374" s="4" t="s">
        <v>2941</v>
      </c>
      <c r="I374" s="4" t="s">
        <v>1301</v>
      </c>
      <c r="J374" s="3">
        <v>3</v>
      </c>
      <c r="K374" t="s">
        <v>2979</v>
      </c>
      <c r="L374" s="4" t="s">
        <v>2978</v>
      </c>
      <c r="M374" s="3">
        <v>4</v>
      </c>
      <c r="N374" s="10" t="s">
        <v>265</v>
      </c>
      <c r="O374" s="3">
        <v>1</v>
      </c>
      <c r="P374" s="3">
        <v>1</v>
      </c>
      <c r="Q374" s="10" t="s">
        <v>118</v>
      </c>
      <c r="R374" s="10" t="s">
        <v>266</v>
      </c>
      <c r="S374" s="6" t="s">
        <v>267</v>
      </c>
      <c r="T374" s="10" t="s">
        <v>268</v>
      </c>
      <c r="U374" s="12" t="s">
        <v>116</v>
      </c>
      <c r="V374" s="12" t="s">
        <v>506</v>
      </c>
      <c r="W374" s="7">
        <v>3</v>
      </c>
      <c r="X374" s="7">
        <v>3</v>
      </c>
      <c r="Y374" s="7">
        <v>17</v>
      </c>
      <c r="Z374" s="7">
        <v>4</v>
      </c>
      <c r="AA374" s="12" t="s">
        <v>74</v>
      </c>
      <c r="AB374" s="7">
        <v>2</v>
      </c>
      <c r="AC374" s="10" t="s">
        <v>672</v>
      </c>
      <c r="AD374">
        <v>30</v>
      </c>
      <c r="AE374" t="s">
        <v>73</v>
      </c>
    </row>
    <row r="375" spans="1:32" ht="72" x14ac:dyDescent="0.3">
      <c r="A375" t="s">
        <v>2977</v>
      </c>
      <c r="B375" s="6">
        <v>2014</v>
      </c>
      <c r="C375" s="7">
        <v>6</v>
      </c>
      <c r="D375" s="6" t="s">
        <v>71</v>
      </c>
      <c r="E375" s="7">
        <v>1</v>
      </c>
      <c r="F375" s="14" t="s">
        <v>2976</v>
      </c>
      <c r="G375" t="s">
        <v>147</v>
      </c>
      <c r="H375" s="4" t="s">
        <v>2942</v>
      </c>
      <c r="I375" s="4" t="s">
        <v>2974</v>
      </c>
      <c r="J375" s="3">
        <v>3</v>
      </c>
      <c r="K375" t="s">
        <v>2975</v>
      </c>
      <c r="L375" t="s">
        <v>2972</v>
      </c>
      <c r="M375" s="3">
        <v>4</v>
      </c>
      <c r="N375" s="4" t="s">
        <v>192</v>
      </c>
      <c r="O375" s="3">
        <v>1</v>
      </c>
      <c r="P375" s="3">
        <v>1</v>
      </c>
      <c r="Q375" s="10" t="s">
        <v>118</v>
      </c>
      <c r="R375" s="6" t="s">
        <v>193</v>
      </c>
      <c r="S375" s="6" t="s">
        <v>194</v>
      </c>
      <c r="T375" s="10" t="s">
        <v>195</v>
      </c>
      <c r="U375" s="12" t="s">
        <v>116</v>
      </c>
      <c r="V375" s="10" t="s">
        <v>186</v>
      </c>
      <c r="W375" s="3">
        <v>3</v>
      </c>
      <c r="X375" s="3">
        <v>3</v>
      </c>
      <c r="Y375" s="3">
        <v>17</v>
      </c>
      <c r="Z375" s="3">
        <v>4</v>
      </c>
      <c r="AA375" s="12" t="s">
        <v>74</v>
      </c>
      <c r="AB375" s="7">
        <v>2</v>
      </c>
      <c r="AC375" t="s">
        <v>72</v>
      </c>
      <c r="AD375">
        <v>90</v>
      </c>
      <c r="AE375" t="s">
        <v>73</v>
      </c>
      <c r="AF375" t="s">
        <v>2973</v>
      </c>
    </row>
    <row r="376" spans="1:32" ht="72" x14ac:dyDescent="0.3">
      <c r="A376" t="s">
        <v>2991</v>
      </c>
      <c r="B376" s="6">
        <v>2013</v>
      </c>
      <c r="C376" s="7">
        <v>5</v>
      </c>
      <c r="D376" s="6" t="s">
        <v>71</v>
      </c>
      <c r="E376" s="7">
        <v>1</v>
      </c>
      <c r="F376" s="14" t="s">
        <v>2990</v>
      </c>
      <c r="G376" t="s">
        <v>1836</v>
      </c>
      <c r="H376" s="4" t="s">
        <v>2943</v>
      </c>
      <c r="I376" t="s">
        <v>48</v>
      </c>
      <c r="J376" s="3">
        <v>8</v>
      </c>
      <c r="L376" s="4" t="s">
        <v>2989</v>
      </c>
      <c r="M376" s="3">
        <v>8</v>
      </c>
      <c r="N376" s="4" t="s">
        <v>2944</v>
      </c>
      <c r="O376" s="3">
        <v>1</v>
      </c>
      <c r="P376" s="3">
        <v>2</v>
      </c>
      <c r="Q376" s="10" t="s">
        <v>1585</v>
      </c>
      <c r="R376" s="6"/>
      <c r="S376" s="6" t="s">
        <v>1586</v>
      </c>
      <c r="T376" s="10" t="s">
        <v>1587</v>
      </c>
      <c r="U376" s="10" t="s">
        <v>2747</v>
      </c>
      <c r="V376" s="10" t="s">
        <v>1589</v>
      </c>
      <c r="W376" s="7">
        <v>3</v>
      </c>
      <c r="X376" s="7">
        <v>3</v>
      </c>
      <c r="Y376" s="7">
        <v>17</v>
      </c>
      <c r="Z376" s="7">
        <v>4</v>
      </c>
      <c r="AA376" s="13" t="s">
        <v>74</v>
      </c>
      <c r="AB376" s="7">
        <v>2</v>
      </c>
      <c r="AC376" s="10" t="s">
        <v>672</v>
      </c>
      <c r="AD376" s="6">
        <v>3700</v>
      </c>
      <c r="AE376" s="10" t="s">
        <v>73</v>
      </c>
    </row>
    <row r="377" spans="1:32" ht="57.6" x14ac:dyDescent="0.3">
      <c r="A377" t="s">
        <v>3037</v>
      </c>
      <c r="B377" s="6">
        <v>2013</v>
      </c>
      <c r="C377" s="7">
        <v>5</v>
      </c>
      <c r="D377" s="6" t="s">
        <v>71</v>
      </c>
      <c r="E377" s="7">
        <v>1</v>
      </c>
      <c r="F377" s="14" t="s">
        <v>3036</v>
      </c>
      <c r="G377" t="s">
        <v>217</v>
      </c>
      <c r="H377" s="4" t="s">
        <v>2945</v>
      </c>
      <c r="I377" s="4" t="s">
        <v>3035</v>
      </c>
      <c r="J377" s="3">
        <v>3</v>
      </c>
      <c r="K377" t="s">
        <v>1111</v>
      </c>
      <c r="L377" s="4" t="s">
        <v>3034</v>
      </c>
      <c r="M377" s="3">
        <v>4</v>
      </c>
      <c r="N377" s="8" t="s">
        <v>75</v>
      </c>
      <c r="O377" s="3">
        <v>100</v>
      </c>
      <c r="P377" s="3">
        <v>100</v>
      </c>
      <c r="Q377" s="12" t="s">
        <v>75</v>
      </c>
      <c r="R377" s="12" t="s">
        <v>75</v>
      </c>
      <c r="S377" s="13" t="s">
        <v>75</v>
      </c>
      <c r="T377" s="13" t="s">
        <v>75</v>
      </c>
      <c r="U377" s="13" t="s">
        <v>75</v>
      </c>
      <c r="V377" s="13" t="s">
        <v>75</v>
      </c>
      <c r="W377" s="3">
        <v>3</v>
      </c>
      <c r="X377" s="3">
        <v>3</v>
      </c>
      <c r="Y377" s="3">
        <v>17</v>
      </c>
      <c r="Z377" s="3">
        <v>4</v>
      </c>
      <c r="AA377" s="12" t="s">
        <v>74</v>
      </c>
      <c r="AB377" s="11">
        <v>2</v>
      </c>
      <c r="AC377" s="12" t="s">
        <v>75</v>
      </c>
      <c r="AD377" s="12" t="s">
        <v>75</v>
      </c>
      <c r="AE377" s="12" t="s">
        <v>75</v>
      </c>
    </row>
    <row r="378" spans="1:32" ht="57.6" x14ac:dyDescent="0.3">
      <c r="A378" t="s">
        <v>3068</v>
      </c>
      <c r="B378" s="6">
        <v>2013</v>
      </c>
      <c r="C378" s="7">
        <v>5</v>
      </c>
      <c r="D378" s="6" t="s">
        <v>71</v>
      </c>
      <c r="E378" s="7">
        <v>1</v>
      </c>
      <c r="F378" s="14" t="s">
        <v>3067</v>
      </c>
      <c r="G378" t="s">
        <v>1770</v>
      </c>
      <c r="H378" s="4" t="s">
        <v>2946</v>
      </c>
      <c r="I378" s="4" t="s">
        <v>48</v>
      </c>
      <c r="J378" s="3">
        <v>8</v>
      </c>
      <c r="L378" s="4" t="s">
        <v>3066</v>
      </c>
      <c r="M378" s="3">
        <v>1</v>
      </c>
      <c r="N378" s="4" t="s">
        <v>2947</v>
      </c>
      <c r="O378" s="3">
        <v>1</v>
      </c>
      <c r="P378" s="3">
        <v>2</v>
      </c>
      <c r="Q378" s="10" t="s">
        <v>118</v>
      </c>
      <c r="R378" t="s">
        <v>1846</v>
      </c>
      <c r="S378" t="s">
        <v>1860</v>
      </c>
      <c r="T378" s="4" t="s">
        <v>1861</v>
      </c>
      <c r="U378" t="s">
        <v>76</v>
      </c>
      <c r="V378" s="2" t="s">
        <v>1862</v>
      </c>
      <c r="W378" s="7">
        <v>2</v>
      </c>
      <c r="X378" s="7">
        <v>3</v>
      </c>
      <c r="Y378" s="7">
        <v>16</v>
      </c>
      <c r="Z378" s="7">
        <v>4</v>
      </c>
      <c r="AA378" s="13" t="s">
        <v>74</v>
      </c>
      <c r="AB378" s="7">
        <v>2</v>
      </c>
      <c r="AC378" s="12" t="s">
        <v>75</v>
      </c>
      <c r="AD378">
        <v>1000</v>
      </c>
      <c r="AE378" t="s">
        <v>73</v>
      </c>
    </row>
    <row r="379" spans="1:32" ht="115.2" x14ac:dyDescent="0.3">
      <c r="A379" t="s">
        <v>3071</v>
      </c>
      <c r="B379" s="6">
        <v>2012</v>
      </c>
      <c r="C379" s="7">
        <v>4</v>
      </c>
      <c r="D379" s="6" t="s">
        <v>71</v>
      </c>
      <c r="E379" s="7">
        <v>1</v>
      </c>
      <c r="F379" s="14" t="s">
        <v>3070</v>
      </c>
      <c r="G379" t="s">
        <v>1688</v>
      </c>
      <c r="H379" s="4" t="s">
        <v>2948</v>
      </c>
      <c r="I379" s="4" t="s">
        <v>48</v>
      </c>
      <c r="J379" s="3">
        <v>8</v>
      </c>
      <c r="L379" s="4" t="s">
        <v>3069</v>
      </c>
      <c r="M379" s="3">
        <v>4</v>
      </c>
      <c r="N379" s="10" t="s">
        <v>1683</v>
      </c>
      <c r="O379" s="11">
        <v>2</v>
      </c>
      <c r="P379" s="11">
        <v>4</v>
      </c>
      <c r="Q379" s="10" t="s">
        <v>851</v>
      </c>
      <c r="R379" s="10" t="s">
        <v>1219</v>
      </c>
      <c r="S379" s="10" t="s">
        <v>1599</v>
      </c>
      <c r="T379" s="10" t="s">
        <v>1600</v>
      </c>
      <c r="U379" s="10" t="s">
        <v>1601</v>
      </c>
      <c r="V379" s="10" t="s">
        <v>1602</v>
      </c>
      <c r="W379" s="11">
        <v>2</v>
      </c>
      <c r="X379" s="11">
        <v>3</v>
      </c>
      <c r="Y379" s="11">
        <v>16</v>
      </c>
      <c r="Z379" s="11">
        <v>3</v>
      </c>
      <c r="AA379" s="13" t="s">
        <v>74</v>
      </c>
      <c r="AB379" s="7">
        <v>2</v>
      </c>
      <c r="AC379" s="12" t="s">
        <v>75</v>
      </c>
      <c r="AD379" s="10" t="s">
        <v>1863</v>
      </c>
      <c r="AE379" s="10" t="s">
        <v>73</v>
      </c>
    </row>
    <row r="380" spans="1:32" ht="86.4" x14ac:dyDescent="0.3">
      <c r="A380" t="s">
        <v>3049</v>
      </c>
      <c r="B380" s="6">
        <v>2012</v>
      </c>
      <c r="C380" s="7">
        <v>4</v>
      </c>
      <c r="D380" s="6" t="s">
        <v>71</v>
      </c>
      <c r="E380" s="7">
        <v>1</v>
      </c>
      <c r="F380" s="14" t="s">
        <v>3048</v>
      </c>
      <c r="G380" t="s">
        <v>1877</v>
      </c>
      <c r="H380" s="4" t="s">
        <v>2949</v>
      </c>
      <c r="I380" s="4" t="s">
        <v>2627</v>
      </c>
      <c r="J380" s="3">
        <v>3</v>
      </c>
      <c r="K380" t="s">
        <v>975</v>
      </c>
      <c r="L380" t="s">
        <v>3039</v>
      </c>
      <c r="M380" s="3">
        <v>3</v>
      </c>
      <c r="N380" s="4" t="s">
        <v>3038</v>
      </c>
      <c r="O380" s="3">
        <v>3</v>
      </c>
      <c r="P380" s="3">
        <v>4</v>
      </c>
      <c r="Q380" s="4" t="s">
        <v>3018</v>
      </c>
      <c r="R380" s="4" t="s">
        <v>3040</v>
      </c>
      <c r="S380" s="4" t="s">
        <v>3041</v>
      </c>
      <c r="T380" s="4" t="s">
        <v>3042</v>
      </c>
      <c r="U380" s="12" t="s">
        <v>3046</v>
      </c>
      <c r="V380" s="12" t="s">
        <v>3047</v>
      </c>
      <c r="W380" s="3">
        <v>3</v>
      </c>
      <c r="X380" s="3">
        <v>3</v>
      </c>
      <c r="Y380" s="3">
        <v>17</v>
      </c>
      <c r="Z380" s="3">
        <v>4</v>
      </c>
      <c r="AA380" t="s">
        <v>3043</v>
      </c>
      <c r="AB380" s="3">
        <v>1</v>
      </c>
      <c r="AD380" s="4" t="s">
        <v>3044</v>
      </c>
      <c r="AF380" t="s">
        <v>3045</v>
      </c>
    </row>
    <row r="381" spans="1:32" ht="43.2" x14ac:dyDescent="0.3">
      <c r="A381" t="s">
        <v>3053</v>
      </c>
      <c r="B381" s="6">
        <v>2012</v>
      </c>
      <c r="C381" s="7">
        <v>4</v>
      </c>
      <c r="D381" s="6" t="s">
        <v>71</v>
      </c>
      <c r="E381" s="7">
        <v>1</v>
      </c>
      <c r="F381" s="14" t="s">
        <v>3052</v>
      </c>
      <c r="G381" t="s">
        <v>799</v>
      </c>
      <c r="H381" s="4" t="s">
        <v>2950</v>
      </c>
      <c r="I381" s="4" t="s">
        <v>37</v>
      </c>
      <c r="J381" s="3">
        <v>5</v>
      </c>
      <c r="L381" s="4" t="s">
        <v>3050</v>
      </c>
      <c r="M381" s="3">
        <v>1</v>
      </c>
      <c r="N381" s="8" t="s">
        <v>75</v>
      </c>
      <c r="O381" s="3">
        <v>100</v>
      </c>
      <c r="P381" s="3">
        <v>100</v>
      </c>
      <c r="Q381" s="12" t="s">
        <v>75</v>
      </c>
      <c r="R381" s="12" t="s">
        <v>75</v>
      </c>
      <c r="S381" s="13" t="s">
        <v>75</v>
      </c>
      <c r="T381" s="13" t="s">
        <v>75</v>
      </c>
      <c r="U381" s="13" t="s">
        <v>75</v>
      </c>
      <c r="V381" s="13" t="s">
        <v>75</v>
      </c>
      <c r="W381" s="3">
        <v>3</v>
      </c>
      <c r="X381" s="3">
        <v>3</v>
      </c>
      <c r="Y381" s="3">
        <v>17</v>
      </c>
      <c r="Z381" s="3">
        <v>4</v>
      </c>
      <c r="AA381" s="12" t="s">
        <v>74</v>
      </c>
      <c r="AB381" s="11">
        <v>2</v>
      </c>
      <c r="AC381" s="12" t="s">
        <v>75</v>
      </c>
      <c r="AD381" s="12" t="s">
        <v>75</v>
      </c>
      <c r="AE381" s="12" t="s">
        <v>75</v>
      </c>
      <c r="AF381" s="6" t="s">
        <v>3051</v>
      </c>
    </row>
    <row r="382" spans="1:32" ht="72" x14ac:dyDescent="0.3">
      <c r="A382" t="s">
        <v>3027</v>
      </c>
      <c r="B382" s="6">
        <v>2012</v>
      </c>
      <c r="C382" s="7">
        <v>4</v>
      </c>
      <c r="D382" s="6" t="s">
        <v>71</v>
      </c>
      <c r="E382" s="7">
        <v>1</v>
      </c>
      <c r="F382" s="14" t="s">
        <v>3028</v>
      </c>
      <c r="G382" t="s">
        <v>3026</v>
      </c>
      <c r="H382" s="4" t="s">
        <v>2951</v>
      </c>
      <c r="I382" s="4" t="s">
        <v>3025</v>
      </c>
      <c r="J382" s="3">
        <v>3</v>
      </c>
      <c r="L382" s="4" t="s">
        <v>3024</v>
      </c>
      <c r="M382" s="3">
        <v>14</v>
      </c>
      <c r="N382" s="8" t="s">
        <v>75</v>
      </c>
      <c r="O382" s="3">
        <v>100</v>
      </c>
      <c r="P382" s="3">
        <v>100</v>
      </c>
      <c r="Q382" s="12" t="s">
        <v>75</v>
      </c>
      <c r="R382" s="12" t="s">
        <v>75</v>
      </c>
      <c r="S382" s="13" t="s">
        <v>75</v>
      </c>
      <c r="T382" s="13" t="s">
        <v>75</v>
      </c>
      <c r="U382" s="13" t="s">
        <v>75</v>
      </c>
      <c r="V382" s="13" t="s">
        <v>75</v>
      </c>
      <c r="W382" s="3">
        <v>3</v>
      </c>
      <c r="X382" s="3">
        <v>3</v>
      </c>
      <c r="Y382" s="3">
        <v>17</v>
      </c>
      <c r="Z382" s="3">
        <v>4</v>
      </c>
      <c r="AA382" s="12" t="s">
        <v>74</v>
      </c>
      <c r="AB382" s="11">
        <v>2</v>
      </c>
      <c r="AC382" s="12" t="s">
        <v>75</v>
      </c>
      <c r="AD382" s="12" t="s">
        <v>75</v>
      </c>
      <c r="AE382" s="12" t="s">
        <v>75</v>
      </c>
    </row>
    <row r="383" spans="1:32" ht="57.6" x14ac:dyDescent="0.3">
      <c r="A383" t="s">
        <v>3033</v>
      </c>
      <c r="B383" s="6">
        <v>2012</v>
      </c>
      <c r="C383" s="7">
        <v>4</v>
      </c>
      <c r="D383" s="6" t="s">
        <v>71</v>
      </c>
      <c r="E383" s="7">
        <v>1</v>
      </c>
      <c r="F383" s="14" t="s">
        <v>3032</v>
      </c>
      <c r="G383" t="s">
        <v>217</v>
      </c>
      <c r="H383" s="4" t="s">
        <v>2952</v>
      </c>
      <c r="I383" s="4" t="s">
        <v>3029</v>
      </c>
      <c r="J383" s="3">
        <v>3</v>
      </c>
      <c r="K383" t="s">
        <v>109</v>
      </c>
      <c r="L383" s="4" t="s">
        <v>3030</v>
      </c>
      <c r="M383" s="3">
        <v>3</v>
      </c>
      <c r="N383" s="4" t="s">
        <v>265</v>
      </c>
      <c r="O383" s="3">
        <v>1</v>
      </c>
      <c r="P383" s="3">
        <v>1</v>
      </c>
      <c r="Q383" s="10" t="s">
        <v>118</v>
      </c>
      <c r="R383" s="10" t="s">
        <v>266</v>
      </c>
      <c r="S383" s="6" t="s">
        <v>267</v>
      </c>
      <c r="T383" s="10" t="s">
        <v>268</v>
      </c>
      <c r="U383" s="12" t="s">
        <v>116</v>
      </c>
      <c r="V383" s="10" t="s">
        <v>186</v>
      </c>
      <c r="W383" s="3">
        <v>3</v>
      </c>
      <c r="X383" s="3">
        <v>3</v>
      </c>
      <c r="Y383" s="3">
        <v>17</v>
      </c>
      <c r="Z383" s="3">
        <v>4</v>
      </c>
      <c r="AA383" s="12" t="s">
        <v>74</v>
      </c>
      <c r="AB383" s="11">
        <v>2</v>
      </c>
      <c r="AC383" t="s">
        <v>3031</v>
      </c>
      <c r="AD383">
        <v>30</v>
      </c>
      <c r="AE383" t="s">
        <v>73</v>
      </c>
    </row>
    <row r="384" spans="1:32" ht="72" x14ac:dyDescent="0.3">
      <c r="A384" t="s">
        <v>3065</v>
      </c>
      <c r="B384" s="6">
        <v>2010</v>
      </c>
      <c r="C384" s="7">
        <v>2</v>
      </c>
      <c r="D384" s="6" t="s">
        <v>71</v>
      </c>
      <c r="E384" s="7">
        <v>1</v>
      </c>
      <c r="F384" s="14" t="s">
        <v>3064</v>
      </c>
      <c r="G384" t="s">
        <v>3061</v>
      </c>
      <c r="H384" s="4" t="s">
        <v>2953</v>
      </c>
      <c r="I384" s="4" t="s">
        <v>3062</v>
      </c>
      <c r="J384" s="3">
        <v>3</v>
      </c>
      <c r="K384" t="s">
        <v>1646</v>
      </c>
      <c r="L384" s="4" t="s">
        <v>3063</v>
      </c>
      <c r="M384" s="3">
        <v>3</v>
      </c>
      <c r="N384" s="4" t="s">
        <v>1584</v>
      </c>
      <c r="O384" s="11">
        <v>1</v>
      </c>
      <c r="P384" s="11">
        <v>2</v>
      </c>
      <c r="Q384" s="10" t="s">
        <v>1585</v>
      </c>
      <c r="R384" s="6"/>
      <c r="S384" s="6" t="s">
        <v>1586</v>
      </c>
      <c r="T384" s="10" t="s">
        <v>1587</v>
      </c>
      <c r="U384" s="10" t="s">
        <v>2747</v>
      </c>
      <c r="V384" s="10" t="s">
        <v>1589</v>
      </c>
      <c r="W384" s="7">
        <v>3</v>
      </c>
      <c r="X384" s="7">
        <v>3</v>
      </c>
      <c r="Y384" s="7">
        <v>17</v>
      </c>
      <c r="Z384" s="7">
        <v>4</v>
      </c>
      <c r="AA384" s="13" t="s">
        <v>74</v>
      </c>
      <c r="AB384" s="7">
        <v>2</v>
      </c>
      <c r="AC384" s="10" t="s">
        <v>672</v>
      </c>
      <c r="AD384" s="6">
        <v>2000</v>
      </c>
      <c r="AE384" s="10" t="s">
        <v>73</v>
      </c>
    </row>
    <row r="385" spans="1:32" ht="115.2" x14ac:dyDescent="0.3">
      <c r="A385" t="s">
        <v>3060</v>
      </c>
      <c r="B385" s="6">
        <v>2010</v>
      </c>
      <c r="C385" s="7">
        <v>2</v>
      </c>
      <c r="D385" s="6" t="s">
        <v>71</v>
      </c>
      <c r="E385" s="7">
        <v>1</v>
      </c>
      <c r="F385" s="14" t="s">
        <v>3059</v>
      </c>
      <c r="G385" t="s">
        <v>3058</v>
      </c>
      <c r="H385" s="4" t="s">
        <v>2954</v>
      </c>
      <c r="I385" s="4" t="s">
        <v>3055</v>
      </c>
      <c r="J385" s="3">
        <v>3</v>
      </c>
      <c r="K385" t="s">
        <v>3072</v>
      </c>
      <c r="L385" s="4" t="s">
        <v>3054</v>
      </c>
      <c r="M385" s="3">
        <v>4</v>
      </c>
      <c r="N385" s="4" t="s">
        <v>2955</v>
      </c>
      <c r="O385" s="3">
        <v>1</v>
      </c>
      <c r="P385" s="3">
        <v>1</v>
      </c>
      <c r="Q385" s="10" t="s">
        <v>118</v>
      </c>
      <c r="R385" t="s">
        <v>119</v>
      </c>
      <c r="S385" t="s">
        <v>3056</v>
      </c>
      <c r="T385" t="s">
        <v>2884</v>
      </c>
      <c r="U385" s="13" t="s">
        <v>75</v>
      </c>
      <c r="V385" s="13" t="s">
        <v>75</v>
      </c>
      <c r="W385" s="3">
        <v>3</v>
      </c>
      <c r="X385" s="3">
        <v>3</v>
      </c>
      <c r="Y385" s="3">
        <v>17</v>
      </c>
      <c r="Z385" s="3">
        <v>4</v>
      </c>
      <c r="AA385" s="12" t="s">
        <v>74</v>
      </c>
      <c r="AB385" s="11">
        <v>2</v>
      </c>
      <c r="AC385" s="12" t="s">
        <v>75</v>
      </c>
      <c r="AD385" s="10">
        <v>10</v>
      </c>
      <c r="AE385" s="12" t="s">
        <v>75</v>
      </c>
      <c r="AF385" s="6" t="s">
        <v>3057</v>
      </c>
    </row>
    <row r="386" spans="1:32" ht="72" x14ac:dyDescent="0.3">
      <c r="A386" t="s">
        <v>3023</v>
      </c>
      <c r="B386" s="6">
        <v>2009</v>
      </c>
      <c r="C386" s="7">
        <v>1</v>
      </c>
      <c r="D386" s="6" t="s">
        <v>71</v>
      </c>
      <c r="E386" s="7">
        <v>1</v>
      </c>
      <c r="F386" s="14" t="s">
        <v>3022</v>
      </c>
      <c r="G386" t="s">
        <v>2282</v>
      </c>
      <c r="H386" s="4" t="s">
        <v>2956</v>
      </c>
      <c r="I386" s="4" t="s">
        <v>3011</v>
      </c>
      <c r="J386" s="3">
        <v>3</v>
      </c>
      <c r="K386" t="s">
        <v>967</v>
      </c>
      <c r="L386" s="4" t="s">
        <v>3012</v>
      </c>
      <c r="M386" s="3">
        <v>14</v>
      </c>
      <c r="N386" s="4" t="s">
        <v>3013</v>
      </c>
      <c r="O386" s="3">
        <v>3</v>
      </c>
      <c r="P386" s="3">
        <v>4</v>
      </c>
      <c r="Q386" s="4" t="s">
        <v>3018</v>
      </c>
      <c r="R386" s="4" t="s">
        <v>3019</v>
      </c>
      <c r="S386" s="4" t="s">
        <v>172</v>
      </c>
      <c r="T386" s="4" t="s">
        <v>3014</v>
      </c>
      <c r="U386" s="4" t="s">
        <v>3021</v>
      </c>
      <c r="V386" s="13" t="s">
        <v>75</v>
      </c>
      <c r="W386" s="3">
        <v>3</v>
      </c>
      <c r="X386" s="3">
        <v>3</v>
      </c>
      <c r="Y386" s="3">
        <v>17</v>
      </c>
      <c r="Z386" s="3">
        <v>4</v>
      </c>
      <c r="AA386" s="4" t="s">
        <v>3016</v>
      </c>
      <c r="AB386" s="3">
        <v>1</v>
      </c>
      <c r="AC386" t="s">
        <v>3015</v>
      </c>
      <c r="AD386" t="s">
        <v>3017</v>
      </c>
      <c r="AE386" s="4" t="s">
        <v>3020</v>
      </c>
    </row>
    <row r="388" spans="1:32" x14ac:dyDescent="0.3">
      <c r="A388" s="2" t="s">
        <v>3073</v>
      </c>
      <c r="B388" s="2">
        <v>2009</v>
      </c>
      <c r="C388" s="3">
        <f>COUNTIF($C$2:$C$386, 1)</f>
        <v>4</v>
      </c>
      <c r="D388" s="2" t="s">
        <v>71</v>
      </c>
      <c r="E388" s="3">
        <f>COUNTIF($E$2:$E$386, 1)</f>
        <v>385</v>
      </c>
      <c r="I388" s="2" t="s">
        <v>10</v>
      </c>
      <c r="J388" s="3">
        <f>COUNTIF($J$2:$J$386, 1)</f>
        <v>53</v>
      </c>
      <c r="K388">
        <f t="shared" ref="K388:K396" si="0">J388/386</f>
        <v>0.13730569948186527</v>
      </c>
      <c r="L388" s="2" t="s">
        <v>11</v>
      </c>
      <c r="M388" s="3">
        <f>COUNTIF($M$2:$M$386, 1)</f>
        <v>53</v>
      </c>
      <c r="N388" s="8">
        <v>1</v>
      </c>
      <c r="O388" s="3">
        <f>COUNTIF($O$2:$O$386, 1)</f>
        <v>241</v>
      </c>
      <c r="P388" s="3">
        <f>COUNTIF($P$2:$P$386, 1)</f>
        <v>64</v>
      </c>
      <c r="Q388" s="8" t="s">
        <v>12</v>
      </c>
      <c r="V388" s="2" t="s">
        <v>13</v>
      </c>
      <c r="W388" s="3">
        <f>COUNTIF($W$2:$W$386, 1)</f>
        <v>103</v>
      </c>
      <c r="X388" s="3">
        <f>COUNTIF($X$2:$X$386, 1)</f>
        <v>3</v>
      </c>
      <c r="Y388" s="3">
        <f>COUNTIF($Y$2:$Y$386, 1)</f>
        <v>75</v>
      </c>
      <c r="Z388" s="3">
        <f>COUNTIF($Z$2:$Z$386, 1)</f>
        <v>1</v>
      </c>
      <c r="AA388" s="8" t="s">
        <v>15</v>
      </c>
      <c r="AB388" s="3">
        <f>COUNTIF($AB$2:$AB$386, 1)</f>
        <v>35</v>
      </c>
    </row>
    <row r="389" spans="1:32" x14ac:dyDescent="0.3">
      <c r="B389" s="2">
        <v>2010</v>
      </c>
      <c r="C389" s="3">
        <f>COUNTIF($C$2:$C$386, 2)</f>
        <v>11</v>
      </c>
      <c r="D389" s="2" t="s">
        <v>16</v>
      </c>
      <c r="E389" s="3">
        <f>COUNTIF($E$2:$E$386, 2)</f>
        <v>0</v>
      </c>
      <c r="I389" s="2" t="s">
        <v>17</v>
      </c>
      <c r="J389" s="3">
        <f>COUNTIF($J$2:$J$386, 2)</f>
        <v>0</v>
      </c>
      <c r="K389">
        <f t="shared" si="0"/>
        <v>0</v>
      </c>
      <c r="L389" s="2" t="s">
        <v>18</v>
      </c>
      <c r="M389" s="3">
        <f>COUNTIF($M$2:$M$386, 2)</f>
        <v>30</v>
      </c>
      <c r="N389" s="2">
        <v>2</v>
      </c>
      <c r="O389" s="3">
        <f>COUNTIF($O$2:$O$386, 2)</f>
        <v>31</v>
      </c>
      <c r="P389" s="3">
        <f>COUNTIF($P$2:$P$386, 2)</f>
        <v>161</v>
      </c>
      <c r="Q389" s="2" t="s">
        <v>19</v>
      </c>
      <c r="V389" s="8" t="s">
        <v>20</v>
      </c>
      <c r="W389" s="3">
        <f>COUNTIF($W$2:$W$386, 2)</f>
        <v>50</v>
      </c>
      <c r="X389" s="3">
        <f>COUNTIF($X$2:$X$386, 2)</f>
        <v>33</v>
      </c>
      <c r="Y389" s="3">
        <f>COUNTIF($Y$2:$Y$386, 2)</f>
        <v>15</v>
      </c>
      <c r="Z389" s="3">
        <f>COUNTIF($Z$2:$Z$386, 2)</f>
        <v>4</v>
      </c>
      <c r="AA389" s="13" t="s">
        <v>22</v>
      </c>
      <c r="AB389" s="3">
        <f>COUNTIF($AB$2:$AB$386, 2)</f>
        <v>350</v>
      </c>
    </row>
    <row r="390" spans="1:32" x14ac:dyDescent="0.3">
      <c r="B390" s="2">
        <v>2011</v>
      </c>
      <c r="C390" s="3">
        <f>COUNTIF($C$2:$C$386, 3)</f>
        <v>10</v>
      </c>
      <c r="D390" s="2" t="s">
        <v>23</v>
      </c>
      <c r="E390" s="3">
        <f>COUNTIF($E$2:$E$386, 3)</f>
        <v>0</v>
      </c>
      <c r="I390" s="2" t="s">
        <v>24</v>
      </c>
      <c r="J390" s="3">
        <f>COUNTIF($J$2:$J$386, 3)</f>
        <v>221</v>
      </c>
      <c r="K390">
        <f t="shared" si="0"/>
        <v>0.57253886010362698</v>
      </c>
      <c r="L390" s="2" t="s">
        <v>150</v>
      </c>
      <c r="M390" s="3">
        <f>COUNTIF($M$2:$M$386, 3)</f>
        <v>32</v>
      </c>
      <c r="N390" s="8">
        <v>3</v>
      </c>
      <c r="O390" s="3">
        <f>COUNTIF($O$2:$O$386, 3)</f>
        <v>20</v>
      </c>
      <c r="P390" s="3">
        <f>COUNTIF($P$2:$P$386, 3)</f>
        <v>31</v>
      </c>
      <c r="Q390" s="2" t="s">
        <v>26</v>
      </c>
      <c r="V390" s="2" t="s">
        <v>27</v>
      </c>
      <c r="W390" s="3">
        <f>COUNTIF($W$2:$W$386, 3)</f>
        <v>232</v>
      </c>
      <c r="X390" s="3">
        <f>COUNTIF($X$2:$X$386, 3)</f>
        <v>349</v>
      </c>
      <c r="Y390" s="3">
        <f>COUNTIF($Y$2:$Y$386, 3)</f>
        <v>6</v>
      </c>
      <c r="Z390" s="3">
        <f>COUNTIF($Z$2:$Z$386, 3)</f>
        <v>33</v>
      </c>
      <c r="AA390" s="2" t="s">
        <v>3074</v>
      </c>
      <c r="AB390" s="1">
        <f>SUM(AB388:AB389)</f>
        <v>385</v>
      </c>
    </row>
    <row r="391" spans="1:32" x14ac:dyDescent="0.3">
      <c r="B391" s="2">
        <v>2012</v>
      </c>
      <c r="C391" s="3">
        <f>COUNTIF($C$2:$C$386, 4)</f>
        <v>22</v>
      </c>
      <c r="D391" s="8" t="s">
        <v>30</v>
      </c>
      <c r="E391" s="3">
        <f>COUNTIF($E$2:$E$386, 4)</f>
        <v>0</v>
      </c>
      <c r="I391" s="2" t="s">
        <v>31</v>
      </c>
      <c r="J391" s="3">
        <f>COUNTIF($J$2:$J$386, 4)</f>
        <v>5</v>
      </c>
      <c r="K391">
        <f t="shared" si="0"/>
        <v>1.2953367875647668E-2</v>
      </c>
      <c r="L391" s="2" t="s">
        <v>25</v>
      </c>
      <c r="M391" s="3">
        <f>COUNTIF($M$2:$M$386, 4)</f>
        <v>157</v>
      </c>
      <c r="N391" s="8">
        <v>4</v>
      </c>
      <c r="O391" s="3">
        <f>COUNTIF($O$2:$O$386, 4)</f>
        <v>3</v>
      </c>
      <c r="P391" s="3">
        <f>COUNTIF($P$2:$P$386, 4)</f>
        <v>21</v>
      </c>
      <c r="Q391" s="2" t="s">
        <v>33</v>
      </c>
      <c r="V391" s="2" t="s">
        <v>3074</v>
      </c>
      <c r="W391" s="1">
        <f>SUM(W388:W390)</f>
        <v>385</v>
      </c>
      <c r="X391" s="3">
        <f>COUNTIF($X$2:$X$386, 4)</f>
        <v>0</v>
      </c>
      <c r="Y391" s="3">
        <f>COUNTIF($Y$2:$Y$386, 4)</f>
        <v>3</v>
      </c>
      <c r="Z391" s="3">
        <f>COUNTIF($Z$2:$Z$386, 4)</f>
        <v>251</v>
      </c>
    </row>
    <row r="392" spans="1:32" x14ac:dyDescent="0.3">
      <c r="B392" s="2">
        <v>2013</v>
      </c>
      <c r="C392" s="3">
        <f>COUNTIF($C$2:$C$386, 5)</f>
        <v>12</v>
      </c>
      <c r="D392" s="2" t="s">
        <v>36</v>
      </c>
      <c r="E392" s="3">
        <f>COUNTIF($E$2:$E$386, 5)</f>
        <v>0</v>
      </c>
      <c r="I392" s="2" t="s">
        <v>37</v>
      </c>
      <c r="J392" s="3">
        <f>COUNTIF($J$2:$J$386, 5)</f>
        <v>23</v>
      </c>
      <c r="K392">
        <f t="shared" si="0"/>
        <v>5.9585492227979271E-2</v>
      </c>
      <c r="L392" s="2" t="s">
        <v>32</v>
      </c>
      <c r="M392" s="3">
        <f>COUNTIF($M$2:$M$386, 5)</f>
        <v>13</v>
      </c>
      <c r="N392" s="8">
        <v>5</v>
      </c>
      <c r="O392" s="3">
        <f>COUNTIF($O$2:$O$386, 5)</f>
        <v>5</v>
      </c>
      <c r="P392" s="3">
        <f>COUNTIF($P$2:$P$386, 5)</f>
        <v>13</v>
      </c>
      <c r="Q392" s="2" t="s">
        <v>39</v>
      </c>
      <c r="V392" s="2" t="s">
        <v>3075</v>
      </c>
      <c r="W392" s="3">
        <f>SUM(W389:W390)</f>
        <v>282</v>
      </c>
      <c r="X392" s="1">
        <f>SUM(X388:X391)</f>
        <v>385</v>
      </c>
      <c r="Y392" s="3">
        <f>COUNTIF($Y$2:$Y$386, 5)</f>
        <v>0</v>
      </c>
      <c r="Z392" s="3">
        <f>COUNTIF($Z$2:$Z$386, 5)</f>
        <v>96</v>
      </c>
    </row>
    <row r="393" spans="1:32" x14ac:dyDescent="0.3">
      <c r="B393" s="2">
        <v>2014</v>
      </c>
      <c r="C393" s="3">
        <f>COUNTIF($C$2:$C$386, 6)</f>
        <v>7</v>
      </c>
      <c r="D393" s="2" t="s">
        <v>41</v>
      </c>
      <c r="E393" s="3">
        <f>COUNTIF($E$2:$E$386, 6)</f>
        <v>0</v>
      </c>
      <c r="I393" s="2" t="s">
        <v>42</v>
      </c>
      <c r="J393" s="3">
        <f>COUNTIF($J$2:$J$386, 6)</f>
        <v>22</v>
      </c>
      <c r="K393">
        <f t="shared" si="0"/>
        <v>5.6994818652849742E-2</v>
      </c>
      <c r="L393" s="2" t="s">
        <v>38</v>
      </c>
      <c r="M393" s="3">
        <f>COUNTIF($M$2:$M$386, 6)</f>
        <v>4</v>
      </c>
      <c r="N393" s="8">
        <v>6</v>
      </c>
      <c r="O393" s="3">
        <f>COUNTIF($O$2:$O$386, 6)</f>
        <v>2</v>
      </c>
      <c r="P393" s="3">
        <f>COUNTIF($P$2:$P$386, 100)</f>
        <v>95</v>
      </c>
      <c r="Q393" s="8" t="s">
        <v>34</v>
      </c>
      <c r="W393" s="1">
        <f>W392/W391</f>
        <v>0.73246753246753249</v>
      </c>
      <c r="X393" s="3">
        <f>SUM(X389:X390)</f>
        <v>382</v>
      </c>
      <c r="Y393" s="3">
        <f>COUNTIF($Y$2:$Y$386, 6)</f>
        <v>0</v>
      </c>
      <c r="Z393" s="1">
        <f>SUM(Z388:Z392)</f>
        <v>385</v>
      </c>
    </row>
    <row r="394" spans="1:32" x14ac:dyDescent="0.3">
      <c r="B394" s="2">
        <v>2015</v>
      </c>
      <c r="C394" s="3">
        <f>COUNTIF($C$2:$C$386, 7)</f>
        <v>15</v>
      </c>
      <c r="D394" s="2" t="s">
        <v>3074</v>
      </c>
      <c r="E394" s="1">
        <f>SUM(E387:E393)</f>
        <v>385</v>
      </c>
      <c r="I394" s="2" t="s">
        <v>45</v>
      </c>
      <c r="J394" s="3">
        <f>COUNTIF($J$2:$J$386, 7)</f>
        <v>13</v>
      </c>
      <c r="K394">
        <f t="shared" si="0"/>
        <v>3.367875647668394E-2</v>
      </c>
      <c r="L394" s="2" t="s">
        <v>151</v>
      </c>
      <c r="M394" s="3">
        <f>COUNTIF($M$2:$M$386, 7)</f>
        <v>0</v>
      </c>
      <c r="N394" s="8">
        <v>7</v>
      </c>
      <c r="O394" s="3">
        <f>COUNTIF($O$2:$O$386, 7)</f>
        <v>1</v>
      </c>
      <c r="P394" s="1">
        <f>SUM(P388:P393)</f>
        <v>385</v>
      </c>
      <c r="Q394" s="2" t="s">
        <v>3074</v>
      </c>
      <c r="X394" s="1">
        <f>X393/X392</f>
        <v>0.99220779220779221</v>
      </c>
      <c r="Y394" s="3">
        <f>COUNTIF($Y$2:$Y$386, 7)</f>
        <v>0</v>
      </c>
      <c r="Z394" s="3">
        <f>Z388/Z393</f>
        <v>2.5974025974025974E-3</v>
      </c>
    </row>
    <row r="395" spans="1:32" x14ac:dyDescent="0.3">
      <c r="B395" s="2">
        <v>2016</v>
      </c>
      <c r="C395" s="3">
        <f>COUNTIF($C$2:$C$386, 8)</f>
        <v>21</v>
      </c>
      <c r="I395" s="2" t="s">
        <v>48</v>
      </c>
      <c r="J395" s="3">
        <f>COUNTIF($J$2:$J$386, 8)</f>
        <v>38</v>
      </c>
      <c r="K395">
        <f t="shared" si="0"/>
        <v>9.8445595854922283E-2</v>
      </c>
      <c r="L395" s="2" t="s">
        <v>43</v>
      </c>
      <c r="M395" s="3">
        <f>COUNTIF($M$2:$M$386, 8)</f>
        <v>18</v>
      </c>
      <c r="N395" s="8">
        <v>8</v>
      </c>
      <c r="O395" s="3">
        <f>COUNTIF($O$2:$O$386, 8)</f>
        <v>0</v>
      </c>
      <c r="Y395" s="3">
        <f>COUNTIF($Y$2:$Y$386, 8)</f>
        <v>1</v>
      </c>
      <c r="Z395" s="3">
        <f>Z389/Z393</f>
        <v>1.038961038961039E-2</v>
      </c>
    </row>
    <row r="396" spans="1:32" x14ac:dyDescent="0.3">
      <c r="B396" s="2">
        <v>2017</v>
      </c>
      <c r="C396" s="3">
        <f>COUNTIF($C$2:$C$386, 9)</f>
        <v>12</v>
      </c>
      <c r="I396" s="2" t="s">
        <v>50</v>
      </c>
      <c r="J396" s="3">
        <f>COUNTIF($J$2:$J$386, 9)</f>
        <v>10</v>
      </c>
      <c r="K396">
        <f t="shared" si="0"/>
        <v>2.5906735751295335E-2</v>
      </c>
      <c r="L396" s="2" t="s">
        <v>46</v>
      </c>
      <c r="M396" s="3">
        <f>COUNTIF($M$2:$M$386, 9)</f>
        <v>10</v>
      </c>
      <c r="N396" s="8">
        <v>9</v>
      </c>
      <c r="O396" s="3">
        <f>COUNTIF($O$2:$O$386, 9)</f>
        <v>0</v>
      </c>
      <c r="Y396" s="3">
        <f>COUNTIF($Y$2:$Y$386, 9)</f>
        <v>4</v>
      </c>
      <c r="Z396" s="3">
        <f>Z390/Z393</f>
        <v>8.5714285714285715E-2</v>
      </c>
    </row>
    <row r="397" spans="1:32" x14ac:dyDescent="0.3">
      <c r="B397" s="2">
        <v>2018</v>
      </c>
      <c r="C397" s="3">
        <f>COUNTIF($C$2:$C$386, 10)</f>
        <v>19</v>
      </c>
      <c r="I397" s="2" t="s">
        <v>3074</v>
      </c>
      <c r="J397" s="1">
        <f>SUM(J388:J396)</f>
        <v>385</v>
      </c>
      <c r="L397" s="2" t="s">
        <v>152</v>
      </c>
      <c r="M397" s="3">
        <f>COUNTIF($M$2:$M$386, 10)</f>
        <v>0</v>
      </c>
      <c r="N397" s="8">
        <v>10</v>
      </c>
      <c r="O397" s="3">
        <f>COUNTIF($O$2:$O$386, 10)</f>
        <v>1</v>
      </c>
      <c r="Y397" s="3">
        <f>COUNTIF($Y$2:$Y$386, 10)</f>
        <v>1</v>
      </c>
      <c r="Z397" s="3">
        <f>Z391/Z393</f>
        <v>0.65194805194805194</v>
      </c>
    </row>
    <row r="398" spans="1:32" x14ac:dyDescent="0.3">
      <c r="B398" s="2">
        <v>2019</v>
      </c>
      <c r="C398" s="3">
        <f>COUNTIF($C$2:$C$386, 11)</f>
        <v>17</v>
      </c>
      <c r="D398">
        <f>SUM(C400:C404)</f>
        <v>206</v>
      </c>
      <c r="L398" s="2" t="s">
        <v>49</v>
      </c>
      <c r="M398" s="3">
        <f>COUNTIF($M$2:$M$386, 11)</f>
        <v>5</v>
      </c>
      <c r="N398" s="8">
        <v>11</v>
      </c>
      <c r="O398" s="3">
        <f>COUNTIF($O$2:$O$386, 11)</f>
        <v>1</v>
      </c>
      <c r="Y398" s="3">
        <f>COUNTIF($Y$2:$Y$386, 11)</f>
        <v>1</v>
      </c>
      <c r="Z398" s="3">
        <f>Z392/Z393</f>
        <v>0.24935064935064935</v>
      </c>
    </row>
    <row r="399" spans="1:32" x14ac:dyDescent="0.3">
      <c r="B399" s="2">
        <v>2020</v>
      </c>
      <c r="C399" s="3">
        <f>COUNTIF($C$2:$C$386, 12)</f>
        <v>29</v>
      </c>
      <c r="D399">
        <f>D398/385</f>
        <v>0.53506493506493502</v>
      </c>
      <c r="L399" s="2" t="s">
        <v>51</v>
      </c>
      <c r="M399" s="3">
        <f>COUNTIF($M$2:$M$386, 12)</f>
        <v>10</v>
      </c>
      <c r="N399" s="8">
        <v>12</v>
      </c>
      <c r="O399" s="3">
        <f>COUNTIF($O$2:$O$386, 12)</f>
        <v>0</v>
      </c>
      <c r="Y399" s="3">
        <f>COUNTIF($Y$2:$Y$386, 12)</f>
        <v>1</v>
      </c>
    </row>
    <row r="400" spans="1:32" x14ac:dyDescent="0.3">
      <c r="B400" s="2">
        <v>2021</v>
      </c>
      <c r="C400" s="3">
        <f>COUNTIF($C$2:$C$386, 13)</f>
        <v>48</v>
      </c>
      <c r="L400" s="2" t="s">
        <v>153</v>
      </c>
      <c r="M400" s="3">
        <f>COUNTIF($M$2:$M$386, 13)</f>
        <v>2</v>
      </c>
      <c r="N400" s="8">
        <v>13</v>
      </c>
      <c r="O400" s="3">
        <f>COUNTIF($O$2:$O$386, 13)</f>
        <v>0</v>
      </c>
      <c r="Y400" s="3">
        <f>COUNTIF($Y$2:$Y$386, 13)</f>
        <v>0</v>
      </c>
    </row>
    <row r="401" spans="2:27" x14ac:dyDescent="0.3">
      <c r="B401" s="2">
        <v>2022</v>
      </c>
      <c r="C401" s="3">
        <f>COUNTIF($C$2:$C$386, 14)</f>
        <v>33</v>
      </c>
      <c r="L401" s="2" t="s">
        <v>154</v>
      </c>
      <c r="M401" s="3">
        <f>COUNTIF($M$2:$M$386, 14)</f>
        <v>10</v>
      </c>
      <c r="N401" s="8">
        <v>14</v>
      </c>
      <c r="O401" s="3">
        <f>COUNTIF($O$2:$O$386, 14)</f>
        <v>0</v>
      </c>
      <c r="Y401" s="3">
        <f>COUNTIF($Y$2:$Y$386, 14)</f>
        <v>0</v>
      </c>
    </row>
    <row r="402" spans="2:27" x14ac:dyDescent="0.3">
      <c r="B402" s="2">
        <v>2023</v>
      </c>
      <c r="C402" s="3">
        <f>COUNTIF($C$2:$C$386, 15)</f>
        <v>40</v>
      </c>
      <c r="L402" s="2" t="s">
        <v>52</v>
      </c>
      <c r="M402" s="3">
        <f>COUNTIF($M$2:$M$386, 15)</f>
        <v>41</v>
      </c>
      <c r="N402" s="2" t="s">
        <v>53</v>
      </c>
      <c r="O402" s="3">
        <f>COUNTIF($O$2:$O$386, 100)</f>
        <v>80</v>
      </c>
      <c r="Y402" s="3">
        <f>COUNTIF($Y$2:$Y$386, 15)</f>
        <v>0</v>
      </c>
      <c r="AA402">
        <f>COUNTIFS($W$2:$W$386,1,$X$2:$X$386,1,$Y$2:$Y$386,1,$Z$2:$Z$386,5)</f>
        <v>0</v>
      </c>
    </row>
    <row r="403" spans="2:27" x14ac:dyDescent="0.3">
      <c r="B403" s="2">
        <v>2024</v>
      </c>
      <c r="C403" s="3">
        <f>COUNTIF($C$2:$C$386, 16)</f>
        <v>69</v>
      </c>
      <c r="L403" s="2" t="s">
        <v>3074</v>
      </c>
      <c r="M403" s="1">
        <f>SUM(M388:M402)</f>
        <v>385</v>
      </c>
      <c r="N403" s="2" t="s">
        <v>3074</v>
      </c>
      <c r="O403" s="1">
        <f>SUM(O388:O402)</f>
        <v>385</v>
      </c>
      <c r="Y403" s="3">
        <f>COUNTIF($Y$2:$Y$386, 16)</f>
        <v>36</v>
      </c>
    </row>
    <row r="404" spans="2:27" x14ac:dyDescent="0.3">
      <c r="B404" s="2">
        <v>2025</v>
      </c>
      <c r="C404" s="3">
        <f>COUNTIF($C$2:$C$386, 17)</f>
        <v>16</v>
      </c>
      <c r="O404" s="7"/>
      <c r="Y404" s="3">
        <f>COUNTIF($Y$2:$Y$386, 17)</f>
        <v>242</v>
      </c>
    </row>
    <row r="405" spans="2:27" x14ac:dyDescent="0.3">
      <c r="B405" s="2" t="s">
        <v>3074</v>
      </c>
      <c r="C405" s="1">
        <f>SUM(C388:C404)</f>
        <v>385</v>
      </c>
      <c r="N405" s="28" t="s">
        <v>3086</v>
      </c>
      <c r="O405" s="3">
        <f>SUM(O391:O396)</f>
        <v>11</v>
      </c>
      <c r="Y405" s="1">
        <f>SUM(Y388:Y404)</f>
        <v>385</v>
      </c>
    </row>
    <row r="406" spans="2:27" x14ac:dyDescent="0.3">
      <c r="N406" s="29" t="s">
        <v>3087</v>
      </c>
      <c r="O406" s="3">
        <f>SUM(O397:O401)</f>
        <v>2</v>
      </c>
    </row>
    <row r="407" spans="2:27" x14ac:dyDescent="0.3">
      <c r="B407" t="s">
        <v>3080</v>
      </c>
      <c r="C407" s="3">
        <f>SUM(C388:C391)</f>
        <v>47</v>
      </c>
      <c r="X407" s="21" t="s">
        <v>3076</v>
      </c>
      <c r="Y407" s="3">
        <f>Y391+Y393+Y395+Y397+Y399+Y401</f>
        <v>6</v>
      </c>
    </row>
    <row r="408" spans="2:27" x14ac:dyDescent="0.3">
      <c r="B408" t="s">
        <v>3081</v>
      </c>
      <c r="C408" s="3">
        <f>SUM(C392:C395)</f>
        <v>55</v>
      </c>
      <c r="Y408" s="1">
        <f>Y407/Y405</f>
        <v>1.5584415584415584E-2</v>
      </c>
    </row>
    <row r="409" spans="2:27" x14ac:dyDescent="0.3">
      <c r="B409" t="s">
        <v>3082</v>
      </c>
      <c r="C409" s="3">
        <f>SUM(C396:C399)</f>
        <v>77</v>
      </c>
      <c r="X409" s="3" t="s">
        <v>77</v>
      </c>
      <c r="Y409" s="1">
        <f>Y388/Y405</f>
        <v>0.19480519480519481</v>
      </c>
    </row>
    <row r="410" spans="2:27" x14ac:dyDescent="0.3">
      <c r="B410" t="s">
        <v>3083</v>
      </c>
      <c r="C410" s="3">
        <f>SUM(C400:C404)</f>
        <v>206</v>
      </c>
      <c r="X410" s="3" t="s">
        <v>78</v>
      </c>
      <c r="Y410" s="1">
        <f>Y389/Y405</f>
        <v>3.896103896103896E-2</v>
      </c>
    </row>
    <row r="411" spans="2:27" x14ac:dyDescent="0.3">
      <c r="X411" s="3" t="s">
        <v>72</v>
      </c>
      <c r="Y411" s="1">
        <f>Y390/Y405</f>
        <v>1.5584415584415584E-2</v>
      </c>
    </row>
    <row r="412" spans="2:27" x14ac:dyDescent="0.3">
      <c r="X412" s="3" t="s">
        <v>50</v>
      </c>
      <c r="Y412" s="1">
        <f>Y403/Y405</f>
        <v>9.350649350649351E-2</v>
      </c>
    </row>
    <row r="413" spans="2:27" x14ac:dyDescent="0.3">
      <c r="X413" s="3" t="s">
        <v>3077</v>
      </c>
      <c r="Y413" s="1">
        <f>Y404/Y405</f>
        <v>0.62857142857142856</v>
      </c>
    </row>
    <row r="414" spans="2:27" x14ac:dyDescent="0.3">
      <c r="X414" s="21" t="s">
        <v>3078</v>
      </c>
      <c r="Y414" s="3">
        <f>Y392+Y394+Y396+Y398+Y400+Y402</f>
        <v>5</v>
      </c>
    </row>
  </sheetData>
  <phoneticPr fontId="5" type="noConversion"/>
  <hyperlinks>
    <hyperlink ref="F2" r:id="rId1" xr:uid="{5EB9BB85-F1F2-4120-A4C4-5FFA29B08FC5}"/>
    <hyperlink ref="F3" r:id="rId2" xr:uid="{A4D52824-7754-47B7-8D69-48C0AABF8E57}"/>
    <hyperlink ref="F4" r:id="rId3" tooltip="Persistent link using digital object identifier" xr:uid="{09255DAA-72EB-4B10-B6BD-ED0BFD011A24}"/>
    <hyperlink ref="F5" r:id="rId4" xr:uid="{8EF87CA6-FC68-4F4C-8C85-68234FFDCA9B}"/>
    <hyperlink ref="F6" r:id="rId5" xr:uid="{F457B8DD-EC91-4459-986F-8DE04DC55EFA}"/>
    <hyperlink ref="F7" r:id="rId6" xr:uid="{F6C43B7D-074B-479A-8AA3-CBA7508AF4EF}"/>
    <hyperlink ref="F8" r:id="rId7" xr:uid="{207D3AC3-A537-4288-8EB9-75B381E35FC7}"/>
    <hyperlink ref="F9" r:id="rId8" xr:uid="{41B5FDD4-8892-44A6-BE22-870444BEA53D}"/>
    <hyperlink ref="F10" r:id="rId9" xr:uid="{563675D5-DF18-481C-A049-7BB16E5D1CEB}"/>
    <hyperlink ref="F11" r:id="rId10" xr:uid="{CCC10DD7-587B-4DA7-AB00-411454F5042A}"/>
    <hyperlink ref="F12" r:id="rId11" xr:uid="{DF6D2231-B5B9-4700-A6D6-9DF479D71A69}"/>
    <hyperlink ref="F13" r:id="rId12" tooltip="Persistent link using digital object identifier" xr:uid="{0EADDD85-351F-4890-B618-18786C122789}"/>
    <hyperlink ref="F14" r:id="rId13" tooltip="Persistent link using digital object identifier" xr:uid="{B68DA461-7838-4F6A-8BBB-DA189567F35E}"/>
    <hyperlink ref="F15" r:id="rId14" xr:uid="{2213A411-0BE4-4458-BC25-AFE2649CC145}"/>
    <hyperlink ref="F16" r:id="rId15" xr:uid="{5ECCF03A-830C-4659-91F7-0A1395662B67}"/>
    <hyperlink ref="F17" r:id="rId16" xr:uid="{A9571A4A-C900-451B-B7C9-1392053BD3B4}"/>
    <hyperlink ref="F18" r:id="rId17" xr:uid="{BE60CD05-4ABB-4F73-966B-20FAA7F28381}"/>
    <hyperlink ref="F19" r:id="rId18" xr:uid="{FDB9B32C-C021-4922-BC65-95C93A0BA2C9}"/>
    <hyperlink ref="F20" r:id="rId19" xr:uid="{490C2280-EA44-4E95-B6CE-19B5DA7D243E}"/>
    <hyperlink ref="F21" r:id="rId20" xr:uid="{4E17D04B-21F9-4858-A58E-F05B7423324E}"/>
    <hyperlink ref="F22" r:id="rId21" xr:uid="{73718E5B-9691-4D8B-8194-D65A4A528712}"/>
    <hyperlink ref="F23" r:id="rId22" xr:uid="{4A4AB1D8-B213-4361-B2E3-A1B58AF2C91B}"/>
    <hyperlink ref="F24" r:id="rId23" tooltip="Persistent link using digital object identifier" xr:uid="{A846150A-DF71-451C-8620-0E7794F7416C}"/>
    <hyperlink ref="F25" r:id="rId24" xr:uid="{8200067B-D041-4D7C-B28E-36E7AA45CD0B}"/>
    <hyperlink ref="F26" r:id="rId25" xr:uid="{2D0B7B30-59CF-404D-B7BF-B0176665BCFD}"/>
    <hyperlink ref="F28" r:id="rId26" xr:uid="{BC1829AE-ACCD-4485-BFD0-3FB162FC8FCA}"/>
    <hyperlink ref="F27" r:id="rId27" xr:uid="{38F1C7C3-866B-4590-B422-E76AD59BA100}"/>
    <hyperlink ref="F29" r:id="rId28" xr:uid="{69E422EE-A686-44FE-96EC-1D74E3C8D6E9}"/>
    <hyperlink ref="F30" r:id="rId29" xr:uid="{E007BB48-C0BA-4BE6-8A71-AFA09F1B3FF2}"/>
    <hyperlink ref="F31" r:id="rId30" xr:uid="{E9AF590E-550A-493C-BE1B-61875ADEB262}"/>
    <hyperlink ref="F32" r:id="rId31" xr:uid="{5C791A80-D33E-42DE-A7B7-3F8D994542AF}"/>
    <hyperlink ref="F33" r:id="rId32" xr:uid="{49E1B208-BDA2-49EE-98CA-C720A824B80C}"/>
    <hyperlink ref="F34" r:id="rId33" xr:uid="{51400C55-B28D-4278-9C8D-59538FC4762D}"/>
    <hyperlink ref="F35" r:id="rId34" xr:uid="{5B94A755-0892-4BF7-AFB6-EBAEEF97C402}"/>
    <hyperlink ref="F36" r:id="rId35" xr:uid="{0638E30F-7355-4AA4-821F-80D039079062}"/>
    <hyperlink ref="F37" r:id="rId36" xr:uid="{4BF83390-25C9-4FBC-8DE7-281E7EB3DD20}"/>
    <hyperlink ref="F38" r:id="rId37" xr:uid="{8CEDE400-D65C-4EFA-BDE4-5A52B601F6D8}"/>
    <hyperlink ref="F39" r:id="rId38" xr:uid="{402B8EE8-21B6-4F22-BA7E-3CF639DF166A}"/>
    <hyperlink ref="F40" r:id="rId39" xr:uid="{8C1F2105-0F89-41E2-AB51-3B15685150D2}"/>
    <hyperlink ref="F41" r:id="rId40" xr:uid="{9D40A46A-102B-4134-90BA-BD7196F69813}"/>
    <hyperlink ref="F42" r:id="rId41" xr:uid="{261714E7-976E-4A35-B3AC-6A80962E7D78}"/>
    <hyperlink ref="F44" r:id="rId42" xr:uid="{8C73AB05-B330-48C6-B427-25732BFBC5F9}"/>
    <hyperlink ref="F43" r:id="rId43" xr:uid="{8A50E3F1-3F97-4350-A087-776B737D4A8A}"/>
    <hyperlink ref="F45" r:id="rId44" xr:uid="{F9E4028B-06A5-479D-BD58-F56458868AB0}"/>
    <hyperlink ref="F46" r:id="rId45" xr:uid="{0268213F-C0DC-444B-A520-46B394D67F30}"/>
    <hyperlink ref="F47" r:id="rId46" xr:uid="{75B10C80-00BC-4626-A688-DFB877DAAEE7}"/>
    <hyperlink ref="F49" r:id="rId47" xr:uid="{F3AB3DD6-4E1D-4DCA-AB5E-C35B674E3A35}"/>
    <hyperlink ref="F48" r:id="rId48" xr:uid="{F3DFE8FB-695F-4F08-8565-A6D2457A7A9D}"/>
    <hyperlink ref="F50" r:id="rId49" xr:uid="{8F53403A-3AFB-4DCA-92B8-8321096C2B3A}"/>
    <hyperlink ref="F51" r:id="rId50" xr:uid="{4F57842B-50A2-4A78-84E2-FC939070F951}"/>
    <hyperlink ref="F52" r:id="rId51" xr:uid="{B0640763-5B9D-49DC-836B-CCBC27CB1BD6}"/>
    <hyperlink ref="F53" r:id="rId52" xr:uid="{DA33C9CA-FA3D-4FD1-9B8B-2F16BAFEC700}"/>
    <hyperlink ref="F54" r:id="rId53" xr:uid="{A74E0A8B-60A2-4ED2-814E-86088CF2B796}"/>
    <hyperlink ref="F55" r:id="rId54" xr:uid="{42E22BD1-CC16-4602-B31F-E14859D9BB59}"/>
    <hyperlink ref="F56" r:id="rId55" xr:uid="{5E2E0C79-90C8-4E51-B248-2C4AE49240D0}"/>
    <hyperlink ref="F57" r:id="rId56" xr:uid="{6324688D-12B6-45BD-AAED-3EE04A7E907E}"/>
    <hyperlink ref="F58" r:id="rId57" xr:uid="{44ABDE5C-B5CB-4E45-87E9-8DD040FBBFA8}"/>
    <hyperlink ref="F59" r:id="rId58" xr:uid="{D99A82BF-5A7B-49D1-86DD-31FB3CBCDC5A}"/>
    <hyperlink ref="F60" r:id="rId59" xr:uid="{879CBF6A-2C88-4236-8D59-09CB201AE770}"/>
    <hyperlink ref="F61" r:id="rId60" xr:uid="{474ACA7A-32F8-43CC-AAD2-3427E6C4A922}"/>
    <hyperlink ref="F62" r:id="rId61" xr:uid="{D88989A1-79DB-4DEB-BD88-55B3A899DA6D}"/>
    <hyperlink ref="F63" r:id="rId62" xr:uid="{736DBFF2-DD0E-4B18-B840-E90201276258}"/>
    <hyperlink ref="F64" r:id="rId63" xr:uid="{A7BFE69A-A13A-4E31-A0F3-282E39A41BD9}"/>
    <hyperlink ref="F65" r:id="rId64" xr:uid="{3DADF18F-B727-4E9E-A6F2-C209DA379203}"/>
    <hyperlink ref="F66" r:id="rId65" xr:uid="{37EC753A-65BD-4DE0-B343-0373ABE5CAF7}"/>
    <hyperlink ref="F68" r:id="rId66" xr:uid="{FE7059AA-45AA-4055-B3E8-ED02F21E3E3C}"/>
    <hyperlink ref="F67" r:id="rId67" xr:uid="{04AAFE14-CBF9-4E1F-B057-848DFE51277A}"/>
    <hyperlink ref="F69" r:id="rId68" xr:uid="{20F1BF42-3E69-4F79-9D07-B8C9553611E5}"/>
    <hyperlink ref="F71" r:id="rId69" xr:uid="{4A3027EE-79A1-4509-AE0E-31F2F3C39F71}"/>
    <hyperlink ref="F70" r:id="rId70" xr:uid="{A81731ED-1241-4B02-A15F-65E0C751F818}"/>
    <hyperlink ref="F72" r:id="rId71" xr:uid="{468E99A0-0BEA-4CBF-A85E-75FAD78937C3}"/>
    <hyperlink ref="F73" r:id="rId72" xr:uid="{F949ADBD-7562-43AE-85D4-2A11F44282F3}"/>
    <hyperlink ref="F74" r:id="rId73" xr:uid="{037FE327-E411-45A7-8E14-CFB773454EC4}"/>
    <hyperlink ref="F75" r:id="rId74" xr:uid="{10CF8734-031B-4F90-9CA6-F2BC1A64780A}"/>
    <hyperlink ref="F76" r:id="rId75" xr:uid="{77A80127-AD82-451F-88FC-2AEB5A39EDE3}"/>
    <hyperlink ref="F77" r:id="rId76" xr:uid="{2E8F9DED-0F9F-4E55-97E6-75B72DF5F907}"/>
    <hyperlink ref="F78" r:id="rId77" xr:uid="{68C750DB-4F54-4E4A-ACF6-1390AA5581C7}"/>
    <hyperlink ref="F79" r:id="rId78" xr:uid="{B0C637E6-3EE0-4D91-8F51-F1D9D2110D55}"/>
    <hyperlink ref="F80" r:id="rId79" xr:uid="{F2E13DD2-249D-4419-AE60-E104D85E5BD3}"/>
    <hyperlink ref="F81" r:id="rId80" xr:uid="{D1BD2514-B6AC-4BC7-A67D-8459BC284908}"/>
    <hyperlink ref="F82" r:id="rId81" xr:uid="{79EF9016-605D-4E61-B544-625B70245547}"/>
    <hyperlink ref="F83" r:id="rId82" xr:uid="{29DD5763-7B65-482A-B04F-EF058EA9C9CC}"/>
    <hyperlink ref="F84" r:id="rId83" xr:uid="{A51A01E9-5C87-4203-907E-05306375D737}"/>
    <hyperlink ref="F86" r:id="rId84" xr:uid="{A26108CD-3EDD-4F4A-AEF8-6816F40354F2}"/>
    <hyperlink ref="F87" r:id="rId85" xr:uid="{33E082E7-C7FB-45C6-B610-0213C25522D1}"/>
    <hyperlink ref="F88" r:id="rId86" xr:uid="{552C3AE3-D458-43CE-89AE-48DFC3E84B5C}"/>
    <hyperlink ref="F89" r:id="rId87" xr:uid="{0BDBCBDD-BE96-4AC2-A682-EF94C8F3F612}"/>
    <hyperlink ref="F90" r:id="rId88" xr:uid="{77580A99-10C7-4E14-80CC-F877D1FCC274}"/>
    <hyperlink ref="F91" r:id="rId89" xr:uid="{EE5F21A8-A8D7-43C6-8E71-3CBE2DF71F17}"/>
    <hyperlink ref="F92" r:id="rId90" xr:uid="{FC576103-0066-4739-91C6-CA49C9E74E05}"/>
    <hyperlink ref="F93" r:id="rId91" xr:uid="{6F174005-2901-4DB4-804B-843A54FE28EE}"/>
    <hyperlink ref="F94" r:id="rId92" xr:uid="{8464D930-2C5C-4957-8B1C-5A57169F4379}"/>
    <hyperlink ref="F95" r:id="rId93" xr:uid="{DC75EC4B-A8E6-45D5-85FB-53A488ACF732}"/>
    <hyperlink ref="F96" r:id="rId94" xr:uid="{5AD802AE-ED29-4EDB-B318-8C08719A68B6}"/>
    <hyperlink ref="F97" r:id="rId95" xr:uid="{A39B981E-3E3C-45CC-A0AD-A119CA30606D}"/>
    <hyperlink ref="F98" r:id="rId96" xr:uid="{B99375A8-BFD1-4F9B-BA8A-43466AFAE7BE}"/>
    <hyperlink ref="F99" r:id="rId97" xr:uid="{006CCFE0-2DB1-459A-A64E-DC134A5AED9D}"/>
    <hyperlink ref="F100" r:id="rId98" xr:uid="{33456E28-70A2-4FCD-82D4-7480339515E8}"/>
    <hyperlink ref="F101" r:id="rId99" xr:uid="{2C649A50-C59D-4557-9C18-13412DF5F8CB}"/>
    <hyperlink ref="F102" r:id="rId100" xr:uid="{1815CFD4-FB30-49B8-92EC-9682B236D232}"/>
    <hyperlink ref="F103" r:id="rId101" xr:uid="{563E9A33-535A-4E94-8ABA-5D8B0D86023E}"/>
    <hyperlink ref="F104" r:id="rId102" xr:uid="{EDEEDB0F-5399-4A62-B974-96ACD06C68C8}"/>
    <hyperlink ref="F105" r:id="rId103" xr:uid="{76D6B637-FCAC-49EE-B26E-DDFB721C1017}"/>
    <hyperlink ref="F106" r:id="rId104" xr:uid="{FB1FA573-AD37-4FDF-86F2-CB73DBE131EC}"/>
    <hyperlink ref="F107" r:id="rId105" xr:uid="{89EC81F9-8ED7-4CF8-A80C-448DF9A01ED8}"/>
    <hyperlink ref="F108" r:id="rId106" xr:uid="{9842236D-FD54-4D03-96DC-34BC40A9B8B3}"/>
    <hyperlink ref="F109" r:id="rId107" xr:uid="{66511EA4-7388-4893-A86A-1DD67926BD4F}"/>
    <hyperlink ref="F110" r:id="rId108" xr:uid="{73CF6AC9-7E7F-40F2-84E3-360BC87AF71C}"/>
    <hyperlink ref="F111" r:id="rId109" xr:uid="{39A006ED-D1D2-4A75-B110-D9F0A46D2A42}"/>
    <hyperlink ref="F112" r:id="rId110" xr:uid="{1040A854-5CBE-4287-9D9C-64039F20A985}"/>
    <hyperlink ref="F113" r:id="rId111" xr:uid="{83925A5A-9DCB-4064-BCF5-6E4463E11AD4}"/>
    <hyperlink ref="F114" r:id="rId112" xr:uid="{493FA627-110E-445D-AE0F-7C0112D9A638}"/>
    <hyperlink ref="F115" r:id="rId113" xr:uid="{A048C8A4-510F-4893-9420-A58841059962}"/>
    <hyperlink ref="F116" r:id="rId114" tooltip="Persistent link using digital object identifier" xr:uid="{385751E3-E7A3-4336-A18B-5004E9FEAE89}"/>
    <hyperlink ref="F117" r:id="rId115" xr:uid="{765802A9-6C41-4F9D-AC93-8E49A9FBDBE5}"/>
    <hyperlink ref="F118" r:id="rId116" xr:uid="{E676159B-6C7E-4542-9632-1C68B6448657}"/>
    <hyperlink ref="F119" r:id="rId117" xr:uid="{2B7DFD09-0F5B-4965-B63D-FE1CF8F19A21}"/>
    <hyperlink ref="F120" r:id="rId118" xr:uid="{C6793ECE-623D-4000-82AA-8420D6D6F947}"/>
    <hyperlink ref="F121" r:id="rId119" xr:uid="{E6238292-1E9D-40A4-AE61-6BC86D420A30}"/>
    <hyperlink ref="F122" r:id="rId120" xr:uid="{82E7ABDD-503E-4EDF-8D81-CBF2EB9E4BD9}"/>
    <hyperlink ref="F123" r:id="rId121" xr:uid="{0E7552BC-F3EE-4548-9CF3-A711170D07B6}"/>
    <hyperlink ref="F124" r:id="rId122" xr:uid="{879566FF-964C-47B0-83B6-47A4A1F90D1B}"/>
    <hyperlink ref="F125" r:id="rId123" xr:uid="{8CB202F9-59BC-48C4-8673-EB5133FFE305}"/>
    <hyperlink ref="F126" r:id="rId124" xr:uid="{04D34717-1A4F-4109-9F8B-BAE1C9836E1D}"/>
    <hyperlink ref="F127" r:id="rId125" xr:uid="{9BA4C9B4-6E5B-480C-AEE2-56DB9F3E76D7}"/>
    <hyperlink ref="F128" r:id="rId126" xr:uid="{E2B396D3-98E3-4E5C-A05C-D2FA49688062}"/>
    <hyperlink ref="F131" r:id="rId127" xr:uid="{62181D8C-8BB8-4A36-A304-A0668FCB906E}"/>
    <hyperlink ref="F129" r:id="rId128" xr:uid="{87CAC8D8-4D03-4325-8907-DC7C49A858B0}"/>
    <hyperlink ref="F133" r:id="rId129" xr:uid="{BF7C9FE7-E46A-4525-8B7F-91E59C4B3365}"/>
    <hyperlink ref="F140" r:id="rId130" xr:uid="{AE14647E-8D77-469A-A884-253733AC8606}"/>
    <hyperlink ref="F139" r:id="rId131" xr:uid="{9013087C-0E80-4CCE-A476-208506A3A0DE}"/>
    <hyperlink ref="F134" r:id="rId132" xr:uid="{B1634786-B725-4444-B542-42605D7ACA15}"/>
    <hyperlink ref="F136" r:id="rId133" xr:uid="{4202C080-3923-41CD-882B-DA42B9F82B33}"/>
    <hyperlink ref="F138" r:id="rId134" xr:uid="{9884299F-71F9-4908-9C58-E2F0D1A1C403}"/>
    <hyperlink ref="F130" r:id="rId135" xr:uid="{16EDCCEE-67EA-423A-85DC-578E503EA2BA}"/>
    <hyperlink ref="F132" r:id="rId136" xr:uid="{A823CF72-C391-451A-A2E7-26FC9F15467F}"/>
    <hyperlink ref="F142" r:id="rId137" xr:uid="{6126B89F-CBE5-4941-B138-5709C4C19E0D}"/>
    <hyperlink ref="F135" r:id="rId138" xr:uid="{2FCFA30A-8CA0-41B5-927D-12C83E1C78F3}"/>
    <hyperlink ref="F137" r:id="rId139" xr:uid="{61EDCBA3-F498-4927-898D-22C8CEF35CAA}"/>
    <hyperlink ref="F141" r:id="rId140" xr:uid="{B7790712-138F-48A3-B4C7-37CB2E0018FC}"/>
    <hyperlink ref="F143" r:id="rId141" xr:uid="{7BC65C8C-ADF6-47DD-8A44-E4C369859C9A}"/>
    <hyperlink ref="F144" r:id="rId142" xr:uid="{E1880009-E37B-4593-8771-3633C6FC7B36}"/>
    <hyperlink ref="F145" r:id="rId143" xr:uid="{23610EEE-8023-4522-A9BC-DE534AAEC992}"/>
    <hyperlink ref="F148" r:id="rId144" xr:uid="{2625F93C-33E2-4979-BF99-F5E619948F26}"/>
    <hyperlink ref="F149" r:id="rId145" xr:uid="{273ECC30-4AB3-4902-BB0F-32248716F1AE}"/>
    <hyperlink ref="F150" r:id="rId146" xr:uid="{A338265C-1FF4-46BD-9312-E46FFC311C61}"/>
    <hyperlink ref="F151" r:id="rId147" xr:uid="{423093CE-E50C-47D2-8965-948E8C9E441A}"/>
    <hyperlink ref="F152" r:id="rId148" xr:uid="{83D01A29-C99F-4BFA-99F6-D8125007C738}"/>
    <hyperlink ref="F153" r:id="rId149" xr:uid="{85459DE5-A7FC-443C-8071-EBDE17FFDC43}"/>
    <hyperlink ref="F154" r:id="rId150" xr:uid="{8EBA4926-AA0F-42BC-A308-2B43BEB64C03}"/>
    <hyperlink ref="F155" r:id="rId151" xr:uid="{F6129B49-51B6-4720-B150-06EE2DEBCF81}"/>
    <hyperlink ref="F156" r:id="rId152" xr:uid="{EB7A2B01-2183-4C0B-9D24-AF836D6F02CE}"/>
    <hyperlink ref="F157" r:id="rId153" xr:uid="{AFC73A6D-9121-4AA2-BC4D-F53F35B4978E}"/>
    <hyperlink ref="F158" r:id="rId154" xr:uid="{39D03D6D-1454-40A0-81F5-8F8244DB4843}"/>
    <hyperlink ref="F159" r:id="rId155" xr:uid="{23DC0AE2-92FA-4FDD-AD03-C0BDCB418D96}"/>
    <hyperlink ref="F161" r:id="rId156" xr:uid="{2171FCD5-064D-49DB-A111-25D48DF228CA}"/>
    <hyperlink ref="F163" r:id="rId157" xr:uid="{72394661-520A-4E2C-A387-988A51749A4D}"/>
    <hyperlink ref="F164" r:id="rId158" xr:uid="{B7541AD3-6E18-430E-9FE7-EBDAA6691A2B}"/>
    <hyperlink ref="F167" r:id="rId159" xr:uid="{F579A787-D789-4C93-9052-9CD97D08A8AC}"/>
    <hyperlink ref="F146" r:id="rId160" xr:uid="{92DE04D4-4C23-4A63-A7DE-3EF19E8909CD}"/>
    <hyperlink ref="F147" r:id="rId161" xr:uid="{72A07055-B796-491C-8EAD-C864137A98FD}"/>
    <hyperlink ref="F160" r:id="rId162" xr:uid="{5A2D31A4-576B-4F87-BFD3-6A431980A4B3}"/>
    <hyperlink ref="F162" r:id="rId163" xr:uid="{964546D5-44A2-4F18-9B85-605EF0C46464}"/>
    <hyperlink ref="F165" r:id="rId164" xr:uid="{6E004087-7F3C-471D-A49D-C97F8EF0DD2A}"/>
    <hyperlink ref="F166" r:id="rId165" xr:uid="{ECD16DF4-25FF-4D21-99A0-F12EECB1C331}"/>
    <hyperlink ref="F85" r:id="rId166" xr:uid="{A84614CA-5731-468E-B9E3-BA81DE35635C}"/>
    <hyperlink ref="F168" r:id="rId167" xr:uid="{68355066-D558-497F-B8E5-157724F4EFFB}"/>
    <hyperlink ref="F169" r:id="rId168" xr:uid="{DC9CA2D6-D17F-4C38-8BDB-5824BDC9C241}"/>
    <hyperlink ref="F170" r:id="rId169" xr:uid="{E8DF62E7-7932-43B5-A711-E5B8735F7F8D}"/>
    <hyperlink ref="F171" r:id="rId170" xr:uid="{8348CFA7-4A89-44C9-8763-36AAAC5FC3DD}"/>
    <hyperlink ref="F172" r:id="rId171" xr:uid="{30EC3586-B386-46BF-97E7-071858ABDAB8}"/>
    <hyperlink ref="F173" r:id="rId172" xr:uid="{D3296430-0A61-492B-89F2-A3342DF7BC33}"/>
    <hyperlink ref="F174" r:id="rId173" xr:uid="{54FFB19D-6040-4849-A35C-221115C72445}"/>
    <hyperlink ref="F175" r:id="rId174" xr:uid="{FCE17FAA-7651-4E95-B42E-0C0C89B38E34}"/>
    <hyperlink ref="F176" r:id="rId175" xr:uid="{33F5D85B-E452-4243-BFDF-BE427732E9CE}"/>
    <hyperlink ref="F177" r:id="rId176" xr:uid="{5D240A86-F6E2-4B29-AF74-DC22933AED68}"/>
    <hyperlink ref="F178" r:id="rId177" xr:uid="{44125D1A-E95A-424F-8CA2-3A617D40E270}"/>
    <hyperlink ref="F179" r:id="rId178" xr:uid="{19ADBD36-A5D5-48F3-98B0-AA823103C931}"/>
    <hyperlink ref="F180" r:id="rId179" xr:uid="{2B01CF58-2BD2-4517-A893-25C71243EA1C}"/>
    <hyperlink ref="F181" r:id="rId180" xr:uid="{CB8534A3-917F-40BE-9F7C-EBF05CDBE12D}"/>
    <hyperlink ref="F182" r:id="rId181" xr:uid="{9F9668E4-0891-473F-8645-667A4CE16AEB}"/>
    <hyperlink ref="F183" r:id="rId182" xr:uid="{1CA83C14-6932-45ED-8112-751B5BF7C8C3}"/>
    <hyperlink ref="F185" r:id="rId183" xr:uid="{C6DF2DD4-8E15-446C-A02D-7B6E71D2D524}"/>
    <hyperlink ref="F188" r:id="rId184" xr:uid="{5438A4CD-9BF1-473B-B14F-DCBFB2D9C278}"/>
    <hyperlink ref="F189" r:id="rId185" xr:uid="{A9486D07-6D65-482D-8D0B-834E930938BB}"/>
    <hyperlink ref="F194" r:id="rId186" xr:uid="{C0E5FDE6-E479-4F34-AECD-9356D5C587F0}"/>
    <hyperlink ref="F184" r:id="rId187" xr:uid="{62B04E3D-896C-4C1D-AFF6-BDEB19FD128D}"/>
    <hyperlink ref="F186" r:id="rId188" xr:uid="{0B67BDCE-954D-4CB8-BFF5-473F69937CD9}"/>
    <hyperlink ref="F187" r:id="rId189" xr:uid="{063157D1-EF3C-4905-8B69-0F7D35B854BF}"/>
    <hyperlink ref="F197" r:id="rId190" xr:uid="{915AA6E6-9156-48B1-9C23-37950B0A6B25}"/>
    <hyperlink ref="F192" r:id="rId191" xr:uid="{646A66C2-7C0F-4FD4-BF85-2B5E3323E805}"/>
    <hyperlink ref="F196" r:id="rId192" xr:uid="{A61009A3-0214-4AF8-8731-1F79CB13FA66}"/>
    <hyperlink ref="F193" r:id="rId193" xr:uid="{78F01314-12FD-4F21-BF20-F3A6CB0AC92B}"/>
    <hyperlink ref="F190" r:id="rId194" xr:uid="{F6E0AA8D-CFE6-4F3B-98A2-B83C88A4DB57}"/>
    <hyperlink ref="F191" r:id="rId195" xr:uid="{DFCF4044-2091-46B8-B0D6-3BDE7D4759D2}"/>
    <hyperlink ref="F195" r:id="rId196" xr:uid="{59A4DF84-5A17-4FCD-8845-04BF1C4A870F}"/>
    <hyperlink ref="F198" r:id="rId197" xr:uid="{8D024DC2-E319-494E-9316-E4AEE085B64A}"/>
    <hyperlink ref="F199" r:id="rId198" xr:uid="{01818F0E-3C58-47FA-B4C1-5663FAB262C8}"/>
    <hyperlink ref="F200" r:id="rId199" xr:uid="{54C70F89-EEA7-4550-AABE-392BBB3B9CE7}"/>
    <hyperlink ref="F201" r:id="rId200" xr:uid="{EF0F43ED-35B9-4D52-8406-A267330F3DDB}"/>
    <hyperlink ref="F202" r:id="rId201" xr:uid="{6B64C000-0551-4E25-9CB3-347B807F53A6}"/>
    <hyperlink ref="F203" r:id="rId202" xr:uid="{5CCFC871-AB41-4A3F-9FB4-8A4A01F0CF1C}"/>
    <hyperlink ref="F204" r:id="rId203" xr:uid="{E3C9284D-B01D-4A7F-841C-4D10E5A072A2}"/>
    <hyperlink ref="F205" r:id="rId204" xr:uid="{46229714-1852-426D-B99D-F95886963BAF}"/>
    <hyperlink ref="F206" r:id="rId205" xr:uid="{7A479881-795A-40B6-832C-EE302C23C3DD}"/>
    <hyperlink ref="F207" r:id="rId206" xr:uid="{2633910C-2FC8-4CF8-BBCA-CDCDD90978A2}"/>
    <hyperlink ref="F208" r:id="rId207" xr:uid="{63CA770B-D2E7-45B0-928B-435782F9909B}"/>
    <hyperlink ref="F209" r:id="rId208" xr:uid="{88FECE15-FD9E-409D-869A-D8E5B5653639}"/>
    <hyperlink ref="F210" r:id="rId209" xr:uid="{FF900D13-8A7E-4BCC-BD7A-5F33D859A33B}"/>
    <hyperlink ref="F211" r:id="rId210" xr:uid="{38736E7A-DF07-4DA1-935D-804D9396FB8A}"/>
    <hyperlink ref="F212" r:id="rId211" xr:uid="{3CCC788A-19B7-46BE-A8F1-1B7C777FE948}"/>
    <hyperlink ref="F214" r:id="rId212" xr:uid="{14D88E86-7C3A-408D-A1FC-E7C1AE81C561}"/>
    <hyperlink ref="F213" r:id="rId213" xr:uid="{A08F93B3-2470-47DD-B40A-10E84F6BE401}"/>
    <hyperlink ref="F222" r:id="rId214" xr:uid="{061DA6A5-D407-429F-B851-B4F8FA875FFC}"/>
    <hyperlink ref="F224" r:id="rId215" xr:uid="{29194794-C3A5-4020-B020-F8D392FC1FC5}"/>
    <hyperlink ref="F225" r:id="rId216" xr:uid="{409E28D2-9E07-40CC-BEF3-120E94DC7862}"/>
    <hyperlink ref="F226" r:id="rId217" xr:uid="{65709AD1-94AC-49A5-9979-63979F7DD1CD}"/>
    <hyperlink ref="F223" r:id="rId218" xr:uid="{75CED258-53D2-4235-A70A-2BB222852990}"/>
    <hyperlink ref="F216" r:id="rId219" xr:uid="{50798CD1-E764-4DB2-A24E-C846F3CD7A43}"/>
    <hyperlink ref="F228" r:id="rId220" xr:uid="{B5D5F348-7A83-48E9-9BB0-65D7886C4091}"/>
    <hyperlink ref="F218" r:id="rId221" xr:uid="{7BA7032C-0212-4BD3-BABF-A3D8CAC33138}"/>
    <hyperlink ref="F217" r:id="rId222" xr:uid="{330EBBA5-0951-4A19-8E2F-34CA00674980}"/>
    <hyperlink ref="F221" r:id="rId223" xr:uid="{5C0D0520-4F25-44D5-8B0F-4A4A9C84F7DE}"/>
    <hyperlink ref="F220" r:id="rId224" xr:uid="{BA8646DE-EA2C-4438-A5F8-76E86707665D}"/>
    <hyperlink ref="F227" r:id="rId225" xr:uid="{422BAAC7-5428-4175-AB72-D7F1BA7AA292}"/>
    <hyperlink ref="F219" r:id="rId226" xr:uid="{F868F1A2-D405-4C36-A843-7C19E2972ADE}"/>
    <hyperlink ref="F215" r:id="rId227" xr:uid="{CEE300F2-B81A-4948-BE98-E688A8EA7F36}"/>
    <hyperlink ref="F229" r:id="rId228" xr:uid="{3E398228-4010-4C23-9FDA-3E27A62248CF}"/>
    <hyperlink ref="F230" r:id="rId229" xr:uid="{E66060AB-E5EC-4B50-8AAA-70B360B95ED2}"/>
    <hyperlink ref="F231" r:id="rId230" xr:uid="{21D80E8F-D0F5-4A03-BBAE-270A4AC4C0F8}"/>
    <hyperlink ref="F232" r:id="rId231" xr:uid="{7D18BC46-41F1-4659-B8C7-AF5673B53844}"/>
    <hyperlink ref="F233" r:id="rId232" xr:uid="{AFEAADB3-E7C9-4F54-AB52-3CEC840AFEF2}"/>
    <hyperlink ref="F234" r:id="rId233" xr:uid="{C47F0C99-3F28-47FD-9207-B6D6004B3821}"/>
    <hyperlink ref="F235" r:id="rId234" xr:uid="{86E6380C-C44A-4D0C-BF6E-54507E3380F9}"/>
    <hyperlink ref="F236" r:id="rId235" xr:uid="{D32ABBC9-5201-4D01-85EE-6FBD5EDBDE56}"/>
    <hyperlink ref="F237" r:id="rId236" xr:uid="{C06E5ACC-B266-48B6-AF37-E4C60CD9BB72}"/>
    <hyperlink ref="F238" r:id="rId237" xr:uid="{D82CCECF-82E4-4E78-A2BE-EF9A6D77A048}"/>
    <hyperlink ref="F239" r:id="rId238" xr:uid="{F5F410AC-5EF0-4D5F-9416-64D2EA06FF99}"/>
    <hyperlink ref="F252" r:id="rId239" xr:uid="{CF3C3F84-BE89-4296-9B8C-8B01B7ED7AAF}"/>
    <hyperlink ref="F240" r:id="rId240" xr:uid="{64772D76-96C8-4816-89EA-DB0F75C34609}"/>
    <hyperlink ref="F251" r:id="rId241" xr:uid="{CAF180AF-EABB-4FB2-A4B4-A18F9D98DBE8}"/>
    <hyperlink ref="F250" r:id="rId242" xr:uid="{6B78F4FA-8F7E-4492-9814-F31DD7D40722}"/>
    <hyperlink ref="F241" r:id="rId243" xr:uid="{613C2F48-9801-4393-BB4A-520C6D5DEDFF}"/>
    <hyperlink ref="F243" r:id="rId244" xr:uid="{8324959A-F1D9-4666-AA2A-ECEF7FEBB4AF}"/>
    <hyperlink ref="F242" r:id="rId245" xr:uid="{9E597BA0-0D18-4A30-A568-19947E53CCD4}"/>
    <hyperlink ref="F244" r:id="rId246" xr:uid="{402BF3F7-115B-4940-9ED4-788F6B723124}"/>
    <hyperlink ref="F245" r:id="rId247" xr:uid="{08CFA9FB-12CA-48D1-A96A-BFE9B05C3F0E}"/>
    <hyperlink ref="F246" r:id="rId248" xr:uid="{D75048D5-CF8E-44F9-B4ED-3FC9507733FA}"/>
    <hyperlink ref="F247" r:id="rId249" xr:uid="{050EF3D6-C3EC-4CDC-99AA-795A39B8E9BD}"/>
    <hyperlink ref="F249" r:id="rId250" xr:uid="{C6FB0117-8803-44AA-8721-264DE4DC8607}"/>
    <hyperlink ref="F248" r:id="rId251" xr:uid="{2C605FDD-EAF5-4C8B-822B-139914F2F0A7}"/>
    <hyperlink ref="F276" r:id="rId252" xr:uid="{5E420C41-FBAA-4CF6-A755-A7C139BB8DD6}"/>
    <hyperlink ref="F277" r:id="rId253" xr:uid="{4AFD4B2C-9D07-4378-A014-E6671DD12B55}"/>
    <hyperlink ref="F253" r:id="rId254" xr:uid="{F6FDB625-A867-4754-83BC-63A36B84856D}"/>
    <hyperlink ref="F254" r:id="rId255" xr:uid="{D65F0F49-B8A9-4BBD-8CE1-0F8E05EA4E41}"/>
    <hyperlink ref="F255" r:id="rId256" xr:uid="{989FB779-F069-4B83-8C82-41C1CA81139F}"/>
    <hyperlink ref="F256" r:id="rId257" xr:uid="{4E125037-269D-4546-8C99-1F348B0D339D}"/>
    <hyperlink ref="F257" r:id="rId258" xr:uid="{A6B2896C-EF1C-4A2F-9D24-FE0387B6295F}"/>
    <hyperlink ref="F273" r:id="rId259" xr:uid="{C37F83ED-B62F-4800-AADE-DEC1D5DD10C5}"/>
    <hyperlink ref="F275" r:id="rId260" xr:uid="{A0E6470C-EE3C-464D-9165-1614DA6A37AD}"/>
    <hyperlink ref="F274" r:id="rId261" xr:uid="{4A15F3C4-4E30-4591-BD44-6F2E902CD643}"/>
    <hyperlink ref="F272" r:id="rId262" xr:uid="{D1C2C68E-AFC7-432B-88FD-A1D5E4D2C889}"/>
    <hyperlink ref="F271" r:id="rId263" xr:uid="{C1336E99-3BC1-44D1-A2B4-36BC770F19BF}"/>
    <hyperlink ref="F270" r:id="rId264" xr:uid="{4CD339EF-862D-4C3A-87AF-9330716D5E05}"/>
    <hyperlink ref="F269" r:id="rId265" xr:uid="{9C6F8160-3D06-4EAE-8894-F232D4DE8FB3}"/>
    <hyperlink ref="F268" r:id="rId266" xr:uid="{2E544C01-B835-416B-B6B4-8D7250958C5E}"/>
    <hyperlink ref="F267" r:id="rId267" xr:uid="{2C9A837B-0662-444E-BD3F-AFD48B09A89F}"/>
    <hyperlink ref="F265" r:id="rId268" xr:uid="{A1929F34-0E17-48D8-99B1-CF91F8B094E8}"/>
    <hyperlink ref="F266" r:id="rId269" xr:uid="{1E2FBCD3-D087-46C2-BEF0-2BF365F6BB56}"/>
    <hyperlink ref="F264" r:id="rId270" xr:uid="{E2A0648B-8EA0-439A-B183-2338BE6A5FC4}"/>
    <hyperlink ref="F263" r:id="rId271" xr:uid="{559BB3DC-5415-4DD7-B241-0289B301725C}"/>
    <hyperlink ref="F262" r:id="rId272" xr:uid="{830F8E28-76AE-4E40-B327-BD22D67B15C7}"/>
    <hyperlink ref="F260" r:id="rId273" xr:uid="{8EF3A0B5-8D6D-49AB-84FD-B8E6C01CDF0B}"/>
    <hyperlink ref="F259" r:id="rId274" xr:uid="{03F8AB11-340D-4E46-BDBB-34B9E6C9078E}"/>
    <hyperlink ref="F258" r:id="rId275" xr:uid="{9AA04337-F1F4-4911-B63A-7400F963989B}"/>
    <hyperlink ref="F261" r:id="rId276" xr:uid="{A0961B61-BE8C-4146-867B-22DB1D792DD0}"/>
    <hyperlink ref="F278" r:id="rId277" xr:uid="{A5C71FF0-627D-4F8B-9A42-12DD9208169A}"/>
    <hyperlink ref="F279" r:id="rId278" xr:uid="{49B3DF70-AB98-406E-9B09-B1EAA8E82FD4}"/>
    <hyperlink ref="F280" r:id="rId279" xr:uid="{1B2FA24D-E547-423E-8FFF-CE096EF61897}"/>
    <hyperlink ref="F281" r:id="rId280" xr:uid="{0927E96D-C50D-460B-B99C-05850015BB70}"/>
    <hyperlink ref="F282" r:id="rId281" xr:uid="{729AB128-A348-4F4A-B19D-E9E3AC72A664}"/>
    <hyperlink ref="F283" r:id="rId282" xr:uid="{042ED4EB-3D90-438B-881A-79102C25060F}"/>
    <hyperlink ref="F284" r:id="rId283" xr:uid="{858CE537-AA58-424B-B684-89965AE242F5}"/>
    <hyperlink ref="F285" r:id="rId284" xr:uid="{173087EC-5256-46EC-8606-0B523F16144A}"/>
    <hyperlink ref="F293" r:id="rId285" xr:uid="{66688C01-2CC8-42B1-A32F-610578B81D07}"/>
    <hyperlink ref="F296" r:id="rId286" xr:uid="{C8B129BF-6D98-45E7-9059-B448FAD8D446}"/>
    <hyperlink ref="F286" r:id="rId287" xr:uid="{1521CDFD-4471-4ED7-8CE9-619CA24F3CDB}"/>
    <hyperlink ref="F294" r:id="rId288" xr:uid="{168E7A75-3FB9-4B01-B8E6-172C81511610}"/>
    <hyperlink ref="F298" r:id="rId289" xr:uid="{925130B8-0F1F-4073-994D-3BB8D4B0F598}"/>
    <hyperlink ref="F297" r:id="rId290" xr:uid="{B2C97F67-0777-4FC1-AB14-4E7FB02EA931}"/>
    <hyperlink ref="F289" r:id="rId291" xr:uid="{7193FDDA-BE9B-4BC1-A994-8A5083EC33EF}"/>
    <hyperlink ref="F288" r:id="rId292" xr:uid="{085199A4-B001-4CFB-9FA2-427D9C6F8FEB}"/>
    <hyperlink ref="F295" r:id="rId293" xr:uid="{732FCE76-988D-4BF2-A2B5-9EF701E92745}"/>
    <hyperlink ref="F290" r:id="rId294" xr:uid="{5A7AC3F9-3C8F-4A91-8D74-8A44D1558ABF}"/>
    <hyperlink ref="F292" r:id="rId295" xr:uid="{42437C3B-D4AA-45DC-9797-6858DFD62158}"/>
    <hyperlink ref="F291" r:id="rId296" xr:uid="{03DF4C65-27FA-4AF5-B19B-171848C05EDB}"/>
    <hyperlink ref="F287" r:id="rId297" xr:uid="{091A226D-187B-43BB-98D7-A9F90EA73A56}"/>
    <hyperlink ref="F299" r:id="rId298" xr:uid="{6B106497-054D-489E-8C3B-86236E0BDE8B}"/>
    <hyperlink ref="F300" r:id="rId299" xr:uid="{2ABF5579-B95D-4E3D-85E7-DA75DF8F8D16}"/>
    <hyperlink ref="F301" r:id="rId300" xr:uid="{F3B87807-8BB9-4812-96A3-C9AF82703CA7}"/>
    <hyperlink ref="F302" r:id="rId301" xr:uid="{F3EF3C2E-DFE7-4CC3-8990-67773F7D8365}"/>
    <hyperlink ref="F303" r:id="rId302" xr:uid="{714D009F-810C-45F0-8A09-DAE1D7971C8D}"/>
    <hyperlink ref="F304" r:id="rId303" xr:uid="{8EBEA716-49CC-4B94-B69E-FAA79E71FD17}"/>
    <hyperlink ref="F311" r:id="rId304" xr:uid="{7CE1DA39-63A8-43EB-80EB-6710A13E7BC7}"/>
    <hyperlink ref="F307" r:id="rId305" xr:uid="{F9FC3A43-B738-4F5F-868E-A48F63C67785}"/>
    <hyperlink ref="F305" r:id="rId306" xr:uid="{1C800F93-945D-4833-AB4D-93D4164A9CFF}"/>
    <hyperlink ref="F306" r:id="rId307" xr:uid="{7ABA8462-58B0-4441-8C42-8F44E94C4573}"/>
    <hyperlink ref="F308" r:id="rId308" xr:uid="{8AD2E9C6-5D94-4C29-A0CE-F1FB825181DA}"/>
    <hyperlink ref="F309" r:id="rId309" xr:uid="{0CDE1264-D05B-4C9C-B023-56ED996DD8F3}"/>
    <hyperlink ref="F310" r:id="rId310" xr:uid="{BDF82B66-FB2B-4153-BDD8-E9A54AE5388B}"/>
    <hyperlink ref="F312" r:id="rId311" xr:uid="{B6510E19-3786-4078-A18D-730C8BFE8470}"/>
    <hyperlink ref="F313" r:id="rId312" xr:uid="{C35F7A2F-7D2B-4B41-9E67-0860D06C4BC3}"/>
    <hyperlink ref="F314" r:id="rId313" xr:uid="{1053E992-3A41-4A1E-97D5-FFB9FA405E59}"/>
    <hyperlink ref="F315" r:id="rId314" xr:uid="{43994AA1-1844-41C8-BBB1-91C1B59278BB}"/>
    <hyperlink ref="F316" r:id="rId315" xr:uid="{EF11054D-FD4F-4C80-86D4-1FD5955B2756}"/>
    <hyperlink ref="F317" r:id="rId316" xr:uid="{EFD7DCFE-8BF1-4A5A-9A5F-3BA7730124E6}"/>
    <hyperlink ref="F318" r:id="rId317" xr:uid="{F0C5F47F-DF0A-43BC-BE28-65453F75673E}"/>
    <hyperlink ref="F319" r:id="rId318" xr:uid="{B75C7747-2C4F-4855-8EE5-BCB24C25A4AA}"/>
    <hyperlink ref="F320" r:id="rId319" xr:uid="{8265E4A3-C0D8-4AE4-8580-B8DCA4C7D2DD}"/>
    <hyperlink ref="F321" r:id="rId320" xr:uid="{2997A94A-7CB2-4826-881E-2D2C71718776}"/>
    <hyperlink ref="F322" r:id="rId321" xr:uid="{76E03FF4-B08D-45F3-A8EB-FEDE0D782E1D}"/>
    <hyperlink ref="F323" r:id="rId322" xr:uid="{71B36988-BA5F-4F9E-AA04-DFED77F4C592}"/>
    <hyperlink ref="F324" r:id="rId323" xr:uid="{C01CF61F-A566-4016-86BF-AE82C4F2F836}"/>
    <hyperlink ref="F325" r:id="rId324" xr:uid="{2FB25EAA-FFB5-47C7-A744-D1E658DCDACB}"/>
    <hyperlink ref="F326" r:id="rId325" xr:uid="{2C227DB3-F4FB-4766-9030-26F2D02C1563}"/>
    <hyperlink ref="F328" r:id="rId326" xr:uid="{C3E8DBDA-7F78-47D1-8C73-E89A2BBA1D5D}"/>
    <hyperlink ref="F327" r:id="rId327" xr:uid="{4AED2CD5-2D9E-4366-A05B-B40934E55D93}"/>
    <hyperlink ref="F329" r:id="rId328" xr:uid="{5BDE20D5-D895-4FF7-BB13-0676925B7F44}"/>
    <hyperlink ref="F330" r:id="rId329" xr:uid="{81B2E318-6D89-4A0C-B089-86B851B75B69}"/>
    <hyperlink ref="F331" r:id="rId330" xr:uid="{E77F76E2-2887-4952-A4EB-9BC75A2E4CFB}"/>
    <hyperlink ref="F332" r:id="rId331" xr:uid="{B5C6C195-C775-4C32-BC33-1BDC38D08D96}"/>
    <hyperlink ref="F333" r:id="rId332" xr:uid="{E02A6650-E046-417A-8446-913985140F9F}"/>
    <hyperlink ref="F334" r:id="rId333" xr:uid="{6D685875-AB7C-45F7-B313-E7DA7843BD49}"/>
    <hyperlink ref="F335" r:id="rId334" xr:uid="{F69E4FD7-E846-47B8-97FF-96BD52A60835}"/>
    <hyperlink ref="F336" r:id="rId335" xr:uid="{EFD109F6-85B3-4878-A8D3-5512D21FAF43}"/>
    <hyperlink ref="F337" r:id="rId336" xr:uid="{6AA340CD-A1BC-4E75-B39F-673E96A231EB}"/>
    <hyperlink ref="F338" r:id="rId337" xr:uid="{F13A34C2-4D60-403A-A64F-283BA80FAB7E}"/>
    <hyperlink ref="F339" r:id="rId338" xr:uid="{D7F718C0-839F-4039-8297-557AED1DCFD7}"/>
    <hyperlink ref="F340" r:id="rId339" xr:uid="{A80737FC-B5F8-4038-AA6B-B3BD0091E199}"/>
    <hyperlink ref="F341" r:id="rId340" xr:uid="{7426219A-D545-4B56-B3F1-D383412A26D0}"/>
    <hyperlink ref="F342" r:id="rId341" xr:uid="{E1D5ABF6-E340-42D1-A6D7-C9CC74F98D33}"/>
    <hyperlink ref="F343" r:id="rId342" xr:uid="{D3940F62-4922-4525-A687-CBDDD24E4267}"/>
    <hyperlink ref="F344" r:id="rId343" xr:uid="{F187246A-A1AB-4B4D-8033-D79F6C660C64}"/>
    <hyperlink ref="F345" r:id="rId344" xr:uid="{7EDE7AB3-86FC-473E-9F54-70E2BD726A47}"/>
    <hyperlink ref="F346" r:id="rId345" xr:uid="{28C9AFEC-5FB8-496E-AEC4-ED5B00B68686}"/>
    <hyperlink ref="F347" r:id="rId346" xr:uid="{8E97434E-7664-45C2-87D3-2A3E9E15D01A}"/>
    <hyperlink ref="F348" r:id="rId347" xr:uid="{0DA06B07-FAE1-4855-A16A-3CD3AB969A26}"/>
    <hyperlink ref="F349" r:id="rId348" xr:uid="{B2D2AFD1-706C-43B2-9375-17D6993053F9}"/>
    <hyperlink ref="F350" r:id="rId349" xr:uid="{1D92A81A-1F13-4D4B-B21C-101107B23077}"/>
    <hyperlink ref="F351" r:id="rId350" xr:uid="{AE863518-8EA7-42AA-AF67-61A3A84634E0}"/>
    <hyperlink ref="F352" r:id="rId351" xr:uid="{23590D34-E527-4049-9223-13C4B3E3A1CC}"/>
    <hyperlink ref="F353" r:id="rId352" xr:uid="{E76591A7-55EA-4F66-A20C-33263A1CE905}"/>
    <hyperlink ref="F354" r:id="rId353" xr:uid="{A3D6FC13-B2C1-4218-B7EE-8EB4BB9C52F0}"/>
    <hyperlink ref="F355" r:id="rId354" xr:uid="{3FAC131C-CB5D-4750-96C2-FF4CDE5BEFE6}"/>
    <hyperlink ref="F356" r:id="rId355" xr:uid="{BA100874-2D29-4039-9D31-0089AD59B698}"/>
    <hyperlink ref="F357" r:id="rId356" xr:uid="{8E95F228-5C25-44E4-9C1B-6B1895EE769B}"/>
    <hyperlink ref="F358" r:id="rId357" xr:uid="{561539C0-6913-4669-8406-9FD2A6CD5657}"/>
    <hyperlink ref="F359" r:id="rId358" xr:uid="{425FF72E-94A6-4998-8A7D-C88AD9CE8E38}"/>
    <hyperlink ref="F360" r:id="rId359" xr:uid="{FE598EA7-1619-41C1-A896-AF70B4933184}"/>
    <hyperlink ref="F361" r:id="rId360" xr:uid="{6841611D-2860-46F3-A7F2-BDF2E0476F79}"/>
    <hyperlink ref="F362" r:id="rId361" xr:uid="{A92305DF-4C14-41BC-8A3B-3D7E2F223374}"/>
    <hyperlink ref="F363" r:id="rId362" xr:uid="{4FBFAD32-0FF8-4116-A641-C25379DA3F69}"/>
    <hyperlink ref="F364" r:id="rId363" xr:uid="{02AE255D-98FB-4DCD-A840-10EA3AB566E2}"/>
    <hyperlink ref="F365" r:id="rId364" xr:uid="{FFF46EE3-2978-4551-B49B-E01555CE3CEB}"/>
    <hyperlink ref="F373" r:id="rId365" xr:uid="{D8B22CDA-2BB4-4698-9872-B44E012A5D87}"/>
    <hyperlink ref="F375" r:id="rId366" xr:uid="{D7F10D82-20D9-45B3-8A61-A139328D8F92}"/>
    <hyperlink ref="F374" r:id="rId367" xr:uid="{2B5C8FA5-4199-496D-8A56-B621FA59A9B0}"/>
    <hyperlink ref="F371" r:id="rId368" xr:uid="{DA8E2F04-5777-40DE-80AE-23A5AB2922CA}"/>
    <hyperlink ref="F372" r:id="rId369" xr:uid="{C27F0782-5BA6-4BA8-BC4E-B1B050CA87C2}"/>
    <hyperlink ref="F376" r:id="rId370" xr:uid="{3C2C5E55-D729-40FB-B342-99FA85DE228F}"/>
    <hyperlink ref="F367" r:id="rId371" xr:uid="{60B62AE2-D91D-45A4-B1B4-7EA8A2E8F305}"/>
    <hyperlink ref="F368" r:id="rId372" xr:uid="{FD1CC61A-CFE4-4C49-92FB-C5EE45DCC0F3}"/>
    <hyperlink ref="F370" r:id="rId373" xr:uid="{BF6AE8E1-B225-45D0-9E21-7D8A905902C3}"/>
    <hyperlink ref="F366" r:id="rId374" xr:uid="{03E44911-F49F-4C6B-966C-F33C22760976}"/>
    <hyperlink ref="F369" r:id="rId375" xr:uid="{0EC9A47E-E124-4328-A72F-58FDFC1612B3}"/>
    <hyperlink ref="F386" r:id="rId376" xr:uid="{6A844C8F-4AD2-42EB-9868-E78E64C2BBCE}"/>
    <hyperlink ref="F382" r:id="rId377" xr:uid="{ECC59DF1-87B0-4FF6-8455-9375BEB53CD4}"/>
    <hyperlink ref="F383" r:id="rId378" xr:uid="{BE11977B-7116-4A9C-AFAD-1F9BBAB3FD1A}"/>
    <hyperlink ref="F377" r:id="rId379" xr:uid="{CF666E5C-C4C3-41B1-811A-4AD902C498C8}"/>
    <hyperlink ref="F380" r:id="rId380" xr:uid="{83D3F756-830D-42E4-ADD2-708EE964F8D8}"/>
    <hyperlink ref="F381" r:id="rId381" xr:uid="{2F8FD4F6-8352-454F-AA59-E2801CBE0CA5}"/>
    <hyperlink ref="F385" r:id="rId382" xr:uid="{9188741A-E2B1-46AB-91A3-5278E73D848F}"/>
    <hyperlink ref="F384" r:id="rId383" xr:uid="{12ECB582-C26E-4CE6-A8EE-73F245951DB0}"/>
    <hyperlink ref="F378" r:id="rId384" xr:uid="{B298A120-2F13-4EA3-BC7B-349C44FC1713}"/>
    <hyperlink ref="F379" r:id="rId385" xr:uid="{88B3AA2E-D009-4F79-B0AE-EE49B16733F3}"/>
  </hyperlinks>
  <pageMargins left="0.7" right="0.7" top="0.78740157499999996" bottom="0.78740157499999996" header="0.3" footer="0.3"/>
  <pageSetup paperSize="9" orientation="portrait" r:id="rId38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66972-12D2-4DFD-984F-70C743DA999C}">
  <dimension ref="A1:X131"/>
  <sheetViews>
    <sheetView topLeftCell="N1" workbookViewId="0">
      <pane ySplit="1" topLeftCell="A2" activePane="bottomLeft" state="frozen"/>
      <selection pane="bottomLeft" activeCell="O4" sqref="O4"/>
    </sheetView>
  </sheetViews>
  <sheetFormatPr baseColWidth="10" defaultRowHeight="14.4" x14ac:dyDescent="0.3"/>
  <cols>
    <col min="2" max="2" width="11.5546875" style="3"/>
    <col min="3" max="3" width="24" bestFit="1" customWidth="1"/>
    <col min="4" max="4" width="15" style="3" bestFit="1" customWidth="1"/>
    <col min="6" max="6" width="11.5546875" style="3"/>
    <col min="7" max="7" width="21.77734375" bestFit="1" customWidth="1"/>
    <col min="8" max="8" width="21.77734375" style="3" bestFit="1" customWidth="1"/>
    <col min="10" max="10" width="11.5546875" style="3"/>
    <col min="11" max="11" width="15.109375" bestFit="1" customWidth="1"/>
    <col min="12" max="12" width="15.109375" style="3" bestFit="1" customWidth="1"/>
    <col min="13" max="13" width="27.109375" bestFit="1" customWidth="1"/>
    <col min="14" max="14" width="27.109375" style="3" bestFit="1" customWidth="1"/>
    <col min="15" max="15" width="35.6640625" bestFit="1" customWidth="1"/>
    <col min="16" max="16" width="22.88671875" style="3" bestFit="1" customWidth="1"/>
    <col min="17" max="17" width="20.21875" customWidth="1"/>
    <col min="18" max="18" width="20.21875" style="3" customWidth="1"/>
    <col min="19" max="19" width="24.21875" customWidth="1"/>
    <col min="20" max="20" width="16.77734375" style="3" bestFit="1" customWidth="1"/>
    <col min="21" max="21" width="23.109375" bestFit="1" customWidth="1"/>
    <col min="22" max="22" width="23.109375" style="3" bestFit="1" customWidth="1"/>
    <col min="23" max="24" width="20" bestFit="1" customWidth="1"/>
  </cols>
  <sheetData>
    <row r="1" spans="1:24" s="3" customFormat="1" x14ac:dyDescent="0.3">
      <c r="A1" s="1" t="s">
        <v>0</v>
      </c>
      <c r="B1" s="1" t="s">
        <v>0</v>
      </c>
      <c r="C1" s="1" t="s">
        <v>1</v>
      </c>
      <c r="D1" s="1" t="s">
        <v>1</v>
      </c>
      <c r="E1" s="1" t="s">
        <v>2</v>
      </c>
      <c r="F1" s="1" t="s">
        <v>2</v>
      </c>
      <c r="G1" s="1" t="s">
        <v>3</v>
      </c>
      <c r="H1" s="1" t="s">
        <v>3</v>
      </c>
      <c r="I1" s="1" t="s">
        <v>4</v>
      </c>
      <c r="J1" s="1" t="s">
        <v>4</v>
      </c>
      <c r="K1" s="1" t="s">
        <v>5</v>
      </c>
      <c r="L1" s="1" t="s">
        <v>5</v>
      </c>
      <c r="M1" s="1" t="s">
        <v>6</v>
      </c>
      <c r="N1" s="1" t="s">
        <v>6</v>
      </c>
      <c r="O1" s="1" t="s">
        <v>39119</v>
      </c>
      <c r="P1" s="1" t="s">
        <v>39119</v>
      </c>
      <c r="Q1" s="1" t="s">
        <v>7</v>
      </c>
      <c r="R1" s="1" t="s">
        <v>7</v>
      </c>
      <c r="S1" s="1" t="s">
        <v>39118</v>
      </c>
      <c r="T1" s="1" t="s">
        <v>39118</v>
      </c>
      <c r="U1" s="1" t="s">
        <v>8</v>
      </c>
      <c r="V1" s="1" t="s">
        <v>8</v>
      </c>
      <c r="W1" s="2"/>
      <c r="X1" s="2"/>
    </row>
    <row r="2" spans="1:24" ht="28.8" x14ac:dyDescent="0.3">
      <c r="A2">
        <v>2009</v>
      </c>
      <c r="B2" s="3">
        <v>1</v>
      </c>
      <c r="C2" t="s">
        <v>9</v>
      </c>
      <c r="D2" s="3">
        <v>1</v>
      </c>
      <c r="E2" t="s">
        <v>10</v>
      </c>
      <c r="F2" s="3">
        <v>1</v>
      </c>
      <c r="G2" t="s">
        <v>11</v>
      </c>
      <c r="H2" s="3">
        <v>1</v>
      </c>
      <c r="I2" s="4">
        <v>1</v>
      </c>
      <c r="J2" s="5">
        <v>1</v>
      </c>
      <c r="K2" s="4" t="s">
        <v>12</v>
      </c>
      <c r="L2" s="5">
        <v>1</v>
      </c>
      <c r="M2" t="s">
        <v>13</v>
      </c>
      <c r="N2" s="3">
        <v>1</v>
      </c>
      <c r="O2" s="4" t="s">
        <v>39605</v>
      </c>
      <c r="P2" s="3">
        <v>1</v>
      </c>
      <c r="Q2" t="s">
        <v>14</v>
      </c>
      <c r="R2" s="3">
        <v>1</v>
      </c>
      <c r="S2" s="4" t="s">
        <v>39120</v>
      </c>
      <c r="T2" s="5">
        <v>1</v>
      </c>
      <c r="U2" s="4" t="s">
        <v>15</v>
      </c>
      <c r="V2" s="5">
        <v>1</v>
      </c>
    </row>
    <row r="3" spans="1:24" ht="57.6" x14ac:dyDescent="0.3">
      <c r="A3">
        <v>2010</v>
      </c>
      <c r="B3" s="3">
        <v>2</v>
      </c>
      <c r="C3" t="s">
        <v>16</v>
      </c>
      <c r="D3" s="3">
        <v>2</v>
      </c>
      <c r="E3" t="s">
        <v>17</v>
      </c>
      <c r="F3" s="3">
        <v>2</v>
      </c>
      <c r="G3" t="s">
        <v>18</v>
      </c>
      <c r="H3" s="3">
        <v>2</v>
      </c>
      <c r="I3">
        <v>2</v>
      </c>
      <c r="J3" s="3">
        <v>2</v>
      </c>
      <c r="K3" t="s">
        <v>19</v>
      </c>
      <c r="L3" s="3">
        <v>2</v>
      </c>
      <c r="M3" s="4" t="s">
        <v>20</v>
      </c>
      <c r="N3" s="3">
        <v>2</v>
      </c>
      <c r="O3" s="4" t="s">
        <v>39606</v>
      </c>
      <c r="P3" s="3">
        <v>2</v>
      </c>
      <c r="Q3" t="s">
        <v>21</v>
      </c>
      <c r="R3" s="3">
        <v>2</v>
      </c>
      <c r="S3" s="4" t="s">
        <v>39121</v>
      </c>
      <c r="T3" s="3">
        <v>2</v>
      </c>
      <c r="U3" s="6" t="s">
        <v>22</v>
      </c>
      <c r="V3" s="7">
        <v>2</v>
      </c>
    </row>
    <row r="4" spans="1:24" ht="43.2" x14ac:dyDescent="0.3">
      <c r="A4">
        <v>2011</v>
      </c>
      <c r="B4" s="3">
        <v>3</v>
      </c>
      <c r="C4" t="s">
        <v>23</v>
      </c>
      <c r="D4" s="3">
        <v>3</v>
      </c>
      <c r="E4" t="s">
        <v>24</v>
      </c>
      <c r="F4" s="3">
        <v>3</v>
      </c>
      <c r="G4" t="s">
        <v>150</v>
      </c>
      <c r="H4" s="3">
        <v>3</v>
      </c>
      <c r="I4" s="4">
        <v>3</v>
      </c>
      <c r="J4" s="5">
        <v>3</v>
      </c>
      <c r="K4" s="4" t="s">
        <v>26</v>
      </c>
      <c r="L4" s="5">
        <v>3</v>
      </c>
      <c r="M4" t="s">
        <v>27</v>
      </c>
      <c r="N4" s="5">
        <v>3</v>
      </c>
      <c r="O4" s="4" t="s">
        <v>39602</v>
      </c>
      <c r="P4" s="5">
        <v>3</v>
      </c>
      <c r="Q4" t="s">
        <v>28</v>
      </c>
      <c r="R4" s="5">
        <v>3</v>
      </c>
      <c r="S4" s="4" t="s">
        <v>39125</v>
      </c>
      <c r="T4" s="5">
        <v>3</v>
      </c>
      <c r="U4" s="4"/>
      <c r="V4" s="5"/>
    </row>
    <row r="5" spans="1:24" ht="72" x14ac:dyDescent="0.3">
      <c r="A5">
        <v>2012</v>
      </c>
      <c r="B5" s="3">
        <v>4</v>
      </c>
      <c r="C5" s="4" t="s">
        <v>30</v>
      </c>
      <c r="D5" s="3">
        <v>4</v>
      </c>
      <c r="E5" t="s">
        <v>31</v>
      </c>
      <c r="F5" s="3">
        <v>4</v>
      </c>
      <c r="G5" t="s">
        <v>25</v>
      </c>
      <c r="H5" s="3">
        <v>4</v>
      </c>
      <c r="I5" s="4">
        <v>4</v>
      </c>
      <c r="J5" s="3">
        <v>4</v>
      </c>
      <c r="K5" s="4" t="s">
        <v>33</v>
      </c>
      <c r="L5" s="5">
        <v>4</v>
      </c>
      <c r="N5" s="5"/>
      <c r="O5" s="4" t="s">
        <v>34</v>
      </c>
      <c r="P5" s="5">
        <v>4</v>
      </c>
      <c r="Q5" s="4" t="s">
        <v>35</v>
      </c>
      <c r="R5" s="5">
        <v>4</v>
      </c>
      <c r="S5" s="4" t="s">
        <v>39604</v>
      </c>
      <c r="T5" s="5">
        <v>4</v>
      </c>
      <c r="U5" s="4"/>
      <c r="V5" s="5"/>
    </row>
    <row r="6" spans="1:24" ht="43.2" x14ac:dyDescent="0.3">
      <c r="A6">
        <v>2013</v>
      </c>
      <c r="B6" s="3">
        <v>5</v>
      </c>
      <c r="C6" t="s">
        <v>36</v>
      </c>
      <c r="D6" s="3">
        <v>5</v>
      </c>
      <c r="E6" t="s">
        <v>37</v>
      </c>
      <c r="F6" s="3">
        <v>5</v>
      </c>
      <c r="G6" t="s">
        <v>32</v>
      </c>
      <c r="H6" s="3">
        <v>5</v>
      </c>
      <c r="I6" s="4">
        <v>5</v>
      </c>
      <c r="J6" s="5">
        <v>5</v>
      </c>
      <c r="K6" s="4" t="s">
        <v>39</v>
      </c>
      <c r="L6" s="5">
        <v>5</v>
      </c>
      <c r="N6" s="5"/>
      <c r="O6" s="4"/>
      <c r="P6" s="5"/>
      <c r="Q6" s="4" t="s">
        <v>40</v>
      </c>
      <c r="R6" s="5">
        <v>5</v>
      </c>
      <c r="S6" s="4" t="s">
        <v>39123</v>
      </c>
      <c r="T6" s="5">
        <v>5</v>
      </c>
      <c r="U6" s="4"/>
      <c r="V6" s="5"/>
    </row>
    <row r="7" spans="1:24" ht="28.8" x14ac:dyDescent="0.3">
      <c r="A7">
        <v>2014</v>
      </c>
      <c r="B7" s="3">
        <v>6</v>
      </c>
      <c r="C7" t="s">
        <v>41</v>
      </c>
      <c r="D7" s="3">
        <v>6</v>
      </c>
      <c r="E7" t="s">
        <v>42</v>
      </c>
      <c r="F7" s="3">
        <v>6</v>
      </c>
      <c r="G7" t="s">
        <v>38</v>
      </c>
      <c r="H7" s="3">
        <v>6</v>
      </c>
      <c r="I7" s="4">
        <v>6</v>
      </c>
      <c r="J7" s="3">
        <v>6</v>
      </c>
      <c r="K7" s="4" t="s">
        <v>34</v>
      </c>
      <c r="L7" s="5">
        <v>100</v>
      </c>
      <c r="M7" s="4"/>
      <c r="N7" s="5"/>
      <c r="O7" s="4"/>
      <c r="P7" s="5"/>
      <c r="Q7" s="4" t="s">
        <v>44</v>
      </c>
      <c r="R7" s="5">
        <v>6</v>
      </c>
      <c r="S7" s="4"/>
      <c r="T7" s="5"/>
      <c r="U7" s="4"/>
      <c r="V7" s="5"/>
    </row>
    <row r="8" spans="1:24" ht="43.2" x14ac:dyDescent="0.3">
      <c r="A8">
        <v>2015</v>
      </c>
      <c r="B8" s="3">
        <v>7</v>
      </c>
      <c r="E8" t="s">
        <v>45</v>
      </c>
      <c r="F8" s="3">
        <v>7</v>
      </c>
      <c r="G8" t="s">
        <v>151</v>
      </c>
      <c r="H8" s="3">
        <v>7</v>
      </c>
      <c r="I8" s="4">
        <v>7</v>
      </c>
      <c r="J8" s="5">
        <v>7</v>
      </c>
      <c r="K8" s="4"/>
      <c r="L8" s="5"/>
      <c r="M8" s="4"/>
      <c r="N8" s="5"/>
      <c r="O8" s="4"/>
      <c r="P8" s="5"/>
      <c r="Q8" s="4" t="s">
        <v>47</v>
      </c>
      <c r="R8" s="5">
        <v>7</v>
      </c>
      <c r="S8" s="4"/>
      <c r="T8" s="5"/>
      <c r="U8" s="4"/>
      <c r="V8" s="5"/>
    </row>
    <row r="9" spans="1:24" ht="43.2" x14ac:dyDescent="0.3">
      <c r="A9">
        <v>2016</v>
      </c>
      <c r="B9" s="3">
        <v>8</v>
      </c>
      <c r="E9" t="s">
        <v>48</v>
      </c>
      <c r="F9" s="3">
        <v>8</v>
      </c>
      <c r="G9" t="s">
        <v>43</v>
      </c>
      <c r="H9" s="3">
        <v>8</v>
      </c>
      <c r="I9" s="4">
        <v>8</v>
      </c>
      <c r="J9" s="3">
        <v>8</v>
      </c>
      <c r="K9" s="4"/>
      <c r="L9" s="5"/>
      <c r="Q9" s="4" t="s">
        <v>1637</v>
      </c>
      <c r="R9" s="5">
        <v>8</v>
      </c>
      <c r="U9" s="4"/>
      <c r="V9" s="5"/>
    </row>
    <row r="10" spans="1:24" ht="43.2" x14ac:dyDescent="0.3">
      <c r="A10">
        <v>2017</v>
      </c>
      <c r="B10" s="3">
        <v>9</v>
      </c>
      <c r="E10" t="s">
        <v>50</v>
      </c>
      <c r="F10" s="3">
        <v>9</v>
      </c>
      <c r="G10" t="s">
        <v>46</v>
      </c>
      <c r="H10" s="3">
        <v>9</v>
      </c>
      <c r="I10" s="4">
        <v>9</v>
      </c>
      <c r="J10" s="5">
        <v>9</v>
      </c>
      <c r="M10" s="4"/>
      <c r="N10" s="5"/>
      <c r="O10" s="4"/>
      <c r="P10" s="5"/>
      <c r="Q10" s="4" t="s">
        <v>1638</v>
      </c>
      <c r="R10" s="5">
        <v>9</v>
      </c>
      <c r="S10" s="4"/>
      <c r="T10" s="5"/>
      <c r="U10" s="4"/>
      <c r="V10" s="5"/>
    </row>
    <row r="11" spans="1:24" ht="43.2" x14ac:dyDescent="0.3">
      <c r="A11">
        <v>2018</v>
      </c>
      <c r="B11" s="3">
        <v>10</v>
      </c>
      <c r="G11" t="s">
        <v>152</v>
      </c>
      <c r="H11" s="3">
        <v>10</v>
      </c>
      <c r="I11" s="4">
        <v>10</v>
      </c>
      <c r="J11" s="3">
        <v>10</v>
      </c>
      <c r="M11" s="4"/>
      <c r="N11" s="5"/>
      <c r="O11" s="4"/>
      <c r="P11" s="5"/>
      <c r="Q11" s="4" t="s">
        <v>1639</v>
      </c>
      <c r="R11" s="5">
        <v>10</v>
      </c>
      <c r="S11" s="4"/>
      <c r="T11" s="5"/>
      <c r="U11" s="4"/>
      <c r="V11" s="5"/>
    </row>
    <row r="12" spans="1:24" ht="43.2" x14ac:dyDescent="0.3">
      <c r="A12">
        <v>2019</v>
      </c>
      <c r="B12" s="3">
        <v>11</v>
      </c>
      <c r="G12" t="s">
        <v>49</v>
      </c>
      <c r="H12" s="3">
        <v>11</v>
      </c>
      <c r="I12" s="4">
        <v>11</v>
      </c>
      <c r="J12" s="5">
        <v>11</v>
      </c>
      <c r="M12" s="4"/>
      <c r="N12" s="5"/>
      <c r="O12" s="4"/>
      <c r="P12" s="5"/>
      <c r="Q12" s="4" t="s">
        <v>1640</v>
      </c>
      <c r="R12" s="5">
        <v>11</v>
      </c>
      <c r="S12" s="4"/>
      <c r="T12" s="5"/>
    </row>
    <row r="13" spans="1:24" ht="43.2" x14ac:dyDescent="0.3">
      <c r="A13">
        <v>2020</v>
      </c>
      <c r="B13" s="3">
        <v>12</v>
      </c>
      <c r="G13" t="s">
        <v>51</v>
      </c>
      <c r="H13" s="3">
        <v>12</v>
      </c>
      <c r="I13" s="4">
        <v>12</v>
      </c>
      <c r="J13" s="3">
        <v>12</v>
      </c>
      <c r="K13" s="4"/>
      <c r="L13" s="5"/>
      <c r="Q13" s="4" t="s">
        <v>1641</v>
      </c>
      <c r="R13" s="5">
        <v>12</v>
      </c>
    </row>
    <row r="14" spans="1:24" ht="57.6" x14ac:dyDescent="0.3">
      <c r="A14">
        <v>2021</v>
      </c>
      <c r="B14" s="3">
        <v>13</v>
      </c>
      <c r="G14" t="s">
        <v>153</v>
      </c>
      <c r="H14" s="3">
        <v>13</v>
      </c>
      <c r="I14" s="4">
        <v>13</v>
      </c>
      <c r="J14" s="3">
        <v>13</v>
      </c>
      <c r="Q14" s="4" t="s">
        <v>1642</v>
      </c>
      <c r="R14" s="5">
        <v>13</v>
      </c>
    </row>
    <row r="15" spans="1:24" ht="43.2" x14ac:dyDescent="0.3">
      <c r="A15">
        <v>2022</v>
      </c>
      <c r="B15" s="3">
        <v>14</v>
      </c>
      <c r="G15" t="s">
        <v>154</v>
      </c>
      <c r="H15" s="3">
        <v>14</v>
      </c>
      <c r="I15" s="4">
        <v>14</v>
      </c>
      <c r="J15" s="5">
        <v>14</v>
      </c>
      <c r="K15" s="4"/>
      <c r="L15" s="5"/>
      <c r="M15" s="8"/>
      <c r="N15" s="9"/>
      <c r="O15" s="8"/>
      <c r="P15" s="9"/>
      <c r="Q15" s="4" t="s">
        <v>1643</v>
      </c>
      <c r="R15" s="5">
        <v>14</v>
      </c>
      <c r="S15" s="8"/>
      <c r="T15" s="9"/>
      <c r="U15" s="4"/>
      <c r="V15" s="5"/>
    </row>
    <row r="16" spans="1:24" ht="43.2" x14ac:dyDescent="0.3">
      <c r="A16">
        <v>2023</v>
      </c>
      <c r="B16" s="3">
        <v>15</v>
      </c>
      <c r="G16" t="s">
        <v>52</v>
      </c>
      <c r="H16" s="3">
        <v>15</v>
      </c>
      <c r="I16" t="s">
        <v>3090</v>
      </c>
      <c r="J16" s="3">
        <v>100</v>
      </c>
      <c r="K16" s="4"/>
      <c r="L16" s="5"/>
      <c r="Q16" s="4" t="s">
        <v>1644</v>
      </c>
      <c r="R16" s="5">
        <v>15</v>
      </c>
      <c r="U16" s="4"/>
      <c r="V16" s="5"/>
    </row>
    <row r="17" spans="1:22" x14ac:dyDescent="0.3">
      <c r="A17">
        <v>2024</v>
      </c>
      <c r="B17" s="3">
        <v>16</v>
      </c>
      <c r="M17" s="4"/>
      <c r="N17" s="5"/>
      <c r="O17" s="4"/>
      <c r="P17" s="5"/>
      <c r="Q17" s="4" t="s">
        <v>29</v>
      </c>
      <c r="R17" s="3">
        <v>16</v>
      </c>
      <c r="S17" s="4"/>
      <c r="T17" s="5"/>
      <c r="U17" s="4"/>
      <c r="V17" s="5"/>
    </row>
    <row r="18" spans="1:22" ht="43.2" x14ac:dyDescent="0.3">
      <c r="A18">
        <v>2025</v>
      </c>
      <c r="B18" s="3">
        <v>17</v>
      </c>
      <c r="I18" s="8" t="s">
        <v>3079</v>
      </c>
      <c r="J18" s="5"/>
      <c r="K18" s="4"/>
      <c r="L18" s="5"/>
      <c r="M18" s="4"/>
      <c r="N18" s="5"/>
      <c r="O18" s="4"/>
      <c r="P18" s="5"/>
      <c r="Q18" s="4" t="s">
        <v>54</v>
      </c>
      <c r="R18" s="3">
        <v>17</v>
      </c>
      <c r="S18" s="4"/>
      <c r="T18" s="5"/>
      <c r="U18" s="4"/>
      <c r="V18" s="5"/>
    </row>
    <row r="19" spans="1:22" x14ac:dyDescent="0.3">
      <c r="I19" s="4">
        <v>1</v>
      </c>
      <c r="J19" s="5">
        <v>1</v>
      </c>
      <c r="K19" s="4"/>
      <c r="L19" s="5"/>
      <c r="M19" s="4"/>
      <c r="N19" s="5"/>
      <c r="O19" s="4"/>
      <c r="P19" s="5"/>
      <c r="S19" s="4"/>
      <c r="T19" s="5"/>
      <c r="U19" s="8"/>
      <c r="V19" s="9"/>
    </row>
    <row r="20" spans="1:22" x14ac:dyDescent="0.3">
      <c r="A20" s="2" t="s">
        <v>3079</v>
      </c>
      <c r="I20" s="4">
        <v>2</v>
      </c>
      <c r="J20" s="5">
        <v>2</v>
      </c>
      <c r="K20" s="4"/>
      <c r="L20" s="5"/>
      <c r="M20" s="4"/>
      <c r="N20" s="5"/>
      <c r="O20" s="4"/>
      <c r="P20" s="5"/>
      <c r="Q20" s="8" t="s">
        <v>3079</v>
      </c>
      <c r="R20" s="5"/>
      <c r="S20" s="4"/>
      <c r="T20" s="5"/>
      <c r="U20" s="2"/>
      <c r="V20" s="1"/>
    </row>
    <row r="21" spans="1:22" x14ac:dyDescent="0.3">
      <c r="A21" t="s">
        <v>3080</v>
      </c>
      <c r="B21" s="3">
        <v>18</v>
      </c>
      <c r="I21" s="4">
        <v>3</v>
      </c>
      <c r="J21" s="5">
        <v>3</v>
      </c>
      <c r="K21" s="4"/>
      <c r="L21" s="5"/>
      <c r="M21" s="4"/>
      <c r="N21" s="5"/>
      <c r="O21" s="4"/>
      <c r="P21" s="5"/>
      <c r="Q21" t="s">
        <v>14</v>
      </c>
      <c r="R21" s="3">
        <v>1</v>
      </c>
      <c r="S21" s="4"/>
      <c r="T21" s="5"/>
      <c r="U21" s="2"/>
      <c r="V21" s="1"/>
    </row>
    <row r="22" spans="1:22" x14ac:dyDescent="0.3">
      <c r="A22" t="s">
        <v>3081</v>
      </c>
      <c r="B22" s="3">
        <v>19</v>
      </c>
      <c r="I22" s="26" t="s">
        <v>3086</v>
      </c>
      <c r="J22" s="5">
        <v>15</v>
      </c>
      <c r="K22" s="4"/>
      <c r="L22" s="5"/>
      <c r="M22" s="4"/>
      <c r="N22" s="5"/>
      <c r="O22" s="4"/>
      <c r="P22" s="5"/>
      <c r="Q22" t="s">
        <v>21</v>
      </c>
      <c r="R22" s="3">
        <v>2</v>
      </c>
      <c r="S22" s="4"/>
      <c r="T22" s="5"/>
      <c r="U22" s="2"/>
      <c r="V22" s="1"/>
    </row>
    <row r="23" spans="1:22" x14ac:dyDescent="0.3">
      <c r="A23" t="s">
        <v>3082</v>
      </c>
      <c r="B23" s="3">
        <v>20</v>
      </c>
      <c r="I23" s="27" t="s">
        <v>3087</v>
      </c>
      <c r="J23" s="5">
        <v>16</v>
      </c>
      <c r="K23" s="4"/>
      <c r="L23" s="5"/>
      <c r="M23" s="4"/>
      <c r="N23" s="5"/>
      <c r="O23" s="4"/>
      <c r="P23" s="5"/>
      <c r="Q23" t="s">
        <v>28</v>
      </c>
      <c r="R23" s="5">
        <v>3</v>
      </c>
      <c r="S23" s="4"/>
      <c r="T23" s="5"/>
      <c r="U23" s="8"/>
      <c r="V23" s="9"/>
    </row>
    <row r="24" spans="1:22" ht="28.8" x14ac:dyDescent="0.3">
      <c r="A24" t="s">
        <v>3083</v>
      </c>
      <c r="B24" s="3">
        <v>21</v>
      </c>
      <c r="I24" s="4" t="s">
        <v>3090</v>
      </c>
      <c r="J24" s="5">
        <v>100</v>
      </c>
      <c r="K24" s="4"/>
      <c r="L24" s="5"/>
      <c r="M24" s="4"/>
      <c r="N24" s="5"/>
      <c r="O24" s="4"/>
      <c r="P24" s="5"/>
      <c r="Q24" s="4" t="s">
        <v>3093</v>
      </c>
      <c r="R24" s="5">
        <v>18</v>
      </c>
      <c r="S24" s="4"/>
      <c r="T24" s="5"/>
      <c r="U24" s="2"/>
      <c r="V24" s="1"/>
    </row>
    <row r="25" spans="1:22" ht="28.8" x14ac:dyDescent="0.3">
      <c r="I25" s="4"/>
      <c r="J25" s="5"/>
      <c r="K25" s="4"/>
      <c r="L25" s="5"/>
      <c r="M25" s="4"/>
      <c r="N25" s="5"/>
      <c r="O25" s="4"/>
      <c r="P25" s="5"/>
      <c r="Q25" s="4" t="s">
        <v>3094</v>
      </c>
      <c r="R25" s="5">
        <v>19</v>
      </c>
      <c r="S25" s="4"/>
      <c r="T25" s="5"/>
      <c r="U25" s="4"/>
      <c r="V25" s="5"/>
    </row>
    <row r="26" spans="1:22" x14ac:dyDescent="0.3">
      <c r="I26" s="4"/>
      <c r="J26" s="5"/>
      <c r="K26" s="4"/>
      <c r="L26" s="5"/>
      <c r="M26" s="4"/>
      <c r="N26" s="5"/>
      <c r="O26" s="4"/>
      <c r="P26" s="5"/>
      <c r="Q26" s="4" t="s">
        <v>50</v>
      </c>
      <c r="R26" s="5">
        <v>16</v>
      </c>
      <c r="S26" s="4"/>
      <c r="T26" s="5"/>
      <c r="U26" s="2"/>
      <c r="V26" s="1"/>
    </row>
    <row r="27" spans="1:22" x14ac:dyDescent="0.3">
      <c r="I27" s="4"/>
      <c r="J27" s="5"/>
      <c r="K27" s="4"/>
      <c r="L27" s="5"/>
      <c r="M27" s="4"/>
      <c r="N27" s="5"/>
      <c r="O27" s="4"/>
      <c r="P27" s="5"/>
      <c r="Q27" s="4" t="s">
        <v>39603</v>
      </c>
      <c r="R27" s="5">
        <v>17</v>
      </c>
      <c r="S27" s="4"/>
      <c r="T27" s="5"/>
      <c r="U27" s="2"/>
      <c r="V27" s="1"/>
    </row>
    <row r="28" spans="1:22" x14ac:dyDescent="0.3">
      <c r="I28" s="4"/>
      <c r="J28" s="5"/>
      <c r="K28" s="4"/>
      <c r="L28" s="5"/>
      <c r="M28" s="4"/>
      <c r="N28" s="5"/>
      <c r="O28" s="4"/>
      <c r="P28" s="5"/>
      <c r="Q28" s="4"/>
      <c r="R28" s="5"/>
      <c r="S28" s="4"/>
      <c r="T28" s="5"/>
      <c r="U28" s="2"/>
      <c r="V28" s="1"/>
    </row>
    <row r="29" spans="1:22" x14ac:dyDescent="0.3">
      <c r="I29" s="4"/>
      <c r="J29" s="5"/>
      <c r="K29" s="4"/>
      <c r="L29" s="5"/>
      <c r="M29" s="4"/>
      <c r="N29" s="5"/>
      <c r="O29" s="4"/>
      <c r="P29" s="5"/>
      <c r="Q29" s="4"/>
      <c r="R29" s="5"/>
      <c r="S29" s="4"/>
      <c r="T29" s="5"/>
      <c r="U29" s="2"/>
      <c r="V29" s="1"/>
    </row>
    <row r="30" spans="1:22" x14ac:dyDescent="0.3">
      <c r="I30" s="4"/>
      <c r="J30" s="5"/>
      <c r="K30" s="4"/>
      <c r="L30" s="5"/>
      <c r="M30" s="4"/>
      <c r="N30" s="5"/>
      <c r="O30" s="4"/>
      <c r="P30" s="5"/>
      <c r="Q30" s="4"/>
      <c r="R30" s="5"/>
      <c r="S30" s="4"/>
      <c r="T30" s="5"/>
      <c r="U30" s="2"/>
      <c r="V30" s="1"/>
    </row>
    <row r="31" spans="1:22" x14ac:dyDescent="0.3">
      <c r="I31" s="4"/>
      <c r="J31" s="5"/>
      <c r="K31" s="4"/>
      <c r="L31" s="5"/>
      <c r="M31" s="4"/>
      <c r="N31" s="5"/>
      <c r="O31" s="4"/>
      <c r="P31" s="5"/>
      <c r="Q31" s="4"/>
      <c r="R31" s="5"/>
      <c r="S31" s="4"/>
      <c r="T31" s="5"/>
      <c r="U31" s="2"/>
      <c r="V31" s="1"/>
    </row>
    <row r="32" spans="1:22" x14ac:dyDescent="0.3">
      <c r="I32" s="4"/>
      <c r="J32" s="5"/>
      <c r="K32" s="4"/>
      <c r="L32" s="5"/>
      <c r="U32" s="2"/>
      <c r="V32" s="1"/>
    </row>
    <row r="33" spans="9:22" x14ac:dyDescent="0.3">
      <c r="I33" s="4"/>
      <c r="J33" s="5"/>
      <c r="K33" s="4"/>
      <c r="L33" s="5"/>
      <c r="M33" s="4"/>
      <c r="N33" s="5"/>
      <c r="O33" s="4"/>
      <c r="P33" s="5"/>
      <c r="Q33" s="4"/>
      <c r="R33" s="5"/>
      <c r="S33" s="4"/>
      <c r="T33" s="5"/>
      <c r="U33" s="2"/>
      <c r="V33" s="1"/>
    </row>
    <row r="34" spans="9:22" x14ac:dyDescent="0.3">
      <c r="I34" s="4"/>
      <c r="J34" s="5"/>
      <c r="K34" s="4"/>
      <c r="L34" s="5"/>
      <c r="U34" s="4"/>
      <c r="V34" s="5"/>
    </row>
    <row r="35" spans="9:22" x14ac:dyDescent="0.3">
      <c r="I35" s="4"/>
      <c r="J35" s="5"/>
      <c r="K35" s="4"/>
      <c r="L35" s="5"/>
      <c r="M35" s="4"/>
      <c r="N35" s="5"/>
      <c r="O35" s="4"/>
      <c r="P35" s="5"/>
      <c r="Q35" s="4"/>
      <c r="R35" s="5"/>
      <c r="S35" s="4"/>
      <c r="T35" s="5"/>
      <c r="U35" s="2"/>
      <c r="V35" s="1"/>
    </row>
    <row r="36" spans="9:22" x14ac:dyDescent="0.3">
      <c r="I36" s="4"/>
      <c r="J36" s="5"/>
      <c r="K36" s="4"/>
      <c r="L36" s="5"/>
      <c r="U36" s="2"/>
      <c r="V36" s="1"/>
    </row>
    <row r="37" spans="9:22" x14ac:dyDescent="0.3">
      <c r="I37" s="4"/>
      <c r="J37" s="5"/>
      <c r="K37" s="4"/>
      <c r="L37" s="5"/>
      <c r="M37" s="4"/>
      <c r="N37" s="5"/>
      <c r="O37" s="4"/>
      <c r="P37" s="5"/>
      <c r="Q37" s="4"/>
      <c r="R37" s="5"/>
      <c r="S37" s="4"/>
      <c r="T37" s="5"/>
      <c r="U37" s="2"/>
      <c r="V37" s="1"/>
    </row>
    <row r="38" spans="9:22" x14ac:dyDescent="0.3">
      <c r="I38" s="4"/>
      <c r="J38" s="5"/>
      <c r="K38" s="4"/>
      <c r="L38" s="5"/>
      <c r="M38" s="4"/>
      <c r="N38" s="5"/>
      <c r="O38" s="4"/>
      <c r="P38" s="5"/>
      <c r="Q38" s="4"/>
      <c r="R38" s="5"/>
      <c r="S38" s="4"/>
      <c r="T38" s="5"/>
      <c r="U38" s="2"/>
      <c r="V38" s="1"/>
    </row>
    <row r="39" spans="9:22" x14ac:dyDescent="0.3">
      <c r="I39" s="4"/>
      <c r="J39" s="5"/>
      <c r="K39" s="4"/>
      <c r="L39" s="5"/>
      <c r="M39" s="4"/>
      <c r="N39" s="5"/>
      <c r="O39" s="4"/>
      <c r="P39" s="5"/>
      <c r="Q39" s="4"/>
      <c r="R39" s="5"/>
      <c r="S39" s="4"/>
      <c r="T39" s="5"/>
      <c r="U39" s="2"/>
      <c r="V39" s="1"/>
    </row>
    <row r="41" spans="9:22" x14ac:dyDescent="0.3">
      <c r="I41" s="8"/>
      <c r="J41" s="9"/>
      <c r="K41" s="8"/>
      <c r="L41" s="9"/>
      <c r="M41" s="8"/>
      <c r="N41" s="9"/>
      <c r="O41" s="8"/>
      <c r="P41" s="9"/>
      <c r="Q41" s="8"/>
      <c r="R41" s="9"/>
      <c r="S41" s="8"/>
      <c r="T41" s="9"/>
    </row>
    <row r="42" spans="9:22" x14ac:dyDescent="0.3">
      <c r="I42" s="4"/>
      <c r="J42" s="5"/>
      <c r="K42" s="4"/>
      <c r="L42" s="5"/>
      <c r="M42" s="4"/>
      <c r="N42" s="5"/>
      <c r="O42" s="4"/>
      <c r="P42" s="5"/>
      <c r="Q42" s="4"/>
      <c r="R42" s="5"/>
      <c r="S42" s="4"/>
      <c r="T42" s="5"/>
      <c r="U42" s="2"/>
      <c r="V42" s="1"/>
    </row>
    <row r="43" spans="9:22" x14ac:dyDescent="0.3">
      <c r="I43" s="4"/>
      <c r="J43" s="5"/>
      <c r="K43" s="4"/>
      <c r="L43" s="5"/>
      <c r="M43" s="4"/>
      <c r="N43" s="5"/>
      <c r="O43" s="4"/>
      <c r="P43" s="5"/>
      <c r="Q43" s="4"/>
      <c r="R43" s="5"/>
      <c r="S43" s="4"/>
      <c r="T43" s="5"/>
      <c r="U43" s="2"/>
      <c r="V43" s="1"/>
    </row>
    <row r="44" spans="9:22" x14ac:dyDescent="0.3">
      <c r="I44" s="4"/>
      <c r="J44" s="5"/>
      <c r="K44" s="4"/>
      <c r="L44" s="5"/>
      <c r="M44" s="4"/>
      <c r="N44" s="5"/>
      <c r="O44" s="4"/>
      <c r="P44" s="5"/>
      <c r="Q44" s="4"/>
      <c r="R44" s="5"/>
      <c r="S44" s="4"/>
      <c r="T44" s="5"/>
      <c r="U44" s="2"/>
      <c r="V44" s="1"/>
    </row>
    <row r="45" spans="9:22" x14ac:dyDescent="0.3">
      <c r="I45" s="4"/>
      <c r="J45" s="5"/>
      <c r="K45" s="4"/>
      <c r="L45" s="5"/>
      <c r="M45" s="4"/>
      <c r="N45" s="5"/>
      <c r="O45" s="4"/>
      <c r="P45" s="5"/>
      <c r="Q45" s="4"/>
      <c r="R45" s="5"/>
      <c r="S45" s="4"/>
      <c r="T45" s="5"/>
      <c r="U45" s="2"/>
      <c r="V45" s="1"/>
    </row>
    <row r="46" spans="9:22" x14ac:dyDescent="0.3">
      <c r="I46" s="4"/>
      <c r="J46" s="5"/>
      <c r="K46" s="4"/>
      <c r="L46" s="5"/>
      <c r="M46" s="4"/>
      <c r="N46" s="5"/>
      <c r="O46" s="4"/>
      <c r="P46" s="5"/>
      <c r="Q46" s="4"/>
      <c r="R46" s="5"/>
      <c r="S46" s="4"/>
      <c r="T46" s="5"/>
      <c r="U46" s="2"/>
      <c r="V46" s="1"/>
    </row>
    <row r="47" spans="9:22" x14ac:dyDescent="0.3">
      <c r="I47" s="4"/>
      <c r="J47" s="5"/>
      <c r="K47" s="4"/>
      <c r="L47" s="5"/>
      <c r="M47" s="8"/>
      <c r="N47" s="9"/>
      <c r="O47" s="8"/>
      <c r="P47" s="9"/>
      <c r="Q47" s="8"/>
      <c r="R47" s="9"/>
      <c r="S47" s="8"/>
      <c r="T47" s="9"/>
      <c r="U47" s="2"/>
      <c r="V47" s="1"/>
    </row>
    <row r="48" spans="9:22" x14ac:dyDescent="0.3">
      <c r="I48" s="4"/>
      <c r="J48" s="5"/>
      <c r="K48" s="4"/>
      <c r="L48" s="5"/>
      <c r="M48" s="4"/>
      <c r="N48" s="5"/>
      <c r="O48" s="4"/>
      <c r="P48" s="5"/>
      <c r="Q48" s="4"/>
      <c r="R48" s="5"/>
      <c r="S48" s="4"/>
      <c r="T48" s="5"/>
    </row>
    <row r="49" spans="9:22" x14ac:dyDescent="0.3">
      <c r="I49" s="4"/>
      <c r="J49" s="5"/>
      <c r="K49" s="4"/>
      <c r="L49" s="5"/>
      <c r="M49" s="4"/>
      <c r="N49" s="5"/>
      <c r="O49" s="4"/>
      <c r="P49" s="5"/>
      <c r="Q49" s="4"/>
      <c r="R49" s="5"/>
      <c r="S49" s="4"/>
      <c r="T49" s="5"/>
    </row>
    <row r="50" spans="9:22" x14ac:dyDescent="0.3">
      <c r="I50" s="4"/>
      <c r="J50" s="5"/>
      <c r="K50" s="4"/>
      <c r="L50" s="5"/>
      <c r="M50" s="4"/>
      <c r="N50" s="5"/>
      <c r="O50" s="4"/>
      <c r="P50" s="5"/>
      <c r="Q50" s="4"/>
      <c r="R50" s="5"/>
      <c r="S50" s="4"/>
      <c r="T50" s="5"/>
      <c r="U50" s="2"/>
      <c r="V50" s="1"/>
    </row>
    <row r="51" spans="9:22" x14ac:dyDescent="0.3">
      <c r="I51" s="4"/>
      <c r="J51" s="5"/>
      <c r="K51" s="4"/>
      <c r="L51" s="5"/>
      <c r="M51" s="4"/>
      <c r="N51" s="5"/>
      <c r="O51" s="4"/>
      <c r="P51" s="5"/>
      <c r="Q51" s="4"/>
      <c r="R51" s="5"/>
      <c r="S51" s="4"/>
      <c r="T51" s="5"/>
      <c r="U51" s="2"/>
      <c r="V51" s="1"/>
    </row>
    <row r="52" spans="9:22" x14ac:dyDescent="0.3">
      <c r="I52" s="4"/>
      <c r="J52" s="5"/>
      <c r="K52" s="4"/>
      <c r="L52" s="5"/>
      <c r="M52" s="4"/>
      <c r="N52" s="5"/>
      <c r="O52" s="4"/>
      <c r="P52" s="5"/>
      <c r="Q52" s="4"/>
      <c r="R52" s="5"/>
      <c r="S52" s="4"/>
      <c r="T52" s="5"/>
      <c r="U52" s="2"/>
      <c r="V52" s="1"/>
    </row>
    <row r="53" spans="9:22" x14ac:dyDescent="0.3">
      <c r="I53" s="4"/>
      <c r="J53" s="5"/>
      <c r="K53" s="4"/>
      <c r="L53" s="5"/>
      <c r="M53" s="4"/>
      <c r="N53" s="5"/>
      <c r="O53" s="4"/>
      <c r="P53" s="5"/>
      <c r="Q53" s="4"/>
      <c r="R53" s="5"/>
      <c r="S53" s="4"/>
      <c r="T53" s="5"/>
      <c r="U53" s="2"/>
      <c r="V53" s="1"/>
    </row>
    <row r="54" spans="9:22" x14ac:dyDescent="0.3">
      <c r="I54" s="4"/>
      <c r="J54" s="5"/>
      <c r="K54" s="4"/>
      <c r="L54" s="5"/>
      <c r="M54" s="4"/>
      <c r="N54" s="5"/>
      <c r="O54" s="4"/>
      <c r="P54" s="5"/>
      <c r="Q54" s="4"/>
      <c r="R54" s="5"/>
      <c r="S54" s="4"/>
      <c r="T54" s="5"/>
      <c r="U54" s="2"/>
      <c r="V54" s="1"/>
    </row>
    <row r="55" spans="9:22" x14ac:dyDescent="0.3">
      <c r="I55" s="4"/>
      <c r="J55" s="5"/>
      <c r="K55" s="4"/>
      <c r="L55" s="5"/>
      <c r="M55" s="4"/>
      <c r="N55" s="5"/>
      <c r="O55" s="4"/>
      <c r="P55" s="5"/>
      <c r="Q55" s="4"/>
      <c r="R55" s="5"/>
      <c r="S55" s="4"/>
      <c r="T55" s="5"/>
      <c r="U55" s="2"/>
      <c r="V55" s="1"/>
    </row>
    <row r="56" spans="9:22" x14ac:dyDescent="0.3">
      <c r="I56" s="4"/>
      <c r="J56" s="5"/>
      <c r="K56" s="4"/>
      <c r="L56" s="5"/>
      <c r="M56" s="4"/>
      <c r="N56" s="5"/>
      <c r="O56" s="4"/>
      <c r="P56" s="5"/>
      <c r="Q56" s="4"/>
      <c r="R56" s="5"/>
      <c r="S56" s="4"/>
      <c r="T56" s="5"/>
      <c r="U56" s="2"/>
      <c r="V56" s="1"/>
    </row>
    <row r="57" spans="9:22" x14ac:dyDescent="0.3">
      <c r="I57" s="4"/>
      <c r="J57" s="5"/>
      <c r="K57" s="4"/>
      <c r="L57" s="5"/>
      <c r="M57" s="4"/>
      <c r="N57" s="5"/>
      <c r="O57" s="4"/>
      <c r="P57" s="5"/>
      <c r="Q57" s="4"/>
      <c r="R57" s="5"/>
      <c r="S57" s="4"/>
      <c r="T57" s="5"/>
      <c r="U57" s="2"/>
      <c r="V57" s="1"/>
    </row>
    <row r="58" spans="9:22" x14ac:dyDescent="0.3">
      <c r="I58" s="4"/>
      <c r="J58" s="5"/>
      <c r="K58" s="4"/>
      <c r="L58" s="5"/>
      <c r="M58" s="4"/>
      <c r="N58" s="5"/>
      <c r="O58" s="4"/>
      <c r="P58" s="5"/>
      <c r="Q58" s="4"/>
      <c r="R58" s="5"/>
      <c r="S58" s="4"/>
      <c r="T58" s="5"/>
      <c r="U58" s="8"/>
      <c r="V58" s="9"/>
    </row>
    <row r="59" spans="9:22" x14ac:dyDescent="0.3">
      <c r="I59" s="4"/>
      <c r="J59" s="5"/>
      <c r="K59" s="4"/>
      <c r="L59" s="5"/>
      <c r="M59" s="4"/>
      <c r="N59" s="5"/>
      <c r="O59" s="4"/>
      <c r="P59" s="5"/>
      <c r="Q59" s="4"/>
      <c r="R59" s="5"/>
      <c r="S59" s="4"/>
      <c r="T59" s="5"/>
      <c r="U59" s="4"/>
      <c r="V59" s="5"/>
    </row>
    <row r="60" spans="9:22" x14ac:dyDescent="0.3">
      <c r="I60" s="4"/>
      <c r="J60" s="5"/>
      <c r="K60" s="4"/>
      <c r="L60" s="5"/>
      <c r="M60" s="4"/>
      <c r="N60" s="5"/>
      <c r="O60" s="4"/>
      <c r="P60" s="5"/>
      <c r="Q60" s="4"/>
      <c r="R60" s="5"/>
      <c r="S60" s="4"/>
      <c r="T60" s="5"/>
      <c r="U60" s="4"/>
      <c r="V60" s="5"/>
    </row>
    <row r="61" spans="9:22" x14ac:dyDescent="0.3">
      <c r="I61" s="4"/>
      <c r="J61" s="5"/>
      <c r="K61" s="4"/>
      <c r="L61" s="5"/>
      <c r="M61" s="4"/>
      <c r="N61" s="5"/>
      <c r="O61" s="4"/>
      <c r="P61" s="5"/>
      <c r="Q61" s="4"/>
      <c r="R61" s="5"/>
      <c r="S61" s="4"/>
      <c r="T61" s="5"/>
      <c r="U61" s="2"/>
      <c r="V61" s="1"/>
    </row>
    <row r="62" spans="9:22" x14ac:dyDescent="0.3">
      <c r="I62" s="4"/>
      <c r="J62" s="5"/>
      <c r="K62" s="4"/>
      <c r="L62" s="5"/>
      <c r="M62" s="4"/>
      <c r="N62" s="5"/>
      <c r="O62" s="4"/>
      <c r="P62" s="5"/>
      <c r="Q62" s="4"/>
      <c r="R62" s="5"/>
      <c r="S62" s="4"/>
      <c r="T62" s="5"/>
      <c r="U62" s="2"/>
      <c r="V62" s="1"/>
    </row>
    <row r="63" spans="9:22" x14ac:dyDescent="0.3">
      <c r="I63" s="4"/>
      <c r="J63" s="5"/>
      <c r="K63" s="4"/>
      <c r="L63" s="5"/>
      <c r="M63" s="4"/>
      <c r="N63" s="5"/>
      <c r="O63" s="4"/>
      <c r="P63" s="5"/>
      <c r="Q63" s="4"/>
      <c r="R63" s="5"/>
      <c r="S63" s="4"/>
      <c r="T63" s="5"/>
      <c r="U63" s="2"/>
      <c r="V63" s="1"/>
    </row>
    <row r="64" spans="9:22" x14ac:dyDescent="0.3">
      <c r="I64" s="4"/>
      <c r="J64" s="5"/>
      <c r="K64" s="4"/>
      <c r="L64" s="5"/>
      <c r="M64" s="4"/>
      <c r="N64" s="5"/>
      <c r="O64" s="4"/>
      <c r="P64" s="5"/>
      <c r="Q64" s="4"/>
      <c r="R64" s="5"/>
      <c r="S64" s="4"/>
      <c r="T64" s="5"/>
      <c r="U64" s="4"/>
      <c r="V64" s="5"/>
    </row>
    <row r="65" spans="9:22" x14ac:dyDescent="0.3">
      <c r="I65" s="4"/>
      <c r="J65" s="5"/>
      <c r="K65" s="4"/>
      <c r="L65" s="5"/>
      <c r="M65" s="4"/>
      <c r="N65" s="5"/>
      <c r="O65" s="4"/>
      <c r="P65" s="5"/>
      <c r="Q65" s="4"/>
      <c r="R65" s="5"/>
      <c r="S65" s="4"/>
      <c r="T65" s="5"/>
      <c r="U65" s="2"/>
      <c r="V65" s="1"/>
    </row>
    <row r="66" spans="9:22" x14ac:dyDescent="0.3">
      <c r="M66" s="4"/>
      <c r="N66" s="5"/>
      <c r="O66" s="4"/>
      <c r="P66" s="5"/>
      <c r="Q66" s="4"/>
      <c r="R66" s="5"/>
      <c r="S66" s="4"/>
      <c r="T66" s="5"/>
      <c r="U66" s="4"/>
      <c r="V66" s="5"/>
    </row>
    <row r="67" spans="9:22" x14ac:dyDescent="0.3">
      <c r="I67" s="4"/>
      <c r="J67" s="5"/>
      <c r="K67" s="4"/>
      <c r="L67" s="5"/>
      <c r="M67" s="4"/>
      <c r="N67" s="5"/>
      <c r="O67" s="4"/>
      <c r="P67" s="5"/>
      <c r="Q67" s="4"/>
      <c r="R67" s="5"/>
      <c r="S67" s="4"/>
      <c r="T67" s="5"/>
    </row>
    <row r="68" spans="9:22" x14ac:dyDescent="0.3">
      <c r="I68" s="4"/>
      <c r="J68" s="5"/>
      <c r="K68" s="4"/>
      <c r="L68" s="5"/>
      <c r="M68" s="4"/>
      <c r="N68" s="5"/>
      <c r="O68" s="4"/>
      <c r="P68" s="5"/>
      <c r="Q68" s="4"/>
      <c r="R68" s="5"/>
      <c r="S68" s="4"/>
      <c r="T68" s="5"/>
      <c r="U68" s="8"/>
      <c r="V68" s="9"/>
    </row>
    <row r="69" spans="9:22" x14ac:dyDescent="0.3">
      <c r="I69" s="4"/>
      <c r="J69" s="5"/>
      <c r="K69" s="4"/>
      <c r="L69" s="5"/>
      <c r="M69" s="4"/>
      <c r="N69" s="5"/>
      <c r="O69" s="4"/>
      <c r="P69" s="5"/>
      <c r="Q69" s="4"/>
      <c r="R69" s="5"/>
      <c r="S69" s="4"/>
      <c r="T69" s="5"/>
      <c r="U69" s="2"/>
      <c r="V69" s="1"/>
    </row>
    <row r="70" spans="9:22" x14ac:dyDescent="0.3">
      <c r="I70" s="4"/>
      <c r="J70" s="5"/>
      <c r="K70" s="4"/>
      <c r="L70" s="5"/>
      <c r="M70" s="8"/>
      <c r="N70" s="9"/>
      <c r="O70" s="8"/>
      <c r="P70" s="9"/>
      <c r="Q70" s="8"/>
      <c r="R70" s="9"/>
      <c r="S70" s="8"/>
      <c r="T70" s="9"/>
      <c r="U70" s="4"/>
      <c r="V70" s="5"/>
    </row>
    <row r="71" spans="9:22" x14ac:dyDescent="0.3">
      <c r="I71" s="4"/>
      <c r="J71" s="5"/>
      <c r="K71" s="4"/>
      <c r="L71" s="5"/>
      <c r="M71" s="4"/>
      <c r="N71" s="5"/>
      <c r="O71" s="4"/>
      <c r="P71" s="5"/>
      <c r="Q71" s="4"/>
      <c r="R71" s="5"/>
      <c r="S71" s="4"/>
      <c r="T71" s="5"/>
      <c r="U71" s="2"/>
      <c r="V71" s="1"/>
    </row>
    <row r="72" spans="9:22" x14ac:dyDescent="0.3">
      <c r="I72" s="4"/>
      <c r="J72" s="5"/>
      <c r="K72" s="4"/>
      <c r="L72" s="5"/>
      <c r="M72" s="8"/>
      <c r="N72" s="9"/>
      <c r="O72" s="8"/>
      <c r="P72" s="9"/>
      <c r="Q72" s="8"/>
      <c r="R72" s="9"/>
      <c r="S72" s="8"/>
      <c r="T72" s="9"/>
      <c r="U72" s="8"/>
      <c r="V72" s="9"/>
    </row>
    <row r="74" spans="9:22" x14ac:dyDescent="0.3">
      <c r="M74" s="2"/>
      <c r="N74" s="1"/>
      <c r="O74" s="2"/>
      <c r="P74" s="1"/>
      <c r="Q74" s="2"/>
      <c r="R74" s="1"/>
      <c r="S74" s="2"/>
      <c r="T74" s="1"/>
      <c r="U74" s="2"/>
      <c r="V74" s="1"/>
    </row>
    <row r="75" spans="9:22" x14ac:dyDescent="0.3">
      <c r="M75" s="2"/>
      <c r="N75" s="1"/>
      <c r="O75" s="2"/>
      <c r="P75" s="1"/>
      <c r="Q75" s="2"/>
      <c r="R75" s="1"/>
      <c r="S75" s="2"/>
      <c r="T75" s="1"/>
    </row>
    <row r="76" spans="9:22" x14ac:dyDescent="0.3">
      <c r="I76" s="4"/>
      <c r="J76" s="5"/>
      <c r="K76" s="4"/>
      <c r="L76" s="5"/>
      <c r="M76" s="8"/>
      <c r="N76" s="9"/>
      <c r="O76" s="8"/>
      <c r="P76" s="9"/>
      <c r="Q76" s="8"/>
      <c r="R76" s="9"/>
      <c r="S76" s="8"/>
      <c r="T76" s="9"/>
    </row>
    <row r="77" spans="9:22" x14ac:dyDescent="0.3">
      <c r="M77" s="8"/>
      <c r="N77" s="9"/>
      <c r="O77" s="8"/>
      <c r="P77" s="9"/>
      <c r="Q77" s="8"/>
      <c r="R77" s="9"/>
      <c r="S77" s="8"/>
      <c r="T77" s="9"/>
      <c r="U77" s="8"/>
      <c r="V77" s="9"/>
    </row>
    <row r="78" spans="9:22" x14ac:dyDescent="0.3">
      <c r="I78" s="4"/>
      <c r="J78" s="5"/>
      <c r="K78" s="4"/>
      <c r="L78" s="5"/>
      <c r="M78" s="4"/>
      <c r="N78" s="5"/>
      <c r="O78" s="4"/>
      <c r="P78" s="5"/>
      <c r="Q78" s="4"/>
      <c r="R78" s="5"/>
      <c r="S78" s="4"/>
      <c r="T78" s="5"/>
    </row>
    <row r="79" spans="9:22" x14ac:dyDescent="0.3">
      <c r="I79" s="4"/>
      <c r="J79" s="5"/>
      <c r="K79" s="4"/>
      <c r="L79" s="5"/>
      <c r="M79" s="4"/>
      <c r="N79" s="5"/>
      <c r="O79" s="4"/>
      <c r="P79" s="5"/>
      <c r="Q79" s="4"/>
      <c r="R79" s="5"/>
      <c r="S79" s="4"/>
      <c r="T79" s="5"/>
      <c r="U79" s="2"/>
      <c r="V79" s="1"/>
    </row>
    <row r="80" spans="9:22" x14ac:dyDescent="0.3">
      <c r="I80" s="4"/>
      <c r="J80" s="5"/>
      <c r="K80" s="4"/>
      <c r="L80" s="5"/>
      <c r="M80" s="2"/>
      <c r="N80" s="1"/>
      <c r="O80" s="2"/>
      <c r="P80" s="1"/>
      <c r="Q80" s="2"/>
      <c r="R80" s="1"/>
      <c r="S80" s="2"/>
      <c r="T80" s="1"/>
      <c r="U80" s="2"/>
      <c r="V80" s="1"/>
    </row>
    <row r="81" spans="9:22" x14ac:dyDescent="0.3">
      <c r="I81" s="4"/>
      <c r="J81" s="5"/>
      <c r="K81" s="4"/>
      <c r="L81" s="5"/>
      <c r="M81" s="4"/>
      <c r="N81" s="5"/>
      <c r="O81" s="4"/>
      <c r="P81" s="5"/>
      <c r="Q81" s="4"/>
      <c r="R81" s="5"/>
      <c r="S81" s="4"/>
      <c r="T81" s="5"/>
      <c r="U81" s="2"/>
      <c r="V81" s="1"/>
    </row>
    <row r="82" spans="9:22" x14ac:dyDescent="0.3">
      <c r="I82" s="4"/>
      <c r="J82" s="5"/>
      <c r="K82" s="4"/>
      <c r="L82" s="5"/>
      <c r="U82" s="8"/>
      <c r="V82" s="9"/>
    </row>
    <row r="83" spans="9:22" x14ac:dyDescent="0.3">
      <c r="I83" s="4"/>
      <c r="J83" s="5"/>
      <c r="K83" s="4"/>
      <c r="L83" s="5"/>
      <c r="U83" s="8"/>
      <c r="V83" s="9"/>
    </row>
    <row r="84" spans="9:22" x14ac:dyDescent="0.3">
      <c r="I84" s="4"/>
      <c r="J84" s="5"/>
      <c r="K84" s="4"/>
      <c r="L84" s="5"/>
      <c r="M84" s="4"/>
      <c r="N84" s="5"/>
      <c r="O84" s="4"/>
      <c r="P84" s="5"/>
      <c r="Q84" s="4"/>
      <c r="R84" s="5"/>
      <c r="S84" s="4"/>
      <c r="T84" s="5"/>
    </row>
    <row r="85" spans="9:22" x14ac:dyDescent="0.3">
      <c r="I85" s="4"/>
      <c r="J85" s="5"/>
      <c r="K85" s="4"/>
      <c r="L85" s="5"/>
      <c r="M85" s="4"/>
      <c r="N85" s="5"/>
      <c r="O85" s="4"/>
      <c r="P85" s="5"/>
      <c r="Q85" s="4"/>
      <c r="R85" s="5"/>
      <c r="S85" s="4"/>
      <c r="T85" s="5"/>
      <c r="U85" s="4"/>
      <c r="V85" s="5"/>
    </row>
    <row r="86" spans="9:22" x14ac:dyDescent="0.3">
      <c r="I86" s="4"/>
      <c r="J86" s="5"/>
      <c r="K86" s="4"/>
      <c r="L86" s="5"/>
      <c r="U86" s="8"/>
      <c r="V86" s="9"/>
    </row>
    <row r="87" spans="9:22" x14ac:dyDescent="0.3">
      <c r="I87" s="4"/>
      <c r="J87" s="5"/>
      <c r="K87" s="4"/>
      <c r="L87" s="5"/>
      <c r="M87" s="2"/>
      <c r="N87" s="1"/>
      <c r="O87" s="2"/>
      <c r="P87" s="1"/>
      <c r="Q87" s="2"/>
      <c r="R87" s="1"/>
      <c r="S87" s="2"/>
      <c r="T87" s="1"/>
      <c r="U87" s="2"/>
      <c r="V87" s="1"/>
    </row>
    <row r="88" spans="9:22" x14ac:dyDescent="0.3">
      <c r="I88" s="4"/>
      <c r="J88" s="5"/>
      <c r="K88" s="4"/>
      <c r="L88" s="5"/>
      <c r="M88" s="4"/>
      <c r="N88" s="5"/>
      <c r="O88" s="4"/>
      <c r="P88" s="5"/>
      <c r="Q88" s="4"/>
      <c r="R88" s="5"/>
      <c r="S88" s="4"/>
      <c r="T88" s="5"/>
      <c r="U88" s="2"/>
      <c r="V88" s="1"/>
    </row>
    <row r="89" spans="9:22" x14ac:dyDescent="0.3">
      <c r="I89" s="4"/>
      <c r="J89" s="5"/>
      <c r="K89" s="4"/>
      <c r="L89" s="5"/>
      <c r="M89" s="4"/>
      <c r="N89" s="5"/>
      <c r="O89" s="4"/>
      <c r="P89" s="5"/>
      <c r="Q89" s="4"/>
      <c r="R89" s="5"/>
      <c r="S89" s="4"/>
      <c r="T89" s="5"/>
      <c r="U89" s="2"/>
      <c r="V89" s="1"/>
    </row>
    <row r="90" spans="9:22" x14ac:dyDescent="0.3">
      <c r="I90" s="4"/>
      <c r="J90" s="5"/>
      <c r="K90" s="4"/>
      <c r="L90" s="5"/>
      <c r="U90" s="8"/>
      <c r="V90" s="9"/>
    </row>
    <row r="91" spans="9:22" x14ac:dyDescent="0.3">
      <c r="I91" s="4"/>
      <c r="J91" s="5"/>
      <c r="K91" s="4"/>
      <c r="L91" s="5"/>
      <c r="U91" s="8"/>
      <c r="V91" s="9"/>
    </row>
    <row r="92" spans="9:22" x14ac:dyDescent="0.3">
      <c r="I92" s="4"/>
      <c r="J92" s="5"/>
      <c r="K92" s="4"/>
      <c r="L92" s="5"/>
      <c r="M92" s="8"/>
      <c r="N92" s="9"/>
      <c r="O92" s="8"/>
      <c r="P92" s="9"/>
      <c r="Q92" s="8"/>
      <c r="R92" s="9"/>
      <c r="S92" s="8"/>
      <c r="T92" s="9"/>
      <c r="U92" s="8"/>
      <c r="V92" s="9"/>
    </row>
    <row r="93" spans="9:22" x14ac:dyDescent="0.3">
      <c r="I93" s="4"/>
      <c r="J93" s="5"/>
      <c r="K93" s="4"/>
      <c r="L93" s="5"/>
      <c r="U93" s="8"/>
      <c r="V93" s="9"/>
    </row>
    <row r="94" spans="9:22" x14ac:dyDescent="0.3">
      <c r="I94" s="4"/>
      <c r="J94" s="5"/>
      <c r="K94" s="4"/>
      <c r="L94" s="5"/>
      <c r="U94" s="8"/>
      <c r="V94" s="9"/>
    </row>
    <row r="95" spans="9:22" x14ac:dyDescent="0.3">
      <c r="I95" s="4"/>
      <c r="J95" s="5"/>
      <c r="K95" s="4"/>
      <c r="L95" s="5"/>
      <c r="M95" s="2"/>
      <c r="N95" s="1"/>
      <c r="O95" s="2"/>
      <c r="P95" s="1"/>
      <c r="Q95" s="2"/>
      <c r="R95" s="1"/>
      <c r="S95" s="2"/>
      <c r="T95" s="1"/>
      <c r="U95" s="2"/>
      <c r="V95" s="1"/>
    </row>
    <row r="96" spans="9:22" x14ac:dyDescent="0.3">
      <c r="I96" s="4"/>
      <c r="J96" s="5"/>
      <c r="K96" s="4"/>
      <c r="L96" s="5"/>
      <c r="M96" s="4"/>
      <c r="N96" s="5"/>
      <c r="O96" s="4"/>
      <c r="P96" s="5"/>
      <c r="Q96" s="4"/>
      <c r="R96" s="5"/>
      <c r="S96" s="4"/>
      <c r="T96" s="5"/>
      <c r="U96" s="8"/>
      <c r="V96" s="9"/>
    </row>
    <row r="97" spans="9:22" x14ac:dyDescent="0.3">
      <c r="I97" s="4"/>
      <c r="J97" s="5"/>
      <c r="K97" s="4"/>
      <c r="L97" s="5"/>
      <c r="U97" s="8"/>
      <c r="V97" s="9"/>
    </row>
    <row r="98" spans="9:22" x14ac:dyDescent="0.3">
      <c r="I98" s="4"/>
      <c r="J98" s="5"/>
      <c r="K98" s="4"/>
      <c r="L98" s="5"/>
      <c r="U98" s="8"/>
      <c r="V98" s="9"/>
    </row>
    <row r="99" spans="9:22" x14ac:dyDescent="0.3">
      <c r="I99" s="4"/>
      <c r="J99" s="5"/>
      <c r="K99" s="4"/>
      <c r="L99" s="5"/>
      <c r="U99" s="8"/>
      <c r="V99" s="9"/>
    </row>
    <row r="101" spans="9:22" x14ac:dyDescent="0.3">
      <c r="I101" s="4"/>
      <c r="J101" s="5"/>
      <c r="K101" s="4"/>
      <c r="L101" s="5"/>
      <c r="M101" s="4"/>
      <c r="N101" s="5"/>
      <c r="O101" s="4"/>
      <c r="P101" s="5"/>
      <c r="Q101" s="4"/>
      <c r="R101" s="5"/>
      <c r="S101" s="4"/>
      <c r="T101" s="5"/>
      <c r="U101" s="2"/>
      <c r="V101" s="1"/>
    </row>
    <row r="102" spans="9:22" x14ac:dyDescent="0.3">
      <c r="I102" s="4"/>
      <c r="J102" s="5"/>
      <c r="K102" s="4"/>
      <c r="L102" s="5"/>
      <c r="U102" s="8"/>
      <c r="V102" s="9"/>
    </row>
    <row r="103" spans="9:22" x14ac:dyDescent="0.3">
      <c r="I103" s="4"/>
      <c r="J103" s="5"/>
      <c r="K103" s="4"/>
      <c r="L103" s="5"/>
      <c r="M103" s="8"/>
      <c r="N103" s="9"/>
      <c r="O103" s="8"/>
      <c r="P103" s="9"/>
      <c r="Q103" s="8"/>
      <c r="R103" s="9"/>
      <c r="S103" s="8"/>
      <c r="T103" s="9"/>
      <c r="U103" s="8"/>
      <c r="V103" s="9"/>
    </row>
    <row r="104" spans="9:22" x14ac:dyDescent="0.3">
      <c r="I104" s="4"/>
      <c r="J104" s="5"/>
      <c r="K104" s="4"/>
      <c r="L104" s="5"/>
      <c r="M104" s="4"/>
      <c r="N104" s="5"/>
      <c r="O104" s="4"/>
      <c r="P104" s="5"/>
      <c r="Q104" s="4"/>
      <c r="R104" s="5"/>
      <c r="S104" s="4"/>
      <c r="T104" s="5"/>
      <c r="U104" s="2"/>
      <c r="V104" s="1"/>
    </row>
    <row r="105" spans="9:22" x14ac:dyDescent="0.3">
      <c r="I105" s="4"/>
      <c r="J105" s="5"/>
      <c r="K105" s="4"/>
      <c r="L105" s="5"/>
      <c r="M105" s="4"/>
      <c r="N105" s="5"/>
      <c r="O105" s="4"/>
      <c r="P105" s="5"/>
      <c r="Q105" s="4"/>
      <c r="R105" s="5"/>
      <c r="S105" s="4"/>
      <c r="T105" s="5"/>
      <c r="U105" s="8"/>
      <c r="V105" s="9"/>
    </row>
    <row r="106" spans="9:22" x14ac:dyDescent="0.3">
      <c r="I106" s="4"/>
      <c r="J106" s="5"/>
      <c r="K106" s="4"/>
      <c r="L106" s="5"/>
      <c r="M106" s="4"/>
      <c r="N106" s="5"/>
      <c r="O106" s="4"/>
      <c r="P106" s="5"/>
      <c r="Q106" s="4"/>
      <c r="R106" s="5"/>
      <c r="S106" s="4"/>
      <c r="T106" s="5"/>
      <c r="U106" s="2"/>
      <c r="V106" s="1"/>
    </row>
    <row r="107" spans="9:22" x14ac:dyDescent="0.3">
      <c r="U107" s="8"/>
      <c r="V107" s="9"/>
    </row>
    <row r="108" spans="9:22" x14ac:dyDescent="0.3">
      <c r="U108" s="8"/>
      <c r="V108" s="9"/>
    </row>
    <row r="109" spans="9:22" x14ac:dyDescent="0.3">
      <c r="U109" s="8"/>
      <c r="V109" s="9"/>
    </row>
    <row r="110" spans="9:22" x14ac:dyDescent="0.3">
      <c r="I110" s="4"/>
      <c r="J110" s="5"/>
      <c r="K110" s="4"/>
      <c r="L110" s="5"/>
      <c r="U110" s="8"/>
      <c r="V110" s="9"/>
    </row>
    <row r="111" spans="9:22" x14ac:dyDescent="0.3">
      <c r="I111" s="4"/>
      <c r="J111" s="5"/>
      <c r="K111" s="4"/>
      <c r="L111" s="5"/>
      <c r="U111" s="8"/>
      <c r="V111" s="9"/>
    </row>
    <row r="112" spans="9:22" x14ac:dyDescent="0.3">
      <c r="U112" s="8"/>
      <c r="V112" s="9"/>
    </row>
    <row r="113" spans="9:22" x14ac:dyDescent="0.3">
      <c r="I113" s="4"/>
      <c r="J113" s="5"/>
      <c r="K113" s="4"/>
      <c r="L113" s="5"/>
      <c r="U113" s="8"/>
      <c r="V113" s="9"/>
    </row>
    <row r="114" spans="9:22" x14ac:dyDescent="0.3">
      <c r="U114" s="2"/>
      <c r="V114" s="1"/>
    </row>
    <row r="115" spans="9:22" x14ac:dyDescent="0.3">
      <c r="U115" s="2"/>
      <c r="V115" s="1"/>
    </row>
    <row r="116" spans="9:22" x14ac:dyDescent="0.3">
      <c r="I116" s="4"/>
      <c r="J116" s="5"/>
      <c r="K116" s="4"/>
      <c r="L116" s="5"/>
      <c r="M116" s="4"/>
      <c r="N116" s="5"/>
      <c r="O116" s="4"/>
      <c r="P116" s="5"/>
      <c r="Q116" s="4"/>
      <c r="R116" s="5"/>
      <c r="S116" s="4"/>
      <c r="T116" s="5"/>
      <c r="U116" s="2"/>
      <c r="V116" s="1"/>
    </row>
    <row r="117" spans="9:22" x14ac:dyDescent="0.3">
      <c r="I117" s="4"/>
      <c r="J117" s="5"/>
      <c r="K117" s="4"/>
      <c r="L117" s="5"/>
      <c r="U117" s="8"/>
      <c r="V117" s="9"/>
    </row>
    <row r="118" spans="9:22" x14ac:dyDescent="0.3">
      <c r="I118" s="4"/>
      <c r="J118" s="5"/>
      <c r="K118" s="4"/>
      <c r="L118" s="5"/>
      <c r="M118" s="4"/>
      <c r="N118" s="5"/>
      <c r="O118" s="4"/>
      <c r="P118" s="5"/>
      <c r="Q118" s="4"/>
      <c r="R118" s="5"/>
      <c r="S118" s="4"/>
      <c r="T118" s="5"/>
      <c r="U118" s="2"/>
      <c r="V118" s="1"/>
    </row>
    <row r="119" spans="9:22" x14ac:dyDescent="0.3">
      <c r="M119" s="8"/>
      <c r="N119" s="9"/>
      <c r="O119" s="8"/>
      <c r="P119" s="9"/>
      <c r="Q119" s="8"/>
      <c r="R119" s="9"/>
      <c r="S119" s="8"/>
      <c r="T119" s="9"/>
      <c r="U119" s="2"/>
      <c r="V119" s="1"/>
    </row>
    <row r="121" spans="9:22" x14ac:dyDescent="0.3">
      <c r="I121" s="4"/>
      <c r="J121" s="5"/>
      <c r="K121" s="4"/>
      <c r="L121" s="5"/>
      <c r="U121" s="8"/>
      <c r="V121" s="9"/>
    </row>
    <row r="122" spans="9:22" x14ac:dyDescent="0.3">
      <c r="I122" s="4"/>
      <c r="J122" s="5"/>
      <c r="K122" s="4"/>
      <c r="L122" s="5"/>
      <c r="M122" s="8"/>
      <c r="N122" s="9"/>
      <c r="O122" s="8"/>
      <c r="P122" s="9"/>
      <c r="Q122" s="8"/>
      <c r="R122" s="9"/>
      <c r="S122" s="8"/>
      <c r="T122" s="9"/>
      <c r="U122" s="8"/>
      <c r="V122" s="9"/>
    </row>
    <row r="123" spans="9:22" x14ac:dyDescent="0.3">
      <c r="I123" s="4"/>
      <c r="J123" s="5"/>
      <c r="K123" s="4"/>
      <c r="L123" s="5"/>
      <c r="M123" s="8"/>
      <c r="N123" s="9"/>
      <c r="O123" s="8"/>
      <c r="P123" s="9"/>
      <c r="Q123" s="8"/>
      <c r="R123" s="9"/>
      <c r="S123" s="8"/>
      <c r="T123" s="9"/>
      <c r="U123" s="8"/>
      <c r="V123" s="9"/>
    </row>
    <row r="124" spans="9:22" x14ac:dyDescent="0.3">
      <c r="I124" s="4"/>
      <c r="J124" s="5"/>
      <c r="K124" s="4"/>
      <c r="L124" s="5"/>
      <c r="U124" s="8"/>
      <c r="V124" s="9"/>
    </row>
    <row r="125" spans="9:22" x14ac:dyDescent="0.3">
      <c r="I125" s="4"/>
      <c r="J125" s="5"/>
      <c r="K125" s="4"/>
      <c r="L125" s="5"/>
      <c r="M125" s="4"/>
      <c r="N125" s="5"/>
      <c r="O125" s="4"/>
      <c r="P125" s="5"/>
      <c r="Q125" s="4"/>
      <c r="R125" s="5"/>
      <c r="S125" s="4"/>
      <c r="T125" s="5"/>
      <c r="U125" s="8"/>
      <c r="V125" s="9"/>
    </row>
    <row r="126" spans="9:22" x14ac:dyDescent="0.3">
      <c r="I126" s="4"/>
      <c r="J126" s="5"/>
      <c r="K126" s="4"/>
      <c r="L126" s="5"/>
      <c r="M126" s="4"/>
      <c r="N126" s="5"/>
      <c r="O126" s="4"/>
      <c r="P126" s="5"/>
      <c r="Q126" s="4"/>
      <c r="R126" s="5"/>
      <c r="S126" s="4"/>
      <c r="T126" s="5"/>
      <c r="U126" s="8"/>
      <c r="V126" s="9"/>
    </row>
    <row r="127" spans="9:22" x14ac:dyDescent="0.3">
      <c r="I127" s="4"/>
      <c r="J127" s="5"/>
      <c r="K127" s="4"/>
      <c r="L127" s="5"/>
      <c r="M127" s="4"/>
      <c r="N127" s="5"/>
      <c r="O127" s="4"/>
      <c r="P127" s="5"/>
      <c r="Q127" s="4"/>
      <c r="R127" s="5"/>
      <c r="S127" s="4"/>
      <c r="T127" s="5"/>
      <c r="U127" s="8"/>
      <c r="V127" s="9"/>
    </row>
    <row r="128" spans="9:22" x14ac:dyDescent="0.3">
      <c r="I128" s="4"/>
      <c r="J128" s="5"/>
      <c r="K128" s="4"/>
      <c r="L128" s="5"/>
      <c r="M128" s="4"/>
      <c r="N128" s="5"/>
      <c r="O128" s="4"/>
      <c r="P128" s="5"/>
      <c r="Q128" s="4"/>
      <c r="R128" s="5"/>
      <c r="S128" s="4"/>
      <c r="T128" s="5"/>
      <c r="U128" s="8"/>
      <c r="V128" s="9"/>
    </row>
    <row r="129" spans="9:22" x14ac:dyDescent="0.3">
      <c r="I129" s="4"/>
      <c r="J129" s="5"/>
      <c r="K129" s="4"/>
      <c r="L129" s="5"/>
      <c r="M129" s="4"/>
      <c r="N129" s="5"/>
      <c r="O129" s="4"/>
      <c r="P129" s="5"/>
      <c r="Q129" s="4"/>
      <c r="R129" s="5"/>
      <c r="S129" s="4"/>
      <c r="T129" s="5"/>
      <c r="U129" s="8"/>
      <c r="V129" s="9"/>
    </row>
    <row r="130" spans="9:22" x14ac:dyDescent="0.3">
      <c r="I130" s="4"/>
      <c r="J130" s="5"/>
      <c r="K130" s="4"/>
      <c r="L130" s="5"/>
      <c r="U130" s="8"/>
      <c r="V130" s="9"/>
    </row>
    <row r="131" spans="9:22" x14ac:dyDescent="0.3">
      <c r="I131" s="4"/>
      <c r="J131" s="5"/>
      <c r="K131" s="4"/>
      <c r="L131" s="5"/>
      <c r="M131" s="4"/>
      <c r="N131" s="5"/>
      <c r="O131" s="4"/>
      <c r="P131" s="5"/>
      <c r="Q131" s="4"/>
      <c r="R131" s="5"/>
      <c r="S131" s="4"/>
      <c r="T131" s="5"/>
      <c r="U131" s="4"/>
      <c r="V131" s="5"/>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959A7-8738-444E-BE98-234964B963DC}">
  <dimension ref="A1:P414"/>
  <sheetViews>
    <sheetView workbookViewId="0">
      <pane ySplit="1" topLeftCell="A2" activePane="bottomLeft" state="frozen"/>
      <selection pane="bottomLeft" sqref="A1:XFD1"/>
    </sheetView>
  </sheetViews>
  <sheetFormatPr baseColWidth="10" defaultRowHeight="14.4" x14ac:dyDescent="0.3"/>
  <cols>
    <col min="1" max="1" width="20.33203125" bestFit="1" customWidth="1"/>
    <col min="2" max="2" width="11.5546875" style="3"/>
    <col min="3" max="3" width="14.6640625" style="3" bestFit="1" customWidth="1"/>
    <col min="4" max="4" width="13.109375" style="3" customWidth="1"/>
    <col min="5" max="5" width="21.77734375" style="3" bestFit="1" customWidth="1"/>
    <col min="6" max="6" width="11.5546875" style="3"/>
    <col min="7" max="7" width="15.109375" style="3" bestFit="1" customWidth="1"/>
    <col min="8" max="8" width="27.21875" style="3" bestFit="1" customWidth="1"/>
    <col min="9" max="9" width="33.33203125" style="3" bestFit="1" customWidth="1"/>
    <col min="10" max="10" width="20.21875" style="3" customWidth="1"/>
    <col min="11" max="11" width="27" style="3" bestFit="1" customWidth="1"/>
    <col min="12" max="12" width="23.109375" style="3" bestFit="1" customWidth="1"/>
  </cols>
  <sheetData>
    <row r="1" spans="1:12" s="2" customFormat="1" x14ac:dyDescent="0.3">
      <c r="A1" s="2" t="s">
        <v>55</v>
      </c>
      <c r="B1" s="1" t="s">
        <v>0</v>
      </c>
      <c r="C1" s="1" t="s">
        <v>1</v>
      </c>
      <c r="D1" s="9" t="s">
        <v>2</v>
      </c>
      <c r="E1" s="1" t="s">
        <v>3</v>
      </c>
      <c r="F1" s="1" t="s">
        <v>4</v>
      </c>
      <c r="G1" s="1" t="s">
        <v>5</v>
      </c>
      <c r="H1" s="1" t="s">
        <v>6</v>
      </c>
      <c r="I1" s="1" t="s">
        <v>39119</v>
      </c>
      <c r="J1" s="1" t="s">
        <v>7</v>
      </c>
      <c r="K1" s="1" t="s">
        <v>39118</v>
      </c>
      <c r="L1" s="1" t="s">
        <v>8</v>
      </c>
    </row>
    <row r="2" spans="1:12" s="6" customFormat="1" x14ac:dyDescent="0.3">
      <c r="A2" t="s">
        <v>3010</v>
      </c>
      <c r="B2" s="7">
        <v>7</v>
      </c>
      <c r="C2" s="7">
        <v>1</v>
      </c>
      <c r="D2" s="3">
        <v>1</v>
      </c>
      <c r="E2" s="3">
        <v>15</v>
      </c>
      <c r="F2" s="3">
        <v>100</v>
      </c>
      <c r="G2" s="3">
        <v>100</v>
      </c>
      <c r="H2" s="3">
        <v>3</v>
      </c>
      <c r="I2" s="3">
        <v>3</v>
      </c>
      <c r="J2" s="3">
        <v>17</v>
      </c>
      <c r="K2" s="3">
        <v>4</v>
      </c>
      <c r="L2" s="11">
        <v>2</v>
      </c>
    </row>
    <row r="3" spans="1:12" s="6" customFormat="1" x14ac:dyDescent="0.3">
      <c r="A3" s="6" t="s">
        <v>848</v>
      </c>
      <c r="B3" s="7">
        <v>15</v>
      </c>
      <c r="C3" s="7">
        <v>1</v>
      </c>
      <c r="D3" s="11">
        <v>3</v>
      </c>
      <c r="E3" s="11">
        <v>4</v>
      </c>
      <c r="F3" s="11">
        <v>1</v>
      </c>
      <c r="G3" s="11">
        <v>2</v>
      </c>
      <c r="H3" s="7">
        <v>3</v>
      </c>
      <c r="I3" s="7">
        <v>3</v>
      </c>
      <c r="J3" s="7">
        <v>17</v>
      </c>
      <c r="K3" s="7">
        <v>4</v>
      </c>
      <c r="L3" s="11">
        <v>2</v>
      </c>
    </row>
    <row r="4" spans="1:12" s="6" customFormat="1" x14ac:dyDescent="0.3">
      <c r="A4" s="6" t="s">
        <v>388</v>
      </c>
      <c r="B4" s="7">
        <v>16</v>
      </c>
      <c r="C4" s="7">
        <v>1</v>
      </c>
      <c r="D4" s="11">
        <v>8</v>
      </c>
      <c r="E4" s="11">
        <v>4</v>
      </c>
      <c r="F4" s="11">
        <v>1</v>
      </c>
      <c r="G4" s="11">
        <v>2</v>
      </c>
      <c r="H4" s="7">
        <v>1</v>
      </c>
      <c r="I4" s="7">
        <v>3</v>
      </c>
      <c r="J4" s="7">
        <v>1</v>
      </c>
      <c r="K4" s="7">
        <v>5</v>
      </c>
      <c r="L4" s="7">
        <v>2</v>
      </c>
    </row>
    <row r="5" spans="1:12" s="6" customFormat="1" x14ac:dyDescent="0.3">
      <c r="A5" s="6" t="s">
        <v>910</v>
      </c>
      <c r="B5" s="7">
        <v>15</v>
      </c>
      <c r="C5" s="7">
        <v>1</v>
      </c>
      <c r="D5" s="7">
        <v>1</v>
      </c>
      <c r="E5" s="11">
        <v>1</v>
      </c>
      <c r="F5" s="11">
        <v>1</v>
      </c>
      <c r="G5" s="11">
        <v>2</v>
      </c>
      <c r="H5" s="7">
        <v>3</v>
      </c>
      <c r="I5" s="7">
        <v>3</v>
      </c>
      <c r="J5" s="7">
        <v>17</v>
      </c>
      <c r="K5" s="7">
        <v>4</v>
      </c>
      <c r="L5" s="7">
        <v>2</v>
      </c>
    </row>
    <row r="6" spans="1:12" s="6" customFormat="1" x14ac:dyDescent="0.3">
      <c r="A6" t="s">
        <v>1623</v>
      </c>
      <c r="B6" s="7">
        <v>11</v>
      </c>
      <c r="C6" s="7">
        <v>1</v>
      </c>
      <c r="D6" s="3">
        <v>4</v>
      </c>
      <c r="E6" s="3">
        <v>4</v>
      </c>
      <c r="F6" s="3">
        <v>1</v>
      </c>
      <c r="G6" s="3">
        <v>2</v>
      </c>
      <c r="H6" s="3">
        <v>1</v>
      </c>
      <c r="I6" s="3">
        <v>3</v>
      </c>
      <c r="J6" s="3">
        <v>1</v>
      </c>
      <c r="K6" s="3">
        <v>5</v>
      </c>
      <c r="L6" s="7">
        <v>2</v>
      </c>
    </row>
    <row r="7" spans="1:12" s="6" customFormat="1" x14ac:dyDescent="0.3">
      <c r="A7" t="s">
        <v>2075</v>
      </c>
      <c r="B7" s="7">
        <v>6</v>
      </c>
      <c r="C7" s="7">
        <v>1</v>
      </c>
      <c r="D7" s="3">
        <v>3</v>
      </c>
      <c r="E7" s="3">
        <v>1</v>
      </c>
      <c r="F7" s="3">
        <v>2</v>
      </c>
      <c r="G7" s="3">
        <v>4</v>
      </c>
      <c r="H7" s="3">
        <v>2</v>
      </c>
      <c r="I7" s="3">
        <v>3</v>
      </c>
      <c r="J7" s="3">
        <v>17</v>
      </c>
      <c r="K7" s="3">
        <v>4</v>
      </c>
      <c r="L7" s="3">
        <v>1</v>
      </c>
    </row>
    <row r="8" spans="1:12" s="6" customFormat="1" x14ac:dyDescent="0.3">
      <c r="A8" t="s">
        <v>1532</v>
      </c>
      <c r="B8" s="7">
        <v>12</v>
      </c>
      <c r="C8" s="7">
        <v>1</v>
      </c>
      <c r="D8" s="3">
        <v>1</v>
      </c>
      <c r="E8" s="3">
        <v>6</v>
      </c>
      <c r="F8" s="3">
        <v>100</v>
      </c>
      <c r="G8" s="3">
        <v>100</v>
      </c>
      <c r="H8" s="7">
        <v>3</v>
      </c>
      <c r="I8" s="7">
        <v>3</v>
      </c>
      <c r="J8" s="7">
        <v>17</v>
      </c>
      <c r="K8" s="7">
        <v>4</v>
      </c>
      <c r="L8" s="7">
        <v>2</v>
      </c>
    </row>
    <row r="9" spans="1:12" s="6" customFormat="1" x14ac:dyDescent="0.3">
      <c r="A9" t="s">
        <v>1323</v>
      </c>
      <c r="B9" s="7">
        <v>13</v>
      </c>
      <c r="C9" s="7">
        <v>1</v>
      </c>
      <c r="D9" s="3">
        <v>3</v>
      </c>
      <c r="E9" s="3">
        <v>2</v>
      </c>
      <c r="F9" s="3">
        <v>1</v>
      </c>
      <c r="G9" s="3">
        <v>2</v>
      </c>
      <c r="H9" s="7">
        <v>3</v>
      </c>
      <c r="I9" s="7">
        <v>3</v>
      </c>
      <c r="J9" s="7">
        <v>17</v>
      </c>
      <c r="K9" s="7">
        <v>4</v>
      </c>
      <c r="L9" s="11">
        <v>2</v>
      </c>
    </row>
    <row r="10" spans="1:12" s="6" customFormat="1" x14ac:dyDescent="0.3">
      <c r="A10" s="6" t="s">
        <v>275</v>
      </c>
      <c r="B10" s="7">
        <v>17</v>
      </c>
      <c r="C10" s="7">
        <v>1</v>
      </c>
      <c r="D10" s="11">
        <v>3</v>
      </c>
      <c r="E10" s="11">
        <v>15</v>
      </c>
      <c r="F10" s="7">
        <v>1</v>
      </c>
      <c r="G10" s="7">
        <v>2</v>
      </c>
      <c r="H10" s="7">
        <v>3</v>
      </c>
      <c r="I10" s="7">
        <v>3</v>
      </c>
      <c r="J10" s="7">
        <v>17</v>
      </c>
      <c r="K10" s="7">
        <v>4</v>
      </c>
      <c r="L10" s="11">
        <v>2</v>
      </c>
    </row>
    <row r="11" spans="1:12" s="6" customFormat="1" ht="409.2" customHeight="1" x14ac:dyDescent="0.3">
      <c r="A11" t="s">
        <v>2347</v>
      </c>
      <c r="B11" s="7">
        <v>3</v>
      </c>
      <c r="C11" s="7">
        <v>1</v>
      </c>
      <c r="D11" s="3">
        <v>4</v>
      </c>
      <c r="E11" s="3">
        <v>1</v>
      </c>
      <c r="F11" s="3">
        <v>100</v>
      </c>
      <c r="G11" s="3">
        <v>100</v>
      </c>
      <c r="H11" s="7">
        <v>3</v>
      </c>
      <c r="I11" s="7">
        <v>3</v>
      </c>
      <c r="J11" s="7">
        <v>17</v>
      </c>
      <c r="K11" s="7">
        <v>4</v>
      </c>
      <c r="L11" s="11">
        <v>2</v>
      </c>
    </row>
    <row r="12" spans="1:12" s="6" customFormat="1" x14ac:dyDescent="0.3">
      <c r="A12" s="6" t="s">
        <v>254</v>
      </c>
      <c r="B12" s="7">
        <v>17</v>
      </c>
      <c r="C12" s="7">
        <v>1</v>
      </c>
      <c r="D12" s="11">
        <v>5</v>
      </c>
      <c r="E12" s="11">
        <v>5</v>
      </c>
      <c r="F12" s="11">
        <v>5</v>
      </c>
      <c r="G12" s="11">
        <v>3</v>
      </c>
      <c r="H12" s="11">
        <v>2</v>
      </c>
      <c r="I12" s="11">
        <v>3</v>
      </c>
      <c r="J12" s="11">
        <v>17</v>
      </c>
      <c r="K12" s="11">
        <v>4</v>
      </c>
      <c r="L12" s="11">
        <v>2</v>
      </c>
    </row>
    <row r="13" spans="1:12" s="6" customFormat="1" x14ac:dyDescent="0.3">
      <c r="A13" t="s">
        <v>2911</v>
      </c>
      <c r="B13" s="7">
        <v>10</v>
      </c>
      <c r="C13" s="7">
        <v>1</v>
      </c>
      <c r="D13" s="3">
        <v>3</v>
      </c>
      <c r="E13" s="3">
        <v>4</v>
      </c>
      <c r="F13" s="3">
        <v>100</v>
      </c>
      <c r="G13" s="3">
        <v>100</v>
      </c>
      <c r="H13" s="3">
        <v>3</v>
      </c>
      <c r="I13" s="3">
        <v>3</v>
      </c>
      <c r="J13" s="3">
        <v>17</v>
      </c>
      <c r="K13" s="3">
        <v>4</v>
      </c>
      <c r="L13" s="11">
        <v>2</v>
      </c>
    </row>
    <row r="14" spans="1:12" s="6" customFormat="1" x14ac:dyDescent="0.3">
      <c r="A14" s="6" t="s">
        <v>1469</v>
      </c>
      <c r="B14" s="7">
        <v>15</v>
      </c>
      <c r="C14" s="7">
        <v>1</v>
      </c>
      <c r="D14" s="11">
        <v>3</v>
      </c>
      <c r="E14" s="11">
        <v>1</v>
      </c>
      <c r="F14" s="11">
        <v>1</v>
      </c>
      <c r="G14" s="11">
        <v>2</v>
      </c>
      <c r="H14" s="7">
        <v>3</v>
      </c>
      <c r="I14" s="7">
        <v>3</v>
      </c>
      <c r="J14" s="7">
        <v>17</v>
      </c>
      <c r="K14" s="7">
        <v>4</v>
      </c>
      <c r="L14" s="11">
        <v>2</v>
      </c>
    </row>
    <row r="15" spans="1:12" s="6" customFormat="1" x14ac:dyDescent="0.3">
      <c r="A15" t="s">
        <v>1952</v>
      </c>
      <c r="B15" s="7">
        <v>8</v>
      </c>
      <c r="C15" s="7">
        <v>1</v>
      </c>
      <c r="D15" s="3">
        <v>3</v>
      </c>
      <c r="E15" s="3">
        <v>1</v>
      </c>
      <c r="F15" s="3">
        <v>1</v>
      </c>
      <c r="G15" s="3">
        <v>1</v>
      </c>
      <c r="H15" s="7">
        <v>3</v>
      </c>
      <c r="I15" s="7">
        <v>3</v>
      </c>
      <c r="J15" s="7">
        <v>17</v>
      </c>
      <c r="K15" s="7">
        <v>4</v>
      </c>
      <c r="L15" s="3">
        <v>1</v>
      </c>
    </row>
    <row r="16" spans="1:12" s="6" customFormat="1" x14ac:dyDescent="0.3">
      <c r="A16" t="s">
        <v>2229</v>
      </c>
      <c r="B16" s="7">
        <v>4</v>
      </c>
      <c r="C16" s="7">
        <v>1</v>
      </c>
      <c r="D16" s="3">
        <v>1</v>
      </c>
      <c r="E16" s="3">
        <v>14</v>
      </c>
      <c r="F16" s="3">
        <v>100</v>
      </c>
      <c r="G16" s="3">
        <v>100</v>
      </c>
      <c r="H16" s="7">
        <v>3</v>
      </c>
      <c r="I16" s="7">
        <v>3</v>
      </c>
      <c r="J16" s="7">
        <v>17</v>
      </c>
      <c r="K16" s="7">
        <v>4</v>
      </c>
      <c r="L16" s="7">
        <v>2</v>
      </c>
    </row>
    <row r="17" spans="1:12" s="6" customFormat="1" x14ac:dyDescent="0.3">
      <c r="A17" s="6" t="s">
        <v>200</v>
      </c>
      <c r="B17" s="7">
        <v>17</v>
      </c>
      <c r="C17" s="7">
        <v>1</v>
      </c>
      <c r="D17" s="11">
        <v>3</v>
      </c>
      <c r="E17" s="11">
        <v>14</v>
      </c>
      <c r="F17" s="7">
        <v>11</v>
      </c>
      <c r="G17" s="7">
        <v>3</v>
      </c>
      <c r="H17" s="11">
        <v>2</v>
      </c>
      <c r="I17" s="11">
        <v>2</v>
      </c>
      <c r="J17" s="11">
        <v>2</v>
      </c>
      <c r="K17" s="11">
        <v>5</v>
      </c>
      <c r="L17" s="11">
        <v>1</v>
      </c>
    </row>
    <row r="18" spans="1:12" s="6" customFormat="1" x14ac:dyDescent="0.3">
      <c r="A18" s="6" t="s">
        <v>327</v>
      </c>
      <c r="B18" s="7">
        <v>16</v>
      </c>
      <c r="C18" s="7">
        <v>1</v>
      </c>
      <c r="D18" s="11">
        <v>5</v>
      </c>
      <c r="E18" s="11">
        <v>1</v>
      </c>
      <c r="F18" s="7">
        <v>100</v>
      </c>
      <c r="G18" s="7">
        <v>100</v>
      </c>
      <c r="H18" s="7">
        <v>3</v>
      </c>
      <c r="I18" s="7">
        <v>3</v>
      </c>
      <c r="J18" s="7">
        <v>17</v>
      </c>
      <c r="K18" s="7">
        <v>4</v>
      </c>
      <c r="L18" s="7">
        <v>2</v>
      </c>
    </row>
    <row r="19" spans="1:12" s="6" customFormat="1" x14ac:dyDescent="0.3">
      <c r="A19" t="s">
        <v>2618</v>
      </c>
      <c r="B19" s="7">
        <v>14</v>
      </c>
      <c r="C19" s="7">
        <v>1</v>
      </c>
      <c r="D19" s="3">
        <v>3</v>
      </c>
      <c r="E19" s="3">
        <v>4</v>
      </c>
      <c r="F19" s="3">
        <v>1</v>
      </c>
      <c r="G19" s="3">
        <v>100</v>
      </c>
      <c r="H19" s="3">
        <v>3</v>
      </c>
      <c r="I19" s="3">
        <v>3</v>
      </c>
      <c r="J19" s="3">
        <v>17</v>
      </c>
      <c r="K19" s="3">
        <v>4</v>
      </c>
      <c r="L19" s="11">
        <v>2</v>
      </c>
    </row>
    <row r="20" spans="1:12" s="6" customFormat="1" x14ac:dyDescent="0.3">
      <c r="A20" s="6" t="s">
        <v>107</v>
      </c>
      <c r="B20" s="7">
        <v>17</v>
      </c>
      <c r="C20" s="7">
        <v>1</v>
      </c>
      <c r="D20" s="11">
        <v>3</v>
      </c>
      <c r="E20" s="11">
        <v>4</v>
      </c>
      <c r="F20" s="11">
        <v>1</v>
      </c>
      <c r="G20" s="11">
        <v>100</v>
      </c>
      <c r="H20" s="7">
        <v>3</v>
      </c>
      <c r="I20" s="7">
        <v>3</v>
      </c>
      <c r="J20" s="7">
        <v>17</v>
      </c>
      <c r="K20" s="7">
        <v>4</v>
      </c>
      <c r="L20" s="11">
        <v>2</v>
      </c>
    </row>
    <row r="21" spans="1:12" s="6" customFormat="1" x14ac:dyDescent="0.3">
      <c r="A21" s="6" t="s">
        <v>1084</v>
      </c>
      <c r="B21" s="7">
        <v>14</v>
      </c>
      <c r="C21" s="7">
        <v>1</v>
      </c>
      <c r="D21" s="11">
        <v>1</v>
      </c>
      <c r="E21" s="11">
        <v>4</v>
      </c>
      <c r="F21" s="11">
        <v>100</v>
      </c>
      <c r="G21" s="11">
        <v>100</v>
      </c>
      <c r="H21" s="7">
        <v>3</v>
      </c>
      <c r="I21" s="7">
        <v>3</v>
      </c>
      <c r="J21" s="7">
        <v>17</v>
      </c>
      <c r="K21" s="7">
        <v>4</v>
      </c>
      <c r="L21" s="11">
        <v>2</v>
      </c>
    </row>
    <row r="22" spans="1:12" s="6" customFormat="1" x14ac:dyDescent="0.3">
      <c r="A22" t="s">
        <v>2905</v>
      </c>
      <c r="B22" s="7">
        <v>10</v>
      </c>
      <c r="C22" s="7">
        <v>1</v>
      </c>
      <c r="D22" s="3">
        <v>3</v>
      </c>
      <c r="E22" s="3">
        <v>15</v>
      </c>
      <c r="F22" s="3">
        <v>100</v>
      </c>
      <c r="G22" s="3">
        <v>100</v>
      </c>
      <c r="H22" s="3">
        <v>3</v>
      </c>
      <c r="I22" s="3">
        <v>3</v>
      </c>
      <c r="J22" s="3">
        <v>17</v>
      </c>
      <c r="K22" s="3">
        <v>4</v>
      </c>
      <c r="L22" s="11">
        <v>2</v>
      </c>
    </row>
    <row r="23" spans="1:12" s="6" customFormat="1" x14ac:dyDescent="0.3">
      <c r="A23" s="6" t="s">
        <v>758</v>
      </c>
      <c r="B23" s="7">
        <v>15</v>
      </c>
      <c r="C23" s="7">
        <v>1</v>
      </c>
      <c r="D23" s="7">
        <v>3</v>
      </c>
      <c r="E23" s="11">
        <v>2</v>
      </c>
      <c r="F23" s="11">
        <v>1</v>
      </c>
      <c r="G23" s="11">
        <v>2</v>
      </c>
      <c r="H23" s="11">
        <v>1</v>
      </c>
      <c r="I23" s="11">
        <v>3</v>
      </c>
      <c r="J23" s="11">
        <v>1</v>
      </c>
      <c r="K23" s="11">
        <v>5</v>
      </c>
      <c r="L23" s="11">
        <v>2</v>
      </c>
    </row>
    <row r="24" spans="1:12" s="6" customFormat="1" x14ac:dyDescent="0.3">
      <c r="A24" s="6" t="s">
        <v>495</v>
      </c>
      <c r="B24" s="7">
        <v>16</v>
      </c>
      <c r="C24" s="7">
        <v>1</v>
      </c>
      <c r="D24" s="11">
        <v>1</v>
      </c>
      <c r="E24" s="11">
        <v>4</v>
      </c>
      <c r="F24" s="11">
        <v>1</v>
      </c>
      <c r="G24" s="11">
        <v>2</v>
      </c>
      <c r="H24" s="7">
        <v>3</v>
      </c>
      <c r="I24" s="7">
        <v>3</v>
      </c>
      <c r="J24" s="7">
        <v>17</v>
      </c>
      <c r="K24" s="7">
        <v>4</v>
      </c>
      <c r="L24" s="7">
        <v>1</v>
      </c>
    </row>
    <row r="25" spans="1:12" s="6" customFormat="1" x14ac:dyDescent="0.3">
      <c r="A25" t="s">
        <v>1363</v>
      </c>
      <c r="B25" s="7">
        <v>13</v>
      </c>
      <c r="C25" s="7">
        <v>1</v>
      </c>
      <c r="D25" s="3">
        <v>3</v>
      </c>
      <c r="E25" s="3">
        <v>4</v>
      </c>
      <c r="F25" s="3">
        <v>1</v>
      </c>
      <c r="G25" s="3">
        <v>2</v>
      </c>
      <c r="H25" s="7">
        <v>3</v>
      </c>
      <c r="I25" s="7">
        <v>3</v>
      </c>
      <c r="J25" s="7">
        <v>17</v>
      </c>
      <c r="K25" s="7">
        <v>4</v>
      </c>
      <c r="L25" s="11">
        <v>2</v>
      </c>
    </row>
    <row r="26" spans="1:12" s="6" customFormat="1" x14ac:dyDescent="0.3">
      <c r="A26" s="6" t="s">
        <v>780</v>
      </c>
      <c r="B26" s="7">
        <v>15</v>
      </c>
      <c r="C26" s="7">
        <v>1</v>
      </c>
      <c r="D26" s="7">
        <v>1</v>
      </c>
      <c r="E26" s="11">
        <v>14</v>
      </c>
      <c r="F26" s="11">
        <v>1</v>
      </c>
      <c r="G26" s="11">
        <v>2</v>
      </c>
      <c r="H26" s="7">
        <v>2</v>
      </c>
      <c r="I26" s="7">
        <v>3</v>
      </c>
      <c r="J26" s="7">
        <v>17</v>
      </c>
      <c r="K26" s="7">
        <v>4</v>
      </c>
      <c r="L26" s="11">
        <v>2</v>
      </c>
    </row>
    <row r="27" spans="1:12" s="6" customFormat="1" x14ac:dyDescent="0.3">
      <c r="A27" t="s">
        <v>1627</v>
      </c>
      <c r="B27" s="7">
        <v>11</v>
      </c>
      <c r="C27" s="7">
        <v>1</v>
      </c>
      <c r="D27" s="3">
        <v>3</v>
      </c>
      <c r="E27" s="3">
        <v>4</v>
      </c>
      <c r="F27" s="11">
        <v>2</v>
      </c>
      <c r="G27" s="11">
        <v>3</v>
      </c>
      <c r="H27" s="3">
        <v>3</v>
      </c>
      <c r="I27" s="3">
        <v>3</v>
      </c>
      <c r="J27" s="3">
        <v>17</v>
      </c>
      <c r="K27" s="3">
        <v>4</v>
      </c>
      <c r="L27" s="7">
        <v>2</v>
      </c>
    </row>
    <row r="28" spans="1:12" s="6" customFormat="1" x14ac:dyDescent="0.3">
      <c r="A28" s="6" t="s">
        <v>488</v>
      </c>
      <c r="B28" s="7">
        <v>16</v>
      </c>
      <c r="C28" s="7">
        <v>1</v>
      </c>
      <c r="D28" s="11">
        <v>1</v>
      </c>
      <c r="E28" s="11">
        <v>4</v>
      </c>
      <c r="F28" s="11">
        <v>1</v>
      </c>
      <c r="G28" s="11">
        <v>2</v>
      </c>
      <c r="H28" s="7">
        <v>3</v>
      </c>
      <c r="I28" s="7">
        <v>3</v>
      </c>
      <c r="J28" s="7">
        <v>17</v>
      </c>
      <c r="K28" s="7">
        <v>4</v>
      </c>
      <c r="L28" s="11">
        <v>2</v>
      </c>
    </row>
    <row r="29" spans="1:12" s="6" customFormat="1" x14ac:dyDescent="0.3">
      <c r="A29" t="s">
        <v>2175</v>
      </c>
      <c r="B29" s="7">
        <v>4</v>
      </c>
      <c r="C29" s="7">
        <v>1</v>
      </c>
      <c r="D29" s="3">
        <v>3</v>
      </c>
      <c r="E29" s="3">
        <v>8</v>
      </c>
      <c r="F29" s="3">
        <v>1</v>
      </c>
      <c r="G29" s="3">
        <v>2</v>
      </c>
      <c r="H29" s="7">
        <v>3</v>
      </c>
      <c r="I29" s="7">
        <v>3</v>
      </c>
      <c r="J29" s="7">
        <v>17</v>
      </c>
      <c r="K29" s="7">
        <v>4</v>
      </c>
      <c r="L29" s="7">
        <v>2</v>
      </c>
    </row>
    <row r="30" spans="1:12" s="6" customFormat="1" x14ac:dyDescent="0.3">
      <c r="A30" t="s">
        <v>2977</v>
      </c>
      <c r="B30" s="7">
        <v>6</v>
      </c>
      <c r="C30" s="7">
        <v>1</v>
      </c>
      <c r="D30" s="3">
        <v>3</v>
      </c>
      <c r="E30" s="3">
        <v>4</v>
      </c>
      <c r="F30" s="3">
        <v>1</v>
      </c>
      <c r="G30" s="3">
        <v>1</v>
      </c>
      <c r="H30" s="3">
        <v>3</v>
      </c>
      <c r="I30" s="3">
        <v>3</v>
      </c>
      <c r="J30" s="3">
        <v>17</v>
      </c>
      <c r="K30" s="3">
        <v>4</v>
      </c>
      <c r="L30" s="7">
        <v>2</v>
      </c>
    </row>
    <row r="31" spans="1:12" s="6" customFormat="1" x14ac:dyDescent="0.3">
      <c r="A31" t="s">
        <v>2109</v>
      </c>
      <c r="B31" s="7">
        <v>4</v>
      </c>
      <c r="C31" s="7">
        <v>1</v>
      </c>
      <c r="D31" s="3">
        <v>1</v>
      </c>
      <c r="E31" s="3">
        <v>1</v>
      </c>
      <c r="F31" s="3">
        <v>2</v>
      </c>
      <c r="G31" s="3">
        <v>4</v>
      </c>
      <c r="H31" s="3">
        <v>3</v>
      </c>
      <c r="I31" s="3">
        <v>3</v>
      </c>
      <c r="J31" s="3">
        <v>17</v>
      </c>
      <c r="K31" s="3">
        <v>4</v>
      </c>
      <c r="L31" s="7">
        <v>2</v>
      </c>
    </row>
    <row r="32" spans="1:12" s="6" customFormat="1" x14ac:dyDescent="0.3">
      <c r="A32" t="s">
        <v>2109</v>
      </c>
      <c r="B32" s="7">
        <v>4</v>
      </c>
      <c r="C32" s="7">
        <v>1</v>
      </c>
      <c r="D32" s="3">
        <v>3</v>
      </c>
      <c r="E32" s="3">
        <v>4</v>
      </c>
      <c r="F32" s="3">
        <v>1</v>
      </c>
      <c r="G32" s="3">
        <v>1</v>
      </c>
      <c r="H32" s="7">
        <v>3</v>
      </c>
      <c r="I32" s="7">
        <v>3</v>
      </c>
      <c r="J32" s="7">
        <v>17</v>
      </c>
      <c r="K32" s="7">
        <v>4</v>
      </c>
      <c r="L32" s="11">
        <v>2</v>
      </c>
    </row>
    <row r="33" spans="1:12" s="6" customFormat="1" x14ac:dyDescent="0.3">
      <c r="A33" t="s">
        <v>1377</v>
      </c>
      <c r="B33" s="7">
        <v>13</v>
      </c>
      <c r="C33" s="7">
        <v>1</v>
      </c>
      <c r="D33" s="3">
        <v>3</v>
      </c>
      <c r="E33" s="3">
        <v>8</v>
      </c>
      <c r="F33" s="3">
        <v>100</v>
      </c>
      <c r="G33" s="3">
        <v>100</v>
      </c>
      <c r="H33" s="7">
        <v>3</v>
      </c>
      <c r="I33" s="7">
        <v>3</v>
      </c>
      <c r="J33" s="7">
        <v>17</v>
      </c>
      <c r="K33" s="7">
        <v>4</v>
      </c>
      <c r="L33" s="11">
        <v>2</v>
      </c>
    </row>
    <row r="34" spans="1:12" s="6" customFormat="1" x14ac:dyDescent="0.3">
      <c r="A34" t="s">
        <v>3053</v>
      </c>
      <c r="B34" s="7">
        <v>4</v>
      </c>
      <c r="C34" s="7">
        <v>1</v>
      </c>
      <c r="D34" s="3">
        <v>5</v>
      </c>
      <c r="E34" s="3">
        <v>1</v>
      </c>
      <c r="F34" s="3">
        <v>100</v>
      </c>
      <c r="G34" s="3">
        <v>100</v>
      </c>
      <c r="H34" s="3">
        <v>3</v>
      </c>
      <c r="I34" s="3">
        <v>3</v>
      </c>
      <c r="J34" s="3">
        <v>17</v>
      </c>
      <c r="K34" s="3">
        <v>4</v>
      </c>
      <c r="L34" s="11">
        <v>2</v>
      </c>
    </row>
    <row r="35" spans="1:12" s="6" customFormat="1" x14ac:dyDescent="0.3">
      <c r="A35" t="s">
        <v>1739</v>
      </c>
      <c r="B35" s="7">
        <v>10</v>
      </c>
      <c r="C35" s="7">
        <v>1</v>
      </c>
      <c r="D35" s="3">
        <v>3</v>
      </c>
      <c r="E35" s="3">
        <v>1</v>
      </c>
      <c r="F35" s="11">
        <v>1</v>
      </c>
      <c r="G35" s="11">
        <v>2</v>
      </c>
      <c r="H35" s="3">
        <v>2</v>
      </c>
      <c r="I35" s="3">
        <v>3</v>
      </c>
      <c r="J35" s="3">
        <v>16</v>
      </c>
      <c r="K35" s="3">
        <v>3</v>
      </c>
      <c r="L35" s="7">
        <v>2</v>
      </c>
    </row>
    <row r="36" spans="1:12" s="6" customFormat="1" x14ac:dyDescent="0.3">
      <c r="A36" t="s">
        <v>1822</v>
      </c>
      <c r="B36" s="7">
        <v>8</v>
      </c>
      <c r="C36" s="7">
        <v>1</v>
      </c>
      <c r="D36" s="3">
        <v>3</v>
      </c>
      <c r="E36" s="3">
        <v>14</v>
      </c>
      <c r="F36" s="11">
        <v>1</v>
      </c>
      <c r="G36" s="11">
        <v>1</v>
      </c>
      <c r="H36" s="7">
        <v>3</v>
      </c>
      <c r="I36" s="7">
        <v>3</v>
      </c>
      <c r="J36" s="7">
        <v>17</v>
      </c>
      <c r="K36" s="7">
        <v>4</v>
      </c>
      <c r="L36" s="11">
        <v>2</v>
      </c>
    </row>
    <row r="37" spans="1:12" s="6" customFormat="1" x14ac:dyDescent="0.3">
      <c r="A37" t="s">
        <v>2760</v>
      </c>
      <c r="B37" s="7">
        <v>13</v>
      </c>
      <c r="C37" s="7">
        <v>1</v>
      </c>
      <c r="D37" s="3">
        <v>5</v>
      </c>
      <c r="E37" s="3">
        <v>3</v>
      </c>
      <c r="F37" s="3">
        <v>1</v>
      </c>
      <c r="G37" s="3">
        <v>2</v>
      </c>
      <c r="H37" s="3">
        <v>3</v>
      </c>
      <c r="I37" s="3">
        <v>3</v>
      </c>
      <c r="J37" s="3">
        <v>17</v>
      </c>
      <c r="K37" s="3">
        <v>4</v>
      </c>
      <c r="L37" s="11">
        <v>2</v>
      </c>
    </row>
    <row r="38" spans="1:12" s="6" customFormat="1" x14ac:dyDescent="0.3">
      <c r="A38" t="s">
        <v>2048</v>
      </c>
      <c r="B38" s="7">
        <v>7</v>
      </c>
      <c r="C38" s="7">
        <v>1</v>
      </c>
      <c r="D38" s="3">
        <v>3</v>
      </c>
      <c r="E38" s="3">
        <v>4</v>
      </c>
      <c r="F38" s="3">
        <v>100</v>
      </c>
      <c r="G38" s="3">
        <v>100</v>
      </c>
      <c r="H38" s="7">
        <v>3</v>
      </c>
      <c r="I38" s="7">
        <v>3</v>
      </c>
      <c r="J38" s="7">
        <v>17</v>
      </c>
      <c r="K38" s="7">
        <v>4</v>
      </c>
      <c r="L38" s="7">
        <v>2</v>
      </c>
    </row>
    <row r="39" spans="1:12" s="6" customFormat="1" x14ac:dyDescent="0.3">
      <c r="A39" t="s">
        <v>2740</v>
      </c>
      <c r="B39" s="7">
        <v>13</v>
      </c>
      <c r="C39" s="7">
        <v>1</v>
      </c>
      <c r="D39" s="3">
        <v>5</v>
      </c>
      <c r="E39" s="3">
        <v>4</v>
      </c>
      <c r="F39" s="3">
        <v>100</v>
      </c>
      <c r="G39" s="3">
        <v>100</v>
      </c>
      <c r="H39" s="7">
        <v>3</v>
      </c>
      <c r="I39" s="7">
        <v>3</v>
      </c>
      <c r="J39" s="7">
        <v>17</v>
      </c>
      <c r="K39" s="7">
        <v>3</v>
      </c>
      <c r="L39" s="7">
        <v>2</v>
      </c>
    </row>
    <row r="40" spans="1:12" s="6" customFormat="1" x14ac:dyDescent="0.3">
      <c r="A40" s="6" t="s">
        <v>302</v>
      </c>
      <c r="B40" s="7">
        <v>16</v>
      </c>
      <c r="C40" s="7">
        <v>1</v>
      </c>
      <c r="D40" s="11">
        <v>3</v>
      </c>
      <c r="E40" s="11">
        <v>4</v>
      </c>
      <c r="F40" s="7">
        <v>100</v>
      </c>
      <c r="G40" s="7">
        <v>100</v>
      </c>
      <c r="H40" s="7">
        <v>3</v>
      </c>
      <c r="I40" s="7">
        <v>3</v>
      </c>
      <c r="J40" s="7">
        <v>17</v>
      </c>
      <c r="K40" s="7">
        <v>4</v>
      </c>
      <c r="L40" s="7">
        <v>2</v>
      </c>
    </row>
    <row r="41" spans="1:12" s="6" customFormat="1" x14ac:dyDescent="0.3">
      <c r="A41" s="6" t="s">
        <v>322</v>
      </c>
      <c r="B41" s="7">
        <v>16</v>
      </c>
      <c r="C41" s="7">
        <v>1</v>
      </c>
      <c r="D41" s="11">
        <v>9</v>
      </c>
      <c r="E41" s="11">
        <v>15</v>
      </c>
      <c r="F41" s="11">
        <v>1</v>
      </c>
      <c r="G41" s="11">
        <v>2</v>
      </c>
      <c r="H41" s="11">
        <v>1</v>
      </c>
      <c r="I41" s="11">
        <v>3</v>
      </c>
      <c r="J41" s="11">
        <v>2</v>
      </c>
      <c r="K41" s="11">
        <v>5</v>
      </c>
      <c r="L41" s="11">
        <v>2</v>
      </c>
    </row>
    <row r="42" spans="1:12" s="6" customFormat="1" x14ac:dyDescent="0.3">
      <c r="A42" t="s">
        <v>1682</v>
      </c>
      <c r="B42" s="7">
        <v>11</v>
      </c>
      <c r="C42" s="7">
        <v>1</v>
      </c>
      <c r="D42" s="11">
        <v>9</v>
      </c>
      <c r="E42" s="11">
        <v>1</v>
      </c>
      <c r="F42" s="11">
        <v>1</v>
      </c>
      <c r="G42" s="11">
        <v>2</v>
      </c>
      <c r="H42" s="7">
        <v>3</v>
      </c>
      <c r="I42" s="7">
        <v>3</v>
      </c>
      <c r="J42" s="7">
        <v>17</v>
      </c>
      <c r="K42" s="7">
        <v>4</v>
      </c>
      <c r="L42" s="11">
        <v>2</v>
      </c>
    </row>
    <row r="43" spans="1:12" s="6" customFormat="1" x14ac:dyDescent="0.3">
      <c r="A43" s="6" t="s">
        <v>1004</v>
      </c>
      <c r="B43" s="7">
        <v>14</v>
      </c>
      <c r="C43" s="7">
        <v>1</v>
      </c>
      <c r="D43" s="7">
        <v>1</v>
      </c>
      <c r="E43" s="11">
        <v>15</v>
      </c>
      <c r="F43" s="11">
        <v>1</v>
      </c>
      <c r="G43" s="11">
        <v>1</v>
      </c>
      <c r="H43" s="11">
        <v>1</v>
      </c>
      <c r="I43" s="11">
        <v>3</v>
      </c>
      <c r="J43" s="11">
        <v>2</v>
      </c>
      <c r="K43" s="11">
        <v>5</v>
      </c>
      <c r="L43" s="7">
        <v>2</v>
      </c>
    </row>
    <row r="44" spans="1:12" s="6" customFormat="1" x14ac:dyDescent="0.3">
      <c r="A44" t="s">
        <v>1514</v>
      </c>
      <c r="B44" s="7">
        <v>12</v>
      </c>
      <c r="C44" s="7">
        <v>1</v>
      </c>
      <c r="D44" s="7">
        <v>1</v>
      </c>
      <c r="E44" s="11">
        <v>4</v>
      </c>
      <c r="F44" s="11">
        <v>100</v>
      </c>
      <c r="G44" s="11">
        <v>100</v>
      </c>
      <c r="H44" s="7">
        <v>3</v>
      </c>
      <c r="I44" s="7">
        <v>3</v>
      </c>
      <c r="J44" s="7">
        <v>17</v>
      </c>
      <c r="K44" s="7">
        <v>4</v>
      </c>
      <c r="L44" s="7">
        <v>2</v>
      </c>
    </row>
    <row r="45" spans="1:12" s="6" customFormat="1" x14ac:dyDescent="0.3">
      <c r="A45" t="s">
        <v>2476</v>
      </c>
      <c r="B45" s="7">
        <v>16</v>
      </c>
      <c r="C45" s="7">
        <v>1</v>
      </c>
      <c r="D45" s="3">
        <v>3</v>
      </c>
      <c r="E45" s="3">
        <v>11</v>
      </c>
      <c r="F45" s="11">
        <v>1</v>
      </c>
      <c r="G45" s="11">
        <v>2</v>
      </c>
      <c r="H45" s="7">
        <v>1</v>
      </c>
      <c r="I45" s="7">
        <v>3</v>
      </c>
      <c r="J45" s="7">
        <v>1</v>
      </c>
      <c r="K45" s="7">
        <v>5</v>
      </c>
      <c r="L45" s="7">
        <v>2</v>
      </c>
    </row>
    <row r="46" spans="1:12" s="6" customFormat="1" x14ac:dyDescent="0.3">
      <c r="A46" s="6" t="s">
        <v>962</v>
      </c>
      <c r="B46" s="7">
        <v>15</v>
      </c>
      <c r="C46" s="7">
        <v>1</v>
      </c>
      <c r="D46" s="11">
        <v>3</v>
      </c>
      <c r="E46" s="11">
        <v>12</v>
      </c>
      <c r="F46" s="11">
        <v>1</v>
      </c>
      <c r="G46" s="11">
        <v>1</v>
      </c>
      <c r="H46" s="11">
        <v>1</v>
      </c>
      <c r="I46" s="11">
        <v>3</v>
      </c>
      <c r="J46" s="11">
        <v>2</v>
      </c>
      <c r="K46" s="11">
        <v>5</v>
      </c>
      <c r="L46" s="7">
        <v>2</v>
      </c>
    </row>
    <row r="47" spans="1:12" s="6" customFormat="1" x14ac:dyDescent="0.3">
      <c r="A47" s="6" t="s">
        <v>443</v>
      </c>
      <c r="B47" s="7">
        <v>16</v>
      </c>
      <c r="C47" s="7">
        <v>1</v>
      </c>
      <c r="D47" s="11">
        <v>3</v>
      </c>
      <c r="E47" s="11">
        <v>12</v>
      </c>
      <c r="F47" s="7">
        <v>100</v>
      </c>
      <c r="G47" s="7">
        <v>100</v>
      </c>
      <c r="H47" s="7">
        <v>3</v>
      </c>
      <c r="I47" s="7">
        <v>3</v>
      </c>
      <c r="J47" s="7">
        <v>17</v>
      </c>
      <c r="K47" s="7">
        <v>4</v>
      </c>
      <c r="L47" s="7">
        <v>2</v>
      </c>
    </row>
    <row r="48" spans="1:12" x14ac:dyDescent="0.3">
      <c r="A48" s="6" t="s">
        <v>1240</v>
      </c>
      <c r="B48" s="7">
        <v>13</v>
      </c>
      <c r="C48" s="7">
        <v>1</v>
      </c>
      <c r="D48" s="11">
        <v>3</v>
      </c>
      <c r="E48" s="3">
        <v>15</v>
      </c>
      <c r="F48" s="7">
        <v>1</v>
      </c>
      <c r="G48" s="7">
        <v>2</v>
      </c>
      <c r="H48" s="7">
        <v>3</v>
      </c>
      <c r="I48" s="7">
        <v>3</v>
      </c>
      <c r="J48" s="7">
        <v>17</v>
      </c>
      <c r="K48" s="7">
        <v>4</v>
      </c>
      <c r="L48" s="7">
        <v>2</v>
      </c>
    </row>
    <row r="49" spans="1:12" s="6" customFormat="1" x14ac:dyDescent="0.3">
      <c r="A49" t="s">
        <v>1304</v>
      </c>
      <c r="B49" s="7">
        <v>13</v>
      </c>
      <c r="C49" s="7">
        <v>1</v>
      </c>
      <c r="D49" s="3">
        <v>3</v>
      </c>
      <c r="E49" s="3">
        <v>4</v>
      </c>
      <c r="F49" s="3">
        <v>1</v>
      </c>
      <c r="G49" s="3">
        <v>2</v>
      </c>
      <c r="H49" s="7">
        <v>3</v>
      </c>
      <c r="I49" s="7">
        <v>3</v>
      </c>
      <c r="J49" s="7">
        <v>17</v>
      </c>
      <c r="K49" s="7">
        <v>4</v>
      </c>
      <c r="L49" s="11">
        <v>2</v>
      </c>
    </row>
    <row r="50" spans="1:12" s="6" customFormat="1" x14ac:dyDescent="0.3">
      <c r="A50" t="s">
        <v>2363</v>
      </c>
      <c r="B50" s="7">
        <v>3</v>
      </c>
      <c r="C50" s="7">
        <v>1</v>
      </c>
      <c r="D50" s="3">
        <v>5</v>
      </c>
      <c r="E50" s="3">
        <v>4</v>
      </c>
      <c r="F50" s="3">
        <v>100</v>
      </c>
      <c r="G50" s="3">
        <v>100</v>
      </c>
      <c r="H50" s="3">
        <v>3</v>
      </c>
      <c r="I50" s="3">
        <v>3</v>
      </c>
      <c r="J50" s="3">
        <v>17</v>
      </c>
      <c r="K50" s="3">
        <v>4</v>
      </c>
      <c r="L50" s="11">
        <v>2</v>
      </c>
    </row>
    <row r="51" spans="1:12" s="6" customFormat="1" x14ac:dyDescent="0.3">
      <c r="A51" s="6" t="s">
        <v>735</v>
      </c>
      <c r="B51" s="7">
        <v>15</v>
      </c>
      <c r="C51" s="7">
        <v>1</v>
      </c>
      <c r="D51" s="7">
        <v>4</v>
      </c>
      <c r="E51" s="11">
        <v>8</v>
      </c>
      <c r="F51" s="11">
        <v>2</v>
      </c>
      <c r="G51" s="11">
        <v>3</v>
      </c>
      <c r="H51" s="7">
        <v>3</v>
      </c>
      <c r="I51" s="7">
        <v>3</v>
      </c>
      <c r="J51" s="7">
        <v>17</v>
      </c>
      <c r="K51" s="7">
        <v>4</v>
      </c>
      <c r="L51" s="7">
        <v>2</v>
      </c>
    </row>
    <row r="52" spans="1:12" s="6" customFormat="1" x14ac:dyDescent="0.3">
      <c r="A52" t="s">
        <v>1677</v>
      </c>
      <c r="B52" s="7">
        <v>11</v>
      </c>
      <c r="C52" s="7">
        <v>1</v>
      </c>
      <c r="D52" s="3">
        <v>6</v>
      </c>
      <c r="E52" s="3">
        <v>2</v>
      </c>
      <c r="F52" s="3">
        <v>100</v>
      </c>
      <c r="G52" s="3">
        <v>100</v>
      </c>
      <c r="H52" s="7">
        <v>3</v>
      </c>
      <c r="I52" s="7">
        <v>3</v>
      </c>
      <c r="J52" s="7">
        <v>17</v>
      </c>
      <c r="K52" s="7">
        <v>4</v>
      </c>
      <c r="L52" s="7">
        <v>2</v>
      </c>
    </row>
    <row r="53" spans="1:12" s="6" customFormat="1" x14ac:dyDescent="0.3">
      <c r="A53" t="s">
        <v>2330</v>
      </c>
      <c r="B53" s="7">
        <v>3</v>
      </c>
      <c r="C53" s="7">
        <v>1</v>
      </c>
      <c r="D53" s="3">
        <v>6</v>
      </c>
      <c r="E53" s="3">
        <v>1</v>
      </c>
      <c r="F53" s="3">
        <v>2</v>
      </c>
      <c r="G53" s="3">
        <v>4</v>
      </c>
      <c r="H53" s="7">
        <v>3</v>
      </c>
      <c r="I53" s="7">
        <v>3</v>
      </c>
      <c r="J53" s="7">
        <v>17</v>
      </c>
      <c r="K53" s="7">
        <v>4</v>
      </c>
      <c r="L53" s="7">
        <v>2</v>
      </c>
    </row>
    <row r="54" spans="1:12" s="6" customFormat="1" x14ac:dyDescent="0.3">
      <c r="A54" s="6" t="s">
        <v>349</v>
      </c>
      <c r="B54" s="7">
        <v>16</v>
      </c>
      <c r="C54" s="7">
        <v>1</v>
      </c>
      <c r="D54" s="11">
        <v>1</v>
      </c>
      <c r="E54" s="11">
        <v>4</v>
      </c>
      <c r="F54" s="11">
        <v>1</v>
      </c>
      <c r="G54" s="11">
        <v>2</v>
      </c>
      <c r="H54" s="11">
        <v>2</v>
      </c>
      <c r="I54" s="11">
        <v>2</v>
      </c>
      <c r="J54" s="11">
        <v>17</v>
      </c>
      <c r="K54" s="11">
        <v>3</v>
      </c>
      <c r="L54" s="11">
        <v>2</v>
      </c>
    </row>
    <row r="55" spans="1:12" s="6" customFormat="1" x14ac:dyDescent="0.3">
      <c r="A55" t="s">
        <v>2744</v>
      </c>
      <c r="B55" s="7">
        <v>13</v>
      </c>
      <c r="C55" s="7">
        <v>1</v>
      </c>
      <c r="D55" s="3">
        <v>3</v>
      </c>
      <c r="E55" s="3">
        <v>3</v>
      </c>
      <c r="F55" s="11">
        <v>1</v>
      </c>
      <c r="G55" s="11">
        <v>100</v>
      </c>
      <c r="H55" s="7">
        <v>3</v>
      </c>
      <c r="I55" s="7">
        <v>3</v>
      </c>
      <c r="J55" s="7">
        <v>17</v>
      </c>
      <c r="K55" s="7">
        <v>4</v>
      </c>
      <c r="L55" s="11">
        <v>2</v>
      </c>
    </row>
    <row r="56" spans="1:12" s="6" customFormat="1" x14ac:dyDescent="0.3">
      <c r="A56" t="s">
        <v>1743</v>
      </c>
      <c r="B56" s="7">
        <v>10</v>
      </c>
      <c r="C56" s="7">
        <v>1</v>
      </c>
      <c r="D56" s="7">
        <v>3</v>
      </c>
      <c r="E56" s="11">
        <v>1</v>
      </c>
      <c r="F56" s="11">
        <v>1</v>
      </c>
      <c r="G56" s="11">
        <v>2</v>
      </c>
      <c r="H56" s="7">
        <v>3</v>
      </c>
      <c r="I56" s="7">
        <v>3</v>
      </c>
      <c r="J56" s="7">
        <v>17</v>
      </c>
      <c r="K56" s="7">
        <v>4</v>
      </c>
      <c r="L56" s="11">
        <v>2</v>
      </c>
    </row>
    <row r="57" spans="1:12" s="6" customFormat="1" x14ac:dyDescent="0.3">
      <c r="A57" t="s">
        <v>1781</v>
      </c>
      <c r="B57" s="7">
        <v>9</v>
      </c>
      <c r="C57" s="7">
        <v>1</v>
      </c>
      <c r="D57" s="3">
        <v>1</v>
      </c>
      <c r="E57" s="3">
        <v>8</v>
      </c>
      <c r="F57" s="3">
        <v>1</v>
      </c>
      <c r="G57" s="3">
        <v>2</v>
      </c>
      <c r="H57" s="7">
        <v>1</v>
      </c>
      <c r="I57" s="7">
        <v>3</v>
      </c>
      <c r="J57" s="7">
        <v>1</v>
      </c>
      <c r="K57" s="7">
        <v>5</v>
      </c>
      <c r="L57" s="11">
        <v>2</v>
      </c>
    </row>
    <row r="58" spans="1:12" s="6" customFormat="1" x14ac:dyDescent="0.3">
      <c r="A58" s="6" t="s">
        <v>997</v>
      </c>
      <c r="B58" s="7">
        <v>14</v>
      </c>
      <c r="C58" s="7">
        <v>1</v>
      </c>
      <c r="D58" s="7">
        <v>1</v>
      </c>
      <c r="E58" s="11">
        <v>8</v>
      </c>
      <c r="F58" s="7">
        <v>1</v>
      </c>
      <c r="G58" s="7">
        <v>2</v>
      </c>
      <c r="H58" s="7">
        <v>3</v>
      </c>
      <c r="I58" s="7">
        <v>3</v>
      </c>
      <c r="J58" s="7">
        <v>17</v>
      </c>
      <c r="K58" s="7">
        <v>4</v>
      </c>
      <c r="L58" s="7">
        <v>1</v>
      </c>
    </row>
    <row r="59" spans="1:12" s="6" customFormat="1" x14ac:dyDescent="0.3">
      <c r="A59" t="s">
        <v>2960</v>
      </c>
      <c r="B59" s="7">
        <v>10</v>
      </c>
      <c r="C59" s="7">
        <v>1</v>
      </c>
      <c r="D59" s="3">
        <v>3</v>
      </c>
      <c r="E59" s="3">
        <v>4</v>
      </c>
      <c r="F59" s="3">
        <v>1</v>
      </c>
      <c r="G59" s="3">
        <v>2</v>
      </c>
      <c r="H59" s="7">
        <v>1</v>
      </c>
      <c r="I59" s="7">
        <v>3</v>
      </c>
      <c r="J59" s="7">
        <v>1</v>
      </c>
      <c r="K59" s="7">
        <v>5</v>
      </c>
      <c r="L59" s="11">
        <v>2</v>
      </c>
    </row>
    <row r="60" spans="1:12" s="6" customFormat="1" x14ac:dyDescent="0.3">
      <c r="A60" t="s">
        <v>1832</v>
      </c>
      <c r="B60" s="7">
        <v>8</v>
      </c>
      <c r="C60" s="7">
        <v>1</v>
      </c>
      <c r="D60" s="3">
        <v>3</v>
      </c>
      <c r="E60" s="3">
        <v>4</v>
      </c>
      <c r="F60" s="11">
        <v>1</v>
      </c>
      <c r="G60" s="11">
        <v>1</v>
      </c>
      <c r="H60" s="7">
        <v>1</v>
      </c>
      <c r="I60" s="7">
        <v>3</v>
      </c>
      <c r="J60" s="7">
        <v>1</v>
      </c>
      <c r="K60" s="7">
        <v>5</v>
      </c>
      <c r="L60" s="11">
        <v>2</v>
      </c>
    </row>
    <row r="61" spans="1:12" s="6" customFormat="1" x14ac:dyDescent="0.3">
      <c r="A61" t="s">
        <v>1313</v>
      </c>
      <c r="B61" s="7">
        <v>13</v>
      </c>
      <c r="C61" s="7">
        <v>1</v>
      </c>
      <c r="D61" s="3">
        <v>3</v>
      </c>
      <c r="E61" s="3">
        <v>15</v>
      </c>
      <c r="F61" s="3">
        <v>1</v>
      </c>
      <c r="G61" s="3">
        <v>2</v>
      </c>
      <c r="H61" s="3">
        <v>1</v>
      </c>
      <c r="I61" s="3">
        <v>3</v>
      </c>
      <c r="J61" s="3">
        <v>1</v>
      </c>
      <c r="K61" s="3">
        <v>5</v>
      </c>
      <c r="L61" s="11">
        <v>2</v>
      </c>
    </row>
    <row r="62" spans="1:12" s="6" customFormat="1" x14ac:dyDescent="0.3">
      <c r="A62" s="6" t="s">
        <v>531</v>
      </c>
      <c r="B62" s="7">
        <v>16</v>
      </c>
      <c r="C62" s="7">
        <v>1</v>
      </c>
      <c r="D62" s="3">
        <v>1</v>
      </c>
      <c r="E62" s="3">
        <v>4</v>
      </c>
      <c r="F62" s="11">
        <v>1</v>
      </c>
      <c r="G62" s="11">
        <v>2</v>
      </c>
      <c r="H62" s="7">
        <v>3</v>
      </c>
      <c r="I62" s="7">
        <v>3</v>
      </c>
      <c r="J62" s="7">
        <v>17</v>
      </c>
      <c r="K62" s="7">
        <v>4</v>
      </c>
      <c r="L62" s="11">
        <v>2</v>
      </c>
    </row>
    <row r="63" spans="1:12" s="6" customFormat="1" x14ac:dyDescent="0.3">
      <c r="A63" s="6" t="s">
        <v>786</v>
      </c>
      <c r="B63" s="7">
        <v>15</v>
      </c>
      <c r="C63" s="7">
        <v>1</v>
      </c>
      <c r="D63" s="7">
        <v>6</v>
      </c>
      <c r="E63" s="11">
        <v>1</v>
      </c>
      <c r="F63" s="7">
        <v>1</v>
      </c>
      <c r="G63" s="7">
        <v>2</v>
      </c>
      <c r="H63" s="11">
        <v>1</v>
      </c>
      <c r="I63" s="11">
        <v>3</v>
      </c>
      <c r="J63" s="11">
        <v>1</v>
      </c>
      <c r="K63" s="11">
        <v>5</v>
      </c>
      <c r="L63" s="7">
        <v>2</v>
      </c>
    </row>
    <row r="64" spans="1:12" s="6" customFormat="1" x14ac:dyDescent="0.3">
      <c r="A64" t="s">
        <v>1923</v>
      </c>
      <c r="B64" s="7">
        <v>8</v>
      </c>
      <c r="C64" s="7">
        <v>1</v>
      </c>
      <c r="D64" s="3">
        <v>3</v>
      </c>
      <c r="E64" s="3">
        <v>4</v>
      </c>
      <c r="F64" s="3">
        <v>1</v>
      </c>
      <c r="G64" s="3">
        <v>1</v>
      </c>
      <c r="H64" s="7">
        <v>1</v>
      </c>
      <c r="I64" s="7">
        <v>3</v>
      </c>
      <c r="J64" s="7">
        <v>1</v>
      </c>
      <c r="K64" s="7">
        <v>5</v>
      </c>
      <c r="L64" s="11">
        <v>2</v>
      </c>
    </row>
    <row r="65" spans="1:12" s="6" customFormat="1" x14ac:dyDescent="0.3">
      <c r="A65" t="s">
        <v>2490</v>
      </c>
      <c r="B65" s="7">
        <v>16</v>
      </c>
      <c r="C65" s="7">
        <v>1</v>
      </c>
      <c r="D65" s="3">
        <v>3</v>
      </c>
      <c r="E65" s="3">
        <v>15</v>
      </c>
      <c r="F65" s="3">
        <v>1</v>
      </c>
      <c r="G65" s="11">
        <v>2</v>
      </c>
      <c r="H65" s="7">
        <v>3</v>
      </c>
      <c r="I65" s="7">
        <v>3</v>
      </c>
      <c r="J65" s="7">
        <v>17</v>
      </c>
      <c r="K65" s="7">
        <v>4</v>
      </c>
      <c r="L65" s="11">
        <v>2</v>
      </c>
    </row>
    <row r="66" spans="1:12" s="6" customFormat="1" x14ac:dyDescent="0.3">
      <c r="A66" s="6" t="s">
        <v>798</v>
      </c>
      <c r="B66" s="7">
        <v>15</v>
      </c>
      <c r="C66" s="7">
        <v>1</v>
      </c>
      <c r="D66" s="7">
        <v>8</v>
      </c>
      <c r="E66" s="11">
        <v>15</v>
      </c>
      <c r="F66" s="11">
        <v>2</v>
      </c>
      <c r="G66" s="11">
        <v>3</v>
      </c>
      <c r="H66" s="11">
        <v>1</v>
      </c>
      <c r="I66" s="11">
        <v>2</v>
      </c>
      <c r="J66" s="11">
        <v>4</v>
      </c>
      <c r="K66" s="11">
        <v>3</v>
      </c>
      <c r="L66" s="11">
        <v>2</v>
      </c>
    </row>
    <row r="67" spans="1:12" x14ac:dyDescent="0.3">
      <c r="A67" t="s">
        <v>2993</v>
      </c>
      <c r="B67" s="7">
        <v>8</v>
      </c>
      <c r="C67" s="7">
        <v>1</v>
      </c>
      <c r="D67" s="3">
        <v>8</v>
      </c>
      <c r="E67" s="3">
        <v>9</v>
      </c>
      <c r="F67" s="3">
        <v>1</v>
      </c>
      <c r="G67" s="3">
        <v>2</v>
      </c>
      <c r="H67" s="7">
        <v>3</v>
      </c>
      <c r="I67" s="7">
        <v>3</v>
      </c>
      <c r="J67" s="7">
        <v>17</v>
      </c>
      <c r="K67" s="7">
        <v>4</v>
      </c>
      <c r="L67" s="7">
        <v>2</v>
      </c>
    </row>
    <row r="68" spans="1:12" s="6" customFormat="1" x14ac:dyDescent="0.3">
      <c r="A68" s="6" t="s">
        <v>569</v>
      </c>
      <c r="B68" s="7">
        <v>16</v>
      </c>
      <c r="C68" s="7">
        <v>1</v>
      </c>
      <c r="D68" s="11">
        <v>3</v>
      </c>
      <c r="E68" s="11">
        <v>15</v>
      </c>
      <c r="F68" s="11">
        <v>5</v>
      </c>
      <c r="G68" s="11">
        <v>5</v>
      </c>
      <c r="H68" s="11">
        <v>1</v>
      </c>
      <c r="I68" s="11">
        <v>3</v>
      </c>
      <c r="J68" s="11">
        <v>1</v>
      </c>
      <c r="K68" s="11">
        <v>5</v>
      </c>
      <c r="L68" s="11">
        <v>2</v>
      </c>
    </row>
    <row r="69" spans="1:12" s="6" customFormat="1" x14ac:dyDescent="0.3">
      <c r="A69" t="s">
        <v>2028</v>
      </c>
      <c r="B69" s="7">
        <v>7</v>
      </c>
      <c r="C69" s="7">
        <v>1</v>
      </c>
      <c r="D69" s="3">
        <v>3</v>
      </c>
      <c r="E69" s="3">
        <v>3</v>
      </c>
      <c r="F69" s="3">
        <v>1</v>
      </c>
      <c r="G69" s="3">
        <v>1</v>
      </c>
      <c r="H69" s="3">
        <v>2</v>
      </c>
      <c r="I69" s="3">
        <v>3</v>
      </c>
      <c r="J69" s="3">
        <v>9</v>
      </c>
      <c r="K69" s="3">
        <v>4</v>
      </c>
      <c r="L69" s="3">
        <v>1</v>
      </c>
    </row>
    <row r="70" spans="1:12" s="6" customFormat="1" x14ac:dyDescent="0.3">
      <c r="A70" s="6" t="s">
        <v>500</v>
      </c>
      <c r="B70" s="7">
        <v>16</v>
      </c>
      <c r="C70" s="7">
        <v>1</v>
      </c>
      <c r="D70" s="7">
        <v>3</v>
      </c>
      <c r="E70" s="11">
        <v>4</v>
      </c>
      <c r="F70" s="11">
        <v>1</v>
      </c>
      <c r="G70" s="11">
        <v>2</v>
      </c>
      <c r="H70" s="7">
        <v>1</v>
      </c>
      <c r="I70" s="7">
        <v>3</v>
      </c>
      <c r="J70" s="7">
        <v>1</v>
      </c>
      <c r="K70" s="7">
        <v>5</v>
      </c>
      <c r="L70" s="11">
        <v>2</v>
      </c>
    </row>
    <row r="71" spans="1:12" s="6" customFormat="1" x14ac:dyDescent="0.3">
      <c r="A71" t="s">
        <v>1655</v>
      </c>
      <c r="B71" s="7">
        <v>11</v>
      </c>
      <c r="C71" s="7">
        <v>1</v>
      </c>
      <c r="D71" s="3">
        <v>7</v>
      </c>
      <c r="E71" s="3">
        <v>1</v>
      </c>
      <c r="F71" s="3">
        <v>1</v>
      </c>
      <c r="G71" s="3">
        <v>2</v>
      </c>
      <c r="H71" s="3">
        <v>3</v>
      </c>
      <c r="I71" s="3">
        <v>3</v>
      </c>
      <c r="J71" s="3">
        <v>17</v>
      </c>
      <c r="K71" s="3">
        <v>4</v>
      </c>
      <c r="L71" s="7">
        <v>2</v>
      </c>
    </row>
    <row r="72" spans="1:12" s="6" customFormat="1" x14ac:dyDescent="0.3">
      <c r="A72" t="s">
        <v>2704</v>
      </c>
      <c r="B72" s="7">
        <v>13</v>
      </c>
      <c r="C72" s="7">
        <v>1</v>
      </c>
      <c r="D72" s="3">
        <v>8</v>
      </c>
      <c r="E72" s="3">
        <v>4</v>
      </c>
      <c r="F72" s="3">
        <v>2</v>
      </c>
      <c r="G72" s="3">
        <v>5</v>
      </c>
      <c r="H72" s="3">
        <v>3</v>
      </c>
      <c r="I72" s="3">
        <v>3</v>
      </c>
      <c r="J72" s="3">
        <v>17</v>
      </c>
      <c r="K72" s="3">
        <v>4</v>
      </c>
      <c r="L72" s="7">
        <v>2</v>
      </c>
    </row>
    <row r="73" spans="1:12" s="6" customFormat="1" x14ac:dyDescent="0.3">
      <c r="A73" t="s">
        <v>1520</v>
      </c>
      <c r="B73" s="7">
        <v>12</v>
      </c>
      <c r="C73" s="7">
        <v>1</v>
      </c>
      <c r="D73" s="3">
        <v>3</v>
      </c>
      <c r="E73" s="3">
        <v>2</v>
      </c>
      <c r="F73" s="3">
        <v>1</v>
      </c>
      <c r="G73" s="3">
        <v>2</v>
      </c>
      <c r="H73" s="3">
        <v>3</v>
      </c>
      <c r="I73" s="3">
        <v>3</v>
      </c>
      <c r="J73" s="3">
        <v>17</v>
      </c>
      <c r="K73" s="3">
        <v>4</v>
      </c>
      <c r="L73" s="7">
        <v>2</v>
      </c>
    </row>
    <row r="74" spans="1:12" s="6" customFormat="1" x14ac:dyDescent="0.3">
      <c r="A74" s="6" t="s">
        <v>1131</v>
      </c>
      <c r="B74" s="7">
        <v>13</v>
      </c>
      <c r="C74" s="7">
        <v>1</v>
      </c>
      <c r="D74" s="3">
        <v>8</v>
      </c>
      <c r="E74" s="3">
        <v>2</v>
      </c>
      <c r="F74" s="3">
        <v>1</v>
      </c>
      <c r="G74" s="3">
        <v>1</v>
      </c>
      <c r="H74" s="11">
        <v>2</v>
      </c>
      <c r="I74" s="11">
        <v>2</v>
      </c>
      <c r="J74" s="11">
        <v>16</v>
      </c>
      <c r="K74" s="11">
        <v>3</v>
      </c>
      <c r="L74" s="7">
        <v>2</v>
      </c>
    </row>
    <row r="75" spans="1:12" s="6" customFormat="1" x14ac:dyDescent="0.3">
      <c r="A75" s="6" t="s">
        <v>540</v>
      </c>
      <c r="B75" s="7">
        <v>16</v>
      </c>
      <c r="C75" s="7">
        <v>1</v>
      </c>
      <c r="D75" s="11">
        <v>1</v>
      </c>
      <c r="E75" s="11">
        <v>4</v>
      </c>
      <c r="F75" s="11">
        <v>1</v>
      </c>
      <c r="G75" s="11">
        <v>2</v>
      </c>
      <c r="H75" s="7">
        <v>1</v>
      </c>
      <c r="I75" s="7">
        <v>3</v>
      </c>
      <c r="J75" s="7">
        <v>1</v>
      </c>
      <c r="K75" s="7">
        <v>5</v>
      </c>
      <c r="L75" s="11">
        <v>2</v>
      </c>
    </row>
    <row r="76" spans="1:12" s="6" customFormat="1" x14ac:dyDescent="0.3">
      <c r="A76" s="6" t="s">
        <v>899</v>
      </c>
      <c r="B76" s="7">
        <v>15</v>
      </c>
      <c r="C76" s="7">
        <v>1</v>
      </c>
      <c r="D76" s="7">
        <v>1</v>
      </c>
      <c r="E76" s="11">
        <v>15</v>
      </c>
      <c r="F76" s="11">
        <v>1</v>
      </c>
      <c r="G76" s="11">
        <v>2</v>
      </c>
      <c r="H76" s="11">
        <v>2</v>
      </c>
      <c r="I76" s="11">
        <v>2</v>
      </c>
      <c r="J76" s="11">
        <v>16</v>
      </c>
      <c r="K76" s="11">
        <v>3</v>
      </c>
      <c r="L76" s="11">
        <v>2</v>
      </c>
    </row>
    <row r="77" spans="1:12" s="6" customFormat="1" x14ac:dyDescent="0.3">
      <c r="A77" s="6" t="s">
        <v>837</v>
      </c>
      <c r="B77" s="7">
        <v>15</v>
      </c>
      <c r="C77" s="7">
        <v>1</v>
      </c>
      <c r="D77" s="7">
        <v>1</v>
      </c>
      <c r="E77" s="11">
        <v>15</v>
      </c>
      <c r="F77" s="11">
        <v>1</v>
      </c>
      <c r="G77" s="11">
        <v>2</v>
      </c>
      <c r="H77" s="7">
        <v>1</v>
      </c>
      <c r="I77" s="7">
        <v>3</v>
      </c>
      <c r="J77" s="7">
        <v>1</v>
      </c>
      <c r="K77" s="7">
        <v>3</v>
      </c>
      <c r="L77" s="11">
        <v>2</v>
      </c>
    </row>
    <row r="78" spans="1:12" s="6" customFormat="1" x14ac:dyDescent="0.3">
      <c r="A78" t="s">
        <v>2020</v>
      </c>
      <c r="B78" s="7">
        <v>6</v>
      </c>
      <c r="C78" s="7">
        <v>1</v>
      </c>
      <c r="D78" s="3">
        <v>1</v>
      </c>
      <c r="E78" s="3">
        <v>4</v>
      </c>
      <c r="F78" s="3">
        <v>1</v>
      </c>
      <c r="G78" s="3">
        <v>1</v>
      </c>
      <c r="H78" s="7">
        <v>3</v>
      </c>
      <c r="I78" s="7">
        <v>3</v>
      </c>
      <c r="J78" s="7">
        <v>17</v>
      </c>
      <c r="K78" s="7">
        <v>4</v>
      </c>
      <c r="L78" s="11">
        <v>2</v>
      </c>
    </row>
    <row r="79" spans="1:12" s="6" customFormat="1" x14ac:dyDescent="0.3">
      <c r="A79" s="6" t="s">
        <v>82</v>
      </c>
      <c r="B79" s="7">
        <v>17</v>
      </c>
      <c r="C79" s="7">
        <v>1</v>
      </c>
      <c r="D79" s="11">
        <v>3</v>
      </c>
      <c r="E79" s="11">
        <v>6</v>
      </c>
      <c r="F79" s="11">
        <v>100</v>
      </c>
      <c r="G79" s="11">
        <v>100</v>
      </c>
      <c r="H79" s="7">
        <v>3</v>
      </c>
      <c r="I79" s="7">
        <v>3</v>
      </c>
      <c r="J79" s="7">
        <v>17</v>
      </c>
      <c r="K79" s="7">
        <v>4</v>
      </c>
      <c r="L79" s="11">
        <v>2</v>
      </c>
    </row>
    <row r="80" spans="1:12" s="6" customFormat="1" x14ac:dyDescent="0.3">
      <c r="A80" t="s">
        <v>2391</v>
      </c>
      <c r="B80" s="7">
        <v>3</v>
      </c>
      <c r="C80" s="7">
        <v>1</v>
      </c>
      <c r="D80" s="3">
        <v>1</v>
      </c>
      <c r="E80" s="3">
        <v>1</v>
      </c>
      <c r="F80" s="3">
        <v>100</v>
      </c>
      <c r="G80" s="3">
        <v>100</v>
      </c>
      <c r="H80" s="3">
        <v>3</v>
      </c>
      <c r="I80" s="3">
        <v>3</v>
      </c>
      <c r="J80" s="3">
        <v>17</v>
      </c>
      <c r="K80" s="3">
        <v>4</v>
      </c>
      <c r="L80" s="11">
        <v>2</v>
      </c>
    </row>
    <row r="81" spans="1:12" s="6" customFormat="1" x14ac:dyDescent="0.3">
      <c r="A81" s="6" t="s">
        <v>1113</v>
      </c>
      <c r="B81" s="7">
        <v>14</v>
      </c>
      <c r="C81" s="7">
        <v>1</v>
      </c>
      <c r="D81" s="3">
        <v>1</v>
      </c>
      <c r="E81" s="3">
        <v>8</v>
      </c>
      <c r="F81" s="3">
        <v>1</v>
      </c>
      <c r="G81" s="3">
        <v>2</v>
      </c>
      <c r="H81" s="7">
        <v>3</v>
      </c>
      <c r="I81" s="7">
        <v>3</v>
      </c>
      <c r="J81" s="7">
        <v>17</v>
      </c>
      <c r="K81" s="7">
        <v>4</v>
      </c>
      <c r="L81" s="11">
        <v>2</v>
      </c>
    </row>
    <row r="82" spans="1:12" s="6" customFormat="1" x14ac:dyDescent="0.3">
      <c r="A82" t="s">
        <v>1328</v>
      </c>
      <c r="B82" s="7">
        <v>13</v>
      </c>
      <c r="C82" s="7">
        <v>1</v>
      </c>
      <c r="D82" s="7">
        <v>1</v>
      </c>
      <c r="E82" s="11">
        <v>4</v>
      </c>
      <c r="F82" s="7">
        <v>1</v>
      </c>
      <c r="G82" s="7">
        <v>2</v>
      </c>
      <c r="H82" s="7">
        <v>3</v>
      </c>
      <c r="I82" s="7">
        <v>3</v>
      </c>
      <c r="J82" s="7">
        <v>17</v>
      </c>
      <c r="K82" s="7">
        <v>4</v>
      </c>
      <c r="L82" s="11">
        <v>2</v>
      </c>
    </row>
    <row r="83" spans="1:12" s="6" customFormat="1" x14ac:dyDescent="0.3">
      <c r="A83" s="6" t="s">
        <v>369</v>
      </c>
      <c r="B83" s="7">
        <v>16</v>
      </c>
      <c r="C83" s="7">
        <v>1</v>
      </c>
      <c r="D83" s="11">
        <v>1</v>
      </c>
      <c r="E83" s="11">
        <v>4</v>
      </c>
      <c r="F83" s="11">
        <v>1</v>
      </c>
      <c r="G83" s="11">
        <v>2</v>
      </c>
      <c r="H83" s="7">
        <v>3</v>
      </c>
      <c r="I83" s="7">
        <v>3</v>
      </c>
      <c r="J83" s="7">
        <v>17</v>
      </c>
      <c r="K83" s="7">
        <v>4</v>
      </c>
      <c r="L83" s="11">
        <v>2</v>
      </c>
    </row>
    <row r="84" spans="1:12" s="6" customFormat="1" x14ac:dyDescent="0.3">
      <c r="A84" t="s">
        <v>1572</v>
      </c>
      <c r="B84" s="7">
        <v>12</v>
      </c>
      <c r="C84" s="7">
        <v>1</v>
      </c>
      <c r="D84" s="3">
        <v>5</v>
      </c>
      <c r="E84" s="3">
        <v>1</v>
      </c>
      <c r="F84" s="11">
        <v>1</v>
      </c>
      <c r="G84" s="11">
        <v>100</v>
      </c>
      <c r="H84" s="3">
        <v>3</v>
      </c>
      <c r="I84" s="3">
        <v>3</v>
      </c>
      <c r="J84" s="3">
        <v>17</v>
      </c>
      <c r="K84" s="3">
        <v>4</v>
      </c>
      <c r="L84" s="7">
        <v>2</v>
      </c>
    </row>
    <row r="85" spans="1:12" s="6" customFormat="1" x14ac:dyDescent="0.3">
      <c r="A85" s="6" t="s">
        <v>1108</v>
      </c>
      <c r="B85" s="7">
        <v>14</v>
      </c>
      <c r="C85" s="7">
        <v>1</v>
      </c>
      <c r="D85" s="3">
        <v>3</v>
      </c>
      <c r="E85" s="3">
        <v>2</v>
      </c>
      <c r="F85" s="3">
        <v>1</v>
      </c>
      <c r="G85" s="3">
        <v>2</v>
      </c>
      <c r="H85" s="7">
        <v>3</v>
      </c>
      <c r="I85" s="7">
        <v>3</v>
      </c>
      <c r="J85" s="7">
        <v>17</v>
      </c>
      <c r="K85" s="7">
        <v>4</v>
      </c>
      <c r="L85" s="11">
        <v>2</v>
      </c>
    </row>
    <row r="86" spans="1:12" s="6" customFormat="1" x14ac:dyDescent="0.3">
      <c r="A86" s="6" t="s">
        <v>1074</v>
      </c>
      <c r="B86" s="7">
        <v>14</v>
      </c>
      <c r="C86" s="7">
        <v>1</v>
      </c>
      <c r="D86" s="11">
        <v>1</v>
      </c>
      <c r="E86" s="11">
        <v>8</v>
      </c>
      <c r="F86" s="11">
        <v>1</v>
      </c>
      <c r="G86" s="11">
        <v>2</v>
      </c>
      <c r="H86" s="11">
        <v>1</v>
      </c>
      <c r="I86" s="11">
        <v>3</v>
      </c>
      <c r="J86" s="11">
        <v>2</v>
      </c>
      <c r="K86" s="11">
        <v>5</v>
      </c>
      <c r="L86" s="11">
        <v>2</v>
      </c>
    </row>
    <row r="87" spans="1:12" s="6" customFormat="1" x14ac:dyDescent="0.3">
      <c r="A87" t="s">
        <v>1574</v>
      </c>
      <c r="B87" s="7">
        <v>12</v>
      </c>
      <c r="C87" s="7">
        <v>1</v>
      </c>
      <c r="D87" s="11">
        <v>3</v>
      </c>
      <c r="E87" s="11">
        <v>4</v>
      </c>
      <c r="F87" s="11">
        <v>1</v>
      </c>
      <c r="G87" s="11">
        <v>2</v>
      </c>
      <c r="H87" s="11">
        <v>2</v>
      </c>
      <c r="I87" s="11">
        <v>2</v>
      </c>
      <c r="J87" s="11">
        <v>16</v>
      </c>
      <c r="K87" s="11">
        <v>3</v>
      </c>
      <c r="L87" s="11">
        <v>2</v>
      </c>
    </row>
    <row r="88" spans="1:12" s="6" customFormat="1" x14ac:dyDescent="0.3">
      <c r="A88" s="6" t="s">
        <v>909</v>
      </c>
      <c r="B88" s="7">
        <v>15</v>
      </c>
      <c r="C88" s="7">
        <v>1</v>
      </c>
      <c r="D88" s="11">
        <v>3</v>
      </c>
      <c r="E88" s="11">
        <v>4</v>
      </c>
      <c r="F88" s="7">
        <v>100</v>
      </c>
      <c r="G88" s="7">
        <v>100</v>
      </c>
      <c r="H88" s="7">
        <v>3</v>
      </c>
      <c r="I88" s="7">
        <v>3</v>
      </c>
      <c r="J88" s="7">
        <v>17</v>
      </c>
      <c r="K88" s="7">
        <v>4</v>
      </c>
      <c r="L88" s="11">
        <v>1</v>
      </c>
    </row>
    <row r="89" spans="1:12" s="6" customFormat="1" x14ac:dyDescent="0.3">
      <c r="A89" t="s">
        <v>1813</v>
      </c>
      <c r="B89" s="7">
        <v>8</v>
      </c>
      <c r="C89" s="7">
        <v>1</v>
      </c>
      <c r="D89" s="3">
        <v>3</v>
      </c>
      <c r="E89" s="3">
        <v>4</v>
      </c>
      <c r="F89" s="11">
        <v>1</v>
      </c>
      <c r="G89" s="11">
        <v>1</v>
      </c>
      <c r="H89" s="7">
        <v>3</v>
      </c>
      <c r="I89" s="7">
        <v>3</v>
      </c>
      <c r="J89" s="7">
        <v>17</v>
      </c>
      <c r="K89" s="7">
        <v>4</v>
      </c>
      <c r="L89" s="11">
        <v>2</v>
      </c>
    </row>
    <row r="90" spans="1:12" s="6" customFormat="1" x14ac:dyDescent="0.3">
      <c r="A90" t="s">
        <v>2681</v>
      </c>
      <c r="B90" s="7">
        <v>14</v>
      </c>
      <c r="C90" s="7">
        <v>1</v>
      </c>
      <c r="D90" s="3">
        <v>3</v>
      </c>
      <c r="E90" s="3">
        <v>3</v>
      </c>
      <c r="F90" s="11">
        <v>1</v>
      </c>
      <c r="G90" s="11">
        <v>100</v>
      </c>
      <c r="H90" s="11">
        <v>1</v>
      </c>
      <c r="I90" s="11">
        <v>3</v>
      </c>
      <c r="J90" s="11">
        <v>2</v>
      </c>
      <c r="K90" s="11">
        <v>5</v>
      </c>
      <c r="L90" s="7">
        <v>2</v>
      </c>
    </row>
    <row r="91" spans="1:12" s="6" customFormat="1" x14ac:dyDescent="0.3">
      <c r="A91" t="s">
        <v>2224</v>
      </c>
      <c r="B91" s="7">
        <v>4</v>
      </c>
      <c r="C91" s="7">
        <v>1</v>
      </c>
      <c r="D91" s="3">
        <v>9</v>
      </c>
      <c r="E91" s="3">
        <v>3</v>
      </c>
      <c r="F91" s="3">
        <v>2</v>
      </c>
      <c r="G91" s="3">
        <v>4</v>
      </c>
      <c r="H91" s="3">
        <v>3</v>
      </c>
      <c r="I91" s="3">
        <v>3</v>
      </c>
      <c r="J91" s="3">
        <v>17</v>
      </c>
      <c r="K91" s="3">
        <v>4</v>
      </c>
      <c r="L91" s="7">
        <v>2</v>
      </c>
    </row>
    <row r="92" spans="1:12" s="6" customFormat="1" x14ac:dyDescent="0.3">
      <c r="A92" t="s">
        <v>1184</v>
      </c>
      <c r="B92" s="7">
        <v>13</v>
      </c>
      <c r="C92" s="7">
        <v>1</v>
      </c>
      <c r="D92" s="3">
        <v>5</v>
      </c>
      <c r="E92" s="3">
        <v>15</v>
      </c>
      <c r="F92" s="3">
        <v>1</v>
      </c>
      <c r="G92" s="3">
        <v>1</v>
      </c>
      <c r="H92" s="7">
        <v>3</v>
      </c>
      <c r="I92" s="7">
        <v>3</v>
      </c>
      <c r="J92" s="7">
        <v>17</v>
      </c>
      <c r="K92" s="7">
        <v>4</v>
      </c>
      <c r="L92" s="11">
        <v>2</v>
      </c>
    </row>
    <row r="93" spans="1:12" s="6" customFormat="1" x14ac:dyDescent="0.3">
      <c r="A93" s="6" t="s">
        <v>548</v>
      </c>
      <c r="B93" s="7">
        <v>16</v>
      </c>
      <c r="C93" s="7">
        <v>1</v>
      </c>
      <c r="D93" s="11">
        <v>3</v>
      </c>
      <c r="E93" s="11">
        <v>12</v>
      </c>
      <c r="F93" s="11">
        <v>1</v>
      </c>
      <c r="G93" s="11">
        <v>2</v>
      </c>
      <c r="H93" s="7">
        <v>3</v>
      </c>
      <c r="I93" s="7">
        <v>3</v>
      </c>
      <c r="J93" s="7">
        <v>17</v>
      </c>
      <c r="K93" s="7">
        <v>4</v>
      </c>
      <c r="L93" s="11">
        <v>2</v>
      </c>
    </row>
    <row r="94" spans="1:12" s="6" customFormat="1" x14ac:dyDescent="0.3">
      <c r="A94" t="s">
        <v>1917</v>
      </c>
      <c r="B94" s="7">
        <v>8</v>
      </c>
      <c r="C94" s="7">
        <v>1</v>
      </c>
      <c r="D94" s="3">
        <v>3</v>
      </c>
      <c r="E94" s="3">
        <v>2</v>
      </c>
      <c r="F94" s="3">
        <v>1</v>
      </c>
      <c r="G94" s="3">
        <v>1</v>
      </c>
      <c r="H94" s="7">
        <v>3</v>
      </c>
      <c r="I94" s="7">
        <v>3</v>
      </c>
      <c r="J94" s="7">
        <v>17</v>
      </c>
      <c r="K94" s="7">
        <v>4</v>
      </c>
      <c r="L94" s="11">
        <v>2</v>
      </c>
    </row>
    <row r="95" spans="1:12" s="6" customFormat="1" x14ac:dyDescent="0.3">
      <c r="A95" t="s">
        <v>1747</v>
      </c>
      <c r="B95" s="7">
        <v>10</v>
      </c>
      <c r="C95" s="7">
        <v>1</v>
      </c>
      <c r="D95" s="11">
        <v>1</v>
      </c>
      <c r="E95" s="11">
        <v>1</v>
      </c>
      <c r="F95" s="11">
        <v>1</v>
      </c>
      <c r="G95" s="11">
        <v>1</v>
      </c>
      <c r="H95" s="11">
        <v>1</v>
      </c>
      <c r="I95" s="11">
        <v>3</v>
      </c>
      <c r="J95" s="11">
        <v>2</v>
      </c>
      <c r="K95" s="11">
        <v>5</v>
      </c>
      <c r="L95" s="11">
        <v>1</v>
      </c>
    </row>
    <row r="96" spans="1:12" s="6" customFormat="1" x14ac:dyDescent="0.3">
      <c r="A96" s="6" t="s">
        <v>1067</v>
      </c>
      <c r="B96" s="7">
        <v>14</v>
      </c>
      <c r="C96" s="7">
        <v>1</v>
      </c>
      <c r="D96" s="11">
        <v>3</v>
      </c>
      <c r="E96" s="11">
        <v>4</v>
      </c>
      <c r="F96" s="11">
        <v>1</v>
      </c>
      <c r="G96" s="11">
        <v>2</v>
      </c>
      <c r="H96" s="7">
        <v>3</v>
      </c>
      <c r="I96" s="7">
        <v>3</v>
      </c>
      <c r="J96" s="7">
        <v>17</v>
      </c>
      <c r="K96" s="7">
        <v>4</v>
      </c>
      <c r="L96" s="11">
        <v>2</v>
      </c>
    </row>
    <row r="97" spans="1:12" s="6" customFormat="1" x14ac:dyDescent="0.3">
      <c r="A97" t="s">
        <v>2844</v>
      </c>
      <c r="B97" s="7">
        <v>12</v>
      </c>
      <c r="C97" s="7">
        <v>1</v>
      </c>
      <c r="D97" s="3">
        <v>4</v>
      </c>
      <c r="E97" s="3">
        <v>15</v>
      </c>
      <c r="F97" s="3">
        <v>7</v>
      </c>
      <c r="G97" s="3">
        <v>3</v>
      </c>
      <c r="H97" s="11">
        <v>2</v>
      </c>
      <c r="I97" s="11">
        <v>2</v>
      </c>
      <c r="J97" s="11">
        <v>17</v>
      </c>
      <c r="K97" s="11">
        <v>3</v>
      </c>
      <c r="L97" s="3">
        <v>1</v>
      </c>
    </row>
    <row r="98" spans="1:12" s="6" customFormat="1" x14ac:dyDescent="0.3">
      <c r="A98" s="6" t="s">
        <v>199</v>
      </c>
      <c r="B98" s="7">
        <v>17</v>
      </c>
      <c r="C98" s="7">
        <v>1</v>
      </c>
      <c r="D98" s="11">
        <v>3</v>
      </c>
      <c r="E98" s="11">
        <v>15</v>
      </c>
      <c r="F98" s="7">
        <v>1</v>
      </c>
      <c r="G98" s="7">
        <v>2</v>
      </c>
      <c r="H98" s="7">
        <v>3</v>
      </c>
      <c r="I98" s="7">
        <v>3</v>
      </c>
      <c r="J98" s="7">
        <v>17</v>
      </c>
      <c r="K98" s="7">
        <v>4</v>
      </c>
      <c r="L98" s="11">
        <v>2</v>
      </c>
    </row>
    <row r="99" spans="1:12" s="6" customFormat="1" x14ac:dyDescent="0.3">
      <c r="A99" s="6" t="s">
        <v>310</v>
      </c>
      <c r="B99" s="7">
        <v>16</v>
      </c>
      <c r="C99" s="7">
        <v>1</v>
      </c>
      <c r="D99" s="11">
        <v>1</v>
      </c>
      <c r="E99" s="11">
        <v>4</v>
      </c>
      <c r="F99" s="11">
        <v>1</v>
      </c>
      <c r="G99" s="11">
        <v>2</v>
      </c>
      <c r="H99" s="11">
        <v>1</v>
      </c>
      <c r="I99" s="11">
        <v>3</v>
      </c>
      <c r="J99" s="11">
        <v>2</v>
      </c>
      <c r="K99" s="11">
        <v>5</v>
      </c>
      <c r="L99" s="7">
        <v>2</v>
      </c>
    </row>
    <row r="100" spans="1:12" s="6" customFormat="1" x14ac:dyDescent="0.3">
      <c r="A100" s="6" t="s">
        <v>865</v>
      </c>
      <c r="B100" s="7">
        <v>15</v>
      </c>
      <c r="C100" s="7">
        <v>1</v>
      </c>
      <c r="D100" s="7">
        <v>3</v>
      </c>
      <c r="E100" s="11">
        <v>11</v>
      </c>
      <c r="F100" s="11">
        <v>1</v>
      </c>
      <c r="G100" s="11">
        <v>2</v>
      </c>
      <c r="H100" s="11">
        <v>1</v>
      </c>
      <c r="I100" s="11">
        <v>3</v>
      </c>
      <c r="J100" s="11">
        <v>1</v>
      </c>
      <c r="K100" s="11">
        <v>5</v>
      </c>
      <c r="L100" s="7">
        <v>2</v>
      </c>
    </row>
    <row r="101" spans="1:12" s="6" customFormat="1" x14ac:dyDescent="0.3">
      <c r="A101" t="s">
        <v>2495</v>
      </c>
      <c r="B101" s="7">
        <v>16</v>
      </c>
      <c r="C101" s="7">
        <v>1</v>
      </c>
      <c r="D101" s="3">
        <v>3</v>
      </c>
      <c r="E101" s="3">
        <v>15</v>
      </c>
      <c r="F101" s="3">
        <v>1</v>
      </c>
      <c r="G101" s="3">
        <v>2</v>
      </c>
      <c r="H101" s="7">
        <v>1</v>
      </c>
      <c r="I101" s="7">
        <v>3</v>
      </c>
      <c r="J101" s="7">
        <v>1</v>
      </c>
      <c r="K101" s="7">
        <v>5</v>
      </c>
      <c r="L101" s="11">
        <v>2</v>
      </c>
    </row>
    <row r="102" spans="1:12" s="6" customFormat="1" x14ac:dyDescent="0.3">
      <c r="A102" t="s">
        <v>2677</v>
      </c>
      <c r="B102" s="7">
        <v>14</v>
      </c>
      <c r="C102" s="7">
        <v>1</v>
      </c>
      <c r="D102" s="3">
        <v>6</v>
      </c>
      <c r="E102" s="3">
        <v>3</v>
      </c>
      <c r="F102" s="11">
        <v>1</v>
      </c>
      <c r="G102" s="11">
        <v>2</v>
      </c>
      <c r="H102" s="7">
        <v>3</v>
      </c>
      <c r="I102" s="7">
        <v>3</v>
      </c>
      <c r="J102" s="7">
        <v>17</v>
      </c>
      <c r="K102" s="7">
        <v>4</v>
      </c>
      <c r="L102" s="7">
        <v>2</v>
      </c>
    </row>
    <row r="103" spans="1:12" s="6" customFormat="1" x14ac:dyDescent="0.3">
      <c r="A103" s="6" t="s">
        <v>662</v>
      </c>
      <c r="B103" s="7">
        <v>16</v>
      </c>
      <c r="C103" s="7">
        <v>1</v>
      </c>
      <c r="D103" s="11">
        <v>3</v>
      </c>
      <c r="E103" s="11">
        <v>2</v>
      </c>
      <c r="F103" s="11">
        <v>100</v>
      </c>
      <c r="G103" s="11">
        <v>100</v>
      </c>
      <c r="H103" s="7">
        <v>3</v>
      </c>
      <c r="I103" s="7">
        <v>3</v>
      </c>
      <c r="J103" s="7">
        <v>17</v>
      </c>
      <c r="K103" s="7">
        <v>4</v>
      </c>
      <c r="L103" s="11">
        <v>2</v>
      </c>
    </row>
    <row r="104" spans="1:12" s="6" customFormat="1" x14ac:dyDescent="0.3">
      <c r="A104" s="6" t="s">
        <v>1160</v>
      </c>
      <c r="B104" s="7">
        <v>13</v>
      </c>
      <c r="C104" s="7">
        <v>1</v>
      </c>
      <c r="D104" s="3">
        <v>3</v>
      </c>
      <c r="E104" s="3">
        <v>2</v>
      </c>
      <c r="F104" s="11">
        <v>100</v>
      </c>
      <c r="G104" s="11">
        <v>100</v>
      </c>
      <c r="H104" s="7">
        <v>3</v>
      </c>
      <c r="I104" s="7">
        <v>3</v>
      </c>
      <c r="J104" s="7">
        <v>17</v>
      </c>
      <c r="K104" s="7">
        <v>4</v>
      </c>
      <c r="L104" s="11">
        <v>2</v>
      </c>
    </row>
    <row r="105" spans="1:12" s="6" customFormat="1" x14ac:dyDescent="0.3">
      <c r="A105" t="s">
        <v>2502</v>
      </c>
      <c r="B105" s="7">
        <v>16</v>
      </c>
      <c r="C105" s="7">
        <v>1</v>
      </c>
      <c r="D105" s="3">
        <v>8</v>
      </c>
      <c r="E105" s="3">
        <v>8</v>
      </c>
      <c r="F105" s="7">
        <v>1</v>
      </c>
      <c r="G105" s="7">
        <v>1</v>
      </c>
      <c r="H105" s="7">
        <v>1</v>
      </c>
      <c r="I105" s="7">
        <v>3</v>
      </c>
      <c r="J105" s="7">
        <v>1</v>
      </c>
      <c r="K105" s="7">
        <v>5</v>
      </c>
      <c r="L105" s="11">
        <v>2</v>
      </c>
    </row>
    <row r="106" spans="1:12" s="6" customFormat="1" x14ac:dyDescent="0.3">
      <c r="A106" s="6" t="s">
        <v>430</v>
      </c>
      <c r="B106" s="7">
        <v>16</v>
      </c>
      <c r="C106" s="7">
        <v>1</v>
      </c>
      <c r="D106" s="11">
        <v>3</v>
      </c>
      <c r="E106" s="11">
        <v>3</v>
      </c>
      <c r="F106" s="11">
        <v>1</v>
      </c>
      <c r="G106" s="11">
        <v>2</v>
      </c>
      <c r="H106" s="11">
        <v>3</v>
      </c>
      <c r="I106" s="11">
        <v>3</v>
      </c>
      <c r="J106" s="11">
        <v>17</v>
      </c>
      <c r="K106" s="11">
        <v>4</v>
      </c>
      <c r="L106" s="7">
        <v>2</v>
      </c>
    </row>
    <row r="107" spans="1:12" s="6" customFormat="1" x14ac:dyDescent="0.3">
      <c r="A107" s="6" t="s">
        <v>430</v>
      </c>
      <c r="B107" s="7">
        <v>15</v>
      </c>
      <c r="C107" s="7">
        <v>1</v>
      </c>
      <c r="D107" s="7">
        <v>3</v>
      </c>
      <c r="E107" s="11">
        <v>3</v>
      </c>
      <c r="F107" s="11">
        <v>1</v>
      </c>
      <c r="G107" s="11">
        <v>2</v>
      </c>
      <c r="H107" s="7">
        <v>3</v>
      </c>
      <c r="I107" s="7">
        <v>3</v>
      </c>
      <c r="J107" s="7">
        <v>17</v>
      </c>
      <c r="K107" s="7">
        <v>4</v>
      </c>
      <c r="L107" s="11">
        <v>2</v>
      </c>
    </row>
    <row r="108" spans="1:12" s="6" customFormat="1" x14ac:dyDescent="0.3">
      <c r="A108" t="s">
        <v>2008</v>
      </c>
      <c r="B108" s="7">
        <v>5</v>
      </c>
      <c r="C108" s="7">
        <v>1</v>
      </c>
      <c r="D108" s="7">
        <v>8</v>
      </c>
      <c r="E108" s="11">
        <v>4</v>
      </c>
      <c r="F108" s="11">
        <v>2</v>
      </c>
      <c r="G108" s="11">
        <v>4</v>
      </c>
      <c r="H108" s="11">
        <v>3</v>
      </c>
      <c r="I108" s="11">
        <v>3</v>
      </c>
      <c r="J108" s="11">
        <v>17</v>
      </c>
      <c r="K108" s="11">
        <v>4</v>
      </c>
      <c r="L108" s="7">
        <v>2</v>
      </c>
    </row>
    <row r="109" spans="1:12" s="6" customFormat="1" x14ac:dyDescent="0.3">
      <c r="A109" s="6" t="s">
        <v>1117</v>
      </c>
      <c r="B109" s="7">
        <v>14</v>
      </c>
      <c r="C109" s="7">
        <v>1</v>
      </c>
      <c r="D109" s="3">
        <v>3</v>
      </c>
      <c r="E109" s="3">
        <v>15</v>
      </c>
      <c r="F109" s="11">
        <v>1</v>
      </c>
      <c r="G109" s="11">
        <v>100</v>
      </c>
      <c r="H109" s="11">
        <v>1</v>
      </c>
      <c r="I109" s="11">
        <v>3</v>
      </c>
      <c r="J109" s="11">
        <v>2</v>
      </c>
      <c r="K109" s="11">
        <v>5</v>
      </c>
      <c r="L109" s="7">
        <v>2</v>
      </c>
    </row>
    <row r="110" spans="1:12" s="6" customFormat="1" x14ac:dyDescent="0.3">
      <c r="A110" t="s">
        <v>2379</v>
      </c>
      <c r="B110" s="7">
        <v>3</v>
      </c>
      <c r="C110" s="7">
        <v>1</v>
      </c>
      <c r="D110" s="7">
        <v>8</v>
      </c>
      <c r="E110" s="11">
        <v>4</v>
      </c>
      <c r="F110" s="11">
        <v>1</v>
      </c>
      <c r="G110" s="11">
        <v>1</v>
      </c>
      <c r="H110" s="7">
        <v>3</v>
      </c>
      <c r="I110" s="7">
        <v>3</v>
      </c>
      <c r="J110" s="7">
        <v>17</v>
      </c>
      <c r="K110" s="7">
        <v>4</v>
      </c>
      <c r="L110" s="11">
        <v>2</v>
      </c>
    </row>
    <row r="111" spans="1:12" s="6" customFormat="1" x14ac:dyDescent="0.3">
      <c r="A111" t="s">
        <v>2813</v>
      </c>
      <c r="B111" s="7">
        <v>12</v>
      </c>
      <c r="C111" s="7">
        <v>1</v>
      </c>
      <c r="D111" s="3">
        <v>1</v>
      </c>
      <c r="E111" s="3">
        <v>4</v>
      </c>
      <c r="F111" s="11">
        <v>1</v>
      </c>
      <c r="G111" s="11">
        <v>1</v>
      </c>
      <c r="H111" s="7">
        <v>1</v>
      </c>
      <c r="I111" s="7">
        <v>3</v>
      </c>
      <c r="J111" s="7">
        <v>1</v>
      </c>
      <c r="K111" s="7">
        <v>5</v>
      </c>
      <c r="L111" s="11">
        <v>2</v>
      </c>
    </row>
    <row r="112" spans="1:12" s="6" customFormat="1" x14ac:dyDescent="0.3">
      <c r="A112" t="s">
        <v>1980</v>
      </c>
      <c r="B112" s="7">
        <v>7</v>
      </c>
      <c r="C112" s="7">
        <v>1</v>
      </c>
      <c r="D112" s="3">
        <v>1</v>
      </c>
      <c r="E112" s="3">
        <v>9</v>
      </c>
      <c r="F112" s="3">
        <v>3</v>
      </c>
      <c r="G112" s="3">
        <v>4</v>
      </c>
      <c r="H112" s="7">
        <v>3</v>
      </c>
      <c r="I112" s="7">
        <v>3</v>
      </c>
      <c r="J112" s="7">
        <v>17</v>
      </c>
      <c r="K112" s="7">
        <v>4</v>
      </c>
      <c r="L112" s="3">
        <v>1</v>
      </c>
    </row>
    <row r="113" spans="1:16" s="6" customFormat="1" x14ac:dyDescent="0.3">
      <c r="A113" s="6" t="s">
        <v>448</v>
      </c>
      <c r="B113" s="7">
        <v>16</v>
      </c>
      <c r="C113" s="7">
        <v>1</v>
      </c>
      <c r="D113" s="11">
        <v>3</v>
      </c>
      <c r="E113" s="11">
        <v>4</v>
      </c>
      <c r="F113" s="11">
        <v>1</v>
      </c>
      <c r="G113" s="11">
        <v>2</v>
      </c>
      <c r="H113" s="7">
        <v>1</v>
      </c>
      <c r="I113" s="7">
        <v>3</v>
      </c>
      <c r="J113" s="7">
        <v>1</v>
      </c>
      <c r="K113" s="7">
        <v>5</v>
      </c>
      <c r="L113" s="11">
        <v>2</v>
      </c>
    </row>
    <row r="114" spans="1:16" s="6" customFormat="1" x14ac:dyDescent="0.3">
      <c r="A114" s="6" t="s">
        <v>730</v>
      </c>
      <c r="B114" s="7">
        <v>15</v>
      </c>
      <c r="C114" s="7">
        <v>1</v>
      </c>
      <c r="D114" s="7">
        <v>3</v>
      </c>
      <c r="E114" s="11">
        <v>4</v>
      </c>
      <c r="F114" s="7">
        <v>1</v>
      </c>
      <c r="G114" s="7">
        <v>2</v>
      </c>
      <c r="H114" s="7">
        <v>3</v>
      </c>
      <c r="I114" s="7">
        <v>3</v>
      </c>
      <c r="J114" s="7">
        <v>17</v>
      </c>
      <c r="K114" s="7">
        <v>4</v>
      </c>
      <c r="L114" s="7">
        <v>2</v>
      </c>
    </row>
    <row r="115" spans="1:16" s="6" customFormat="1" x14ac:dyDescent="0.3">
      <c r="A115" t="s">
        <v>1612</v>
      </c>
      <c r="B115" s="7">
        <v>12</v>
      </c>
      <c r="C115" s="7">
        <v>1</v>
      </c>
      <c r="D115" s="3">
        <v>3</v>
      </c>
      <c r="E115" s="3">
        <v>1</v>
      </c>
      <c r="F115" s="11">
        <v>1</v>
      </c>
      <c r="G115" s="11">
        <v>2</v>
      </c>
      <c r="H115" s="3">
        <v>1</v>
      </c>
      <c r="I115" s="3">
        <v>3</v>
      </c>
      <c r="J115" s="3">
        <v>1</v>
      </c>
      <c r="K115" s="3">
        <v>5</v>
      </c>
      <c r="L115" s="7">
        <v>2</v>
      </c>
    </row>
    <row r="116" spans="1:16" s="6" customFormat="1" x14ac:dyDescent="0.3">
      <c r="A116" s="6" t="s">
        <v>860</v>
      </c>
      <c r="B116" s="7">
        <v>15</v>
      </c>
      <c r="C116" s="7">
        <v>1</v>
      </c>
      <c r="D116" s="7">
        <v>1</v>
      </c>
      <c r="E116" s="11">
        <v>3</v>
      </c>
      <c r="F116" s="11">
        <v>2</v>
      </c>
      <c r="G116" s="11">
        <v>5</v>
      </c>
      <c r="H116" s="7">
        <v>3</v>
      </c>
      <c r="I116" s="7">
        <v>3</v>
      </c>
      <c r="J116" s="7">
        <v>17</v>
      </c>
      <c r="K116" s="7">
        <v>4</v>
      </c>
      <c r="L116" s="11">
        <v>2</v>
      </c>
    </row>
    <row r="117" spans="1:16" s="6" customFormat="1" x14ac:dyDescent="0.3">
      <c r="A117" s="6" t="s">
        <v>1033</v>
      </c>
      <c r="B117" s="7">
        <v>14</v>
      </c>
      <c r="C117" s="7">
        <v>1</v>
      </c>
      <c r="D117" s="11">
        <v>3</v>
      </c>
      <c r="E117" s="11">
        <v>4</v>
      </c>
      <c r="F117" s="11">
        <v>1</v>
      </c>
      <c r="G117" s="11">
        <v>100</v>
      </c>
      <c r="H117" s="11">
        <v>1</v>
      </c>
      <c r="I117" s="11">
        <v>3</v>
      </c>
      <c r="J117" s="11">
        <v>2</v>
      </c>
      <c r="K117" s="11">
        <v>5</v>
      </c>
      <c r="L117" s="7">
        <v>2</v>
      </c>
    </row>
    <row r="118" spans="1:16" s="6" customFormat="1" x14ac:dyDescent="0.3">
      <c r="A118" s="6" t="s">
        <v>1049</v>
      </c>
      <c r="B118" s="7">
        <v>14</v>
      </c>
      <c r="C118" s="7">
        <v>1</v>
      </c>
      <c r="D118" s="11">
        <v>3</v>
      </c>
      <c r="E118" s="11">
        <v>4</v>
      </c>
      <c r="F118" s="11">
        <v>100</v>
      </c>
      <c r="G118" s="11">
        <v>100</v>
      </c>
      <c r="H118" s="7">
        <v>3</v>
      </c>
      <c r="I118" s="7">
        <v>3</v>
      </c>
      <c r="J118" s="7">
        <v>17</v>
      </c>
      <c r="K118" s="7">
        <v>4</v>
      </c>
      <c r="L118" s="11">
        <v>2</v>
      </c>
    </row>
    <row r="119" spans="1:16" s="6" customFormat="1" x14ac:dyDescent="0.3">
      <c r="A119" s="6" t="s">
        <v>582</v>
      </c>
      <c r="B119" s="7">
        <v>16</v>
      </c>
      <c r="C119" s="7">
        <v>1</v>
      </c>
      <c r="D119" s="11">
        <v>7</v>
      </c>
      <c r="E119" s="11">
        <v>8</v>
      </c>
      <c r="F119" s="11">
        <v>1</v>
      </c>
      <c r="G119" s="11">
        <v>2</v>
      </c>
      <c r="H119" s="11">
        <v>1</v>
      </c>
      <c r="I119" s="11">
        <v>3</v>
      </c>
      <c r="J119" s="11">
        <v>1</v>
      </c>
      <c r="K119" s="11">
        <v>5</v>
      </c>
      <c r="L119" s="11">
        <v>2</v>
      </c>
    </row>
    <row r="120" spans="1:16" s="6" customFormat="1" x14ac:dyDescent="0.3">
      <c r="A120" t="s">
        <v>2484</v>
      </c>
      <c r="B120" s="7">
        <v>16</v>
      </c>
      <c r="C120" s="7">
        <v>1</v>
      </c>
      <c r="D120" s="3">
        <v>7</v>
      </c>
      <c r="E120" s="3">
        <v>4</v>
      </c>
      <c r="F120" s="3">
        <v>100</v>
      </c>
      <c r="G120" s="3">
        <v>100</v>
      </c>
      <c r="H120" s="3">
        <v>3</v>
      </c>
      <c r="I120" s="3">
        <v>3</v>
      </c>
      <c r="J120" s="3">
        <v>17</v>
      </c>
      <c r="K120" s="3">
        <v>4</v>
      </c>
      <c r="L120" s="11">
        <v>2</v>
      </c>
      <c r="O120"/>
      <c r="P120"/>
    </row>
    <row r="121" spans="1:16" x14ac:dyDescent="0.3">
      <c r="A121" t="s">
        <v>2445</v>
      </c>
      <c r="B121" s="7">
        <v>2</v>
      </c>
      <c r="C121" s="7">
        <v>1</v>
      </c>
      <c r="D121" s="3">
        <v>1</v>
      </c>
      <c r="E121" s="3">
        <v>1</v>
      </c>
      <c r="F121" s="3">
        <v>1</v>
      </c>
      <c r="G121" s="3">
        <v>1</v>
      </c>
      <c r="H121" s="7">
        <v>1</v>
      </c>
      <c r="I121" s="7">
        <v>3</v>
      </c>
      <c r="J121" s="7">
        <v>1</v>
      </c>
      <c r="K121" s="7">
        <v>5</v>
      </c>
      <c r="L121" s="11">
        <v>2</v>
      </c>
    </row>
    <row r="122" spans="1:16" x14ac:dyDescent="0.3">
      <c r="A122" t="s">
        <v>2445</v>
      </c>
      <c r="B122" s="7">
        <v>12</v>
      </c>
      <c r="C122" s="7">
        <v>1</v>
      </c>
      <c r="D122" s="3">
        <v>3</v>
      </c>
      <c r="E122" s="3">
        <v>3</v>
      </c>
      <c r="F122" s="7">
        <v>1</v>
      </c>
      <c r="G122" s="7">
        <v>2</v>
      </c>
      <c r="H122" s="7">
        <v>1</v>
      </c>
      <c r="I122" s="7">
        <v>3</v>
      </c>
      <c r="J122" s="7">
        <v>1</v>
      </c>
      <c r="K122" s="7">
        <v>5</v>
      </c>
      <c r="L122" s="11">
        <v>2</v>
      </c>
    </row>
    <row r="123" spans="1:16" x14ac:dyDescent="0.3">
      <c r="A123" t="s">
        <v>1851</v>
      </c>
      <c r="B123" s="7">
        <v>8</v>
      </c>
      <c r="C123" s="7">
        <v>1</v>
      </c>
      <c r="D123" s="3">
        <v>6</v>
      </c>
      <c r="E123" s="3">
        <v>4</v>
      </c>
      <c r="F123" s="3">
        <v>1</v>
      </c>
      <c r="G123" s="3">
        <v>1</v>
      </c>
      <c r="H123" s="7">
        <v>1</v>
      </c>
      <c r="I123" s="7">
        <v>3</v>
      </c>
      <c r="J123" s="7">
        <v>1</v>
      </c>
      <c r="K123" s="7">
        <v>5</v>
      </c>
      <c r="L123" s="7">
        <v>2</v>
      </c>
    </row>
    <row r="124" spans="1:16" x14ac:dyDescent="0.3">
      <c r="A124" t="s">
        <v>1938</v>
      </c>
      <c r="B124" s="7">
        <v>8</v>
      </c>
      <c r="C124" s="7">
        <v>1</v>
      </c>
      <c r="D124" s="3">
        <v>3</v>
      </c>
      <c r="E124" s="3">
        <v>5</v>
      </c>
      <c r="F124" s="3">
        <v>1</v>
      </c>
      <c r="G124" s="3">
        <v>1</v>
      </c>
      <c r="H124" s="7">
        <v>1</v>
      </c>
      <c r="I124" s="7">
        <v>3</v>
      </c>
      <c r="J124" s="7">
        <v>1</v>
      </c>
      <c r="K124" s="7">
        <v>5</v>
      </c>
      <c r="L124" s="3">
        <v>1</v>
      </c>
    </row>
    <row r="125" spans="1:16" x14ac:dyDescent="0.3">
      <c r="A125" t="s">
        <v>2991</v>
      </c>
      <c r="B125" s="7">
        <v>5</v>
      </c>
      <c r="C125" s="7">
        <v>1</v>
      </c>
      <c r="D125" s="3">
        <v>8</v>
      </c>
      <c r="E125" s="3">
        <v>8</v>
      </c>
      <c r="F125" s="3">
        <v>1</v>
      </c>
      <c r="G125" s="3">
        <v>2</v>
      </c>
      <c r="H125" s="7">
        <v>3</v>
      </c>
      <c r="I125" s="7">
        <v>3</v>
      </c>
      <c r="J125" s="7">
        <v>17</v>
      </c>
      <c r="K125" s="7">
        <v>4</v>
      </c>
      <c r="L125" s="7">
        <v>2</v>
      </c>
    </row>
    <row r="126" spans="1:16" x14ac:dyDescent="0.3">
      <c r="A126" t="s">
        <v>2133</v>
      </c>
      <c r="B126" s="7">
        <v>5</v>
      </c>
      <c r="C126" s="7">
        <v>1</v>
      </c>
      <c r="D126" s="3">
        <v>3</v>
      </c>
      <c r="E126" s="3">
        <v>4</v>
      </c>
      <c r="F126" s="3">
        <v>3</v>
      </c>
      <c r="G126" s="3">
        <v>4</v>
      </c>
      <c r="H126" s="7">
        <v>3</v>
      </c>
      <c r="I126" s="7">
        <v>3</v>
      </c>
      <c r="J126" s="7">
        <v>17</v>
      </c>
      <c r="K126" s="7">
        <v>4</v>
      </c>
      <c r="L126" s="7">
        <v>1</v>
      </c>
    </row>
    <row r="127" spans="1:16" x14ac:dyDescent="0.3">
      <c r="A127" s="6" t="s">
        <v>1045</v>
      </c>
      <c r="B127" s="7">
        <v>14</v>
      </c>
      <c r="C127" s="7">
        <v>1</v>
      </c>
      <c r="D127" s="11">
        <v>3</v>
      </c>
      <c r="E127" s="11">
        <v>4</v>
      </c>
      <c r="F127" s="11">
        <v>1</v>
      </c>
      <c r="G127" s="11">
        <v>2</v>
      </c>
      <c r="H127" s="7">
        <v>3</v>
      </c>
      <c r="I127" s="7">
        <v>3</v>
      </c>
      <c r="J127" s="7">
        <v>17</v>
      </c>
      <c r="K127" s="7">
        <v>4</v>
      </c>
      <c r="L127" s="11">
        <v>2</v>
      </c>
    </row>
    <row r="128" spans="1:16" x14ac:dyDescent="0.3">
      <c r="A128" s="6" t="s">
        <v>878</v>
      </c>
      <c r="B128" s="7">
        <v>15</v>
      </c>
      <c r="C128" s="7">
        <v>1</v>
      </c>
      <c r="D128" s="7">
        <v>3</v>
      </c>
      <c r="E128" s="11">
        <v>3</v>
      </c>
      <c r="F128" s="11">
        <v>2</v>
      </c>
      <c r="G128" s="11">
        <v>5</v>
      </c>
      <c r="H128" s="7">
        <v>2</v>
      </c>
      <c r="I128" s="7">
        <v>3</v>
      </c>
      <c r="J128" s="7">
        <v>16</v>
      </c>
      <c r="K128" s="7">
        <v>4</v>
      </c>
      <c r="L128" s="7">
        <v>2</v>
      </c>
    </row>
    <row r="129" spans="1:12" x14ac:dyDescent="0.3">
      <c r="A129" s="6" t="s">
        <v>707</v>
      </c>
      <c r="B129" s="7">
        <v>16</v>
      </c>
      <c r="C129" s="7">
        <v>1</v>
      </c>
      <c r="D129" s="7">
        <v>3</v>
      </c>
      <c r="E129" s="11">
        <v>15</v>
      </c>
      <c r="F129" s="7">
        <v>100</v>
      </c>
      <c r="G129" s="7">
        <v>100</v>
      </c>
      <c r="H129" s="7">
        <v>3</v>
      </c>
      <c r="I129" s="7">
        <v>3</v>
      </c>
      <c r="J129" s="7">
        <v>17</v>
      </c>
      <c r="K129" s="7">
        <v>4</v>
      </c>
      <c r="L129" s="7">
        <v>2</v>
      </c>
    </row>
    <row r="130" spans="1:12" x14ac:dyDescent="0.3">
      <c r="A130" t="s">
        <v>2207</v>
      </c>
      <c r="B130" s="7">
        <v>4</v>
      </c>
      <c r="C130" s="7">
        <v>1</v>
      </c>
      <c r="D130" s="3">
        <v>3</v>
      </c>
      <c r="E130" s="3">
        <v>3</v>
      </c>
      <c r="F130" s="3">
        <v>100</v>
      </c>
      <c r="G130" s="3">
        <v>100</v>
      </c>
      <c r="H130" s="7">
        <v>3</v>
      </c>
      <c r="I130" s="7">
        <v>3</v>
      </c>
      <c r="J130" s="7">
        <v>17</v>
      </c>
      <c r="K130" s="7">
        <v>4</v>
      </c>
      <c r="L130" s="7">
        <v>2</v>
      </c>
    </row>
    <row r="131" spans="1:12" x14ac:dyDescent="0.3">
      <c r="A131" s="6" t="s">
        <v>145</v>
      </c>
      <c r="B131" s="7">
        <v>17</v>
      </c>
      <c r="C131" s="7">
        <v>1</v>
      </c>
      <c r="D131" s="11">
        <v>6</v>
      </c>
      <c r="E131" s="11">
        <v>15</v>
      </c>
      <c r="F131" s="11">
        <v>2</v>
      </c>
      <c r="G131" s="11">
        <v>3</v>
      </c>
      <c r="H131" s="7">
        <v>3</v>
      </c>
      <c r="I131" s="7">
        <v>3</v>
      </c>
      <c r="J131" s="7">
        <v>17</v>
      </c>
      <c r="K131" s="7">
        <v>4</v>
      </c>
      <c r="L131" s="11">
        <v>1</v>
      </c>
    </row>
    <row r="132" spans="1:12" x14ac:dyDescent="0.3">
      <c r="A132" t="s">
        <v>3071</v>
      </c>
      <c r="B132" s="7">
        <v>4</v>
      </c>
      <c r="C132" s="7">
        <v>1</v>
      </c>
      <c r="D132" s="3">
        <v>8</v>
      </c>
      <c r="E132" s="3">
        <v>4</v>
      </c>
      <c r="F132" s="11">
        <v>2</v>
      </c>
      <c r="G132" s="11">
        <v>4</v>
      </c>
      <c r="H132" s="11">
        <v>2</v>
      </c>
      <c r="I132" s="11">
        <v>3</v>
      </c>
      <c r="J132" s="11">
        <v>16</v>
      </c>
      <c r="K132" s="11">
        <v>3</v>
      </c>
      <c r="L132" s="7">
        <v>2</v>
      </c>
    </row>
    <row r="133" spans="1:12" x14ac:dyDescent="0.3">
      <c r="A133" t="s">
        <v>1867</v>
      </c>
      <c r="B133" s="7">
        <v>8</v>
      </c>
      <c r="C133" s="7">
        <v>1</v>
      </c>
      <c r="D133" s="3">
        <v>9</v>
      </c>
      <c r="E133" s="3">
        <v>1</v>
      </c>
      <c r="F133" s="3">
        <v>1</v>
      </c>
      <c r="G133" s="3">
        <v>2</v>
      </c>
      <c r="H133" s="7">
        <v>2</v>
      </c>
      <c r="I133" s="7">
        <v>3</v>
      </c>
      <c r="J133" s="7">
        <v>16</v>
      </c>
      <c r="K133" s="7">
        <v>4</v>
      </c>
      <c r="L133" s="7">
        <v>2</v>
      </c>
    </row>
    <row r="134" spans="1:12" x14ac:dyDescent="0.3">
      <c r="A134" t="s">
        <v>2900</v>
      </c>
      <c r="B134" s="7">
        <v>10</v>
      </c>
      <c r="C134" s="7">
        <v>1</v>
      </c>
      <c r="D134" s="3">
        <v>3</v>
      </c>
      <c r="E134" s="3">
        <v>3</v>
      </c>
      <c r="F134" s="11">
        <v>2</v>
      </c>
      <c r="G134" s="11">
        <v>3</v>
      </c>
      <c r="H134" s="7">
        <v>1</v>
      </c>
      <c r="I134" s="7">
        <v>2</v>
      </c>
      <c r="J134" s="7">
        <v>16</v>
      </c>
      <c r="K134" s="7">
        <v>5</v>
      </c>
      <c r="L134" s="7">
        <v>2</v>
      </c>
    </row>
    <row r="135" spans="1:12" x14ac:dyDescent="0.3">
      <c r="A135" t="s">
        <v>1541</v>
      </c>
      <c r="B135" s="7">
        <v>12</v>
      </c>
      <c r="C135" s="7">
        <v>1</v>
      </c>
      <c r="D135" s="3">
        <v>3</v>
      </c>
      <c r="E135" s="3">
        <v>1</v>
      </c>
      <c r="F135" s="3">
        <v>1</v>
      </c>
      <c r="G135" s="3">
        <v>2</v>
      </c>
      <c r="H135" s="3">
        <v>3</v>
      </c>
      <c r="I135" s="3">
        <v>3</v>
      </c>
      <c r="J135" s="3">
        <v>17</v>
      </c>
      <c r="K135" s="3">
        <v>4</v>
      </c>
      <c r="L135" s="7">
        <v>2</v>
      </c>
    </row>
    <row r="136" spans="1:12" x14ac:dyDescent="0.3">
      <c r="A136" t="s">
        <v>1398</v>
      </c>
      <c r="B136" s="7">
        <v>13</v>
      </c>
      <c r="C136" s="7">
        <v>1</v>
      </c>
      <c r="D136" s="3">
        <v>6</v>
      </c>
      <c r="E136" s="3">
        <v>9</v>
      </c>
      <c r="F136" s="3">
        <v>3</v>
      </c>
      <c r="G136" s="3">
        <v>3</v>
      </c>
      <c r="H136" s="3">
        <v>2</v>
      </c>
      <c r="I136" s="3">
        <v>3</v>
      </c>
      <c r="J136" s="3">
        <v>16</v>
      </c>
      <c r="K136" s="3">
        <v>4</v>
      </c>
      <c r="L136" s="3">
        <v>1</v>
      </c>
    </row>
    <row r="137" spans="1:12" x14ac:dyDescent="0.3">
      <c r="A137" t="s">
        <v>2377</v>
      </c>
      <c r="B137" s="7">
        <v>3</v>
      </c>
      <c r="C137" s="7">
        <v>1</v>
      </c>
      <c r="D137" s="3">
        <v>1</v>
      </c>
      <c r="E137" s="3">
        <v>5</v>
      </c>
      <c r="F137" s="3">
        <v>3</v>
      </c>
      <c r="G137" s="3">
        <v>4</v>
      </c>
      <c r="H137" s="7">
        <v>3</v>
      </c>
      <c r="I137" s="7">
        <v>3</v>
      </c>
      <c r="J137" s="7">
        <v>17</v>
      </c>
      <c r="K137" s="7">
        <v>4</v>
      </c>
      <c r="L137" s="3">
        <v>1</v>
      </c>
    </row>
    <row r="138" spans="1:12" x14ac:dyDescent="0.3">
      <c r="A138" t="s">
        <v>2178</v>
      </c>
      <c r="B138" s="7">
        <v>4</v>
      </c>
      <c r="C138" s="7">
        <v>1</v>
      </c>
      <c r="D138" s="3">
        <v>1</v>
      </c>
      <c r="E138" s="3">
        <v>4</v>
      </c>
      <c r="F138" s="3">
        <v>1</v>
      </c>
      <c r="G138" s="3">
        <v>1</v>
      </c>
      <c r="H138" s="7">
        <v>1</v>
      </c>
      <c r="I138" s="7">
        <v>3</v>
      </c>
      <c r="J138" s="7">
        <v>1</v>
      </c>
      <c r="K138" s="7">
        <v>5</v>
      </c>
      <c r="L138" s="7">
        <v>2</v>
      </c>
    </row>
    <row r="139" spans="1:12" x14ac:dyDescent="0.3">
      <c r="A139" t="s">
        <v>2184</v>
      </c>
      <c r="B139" s="7">
        <v>4</v>
      </c>
      <c r="C139" s="7">
        <v>1</v>
      </c>
      <c r="D139" s="3">
        <v>1</v>
      </c>
      <c r="E139" s="3">
        <v>4</v>
      </c>
      <c r="F139" s="3">
        <v>100</v>
      </c>
      <c r="G139" s="3">
        <v>100</v>
      </c>
      <c r="H139" s="7">
        <v>3</v>
      </c>
      <c r="I139" s="7">
        <v>3</v>
      </c>
      <c r="J139" s="7">
        <v>17</v>
      </c>
      <c r="K139" s="7">
        <v>4</v>
      </c>
      <c r="L139" s="7">
        <v>2</v>
      </c>
    </row>
    <row r="140" spans="1:12" x14ac:dyDescent="0.3">
      <c r="A140" t="s">
        <v>1194</v>
      </c>
      <c r="B140" s="7">
        <v>13</v>
      </c>
      <c r="C140" s="7">
        <v>1</v>
      </c>
      <c r="D140" s="11">
        <v>3</v>
      </c>
      <c r="E140" s="3">
        <v>2</v>
      </c>
      <c r="F140" s="3">
        <v>1</v>
      </c>
      <c r="G140" s="3">
        <v>2</v>
      </c>
      <c r="H140" s="7">
        <v>3</v>
      </c>
      <c r="I140" s="7">
        <v>3</v>
      </c>
      <c r="J140" s="7">
        <v>17</v>
      </c>
      <c r="K140" s="7">
        <v>4</v>
      </c>
      <c r="L140" s="11">
        <v>2</v>
      </c>
    </row>
    <row r="141" spans="1:12" x14ac:dyDescent="0.3">
      <c r="A141" s="6" t="s">
        <v>1023</v>
      </c>
      <c r="B141" s="7">
        <v>14</v>
      </c>
      <c r="C141" s="7">
        <v>1</v>
      </c>
      <c r="D141" s="11">
        <v>3</v>
      </c>
      <c r="E141" s="11">
        <v>2</v>
      </c>
      <c r="F141" s="11">
        <v>100</v>
      </c>
      <c r="G141" s="11">
        <v>100</v>
      </c>
      <c r="H141" s="7">
        <v>3</v>
      </c>
      <c r="I141" s="7">
        <v>3</v>
      </c>
      <c r="J141" s="7">
        <v>17</v>
      </c>
      <c r="K141" s="7">
        <v>4</v>
      </c>
      <c r="L141" s="11">
        <v>2</v>
      </c>
    </row>
    <row r="142" spans="1:12" x14ac:dyDescent="0.3">
      <c r="A142" t="s">
        <v>1352</v>
      </c>
      <c r="B142" s="7">
        <v>13</v>
      </c>
      <c r="C142" s="7">
        <v>1</v>
      </c>
      <c r="D142" s="3">
        <v>3</v>
      </c>
      <c r="E142" s="3">
        <v>1</v>
      </c>
      <c r="F142" s="3">
        <v>1</v>
      </c>
      <c r="G142" s="3">
        <v>100</v>
      </c>
      <c r="H142" s="7">
        <v>3</v>
      </c>
      <c r="I142" s="7">
        <v>3</v>
      </c>
      <c r="J142" s="7">
        <v>17</v>
      </c>
      <c r="K142" s="7">
        <v>4</v>
      </c>
      <c r="L142" s="11">
        <v>2</v>
      </c>
    </row>
    <row r="143" spans="1:12" x14ac:dyDescent="0.3">
      <c r="A143" s="6" t="s">
        <v>95</v>
      </c>
      <c r="B143" s="7">
        <v>17</v>
      </c>
      <c r="C143" s="7">
        <v>1</v>
      </c>
      <c r="D143" s="11">
        <v>8</v>
      </c>
      <c r="E143" s="7">
        <v>4</v>
      </c>
      <c r="F143" s="7">
        <v>2</v>
      </c>
      <c r="G143" s="7">
        <v>5</v>
      </c>
      <c r="H143" s="7">
        <v>2</v>
      </c>
      <c r="I143" s="7">
        <v>2</v>
      </c>
      <c r="J143" s="7">
        <v>16</v>
      </c>
      <c r="K143" s="7">
        <v>3</v>
      </c>
      <c r="L143" s="7">
        <v>2</v>
      </c>
    </row>
    <row r="144" spans="1:12" x14ac:dyDescent="0.3">
      <c r="A144" t="s">
        <v>1442</v>
      </c>
      <c r="B144" s="7">
        <v>12</v>
      </c>
      <c r="C144" s="7">
        <v>1</v>
      </c>
      <c r="D144" s="11">
        <v>8</v>
      </c>
      <c r="E144" s="11">
        <v>4</v>
      </c>
      <c r="F144" s="11">
        <v>1</v>
      </c>
      <c r="G144" s="11">
        <v>1</v>
      </c>
      <c r="H144" s="11">
        <v>2</v>
      </c>
      <c r="I144" s="11">
        <v>2</v>
      </c>
      <c r="J144" s="11">
        <v>16</v>
      </c>
      <c r="K144" s="11">
        <v>3</v>
      </c>
      <c r="L144" s="7">
        <v>2</v>
      </c>
    </row>
    <row r="145" spans="1:13" x14ac:dyDescent="0.3">
      <c r="A145" t="s">
        <v>2116</v>
      </c>
      <c r="B145" s="7">
        <v>3</v>
      </c>
      <c r="C145" s="7">
        <v>1</v>
      </c>
      <c r="D145" s="3">
        <v>5</v>
      </c>
      <c r="E145" s="3">
        <v>2</v>
      </c>
      <c r="F145" s="3">
        <v>1</v>
      </c>
      <c r="G145" s="3">
        <v>1</v>
      </c>
      <c r="H145" s="7">
        <v>2</v>
      </c>
      <c r="I145" s="7">
        <v>3</v>
      </c>
      <c r="J145" s="7">
        <v>17</v>
      </c>
      <c r="K145" s="7">
        <v>3</v>
      </c>
      <c r="L145" s="7">
        <v>2</v>
      </c>
    </row>
    <row r="146" spans="1:13" x14ac:dyDescent="0.3">
      <c r="A146" t="s">
        <v>2887</v>
      </c>
      <c r="B146" s="7">
        <v>11</v>
      </c>
      <c r="C146" s="7">
        <v>1</v>
      </c>
      <c r="D146" s="3">
        <v>3</v>
      </c>
      <c r="E146" s="3">
        <v>15</v>
      </c>
      <c r="F146" s="3">
        <v>1</v>
      </c>
      <c r="G146" s="3">
        <v>100</v>
      </c>
      <c r="H146" s="7">
        <v>1</v>
      </c>
      <c r="I146" s="7">
        <v>3</v>
      </c>
      <c r="J146" s="7">
        <v>3</v>
      </c>
      <c r="K146" s="7">
        <v>5</v>
      </c>
      <c r="L146" s="7">
        <v>2</v>
      </c>
    </row>
    <row r="147" spans="1:13" x14ac:dyDescent="0.3">
      <c r="A147" t="s">
        <v>2402</v>
      </c>
      <c r="B147" s="7">
        <v>1</v>
      </c>
      <c r="C147" s="7">
        <v>1</v>
      </c>
      <c r="D147" s="3">
        <v>3</v>
      </c>
      <c r="E147" s="3">
        <v>1</v>
      </c>
      <c r="F147" s="11">
        <v>1</v>
      </c>
      <c r="G147" s="11">
        <v>1</v>
      </c>
      <c r="H147" s="7">
        <v>1</v>
      </c>
      <c r="I147" s="7">
        <v>3</v>
      </c>
      <c r="J147" s="7">
        <v>1</v>
      </c>
      <c r="K147" s="7">
        <v>5</v>
      </c>
      <c r="L147" s="7">
        <v>2</v>
      </c>
      <c r="M147" s="6"/>
    </row>
    <row r="148" spans="1:13" x14ac:dyDescent="0.3">
      <c r="A148" t="s">
        <v>1913</v>
      </c>
      <c r="B148" s="7">
        <v>8</v>
      </c>
      <c r="C148" s="7">
        <v>1</v>
      </c>
      <c r="D148" s="3">
        <v>6</v>
      </c>
      <c r="E148" s="3">
        <v>5</v>
      </c>
      <c r="F148" s="3">
        <v>3</v>
      </c>
      <c r="G148" s="3">
        <v>3</v>
      </c>
      <c r="H148" s="3">
        <v>1</v>
      </c>
      <c r="I148" s="3">
        <v>1</v>
      </c>
      <c r="J148" s="3">
        <v>12</v>
      </c>
      <c r="K148" s="3">
        <v>1</v>
      </c>
      <c r="L148" s="3">
        <v>1</v>
      </c>
    </row>
    <row r="149" spans="1:13" x14ac:dyDescent="0.3">
      <c r="A149" t="s">
        <v>2248</v>
      </c>
      <c r="B149" s="7">
        <v>4</v>
      </c>
      <c r="C149" s="7">
        <v>1</v>
      </c>
      <c r="D149" s="3">
        <v>3</v>
      </c>
      <c r="E149" s="3">
        <v>4</v>
      </c>
      <c r="F149" s="3">
        <v>1</v>
      </c>
      <c r="G149" s="3">
        <v>1</v>
      </c>
      <c r="H149" s="7">
        <v>3</v>
      </c>
      <c r="I149" s="7">
        <v>3</v>
      </c>
      <c r="J149" s="7">
        <v>17</v>
      </c>
      <c r="K149" s="7">
        <v>4</v>
      </c>
      <c r="L149" s="7">
        <v>2</v>
      </c>
    </row>
    <row r="150" spans="1:13" x14ac:dyDescent="0.3">
      <c r="A150" t="s">
        <v>2381</v>
      </c>
      <c r="B150" s="7">
        <v>2</v>
      </c>
      <c r="C150" s="7">
        <v>1</v>
      </c>
      <c r="D150" s="11">
        <v>3</v>
      </c>
      <c r="E150" s="11">
        <v>4</v>
      </c>
      <c r="F150" s="11">
        <v>1</v>
      </c>
      <c r="G150" s="11">
        <v>1</v>
      </c>
      <c r="H150" s="7">
        <v>3</v>
      </c>
      <c r="I150" s="7">
        <v>3</v>
      </c>
      <c r="J150" s="7">
        <v>17</v>
      </c>
      <c r="K150" s="7">
        <v>4</v>
      </c>
      <c r="L150" s="11">
        <v>2</v>
      </c>
    </row>
    <row r="151" spans="1:13" x14ac:dyDescent="0.3">
      <c r="A151" t="s">
        <v>2829</v>
      </c>
      <c r="B151" s="7">
        <v>12</v>
      </c>
      <c r="C151" s="7">
        <v>1</v>
      </c>
      <c r="D151" s="3">
        <v>3</v>
      </c>
      <c r="E151" s="3">
        <v>1</v>
      </c>
      <c r="F151" s="3">
        <v>1</v>
      </c>
      <c r="G151" s="3">
        <v>2</v>
      </c>
      <c r="H151" s="3">
        <v>2</v>
      </c>
      <c r="I151" s="3">
        <v>3</v>
      </c>
      <c r="J151" s="3">
        <v>16</v>
      </c>
      <c r="K151" s="3">
        <v>3</v>
      </c>
      <c r="L151" s="11">
        <v>2</v>
      </c>
    </row>
    <row r="152" spans="1:13" x14ac:dyDescent="0.3">
      <c r="A152" t="s">
        <v>2797</v>
      </c>
      <c r="B152" s="7">
        <v>12</v>
      </c>
      <c r="C152" s="7">
        <v>1</v>
      </c>
      <c r="D152" s="3">
        <v>3</v>
      </c>
      <c r="E152" s="3">
        <v>4</v>
      </c>
      <c r="F152" s="3">
        <v>100</v>
      </c>
      <c r="G152" s="3">
        <v>100</v>
      </c>
      <c r="H152" s="3">
        <v>3</v>
      </c>
      <c r="I152" s="3">
        <v>3</v>
      </c>
      <c r="J152" s="3">
        <v>17</v>
      </c>
      <c r="K152" s="3">
        <v>4</v>
      </c>
      <c r="L152" s="11">
        <v>2</v>
      </c>
    </row>
    <row r="153" spans="1:13" x14ac:dyDescent="0.3">
      <c r="A153" s="6" t="s">
        <v>747</v>
      </c>
      <c r="B153" s="7">
        <v>15</v>
      </c>
      <c r="C153" s="7">
        <v>1</v>
      </c>
      <c r="D153" s="7">
        <v>5</v>
      </c>
      <c r="E153" s="11">
        <v>4</v>
      </c>
      <c r="F153" s="11">
        <v>1</v>
      </c>
      <c r="G153" s="11">
        <v>2</v>
      </c>
      <c r="H153" s="11">
        <v>1</v>
      </c>
      <c r="I153" s="11">
        <v>3</v>
      </c>
      <c r="J153" s="11">
        <v>2</v>
      </c>
      <c r="K153" s="11">
        <v>5</v>
      </c>
      <c r="L153" s="11">
        <v>2</v>
      </c>
    </row>
    <row r="154" spans="1:13" x14ac:dyDescent="0.3">
      <c r="A154" t="s">
        <v>2271</v>
      </c>
      <c r="B154" s="7">
        <v>5</v>
      </c>
      <c r="C154" s="7">
        <v>1</v>
      </c>
      <c r="D154" s="3">
        <v>3</v>
      </c>
      <c r="E154" s="3">
        <v>15</v>
      </c>
      <c r="F154" s="3">
        <v>1</v>
      </c>
      <c r="G154" s="3">
        <v>1</v>
      </c>
      <c r="H154" s="7">
        <v>2</v>
      </c>
      <c r="I154" s="7">
        <v>2</v>
      </c>
      <c r="J154" s="7">
        <v>17</v>
      </c>
      <c r="K154" s="7">
        <v>4</v>
      </c>
      <c r="L154" s="7">
        <v>2</v>
      </c>
    </row>
    <row r="155" spans="1:13" x14ac:dyDescent="0.3">
      <c r="A155" t="s">
        <v>2351</v>
      </c>
      <c r="B155" s="7">
        <v>3</v>
      </c>
      <c r="C155" s="7">
        <v>1</v>
      </c>
      <c r="D155" s="3">
        <v>3</v>
      </c>
      <c r="E155" s="3">
        <v>2</v>
      </c>
      <c r="F155" s="3">
        <v>100</v>
      </c>
      <c r="G155" s="3">
        <v>100</v>
      </c>
      <c r="H155" s="7">
        <v>3</v>
      </c>
      <c r="I155" s="7">
        <v>3</v>
      </c>
      <c r="J155" s="7">
        <v>17</v>
      </c>
      <c r="K155" s="7">
        <v>4</v>
      </c>
      <c r="L155" s="11">
        <v>2</v>
      </c>
    </row>
    <row r="156" spans="1:13" x14ac:dyDescent="0.3">
      <c r="A156" s="6" t="s">
        <v>920</v>
      </c>
      <c r="B156" s="7">
        <v>15</v>
      </c>
      <c r="C156" s="7">
        <v>1</v>
      </c>
      <c r="D156" s="7">
        <v>3</v>
      </c>
      <c r="E156" s="11">
        <v>9</v>
      </c>
      <c r="F156" s="11">
        <v>1</v>
      </c>
      <c r="G156" s="11">
        <v>2</v>
      </c>
      <c r="H156" s="11">
        <v>1</v>
      </c>
      <c r="I156" s="11">
        <v>3</v>
      </c>
      <c r="J156" s="11">
        <v>1</v>
      </c>
      <c r="K156" s="11">
        <v>5</v>
      </c>
      <c r="L156" s="7">
        <v>1</v>
      </c>
    </row>
    <row r="157" spans="1:13" x14ac:dyDescent="0.3">
      <c r="A157" t="s">
        <v>2413</v>
      </c>
      <c r="B157" s="7">
        <v>1</v>
      </c>
      <c r="C157" s="7">
        <v>1</v>
      </c>
      <c r="D157" s="3">
        <v>8</v>
      </c>
      <c r="E157" s="3">
        <v>1</v>
      </c>
      <c r="F157" s="3">
        <v>3</v>
      </c>
      <c r="G157" s="3">
        <v>4</v>
      </c>
      <c r="H157" s="7">
        <v>2</v>
      </c>
      <c r="I157" s="7">
        <v>3</v>
      </c>
      <c r="J157" s="7">
        <v>16</v>
      </c>
      <c r="K157" s="7">
        <v>4</v>
      </c>
      <c r="L157" s="7">
        <v>2</v>
      </c>
    </row>
    <row r="158" spans="1:13" x14ac:dyDescent="0.3">
      <c r="A158" t="s">
        <v>2342</v>
      </c>
      <c r="B158" s="7">
        <v>3</v>
      </c>
      <c r="C158" s="7">
        <v>1</v>
      </c>
      <c r="D158" s="3">
        <v>8</v>
      </c>
      <c r="E158" s="3">
        <v>15</v>
      </c>
      <c r="F158" s="3">
        <v>3</v>
      </c>
      <c r="G158" s="3">
        <v>4</v>
      </c>
      <c r="H158" s="3">
        <v>2</v>
      </c>
      <c r="I158" s="3">
        <v>3</v>
      </c>
      <c r="J158" s="3">
        <v>16</v>
      </c>
      <c r="K158" s="3">
        <v>4</v>
      </c>
      <c r="L158" s="7">
        <v>2</v>
      </c>
    </row>
    <row r="159" spans="1:13" x14ac:dyDescent="0.3">
      <c r="A159" t="s">
        <v>1429</v>
      </c>
      <c r="B159" s="7">
        <v>13</v>
      </c>
      <c r="C159" s="7">
        <v>1</v>
      </c>
      <c r="D159" s="11">
        <v>8</v>
      </c>
      <c r="E159" s="11">
        <v>4</v>
      </c>
      <c r="F159" s="11">
        <v>100</v>
      </c>
      <c r="G159" s="11">
        <v>100</v>
      </c>
      <c r="H159" s="11">
        <v>3</v>
      </c>
      <c r="I159" s="11">
        <v>3</v>
      </c>
      <c r="J159" s="11">
        <v>17</v>
      </c>
      <c r="K159" s="11">
        <v>3</v>
      </c>
      <c r="L159" s="7">
        <v>2</v>
      </c>
    </row>
    <row r="160" spans="1:13" x14ac:dyDescent="0.3">
      <c r="A160" t="s">
        <v>1429</v>
      </c>
      <c r="B160" s="7">
        <v>10</v>
      </c>
      <c r="C160" s="7">
        <v>1</v>
      </c>
      <c r="D160" s="11">
        <v>8</v>
      </c>
      <c r="E160" s="11">
        <v>4</v>
      </c>
      <c r="F160" s="11">
        <v>1</v>
      </c>
      <c r="G160" s="11">
        <v>2</v>
      </c>
      <c r="H160" s="7">
        <v>1</v>
      </c>
      <c r="I160" s="7">
        <v>3</v>
      </c>
      <c r="J160" s="7">
        <v>3</v>
      </c>
      <c r="K160" s="7">
        <v>5</v>
      </c>
      <c r="L160" s="7">
        <v>2</v>
      </c>
    </row>
    <row r="161" spans="1:12" x14ac:dyDescent="0.3">
      <c r="A161" s="6" t="s">
        <v>990</v>
      </c>
      <c r="B161" s="7">
        <v>14</v>
      </c>
      <c r="C161" s="7">
        <v>1</v>
      </c>
      <c r="D161" s="7">
        <v>8</v>
      </c>
      <c r="E161" s="11">
        <v>4</v>
      </c>
      <c r="F161" s="7">
        <v>1</v>
      </c>
      <c r="G161" s="7">
        <v>1</v>
      </c>
      <c r="H161" s="11">
        <v>2</v>
      </c>
      <c r="I161" s="11">
        <v>2</v>
      </c>
      <c r="J161" s="11">
        <v>16</v>
      </c>
      <c r="K161" s="11">
        <v>3</v>
      </c>
      <c r="L161" s="7">
        <v>2</v>
      </c>
    </row>
    <row r="162" spans="1:12" x14ac:dyDescent="0.3">
      <c r="A162" t="s">
        <v>1527</v>
      </c>
      <c r="B162" s="7">
        <v>12</v>
      </c>
      <c r="C162" s="7">
        <v>1</v>
      </c>
      <c r="D162" s="3">
        <v>5</v>
      </c>
      <c r="E162" s="3">
        <v>8</v>
      </c>
      <c r="F162" s="3">
        <v>1</v>
      </c>
      <c r="G162" s="3">
        <v>2</v>
      </c>
      <c r="H162" s="3">
        <v>2</v>
      </c>
      <c r="I162" s="3">
        <v>2</v>
      </c>
      <c r="J162" s="3">
        <v>16</v>
      </c>
      <c r="K162" s="3">
        <v>3</v>
      </c>
      <c r="L162" s="7">
        <v>2</v>
      </c>
    </row>
    <row r="163" spans="1:12" x14ac:dyDescent="0.3">
      <c r="A163" t="s">
        <v>1787</v>
      </c>
      <c r="B163" s="7">
        <v>9</v>
      </c>
      <c r="C163" s="7">
        <v>1</v>
      </c>
      <c r="D163" s="3">
        <v>3</v>
      </c>
      <c r="E163" s="3">
        <v>2</v>
      </c>
      <c r="F163" s="3">
        <v>100</v>
      </c>
      <c r="G163" s="3">
        <v>100</v>
      </c>
      <c r="H163" s="7">
        <v>3</v>
      </c>
      <c r="I163" s="7">
        <v>3</v>
      </c>
      <c r="J163" s="7">
        <v>17</v>
      </c>
      <c r="K163" s="7">
        <v>4</v>
      </c>
      <c r="L163" s="7">
        <v>2</v>
      </c>
    </row>
    <row r="164" spans="1:12" x14ac:dyDescent="0.3">
      <c r="A164" t="s">
        <v>2032</v>
      </c>
      <c r="B164" s="7">
        <v>7</v>
      </c>
      <c r="C164" s="7">
        <v>1</v>
      </c>
      <c r="D164" s="3">
        <v>3</v>
      </c>
      <c r="E164" s="3">
        <v>4</v>
      </c>
      <c r="F164" s="3">
        <v>1</v>
      </c>
      <c r="G164" s="3">
        <v>1</v>
      </c>
      <c r="H164" s="7">
        <v>1</v>
      </c>
      <c r="I164" s="7">
        <v>3</v>
      </c>
      <c r="J164" s="7">
        <v>1</v>
      </c>
      <c r="K164" s="7">
        <v>5</v>
      </c>
      <c r="L164" s="11">
        <v>2</v>
      </c>
    </row>
    <row r="165" spans="1:12" x14ac:dyDescent="0.3">
      <c r="A165" s="6" t="s">
        <v>722</v>
      </c>
      <c r="B165" s="7">
        <v>15</v>
      </c>
      <c r="C165" s="7">
        <v>1</v>
      </c>
      <c r="D165" s="11">
        <v>3</v>
      </c>
      <c r="E165" s="11">
        <v>4</v>
      </c>
      <c r="F165" s="7">
        <v>100</v>
      </c>
      <c r="G165" s="7">
        <v>100</v>
      </c>
      <c r="H165" s="7">
        <v>3</v>
      </c>
      <c r="I165" s="7">
        <v>3</v>
      </c>
      <c r="J165" s="7">
        <v>17</v>
      </c>
      <c r="K165" s="7">
        <v>4</v>
      </c>
      <c r="L165" s="7">
        <v>2</v>
      </c>
    </row>
    <row r="166" spans="1:12" x14ac:dyDescent="0.3">
      <c r="A166" s="6" t="s">
        <v>763</v>
      </c>
      <c r="B166" s="7">
        <v>15</v>
      </c>
      <c r="C166" s="7">
        <v>1</v>
      </c>
      <c r="D166" s="7">
        <v>3</v>
      </c>
      <c r="E166" s="11">
        <v>11</v>
      </c>
      <c r="F166" s="11">
        <v>1</v>
      </c>
      <c r="G166" s="11">
        <v>2</v>
      </c>
      <c r="H166" s="7">
        <v>3</v>
      </c>
      <c r="I166" s="7">
        <v>3</v>
      </c>
      <c r="J166" s="7">
        <v>17</v>
      </c>
      <c r="K166" s="7">
        <v>4</v>
      </c>
      <c r="L166" s="11">
        <v>2</v>
      </c>
    </row>
    <row r="167" spans="1:12" x14ac:dyDescent="0.3">
      <c r="A167" t="s">
        <v>1537</v>
      </c>
      <c r="B167" s="7">
        <v>12</v>
      </c>
      <c r="C167" s="7">
        <v>1</v>
      </c>
      <c r="D167" s="3">
        <v>3</v>
      </c>
      <c r="E167" s="3">
        <v>12</v>
      </c>
      <c r="F167" s="3">
        <v>1</v>
      </c>
      <c r="G167" s="3">
        <v>2</v>
      </c>
      <c r="H167" s="3">
        <v>1</v>
      </c>
      <c r="I167" s="3">
        <v>3</v>
      </c>
      <c r="J167" s="3">
        <v>3</v>
      </c>
      <c r="K167" s="3">
        <v>5</v>
      </c>
      <c r="L167" s="7">
        <v>2</v>
      </c>
    </row>
    <row r="168" spans="1:12" x14ac:dyDescent="0.3">
      <c r="A168" t="s">
        <v>1504</v>
      </c>
      <c r="B168" s="7">
        <v>12</v>
      </c>
      <c r="C168" s="7">
        <v>1</v>
      </c>
      <c r="D168" s="3">
        <v>3</v>
      </c>
      <c r="E168" s="3">
        <v>4</v>
      </c>
      <c r="F168" s="3">
        <v>1</v>
      </c>
      <c r="G168" s="3">
        <v>1</v>
      </c>
      <c r="H168" s="3">
        <v>1</v>
      </c>
      <c r="I168" s="3">
        <v>3</v>
      </c>
      <c r="J168" s="3">
        <v>1</v>
      </c>
      <c r="K168" s="3">
        <v>5</v>
      </c>
      <c r="L168" s="7">
        <v>2</v>
      </c>
    </row>
    <row r="169" spans="1:12" x14ac:dyDescent="0.3">
      <c r="A169" t="s">
        <v>2657</v>
      </c>
      <c r="B169" s="7">
        <v>14</v>
      </c>
      <c r="C169" s="7">
        <v>1</v>
      </c>
      <c r="D169" s="3">
        <v>1</v>
      </c>
      <c r="E169" s="3">
        <v>4</v>
      </c>
      <c r="F169" s="3">
        <v>100</v>
      </c>
      <c r="G169" s="3">
        <v>100</v>
      </c>
      <c r="H169" s="3">
        <v>3</v>
      </c>
      <c r="I169" s="3">
        <v>3</v>
      </c>
      <c r="J169" s="3">
        <v>17</v>
      </c>
      <c r="K169" s="3">
        <v>4</v>
      </c>
      <c r="L169" s="11">
        <v>2</v>
      </c>
    </row>
    <row r="170" spans="1:12" x14ac:dyDescent="0.3">
      <c r="A170" t="s">
        <v>3003</v>
      </c>
      <c r="B170" s="7">
        <v>7</v>
      </c>
      <c r="C170" s="7">
        <v>1</v>
      </c>
      <c r="D170" s="3">
        <v>6</v>
      </c>
      <c r="E170" s="3">
        <v>3</v>
      </c>
      <c r="F170" s="3">
        <v>100</v>
      </c>
      <c r="G170" s="3">
        <v>100</v>
      </c>
      <c r="H170" s="3">
        <v>2</v>
      </c>
      <c r="I170" s="3">
        <v>3</v>
      </c>
      <c r="J170" s="3">
        <v>11</v>
      </c>
      <c r="K170" s="3">
        <v>3</v>
      </c>
      <c r="L170" s="11">
        <v>2</v>
      </c>
    </row>
    <row r="171" spans="1:12" x14ac:dyDescent="0.3">
      <c r="A171" t="s">
        <v>2587</v>
      </c>
      <c r="B171" s="7">
        <v>15</v>
      </c>
      <c r="C171" s="7">
        <v>1</v>
      </c>
      <c r="D171" s="3">
        <v>3</v>
      </c>
      <c r="E171" s="3">
        <v>15</v>
      </c>
      <c r="F171" s="3">
        <v>100</v>
      </c>
      <c r="G171" s="3">
        <v>100</v>
      </c>
      <c r="H171" s="3">
        <v>3</v>
      </c>
      <c r="I171" s="3">
        <v>3</v>
      </c>
      <c r="J171" s="3">
        <v>17</v>
      </c>
      <c r="K171" s="3">
        <v>4</v>
      </c>
      <c r="L171" s="11">
        <v>2</v>
      </c>
    </row>
    <row r="172" spans="1:12" x14ac:dyDescent="0.3">
      <c r="A172" s="6" t="s">
        <v>620</v>
      </c>
      <c r="B172" s="7">
        <v>16</v>
      </c>
      <c r="C172" s="7">
        <v>1</v>
      </c>
      <c r="D172" s="11">
        <v>3</v>
      </c>
      <c r="E172" s="11">
        <v>4</v>
      </c>
      <c r="F172" s="11">
        <v>1</v>
      </c>
      <c r="G172" s="11">
        <v>2</v>
      </c>
      <c r="H172" s="7">
        <v>1</v>
      </c>
      <c r="I172" s="7">
        <v>3</v>
      </c>
      <c r="J172" s="7">
        <v>1</v>
      </c>
      <c r="K172" s="7">
        <v>5</v>
      </c>
      <c r="L172" s="11">
        <v>2</v>
      </c>
    </row>
    <row r="173" spans="1:12" x14ac:dyDescent="0.3">
      <c r="A173" s="6" t="s">
        <v>588</v>
      </c>
      <c r="B173" s="7">
        <v>16</v>
      </c>
      <c r="C173" s="7">
        <v>1</v>
      </c>
      <c r="D173" s="11">
        <v>3</v>
      </c>
      <c r="E173" s="11">
        <v>15</v>
      </c>
      <c r="F173" s="7">
        <v>100</v>
      </c>
      <c r="G173" s="7">
        <v>100</v>
      </c>
      <c r="H173" s="7">
        <v>3</v>
      </c>
      <c r="I173" s="7">
        <v>3</v>
      </c>
      <c r="J173" s="7">
        <v>17</v>
      </c>
      <c r="K173" s="7">
        <v>4</v>
      </c>
      <c r="L173" s="7">
        <v>2</v>
      </c>
    </row>
    <row r="174" spans="1:12" x14ac:dyDescent="0.3">
      <c r="A174" t="s">
        <v>1434</v>
      </c>
      <c r="B174" s="7">
        <v>13</v>
      </c>
      <c r="C174" s="7">
        <v>1</v>
      </c>
      <c r="D174" s="11">
        <v>3</v>
      </c>
      <c r="E174" s="11">
        <v>8</v>
      </c>
      <c r="F174" s="11">
        <v>1</v>
      </c>
      <c r="G174" s="11">
        <v>1</v>
      </c>
      <c r="H174" s="11">
        <v>2</v>
      </c>
      <c r="I174" s="11">
        <v>2</v>
      </c>
      <c r="J174" s="11">
        <v>16</v>
      </c>
      <c r="K174" s="11">
        <v>3</v>
      </c>
      <c r="L174" s="11">
        <v>2</v>
      </c>
    </row>
    <row r="175" spans="1:12" x14ac:dyDescent="0.3">
      <c r="A175" s="6" t="s">
        <v>1127</v>
      </c>
      <c r="B175" s="7">
        <v>13</v>
      </c>
      <c r="C175" s="7">
        <v>1</v>
      </c>
      <c r="D175" s="3">
        <v>8</v>
      </c>
      <c r="E175" s="3">
        <v>15</v>
      </c>
      <c r="F175" s="3">
        <v>5</v>
      </c>
      <c r="G175" s="3">
        <v>3</v>
      </c>
      <c r="H175" s="3">
        <v>1</v>
      </c>
      <c r="I175" s="3">
        <v>3</v>
      </c>
      <c r="J175" s="3">
        <v>1</v>
      </c>
      <c r="K175" s="3">
        <v>5</v>
      </c>
      <c r="L175" s="7">
        <v>2</v>
      </c>
    </row>
    <row r="176" spans="1:12" x14ac:dyDescent="0.3">
      <c r="A176" s="6" t="s">
        <v>1216</v>
      </c>
      <c r="B176" s="7">
        <v>13</v>
      </c>
      <c r="C176" s="7">
        <v>1</v>
      </c>
      <c r="D176" s="3">
        <v>3</v>
      </c>
      <c r="E176" s="3">
        <v>8</v>
      </c>
      <c r="F176" s="3">
        <v>1</v>
      </c>
      <c r="G176" s="3">
        <v>2</v>
      </c>
      <c r="H176" s="3">
        <v>3</v>
      </c>
      <c r="I176" s="3">
        <v>3</v>
      </c>
      <c r="J176" s="3">
        <v>17</v>
      </c>
      <c r="K176" s="3">
        <v>4</v>
      </c>
      <c r="L176" s="11">
        <v>2</v>
      </c>
    </row>
    <row r="177" spans="1:12" x14ac:dyDescent="0.3">
      <c r="A177" s="6" t="s">
        <v>971</v>
      </c>
      <c r="B177" s="7">
        <v>14</v>
      </c>
      <c r="C177" s="7">
        <v>1</v>
      </c>
      <c r="D177" s="7">
        <v>8</v>
      </c>
      <c r="E177" s="11">
        <v>1</v>
      </c>
      <c r="F177" s="11">
        <v>1</v>
      </c>
      <c r="G177" s="11">
        <v>2</v>
      </c>
      <c r="H177" s="7">
        <v>2</v>
      </c>
      <c r="I177" s="7">
        <v>3</v>
      </c>
      <c r="J177" s="7">
        <v>16</v>
      </c>
      <c r="K177" s="7">
        <v>4</v>
      </c>
      <c r="L177" s="7">
        <v>2</v>
      </c>
    </row>
    <row r="178" spans="1:12" x14ac:dyDescent="0.3">
      <c r="A178" t="s">
        <v>3006</v>
      </c>
      <c r="B178" s="7">
        <v>9</v>
      </c>
      <c r="C178" s="7">
        <v>1</v>
      </c>
      <c r="D178" s="3">
        <v>3</v>
      </c>
      <c r="E178" s="3">
        <v>4</v>
      </c>
      <c r="F178" s="3">
        <v>1</v>
      </c>
      <c r="G178" s="3">
        <v>100</v>
      </c>
      <c r="H178" s="3">
        <v>3</v>
      </c>
      <c r="I178" s="3">
        <v>3</v>
      </c>
      <c r="J178" s="3">
        <v>17</v>
      </c>
      <c r="K178" s="3">
        <v>4</v>
      </c>
      <c r="L178" s="11">
        <v>2</v>
      </c>
    </row>
    <row r="179" spans="1:12" x14ac:dyDescent="0.3">
      <c r="A179" t="s">
        <v>3060</v>
      </c>
      <c r="B179" s="7">
        <v>2</v>
      </c>
      <c r="C179" s="7">
        <v>1</v>
      </c>
      <c r="D179" s="3">
        <v>3</v>
      </c>
      <c r="E179" s="3">
        <v>4</v>
      </c>
      <c r="F179" s="3">
        <v>1</v>
      </c>
      <c r="G179" s="3">
        <v>1</v>
      </c>
      <c r="H179" s="3">
        <v>3</v>
      </c>
      <c r="I179" s="3">
        <v>3</v>
      </c>
      <c r="J179" s="3">
        <v>17</v>
      </c>
      <c r="K179" s="3">
        <v>4</v>
      </c>
      <c r="L179" s="11">
        <v>2</v>
      </c>
    </row>
    <row r="180" spans="1:12" x14ac:dyDescent="0.3">
      <c r="A180" t="s">
        <v>2564</v>
      </c>
      <c r="B180" s="7">
        <v>16</v>
      </c>
      <c r="C180" s="7">
        <v>1</v>
      </c>
      <c r="D180" s="3">
        <v>3</v>
      </c>
      <c r="E180" s="3">
        <v>2</v>
      </c>
      <c r="F180" s="3">
        <v>1</v>
      </c>
      <c r="G180" s="11">
        <v>2</v>
      </c>
      <c r="H180" s="7">
        <v>1</v>
      </c>
      <c r="I180" s="7">
        <v>3</v>
      </c>
      <c r="J180" s="7">
        <v>1</v>
      </c>
      <c r="K180" s="7">
        <v>5</v>
      </c>
      <c r="L180" s="11">
        <v>2</v>
      </c>
    </row>
    <row r="181" spans="1:12" x14ac:dyDescent="0.3">
      <c r="A181" t="s">
        <v>1487</v>
      </c>
      <c r="B181" s="7">
        <v>12</v>
      </c>
      <c r="C181" s="7">
        <v>1</v>
      </c>
      <c r="D181" s="3">
        <v>3</v>
      </c>
      <c r="E181" s="3">
        <v>2</v>
      </c>
      <c r="F181" s="3">
        <v>1</v>
      </c>
      <c r="G181" s="3">
        <v>1</v>
      </c>
      <c r="H181" s="7">
        <v>3</v>
      </c>
      <c r="I181" s="7">
        <v>3</v>
      </c>
      <c r="J181" s="7">
        <v>17</v>
      </c>
      <c r="K181" s="7">
        <v>4</v>
      </c>
      <c r="L181" s="7">
        <v>2</v>
      </c>
    </row>
    <row r="182" spans="1:12" x14ac:dyDescent="0.3">
      <c r="A182" t="s">
        <v>1843</v>
      </c>
      <c r="B182" s="7">
        <v>8</v>
      </c>
      <c r="C182" s="7">
        <v>1</v>
      </c>
      <c r="D182" s="3">
        <v>7</v>
      </c>
      <c r="E182" s="3">
        <v>4</v>
      </c>
      <c r="F182" s="11">
        <v>1</v>
      </c>
      <c r="G182" s="11">
        <v>1</v>
      </c>
      <c r="H182" s="7">
        <v>3</v>
      </c>
      <c r="I182" s="7">
        <v>3</v>
      </c>
      <c r="J182" s="7">
        <v>17</v>
      </c>
      <c r="K182" s="7">
        <v>4</v>
      </c>
      <c r="L182" s="11">
        <v>2</v>
      </c>
    </row>
    <row r="183" spans="1:12" x14ac:dyDescent="0.3">
      <c r="A183" t="s">
        <v>1247</v>
      </c>
      <c r="B183" s="7">
        <v>13</v>
      </c>
      <c r="C183" s="7">
        <v>1</v>
      </c>
      <c r="D183" s="7">
        <v>8</v>
      </c>
      <c r="E183" s="11">
        <v>1</v>
      </c>
      <c r="F183" s="11">
        <v>2</v>
      </c>
      <c r="G183" s="11">
        <v>3</v>
      </c>
      <c r="H183" s="3">
        <v>1</v>
      </c>
      <c r="I183" s="3">
        <v>3</v>
      </c>
      <c r="J183" s="3">
        <v>1</v>
      </c>
      <c r="K183" s="3">
        <v>5</v>
      </c>
      <c r="L183" s="7">
        <v>2</v>
      </c>
    </row>
    <row r="184" spans="1:12" x14ac:dyDescent="0.3">
      <c r="A184" t="s">
        <v>2167</v>
      </c>
      <c r="B184" s="7">
        <v>4</v>
      </c>
      <c r="C184" s="7">
        <v>1</v>
      </c>
      <c r="D184" s="3">
        <v>3</v>
      </c>
      <c r="E184" s="3">
        <v>4</v>
      </c>
      <c r="F184" s="3">
        <v>1</v>
      </c>
      <c r="G184" s="3">
        <v>1</v>
      </c>
      <c r="H184" s="7">
        <v>3</v>
      </c>
      <c r="I184" s="7">
        <v>3</v>
      </c>
      <c r="J184" s="7">
        <v>17</v>
      </c>
      <c r="K184" s="7">
        <v>4</v>
      </c>
      <c r="L184" s="7">
        <v>2</v>
      </c>
    </row>
    <row r="185" spans="1:12" x14ac:dyDescent="0.3">
      <c r="A185" s="6" t="s">
        <v>819</v>
      </c>
      <c r="B185" s="7">
        <v>15</v>
      </c>
      <c r="C185" s="7">
        <v>1</v>
      </c>
      <c r="D185" s="7">
        <v>6</v>
      </c>
      <c r="E185" s="11">
        <v>2</v>
      </c>
      <c r="F185" s="7">
        <v>100</v>
      </c>
      <c r="G185" s="7">
        <v>100</v>
      </c>
      <c r="H185" s="7">
        <v>3</v>
      </c>
      <c r="I185" s="7">
        <v>3</v>
      </c>
      <c r="J185" s="7">
        <v>17</v>
      </c>
      <c r="K185" s="7">
        <v>4</v>
      </c>
      <c r="L185" s="7">
        <v>2</v>
      </c>
    </row>
    <row r="186" spans="1:12" x14ac:dyDescent="0.3">
      <c r="A186" t="s">
        <v>2427</v>
      </c>
      <c r="B186" s="7">
        <v>2</v>
      </c>
      <c r="C186" s="7">
        <v>1</v>
      </c>
      <c r="D186" s="3">
        <v>9</v>
      </c>
      <c r="E186" s="3">
        <v>1</v>
      </c>
      <c r="F186" s="11">
        <v>1</v>
      </c>
      <c r="G186" s="11">
        <v>1</v>
      </c>
      <c r="H186" s="7">
        <v>1</v>
      </c>
      <c r="I186" s="7">
        <v>3</v>
      </c>
      <c r="J186" s="7">
        <v>3</v>
      </c>
      <c r="K186" s="7">
        <v>5</v>
      </c>
      <c r="L186" s="7">
        <v>2</v>
      </c>
    </row>
    <row r="187" spans="1:12" x14ac:dyDescent="0.3">
      <c r="A187" t="s">
        <v>1673</v>
      </c>
      <c r="B187" s="7">
        <v>10</v>
      </c>
      <c r="C187" s="7">
        <v>1</v>
      </c>
      <c r="D187" s="3">
        <v>3</v>
      </c>
      <c r="E187" s="3">
        <v>9</v>
      </c>
      <c r="F187" s="3">
        <v>100</v>
      </c>
      <c r="G187" s="3">
        <v>100</v>
      </c>
      <c r="H187" s="7">
        <v>3</v>
      </c>
      <c r="I187" s="7">
        <v>3</v>
      </c>
      <c r="J187" s="7">
        <v>17</v>
      </c>
      <c r="K187" s="7">
        <v>4</v>
      </c>
      <c r="L187" s="7">
        <v>2</v>
      </c>
    </row>
    <row r="188" spans="1:12" x14ac:dyDescent="0.3">
      <c r="A188" t="s">
        <v>1650</v>
      </c>
      <c r="B188" s="7">
        <v>11</v>
      </c>
      <c r="C188" s="7">
        <v>1</v>
      </c>
      <c r="D188" s="3">
        <v>3</v>
      </c>
      <c r="E188" s="3">
        <v>1</v>
      </c>
      <c r="F188" s="3">
        <v>1</v>
      </c>
      <c r="G188" s="3">
        <v>100</v>
      </c>
      <c r="H188" s="11">
        <v>1</v>
      </c>
      <c r="I188" s="11">
        <v>3</v>
      </c>
      <c r="J188" s="11">
        <v>2</v>
      </c>
      <c r="K188" s="11">
        <v>5</v>
      </c>
      <c r="L188" s="7">
        <v>2</v>
      </c>
    </row>
    <row r="189" spans="1:12" x14ac:dyDescent="0.3">
      <c r="A189" t="s">
        <v>1685</v>
      </c>
      <c r="B189" s="7">
        <v>10</v>
      </c>
      <c r="C189" s="7">
        <v>1</v>
      </c>
      <c r="D189" s="11">
        <v>8</v>
      </c>
      <c r="E189" s="11">
        <v>8</v>
      </c>
      <c r="F189" s="11">
        <v>2</v>
      </c>
      <c r="G189" s="11">
        <v>5</v>
      </c>
      <c r="H189" s="11">
        <v>2</v>
      </c>
      <c r="I189" s="11">
        <v>3</v>
      </c>
      <c r="J189" s="11">
        <v>16</v>
      </c>
      <c r="K189" s="11">
        <v>4</v>
      </c>
      <c r="L189" s="7">
        <v>2</v>
      </c>
    </row>
    <row r="190" spans="1:12" x14ac:dyDescent="0.3">
      <c r="A190" t="s">
        <v>1881</v>
      </c>
      <c r="B190" s="7">
        <v>8</v>
      </c>
      <c r="C190" s="7">
        <v>1</v>
      </c>
      <c r="D190" s="11">
        <v>8</v>
      </c>
      <c r="E190" s="11">
        <v>4</v>
      </c>
      <c r="F190" s="11">
        <v>2</v>
      </c>
      <c r="G190" s="11">
        <v>4</v>
      </c>
      <c r="H190" s="11">
        <v>2</v>
      </c>
      <c r="I190" s="11">
        <v>3</v>
      </c>
      <c r="J190" s="11">
        <v>16</v>
      </c>
      <c r="K190" s="11">
        <v>4</v>
      </c>
      <c r="L190" s="7">
        <v>2</v>
      </c>
    </row>
    <row r="191" spans="1:12" x14ac:dyDescent="0.3">
      <c r="A191" t="s">
        <v>1403</v>
      </c>
      <c r="B191" s="7">
        <v>13</v>
      </c>
      <c r="C191" s="7">
        <v>1</v>
      </c>
      <c r="D191" s="3">
        <v>1</v>
      </c>
      <c r="E191" s="3">
        <v>11</v>
      </c>
      <c r="F191" s="3">
        <v>1</v>
      </c>
      <c r="G191" s="3">
        <v>2</v>
      </c>
      <c r="H191" s="7">
        <v>3</v>
      </c>
      <c r="I191" s="7">
        <v>3</v>
      </c>
      <c r="J191" s="7">
        <v>17</v>
      </c>
      <c r="K191" s="7">
        <v>4</v>
      </c>
      <c r="L191" s="11">
        <v>2</v>
      </c>
    </row>
    <row r="192" spans="1:12" x14ac:dyDescent="0.3">
      <c r="A192" t="s">
        <v>1407</v>
      </c>
      <c r="B192" s="7">
        <v>12</v>
      </c>
      <c r="C192" s="7">
        <v>1</v>
      </c>
      <c r="D192" s="3">
        <v>3</v>
      </c>
      <c r="E192" s="3">
        <v>4</v>
      </c>
      <c r="F192" s="3">
        <v>1</v>
      </c>
      <c r="G192" s="3">
        <v>2</v>
      </c>
      <c r="H192" s="7">
        <v>3</v>
      </c>
      <c r="I192" s="7">
        <v>3</v>
      </c>
      <c r="J192" s="7">
        <v>17</v>
      </c>
      <c r="K192" s="7">
        <v>4</v>
      </c>
      <c r="L192" s="11">
        <v>2</v>
      </c>
    </row>
    <row r="193" spans="1:12" x14ac:dyDescent="0.3">
      <c r="A193" t="s">
        <v>3068</v>
      </c>
      <c r="B193" s="7">
        <v>5</v>
      </c>
      <c r="C193" s="7">
        <v>1</v>
      </c>
      <c r="D193" s="3">
        <v>8</v>
      </c>
      <c r="E193" s="3">
        <v>1</v>
      </c>
      <c r="F193" s="3">
        <v>1</v>
      </c>
      <c r="G193" s="3">
        <v>2</v>
      </c>
      <c r="H193" s="7">
        <v>2</v>
      </c>
      <c r="I193" s="7">
        <v>3</v>
      </c>
      <c r="J193" s="7">
        <v>16</v>
      </c>
      <c r="K193" s="7">
        <v>4</v>
      </c>
      <c r="L193" s="7">
        <v>2</v>
      </c>
    </row>
    <row r="194" spans="1:12" x14ac:dyDescent="0.3">
      <c r="A194" s="6" t="s">
        <v>511</v>
      </c>
      <c r="B194" s="7">
        <v>16</v>
      </c>
      <c r="C194" s="7">
        <v>1</v>
      </c>
      <c r="D194" s="7">
        <v>3</v>
      </c>
      <c r="E194" s="11">
        <v>1</v>
      </c>
      <c r="F194" s="11">
        <v>1</v>
      </c>
      <c r="G194" s="11">
        <v>2</v>
      </c>
      <c r="H194" s="7">
        <v>3</v>
      </c>
      <c r="I194" s="7">
        <v>3</v>
      </c>
      <c r="J194" s="7">
        <v>17</v>
      </c>
      <c r="K194" s="7">
        <v>4</v>
      </c>
      <c r="L194" s="11">
        <v>2</v>
      </c>
    </row>
    <row r="195" spans="1:12" x14ac:dyDescent="0.3">
      <c r="A195" t="s">
        <v>1556</v>
      </c>
      <c r="B195" s="7">
        <v>12</v>
      </c>
      <c r="C195" s="7">
        <v>1</v>
      </c>
      <c r="D195" s="3">
        <v>1</v>
      </c>
      <c r="E195" s="3">
        <v>4</v>
      </c>
      <c r="F195" s="3">
        <v>1</v>
      </c>
      <c r="G195" s="3">
        <v>2</v>
      </c>
      <c r="H195" s="3">
        <v>3</v>
      </c>
      <c r="I195" s="3">
        <v>3</v>
      </c>
      <c r="J195" s="3">
        <v>17</v>
      </c>
      <c r="K195" s="3">
        <v>4</v>
      </c>
      <c r="L195" s="7">
        <v>2</v>
      </c>
    </row>
    <row r="196" spans="1:12" x14ac:dyDescent="0.3">
      <c r="A196" t="s">
        <v>2572</v>
      </c>
      <c r="B196" s="7">
        <v>15</v>
      </c>
      <c r="C196" s="7">
        <v>1</v>
      </c>
      <c r="D196" s="3">
        <v>3</v>
      </c>
      <c r="E196" s="3">
        <v>4</v>
      </c>
      <c r="F196" s="3">
        <v>1</v>
      </c>
      <c r="G196" s="11">
        <v>2</v>
      </c>
      <c r="H196" s="7">
        <v>1</v>
      </c>
      <c r="I196" s="7">
        <v>3</v>
      </c>
      <c r="J196" s="7">
        <v>1</v>
      </c>
      <c r="K196" s="7">
        <v>5</v>
      </c>
      <c r="L196" s="11">
        <v>2</v>
      </c>
    </row>
    <row r="197" spans="1:12" x14ac:dyDescent="0.3">
      <c r="A197" s="6" t="s">
        <v>894</v>
      </c>
      <c r="B197" s="7">
        <v>15</v>
      </c>
      <c r="C197" s="7">
        <v>1</v>
      </c>
      <c r="D197" s="11">
        <v>3</v>
      </c>
      <c r="E197" s="11">
        <v>4</v>
      </c>
      <c r="F197" s="11">
        <v>1</v>
      </c>
      <c r="G197" s="11">
        <v>2</v>
      </c>
      <c r="H197" s="7">
        <v>3</v>
      </c>
      <c r="I197" s="7">
        <v>3</v>
      </c>
      <c r="J197" s="7">
        <v>17</v>
      </c>
      <c r="K197" s="7">
        <v>4</v>
      </c>
      <c r="L197" s="11">
        <v>2</v>
      </c>
    </row>
    <row r="198" spans="1:12" x14ac:dyDescent="0.3">
      <c r="A198" t="s">
        <v>2971</v>
      </c>
      <c r="B198" s="7">
        <v>7</v>
      </c>
      <c r="C198" s="7">
        <v>1</v>
      </c>
      <c r="D198" s="3">
        <v>5</v>
      </c>
      <c r="E198" s="3">
        <v>15</v>
      </c>
      <c r="F198" s="3">
        <v>1</v>
      </c>
      <c r="G198" s="3">
        <v>1</v>
      </c>
      <c r="H198" s="3">
        <v>3</v>
      </c>
      <c r="I198" s="3">
        <v>3</v>
      </c>
      <c r="J198" s="3">
        <v>17</v>
      </c>
      <c r="K198" s="3">
        <v>4</v>
      </c>
      <c r="L198" s="7">
        <v>2</v>
      </c>
    </row>
    <row r="199" spans="1:12" x14ac:dyDescent="0.3">
      <c r="A199" s="6" t="s">
        <v>476</v>
      </c>
      <c r="B199" s="7">
        <v>16</v>
      </c>
      <c r="C199" s="7">
        <v>1</v>
      </c>
      <c r="D199" s="11">
        <v>3</v>
      </c>
      <c r="E199" s="11">
        <v>4</v>
      </c>
      <c r="F199" s="11">
        <v>1</v>
      </c>
      <c r="G199" s="11">
        <v>2</v>
      </c>
      <c r="H199" s="7">
        <v>1</v>
      </c>
      <c r="I199" s="7">
        <v>3</v>
      </c>
      <c r="J199" s="7">
        <v>1</v>
      </c>
      <c r="K199" s="7">
        <v>5</v>
      </c>
      <c r="L199" s="11">
        <v>2</v>
      </c>
    </row>
    <row r="200" spans="1:12" x14ac:dyDescent="0.3">
      <c r="A200" s="6" t="s">
        <v>1104</v>
      </c>
      <c r="B200" s="7">
        <v>14</v>
      </c>
      <c r="C200" s="7">
        <v>1</v>
      </c>
      <c r="D200" s="3">
        <v>3</v>
      </c>
      <c r="E200" s="11">
        <v>4</v>
      </c>
      <c r="F200" s="3">
        <v>1</v>
      </c>
      <c r="G200" s="3">
        <v>2</v>
      </c>
      <c r="H200" s="3">
        <v>1</v>
      </c>
      <c r="I200" s="3">
        <v>3</v>
      </c>
      <c r="J200" s="3">
        <v>1</v>
      </c>
      <c r="K200" s="3">
        <v>5</v>
      </c>
      <c r="L200" s="11">
        <v>2</v>
      </c>
    </row>
    <row r="201" spans="1:12" x14ac:dyDescent="0.3">
      <c r="A201" t="s">
        <v>1648</v>
      </c>
      <c r="B201" s="7">
        <v>10</v>
      </c>
      <c r="C201" s="7">
        <v>1</v>
      </c>
      <c r="D201" s="3">
        <v>6</v>
      </c>
      <c r="E201" s="3">
        <v>4</v>
      </c>
      <c r="F201" s="3">
        <v>2</v>
      </c>
      <c r="G201" s="3">
        <v>3</v>
      </c>
      <c r="H201" s="3">
        <v>2</v>
      </c>
      <c r="I201" s="3">
        <v>2</v>
      </c>
      <c r="J201" s="3">
        <v>9</v>
      </c>
      <c r="K201" s="3">
        <v>3</v>
      </c>
      <c r="L201" s="7">
        <v>2</v>
      </c>
    </row>
    <row r="202" spans="1:12" x14ac:dyDescent="0.3">
      <c r="A202" t="s">
        <v>2507</v>
      </c>
      <c r="B202" s="7">
        <v>16</v>
      </c>
      <c r="C202" s="7">
        <v>1</v>
      </c>
      <c r="D202" s="3">
        <v>5</v>
      </c>
      <c r="E202" s="3">
        <v>15</v>
      </c>
      <c r="F202" s="3">
        <v>100</v>
      </c>
      <c r="G202" s="3">
        <v>100</v>
      </c>
      <c r="H202" s="3">
        <v>3</v>
      </c>
      <c r="I202" s="3">
        <v>3</v>
      </c>
      <c r="J202" s="3">
        <v>17</v>
      </c>
      <c r="K202" s="3">
        <v>4</v>
      </c>
      <c r="L202" s="11">
        <v>2</v>
      </c>
    </row>
    <row r="203" spans="1:12" x14ac:dyDescent="0.3">
      <c r="A203" t="s">
        <v>1796</v>
      </c>
      <c r="B203" s="7">
        <v>9</v>
      </c>
      <c r="C203" s="7">
        <v>1</v>
      </c>
      <c r="D203" s="3">
        <v>7</v>
      </c>
      <c r="E203" s="3">
        <v>1</v>
      </c>
      <c r="F203" s="11">
        <v>1</v>
      </c>
      <c r="G203" s="11">
        <v>2</v>
      </c>
      <c r="H203" s="7">
        <v>3</v>
      </c>
      <c r="I203" s="7">
        <v>3</v>
      </c>
      <c r="J203" s="7">
        <v>17</v>
      </c>
      <c r="K203" s="7">
        <v>4</v>
      </c>
      <c r="L203" s="11">
        <v>2</v>
      </c>
    </row>
    <row r="204" spans="1:12" x14ac:dyDescent="0.3">
      <c r="A204" s="6" t="s">
        <v>279</v>
      </c>
      <c r="B204" s="7">
        <v>16</v>
      </c>
      <c r="C204" s="7">
        <v>1</v>
      </c>
      <c r="D204" s="11">
        <v>8</v>
      </c>
      <c r="E204" s="11">
        <v>4</v>
      </c>
      <c r="F204" s="11">
        <v>1</v>
      </c>
      <c r="G204" s="11">
        <v>2</v>
      </c>
      <c r="H204" s="7">
        <v>2</v>
      </c>
      <c r="I204" s="7">
        <v>2</v>
      </c>
      <c r="J204" s="7">
        <v>16</v>
      </c>
      <c r="K204" s="7">
        <v>4</v>
      </c>
      <c r="L204" s="11">
        <v>2</v>
      </c>
    </row>
    <row r="205" spans="1:12" x14ac:dyDescent="0.3">
      <c r="A205" t="s">
        <v>1883</v>
      </c>
      <c r="B205" s="7">
        <v>9</v>
      </c>
      <c r="C205" s="7">
        <v>1</v>
      </c>
      <c r="D205" s="11">
        <v>8</v>
      </c>
      <c r="E205" s="11">
        <v>15</v>
      </c>
      <c r="F205" s="11">
        <v>1</v>
      </c>
      <c r="G205" s="11">
        <v>2</v>
      </c>
      <c r="H205" s="11">
        <v>2</v>
      </c>
      <c r="I205" s="11">
        <v>2</v>
      </c>
      <c r="J205" s="11">
        <v>16</v>
      </c>
      <c r="K205" s="11">
        <v>3</v>
      </c>
      <c r="L205" s="7">
        <v>2</v>
      </c>
    </row>
    <row r="206" spans="1:12" x14ac:dyDescent="0.3">
      <c r="A206" t="s">
        <v>1943</v>
      </c>
      <c r="B206" s="7">
        <v>8</v>
      </c>
      <c r="C206" s="7">
        <v>1</v>
      </c>
      <c r="D206" s="3">
        <v>3</v>
      </c>
      <c r="E206" s="3">
        <v>4</v>
      </c>
      <c r="F206" s="3">
        <v>1</v>
      </c>
      <c r="G206" s="3">
        <v>1</v>
      </c>
      <c r="H206" s="7">
        <v>3</v>
      </c>
      <c r="I206" s="7">
        <v>3</v>
      </c>
      <c r="J206" s="7">
        <v>17</v>
      </c>
      <c r="K206" s="7">
        <v>4</v>
      </c>
      <c r="L206" s="11">
        <v>2</v>
      </c>
    </row>
    <row r="207" spans="1:12" x14ac:dyDescent="0.3">
      <c r="A207" t="s">
        <v>2916</v>
      </c>
      <c r="B207" s="7">
        <v>10</v>
      </c>
      <c r="C207" s="7">
        <v>1</v>
      </c>
      <c r="D207" s="3">
        <v>3</v>
      </c>
      <c r="E207" s="3">
        <v>14</v>
      </c>
      <c r="F207" s="3">
        <v>100</v>
      </c>
      <c r="G207" s="3">
        <v>100</v>
      </c>
      <c r="H207" s="3">
        <v>3</v>
      </c>
      <c r="I207" s="3">
        <v>3</v>
      </c>
      <c r="J207" s="3">
        <v>17</v>
      </c>
      <c r="K207" s="3">
        <v>4</v>
      </c>
      <c r="L207" s="11">
        <v>2</v>
      </c>
    </row>
    <row r="208" spans="1:12" x14ac:dyDescent="0.3">
      <c r="A208" t="s">
        <v>2015</v>
      </c>
      <c r="B208" s="7">
        <v>5</v>
      </c>
      <c r="C208" s="7">
        <v>1</v>
      </c>
      <c r="D208" s="3">
        <v>3</v>
      </c>
      <c r="E208" s="3">
        <v>4</v>
      </c>
      <c r="F208" s="3">
        <v>1</v>
      </c>
      <c r="G208" s="3">
        <v>1</v>
      </c>
      <c r="H208" s="7">
        <v>1</v>
      </c>
      <c r="I208" s="7">
        <v>3</v>
      </c>
      <c r="J208" s="7">
        <v>1</v>
      </c>
      <c r="K208" s="7">
        <v>5</v>
      </c>
      <c r="L208" s="7">
        <v>2</v>
      </c>
    </row>
    <row r="209" spans="1:12" x14ac:dyDescent="0.3">
      <c r="A209" t="s">
        <v>2012</v>
      </c>
      <c r="B209" s="7">
        <v>7</v>
      </c>
      <c r="C209" s="7">
        <v>1</v>
      </c>
      <c r="D209" s="3">
        <v>3</v>
      </c>
      <c r="E209" s="3">
        <v>1</v>
      </c>
      <c r="F209" s="3">
        <v>1</v>
      </c>
      <c r="G209" s="3">
        <v>1</v>
      </c>
      <c r="H209" s="7">
        <v>3</v>
      </c>
      <c r="I209" s="7">
        <v>3</v>
      </c>
      <c r="J209" s="7">
        <v>17</v>
      </c>
      <c r="K209" s="7">
        <v>4</v>
      </c>
      <c r="L209" s="11">
        <v>2</v>
      </c>
    </row>
    <row r="210" spans="1:12" x14ac:dyDescent="0.3">
      <c r="A210" s="6" t="s">
        <v>1010</v>
      </c>
      <c r="B210" s="7">
        <v>14</v>
      </c>
      <c r="C210" s="7">
        <v>1</v>
      </c>
      <c r="D210" s="7">
        <v>3</v>
      </c>
      <c r="E210" s="11">
        <v>4</v>
      </c>
      <c r="F210" s="11">
        <v>1</v>
      </c>
      <c r="G210" s="11">
        <v>2</v>
      </c>
      <c r="H210" s="7">
        <v>3</v>
      </c>
      <c r="I210" s="7">
        <v>3</v>
      </c>
      <c r="J210" s="7">
        <v>17</v>
      </c>
      <c r="K210" s="7">
        <v>4</v>
      </c>
      <c r="L210" s="11">
        <v>2</v>
      </c>
    </row>
    <row r="211" spans="1:12" x14ac:dyDescent="0.3">
      <c r="A211" t="s">
        <v>2630</v>
      </c>
      <c r="B211" s="7">
        <v>14</v>
      </c>
      <c r="C211" s="7">
        <v>1</v>
      </c>
      <c r="D211" s="3">
        <v>3</v>
      </c>
      <c r="E211" s="3">
        <v>3</v>
      </c>
      <c r="F211" s="3">
        <v>1</v>
      </c>
      <c r="G211" s="3">
        <v>3</v>
      </c>
      <c r="H211" s="3">
        <v>3</v>
      </c>
      <c r="I211" s="3">
        <v>3</v>
      </c>
      <c r="J211" s="3">
        <v>17</v>
      </c>
      <c r="K211" s="3">
        <v>4</v>
      </c>
      <c r="L211" s="11">
        <v>2</v>
      </c>
    </row>
    <row r="212" spans="1:12" x14ac:dyDescent="0.3">
      <c r="A212" t="s">
        <v>2057</v>
      </c>
      <c r="B212" s="7">
        <v>6</v>
      </c>
      <c r="C212" s="7">
        <v>1</v>
      </c>
      <c r="D212" s="3">
        <v>1</v>
      </c>
      <c r="E212" s="3">
        <v>4</v>
      </c>
      <c r="F212" s="3">
        <v>1</v>
      </c>
      <c r="G212" s="3">
        <v>1</v>
      </c>
      <c r="H212" s="7">
        <v>1</v>
      </c>
      <c r="I212" s="7">
        <v>3</v>
      </c>
      <c r="J212" s="7">
        <v>1</v>
      </c>
      <c r="K212" s="7">
        <v>5</v>
      </c>
      <c r="L212" s="11">
        <v>2</v>
      </c>
    </row>
    <row r="213" spans="1:12" x14ac:dyDescent="0.3">
      <c r="A213" t="s">
        <v>2261</v>
      </c>
      <c r="B213" s="7">
        <v>5</v>
      </c>
      <c r="C213" s="7">
        <v>1</v>
      </c>
      <c r="D213" s="3">
        <v>3</v>
      </c>
      <c r="E213" s="3">
        <v>4</v>
      </c>
      <c r="F213" s="3">
        <v>1</v>
      </c>
      <c r="G213" s="3">
        <v>1</v>
      </c>
      <c r="H213" s="7">
        <v>3</v>
      </c>
      <c r="I213" s="7">
        <v>3</v>
      </c>
      <c r="J213" s="7">
        <v>17</v>
      </c>
      <c r="K213" s="7">
        <v>4</v>
      </c>
      <c r="L213" s="7">
        <v>2</v>
      </c>
    </row>
    <row r="214" spans="1:12" x14ac:dyDescent="0.3">
      <c r="A214" s="6" t="s">
        <v>469</v>
      </c>
      <c r="B214" s="7">
        <v>16</v>
      </c>
      <c r="C214" s="7">
        <v>1</v>
      </c>
      <c r="D214" s="11">
        <v>3</v>
      </c>
      <c r="E214" s="11">
        <v>5</v>
      </c>
      <c r="F214" s="11">
        <v>3</v>
      </c>
      <c r="G214" s="11">
        <v>3</v>
      </c>
      <c r="H214" s="11">
        <v>1</v>
      </c>
      <c r="I214" s="11">
        <v>3</v>
      </c>
      <c r="J214" s="11">
        <v>16</v>
      </c>
      <c r="K214" s="11">
        <v>5</v>
      </c>
      <c r="L214" s="7">
        <v>1</v>
      </c>
    </row>
    <row r="215" spans="1:12" x14ac:dyDescent="0.3">
      <c r="A215" s="6" t="s">
        <v>554</v>
      </c>
      <c r="B215" s="7">
        <v>16</v>
      </c>
      <c r="C215" s="7">
        <v>1</v>
      </c>
      <c r="D215" s="11">
        <v>3</v>
      </c>
      <c r="E215" s="11">
        <v>6</v>
      </c>
      <c r="F215" s="11">
        <v>1</v>
      </c>
      <c r="G215" s="11">
        <v>2</v>
      </c>
      <c r="H215" s="7">
        <v>3</v>
      </c>
      <c r="I215" s="7">
        <v>3</v>
      </c>
      <c r="J215" s="7">
        <v>17</v>
      </c>
      <c r="K215" s="7">
        <v>4</v>
      </c>
      <c r="L215" s="11">
        <v>2</v>
      </c>
    </row>
    <row r="216" spans="1:12" x14ac:dyDescent="0.3">
      <c r="A216" t="s">
        <v>1190</v>
      </c>
      <c r="B216" s="7">
        <v>13</v>
      </c>
      <c r="C216" s="7">
        <v>1</v>
      </c>
      <c r="D216" s="3">
        <v>3</v>
      </c>
      <c r="E216" s="3">
        <v>4</v>
      </c>
      <c r="F216" s="3">
        <v>1</v>
      </c>
      <c r="G216" s="3">
        <v>2</v>
      </c>
      <c r="H216" s="7">
        <v>3</v>
      </c>
      <c r="I216" s="7">
        <v>3</v>
      </c>
      <c r="J216" s="7">
        <v>17</v>
      </c>
      <c r="K216" s="7">
        <v>4</v>
      </c>
      <c r="L216" s="11">
        <v>2</v>
      </c>
    </row>
    <row r="217" spans="1:12" x14ac:dyDescent="0.3">
      <c r="A217" t="s">
        <v>3049</v>
      </c>
      <c r="B217" s="7">
        <v>4</v>
      </c>
      <c r="C217" s="7">
        <v>1</v>
      </c>
      <c r="D217" s="3">
        <v>3</v>
      </c>
      <c r="E217" s="3">
        <v>3</v>
      </c>
      <c r="F217" s="3">
        <v>3</v>
      </c>
      <c r="G217" s="3">
        <v>4</v>
      </c>
      <c r="H217" s="3">
        <v>3</v>
      </c>
      <c r="I217" s="3">
        <v>3</v>
      </c>
      <c r="J217" s="3">
        <v>17</v>
      </c>
      <c r="K217" s="3">
        <v>4</v>
      </c>
      <c r="L217" s="3">
        <v>1</v>
      </c>
    </row>
    <row r="218" spans="1:12" x14ac:dyDescent="0.3">
      <c r="A218" t="s">
        <v>1982</v>
      </c>
      <c r="B218" s="7">
        <v>7</v>
      </c>
      <c r="C218" s="7">
        <v>1</v>
      </c>
      <c r="D218" s="11">
        <v>8</v>
      </c>
      <c r="E218" s="11">
        <v>4</v>
      </c>
      <c r="F218" s="11">
        <v>2</v>
      </c>
      <c r="G218" s="11">
        <v>4</v>
      </c>
      <c r="H218" s="11">
        <v>3</v>
      </c>
      <c r="I218" s="11">
        <v>3</v>
      </c>
      <c r="J218" s="11">
        <v>17</v>
      </c>
      <c r="K218" s="11">
        <v>4</v>
      </c>
      <c r="L218" s="7">
        <v>2</v>
      </c>
    </row>
    <row r="219" spans="1:12" x14ac:dyDescent="0.3">
      <c r="A219" s="6" t="s">
        <v>932</v>
      </c>
      <c r="B219" s="7">
        <v>15</v>
      </c>
      <c r="C219" s="7">
        <v>1</v>
      </c>
      <c r="D219" s="11">
        <v>7</v>
      </c>
      <c r="E219" s="11">
        <v>1</v>
      </c>
      <c r="F219" s="11">
        <v>1</v>
      </c>
      <c r="G219" s="11">
        <v>2</v>
      </c>
      <c r="H219" s="11">
        <v>1</v>
      </c>
      <c r="I219" s="11">
        <v>3</v>
      </c>
      <c r="J219" s="11">
        <v>1</v>
      </c>
      <c r="K219" s="11">
        <v>5</v>
      </c>
      <c r="L219" s="7">
        <v>2</v>
      </c>
    </row>
    <row r="220" spans="1:12" x14ac:dyDescent="0.3">
      <c r="A220" t="s">
        <v>2399</v>
      </c>
      <c r="B220" s="7">
        <v>2</v>
      </c>
      <c r="C220" s="7">
        <v>1</v>
      </c>
      <c r="D220" s="3">
        <v>1</v>
      </c>
      <c r="E220" s="3">
        <v>4</v>
      </c>
      <c r="F220" s="3">
        <v>100</v>
      </c>
      <c r="G220" s="3">
        <v>100</v>
      </c>
      <c r="H220" s="3">
        <v>3</v>
      </c>
      <c r="I220" s="3">
        <v>3</v>
      </c>
      <c r="J220" s="3">
        <v>17</v>
      </c>
      <c r="K220" s="3">
        <v>4</v>
      </c>
      <c r="L220" s="11">
        <v>2</v>
      </c>
    </row>
    <row r="221" spans="1:12" x14ac:dyDescent="0.3">
      <c r="A221" t="s">
        <v>1427</v>
      </c>
      <c r="B221" s="7">
        <v>13</v>
      </c>
      <c r="C221" s="7">
        <v>1</v>
      </c>
      <c r="D221" s="11">
        <v>8</v>
      </c>
      <c r="E221" s="11">
        <v>8</v>
      </c>
      <c r="F221" s="11">
        <v>1</v>
      </c>
      <c r="G221" s="11">
        <v>2</v>
      </c>
      <c r="H221" s="11">
        <v>1</v>
      </c>
      <c r="I221" s="11">
        <v>2</v>
      </c>
      <c r="J221" s="11">
        <v>1</v>
      </c>
      <c r="K221" s="11">
        <v>3</v>
      </c>
      <c r="L221" s="7">
        <v>2</v>
      </c>
    </row>
    <row r="222" spans="1:12" x14ac:dyDescent="0.3">
      <c r="A222" s="6" t="s">
        <v>648</v>
      </c>
      <c r="B222" s="7">
        <v>16</v>
      </c>
      <c r="C222" s="7">
        <v>1</v>
      </c>
      <c r="D222" s="11">
        <v>3</v>
      </c>
      <c r="E222" s="11">
        <v>4</v>
      </c>
      <c r="F222" s="11">
        <v>1</v>
      </c>
      <c r="G222" s="11">
        <v>2</v>
      </c>
      <c r="H222" s="7">
        <v>3</v>
      </c>
      <c r="I222" s="7">
        <v>3</v>
      </c>
      <c r="J222" s="7">
        <v>17</v>
      </c>
      <c r="K222" s="7">
        <v>4</v>
      </c>
      <c r="L222" s="11">
        <v>2</v>
      </c>
    </row>
    <row r="223" spans="1:12" x14ac:dyDescent="0.3">
      <c r="A223" t="s">
        <v>2808</v>
      </c>
      <c r="B223" s="7">
        <v>12</v>
      </c>
      <c r="C223" s="7">
        <v>1</v>
      </c>
      <c r="D223" s="3">
        <v>1</v>
      </c>
      <c r="E223" s="3">
        <v>4</v>
      </c>
      <c r="F223" s="3">
        <v>100</v>
      </c>
      <c r="G223" s="3">
        <v>100</v>
      </c>
      <c r="H223" s="3">
        <v>3</v>
      </c>
      <c r="I223" s="3">
        <v>3</v>
      </c>
      <c r="J223" s="3">
        <v>17</v>
      </c>
      <c r="K223" s="3">
        <v>4</v>
      </c>
      <c r="L223" s="11">
        <v>2</v>
      </c>
    </row>
    <row r="224" spans="1:12" x14ac:dyDescent="0.3">
      <c r="A224" t="s">
        <v>1250</v>
      </c>
      <c r="B224" s="7">
        <v>13</v>
      </c>
      <c r="C224" s="7">
        <v>1</v>
      </c>
      <c r="D224" s="11">
        <v>1</v>
      </c>
      <c r="E224" s="11">
        <v>4</v>
      </c>
      <c r="F224" s="11">
        <v>1</v>
      </c>
      <c r="G224" s="11">
        <v>2</v>
      </c>
      <c r="H224" s="7">
        <v>3</v>
      </c>
      <c r="I224" s="7">
        <v>3</v>
      </c>
      <c r="J224" s="7">
        <v>17</v>
      </c>
      <c r="K224" s="7">
        <v>4</v>
      </c>
      <c r="L224" s="11">
        <v>2</v>
      </c>
    </row>
    <row r="225" spans="1:12" x14ac:dyDescent="0.3">
      <c r="A225" s="6" t="s">
        <v>961</v>
      </c>
      <c r="B225" s="7">
        <v>15</v>
      </c>
      <c r="C225" s="7">
        <v>1</v>
      </c>
      <c r="D225" s="7">
        <v>1</v>
      </c>
      <c r="E225" s="11">
        <v>4</v>
      </c>
      <c r="F225" s="7">
        <v>1</v>
      </c>
      <c r="G225" s="7">
        <v>2</v>
      </c>
      <c r="H225" s="7">
        <v>1</v>
      </c>
      <c r="I225" s="7">
        <v>3</v>
      </c>
      <c r="J225" s="7">
        <v>3</v>
      </c>
      <c r="K225" s="7">
        <v>5</v>
      </c>
      <c r="L225" s="7">
        <v>2</v>
      </c>
    </row>
    <row r="226" spans="1:12" x14ac:dyDescent="0.3">
      <c r="A226" s="6" t="s">
        <v>188</v>
      </c>
      <c r="B226" s="7">
        <v>17</v>
      </c>
      <c r="C226" s="7">
        <v>1</v>
      </c>
      <c r="D226" s="11">
        <v>1</v>
      </c>
      <c r="E226" s="11">
        <v>3</v>
      </c>
      <c r="F226" s="11">
        <v>1</v>
      </c>
      <c r="G226" s="11">
        <v>100</v>
      </c>
      <c r="H226" s="7">
        <v>3</v>
      </c>
      <c r="I226" s="7">
        <v>3</v>
      </c>
      <c r="J226" s="7">
        <v>17</v>
      </c>
      <c r="K226" s="7">
        <v>4</v>
      </c>
      <c r="L226" s="11">
        <v>2</v>
      </c>
    </row>
    <row r="227" spans="1:12" x14ac:dyDescent="0.3">
      <c r="A227" t="s">
        <v>2881</v>
      </c>
      <c r="B227" s="7">
        <v>11</v>
      </c>
      <c r="C227" s="7">
        <v>1</v>
      </c>
      <c r="D227" s="3">
        <v>3</v>
      </c>
      <c r="E227" s="3">
        <v>3</v>
      </c>
      <c r="F227" s="3">
        <v>100</v>
      </c>
      <c r="G227" s="3">
        <v>100</v>
      </c>
      <c r="H227" s="3">
        <v>3</v>
      </c>
      <c r="I227" s="3">
        <v>3</v>
      </c>
      <c r="J227" s="3">
        <v>17</v>
      </c>
      <c r="K227" s="3">
        <v>4</v>
      </c>
      <c r="L227" s="11">
        <v>2</v>
      </c>
    </row>
    <row r="228" spans="1:12" x14ac:dyDescent="0.3">
      <c r="A228" s="6" t="s">
        <v>1028</v>
      </c>
      <c r="B228" s="7">
        <v>14</v>
      </c>
      <c r="C228" s="7">
        <v>1</v>
      </c>
      <c r="D228" s="11">
        <v>3</v>
      </c>
      <c r="E228" s="11">
        <v>4</v>
      </c>
      <c r="F228" s="7">
        <v>1</v>
      </c>
      <c r="G228" s="7">
        <v>2</v>
      </c>
      <c r="H228" s="7">
        <v>3</v>
      </c>
      <c r="I228" s="7">
        <v>3</v>
      </c>
      <c r="J228" s="7">
        <v>17</v>
      </c>
      <c r="K228" s="7">
        <v>4</v>
      </c>
      <c r="L228" s="11">
        <v>2</v>
      </c>
    </row>
    <row r="229" spans="1:12" x14ac:dyDescent="0.3">
      <c r="A229" s="6" t="s">
        <v>240</v>
      </c>
      <c r="B229" s="7">
        <v>17</v>
      </c>
      <c r="C229" s="7">
        <v>1</v>
      </c>
      <c r="D229" s="11">
        <v>7</v>
      </c>
      <c r="E229" s="11">
        <v>15</v>
      </c>
      <c r="F229" s="11">
        <v>100</v>
      </c>
      <c r="G229" s="11">
        <v>100</v>
      </c>
      <c r="H229" s="7">
        <v>3</v>
      </c>
      <c r="I229" s="7">
        <v>3</v>
      </c>
      <c r="J229" s="7">
        <v>17</v>
      </c>
      <c r="K229" s="7">
        <v>4</v>
      </c>
      <c r="L229" s="11">
        <v>2</v>
      </c>
    </row>
    <row r="230" spans="1:12" x14ac:dyDescent="0.3">
      <c r="A230" t="s">
        <v>3065</v>
      </c>
      <c r="B230" s="7">
        <v>2</v>
      </c>
      <c r="C230" s="7">
        <v>1</v>
      </c>
      <c r="D230" s="3">
        <v>3</v>
      </c>
      <c r="E230" s="3">
        <v>3</v>
      </c>
      <c r="F230" s="11">
        <v>1</v>
      </c>
      <c r="G230" s="11">
        <v>2</v>
      </c>
      <c r="H230" s="7">
        <v>3</v>
      </c>
      <c r="I230" s="7">
        <v>3</v>
      </c>
      <c r="J230" s="7">
        <v>17</v>
      </c>
      <c r="K230" s="7">
        <v>4</v>
      </c>
      <c r="L230" s="7">
        <v>2</v>
      </c>
    </row>
    <row r="231" spans="1:12" x14ac:dyDescent="0.3">
      <c r="A231" s="6" t="s">
        <v>686</v>
      </c>
      <c r="B231" s="7">
        <v>16</v>
      </c>
      <c r="C231" s="7">
        <v>1</v>
      </c>
      <c r="D231" s="3">
        <v>3</v>
      </c>
      <c r="E231" s="3">
        <v>4</v>
      </c>
      <c r="F231" s="11">
        <v>2</v>
      </c>
      <c r="G231" s="11">
        <v>100</v>
      </c>
      <c r="H231" s="7">
        <v>3</v>
      </c>
      <c r="I231" s="7">
        <v>3</v>
      </c>
      <c r="J231" s="7">
        <v>17</v>
      </c>
      <c r="K231" s="7">
        <v>4</v>
      </c>
      <c r="L231" s="11">
        <v>2</v>
      </c>
    </row>
    <row r="232" spans="1:12" x14ac:dyDescent="0.3">
      <c r="A232" t="s">
        <v>1500</v>
      </c>
      <c r="B232" s="7">
        <v>12</v>
      </c>
      <c r="C232" s="7">
        <v>1</v>
      </c>
      <c r="D232" s="3">
        <v>1</v>
      </c>
      <c r="E232" s="3">
        <v>15</v>
      </c>
      <c r="F232" s="3">
        <v>6</v>
      </c>
      <c r="G232" s="3">
        <v>3</v>
      </c>
      <c r="H232" s="3">
        <v>2</v>
      </c>
      <c r="I232" s="3">
        <v>2</v>
      </c>
      <c r="J232" s="3">
        <v>16</v>
      </c>
      <c r="K232" s="3">
        <v>4</v>
      </c>
      <c r="L232" s="3">
        <v>1</v>
      </c>
    </row>
    <row r="233" spans="1:12" x14ac:dyDescent="0.3">
      <c r="A233" t="s">
        <v>1318</v>
      </c>
      <c r="B233" s="7">
        <v>13</v>
      </c>
      <c r="C233" s="7">
        <v>1</v>
      </c>
      <c r="D233" s="3">
        <v>6</v>
      </c>
      <c r="E233" s="3">
        <v>4</v>
      </c>
      <c r="F233" s="3">
        <v>1</v>
      </c>
      <c r="G233" s="3">
        <v>2</v>
      </c>
      <c r="H233" s="7">
        <v>3</v>
      </c>
      <c r="I233" s="7">
        <v>3</v>
      </c>
      <c r="J233" s="7">
        <v>17</v>
      </c>
      <c r="K233" s="7">
        <v>4</v>
      </c>
      <c r="L233" s="11">
        <v>2</v>
      </c>
    </row>
    <row r="234" spans="1:12" x14ac:dyDescent="0.3">
      <c r="A234" t="s">
        <v>1177</v>
      </c>
      <c r="B234" s="7">
        <v>13</v>
      </c>
      <c r="C234" s="7">
        <v>1</v>
      </c>
      <c r="D234" s="3">
        <v>3</v>
      </c>
      <c r="E234" s="3">
        <v>5</v>
      </c>
      <c r="F234" s="3">
        <v>1</v>
      </c>
      <c r="G234" s="3">
        <v>2</v>
      </c>
      <c r="H234" s="3">
        <v>1</v>
      </c>
      <c r="I234" s="3">
        <v>3</v>
      </c>
      <c r="J234" s="3">
        <v>1</v>
      </c>
      <c r="K234" s="3">
        <v>5</v>
      </c>
      <c r="L234" s="11">
        <v>2</v>
      </c>
    </row>
    <row r="235" spans="1:12" x14ac:dyDescent="0.3">
      <c r="A235" t="s">
        <v>2709</v>
      </c>
      <c r="B235" s="7">
        <v>13</v>
      </c>
      <c r="C235" s="7">
        <v>1</v>
      </c>
      <c r="D235" s="3">
        <v>3</v>
      </c>
      <c r="E235" s="3">
        <v>2</v>
      </c>
      <c r="F235" s="3">
        <v>1</v>
      </c>
      <c r="G235" s="3">
        <v>2</v>
      </c>
      <c r="H235" s="3">
        <v>3</v>
      </c>
      <c r="I235" s="3">
        <v>3</v>
      </c>
      <c r="J235" s="3">
        <v>17</v>
      </c>
      <c r="K235" s="3">
        <v>4</v>
      </c>
      <c r="L235" s="7">
        <v>2</v>
      </c>
    </row>
    <row r="236" spans="1:12" x14ac:dyDescent="0.3">
      <c r="A236" s="6" t="s">
        <v>813</v>
      </c>
      <c r="B236" s="7">
        <v>15</v>
      </c>
      <c r="C236" s="7">
        <v>1</v>
      </c>
      <c r="D236" s="11">
        <v>3</v>
      </c>
      <c r="E236" s="11">
        <v>4</v>
      </c>
      <c r="F236" s="11">
        <v>1</v>
      </c>
      <c r="G236" s="11">
        <v>2</v>
      </c>
      <c r="H236" s="7">
        <v>3</v>
      </c>
      <c r="I236" s="7">
        <v>3</v>
      </c>
      <c r="J236" s="7">
        <v>17</v>
      </c>
      <c r="K236" s="7">
        <v>4</v>
      </c>
      <c r="L236" s="11">
        <v>2</v>
      </c>
    </row>
    <row r="237" spans="1:12" x14ac:dyDescent="0.3">
      <c r="A237" t="s">
        <v>2694</v>
      </c>
      <c r="B237" s="7">
        <v>13</v>
      </c>
      <c r="C237" s="7">
        <v>1</v>
      </c>
      <c r="D237" s="3">
        <v>3</v>
      </c>
      <c r="E237" s="3">
        <v>4</v>
      </c>
      <c r="F237" s="11">
        <v>1</v>
      </c>
      <c r="G237" s="11">
        <v>2</v>
      </c>
      <c r="H237" s="7">
        <v>3</v>
      </c>
      <c r="I237" s="7">
        <v>3</v>
      </c>
      <c r="J237" s="7">
        <v>17</v>
      </c>
      <c r="K237" s="7">
        <v>4</v>
      </c>
      <c r="L237" s="7">
        <v>2</v>
      </c>
    </row>
    <row r="238" spans="1:12" x14ac:dyDescent="0.3">
      <c r="A238" t="s">
        <v>1791</v>
      </c>
      <c r="B238" s="7">
        <v>9</v>
      </c>
      <c r="C238" s="7">
        <v>1</v>
      </c>
      <c r="D238" s="3">
        <v>3</v>
      </c>
      <c r="E238" s="3">
        <v>1</v>
      </c>
      <c r="F238" s="11">
        <v>1</v>
      </c>
      <c r="G238" s="11">
        <v>2</v>
      </c>
      <c r="H238" s="7">
        <v>3</v>
      </c>
      <c r="I238" s="7">
        <v>3</v>
      </c>
      <c r="J238" s="7">
        <v>17</v>
      </c>
      <c r="K238" s="7">
        <v>4</v>
      </c>
      <c r="L238" s="11">
        <v>2</v>
      </c>
    </row>
    <row r="239" spans="1:12" x14ac:dyDescent="0.3">
      <c r="A239" t="s">
        <v>1871</v>
      </c>
      <c r="B239" s="7">
        <v>8</v>
      </c>
      <c r="C239" s="7">
        <v>1</v>
      </c>
      <c r="D239" s="3">
        <v>3</v>
      </c>
      <c r="E239" s="3">
        <v>4</v>
      </c>
      <c r="F239" s="11">
        <v>1</v>
      </c>
      <c r="G239" s="11">
        <v>1</v>
      </c>
      <c r="H239" s="7">
        <v>3</v>
      </c>
      <c r="I239" s="7">
        <v>3</v>
      </c>
      <c r="J239" s="7">
        <v>17</v>
      </c>
      <c r="K239" s="7">
        <v>4</v>
      </c>
      <c r="L239" s="11">
        <v>2</v>
      </c>
    </row>
    <row r="240" spans="1:12" x14ac:dyDescent="0.3">
      <c r="A240" t="s">
        <v>2433</v>
      </c>
      <c r="B240" s="7">
        <v>2</v>
      </c>
      <c r="C240" s="7">
        <v>1</v>
      </c>
      <c r="D240" s="3">
        <v>3</v>
      </c>
      <c r="E240" s="3">
        <v>3</v>
      </c>
      <c r="F240" s="3">
        <v>1</v>
      </c>
      <c r="G240" s="3">
        <v>1</v>
      </c>
      <c r="H240" s="7">
        <v>1</v>
      </c>
      <c r="I240" s="7">
        <v>3</v>
      </c>
      <c r="J240" s="7">
        <v>1</v>
      </c>
      <c r="K240" s="7">
        <v>5</v>
      </c>
      <c r="L240" s="7">
        <v>2</v>
      </c>
    </row>
    <row r="241" spans="1:12" x14ac:dyDescent="0.3">
      <c r="A241" t="s">
        <v>2566</v>
      </c>
      <c r="B241" s="7">
        <v>15</v>
      </c>
      <c r="C241" s="7">
        <v>1</v>
      </c>
      <c r="D241" s="3">
        <v>3</v>
      </c>
      <c r="E241" s="3">
        <v>3</v>
      </c>
      <c r="F241" s="3">
        <v>1</v>
      </c>
      <c r="G241" s="3">
        <v>100</v>
      </c>
      <c r="H241" s="3">
        <v>3</v>
      </c>
      <c r="I241" s="3">
        <v>3</v>
      </c>
      <c r="J241" s="3">
        <v>17</v>
      </c>
      <c r="K241" s="3">
        <v>4</v>
      </c>
      <c r="L241" s="11">
        <v>2</v>
      </c>
    </row>
    <row r="242" spans="1:12" x14ac:dyDescent="0.3">
      <c r="A242" s="6" t="s">
        <v>232</v>
      </c>
      <c r="B242" s="7">
        <v>17</v>
      </c>
      <c r="C242" s="7">
        <v>1</v>
      </c>
      <c r="D242" s="11">
        <v>3</v>
      </c>
      <c r="E242" s="11">
        <v>4</v>
      </c>
      <c r="F242" s="11">
        <v>1</v>
      </c>
      <c r="G242" s="11">
        <v>2</v>
      </c>
      <c r="H242" s="7">
        <v>3</v>
      </c>
      <c r="I242" s="7">
        <v>3</v>
      </c>
      <c r="J242" s="7">
        <v>17</v>
      </c>
      <c r="K242" s="7">
        <v>4</v>
      </c>
      <c r="L242" s="7">
        <v>2</v>
      </c>
    </row>
    <row r="243" spans="1:12" x14ac:dyDescent="0.3">
      <c r="A243" s="6" t="s">
        <v>290</v>
      </c>
      <c r="B243" s="7">
        <v>16</v>
      </c>
      <c r="C243" s="7">
        <v>1</v>
      </c>
      <c r="D243" s="11">
        <v>3</v>
      </c>
      <c r="E243" s="11">
        <v>4</v>
      </c>
      <c r="F243" s="11">
        <v>1</v>
      </c>
      <c r="G243" s="11">
        <v>2</v>
      </c>
      <c r="H243" s="11">
        <v>1</v>
      </c>
      <c r="I243" s="11">
        <v>3</v>
      </c>
      <c r="J243" s="11">
        <v>1</v>
      </c>
      <c r="K243" s="11">
        <v>5</v>
      </c>
      <c r="L243" s="11">
        <v>2</v>
      </c>
    </row>
    <row r="244" spans="1:12" x14ac:dyDescent="0.3">
      <c r="A244" s="6" t="s">
        <v>1017</v>
      </c>
      <c r="B244" s="7">
        <v>14</v>
      </c>
      <c r="C244" s="7">
        <v>1</v>
      </c>
      <c r="D244" s="11">
        <v>3</v>
      </c>
      <c r="E244" s="11">
        <v>4</v>
      </c>
      <c r="F244" s="11">
        <v>100</v>
      </c>
      <c r="G244" s="11">
        <v>100</v>
      </c>
      <c r="H244" s="7">
        <v>3</v>
      </c>
      <c r="I244" s="7">
        <v>3</v>
      </c>
      <c r="J244" s="7">
        <v>17</v>
      </c>
      <c r="K244" s="7">
        <v>4</v>
      </c>
      <c r="L244" s="11">
        <v>2</v>
      </c>
    </row>
    <row r="245" spans="1:12" x14ac:dyDescent="0.3">
      <c r="A245" t="s">
        <v>2198</v>
      </c>
      <c r="B245" s="7">
        <v>4</v>
      </c>
      <c r="C245" s="7">
        <v>1</v>
      </c>
      <c r="D245" s="3">
        <v>3</v>
      </c>
      <c r="E245" s="3">
        <v>3</v>
      </c>
      <c r="F245" s="3">
        <v>2</v>
      </c>
      <c r="G245" s="3">
        <v>4</v>
      </c>
      <c r="H245" s="3">
        <v>3</v>
      </c>
      <c r="I245" s="3">
        <v>2</v>
      </c>
      <c r="J245" s="3">
        <v>17</v>
      </c>
      <c r="K245" s="3">
        <v>4</v>
      </c>
      <c r="L245" s="3">
        <v>1</v>
      </c>
    </row>
    <row r="246" spans="1:12" x14ac:dyDescent="0.3">
      <c r="A246" t="s">
        <v>2424</v>
      </c>
      <c r="B246" s="7">
        <v>2</v>
      </c>
      <c r="C246" s="7">
        <v>1</v>
      </c>
      <c r="D246" s="3">
        <v>3</v>
      </c>
      <c r="E246" s="3">
        <v>1</v>
      </c>
      <c r="F246" s="3">
        <v>1</v>
      </c>
      <c r="G246" s="3">
        <v>1</v>
      </c>
      <c r="H246" s="7">
        <v>1</v>
      </c>
      <c r="I246" s="7">
        <v>3</v>
      </c>
      <c r="J246" s="7">
        <v>1</v>
      </c>
      <c r="K246" s="7">
        <v>5</v>
      </c>
      <c r="L246" s="7">
        <v>2</v>
      </c>
    </row>
    <row r="247" spans="1:12" x14ac:dyDescent="0.3">
      <c r="A247" t="s">
        <v>2144</v>
      </c>
      <c r="B247" s="7">
        <v>5</v>
      </c>
      <c r="C247" s="7">
        <v>1</v>
      </c>
      <c r="D247" s="3">
        <v>3</v>
      </c>
      <c r="E247" s="3">
        <v>3</v>
      </c>
      <c r="F247" s="3">
        <v>3</v>
      </c>
      <c r="G247" s="3">
        <v>4</v>
      </c>
      <c r="H247" s="7">
        <v>1</v>
      </c>
      <c r="I247" s="7">
        <v>3</v>
      </c>
      <c r="J247" s="7">
        <v>1</v>
      </c>
      <c r="K247" s="7">
        <v>5</v>
      </c>
      <c r="L247" s="3">
        <v>1</v>
      </c>
    </row>
    <row r="248" spans="1:12" x14ac:dyDescent="0.3">
      <c r="A248" t="s">
        <v>1661</v>
      </c>
      <c r="B248" s="7">
        <v>10</v>
      </c>
      <c r="C248" s="7">
        <v>1</v>
      </c>
      <c r="D248" s="3">
        <v>3</v>
      </c>
      <c r="E248" s="3">
        <v>4</v>
      </c>
      <c r="F248" s="11">
        <v>1</v>
      </c>
      <c r="G248" s="11">
        <v>2</v>
      </c>
      <c r="H248" s="3">
        <v>3</v>
      </c>
      <c r="I248" s="3">
        <v>3</v>
      </c>
      <c r="J248" s="3">
        <v>17</v>
      </c>
      <c r="K248" s="3">
        <v>4</v>
      </c>
      <c r="L248" s="7">
        <v>2</v>
      </c>
    </row>
    <row r="249" spans="1:12" x14ac:dyDescent="0.3">
      <c r="A249" t="s">
        <v>2160</v>
      </c>
      <c r="B249" s="7">
        <v>5</v>
      </c>
      <c r="C249" s="7">
        <v>1</v>
      </c>
      <c r="D249" s="3">
        <v>3</v>
      </c>
      <c r="E249" s="3">
        <v>2</v>
      </c>
      <c r="F249" s="11">
        <v>100</v>
      </c>
      <c r="G249" s="11">
        <v>100</v>
      </c>
      <c r="H249" s="7">
        <v>3</v>
      </c>
      <c r="I249" s="7">
        <v>3</v>
      </c>
      <c r="J249" s="7">
        <v>17</v>
      </c>
      <c r="K249" s="7">
        <v>4</v>
      </c>
      <c r="L249" s="7">
        <v>2</v>
      </c>
    </row>
    <row r="250" spans="1:12" x14ac:dyDescent="0.3">
      <c r="A250" t="s">
        <v>1560</v>
      </c>
      <c r="B250" s="7">
        <v>12</v>
      </c>
      <c r="C250" s="7">
        <v>1</v>
      </c>
      <c r="D250" s="3">
        <v>3</v>
      </c>
      <c r="E250" s="3">
        <v>2</v>
      </c>
      <c r="F250" s="3">
        <v>1</v>
      </c>
      <c r="G250" s="3">
        <v>2</v>
      </c>
      <c r="H250" s="3">
        <v>3</v>
      </c>
      <c r="I250" s="3">
        <v>3</v>
      </c>
      <c r="J250" s="3">
        <v>17</v>
      </c>
      <c r="K250" s="3">
        <v>4</v>
      </c>
      <c r="L250" s="7">
        <v>2</v>
      </c>
    </row>
    <row r="251" spans="1:12" x14ac:dyDescent="0.3">
      <c r="A251" t="s">
        <v>1879</v>
      </c>
      <c r="B251" s="7">
        <v>8</v>
      </c>
      <c r="C251" s="7">
        <v>1</v>
      </c>
      <c r="D251" s="3">
        <v>1</v>
      </c>
      <c r="E251" s="3">
        <v>5</v>
      </c>
      <c r="F251" s="11">
        <v>3</v>
      </c>
      <c r="G251" s="11">
        <v>3</v>
      </c>
      <c r="H251" s="11">
        <v>2</v>
      </c>
      <c r="I251" s="11">
        <v>3</v>
      </c>
      <c r="J251" s="11">
        <v>16</v>
      </c>
      <c r="K251" s="11">
        <v>4</v>
      </c>
      <c r="L251" s="3">
        <v>1</v>
      </c>
    </row>
    <row r="252" spans="1:12" x14ac:dyDescent="0.3">
      <c r="A252" t="s">
        <v>2736</v>
      </c>
      <c r="B252" s="7">
        <v>13</v>
      </c>
      <c r="C252" s="7">
        <v>1</v>
      </c>
      <c r="D252" s="3">
        <v>3</v>
      </c>
      <c r="E252" s="3">
        <v>4</v>
      </c>
      <c r="F252" s="3">
        <v>1</v>
      </c>
      <c r="G252" s="3">
        <v>2</v>
      </c>
      <c r="H252" s="3">
        <v>3</v>
      </c>
      <c r="I252" s="3">
        <v>3</v>
      </c>
      <c r="J252" s="3">
        <v>17</v>
      </c>
      <c r="K252" s="3">
        <v>4</v>
      </c>
      <c r="L252" s="7">
        <v>2</v>
      </c>
    </row>
    <row r="253" spans="1:12" x14ac:dyDescent="0.3">
      <c r="A253" t="s">
        <v>1765</v>
      </c>
      <c r="B253" s="7">
        <v>10</v>
      </c>
      <c r="C253" s="7">
        <v>1</v>
      </c>
      <c r="D253" s="3">
        <v>5</v>
      </c>
      <c r="E253" s="3">
        <v>4</v>
      </c>
      <c r="F253" s="11">
        <v>1</v>
      </c>
      <c r="G253" s="11">
        <v>2</v>
      </c>
      <c r="H253" s="7">
        <v>1</v>
      </c>
      <c r="I253" s="7">
        <v>3</v>
      </c>
      <c r="J253" s="7">
        <v>1</v>
      </c>
      <c r="K253" s="7">
        <v>5</v>
      </c>
      <c r="L253" s="11">
        <v>2</v>
      </c>
    </row>
    <row r="254" spans="1:12" x14ac:dyDescent="0.3">
      <c r="A254" t="s">
        <v>1233</v>
      </c>
      <c r="B254" s="7">
        <v>13</v>
      </c>
      <c r="C254" s="7">
        <v>1</v>
      </c>
      <c r="D254" s="3">
        <v>3</v>
      </c>
      <c r="E254" s="3">
        <v>4</v>
      </c>
      <c r="F254" s="11">
        <v>1</v>
      </c>
      <c r="G254" s="11">
        <v>100</v>
      </c>
      <c r="H254" s="7">
        <v>3</v>
      </c>
      <c r="I254" s="7">
        <v>3</v>
      </c>
      <c r="J254" s="7">
        <v>17</v>
      </c>
      <c r="K254" s="7">
        <v>4</v>
      </c>
      <c r="L254" s="11">
        <v>2</v>
      </c>
    </row>
    <row r="255" spans="1:12" x14ac:dyDescent="0.3">
      <c r="A255" t="s">
        <v>2121</v>
      </c>
      <c r="B255" s="7">
        <v>5</v>
      </c>
      <c r="C255" s="7">
        <v>1</v>
      </c>
      <c r="D255" s="3">
        <v>5</v>
      </c>
      <c r="E255" s="3">
        <v>4</v>
      </c>
      <c r="F255" s="3">
        <v>100</v>
      </c>
      <c r="G255" s="3">
        <v>100</v>
      </c>
      <c r="H255" s="7">
        <v>3</v>
      </c>
      <c r="I255" s="7">
        <v>3</v>
      </c>
      <c r="J255" s="7">
        <v>17</v>
      </c>
      <c r="K255" s="7">
        <v>4</v>
      </c>
      <c r="L255" s="7">
        <v>2</v>
      </c>
    </row>
    <row r="256" spans="1:12" x14ac:dyDescent="0.3">
      <c r="A256" t="s">
        <v>2284</v>
      </c>
      <c r="B256" s="7">
        <v>4</v>
      </c>
      <c r="C256" s="7">
        <v>1</v>
      </c>
      <c r="D256" s="3">
        <v>3</v>
      </c>
      <c r="E256" s="3">
        <v>13</v>
      </c>
      <c r="F256" s="3">
        <v>1</v>
      </c>
      <c r="G256" s="3">
        <v>1</v>
      </c>
      <c r="H256" s="7">
        <v>3</v>
      </c>
      <c r="I256" s="7">
        <v>3</v>
      </c>
      <c r="J256" s="7">
        <v>17</v>
      </c>
      <c r="K256" s="7">
        <v>4</v>
      </c>
      <c r="L256" s="3">
        <v>2</v>
      </c>
    </row>
    <row r="257" spans="1:12" x14ac:dyDescent="0.3">
      <c r="A257" t="s">
        <v>2984</v>
      </c>
      <c r="B257" s="7">
        <v>7</v>
      </c>
      <c r="C257" s="7">
        <v>1</v>
      </c>
      <c r="D257" s="3">
        <v>9</v>
      </c>
      <c r="E257" s="3">
        <v>5</v>
      </c>
      <c r="F257" s="3">
        <v>1</v>
      </c>
      <c r="G257" s="11">
        <v>1</v>
      </c>
      <c r="H257" s="7">
        <v>3</v>
      </c>
      <c r="I257" s="7">
        <v>3</v>
      </c>
      <c r="J257" s="7">
        <v>17</v>
      </c>
      <c r="K257" s="7">
        <v>4</v>
      </c>
      <c r="L257" s="11">
        <v>2</v>
      </c>
    </row>
    <row r="258" spans="1:12" x14ac:dyDescent="0.3">
      <c r="A258" t="s">
        <v>1818</v>
      </c>
      <c r="B258" s="7">
        <v>8</v>
      </c>
      <c r="C258" s="7">
        <v>1</v>
      </c>
      <c r="D258" s="3">
        <v>3</v>
      </c>
      <c r="E258" s="3">
        <v>3</v>
      </c>
      <c r="F258" s="11">
        <v>1</v>
      </c>
      <c r="G258" s="11">
        <v>1</v>
      </c>
      <c r="H258" s="7">
        <v>1</v>
      </c>
      <c r="I258" s="7">
        <v>3</v>
      </c>
      <c r="J258" s="7">
        <v>1</v>
      </c>
      <c r="K258" s="7">
        <v>5</v>
      </c>
      <c r="L258" s="11">
        <v>2</v>
      </c>
    </row>
    <row r="259" spans="1:12" x14ac:dyDescent="0.3">
      <c r="A259" t="s">
        <v>2593</v>
      </c>
      <c r="B259" s="7">
        <v>15</v>
      </c>
      <c r="C259" s="7">
        <v>1</v>
      </c>
      <c r="D259" s="3">
        <v>3</v>
      </c>
      <c r="E259" s="3">
        <v>4</v>
      </c>
      <c r="F259" s="3">
        <v>1</v>
      </c>
      <c r="G259" s="11">
        <v>2</v>
      </c>
      <c r="H259" s="7">
        <v>1</v>
      </c>
      <c r="I259" s="7">
        <v>3</v>
      </c>
      <c r="J259" s="7">
        <v>1</v>
      </c>
      <c r="K259" s="7">
        <v>5</v>
      </c>
      <c r="L259" s="11">
        <v>2</v>
      </c>
    </row>
    <row r="260" spans="1:12" x14ac:dyDescent="0.3">
      <c r="A260" t="s">
        <v>2054</v>
      </c>
      <c r="B260" s="7">
        <v>6</v>
      </c>
      <c r="C260" s="7">
        <v>1</v>
      </c>
      <c r="D260" s="3">
        <v>7</v>
      </c>
      <c r="E260" s="3">
        <v>15</v>
      </c>
      <c r="F260" s="3">
        <v>1</v>
      </c>
      <c r="G260" s="3">
        <v>1</v>
      </c>
      <c r="H260" s="7">
        <v>1</v>
      </c>
      <c r="I260" s="7">
        <v>3</v>
      </c>
      <c r="J260" s="7">
        <v>1</v>
      </c>
      <c r="K260" s="7">
        <v>5</v>
      </c>
      <c r="L260" s="11">
        <v>2</v>
      </c>
    </row>
    <row r="261" spans="1:12" x14ac:dyDescent="0.3">
      <c r="A261" t="s">
        <v>1440</v>
      </c>
      <c r="B261" s="7">
        <v>12</v>
      </c>
      <c r="C261" s="7">
        <v>1</v>
      </c>
      <c r="D261" s="11">
        <v>4</v>
      </c>
      <c r="E261" s="11">
        <v>6</v>
      </c>
      <c r="F261" s="11">
        <v>1</v>
      </c>
      <c r="G261" s="11">
        <v>2</v>
      </c>
      <c r="H261" s="11">
        <v>1</v>
      </c>
      <c r="I261" s="11">
        <v>3</v>
      </c>
      <c r="J261" s="11">
        <v>1</v>
      </c>
      <c r="K261" s="11">
        <v>5</v>
      </c>
      <c r="L261" s="7">
        <v>2</v>
      </c>
    </row>
    <row r="262" spans="1:12" x14ac:dyDescent="0.3">
      <c r="A262" s="6" t="s">
        <v>643</v>
      </c>
      <c r="B262" s="7">
        <v>16</v>
      </c>
      <c r="C262" s="7">
        <v>1</v>
      </c>
      <c r="D262" s="11">
        <v>3</v>
      </c>
      <c r="E262" s="11">
        <v>4</v>
      </c>
      <c r="F262" s="7">
        <v>1</v>
      </c>
      <c r="G262" s="7">
        <v>2</v>
      </c>
      <c r="H262" s="7">
        <v>3</v>
      </c>
      <c r="I262" s="7">
        <v>3</v>
      </c>
      <c r="J262" s="7">
        <v>17</v>
      </c>
      <c r="K262" s="7">
        <v>4</v>
      </c>
      <c r="L262" s="11">
        <v>2</v>
      </c>
    </row>
    <row r="263" spans="1:12" x14ac:dyDescent="0.3">
      <c r="A263" t="s">
        <v>1368</v>
      </c>
      <c r="B263" s="7">
        <v>13</v>
      </c>
      <c r="C263" s="7">
        <v>1</v>
      </c>
      <c r="D263" s="3">
        <v>3</v>
      </c>
      <c r="E263" s="3">
        <v>4</v>
      </c>
      <c r="F263" s="3">
        <v>1</v>
      </c>
      <c r="G263" s="3">
        <v>2</v>
      </c>
      <c r="H263" s="7">
        <v>3</v>
      </c>
      <c r="I263" s="7">
        <v>3</v>
      </c>
      <c r="J263" s="7">
        <v>17</v>
      </c>
      <c r="K263" s="7">
        <v>4</v>
      </c>
      <c r="L263" s="11">
        <v>2</v>
      </c>
    </row>
    <row r="264" spans="1:12" x14ac:dyDescent="0.3">
      <c r="A264" t="s">
        <v>1761</v>
      </c>
      <c r="B264" s="7">
        <v>10</v>
      </c>
      <c r="C264" s="7">
        <v>1</v>
      </c>
      <c r="D264" s="3">
        <v>3</v>
      </c>
      <c r="E264" s="3">
        <v>2</v>
      </c>
      <c r="F264" s="11">
        <v>1</v>
      </c>
      <c r="G264" s="11">
        <v>100</v>
      </c>
      <c r="H264" s="7">
        <v>3</v>
      </c>
      <c r="I264" s="7">
        <v>3</v>
      </c>
      <c r="J264" s="7">
        <v>17</v>
      </c>
      <c r="K264" s="7">
        <v>4</v>
      </c>
      <c r="L264" s="11">
        <v>2</v>
      </c>
    </row>
    <row r="265" spans="1:12" x14ac:dyDescent="0.3">
      <c r="A265" t="s">
        <v>1761</v>
      </c>
      <c r="B265" s="7">
        <v>11</v>
      </c>
      <c r="C265" s="7">
        <v>1</v>
      </c>
      <c r="D265" s="3">
        <v>3</v>
      </c>
      <c r="E265" s="3">
        <v>12</v>
      </c>
      <c r="F265" s="3">
        <v>100</v>
      </c>
      <c r="G265" s="3">
        <v>100</v>
      </c>
      <c r="H265" s="3">
        <v>3</v>
      </c>
      <c r="I265" s="3">
        <v>3</v>
      </c>
      <c r="J265" s="3">
        <v>17</v>
      </c>
      <c r="K265" s="3">
        <v>4</v>
      </c>
      <c r="L265" s="11">
        <v>2</v>
      </c>
    </row>
    <row r="266" spans="1:12" x14ac:dyDescent="0.3">
      <c r="A266" s="6" t="s">
        <v>594</v>
      </c>
      <c r="B266" s="7">
        <v>16</v>
      </c>
      <c r="C266" s="7">
        <v>1</v>
      </c>
      <c r="D266" s="11">
        <v>3</v>
      </c>
      <c r="E266" s="11">
        <v>1</v>
      </c>
      <c r="F266" s="11">
        <v>1</v>
      </c>
      <c r="G266" s="11">
        <v>2</v>
      </c>
      <c r="H266" s="7">
        <v>3</v>
      </c>
      <c r="I266" s="7">
        <v>3</v>
      </c>
      <c r="J266" s="7">
        <v>17</v>
      </c>
      <c r="K266" s="7">
        <v>4</v>
      </c>
      <c r="L266" s="11">
        <v>2</v>
      </c>
    </row>
    <row r="267" spans="1:12" x14ac:dyDescent="0.3">
      <c r="A267" t="s">
        <v>2964</v>
      </c>
      <c r="B267" s="7">
        <v>10</v>
      </c>
      <c r="C267" s="7">
        <v>1</v>
      </c>
      <c r="D267" s="3">
        <v>3</v>
      </c>
      <c r="E267" s="3">
        <v>4</v>
      </c>
      <c r="F267" s="3">
        <v>100</v>
      </c>
      <c r="G267" s="3">
        <v>100</v>
      </c>
      <c r="H267" s="3">
        <v>3</v>
      </c>
      <c r="I267" s="3">
        <v>3</v>
      </c>
      <c r="J267" s="3">
        <v>17</v>
      </c>
      <c r="K267" s="3">
        <v>4</v>
      </c>
      <c r="L267" s="11">
        <v>2</v>
      </c>
    </row>
    <row r="268" spans="1:12" x14ac:dyDescent="0.3">
      <c r="A268" s="6" t="s">
        <v>600</v>
      </c>
      <c r="B268" s="7">
        <v>16</v>
      </c>
      <c r="C268" s="7">
        <v>1</v>
      </c>
      <c r="D268" s="11">
        <v>6</v>
      </c>
      <c r="E268" s="11">
        <v>11</v>
      </c>
      <c r="F268" s="11">
        <v>1</v>
      </c>
      <c r="G268" s="11">
        <v>2</v>
      </c>
      <c r="H268" s="7">
        <v>3</v>
      </c>
      <c r="I268" s="7">
        <v>3</v>
      </c>
      <c r="J268" s="7">
        <v>17</v>
      </c>
      <c r="K268" s="7">
        <v>4</v>
      </c>
      <c r="L268" s="11">
        <v>2</v>
      </c>
    </row>
    <row r="269" spans="1:12" x14ac:dyDescent="0.3">
      <c r="A269" s="6" t="s">
        <v>225</v>
      </c>
      <c r="B269" s="7">
        <v>17</v>
      </c>
      <c r="C269" s="7">
        <v>1</v>
      </c>
      <c r="D269" s="11">
        <v>3</v>
      </c>
      <c r="E269" s="11">
        <v>4</v>
      </c>
      <c r="F269" s="11">
        <v>100</v>
      </c>
      <c r="G269" s="11">
        <v>100</v>
      </c>
      <c r="H269" s="7">
        <v>3</v>
      </c>
      <c r="I269" s="7">
        <v>3</v>
      </c>
      <c r="J269" s="7">
        <v>17</v>
      </c>
      <c r="K269" s="7">
        <v>4</v>
      </c>
      <c r="L269" s="7">
        <v>2</v>
      </c>
    </row>
    <row r="270" spans="1:12" x14ac:dyDescent="0.3">
      <c r="A270" t="s">
        <v>1960</v>
      </c>
      <c r="B270" s="7">
        <v>7</v>
      </c>
      <c r="C270" s="7">
        <v>1</v>
      </c>
      <c r="D270" s="3">
        <v>5</v>
      </c>
      <c r="E270" s="3">
        <v>3</v>
      </c>
      <c r="F270" s="3">
        <v>1</v>
      </c>
      <c r="G270" s="3">
        <v>1</v>
      </c>
      <c r="H270" s="7">
        <v>3</v>
      </c>
      <c r="I270" s="7">
        <v>3</v>
      </c>
      <c r="J270" s="7">
        <v>17</v>
      </c>
      <c r="K270" s="7">
        <v>4</v>
      </c>
      <c r="L270" s="11">
        <v>2</v>
      </c>
    </row>
    <row r="271" spans="1:12" x14ac:dyDescent="0.3">
      <c r="A271" s="6" t="s">
        <v>1040</v>
      </c>
      <c r="B271" s="7">
        <v>14</v>
      </c>
      <c r="C271" s="7">
        <v>1</v>
      </c>
      <c r="D271" s="11">
        <v>3</v>
      </c>
      <c r="E271" s="11">
        <v>15</v>
      </c>
      <c r="F271" s="11">
        <v>1</v>
      </c>
      <c r="G271" s="11">
        <v>2</v>
      </c>
      <c r="H271" s="11">
        <v>1</v>
      </c>
      <c r="I271" s="11">
        <v>3</v>
      </c>
      <c r="J271" s="11">
        <v>1</v>
      </c>
      <c r="K271" s="11">
        <v>5</v>
      </c>
      <c r="L271" s="7">
        <v>2</v>
      </c>
    </row>
    <row r="272" spans="1:12" x14ac:dyDescent="0.3">
      <c r="A272" t="s">
        <v>1804</v>
      </c>
      <c r="B272" s="7">
        <v>9</v>
      </c>
      <c r="C272" s="7">
        <v>1</v>
      </c>
      <c r="D272" s="3">
        <v>1</v>
      </c>
      <c r="E272" s="3">
        <v>4</v>
      </c>
      <c r="F272" s="11">
        <v>1</v>
      </c>
      <c r="G272" s="11">
        <v>2</v>
      </c>
      <c r="H272" s="7">
        <v>3</v>
      </c>
      <c r="I272" s="7">
        <v>3</v>
      </c>
      <c r="J272" s="7">
        <v>17</v>
      </c>
      <c r="K272" s="7">
        <v>4</v>
      </c>
      <c r="L272" s="11">
        <v>2</v>
      </c>
    </row>
    <row r="273" spans="1:12" x14ac:dyDescent="0.3">
      <c r="A273" t="s">
        <v>1341</v>
      </c>
      <c r="B273" s="7">
        <v>13</v>
      </c>
      <c r="C273" s="7">
        <v>1</v>
      </c>
      <c r="D273" s="3">
        <v>1</v>
      </c>
      <c r="E273" s="3">
        <v>8</v>
      </c>
      <c r="F273" s="3">
        <v>3</v>
      </c>
      <c r="G273" s="3">
        <v>3</v>
      </c>
      <c r="H273" s="3">
        <v>3</v>
      </c>
      <c r="I273" s="3">
        <v>3</v>
      </c>
      <c r="J273" s="3">
        <v>17</v>
      </c>
      <c r="K273" s="3">
        <v>4</v>
      </c>
      <c r="L273" s="11">
        <v>2</v>
      </c>
    </row>
    <row r="274" spans="1:12" x14ac:dyDescent="0.3">
      <c r="A274" s="6" t="s">
        <v>717</v>
      </c>
      <c r="B274" s="7">
        <v>15</v>
      </c>
      <c r="C274" s="7">
        <v>1</v>
      </c>
      <c r="D274" s="7">
        <v>6</v>
      </c>
      <c r="E274" s="11">
        <v>1</v>
      </c>
      <c r="F274" s="7">
        <v>2</v>
      </c>
      <c r="G274" s="7">
        <v>3</v>
      </c>
      <c r="H274" s="7">
        <v>2</v>
      </c>
      <c r="I274" s="7">
        <v>3</v>
      </c>
      <c r="J274" s="7">
        <v>17</v>
      </c>
      <c r="K274" s="7">
        <v>4</v>
      </c>
      <c r="L274" s="7">
        <v>2</v>
      </c>
    </row>
    <row r="275" spans="1:12" x14ac:dyDescent="0.3">
      <c r="A275" s="6" t="s">
        <v>1090</v>
      </c>
      <c r="B275" s="7">
        <v>14</v>
      </c>
      <c r="C275" s="7">
        <v>1</v>
      </c>
      <c r="D275" s="3">
        <v>3</v>
      </c>
      <c r="E275" s="3">
        <v>4</v>
      </c>
      <c r="F275" s="3">
        <v>1</v>
      </c>
      <c r="G275" s="3">
        <v>2</v>
      </c>
      <c r="H275" s="7">
        <v>3</v>
      </c>
      <c r="I275" s="7">
        <v>3</v>
      </c>
      <c r="J275" s="7">
        <v>17</v>
      </c>
      <c r="K275" s="7">
        <v>4</v>
      </c>
      <c r="L275" s="11">
        <v>2</v>
      </c>
    </row>
    <row r="276" spans="1:12" x14ac:dyDescent="0.3">
      <c r="A276" t="s">
        <v>2066</v>
      </c>
      <c r="B276" s="7">
        <v>6</v>
      </c>
      <c r="C276" s="7">
        <v>1</v>
      </c>
      <c r="D276" s="3">
        <v>3</v>
      </c>
      <c r="E276" s="3">
        <v>1</v>
      </c>
      <c r="F276" s="3">
        <v>100</v>
      </c>
      <c r="G276" s="3">
        <v>100</v>
      </c>
      <c r="H276" s="7">
        <v>3</v>
      </c>
      <c r="I276" s="7">
        <v>3</v>
      </c>
      <c r="J276" s="7">
        <v>17</v>
      </c>
      <c r="K276" s="7">
        <v>4</v>
      </c>
      <c r="L276" s="7">
        <v>2</v>
      </c>
    </row>
    <row r="277" spans="1:12" x14ac:dyDescent="0.3">
      <c r="A277" t="s">
        <v>1308</v>
      </c>
      <c r="B277" s="7">
        <v>13</v>
      </c>
      <c r="C277" s="7">
        <v>1</v>
      </c>
      <c r="D277" s="3">
        <v>1</v>
      </c>
      <c r="E277" s="3">
        <v>4</v>
      </c>
      <c r="F277" s="3">
        <v>1</v>
      </c>
      <c r="G277" s="3">
        <v>2</v>
      </c>
      <c r="H277" s="7">
        <v>3</v>
      </c>
      <c r="I277" s="7">
        <v>3</v>
      </c>
      <c r="J277" s="7">
        <v>17</v>
      </c>
      <c r="K277" s="7">
        <v>4</v>
      </c>
      <c r="L277" s="11">
        <v>2</v>
      </c>
    </row>
    <row r="278" spans="1:12" x14ac:dyDescent="0.3">
      <c r="A278" t="s">
        <v>1799</v>
      </c>
      <c r="B278" s="7">
        <v>9</v>
      </c>
      <c r="C278" s="7">
        <v>1</v>
      </c>
      <c r="D278" s="3">
        <v>5</v>
      </c>
      <c r="E278" s="3">
        <v>4</v>
      </c>
      <c r="F278" s="11">
        <v>1</v>
      </c>
      <c r="G278" s="11">
        <v>2</v>
      </c>
      <c r="H278" s="7">
        <v>3</v>
      </c>
      <c r="I278" s="7">
        <v>3</v>
      </c>
      <c r="J278" s="7">
        <v>17</v>
      </c>
      <c r="K278" s="7">
        <v>4</v>
      </c>
      <c r="L278" s="11">
        <v>2</v>
      </c>
    </row>
    <row r="279" spans="1:12" x14ac:dyDescent="0.3">
      <c r="A279" t="s">
        <v>2480</v>
      </c>
      <c r="B279" s="7">
        <v>16</v>
      </c>
      <c r="C279" s="7">
        <v>1</v>
      </c>
      <c r="D279" s="3">
        <v>3</v>
      </c>
      <c r="E279" s="3">
        <v>4</v>
      </c>
      <c r="F279" s="3">
        <v>100</v>
      </c>
      <c r="G279" s="3">
        <v>100</v>
      </c>
      <c r="H279" s="3">
        <v>3</v>
      </c>
      <c r="I279" s="3">
        <v>3</v>
      </c>
      <c r="J279" s="3">
        <v>17</v>
      </c>
      <c r="K279" s="3">
        <v>4</v>
      </c>
      <c r="L279" s="11">
        <v>2</v>
      </c>
    </row>
    <row r="280" spans="1:12" x14ac:dyDescent="0.3">
      <c r="A280" t="s">
        <v>1414</v>
      </c>
      <c r="B280" s="7">
        <v>12</v>
      </c>
      <c r="C280" s="7">
        <v>1</v>
      </c>
      <c r="D280" s="3">
        <v>5</v>
      </c>
      <c r="E280" s="3">
        <v>1</v>
      </c>
      <c r="F280" s="3">
        <v>1</v>
      </c>
      <c r="G280" s="3">
        <v>2</v>
      </c>
      <c r="H280" s="11">
        <v>2</v>
      </c>
      <c r="I280" s="11">
        <v>2</v>
      </c>
      <c r="J280" s="11">
        <v>16</v>
      </c>
      <c r="K280" s="11">
        <v>3</v>
      </c>
      <c r="L280" s="11">
        <v>2</v>
      </c>
    </row>
    <row r="281" spans="1:12" x14ac:dyDescent="0.3">
      <c r="A281" t="s">
        <v>1757</v>
      </c>
      <c r="B281" s="7">
        <v>10</v>
      </c>
      <c r="C281" s="7">
        <v>1</v>
      </c>
      <c r="D281" s="3">
        <v>3</v>
      </c>
      <c r="E281" s="3">
        <v>4</v>
      </c>
      <c r="F281" s="11">
        <v>3</v>
      </c>
      <c r="G281" s="11">
        <v>5</v>
      </c>
      <c r="H281" s="7">
        <v>1</v>
      </c>
      <c r="I281" s="7">
        <v>3</v>
      </c>
      <c r="J281" s="7">
        <v>1</v>
      </c>
      <c r="K281" s="7">
        <v>5</v>
      </c>
      <c r="L281" s="3">
        <v>1</v>
      </c>
    </row>
    <row r="282" spans="1:12" x14ac:dyDescent="0.3">
      <c r="A282" t="s">
        <v>2235</v>
      </c>
      <c r="B282" s="7">
        <v>4</v>
      </c>
      <c r="C282" s="7">
        <v>1</v>
      </c>
      <c r="D282" s="3">
        <v>7</v>
      </c>
      <c r="E282" s="3">
        <v>9</v>
      </c>
      <c r="F282" s="3">
        <v>1</v>
      </c>
      <c r="G282" s="3">
        <v>1</v>
      </c>
      <c r="H282" s="7">
        <v>3</v>
      </c>
      <c r="I282" s="7">
        <v>3</v>
      </c>
      <c r="J282" s="7">
        <v>17</v>
      </c>
      <c r="K282" s="7">
        <v>4</v>
      </c>
      <c r="L282" s="7">
        <v>2</v>
      </c>
    </row>
    <row r="283" spans="1:12" x14ac:dyDescent="0.3">
      <c r="A283" t="s">
        <v>1772</v>
      </c>
      <c r="B283" s="7">
        <v>9</v>
      </c>
      <c r="C283" s="7">
        <v>1</v>
      </c>
      <c r="D283" s="3">
        <v>3</v>
      </c>
      <c r="E283" s="3">
        <v>4</v>
      </c>
      <c r="F283" s="3">
        <v>100</v>
      </c>
      <c r="G283" s="3">
        <v>100</v>
      </c>
      <c r="H283" s="7">
        <v>3</v>
      </c>
      <c r="I283" s="7">
        <v>3</v>
      </c>
      <c r="J283" s="7">
        <v>17</v>
      </c>
      <c r="K283" s="7">
        <v>4</v>
      </c>
      <c r="L283" s="7">
        <v>2</v>
      </c>
    </row>
    <row r="284" spans="1:12" x14ac:dyDescent="0.3">
      <c r="A284" s="6" t="s">
        <v>791</v>
      </c>
      <c r="B284" s="7">
        <v>15</v>
      </c>
      <c r="C284" s="7">
        <v>1</v>
      </c>
      <c r="D284" s="7">
        <v>3</v>
      </c>
      <c r="E284" s="11">
        <v>4</v>
      </c>
      <c r="F284" s="7">
        <v>1</v>
      </c>
      <c r="G284" s="7">
        <v>2</v>
      </c>
      <c r="H284" s="7">
        <v>3</v>
      </c>
      <c r="I284" s="7">
        <v>3</v>
      </c>
      <c r="J284" s="7">
        <v>17</v>
      </c>
      <c r="K284" s="7">
        <v>4</v>
      </c>
      <c r="L284" s="11">
        <v>2</v>
      </c>
    </row>
    <row r="285" spans="1:12" x14ac:dyDescent="0.3">
      <c r="A285" s="6" t="s">
        <v>374</v>
      </c>
      <c r="B285" s="7">
        <v>16</v>
      </c>
      <c r="C285" s="7">
        <v>1</v>
      </c>
      <c r="D285" s="11">
        <v>7</v>
      </c>
      <c r="E285" s="11">
        <v>4</v>
      </c>
      <c r="F285" s="11">
        <v>1</v>
      </c>
      <c r="G285" s="11">
        <v>2</v>
      </c>
      <c r="H285" s="7">
        <v>1</v>
      </c>
      <c r="I285" s="7">
        <v>3</v>
      </c>
      <c r="J285" s="7">
        <v>1</v>
      </c>
      <c r="K285" s="7">
        <v>5</v>
      </c>
      <c r="L285" s="11">
        <v>2</v>
      </c>
    </row>
    <row r="286" spans="1:12" x14ac:dyDescent="0.3">
      <c r="A286" t="s">
        <v>2527</v>
      </c>
      <c r="B286" s="7">
        <v>16</v>
      </c>
      <c r="C286" s="7">
        <v>1</v>
      </c>
      <c r="D286" s="3">
        <v>3</v>
      </c>
      <c r="E286" s="3">
        <v>15</v>
      </c>
      <c r="F286" s="3">
        <v>100</v>
      </c>
      <c r="G286" s="3">
        <v>100</v>
      </c>
      <c r="H286" s="3">
        <v>3</v>
      </c>
      <c r="I286" s="3">
        <v>3</v>
      </c>
      <c r="J286" s="3">
        <v>17</v>
      </c>
      <c r="K286" s="3">
        <v>4</v>
      </c>
      <c r="L286" s="11">
        <v>2</v>
      </c>
    </row>
    <row r="287" spans="1:12" x14ac:dyDescent="0.3">
      <c r="A287" t="s">
        <v>1858</v>
      </c>
      <c r="B287" s="7">
        <v>8</v>
      </c>
      <c r="C287" s="7">
        <v>1</v>
      </c>
      <c r="D287" s="3">
        <v>3</v>
      </c>
      <c r="E287" s="3">
        <v>2</v>
      </c>
      <c r="F287" s="3">
        <v>100</v>
      </c>
      <c r="G287" s="3">
        <v>100</v>
      </c>
      <c r="H287" s="7">
        <v>3</v>
      </c>
      <c r="I287" s="7">
        <v>3</v>
      </c>
      <c r="J287" s="7">
        <v>17</v>
      </c>
      <c r="K287" s="7">
        <v>4</v>
      </c>
      <c r="L287" s="7">
        <v>2</v>
      </c>
    </row>
    <row r="288" spans="1:12" x14ac:dyDescent="0.3">
      <c r="A288" t="s">
        <v>2419</v>
      </c>
      <c r="B288" s="7">
        <v>2</v>
      </c>
      <c r="C288" s="7">
        <v>1</v>
      </c>
      <c r="D288" s="3">
        <v>6</v>
      </c>
      <c r="E288" s="3">
        <v>2</v>
      </c>
      <c r="F288" s="3">
        <v>100</v>
      </c>
      <c r="G288" s="3">
        <v>100</v>
      </c>
      <c r="H288" s="3">
        <v>1</v>
      </c>
      <c r="I288" s="3">
        <v>1</v>
      </c>
      <c r="J288" s="3">
        <v>10</v>
      </c>
      <c r="K288" s="3">
        <v>2</v>
      </c>
      <c r="L288" s="7">
        <v>2</v>
      </c>
    </row>
    <row r="289" spans="1:12" x14ac:dyDescent="0.3">
      <c r="A289" t="s">
        <v>2442</v>
      </c>
      <c r="B289" s="7">
        <v>2</v>
      </c>
      <c r="C289" s="7">
        <v>1</v>
      </c>
      <c r="D289" s="3">
        <v>3</v>
      </c>
      <c r="E289" s="3">
        <v>13</v>
      </c>
      <c r="F289" s="3">
        <v>2</v>
      </c>
      <c r="G289" s="3">
        <v>4</v>
      </c>
      <c r="H289" s="7">
        <v>3</v>
      </c>
      <c r="I289" s="7">
        <v>3</v>
      </c>
      <c r="J289" s="7">
        <v>17</v>
      </c>
      <c r="K289" s="7">
        <v>4</v>
      </c>
      <c r="L289" s="11">
        <v>2</v>
      </c>
    </row>
    <row r="290" spans="1:12" x14ac:dyDescent="0.3">
      <c r="A290" s="6" t="s">
        <v>316</v>
      </c>
      <c r="B290" s="7">
        <v>16</v>
      </c>
      <c r="C290" s="7">
        <v>1</v>
      </c>
      <c r="D290" s="11">
        <v>3</v>
      </c>
      <c r="E290" s="11">
        <v>4</v>
      </c>
      <c r="F290" s="11">
        <v>1</v>
      </c>
      <c r="G290" s="11">
        <v>2</v>
      </c>
      <c r="H290" s="7">
        <v>1</v>
      </c>
      <c r="I290" s="7">
        <v>3</v>
      </c>
      <c r="J290" s="7">
        <v>1</v>
      </c>
      <c r="K290" s="7">
        <v>5</v>
      </c>
      <c r="L290" s="11">
        <v>2</v>
      </c>
    </row>
    <row r="291" spans="1:12" x14ac:dyDescent="0.3">
      <c r="A291" t="s">
        <v>2648</v>
      </c>
      <c r="B291" s="7">
        <v>14</v>
      </c>
      <c r="C291" s="7">
        <v>1</v>
      </c>
      <c r="D291" s="3">
        <v>6</v>
      </c>
      <c r="E291" s="3">
        <v>3</v>
      </c>
      <c r="F291" s="3">
        <v>1</v>
      </c>
      <c r="G291" s="3">
        <v>2</v>
      </c>
      <c r="H291" s="3">
        <v>3</v>
      </c>
      <c r="I291" s="3">
        <v>3</v>
      </c>
      <c r="J291" s="3">
        <v>17</v>
      </c>
      <c r="K291" s="3">
        <v>4</v>
      </c>
      <c r="L291" s="11">
        <v>2</v>
      </c>
    </row>
    <row r="292" spans="1:12" x14ac:dyDescent="0.3">
      <c r="A292" t="s">
        <v>2861</v>
      </c>
      <c r="B292" s="7">
        <v>11</v>
      </c>
      <c r="C292" s="7">
        <v>1</v>
      </c>
      <c r="D292" s="3">
        <v>3</v>
      </c>
      <c r="E292" s="3">
        <v>4</v>
      </c>
      <c r="F292" s="3">
        <v>100</v>
      </c>
      <c r="G292" s="3">
        <v>100</v>
      </c>
      <c r="H292" s="3">
        <v>3</v>
      </c>
      <c r="I292" s="3">
        <v>3</v>
      </c>
      <c r="J292" s="3">
        <v>17</v>
      </c>
      <c r="K292" s="3">
        <v>4</v>
      </c>
      <c r="L292" s="11">
        <v>2</v>
      </c>
    </row>
    <row r="293" spans="1:12" x14ac:dyDescent="0.3">
      <c r="A293" t="s">
        <v>2997</v>
      </c>
      <c r="B293" s="7">
        <v>8</v>
      </c>
      <c r="C293" s="7">
        <v>1</v>
      </c>
      <c r="D293" s="3">
        <v>6</v>
      </c>
      <c r="E293" s="3">
        <v>15</v>
      </c>
      <c r="F293" s="3">
        <v>100</v>
      </c>
      <c r="G293" s="3">
        <v>100</v>
      </c>
      <c r="H293" s="3">
        <v>3</v>
      </c>
      <c r="I293" s="3">
        <v>3</v>
      </c>
      <c r="J293" s="3">
        <v>17</v>
      </c>
      <c r="K293" s="3">
        <v>4</v>
      </c>
      <c r="L293" s="11">
        <v>2</v>
      </c>
    </row>
    <row r="294" spans="1:12" x14ac:dyDescent="0.3">
      <c r="A294" t="s">
        <v>1809</v>
      </c>
      <c r="B294" s="7">
        <v>9</v>
      </c>
      <c r="C294" s="7">
        <v>1</v>
      </c>
      <c r="D294" s="3">
        <v>7</v>
      </c>
      <c r="E294" s="3">
        <v>4</v>
      </c>
      <c r="F294" s="3">
        <v>1</v>
      </c>
      <c r="G294" s="3">
        <v>2</v>
      </c>
      <c r="H294" s="7">
        <v>3</v>
      </c>
      <c r="I294" s="7">
        <v>3</v>
      </c>
      <c r="J294" s="7">
        <v>17</v>
      </c>
      <c r="K294" s="7">
        <v>4</v>
      </c>
      <c r="L294" s="11">
        <v>2</v>
      </c>
    </row>
    <row r="295" spans="1:12" x14ac:dyDescent="0.3">
      <c r="A295" t="s">
        <v>1957</v>
      </c>
      <c r="B295" s="7">
        <v>7</v>
      </c>
      <c r="C295" s="7">
        <v>1</v>
      </c>
      <c r="D295" s="3">
        <v>3</v>
      </c>
      <c r="E295" s="3">
        <v>4</v>
      </c>
      <c r="F295" s="3">
        <v>1</v>
      </c>
      <c r="G295" s="3">
        <v>1</v>
      </c>
      <c r="H295" s="7">
        <v>3</v>
      </c>
      <c r="I295" s="7">
        <v>3</v>
      </c>
      <c r="J295" s="7">
        <v>17</v>
      </c>
      <c r="K295" s="7">
        <v>4</v>
      </c>
      <c r="L295" s="11">
        <v>2</v>
      </c>
    </row>
    <row r="296" spans="1:12" x14ac:dyDescent="0.3">
      <c r="A296" s="6" t="s">
        <v>526</v>
      </c>
      <c r="B296" s="7">
        <v>16</v>
      </c>
      <c r="C296" s="7">
        <v>1</v>
      </c>
      <c r="D296" s="11">
        <v>3</v>
      </c>
      <c r="E296" s="11">
        <v>4</v>
      </c>
      <c r="F296" s="11">
        <v>1</v>
      </c>
      <c r="G296" s="11">
        <v>2</v>
      </c>
      <c r="H296" s="7">
        <v>3</v>
      </c>
      <c r="I296" s="7">
        <v>3</v>
      </c>
      <c r="J296" s="7">
        <v>17</v>
      </c>
      <c r="K296" s="7">
        <v>4</v>
      </c>
      <c r="L296" s="11">
        <v>2</v>
      </c>
    </row>
    <row r="297" spans="1:12" x14ac:dyDescent="0.3">
      <c r="A297" s="6" t="s">
        <v>161</v>
      </c>
      <c r="B297" s="7">
        <v>17</v>
      </c>
      <c r="C297" s="7">
        <v>1</v>
      </c>
      <c r="D297" s="11">
        <v>3</v>
      </c>
      <c r="E297" s="11">
        <v>14</v>
      </c>
      <c r="F297" s="11">
        <v>1</v>
      </c>
      <c r="G297" s="11">
        <v>2</v>
      </c>
      <c r="H297" s="11">
        <v>1</v>
      </c>
      <c r="I297" s="11">
        <v>3</v>
      </c>
      <c r="J297" s="11">
        <v>2</v>
      </c>
      <c r="K297" s="11">
        <v>5</v>
      </c>
      <c r="L297" s="11">
        <v>2</v>
      </c>
    </row>
    <row r="298" spans="1:12" x14ac:dyDescent="0.3">
      <c r="A298" t="s">
        <v>3027</v>
      </c>
      <c r="B298" s="7">
        <v>4</v>
      </c>
      <c r="C298" s="7">
        <v>1</v>
      </c>
      <c r="D298" s="3">
        <v>3</v>
      </c>
      <c r="E298" s="3">
        <v>14</v>
      </c>
      <c r="F298" s="3">
        <v>100</v>
      </c>
      <c r="G298" s="3">
        <v>100</v>
      </c>
      <c r="H298" s="3">
        <v>3</v>
      </c>
      <c r="I298" s="3">
        <v>3</v>
      </c>
      <c r="J298" s="3">
        <v>17</v>
      </c>
      <c r="K298" s="3">
        <v>4</v>
      </c>
      <c r="L298" s="11">
        <v>2</v>
      </c>
    </row>
    <row r="299" spans="1:12" x14ac:dyDescent="0.3">
      <c r="A299" t="s">
        <v>2386</v>
      </c>
      <c r="B299" s="7">
        <v>1</v>
      </c>
      <c r="C299" s="7">
        <v>1</v>
      </c>
      <c r="D299" s="11">
        <v>8</v>
      </c>
      <c r="E299" s="11">
        <v>4</v>
      </c>
      <c r="F299" s="7">
        <v>1</v>
      </c>
      <c r="G299" s="7">
        <v>1</v>
      </c>
      <c r="H299" s="7">
        <v>1</v>
      </c>
      <c r="I299" s="7">
        <v>3</v>
      </c>
      <c r="J299" s="7">
        <v>1</v>
      </c>
      <c r="K299" s="7">
        <v>5</v>
      </c>
      <c r="L299" s="7">
        <v>2</v>
      </c>
    </row>
    <row r="300" spans="1:12" x14ac:dyDescent="0.3">
      <c r="A300" t="s">
        <v>2043</v>
      </c>
      <c r="B300" s="7">
        <v>7</v>
      </c>
      <c r="C300" s="7">
        <v>1</v>
      </c>
      <c r="D300" s="3">
        <v>3</v>
      </c>
      <c r="E300" s="3">
        <v>2</v>
      </c>
      <c r="F300" s="3">
        <v>1</v>
      </c>
      <c r="G300" s="3">
        <v>1</v>
      </c>
      <c r="H300" s="7">
        <v>3</v>
      </c>
      <c r="I300" s="7">
        <v>3</v>
      </c>
      <c r="J300" s="7">
        <v>17</v>
      </c>
      <c r="K300" s="7">
        <v>4</v>
      </c>
      <c r="L300" s="11">
        <v>2</v>
      </c>
    </row>
    <row r="301" spans="1:12" x14ac:dyDescent="0.3">
      <c r="A301" t="s">
        <v>2647</v>
      </c>
      <c r="B301" s="7">
        <v>14</v>
      </c>
      <c r="C301" s="7">
        <v>1</v>
      </c>
      <c r="D301" s="3">
        <v>9</v>
      </c>
      <c r="E301" s="3">
        <v>3</v>
      </c>
      <c r="F301" s="11">
        <v>1</v>
      </c>
      <c r="G301" s="11">
        <v>100</v>
      </c>
      <c r="H301" s="7">
        <v>3</v>
      </c>
      <c r="I301" s="7">
        <v>3</v>
      </c>
      <c r="J301" s="7">
        <v>17</v>
      </c>
      <c r="K301" s="7">
        <v>4</v>
      </c>
      <c r="L301" s="11">
        <v>2</v>
      </c>
    </row>
    <row r="302" spans="1:12" x14ac:dyDescent="0.3">
      <c r="A302" s="6" t="s">
        <v>903</v>
      </c>
      <c r="B302" s="7">
        <v>15</v>
      </c>
      <c r="C302" s="7">
        <v>1</v>
      </c>
      <c r="D302" s="7">
        <v>6</v>
      </c>
      <c r="E302" s="11">
        <v>4</v>
      </c>
      <c r="F302" s="11">
        <v>1</v>
      </c>
      <c r="G302" s="11">
        <v>2</v>
      </c>
      <c r="H302" s="7">
        <v>1</v>
      </c>
      <c r="I302" s="7">
        <v>3</v>
      </c>
      <c r="J302" s="7">
        <v>1</v>
      </c>
      <c r="K302" s="7">
        <v>5</v>
      </c>
      <c r="L302" s="11">
        <v>2</v>
      </c>
    </row>
    <row r="303" spans="1:12" x14ac:dyDescent="0.3">
      <c r="A303" t="s">
        <v>2685</v>
      </c>
      <c r="B303" s="7">
        <v>14</v>
      </c>
      <c r="C303" s="7">
        <v>1</v>
      </c>
      <c r="D303" s="3">
        <v>1</v>
      </c>
      <c r="E303" s="3">
        <v>3</v>
      </c>
      <c r="F303" s="11">
        <v>100</v>
      </c>
      <c r="G303" s="11">
        <v>100</v>
      </c>
      <c r="H303" s="7">
        <v>3</v>
      </c>
      <c r="I303" s="7">
        <v>3</v>
      </c>
      <c r="J303" s="7">
        <v>17</v>
      </c>
      <c r="K303" s="7">
        <v>4</v>
      </c>
      <c r="L303" s="7">
        <v>2</v>
      </c>
    </row>
    <row r="304" spans="1:12" x14ac:dyDescent="0.3">
      <c r="A304" t="s">
        <v>2726</v>
      </c>
      <c r="B304" s="7">
        <v>13</v>
      </c>
      <c r="C304" s="7">
        <v>1</v>
      </c>
      <c r="D304" s="3">
        <v>3</v>
      </c>
      <c r="E304" s="3">
        <v>4</v>
      </c>
      <c r="F304" s="3">
        <v>1</v>
      </c>
      <c r="G304" s="3">
        <v>2</v>
      </c>
      <c r="H304" s="3">
        <v>3</v>
      </c>
      <c r="I304" s="3">
        <v>3</v>
      </c>
      <c r="J304" s="3">
        <v>17</v>
      </c>
      <c r="K304" s="3">
        <v>4</v>
      </c>
      <c r="L304" s="7">
        <v>2</v>
      </c>
    </row>
    <row r="305" spans="1:12" x14ac:dyDescent="0.3">
      <c r="A305" t="s">
        <v>1679</v>
      </c>
      <c r="B305" s="7">
        <v>11</v>
      </c>
      <c r="C305" s="7">
        <v>1</v>
      </c>
      <c r="D305" s="11">
        <v>8</v>
      </c>
      <c r="E305" s="11">
        <v>1</v>
      </c>
      <c r="F305" s="11">
        <v>1</v>
      </c>
      <c r="G305" s="11">
        <v>2</v>
      </c>
      <c r="H305" s="7">
        <v>2</v>
      </c>
      <c r="I305" s="7">
        <v>2</v>
      </c>
      <c r="J305" s="7">
        <v>16</v>
      </c>
      <c r="K305" s="7">
        <v>3</v>
      </c>
      <c r="L305" s="7">
        <v>2</v>
      </c>
    </row>
    <row r="306" spans="1:12" x14ac:dyDescent="0.3">
      <c r="A306" t="s">
        <v>2765</v>
      </c>
      <c r="B306" s="7">
        <v>13</v>
      </c>
      <c r="C306" s="7">
        <v>1</v>
      </c>
      <c r="D306" s="3">
        <v>3</v>
      </c>
      <c r="E306" s="3">
        <v>2</v>
      </c>
      <c r="F306" s="3">
        <v>100</v>
      </c>
      <c r="G306" s="3">
        <v>100</v>
      </c>
      <c r="H306" s="3">
        <v>3</v>
      </c>
      <c r="I306" s="3">
        <v>3</v>
      </c>
      <c r="J306" s="3">
        <v>17</v>
      </c>
      <c r="K306" s="3">
        <v>4</v>
      </c>
      <c r="L306" s="11">
        <v>2</v>
      </c>
    </row>
    <row r="307" spans="1:12" x14ac:dyDescent="0.3">
      <c r="A307" t="s">
        <v>1100</v>
      </c>
      <c r="B307" s="7">
        <v>14</v>
      </c>
      <c r="C307" s="7">
        <v>1</v>
      </c>
      <c r="D307" s="3">
        <v>3</v>
      </c>
      <c r="E307" s="3">
        <v>4</v>
      </c>
      <c r="F307" s="3">
        <v>4</v>
      </c>
      <c r="G307" s="3">
        <v>5</v>
      </c>
      <c r="H307" s="3">
        <v>1</v>
      </c>
      <c r="I307" s="3">
        <v>2</v>
      </c>
      <c r="J307" s="3">
        <v>1</v>
      </c>
      <c r="K307" s="3">
        <v>3</v>
      </c>
      <c r="L307" s="11">
        <v>2</v>
      </c>
    </row>
    <row r="308" spans="1:12" x14ac:dyDescent="0.3">
      <c r="A308" s="6" t="s">
        <v>803</v>
      </c>
      <c r="B308" s="7">
        <v>15</v>
      </c>
      <c r="C308" s="7">
        <v>1</v>
      </c>
      <c r="D308" s="7">
        <v>6</v>
      </c>
      <c r="E308" s="11">
        <v>1</v>
      </c>
      <c r="F308" s="7">
        <v>100</v>
      </c>
      <c r="G308" s="7">
        <v>100</v>
      </c>
      <c r="H308" s="7">
        <v>3</v>
      </c>
      <c r="I308" s="7">
        <v>3</v>
      </c>
      <c r="J308" s="7">
        <v>17</v>
      </c>
      <c r="K308" s="7">
        <v>4</v>
      </c>
      <c r="L308" s="7">
        <v>2</v>
      </c>
    </row>
    <row r="309" spans="1:12" x14ac:dyDescent="0.3">
      <c r="A309" t="s">
        <v>3023</v>
      </c>
      <c r="B309" s="7">
        <v>1</v>
      </c>
      <c r="C309" s="7">
        <v>1</v>
      </c>
      <c r="D309" s="3">
        <v>3</v>
      </c>
      <c r="E309" s="3">
        <v>14</v>
      </c>
      <c r="F309" s="3">
        <v>3</v>
      </c>
      <c r="G309" s="3">
        <v>4</v>
      </c>
      <c r="H309" s="3">
        <v>3</v>
      </c>
      <c r="I309" s="3">
        <v>3</v>
      </c>
      <c r="J309" s="3">
        <v>17</v>
      </c>
      <c r="K309" s="3">
        <v>4</v>
      </c>
      <c r="L309" s="3">
        <v>1</v>
      </c>
    </row>
    <row r="310" spans="1:12" x14ac:dyDescent="0.3">
      <c r="A310" s="6" t="s">
        <v>262</v>
      </c>
      <c r="B310" s="7">
        <v>17</v>
      </c>
      <c r="C310" s="7">
        <v>1</v>
      </c>
      <c r="D310" s="11">
        <v>3</v>
      </c>
      <c r="E310" s="7">
        <v>4</v>
      </c>
      <c r="F310" s="11">
        <v>1</v>
      </c>
      <c r="G310" s="11">
        <v>2</v>
      </c>
      <c r="H310" s="7">
        <v>3</v>
      </c>
      <c r="I310" s="7">
        <v>3</v>
      </c>
      <c r="J310" s="7">
        <v>17</v>
      </c>
      <c r="K310" s="7">
        <v>4</v>
      </c>
      <c r="L310" s="11">
        <v>2</v>
      </c>
    </row>
    <row r="311" spans="1:12" x14ac:dyDescent="0.3">
      <c r="A311" t="s">
        <v>2988</v>
      </c>
      <c r="B311" s="7">
        <v>7</v>
      </c>
      <c r="C311" s="7">
        <v>1</v>
      </c>
      <c r="D311" s="3">
        <v>8</v>
      </c>
      <c r="E311" s="3">
        <v>4</v>
      </c>
      <c r="F311" s="3">
        <v>1</v>
      </c>
      <c r="G311" s="3">
        <v>1</v>
      </c>
      <c r="H311" s="3">
        <v>3</v>
      </c>
      <c r="I311" s="3">
        <v>3</v>
      </c>
      <c r="J311" s="3">
        <v>17</v>
      </c>
      <c r="K311" s="3">
        <v>4</v>
      </c>
      <c r="L311" s="7">
        <v>2</v>
      </c>
    </row>
    <row r="312" spans="1:12" x14ac:dyDescent="0.3">
      <c r="A312" t="s">
        <v>2869</v>
      </c>
      <c r="B312" s="7">
        <v>11</v>
      </c>
      <c r="C312" s="7">
        <v>1</v>
      </c>
      <c r="D312" s="3">
        <v>3</v>
      </c>
      <c r="E312" s="3">
        <v>4</v>
      </c>
      <c r="F312" s="3">
        <v>3</v>
      </c>
      <c r="G312" s="3">
        <v>5</v>
      </c>
      <c r="H312" s="3">
        <v>3</v>
      </c>
      <c r="I312" s="3">
        <v>3</v>
      </c>
      <c r="J312" s="3">
        <v>17</v>
      </c>
      <c r="K312" s="3">
        <v>4</v>
      </c>
      <c r="L312" s="7">
        <v>2</v>
      </c>
    </row>
    <row r="313" spans="1:12" x14ac:dyDescent="0.3">
      <c r="A313" t="s">
        <v>1616</v>
      </c>
      <c r="B313" s="7">
        <v>11</v>
      </c>
      <c r="C313" s="7">
        <v>1</v>
      </c>
      <c r="D313" s="3">
        <v>7</v>
      </c>
      <c r="E313" s="3">
        <v>15</v>
      </c>
      <c r="F313" s="3">
        <v>100</v>
      </c>
      <c r="G313" s="3">
        <v>100</v>
      </c>
      <c r="H313" s="7">
        <v>3</v>
      </c>
      <c r="I313" s="7">
        <v>3</v>
      </c>
      <c r="J313" s="7">
        <v>17</v>
      </c>
      <c r="K313" s="7">
        <v>4</v>
      </c>
      <c r="L313" s="7">
        <v>2</v>
      </c>
    </row>
    <row r="314" spans="1:12" x14ac:dyDescent="0.3">
      <c r="A314" t="s">
        <v>2539</v>
      </c>
      <c r="B314" s="7">
        <v>16</v>
      </c>
      <c r="C314" s="7">
        <v>1</v>
      </c>
      <c r="D314" s="3">
        <v>5</v>
      </c>
      <c r="E314" s="3">
        <v>8</v>
      </c>
      <c r="F314" s="11">
        <v>1</v>
      </c>
      <c r="G314" s="11">
        <v>2</v>
      </c>
      <c r="H314" s="11">
        <v>2</v>
      </c>
      <c r="I314" s="11">
        <v>2</v>
      </c>
      <c r="J314" s="11">
        <v>4</v>
      </c>
      <c r="K314" s="11">
        <v>2</v>
      </c>
      <c r="L314" s="7">
        <v>2</v>
      </c>
    </row>
    <row r="315" spans="1:12" x14ac:dyDescent="0.3">
      <c r="A315" s="6" t="s">
        <v>162</v>
      </c>
      <c r="B315" s="7">
        <v>17</v>
      </c>
      <c r="C315" s="7">
        <v>1</v>
      </c>
      <c r="D315" s="11">
        <v>3</v>
      </c>
      <c r="E315" s="11">
        <v>2</v>
      </c>
      <c r="F315" s="11">
        <v>3</v>
      </c>
      <c r="G315" s="11">
        <v>3</v>
      </c>
      <c r="H315" s="7">
        <v>3</v>
      </c>
      <c r="I315" s="7">
        <v>3</v>
      </c>
      <c r="J315" s="7">
        <v>17</v>
      </c>
      <c r="K315" s="7">
        <v>4</v>
      </c>
      <c r="L315" s="11">
        <v>2</v>
      </c>
    </row>
    <row r="316" spans="1:12" x14ac:dyDescent="0.3">
      <c r="A316" t="s">
        <v>2358</v>
      </c>
      <c r="B316" s="7">
        <v>3</v>
      </c>
      <c r="C316" s="7">
        <v>1</v>
      </c>
      <c r="D316" s="3">
        <v>5</v>
      </c>
      <c r="E316" s="3">
        <v>3</v>
      </c>
      <c r="F316" s="3">
        <v>2</v>
      </c>
      <c r="G316" s="3">
        <v>4</v>
      </c>
      <c r="H316" s="3">
        <v>3</v>
      </c>
      <c r="I316" s="3">
        <v>3</v>
      </c>
      <c r="J316" s="3">
        <v>17</v>
      </c>
      <c r="K316" s="3">
        <v>4</v>
      </c>
      <c r="L316" s="11">
        <v>2</v>
      </c>
    </row>
    <row r="317" spans="1:12" x14ac:dyDescent="0.3">
      <c r="A317" t="s">
        <v>2152</v>
      </c>
      <c r="B317" s="7">
        <v>5</v>
      </c>
      <c r="C317" s="7">
        <v>1</v>
      </c>
      <c r="D317" s="3">
        <v>7</v>
      </c>
      <c r="E317" s="3">
        <v>1</v>
      </c>
      <c r="F317" s="3">
        <v>2</v>
      </c>
      <c r="G317" s="3">
        <v>4</v>
      </c>
      <c r="H317" s="11">
        <v>3</v>
      </c>
      <c r="I317" s="11">
        <v>3</v>
      </c>
      <c r="J317" s="11">
        <v>17</v>
      </c>
      <c r="K317" s="11">
        <v>4</v>
      </c>
      <c r="L317" s="7">
        <v>2</v>
      </c>
    </row>
    <row r="318" spans="1:12" x14ac:dyDescent="0.3">
      <c r="A318" s="6" t="s">
        <v>655</v>
      </c>
      <c r="B318" s="7">
        <v>16</v>
      </c>
      <c r="C318" s="7">
        <v>1</v>
      </c>
      <c r="D318" s="11">
        <v>3</v>
      </c>
      <c r="E318" s="11">
        <v>4</v>
      </c>
      <c r="F318" s="11">
        <v>100</v>
      </c>
      <c r="G318" s="11">
        <v>2</v>
      </c>
      <c r="H318" s="7">
        <v>3</v>
      </c>
      <c r="I318" s="7">
        <v>3</v>
      </c>
      <c r="J318" s="7">
        <v>17</v>
      </c>
      <c r="K318" s="7">
        <v>4</v>
      </c>
      <c r="L318" s="11">
        <v>2</v>
      </c>
    </row>
    <row r="319" spans="1:12" x14ac:dyDescent="0.3">
      <c r="A319" t="s">
        <v>2722</v>
      </c>
      <c r="B319" s="7">
        <v>13</v>
      </c>
      <c r="C319" s="7">
        <v>1</v>
      </c>
      <c r="D319" s="3">
        <v>3</v>
      </c>
      <c r="E319" s="3">
        <v>4</v>
      </c>
      <c r="F319" s="11">
        <v>1</v>
      </c>
      <c r="G319" s="11">
        <v>2</v>
      </c>
      <c r="H319" s="3">
        <v>3</v>
      </c>
      <c r="I319" s="3">
        <v>3</v>
      </c>
      <c r="J319" s="3">
        <v>17</v>
      </c>
      <c r="K319" s="3">
        <v>4</v>
      </c>
      <c r="L319" s="11">
        <v>2</v>
      </c>
    </row>
    <row r="320" spans="1:12" x14ac:dyDescent="0.3">
      <c r="A320" s="6" t="s">
        <v>987</v>
      </c>
      <c r="B320" s="7">
        <v>14</v>
      </c>
      <c r="C320" s="7">
        <v>1</v>
      </c>
      <c r="D320" s="11">
        <v>3</v>
      </c>
      <c r="E320" s="11">
        <v>14</v>
      </c>
      <c r="F320" s="11">
        <v>4</v>
      </c>
      <c r="G320" s="11">
        <v>3</v>
      </c>
      <c r="H320" s="7">
        <v>2</v>
      </c>
      <c r="I320" s="7">
        <v>2</v>
      </c>
      <c r="J320" s="7">
        <v>16</v>
      </c>
      <c r="K320" s="7">
        <v>3</v>
      </c>
      <c r="L320" s="11">
        <v>1</v>
      </c>
    </row>
    <row r="321" spans="1:12" x14ac:dyDescent="0.3">
      <c r="A321" s="6" t="s">
        <v>382</v>
      </c>
      <c r="B321" s="7">
        <v>16</v>
      </c>
      <c r="C321" s="7">
        <v>1</v>
      </c>
      <c r="D321" s="11">
        <v>1</v>
      </c>
      <c r="E321" s="11">
        <v>4</v>
      </c>
      <c r="F321" s="11">
        <v>1</v>
      </c>
      <c r="G321" s="11">
        <v>2</v>
      </c>
      <c r="H321" s="7">
        <v>1</v>
      </c>
      <c r="I321" s="7">
        <v>3</v>
      </c>
      <c r="J321" s="7">
        <v>1</v>
      </c>
      <c r="K321" s="7">
        <v>5</v>
      </c>
      <c r="L321" s="11">
        <v>2</v>
      </c>
    </row>
    <row r="322" spans="1:12" x14ac:dyDescent="0.3">
      <c r="A322" t="s">
        <v>1548</v>
      </c>
      <c r="B322" s="7">
        <v>12</v>
      </c>
      <c r="C322" s="7">
        <v>1</v>
      </c>
      <c r="D322" s="3">
        <v>3</v>
      </c>
      <c r="E322" s="3">
        <v>4</v>
      </c>
      <c r="F322" s="3">
        <v>1</v>
      </c>
      <c r="G322" s="3">
        <v>2</v>
      </c>
      <c r="H322" s="3">
        <v>1</v>
      </c>
      <c r="I322" s="3">
        <v>3</v>
      </c>
      <c r="J322" s="3">
        <v>1</v>
      </c>
      <c r="K322" s="3">
        <v>5</v>
      </c>
      <c r="L322" s="7">
        <v>2</v>
      </c>
    </row>
    <row r="323" spans="1:12" x14ac:dyDescent="0.3">
      <c r="A323" s="6" t="s">
        <v>701</v>
      </c>
      <c r="B323" s="7">
        <v>16</v>
      </c>
      <c r="C323" s="7">
        <v>1</v>
      </c>
      <c r="D323" s="7">
        <v>9</v>
      </c>
      <c r="E323" s="11">
        <v>4</v>
      </c>
      <c r="F323" s="11">
        <v>3</v>
      </c>
      <c r="G323" s="11">
        <v>3</v>
      </c>
      <c r="H323" s="11">
        <v>1</v>
      </c>
      <c r="I323" s="11">
        <v>3</v>
      </c>
      <c r="J323" s="11">
        <v>16</v>
      </c>
      <c r="K323" s="11">
        <v>5</v>
      </c>
      <c r="L323" s="11">
        <v>1</v>
      </c>
    </row>
    <row r="324" spans="1:12" x14ac:dyDescent="0.3">
      <c r="A324" t="s">
        <v>2212</v>
      </c>
      <c r="B324" s="7">
        <v>4</v>
      </c>
      <c r="C324" s="7">
        <v>1</v>
      </c>
      <c r="D324" s="3">
        <v>3</v>
      </c>
      <c r="E324" s="3">
        <v>1</v>
      </c>
      <c r="F324" s="3">
        <v>100</v>
      </c>
      <c r="G324" s="3">
        <v>100</v>
      </c>
      <c r="H324" s="7">
        <v>3</v>
      </c>
      <c r="I324" s="7">
        <v>3</v>
      </c>
      <c r="J324" s="7">
        <v>17</v>
      </c>
      <c r="K324" s="7">
        <v>4</v>
      </c>
      <c r="L324" s="7">
        <v>2</v>
      </c>
    </row>
    <row r="325" spans="1:12" x14ac:dyDescent="0.3">
      <c r="A325" t="s">
        <v>1658</v>
      </c>
      <c r="B325" s="7">
        <v>11</v>
      </c>
      <c r="C325" s="7">
        <v>1</v>
      </c>
      <c r="D325" s="3">
        <v>8</v>
      </c>
      <c r="E325" s="3">
        <v>5</v>
      </c>
      <c r="F325" s="3">
        <v>1</v>
      </c>
      <c r="G325" s="3">
        <v>2</v>
      </c>
      <c r="H325" s="3">
        <v>1</v>
      </c>
      <c r="I325" s="3">
        <v>3</v>
      </c>
      <c r="J325" s="3">
        <v>1</v>
      </c>
      <c r="K325" s="3">
        <v>5</v>
      </c>
      <c r="L325" s="7">
        <v>2</v>
      </c>
    </row>
    <row r="326" spans="1:12" x14ac:dyDescent="0.3">
      <c r="A326" s="6" t="s">
        <v>606</v>
      </c>
      <c r="B326" s="7">
        <v>16</v>
      </c>
      <c r="C326" s="7">
        <v>1</v>
      </c>
      <c r="D326" s="11">
        <v>3</v>
      </c>
      <c r="E326" s="11">
        <v>4</v>
      </c>
      <c r="F326" s="11">
        <v>1</v>
      </c>
      <c r="G326" s="11">
        <v>100</v>
      </c>
      <c r="H326" s="7">
        <v>3</v>
      </c>
      <c r="I326" s="7">
        <v>3</v>
      </c>
      <c r="J326" s="7">
        <v>17</v>
      </c>
      <c r="K326" s="7">
        <v>4</v>
      </c>
      <c r="L326" s="11">
        <v>2</v>
      </c>
    </row>
    <row r="327" spans="1:12" x14ac:dyDescent="0.3">
      <c r="A327" t="s">
        <v>1383</v>
      </c>
      <c r="B327" s="7">
        <v>13</v>
      </c>
      <c r="C327" s="7">
        <v>1</v>
      </c>
      <c r="D327" s="3">
        <v>3</v>
      </c>
      <c r="E327" s="3">
        <v>12</v>
      </c>
      <c r="F327" s="3">
        <v>1</v>
      </c>
      <c r="G327" s="3">
        <v>2</v>
      </c>
      <c r="H327" s="7">
        <v>3</v>
      </c>
      <c r="I327" s="7">
        <v>3</v>
      </c>
      <c r="J327" s="7">
        <v>17</v>
      </c>
      <c r="K327" s="7">
        <v>4</v>
      </c>
      <c r="L327" s="11">
        <v>2</v>
      </c>
    </row>
    <row r="328" spans="1:12" x14ac:dyDescent="0.3">
      <c r="A328" t="s">
        <v>2437</v>
      </c>
      <c r="B328" s="7">
        <v>2</v>
      </c>
      <c r="C328" s="7">
        <v>1</v>
      </c>
      <c r="D328" s="3">
        <v>3</v>
      </c>
      <c r="E328" s="3">
        <v>4</v>
      </c>
      <c r="F328" s="3">
        <v>100</v>
      </c>
      <c r="G328" s="3">
        <v>100</v>
      </c>
      <c r="H328" s="3">
        <v>3</v>
      </c>
      <c r="I328" s="3">
        <v>3</v>
      </c>
      <c r="J328" s="3">
        <v>17</v>
      </c>
      <c r="K328" s="3">
        <v>4</v>
      </c>
      <c r="L328" s="11">
        <v>2</v>
      </c>
    </row>
    <row r="329" spans="1:12" x14ac:dyDescent="0.3">
      <c r="A329" s="6" t="s">
        <v>928</v>
      </c>
      <c r="B329" s="7">
        <v>15</v>
      </c>
      <c r="C329" s="7">
        <v>1</v>
      </c>
      <c r="D329" s="7">
        <v>8</v>
      </c>
      <c r="E329" s="11">
        <v>9</v>
      </c>
      <c r="F329" s="7">
        <v>10</v>
      </c>
      <c r="G329" s="7">
        <v>3</v>
      </c>
      <c r="H329" s="11">
        <v>2</v>
      </c>
      <c r="I329" s="11">
        <v>2</v>
      </c>
      <c r="J329" s="11">
        <v>16</v>
      </c>
      <c r="K329" s="11">
        <v>3</v>
      </c>
      <c r="L329" s="11">
        <v>1</v>
      </c>
    </row>
    <row r="330" spans="1:12" x14ac:dyDescent="0.3">
      <c r="A330" t="s">
        <v>1512</v>
      </c>
      <c r="B330" s="7">
        <v>12</v>
      </c>
      <c r="C330" s="7">
        <v>1</v>
      </c>
      <c r="D330" s="11">
        <v>8</v>
      </c>
      <c r="E330" s="11">
        <v>9</v>
      </c>
      <c r="F330" s="11">
        <v>5</v>
      </c>
      <c r="G330" s="11">
        <v>3</v>
      </c>
      <c r="H330" s="11">
        <v>2</v>
      </c>
      <c r="I330" s="11">
        <v>2</v>
      </c>
      <c r="J330" s="11">
        <v>16</v>
      </c>
      <c r="K330" s="11">
        <v>3</v>
      </c>
      <c r="L330" s="11">
        <v>1</v>
      </c>
    </row>
    <row r="331" spans="1:12" x14ac:dyDescent="0.3">
      <c r="A331" t="s">
        <v>3033</v>
      </c>
      <c r="B331" s="7">
        <v>4</v>
      </c>
      <c r="C331" s="7">
        <v>1</v>
      </c>
      <c r="D331" s="3">
        <v>3</v>
      </c>
      <c r="E331" s="3">
        <v>3</v>
      </c>
      <c r="F331" s="3">
        <v>1</v>
      </c>
      <c r="G331" s="3">
        <v>1</v>
      </c>
      <c r="H331" s="3">
        <v>3</v>
      </c>
      <c r="I331" s="3">
        <v>3</v>
      </c>
      <c r="J331" s="3">
        <v>17</v>
      </c>
      <c r="K331" s="3">
        <v>4</v>
      </c>
      <c r="L331" s="11">
        <v>2</v>
      </c>
    </row>
    <row r="332" spans="1:12" x14ac:dyDescent="0.3">
      <c r="A332" t="s">
        <v>2472</v>
      </c>
      <c r="B332" s="7">
        <v>16</v>
      </c>
      <c r="C332" s="7">
        <v>1</v>
      </c>
      <c r="D332" s="3">
        <v>8</v>
      </c>
      <c r="E332" s="3">
        <v>12</v>
      </c>
      <c r="F332" s="3">
        <v>3</v>
      </c>
      <c r="G332" s="3">
        <v>3</v>
      </c>
      <c r="H332" s="7">
        <v>1</v>
      </c>
      <c r="I332" s="7">
        <v>3</v>
      </c>
      <c r="J332" s="7">
        <v>1</v>
      </c>
      <c r="K332" s="7">
        <v>5</v>
      </c>
      <c r="L332" s="7">
        <v>2</v>
      </c>
    </row>
    <row r="333" spans="1:12" x14ac:dyDescent="0.3">
      <c r="A333" t="s">
        <v>2929</v>
      </c>
      <c r="B333" s="7">
        <v>10</v>
      </c>
      <c r="C333" s="7">
        <v>1</v>
      </c>
      <c r="D333" s="3">
        <v>5</v>
      </c>
      <c r="E333" s="3">
        <v>5</v>
      </c>
      <c r="F333" s="3">
        <v>2</v>
      </c>
      <c r="G333" s="3">
        <v>3</v>
      </c>
      <c r="H333" s="7">
        <v>1</v>
      </c>
      <c r="I333" s="7">
        <v>2</v>
      </c>
      <c r="J333" s="7">
        <v>16</v>
      </c>
      <c r="K333" s="7">
        <v>3</v>
      </c>
      <c r="L333" s="3">
        <v>1</v>
      </c>
    </row>
    <row r="334" spans="1:12" x14ac:dyDescent="0.3">
      <c r="A334" t="s">
        <v>1827</v>
      </c>
      <c r="B334" s="7">
        <v>8</v>
      </c>
      <c r="C334" s="7">
        <v>1</v>
      </c>
      <c r="D334" s="3">
        <v>5</v>
      </c>
      <c r="E334" s="3">
        <v>4</v>
      </c>
      <c r="F334" s="11">
        <v>1</v>
      </c>
      <c r="G334" s="11">
        <v>1</v>
      </c>
      <c r="H334" s="7">
        <v>3</v>
      </c>
      <c r="I334" s="7">
        <v>3</v>
      </c>
      <c r="J334" s="7">
        <v>17</v>
      </c>
      <c r="K334" s="7">
        <v>3</v>
      </c>
      <c r="L334" s="11">
        <v>2</v>
      </c>
    </row>
    <row r="335" spans="1:12" x14ac:dyDescent="0.3">
      <c r="A335" t="s">
        <v>2597</v>
      </c>
      <c r="B335" s="7">
        <v>15</v>
      </c>
      <c r="C335" s="7">
        <v>1</v>
      </c>
      <c r="D335" s="3">
        <v>3</v>
      </c>
      <c r="E335" s="3">
        <v>4</v>
      </c>
      <c r="F335" s="3">
        <v>100</v>
      </c>
      <c r="G335" s="3">
        <v>100</v>
      </c>
      <c r="H335" s="3">
        <v>3</v>
      </c>
      <c r="I335" s="3">
        <v>3</v>
      </c>
      <c r="J335" s="3">
        <v>17</v>
      </c>
      <c r="K335" s="3">
        <v>4</v>
      </c>
      <c r="L335" s="11">
        <v>2</v>
      </c>
    </row>
    <row r="336" spans="1:12" x14ac:dyDescent="0.3">
      <c r="A336" s="6" t="s">
        <v>519</v>
      </c>
      <c r="B336" s="7">
        <v>16</v>
      </c>
      <c r="C336" s="7">
        <v>1</v>
      </c>
      <c r="D336" s="11">
        <v>3</v>
      </c>
      <c r="E336" s="11">
        <v>2</v>
      </c>
      <c r="F336" s="11">
        <v>1</v>
      </c>
      <c r="G336" s="11">
        <v>2</v>
      </c>
      <c r="H336" s="7">
        <v>3</v>
      </c>
      <c r="I336" s="7">
        <v>3</v>
      </c>
      <c r="J336" s="7">
        <v>17</v>
      </c>
      <c r="K336" s="7">
        <v>4</v>
      </c>
      <c r="L336" s="11">
        <v>2</v>
      </c>
    </row>
    <row r="337" spans="1:12" x14ac:dyDescent="0.3">
      <c r="A337" t="s">
        <v>3037</v>
      </c>
      <c r="B337" s="7">
        <v>5</v>
      </c>
      <c r="C337" s="7">
        <v>1</v>
      </c>
      <c r="D337" s="3">
        <v>3</v>
      </c>
      <c r="E337" s="3">
        <v>4</v>
      </c>
      <c r="F337" s="3">
        <v>100</v>
      </c>
      <c r="G337" s="3">
        <v>100</v>
      </c>
      <c r="H337" s="3">
        <v>3</v>
      </c>
      <c r="I337" s="3">
        <v>3</v>
      </c>
      <c r="J337" s="3">
        <v>17</v>
      </c>
      <c r="K337" s="3">
        <v>4</v>
      </c>
      <c r="L337" s="11">
        <v>2</v>
      </c>
    </row>
    <row r="338" spans="1:12" x14ac:dyDescent="0.3">
      <c r="A338" t="s">
        <v>1741</v>
      </c>
      <c r="B338" s="7">
        <v>10</v>
      </c>
      <c r="C338" s="7">
        <v>1</v>
      </c>
      <c r="D338" s="7">
        <v>3</v>
      </c>
      <c r="E338" s="11">
        <v>1</v>
      </c>
      <c r="F338" s="7">
        <v>100</v>
      </c>
      <c r="G338" s="7">
        <v>100</v>
      </c>
      <c r="H338" s="11">
        <v>3</v>
      </c>
      <c r="I338" s="11">
        <v>3</v>
      </c>
      <c r="J338" s="11">
        <v>17</v>
      </c>
      <c r="K338" s="11">
        <v>4</v>
      </c>
      <c r="L338" s="11">
        <v>2</v>
      </c>
    </row>
    <row r="339" spans="1:12" x14ac:dyDescent="0.3">
      <c r="A339" t="s">
        <v>2258</v>
      </c>
      <c r="B339" s="7">
        <v>4</v>
      </c>
      <c r="C339" s="7">
        <v>1</v>
      </c>
      <c r="D339" s="3">
        <v>3</v>
      </c>
      <c r="E339" s="3">
        <v>12</v>
      </c>
      <c r="F339" s="3">
        <v>100</v>
      </c>
      <c r="G339" s="3">
        <v>100</v>
      </c>
      <c r="H339" s="7">
        <v>3</v>
      </c>
      <c r="I339" s="7">
        <v>3</v>
      </c>
      <c r="J339" s="7">
        <v>17</v>
      </c>
      <c r="K339" s="7">
        <v>4</v>
      </c>
      <c r="L339" s="7">
        <v>2</v>
      </c>
    </row>
    <row r="340" spans="1:12" x14ac:dyDescent="0.3">
      <c r="A340" t="s">
        <v>1204</v>
      </c>
      <c r="B340" s="7">
        <v>13</v>
      </c>
      <c r="C340" s="7">
        <v>1</v>
      </c>
      <c r="D340" s="3">
        <v>3</v>
      </c>
      <c r="E340" s="3">
        <v>12</v>
      </c>
      <c r="F340" s="7">
        <v>100</v>
      </c>
      <c r="G340" s="7">
        <v>100</v>
      </c>
      <c r="H340" s="7">
        <v>3</v>
      </c>
      <c r="I340" s="7">
        <v>3</v>
      </c>
      <c r="J340" s="7">
        <v>17</v>
      </c>
      <c r="K340" s="7">
        <v>4</v>
      </c>
      <c r="L340" s="7">
        <v>2</v>
      </c>
    </row>
    <row r="341" spans="1:12" x14ac:dyDescent="0.3">
      <c r="A341" s="6" t="s">
        <v>634</v>
      </c>
      <c r="B341" s="7">
        <v>16</v>
      </c>
      <c r="C341" s="7">
        <v>1</v>
      </c>
      <c r="D341" s="11">
        <v>3</v>
      </c>
      <c r="E341" s="11">
        <v>4</v>
      </c>
      <c r="F341" s="11">
        <v>1</v>
      </c>
      <c r="G341" s="11">
        <v>2</v>
      </c>
      <c r="H341" s="7">
        <v>1</v>
      </c>
      <c r="I341" s="7">
        <v>3</v>
      </c>
      <c r="J341" s="7">
        <v>1</v>
      </c>
      <c r="K341" s="7">
        <v>5</v>
      </c>
      <c r="L341" s="7">
        <v>1</v>
      </c>
    </row>
    <row r="342" spans="1:12" x14ac:dyDescent="0.3">
      <c r="A342" s="6" t="s">
        <v>288</v>
      </c>
      <c r="B342" s="7">
        <v>16</v>
      </c>
      <c r="C342" s="7">
        <v>1</v>
      </c>
      <c r="D342" s="11">
        <v>1</v>
      </c>
      <c r="E342" s="11">
        <v>4</v>
      </c>
      <c r="F342" s="11">
        <v>1</v>
      </c>
      <c r="G342" s="11">
        <v>2</v>
      </c>
      <c r="H342" s="7">
        <v>3</v>
      </c>
      <c r="I342" s="7">
        <v>3</v>
      </c>
      <c r="J342" s="7">
        <v>17</v>
      </c>
      <c r="K342" s="7">
        <v>4</v>
      </c>
      <c r="L342" s="11">
        <v>2</v>
      </c>
    </row>
    <row r="343" spans="1:12" x14ac:dyDescent="0.3">
      <c r="A343" t="s">
        <v>2203</v>
      </c>
      <c r="B343" s="7">
        <v>4</v>
      </c>
      <c r="C343" s="7">
        <v>1</v>
      </c>
      <c r="D343" s="3">
        <v>9</v>
      </c>
      <c r="E343" s="3">
        <v>1</v>
      </c>
      <c r="F343" s="11">
        <v>1</v>
      </c>
      <c r="G343" s="11">
        <v>1</v>
      </c>
      <c r="H343" s="11">
        <v>1</v>
      </c>
      <c r="I343" s="11">
        <v>3</v>
      </c>
      <c r="J343" s="11">
        <v>1</v>
      </c>
      <c r="K343" s="11">
        <v>5</v>
      </c>
      <c r="L343" s="7">
        <v>2</v>
      </c>
    </row>
    <row r="344" spans="1:12" x14ac:dyDescent="0.3">
      <c r="A344" s="6" t="s">
        <v>575</v>
      </c>
      <c r="B344" s="7">
        <v>16</v>
      </c>
      <c r="C344" s="7">
        <v>1</v>
      </c>
      <c r="D344" s="11">
        <v>3</v>
      </c>
      <c r="E344" s="11">
        <v>4</v>
      </c>
      <c r="F344" s="11">
        <v>1</v>
      </c>
      <c r="G344" s="11">
        <v>2</v>
      </c>
      <c r="H344" s="7">
        <v>3</v>
      </c>
      <c r="I344" s="7">
        <v>3</v>
      </c>
      <c r="J344" s="7">
        <v>17</v>
      </c>
      <c r="K344" s="7">
        <v>4</v>
      </c>
      <c r="L344" s="11">
        <v>2</v>
      </c>
    </row>
    <row r="345" spans="1:12" x14ac:dyDescent="0.3">
      <c r="A345" t="s">
        <v>2613</v>
      </c>
      <c r="B345" s="7">
        <v>14</v>
      </c>
      <c r="C345" s="7">
        <v>1</v>
      </c>
      <c r="D345" s="3">
        <v>8</v>
      </c>
      <c r="E345" s="3">
        <v>5</v>
      </c>
      <c r="F345" s="11">
        <v>1</v>
      </c>
      <c r="G345" s="11">
        <v>2</v>
      </c>
      <c r="H345" s="7">
        <v>3</v>
      </c>
      <c r="I345" s="7">
        <v>3</v>
      </c>
      <c r="J345" s="7">
        <v>17</v>
      </c>
      <c r="K345" s="7">
        <v>4</v>
      </c>
      <c r="L345" s="7">
        <v>2</v>
      </c>
    </row>
    <row r="346" spans="1:12" x14ac:dyDescent="0.3">
      <c r="A346" s="6" t="s">
        <v>337</v>
      </c>
      <c r="B346" s="7">
        <v>16</v>
      </c>
      <c r="C346" s="7">
        <v>1</v>
      </c>
      <c r="D346" s="11">
        <v>3</v>
      </c>
      <c r="E346" s="11">
        <v>4</v>
      </c>
      <c r="F346" s="11">
        <v>1</v>
      </c>
      <c r="G346" s="11">
        <v>2</v>
      </c>
      <c r="H346" s="11">
        <v>1</v>
      </c>
      <c r="I346" s="11">
        <v>1</v>
      </c>
      <c r="J346" s="11">
        <v>8</v>
      </c>
      <c r="K346" s="11">
        <v>2</v>
      </c>
      <c r="L346" s="7">
        <v>2</v>
      </c>
    </row>
    <row r="347" spans="1:12" x14ac:dyDescent="0.3">
      <c r="A347" s="6" t="s">
        <v>362</v>
      </c>
      <c r="B347" s="7">
        <v>16</v>
      </c>
      <c r="C347" s="7">
        <v>1</v>
      </c>
      <c r="D347" s="11">
        <v>3</v>
      </c>
      <c r="E347" s="11">
        <v>4</v>
      </c>
      <c r="F347" s="11">
        <v>1</v>
      </c>
      <c r="G347" s="11">
        <v>2</v>
      </c>
      <c r="H347" s="11">
        <v>2</v>
      </c>
      <c r="I347" s="11">
        <v>2</v>
      </c>
      <c r="J347" s="11">
        <v>16</v>
      </c>
      <c r="K347" s="11">
        <v>3</v>
      </c>
      <c r="L347" s="7">
        <v>2</v>
      </c>
    </row>
    <row r="348" spans="1:12" x14ac:dyDescent="0.3">
      <c r="A348" t="s">
        <v>1930</v>
      </c>
      <c r="B348" s="7">
        <v>8</v>
      </c>
      <c r="C348" s="7">
        <v>1</v>
      </c>
      <c r="D348" s="3">
        <v>3</v>
      </c>
      <c r="E348" s="3">
        <v>1</v>
      </c>
      <c r="F348" s="3">
        <v>1</v>
      </c>
      <c r="G348" s="3">
        <v>1</v>
      </c>
      <c r="H348" s="7">
        <v>3</v>
      </c>
      <c r="I348" s="7">
        <v>3</v>
      </c>
      <c r="J348" s="7">
        <v>17</v>
      </c>
      <c r="K348" s="7">
        <v>4</v>
      </c>
      <c r="L348" s="3">
        <v>1</v>
      </c>
    </row>
    <row r="349" spans="1:12" x14ac:dyDescent="0.3">
      <c r="A349" s="6" t="s">
        <v>702</v>
      </c>
      <c r="B349" s="7">
        <v>16</v>
      </c>
      <c r="C349" s="7">
        <v>1</v>
      </c>
      <c r="D349" s="7">
        <v>3</v>
      </c>
      <c r="E349" s="11">
        <v>4</v>
      </c>
      <c r="F349" s="7">
        <v>100</v>
      </c>
      <c r="G349" s="7">
        <v>3</v>
      </c>
      <c r="H349" s="7">
        <v>3</v>
      </c>
      <c r="I349" s="7">
        <v>3</v>
      </c>
      <c r="J349" s="7">
        <v>17</v>
      </c>
      <c r="K349" s="7">
        <v>4</v>
      </c>
      <c r="L349" s="7">
        <v>2</v>
      </c>
    </row>
    <row r="350" spans="1:12" x14ac:dyDescent="0.3">
      <c r="A350" s="6" t="s">
        <v>451</v>
      </c>
      <c r="B350" s="7">
        <v>16</v>
      </c>
      <c r="C350" s="7">
        <v>1</v>
      </c>
      <c r="D350" s="11">
        <v>3</v>
      </c>
      <c r="E350" s="11">
        <v>4</v>
      </c>
      <c r="F350" s="7">
        <v>100</v>
      </c>
      <c r="G350" s="7">
        <v>2</v>
      </c>
      <c r="H350" s="7">
        <v>3</v>
      </c>
      <c r="I350" s="7">
        <v>3</v>
      </c>
      <c r="J350" s="7">
        <v>17</v>
      </c>
      <c r="K350" s="7">
        <v>4</v>
      </c>
      <c r="L350" s="7">
        <v>2</v>
      </c>
    </row>
    <row r="351" spans="1:12" x14ac:dyDescent="0.3">
      <c r="A351" t="s">
        <v>2515</v>
      </c>
      <c r="B351" s="7">
        <v>16</v>
      </c>
      <c r="C351" s="7">
        <v>1</v>
      </c>
      <c r="D351" s="3">
        <v>8</v>
      </c>
      <c r="E351" s="3">
        <v>9</v>
      </c>
      <c r="F351" s="3">
        <v>2</v>
      </c>
      <c r="G351" s="3">
        <v>5</v>
      </c>
      <c r="H351" s="7">
        <v>1</v>
      </c>
      <c r="I351" s="7">
        <v>3</v>
      </c>
      <c r="J351" s="7">
        <v>1</v>
      </c>
      <c r="K351" s="7">
        <v>5</v>
      </c>
      <c r="L351" s="11">
        <v>2</v>
      </c>
    </row>
    <row r="352" spans="1:12" x14ac:dyDescent="0.3">
      <c r="A352" t="s">
        <v>2534</v>
      </c>
      <c r="B352" s="7">
        <v>16</v>
      </c>
      <c r="C352" s="7">
        <v>1</v>
      </c>
      <c r="D352" s="3">
        <v>3</v>
      </c>
      <c r="E352" s="3">
        <v>4</v>
      </c>
      <c r="F352" s="11">
        <v>1</v>
      </c>
      <c r="G352" s="11">
        <v>2</v>
      </c>
      <c r="H352" s="7">
        <v>1</v>
      </c>
      <c r="I352" s="7">
        <v>3</v>
      </c>
      <c r="J352" s="7">
        <v>1</v>
      </c>
      <c r="K352" s="7">
        <v>5</v>
      </c>
      <c r="L352" s="11">
        <v>2</v>
      </c>
    </row>
    <row r="353" spans="1:12" x14ac:dyDescent="0.3">
      <c r="A353" s="6" t="s">
        <v>1172</v>
      </c>
      <c r="B353" s="7">
        <v>13</v>
      </c>
      <c r="C353" s="7">
        <v>1</v>
      </c>
      <c r="D353" s="3">
        <v>3</v>
      </c>
      <c r="E353" s="3">
        <v>5</v>
      </c>
      <c r="F353" s="3">
        <v>6</v>
      </c>
      <c r="G353" s="3">
        <v>3</v>
      </c>
      <c r="H353" s="3">
        <v>1</v>
      </c>
      <c r="I353" s="3">
        <v>3</v>
      </c>
      <c r="J353" s="3">
        <v>1</v>
      </c>
      <c r="K353" s="3">
        <v>5</v>
      </c>
      <c r="L353" s="3">
        <v>1</v>
      </c>
    </row>
    <row r="354" spans="1:12" x14ac:dyDescent="0.3">
      <c r="A354" t="s">
        <v>2855</v>
      </c>
      <c r="B354" s="7">
        <v>11</v>
      </c>
      <c r="C354" s="7">
        <v>1</v>
      </c>
      <c r="D354" s="3">
        <v>3</v>
      </c>
      <c r="E354" s="3">
        <v>2</v>
      </c>
      <c r="F354" s="3">
        <v>2</v>
      </c>
      <c r="G354" s="3">
        <v>3</v>
      </c>
      <c r="H354" s="7">
        <v>2</v>
      </c>
      <c r="I354" s="7">
        <v>3</v>
      </c>
      <c r="J354" s="7">
        <v>9</v>
      </c>
      <c r="K354" s="7">
        <v>3</v>
      </c>
      <c r="L354" s="7">
        <v>2</v>
      </c>
    </row>
    <row r="355" spans="1:12" x14ac:dyDescent="0.3">
      <c r="A355" t="s">
        <v>2981</v>
      </c>
      <c r="B355" s="7">
        <v>7</v>
      </c>
      <c r="C355" s="7">
        <v>1</v>
      </c>
      <c r="D355" s="3">
        <v>3</v>
      </c>
      <c r="E355" s="3">
        <v>4</v>
      </c>
      <c r="F355" s="3">
        <v>1</v>
      </c>
      <c r="G355" s="3">
        <v>1</v>
      </c>
      <c r="H355" s="7">
        <v>3</v>
      </c>
      <c r="I355" s="7">
        <v>3</v>
      </c>
      <c r="J355" s="7">
        <v>17</v>
      </c>
      <c r="K355" s="7">
        <v>4</v>
      </c>
      <c r="L355" s="7">
        <v>2</v>
      </c>
    </row>
    <row r="356" spans="1:12" x14ac:dyDescent="0.3">
      <c r="A356" s="6" t="s">
        <v>1078</v>
      </c>
      <c r="B356" s="7">
        <v>14</v>
      </c>
      <c r="C356" s="7">
        <v>1</v>
      </c>
      <c r="D356" s="11">
        <v>6</v>
      </c>
      <c r="E356" s="11">
        <v>8</v>
      </c>
      <c r="F356" s="11">
        <v>1</v>
      </c>
      <c r="G356" s="11">
        <v>2</v>
      </c>
      <c r="H356" s="7">
        <v>1</v>
      </c>
      <c r="I356" s="7">
        <v>3</v>
      </c>
      <c r="J356" s="7">
        <v>1</v>
      </c>
      <c r="K356" s="7">
        <v>5</v>
      </c>
      <c r="L356" s="11">
        <v>2</v>
      </c>
    </row>
    <row r="357" spans="1:12" x14ac:dyDescent="0.3">
      <c r="A357" t="s">
        <v>1776</v>
      </c>
      <c r="B357" s="7">
        <v>9</v>
      </c>
      <c r="C357" s="7">
        <v>1</v>
      </c>
      <c r="D357" s="3">
        <v>1</v>
      </c>
      <c r="E357" s="3">
        <v>4</v>
      </c>
      <c r="F357" s="11">
        <v>1</v>
      </c>
      <c r="G357" s="11">
        <v>2</v>
      </c>
      <c r="H357" s="7">
        <v>1</v>
      </c>
      <c r="I357" s="7">
        <v>3</v>
      </c>
      <c r="J357" s="7">
        <v>1</v>
      </c>
      <c r="K357" s="7">
        <v>5</v>
      </c>
      <c r="L357" s="11">
        <v>2</v>
      </c>
    </row>
    <row r="358" spans="1:12" x14ac:dyDescent="0.3">
      <c r="A358" t="s">
        <v>2801</v>
      </c>
      <c r="B358" s="7">
        <v>12</v>
      </c>
      <c r="C358" s="7">
        <v>1</v>
      </c>
      <c r="D358" s="3">
        <v>9</v>
      </c>
      <c r="E358" s="3">
        <v>14</v>
      </c>
      <c r="F358" s="3">
        <v>1</v>
      </c>
      <c r="G358" s="3">
        <v>2</v>
      </c>
      <c r="H358" s="7">
        <v>1</v>
      </c>
      <c r="I358" s="7">
        <v>3</v>
      </c>
      <c r="J358" s="7">
        <v>1</v>
      </c>
      <c r="K358" s="7">
        <v>5</v>
      </c>
      <c r="L358" s="11">
        <v>2</v>
      </c>
    </row>
    <row r="359" spans="1:12" x14ac:dyDescent="0.3">
      <c r="A359" s="6" t="s">
        <v>419</v>
      </c>
      <c r="B359" s="7">
        <v>16</v>
      </c>
      <c r="C359" s="7">
        <v>1</v>
      </c>
      <c r="D359" s="11">
        <v>3</v>
      </c>
      <c r="E359" s="11">
        <v>4</v>
      </c>
      <c r="F359" s="11">
        <v>1</v>
      </c>
      <c r="G359" s="11">
        <v>2</v>
      </c>
      <c r="H359" s="11">
        <v>2</v>
      </c>
      <c r="I359" s="11">
        <v>2</v>
      </c>
      <c r="J359" s="11">
        <v>4</v>
      </c>
      <c r="K359" s="11">
        <v>2</v>
      </c>
      <c r="L359" s="7">
        <v>2</v>
      </c>
    </row>
    <row r="360" spans="1:12" x14ac:dyDescent="0.3">
      <c r="A360" t="s">
        <v>1431</v>
      </c>
      <c r="B360" s="7">
        <v>13</v>
      </c>
      <c r="C360" s="7">
        <v>1</v>
      </c>
      <c r="D360" s="7">
        <v>8</v>
      </c>
      <c r="E360" s="11">
        <v>1</v>
      </c>
      <c r="F360" s="11">
        <v>100</v>
      </c>
      <c r="G360" s="11">
        <v>100</v>
      </c>
      <c r="H360" s="11">
        <v>3</v>
      </c>
      <c r="I360" s="11">
        <v>3</v>
      </c>
      <c r="J360" s="11">
        <v>17</v>
      </c>
      <c r="K360" s="11">
        <v>4</v>
      </c>
      <c r="L360" s="11">
        <v>2</v>
      </c>
    </row>
    <row r="361" spans="1:12" x14ac:dyDescent="0.3">
      <c r="A361" t="s">
        <v>2252</v>
      </c>
      <c r="B361" s="7">
        <v>4</v>
      </c>
      <c r="C361" s="7">
        <v>1</v>
      </c>
      <c r="D361" s="3">
        <v>3</v>
      </c>
      <c r="E361" s="3">
        <v>4</v>
      </c>
      <c r="F361" s="3">
        <v>1</v>
      </c>
      <c r="G361" s="3">
        <v>1</v>
      </c>
      <c r="H361" s="11">
        <v>1</v>
      </c>
      <c r="I361" s="11">
        <v>3</v>
      </c>
      <c r="J361" s="11">
        <v>1</v>
      </c>
      <c r="K361" s="11">
        <v>5</v>
      </c>
      <c r="L361" s="7">
        <v>2</v>
      </c>
    </row>
    <row r="362" spans="1:12" x14ac:dyDescent="0.3">
      <c r="A362" t="s">
        <v>1668</v>
      </c>
      <c r="B362" s="7">
        <v>11</v>
      </c>
      <c r="C362" s="7">
        <v>1</v>
      </c>
      <c r="D362" s="3">
        <v>3</v>
      </c>
      <c r="E362" s="3">
        <v>1</v>
      </c>
      <c r="F362" s="3">
        <v>1</v>
      </c>
      <c r="G362" s="3">
        <v>1</v>
      </c>
      <c r="H362" s="3">
        <v>1</v>
      </c>
      <c r="I362" s="3">
        <v>3</v>
      </c>
      <c r="J362" s="3">
        <v>3</v>
      </c>
      <c r="K362" s="3">
        <v>5</v>
      </c>
      <c r="L362" s="7">
        <v>2</v>
      </c>
    </row>
    <row r="363" spans="1:12" x14ac:dyDescent="0.3">
      <c r="A363" t="s">
        <v>2062</v>
      </c>
      <c r="B363" s="7">
        <v>6</v>
      </c>
      <c r="C363" s="7">
        <v>1</v>
      </c>
      <c r="D363" s="3">
        <v>3</v>
      </c>
      <c r="E363" s="3">
        <v>4</v>
      </c>
      <c r="F363" s="3">
        <v>1</v>
      </c>
      <c r="G363" s="3">
        <v>2</v>
      </c>
      <c r="H363" s="7">
        <v>2</v>
      </c>
      <c r="I363" s="7">
        <v>3</v>
      </c>
      <c r="J363" s="7">
        <v>16</v>
      </c>
      <c r="K363" s="7">
        <v>4</v>
      </c>
      <c r="L363" s="7">
        <v>2</v>
      </c>
    </row>
    <row r="364" spans="1:12" x14ac:dyDescent="0.3">
      <c r="A364" t="s">
        <v>2521</v>
      </c>
      <c r="B364" s="7">
        <v>16</v>
      </c>
      <c r="C364" s="7">
        <v>1</v>
      </c>
      <c r="D364" s="3">
        <v>1</v>
      </c>
      <c r="E364" s="3">
        <v>4</v>
      </c>
      <c r="F364" s="3">
        <v>1</v>
      </c>
      <c r="G364" s="11">
        <v>2</v>
      </c>
      <c r="H364" s="7">
        <v>3</v>
      </c>
      <c r="I364" s="7">
        <v>3</v>
      </c>
      <c r="J364" s="7">
        <v>17</v>
      </c>
      <c r="K364" s="7">
        <v>4</v>
      </c>
      <c r="L364" s="11">
        <v>2</v>
      </c>
    </row>
    <row r="365" spans="1:12" x14ac:dyDescent="0.3">
      <c r="A365" t="s">
        <v>1199</v>
      </c>
      <c r="B365" s="7">
        <v>13</v>
      </c>
      <c r="C365" s="7">
        <v>1</v>
      </c>
      <c r="D365" s="3">
        <v>1</v>
      </c>
      <c r="E365" s="3">
        <v>4</v>
      </c>
      <c r="F365" s="7">
        <v>1</v>
      </c>
      <c r="G365" s="3">
        <v>2</v>
      </c>
      <c r="H365" s="3">
        <v>1</v>
      </c>
      <c r="I365" s="3">
        <v>3</v>
      </c>
      <c r="J365" s="3">
        <v>1</v>
      </c>
      <c r="K365" s="3">
        <v>5</v>
      </c>
      <c r="L365" s="11">
        <v>2</v>
      </c>
    </row>
    <row r="366" spans="1:12" x14ac:dyDescent="0.3">
      <c r="A366" t="s">
        <v>2640</v>
      </c>
      <c r="B366" s="7">
        <v>14</v>
      </c>
      <c r="C366" s="7">
        <v>1</v>
      </c>
      <c r="D366" s="3">
        <v>3</v>
      </c>
      <c r="E366" s="3">
        <v>1</v>
      </c>
      <c r="F366" s="3">
        <v>4</v>
      </c>
      <c r="G366" s="3">
        <v>5</v>
      </c>
      <c r="H366" s="7">
        <v>1</v>
      </c>
      <c r="I366" s="7">
        <v>3</v>
      </c>
      <c r="J366" s="7">
        <v>1</v>
      </c>
      <c r="K366" s="7">
        <v>5</v>
      </c>
      <c r="L366" s="11">
        <v>2</v>
      </c>
    </row>
    <row r="367" spans="1:12" x14ac:dyDescent="0.3">
      <c r="A367" t="s">
        <v>2749</v>
      </c>
      <c r="B367" s="7">
        <v>13</v>
      </c>
      <c r="C367" s="7">
        <v>1</v>
      </c>
      <c r="D367" s="3">
        <v>3</v>
      </c>
      <c r="E367" s="3">
        <v>3</v>
      </c>
      <c r="F367" s="11">
        <v>1</v>
      </c>
      <c r="G367" s="11">
        <v>2</v>
      </c>
      <c r="H367" s="7">
        <v>3</v>
      </c>
      <c r="I367" s="7">
        <v>3</v>
      </c>
      <c r="J367" s="7">
        <v>17</v>
      </c>
      <c r="K367" s="7">
        <v>4</v>
      </c>
      <c r="L367" s="7">
        <v>2</v>
      </c>
    </row>
    <row r="368" spans="1:12" x14ac:dyDescent="0.3">
      <c r="A368" t="s">
        <v>2543</v>
      </c>
      <c r="B368" s="7">
        <v>16</v>
      </c>
      <c r="C368" s="7">
        <v>1</v>
      </c>
      <c r="D368" s="3">
        <v>3</v>
      </c>
      <c r="E368" s="3">
        <v>15</v>
      </c>
      <c r="F368" s="3">
        <v>1</v>
      </c>
      <c r="G368" s="3">
        <v>1</v>
      </c>
      <c r="H368" s="11">
        <v>1</v>
      </c>
      <c r="I368" s="11">
        <v>3</v>
      </c>
      <c r="J368" s="11">
        <v>2</v>
      </c>
      <c r="K368" s="11">
        <v>5</v>
      </c>
      <c r="L368" s="7">
        <v>2</v>
      </c>
    </row>
    <row r="369" spans="1:12" x14ac:dyDescent="0.3">
      <c r="A369" s="6" t="s">
        <v>619</v>
      </c>
      <c r="B369" s="7">
        <v>16</v>
      </c>
      <c r="C369" s="7">
        <v>1</v>
      </c>
      <c r="D369" s="11">
        <v>3</v>
      </c>
      <c r="E369" s="11">
        <v>4</v>
      </c>
      <c r="F369" s="11">
        <v>3</v>
      </c>
      <c r="G369" s="11">
        <v>4</v>
      </c>
      <c r="H369" s="11">
        <v>1</v>
      </c>
      <c r="I369" s="11">
        <v>3</v>
      </c>
      <c r="J369" s="11">
        <v>2</v>
      </c>
      <c r="K369" s="11">
        <v>5</v>
      </c>
      <c r="L369" s="7">
        <v>1</v>
      </c>
    </row>
    <row r="370" spans="1:12" x14ac:dyDescent="0.3">
      <c r="A370" t="s">
        <v>2770</v>
      </c>
      <c r="B370" s="7">
        <v>12</v>
      </c>
      <c r="C370" s="7">
        <v>1</v>
      </c>
      <c r="D370" s="3">
        <v>3</v>
      </c>
      <c r="E370" s="3">
        <v>12</v>
      </c>
      <c r="F370" s="3">
        <v>1</v>
      </c>
      <c r="G370" s="3">
        <v>2</v>
      </c>
      <c r="H370" s="7">
        <v>1</v>
      </c>
      <c r="I370" s="7">
        <v>3</v>
      </c>
      <c r="J370" s="7">
        <v>1</v>
      </c>
      <c r="K370" s="7">
        <v>5</v>
      </c>
      <c r="L370" s="11">
        <v>2</v>
      </c>
    </row>
    <row r="371" spans="1:12" x14ac:dyDescent="0.3">
      <c r="A371" s="6" t="s">
        <v>677</v>
      </c>
      <c r="B371" s="7">
        <v>16</v>
      </c>
      <c r="C371" s="7">
        <v>1</v>
      </c>
      <c r="D371" s="7">
        <v>8</v>
      </c>
      <c r="E371" s="11">
        <v>1</v>
      </c>
      <c r="F371" s="11">
        <v>3</v>
      </c>
      <c r="G371" s="11">
        <v>5</v>
      </c>
      <c r="H371" s="11">
        <v>2</v>
      </c>
      <c r="I371" s="11">
        <v>2</v>
      </c>
      <c r="J371" s="11">
        <v>17</v>
      </c>
      <c r="K371" s="11">
        <v>4</v>
      </c>
      <c r="L371" s="7">
        <v>2</v>
      </c>
    </row>
    <row r="372" spans="1:12" x14ac:dyDescent="0.3">
      <c r="A372" s="6" t="s">
        <v>103</v>
      </c>
      <c r="B372" s="7">
        <v>17</v>
      </c>
      <c r="C372" s="7">
        <v>1</v>
      </c>
      <c r="D372" s="11">
        <v>6</v>
      </c>
      <c r="E372" s="11">
        <v>5</v>
      </c>
      <c r="F372" s="11">
        <v>5</v>
      </c>
      <c r="G372" s="11">
        <v>3</v>
      </c>
      <c r="H372" s="7">
        <v>3</v>
      </c>
      <c r="I372" s="7">
        <v>3</v>
      </c>
      <c r="J372" s="7">
        <v>17</v>
      </c>
      <c r="K372" s="7">
        <v>4</v>
      </c>
      <c r="L372" s="11">
        <v>1</v>
      </c>
    </row>
    <row r="373" spans="1:12" x14ac:dyDescent="0.3">
      <c r="A373" t="s">
        <v>2875</v>
      </c>
      <c r="B373" s="7">
        <v>11</v>
      </c>
      <c r="C373" s="7">
        <v>1</v>
      </c>
      <c r="D373" s="3">
        <v>5</v>
      </c>
      <c r="E373" s="3">
        <v>3</v>
      </c>
      <c r="F373" s="3">
        <v>1</v>
      </c>
      <c r="G373" s="3">
        <v>2</v>
      </c>
      <c r="H373" s="7">
        <v>2</v>
      </c>
      <c r="I373" s="7">
        <v>3</v>
      </c>
      <c r="J373" s="7">
        <v>17</v>
      </c>
      <c r="K373" s="7">
        <v>4</v>
      </c>
      <c r="L373" s="7">
        <v>2</v>
      </c>
    </row>
    <row r="374" spans="1:12" x14ac:dyDescent="0.3">
      <c r="A374" s="6" t="s">
        <v>822</v>
      </c>
      <c r="B374" s="7">
        <v>15</v>
      </c>
      <c r="C374" s="7">
        <v>1</v>
      </c>
      <c r="D374" s="7">
        <v>3</v>
      </c>
      <c r="E374" s="11">
        <v>1</v>
      </c>
      <c r="F374" s="11">
        <v>1</v>
      </c>
      <c r="G374" s="11">
        <v>2</v>
      </c>
      <c r="H374" s="7">
        <v>3</v>
      </c>
      <c r="I374" s="7">
        <v>3</v>
      </c>
      <c r="J374" s="7">
        <v>17</v>
      </c>
      <c r="K374" s="7">
        <v>4</v>
      </c>
      <c r="L374" s="11">
        <v>2</v>
      </c>
    </row>
    <row r="375" spans="1:12" x14ac:dyDescent="0.3">
      <c r="A375" t="s">
        <v>1838</v>
      </c>
      <c r="B375" s="7">
        <v>9</v>
      </c>
      <c r="C375" s="7">
        <v>1</v>
      </c>
      <c r="D375" s="3">
        <v>3</v>
      </c>
      <c r="E375" s="3">
        <v>2</v>
      </c>
      <c r="F375" s="3">
        <v>100</v>
      </c>
      <c r="G375" s="3">
        <v>100</v>
      </c>
      <c r="H375" s="7">
        <v>3</v>
      </c>
      <c r="I375" s="7">
        <v>3</v>
      </c>
      <c r="J375" s="7">
        <v>17</v>
      </c>
      <c r="K375" s="7">
        <v>4</v>
      </c>
      <c r="L375" s="7">
        <v>2</v>
      </c>
    </row>
    <row r="376" spans="1:12" x14ac:dyDescent="0.3">
      <c r="A376" t="s">
        <v>2607</v>
      </c>
      <c r="B376" s="7">
        <v>15</v>
      </c>
      <c r="C376" s="7">
        <v>1</v>
      </c>
      <c r="D376" s="3">
        <v>3</v>
      </c>
      <c r="E376" s="3">
        <v>2</v>
      </c>
      <c r="F376" s="3">
        <v>1</v>
      </c>
      <c r="G376" s="3">
        <v>2</v>
      </c>
      <c r="H376" s="3">
        <v>2</v>
      </c>
      <c r="I376" s="3">
        <v>2</v>
      </c>
      <c r="J376" s="3">
        <v>16</v>
      </c>
      <c r="K376" s="3">
        <v>3</v>
      </c>
      <c r="L376" s="11">
        <v>2</v>
      </c>
    </row>
    <row r="377" spans="1:12" x14ac:dyDescent="0.3">
      <c r="A377" t="s">
        <v>1359</v>
      </c>
      <c r="B377" s="7">
        <v>13</v>
      </c>
      <c r="C377" s="7">
        <v>1</v>
      </c>
      <c r="D377" s="3">
        <v>3</v>
      </c>
      <c r="E377" s="3">
        <v>15</v>
      </c>
      <c r="F377" s="3">
        <v>100</v>
      </c>
      <c r="G377" s="3">
        <v>100</v>
      </c>
      <c r="H377" s="7">
        <v>3</v>
      </c>
      <c r="I377" s="7">
        <v>3</v>
      </c>
      <c r="J377" s="7">
        <v>17</v>
      </c>
      <c r="K377" s="7">
        <v>4</v>
      </c>
      <c r="L377" s="11">
        <v>2</v>
      </c>
    </row>
    <row r="378" spans="1:12" x14ac:dyDescent="0.3">
      <c r="A378" t="s">
        <v>1423</v>
      </c>
      <c r="B378" s="7">
        <v>12</v>
      </c>
      <c r="C378" s="7">
        <v>1</v>
      </c>
      <c r="D378" s="3">
        <v>6</v>
      </c>
      <c r="E378" s="3">
        <v>15</v>
      </c>
      <c r="F378" s="3">
        <v>2</v>
      </c>
      <c r="G378" s="3">
        <v>3</v>
      </c>
      <c r="H378" s="3">
        <v>3</v>
      </c>
      <c r="I378" s="3">
        <v>3</v>
      </c>
      <c r="J378" s="3">
        <v>17</v>
      </c>
      <c r="K378" s="3">
        <v>4</v>
      </c>
      <c r="L378" s="7">
        <v>2</v>
      </c>
    </row>
    <row r="379" spans="1:12" x14ac:dyDescent="0.3">
      <c r="A379" s="6" t="s">
        <v>1228</v>
      </c>
      <c r="B379" s="7">
        <v>13</v>
      </c>
      <c r="C379" s="7">
        <v>1</v>
      </c>
      <c r="D379" s="3">
        <v>3</v>
      </c>
      <c r="E379" s="3">
        <v>1</v>
      </c>
      <c r="F379" s="3">
        <v>2</v>
      </c>
      <c r="G379" s="3">
        <v>5</v>
      </c>
      <c r="H379" s="3">
        <v>3</v>
      </c>
      <c r="I379" s="3">
        <v>3</v>
      </c>
      <c r="J379" s="3">
        <v>17</v>
      </c>
      <c r="K379" s="3">
        <v>4</v>
      </c>
      <c r="L379" s="11">
        <v>2</v>
      </c>
    </row>
    <row r="380" spans="1:12" x14ac:dyDescent="0.3">
      <c r="A380" t="s">
        <v>1347</v>
      </c>
      <c r="B380" s="7">
        <v>13</v>
      </c>
      <c r="C380" s="7">
        <v>1</v>
      </c>
      <c r="D380" s="3">
        <v>3</v>
      </c>
      <c r="E380" s="3">
        <v>9</v>
      </c>
      <c r="F380" s="3">
        <v>1</v>
      </c>
      <c r="G380" s="3">
        <v>2</v>
      </c>
      <c r="H380" s="3">
        <v>1</v>
      </c>
      <c r="I380" s="3">
        <v>3</v>
      </c>
      <c r="J380" s="3">
        <v>1</v>
      </c>
      <c r="K380" s="3">
        <v>5</v>
      </c>
      <c r="L380" s="11">
        <v>2</v>
      </c>
    </row>
    <row r="381" spans="1:12" x14ac:dyDescent="0.3">
      <c r="A381" s="6" t="s">
        <v>411</v>
      </c>
      <c r="B381" s="7">
        <v>16</v>
      </c>
      <c r="C381" s="7">
        <v>1</v>
      </c>
      <c r="D381" s="7">
        <v>3</v>
      </c>
      <c r="E381" s="11">
        <v>15</v>
      </c>
      <c r="F381" s="11">
        <v>1</v>
      </c>
      <c r="G381" s="11">
        <v>2</v>
      </c>
      <c r="H381" s="7">
        <v>2</v>
      </c>
      <c r="I381" s="7">
        <v>2</v>
      </c>
      <c r="J381" s="7">
        <v>9</v>
      </c>
      <c r="K381" s="7">
        <v>4</v>
      </c>
      <c r="L381" s="11">
        <v>2</v>
      </c>
    </row>
    <row r="382" spans="1:12" x14ac:dyDescent="0.3">
      <c r="A382" s="6" t="s">
        <v>401</v>
      </c>
      <c r="B382" s="7">
        <v>16</v>
      </c>
      <c r="C382" s="7">
        <v>1</v>
      </c>
      <c r="D382" s="11">
        <v>3</v>
      </c>
      <c r="E382" s="11">
        <v>4</v>
      </c>
      <c r="F382" s="7">
        <v>100</v>
      </c>
      <c r="G382" s="7">
        <v>100</v>
      </c>
      <c r="H382" s="7">
        <v>3</v>
      </c>
      <c r="I382" s="7">
        <v>3</v>
      </c>
      <c r="J382" s="7">
        <v>17</v>
      </c>
      <c r="K382" s="7">
        <v>4</v>
      </c>
      <c r="L382" s="7">
        <v>2</v>
      </c>
    </row>
    <row r="383" spans="1:12" x14ac:dyDescent="0.3">
      <c r="A383" s="6" t="s">
        <v>394</v>
      </c>
      <c r="B383" s="7">
        <v>16</v>
      </c>
      <c r="C383" s="7">
        <v>1</v>
      </c>
      <c r="D383" s="11">
        <v>3</v>
      </c>
      <c r="E383" s="11">
        <v>4</v>
      </c>
      <c r="F383" s="7">
        <v>100</v>
      </c>
      <c r="G383" s="7">
        <v>100</v>
      </c>
      <c r="H383" s="7">
        <v>3</v>
      </c>
      <c r="I383" s="7">
        <v>3</v>
      </c>
      <c r="J383" s="7">
        <v>17</v>
      </c>
      <c r="K383" s="7">
        <v>4</v>
      </c>
      <c r="L383" s="7">
        <v>2</v>
      </c>
    </row>
    <row r="384" spans="1:12" x14ac:dyDescent="0.3">
      <c r="A384" t="s">
        <v>2731</v>
      </c>
      <c r="B384" s="7">
        <v>13</v>
      </c>
      <c r="C384" s="7">
        <v>1</v>
      </c>
      <c r="D384" s="3">
        <v>3</v>
      </c>
      <c r="E384" s="3">
        <v>15</v>
      </c>
      <c r="F384" s="3">
        <v>100</v>
      </c>
      <c r="G384" s="3">
        <v>100</v>
      </c>
      <c r="H384" s="7">
        <v>3</v>
      </c>
      <c r="I384" s="7">
        <v>3</v>
      </c>
      <c r="J384" s="7">
        <v>17</v>
      </c>
      <c r="K384" s="7">
        <v>4</v>
      </c>
      <c r="L384" s="7">
        <v>2</v>
      </c>
    </row>
    <row r="385" spans="1:12" x14ac:dyDescent="0.3">
      <c r="A385" t="s">
        <v>2582</v>
      </c>
      <c r="B385" s="7">
        <v>15</v>
      </c>
      <c r="C385" s="7">
        <v>1</v>
      </c>
      <c r="D385" s="3">
        <v>3</v>
      </c>
      <c r="E385" s="3">
        <v>15</v>
      </c>
      <c r="F385" s="3">
        <v>1</v>
      </c>
      <c r="G385" s="3">
        <v>2</v>
      </c>
      <c r="H385" s="3">
        <v>3</v>
      </c>
      <c r="I385" s="3">
        <v>3</v>
      </c>
      <c r="J385" s="3">
        <v>17</v>
      </c>
      <c r="K385" s="3">
        <v>4</v>
      </c>
      <c r="L385" s="11">
        <v>2</v>
      </c>
    </row>
    <row r="386" spans="1:12" x14ac:dyDescent="0.3">
      <c r="A386" t="s">
        <v>2601</v>
      </c>
      <c r="B386" s="7">
        <v>15</v>
      </c>
      <c r="C386" s="7">
        <v>1</v>
      </c>
      <c r="D386" s="3">
        <v>3</v>
      </c>
      <c r="E386" s="3">
        <v>4</v>
      </c>
      <c r="F386" s="3">
        <v>1</v>
      </c>
      <c r="G386" s="11">
        <v>2</v>
      </c>
      <c r="H386" s="3">
        <v>3</v>
      </c>
      <c r="I386" s="3">
        <v>3</v>
      </c>
      <c r="J386" s="3">
        <v>17</v>
      </c>
      <c r="K386" s="3">
        <v>4</v>
      </c>
      <c r="L386" s="11">
        <v>2</v>
      </c>
    </row>
    <row r="388" spans="1:12" x14ac:dyDescent="0.3">
      <c r="A388" s="2"/>
    </row>
    <row r="390" spans="1:12" x14ac:dyDescent="0.3">
      <c r="L390" s="1"/>
    </row>
    <row r="391" spans="1:12" x14ac:dyDescent="0.3">
      <c r="H391" s="1"/>
    </row>
    <row r="392" spans="1:12" x14ac:dyDescent="0.3">
      <c r="I392" s="1"/>
    </row>
    <row r="393" spans="1:12" x14ac:dyDescent="0.3">
      <c r="H393" s="1"/>
      <c r="K393" s="1"/>
    </row>
    <row r="394" spans="1:12" x14ac:dyDescent="0.3">
      <c r="C394" s="1"/>
      <c r="G394" s="1"/>
      <c r="I394" s="1"/>
    </row>
    <row r="397" spans="1:12" x14ac:dyDescent="0.3">
      <c r="D397" s="1"/>
    </row>
    <row r="403" spans="2:10" x14ac:dyDescent="0.3">
      <c r="E403" s="1"/>
      <c r="F403" s="1"/>
    </row>
    <row r="404" spans="2:10" x14ac:dyDescent="0.3">
      <c r="F404" s="7"/>
    </row>
    <row r="405" spans="2:10" x14ac:dyDescent="0.3">
      <c r="B405" s="1"/>
      <c r="J405" s="1"/>
    </row>
    <row r="407" spans="2:10" x14ac:dyDescent="0.3">
      <c r="I407" s="21"/>
    </row>
    <row r="408" spans="2:10" x14ac:dyDescent="0.3">
      <c r="J408" s="1"/>
    </row>
    <row r="409" spans="2:10" x14ac:dyDescent="0.3">
      <c r="J409" s="1"/>
    </row>
    <row r="410" spans="2:10" x14ac:dyDescent="0.3">
      <c r="J410" s="1"/>
    </row>
    <row r="411" spans="2:10" x14ac:dyDescent="0.3">
      <c r="J411" s="1"/>
    </row>
    <row r="412" spans="2:10" x14ac:dyDescent="0.3">
      <c r="J412" s="1"/>
    </row>
    <row r="413" spans="2:10" x14ac:dyDescent="0.3">
      <c r="J413" s="1"/>
    </row>
    <row r="414" spans="2:10" x14ac:dyDescent="0.3">
      <c r="I414" s="21"/>
    </row>
  </sheetData>
  <sortState xmlns:xlrd2="http://schemas.microsoft.com/office/spreadsheetml/2017/richdata2" ref="A2:L414">
    <sortCondition ref="A2:A414"/>
  </sortState>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C66D6-45FC-4342-B3CF-7A6E6F59AB6F}">
  <dimension ref="A1:F7244"/>
  <sheetViews>
    <sheetView workbookViewId="0">
      <pane ySplit="1" topLeftCell="A2" activePane="bottomLeft" state="frozen"/>
      <selection pane="bottomLeft" activeCell="E11" sqref="E11"/>
    </sheetView>
  </sheetViews>
  <sheetFormatPr baseColWidth="10" defaultRowHeight="14.4" x14ac:dyDescent="0.3"/>
  <cols>
    <col min="1" max="1" width="60.6640625" style="4" customWidth="1"/>
    <col min="2" max="2" width="29.109375" bestFit="1" customWidth="1"/>
    <col min="3" max="3" width="30.109375" bestFit="1" customWidth="1"/>
    <col min="4" max="4" width="35.109375" customWidth="1"/>
    <col min="6" max="6" width="13.5546875" bestFit="1" customWidth="1"/>
  </cols>
  <sheetData>
    <row r="1" spans="1:6" x14ac:dyDescent="0.3">
      <c r="A1" s="8" t="s">
        <v>3107</v>
      </c>
      <c r="B1" s="2" t="s">
        <v>3108</v>
      </c>
      <c r="C1" s="2" t="s">
        <v>3109</v>
      </c>
      <c r="D1" s="22" t="s">
        <v>3096</v>
      </c>
      <c r="E1" s="40" t="s">
        <v>3073</v>
      </c>
      <c r="F1" s="22" t="s">
        <v>3089</v>
      </c>
    </row>
    <row r="2" spans="1:6" ht="28.8" x14ac:dyDescent="0.3">
      <c r="A2" s="4" t="s">
        <v>81</v>
      </c>
      <c r="B2">
        <v>1</v>
      </c>
      <c r="C2">
        <v>1</v>
      </c>
      <c r="D2" s="4" t="s">
        <v>9965</v>
      </c>
      <c r="E2">
        <f>COUNTIFS($B$2:$B$7242,1,$C$2:$C$7242,1)</f>
        <v>297</v>
      </c>
      <c r="F2" s="34">
        <f>(E2/7241)*100</f>
        <v>4.1016434194172078</v>
      </c>
    </row>
    <row r="3" spans="1:6" ht="28.8" x14ac:dyDescent="0.3">
      <c r="A3" s="4" t="s">
        <v>3110</v>
      </c>
      <c r="B3">
        <v>1</v>
      </c>
      <c r="C3">
        <v>3</v>
      </c>
      <c r="D3" s="4" t="s">
        <v>9970</v>
      </c>
      <c r="E3">
        <f>COUNTIFS($B$2:$B$7242,1,$C$2:$C$7242,3)</f>
        <v>325</v>
      </c>
      <c r="F3" s="34">
        <f t="shared" ref="F3:F10" si="0">(E3/7241)*100</f>
        <v>4.4883303411131061</v>
      </c>
    </row>
    <row r="4" spans="1:6" ht="43.2" x14ac:dyDescent="0.3">
      <c r="A4" s="4" t="s">
        <v>3111</v>
      </c>
      <c r="B4">
        <v>1</v>
      </c>
      <c r="C4">
        <v>3</v>
      </c>
      <c r="D4" s="4" t="s">
        <v>9966</v>
      </c>
      <c r="E4">
        <f>COUNTIFS($B$2:$B$7242,1,$C$2:$C$7242,2)</f>
        <v>8</v>
      </c>
      <c r="F4" s="34">
        <f t="shared" si="0"/>
        <v>0.11048197762739953</v>
      </c>
    </row>
    <row r="5" spans="1:6" ht="28.8" x14ac:dyDescent="0.3">
      <c r="A5" s="4" t="s">
        <v>3112</v>
      </c>
      <c r="B5">
        <v>1</v>
      </c>
      <c r="C5">
        <v>3</v>
      </c>
      <c r="E5" s="22">
        <f>SUM(E2:E4)</f>
        <v>630</v>
      </c>
      <c r="F5" s="35">
        <f t="shared" si="0"/>
        <v>8.7004557381577126</v>
      </c>
    </row>
    <row r="6" spans="1:6" ht="28.8" x14ac:dyDescent="0.3">
      <c r="A6" s="4" t="s">
        <v>3113</v>
      </c>
      <c r="B6">
        <v>1</v>
      </c>
      <c r="C6">
        <v>3</v>
      </c>
      <c r="D6" s="4" t="s">
        <v>9967</v>
      </c>
      <c r="E6">
        <f>COUNTIFS($B$2:$B$7242,2,$C$2:$C$7242,1)</f>
        <v>88</v>
      </c>
      <c r="F6" s="34">
        <f t="shared" si="0"/>
        <v>1.2153017539013948</v>
      </c>
    </row>
    <row r="7" spans="1:6" ht="28.8" x14ac:dyDescent="0.3">
      <c r="A7" s="4" t="s">
        <v>3114</v>
      </c>
      <c r="B7">
        <v>1</v>
      </c>
      <c r="C7">
        <v>3</v>
      </c>
      <c r="D7" s="4" t="s">
        <v>9969</v>
      </c>
      <c r="E7">
        <f>COUNTIFS($B$2:$B$7242,2,$C$2:$C$7242,3)</f>
        <v>234</v>
      </c>
      <c r="F7" s="34">
        <f>(E7/7241)*100</f>
        <v>3.2315978456014358</v>
      </c>
    </row>
    <row r="8" spans="1:6" ht="28.8" x14ac:dyDescent="0.3">
      <c r="A8" s="4" t="s">
        <v>87</v>
      </c>
      <c r="B8">
        <v>1</v>
      </c>
      <c r="C8">
        <v>1</v>
      </c>
      <c r="D8" s="4" t="s">
        <v>9968</v>
      </c>
      <c r="E8">
        <f>COUNTIFS($B$2:$B$7242,2,$C$2:$C$7242,2)</f>
        <v>4</v>
      </c>
      <c r="F8" s="34">
        <f t="shared" si="0"/>
        <v>5.5240988813699765E-2</v>
      </c>
    </row>
    <row r="9" spans="1:6" ht="28.8" x14ac:dyDescent="0.3">
      <c r="A9" s="4" t="s">
        <v>3115</v>
      </c>
      <c r="B9">
        <v>1</v>
      </c>
      <c r="C9">
        <v>3</v>
      </c>
      <c r="E9" s="22">
        <f>SUM(E6:E8)</f>
        <v>326</v>
      </c>
      <c r="F9" s="35">
        <f t="shared" si="0"/>
        <v>4.5021405883165304</v>
      </c>
    </row>
    <row r="10" spans="1:6" ht="28.8" x14ac:dyDescent="0.3">
      <c r="A10" s="4" t="s">
        <v>3116</v>
      </c>
      <c r="B10">
        <v>1</v>
      </c>
      <c r="C10">
        <v>3</v>
      </c>
      <c r="D10" s="4" t="s">
        <v>9971</v>
      </c>
      <c r="E10">
        <f>COUNTIF($B$2:$B$7242,3)</f>
        <v>6285</v>
      </c>
      <c r="F10" s="34">
        <f t="shared" si="0"/>
        <v>86.79740367352575</v>
      </c>
    </row>
    <row r="11" spans="1:6" ht="28.8" x14ac:dyDescent="0.3">
      <c r="A11" s="4" t="s">
        <v>96</v>
      </c>
      <c r="B11">
        <v>1</v>
      </c>
      <c r="C11">
        <v>1</v>
      </c>
      <c r="D11" s="4"/>
      <c r="E11" s="22">
        <f>SUM(E10)</f>
        <v>6285</v>
      </c>
      <c r="F11" s="35">
        <f>(E11/7241)*100</f>
        <v>86.79740367352575</v>
      </c>
    </row>
    <row r="12" spans="1:6" ht="28.8" x14ac:dyDescent="0.3">
      <c r="A12" s="4" t="s">
        <v>104</v>
      </c>
      <c r="B12">
        <v>1</v>
      </c>
      <c r="C12">
        <v>1</v>
      </c>
      <c r="D12" s="4"/>
    </row>
    <row r="13" spans="1:6" ht="28.8" x14ac:dyDescent="0.3">
      <c r="A13" s="4" t="s">
        <v>106</v>
      </c>
      <c r="B13">
        <v>1</v>
      </c>
      <c r="C13">
        <v>1</v>
      </c>
      <c r="E13" s="34">
        <f t="shared" ref="E13:F15" si="1">SUM(E2,E6)</f>
        <v>385</v>
      </c>
      <c r="F13" s="34">
        <f t="shared" si="1"/>
        <v>5.3169451733186026</v>
      </c>
    </row>
    <row r="14" spans="1:6" x14ac:dyDescent="0.3">
      <c r="A14" s="4" t="s">
        <v>3117</v>
      </c>
      <c r="B14">
        <v>1</v>
      </c>
      <c r="C14">
        <v>3</v>
      </c>
      <c r="E14" s="34">
        <f t="shared" si="1"/>
        <v>559</v>
      </c>
      <c r="F14" s="34">
        <f t="shared" si="1"/>
        <v>7.719928186714542</v>
      </c>
    </row>
    <row r="15" spans="1:6" ht="28.8" x14ac:dyDescent="0.3">
      <c r="A15" s="4" t="s">
        <v>3118</v>
      </c>
      <c r="B15">
        <v>1</v>
      </c>
      <c r="C15">
        <v>3</v>
      </c>
      <c r="E15" s="34">
        <f t="shared" si="1"/>
        <v>12</v>
      </c>
      <c r="F15" s="34">
        <f t="shared" si="1"/>
        <v>0.1657229664410993</v>
      </c>
    </row>
    <row r="16" spans="1:6" ht="43.2" x14ac:dyDescent="0.3">
      <c r="A16" s="4" t="s">
        <v>3119</v>
      </c>
      <c r="B16">
        <v>1</v>
      </c>
      <c r="C16">
        <v>3</v>
      </c>
    </row>
    <row r="17" spans="1:3" x14ac:dyDescent="0.3">
      <c r="A17" s="4" t="s">
        <v>3120</v>
      </c>
      <c r="B17">
        <v>1</v>
      </c>
      <c r="C17">
        <v>3</v>
      </c>
    </row>
    <row r="18" spans="1:3" ht="28.8" x14ac:dyDescent="0.3">
      <c r="A18" s="4" t="s">
        <v>3121</v>
      </c>
      <c r="B18">
        <v>1</v>
      </c>
      <c r="C18">
        <v>3</v>
      </c>
    </row>
    <row r="19" spans="1:3" ht="28.8" x14ac:dyDescent="0.3">
      <c r="A19" s="4" t="s">
        <v>3122</v>
      </c>
      <c r="B19">
        <v>1</v>
      </c>
      <c r="C19">
        <v>3</v>
      </c>
    </row>
    <row r="20" spans="1:3" ht="28.8" x14ac:dyDescent="0.3">
      <c r="A20" s="4" t="s">
        <v>3123</v>
      </c>
      <c r="B20">
        <v>1</v>
      </c>
      <c r="C20">
        <v>3</v>
      </c>
    </row>
    <row r="21" spans="1:3" ht="28.8" x14ac:dyDescent="0.3">
      <c r="A21" s="4" t="s">
        <v>146</v>
      </c>
      <c r="B21">
        <v>1</v>
      </c>
      <c r="C21">
        <v>1</v>
      </c>
    </row>
    <row r="22" spans="1:3" ht="28.8" x14ac:dyDescent="0.3">
      <c r="A22" s="4" t="s">
        <v>3124</v>
      </c>
      <c r="B22">
        <v>1</v>
      </c>
      <c r="C22">
        <v>3</v>
      </c>
    </row>
    <row r="23" spans="1:3" ht="28.8" x14ac:dyDescent="0.3">
      <c r="A23" s="4" t="s">
        <v>3125</v>
      </c>
      <c r="B23">
        <v>1</v>
      </c>
      <c r="C23">
        <v>3</v>
      </c>
    </row>
    <row r="24" spans="1:3" ht="28.8" x14ac:dyDescent="0.3">
      <c r="A24" s="4" t="s">
        <v>3126</v>
      </c>
      <c r="B24">
        <v>1</v>
      </c>
      <c r="C24">
        <v>3</v>
      </c>
    </row>
    <row r="25" spans="1:3" ht="43.2" x14ac:dyDescent="0.3">
      <c r="A25" s="4" t="s">
        <v>163</v>
      </c>
      <c r="B25">
        <v>1</v>
      </c>
      <c r="C25">
        <v>1</v>
      </c>
    </row>
    <row r="26" spans="1:3" ht="28.8" x14ac:dyDescent="0.3">
      <c r="A26" s="4" t="s">
        <v>3127</v>
      </c>
      <c r="B26">
        <v>1</v>
      </c>
      <c r="C26">
        <v>3</v>
      </c>
    </row>
    <row r="27" spans="1:3" ht="28.8" x14ac:dyDescent="0.3">
      <c r="A27" s="4" t="s">
        <v>3128</v>
      </c>
      <c r="B27">
        <v>1</v>
      </c>
      <c r="C27">
        <v>3</v>
      </c>
    </row>
    <row r="28" spans="1:3" x14ac:dyDescent="0.3">
      <c r="A28" s="4" t="s">
        <v>3129</v>
      </c>
      <c r="B28">
        <v>1</v>
      </c>
      <c r="C28">
        <v>3</v>
      </c>
    </row>
    <row r="29" spans="1:3" ht="43.2" x14ac:dyDescent="0.3">
      <c r="A29" s="4" t="s">
        <v>3130</v>
      </c>
      <c r="B29">
        <v>1</v>
      </c>
      <c r="C29">
        <v>3</v>
      </c>
    </row>
    <row r="30" spans="1:3" ht="28.8" x14ac:dyDescent="0.3">
      <c r="A30" s="4" t="s">
        <v>3131</v>
      </c>
      <c r="B30">
        <v>1</v>
      </c>
      <c r="C30">
        <v>3</v>
      </c>
    </row>
    <row r="31" spans="1:3" ht="28.8" x14ac:dyDescent="0.3">
      <c r="A31" s="4" t="s">
        <v>178</v>
      </c>
      <c r="B31">
        <v>1</v>
      </c>
      <c r="C31">
        <v>1</v>
      </c>
    </row>
    <row r="32" spans="1:3" ht="28.8" x14ac:dyDescent="0.3">
      <c r="A32" s="4" t="s">
        <v>3132</v>
      </c>
      <c r="B32">
        <v>1</v>
      </c>
      <c r="C32">
        <v>3</v>
      </c>
    </row>
    <row r="33" spans="1:3" ht="28.8" x14ac:dyDescent="0.3">
      <c r="A33" s="4" t="s">
        <v>3133</v>
      </c>
      <c r="B33">
        <v>1</v>
      </c>
      <c r="C33">
        <v>3</v>
      </c>
    </row>
    <row r="34" spans="1:3" ht="28.8" x14ac:dyDescent="0.3">
      <c r="A34" s="4" t="s">
        <v>189</v>
      </c>
      <c r="B34">
        <v>1</v>
      </c>
      <c r="C34">
        <v>1</v>
      </c>
    </row>
    <row r="35" spans="1:3" ht="28.8" x14ac:dyDescent="0.3">
      <c r="A35" s="4" t="s">
        <v>3134</v>
      </c>
      <c r="B35">
        <v>1</v>
      </c>
      <c r="C35">
        <v>3</v>
      </c>
    </row>
    <row r="36" spans="1:3" ht="28.8" x14ac:dyDescent="0.3">
      <c r="A36" s="4" t="s">
        <v>3135</v>
      </c>
      <c r="B36">
        <v>1</v>
      </c>
      <c r="C36">
        <v>3</v>
      </c>
    </row>
    <row r="37" spans="1:3" ht="28.8" x14ac:dyDescent="0.3">
      <c r="A37" s="4" t="s">
        <v>201</v>
      </c>
      <c r="B37">
        <v>1</v>
      </c>
      <c r="C37">
        <v>1</v>
      </c>
    </row>
    <row r="38" spans="1:3" ht="28.8" x14ac:dyDescent="0.3">
      <c r="A38" s="4" t="s">
        <v>3136</v>
      </c>
      <c r="B38">
        <v>1</v>
      </c>
      <c r="C38">
        <v>3</v>
      </c>
    </row>
    <row r="39" spans="1:3" x14ac:dyDescent="0.3">
      <c r="A39" s="4" t="s">
        <v>3137</v>
      </c>
      <c r="B39">
        <v>1</v>
      </c>
      <c r="C39">
        <v>3</v>
      </c>
    </row>
    <row r="40" spans="1:3" ht="28.8" x14ac:dyDescent="0.3">
      <c r="A40" s="4" t="s">
        <v>216</v>
      </c>
      <c r="B40">
        <v>1</v>
      </c>
      <c r="C40">
        <v>1</v>
      </c>
    </row>
    <row r="41" spans="1:3" ht="28.8" x14ac:dyDescent="0.3">
      <c r="A41" s="4" t="s">
        <v>226</v>
      </c>
      <c r="B41">
        <v>1</v>
      </c>
      <c r="C41">
        <v>1</v>
      </c>
    </row>
    <row r="42" spans="1:3" ht="28.8" x14ac:dyDescent="0.3">
      <c r="A42" s="4" t="s">
        <v>3138</v>
      </c>
      <c r="B42">
        <v>1</v>
      </c>
      <c r="C42">
        <v>3</v>
      </c>
    </row>
    <row r="43" spans="1:3" x14ac:dyDescent="0.3">
      <c r="A43" s="4" t="s">
        <v>233</v>
      </c>
      <c r="B43">
        <v>1</v>
      </c>
      <c r="C43">
        <v>1</v>
      </c>
    </row>
    <row r="44" spans="1:3" ht="28.8" x14ac:dyDescent="0.3">
      <c r="A44" s="4" t="s">
        <v>3139</v>
      </c>
      <c r="B44">
        <v>1</v>
      </c>
      <c r="C44">
        <v>3</v>
      </c>
    </row>
    <row r="45" spans="1:3" ht="28.8" x14ac:dyDescent="0.3">
      <c r="A45" s="4" t="s">
        <v>3140</v>
      </c>
      <c r="B45">
        <v>1</v>
      </c>
      <c r="C45">
        <v>3</v>
      </c>
    </row>
    <row r="46" spans="1:3" ht="28.8" x14ac:dyDescent="0.3">
      <c r="A46" s="4" t="s">
        <v>3141</v>
      </c>
      <c r="B46">
        <v>1</v>
      </c>
      <c r="C46">
        <v>3</v>
      </c>
    </row>
    <row r="47" spans="1:3" ht="28.8" x14ac:dyDescent="0.3">
      <c r="A47" s="4" t="s">
        <v>3142</v>
      </c>
      <c r="B47">
        <v>1</v>
      </c>
      <c r="C47">
        <v>3</v>
      </c>
    </row>
    <row r="48" spans="1:3" ht="28.8" x14ac:dyDescent="0.3">
      <c r="A48" s="4" t="s">
        <v>3143</v>
      </c>
      <c r="B48">
        <v>1</v>
      </c>
      <c r="C48">
        <v>3</v>
      </c>
    </row>
    <row r="49" spans="1:3" ht="28.8" x14ac:dyDescent="0.3">
      <c r="A49" s="4" t="s">
        <v>3144</v>
      </c>
      <c r="B49">
        <v>1</v>
      </c>
      <c r="C49">
        <v>3</v>
      </c>
    </row>
    <row r="50" spans="1:3" ht="28.8" x14ac:dyDescent="0.3">
      <c r="A50" s="4" t="s">
        <v>3145</v>
      </c>
      <c r="B50">
        <v>1</v>
      </c>
      <c r="C50">
        <v>3</v>
      </c>
    </row>
    <row r="51" spans="1:3" ht="28.8" x14ac:dyDescent="0.3">
      <c r="A51" s="4" t="s">
        <v>3146</v>
      </c>
      <c r="B51">
        <v>1</v>
      </c>
      <c r="C51">
        <v>3</v>
      </c>
    </row>
    <row r="52" spans="1:3" ht="43.2" x14ac:dyDescent="0.3">
      <c r="A52" s="4" t="s">
        <v>3147</v>
      </c>
      <c r="B52">
        <v>1</v>
      </c>
      <c r="C52">
        <v>3</v>
      </c>
    </row>
    <row r="53" spans="1:3" ht="28.8" x14ac:dyDescent="0.3">
      <c r="A53" s="4" t="s">
        <v>244</v>
      </c>
      <c r="B53">
        <v>1</v>
      </c>
      <c r="C53">
        <v>1</v>
      </c>
    </row>
    <row r="54" spans="1:3" ht="43.2" x14ac:dyDescent="0.3">
      <c r="A54" s="4" t="s">
        <v>3148</v>
      </c>
      <c r="B54">
        <v>1</v>
      </c>
      <c r="C54">
        <v>3</v>
      </c>
    </row>
    <row r="55" spans="1:3" ht="28.8" x14ac:dyDescent="0.3">
      <c r="A55" s="4" t="s">
        <v>255</v>
      </c>
      <c r="B55">
        <v>1</v>
      </c>
      <c r="C55">
        <v>1</v>
      </c>
    </row>
    <row r="56" spans="1:3" ht="28.8" x14ac:dyDescent="0.3">
      <c r="A56" s="4" t="s">
        <v>3149</v>
      </c>
      <c r="B56">
        <v>1</v>
      </c>
      <c r="C56">
        <v>3</v>
      </c>
    </row>
    <row r="57" spans="1:3" ht="28.8" x14ac:dyDescent="0.3">
      <c r="A57" s="4" t="s">
        <v>3150</v>
      </c>
      <c r="B57">
        <v>1</v>
      </c>
      <c r="C57">
        <v>2</v>
      </c>
    </row>
    <row r="58" spans="1:3" ht="28.8" x14ac:dyDescent="0.3">
      <c r="A58" s="4" t="s">
        <v>3151</v>
      </c>
      <c r="B58">
        <v>1</v>
      </c>
      <c r="C58">
        <v>3</v>
      </c>
    </row>
    <row r="59" spans="1:3" ht="28.8" x14ac:dyDescent="0.3">
      <c r="A59" s="4" t="s">
        <v>3152</v>
      </c>
      <c r="B59">
        <v>1</v>
      </c>
      <c r="C59">
        <v>3</v>
      </c>
    </row>
    <row r="60" spans="1:3" ht="28.8" x14ac:dyDescent="0.3">
      <c r="A60" s="4" t="s">
        <v>263</v>
      </c>
      <c r="B60">
        <v>1</v>
      </c>
      <c r="C60">
        <v>1</v>
      </c>
    </row>
    <row r="61" spans="1:3" ht="28.8" x14ac:dyDescent="0.3">
      <c r="A61" s="4" t="s">
        <v>276</v>
      </c>
      <c r="B61">
        <v>1</v>
      </c>
      <c r="C61">
        <v>1</v>
      </c>
    </row>
    <row r="62" spans="1:3" x14ac:dyDescent="0.3">
      <c r="A62" s="4" t="s">
        <v>3153</v>
      </c>
      <c r="B62">
        <v>1</v>
      </c>
      <c r="C62">
        <v>3</v>
      </c>
    </row>
    <row r="63" spans="1:3" ht="28.8" x14ac:dyDescent="0.3">
      <c r="A63" s="4" t="s">
        <v>281</v>
      </c>
      <c r="B63">
        <v>1</v>
      </c>
      <c r="C63">
        <v>1</v>
      </c>
    </row>
    <row r="64" spans="1:3" ht="28.8" x14ac:dyDescent="0.3">
      <c r="A64" s="4" t="s">
        <v>3154</v>
      </c>
      <c r="B64">
        <v>1</v>
      </c>
      <c r="C64">
        <v>3</v>
      </c>
    </row>
    <row r="65" spans="1:3" ht="28.8" x14ac:dyDescent="0.3">
      <c r="A65" s="4" t="s">
        <v>3155</v>
      </c>
      <c r="B65">
        <v>1</v>
      </c>
      <c r="C65">
        <v>3</v>
      </c>
    </row>
    <row r="66" spans="1:3" ht="28.8" x14ac:dyDescent="0.3">
      <c r="A66" s="4" t="s">
        <v>3156</v>
      </c>
      <c r="B66">
        <v>1</v>
      </c>
      <c r="C66">
        <v>3</v>
      </c>
    </row>
    <row r="67" spans="1:3" x14ac:dyDescent="0.3">
      <c r="A67" s="4" t="s">
        <v>3157</v>
      </c>
      <c r="B67">
        <v>1</v>
      </c>
      <c r="C67">
        <v>3</v>
      </c>
    </row>
    <row r="68" spans="1:3" ht="28.8" x14ac:dyDescent="0.3">
      <c r="A68" s="4" t="s">
        <v>3158</v>
      </c>
      <c r="B68">
        <v>1</v>
      </c>
      <c r="C68">
        <v>3</v>
      </c>
    </row>
    <row r="69" spans="1:3" ht="28.8" x14ac:dyDescent="0.3">
      <c r="A69" s="4" t="s">
        <v>3159</v>
      </c>
      <c r="B69">
        <v>1</v>
      </c>
      <c r="C69">
        <v>3</v>
      </c>
    </row>
    <row r="70" spans="1:3" ht="28.8" x14ac:dyDescent="0.3">
      <c r="A70" s="4" t="s">
        <v>3160</v>
      </c>
      <c r="B70">
        <v>1</v>
      </c>
      <c r="C70">
        <v>3</v>
      </c>
    </row>
    <row r="71" spans="1:3" ht="28.8" x14ac:dyDescent="0.3">
      <c r="A71" s="4" t="s">
        <v>3161</v>
      </c>
      <c r="B71">
        <v>1</v>
      </c>
      <c r="C71">
        <v>3</v>
      </c>
    </row>
    <row r="72" spans="1:3" x14ac:dyDescent="0.3">
      <c r="A72" s="4" t="s">
        <v>294</v>
      </c>
      <c r="B72">
        <v>1</v>
      </c>
      <c r="C72">
        <v>1</v>
      </c>
    </row>
    <row r="73" spans="1:3" ht="28.8" x14ac:dyDescent="0.3">
      <c r="A73" s="4" t="s">
        <v>3162</v>
      </c>
      <c r="B73">
        <v>1</v>
      </c>
      <c r="C73">
        <v>3</v>
      </c>
    </row>
    <row r="74" spans="1:3" ht="28.8" x14ac:dyDescent="0.3">
      <c r="A74" s="4" t="s">
        <v>3163</v>
      </c>
      <c r="B74">
        <v>1</v>
      </c>
      <c r="C74">
        <v>3</v>
      </c>
    </row>
    <row r="75" spans="1:3" x14ac:dyDescent="0.3">
      <c r="A75" s="4" t="s">
        <v>300</v>
      </c>
      <c r="B75">
        <v>1</v>
      </c>
      <c r="C75">
        <v>1</v>
      </c>
    </row>
    <row r="76" spans="1:3" x14ac:dyDescent="0.3">
      <c r="A76" s="4" t="s">
        <v>303</v>
      </c>
      <c r="B76">
        <v>1</v>
      </c>
      <c r="C76">
        <v>1</v>
      </c>
    </row>
    <row r="77" spans="1:3" ht="28.8" x14ac:dyDescent="0.3">
      <c r="A77" s="4" t="s">
        <v>311</v>
      </c>
      <c r="B77">
        <v>1</v>
      </c>
      <c r="C77">
        <v>1</v>
      </c>
    </row>
    <row r="78" spans="1:3" ht="28.8" x14ac:dyDescent="0.3">
      <c r="A78" s="4" t="s">
        <v>3164</v>
      </c>
      <c r="B78">
        <v>1</v>
      </c>
      <c r="C78">
        <v>3</v>
      </c>
    </row>
    <row r="79" spans="1:3" x14ac:dyDescent="0.3">
      <c r="A79" s="4" t="s">
        <v>3165</v>
      </c>
      <c r="B79">
        <v>1</v>
      </c>
      <c r="C79">
        <v>3</v>
      </c>
    </row>
    <row r="80" spans="1:3" ht="28.8" x14ac:dyDescent="0.3">
      <c r="A80" s="4" t="s">
        <v>3166</v>
      </c>
      <c r="B80">
        <v>1</v>
      </c>
      <c r="C80">
        <v>3</v>
      </c>
    </row>
    <row r="81" spans="1:3" ht="28.8" x14ac:dyDescent="0.3">
      <c r="A81" s="4" t="s">
        <v>317</v>
      </c>
      <c r="B81">
        <v>1</v>
      </c>
      <c r="C81">
        <v>1</v>
      </c>
    </row>
    <row r="82" spans="1:3" ht="28.8" x14ac:dyDescent="0.3">
      <c r="A82" s="4" t="s">
        <v>3167</v>
      </c>
      <c r="B82">
        <v>1</v>
      </c>
      <c r="C82">
        <v>3</v>
      </c>
    </row>
    <row r="83" spans="1:3" ht="28.8" x14ac:dyDescent="0.3">
      <c r="A83" s="4" t="s">
        <v>3168</v>
      </c>
      <c r="B83">
        <v>1</v>
      </c>
      <c r="C83">
        <v>3</v>
      </c>
    </row>
    <row r="84" spans="1:3" ht="28.8" x14ac:dyDescent="0.3">
      <c r="A84" s="4" t="s">
        <v>3169</v>
      </c>
      <c r="B84">
        <v>1</v>
      </c>
      <c r="C84">
        <v>3</v>
      </c>
    </row>
    <row r="85" spans="1:3" ht="28.8" x14ac:dyDescent="0.3">
      <c r="A85" s="4" t="s">
        <v>3170</v>
      </c>
      <c r="B85">
        <v>1</v>
      </c>
      <c r="C85">
        <v>3</v>
      </c>
    </row>
    <row r="86" spans="1:3" ht="28.8" x14ac:dyDescent="0.3">
      <c r="A86" s="4" t="s">
        <v>3171</v>
      </c>
      <c r="B86">
        <v>1</v>
      </c>
      <c r="C86">
        <v>3</v>
      </c>
    </row>
    <row r="87" spans="1:3" ht="28.8" x14ac:dyDescent="0.3">
      <c r="A87" s="4" t="s">
        <v>323</v>
      </c>
      <c r="B87">
        <v>1</v>
      </c>
      <c r="C87">
        <v>1</v>
      </c>
    </row>
    <row r="88" spans="1:3" ht="28.8" x14ac:dyDescent="0.3">
      <c r="A88" s="4" t="s">
        <v>328</v>
      </c>
      <c r="B88">
        <v>1</v>
      </c>
      <c r="C88">
        <v>1</v>
      </c>
    </row>
    <row r="89" spans="1:3" ht="28.8" x14ac:dyDescent="0.3">
      <c r="A89" s="4" t="s">
        <v>338</v>
      </c>
      <c r="B89">
        <v>1</v>
      </c>
      <c r="C89">
        <v>1</v>
      </c>
    </row>
    <row r="90" spans="1:3" ht="28.8" x14ac:dyDescent="0.3">
      <c r="A90" s="4" t="s">
        <v>3172</v>
      </c>
      <c r="B90">
        <v>1</v>
      </c>
      <c r="C90">
        <v>3</v>
      </c>
    </row>
    <row r="91" spans="1:3" ht="28.8" x14ac:dyDescent="0.3">
      <c r="A91" s="4" t="s">
        <v>339</v>
      </c>
      <c r="B91">
        <v>1</v>
      </c>
      <c r="C91">
        <v>1</v>
      </c>
    </row>
    <row r="92" spans="1:3" ht="28.8" x14ac:dyDescent="0.3">
      <c r="A92" s="4" t="s">
        <v>3173</v>
      </c>
      <c r="B92">
        <v>1</v>
      </c>
      <c r="C92">
        <v>3</v>
      </c>
    </row>
    <row r="93" spans="1:3" ht="28.8" x14ac:dyDescent="0.3">
      <c r="A93" s="4" t="s">
        <v>351</v>
      </c>
      <c r="B93">
        <v>1</v>
      </c>
      <c r="C93">
        <v>1</v>
      </c>
    </row>
    <row r="94" spans="1:3" ht="28.8" x14ac:dyDescent="0.3">
      <c r="A94" s="4" t="s">
        <v>352</v>
      </c>
      <c r="B94">
        <v>1</v>
      </c>
      <c r="C94">
        <v>1</v>
      </c>
    </row>
    <row r="95" spans="1:3" ht="28.8" x14ac:dyDescent="0.3">
      <c r="A95" s="4" t="s">
        <v>3174</v>
      </c>
      <c r="B95">
        <v>1</v>
      </c>
      <c r="C95">
        <v>3</v>
      </c>
    </row>
    <row r="96" spans="1:3" ht="43.2" x14ac:dyDescent="0.3">
      <c r="A96" s="4" t="s">
        <v>3175</v>
      </c>
      <c r="B96">
        <v>1</v>
      </c>
      <c r="C96">
        <v>3</v>
      </c>
    </row>
    <row r="97" spans="1:3" ht="28.8" x14ac:dyDescent="0.3">
      <c r="A97" s="4" t="s">
        <v>353</v>
      </c>
      <c r="B97">
        <v>1</v>
      </c>
      <c r="C97">
        <v>1</v>
      </c>
    </row>
    <row r="98" spans="1:3" ht="28.8" x14ac:dyDescent="0.3">
      <c r="A98" s="4" t="s">
        <v>354</v>
      </c>
      <c r="B98">
        <v>1</v>
      </c>
      <c r="C98">
        <v>1</v>
      </c>
    </row>
    <row r="99" spans="1:3" ht="28.8" x14ac:dyDescent="0.3">
      <c r="A99" s="4" t="s">
        <v>3176</v>
      </c>
      <c r="B99">
        <v>1</v>
      </c>
      <c r="C99">
        <v>3</v>
      </c>
    </row>
    <row r="100" spans="1:3" ht="28.8" x14ac:dyDescent="0.3">
      <c r="A100" s="4" t="s">
        <v>3177</v>
      </c>
      <c r="B100">
        <v>1</v>
      </c>
      <c r="C100">
        <v>3</v>
      </c>
    </row>
    <row r="101" spans="1:3" ht="28.8" x14ac:dyDescent="0.3">
      <c r="A101" s="4" t="s">
        <v>3178</v>
      </c>
      <c r="B101">
        <v>1</v>
      </c>
      <c r="C101">
        <v>3</v>
      </c>
    </row>
    <row r="102" spans="1:3" ht="43.2" x14ac:dyDescent="0.3">
      <c r="A102" s="4" t="s">
        <v>389</v>
      </c>
      <c r="B102">
        <v>1</v>
      </c>
      <c r="C102">
        <v>1</v>
      </c>
    </row>
    <row r="103" spans="1:3" ht="43.2" x14ac:dyDescent="0.3">
      <c r="A103" s="4" t="s">
        <v>3179</v>
      </c>
      <c r="B103">
        <v>1</v>
      </c>
      <c r="C103">
        <v>3</v>
      </c>
    </row>
    <row r="104" spans="1:3" ht="28.8" x14ac:dyDescent="0.3">
      <c r="A104" s="4" t="s">
        <v>397</v>
      </c>
      <c r="B104">
        <v>1</v>
      </c>
      <c r="C104">
        <v>1</v>
      </c>
    </row>
    <row r="105" spans="1:3" ht="28.8" x14ac:dyDescent="0.3">
      <c r="A105" s="4" t="s">
        <v>3180</v>
      </c>
      <c r="B105">
        <v>1</v>
      </c>
      <c r="C105">
        <v>3</v>
      </c>
    </row>
    <row r="106" spans="1:3" ht="28.8" x14ac:dyDescent="0.3">
      <c r="A106" s="4" t="s">
        <v>3181</v>
      </c>
      <c r="B106">
        <v>1</v>
      </c>
      <c r="C106">
        <v>3</v>
      </c>
    </row>
    <row r="107" spans="1:3" ht="43.2" x14ac:dyDescent="0.3">
      <c r="A107" s="4" t="s">
        <v>403</v>
      </c>
      <c r="B107">
        <v>1</v>
      </c>
      <c r="C107">
        <v>1</v>
      </c>
    </row>
    <row r="108" spans="1:3" ht="43.2" x14ac:dyDescent="0.3">
      <c r="A108" s="4" t="s">
        <v>3182</v>
      </c>
      <c r="B108">
        <v>1</v>
      </c>
      <c r="C108">
        <v>3</v>
      </c>
    </row>
    <row r="109" spans="1:3" ht="28.8" x14ac:dyDescent="0.3">
      <c r="A109" s="4" t="s">
        <v>412</v>
      </c>
      <c r="B109">
        <v>1</v>
      </c>
      <c r="C109">
        <v>1</v>
      </c>
    </row>
    <row r="110" spans="1:3" ht="28.8" x14ac:dyDescent="0.3">
      <c r="A110" s="4" t="s">
        <v>420</v>
      </c>
      <c r="B110">
        <v>1</v>
      </c>
      <c r="C110">
        <v>1</v>
      </c>
    </row>
    <row r="111" spans="1:3" ht="28.8" x14ac:dyDescent="0.3">
      <c r="A111" s="4" t="s">
        <v>3183</v>
      </c>
      <c r="B111">
        <v>1</v>
      </c>
      <c r="C111">
        <v>3</v>
      </c>
    </row>
    <row r="112" spans="1:3" ht="28.8" x14ac:dyDescent="0.3">
      <c r="A112" s="4" t="s">
        <v>3184</v>
      </c>
      <c r="B112">
        <v>1</v>
      </c>
      <c r="C112">
        <v>3</v>
      </c>
    </row>
    <row r="113" spans="1:3" ht="28.8" x14ac:dyDescent="0.3">
      <c r="A113" s="4" t="s">
        <v>3185</v>
      </c>
      <c r="B113">
        <v>1</v>
      </c>
      <c r="C113">
        <v>3</v>
      </c>
    </row>
    <row r="114" spans="1:3" ht="28.8" x14ac:dyDescent="0.3">
      <c r="A114" s="4" t="s">
        <v>3186</v>
      </c>
      <c r="B114">
        <v>1</v>
      </c>
      <c r="C114">
        <v>3</v>
      </c>
    </row>
    <row r="115" spans="1:3" ht="28.8" x14ac:dyDescent="0.3">
      <c r="A115" s="4" t="s">
        <v>3187</v>
      </c>
      <c r="B115">
        <v>1</v>
      </c>
      <c r="C115">
        <v>3</v>
      </c>
    </row>
    <row r="116" spans="1:3" ht="28.8" x14ac:dyDescent="0.3">
      <c r="A116" s="4" t="s">
        <v>431</v>
      </c>
      <c r="B116">
        <v>1</v>
      </c>
      <c r="C116">
        <v>1</v>
      </c>
    </row>
    <row r="117" spans="1:3" ht="28.8" x14ac:dyDescent="0.3">
      <c r="A117" s="4" t="s">
        <v>3188</v>
      </c>
      <c r="B117">
        <v>1</v>
      </c>
      <c r="C117">
        <v>3</v>
      </c>
    </row>
    <row r="118" spans="1:3" ht="43.2" x14ac:dyDescent="0.3">
      <c r="A118" s="4" t="s">
        <v>3189</v>
      </c>
      <c r="B118">
        <v>1</v>
      </c>
      <c r="C118">
        <v>3</v>
      </c>
    </row>
    <row r="119" spans="1:3" ht="28.8" x14ac:dyDescent="0.3">
      <c r="A119" s="4" t="s">
        <v>3190</v>
      </c>
      <c r="B119">
        <v>1</v>
      </c>
      <c r="C119">
        <v>3</v>
      </c>
    </row>
    <row r="120" spans="1:3" ht="28.8" x14ac:dyDescent="0.3">
      <c r="A120" s="4" t="s">
        <v>433</v>
      </c>
      <c r="B120">
        <v>1</v>
      </c>
      <c r="C120">
        <v>1</v>
      </c>
    </row>
    <row r="121" spans="1:3" ht="28.8" x14ac:dyDescent="0.3">
      <c r="A121" s="4" t="s">
        <v>435</v>
      </c>
      <c r="B121">
        <v>1</v>
      </c>
      <c r="C121">
        <v>1</v>
      </c>
    </row>
    <row r="122" spans="1:3" ht="28.8" x14ac:dyDescent="0.3">
      <c r="A122" s="4" t="s">
        <v>453</v>
      </c>
      <c r="B122">
        <v>1</v>
      </c>
      <c r="C122">
        <v>1</v>
      </c>
    </row>
    <row r="123" spans="1:3" ht="28.8" x14ac:dyDescent="0.3">
      <c r="A123" s="4" t="s">
        <v>471</v>
      </c>
      <c r="B123">
        <v>1</v>
      </c>
      <c r="C123">
        <v>1</v>
      </c>
    </row>
    <row r="124" spans="1:3" ht="28.8" x14ac:dyDescent="0.3">
      <c r="A124" s="4" t="s">
        <v>477</v>
      </c>
      <c r="B124">
        <v>1</v>
      </c>
      <c r="C124">
        <v>1</v>
      </c>
    </row>
    <row r="125" spans="1:3" ht="28.8" x14ac:dyDescent="0.3">
      <c r="A125" s="4" t="s">
        <v>3191</v>
      </c>
      <c r="B125">
        <v>1</v>
      </c>
      <c r="C125">
        <v>3</v>
      </c>
    </row>
    <row r="126" spans="1:3" ht="28.8" x14ac:dyDescent="0.3">
      <c r="A126" s="4" t="s">
        <v>481</v>
      </c>
      <c r="B126">
        <v>1</v>
      </c>
      <c r="C126">
        <v>1</v>
      </c>
    </row>
    <row r="127" spans="1:3" ht="28.8" x14ac:dyDescent="0.3">
      <c r="A127" s="4" t="s">
        <v>3192</v>
      </c>
      <c r="B127">
        <v>1</v>
      </c>
      <c r="C127">
        <v>3</v>
      </c>
    </row>
    <row r="128" spans="1:3" ht="28.8" x14ac:dyDescent="0.3">
      <c r="A128" s="4" t="s">
        <v>496</v>
      </c>
      <c r="B128">
        <v>1</v>
      </c>
      <c r="C128">
        <v>1</v>
      </c>
    </row>
    <row r="129" spans="1:3" ht="43.2" x14ac:dyDescent="0.3">
      <c r="A129" s="4" t="s">
        <v>3193</v>
      </c>
      <c r="B129">
        <v>1</v>
      </c>
      <c r="C129">
        <v>3</v>
      </c>
    </row>
    <row r="130" spans="1:3" ht="28.8" x14ac:dyDescent="0.3">
      <c r="A130" s="4" t="s">
        <v>503</v>
      </c>
      <c r="B130">
        <v>1</v>
      </c>
      <c r="C130">
        <v>1</v>
      </c>
    </row>
    <row r="131" spans="1:3" ht="28.8" x14ac:dyDescent="0.3">
      <c r="A131" s="4" t="s">
        <v>3194</v>
      </c>
      <c r="B131">
        <v>1</v>
      </c>
      <c r="C131">
        <v>3</v>
      </c>
    </row>
    <row r="132" spans="1:3" ht="28.8" x14ac:dyDescent="0.3">
      <c r="A132" s="4" t="s">
        <v>3195</v>
      </c>
      <c r="B132">
        <v>1</v>
      </c>
      <c r="C132">
        <v>3</v>
      </c>
    </row>
    <row r="133" spans="1:3" ht="43.2" x14ac:dyDescent="0.3">
      <c r="A133" s="4" t="s">
        <v>513</v>
      </c>
      <c r="B133">
        <v>1</v>
      </c>
      <c r="C133">
        <v>1</v>
      </c>
    </row>
    <row r="134" spans="1:3" ht="28.8" x14ac:dyDescent="0.3">
      <c r="A134" s="4" t="s">
        <v>527</v>
      </c>
      <c r="B134">
        <v>1</v>
      </c>
      <c r="C134">
        <v>1</v>
      </c>
    </row>
    <row r="135" spans="1:3" ht="28.8" x14ac:dyDescent="0.3">
      <c r="A135" s="4" t="s">
        <v>3196</v>
      </c>
      <c r="B135">
        <v>1</v>
      </c>
      <c r="C135">
        <v>3</v>
      </c>
    </row>
    <row r="136" spans="1:3" ht="28.8" x14ac:dyDescent="0.3">
      <c r="A136" s="4" t="s">
        <v>524</v>
      </c>
      <c r="B136">
        <v>1</v>
      </c>
      <c r="C136">
        <v>1</v>
      </c>
    </row>
    <row r="137" spans="1:3" ht="28.8" x14ac:dyDescent="0.3">
      <c r="A137" s="4" t="s">
        <v>537</v>
      </c>
      <c r="B137">
        <v>1</v>
      </c>
      <c r="C137">
        <v>1</v>
      </c>
    </row>
    <row r="138" spans="1:3" ht="28.8" x14ac:dyDescent="0.3">
      <c r="A138" s="4" t="s">
        <v>3197</v>
      </c>
      <c r="B138">
        <v>1</v>
      </c>
      <c r="C138">
        <v>3</v>
      </c>
    </row>
    <row r="139" spans="1:3" ht="28.8" x14ac:dyDescent="0.3">
      <c r="A139" s="4" t="s">
        <v>3198</v>
      </c>
      <c r="B139">
        <v>1</v>
      </c>
      <c r="C139">
        <v>3</v>
      </c>
    </row>
    <row r="140" spans="1:3" ht="28.8" x14ac:dyDescent="0.3">
      <c r="A140" s="4" t="s">
        <v>3199</v>
      </c>
      <c r="B140">
        <v>1</v>
      </c>
      <c r="C140">
        <v>3</v>
      </c>
    </row>
    <row r="141" spans="1:3" ht="28.8" x14ac:dyDescent="0.3">
      <c r="A141" s="4" t="s">
        <v>542</v>
      </c>
      <c r="B141">
        <v>1</v>
      </c>
      <c r="C141">
        <v>1</v>
      </c>
    </row>
    <row r="142" spans="1:3" ht="28.8" x14ac:dyDescent="0.3">
      <c r="A142" s="4" t="s">
        <v>549</v>
      </c>
      <c r="B142">
        <v>1</v>
      </c>
      <c r="C142">
        <v>1</v>
      </c>
    </row>
    <row r="143" spans="1:3" ht="28.8" x14ac:dyDescent="0.3">
      <c r="A143" s="4" t="s">
        <v>3200</v>
      </c>
      <c r="B143">
        <v>1</v>
      </c>
      <c r="C143">
        <v>3</v>
      </c>
    </row>
    <row r="144" spans="1:3" ht="28.8" x14ac:dyDescent="0.3">
      <c r="A144" s="4" t="s">
        <v>557</v>
      </c>
      <c r="B144">
        <v>1</v>
      </c>
      <c r="C144">
        <v>1</v>
      </c>
    </row>
    <row r="145" spans="1:3" ht="28.8" x14ac:dyDescent="0.3">
      <c r="A145" s="4" t="s">
        <v>3201</v>
      </c>
      <c r="B145">
        <v>1</v>
      </c>
      <c r="C145">
        <v>3</v>
      </c>
    </row>
    <row r="146" spans="1:3" ht="28.8" x14ac:dyDescent="0.3">
      <c r="A146" s="4" t="s">
        <v>570</v>
      </c>
      <c r="B146">
        <v>1</v>
      </c>
      <c r="C146">
        <v>1</v>
      </c>
    </row>
    <row r="147" spans="1:3" ht="28.8" x14ac:dyDescent="0.3">
      <c r="A147" s="4" t="s">
        <v>576</v>
      </c>
      <c r="B147">
        <v>1</v>
      </c>
      <c r="C147">
        <v>1</v>
      </c>
    </row>
    <row r="148" spans="1:3" ht="28.8" x14ac:dyDescent="0.3">
      <c r="A148" s="4" t="s">
        <v>583</v>
      </c>
      <c r="B148">
        <v>1</v>
      </c>
      <c r="C148">
        <v>1</v>
      </c>
    </row>
    <row r="149" spans="1:3" ht="28.8" x14ac:dyDescent="0.3">
      <c r="A149" s="4" t="s">
        <v>3202</v>
      </c>
      <c r="B149">
        <v>1</v>
      </c>
      <c r="C149">
        <v>3</v>
      </c>
    </row>
    <row r="150" spans="1:3" ht="28.8" x14ac:dyDescent="0.3">
      <c r="A150" s="4" t="s">
        <v>3203</v>
      </c>
      <c r="B150">
        <v>1</v>
      </c>
      <c r="C150">
        <v>3</v>
      </c>
    </row>
    <row r="151" spans="1:3" ht="28.8" x14ac:dyDescent="0.3">
      <c r="A151" s="4" t="s">
        <v>589</v>
      </c>
      <c r="B151">
        <v>1</v>
      </c>
      <c r="C151">
        <v>1</v>
      </c>
    </row>
    <row r="152" spans="1:3" ht="28.8" x14ac:dyDescent="0.3">
      <c r="A152" s="4" t="s">
        <v>3204</v>
      </c>
      <c r="B152">
        <v>1</v>
      </c>
      <c r="C152">
        <v>3</v>
      </c>
    </row>
    <row r="153" spans="1:3" ht="28.8" x14ac:dyDescent="0.3">
      <c r="A153" s="4" t="s">
        <v>598</v>
      </c>
      <c r="B153">
        <v>1</v>
      </c>
      <c r="C153">
        <v>1</v>
      </c>
    </row>
    <row r="154" spans="1:3" ht="28.8" x14ac:dyDescent="0.3">
      <c r="A154" s="4" t="s">
        <v>601</v>
      </c>
      <c r="B154">
        <v>1</v>
      </c>
      <c r="C154">
        <v>1</v>
      </c>
    </row>
    <row r="155" spans="1:3" x14ac:dyDescent="0.3">
      <c r="A155" s="4" t="s">
        <v>3205</v>
      </c>
      <c r="B155">
        <v>1</v>
      </c>
      <c r="C155">
        <v>3</v>
      </c>
    </row>
    <row r="156" spans="1:3" ht="28.8" x14ac:dyDescent="0.3">
      <c r="A156" s="4" t="s">
        <v>3206</v>
      </c>
      <c r="B156">
        <v>1</v>
      </c>
      <c r="C156">
        <v>3</v>
      </c>
    </row>
    <row r="157" spans="1:3" x14ac:dyDescent="0.3">
      <c r="A157" s="4" t="s">
        <v>3207</v>
      </c>
      <c r="B157">
        <v>1</v>
      </c>
      <c r="C157">
        <v>3</v>
      </c>
    </row>
    <row r="158" spans="1:3" ht="28.8" x14ac:dyDescent="0.3">
      <c r="A158" s="4" t="s">
        <v>3208</v>
      </c>
      <c r="B158">
        <v>1</v>
      </c>
      <c r="C158">
        <v>3</v>
      </c>
    </row>
    <row r="159" spans="1:3" ht="28.8" x14ac:dyDescent="0.3">
      <c r="A159" s="4" t="s">
        <v>608</v>
      </c>
      <c r="B159">
        <v>1</v>
      </c>
      <c r="C159">
        <v>1</v>
      </c>
    </row>
    <row r="160" spans="1:3" ht="28.8" x14ac:dyDescent="0.3">
      <c r="A160" s="4" t="s">
        <v>3209</v>
      </c>
      <c r="B160">
        <v>1</v>
      </c>
      <c r="C160">
        <v>3</v>
      </c>
    </row>
    <row r="161" spans="1:3" ht="28.8" x14ac:dyDescent="0.3">
      <c r="A161" s="4" t="s">
        <v>3210</v>
      </c>
      <c r="B161">
        <v>1</v>
      </c>
      <c r="C161">
        <v>3</v>
      </c>
    </row>
    <row r="162" spans="1:3" ht="43.2" x14ac:dyDescent="0.3">
      <c r="A162" s="4" t="s">
        <v>609</v>
      </c>
      <c r="B162">
        <v>1</v>
      </c>
      <c r="C162">
        <v>1</v>
      </c>
    </row>
    <row r="163" spans="1:3" ht="28.8" x14ac:dyDescent="0.3">
      <c r="A163" s="4" t="s">
        <v>3211</v>
      </c>
      <c r="B163">
        <v>1</v>
      </c>
      <c r="C163">
        <v>3</v>
      </c>
    </row>
    <row r="164" spans="1:3" ht="28.8" x14ac:dyDescent="0.3">
      <c r="A164" s="4" t="s">
        <v>626</v>
      </c>
      <c r="B164">
        <v>1</v>
      </c>
      <c r="C164">
        <v>1</v>
      </c>
    </row>
    <row r="165" spans="1:3" ht="28.8" x14ac:dyDescent="0.3">
      <c r="A165" s="4" t="s">
        <v>3212</v>
      </c>
      <c r="B165">
        <v>1</v>
      </c>
      <c r="C165">
        <v>3</v>
      </c>
    </row>
    <row r="166" spans="1:3" ht="28.8" x14ac:dyDescent="0.3">
      <c r="A166" s="4" t="s">
        <v>3213</v>
      </c>
      <c r="B166">
        <v>1</v>
      </c>
      <c r="C166">
        <v>3</v>
      </c>
    </row>
    <row r="167" spans="1:3" ht="28.8" x14ac:dyDescent="0.3">
      <c r="A167" s="4" t="s">
        <v>3214</v>
      </c>
      <c r="B167">
        <v>1</v>
      </c>
      <c r="C167">
        <v>3</v>
      </c>
    </row>
    <row r="168" spans="1:3" ht="57.6" x14ac:dyDescent="0.3">
      <c r="A168" s="4" t="s">
        <v>3215</v>
      </c>
      <c r="B168">
        <v>1</v>
      </c>
      <c r="C168">
        <v>3</v>
      </c>
    </row>
    <row r="169" spans="1:3" ht="28.8" x14ac:dyDescent="0.3">
      <c r="A169" s="4" t="s">
        <v>3216</v>
      </c>
      <c r="B169">
        <v>1</v>
      </c>
      <c r="C169">
        <v>3</v>
      </c>
    </row>
    <row r="170" spans="1:3" ht="43.2" x14ac:dyDescent="0.3">
      <c r="A170" s="4" t="s">
        <v>636</v>
      </c>
      <c r="B170">
        <v>1</v>
      </c>
      <c r="C170">
        <v>1</v>
      </c>
    </row>
    <row r="171" spans="1:3" ht="28.8" x14ac:dyDescent="0.3">
      <c r="A171" s="4" t="s">
        <v>645</v>
      </c>
      <c r="B171">
        <v>1</v>
      </c>
      <c r="C171">
        <v>1</v>
      </c>
    </row>
    <row r="172" spans="1:3" x14ac:dyDescent="0.3">
      <c r="A172" s="4" t="s">
        <v>649</v>
      </c>
      <c r="B172">
        <v>1</v>
      </c>
      <c r="C172">
        <v>1</v>
      </c>
    </row>
    <row r="173" spans="1:3" ht="28.8" x14ac:dyDescent="0.3">
      <c r="A173" s="4" t="s">
        <v>3217</v>
      </c>
      <c r="B173">
        <v>1</v>
      </c>
      <c r="C173">
        <v>3</v>
      </c>
    </row>
    <row r="174" spans="1:3" ht="28.8" x14ac:dyDescent="0.3">
      <c r="A174" s="4" t="s">
        <v>3218</v>
      </c>
      <c r="B174">
        <v>1</v>
      </c>
      <c r="C174">
        <v>3</v>
      </c>
    </row>
    <row r="175" spans="1:3" ht="57.6" x14ac:dyDescent="0.3">
      <c r="A175" s="4" t="s">
        <v>3219</v>
      </c>
      <c r="B175">
        <v>1</v>
      </c>
      <c r="C175">
        <v>3</v>
      </c>
    </row>
    <row r="176" spans="1:3" ht="28.8" x14ac:dyDescent="0.3">
      <c r="A176" s="4" t="s">
        <v>656</v>
      </c>
      <c r="B176">
        <v>1</v>
      </c>
      <c r="C176">
        <v>1</v>
      </c>
    </row>
    <row r="177" spans="1:3" ht="43.2" x14ac:dyDescent="0.3">
      <c r="A177" s="4" t="s">
        <v>664</v>
      </c>
      <c r="B177">
        <v>1</v>
      </c>
      <c r="C177">
        <v>1</v>
      </c>
    </row>
    <row r="178" spans="1:3" ht="28.8" x14ac:dyDescent="0.3">
      <c r="A178" s="4" t="s">
        <v>3220</v>
      </c>
      <c r="B178">
        <v>1</v>
      </c>
      <c r="C178">
        <v>3</v>
      </c>
    </row>
    <row r="179" spans="1:3" ht="28.8" x14ac:dyDescent="0.3">
      <c r="A179" s="4" t="s">
        <v>3221</v>
      </c>
      <c r="B179">
        <v>1</v>
      </c>
      <c r="C179">
        <v>3</v>
      </c>
    </row>
    <row r="180" spans="1:3" ht="28.8" x14ac:dyDescent="0.3">
      <c r="A180" s="4" t="s">
        <v>3222</v>
      </c>
      <c r="B180">
        <v>1</v>
      </c>
      <c r="C180">
        <v>3</v>
      </c>
    </row>
    <row r="181" spans="1:3" ht="28.8" x14ac:dyDescent="0.3">
      <c r="A181" s="4" t="s">
        <v>3223</v>
      </c>
      <c r="B181">
        <v>1</v>
      </c>
      <c r="C181">
        <v>3</v>
      </c>
    </row>
    <row r="182" spans="1:3" x14ac:dyDescent="0.3">
      <c r="A182" s="4" t="s">
        <v>663</v>
      </c>
      <c r="B182">
        <v>1</v>
      </c>
      <c r="C182">
        <v>1</v>
      </c>
    </row>
    <row r="183" spans="1:3" ht="28.8" x14ac:dyDescent="0.3">
      <c r="A183" s="4" t="s">
        <v>678</v>
      </c>
      <c r="B183">
        <v>1</v>
      </c>
      <c r="C183">
        <v>1</v>
      </c>
    </row>
    <row r="184" spans="1:3" ht="43.2" x14ac:dyDescent="0.3">
      <c r="A184" s="4" t="s">
        <v>680</v>
      </c>
      <c r="B184">
        <v>1</v>
      </c>
      <c r="C184">
        <v>1</v>
      </c>
    </row>
    <row r="185" spans="1:3" ht="28.8" x14ac:dyDescent="0.3">
      <c r="A185" s="4" t="s">
        <v>3224</v>
      </c>
      <c r="B185">
        <v>1</v>
      </c>
      <c r="C185">
        <v>3</v>
      </c>
    </row>
    <row r="186" spans="1:3" ht="28.8" x14ac:dyDescent="0.3">
      <c r="A186" s="4" t="s">
        <v>703</v>
      </c>
      <c r="B186">
        <v>1</v>
      </c>
      <c r="C186">
        <v>1</v>
      </c>
    </row>
    <row r="187" spans="1:3" ht="28.8" x14ac:dyDescent="0.3">
      <c r="A187" s="4" t="s">
        <v>3225</v>
      </c>
      <c r="B187">
        <v>1</v>
      </c>
      <c r="C187">
        <v>3</v>
      </c>
    </row>
    <row r="188" spans="1:3" ht="28.8" x14ac:dyDescent="0.3">
      <c r="A188" s="4" t="s">
        <v>3226</v>
      </c>
      <c r="B188">
        <v>1</v>
      </c>
      <c r="C188">
        <v>3</v>
      </c>
    </row>
    <row r="189" spans="1:3" ht="28.8" x14ac:dyDescent="0.3">
      <c r="A189" s="4" t="s">
        <v>3227</v>
      </c>
      <c r="B189">
        <v>1</v>
      </c>
      <c r="C189">
        <v>3</v>
      </c>
    </row>
    <row r="190" spans="1:3" ht="28.8" x14ac:dyDescent="0.3">
      <c r="A190" s="4" t="s">
        <v>3228</v>
      </c>
      <c r="B190">
        <v>1</v>
      </c>
      <c r="C190">
        <v>3</v>
      </c>
    </row>
    <row r="191" spans="1:3" ht="28.8" x14ac:dyDescent="0.3">
      <c r="A191" s="4" t="s">
        <v>3229</v>
      </c>
      <c r="B191">
        <v>1</v>
      </c>
      <c r="C191">
        <v>3</v>
      </c>
    </row>
    <row r="192" spans="1:3" x14ac:dyDescent="0.3">
      <c r="A192" s="4" t="s">
        <v>715</v>
      </c>
      <c r="B192">
        <v>1</v>
      </c>
      <c r="C192">
        <v>1</v>
      </c>
    </row>
    <row r="193" spans="1:3" ht="28.8" x14ac:dyDescent="0.3">
      <c r="A193" s="4" t="s">
        <v>3230</v>
      </c>
      <c r="B193">
        <v>1</v>
      </c>
      <c r="C193">
        <v>3</v>
      </c>
    </row>
    <row r="194" spans="1:3" ht="28.8" x14ac:dyDescent="0.3">
      <c r="A194" s="4" t="s">
        <v>3231</v>
      </c>
      <c r="B194">
        <v>1</v>
      </c>
      <c r="C194">
        <v>3</v>
      </c>
    </row>
    <row r="195" spans="1:3" ht="28.8" x14ac:dyDescent="0.3">
      <c r="A195" s="4" t="s">
        <v>3232</v>
      </c>
      <c r="B195">
        <v>1</v>
      </c>
      <c r="C195">
        <v>3</v>
      </c>
    </row>
    <row r="196" spans="1:3" ht="28.8" x14ac:dyDescent="0.3">
      <c r="A196" s="4" t="s">
        <v>725</v>
      </c>
      <c r="B196">
        <v>1</v>
      </c>
      <c r="C196">
        <v>1</v>
      </c>
    </row>
    <row r="197" spans="1:3" ht="28.8" x14ac:dyDescent="0.3">
      <c r="A197" s="4" t="s">
        <v>3233</v>
      </c>
      <c r="B197">
        <v>1</v>
      </c>
      <c r="C197">
        <v>3</v>
      </c>
    </row>
    <row r="198" spans="1:3" ht="28.8" x14ac:dyDescent="0.3">
      <c r="A198" s="4" t="s">
        <v>728</v>
      </c>
      <c r="B198">
        <v>1</v>
      </c>
      <c r="C198">
        <v>1</v>
      </c>
    </row>
    <row r="199" spans="1:3" ht="28.8" x14ac:dyDescent="0.3">
      <c r="A199" s="4" t="s">
        <v>733</v>
      </c>
      <c r="B199">
        <v>1</v>
      </c>
      <c r="C199">
        <v>1</v>
      </c>
    </row>
    <row r="200" spans="1:3" ht="28.8" x14ac:dyDescent="0.3">
      <c r="A200" s="4" t="s">
        <v>3234</v>
      </c>
      <c r="B200">
        <v>1</v>
      </c>
      <c r="C200">
        <v>3</v>
      </c>
    </row>
    <row r="201" spans="1:3" x14ac:dyDescent="0.3">
      <c r="A201" s="4" t="s">
        <v>745</v>
      </c>
      <c r="B201">
        <v>1</v>
      </c>
      <c r="C201">
        <v>1</v>
      </c>
    </row>
    <row r="202" spans="1:3" x14ac:dyDescent="0.3">
      <c r="A202" s="4" t="s">
        <v>756</v>
      </c>
      <c r="B202">
        <v>1</v>
      </c>
      <c r="C202">
        <v>1</v>
      </c>
    </row>
    <row r="203" spans="1:3" ht="28.8" x14ac:dyDescent="0.3">
      <c r="A203" s="4" t="s">
        <v>759</v>
      </c>
      <c r="B203">
        <v>1</v>
      </c>
      <c r="C203">
        <v>1</v>
      </c>
    </row>
    <row r="204" spans="1:3" ht="28.8" x14ac:dyDescent="0.3">
      <c r="A204" s="4" t="s">
        <v>3235</v>
      </c>
      <c r="B204">
        <v>1</v>
      </c>
      <c r="C204">
        <v>3</v>
      </c>
    </row>
    <row r="205" spans="1:3" ht="28.8" x14ac:dyDescent="0.3">
      <c r="A205" s="4" t="s">
        <v>3236</v>
      </c>
      <c r="B205">
        <v>1</v>
      </c>
      <c r="C205">
        <v>3</v>
      </c>
    </row>
    <row r="206" spans="1:3" ht="28.8" x14ac:dyDescent="0.3">
      <c r="A206" s="4" t="s">
        <v>764</v>
      </c>
      <c r="B206">
        <v>1</v>
      </c>
      <c r="C206">
        <v>1</v>
      </c>
    </row>
    <row r="207" spans="1:3" ht="28.8" x14ac:dyDescent="0.3">
      <c r="A207" s="4" t="s">
        <v>767</v>
      </c>
      <c r="B207">
        <v>1</v>
      </c>
      <c r="C207">
        <v>1</v>
      </c>
    </row>
    <row r="208" spans="1:3" ht="28.8" x14ac:dyDescent="0.3">
      <c r="A208" s="4" t="s">
        <v>3237</v>
      </c>
      <c r="B208">
        <v>1</v>
      </c>
      <c r="C208">
        <v>3</v>
      </c>
    </row>
    <row r="209" spans="1:3" ht="28.8" x14ac:dyDescent="0.3">
      <c r="A209" s="4" t="s">
        <v>3238</v>
      </c>
      <c r="B209">
        <v>1</v>
      </c>
      <c r="C209">
        <v>3</v>
      </c>
    </row>
    <row r="210" spans="1:3" ht="43.2" x14ac:dyDescent="0.3">
      <c r="A210" s="4" t="s">
        <v>768</v>
      </c>
      <c r="B210">
        <v>1</v>
      </c>
      <c r="C210">
        <v>1</v>
      </c>
    </row>
    <row r="211" spans="1:3" ht="28.8" x14ac:dyDescent="0.3">
      <c r="A211" s="4" t="s">
        <v>771</v>
      </c>
      <c r="B211">
        <v>1</v>
      </c>
      <c r="C211">
        <v>1</v>
      </c>
    </row>
    <row r="212" spans="1:3" ht="28.8" x14ac:dyDescent="0.3">
      <c r="A212" s="4" t="s">
        <v>772</v>
      </c>
      <c r="B212">
        <v>1</v>
      </c>
      <c r="C212">
        <v>1</v>
      </c>
    </row>
    <row r="213" spans="1:3" ht="43.2" x14ac:dyDescent="0.3">
      <c r="A213" s="4" t="s">
        <v>804</v>
      </c>
      <c r="B213">
        <v>1</v>
      </c>
      <c r="C213">
        <v>1</v>
      </c>
    </row>
    <row r="214" spans="1:3" ht="28.8" x14ac:dyDescent="0.3">
      <c r="A214" s="4" t="s">
        <v>1464</v>
      </c>
      <c r="B214">
        <v>1</v>
      </c>
      <c r="C214">
        <v>1</v>
      </c>
    </row>
    <row r="215" spans="1:3" ht="28.8" x14ac:dyDescent="0.3">
      <c r="A215" s="4" t="s">
        <v>805</v>
      </c>
      <c r="B215">
        <v>1</v>
      </c>
      <c r="C215">
        <v>1</v>
      </c>
    </row>
    <row r="216" spans="1:3" ht="28.8" x14ac:dyDescent="0.3">
      <c r="A216" s="4" t="s">
        <v>3239</v>
      </c>
      <c r="B216">
        <v>1</v>
      </c>
      <c r="C216">
        <v>3</v>
      </c>
    </row>
    <row r="217" spans="1:3" ht="28.8" x14ac:dyDescent="0.3">
      <c r="A217" s="4" t="s">
        <v>806</v>
      </c>
      <c r="B217">
        <v>1</v>
      </c>
      <c r="C217">
        <v>1</v>
      </c>
    </row>
    <row r="218" spans="1:3" ht="28.8" x14ac:dyDescent="0.3">
      <c r="A218" s="4" t="s">
        <v>3240</v>
      </c>
      <c r="B218">
        <v>1</v>
      </c>
      <c r="C218">
        <v>3</v>
      </c>
    </row>
    <row r="219" spans="1:3" ht="28.8" x14ac:dyDescent="0.3">
      <c r="A219" s="4" t="s">
        <v>807</v>
      </c>
      <c r="B219">
        <v>1</v>
      </c>
      <c r="C219">
        <v>1</v>
      </c>
    </row>
    <row r="220" spans="1:3" ht="28.8" x14ac:dyDescent="0.3">
      <c r="A220" s="4" t="s">
        <v>3241</v>
      </c>
      <c r="B220">
        <v>1</v>
      </c>
      <c r="C220">
        <v>3</v>
      </c>
    </row>
    <row r="221" spans="1:3" ht="28.8" x14ac:dyDescent="0.3">
      <c r="A221" s="4" t="s">
        <v>808</v>
      </c>
      <c r="B221">
        <v>1</v>
      </c>
      <c r="C221">
        <v>1</v>
      </c>
    </row>
    <row r="222" spans="1:3" ht="28.8" x14ac:dyDescent="0.3">
      <c r="A222" s="4" t="s">
        <v>3242</v>
      </c>
      <c r="B222">
        <v>1</v>
      </c>
      <c r="C222">
        <v>3</v>
      </c>
    </row>
    <row r="223" spans="1:3" ht="28.8" x14ac:dyDescent="0.3">
      <c r="A223" s="4" t="s">
        <v>3243</v>
      </c>
      <c r="B223">
        <v>1</v>
      </c>
      <c r="C223">
        <v>3</v>
      </c>
    </row>
    <row r="224" spans="1:3" ht="28.8" x14ac:dyDescent="0.3">
      <c r="A224" s="4" t="s">
        <v>3244</v>
      </c>
      <c r="B224">
        <v>1</v>
      </c>
      <c r="C224">
        <v>3</v>
      </c>
    </row>
    <row r="225" spans="1:3" ht="28.8" x14ac:dyDescent="0.3">
      <c r="A225" s="4" t="s">
        <v>3245</v>
      </c>
      <c r="B225">
        <v>1</v>
      </c>
      <c r="C225">
        <v>3</v>
      </c>
    </row>
    <row r="226" spans="1:3" ht="28.8" x14ac:dyDescent="0.3">
      <c r="A226" s="4" t="s">
        <v>3246</v>
      </c>
      <c r="B226">
        <v>1</v>
      </c>
      <c r="C226">
        <v>3</v>
      </c>
    </row>
    <row r="227" spans="1:3" ht="28.8" x14ac:dyDescent="0.3">
      <c r="A227" s="4" t="s">
        <v>838</v>
      </c>
      <c r="B227">
        <v>1</v>
      </c>
      <c r="C227">
        <v>1</v>
      </c>
    </row>
    <row r="228" spans="1:3" ht="28.8" x14ac:dyDescent="0.3">
      <c r="A228" s="4" t="s">
        <v>3247</v>
      </c>
      <c r="B228">
        <v>1</v>
      </c>
      <c r="C228">
        <v>3</v>
      </c>
    </row>
    <row r="229" spans="1:3" ht="43.2" x14ac:dyDescent="0.3">
      <c r="A229" s="4" t="s">
        <v>3248</v>
      </c>
      <c r="B229">
        <v>1</v>
      </c>
      <c r="C229">
        <v>3</v>
      </c>
    </row>
    <row r="230" spans="1:3" ht="28.8" x14ac:dyDescent="0.3">
      <c r="A230" s="4" t="s">
        <v>3249</v>
      </c>
      <c r="B230">
        <v>1</v>
      </c>
      <c r="C230">
        <v>3</v>
      </c>
    </row>
    <row r="231" spans="1:3" ht="28.8" x14ac:dyDescent="0.3">
      <c r="A231" s="4" t="s">
        <v>3250</v>
      </c>
      <c r="B231">
        <v>1</v>
      </c>
      <c r="C231">
        <v>3</v>
      </c>
    </row>
    <row r="232" spans="1:3" ht="28.8" x14ac:dyDescent="0.3">
      <c r="A232" s="4" t="s">
        <v>839</v>
      </c>
      <c r="B232">
        <v>1</v>
      </c>
      <c r="C232">
        <v>1</v>
      </c>
    </row>
    <row r="233" spans="1:3" ht="28.8" x14ac:dyDescent="0.3">
      <c r="A233" s="4" t="s">
        <v>3251</v>
      </c>
      <c r="B233">
        <v>1</v>
      </c>
      <c r="C233">
        <v>3</v>
      </c>
    </row>
    <row r="234" spans="1:3" ht="28.8" x14ac:dyDescent="0.3">
      <c r="A234" s="4" t="s">
        <v>3252</v>
      </c>
      <c r="B234">
        <v>1</v>
      </c>
      <c r="C234">
        <v>3</v>
      </c>
    </row>
    <row r="235" spans="1:3" ht="43.2" x14ac:dyDescent="0.3">
      <c r="A235" s="4" t="s">
        <v>3253</v>
      </c>
      <c r="B235">
        <v>1</v>
      </c>
      <c r="C235">
        <v>3</v>
      </c>
    </row>
    <row r="236" spans="1:3" ht="28.8" x14ac:dyDescent="0.3">
      <c r="A236" s="4" t="s">
        <v>3254</v>
      </c>
      <c r="B236">
        <v>1</v>
      </c>
      <c r="C236">
        <v>3</v>
      </c>
    </row>
    <row r="237" spans="1:3" ht="43.2" x14ac:dyDescent="0.3">
      <c r="A237" s="4" t="s">
        <v>840</v>
      </c>
      <c r="B237">
        <v>1</v>
      </c>
      <c r="C237">
        <v>1</v>
      </c>
    </row>
    <row r="238" spans="1:3" ht="28.8" x14ac:dyDescent="0.3">
      <c r="A238" s="4" t="s">
        <v>3255</v>
      </c>
      <c r="B238">
        <v>1</v>
      </c>
      <c r="C238">
        <v>3</v>
      </c>
    </row>
    <row r="239" spans="1:3" ht="28.8" x14ac:dyDescent="0.3">
      <c r="A239" s="4" t="s">
        <v>841</v>
      </c>
      <c r="B239">
        <v>1</v>
      </c>
      <c r="C239">
        <v>1</v>
      </c>
    </row>
    <row r="240" spans="1:3" ht="28.8" x14ac:dyDescent="0.3">
      <c r="A240" s="4" t="s">
        <v>3256</v>
      </c>
      <c r="B240">
        <v>1</v>
      </c>
      <c r="C240">
        <v>3</v>
      </c>
    </row>
    <row r="241" spans="1:3" x14ac:dyDescent="0.3">
      <c r="A241" s="4" t="s">
        <v>3257</v>
      </c>
      <c r="B241">
        <v>1</v>
      </c>
      <c r="C241">
        <v>3</v>
      </c>
    </row>
    <row r="242" spans="1:3" ht="28.8" x14ac:dyDescent="0.3">
      <c r="A242" s="4" t="s">
        <v>879</v>
      </c>
      <c r="B242">
        <v>1</v>
      </c>
      <c r="C242">
        <v>1</v>
      </c>
    </row>
    <row r="243" spans="1:3" ht="28.8" x14ac:dyDescent="0.3">
      <c r="A243" s="4" t="s">
        <v>3258</v>
      </c>
      <c r="B243">
        <v>1</v>
      </c>
      <c r="C243">
        <v>3</v>
      </c>
    </row>
    <row r="244" spans="1:3" ht="28.8" x14ac:dyDescent="0.3">
      <c r="A244" s="4" t="s">
        <v>3259</v>
      </c>
      <c r="B244">
        <v>1</v>
      </c>
      <c r="C244">
        <v>3</v>
      </c>
    </row>
    <row r="245" spans="1:3" x14ac:dyDescent="0.3">
      <c r="A245" s="4" t="s">
        <v>3260</v>
      </c>
      <c r="B245">
        <v>1</v>
      </c>
      <c r="C245">
        <v>3</v>
      </c>
    </row>
    <row r="246" spans="1:3" ht="28.8" x14ac:dyDescent="0.3">
      <c r="A246" s="4" t="s">
        <v>3261</v>
      </c>
      <c r="B246">
        <v>1</v>
      </c>
      <c r="C246">
        <v>3</v>
      </c>
    </row>
    <row r="247" spans="1:3" ht="28.8" x14ac:dyDescent="0.3">
      <c r="A247" s="4" t="s">
        <v>3262</v>
      </c>
      <c r="B247">
        <v>1</v>
      </c>
      <c r="C247">
        <v>3</v>
      </c>
    </row>
    <row r="248" spans="1:3" ht="28.8" x14ac:dyDescent="0.3">
      <c r="A248" s="4" t="s">
        <v>3263</v>
      </c>
      <c r="B248">
        <v>1</v>
      </c>
      <c r="C248">
        <v>3</v>
      </c>
    </row>
    <row r="249" spans="1:3" x14ac:dyDescent="0.3">
      <c r="A249" s="4" t="s">
        <v>3264</v>
      </c>
      <c r="B249">
        <v>1</v>
      </c>
      <c r="C249">
        <v>3</v>
      </c>
    </row>
    <row r="250" spans="1:3" ht="43.2" x14ac:dyDescent="0.3">
      <c r="A250" s="4" t="s">
        <v>3265</v>
      </c>
      <c r="B250">
        <v>1</v>
      </c>
      <c r="C250">
        <v>3</v>
      </c>
    </row>
    <row r="251" spans="1:3" ht="28.8" x14ac:dyDescent="0.3">
      <c r="A251" s="4" t="s">
        <v>3266</v>
      </c>
      <c r="B251">
        <v>1</v>
      </c>
      <c r="C251">
        <v>3</v>
      </c>
    </row>
    <row r="252" spans="1:3" x14ac:dyDescent="0.3">
      <c r="A252" s="4" t="s">
        <v>880</v>
      </c>
      <c r="B252">
        <v>1</v>
      </c>
      <c r="C252">
        <v>1</v>
      </c>
    </row>
    <row r="253" spans="1:3" ht="43.2" x14ac:dyDescent="0.3">
      <c r="A253" s="4" t="s">
        <v>881</v>
      </c>
      <c r="B253">
        <v>1</v>
      </c>
      <c r="C253">
        <v>1</v>
      </c>
    </row>
    <row r="254" spans="1:3" ht="43.2" x14ac:dyDescent="0.3">
      <c r="A254" s="4" t="s">
        <v>882</v>
      </c>
      <c r="B254">
        <v>1</v>
      </c>
      <c r="C254">
        <v>1</v>
      </c>
    </row>
    <row r="255" spans="1:3" ht="28.8" x14ac:dyDescent="0.3">
      <c r="A255" s="4" t="s">
        <v>883</v>
      </c>
      <c r="B255">
        <v>1</v>
      </c>
      <c r="C255">
        <v>1</v>
      </c>
    </row>
    <row r="256" spans="1:3" ht="28.8" x14ac:dyDescent="0.3">
      <c r="A256" s="4" t="s">
        <v>3267</v>
      </c>
      <c r="B256">
        <v>1</v>
      </c>
      <c r="C256">
        <v>3</v>
      </c>
    </row>
    <row r="257" spans="1:3" ht="28.8" x14ac:dyDescent="0.3">
      <c r="A257" s="4" t="s">
        <v>884</v>
      </c>
      <c r="B257">
        <v>1</v>
      </c>
      <c r="C257">
        <v>1</v>
      </c>
    </row>
    <row r="258" spans="1:3" ht="86.4" x14ac:dyDescent="0.3">
      <c r="A258" s="4" t="s">
        <v>3268</v>
      </c>
      <c r="B258">
        <v>1</v>
      </c>
      <c r="C258">
        <v>3</v>
      </c>
    </row>
    <row r="259" spans="1:3" ht="28.8" x14ac:dyDescent="0.3">
      <c r="A259" s="4" t="s">
        <v>3269</v>
      </c>
      <c r="B259">
        <v>1</v>
      </c>
      <c r="C259">
        <v>3</v>
      </c>
    </row>
    <row r="260" spans="1:3" ht="28.8" x14ac:dyDescent="0.3">
      <c r="A260" s="4" t="s">
        <v>885</v>
      </c>
      <c r="B260">
        <v>1</v>
      </c>
      <c r="C260">
        <v>1</v>
      </c>
    </row>
    <row r="261" spans="1:3" ht="28.8" x14ac:dyDescent="0.3">
      <c r="A261" s="4" t="s">
        <v>888</v>
      </c>
      <c r="B261">
        <v>1</v>
      </c>
      <c r="C261">
        <v>1</v>
      </c>
    </row>
    <row r="262" spans="1:3" ht="28.8" x14ac:dyDescent="0.3">
      <c r="A262" s="4" t="s">
        <v>3270</v>
      </c>
      <c r="B262">
        <v>1</v>
      </c>
      <c r="C262">
        <v>3</v>
      </c>
    </row>
    <row r="263" spans="1:3" ht="43.2" x14ac:dyDescent="0.3">
      <c r="A263" s="4" t="s">
        <v>3271</v>
      </c>
      <c r="B263">
        <v>1</v>
      </c>
      <c r="C263">
        <v>3</v>
      </c>
    </row>
    <row r="264" spans="1:3" ht="28.8" x14ac:dyDescent="0.3">
      <c r="A264" s="4" t="s">
        <v>3272</v>
      </c>
      <c r="B264">
        <v>1</v>
      </c>
      <c r="C264">
        <v>3</v>
      </c>
    </row>
    <row r="265" spans="1:3" x14ac:dyDescent="0.3">
      <c r="A265" s="4" t="s">
        <v>3273</v>
      </c>
      <c r="B265">
        <v>1</v>
      </c>
      <c r="C265">
        <v>3</v>
      </c>
    </row>
    <row r="266" spans="1:3" ht="28.8" x14ac:dyDescent="0.3">
      <c r="A266" s="4" t="s">
        <v>3274</v>
      </c>
      <c r="B266">
        <v>1</v>
      </c>
      <c r="C266">
        <v>3</v>
      </c>
    </row>
    <row r="267" spans="1:3" ht="28.8" x14ac:dyDescent="0.3">
      <c r="A267" s="4" t="s">
        <v>3275</v>
      </c>
      <c r="B267">
        <v>1</v>
      </c>
      <c r="C267">
        <v>3</v>
      </c>
    </row>
    <row r="268" spans="1:3" ht="28.8" x14ac:dyDescent="0.3">
      <c r="A268" s="4" t="s">
        <v>933</v>
      </c>
      <c r="B268">
        <v>1</v>
      </c>
      <c r="C268">
        <v>1</v>
      </c>
    </row>
    <row r="269" spans="1:3" ht="43.2" x14ac:dyDescent="0.3">
      <c r="A269" s="4" t="s">
        <v>3276</v>
      </c>
      <c r="B269">
        <v>1</v>
      </c>
      <c r="C269">
        <v>3</v>
      </c>
    </row>
    <row r="270" spans="1:3" ht="28.8" x14ac:dyDescent="0.3">
      <c r="A270" s="4" t="s">
        <v>934</v>
      </c>
      <c r="B270">
        <v>1</v>
      </c>
      <c r="C270">
        <v>1</v>
      </c>
    </row>
    <row r="271" spans="1:3" ht="28.8" x14ac:dyDescent="0.3">
      <c r="A271" s="4" t="s">
        <v>3277</v>
      </c>
      <c r="B271">
        <v>1</v>
      </c>
      <c r="C271">
        <v>3</v>
      </c>
    </row>
    <row r="272" spans="1:3" ht="28.8" x14ac:dyDescent="0.3">
      <c r="A272" s="4" t="s">
        <v>935</v>
      </c>
      <c r="B272">
        <v>1</v>
      </c>
      <c r="C272">
        <v>1</v>
      </c>
    </row>
    <row r="273" spans="1:3" ht="28.8" x14ac:dyDescent="0.3">
      <c r="A273" s="4" t="s">
        <v>941</v>
      </c>
      <c r="B273">
        <v>1</v>
      </c>
      <c r="C273">
        <v>1</v>
      </c>
    </row>
    <row r="274" spans="1:3" ht="28.8" x14ac:dyDescent="0.3">
      <c r="A274" s="4" t="s">
        <v>942</v>
      </c>
      <c r="B274">
        <v>1</v>
      </c>
      <c r="C274">
        <v>1</v>
      </c>
    </row>
    <row r="275" spans="1:3" x14ac:dyDescent="0.3">
      <c r="A275" s="4" t="s">
        <v>3278</v>
      </c>
      <c r="B275">
        <v>1</v>
      </c>
      <c r="C275">
        <v>3</v>
      </c>
    </row>
    <row r="276" spans="1:3" ht="28.8" x14ac:dyDescent="0.3">
      <c r="A276" s="4" t="s">
        <v>943</v>
      </c>
      <c r="B276">
        <v>1</v>
      </c>
      <c r="C276">
        <v>1</v>
      </c>
    </row>
    <row r="277" spans="1:3" x14ac:dyDescent="0.3">
      <c r="A277" s="4" t="s">
        <v>3279</v>
      </c>
      <c r="B277">
        <v>1</v>
      </c>
      <c r="C277">
        <v>3</v>
      </c>
    </row>
    <row r="278" spans="1:3" ht="43.2" x14ac:dyDescent="0.3">
      <c r="A278" s="4" t="s">
        <v>944</v>
      </c>
      <c r="B278">
        <v>1</v>
      </c>
      <c r="C278">
        <v>1</v>
      </c>
    </row>
    <row r="279" spans="1:3" ht="28.8" x14ac:dyDescent="0.3">
      <c r="A279" s="4" t="s">
        <v>3280</v>
      </c>
      <c r="B279">
        <v>1</v>
      </c>
      <c r="C279">
        <v>3</v>
      </c>
    </row>
    <row r="280" spans="1:3" x14ac:dyDescent="0.3">
      <c r="A280" s="4" t="s">
        <v>3281</v>
      </c>
      <c r="B280">
        <v>1</v>
      </c>
      <c r="C280">
        <v>3</v>
      </c>
    </row>
    <row r="281" spans="1:3" ht="28.8" x14ac:dyDescent="0.3">
      <c r="A281" s="4" t="s">
        <v>945</v>
      </c>
      <c r="B281">
        <v>1</v>
      </c>
      <c r="C281">
        <v>1</v>
      </c>
    </row>
    <row r="282" spans="1:3" ht="28.8" x14ac:dyDescent="0.3">
      <c r="A282" s="4" t="s">
        <v>946</v>
      </c>
      <c r="B282">
        <v>1</v>
      </c>
      <c r="C282">
        <v>1</v>
      </c>
    </row>
    <row r="283" spans="1:3" ht="28.8" x14ac:dyDescent="0.3">
      <c r="A283" s="4" t="s">
        <v>3282</v>
      </c>
      <c r="B283">
        <v>1</v>
      </c>
      <c r="C283">
        <v>3</v>
      </c>
    </row>
    <row r="284" spans="1:3" x14ac:dyDescent="0.3">
      <c r="A284" s="4" t="s">
        <v>3283</v>
      </c>
      <c r="B284">
        <v>1</v>
      </c>
      <c r="C284">
        <v>3</v>
      </c>
    </row>
    <row r="285" spans="1:3" ht="28.8" x14ac:dyDescent="0.3">
      <c r="A285" s="4" t="s">
        <v>3284</v>
      </c>
      <c r="B285">
        <v>1</v>
      </c>
      <c r="C285">
        <v>3</v>
      </c>
    </row>
    <row r="286" spans="1:3" ht="28.8" x14ac:dyDescent="0.3">
      <c r="A286" s="4" t="s">
        <v>947</v>
      </c>
      <c r="B286">
        <v>1</v>
      </c>
      <c r="C286">
        <v>1</v>
      </c>
    </row>
    <row r="287" spans="1:3" ht="28.8" x14ac:dyDescent="0.3">
      <c r="A287" s="4" t="s">
        <v>948</v>
      </c>
      <c r="B287">
        <v>1</v>
      </c>
      <c r="C287">
        <v>1</v>
      </c>
    </row>
    <row r="288" spans="1:3" ht="28.8" x14ac:dyDescent="0.3">
      <c r="A288" s="4" t="s">
        <v>3285</v>
      </c>
      <c r="B288">
        <v>1</v>
      </c>
      <c r="C288">
        <v>3</v>
      </c>
    </row>
    <row r="289" spans="1:3" ht="28.8" x14ac:dyDescent="0.3">
      <c r="A289" s="4" t="s">
        <v>949</v>
      </c>
      <c r="B289">
        <v>1</v>
      </c>
      <c r="C289">
        <v>1</v>
      </c>
    </row>
    <row r="290" spans="1:3" ht="28.8" x14ac:dyDescent="0.3">
      <c r="A290" s="4" t="s">
        <v>951</v>
      </c>
      <c r="B290">
        <v>1</v>
      </c>
      <c r="C290">
        <v>1</v>
      </c>
    </row>
    <row r="291" spans="1:3" ht="43.2" x14ac:dyDescent="0.3">
      <c r="A291" s="4" t="s">
        <v>3286</v>
      </c>
      <c r="B291">
        <v>1</v>
      </c>
      <c r="C291">
        <v>3</v>
      </c>
    </row>
    <row r="292" spans="1:3" ht="28.8" x14ac:dyDescent="0.3">
      <c r="A292" s="4" t="s">
        <v>3287</v>
      </c>
      <c r="B292">
        <v>1</v>
      </c>
      <c r="C292">
        <v>3</v>
      </c>
    </row>
    <row r="293" spans="1:3" ht="28.8" x14ac:dyDescent="0.3">
      <c r="A293" s="4" t="s">
        <v>3288</v>
      </c>
      <c r="B293">
        <v>1</v>
      </c>
      <c r="C293">
        <v>3</v>
      </c>
    </row>
    <row r="294" spans="1:3" ht="43.2" x14ac:dyDescent="0.3">
      <c r="A294" s="4" t="s">
        <v>3289</v>
      </c>
      <c r="B294">
        <v>1</v>
      </c>
      <c r="C294">
        <v>3</v>
      </c>
    </row>
    <row r="295" spans="1:3" ht="28.8" x14ac:dyDescent="0.3">
      <c r="A295" s="4" t="s">
        <v>3290</v>
      </c>
      <c r="B295">
        <v>1</v>
      </c>
      <c r="C295">
        <v>3</v>
      </c>
    </row>
    <row r="296" spans="1:3" ht="28.8" x14ac:dyDescent="0.3">
      <c r="A296" s="4" t="s">
        <v>3291</v>
      </c>
      <c r="B296">
        <v>1</v>
      </c>
      <c r="C296">
        <v>3</v>
      </c>
    </row>
    <row r="297" spans="1:3" ht="28.8" x14ac:dyDescent="0.3">
      <c r="A297" s="4" t="s">
        <v>952</v>
      </c>
      <c r="B297">
        <v>1</v>
      </c>
      <c r="C297">
        <v>1</v>
      </c>
    </row>
    <row r="298" spans="1:3" ht="28.8" x14ac:dyDescent="0.3">
      <c r="A298" s="4" t="s">
        <v>3292</v>
      </c>
      <c r="B298">
        <v>1</v>
      </c>
      <c r="C298">
        <v>3</v>
      </c>
    </row>
    <row r="299" spans="1:3" x14ac:dyDescent="0.3">
      <c r="A299" s="4" t="s">
        <v>3293</v>
      </c>
      <c r="B299">
        <v>1</v>
      </c>
      <c r="C299">
        <v>3</v>
      </c>
    </row>
    <row r="300" spans="1:3" ht="28.8" x14ac:dyDescent="0.3">
      <c r="A300" s="4" t="s">
        <v>953</v>
      </c>
      <c r="B300">
        <v>1</v>
      </c>
      <c r="C300">
        <v>1</v>
      </c>
    </row>
    <row r="301" spans="1:3" ht="28.8" x14ac:dyDescent="0.3">
      <c r="A301" s="4" t="s">
        <v>3294</v>
      </c>
      <c r="B301">
        <v>1</v>
      </c>
      <c r="C301">
        <v>3</v>
      </c>
    </row>
    <row r="302" spans="1:3" x14ac:dyDescent="0.3">
      <c r="A302" s="4" t="s">
        <v>3295</v>
      </c>
      <c r="B302">
        <v>1</v>
      </c>
      <c r="C302">
        <v>3</v>
      </c>
    </row>
    <row r="303" spans="1:3" ht="28.8" x14ac:dyDescent="0.3">
      <c r="A303" s="4" t="s">
        <v>3296</v>
      </c>
      <c r="B303">
        <v>1</v>
      </c>
      <c r="C303">
        <v>3</v>
      </c>
    </row>
    <row r="304" spans="1:3" ht="28.8" x14ac:dyDescent="0.3">
      <c r="A304" s="4" t="s">
        <v>1050</v>
      </c>
      <c r="B304">
        <v>1</v>
      </c>
      <c r="C304">
        <v>1</v>
      </c>
    </row>
    <row r="305" spans="1:3" ht="28.8" x14ac:dyDescent="0.3">
      <c r="A305" s="4" t="s">
        <v>3297</v>
      </c>
      <c r="B305">
        <v>1</v>
      </c>
      <c r="C305">
        <v>3</v>
      </c>
    </row>
    <row r="306" spans="1:3" ht="43.2" x14ac:dyDescent="0.3">
      <c r="A306" s="4" t="s">
        <v>3298</v>
      </c>
      <c r="B306">
        <v>1</v>
      </c>
      <c r="C306">
        <v>3</v>
      </c>
    </row>
    <row r="307" spans="1:3" ht="28.8" x14ac:dyDescent="0.3">
      <c r="A307" s="4" t="s">
        <v>1051</v>
      </c>
      <c r="B307">
        <v>1</v>
      </c>
      <c r="C307">
        <v>1</v>
      </c>
    </row>
    <row r="308" spans="1:3" ht="28.8" x14ac:dyDescent="0.3">
      <c r="A308" s="4" t="s">
        <v>3299</v>
      </c>
      <c r="B308">
        <v>1</v>
      </c>
      <c r="C308">
        <v>3</v>
      </c>
    </row>
    <row r="309" spans="1:3" ht="28.8" x14ac:dyDescent="0.3">
      <c r="A309" s="4" t="s">
        <v>1052</v>
      </c>
      <c r="B309">
        <v>1</v>
      </c>
      <c r="C309">
        <v>1</v>
      </c>
    </row>
    <row r="310" spans="1:3" x14ac:dyDescent="0.3">
      <c r="A310" s="4" t="s">
        <v>1053</v>
      </c>
      <c r="B310">
        <v>1</v>
      </c>
      <c r="C310">
        <v>1</v>
      </c>
    </row>
    <row r="311" spans="1:3" ht="28.8" x14ac:dyDescent="0.3">
      <c r="A311" s="4" t="s">
        <v>3300</v>
      </c>
      <c r="B311">
        <v>1</v>
      </c>
      <c r="C311">
        <v>3</v>
      </c>
    </row>
    <row r="312" spans="1:3" ht="28.8" x14ac:dyDescent="0.3">
      <c r="A312" s="4" t="s">
        <v>3301</v>
      </c>
      <c r="B312">
        <v>1</v>
      </c>
      <c r="C312">
        <v>2</v>
      </c>
    </row>
    <row r="313" spans="1:3" ht="43.2" x14ac:dyDescent="0.3">
      <c r="A313" s="4" t="s">
        <v>1054</v>
      </c>
      <c r="B313">
        <v>1</v>
      </c>
      <c r="C313">
        <v>1</v>
      </c>
    </row>
    <row r="314" spans="1:3" ht="28.8" x14ac:dyDescent="0.3">
      <c r="A314" s="4" t="s">
        <v>1055</v>
      </c>
      <c r="B314">
        <v>1</v>
      </c>
      <c r="C314">
        <v>1</v>
      </c>
    </row>
    <row r="315" spans="1:3" x14ac:dyDescent="0.3">
      <c r="A315" s="4" t="s">
        <v>3302</v>
      </c>
      <c r="B315">
        <v>1</v>
      </c>
      <c r="C315">
        <v>3</v>
      </c>
    </row>
    <row r="316" spans="1:3" ht="28.8" x14ac:dyDescent="0.3">
      <c r="A316" s="4" t="s">
        <v>3303</v>
      </c>
      <c r="B316">
        <v>1</v>
      </c>
      <c r="C316">
        <v>3</v>
      </c>
    </row>
    <row r="317" spans="1:3" x14ac:dyDescent="0.3">
      <c r="A317" s="4" t="s">
        <v>1056</v>
      </c>
      <c r="B317">
        <v>1</v>
      </c>
      <c r="C317">
        <v>1</v>
      </c>
    </row>
    <row r="318" spans="1:3" ht="28.8" x14ac:dyDescent="0.3">
      <c r="A318" s="4" t="s">
        <v>1057</v>
      </c>
      <c r="B318">
        <v>1</v>
      </c>
      <c r="C318">
        <v>1</v>
      </c>
    </row>
    <row r="319" spans="1:3" ht="28.8" x14ac:dyDescent="0.3">
      <c r="A319" s="4" t="s">
        <v>1058</v>
      </c>
      <c r="B319">
        <v>1</v>
      </c>
      <c r="C319">
        <v>1</v>
      </c>
    </row>
    <row r="320" spans="1:3" ht="28.8" x14ac:dyDescent="0.3">
      <c r="A320" s="4" t="s">
        <v>3304</v>
      </c>
      <c r="B320">
        <v>1</v>
      </c>
      <c r="C320">
        <v>3</v>
      </c>
    </row>
    <row r="321" spans="1:3" ht="28.8" x14ac:dyDescent="0.3">
      <c r="A321" s="4" t="s">
        <v>3305</v>
      </c>
      <c r="B321">
        <v>1</v>
      </c>
      <c r="C321">
        <v>3</v>
      </c>
    </row>
    <row r="322" spans="1:3" x14ac:dyDescent="0.3">
      <c r="A322" s="4" t="s">
        <v>3306</v>
      </c>
      <c r="B322">
        <v>1</v>
      </c>
      <c r="C322">
        <v>3</v>
      </c>
    </row>
    <row r="323" spans="1:3" ht="28.8" x14ac:dyDescent="0.3">
      <c r="A323" s="4" t="s">
        <v>3307</v>
      </c>
      <c r="B323">
        <v>1</v>
      </c>
      <c r="C323">
        <v>2</v>
      </c>
    </row>
    <row r="324" spans="1:3" ht="28.8" x14ac:dyDescent="0.3">
      <c r="A324" s="4" t="s">
        <v>3308</v>
      </c>
      <c r="B324">
        <v>1</v>
      </c>
      <c r="C324">
        <v>3</v>
      </c>
    </row>
    <row r="325" spans="1:3" ht="28.8" x14ac:dyDescent="0.3">
      <c r="A325" s="4" t="s">
        <v>3309</v>
      </c>
      <c r="B325">
        <v>1</v>
      </c>
      <c r="C325">
        <v>3</v>
      </c>
    </row>
    <row r="326" spans="1:3" ht="28.8" x14ac:dyDescent="0.3">
      <c r="A326" s="4" t="s">
        <v>3310</v>
      </c>
      <c r="B326">
        <v>1</v>
      </c>
      <c r="C326">
        <v>2</v>
      </c>
    </row>
    <row r="327" spans="1:3" ht="28.8" x14ac:dyDescent="0.3">
      <c r="A327" s="4" t="s">
        <v>1059</v>
      </c>
      <c r="B327">
        <v>1</v>
      </c>
      <c r="C327">
        <v>1</v>
      </c>
    </row>
    <row r="328" spans="1:3" ht="28.8" x14ac:dyDescent="0.3">
      <c r="A328" s="4" t="s">
        <v>1060</v>
      </c>
      <c r="B328">
        <v>1</v>
      </c>
      <c r="C328">
        <v>1</v>
      </c>
    </row>
    <row r="329" spans="1:3" ht="28.8" x14ac:dyDescent="0.3">
      <c r="A329" s="4" t="s">
        <v>1061</v>
      </c>
      <c r="B329">
        <v>1</v>
      </c>
      <c r="C329">
        <v>1</v>
      </c>
    </row>
    <row r="330" spans="1:3" ht="28.8" x14ac:dyDescent="0.3">
      <c r="A330" s="4" t="s">
        <v>3311</v>
      </c>
      <c r="B330">
        <v>1</v>
      </c>
      <c r="C330">
        <v>3</v>
      </c>
    </row>
    <row r="331" spans="1:3" ht="28.8" x14ac:dyDescent="0.3">
      <c r="A331" s="4" t="s">
        <v>3312</v>
      </c>
      <c r="B331">
        <v>1</v>
      </c>
      <c r="C331">
        <v>3</v>
      </c>
    </row>
    <row r="332" spans="1:3" ht="43.2" x14ac:dyDescent="0.3">
      <c r="A332" s="4" t="s">
        <v>3313</v>
      </c>
      <c r="B332">
        <v>1</v>
      </c>
      <c r="C332">
        <v>3</v>
      </c>
    </row>
    <row r="333" spans="1:3" ht="28.8" x14ac:dyDescent="0.3">
      <c r="A333" s="4" t="s">
        <v>1132</v>
      </c>
      <c r="B333">
        <v>1</v>
      </c>
      <c r="C333">
        <v>1</v>
      </c>
    </row>
    <row r="334" spans="1:3" ht="28.8" x14ac:dyDescent="0.3">
      <c r="A334" s="4" t="s">
        <v>1133</v>
      </c>
      <c r="B334">
        <v>1</v>
      </c>
      <c r="C334">
        <v>1</v>
      </c>
    </row>
    <row r="335" spans="1:3" ht="28.8" x14ac:dyDescent="0.3">
      <c r="A335" s="4" t="s">
        <v>1134</v>
      </c>
      <c r="B335">
        <v>1</v>
      </c>
      <c r="C335">
        <v>1</v>
      </c>
    </row>
    <row r="336" spans="1:3" ht="28.8" x14ac:dyDescent="0.3">
      <c r="A336" s="4" t="s">
        <v>3314</v>
      </c>
      <c r="B336">
        <v>1</v>
      </c>
      <c r="C336">
        <v>3</v>
      </c>
    </row>
    <row r="337" spans="1:3" ht="28.8" x14ac:dyDescent="0.3">
      <c r="A337" s="4" t="s">
        <v>3315</v>
      </c>
      <c r="B337">
        <v>1</v>
      </c>
      <c r="C337">
        <v>3</v>
      </c>
    </row>
    <row r="338" spans="1:3" ht="28.8" x14ac:dyDescent="0.3">
      <c r="A338" s="4" t="s">
        <v>3316</v>
      </c>
      <c r="B338">
        <v>1</v>
      </c>
      <c r="C338">
        <v>3</v>
      </c>
    </row>
    <row r="339" spans="1:3" ht="28.8" x14ac:dyDescent="0.3">
      <c r="A339" s="4" t="s">
        <v>1135</v>
      </c>
      <c r="B339">
        <v>1</v>
      </c>
      <c r="C339">
        <v>1</v>
      </c>
    </row>
    <row r="340" spans="1:3" ht="28.8" x14ac:dyDescent="0.3">
      <c r="A340" s="4" t="s">
        <v>3317</v>
      </c>
      <c r="B340">
        <v>1</v>
      </c>
      <c r="C340">
        <v>3</v>
      </c>
    </row>
    <row r="341" spans="1:3" ht="28.8" x14ac:dyDescent="0.3">
      <c r="A341" s="4" t="s">
        <v>1136</v>
      </c>
      <c r="B341">
        <v>1</v>
      </c>
      <c r="C341">
        <v>1</v>
      </c>
    </row>
    <row r="342" spans="1:3" ht="28.8" x14ac:dyDescent="0.3">
      <c r="A342" s="4" t="s">
        <v>1137</v>
      </c>
      <c r="B342">
        <v>1</v>
      </c>
      <c r="C342">
        <v>1</v>
      </c>
    </row>
    <row r="343" spans="1:3" ht="28.8" x14ac:dyDescent="0.3">
      <c r="A343" s="4" t="s">
        <v>1139</v>
      </c>
      <c r="B343">
        <v>1</v>
      </c>
      <c r="C343">
        <v>1</v>
      </c>
    </row>
    <row r="344" spans="1:3" ht="28.8" x14ac:dyDescent="0.3">
      <c r="A344" s="4" t="s">
        <v>1142</v>
      </c>
      <c r="B344">
        <v>1</v>
      </c>
      <c r="C344">
        <v>1</v>
      </c>
    </row>
    <row r="345" spans="1:3" x14ac:dyDescent="0.3">
      <c r="A345" s="4" t="s">
        <v>3318</v>
      </c>
      <c r="B345">
        <v>1</v>
      </c>
      <c r="C345">
        <v>3</v>
      </c>
    </row>
    <row r="346" spans="1:3" ht="28.8" x14ac:dyDescent="0.3">
      <c r="A346" s="4" t="s">
        <v>3319</v>
      </c>
      <c r="B346">
        <v>1</v>
      </c>
      <c r="C346">
        <v>3</v>
      </c>
    </row>
    <row r="347" spans="1:3" ht="28.8" x14ac:dyDescent="0.3">
      <c r="A347" s="4" t="s">
        <v>3320</v>
      </c>
      <c r="B347">
        <v>1</v>
      </c>
      <c r="C347">
        <v>3</v>
      </c>
    </row>
    <row r="348" spans="1:3" ht="28.8" x14ac:dyDescent="0.3">
      <c r="A348" s="4" t="s">
        <v>3321</v>
      </c>
      <c r="B348">
        <v>1</v>
      </c>
      <c r="C348">
        <v>3</v>
      </c>
    </row>
    <row r="349" spans="1:3" ht="28.8" x14ac:dyDescent="0.3">
      <c r="A349" s="4" t="s">
        <v>1143</v>
      </c>
      <c r="B349">
        <v>1</v>
      </c>
      <c r="C349">
        <v>1</v>
      </c>
    </row>
    <row r="350" spans="1:3" ht="28.8" x14ac:dyDescent="0.3">
      <c r="A350" s="4" t="s">
        <v>1148</v>
      </c>
      <c r="B350">
        <v>1</v>
      </c>
      <c r="C350">
        <v>1</v>
      </c>
    </row>
    <row r="351" spans="1:3" ht="28.8" x14ac:dyDescent="0.3">
      <c r="A351" s="4" t="s">
        <v>1149</v>
      </c>
      <c r="B351">
        <v>1</v>
      </c>
      <c r="C351">
        <v>1</v>
      </c>
    </row>
    <row r="352" spans="1:3" ht="28.8" x14ac:dyDescent="0.3">
      <c r="A352" s="4" t="s">
        <v>3322</v>
      </c>
      <c r="B352">
        <v>1</v>
      </c>
      <c r="C352">
        <v>3</v>
      </c>
    </row>
    <row r="353" spans="1:3" ht="28.8" x14ac:dyDescent="0.3">
      <c r="A353" s="4" t="s">
        <v>3323</v>
      </c>
      <c r="B353">
        <v>1</v>
      </c>
      <c r="C353">
        <v>3</v>
      </c>
    </row>
    <row r="354" spans="1:3" ht="28.8" x14ac:dyDescent="0.3">
      <c r="A354" s="4" t="s">
        <v>1150</v>
      </c>
      <c r="B354">
        <v>1</v>
      </c>
      <c r="C354">
        <v>1</v>
      </c>
    </row>
    <row r="355" spans="1:3" ht="43.2" x14ac:dyDescent="0.3">
      <c r="A355" s="4" t="s">
        <v>3324</v>
      </c>
      <c r="B355">
        <v>1</v>
      </c>
      <c r="C355">
        <v>3</v>
      </c>
    </row>
    <row r="356" spans="1:3" ht="28.8" x14ac:dyDescent="0.3">
      <c r="A356" s="4" t="s">
        <v>3325</v>
      </c>
      <c r="B356">
        <v>1</v>
      </c>
      <c r="C356">
        <v>3</v>
      </c>
    </row>
    <row r="357" spans="1:3" ht="28.8" x14ac:dyDescent="0.3">
      <c r="A357" s="4" t="s">
        <v>1155</v>
      </c>
      <c r="B357">
        <v>1</v>
      </c>
      <c r="C357">
        <v>1</v>
      </c>
    </row>
    <row r="358" spans="1:3" ht="28.8" x14ac:dyDescent="0.3">
      <c r="A358" s="4" t="s">
        <v>3326</v>
      </c>
      <c r="B358">
        <v>1</v>
      </c>
      <c r="C358">
        <v>3</v>
      </c>
    </row>
    <row r="359" spans="1:3" ht="28.8" x14ac:dyDescent="0.3">
      <c r="A359" s="4" t="s">
        <v>1156</v>
      </c>
      <c r="B359">
        <v>1</v>
      </c>
      <c r="C359">
        <v>1</v>
      </c>
    </row>
    <row r="360" spans="1:3" x14ac:dyDescent="0.3">
      <c r="A360" s="4" t="s">
        <v>3327</v>
      </c>
      <c r="B360">
        <v>1</v>
      </c>
      <c r="C360">
        <v>3</v>
      </c>
    </row>
    <row r="361" spans="1:3" ht="43.2" x14ac:dyDescent="0.3">
      <c r="A361" s="4" t="s">
        <v>3328</v>
      </c>
      <c r="B361">
        <v>1</v>
      </c>
      <c r="C361">
        <v>3</v>
      </c>
    </row>
    <row r="362" spans="1:3" ht="28.8" x14ac:dyDescent="0.3">
      <c r="A362" s="4" t="s">
        <v>3329</v>
      </c>
      <c r="B362">
        <v>1</v>
      </c>
      <c r="C362">
        <v>3</v>
      </c>
    </row>
    <row r="363" spans="1:3" ht="28.8" x14ac:dyDescent="0.3">
      <c r="A363" s="4" t="s">
        <v>1251</v>
      </c>
      <c r="B363">
        <v>1</v>
      </c>
      <c r="C363">
        <v>1</v>
      </c>
    </row>
    <row r="364" spans="1:3" ht="28.8" x14ac:dyDescent="0.3">
      <c r="A364" s="4" t="s">
        <v>1252</v>
      </c>
      <c r="B364">
        <v>1</v>
      </c>
      <c r="C364">
        <v>1</v>
      </c>
    </row>
    <row r="365" spans="1:3" ht="28.8" x14ac:dyDescent="0.3">
      <c r="A365" s="4" t="s">
        <v>3330</v>
      </c>
      <c r="B365">
        <v>1</v>
      </c>
      <c r="C365">
        <v>3</v>
      </c>
    </row>
    <row r="366" spans="1:3" ht="28.8" x14ac:dyDescent="0.3">
      <c r="A366" s="4" t="s">
        <v>1253</v>
      </c>
      <c r="B366">
        <v>1</v>
      </c>
      <c r="C366">
        <v>1</v>
      </c>
    </row>
    <row r="367" spans="1:3" ht="28.8" x14ac:dyDescent="0.3">
      <c r="A367" s="4" t="s">
        <v>1254</v>
      </c>
      <c r="B367">
        <v>1</v>
      </c>
      <c r="C367">
        <v>1</v>
      </c>
    </row>
    <row r="368" spans="1:3" x14ac:dyDescent="0.3">
      <c r="A368" s="4" t="s">
        <v>1258</v>
      </c>
      <c r="B368">
        <v>1</v>
      </c>
      <c r="C368">
        <v>1</v>
      </c>
    </row>
    <row r="369" spans="1:3" ht="28.8" x14ac:dyDescent="0.3">
      <c r="A369" s="4" t="s">
        <v>3331</v>
      </c>
      <c r="B369">
        <v>1</v>
      </c>
      <c r="C369">
        <v>3</v>
      </c>
    </row>
    <row r="370" spans="1:3" ht="28.8" x14ac:dyDescent="0.3">
      <c r="A370" s="4" t="s">
        <v>1259</v>
      </c>
      <c r="B370">
        <v>1</v>
      </c>
      <c r="C370">
        <v>1</v>
      </c>
    </row>
    <row r="371" spans="1:3" ht="28.8" x14ac:dyDescent="0.3">
      <c r="A371" s="4" t="s">
        <v>1260</v>
      </c>
      <c r="B371">
        <v>1</v>
      </c>
      <c r="C371">
        <v>1</v>
      </c>
    </row>
    <row r="372" spans="1:3" ht="43.2" x14ac:dyDescent="0.3">
      <c r="A372" s="4" t="s">
        <v>3332</v>
      </c>
      <c r="B372">
        <v>1</v>
      </c>
      <c r="C372">
        <v>3</v>
      </c>
    </row>
    <row r="373" spans="1:3" ht="28.8" x14ac:dyDescent="0.3">
      <c r="A373" s="4" t="s">
        <v>1261</v>
      </c>
      <c r="B373">
        <v>1</v>
      </c>
      <c r="C373">
        <v>1</v>
      </c>
    </row>
    <row r="374" spans="1:3" ht="28.8" x14ac:dyDescent="0.3">
      <c r="A374" s="4" t="s">
        <v>1262</v>
      </c>
      <c r="B374">
        <v>1</v>
      </c>
      <c r="C374">
        <v>1</v>
      </c>
    </row>
    <row r="375" spans="1:3" ht="28.8" x14ac:dyDescent="0.3">
      <c r="A375" s="4" t="s">
        <v>1263</v>
      </c>
      <c r="B375">
        <v>1</v>
      </c>
      <c r="C375">
        <v>1</v>
      </c>
    </row>
    <row r="376" spans="1:3" ht="28.8" x14ac:dyDescent="0.3">
      <c r="A376" s="4" t="s">
        <v>1264</v>
      </c>
      <c r="B376">
        <v>1</v>
      </c>
      <c r="C376">
        <v>1</v>
      </c>
    </row>
    <row r="377" spans="1:3" x14ac:dyDescent="0.3">
      <c r="A377" s="4" t="s">
        <v>1266</v>
      </c>
      <c r="B377">
        <v>1</v>
      </c>
      <c r="C377">
        <v>1</v>
      </c>
    </row>
    <row r="378" spans="1:3" ht="28.8" x14ac:dyDescent="0.3">
      <c r="A378" s="4" t="s">
        <v>3333</v>
      </c>
      <c r="B378">
        <v>1</v>
      </c>
      <c r="C378">
        <v>3</v>
      </c>
    </row>
    <row r="379" spans="1:3" ht="28.8" x14ac:dyDescent="0.3">
      <c r="A379" s="4" t="s">
        <v>1267</v>
      </c>
      <c r="B379">
        <v>1</v>
      </c>
      <c r="C379">
        <v>1</v>
      </c>
    </row>
    <row r="380" spans="1:3" x14ac:dyDescent="0.3">
      <c r="A380" s="4" t="s">
        <v>3334</v>
      </c>
      <c r="B380">
        <v>1</v>
      </c>
      <c r="C380">
        <v>3</v>
      </c>
    </row>
    <row r="381" spans="1:3" ht="28.8" x14ac:dyDescent="0.3">
      <c r="A381" s="4" t="s">
        <v>1268</v>
      </c>
      <c r="B381">
        <v>1</v>
      </c>
      <c r="C381">
        <v>1</v>
      </c>
    </row>
    <row r="382" spans="1:3" ht="28.8" x14ac:dyDescent="0.3">
      <c r="A382" s="4" t="s">
        <v>1269</v>
      </c>
      <c r="B382">
        <v>1</v>
      </c>
      <c r="C382">
        <v>1</v>
      </c>
    </row>
    <row r="383" spans="1:3" ht="43.2" x14ac:dyDescent="0.3">
      <c r="A383" s="4" t="s">
        <v>1270</v>
      </c>
      <c r="B383">
        <v>1</v>
      </c>
      <c r="C383">
        <v>1</v>
      </c>
    </row>
    <row r="384" spans="1:3" ht="28.8" x14ac:dyDescent="0.3">
      <c r="A384" s="4" t="s">
        <v>1271</v>
      </c>
      <c r="B384">
        <v>1</v>
      </c>
      <c r="C384">
        <v>1</v>
      </c>
    </row>
    <row r="385" spans="1:3" x14ac:dyDescent="0.3">
      <c r="A385" s="4" t="s">
        <v>1278</v>
      </c>
      <c r="B385">
        <v>1</v>
      </c>
      <c r="C385">
        <v>1</v>
      </c>
    </row>
    <row r="386" spans="1:3" ht="28.8" x14ac:dyDescent="0.3">
      <c r="A386" s="4" t="s">
        <v>1279</v>
      </c>
      <c r="B386">
        <v>1</v>
      </c>
      <c r="C386">
        <v>1</v>
      </c>
    </row>
    <row r="387" spans="1:3" ht="28.8" x14ac:dyDescent="0.3">
      <c r="A387" s="4" t="s">
        <v>3335</v>
      </c>
      <c r="B387">
        <v>1</v>
      </c>
      <c r="C387">
        <v>3</v>
      </c>
    </row>
    <row r="388" spans="1:3" ht="43.2" x14ac:dyDescent="0.3">
      <c r="A388" s="4" t="s">
        <v>3336</v>
      </c>
      <c r="B388">
        <v>1</v>
      </c>
      <c r="C388">
        <v>3</v>
      </c>
    </row>
    <row r="389" spans="1:3" ht="28.8" x14ac:dyDescent="0.3">
      <c r="A389" s="4" t="s">
        <v>1288</v>
      </c>
      <c r="B389">
        <v>1</v>
      </c>
      <c r="C389">
        <v>1</v>
      </c>
    </row>
    <row r="390" spans="1:3" x14ac:dyDescent="0.3">
      <c r="A390" s="4" t="s">
        <v>3337</v>
      </c>
      <c r="B390">
        <v>1</v>
      </c>
      <c r="C390">
        <v>3</v>
      </c>
    </row>
    <row r="391" spans="1:3" ht="28.8" x14ac:dyDescent="0.3">
      <c r="A391" s="4" t="s">
        <v>3338</v>
      </c>
      <c r="B391">
        <v>1</v>
      </c>
      <c r="C391">
        <v>3</v>
      </c>
    </row>
    <row r="392" spans="1:3" ht="28.8" x14ac:dyDescent="0.3">
      <c r="A392" s="4" t="s">
        <v>3339</v>
      </c>
      <c r="B392">
        <v>1</v>
      </c>
      <c r="C392">
        <v>3</v>
      </c>
    </row>
    <row r="393" spans="1:3" ht="28.8" x14ac:dyDescent="0.3">
      <c r="A393" s="4" t="s">
        <v>1289</v>
      </c>
      <c r="B393">
        <v>1</v>
      </c>
      <c r="C393">
        <v>1</v>
      </c>
    </row>
    <row r="394" spans="1:3" ht="28.8" x14ac:dyDescent="0.3">
      <c r="A394" s="4" t="s">
        <v>1290</v>
      </c>
      <c r="B394">
        <v>1</v>
      </c>
      <c r="C394">
        <v>1</v>
      </c>
    </row>
    <row r="395" spans="1:3" ht="28.8" x14ac:dyDescent="0.3">
      <c r="A395" s="4" t="s">
        <v>1291</v>
      </c>
      <c r="B395">
        <v>1</v>
      </c>
      <c r="C395">
        <v>1</v>
      </c>
    </row>
    <row r="396" spans="1:3" x14ac:dyDescent="0.3">
      <c r="A396" s="4" t="s">
        <v>3340</v>
      </c>
      <c r="B396">
        <v>1</v>
      </c>
      <c r="C396">
        <v>3</v>
      </c>
    </row>
    <row r="397" spans="1:3" ht="28.8" x14ac:dyDescent="0.3">
      <c r="A397" s="4" t="s">
        <v>1295</v>
      </c>
      <c r="B397">
        <v>1</v>
      </c>
      <c r="C397">
        <v>1</v>
      </c>
    </row>
    <row r="398" spans="1:3" x14ac:dyDescent="0.3">
      <c r="A398" s="4" t="s">
        <v>3341</v>
      </c>
      <c r="B398">
        <v>1</v>
      </c>
      <c r="C398">
        <v>3</v>
      </c>
    </row>
    <row r="399" spans="1:3" ht="28.8" x14ac:dyDescent="0.3">
      <c r="A399" s="4" t="s">
        <v>3342</v>
      </c>
      <c r="B399">
        <v>1</v>
      </c>
      <c r="C399">
        <v>3</v>
      </c>
    </row>
    <row r="400" spans="1:3" x14ac:dyDescent="0.3">
      <c r="A400" s="4" t="s">
        <v>3343</v>
      </c>
      <c r="B400">
        <v>1</v>
      </c>
      <c r="C400">
        <v>3</v>
      </c>
    </row>
    <row r="401" spans="1:3" ht="28.8" x14ac:dyDescent="0.3">
      <c r="A401" s="4" t="s">
        <v>3344</v>
      </c>
      <c r="B401">
        <v>1</v>
      </c>
      <c r="C401">
        <v>3</v>
      </c>
    </row>
    <row r="402" spans="1:3" ht="28.8" x14ac:dyDescent="0.3">
      <c r="A402" s="4" t="s">
        <v>1299</v>
      </c>
      <c r="B402">
        <v>1</v>
      </c>
      <c r="C402">
        <v>1</v>
      </c>
    </row>
    <row r="403" spans="1:3" ht="28.8" x14ac:dyDescent="0.3">
      <c r="A403" s="4" t="s">
        <v>3345</v>
      </c>
      <c r="B403">
        <v>1</v>
      </c>
      <c r="C403">
        <v>3</v>
      </c>
    </row>
    <row r="404" spans="1:3" ht="28.8" x14ac:dyDescent="0.3">
      <c r="A404" s="4" t="s">
        <v>3346</v>
      </c>
      <c r="B404">
        <v>1</v>
      </c>
      <c r="C404">
        <v>3</v>
      </c>
    </row>
    <row r="405" spans="1:3" ht="28.8" x14ac:dyDescent="0.3">
      <c r="A405" s="4" t="s">
        <v>3347</v>
      </c>
      <c r="B405">
        <v>1</v>
      </c>
      <c r="C405">
        <v>3</v>
      </c>
    </row>
    <row r="406" spans="1:3" ht="28.8" x14ac:dyDescent="0.3">
      <c r="A406" s="4" t="s">
        <v>1447</v>
      </c>
      <c r="B406">
        <v>1</v>
      </c>
      <c r="C406">
        <v>1</v>
      </c>
    </row>
    <row r="407" spans="1:3" ht="28.8" x14ac:dyDescent="0.3">
      <c r="A407" s="4" t="s">
        <v>3348</v>
      </c>
      <c r="B407">
        <v>1</v>
      </c>
      <c r="C407">
        <v>3</v>
      </c>
    </row>
    <row r="408" spans="1:3" ht="28.8" x14ac:dyDescent="0.3">
      <c r="A408" s="4" t="s">
        <v>1448</v>
      </c>
      <c r="B408">
        <v>1</v>
      </c>
      <c r="C408">
        <v>1</v>
      </c>
    </row>
    <row r="409" spans="1:3" ht="28.8" x14ac:dyDescent="0.3">
      <c r="A409" s="4" t="s">
        <v>1449</v>
      </c>
      <c r="B409">
        <v>1</v>
      </c>
      <c r="C409">
        <v>1</v>
      </c>
    </row>
    <row r="410" spans="1:3" ht="28.8" x14ac:dyDescent="0.3">
      <c r="A410" s="4" t="s">
        <v>1450</v>
      </c>
      <c r="B410">
        <v>1</v>
      </c>
      <c r="C410">
        <v>1</v>
      </c>
    </row>
    <row r="411" spans="1:3" ht="43.2" x14ac:dyDescent="0.3">
      <c r="A411" s="4" t="s">
        <v>1459</v>
      </c>
      <c r="B411">
        <v>1</v>
      </c>
      <c r="C411">
        <v>1</v>
      </c>
    </row>
    <row r="412" spans="1:3" ht="28.8" x14ac:dyDescent="0.3">
      <c r="A412" s="4" t="s">
        <v>1460</v>
      </c>
      <c r="B412">
        <v>1</v>
      </c>
      <c r="C412">
        <v>1</v>
      </c>
    </row>
    <row r="413" spans="1:3" x14ac:dyDescent="0.3">
      <c r="A413" s="4" t="s">
        <v>3349</v>
      </c>
      <c r="B413">
        <v>1</v>
      </c>
      <c r="C413">
        <v>3</v>
      </c>
    </row>
    <row r="414" spans="1:3" x14ac:dyDescent="0.3">
      <c r="A414" s="4" t="s">
        <v>1461</v>
      </c>
      <c r="B414">
        <v>1</v>
      </c>
      <c r="C414">
        <v>1</v>
      </c>
    </row>
    <row r="415" spans="1:3" x14ac:dyDescent="0.3">
      <c r="A415" s="4" t="s">
        <v>3350</v>
      </c>
      <c r="B415">
        <v>1</v>
      </c>
      <c r="C415">
        <v>3</v>
      </c>
    </row>
    <row r="416" spans="1:3" ht="28.8" x14ac:dyDescent="0.3">
      <c r="A416" s="4" t="s">
        <v>1462</v>
      </c>
      <c r="B416">
        <v>1</v>
      </c>
      <c r="C416">
        <v>1</v>
      </c>
    </row>
    <row r="417" spans="1:3" ht="28.8" x14ac:dyDescent="0.3">
      <c r="A417" s="4" t="s">
        <v>3351</v>
      </c>
      <c r="B417">
        <v>1</v>
      </c>
      <c r="C417">
        <v>3</v>
      </c>
    </row>
    <row r="418" spans="1:3" ht="28.8" x14ac:dyDescent="0.3">
      <c r="A418" s="4" t="s">
        <v>3352</v>
      </c>
      <c r="B418">
        <v>1</v>
      </c>
      <c r="C418">
        <v>3</v>
      </c>
    </row>
    <row r="419" spans="1:3" ht="28.8" x14ac:dyDescent="0.3">
      <c r="A419" s="4" t="s">
        <v>1463</v>
      </c>
      <c r="B419">
        <v>1</v>
      </c>
      <c r="C419">
        <v>1</v>
      </c>
    </row>
    <row r="420" spans="1:3" x14ac:dyDescent="0.3">
      <c r="A420" s="4" t="s">
        <v>1470</v>
      </c>
      <c r="B420">
        <v>1</v>
      </c>
      <c r="C420">
        <v>1</v>
      </c>
    </row>
    <row r="421" spans="1:3" ht="28.8" x14ac:dyDescent="0.3">
      <c r="A421" s="4" t="s">
        <v>3353</v>
      </c>
      <c r="B421">
        <v>1</v>
      </c>
      <c r="C421">
        <v>3</v>
      </c>
    </row>
    <row r="422" spans="1:3" ht="28.8" x14ac:dyDescent="0.3">
      <c r="A422" s="4" t="s">
        <v>3354</v>
      </c>
      <c r="B422">
        <v>1</v>
      </c>
      <c r="C422">
        <v>2</v>
      </c>
    </row>
    <row r="423" spans="1:3" ht="28.8" x14ac:dyDescent="0.3">
      <c r="A423" s="4" t="s">
        <v>3355</v>
      </c>
      <c r="B423">
        <v>1</v>
      </c>
      <c r="C423">
        <v>3</v>
      </c>
    </row>
    <row r="424" spans="1:3" ht="28.8" x14ac:dyDescent="0.3">
      <c r="A424" s="4" t="s">
        <v>1471</v>
      </c>
      <c r="B424">
        <v>1</v>
      </c>
      <c r="C424">
        <v>1</v>
      </c>
    </row>
    <row r="425" spans="1:3" ht="28.8" x14ac:dyDescent="0.3">
      <c r="A425" s="4" t="s">
        <v>3356</v>
      </c>
      <c r="B425">
        <v>1</v>
      </c>
      <c r="C425">
        <v>3</v>
      </c>
    </row>
    <row r="426" spans="1:3" ht="28.8" x14ac:dyDescent="0.3">
      <c r="A426" s="4" t="s">
        <v>1472</v>
      </c>
      <c r="B426">
        <v>1</v>
      </c>
      <c r="C426">
        <v>1</v>
      </c>
    </row>
    <row r="427" spans="1:3" ht="28.8" x14ac:dyDescent="0.3">
      <c r="A427" s="4" t="s">
        <v>1474</v>
      </c>
      <c r="B427">
        <v>1</v>
      </c>
      <c r="C427">
        <v>1</v>
      </c>
    </row>
    <row r="428" spans="1:3" ht="43.2" x14ac:dyDescent="0.3">
      <c r="A428" s="4" t="s">
        <v>3357</v>
      </c>
      <c r="B428">
        <v>1</v>
      </c>
      <c r="C428">
        <v>3</v>
      </c>
    </row>
    <row r="429" spans="1:3" ht="28.8" x14ac:dyDescent="0.3">
      <c r="A429" s="4" t="s">
        <v>1475</v>
      </c>
      <c r="B429">
        <v>1</v>
      </c>
      <c r="C429">
        <v>1</v>
      </c>
    </row>
    <row r="430" spans="1:3" ht="28.8" x14ac:dyDescent="0.3">
      <c r="A430" s="4" t="s">
        <v>1476</v>
      </c>
      <c r="B430">
        <v>1</v>
      </c>
      <c r="C430">
        <v>1</v>
      </c>
    </row>
    <row r="431" spans="1:3" ht="28.8" x14ac:dyDescent="0.3">
      <c r="A431" s="4" t="s">
        <v>3358</v>
      </c>
      <c r="B431">
        <v>1</v>
      </c>
      <c r="C431">
        <v>3</v>
      </c>
    </row>
    <row r="432" spans="1:3" x14ac:dyDescent="0.3">
      <c r="A432" s="4" t="s">
        <v>3359</v>
      </c>
      <c r="B432">
        <v>1</v>
      </c>
      <c r="C432">
        <v>3</v>
      </c>
    </row>
    <row r="433" spans="1:3" ht="28.8" x14ac:dyDescent="0.3">
      <c r="A433" s="4" t="s">
        <v>3360</v>
      </c>
      <c r="B433">
        <v>1</v>
      </c>
      <c r="C433">
        <v>3</v>
      </c>
    </row>
    <row r="434" spans="1:3" ht="28.8" x14ac:dyDescent="0.3">
      <c r="A434" s="4" t="s">
        <v>1575</v>
      </c>
      <c r="B434">
        <v>1</v>
      </c>
      <c r="C434">
        <v>1</v>
      </c>
    </row>
    <row r="435" spans="1:3" ht="43.2" x14ac:dyDescent="0.3">
      <c r="A435" s="4" t="s">
        <v>1576</v>
      </c>
      <c r="B435">
        <v>1</v>
      </c>
      <c r="C435">
        <v>1</v>
      </c>
    </row>
    <row r="436" spans="1:3" ht="28.8" x14ac:dyDescent="0.3">
      <c r="A436" s="4" t="s">
        <v>3361</v>
      </c>
      <c r="B436">
        <v>1</v>
      </c>
      <c r="C436">
        <v>3</v>
      </c>
    </row>
    <row r="437" spans="1:3" ht="28.8" x14ac:dyDescent="0.3">
      <c r="A437" s="4" t="s">
        <v>3362</v>
      </c>
      <c r="B437">
        <v>1</v>
      </c>
      <c r="C437">
        <v>3</v>
      </c>
    </row>
    <row r="438" spans="1:3" x14ac:dyDescent="0.3">
      <c r="A438" s="4" t="s">
        <v>3363</v>
      </c>
      <c r="B438">
        <v>1</v>
      </c>
      <c r="C438">
        <v>3</v>
      </c>
    </row>
    <row r="439" spans="1:3" ht="28.8" x14ac:dyDescent="0.3">
      <c r="A439" s="4" t="s">
        <v>1577</v>
      </c>
      <c r="B439">
        <v>1</v>
      </c>
      <c r="C439">
        <v>1</v>
      </c>
    </row>
    <row r="440" spans="1:3" x14ac:dyDescent="0.3">
      <c r="A440" s="4" t="s">
        <v>1578</v>
      </c>
      <c r="B440">
        <v>1</v>
      </c>
      <c r="C440">
        <v>1</v>
      </c>
    </row>
    <row r="441" spans="1:3" ht="28.8" x14ac:dyDescent="0.3">
      <c r="A441" s="4" t="s">
        <v>1579</v>
      </c>
      <c r="B441">
        <v>1</v>
      </c>
      <c r="C441">
        <v>1</v>
      </c>
    </row>
    <row r="442" spans="1:3" ht="28.8" x14ac:dyDescent="0.3">
      <c r="A442" s="4" t="s">
        <v>1580</v>
      </c>
      <c r="B442">
        <v>1</v>
      </c>
      <c r="C442">
        <v>1</v>
      </c>
    </row>
    <row r="443" spans="1:3" ht="28.8" x14ac:dyDescent="0.3">
      <c r="A443" s="4" t="s">
        <v>3364</v>
      </c>
      <c r="B443">
        <v>1</v>
      </c>
      <c r="C443">
        <v>3</v>
      </c>
    </row>
    <row r="444" spans="1:3" ht="28.8" x14ac:dyDescent="0.3">
      <c r="A444" s="4" t="s">
        <v>1581</v>
      </c>
      <c r="B444">
        <v>1</v>
      </c>
      <c r="C444">
        <v>1</v>
      </c>
    </row>
    <row r="445" spans="1:3" ht="28.8" x14ac:dyDescent="0.3">
      <c r="A445" s="4" t="s">
        <v>1591</v>
      </c>
      <c r="B445">
        <v>1</v>
      </c>
      <c r="C445">
        <v>1</v>
      </c>
    </row>
    <row r="446" spans="1:3" ht="28.8" x14ac:dyDescent="0.3">
      <c r="A446" s="4" t="s">
        <v>1592</v>
      </c>
      <c r="B446">
        <v>1</v>
      </c>
      <c r="C446">
        <v>1</v>
      </c>
    </row>
    <row r="447" spans="1:3" x14ac:dyDescent="0.3">
      <c r="A447" s="4" t="s">
        <v>3365</v>
      </c>
      <c r="B447">
        <v>1</v>
      </c>
      <c r="C447">
        <v>3</v>
      </c>
    </row>
    <row r="448" spans="1:3" ht="28.8" x14ac:dyDescent="0.3">
      <c r="A448" s="4" t="s">
        <v>3366</v>
      </c>
      <c r="B448">
        <v>1</v>
      </c>
      <c r="C448">
        <v>3</v>
      </c>
    </row>
    <row r="449" spans="1:3" x14ac:dyDescent="0.3">
      <c r="A449" s="4" t="s">
        <v>3367</v>
      </c>
      <c r="B449">
        <v>1</v>
      </c>
      <c r="C449">
        <v>3</v>
      </c>
    </row>
    <row r="450" spans="1:3" ht="43.2" x14ac:dyDescent="0.3">
      <c r="A450" s="4" t="s">
        <v>1593</v>
      </c>
      <c r="B450">
        <v>1</v>
      </c>
      <c r="C450">
        <v>1</v>
      </c>
    </row>
    <row r="451" spans="1:3" ht="28.8" x14ac:dyDescent="0.3">
      <c r="A451" s="4" t="s">
        <v>3368</v>
      </c>
      <c r="B451">
        <v>1</v>
      </c>
      <c r="C451">
        <v>3</v>
      </c>
    </row>
    <row r="452" spans="1:3" ht="28.8" x14ac:dyDescent="0.3">
      <c r="A452" s="4" t="s">
        <v>1595</v>
      </c>
      <c r="B452">
        <v>1</v>
      </c>
      <c r="C452">
        <v>1</v>
      </c>
    </row>
    <row r="453" spans="1:3" ht="43.2" x14ac:dyDescent="0.3">
      <c r="A453" s="4" t="s">
        <v>1596</v>
      </c>
      <c r="B453">
        <v>1</v>
      </c>
      <c r="C453">
        <v>1</v>
      </c>
    </row>
    <row r="454" spans="1:3" ht="28.8" x14ac:dyDescent="0.3">
      <c r="A454" s="4" t="s">
        <v>1603</v>
      </c>
      <c r="B454">
        <v>1</v>
      </c>
      <c r="C454">
        <v>1</v>
      </c>
    </row>
    <row r="455" spans="1:3" ht="28.8" x14ac:dyDescent="0.3">
      <c r="A455" s="4" t="s">
        <v>3369</v>
      </c>
      <c r="B455">
        <v>1</v>
      </c>
      <c r="C455">
        <v>3</v>
      </c>
    </row>
    <row r="456" spans="1:3" ht="28.8" x14ac:dyDescent="0.3">
      <c r="A456" s="4" t="s">
        <v>3370</v>
      </c>
      <c r="B456">
        <v>1</v>
      </c>
      <c r="C456">
        <v>3</v>
      </c>
    </row>
    <row r="457" spans="1:3" ht="28.8" x14ac:dyDescent="0.3">
      <c r="A457" s="4" t="s">
        <v>1604</v>
      </c>
      <c r="B457">
        <v>1</v>
      </c>
      <c r="C457">
        <v>1</v>
      </c>
    </row>
    <row r="458" spans="1:3" ht="28.8" x14ac:dyDescent="0.3">
      <c r="A458" s="4" t="s">
        <v>1605</v>
      </c>
      <c r="B458">
        <v>1</v>
      </c>
      <c r="C458">
        <v>1</v>
      </c>
    </row>
    <row r="459" spans="1:3" x14ac:dyDescent="0.3">
      <c r="A459" s="4" t="s">
        <v>1606</v>
      </c>
      <c r="B459">
        <v>1</v>
      </c>
      <c r="C459">
        <v>1</v>
      </c>
    </row>
    <row r="460" spans="1:3" ht="28.8" x14ac:dyDescent="0.3">
      <c r="A460" s="4" t="s">
        <v>3371</v>
      </c>
      <c r="B460">
        <v>1</v>
      </c>
      <c r="C460">
        <v>3</v>
      </c>
    </row>
    <row r="461" spans="1:3" ht="43.2" x14ac:dyDescent="0.3">
      <c r="A461" s="4" t="s">
        <v>3372</v>
      </c>
      <c r="B461">
        <v>1</v>
      </c>
      <c r="C461">
        <v>3</v>
      </c>
    </row>
    <row r="462" spans="1:3" ht="43.2" x14ac:dyDescent="0.3">
      <c r="A462" s="4" t="s">
        <v>1689</v>
      </c>
      <c r="B462">
        <v>1</v>
      </c>
      <c r="C462">
        <v>1</v>
      </c>
    </row>
    <row r="463" spans="1:3" ht="28.8" x14ac:dyDescent="0.3">
      <c r="A463" s="4" t="s">
        <v>1690</v>
      </c>
      <c r="B463">
        <v>1</v>
      </c>
      <c r="C463">
        <v>1</v>
      </c>
    </row>
    <row r="464" spans="1:3" ht="28.8" x14ac:dyDescent="0.3">
      <c r="A464" s="4" t="s">
        <v>1694</v>
      </c>
      <c r="B464">
        <v>1</v>
      </c>
      <c r="C464">
        <v>1</v>
      </c>
    </row>
    <row r="465" spans="1:3" ht="28.8" x14ac:dyDescent="0.3">
      <c r="A465" s="4" t="s">
        <v>1701</v>
      </c>
      <c r="B465">
        <v>1</v>
      </c>
      <c r="C465">
        <v>1</v>
      </c>
    </row>
    <row r="466" spans="1:3" ht="28.8" x14ac:dyDescent="0.3">
      <c r="A466" s="4" t="s">
        <v>3373</v>
      </c>
      <c r="B466">
        <v>1</v>
      </c>
      <c r="C466">
        <v>3</v>
      </c>
    </row>
    <row r="467" spans="1:3" x14ac:dyDescent="0.3">
      <c r="A467" s="4" t="s">
        <v>1702</v>
      </c>
      <c r="B467">
        <v>1</v>
      </c>
      <c r="C467">
        <v>1</v>
      </c>
    </row>
    <row r="468" spans="1:3" ht="28.8" x14ac:dyDescent="0.3">
      <c r="A468" s="4" t="s">
        <v>3374</v>
      </c>
      <c r="B468">
        <v>1</v>
      </c>
      <c r="C468">
        <v>2</v>
      </c>
    </row>
    <row r="469" spans="1:3" ht="28.8" x14ac:dyDescent="0.3">
      <c r="A469" s="4" t="s">
        <v>1704</v>
      </c>
      <c r="B469">
        <v>1</v>
      </c>
      <c r="C469">
        <v>1</v>
      </c>
    </row>
    <row r="470" spans="1:3" ht="28.8" x14ac:dyDescent="0.3">
      <c r="A470" s="4" t="s">
        <v>1703</v>
      </c>
      <c r="B470">
        <v>1</v>
      </c>
      <c r="C470">
        <v>1</v>
      </c>
    </row>
    <row r="471" spans="1:3" x14ac:dyDescent="0.3">
      <c r="A471" s="4" t="s">
        <v>3375</v>
      </c>
      <c r="B471">
        <v>1</v>
      </c>
      <c r="C471">
        <v>3</v>
      </c>
    </row>
    <row r="472" spans="1:3" ht="28.8" x14ac:dyDescent="0.3">
      <c r="A472" s="4" t="s">
        <v>1705</v>
      </c>
      <c r="B472">
        <v>1</v>
      </c>
      <c r="C472">
        <v>1</v>
      </c>
    </row>
    <row r="473" spans="1:3" ht="28.8" x14ac:dyDescent="0.3">
      <c r="A473" s="4" t="s">
        <v>3376</v>
      </c>
      <c r="B473">
        <v>1</v>
      </c>
      <c r="C473">
        <v>3</v>
      </c>
    </row>
    <row r="474" spans="1:3" ht="43.2" x14ac:dyDescent="0.3">
      <c r="A474" s="4" t="s">
        <v>1706</v>
      </c>
      <c r="B474">
        <v>1</v>
      </c>
      <c r="C474">
        <v>1</v>
      </c>
    </row>
    <row r="475" spans="1:3" ht="28.8" x14ac:dyDescent="0.3">
      <c r="A475" s="4" t="s">
        <v>1707</v>
      </c>
      <c r="B475">
        <v>1</v>
      </c>
      <c r="C475">
        <v>1</v>
      </c>
    </row>
    <row r="476" spans="1:3" ht="28.8" x14ac:dyDescent="0.3">
      <c r="A476" s="4" t="s">
        <v>3377</v>
      </c>
      <c r="B476">
        <v>1</v>
      </c>
      <c r="C476">
        <v>3</v>
      </c>
    </row>
    <row r="477" spans="1:3" x14ac:dyDescent="0.3">
      <c r="A477" s="4" t="s">
        <v>1708</v>
      </c>
      <c r="B477">
        <v>1</v>
      </c>
      <c r="C477">
        <v>1</v>
      </c>
    </row>
    <row r="478" spans="1:3" ht="28.8" x14ac:dyDescent="0.3">
      <c r="A478" s="4" t="s">
        <v>1709</v>
      </c>
      <c r="B478">
        <v>1</v>
      </c>
      <c r="C478">
        <v>1</v>
      </c>
    </row>
    <row r="479" spans="1:3" ht="28.8" x14ac:dyDescent="0.3">
      <c r="A479" s="4" t="s">
        <v>3378</v>
      </c>
      <c r="B479">
        <v>1</v>
      </c>
      <c r="C479">
        <v>3</v>
      </c>
    </row>
    <row r="480" spans="1:3" ht="28.8" x14ac:dyDescent="0.3">
      <c r="A480" s="4" t="s">
        <v>1710</v>
      </c>
      <c r="B480">
        <v>1</v>
      </c>
      <c r="C480">
        <v>1</v>
      </c>
    </row>
    <row r="481" spans="1:3" ht="28.8" x14ac:dyDescent="0.3">
      <c r="A481" s="4" t="s">
        <v>1711</v>
      </c>
      <c r="B481">
        <v>1</v>
      </c>
      <c r="C481">
        <v>1</v>
      </c>
    </row>
    <row r="482" spans="1:3" ht="43.2" x14ac:dyDescent="0.3">
      <c r="A482" s="4" t="s">
        <v>1713</v>
      </c>
      <c r="B482">
        <v>1</v>
      </c>
      <c r="C482">
        <v>1</v>
      </c>
    </row>
    <row r="483" spans="1:3" ht="28.8" x14ac:dyDescent="0.3">
      <c r="A483" s="4" t="s">
        <v>1712</v>
      </c>
      <c r="B483">
        <v>1</v>
      </c>
      <c r="C483">
        <v>1</v>
      </c>
    </row>
    <row r="484" spans="1:3" ht="28.8" x14ac:dyDescent="0.3">
      <c r="A484" s="4" t="s">
        <v>1714</v>
      </c>
      <c r="B484">
        <v>1</v>
      </c>
      <c r="C484">
        <v>1</v>
      </c>
    </row>
    <row r="485" spans="1:3" x14ac:dyDescent="0.3">
      <c r="A485" s="4" t="s">
        <v>3379</v>
      </c>
      <c r="B485">
        <v>1</v>
      </c>
      <c r="C485">
        <v>3</v>
      </c>
    </row>
    <row r="486" spans="1:3" ht="28.8" x14ac:dyDescent="0.3">
      <c r="A486" s="4" t="s">
        <v>1716</v>
      </c>
      <c r="B486">
        <v>1</v>
      </c>
      <c r="C486">
        <v>1</v>
      </c>
    </row>
    <row r="487" spans="1:3" x14ac:dyDescent="0.3">
      <c r="A487" s="4" t="s">
        <v>3380</v>
      </c>
      <c r="B487">
        <v>1</v>
      </c>
      <c r="C487">
        <v>3</v>
      </c>
    </row>
    <row r="488" spans="1:3" ht="28.8" x14ac:dyDescent="0.3">
      <c r="A488" s="4" t="s">
        <v>1719</v>
      </c>
      <c r="B488">
        <v>1</v>
      </c>
      <c r="C488">
        <v>1</v>
      </c>
    </row>
    <row r="489" spans="1:3" ht="28.8" x14ac:dyDescent="0.3">
      <c r="A489" s="4" t="s">
        <v>1717</v>
      </c>
      <c r="B489">
        <v>1</v>
      </c>
      <c r="C489">
        <v>1</v>
      </c>
    </row>
    <row r="490" spans="1:3" ht="28.8" x14ac:dyDescent="0.3">
      <c r="A490" s="4" t="s">
        <v>1720</v>
      </c>
      <c r="B490">
        <v>1</v>
      </c>
      <c r="C490">
        <v>1</v>
      </c>
    </row>
    <row r="491" spans="1:3" ht="43.2" x14ac:dyDescent="0.3">
      <c r="A491" s="4" t="s">
        <v>1723</v>
      </c>
      <c r="B491">
        <v>1</v>
      </c>
      <c r="C491">
        <v>1</v>
      </c>
    </row>
    <row r="492" spans="1:3" ht="28.8" x14ac:dyDescent="0.3">
      <c r="A492" s="4" t="s">
        <v>1724</v>
      </c>
      <c r="B492">
        <v>1</v>
      </c>
      <c r="C492">
        <v>1</v>
      </c>
    </row>
    <row r="493" spans="1:3" ht="28.8" x14ac:dyDescent="0.3">
      <c r="A493" s="4" t="s">
        <v>1726</v>
      </c>
      <c r="B493">
        <v>1</v>
      </c>
      <c r="C493">
        <v>1</v>
      </c>
    </row>
    <row r="494" spans="1:3" ht="28.8" x14ac:dyDescent="0.3">
      <c r="A494" s="4" t="s">
        <v>1727</v>
      </c>
      <c r="B494">
        <v>1</v>
      </c>
      <c r="C494">
        <v>1</v>
      </c>
    </row>
    <row r="495" spans="1:3" x14ac:dyDescent="0.3">
      <c r="A495" s="4" t="s">
        <v>1728</v>
      </c>
      <c r="B495">
        <v>1</v>
      </c>
      <c r="C495">
        <v>1</v>
      </c>
    </row>
    <row r="496" spans="1:3" ht="28.8" x14ac:dyDescent="0.3">
      <c r="A496" s="4" t="s">
        <v>1729</v>
      </c>
      <c r="B496">
        <v>1</v>
      </c>
      <c r="C496">
        <v>1</v>
      </c>
    </row>
    <row r="497" spans="1:3" x14ac:dyDescent="0.3">
      <c r="A497" s="4" t="s">
        <v>1730</v>
      </c>
      <c r="B497">
        <v>1</v>
      </c>
      <c r="C497">
        <v>1</v>
      </c>
    </row>
    <row r="498" spans="1:3" ht="28.8" x14ac:dyDescent="0.3">
      <c r="A498" s="4" t="s">
        <v>1731</v>
      </c>
      <c r="B498">
        <v>1</v>
      </c>
      <c r="C498">
        <v>1</v>
      </c>
    </row>
    <row r="499" spans="1:3" ht="28.8" x14ac:dyDescent="0.3">
      <c r="A499" s="4" t="s">
        <v>3381</v>
      </c>
      <c r="B499">
        <v>1</v>
      </c>
      <c r="C499">
        <v>3</v>
      </c>
    </row>
    <row r="500" spans="1:3" ht="43.2" x14ac:dyDescent="0.3">
      <c r="A500" s="4" t="s">
        <v>1732</v>
      </c>
      <c r="B500">
        <v>1</v>
      </c>
      <c r="C500">
        <v>1</v>
      </c>
    </row>
    <row r="501" spans="1:3" ht="28.8" x14ac:dyDescent="0.3">
      <c r="A501" s="4" t="s">
        <v>3382</v>
      </c>
      <c r="B501">
        <v>1</v>
      </c>
      <c r="C501">
        <v>3</v>
      </c>
    </row>
    <row r="502" spans="1:3" ht="28.8" x14ac:dyDescent="0.3">
      <c r="A502" s="4" t="s">
        <v>3383</v>
      </c>
      <c r="B502">
        <v>1</v>
      </c>
      <c r="C502">
        <v>3</v>
      </c>
    </row>
    <row r="503" spans="1:3" ht="28.8" x14ac:dyDescent="0.3">
      <c r="A503" s="4" t="s">
        <v>1884</v>
      </c>
      <c r="B503">
        <v>1</v>
      </c>
      <c r="C503">
        <v>1</v>
      </c>
    </row>
    <row r="504" spans="1:3" ht="28.8" x14ac:dyDescent="0.3">
      <c r="A504" s="4" t="s">
        <v>1885</v>
      </c>
      <c r="B504">
        <v>1</v>
      </c>
      <c r="C504">
        <v>1</v>
      </c>
    </row>
    <row r="505" spans="1:3" ht="28.8" x14ac:dyDescent="0.3">
      <c r="A505" s="4" t="s">
        <v>1886</v>
      </c>
      <c r="B505">
        <v>1</v>
      </c>
      <c r="C505">
        <v>1</v>
      </c>
    </row>
    <row r="506" spans="1:3" ht="28.8" x14ac:dyDescent="0.3">
      <c r="A506" s="4" t="s">
        <v>3384</v>
      </c>
      <c r="B506">
        <v>1</v>
      </c>
      <c r="C506">
        <v>3</v>
      </c>
    </row>
    <row r="507" spans="1:3" ht="28.8" x14ac:dyDescent="0.3">
      <c r="A507" s="4" t="s">
        <v>3385</v>
      </c>
      <c r="B507">
        <v>1</v>
      </c>
      <c r="C507">
        <v>3</v>
      </c>
    </row>
    <row r="508" spans="1:3" x14ac:dyDescent="0.3">
      <c r="A508" s="4" t="s">
        <v>1887</v>
      </c>
      <c r="B508">
        <v>1</v>
      </c>
      <c r="C508">
        <v>1</v>
      </c>
    </row>
    <row r="509" spans="1:3" ht="28.8" x14ac:dyDescent="0.3">
      <c r="A509" s="4" t="s">
        <v>1888</v>
      </c>
      <c r="B509">
        <v>1</v>
      </c>
      <c r="C509">
        <v>1</v>
      </c>
    </row>
    <row r="510" spans="1:3" ht="28.8" x14ac:dyDescent="0.3">
      <c r="A510" s="4" t="s">
        <v>3386</v>
      </c>
      <c r="B510">
        <v>1</v>
      </c>
      <c r="C510">
        <v>3</v>
      </c>
    </row>
    <row r="511" spans="1:3" ht="28.8" x14ac:dyDescent="0.3">
      <c r="A511" s="4" t="s">
        <v>1889</v>
      </c>
      <c r="B511">
        <v>1</v>
      </c>
      <c r="C511">
        <v>1</v>
      </c>
    </row>
    <row r="512" spans="1:3" x14ac:dyDescent="0.3">
      <c r="A512" s="4" t="s">
        <v>1890</v>
      </c>
      <c r="B512">
        <v>1</v>
      </c>
      <c r="C512">
        <v>1</v>
      </c>
    </row>
    <row r="513" spans="1:3" ht="28.8" x14ac:dyDescent="0.3">
      <c r="A513" s="4" t="s">
        <v>1891</v>
      </c>
      <c r="B513">
        <v>1</v>
      </c>
      <c r="C513">
        <v>1</v>
      </c>
    </row>
    <row r="514" spans="1:3" ht="28.8" x14ac:dyDescent="0.3">
      <c r="A514" s="4" t="s">
        <v>3387</v>
      </c>
      <c r="B514">
        <v>1</v>
      </c>
      <c r="C514">
        <v>3</v>
      </c>
    </row>
    <row r="515" spans="1:3" ht="28.8" x14ac:dyDescent="0.3">
      <c r="A515" s="4" t="s">
        <v>3388</v>
      </c>
      <c r="B515">
        <v>1</v>
      </c>
      <c r="C515">
        <v>3</v>
      </c>
    </row>
    <row r="516" spans="1:3" ht="28.8" x14ac:dyDescent="0.3">
      <c r="A516" s="4" t="s">
        <v>3389</v>
      </c>
      <c r="B516">
        <v>1</v>
      </c>
      <c r="C516">
        <v>3</v>
      </c>
    </row>
    <row r="517" spans="1:3" x14ac:dyDescent="0.3">
      <c r="A517" s="4" t="s">
        <v>3390</v>
      </c>
      <c r="B517">
        <v>1</v>
      </c>
      <c r="C517">
        <v>3</v>
      </c>
    </row>
    <row r="518" spans="1:3" ht="28.8" x14ac:dyDescent="0.3">
      <c r="A518" s="4" t="s">
        <v>3391</v>
      </c>
      <c r="B518">
        <v>1</v>
      </c>
      <c r="C518">
        <v>3</v>
      </c>
    </row>
    <row r="519" spans="1:3" x14ac:dyDescent="0.3">
      <c r="A519" s="4" t="s">
        <v>3392</v>
      </c>
      <c r="B519">
        <v>1</v>
      </c>
      <c r="C519">
        <v>3</v>
      </c>
    </row>
    <row r="520" spans="1:3" ht="28.8" x14ac:dyDescent="0.3">
      <c r="A520" s="4" t="s">
        <v>3393</v>
      </c>
      <c r="B520">
        <v>1</v>
      </c>
      <c r="C520">
        <v>3</v>
      </c>
    </row>
    <row r="521" spans="1:3" ht="28.8" x14ac:dyDescent="0.3">
      <c r="A521" s="4" t="s">
        <v>1892</v>
      </c>
      <c r="B521">
        <v>1</v>
      </c>
      <c r="C521">
        <v>1</v>
      </c>
    </row>
    <row r="522" spans="1:3" ht="28.8" x14ac:dyDescent="0.3">
      <c r="A522" s="4" t="s">
        <v>1893</v>
      </c>
      <c r="B522">
        <v>1</v>
      </c>
      <c r="C522">
        <v>1</v>
      </c>
    </row>
    <row r="523" spans="1:3" x14ac:dyDescent="0.3">
      <c r="A523" s="4" t="s">
        <v>3394</v>
      </c>
      <c r="B523">
        <v>1</v>
      </c>
      <c r="C523">
        <v>3</v>
      </c>
    </row>
    <row r="524" spans="1:3" ht="28.8" x14ac:dyDescent="0.3">
      <c r="A524" s="4" t="s">
        <v>3395</v>
      </c>
      <c r="B524">
        <v>1</v>
      </c>
      <c r="C524">
        <v>3</v>
      </c>
    </row>
    <row r="525" spans="1:3" x14ac:dyDescent="0.3">
      <c r="A525" s="4" t="s">
        <v>3396</v>
      </c>
      <c r="B525">
        <v>1</v>
      </c>
      <c r="C525">
        <v>3</v>
      </c>
    </row>
    <row r="526" spans="1:3" ht="28.8" x14ac:dyDescent="0.3">
      <c r="A526" s="4" t="s">
        <v>3397</v>
      </c>
      <c r="B526">
        <v>1</v>
      </c>
      <c r="C526">
        <v>3</v>
      </c>
    </row>
    <row r="527" spans="1:3" ht="28.8" x14ac:dyDescent="0.3">
      <c r="A527" s="4" t="s">
        <v>3398</v>
      </c>
      <c r="B527">
        <v>1</v>
      </c>
      <c r="C527">
        <v>3</v>
      </c>
    </row>
    <row r="528" spans="1:3" ht="43.2" x14ac:dyDescent="0.3">
      <c r="A528" s="4" t="s">
        <v>3399</v>
      </c>
      <c r="B528">
        <v>1</v>
      </c>
      <c r="C528">
        <v>3</v>
      </c>
    </row>
    <row r="529" spans="1:3" x14ac:dyDescent="0.3">
      <c r="A529" s="4" t="s">
        <v>3400</v>
      </c>
      <c r="B529">
        <v>1</v>
      </c>
      <c r="C529">
        <v>3</v>
      </c>
    </row>
    <row r="530" spans="1:3" ht="43.2" x14ac:dyDescent="0.3">
      <c r="A530" s="4" t="s">
        <v>3401</v>
      </c>
      <c r="B530">
        <v>1</v>
      </c>
      <c r="C530">
        <v>3</v>
      </c>
    </row>
    <row r="531" spans="1:3" ht="28.8" x14ac:dyDescent="0.3">
      <c r="A531" s="4" t="s">
        <v>1894</v>
      </c>
      <c r="B531">
        <v>1</v>
      </c>
      <c r="C531">
        <v>1</v>
      </c>
    </row>
    <row r="532" spans="1:3" ht="28.8" x14ac:dyDescent="0.3">
      <c r="A532" s="4" t="s">
        <v>3402</v>
      </c>
      <c r="B532">
        <v>1</v>
      </c>
      <c r="C532">
        <v>3</v>
      </c>
    </row>
    <row r="533" spans="1:3" ht="28.8" x14ac:dyDescent="0.3">
      <c r="A533" s="4" t="s">
        <v>3403</v>
      </c>
      <c r="B533">
        <v>1</v>
      </c>
      <c r="C533">
        <v>3</v>
      </c>
    </row>
    <row r="534" spans="1:3" x14ac:dyDescent="0.3">
      <c r="A534" s="4" t="s">
        <v>3404</v>
      </c>
      <c r="B534">
        <v>1</v>
      </c>
      <c r="C534">
        <v>3</v>
      </c>
    </row>
    <row r="535" spans="1:3" ht="28.8" x14ac:dyDescent="0.3">
      <c r="A535" s="4" t="s">
        <v>1983</v>
      </c>
      <c r="B535">
        <v>1</v>
      </c>
      <c r="C535">
        <v>1</v>
      </c>
    </row>
    <row r="536" spans="1:3" ht="28.8" x14ac:dyDescent="0.3">
      <c r="A536" s="4" t="s">
        <v>1984</v>
      </c>
      <c r="B536">
        <v>1</v>
      </c>
      <c r="C536">
        <v>1</v>
      </c>
    </row>
    <row r="537" spans="1:3" ht="28.8" x14ac:dyDescent="0.3">
      <c r="A537" s="4" t="s">
        <v>1986</v>
      </c>
      <c r="B537">
        <v>1</v>
      </c>
      <c r="C537">
        <v>1</v>
      </c>
    </row>
    <row r="538" spans="1:3" ht="28.8" x14ac:dyDescent="0.3">
      <c r="A538" s="4" t="s">
        <v>1987</v>
      </c>
      <c r="B538">
        <v>1</v>
      </c>
      <c r="C538">
        <v>1</v>
      </c>
    </row>
    <row r="539" spans="1:3" ht="28.8" x14ac:dyDescent="0.3">
      <c r="A539" s="4" t="s">
        <v>3405</v>
      </c>
      <c r="B539">
        <v>1</v>
      </c>
      <c r="C539">
        <v>3</v>
      </c>
    </row>
    <row r="540" spans="1:3" ht="28.8" x14ac:dyDescent="0.3">
      <c r="A540" s="4" t="s">
        <v>3406</v>
      </c>
      <c r="B540">
        <v>1</v>
      </c>
      <c r="C540">
        <v>3</v>
      </c>
    </row>
    <row r="541" spans="1:3" ht="28.8" x14ac:dyDescent="0.3">
      <c r="A541" s="4" t="s">
        <v>3407</v>
      </c>
      <c r="B541">
        <v>1</v>
      </c>
      <c r="C541">
        <v>3</v>
      </c>
    </row>
    <row r="542" spans="1:3" x14ac:dyDescent="0.3">
      <c r="A542" s="4" t="s">
        <v>1988</v>
      </c>
      <c r="B542">
        <v>1</v>
      </c>
      <c r="C542">
        <v>1</v>
      </c>
    </row>
    <row r="543" spans="1:3" x14ac:dyDescent="0.3">
      <c r="A543" s="4" t="s">
        <v>1989</v>
      </c>
      <c r="B543">
        <v>1</v>
      </c>
      <c r="C543">
        <v>1</v>
      </c>
    </row>
    <row r="544" spans="1:3" ht="57.6" x14ac:dyDescent="0.3">
      <c r="A544" s="4" t="s">
        <v>3408</v>
      </c>
      <c r="B544">
        <v>1</v>
      </c>
      <c r="C544">
        <v>3</v>
      </c>
    </row>
    <row r="545" spans="1:3" x14ac:dyDescent="0.3">
      <c r="A545" s="4" t="s">
        <v>1990</v>
      </c>
      <c r="B545">
        <v>1</v>
      </c>
      <c r="C545">
        <v>1</v>
      </c>
    </row>
    <row r="546" spans="1:3" x14ac:dyDescent="0.3">
      <c r="A546" s="4" t="s">
        <v>3409</v>
      </c>
      <c r="B546">
        <v>1</v>
      </c>
      <c r="C546">
        <v>3</v>
      </c>
    </row>
    <row r="547" spans="1:3" ht="28.8" x14ac:dyDescent="0.3">
      <c r="A547" s="4" t="s">
        <v>3410</v>
      </c>
      <c r="B547">
        <v>1</v>
      </c>
      <c r="C547">
        <v>3</v>
      </c>
    </row>
    <row r="548" spans="1:3" ht="28.8" x14ac:dyDescent="0.3">
      <c r="A548" s="4" t="s">
        <v>3411</v>
      </c>
      <c r="B548">
        <v>1</v>
      </c>
      <c r="C548">
        <v>3</v>
      </c>
    </row>
    <row r="549" spans="1:3" x14ac:dyDescent="0.3">
      <c r="A549" s="4" t="s">
        <v>1991</v>
      </c>
      <c r="B549">
        <v>1</v>
      </c>
      <c r="C549">
        <v>1</v>
      </c>
    </row>
    <row r="550" spans="1:3" ht="28.8" x14ac:dyDescent="0.3">
      <c r="A550" s="4" t="s">
        <v>1992</v>
      </c>
      <c r="B550">
        <v>1</v>
      </c>
      <c r="C550">
        <v>1</v>
      </c>
    </row>
    <row r="551" spans="1:3" x14ac:dyDescent="0.3">
      <c r="A551" s="4" t="s">
        <v>1994</v>
      </c>
      <c r="B551">
        <v>1</v>
      </c>
      <c r="C551">
        <v>1</v>
      </c>
    </row>
    <row r="552" spans="1:3" ht="28.8" x14ac:dyDescent="0.3">
      <c r="A552" s="4" t="s">
        <v>1995</v>
      </c>
      <c r="B552">
        <v>1</v>
      </c>
      <c r="C552">
        <v>1</v>
      </c>
    </row>
    <row r="553" spans="1:3" ht="28.8" x14ac:dyDescent="0.3">
      <c r="A553" s="4" t="s">
        <v>3412</v>
      </c>
      <c r="B553">
        <v>1</v>
      </c>
      <c r="C553">
        <v>3</v>
      </c>
    </row>
    <row r="554" spans="1:3" ht="28.8" x14ac:dyDescent="0.3">
      <c r="A554" s="4" t="s">
        <v>3413</v>
      </c>
      <c r="B554">
        <v>1</v>
      </c>
      <c r="C554">
        <v>3</v>
      </c>
    </row>
    <row r="555" spans="1:3" x14ac:dyDescent="0.3">
      <c r="A555" s="4" t="s">
        <v>3414</v>
      </c>
      <c r="B555">
        <v>1</v>
      </c>
      <c r="C555">
        <v>3</v>
      </c>
    </row>
    <row r="556" spans="1:3" x14ac:dyDescent="0.3">
      <c r="A556" s="4" t="s">
        <v>3415</v>
      </c>
      <c r="B556">
        <v>1</v>
      </c>
      <c r="C556">
        <v>3</v>
      </c>
    </row>
    <row r="557" spans="1:3" ht="28.8" x14ac:dyDescent="0.3">
      <c r="A557" s="4" t="s">
        <v>3416</v>
      </c>
      <c r="B557">
        <v>1</v>
      </c>
      <c r="C557">
        <v>3</v>
      </c>
    </row>
    <row r="558" spans="1:3" ht="28.8" x14ac:dyDescent="0.3">
      <c r="A558" s="4" t="s">
        <v>3417</v>
      </c>
      <c r="B558">
        <v>1</v>
      </c>
      <c r="C558">
        <v>3</v>
      </c>
    </row>
    <row r="559" spans="1:3" ht="28.8" x14ac:dyDescent="0.3">
      <c r="A559" s="4" t="s">
        <v>3418</v>
      </c>
      <c r="B559">
        <v>1</v>
      </c>
      <c r="C559">
        <v>3</v>
      </c>
    </row>
    <row r="560" spans="1:3" ht="28.8" x14ac:dyDescent="0.3">
      <c r="A560" s="4" t="s">
        <v>1996</v>
      </c>
      <c r="B560">
        <v>1</v>
      </c>
      <c r="C560">
        <v>1</v>
      </c>
    </row>
    <row r="561" spans="1:3" x14ac:dyDescent="0.3">
      <c r="A561" s="4" t="s">
        <v>1997</v>
      </c>
      <c r="B561">
        <v>1</v>
      </c>
      <c r="C561">
        <v>1</v>
      </c>
    </row>
    <row r="562" spans="1:3" ht="28.8" x14ac:dyDescent="0.3">
      <c r="A562" s="4" t="s">
        <v>3419</v>
      </c>
      <c r="B562">
        <v>1</v>
      </c>
      <c r="C562">
        <v>3</v>
      </c>
    </row>
    <row r="563" spans="1:3" ht="28.8" x14ac:dyDescent="0.3">
      <c r="A563" s="4" t="s">
        <v>3420</v>
      </c>
      <c r="B563">
        <v>1</v>
      </c>
      <c r="C563">
        <v>3</v>
      </c>
    </row>
    <row r="564" spans="1:3" ht="28.8" x14ac:dyDescent="0.3">
      <c r="A564" s="4" t="s">
        <v>2078</v>
      </c>
      <c r="B564">
        <v>1</v>
      </c>
      <c r="C564">
        <v>1</v>
      </c>
    </row>
    <row r="565" spans="1:3" ht="28.8" x14ac:dyDescent="0.3">
      <c r="A565" s="4" t="s">
        <v>3421</v>
      </c>
      <c r="B565">
        <v>1</v>
      </c>
      <c r="C565">
        <v>3</v>
      </c>
    </row>
    <row r="566" spans="1:3" ht="28.8" x14ac:dyDescent="0.3">
      <c r="A566" s="4" t="s">
        <v>2079</v>
      </c>
      <c r="B566">
        <v>1</v>
      </c>
      <c r="C566">
        <v>1</v>
      </c>
    </row>
    <row r="567" spans="1:3" ht="28.8" x14ac:dyDescent="0.3">
      <c r="A567" s="4" t="s">
        <v>3422</v>
      </c>
      <c r="B567">
        <v>1</v>
      </c>
      <c r="C567">
        <v>3</v>
      </c>
    </row>
    <row r="568" spans="1:3" ht="28.8" x14ac:dyDescent="0.3">
      <c r="A568" s="4" t="s">
        <v>3423</v>
      </c>
      <c r="B568">
        <v>1</v>
      </c>
      <c r="C568">
        <v>3</v>
      </c>
    </row>
    <row r="569" spans="1:3" ht="28.8" x14ac:dyDescent="0.3">
      <c r="A569" s="4" t="s">
        <v>2080</v>
      </c>
      <c r="B569">
        <v>1</v>
      </c>
      <c r="C569">
        <v>1</v>
      </c>
    </row>
    <row r="570" spans="1:3" ht="43.2" x14ac:dyDescent="0.3">
      <c r="A570" s="4" t="s">
        <v>3424</v>
      </c>
      <c r="B570">
        <v>1</v>
      </c>
      <c r="C570">
        <v>3</v>
      </c>
    </row>
    <row r="571" spans="1:3" x14ac:dyDescent="0.3">
      <c r="A571" s="4" t="s">
        <v>3425</v>
      </c>
      <c r="B571">
        <v>1</v>
      </c>
      <c r="C571">
        <v>3</v>
      </c>
    </row>
    <row r="572" spans="1:3" ht="28.8" x14ac:dyDescent="0.3">
      <c r="A572" s="4" t="s">
        <v>3426</v>
      </c>
      <c r="B572">
        <v>1</v>
      </c>
      <c r="C572">
        <v>3</v>
      </c>
    </row>
    <row r="573" spans="1:3" ht="28.8" x14ac:dyDescent="0.3">
      <c r="A573" s="4" t="s">
        <v>3427</v>
      </c>
      <c r="B573">
        <v>1</v>
      </c>
      <c r="C573">
        <v>3</v>
      </c>
    </row>
    <row r="574" spans="1:3" ht="28.8" x14ac:dyDescent="0.3">
      <c r="A574" s="4" t="s">
        <v>2081</v>
      </c>
      <c r="B574">
        <v>1</v>
      </c>
      <c r="C574">
        <v>1</v>
      </c>
    </row>
    <row r="575" spans="1:3" ht="28.8" x14ac:dyDescent="0.3">
      <c r="A575" s="4" t="s">
        <v>2082</v>
      </c>
      <c r="B575">
        <v>1</v>
      </c>
      <c r="C575">
        <v>1</v>
      </c>
    </row>
    <row r="576" spans="1:3" ht="28.8" x14ac:dyDescent="0.3">
      <c r="A576" s="4" t="s">
        <v>2083</v>
      </c>
      <c r="B576">
        <v>1</v>
      </c>
      <c r="C576">
        <v>1</v>
      </c>
    </row>
    <row r="577" spans="1:3" x14ac:dyDescent="0.3">
      <c r="A577" s="4" t="s">
        <v>2084</v>
      </c>
      <c r="B577">
        <v>1</v>
      </c>
      <c r="C577">
        <v>1</v>
      </c>
    </row>
    <row r="578" spans="1:3" ht="28.8" x14ac:dyDescent="0.3">
      <c r="A578" s="4" t="s">
        <v>3428</v>
      </c>
      <c r="B578">
        <v>1</v>
      </c>
      <c r="C578">
        <v>3</v>
      </c>
    </row>
    <row r="579" spans="1:3" ht="28.8" x14ac:dyDescent="0.3">
      <c r="A579" s="4" t="s">
        <v>3429</v>
      </c>
      <c r="B579">
        <v>1</v>
      </c>
      <c r="C579">
        <v>3</v>
      </c>
    </row>
    <row r="580" spans="1:3" ht="28.8" x14ac:dyDescent="0.3">
      <c r="A580" s="4" t="s">
        <v>2085</v>
      </c>
      <c r="B580">
        <v>1</v>
      </c>
      <c r="C580">
        <v>1</v>
      </c>
    </row>
    <row r="581" spans="1:3" ht="28.8" x14ac:dyDescent="0.3">
      <c r="A581" s="4" t="s">
        <v>2087</v>
      </c>
      <c r="B581">
        <v>1</v>
      </c>
      <c r="C581">
        <v>1</v>
      </c>
    </row>
    <row r="582" spans="1:3" ht="28.8" x14ac:dyDescent="0.3">
      <c r="A582" s="4" t="s">
        <v>2088</v>
      </c>
      <c r="B582">
        <v>1</v>
      </c>
      <c r="C582">
        <v>1</v>
      </c>
    </row>
    <row r="583" spans="1:3" ht="28.8" x14ac:dyDescent="0.3">
      <c r="A583" s="4" t="s">
        <v>2089</v>
      </c>
      <c r="B583">
        <v>1</v>
      </c>
      <c r="C583">
        <v>1</v>
      </c>
    </row>
    <row r="584" spans="1:3" ht="28.8" x14ac:dyDescent="0.3">
      <c r="A584" s="4" t="s">
        <v>2090</v>
      </c>
      <c r="B584">
        <v>1</v>
      </c>
      <c r="C584">
        <v>1</v>
      </c>
    </row>
    <row r="585" spans="1:3" x14ac:dyDescent="0.3">
      <c r="A585" s="4" t="s">
        <v>2092</v>
      </c>
      <c r="B585">
        <v>1</v>
      </c>
      <c r="C585">
        <v>1</v>
      </c>
    </row>
    <row r="586" spans="1:3" ht="28.8" x14ac:dyDescent="0.3">
      <c r="A586" s="4" t="s">
        <v>2091</v>
      </c>
      <c r="B586">
        <v>1</v>
      </c>
      <c r="C586">
        <v>1</v>
      </c>
    </row>
    <row r="587" spans="1:3" ht="28.8" x14ac:dyDescent="0.3">
      <c r="A587" s="4" t="s">
        <v>2093</v>
      </c>
      <c r="B587">
        <v>1</v>
      </c>
      <c r="C587">
        <v>1</v>
      </c>
    </row>
    <row r="588" spans="1:3" ht="28.8" x14ac:dyDescent="0.3">
      <c r="A588" s="4" t="s">
        <v>2094</v>
      </c>
      <c r="B588">
        <v>1</v>
      </c>
      <c r="C588">
        <v>1</v>
      </c>
    </row>
    <row r="589" spans="1:3" ht="28.8" x14ac:dyDescent="0.3">
      <c r="A589" s="4" t="s">
        <v>2095</v>
      </c>
      <c r="B589">
        <v>1</v>
      </c>
      <c r="C589">
        <v>1</v>
      </c>
    </row>
    <row r="590" spans="1:3" ht="28.8" x14ac:dyDescent="0.3">
      <c r="A590" s="4" t="s">
        <v>3430</v>
      </c>
      <c r="B590">
        <v>1</v>
      </c>
      <c r="C590">
        <v>3</v>
      </c>
    </row>
    <row r="591" spans="1:3" ht="43.2" x14ac:dyDescent="0.3">
      <c r="A591" s="4" t="s">
        <v>3431</v>
      </c>
      <c r="B591">
        <v>1</v>
      </c>
      <c r="C591">
        <v>3</v>
      </c>
    </row>
    <row r="592" spans="1:3" ht="28.8" x14ac:dyDescent="0.3">
      <c r="A592" s="4" t="s">
        <v>2096</v>
      </c>
      <c r="B592">
        <v>1</v>
      </c>
      <c r="C592">
        <v>1</v>
      </c>
    </row>
    <row r="593" spans="1:3" ht="28.8" x14ac:dyDescent="0.3">
      <c r="A593" s="4" t="s">
        <v>3432</v>
      </c>
      <c r="B593">
        <v>1</v>
      </c>
      <c r="C593">
        <v>2</v>
      </c>
    </row>
    <row r="594" spans="1:3" ht="28.8" x14ac:dyDescent="0.3">
      <c r="A594" s="4" t="s">
        <v>2097</v>
      </c>
      <c r="B594">
        <v>1</v>
      </c>
      <c r="C594">
        <v>1</v>
      </c>
    </row>
    <row r="595" spans="1:3" ht="28.8" x14ac:dyDescent="0.3">
      <c r="A595" s="4" t="s">
        <v>2099</v>
      </c>
      <c r="B595">
        <v>1</v>
      </c>
      <c r="C595">
        <v>1</v>
      </c>
    </row>
    <row r="596" spans="1:3" ht="28.8" x14ac:dyDescent="0.3">
      <c r="A596" s="4" t="s">
        <v>2101</v>
      </c>
      <c r="B596">
        <v>1</v>
      </c>
      <c r="C596">
        <v>1</v>
      </c>
    </row>
    <row r="597" spans="1:3" ht="28.8" x14ac:dyDescent="0.3">
      <c r="A597" s="4" t="s">
        <v>2102</v>
      </c>
      <c r="B597">
        <v>1</v>
      </c>
      <c r="C597">
        <v>1</v>
      </c>
    </row>
    <row r="598" spans="1:3" ht="28.8" x14ac:dyDescent="0.3">
      <c r="A598" s="4" t="s">
        <v>3433</v>
      </c>
      <c r="B598">
        <v>1</v>
      </c>
      <c r="C598">
        <v>3</v>
      </c>
    </row>
    <row r="599" spans="1:3" ht="28.8" x14ac:dyDescent="0.3">
      <c r="A599" s="4" t="s">
        <v>2103</v>
      </c>
      <c r="B599">
        <v>1</v>
      </c>
      <c r="C599">
        <v>1</v>
      </c>
    </row>
    <row r="600" spans="1:3" ht="28.8" x14ac:dyDescent="0.3">
      <c r="A600" s="4" t="s">
        <v>2104</v>
      </c>
      <c r="B600">
        <v>1</v>
      </c>
      <c r="C600">
        <v>1</v>
      </c>
    </row>
    <row r="601" spans="1:3" ht="28.8" x14ac:dyDescent="0.3">
      <c r="A601" s="4" t="s">
        <v>2105</v>
      </c>
      <c r="B601">
        <v>1</v>
      </c>
      <c r="C601">
        <v>1</v>
      </c>
    </row>
    <row r="602" spans="1:3" ht="43.2" x14ac:dyDescent="0.3">
      <c r="A602" s="4" t="s">
        <v>2287</v>
      </c>
      <c r="B602">
        <v>1</v>
      </c>
      <c r="C602">
        <v>1</v>
      </c>
    </row>
    <row r="603" spans="1:3" ht="28.8" x14ac:dyDescent="0.3">
      <c r="A603" s="4" t="s">
        <v>3434</v>
      </c>
      <c r="B603">
        <v>1</v>
      </c>
      <c r="C603">
        <v>3</v>
      </c>
    </row>
    <row r="604" spans="1:3" ht="28.8" x14ac:dyDescent="0.3">
      <c r="A604" s="4" t="s">
        <v>2288</v>
      </c>
      <c r="B604">
        <v>1</v>
      </c>
      <c r="C604">
        <v>1</v>
      </c>
    </row>
    <row r="605" spans="1:3" ht="28.8" x14ac:dyDescent="0.3">
      <c r="A605" s="4" t="s">
        <v>3435</v>
      </c>
      <c r="B605">
        <v>1</v>
      </c>
      <c r="C605">
        <v>3</v>
      </c>
    </row>
    <row r="606" spans="1:3" ht="28.8" x14ac:dyDescent="0.3">
      <c r="A606" s="4" t="s">
        <v>2289</v>
      </c>
      <c r="B606">
        <v>1</v>
      </c>
      <c r="C606">
        <v>1</v>
      </c>
    </row>
    <row r="607" spans="1:3" ht="28.8" x14ac:dyDescent="0.3">
      <c r="A607" s="4" t="s">
        <v>3436</v>
      </c>
      <c r="B607">
        <v>1</v>
      </c>
      <c r="C607">
        <v>3</v>
      </c>
    </row>
    <row r="608" spans="1:3" ht="28.8" x14ac:dyDescent="0.3">
      <c r="A608" s="4" t="s">
        <v>3437</v>
      </c>
      <c r="B608">
        <v>1</v>
      </c>
      <c r="C608">
        <v>3</v>
      </c>
    </row>
    <row r="609" spans="1:3" x14ac:dyDescent="0.3">
      <c r="A609" s="4" t="s">
        <v>2290</v>
      </c>
      <c r="B609">
        <v>1</v>
      </c>
      <c r="C609">
        <v>1</v>
      </c>
    </row>
    <row r="610" spans="1:3" ht="28.8" x14ac:dyDescent="0.3">
      <c r="A610" s="4" t="s">
        <v>2291</v>
      </c>
      <c r="B610">
        <v>1</v>
      </c>
      <c r="C610">
        <v>1</v>
      </c>
    </row>
    <row r="611" spans="1:3" x14ac:dyDescent="0.3">
      <c r="A611" s="4" t="s">
        <v>2292</v>
      </c>
      <c r="B611">
        <v>1</v>
      </c>
      <c r="C611">
        <v>1</v>
      </c>
    </row>
    <row r="612" spans="1:3" ht="28.8" x14ac:dyDescent="0.3">
      <c r="A612" s="4" t="s">
        <v>2293</v>
      </c>
      <c r="B612">
        <v>1</v>
      </c>
      <c r="C612">
        <v>1</v>
      </c>
    </row>
    <row r="613" spans="1:3" x14ac:dyDescent="0.3">
      <c r="A613" s="4" t="s">
        <v>3438</v>
      </c>
      <c r="B613">
        <v>1</v>
      </c>
      <c r="C613">
        <v>3</v>
      </c>
    </row>
    <row r="614" spans="1:3" x14ac:dyDescent="0.3">
      <c r="A614" s="4" t="s">
        <v>2294</v>
      </c>
      <c r="B614">
        <v>1</v>
      </c>
      <c r="C614">
        <v>1</v>
      </c>
    </row>
    <row r="615" spans="1:3" x14ac:dyDescent="0.3">
      <c r="A615" s="4" t="s">
        <v>2298</v>
      </c>
      <c r="B615">
        <v>1</v>
      </c>
      <c r="C615">
        <v>1</v>
      </c>
    </row>
    <row r="616" spans="1:3" ht="28.8" x14ac:dyDescent="0.3">
      <c r="A616" s="4" t="s">
        <v>2299</v>
      </c>
      <c r="B616">
        <v>1</v>
      </c>
      <c r="C616">
        <v>1</v>
      </c>
    </row>
    <row r="617" spans="1:3" ht="28.8" x14ac:dyDescent="0.3">
      <c r="A617" s="4" t="s">
        <v>3439</v>
      </c>
      <c r="B617">
        <v>1</v>
      </c>
      <c r="C617">
        <v>3</v>
      </c>
    </row>
    <row r="618" spans="1:3" ht="28.8" x14ac:dyDescent="0.3">
      <c r="A618" s="4" t="s">
        <v>2300</v>
      </c>
      <c r="B618">
        <v>1</v>
      </c>
      <c r="C618">
        <v>1</v>
      </c>
    </row>
    <row r="619" spans="1:3" ht="28.8" x14ac:dyDescent="0.3">
      <c r="A619" s="4" t="s">
        <v>2301</v>
      </c>
      <c r="B619">
        <v>1</v>
      </c>
      <c r="C619">
        <v>1</v>
      </c>
    </row>
    <row r="620" spans="1:3" ht="28.8" x14ac:dyDescent="0.3">
      <c r="A620" s="4" t="s">
        <v>2303</v>
      </c>
      <c r="B620">
        <v>1</v>
      </c>
      <c r="C620">
        <v>1</v>
      </c>
    </row>
    <row r="621" spans="1:3" ht="28.8" x14ac:dyDescent="0.3">
      <c r="A621" s="4" t="s">
        <v>2304</v>
      </c>
      <c r="B621">
        <v>1</v>
      </c>
      <c r="C621">
        <v>1</v>
      </c>
    </row>
    <row r="622" spans="1:3" x14ac:dyDescent="0.3">
      <c r="A622" s="4" t="s">
        <v>3440</v>
      </c>
      <c r="B622">
        <v>1</v>
      </c>
      <c r="C622">
        <v>2</v>
      </c>
    </row>
    <row r="623" spans="1:3" ht="28.8" x14ac:dyDescent="0.3">
      <c r="A623" s="4" t="s">
        <v>2305</v>
      </c>
      <c r="B623">
        <v>1</v>
      </c>
      <c r="C623">
        <v>1</v>
      </c>
    </row>
    <row r="624" spans="1:3" x14ac:dyDescent="0.3">
      <c r="A624" s="4" t="s">
        <v>2311</v>
      </c>
      <c r="B624">
        <v>1</v>
      </c>
      <c r="C624">
        <v>1</v>
      </c>
    </row>
    <row r="625" spans="1:3" ht="28.8" x14ac:dyDescent="0.3">
      <c r="A625" s="4" t="s">
        <v>3441</v>
      </c>
      <c r="B625">
        <v>1</v>
      </c>
      <c r="C625">
        <v>3</v>
      </c>
    </row>
    <row r="626" spans="1:3" ht="28.8" x14ac:dyDescent="0.3">
      <c r="A626" s="4" t="s">
        <v>3442</v>
      </c>
      <c r="B626">
        <v>1</v>
      </c>
      <c r="C626">
        <v>3</v>
      </c>
    </row>
    <row r="627" spans="1:3" ht="28.8" x14ac:dyDescent="0.3">
      <c r="A627" s="4" t="s">
        <v>2312</v>
      </c>
      <c r="B627">
        <v>1</v>
      </c>
      <c r="C627">
        <v>1</v>
      </c>
    </row>
    <row r="628" spans="1:3" x14ac:dyDescent="0.3">
      <c r="A628" s="4" t="s">
        <v>2313</v>
      </c>
      <c r="B628">
        <v>1</v>
      </c>
      <c r="C628">
        <v>1</v>
      </c>
    </row>
    <row r="629" spans="1:3" x14ac:dyDescent="0.3">
      <c r="A629" s="4" t="s">
        <v>2316</v>
      </c>
      <c r="B629">
        <v>1</v>
      </c>
      <c r="C629">
        <v>1</v>
      </c>
    </row>
    <row r="630" spans="1:3" x14ac:dyDescent="0.3">
      <c r="A630" s="4" t="s">
        <v>2317</v>
      </c>
      <c r="B630">
        <v>1</v>
      </c>
      <c r="C630">
        <v>1</v>
      </c>
    </row>
    <row r="631" spans="1:3" ht="28.8" x14ac:dyDescent="0.3">
      <c r="A631" s="4" t="s">
        <v>2318</v>
      </c>
      <c r="B631">
        <v>1</v>
      </c>
      <c r="C631">
        <v>1</v>
      </c>
    </row>
    <row r="632" spans="1:3" ht="28.8" x14ac:dyDescent="0.3">
      <c r="A632" s="4" t="s">
        <v>3443</v>
      </c>
      <c r="B632">
        <v>2</v>
      </c>
      <c r="C632">
        <v>3</v>
      </c>
    </row>
    <row r="633" spans="1:3" ht="28.8" x14ac:dyDescent="0.3">
      <c r="A633" s="4" t="s">
        <v>3444</v>
      </c>
      <c r="B633">
        <v>2</v>
      </c>
      <c r="C633">
        <v>3</v>
      </c>
    </row>
    <row r="634" spans="1:3" ht="28.8" x14ac:dyDescent="0.3">
      <c r="A634" s="4" t="s">
        <v>3445</v>
      </c>
      <c r="B634">
        <v>2</v>
      </c>
      <c r="C634">
        <v>3</v>
      </c>
    </row>
    <row r="635" spans="1:3" ht="28.8" x14ac:dyDescent="0.3">
      <c r="A635" s="4" t="s">
        <v>3446</v>
      </c>
      <c r="B635">
        <v>2</v>
      </c>
      <c r="C635">
        <v>3</v>
      </c>
    </row>
    <row r="636" spans="1:3" ht="28.8" x14ac:dyDescent="0.3">
      <c r="A636" s="4" t="s">
        <v>3447</v>
      </c>
      <c r="B636">
        <v>2</v>
      </c>
      <c r="C636">
        <v>3</v>
      </c>
    </row>
    <row r="637" spans="1:3" ht="28.8" x14ac:dyDescent="0.3">
      <c r="A637" s="4" t="s">
        <v>3448</v>
      </c>
      <c r="B637">
        <v>2</v>
      </c>
      <c r="C637">
        <v>3</v>
      </c>
    </row>
    <row r="638" spans="1:3" ht="28.8" x14ac:dyDescent="0.3">
      <c r="A638" s="4" t="s">
        <v>3449</v>
      </c>
      <c r="B638">
        <v>2</v>
      </c>
      <c r="C638">
        <v>3</v>
      </c>
    </row>
    <row r="639" spans="1:3" ht="28.8" x14ac:dyDescent="0.3">
      <c r="A639" s="4" t="s">
        <v>3450</v>
      </c>
      <c r="B639">
        <v>2</v>
      </c>
      <c r="C639">
        <v>3</v>
      </c>
    </row>
    <row r="640" spans="1:3" x14ac:dyDescent="0.3">
      <c r="A640" s="4" t="s">
        <v>3451</v>
      </c>
      <c r="B640">
        <v>2</v>
      </c>
      <c r="C640">
        <v>3</v>
      </c>
    </row>
    <row r="641" spans="1:3" ht="28.8" x14ac:dyDescent="0.3">
      <c r="A641" s="4" t="s">
        <v>3452</v>
      </c>
      <c r="B641">
        <v>2</v>
      </c>
      <c r="C641">
        <v>3</v>
      </c>
    </row>
    <row r="642" spans="1:3" ht="28.8" x14ac:dyDescent="0.3">
      <c r="A642" s="4" t="s">
        <v>3453</v>
      </c>
      <c r="B642">
        <v>2</v>
      </c>
      <c r="C642">
        <v>3</v>
      </c>
    </row>
    <row r="643" spans="1:3" ht="28.8" x14ac:dyDescent="0.3">
      <c r="A643" s="4" t="s">
        <v>3454</v>
      </c>
      <c r="B643">
        <v>2</v>
      </c>
      <c r="C643">
        <v>3</v>
      </c>
    </row>
    <row r="644" spans="1:3" ht="28.8" x14ac:dyDescent="0.3">
      <c r="A644" s="4" t="s">
        <v>3455</v>
      </c>
      <c r="B644">
        <v>2</v>
      </c>
      <c r="C644">
        <v>3</v>
      </c>
    </row>
    <row r="645" spans="1:3" ht="43.2" x14ac:dyDescent="0.3">
      <c r="A645" s="4" t="s">
        <v>3456</v>
      </c>
      <c r="B645">
        <v>2</v>
      </c>
      <c r="C645">
        <v>3</v>
      </c>
    </row>
    <row r="646" spans="1:3" x14ac:dyDescent="0.3">
      <c r="A646" s="4" t="s">
        <v>3457</v>
      </c>
      <c r="B646">
        <v>2</v>
      </c>
      <c r="C646">
        <v>3</v>
      </c>
    </row>
    <row r="647" spans="1:3" ht="28.8" x14ac:dyDescent="0.3">
      <c r="A647" s="4" t="s">
        <v>2446</v>
      </c>
      <c r="B647">
        <v>2</v>
      </c>
      <c r="C647">
        <v>1</v>
      </c>
    </row>
    <row r="648" spans="1:3" ht="28.8" x14ac:dyDescent="0.3">
      <c r="A648" s="4" t="s">
        <v>3458</v>
      </c>
      <c r="B648">
        <v>2</v>
      </c>
      <c r="C648">
        <v>3</v>
      </c>
    </row>
    <row r="649" spans="1:3" ht="28.8" x14ac:dyDescent="0.3">
      <c r="A649" s="4" t="s">
        <v>3459</v>
      </c>
      <c r="B649">
        <v>2</v>
      </c>
      <c r="C649">
        <v>3</v>
      </c>
    </row>
    <row r="650" spans="1:3" ht="28.8" x14ac:dyDescent="0.3">
      <c r="A650" s="4" t="s">
        <v>2447</v>
      </c>
      <c r="B650">
        <v>2</v>
      </c>
      <c r="C650">
        <v>1</v>
      </c>
    </row>
    <row r="651" spans="1:3" ht="28.8" x14ac:dyDescent="0.3">
      <c r="A651" s="4" t="s">
        <v>3460</v>
      </c>
      <c r="B651">
        <v>2</v>
      </c>
      <c r="C651">
        <v>3</v>
      </c>
    </row>
    <row r="652" spans="1:3" ht="28.8" x14ac:dyDescent="0.3">
      <c r="A652" s="4" t="s">
        <v>3461</v>
      </c>
      <c r="B652">
        <v>2</v>
      </c>
      <c r="C652">
        <v>3</v>
      </c>
    </row>
    <row r="653" spans="1:3" x14ac:dyDescent="0.3">
      <c r="A653" s="4" t="s">
        <v>3462</v>
      </c>
      <c r="B653">
        <v>2</v>
      </c>
      <c r="C653">
        <v>3</v>
      </c>
    </row>
    <row r="654" spans="1:3" ht="28.8" x14ac:dyDescent="0.3">
      <c r="A654" s="4" t="s">
        <v>3463</v>
      </c>
      <c r="B654">
        <v>2</v>
      </c>
      <c r="C654">
        <v>3</v>
      </c>
    </row>
    <row r="655" spans="1:3" ht="28.8" x14ac:dyDescent="0.3">
      <c r="A655" s="4" t="s">
        <v>3464</v>
      </c>
      <c r="B655">
        <v>2</v>
      </c>
      <c r="C655">
        <v>3</v>
      </c>
    </row>
    <row r="656" spans="1:3" ht="28.8" x14ac:dyDescent="0.3">
      <c r="A656" s="4" t="s">
        <v>3465</v>
      </c>
      <c r="B656">
        <v>2</v>
      </c>
      <c r="C656">
        <v>3</v>
      </c>
    </row>
    <row r="657" spans="1:3" ht="28.8" x14ac:dyDescent="0.3">
      <c r="A657" s="4" t="s">
        <v>3466</v>
      </c>
      <c r="B657">
        <v>2</v>
      </c>
      <c r="C657">
        <v>3</v>
      </c>
    </row>
    <row r="658" spans="1:3" ht="28.8" x14ac:dyDescent="0.3">
      <c r="A658" s="4" t="s">
        <v>3467</v>
      </c>
      <c r="B658">
        <v>2</v>
      </c>
      <c r="C658">
        <v>3</v>
      </c>
    </row>
    <row r="659" spans="1:3" ht="28.8" x14ac:dyDescent="0.3">
      <c r="A659" s="4" t="s">
        <v>2448</v>
      </c>
      <c r="B659">
        <v>2</v>
      </c>
      <c r="C659">
        <v>1</v>
      </c>
    </row>
    <row r="660" spans="1:3" x14ac:dyDescent="0.3">
      <c r="A660" s="4" t="s">
        <v>3468</v>
      </c>
      <c r="B660">
        <v>2</v>
      </c>
      <c r="C660">
        <v>3</v>
      </c>
    </row>
    <row r="661" spans="1:3" ht="28.8" x14ac:dyDescent="0.3">
      <c r="A661" s="4" t="s">
        <v>3469</v>
      </c>
      <c r="B661">
        <v>2</v>
      </c>
      <c r="C661">
        <v>3</v>
      </c>
    </row>
    <row r="662" spans="1:3" ht="43.2" x14ac:dyDescent="0.3">
      <c r="A662" s="4" t="s">
        <v>3470</v>
      </c>
      <c r="B662">
        <v>2</v>
      </c>
      <c r="C662">
        <v>3</v>
      </c>
    </row>
    <row r="663" spans="1:3" ht="28.8" x14ac:dyDescent="0.3">
      <c r="A663" s="4" t="s">
        <v>3471</v>
      </c>
      <c r="B663">
        <v>2</v>
      </c>
      <c r="C663">
        <v>3</v>
      </c>
    </row>
    <row r="664" spans="1:3" ht="43.2" x14ac:dyDescent="0.3">
      <c r="A664" s="4" t="s">
        <v>2449</v>
      </c>
      <c r="B664">
        <v>2</v>
      </c>
      <c r="C664">
        <v>1</v>
      </c>
    </row>
    <row r="665" spans="1:3" ht="28.8" x14ac:dyDescent="0.3">
      <c r="A665" s="4" t="s">
        <v>3472</v>
      </c>
      <c r="B665">
        <v>2</v>
      </c>
      <c r="C665">
        <v>3</v>
      </c>
    </row>
    <row r="666" spans="1:3" ht="28.8" x14ac:dyDescent="0.3">
      <c r="A666" s="4" t="s">
        <v>2450</v>
      </c>
      <c r="B666">
        <v>2</v>
      </c>
      <c r="C666">
        <v>1</v>
      </c>
    </row>
    <row r="667" spans="1:3" ht="28.8" x14ac:dyDescent="0.3">
      <c r="A667" s="4" t="s">
        <v>3473</v>
      </c>
      <c r="B667">
        <v>2</v>
      </c>
      <c r="C667">
        <v>3</v>
      </c>
    </row>
    <row r="668" spans="1:3" ht="43.2" x14ac:dyDescent="0.3">
      <c r="A668" s="4" t="s">
        <v>2451</v>
      </c>
      <c r="B668">
        <v>2</v>
      </c>
      <c r="C668">
        <v>1</v>
      </c>
    </row>
    <row r="669" spans="1:3" ht="28.8" x14ac:dyDescent="0.3">
      <c r="A669" s="4" t="s">
        <v>3474</v>
      </c>
      <c r="B669">
        <v>2</v>
      </c>
      <c r="C669">
        <v>3</v>
      </c>
    </row>
    <row r="670" spans="1:3" ht="28.8" x14ac:dyDescent="0.3">
      <c r="A670" s="4" t="s">
        <v>3475</v>
      </c>
      <c r="B670">
        <v>2</v>
      </c>
      <c r="C670">
        <v>3</v>
      </c>
    </row>
    <row r="671" spans="1:3" ht="28.8" x14ac:dyDescent="0.3">
      <c r="A671" s="4" t="s">
        <v>3476</v>
      </c>
      <c r="B671">
        <v>2</v>
      </c>
      <c r="C671">
        <v>3</v>
      </c>
    </row>
    <row r="672" spans="1:3" ht="28.8" x14ac:dyDescent="0.3">
      <c r="A672" s="4" t="s">
        <v>3477</v>
      </c>
      <c r="B672">
        <v>2</v>
      </c>
      <c r="C672">
        <v>3</v>
      </c>
    </row>
    <row r="673" spans="1:3" x14ac:dyDescent="0.3">
      <c r="A673" s="4" t="s">
        <v>3478</v>
      </c>
      <c r="B673">
        <v>2</v>
      </c>
      <c r="C673">
        <v>3</v>
      </c>
    </row>
    <row r="674" spans="1:3" ht="28.8" x14ac:dyDescent="0.3">
      <c r="A674" s="4" t="s">
        <v>3479</v>
      </c>
      <c r="B674">
        <v>2</v>
      </c>
      <c r="C674">
        <v>3</v>
      </c>
    </row>
    <row r="675" spans="1:3" ht="28.8" x14ac:dyDescent="0.3">
      <c r="A675" s="4" t="s">
        <v>3480</v>
      </c>
      <c r="B675">
        <v>2</v>
      </c>
      <c r="C675">
        <v>3</v>
      </c>
    </row>
    <row r="676" spans="1:3" ht="28.8" x14ac:dyDescent="0.3">
      <c r="A676" s="4" t="s">
        <v>3481</v>
      </c>
      <c r="B676">
        <v>2</v>
      </c>
      <c r="C676">
        <v>3</v>
      </c>
    </row>
    <row r="677" spans="1:3" ht="28.8" x14ac:dyDescent="0.3">
      <c r="A677" s="4" t="s">
        <v>2452</v>
      </c>
      <c r="B677">
        <v>2</v>
      </c>
      <c r="C677">
        <v>1</v>
      </c>
    </row>
    <row r="678" spans="1:3" ht="28.8" x14ac:dyDescent="0.3">
      <c r="A678" s="4" t="s">
        <v>3482</v>
      </c>
      <c r="B678">
        <v>2</v>
      </c>
      <c r="C678">
        <v>3</v>
      </c>
    </row>
    <row r="679" spans="1:3" ht="28.8" x14ac:dyDescent="0.3">
      <c r="A679" s="4" t="s">
        <v>3483</v>
      </c>
      <c r="B679">
        <v>2</v>
      </c>
      <c r="C679">
        <v>3</v>
      </c>
    </row>
    <row r="680" spans="1:3" ht="43.2" x14ac:dyDescent="0.3">
      <c r="A680" s="4" t="s">
        <v>3484</v>
      </c>
      <c r="B680">
        <v>2</v>
      </c>
      <c r="C680">
        <v>3</v>
      </c>
    </row>
    <row r="681" spans="1:3" ht="28.8" x14ac:dyDescent="0.3">
      <c r="A681" s="4" t="s">
        <v>3485</v>
      </c>
      <c r="B681">
        <v>2</v>
      </c>
      <c r="C681">
        <v>3</v>
      </c>
    </row>
    <row r="682" spans="1:3" ht="28.8" x14ac:dyDescent="0.3">
      <c r="A682" s="4" t="s">
        <v>3486</v>
      </c>
      <c r="B682">
        <v>2</v>
      </c>
      <c r="C682">
        <v>3</v>
      </c>
    </row>
    <row r="683" spans="1:3" ht="28.8" x14ac:dyDescent="0.3">
      <c r="A683" s="4" t="s">
        <v>2453</v>
      </c>
      <c r="B683">
        <v>2</v>
      </c>
      <c r="C683">
        <v>1</v>
      </c>
    </row>
    <row r="684" spans="1:3" ht="28.8" x14ac:dyDescent="0.3">
      <c r="A684" s="4" t="s">
        <v>3487</v>
      </c>
      <c r="B684">
        <v>2</v>
      </c>
      <c r="C684">
        <v>3</v>
      </c>
    </row>
    <row r="685" spans="1:3" ht="28.8" x14ac:dyDescent="0.3">
      <c r="A685" s="4" t="s">
        <v>3488</v>
      </c>
      <c r="B685">
        <v>2</v>
      </c>
      <c r="C685">
        <v>3</v>
      </c>
    </row>
    <row r="686" spans="1:3" x14ac:dyDescent="0.3">
      <c r="A686" s="4" t="s">
        <v>2457</v>
      </c>
      <c r="B686">
        <v>2</v>
      </c>
      <c r="C686">
        <v>1</v>
      </c>
    </row>
    <row r="687" spans="1:3" ht="43.2" x14ac:dyDescent="0.3">
      <c r="A687" s="4" t="s">
        <v>2455</v>
      </c>
      <c r="B687">
        <v>2</v>
      </c>
      <c r="C687">
        <v>1</v>
      </c>
    </row>
    <row r="688" spans="1:3" ht="43.2" x14ac:dyDescent="0.3">
      <c r="A688" s="4" t="s">
        <v>2458</v>
      </c>
      <c r="B688">
        <v>2</v>
      </c>
      <c r="C688">
        <v>1</v>
      </c>
    </row>
    <row r="689" spans="1:3" x14ac:dyDescent="0.3">
      <c r="A689" s="4" t="s">
        <v>3489</v>
      </c>
      <c r="B689">
        <v>2</v>
      </c>
      <c r="C689">
        <v>3</v>
      </c>
    </row>
    <row r="690" spans="1:3" ht="28.8" x14ac:dyDescent="0.3">
      <c r="A690" s="4" t="s">
        <v>3490</v>
      </c>
      <c r="B690">
        <v>2</v>
      </c>
      <c r="C690">
        <v>3</v>
      </c>
    </row>
    <row r="691" spans="1:3" ht="28.8" x14ac:dyDescent="0.3">
      <c r="A691" s="4" t="s">
        <v>2459</v>
      </c>
      <c r="B691">
        <v>2</v>
      </c>
      <c r="C691">
        <v>1</v>
      </c>
    </row>
    <row r="692" spans="1:3" ht="28.8" x14ac:dyDescent="0.3">
      <c r="A692" s="4" t="s">
        <v>3491</v>
      </c>
      <c r="B692">
        <v>2</v>
      </c>
      <c r="C692">
        <v>3</v>
      </c>
    </row>
    <row r="693" spans="1:3" ht="28.8" x14ac:dyDescent="0.3">
      <c r="A693" s="4" t="s">
        <v>3492</v>
      </c>
      <c r="B693">
        <v>2</v>
      </c>
      <c r="C693">
        <v>3</v>
      </c>
    </row>
    <row r="694" spans="1:3" ht="28.8" x14ac:dyDescent="0.3">
      <c r="A694" s="4" t="s">
        <v>3493</v>
      </c>
      <c r="B694">
        <v>2</v>
      </c>
      <c r="C694">
        <v>3</v>
      </c>
    </row>
    <row r="695" spans="1:3" ht="28.8" x14ac:dyDescent="0.3">
      <c r="A695" s="4" t="s">
        <v>3494</v>
      </c>
      <c r="B695">
        <v>2</v>
      </c>
      <c r="C695">
        <v>3</v>
      </c>
    </row>
    <row r="696" spans="1:3" ht="28.8" x14ac:dyDescent="0.3">
      <c r="A696" s="4" t="s">
        <v>3495</v>
      </c>
      <c r="B696">
        <v>2</v>
      </c>
      <c r="C696">
        <v>3</v>
      </c>
    </row>
    <row r="697" spans="1:3" ht="28.8" x14ac:dyDescent="0.3">
      <c r="A697" s="4" t="s">
        <v>2460</v>
      </c>
      <c r="B697">
        <v>2</v>
      </c>
      <c r="C697">
        <v>1</v>
      </c>
    </row>
    <row r="698" spans="1:3" ht="28.8" x14ac:dyDescent="0.3">
      <c r="A698" s="4" t="s">
        <v>3496</v>
      </c>
      <c r="B698">
        <v>2</v>
      </c>
      <c r="C698">
        <v>3</v>
      </c>
    </row>
    <row r="699" spans="1:3" ht="28.8" x14ac:dyDescent="0.3">
      <c r="A699" s="4" t="s">
        <v>2462</v>
      </c>
      <c r="B699">
        <v>2</v>
      </c>
      <c r="C699">
        <v>1</v>
      </c>
    </row>
    <row r="700" spans="1:3" ht="57.6" x14ac:dyDescent="0.3">
      <c r="A700" s="4" t="s">
        <v>3497</v>
      </c>
      <c r="B700">
        <v>2</v>
      </c>
      <c r="C700">
        <v>3</v>
      </c>
    </row>
    <row r="701" spans="1:3" ht="28.8" x14ac:dyDescent="0.3">
      <c r="A701" s="4" t="s">
        <v>3498</v>
      </c>
      <c r="B701">
        <v>2</v>
      </c>
      <c r="C701">
        <v>3</v>
      </c>
    </row>
    <row r="702" spans="1:3" ht="43.2" x14ac:dyDescent="0.3">
      <c r="A702" s="4" t="s">
        <v>2544</v>
      </c>
      <c r="B702">
        <v>2</v>
      </c>
      <c r="C702">
        <v>1</v>
      </c>
    </row>
    <row r="703" spans="1:3" ht="28.8" x14ac:dyDescent="0.3">
      <c r="A703" s="4" t="s">
        <v>3499</v>
      </c>
      <c r="B703">
        <v>2</v>
      </c>
      <c r="C703">
        <v>3</v>
      </c>
    </row>
    <row r="704" spans="1:3" ht="28.8" x14ac:dyDescent="0.3">
      <c r="A704" s="4" t="s">
        <v>3500</v>
      </c>
      <c r="B704">
        <v>2</v>
      </c>
      <c r="C704">
        <v>3</v>
      </c>
    </row>
    <row r="705" spans="1:3" ht="28.8" x14ac:dyDescent="0.3">
      <c r="A705" s="4" t="s">
        <v>3501</v>
      </c>
      <c r="B705">
        <v>2</v>
      </c>
      <c r="C705">
        <v>3</v>
      </c>
    </row>
    <row r="706" spans="1:3" ht="28.8" x14ac:dyDescent="0.3">
      <c r="A706" s="4" t="s">
        <v>3502</v>
      </c>
      <c r="B706">
        <v>2</v>
      </c>
      <c r="C706">
        <v>3</v>
      </c>
    </row>
    <row r="707" spans="1:3" ht="28.8" x14ac:dyDescent="0.3">
      <c r="A707" s="4" t="s">
        <v>3503</v>
      </c>
      <c r="B707">
        <v>2</v>
      </c>
      <c r="C707">
        <v>3</v>
      </c>
    </row>
    <row r="708" spans="1:3" ht="28.8" x14ac:dyDescent="0.3">
      <c r="A708" s="4" t="s">
        <v>3504</v>
      </c>
      <c r="B708">
        <v>2</v>
      </c>
      <c r="C708">
        <v>3</v>
      </c>
    </row>
    <row r="709" spans="1:3" ht="28.8" x14ac:dyDescent="0.3">
      <c r="A709" s="4" t="s">
        <v>3505</v>
      </c>
      <c r="B709">
        <v>2</v>
      </c>
      <c r="C709">
        <v>3</v>
      </c>
    </row>
    <row r="710" spans="1:3" ht="43.2" x14ac:dyDescent="0.3">
      <c r="A710" s="4" t="s">
        <v>3506</v>
      </c>
      <c r="B710">
        <v>2</v>
      </c>
      <c r="C710">
        <v>3</v>
      </c>
    </row>
    <row r="711" spans="1:3" ht="28.8" x14ac:dyDescent="0.3">
      <c r="A711" s="4" t="s">
        <v>3507</v>
      </c>
      <c r="B711">
        <v>2</v>
      </c>
      <c r="C711">
        <v>3</v>
      </c>
    </row>
    <row r="712" spans="1:3" ht="28.8" x14ac:dyDescent="0.3">
      <c r="A712" s="4" t="s">
        <v>3508</v>
      </c>
      <c r="B712">
        <v>2</v>
      </c>
      <c r="C712">
        <v>3</v>
      </c>
    </row>
    <row r="713" spans="1:3" ht="43.2" x14ac:dyDescent="0.3">
      <c r="A713" s="4" t="s">
        <v>2545</v>
      </c>
      <c r="B713">
        <v>2</v>
      </c>
      <c r="C713">
        <v>1</v>
      </c>
    </row>
    <row r="714" spans="1:3" ht="28.8" x14ac:dyDescent="0.3">
      <c r="A714" s="4" t="s">
        <v>3509</v>
      </c>
      <c r="B714">
        <v>2</v>
      </c>
      <c r="C714">
        <v>3</v>
      </c>
    </row>
    <row r="715" spans="1:3" ht="43.2" x14ac:dyDescent="0.3">
      <c r="A715" s="4" t="s">
        <v>2546</v>
      </c>
      <c r="B715">
        <v>2</v>
      </c>
      <c r="C715">
        <v>1</v>
      </c>
    </row>
    <row r="716" spans="1:3" ht="28.8" x14ac:dyDescent="0.3">
      <c r="A716" s="4" t="s">
        <v>2547</v>
      </c>
      <c r="B716">
        <v>2</v>
      </c>
      <c r="C716">
        <v>1</v>
      </c>
    </row>
    <row r="717" spans="1:3" ht="28.8" x14ac:dyDescent="0.3">
      <c r="A717" s="4" t="s">
        <v>3510</v>
      </c>
      <c r="B717">
        <v>2</v>
      </c>
      <c r="C717">
        <v>3</v>
      </c>
    </row>
    <row r="718" spans="1:3" x14ac:dyDescent="0.3">
      <c r="A718" s="4" t="s">
        <v>3511</v>
      </c>
      <c r="B718">
        <v>2</v>
      </c>
      <c r="C718">
        <v>3</v>
      </c>
    </row>
    <row r="719" spans="1:3" ht="43.2" x14ac:dyDescent="0.3">
      <c r="A719" s="4" t="s">
        <v>3512</v>
      </c>
      <c r="B719">
        <v>2</v>
      </c>
      <c r="C719">
        <v>3</v>
      </c>
    </row>
    <row r="720" spans="1:3" x14ac:dyDescent="0.3">
      <c r="A720" s="4" t="s">
        <v>3513</v>
      </c>
      <c r="B720">
        <v>2</v>
      </c>
      <c r="C720">
        <v>3</v>
      </c>
    </row>
    <row r="721" spans="1:3" ht="28.8" x14ac:dyDescent="0.3">
      <c r="A721" s="4" t="s">
        <v>3514</v>
      </c>
      <c r="B721">
        <v>2</v>
      </c>
      <c r="C721">
        <v>3</v>
      </c>
    </row>
    <row r="722" spans="1:3" ht="43.2" x14ac:dyDescent="0.3">
      <c r="A722" s="4" t="s">
        <v>2548</v>
      </c>
      <c r="B722">
        <v>2</v>
      </c>
      <c r="C722">
        <v>1</v>
      </c>
    </row>
    <row r="723" spans="1:3" x14ac:dyDescent="0.3">
      <c r="A723" s="4" t="s">
        <v>3515</v>
      </c>
      <c r="B723">
        <v>2</v>
      </c>
      <c r="C723">
        <v>3</v>
      </c>
    </row>
    <row r="724" spans="1:3" ht="28.8" x14ac:dyDescent="0.3">
      <c r="A724" s="4" t="s">
        <v>2549</v>
      </c>
      <c r="B724">
        <v>2</v>
      </c>
      <c r="C724">
        <v>1</v>
      </c>
    </row>
    <row r="725" spans="1:3" ht="28.8" x14ac:dyDescent="0.3">
      <c r="A725" s="4" t="s">
        <v>2550</v>
      </c>
      <c r="B725">
        <v>2</v>
      </c>
      <c r="C725">
        <v>1</v>
      </c>
    </row>
    <row r="726" spans="1:3" ht="28.8" x14ac:dyDescent="0.3">
      <c r="A726" s="4" t="s">
        <v>3516</v>
      </c>
      <c r="B726">
        <v>2</v>
      </c>
      <c r="C726">
        <v>3</v>
      </c>
    </row>
    <row r="727" spans="1:3" ht="28.8" x14ac:dyDescent="0.3">
      <c r="A727" s="4" t="s">
        <v>3517</v>
      </c>
      <c r="B727">
        <v>2</v>
      </c>
      <c r="C727">
        <v>3</v>
      </c>
    </row>
    <row r="728" spans="1:3" ht="28.8" x14ac:dyDescent="0.3">
      <c r="A728" s="4" t="s">
        <v>3518</v>
      </c>
      <c r="B728">
        <v>2</v>
      </c>
      <c r="C728">
        <v>3</v>
      </c>
    </row>
    <row r="729" spans="1:3" ht="28.8" x14ac:dyDescent="0.3">
      <c r="A729" s="4" t="s">
        <v>3519</v>
      </c>
      <c r="B729">
        <v>2</v>
      </c>
      <c r="C729">
        <v>3</v>
      </c>
    </row>
    <row r="730" spans="1:3" ht="28.8" x14ac:dyDescent="0.3">
      <c r="A730" s="4" t="s">
        <v>3520</v>
      </c>
      <c r="B730">
        <v>2</v>
      </c>
      <c r="C730">
        <v>3</v>
      </c>
    </row>
    <row r="731" spans="1:3" ht="28.8" x14ac:dyDescent="0.3">
      <c r="A731" s="4" t="s">
        <v>3521</v>
      </c>
      <c r="B731">
        <v>2</v>
      </c>
      <c r="C731">
        <v>3</v>
      </c>
    </row>
    <row r="732" spans="1:3" ht="28.8" x14ac:dyDescent="0.3">
      <c r="A732" s="4" t="s">
        <v>2551</v>
      </c>
      <c r="B732">
        <v>2</v>
      </c>
      <c r="C732">
        <v>1</v>
      </c>
    </row>
    <row r="733" spans="1:3" ht="28.8" x14ac:dyDescent="0.3">
      <c r="A733" s="4" t="s">
        <v>3522</v>
      </c>
      <c r="B733">
        <v>2</v>
      </c>
      <c r="C733">
        <v>3</v>
      </c>
    </row>
    <row r="734" spans="1:3" ht="28.8" x14ac:dyDescent="0.3">
      <c r="A734" s="4" t="s">
        <v>3523</v>
      </c>
      <c r="B734">
        <v>2</v>
      </c>
      <c r="C734">
        <v>2</v>
      </c>
    </row>
    <row r="735" spans="1:3" ht="28.8" x14ac:dyDescent="0.3">
      <c r="A735" s="4" t="s">
        <v>3524</v>
      </c>
      <c r="B735">
        <v>2</v>
      </c>
      <c r="C735">
        <v>3</v>
      </c>
    </row>
    <row r="736" spans="1:3" x14ac:dyDescent="0.3">
      <c r="A736" s="4" t="s">
        <v>2552</v>
      </c>
      <c r="B736">
        <v>2</v>
      </c>
      <c r="C736">
        <v>1</v>
      </c>
    </row>
    <row r="737" spans="1:3" ht="28.8" x14ac:dyDescent="0.3">
      <c r="A737" s="4" t="s">
        <v>3525</v>
      </c>
      <c r="B737">
        <v>2</v>
      </c>
      <c r="C737">
        <v>3</v>
      </c>
    </row>
    <row r="738" spans="1:3" ht="28.8" x14ac:dyDescent="0.3">
      <c r="A738" s="4" t="s">
        <v>3526</v>
      </c>
      <c r="B738">
        <v>2</v>
      </c>
      <c r="C738">
        <v>3</v>
      </c>
    </row>
    <row r="739" spans="1:3" ht="28.8" x14ac:dyDescent="0.3">
      <c r="A739" s="4" t="s">
        <v>3527</v>
      </c>
      <c r="B739">
        <v>2</v>
      </c>
      <c r="C739">
        <v>3</v>
      </c>
    </row>
    <row r="740" spans="1:3" ht="28.8" x14ac:dyDescent="0.3">
      <c r="A740" s="4" t="s">
        <v>3528</v>
      </c>
      <c r="B740">
        <v>2</v>
      </c>
      <c r="C740">
        <v>3</v>
      </c>
    </row>
    <row r="741" spans="1:3" ht="28.8" x14ac:dyDescent="0.3">
      <c r="A741" s="4" t="s">
        <v>2553</v>
      </c>
      <c r="B741">
        <v>2</v>
      </c>
      <c r="C741">
        <v>1</v>
      </c>
    </row>
    <row r="742" spans="1:3" ht="28.8" x14ac:dyDescent="0.3">
      <c r="A742" s="4" t="s">
        <v>2554</v>
      </c>
      <c r="B742">
        <v>2</v>
      </c>
      <c r="C742">
        <v>1</v>
      </c>
    </row>
    <row r="743" spans="1:3" ht="43.2" x14ac:dyDescent="0.3">
      <c r="A743" s="4" t="s">
        <v>2555</v>
      </c>
      <c r="B743">
        <v>2</v>
      </c>
      <c r="C743">
        <v>1</v>
      </c>
    </row>
    <row r="744" spans="1:3" ht="28.8" x14ac:dyDescent="0.3">
      <c r="A744" s="4" t="s">
        <v>2557</v>
      </c>
      <c r="B744">
        <v>2</v>
      </c>
      <c r="C744">
        <v>1</v>
      </c>
    </row>
    <row r="745" spans="1:3" ht="28.8" x14ac:dyDescent="0.3">
      <c r="A745" s="4" t="s">
        <v>3529</v>
      </c>
      <c r="B745">
        <v>2</v>
      </c>
      <c r="C745">
        <v>3</v>
      </c>
    </row>
    <row r="746" spans="1:3" ht="28.8" x14ac:dyDescent="0.3">
      <c r="A746" s="4" t="s">
        <v>2558</v>
      </c>
      <c r="B746">
        <v>2</v>
      </c>
      <c r="C746">
        <v>1</v>
      </c>
    </row>
    <row r="747" spans="1:3" ht="43.2" x14ac:dyDescent="0.3">
      <c r="A747" s="4" t="s">
        <v>2559</v>
      </c>
      <c r="B747">
        <v>2</v>
      </c>
      <c r="C747">
        <v>1</v>
      </c>
    </row>
    <row r="748" spans="1:3" ht="28.8" x14ac:dyDescent="0.3">
      <c r="A748" s="4" t="s">
        <v>2560</v>
      </c>
      <c r="B748">
        <v>2</v>
      </c>
      <c r="C748">
        <v>1</v>
      </c>
    </row>
    <row r="749" spans="1:3" ht="28.8" x14ac:dyDescent="0.3">
      <c r="A749" s="4" t="s">
        <v>3530</v>
      </c>
      <c r="B749">
        <v>2</v>
      </c>
      <c r="C749">
        <v>3</v>
      </c>
    </row>
    <row r="750" spans="1:3" ht="28.8" x14ac:dyDescent="0.3">
      <c r="A750" s="4" t="s">
        <v>3531</v>
      </c>
      <c r="B750">
        <v>2</v>
      </c>
      <c r="C750">
        <v>3</v>
      </c>
    </row>
    <row r="751" spans="1:3" ht="28.8" x14ac:dyDescent="0.3">
      <c r="A751" s="4" t="s">
        <v>3532</v>
      </c>
      <c r="B751">
        <v>2</v>
      </c>
      <c r="C751">
        <v>3</v>
      </c>
    </row>
    <row r="752" spans="1:3" ht="28.8" x14ac:dyDescent="0.3">
      <c r="A752" s="4" t="s">
        <v>3533</v>
      </c>
      <c r="B752">
        <v>2</v>
      </c>
      <c r="C752">
        <v>3</v>
      </c>
    </row>
    <row r="753" spans="1:3" ht="28.8" x14ac:dyDescent="0.3">
      <c r="A753" s="4" t="s">
        <v>3534</v>
      </c>
      <c r="B753">
        <v>2</v>
      </c>
      <c r="C753">
        <v>3</v>
      </c>
    </row>
    <row r="754" spans="1:3" ht="28.8" x14ac:dyDescent="0.3">
      <c r="A754" s="4" t="s">
        <v>2658</v>
      </c>
      <c r="B754">
        <v>2</v>
      </c>
      <c r="C754">
        <v>1</v>
      </c>
    </row>
    <row r="755" spans="1:3" ht="28.8" x14ac:dyDescent="0.3">
      <c r="A755" s="4" t="s">
        <v>3535</v>
      </c>
      <c r="B755">
        <v>2</v>
      </c>
      <c r="C755">
        <v>3</v>
      </c>
    </row>
    <row r="756" spans="1:3" ht="28.8" x14ac:dyDescent="0.3">
      <c r="A756" s="4" t="s">
        <v>2659</v>
      </c>
      <c r="B756">
        <v>2</v>
      </c>
      <c r="C756">
        <v>1</v>
      </c>
    </row>
    <row r="757" spans="1:3" ht="28.8" x14ac:dyDescent="0.3">
      <c r="A757" s="4" t="s">
        <v>3536</v>
      </c>
      <c r="B757">
        <v>2</v>
      </c>
      <c r="C757">
        <v>3</v>
      </c>
    </row>
    <row r="758" spans="1:3" ht="28.8" x14ac:dyDescent="0.3">
      <c r="A758" s="4" t="s">
        <v>3537</v>
      </c>
      <c r="B758">
        <v>2</v>
      </c>
      <c r="C758">
        <v>3</v>
      </c>
    </row>
    <row r="759" spans="1:3" ht="28.8" x14ac:dyDescent="0.3">
      <c r="A759" s="4" t="s">
        <v>3538</v>
      </c>
      <c r="B759">
        <v>2</v>
      </c>
      <c r="C759">
        <v>3</v>
      </c>
    </row>
    <row r="760" spans="1:3" ht="28.8" x14ac:dyDescent="0.3">
      <c r="A760" s="4" t="s">
        <v>3539</v>
      </c>
      <c r="B760">
        <v>2</v>
      </c>
      <c r="C760">
        <v>3</v>
      </c>
    </row>
    <row r="761" spans="1:3" x14ac:dyDescent="0.3">
      <c r="A761" s="4" t="s">
        <v>3540</v>
      </c>
      <c r="B761">
        <v>2</v>
      </c>
      <c r="C761">
        <v>3</v>
      </c>
    </row>
    <row r="762" spans="1:3" x14ac:dyDescent="0.3">
      <c r="A762" s="4" t="s">
        <v>3541</v>
      </c>
      <c r="B762">
        <v>2</v>
      </c>
      <c r="C762">
        <v>3</v>
      </c>
    </row>
    <row r="763" spans="1:3" ht="28.8" x14ac:dyDescent="0.3">
      <c r="A763" s="4" t="s">
        <v>2660</v>
      </c>
      <c r="B763">
        <v>2</v>
      </c>
      <c r="C763">
        <v>1</v>
      </c>
    </row>
    <row r="764" spans="1:3" x14ac:dyDescent="0.3">
      <c r="A764" s="4" t="s">
        <v>3542</v>
      </c>
      <c r="B764">
        <v>2</v>
      </c>
      <c r="C764">
        <v>3</v>
      </c>
    </row>
    <row r="765" spans="1:3" ht="28.8" x14ac:dyDescent="0.3">
      <c r="A765" s="4" t="s">
        <v>3543</v>
      </c>
      <c r="B765">
        <v>2</v>
      </c>
      <c r="C765">
        <v>3</v>
      </c>
    </row>
    <row r="766" spans="1:3" ht="28.8" x14ac:dyDescent="0.3">
      <c r="A766" s="4" t="s">
        <v>3544</v>
      </c>
      <c r="B766">
        <v>2</v>
      </c>
      <c r="C766">
        <v>3</v>
      </c>
    </row>
    <row r="767" spans="1:3" x14ac:dyDescent="0.3">
      <c r="A767" s="4" t="s">
        <v>3545</v>
      </c>
      <c r="B767">
        <v>2</v>
      </c>
      <c r="C767">
        <v>3</v>
      </c>
    </row>
    <row r="768" spans="1:3" ht="28.8" x14ac:dyDescent="0.3">
      <c r="A768" s="4" t="s">
        <v>2692</v>
      </c>
      <c r="B768">
        <v>2</v>
      </c>
      <c r="C768">
        <v>1</v>
      </c>
    </row>
    <row r="769" spans="1:3" ht="28.8" x14ac:dyDescent="0.3">
      <c r="A769" s="4" t="s">
        <v>2661</v>
      </c>
      <c r="B769">
        <v>2</v>
      </c>
      <c r="C769">
        <v>1</v>
      </c>
    </row>
    <row r="770" spans="1:3" ht="43.2" x14ac:dyDescent="0.3">
      <c r="A770" s="4" t="s">
        <v>3546</v>
      </c>
      <c r="B770">
        <v>2</v>
      </c>
      <c r="C770">
        <v>3</v>
      </c>
    </row>
    <row r="771" spans="1:3" ht="28.8" x14ac:dyDescent="0.3">
      <c r="A771" s="4" t="s">
        <v>2662</v>
      </c>
      <c r="B771">
        <v>2</v>
      </c>
      <c r="C771">
        <v>1</v>
      </c>
    </row>
    <row r="772" spans="1:3" ht="28.8" x14ac:dyDescent="0.3">
      <c r="A772" s="4" t="s">
        <v>3547</v>
      </c>
      <c r="B772">
        <v>2</v>
      </c>
      <c r="C772">
        <v>3</v>
      </c>
    </row>
    <row r="773" spans="1:3" ht="43.2" x14ac:dyDescent="0.3">
      <c r="A773" s="4" t="s">
        <v>2663</v>
      </c>
      <c r="B773">
        <v>2</v>
      </c>
      <c r="C773">
        <v>1</v>
      </c>
    </row>
    <row r="774" spans="1:3" ht="28.8" x14ac:dyDescent="0.3">
      <c r="A774" s="4" t="s">
        <v>2664</v>
      </c>
      <c r="B774">
        <v>2</v>
      </c>
      <c r="C774">
        <v>1</v>
      </c>
    </row>
    <row r="775" spans="1:3" ht="28.8" x14ac:dyDescent="0.3">
      <c r="A775" s="4" t="s">
        <v>3548</v>
      </c>
      <c r="B775">
        <v>2</v>
      </c>
      <c r="C775">
        <v>3</v>
      </c>
    </row>
    <row r="776" spans="1:3" ht="28.8" x14ac:dyDescent="0.3">
      <c r="A776" s="4" t="s">
        <v>3549</v>
      </c>
      <c r="B776">
        <v>2</v>
      </c>
      <c r="C776">
        <v>3</v>
      </c>
    </row>
    <row r="777" spans="1:3" ht="28.8" x14ac:dyDescent="0.3">
      <c r="A777" s="4" t="s">
        <v>2665</v>
      </c>
      <c r="B777">
        <v>2</v>
      </c>
      <c r="C777">
        <v>1</v>
      </c>
    </row>
    <row r="778" spans="1:3" ht="28.8" x14ac:dyDescent="0.3">
      <c r="A778" s="4" t="s">
        <v>3550</v>
      </c>
      <c r="B778">
        <v>2</v>
      </c>
      <c r="C778">
        <v>3</v>
      </c>
    </row>
    <row r="779" spans="1:3" ht="28.8" x14ac:dyDescent="0.3">
      <c r="A779" s="4" t="s">
        <v>3551</v>
      </c>
      <c r="B779">
        <v>2</v>
      </c>
      <c r="C779">
        <v>3</v>
      </c>
    </row>
    <row r="780" spans="1:3" ht="28.8" x14ac:dyDescent="0.3">
      <c r="A780" s="4" t="s">
        <v>2666</v>
      </c>
      <c r="B780">
        <v>2</v>
      </c>
      <c r="C780">
        <v>1</v>
      </c>
    </row>
    <row r="781" spans="1:3" ht="28.8" x14ac:dyDescent="0.3">
      <c r="A781" s="4" t="s">
        <v>3552</v>
      </c>
      <c r="B781">
        <v>2</v>
      </c>
      <c r="C781">
        <v>3</v>
      </c>
    </row>
    <row r="782" spans="1:3" ht="28.8" x14ac:dyDescent="0.3">
      <c r="A782" s="4" t="s">
        <v>2667</v>
      </c>
      <c r="B782">
        <v>2</v>
      </c>
      <c r="C782">
        <v>1</v>
      </c>
    </row>
    <row r="783" spans="1:3" ht="28.8" x14ac:dyDescent="0.3">
      <c r="A783" s="4" t="s">
        <v>2669</v>
      </c>
      <c r="B783">
        <v>2</v>
      </c>
      <c r="C783">
        <v>1</v>
      </c>
    </row>
    <row r="784" spans="1:3" ht="28.8" x14ac:dyDescent="0.3">
      <c r="A784" s="4" t="s">
        <v>3553</v>
      </c>
      <c r="B784">
        <v>2</v>
      </c>
      <c r="C784">
        <v>3</v>
      </c>
    </row>
    <row r="785" spans="1:3" ht="28.8" x14ac:dyDescent="0.3">
      <c r="A785" s="4" t="s">
        <v>3554</v>
      </c>
      <c r="B785">
        <v>2</v>
      </c>
      <c r="C785">
        <v>3</v>
      </c>
    </row>
    <row r="786" spans="1:3" ht="28.8" x14ac:dyDescent="0.3">
      <c r="A786" s="4" t="s">
        <v>3555</v>
      </c>
      <c r="B786">
        <v>2</v>
      </c>
      <c r="C786">
        <v>3</v>
      </c>
    </row>
    <row r="787" spans="1:3" x14ac:dyDescent="0.3">
      <c r="A787" s="4" t="s">
        <v>3556</v>
      </c>
      <c r="B787">
        <v>2</v>
      </c>
      <c r="C787">
        <v>3</v>
      </c>
    </row>
    <row r="788" spans="1:3" ht="28.8" x14ac:dyDescent="0.3">
      <c r="A788" s="4" t="s">
        <v>3557</v>
      </c>
      <c r="B788">
        <v>2</v>
      </c>
      <c r="C788">
        <v>3</v>
      </c>
    </row>
    <row r="789" spans="1:3" ht="28.8" x14ac:dyDescent="0.3">
      <c r="A789" s="4" t="s">
        <v>2670</v>
      </c>
      <c r="B789">
        <v>2</v>
      </c>
      <c r="C789">
        <v>1</v>
      </c>
    </row>
    <row r="790" spans="1:3" ht="28.8" x14ac:dyDescent="0.3">
      <c r="A790" s="4" t="s">
        <v>2671</v>
      </c>
      <c r="B790">
        <v>2</v>
      </c>
      <c r="C790">
        <v>1</v>
      </c>
    </row>
    <row r="791" spans="1:3" ht="28.8" x14ac:dyDescent="0.3">
      <c r="A791" s="4" t="s">
        <v>3558</v>
      </c>
      <c r="B791">
        <v>2</v>
      </c>
      <c r="C791">
        <v>3</v>
      </c>
    </row>
    <row r="792" spans="1:3" ht="28.8" x14ac:dyDescent="0.3">
      <c r="A792" s="4" t="s">
        <v>3559</v>
      </c>
      <c r="B792">
        <v>2</v>
      </c>
      <c r="C792">
        <v>3</v>
      </c>
    </row>
    <row r="793" spans="1:3" ht="28.8" x14ac:dyDescent="0.3">
      <c r="A793" s="4" t="s">
        <v>3560</v>
      </c>
      <c r="B793">
        <v>2</v>
      </c>
      <c r="C793">
        <v>3</v>
      </c>
    </row>
    <row r="794" spans="1:3" ht="28.8" x14ac:dyDescent="0.3">
      <c r="A794" s="4" t="s">
        <v>3561</v>
      </c>
      <c r="B794">
        <v>2</v>
      </c>
      <c r="C794">
        <v>3</v>
      </c>
    </row>
    <row r="795" spans="1:3" ht="28.8" x14ac:dyDescent="0.3">
      <c r="A795" s="4" t="s">
        <v>2672</v>
      </c>
      <c r="B795">
        <v>2</v>
      </c>
      <c r="C795">
        <v>1</v>
      </c>
    </row>
    <row r="796" spans="1:3" ht="43.2" x14ac:dyDescent="0.3">
      <c r="A796" s="4" t="s">
        <v>3562</v>
      </c>
      <c r="B796">
        <v>2</v>
      </c>
      <c r="C796">
        <v>3</v>
      </c>
    </row>
    <row r="797" spans="1:3" ht="43.2" x14ac:dyDescent="0.3">
      <c r="A797" s="4" t="s">
        <v>3563</v>
      </c>
      <c r="B797">
        <v>2</v>
      </c>
      <c r="C797">
        <v>3</v>
      </c>
    </row>
    <row r="798" spans="1:3" ht="43.2" x14ac:dyDescent="0.3">
      <c r="A798" s="4" t="s">
        <v>3564</v>
      </c>
      <c r="B798">
        <v>2</v>
      </c>
      <c r="C798">
        <v>3</v>
      </c>
    </row>
    <row r="799" spans="1:3" ht="28.8" x14ac:dyDescent="0.3">
      <c r="A799" s="4" t="s">
        <v>2673</v>
      </c>
      <c r="B799">
        <v>2</v>
      </c>
      <c r="C799">
        <v>1</v>
      </c>
    </row>
    <row r="800" spans="1:3" ht="28.8" x14ac:dyDescent="0.3">
      <c r="A800" s="4" t="s">
        <v>3565</v>
      </c>
      <c r="B800">
        <v>2</v>
      </c>
      <c r="C800">
        <v>3</v>
      </c>
    </row>
    <row r="801" spans="1:3" ht="28.8" x14ac:dyDescent="0.3">
      <c r="A801" s="4" t="s">
        <v>3566</v>
      </c>
      <c r="B801">
        <v>2</v>
      </c>
      <c r="C801">
        <v>3</v>
      </c>
    </row>
    <row r="802" spans="1:3" ht="28.8" x14ac:dyDescent="0.3">
      <c r="A802" s="4" t="s">
        <v>3567</v>
      </c>
      <c r="B802">
        <v>2</v>
      </c>
      <c r="C802">
        <v>3</v>
      </c>
    </row>
    <row r="803" spans="1:3" ht="28.8" x14ac:dyDescent="0.3">
      <c r="A803" s="4" t="s">
        <v>2771</v>
      </c>
      <c r="B803">
        <v>2</v>
      </c>
      <c r="C803">
        <v>1</v>
      </c>
    </row>
    <row r="804" spans="1:3" ht="28.8" x14ac:dyDescent="0.3">
      <c r="A804" s="4" t="s">
        <v>2772</v>
      </c>
      <c r="B804">
        <v>2</v>
      </c>
      <c r="C804">
        <v>1</v>
      </c>
    </row>
    <row r="805" spans="1:3" x14ac:dyDescent="0.3">
      <c r="A805" s="4" t="s">
        <v>2773</v>
      </c>
      <c r="B805">
        <v>2</v>
      </c>
      <c r="C805">
        <v>1</v>
      </c>
    </row>
    <row r="806" spans="1:3" ht="28.8" x14ac:dyDescent="0.3">
      <c r="A806" s="4" t="s">
        <v>3568</v>
      </c>
      <c r="B806">
        <v>2</v>
      </c>
      <c r="C806">
        <v>3</v>
      </c>
    </row>
    <row r="807" spans="1:3" ht="43.2" x14ac:dyDescent="0.3">
      <c r="A807" s="4" t="s">
        <v>2774</v>
      </c>
      <c r="B807">
        <v>2</v>
      </c>
      <c r="C807">
        <v>1</v>
      </c>
    </row>
    <row r="808" spans="1:3" x14ac:dyDescent="0.3">
      <c r="A808" s="4" t="s">
        <v>3569</v>
      </c>
      <c r="B808">
        <v>2</v>
      </c>
      <c r="C808">
        <v>3</v>
      </c>
    </row>
    <row r="809" spans="1:3" ht="28.8" x14ac:dyDescent="0.3">
      <c r="A809" s="4" t="s">
        <v>3570</v>
      </c>
      <c r="B809">
        <v>2</v>
      </c>
      <c r="C809">
        <v>3</v>
      </c>
    </row>
    <row r="810" spans="1:3" ht="28.8" x14ac:dyDescent="0.3">
      <c r="A810" s="4" t="s">
        <v>3571</v>
      </c>
      <c r="B810">
        <v>2</v>
      </c>
      <c r="C810">
        <v>3</v>
      </c>
    </row>
    <row r="811" spans="1:3" ht="28.8" x14ac:dyDescent="0.3">
      <c r="A811" s="4" t="s">
        <v>3572</v>
      </c>
      <c r="B811">
        <v>2</v>
      </c>
      <c r="C811">
        <v>3</v>
      </c>
    </row>
    <row r="812" spans="1:3" ht="28.8" x14ac:dyDescent="0.3">
      <c r="A812" s="4" t="s">
        <v>3573</v>
      </c>
      <c r="B812">
        <v>2</v>
      </c>
      <c r="C812">
        <v>3</v>
      </c>
    </row>
    <row r="813" spans="1:3" ht="28.8" x14ac:dyDescent="0.3">
      <c r="A813" s="4" t="s">
        <v>3574</v>
      </c>
      <c r="B813">
        <v>2</v>
      </c>
      <c r="C813">
        <v>3</v>
      </c>
    </row>
    <row r="814" spans="1:3" ht="28.8" x14ac:dyDescent="0.3">
      <c r="A814" s="4" t="s">
        <v>2775</v>
      </c>
      <c r="B814">
        <v>2</v>
      </c>
      <c r="C814">
        <v>1</v>
      </c>
    </row>
    <row r="815" spans="1:3" x14ac:dyDescent="0.3">
      <c r="A815" s="4" t="s">
        <v>3575</v>
      </c>
      <c r="B815">
        <v>2</v>
      </c>
      <c r="C815">
        <v>3</v>
      </c>
    </row>
    <row r="816" spans="1:3" ht="28.8" x14ac:dyDescent="0.3">
      <c r="A816" s="4" t="s">
        <v>2776</v>
      </c>
      <c r="B816">
        <v>2</v>
      </c>
      <c r="C816">
        <v>1</v>
      </c>
    </row>
    <row r="817" spans="1:3" ht="28.8" x14ac:dyDescent="0.3">
      <c r="A817" s="4" t="s">
        <v>3576</v>
      </c>
      <c r="B817">
        <v>2</v>
      </c>
      <c r="C817">
        <v>3</v>
      </c>
    </row>
    <row r="818" spans="1:3" ht="28.8" x14ac:dyDescent="0.3">
      <c r="A818" s="4" t="s">
        <v>3577</v>
      </c>
      <c r="B818">
        <v>2</v>
      </c>
      <c r="C818">
        <v>3</v>
      </c>
    </row>
    <row r="819" spans="1:3" ht="43.2" x14ac:dyDescent="0.3">
      <c r="A819" s="4" t="s">
        <v>3578</v>
      </c>
      <c r="B819">
        <v>2</v>
      </c>
      <c r="C819">
        <v>3</v>
      </c>
    </row>
    <row r="820" spans="1:3" ht="28.8" x14ac:dyDescent="0.3">
      <c r="A820" s="4" t="s">
        <v>3579</v>
      </c>
      <c r="B820">
        <v>2</v>
      </c>
      <c r="C820">
        <v>3</v>
      </c>
    </row>
    <row r="821" spans="1:3" ht="28.8" x14ac:dyDescent="0.3">
      <c r="A821" s="4" t="s">
        <v>3580</v>
      </c>
      <c r="B821">
        <v>2</v>
      </c>
      <c r="C821">
        <v>3</v>
      </c>
    </row>
    <row r="822" spans="1:3" ht="28.8" x14ac:dyDescent="0.3">
      <c r="A822" s="4" t="s">
        <v>2777</v>
      </c>
      <c r="B822">
        <v>2</v>
      </c>
      <c r="C822">
        <v>1</v>
      </c>
    </row>
    <row r="823" spans="1:3" ht="28.8" x14ac:dyDescent="0.3">
      <c r="A823" s="4" t="s">
        <v>3581</v>
      </c>
      <c r="B823">
        <v>2</v>
      </c>
      <c r="C823">
        <v>3</v>
      </c>
    </row>
    <row r="824" spans="1:3" ht="28.8" x14ac:dyDescent="0.3">
      <c r="A824" s="4" t="s">
        <v>3582</v>
      </c>
      <c r="B824">
        <v>2</v>
      </c>
      <c r="C824">
        <v>3</v>
      </c>
    </row>
    <row r="825" spans="1:3" ht="72" x14ac:dyDescent="0.3">
      <c r="A825" s="4" t="s">
        <v>3583</v>
      </c>
      <c r="B825">
        <v>2</v>
      </c>
      <c r="C825">
        <v>3</v>
      </c>
    </row>
    <row r="826" spans="1:3" ht="28.8" x14ac:dyDescent="0.3">
      <c r="A826" s="4" t="s">
        <v>2778</v>
      </c>
      <c r="B826">
        <v>2</v>
      </c>
      <c r="C826">
        <v>1</v>
      </c>
    </row>
    <row r="827" spans="1:3" x14ac:dyDescent="0.3">
      <c r="A827" s="4" t="s">
        <v>3584</v>
      </c>
      <c r="B827">
        <v>2</v>
      </c>
      <c r="C827">
        <v>3</v>
      </c>
    </row>
    <row r="828" spans="1:3" ht="57.6" x14ac:dyDescent="0.3">
      <c r="A828" s="4" t="s">
        <v>3585</v>
      </c>
      <c r="B828">
        <v>2</v>
      </c>
      <c r="C828">
        <v>3</v>
      </c>
    </row>
    <row r="829" spans="1:3" ht="28.8" x14ac:dyDescent="0.3">
      <c r="A829" s="4" t="s">
        <v>2779</v>
      </c>
      <c r="B829">
        <v>2</v>
      </c>
      <c r="C829">
        <v>1</v>
      </c>
    </row>
    <row r="830" spans="1:3" ht="28.8" x14ac:dyDescent="0.3">
      <c r="A830" s="4" t="s">
        <v>2781</v>
      </c>
      <c r="B830">
        <v>2</v>
      </c>
      <c r="C830">
        <v>1</v>
      </c>
    </row>
    <row r="831" spans="1:3" ht="28.8" x14ac:dyDescent="0.3">
      <c r="A831" s="4" t="s">
        <v>2782</v>
      </c>
      <c r="B831">
        <v>2</v>
      </c>
      <c r="C831">
        <v>1</v>
      </c>
    </row>
    <row r="832" spans="1:3" x14ac:dyDescent="0.3">
      <c r="A832" s="4" t="s">
        <v>3586</v>
      </c>
      <c r="B832">
        <v>2</v>
      </c>
      <c r="C832">
        <v>3</v>
      </c>
    </row>
    <row r="833" spans="1:3" ht="28.8" x14ac:dyDescent="0.3">
      <c r="A833" s="4" t="s">
        <v>3587</v>
      </c>
      <c r="B833">
        <v>2</v>
      </c>
      <c r="C833">
        <v>2</v>
      </c>
    </row>
    <row r="834" spans="1:3" ht="28.8" x14ac:dyDescent="0.3">
      <c r="A834" s="4" t="s">
        <v>3588</v>
      </c>
      <c r="B834">
        <v>2</v>
      </c>
      <c r="C834">
        <v>3</v>
      </c>
    </row>
    <row r="835" spans="1:3" ht="28.8" x14ac:dyDescent="0.3">
      <c r="A835" s="4" t="s">
        <v>2783</v>
      </c>
      <c r="B835">
        <v>2</v>
      </c>
      <c r="C835">
        <v>1</v>
      </c>
    </row>
    <row r="836" spans="1:3" ht="43.2" x14ac:dyDescent="0.3">
      <c r="A836" s="4" t="s">
        <v>2784</v>
      </c>
      <c r="B836">
        <v>2</v>
      </c>
      <c r="C836">
        <v>1</v>
      </c>
    </row>
    <row r="837" spans="1:3" ht="28.8" x14ac:dyDescent="0.3">
      <c r="A837" s="4" t="s">
        <v>2786</v>
      </c>
      <c r="B837">
        <v>2</v>
      </c>
      <c r="C837">
        <v>1</v>
      </c>
    </row>
    <row r="838" spans="1:3" x14ac:dyDescent="0.3">
      <c r="A838" s="4" t="s">
        <v>3589</v>
      </c>
      <c r="B838">
        <v>2</v>
      </c>
      <c r="C838">
        <v>3</v>
      </c>
    </row>
    <row r="839" spans="1:3" ht="28.8" x14ac:dyDescent="0.3">
      <c r="A839" s="4" t="s">
        <v>3590</v>
      </c>
      <c r="B839">
        <v>2</v>
      </c>
      <c r="C839">
        <v>3</v>
      </c>
    </row>
    <row r="840" spans="1:3" ht="28.8" x14ac:dyDescent="0.3">
      <c r="A840" s="4" t="s">
        <v>3591</v>
      </c>
      <c r="B840">
        <v>2</v>
      </c>
      <c r="C840">
        <v>3</v>
      </c>
    </row>
    <row r="841" spans="1:3" ht="28.8" x14ac:dyDescent="0.3">
      <c r="A841" s="4" t="s">
        <v>2788</v>
      </c>
      <c r="B841">
        <v>2</v>
      </c>
      <c r="C841">
        <v>1</v>
      </c>
    </row>
    <row r="842" spans="1:3" ht="43.2" x14ac:dyDescent="0.3">
      <c r="A842" s="4" t="s">
        <v>3592</v>
      </c>
      <c r="B842">
        <v>2</v>
      </c>
      <c r="C842">
        <v>3</v>
      </c>
    </row>
    <row r="843" spans="1:3" ht="28.8" x14ac:dyDescent="0.3">
      <c r="A843" s="4" t="s">
        <v>2789</v>
      </c>
      <c r="B843">
        <v>2</v>
      </c>
      <c r="C843">
        <v>1</v>
      </c>
    </row>
    <row r="844" spans="1:3" x14ac:dyDescent="0.3">
      <c r="A844" s="4" t="s">
        <v>3593</v>
      </c>
      <c r="B844">
        <v>2</v>
      </c>
      <c r="C844">
        <v>3</v>
      </c>
    </row>
    <row r="845" spans="1:3" ht="28.8" x14ac:dyDescent="0.3">
      <c r="A845" s="4" t="s">
        <v>3594</v>
      </c>
      <c r="B845">
        <v>2</v>
      </c>
      <c r="C845">
        <v>3</v>
      </c>
    </row>
    <row r="846" spans="1:3" ht="28.8" x14ac:dyDescent="0.3">
      <c r="A846" s="4" t="s">
        <v>2790</v>
      </c>
      <c r="B846">
        <v>2</v>
      </c>
      <c r="C846">
        <v>1</v>
      </c>
    </row>
    <row r="847" spans="1:3" ht="43.2" x14ac:dyDescent="0.3">
      <c r="A847" s="4" t="s">
        <v>3595</v>
      </c>
      <c r="B847">
        <v>2</v>
      </c>
      <c r="C847">
        <v>3</v>
      </c>
    </row>
    <row r="848" spans="1:3" ht="28.8" x14ac:dyDescent="0.3">
      <c r="A848" s="4" t="s">
        <v>2791</v>
      </c>
      <c r="B848">
        <v>2</v>
      </c>
      <c r="C848">
        <v>1</v>
      </c>
    </row>
    <row r="849" spans="1:3" ht="28.8" x14ac:dyDescent="0.3">
      <c r="A849" s="4" t="s">
        <v>3596</v>
      </c>
      <c r="B849">
        <v>2</v>
      </c>
      <c r="C849">
        <v>3</v>
      </c>
    </row>
    <row r="850" spans="1:3" ht="28.8" x14ac:dyDescent="0.3">
      <c r="A850" s="4" t="s">
        <v>2792</v>
      </c>
      <c r="B850">
        <v>2</v>
      </c>
      <c r="C850">
        <v>1</v>
      </c>
    </row>
    <row r="851" spans="1:3" ht="28.8" x14ac:dyDescent="0.3">
      <c r="A851" s="4" t="s">
        <v>3597</v>
      </c>
      <c r="B851">
        <v>2</v>
      </c>
      <c r="C851">
        <v>3</v>
      </c>
    </row>
    <row r="852" spans="1:3" ht="28.8" x14ac:dyDescent="0.3">
      <c r="A852" s="4" t="s">
        <v>2930</v>
      </c>
      <c r="B852">
        <v>2</v>
      </c>
      <c r="C852">
        <v>1</v>
      </c>
    </row>
    <row r="853" spans="1:3" ht="28.8" x14ac:dyDescent="0.3">
      <c r="A853" s="4" t="s">
        <v>3598</v>
      </c>
      <c r="B853">
        <v>2</v>
      </c>
      <c r="C853">
        <v>3</v>
      </c>
    </row>
    <row r="854" spans="1:3" x14ac:dyDescent="0.3">
      <c r="A854" s="4" t="s">
        <v>3599</v>
      </c>
      <c r="B854">
        <v>2</v>
      </c>
      <c r="C854">
        <v>3</v>
      </c>
    </row>
    <row r="855" spans="1:3" ht="28.8" x14ac:dyDescent="0.3">
      <c r="A855" s="4" t="s">
        <v>3600</v>
      </c>
      <c r="B855">
        <v>2</v>
      </c>
      <c r="C855">
        <v>3</v>
      </c>
    </row>
    <row r="856" spans="1:3" ht="28.8" x14ac:dyDescent="0.3">
      <c r="A856" s="4" t="s">
        <v>3601</v>
      </c>
      <c r="B856">
        <v>2</v>
      </c>
      <c r="C856">
        <v>3</v>
      </c>
    </row>
    <row r="857" spans="1:3" ht="28.8" x14ac:dyDescent="0.3">
      <c r="A857" s="4" t="s">
        <v>2931</v>
      </c>
      <c r="B857">
        <v>2</v>
      </c>
      <c r="C857">
        <v>1</v>
      </c>
    </row>
    <row r="858" spans="1:3" ht="28.8" x14ac:dyDescent="0.3">
      <c r="A858" s="4" t="s">
        <v>3602</v>
      </c>
      <c r="B858">
        <v>2</v>
      </c>
      <c r="C858">
        <v>3</v>
      </c>
    </row>
    <row r="859" spans="1:3" ht="28.8" x14ac:dyDescent="0.3">
      <c r="A859" s="4" t="s">
        <v>3603</v>
      </c>
      <c r="B859">
        <v>2</v>
      </c>
      <c r="C859">
        <v>3</v>
      </c>
    </row>
    <row r="860" spans="1:3" ht="43.2" x14ac:dyDescent="0.3">
      <c r="A860" s="4" t="s">
        <v>3604</v>
      </c>
      <c r="B860">
        <v>2</v>
      </c>
      <c r="C860">
        <v>3</v>
      </c>
    </row>
    <row r="861" spans="1:3" ht="28.8" x14ac:dyDescent="0.3">
      <c r="A861" s="4" t="s">
        <v>3605</v>
      </c>
      <c r="B861">
        <v>2</v>
      </c>
      <c r="C861">
        <v>3</v>
      </c>
    </row>
    <row r="862" spans="1:3" ht="43.2" x14ac:dyDescent="0.3">
      <c r="A862" s="4" t="s">
        <v>3606</v>
      </c>
      <c r="B862">
        <v>2</v>
      </c>
      <c r="C862">
        <v>3</v>
      </c>
    </row>
    <row r="863" spans="1:3" ht="28.8" x14ac:dyDescent="0.3">
      <c r="A863" s="4" t="s">
        <v>3607</v>
      </c>
      <c r="B863">
        <v>2</v>
      </c>
      <c r="C863">
        <v>3</v>
      </c>
    </row>
    <row r="864" spans="1:3" ht="28.8" x14ac:dyDescent="0.3">
      <c r="A864" s="4" t="s">
        <v>2933</v>
      </c>
      <c r="B864">
        <v>2</v>
      </c>
      <c r="C864">
        <v>1</v>
      </c>
    </row>
    <row r="865" spans="1:3" ht="28.8" x14ac:dyDescent="0.3">
      <c r="A865" s="4" t="s">
        <v>3608</v>
      </c>
      <c r="B865">
        <v>2</v>
      </c>
      <c r="C865">
        <v>3</v>
      </c>
    </row>
    <row r="866" spans="1:3" ht="28.8" x14ac:dyDescent="0.3">
      <c r="A866" s="4" t="s">
        <v>2934</v>
      </c>
      <c r="B866">
        <v>2</v>
      </c>
      <c r="C866">
        <v>1</v>
      </c>
    </row>
    <row r="867" spans="1:3" ht="28.8" x14ac:dyDescent="0.3">
      <c r="A867" s="4" t="s">
        <v>3609</v>
      </c>
      <c r="B867">
        <v>2</v>
      </c>
      <c r="C867">
        <v>3</v>
      </c>
    </row>
    <row r="868" spans="1:3" ht="28.8" x14ac:dyDescent="0.3">
      <c r="A868" s="4" t="s">
        <v>2935</v>
      </c>
      <c r="B868">
        <v>2</v>
      </c>
      <c r="C868">
        <v>1</v>
      </c>
    </row>
    <row r="869" spans="1:3" ht="28.8" x14ac:dyDescent="0.3">
      <c r="A869" s="4" t="s">
        <v>3610</v>
      </c>
      <c r="B869">
        <v>2</v>
      </c>
      <c r="C869">
        <v>3</v>
      </c>
    </row>
    <row r="870" spans="1:3" ht="28.8" x14ac:dyDescent="0.3">
      <c r="A870" s="4" t="s">
        <v>3611</v>
      </c>
      <c r="B870">
        <v>2</v>
      </c>
      <c r="C870">
        <v>3</v>
      </c>
    </row>
    <row r="871" spans="1:3" ht="28.8" x14ac:dyDescent="0.3">
      <c r="A871" s="4" t="s">
        <v>3612</v>
      </c>
      <c r="B871">
        <v>2</v>
      </c>
      <c r="C871">
        <v>3</v>
      </c>
    </row>
    <row r="872" spans="1:3" ht="28.8" x14ac:dyDescent="0.3">
      <c r="A872" s="4" t="s">
        <v>3613</v>
      </c>
      <c r="B872">
        <v>2</v>
      </c>
      <c r="C872">
        <v>3</v>
      </c>
    </row>
    <row r="873" spans="1:3" ht="28.8" x14ac:dyDescent="0.3">
      <c r="A873" s="4" t="s">
        <v>3614</v>
      </c>
      <c r="B873">
        <v>2</v>
      </c>
      <c r="C873">
        <v>3</v>
      </c>
    </row>
    <row r="874" spans="1:3" ht="28.8" x14ac:dyDescent="0.3">
      <c r="A874" s="4" t="s">
        <v>2936</v>
      </c>
      <c r="B874">
        <v>2</v>
      </c>
      <c r="C874">
        <v>1</v>
      </c>
    </row>
    <row r="875" spans="1:3" x14ac:dyDescent="0.3">
      <c r="A875" s="4" t="s">
        <v>3615</v>
      </c>
      <c r="B875">
        <v>2</v>
      </c>
      <c r="C875">
        <v>3</v>
      </c>
    </row>
    <row r="876" spans="1:3" ht="28.8" x14ac:dyDescent="0.3">
      <c r="A876" s="4" t="s">
        <v>3616</v>
      </c>
      <c r="B876">
        <v>2</v>
      </c>
      <c r="C876">
        <v>3</v>
      </c>
    </row>
    <row r="877" spans="1:3" ht="28.8" x14ac:dyDescent="0.3">
      <c r="A877" s="4" t="s">
        <v>3617</v>
      </c>
      <c r="B877">
        <v>2</v>
      </c>
      <c r="C877">
        <v>3</v>
      </c>
    </row>
    <row r="878" spans="1:3" ht="28.8" x14ac:dyDescent="0.3">
      <c r="A878" s="4" t="s">
        <v>3618</v>
      </c>
      <c r="B878">
        <v>2</v>
      </c>
      <c r="C878">
        <v>3</v>
      </c>
    </row>
    <row r="879" spans="1:3" x14ac:dyDescent="0.3">
      <c r="A879" s="4" t="s">
        <v>3619</v>
      </c>
      <c r="B879">
        <v>2</v>
      </c>
      <c r="C879">
        <v>3</v>
      </c>
    </row>
    <row r="880" spans="1:3" ht="28.8" x14ac:dyDescent="0.3">
      <c r="A880" s="4" t="s">
        <v>3620</v>
      </c>
      <c r="B880">
        <v>2</v>
      </c>
      <c r="C880">
        <v>3</v>
      </c>
    </row>
    <row r="881" spans="1:3" ht="28.8" x14ac:dyDescent="0.3">
      <c r="A881" s="4" t="s">
        <v>3621</v>
      </c>
      <c r="B881">
        <v>2</v>
      </c>
      <c r="C881">
        <v>3</v>
      </c>
    </row>
    <row r="882" spans="1:3" ht="28.8" x14ac:dyDescent="0.3">
      <c r="A882" s="4" t="s">
        <v>3622</v>
      </c>
      <c r="B882">
        <v>2</v>
      </c>
      <c r="C882">
        <v>3</v>
      </c>
    </row>
    <row r="883" spans="1:3" ht="28.8" x14ac:dyDescent="0.3">
      <c r="A883" s="4" t="s">
        <v>3623</v>
      </c>
      <c r="B883">
        <v>2</v>
      </c>
      <c r="C883">
        <v>3</v>
      </c>
    </row>
    <row r="884" spans="1:3" ht="28.8" x14ac:dyDescent="0.3">
      <c r="A884" s="4" t="s">
        <v>3624</v>
      </c>
      <c r="B884">
        <v>2</v>
      </c>
      <c r="C884">
        <v>3</v>
      </c>
    </row>
    <row r="885" spans="1:3" ht="43.2" x14ac:dyDescent="0.3">
      <c r="A885" s="4" t="s">
        <v>2937</v>
      </c>
      <c r="B885">
        <v>2</v>
      </c>
      <c r="C885">
        <v>1</v>
      </c>
    </row>
    <row r="886" spans="1:3" x14ac:dyDescent="0.3">
      <c r="A886" s="4" t="s">
        <v>3625</v>
      </c>
      <c r="B886">
        <v>2</v>
      </c>
      <c r="C886">
        <v>3</v>
      </c>
    </row>
    <row r="887" spans="1:3" ht="28.8" x14ac:dyDescent="0.3">
      <c r="A887" s="4" t="s">
        <v>3626</v>
      </c>
      <c r="B887">
        <v>2</v>
      </c>
      <c r="C887">
        <v>3</v>
      </c>
    </row>
    <row r="888" spans="1:3" ht="28.8" x14ac:dyDescent="0.3">
      <c r="A888" s="4" t="s">
        <v>2938</v>
      </c>
      <c r="B888">
        <v>2</v>
      </c>
      <c r="C888">
        <v>1</v>
      </c>
    </row>
    <row r="889" spans="1:3" ht="28.8" x14ac:dyDescent="0.3">
      <c r="A889" s="4" t="s">
        <v>3627</v>
      </c>
      <c r="B889">
        <v>2</v>
      </c>
      <c r="C889">
        <v>3</v>
      </c>
    </row>
    <row r="890" spans="1:3" ht="28.8" x14ac:dyDescent="0.3">
      <c r="A890" s="4" t="s">
        <v>3628</v>
      </c>
      <c r="B890">
        <v>2</v>
      </c>
      <c r="C890">
        <v>3</v>
      </c>
    </row>
    <row r="891" spans="1:3" x14ac:dyDescent="0.3">
      <c r="A891" s="4" t="s">
        <v>2939</v>
      </c>
      <c r="B891">
        <v>2</v>
      </c>
      <c r="C891">
        <v>1</v>
      </c>
    </row>
    <row r="892" spans="1:3" ht="28.8" x14ac:dyDescent="0.3">
      <c r="A892" s="4" t="s">
        <v>2940</v>
      </c>
      <c r="B892">
        <v>2</v>
      </c>
      <c r="C892">
        <v>1</v>
      </c>
    </row>
    <row r="893" spans="1:3" x14ac:dyDescent="0.3">
      <c r="A893" s="4" t="s">
        <v>3629</v>
      </c>
      <c r="B893">
        <v>2</v>
      </c>
      <c r="C893">
        <v>3</v>
      </c>
    </row>
    <row r="894" spans="1:3" x14ac:dyDescent="0.3">
      <c r="A894" s="4" t="s">
        <v>3630</v>
      </c>
      <c r="B894">
        <v>2</v>
      </c>
      <c r="C894">
        <v>3</v>
      </c>
    </row>
    <row r="895" spans="1:3" ht="28.8" x14ac:dyDescent="0.3">
      <c r="A895" s="4" t="s">
        <v>2941</v>
      </c>
      <c r="B895">
        <v>2</v>
      </c>
      <c r="C895">
        <v>1</v>
      </c>
    </row>
    <row r="896" spans="1:3" ht="28.8" x14ac:dyDescent="0.3">
      <c r="A896" s="4" t="s">
        <v>3631</v>
      </c>
      <c r="B896">
        <v>2</v>
      </c>
      <c r="C896">
        <v>3</v>
      </c>
    </row>
    <row r="897" spans="1:3" ht="28.8" x14ac:dyDescent="0.3">
      <c r="A897" s="4" t="s">
        <v>3632</v>
      </c>
      <c r="B897">
        <v>2</v>
      </c>
      <c r="C897">
        <v>3</v>
      </c>
    </row>
    <row r="898" spans="1:3" ht="28.8" x14ac:dyDescent="0.3">
      <c r="A898" s="4" t="s">
        <v>3633</v>
      </c>
      <c r="B898">
        <v>2</v>
      </c>
      <c r="C898">
        <v>3</v>
      </c>
    </row>
    <row r="899" spans="1:3" x14ac:dyDescent="0.3">
      <c r="A899" s="4" t="s">
        <v>3634</v>
      </c>
      <c r="B899">
        <v>2</v>
      </c>
      <c r="C899">
        <v>3</v>
      </c>
    </row>
    <row r="900" spans="1:3" ht="43.2" x14ac:dyDescent="0.3">
      <c r="A900" s="4" t="s">
        <v>3635</v>
      </c>
      <c r="B900">
        <v>2</v>
      </c>
      <c r="C900">
        <v>3</v>
      </c>
    </row>
    <row r="901" spans="1:3" ht="28.8" x14ac:dyDescent="0.3">
      <c r="A901" s="4" t="s">
        <v>3636</v>
      </c>
      <c r="B901">
        <v>2</v>
      </c>
      <c r="C901">
        <v>3</v>
      </c>
    </row>
    <row r="902" spans="1:3" ht="28.8" x14ac:dyDescent="0.3">
      <c r="A902" s="4" t="s">
        <v>2942</v>
      </c>
      <c r="B902">
        <v>2</v>
      </c>
      <c r="C902">
        <v>1</v>
      </c>
    </row>
    <row r="903" spans="1:3" x14ac:dyDescent="0.3">
      <c r="A903" s="4" t="s">
        <v>3637</v>
      </c>
      <c r="B903">
        <v>2</v>
      </c>
      <c r="C903">
        <v>3</v>
      </c>
    </row>
    <row r="904" spans="1:3" ht="28.8" x14ac:dyDescent="0.3">
      <c r="A904" s="4" t="s">
        <v>3638</v>
      </c>
      <c r="B904">
        <v>2</v>
      </c>
      <c r="C904">
        <v>3</v>
      </c>
    </row>
    <row r="905" spans="1:3" x14ac:dyDescent="0.3">
      <c r="A905" s="4" t="s">
        <v>3639</v>
      </c>
      <c r="B905">
        <v>2</v>
      </c>
      <c r="C905">
        <v>3</v>
      </c>
    </row>
    <row r="906" spans="1:3" ht="28.8" x14ac:dyDescent="0.3">
      <c r="A906" s="4" t="s">
        <v>2943</v>
      </c>
      <c r="B906">
        <v>2</v>
      </c>
      <c r="C906">
        <v>1</v>
      </c>
    </row>
    <row r="907" spans="1:3" ht="28.8" x14ac:dyDescent="0.3">
      <c r="A907" s="4" t="s">
        <v>3640</v>
      </c>
      <c r="B907">
        <v>2</v>
      </c>
      <c r="C907">
        <v>3</v>
      </c>
    </row>
    <row r="908" spans="1:3" ht="28.8" x14ac:dyDescent="0.3">
      <c r="A908" s="4" t="s">
        <v>3641</v>
      </c>
      <c r="B908">
        <v>2</v>
      </c>
      <c r="C908">
        <v>3</v>
      </c>
    </row>
    <row r="909" spans="1:3" ht="28.8" x14ac:dyDescent="0.3">
      <c r="A909" s="4" t="s">
        <v>3642</v>
      </c>
      <c r="B909">
        <v>2</v>
      </c>
      <c r="C909">
        <v>3</v>
      </c>
    </row>
    <row r="910" spans="1:3" ht="28.8" x14ac:dyDescent="0.3">
      <c r="A910" s="4" t="s">
        <v>3643</v>
      </c>
      <c r="B910">
        <v>2</v>
      </c>
      <c r="C910">
        <v>3</v>
      </c>
    </row>
    <row r="911" spans="1:3" ht="28.8" x14ac:dyDescent="0.3">
      <c r="A911" s="4" t="s">
        <v>3644</v>
      </c>
      <c r="B911">
        <v>2</v>
      </c>
      <c r="C911">
        <v>3</v>
      </c>
    </row>
    <row r="912" spans="1:3" ht="28.8" x14ac:dyDescent="0.3">
      <c r="A912" s="4" t="s">
        <v>2945</v>
      </c>
      <c r="B912">
        <v>2</v>
      </c>
      <c r="C912">
        <v>1</v>
      </c>
    </row>
    <row r="913" spans="1:3" ht="28.8" x14ac:dyDescent="0.3">
      <c r="A913" s="4" t="s">
        <v>3645</v>
      </c>
      <c r="B913">
        <v>2</v>
      </c>
      <c r="C913">
        <v>3</v>
      </c>
    </row>
    <row r="914" spans="1:3" ht="28.8" x14ac:dyDescent="0.3">
      <c r="A914" s="4" t="s">
        <v>3646</v>
      </c>
      <c r="B914">
        <v>2</v>
      </c>
      <c r="C914">
        <v>3</v>
      </c>
    </row>
    <row r="915" spans="1:3" ht="43.2" x14ac:dyDescent="0.3">
      <c r="A915" s="4" t="s">
        <v>3647</v>
      </c>
      <c r="B915">
        <v>2</v>
      </c>
      <c r="C915">
        <v>3</v>
      </c>
    </row>
    <row r="916" spans="1:3" x14ac:dyDescent="0.3">
      <c r="A916" s="4" t="s">
        <v>3648</v>
      </c>
      <c r="B916">
        <v>2</v>
      </c>
      <c r="C916">
        <v>3</v>
      </c>
    </row>
    <row r="917" spans="1:3" x14ac:dyDescent="0.3">
      <c r="A917" s="4" t="s">
        <v>3649</v>
      </c>
      <c r="B917">
        <v>2</v>
      </c>
      <c r="C917">
        <v>3</v>
      </c>
    </row>
    <row r="918" spans="1:3" ht="28.8" x14ac:dyDescent="0.3">
      <c r="A918" s="4" t="s">
        <v>3650</v>
      </c>
      <c r="B918">
        <v>2</v>
      </c>
      <c r="C918">
        <v>3</v>
      </c>
    </row>
    <row r="919" spans="1:3" ht="28.8" x14ac:dyDescent="0.3">
      <c r="A919" s="4" t="s">
        <v>2946</v>
      </c>
      <c r="B919">
        <v>2</v>
      </c>
      <c r="C919">
        <v>1</v>
      </c>
    </row>
    <row r="920" spans="1:3" ht="28.8" x14ac:dyDescent="0.3">
      <c r="A920" s="4" t="s">
        <v>3651</v>
      </c>
      <c r="B920">
        <v>2</v>
      </c>
      <c r="C920">
        <v>3</v>
      </c>
    </row>
    <row r="921" spans="1:3" x14ac:dyDescent="0.3">
      <c r="A921" s="4" t="s">
        <v>3652</v>
      </c>
      <c r="B921">
        <v>2</v>
      </c>
      <c r="C921">
        <v>2</v>
      </c>
    </row>
    <row r="922" spans="1:3" x14ac:dyDescent="0.3">
      <c r="A922" s="4" t="s">
        <v>3653</v>
      </c>
      <c r="B922">
        <v>2</v>
      </c>
      <c r="C922">
        <v>3</v>
      </c>
    </row>
    <row r="923" spans="1:3" x14ac:dyDescent="0.3">
      <c r="A923" s="4" t="s">
        <v>3654</v>
      </c>
      <c r="B923">
        <v>2</v>
      </c>
      <c r="C923">
        <v>3</v>
      </c>
    </row>
    <row r="924" spans="1:3" x14ac:dyDescent="0.3">
      <c r="A924" s="4" t="s">
        <v>3655</v>
      </c>
      <c r="B924">
        <v>2</v>
      </c>
      <c r="C924">
        <v>3</v>
      </c>
    </row>
    <row r="925" spans="1:3" ht="28.8" x14ac:dyDescent="0.3">
      <c r="A925" s="4" t="s">
        <v>3656</v>
      </c>
      <c r="B925">
        <v>2</v>
      </c>
      <c r="C925">
        <v>3</v>
      </c>
    </row>
    <row r="926" spans="1:3" ht="28.8" x14ac:dyDescent="0.3">
      <c r="A926" s="4" t="s">
        <v>3657</v>
      </c>
      <c r="B926">
        <v>2</v>
      </c>
      <c r="C926">
        <v>3</v>
      </c>
    </row>
    <row r="927" spans="1:3" ht="28.8" x14ac:dyDescent="0.3">
      <c r="A927" s="4" t="s">
        <v>2948</v>
      </c>
      <c r="B927">
        <v>2</v>
      </c>
      <c r="C927">
        <v>1</v>
      </c>
    </row>
    <row r="928" spans="1:3" ht="28.8" x14ac:dyDescent="0.3">
      <c r="A928" s="4" t="s">
        <v>3658</v>
      </c>
      <c r="B928">
        <v>2</v>
      </c>
      <c r="C928">
        <v>3</v>
      </c>
    </row>
    <row r="929" spans="1:3" ht="28.8" x14ac:dyDescent="0.3">
      <c r="A929" s="4" t="s">
        <v>2949</v>
      </c>
      <c r="B929">
        <v>2</v>
      </c>
      <c r="C929">
        <v>1</v>
      </c>
    </row>
    <row r="930" spans="1:3" ht="28.8" x14ac:dyDescent="0.3">
      <c r="A930" s="4" t="s">
        <v>3659</v>
      </c>
      <c r="B930">
        <v>2</v>
      </c>
      <c r="C930">
        <v>3</v>
      </c>
    </row>
    <row r="931" spans="1:3" x14ac:dyDescent="0.3">
      <c r="A931" s="4" t="s">
        <v>2950</v>
      </c>
      <c r="B931">
        <v>2</v>
      </c>
      <c r="C931">
        <v>1</v>
      </c>
    </row>
    <row r="932" spans="1:3" ht="28.8" x14ac:dyDescent="0.3">
      <c r="A932" s="4" t="s">
        <v>2951</v>
      </c>
      <c r="B932">
        <v>2</v>
      </c>
      <c r="C932">
        <v>1</v>
      </c>
    </row>
    <row r="933" spans="1:3" x14ac:dyDescent="0.3">
      <c r="A933" s="4" t="s">
        <v>3660</v>
      </c>
      <c r="B933">
        <v>2</v>
      </c>
      <c r="C933">
        <v>3</v>
      </c>
    </row>
    <row r="934" spans="1:3" ht="28.8" x14ac:dyDescent="0.3">
      <c r="A934" s="4" t="s">
        <v>3661</v>
      </c>
      <c r="B934">
        <v>2</v>
      </c>
      <c r="C934">
        <v>3</v>
      </c>
    </row>
    <row r="935" spans="1:3" ht="28.8" x14ac:dyDescent="0.3">
      <c r="A935" s="4" t="s">
        <v>2952</v>
      </c>
      <c r="B935">
        <v>2</v>
      </c>
      <c r="C935">
        <v>1</v>
      </c>
    </row>
    <row r="936" spans="1:3" ht="28.8" x14ac:dyDescent="0.3">
      <c r="A936" s="4" t="s">
        <v>3662</v>
      </c>
      <c r="B936">
        <v>2</v>
      </c>
      <c r="C936">
        <v>3</v>
      </c>
    </row>
    <row r="937" spans="1:3" x14ac:dyDescent="0.3">
      <c r="A937" s="4" t="s">
        <v>3663</v>
      </c>
      <c r="B937">
        <v>2</v>
      </c>
      <c r="C937">
        <v>3</v>
      </c>
    </row>
    <row r="938" spans="1:3" ht="28.8" x14ac:dyDescent="0.3">
      <c r="A938" s="4" t="s">
        <v>3664</v>
      </c>
      <c r="B938">
        <v>2</v>
      </c>
      <c r="C938">
        <v>3</v>
      </c>
    </row>
    <row r="939" spans="1:3" ht="28.8" x14ac:dyDescent="0.3">
      <c r="A939" s="4" t="s">
        <v>3665</v>
      </c>
      <c r="B939">
        <v>2</v>
      </c>
      <c r="C939">
        <v>3</v>
      </c>
    </row>
    <row r="940" spans="1:3" ht="28.8" x14ac:dyDescent="0.3">
      <c r="A940" s="4" t="s">
        <v>3666</v>
      </c>
      <c r="B940">
        <v>2</v>
      </c>
      <c r="C940">
        <v>3</v>
      </c>
    </row>
    <row r="941" spans="1:3" ht="28.8" x14ac:dyDescent="0.3">
      <c r="A941" s="4" t="s">
        <v>3667</v>
      </c>
      <c r="B941">
        <v>2</v>
      </c>
      <c r="C941">
        <v>3</v>
      </c>
    </row>
    <row r="942" spans="1:3" ht="28.8" x14ac:dyDescent="0.3">
      <c r="A942" s="4" t="s">
        <v>3668</v>
      </c>
      <c r="B942">
        <v>2</v>
      </c>
      <c r="C942">
        <v>3</v>
      </c>
    </row>
    <row r="943" spans="1:3" ht="28.8" x14ac:dyDescent="0.3">
      <c r="A943" s="4" t="s">
        <v>3669</v>
      </c>
      <c r="B943">
        <v>2</v>
      </c>
      <c r="C943">
        <v>3</v>
      </c>
    </row>
    <row r="944" spans="1:3" ht="28.8" x14ac:dyDescent="0.3">
      <c r="A944" s="4" t="s">
        <v>3670</v>
      </c>
      <c r="B944">
        <v>2</v>
      </c>
      <c r="C944">
        <v>3</v>
      </c>
    </row>
    <row r="945" spans="1:3" x14ac:dyDescent="0.3">
      <c r="A945" s="4" t="s">
        <v>3671</v>
      </c>
      <c r="B945">
        <v>2</v>
      </c>
      <c r="C945">
        <v>3</v>
      </c>
    </row>
    <row r="946" spans="1:3" x14ac:dyDescent="0.3">
      <c r="A946" s="4" t="s">
        <v>3672</v>
      </c>
      <c r="B946">
        <v>2</v>
      </c>
      <c r="C946">
        <v>3</v>
      </c>
    </row>
    <row r="947" spans="1:3" ht="28.8" x14ac:dyDescent="0.3">
      <c r="A947" s="4" t="s">
        <v>3673</v>
      </c>
      <c r="B947">
        <v>2</v>
      </c>
      <c r="C947">
        <v>3</v>
      </c>
    </row>
    <row r="948" spans="1:3" ht="28.8" x14ac:dyDescent="0.3">
      <c r="A948" s="4" t="s">
        <v>3674</v>
      </c>
      <c r="B948">
        <v>2</v>
      </c>
      <c r="C948">
        <v>3</v>
      </c>
    </row>
    <row r="949" spans="1:3" ht="28.8" x14ac:dyDescent="0.3">
      <c r="A949" s="4" t="s">
        <v>3675</v>
      </c>
      <c r="B949">
        <v>2</v>
      </c>
      <c r="C949">
        <v>3</v>
      </c>
    </row>
    <row r="950" spans="1:3" ht="28.8" x14ac:dyDescent="0.3">
      <c r="A950" s="4" t="s">
        <v>2953</v>
      </c>
      <c r="B950">
        <v>2</v>
      </c>
      <c r="C950">
        <v>1</v>
      </c>
    </row>
    <row r="951" spans="1:3" ht="43.2" x14ac:dyDescent="0.3">
      <c r="A951" s="4" t="s">
        <v>2954</v>
      </c>
      <c r="B951">
        <v>2</v>
      </c>
      <c r="C951">
        <v>1</v>
      </c>
    </row>
    <row r="952" spans="1:3" ht="43.2" x14ac:dyDescent="0.3">
      <c r="A952" s="4" t="s">
        <v>3676</v>
      </c>
      <c r="B952">
        <v>2</v>
      </c>
      <c r="C952">
        <v>3</v>
      </c>
    </row>
    <row r="953" spans="1:3" ht="28.8" x14ac:dyDescent="0.3">
      <c r="A953" s="4" t="s">
        <v>3677</v>
      </c>
      <c r="B953">
        <v>2</v>
      </c>
      <c r="C953">
        <v>3</v>
      </c>
    </row>
    <row r="954" spans="1:3" ht="28.8" x14ac:dyDescent="0.3">
      <c r="A954" s="4" t="s">
        <v>3678</v>
      </c>
      <c r="B954">
        <v>2</v>
      </c>
      <c r="C954">
        <v>3</v>
      </c>
    </row>
    <row r="955" spans="1:3" ht="43.2" x14ac:dyDescent="0.3">
      <c r="A955" s="4" t="s">
        <v>2956</v>
      </c>
      <c r="B955">
        <v>2</v>
      </c>
      <c r="C955">
        <v>1</v>
      </c>
    </row>
    <row r="956" spans="1:3" x14ac:dyDescent="0.3">
      <c r="A956" s="4" t="s">
        <v>3679</v>
      </c>
      <c r="B956">
        <v>2</v>
      </c>
      <c r="C956">
        <v>2</v>
      </c>
    </row>
    <row r="957" spans="1:3" x14ac:dyDescent="0.3">
      <c r="A957" s="4" t="s">
        <v>3680</v>
      </c>
      <c r="B957">
        <v>2</v>
      </c>
      <c r="C957">
        <v>3</v>
      </c>
    </row>
    <row r="958" spans="1:3" ht="28.8" x14ac:dyDescent="0.3">
      <c r="A958" s="4" t="s">
        <v>3681</v>
      </c>
      <c r="B958">
        <v>3</v>
      </c>
    </row>
    <row r="959" spans="1:3" ht="28.8" x14ac:dyDescent="0.3">
      <c r="A959" s="4" t="s">
        <v>3682</v>
      </c>
      <c r="B959">
        <v>3</v>
      </c>
    </row>
    <row r="960" spans="1:3" ht="43.2" x14ac:dyDescent="0.3">
      <c r="A960" s="4" t="s">
        <v>3683</v>
      </c>
      <c r="B960">
        <v>3</v>
      </c>
    </row>
    <row r="961" spans="1:2" ht="28.8" x14ac:dyDescent="0.3">
      <c r="A961" s="4" t="s">
        <v>3684</v>
      </c>
      <c r="B961">
        <v>3</v>
      </c>
    </row>
    <row r="962" spans="1:2" ht="28.8" x14ac:dyDescent="0.3">
      <c r="A962" s="4" t="s">
        <v>3685</v>
      </c>
      <c r="B962">
        <v>3</v>
      </c>
    </row>
    <row r="963" spans="1:2" ht="28.8" x14ac:dyDescent="0.3">
      <c r="A963" s="4" t="s">
        <v>3686</v>
      </c>
      <c r="B963">
        <v>3</v>
      </c>
    </row>
    <row r="964" spans="1:2" ht="28.8" x14ac:dyDescent="0.3">
      <c r="A964" s="4" t="s">
        <v>3687</v>
      </c>
      <c r="B964">
        <v>3</v>
      </c>
    </row>
    <row r="965" spans="1:2" ht="28.8" x14ac:dyDescent="0.3">
      <c r="A965" s="4" t="s">
        <v>3688</v>
      </c>
      <c r="B965">
        <v>3</v>
      </c>
    </row>
    <row r="966" spans="1:2" ht="28.8" x14ac:dyDescent="0.3">
      <c r="A966" s="4" t="s">
        <v>3689</v>
      </c>
      <c r="B966">
        <v>3</v>
      </c>
    </row>
    <row r="967" spans="1:2" x14ac:dyDescent="0.3">
      <c r="A967" s="4" t="s">
        <v>3690</v>
      </c>
      <c r="B967">
        <v>3</v>
      </c>
    </row>
    <row r="968" spans="1:2" ht="28.8" x14ac:dyDescent="0.3">
      <c r="A968" s="4" t="s">
        <v>3691</v>
      </c>
      <c r="B968">
        <v>3</v>
      </c>
    </row>
    <row r="969" spans="1:2" ht="28.8" x14ac:dyDescent="0.3">
      <c r="A969" s="4" t="s">
        <v>3692</v>
      </c>
      <c r="B969">
        <v>3</v>
      </c>
    </row>
    <row r="970" spans="1:2" ht="28.8" x14ac:dyDescent="0.3">
      <c r="A970" s="4" t="s">
        <v>3693</v>
      </c>
      <c r="B970">
        <v>3</v>
      </c>
    </row>
    <row r="971" spans="1:2" x14ac:dyDescent="0.3">
      <c r="A971" s="4" t="s">
        <v>3694</v>
      </c>
      <c r="B971">
        <v>3</v>
      </c>
    </row>
    <row r="972" spans="1:2" ht="28.8" x14ac:dyDescent="0.3">
      <c r="A972" s="4" t="s">
        <v>3695</v>
      </c>
      <c r="B972">
        <v>3</v>
      </c>
    </row>
    <row r="973" spans="1:2" ht="28.8" x14ac:dyDescent="0.3">
      <c r="A973" s="4" t="s">
        <v>3696</v>
      </c>
      <c r="B973">
        <v>3</v>
      </c>
    </row>
    <row r="974" spans="1:2" ht="28.8" x14ac:dyDescent="0.3">
      <c r="A974" s="4" t="s">
        <v>3697</v>
      </c>
      <c r="B974">
        <v>3</v>
      </c>
    </row>
    <row r="975" spans="1:2" ht="28.8" x14ac:dyDescent="0.3">
      <c r="A975" s="4" t="s">
        <v>3698</v>
      </c>
      <c r="B975">
        <v>3</v>
      </c>
    </row>
    <row r="976" spans="1:2" ht="28.8" x14ac:dyDescent="0.3">
      <c r="A976" s="4" t="s">
        <v>3699</v>
      </c>
      <c r="B976">
        <v>3</v>
      </c>
    </row>
    <row r="977" spans="1:2" ht="28.8" x14ac:dyDescent="0.3">
      <c r="A977" s="4" t="s">
        <v>3700</v>
      </c>
      <c r="B977">
        <v>3</v>
      </c>
    </row>
    <row r="978" spans="1:2" ht="43.2" x14ac:dyDescent="0.3">
      <c r="A978" s="4" t="s">
        <v>3701</v>
      </c>
      <c r="B978">
        <v>3</v>
      </c>
    </row>
    <row r="979" spans="1:2" ht="28.8" x14ac:dyDescent="0.3">
      <c r="A979" s="4" t="s">
        <v>3702</v>
      </c>
      <c r="B979">
        <v>3</v>
      </c>
    </row>
    <row r="980" spans="1:2" ht="43.2" x14ac:dyDescent="0.3">
      <c r="A980" s="4" t="s">
        <v>3703</v>
      </c>
      <c r="B980">
        <v>3</v>
      </c>
    </row>
    <row r="981" spans="1:2" ht="28.8" x14ac:dyDescent="0.3">
      <c r="A981" s="4" t="s">
        <v>3704</v>
      </c>
      <c r="B981">
        <v>3</v>
      </c>
    </row>
    <row r="982" spans="1:2" ht="28.8" x14ac:dyDescent="0.3">
      <c r="A982" s="4" t="s">
        <v>3705</v>
      </c>
      <c r="B982">
        <v>3</v>
      </c>
    </row>
    <row r="983" spans="1:2" x14ac:dyDescent="0.3">
      <c r="A983" s="4" t="s">
        <v>3706</v>
      </c>
      <c r="B983">
        <v>3</v>
      </c>
    </row>
    <row r="984" spans="1:2" ht="28.8" x14ac:dyDescent="0.3">
      <c r="A984" s="4" t="s">
        <v>3707</v>
      </c>
      <c r="B984">
        <v>3</v>
      </c>
    </row>
    <row r="985" spans="1:2" ht="28.8" x14ac:dyDescent="0.3">
      <c r="A985" s="4" t="s">
        <v>3708</v>
      </c>
      <c r="B985">
        <v>3</v>
      </c>
    </row>
    <row r="986" spans="1:2" ht="28.8" x14ac:dyDescent="0.3">
      <c r="A986" s="4" t="s">
        <v>3709</v>
      </c>
      <c r="B986">
        <v>3</v>
      </c>
    </row>
    <row r="987" spans="1:2" ht="28.8" x14ac:dyDescent="0.3">
      <c r="A987" s="4" t="s">
        <v>3710</v>
      </c>
      <c r="B987">
        <v>3</v>
      </c>
    </row>
    <row r="988" spans="1:2" ht="28.8" x14ac:dyDescent="0.3">
      <c r="A988" s="4" t="s">
        <v>3711</v>
      </c>
      <c r="B988">
        <v>3</v>
      </c>
    </row>
    <row r="989" spans="1:2" ht="28.8" x14ac:dyDescent="0.3">
      <c r="A989" s="4" t="s">
        <v>3712</v>
      </c>
      <c r="B989">
        <v>3</v>
      </c>
    </row>
    <row r="990" spans="1:2" ht="28.8" x14ac:dyDescent="0.3">
      <c r="A990" s="4" t="s">
        <v>3713</v>
      </c>
      <c r="B990">
        <v>3</v>
      </c>
    </row>
    <row r="991" spans="1:2" ht="28.8" x14ac:dyDescent="0.3">
      <c r="A991" s="4" t="s">
        <v>3714</v>
      </c>
      <c r="B991">
        <v>3</v>
      </c>
    </row>
    <row r="992" spans="1:2" ht="28.8" x14ac:dyDescent="0.3">
      <c r="A992" s="4" t="s">
        <v>3715</v>
      </c>
      <c r="B992">
        <v>3</v>
      </c>
    </row>
    <row r="993" spans="1:2" ht="28.8" x14ac:dyDescent="0.3">
      <c r="A993" s="4" t="s">
        <v>3716</v>
      </c>
      <c r="B993">
        <v>3</v>
      </c>
    </row>
    <row r="994" spans="1:2" ht="43.2" x14ac:dyDescent="0.3">
      <c r="A994" s="4" t="s">
        <v>3717</v>
      </c>
      <c r="B994">
        <v>3</v>
      </c>
    </row>
    <row r="995" spans="1:2" ht="43.2" x14ac:dyDescent="0.3">
      <c r="A995" s="4" t="s">
        <v>3718</v>
      </c>
      <c r="B995">
        <v>3</v>
      </c>
    </row>
    <row r="996" spans="1:2" ht="43.2" x14ac:dyDescent="0.3">
      <c r="A996" s="4" t="s">
        <v>3719</v>
      </c>
      <c r="B996">
        <v>3</v>
      </c>
    </row>
    <row r="997" spans="1:2" ht="28.8" x14ac:dyDescent="0.3">
      <c r="A997" s="4" t="s">
        <v>3720</v>
      </c>
      <c r="B997">
        <v>3</v>
      </c>
    </row>
    <row r="998" spans="1:2" ht="28.8" x14ac:dyDescent="0.3">
      <c r="A998" s="4" t="s">
        <v>3721</v>
      </c>
      <c r="B998">
        <v>3</v>
      </c>
    </row>
    <row r="999" spans="1:2" ht="28.8" x14ac:dyDescent="0.3">
      <c r="A999" s="4" t="s">
        <v>3722</v>
      </c>
      <c r="B999">
        <v>3</v>
      </c>
    </row>
    <row r="1000" spans="1:2" ht="43.2" x14ac:dyDescent="0.3">
      <c r="A1000" s="4" t="s">
        <v>3723</v>
      </c>
      <c r="B1000">
        <v>3</v>
      </c>
    </row>
    <row r="1001" spans="1:2" ht="28.8" x14ac:dyDescent="0.3">
      <c r="A1001" s="4" t="s">
        <v>3724</v>
      </c>
      <c r="B1001">
        <v>3</v>
      </c>
    </row>
    <row r="1002" spans="1:2" ht="28.8" x14ac:dyDescent="0.3">
      <c r="A1002" s="4" t="s">
        <v>3725</v>
      </c>
      <c r="B1002">
        <v>3</v>
      </c>
    </row>
    <row r="1003" spans="1:2" ht="28.8" x14ac:dyDescent="0.3">
      <c r="A1003" s="4" t="s">
        <v>3726</v>
      </c>
      <c r="B1003">
        <v>3</v>
      </c>
    </row>
    <row r="1004" spans="1:2" ht="28.8" x14ac:dyDescent="0.3">
      <c r="A1004" s="4" t="s">
        <v>3727</v>
      </c>
      <c r="B1004">
        <v>3</v>
      </c>
    </row>
    <row r="1005" spans="1:2" ht="28.8" x14ac:dyDescent="0.3">
      <c r="A1005" s="4" t="s">
        <v>3728</v>
      </c>
      <c r="B1005">
        <v>3</v>
      </c>
    </row>
    <row r="1006" spans="1:2" ht="28.8" x14ac:dyDescent="0.3">
      <c r="A1006" s="4" t="s">
        <v>3729</v>
      </c>
      <c r="B1006">
        <v>3</v>
      </c>
    </row>
    <row r="1007" spans="1:2" ht="28.8" x14ac:dyDescent="0.3">
      <c r="A1007" s="4" t="s">
        <v>3730</v>
      </c>
      <c r="B1007">
        <v>3</v>
      </c>
    </row>
    <row r="1008" spans="1:2" ht="28.8" x14ac:dyDescent="0.3">
      <c r="A1008" s="4" t="s">
        <v>3731</v>
      </c>
      <c r="B1008">
        <v>3</v>
      </c>
    </row>
    <row r="1009" spans="1:2" ht="28.8" x14ac:dyDescent="0.3">
      <c r="A1009" s="4" t="s">
        <v>3732</v>
      </c>
      <c r="B1009">
        <v>3</v>
      </c>
    </row>
    <row r="1010" spans="1:2" ht="28.8" x14ac:dyDescent="0.3">
      <c r="A1010" s="4" t="s">
        <v>3733</v>
      </c>
      <c r="B1010">
        <v>3</v>
      </c>
    </row>
    <row r="1011" spans="1:2" ht="28.8" x14ac:dyDescent="0.3">
      <c r="A1011" s="4" t="s">
        <v>3734</v>
      </c>
      <c r="B1011">
        <v>3</v>
      </c>
    </row>
    <row r="1012" spans="1:2" ht="28.8" x14ac:dyDescent="0.3">
      <c r="A1012" s="4" t="s">
        <v>3735</v>
      </c>
      <c r="B1012">
        <v>3</v>
      </c>
    </row>
    <row r="1013" spans="1:2" ht="28.8" x14ac:dyDescent="0.3">
      <c r="A1013" s="4" t="s">
        <v>3736</v>
      </c>
      <c r="B1013">
        <v>3</v>
      </c>
    </row>
    <row r="1014" spans="1:2" ht="28.8" x14ac:dyDescent="0.3">
      <c r="A1014" s="4" t="s">
        <v>3737</v>
      </c>
      <c r="B1014">
        <v>3</v>
      </c>
    </row>
    <row r="1015" spans="1:2" ht="43.2" x14ac:dyDescent="0.3">
      <c r="A1015" s="4" t="s">
        <v>3738</v>
      </c>
      <c r="B1015">
        <v>3</v>
      </c>
    </row>
    <row r="1016" spans="1:2" ht="28.8" x14ac:dyDescent="0.3">
      <c r="A1016" s="4" t="s">
        <v>3739</v>
      </c>
      <c r="B1016">
        <v>3</v>
      </c>
    </row>
    <row r="1017" spans="1:2" ht="28.8" x14ac:dyDescent="0.3">
      <c r="A1017" s="4" t="s">
        <v>3740</v>
      </c>
      <c r="B1017">
        <v>3</v>
      </c>
    </row>
    <row r="1018" spans="1:2" ht="28.8" x14ac:dyDescent="0.3">
      <c r="A1018" s="4" t="s">
        <v>3741</v>
      </c>
      <c r="B1018">
        <v>3</v>
      </c>
    </row>
    <row r="1019" spans="1:2" ht="28.8" x14ac:dyDescent="0.3">
      <c r="A1019" s="4" t="s">
        <v>3742</v>
      </c>
      <c r="B1019">
        <v>3</v>
      </c>
    </row>
    <row r="1020" spans="1:2" ht="28.8" x14ac:dyDescent="0.3">
      <c r="A1020" s="4" t="s">
        <v>3743</v>
      </c>
      <c r="B1020">
        <v>3</v>
      </c>
    </row>
    <row r="1021" spans="1:2" ht="28.8" x14ac:dyDescent="0.3">
      <c r="A1021" s="4" t="s">
        <v>3744</v>
      </c>
      <c r="B1021">
        <v>3</v>
      </c>
    </row>
    <row r="1022" spans="1:2" ht="43.2" x14ac:dyDescent="0.3">
      <c r="A1022" s="4" t="s">
        <v>3745</v>
      </c>
      <c r="B1022">
        <v>3</v>
      </c>
    </row>
    <row r="1023" spans="1:2" ht="43.2" x14ac:dyDescent="0.3">
      <c r="A1023" s="4" t="s">
        <v>3746</v>
      </c>
      <c r="B1023">
        <v>3</v>
      </c>
    </row>
    <row r="1024" spans="1:2" ht="28.8" x14ac:dyDescent="0.3">
      <c r="A1024" s="4" t="s">
        <v>3747</v>
      </c>
      <c r="B1024">
        <v>3</v>
      </c>
    </row>
    <row r="1025" spans="1:2" ht="28.8" x14ac:dyDescent="0.3">
      <c r="A1025" s="4" t="s">
        <v>3748</v>
      </c>
      <c r="B1025">
        <v>3</v>
      </c>
    </row>
    <row r="1026" spans="1:2" ht="28.8" x14ac:dyDescent="0.3">
      <c r="A1026" s="4" t="s">
        <v>3749</v>
      </c>
      <c r="B1026">
        <v>3</v>
      </c>
    </row>
    <row r="1027" spans="1:2" ht="43.2" x14ac:dyDescent="0.3">
      <c r="A1027" s="4" t="s">
        <v>3750</v>
      </c>
      <c r="B1027">
        <v>3</v>
      </c>
    </row>
    <row r="1028" spans="1:2" ht="28.8" x14ac:dyDescent="0.3">
      <c r="A1028" s="4" t="s">
        <v>3751</v>
      </c>
      <c r="B1028">
        <v>3</v>
      </c>
    </row>
    <row r="1029" spans="1:2" ht="28.8" x14ac:dyDescent="0.3">
      <c r="A1029" s="4" t="s">
        <v>3752</v>
      </c>
      <c r="B1029">
        <v>3</v>
      </c>
    </row>
    <row r="1030" spans="1:2" ht="28.8" x14ac:dyDescent="0.3">
      <c r="A1030" s="4" t="s">
        <v>3753</v>
      </c>
      <c r="B1030">
        <v>3</v>
      </c>
    </row>
    <row r="1031" spans="1:2" ht="28.8" x14ac:dyDescent="0.3">
      <c r="A1031" s="4" t="s">
        <v>3754</v>
      </c>
      <c r="B1031">
        <v>3</v>
      </c>
    </row>
    <row r="1032" spans="1:2" ht="28.8" x14ac:dyDescent="0.3">
      <c r="A1032" s="4" t="s">
        <v>3755</v>
      </c>
      <c r="B1032">
        <v>3</v>
      </c>
    </row>
    <row r="1033" spans="1:2" ht="28.8" x14ac:dyDescent="0.3">
      <c r="A1033" s="4" t="s">
        <v>3756</v>
      </c>
      <c r="B1033">
        <v>3</v>
      </c>
    </row>
    <row r="1034" spans="1:2" ht="28.8" x14ac:dyDescent="0.3">
      <c r="A1034" s="4" t="s">
        <v>3757</v>
      </c>
      <c r="B1034">
        <v>3</v>
      </c>
    </row>
    <row r="1035" spans="1:2" ht="28.8" x14ac:dyDescent="0.3">
      <c r="A1035" s="4" t="s">
        <v>3758</v>
      </c>
      <c r="B1035">
        <v>3</v>
      </c>
    </row>
    <row r="1036" spans="1:2" ht="28.8" x14ac:dyDescent="0.3">
      <c r="A1036" s="4" t="s">
        <v>3759</v>
      </c>
      <c r="B1036">
        <v>3</v>
      </c>
    </row>
    <row r="1037" spans="1:2" ht="28.8" x14ac:dyDescent="0.3">
      <c r="A1037" s="4" t="s">
        <v>3760</v>
      </c>
      <c r="B1037">
        <v>3</v>
      </c>
    </row>
    <row r="1038" spans="1:2" ht="43.2" x14ac:dyDescent="0.3">
      <c r="A1038" s="4" t="s">
        <v>3761</v>
      </c>
      <c r="B1038">
        <v>3</v>
      </c>
    </row>
    <row r="1039" spans="1:2" ht="28.8" x14ac:dyDescent="0.3">
      <c r="A1039" s="4" t="s">
        <v>3762</v>
      </c>
      <c r="B1039">
        <v>3</v>
      </c>
    </row>
    <row r="1040" spans="1:2" ht="28.8" x14ac:dyDescent="0.3">
      <c r="A1040" s="4" t="s">
        <v>3763</v>
      </c>
      <c r="B1040">
        <v>3</v>
      </c>
    </row>
    <row r="1041" spans="1:2" ht="28.8" x14ac:dyDescent="0.3">
      <c r="A1041" s="4" t="s">
        <v>3764</v>
      </c>
      <c r="B1041">
        <v>3</v>
      </c>
    </row>
    <row r="1042" spans="1:2" ht="28.8" x14ac:dyDescent="0.3">
      <c r="A1042" s="4" t="s">
        <v>3765</v>
      </c>
      <c r="B1042">
        <v>3</v>
      </c>
    </row>
    <row r="1043" spans="1:2" ht="28.8" x14ac:dyDescent="0.3">
      <c r="A1043" s="4" t="s">
        <v>3766</v>
      </c>
      <c r="B1043">
        <v>3</v>
      </c>
    </row>
    <row r="1044" spans="1:2" ht="28.8" x14ac:dyDescent="0.3">
      <c r="A1044" s="4" t="s">
        <v>3767</v>
      </c>
      <c r="B1044">
        <v>3</v>
      </c>
    </row>
    <row r="1045" spans="1:2" ht="28.8" x14ac:dyDescent="0.3">
      <c r="A1045" s="4" t="s">
        <v>3768</v>
      </c>
      <c r="B1045">
        <v>3</v>
      </c>
    </row>
    <row r="1046" spans="1:2" ht="43.2" x14ac:dyDescent="0.3">
      <c r="A1046" s="4" t="s">
        <v>3769</v>
      </c>
      <c r="B1046">
        <v>3</v>
      </c>
    </row>
    <row r="1047" spans="1:2" ht="28.8" x14ac:dyDescent="0.3">
      <c r="A1047" s="4" t="s">
        <v>3770</v>
      </c>
      <c r="B1047">
        <v>3</v>
      </c>
    </row>
    <row r="1048" spans="1:2" ht="28.8" x14ac:dyDescent="0.3">
      <c r="A1048" s="4" t="s">
        <v>3771</v>
      </c>
      <c r="B1048">
        <v>3</v>
      </c>
    </row>
    <row r="1049" spans="1:2" x14ac:dyDescent="0.3">
      <c r="A1049" s="4" t="s">
        <v>3772</v>
      </c>
      <c r="B1049">
        <v>3</v>
      </c>
    </row>
    <row r="1050" spans="1:2" ht="28.8" x14ac:dyDescent="0.3">
      <c r="A1050" s="4" t="s">
        <v>3773</v>
      </c>
      <c r="B1050">
        <v>3</v>
      </c>
    </row>
    <row r="1051" spans="1:2" ht="28.8" x14ac:dyDescent="0.3">
      <c r="A1051" s="4" t="s">
        <v>3774</v>
      </c>
      <c r="B1051">
        <v>3</v>
      </c>
    </row>
    <row r="1052" spans="1:2" ht="28.8" x14ac:dyDescent="0.3">
      <c r="A1052" s="4" t="s">
        <v>3775</v>
      </c>
      <c r="B1052">
        <v>3</v>
      </c>
    </row>
    <row r="1053" spans="1:2" ht="28.8" x14ac:dyDescent="0.3">
      <c r="A1053" s="4" t="s">
        <v>3776</v>
      </c>
      <c r="B1053">
        <v>3</v>
      </c>
    </row>
    <row r="1054" spans="1:2" ht="28.8" x14ac:dyDescent="0.3">
      <c r="A1054" s="4" t="s">
        <v>3777</v>
      </c>
      <c r="B1054">
        <v>3</v>
      </c>
    </row>
    <row r="1055" spans="1:2" ht="28.8" x14ac:dyDescent="0.3">
      <c r="A1055" s="4" t="s">
        <v>3778</v>
      </c>
      <c r="B1055">
        <v>3</v>
      </c>
    </row>
    <row r="1056" spans="1:2" ht="28.8" x14ac:dyDescent="0.3">
      <c r="A1056" s="4" t="s">
        <v>3779</v>
      </c>
      <c r="B1056">
        <v>3</v>
      </c>
    </row>
    <row r="1057" spans="1:2" ht="43.2" x14ac:dyDescent="0.3">
      <c r="A1057" s="4" t="s">
        <v>3780</v>
      </c>
      <c r="B1057">
        <v>3</v>
      </c>
    </row>
    <row r="1058" spans="1:2" ht="43.2" x14ac:dyDescent="0.3">
      <c r="A1058" s="4" t="s">
        <v>3781</v>
      </c>
      <c r="B1058">
        <v>3</v>
      </c>
    </row>
    <row r="1059" spans="1:2" ht="28.8" x14ac:dyDescent="0.3">
      <c r="A1059" s="4" t="s">
        <v>3782</v>
      </c>
      <c r="B1059">
        <v>3</v>
      </c>
    </row>
    <row r="1060" spans="1:2" ht="28.8" x14ac:dyDescent="0.3">
      <c r="A1060" s="4" t="s">
        <v>3783</v>
      </c>
      <c r="B1060">
        <v>3</v>
      </c>
    </row>
    <row r="1061" spans="1:2" ht="28.8" x14ac:dyDescent="0.3">
      <c r="A1061" s="4" t="s">
        <v>3784</v>
      </c>
      <c r="B1061">
        <v>3</v>
      </c>
    </row>
    <row r="1062" spans="1:2" ht="28.8" x14ac:dyDescent="0.3">
      <c r="A1062" s="4" t="s">
        <v>3785</v>
      </c>
      <c r="B1062">
        <v>3</v>
      </c>
    </row>
    <row r="1063" spans="1:2" ht="28.8" x14ac:dyDescent="0.3">
      <c r="A1063" s="4" t="s">
        <v>3786</v>
      </c>
      <c r="B1063">
        <v>3</v>
      </c>
    </row>
    <row r="1064" spans="1:2" ht="28.8" x14ac:dyDescent="0.3">
      <c r="A1064" s="4" t="s">
        <v>3787</v>
      </c>
      <c r="B1064">
        <v>3</v>
      </c>
    </row>
    <row r="1065" spans="1:2" ht="28.8" x14ac:dyDescent="0.3">
      <c r="A1065" s="4" t="s">
        <v>3788</v>
      </c>
      <c r="B1065">
        <v>3</v>
      </c>
    </row>
    <row r="1066" spans="1:2" ht="28.8" x14ac:dyDescent="0.3">
      <c r="A1066" s="4" t="s">
        <v>3789</v>
      </c>
      <c r="B1066">
        <v>3</v>
      </c>
    </row>
    <row r="1067" spans="1:2" ht="28.8" x14ac:dyDescent="0.3">
      <c r="A1067" s="4" t="s">
        <v>3790</v>
      </c>
      <c r="B1067">
        <v>3</v>
      </c>
    </row>
    <row r="1068" spans="1:2" ht="28.8" x14ac:dyDescent="0.3">
      <c r="A1068" s="4" t="s">
        <v>3791</v>
      </c>
      <c r="B1068">
        <v>3</v>
      </c>
    </row>
    <row r="1069" spans="1:2" ht="28.8" x14ac:dyDescent="0.3">
      <c r="A1069" s="4" t="s">
        <v>3792</v>
      </c>
      <c r="B1069">
        <v>3</v>
      </c>
    </row>
    <row r="1070" spans="1:2" ht="28.8" x14ac:dyDescent="0.3">
      <c r="A1070" s="4" t="s">
        <v>3793</v>
      </c>
      <c r="B1070">
        <v>3</v>
      </c>
    </row>
    <row r="1071" spans="1:2" ht="28.8" x14ac:dyDescent="0.3">
      <c r="A1071" s="4" t="s">
        <v>3794</v>
      </c>
      <c r="B1071">
        <v>3</v>
      </c>
    </row>
    <row r="1072" spans="1:2" ht="28.8" x14ac:dyDescent="0.3">
      <c r="A1072" s="4" t="s">
        <v>3795</v>
      </c>
      <c r="B1072">
        <v>3</v>
      </c>
    </row>
    <row r="1073" spans="1:2" ht="43.2" x14ac:dyDescent="0.3">
      <c r="A1073" s="4" t="s">
        <v>3796</v>
      </c>
      <c r="B1073">
        <v>3</v>
      </c>
    </row>
    <row r="1074" spans="1:2" ht="28.8" x14ac:dyDescent="0.3">
      <c r="A1074" s="4" t="s">
        <v>3797</v>
      </c>
      <c r="B1074">
        <v>3</v>
      </c>
    </row>
    <row r="1075" spans="1:2" ht="28.8" x14ac:dyDescent="0.3">
      <c r="A1075" s="4" t="s">
        <v>3798</v>
      </c>
      <c r="B1075">
        <v>3</v>
      </c>
    </row>
    <row r="1076" spans="1:2" ht="28.8" x14ac:dyDescent="0.3">
      <c r="A1076" s="4" t="s">
        <v>3799</v>
      </c>
      <c r="B1076">
        <v>3</v>
      </c>
    </row>
    <row r="1077" spans="1:2" ht="28.8" x14ac:dyDescent="0.3">
      <c r="A1077" s="4" t="s">
        <v>3800</v>
      </c>
      <c r="B1077">
        <v>3</v>
      </c>
    </row>
    <row r="1078" spans="1:2" x14ac:dyDescent="0.3">
      <c r="A1078" s="4" t="s">
        <v>3801</v>
      </c>
      <c r="B1078">
        <v>3</v>
      </c>
    </row>
    <row r="1079" spans="1:2" x14ac:dyDescent="0.3">
      <c r="A1079" s="4" t="s">
        <v>3802</v>
      </c>
      <c r="B1079">
        <v>3</v>
      </c>
    </row>
    <row r="1080" spans="1:2" ht="28.8" x14ac:dyDescent="0.3">
      <c r="A1080" s="4" t="s">
        <v>3803</v>
      </c>
      <c r="B1080">
        <v>3</v>
      </c>
    </row>
    <row r="1081" spans="1:2" ht="43.2" x14ac:dyDescent="0.3">
      <c r="A1081" s="4" t="s">
        <v>3804</v>
      </c>
      <c r="B1081">
        <v>3</v>
      </c>
    </row>
    <row r="1082" spans="1:2" ht="28.8" x14ac:dyDescent="0.3">
      <c r="A1082" s="4" t="s">
        <v>3805</v>
      </c>
      <c r="B1082">
        <v>3</v>
      </c>
    </row>
    <row r="1083" spans="1:2" ht="43.2" x14ac:dyDescent="0.3">
      <c r="A1083" s="4" t="s">
        <v>3806</v>
      </c>
      <c r="B1083">
        <v>3</v>
      </c>
    </row>
    <row r="1084" spans="1:2" ht="43.2" x14ac:dyDescent="0.3">
      <c r="A1084" s="4" t="s">
        <v>3807</v>
      </c>
      <c r="B1084">
        <v>3</v>
      </c>
    </row>
    <row r="1085" spans="1:2" ht="43.2" x14ac:dyDescent="0.3">
      <c r="A1085" s="4" t="s">
        <v>3808</v>
      </c>
      <c r="B1085">
        <v>3</v>
      </c>
    </row>
    <row r="1086" spans="1:2" ht="28.8" x14ac:dyDescent="0.3">
      <c r="A1086" s="4" t="s">
        <v>3809</v>
      </c>
      <c r="B1086">
        <v>3</v>
      </c>
    </row>
    <row r="1087" spans="1:2" ht="28.8" x14ac:dyDescent="0.3">
      <c r="A1087" s="4" t="s">
        <v>3810</v>
      </c>
      <c r="B1087">
        <v>3</v>
      </c>
    </row>
    <row r="1088" spans="1:2" ht="57.6" x14ac:dyDescent="0.3">
      <c r="A1088" s="4" t="s">
        <v>3811</v>
      </c>
      <c r="B1088">
        <v>3</v>
      </c>
    </row>
    <row r="1089" spans="1:2" ht="28.8" x14ac:dyDescent="0.3">
      <c r="A1089" s="4" t="s">
        <v>3812</v>
      </c>
      <c r="B1089">
        <v>3</v>
      </c>
    </row>
    <row r="1090" spans="1:2" x14ac:dyDescent="0.3">
      <c r="A1090" s="4" t="s">
        <v>3813</v>
      </c>
      <c r="B1090">
        <v>3</v>
      </c>
    </row>
    <row r="1091" spans="1:2" ht="43.2" x14ac:dyDescent="0.3">
      <c r="A1091" s="4" t="s">
        <v>3814</v>
      </c>
      <c r="B1091">
        <v>3</v>
      </c>
    </row>
    <row r="1092" spans="1:2" ht="43.2" x14ac:dyDescent="0.3">
      <c r="A1092" s="4" t="s">
        <v>3815</v>
      </c>
      <c r="B1092">
        <v>3</v>
      </c>
    </row>
    <row r="1093" spans="1:2" ht="28.8" x14ac:dyDescent="0.3">
      <c r="A1093" s="4" t="s">
        <v>3816</v>
      </c>
      <c r="B1093">
        <v>3</v>
      </c>
    </row>
    <row r="1094" spans="1:2" ht="28.8" x14ac:dyDescent="0.3">
      <c r="A1094" s="4" t="s">
        <v>3817</v>
      </c>
      <c r="B1094">
        <v>3</v>
      </c>
    </row>
    <row r="1095" spans="1:2" ht="28.8" x14ac:dyDescent="0.3">
      <c r="A1095" s="4" t="s">
        <v>3818</v>
      </c>
      <c r="B1095">
        <v>3</v>
      </c>
    </row>
    <row r="1096" spans="1:2" ht="28.8" x14ac:dyDescent="0.3">
      <c r="A1096" s="4" t="s">
        <v>3819</v>
      </c>
      <c r="B1096">
        <v>3</v>
      </c>
    </row>
    <row r="1097" spans="1:2" ht="28.8" x14ac:dyDescent="0.3">
      <c r="A1097" s="4" t="s">
        <v>3820</v>
      </c>
      <c r="B1097">
        <v>3</v>
      </c>
    </row>
    <row r="1098" spans="1:2" ht="28.8" x14ac:dyDescent="0.3">
      <c r="A1098" s="4" t="s">
        <v>3821</v>
      </c>
      <c r="B1098">
        <v>3</v>
      </c>
    </row>
    <row r="1099" spans="1:2" ht="28.8" x14ac:dyDescent="0.3">
      <c r="A1099" s="4" t="s">
        <v>3822</v>
      </c>
      <c r="B1099">
        <v>3</v>
      </c>
    </row>
    <row r="1100" spans="1:2" x14ac:dyDescent="0.3">
      <c r="A1100" s="4" t="s">
        <v>3823</v>
      </c>
      <c r="B1100">
        <v>3</v>
      </c>
    </row>
    <row r="1101" spans="1:2" ht="43.2" x14ac:dyDescent="0.3">
      <c r="A1101" s="4" t="s">
        <v>3824</v>
      </c>
      <c r="B1101">
        <v>3</v>
      </c>
    </row>
    <row r="1102" spans="1:2" x14ac:dyDescent="0.3">
      <c r="A1102" s="4" t="s">
        <v>3825</v>
      </c>
      <c r="B1102">
        <v>3</v>
      </c>
    </row>
    <row r="1103" spans="1:2" ht="43.2" x14ac:dyDescent="0.3">
      <c r="A1103" s="4" t="s">
        <v>3826</v>
      </c>
      <c r="B1103">
        <v>3</v>
      </c>
    </row>
    <row r="1104" spans="1:2" x14ac:dyDescent="0.3">
      <c r="A1104" s="4" t="s">
        <v>3827</v>
      </c>
      <c r="B1104">
        <v>3</v>
      </c>
    </row>
    <row r="1105" spans="1:2" ht="43.2" x14ac:dyDescent="0.3">
      <c r="A1105" s="4" t="s">
        <v>3828</v>
      </c>
      <c r="B1105">
        <v>3</v>
      </c>
    </row>
    <row r="1106" spans="1:2" x14ac:dyDescent="0.3">
      <c r="A1106" s="4" t="s">
        <v>3829</v>
      </c>
      <c r="B1106">
        <v>3</v>
      </c>
    </row>
    <row r="1107" spans="1:2" ht="28.8" x14ac:dyDescent="0.3">
      <c r="A1107" s="4" t="s">
        <v>3830</v>
      </c>
      <c r="B1107">
        <v>3</v>
      </c>
    </row>
    <row r="1108" spans="1:2" ht="28.8" x14ac:dyDescent="0.3">
      <c r="A1108" s="4" t="s">
        <v>3831</v>
      </c>
      <c r="B1108">
        <v>3</v>
      </c>
    </row>
    <row r="1109" spans="1:2" ht="28.8" x14ac:dyDescent="0.3">
      <c r="A1109" s="4" t="s">
        <v>3832</v>
      </c>
      <c r="B1109">
        <v>3</v>
      </c>
    </row>
    <row r="1110" spans="1:2" ht="115.2" x14ac:dyDescent="0.3">
      <c r="A1110" s="4" t="s">
        <v>3833</v>
      </c>
      <c r="B1110">
        <v>3</v>
      </c>
    </row>
    <row r="1111" spans="1:2" ht="28.8" x14ac:dyDescent="0.3">
      <c r="A1111" s="4" t="s">
        <v>3834</v>
      </c>
      <c r="B1111">
        <v>3</v>
      </c>
    </row>
    <row r="1112" spans="1:2" ht="28.8" x14ac:dyDescent="0.3">
      <c r="A1112" s="4" t="s">
        <v>3835</v>
      </c>
      <c r="B1112">
        <v>3</v>
      </c>
    </row>
    <row r="1113" spans="1:2" ht="28.8" x14ac:dyDescent="0.3">
      <c r="A1113" s="4" t="s">
        <v>3836</v>
      </c>
      <c r="B1113">
        <v>3</v>
      </c>
    </row>
    <row r="1114" spans="1:2" x14ac:dyDescent="0.3">
      <c r="A1114" s="4" t="s">
        <v>3837</v>
      </c>
      <c r="B1114">
        <v>3</v>
      </c>
    </row>
    <row r="1115" spans="1:2" ht="28.8" x14ac:dyDescent="0.3">
      <c r="A1115" s="4" t="s">
        <v>3838</v>
      </c>
      <c r="B1115">
        <v>3</v>
      </c>
    </row>
    <row r="1116" spans="1:2" x14ac:dyDescent="0.3">
      <c r="A1116" s="4" t="s">
        <v>3839</v>
      </c>
      <c r="B1116">
        <v>3</v>
      </c>
    </row>
    <row r="1117" spans="1:2" ht="28.8" x14ac:dyDescent="0.3">
      <c r="A1117" s="4" t="s">
        <v>3840</v>
      </c>
      <c r="B1117">
        <v>3</v>
      </c>
    </row>
    <row r="1118" spans="1:2" ht="43.2" x14ac:dyDescent="0.3">
      <c r="A1118" s="4" t="s">
        <v>3841</v>
      </c>
      <c r="B1118">
        <v>3</v>
      </c>
    </row>
    <row r="1119" spans="1:2" ht="28.8" x14ac:dyDescent="0.3">
      <c r="A1119" s="4" t="s">
        <v>3842</v>
      </c>
      <c r="B1119">
        <v>3</v>
      </c>
    </row>
    <row r="1120" spans="1:2" ht="28.8" x14ac:dyDescent="0.3">
      <c r="A1120" s="4" t="s">
        <v>3843</v>
      </c>
      <c r="B1120">
        <v>3</v>
      </c>
    </row>
    <row r="1121" spans="1:2" ht="28.8" x14ac:dyDescent="0.3">
      <c r="A1121" s="4" t="s">
        <v>3844</v>
      </c>
      <c r="B1121">
        <v>3</v>
      </c>
    </row>
    <row r="1122" spans="1:2" ht="43.2" x14ac:dyDescent="0.3">
      <c r="A1122" s="4" t="s">
        <v>3845</v>
      </c>
      <c r="B1122">
        <v>3</v>
      </c>
    </row>
    <row r="1123" spans="1:2" ht="28.8" x14ac:dyDescent="0.3">
      <c r="A1123" s="4" t="s">
        <v>3846</v>
      </c>
      <c r="B1123">
        <v>3</v>
      </c>
    </row>
    <row r="1124" spans="1:2" ht="28.8" x14ac:dyDescent="0.3">
      <c r="A1124" s="4" t="s">
        <v>3847</v>
      </c>
      <c r="B1124">
        <v>3</v>
      </c>
    </row>
    <row r="1125" spans="1:2" ht="28.8" x14ac:dyDescent="0.3">
      <c r="A1125" s="4" t="s">
        <v>3848</v>
      </c>
      <c r="B1125">
        <v>3</v>
      </c>
    </row>
    <row r="1126" spans="1:2" ht="28.8" x14ac:dyDescent="0.3">
      <c r="A1126" s="4" t="s">
        <v>3849</v>
      </c>
      <c r="B1126">
        <v>3</v>
      </c>
    </row>
    <row r="1127" spans="1:2" ht="28.8" x14ac:dyDescent="0.3">
      <c r="A1127" s="4" t="s">
        <v>3850</v>
      </c>
      <c r="B1127">
        <v>3</v>
      </c>
    </row>
    <row r="1128" spans="1:2" ht="28.8" x14ac:dyDescent="0.3">
      <c r="A1128" s="4" t="s">
        <v>3851</v>
      </c>
      <c r="B1128">
        <v>3</v>
      </c>
    </row>
    <row r="1129" spans="1:2" ht="28.8" x14ac:dyDescent="0.3">
      <c r="A1129" s="4" t="s">
        <v>3852</v>
      </c>
      <c r="B1129">
        <v>3</v>
      </c>
    </row>
    <row r="1130" spans="1:2" ht="28.8" x14ac:dyDescent="0.3">
      <c r="A1130" s="4" t="s">
        <v>3853</v>
      </c>
      <c r="B1130">
        <v>3</v>
      </c>
    </row>
    <row r="1131" spans="1:2" ht="43.2" x14ac:dyDescent="0.3">
      <c r="A1131" s="4" t="s">
        <v>3854</v>
      </c>
      <c r="B1131">
        <v>3</v>
      </c>
    </row>
    <row r="1132" spans="1:2" ht="43.2" x14ac:dyDescent="0.3">
      <c r="A1132" s="4" t="s">
        <v>3855</v>
      </c>
      <c r="B1132">
        <v>3</v>
      </c>
    </row>
    <row r="1133" spans="1:2" ht="28.8" x14ac:dyDescent="0.3">
      <c r="A1133" s="4" t="s">
        <v>3856</v>
      </c>
      <c r="B1133">
        <v>3</v>
      </c>
    </row>
    <row r="1134" spans="1:2" ht="28.8" x14ac:dyDescent="0.3">
      <c r="A1134" s="4" t="s">
        <v>3857</v>
      </c>
      <c r="B1134">
        <v>3</v>
      </c>
    </row>
    <row r="1135" spans="1:2" x14ac:dyDescent="0.3">
      <c r="A1135" s="4" t="s">
        <v>3858</v>
      </c>
      <c r="B1135">
        <v>3</v>
      </c>
    </row>
    <row r="1136" spans="1:2" ht="28.8" x14ac:dyDescent="0.3">
      <c r="A1136" s="4" t="s">
        <v>3859</v>
      </c>
      <c r="B1136">
        <v>3</v>
      </c>
    </row>
    <row r="1137" spans="1:2" ht="28.8" x14ac:dyDescent="0.3">
      <c r="A1137" s="4" t="s">
        <v>3860</v>
      </c>
      <c r="B1137">
        <v>3</v>
      </c>
    </row>
    <row r="1138" spans="1:2" ht="28.8" x14ac:dyDescent="0.3">
      <c r="A1138" s="4" t="s">
        <v>3861</v>
      </c>
      <c r="B1138">
        <v>3</v>
      </c>
    </row>
    <row r="1139" spans="1:2" ht="28.8" x14ac:dyDescent="0.3">
      <c r="A1139" s="4" t="s">
        <v>3862</v>
      </c>
      <c r="B1139">
        <v>3</v>
      </c>
    </row>
    <row r="1140" spans="1:2" ht="28.8" x14ac:dyDescent="0.3">
      <c r="A1140" s="4" t="s">
        <v>3863</v>
      </c>
      <c r="B1140">
        <v>3</v>
      </c>
    </row>
    <row r="1141" spans="1:2" ht="43.2" x14ac:dyDescent="0.3">
      <c r="A1141" s="4" t="s">
        <v>3864</v>
      </c>
      <c r="B1141">
        <v>3</v>
      </c>
    </row>
    <row r="1142" spans="1:2" ht="28.8" x14ac:dyDescent="0.3">
      <c r="A1142" s="4" t="s">
        <v>3865</v>
      </c>
      <c r="B1142">
        <v>3</v>
      </c>
    </row>
    <row r="1143" spans="1:2" ht="28.8" x14ac:dyDescent="0.3">
      <c r="A1143" s="4" t="s">
        <v>3866</v>
      </c>
      <c r="B1143">
        <v>3</v>
      </c>
    </row>
    <row r="1144" spans="1:2" ht="28.8" x14ac:dyDescent="0.3">
      <c r="A1144" s="4" t="s">
        <v>3867</v>
      </c>
      <c r="B1144">
        <v>3</v>
      </c>
    </row>
    <row r="1145" spans="1:2" ht="43.2" x14ac:dyDescent="0.3">
      <c r="A1145" s="4" t="s">
        <v>3868</v>
      </c>
      <c r="B1145">
        <v>3</v>
      </c>
    </row>
    <row r="1146" spans="1:2" ht="43.2" x14ac:dyDescent="0.3">
      <c r="A1146" s="4" t="s">
        <v>3869</v>
      </c>
      <c r="B1146">
        <v>3</v>
      </c>
    </row>
    <row r="1147" spans="1:2" x14ac:dyDescent="0.3">
      <c r="A1147" s="4" t="s">
        <v>3870</v>
      </c>
      <c r="B1147">
        <v>3</v>
      </c>
    </row>
    <row r="1148" spans="1:2" ht="28.8" x14ac:dyDescent="0.3">
      <c r="A1148" s="4" t="s">
        <v>3871</v>
      </c>
      <c r="B1148">
        <v>3</v>
      </c>
    </row>
    <row r="1149" spans="1:2" ht="28.8" x14ac:dyDescent="0.3">
      <c r="A1149" s="4" t="s">
        <v>3872</v>
      </c>
      <c r="B1149">
        <v>3</v>
      </c>
    </row>
    <row r="1150" spans="1:2" ht="28.8" x14ac:dyDescent="0.3">
      <c r="A1150" s="4" t="s">
        <v>3873</v>
      </c>
      <c r="B1150">
        <v>3</v>
      </c>
    </row>
    <row r="1151" spans="1:2" ht="43.2" x14ac:dyDescent="0.3">
      <c r="A1151" s="4" t="s">
        <v>3874</v>
      </c>
      <c r="B1151">
        <v>3</v>
      </c>
    </row>
    <row r="1152" spans="1:2" ht="28.8" x14ac:dyDescent="0.3">
      <c r="A1152" s="4" t="s">
        <v>3875</v>
      </c>
      <c r="B1152">
        <v>3</v>
      </c>
    </row>
    <row r="1153" spans="1:2" ht="43.2" x14ac:dyDescent="0.3">
      <c r="A1153" s="4" t="s">
        <v>3876</v>
      </c>
      <c r="B1153">
        <v>3</v>
      </c>
    </row>
    <row r="1154" spans="1:2" ht="43.2" x14ac:dyDescent="0.3">
      <c r="A1154" s="4" t="s">
        <v>3877</v>
      </c>
      <c r="B1154">
        <v>3</v>
      </c>
    </row>
    <row r="1155" spans="1:2" ht="28.8" x14ac:dyDescent="0.3">
      <c r="A1155" s="4" t="s">
        <v>3878</v>
      </c>
      <c r="B1155">
        <v>3</v>
      </c>
    </row>
    <row r="1156" spans="1:2" ht="28.8" x14ac:dyDescent="0.3">
      <c r="A1156" s="4" t="s">
        <v>3879</v>
      </c>
      <c r="B1156">
        <v>3</v>
      </c>
    </row>
    <row r="1157" spans="1:2" ht="28.8" x14ac:dyDescent="0.3">
      <c r="A1157" s="4" t="s">
        <v>3880</v>
      </c>
      <c r="B1157">
        <v>3</v>
      </c>
    </row>
    <row r="1158" spans="1:2" x14ac:dyDescent="0.3">
      <c r="A1158" s="4" t="s">
        <v>3881</v>
      </c>
      <c r="B1158">
        <v>3</v>
      </c>
    </row>
    <row r="1159" spans="1:2" ht="43.2" x14ac:dyDescent="0.3">
      <c r="A1159" s="4" t="s">
        <v>3882</v>
      </c>
      <c r="B1159">
        <v>3</v>
      </c>
    </row>
    <row r="1160" spans="1:2" ht="28.8" x14ac:dyDescent="0.3">
      <c r="A1160" s="4" t="s">
        <v>3883</v>
      </c>
      <c r="B1160">
        <v>3</v>
      </c>
    </row>
    <row r="1161" spans="1:2" ht="28.8" x14ac:dyDescent="0.3">
      <c r="A1161" s="4" t="s">
        <v>3884</v>
      </c>
      <c r="B1161">
        <v>3</v>
      </c>
    </row>
    <row r="1162" spans="1:2" ht="43.2" x14ac:dyDescent="0.3">
      <c r="A1162" s="4" t="s">
        <v>3885</v>
      </c>
      <c r="B1162">
        <v>3</v>
      </c>
    </row>
    <row r="1163" spans="1:2" ht="43.2" x14ac:dyDescent="0.3">
      <c r="A1163" s="4" t="s">
        <v>3886</v>
      </c>
      <c r="B1163">
        <v>3</v>
      </c>
    </row>
    <row r="1164" spans="1:2" ht="28.8" x14ac:dyDescent="0.3">
      <c r="A1164" s="4" t="s">
        <v>3887</v>
      </c>
      <c r="B1164">
        <v>3</v>
      </c>
    </row>
    <row r="1165" spans="1:2" ht="43.2" x14ac:dyDescent="0.3">
      <c r="A1165" s="4" t="s">
        <v>3888</v>
      </c>
      <c r="B1165">
        <v>3</v>
      </c>
    </row>
    <row r="1166" spans="1:2" ht="28.8" x14ac:dyDescent="0.3">
      <c r="A1166" s="4" t="s">
        <v>3889</v>
      </c>
      <c r="B1166">
        <v>3</v>
      </c>
    </row>
    <row r="1167" spans="1:2" ht="28.8" x14ac:dyDescent="0.3">
      <c r="A1167" s="4" t="s">
        <v>3890</v>
      </c>
      <c r="B1167">
        <v>3</v>
      </c>
    </row>
    <row r="1168" spans="1:2" x14ac:dyDescent="0.3">
      <c r="A1168" s="4" t="s">
        <v>3891</v>
      </c>
      <c r="B1168">
        <v>3</v>
      </c>
    </row>
    <row r="1169" spans="1:2" ht="28.8" x14ac:dyDescent="0.3">
      <c r="A1169" s="4" t="s">
        <v>3892</v>
      </c>
      <c r="B1169">
        <v>3</v>
      </c>
    </row>
    <row r="1170" spans="1:2" ht="43.2" x14ac:dyDescent="0.3">
      <c r="A1170" s="4" t="s">
        <v>3893</v>
      </c>
      <c r="B1170">
        <v>3</v>
      </c>
    </row>
    <row r="1171" spans="1:2" ht="28.8" x14ac:dyDescent="0.3">
      <c r="A1171" s="4" t="s">
        <v>3894</v>
      </c>
      <c r="B1171">
        <v>3</v>
      </c>
    </row>
    <row r="1172" spans="1:2" ht="28.8" x14ac:dyDescent="0.3">
      <c r="A1172" s="4" t="s">
        <v>3895</v>
      </c>
      <c r="B1172">
        <v>3</v>
      </c>
    </row>
    <row r="1173" spans="1:2" ht="28.8" x14ac:dyDescent="0.3">
      <c r="A1173" s="4" t="s">
        <v>3896</v>
      </c>
      <c r="B1173">
        <v>3</v>
      </c>
    </row>
    <row r="1174" spans="1:2" x14ac:dyDescent="0.3">
      <c r="A1174" s="4" t="s">
        <v>3897</v>
      </c>
      <c r="B1174">
        <v>3</v>
      </c>
    </row>
    <row r="1175" spans="1:2" ht="28.8" x14ac:dyDescent="0.3">
      <c r="A1175" s="4" t="s">
        <v>3898</v>
      </c>
      <c r="B1175">
        <v>3</v>
      </c>
    </row>
    <row r="1176" spans="1:2" ht="28.8" x14ac:dyDescent="0.3">
      <c r="A1176" s="4" t="s">
        <v>3899</v>
      </c>
      <c r="B1176">
        <v>3</v>
      </c>
    </row>
    <row r="1177" spans="1:2" ht="43.2" x14ac:dyDescent="0.3">
      <c r="A1177" s="4" t="s">
        <v>3900</v>
      </c>
      <c r="B1177">
        <v>3</v>
      </c>
    </row>
    <row r="1178" spans="1:2" ht="28.8" x14ac:dyDescent="0.3">
      <c r="A1178" s="4" t="s">
        <v>3901</v>
      </c>
      <c r="B1178">
        <v>3</v>
      </c>
    </row>
    <row r="1179" spans="1:2" ht="28.8" x14ac:dyDescent="0.3">
      <c r="A1179" s="4" t="s">
        <v>3902</v>
      </c>
      <c r="B1179">
        <v>3</v>
      </c>
    </row>
    <row r="1180" spans="1:2" ht="28.8" x14ac:dyDescent="0.3">
      <c r="A1180" s="4" t="s">
        <v>3903</v>
      </c>
      <c r="B1180">
        <v>3</v>
      </c>
    </row>
    <row r="1181" spans="1:2" ht="28.8" x14ac:dyDescent="0.3">
      <c r="A1181" s="4" t="s">
        <v>3904</v>
      </c>
      <c r="B1181">
        <v>3</v>
      </c>
    </row>
    <row r="1182" spans="1:2" ht="28.8" x14ac:dyDescent="0.3">
      <c r="A1182" s="4" t="s">
        <v>3905</v>
      </c>
      <c r="B1182">
        <v>3</v>
      </c>
    </row>
    <row r="1183" spans="1:2" ht="28.8" x14ac:dyDescent="0.3">
      <c r="A1183" s="4" t="s">
        <v>3906</v>
      </c>
      <c r="B1183">
        <v>3</v>
      </c>
    </row>
    <row r="1184" spans="1:2" ht="28.8" x14ac:dyDescent="0.3">
      <c r="A1184" s="4" t="s">
        <v>3907</v>
      </c>
      <c r="B1184">
        <v>3</v>
      </c>
    </row>
    <row r="1185" spans="1:2" ht="28.8" x14ac:dyDescent="0.3">
      <c r="A1185" s="4" t="s">
        <v>3908</v>
      </c>
      <c r="B1185">
        <v>3</v>
      </c>
    </row>
    <row r="1186" spans="1:2" ht="28.8" x14ac:dyDescent="0.3">
      <c r="A1186" s="4" t="s">
        <v>3909</v>
      </c>
      <c r="B1186">
        <v>3</v>
      </c>
    </row>
    <row r="1187" spans="1:2" ht="28.8" x14ac:dyDescent="0.3">
      <c r="A1187" s="4" t="s">
        <v>3910</v>
      </c>
      <c r="B1187">
        <v>3</v>
      </c>
    </row>
    <row r="1188" spans="1:2" x14ac:dyDescent="0.3">
      <c r="A1188" s="4" t="s">
        <v>3911</v>
      </c>
      <c r="B1188">
        <v>3</v>
      </c>
    </row>
    <row r="1189" spans="1:2" x14ac:dyDescent="0.3">
      <c r="A1189" s="4" t="s">
        <v>3912</v>
      </c>
      <c r="B1189">
        <v>3</v>
      </c>
    </row>
    <row r="1190" spans="1:2" ht="28.8" x14ac:dyDescent="0.3">
      <c r="A1190" s="4" t="s">
        <v>3913</v>
      </c>
      <c r="B1190">
        <v>3</v>
      </c>
    </row>
    <row r="1191" spans="1:2" ht="43.2" x14ac:dyDescent="0.3">
      <c r="A1191" s="4" t="s">
        <v>3914</v>
      </c>
      <c r="B1191">
        <v>3</v>
      </c>
    </row>
    <row r="1192" spans="1:2" ht="28.8" x14ac:dyDescent="0.3">
      <c r="A1192" s="4" t="s">
        <v>3915</v>
      </c>
      <c r="B1192">
        <v>3</v>
      </c>
    </row>
    <row r="1193" spans="1:2" ht="28.8" x14ac:dyDescent="0.3">
      <c r="A1193" s="4" t="s">
        <v>3916</v>
      </c>
      <c r="B1193">
        <v>3</v>
      </c>
    </row>
    <row r="1194" spans="1:2" ht="28.8" x14ac:dyDescent="0.3">
      <c r="A1194" s="4" t="s">
        <v>3917</v>
      </c>
      <c r="B1194">
        <v>3</v>
      </c>
    </row>
    <row r="1195" spans="1:2" ht="28.8" x14ac:dyDescent="0.3">
      <c r="A1195" s="4" t="s">
        <v>3918</v>
      </c>
      <c r="B1195">
        <v>3</v>
      </c>
    </row>
    <row r="1196" spans="1:2" ht="28.8" x14ac:dyDescent="0.3">
      <c r="A1196" s="4" t="s">
        <v>3919</v>
      </c>
      <c r="B1196">
        <v>3</v>
      </c>
    </row>
    <row r="1197" spans="1:2" ht="28.8" x14ac:dyDescent="0.3">
      <c r="A1197" s="4" t="s">
        <v>3920</v>
      </c>
      <c r="B1197">
        <v>3</v>
      </c>
    </row>
    <row r="1198" spans="1:2" ht="28.8" x14ac:dyDescent="0.3">
      <c r="A1198" s="4" t="s">
        <v>3921</v>
      </c>
      <c r="B1198">
        <v>3</v>
      </c>
    </row>
    <row r="1199" spans="1:2" ht="28.8" x14ac:dyDescent="0.3">
      <c r="A1199" s="4" t="s">
        <v>3922</v>
      </c>
      <c r="B1199">
        <v>3</v>
      </c>
    </row>
    <row r="1200" spans="1:2" ht="28.8" x14ac:dyDescent="0.3">
      <c r="A1200" s="4" t="s">
        <v>3923</v>
      </c>
      <c r="B1200">
        <v>3</v>
      </c>
    </row>
    <row r="1201" spans="1:2" ht="28.8" x14ac:dyDescent="0.3">
      <c r="A1201" s="4" t="s">
        <v>3924</v>
      </c>
      <c r="B1201">
        <v>3</v>
      </c>
    </row>
    <row r="1202" spans="1:2" ht="28.8" x14ac:dyDescent="0.3">
      <c r="A1202" s="4" t="s">
        <v>3925</v>
      </c>
      <c r="B1202">
        <v>3</v>
      </c>
    </row>
    <row r="1203" spans="1:2" ht="28.8" x14ac:dyDescent="0.3">
      <c r="A1203" s="4" t="s">
        <v>3926</v>
      </c>
      <c r="B1203">
        <v>3</v>
      </c>
    </row>
    <row r="1204" spans="1:2" ht="28.8" x14ac:dyDescent="0.3">
      <c r="A1204" s="4" t="s">
        <v>3927</v>
      </c>
      <c r="B1204">
        <v>3</v>
      </c>
    </row>
    <row r="1205" spans="1:2" ht="28.8" x14ac:dyDescent="0.3">
      <c r="A1205" s="4" t="s">
        <v>3928</v>
      </c>
      <c r="B1205">
        <v>3</v>
      </c>
    </row>
    <row r="1206" spans="1:2" ht="28.8" x14ac:dyDescent="0.3">
      <c r="A1206" s="4" t="s">
        <v>3929</v>
      </c>
      <c r="B1206">
        <v>3</v>
      </c>
    </row>
    <row r="1207" spans="1:2" ht="28.8" x14ac:dyDescent="0.3">
      <c r="A1207" s="4" t="s">
        <v>3930</v>
      </c>
      <c r="B1207">
        <v>3</v>
      </c>
    </row>
    <row r="1208" spans="1:2" ht="28.8" x14ac:dyDescent="0.3">
      <c r="A1208" s="4" t="s">
        <v>3931</v>
      </c>
      <c r="B1208">
        <v>3</v>
      </c>
    </row>
    <row r="1209" spans="1:2" ht="28.8" x14ac:dyDescent="0.3">
      <c r="A1209" s="4" t="s">
        <v>3932</v>
      </c>
      <c r="B1209">
        <v>3</v>
      </c>
    </row>
    <row r="1210" spans="1:2" ht="43.2" x14ac:dyDescent="0.3">
      <c r="A1210" s="4" t="s">
        <v>3933</v>
      </c>
      <c r="B1210">
        <v>3</v>
      </c>
    </row>
    <row r="1211" spans="1:2" ht="28.8" x14ac:dyDescent="0.3">
      <c r="A1211" s="4" t="s">
        <v>3934</v>
      </c>
      <c r="B1211">
        <v>3</v>
      </c>
    </row>
    <row r="1212" spans="1:2" ht="28.8" x14ac:dyDescent="0.3">
      <c r="A1212" s="4" t="s">
        <v>3935</v>
      </c>
      <c r="B1212">
        <v>3</v>
      </c>
    </row>
    <row r="1213" spans="1:2" ht="43.2" x14ac:dyDescent="0.3">
      <c r="A1213" s="4" t="s">
        <v>3936</v>
      </c>
      <c r="B1213">
        <v>3</v>
      </c>
    </row>
    <row r="1214" spans="1:2" ht="28.8" x14ac:dyDescent="0.3">
      <c r="A1214" s="4" t="s">
        <v>3937</v>
      </c>
      <c r="B1214">
        <v>3</v>
      </c>
    </row>
    <row r="1215" spans="1:2" ht="28.8" x14ac:dyDescent="0.3">
      <c r="A1215" s="4" t="s">
        <v>3938</v>
      </c>
      <c r="B1215">
        <v>3</v>
      </c>
    </row>
    <row r="1216" spans="1:2" ht="28.8" x14ac:dyDescent="0.3">
      <c r="A1216" s="4" t="s">
        <v>3939</v>
      </c>
      <c r="B1216">
        <v>3</v>
      </c>
    </row>
    <row r="1217" spans="1:2" x14ac:dyDescent="0.3">
      <c r="A1217" s="4" t="s">
        <v>3940</v>
      </c>
      <c r="B1217">
        <v>3</v>
      </c>
    </row>
    <row r="1218" spans="1:2" ht="28.8" x14ac:dyDescent="0.3">
      <c r="A1218" s="4" t="s">
        <v>3941</v>
      </c>
      <c r="B1218">
        <v>3</v>
      </c>
    </row>
    <row r="1219" spans="1:2" ht="28.8" x14ac:dyDescent="0.3">
      <c r="A1219" s="4" t="s">
        <v>3942</v>
      </c>
      <c r="B1219">
        <v>3</v>
      </c>
    </row>
    <row r="1220" spans="1:2" ht="28.8" x14ac:dyDescent="0.3">
      <c r="A1220" s="4" t="s">
        <v>3943</v>
      </c>
      <c r="B1220">
        <v>3</v>
      </c>
    </row>
    <row r="1221" spans="1:2" x14ac:dyDescent="0.3">
      <c r="A1221" s="4" t="s">
        <v>3944</v>
      </c>
      <c r="B1221">
        <v>3</v>
      </c>
    </row>
    <row r="1222" spans="1:2" ht="43.2" x14ac:dyDescent="0.3">
      <c r="A1222" s="4" t="s">
        <v>3945</v>
      </c>
      <c r="B1222">
        <v>3</v>
      </c>
    </row>
    <row r="1223" spans="1:2" ht="28.8" x14ac:dyDescent="0.3">
      <c r="A1223" s="4" t="s">
        <v>3946</v>
      </c>
      <c r="B1223">
        <v>3</v>
      </c>
    </row>
    <row r="1224" spans="1:2" ht="28.8" x14ac:dyDescent="0.3">
      <c r="A1224" s="4" t="s">
        <v>3947</v>
      </c>
      <c r="B1224">
        <v>3</v>
      </c>
    </row>
    <row r="1225" spans="1:2" ht="43.2" x14ac:dyDescent="0.3">
      <c r="A1225" s="4" t="s">
        <v>3948</v>
      </c>
      <c r="B1225">
        <v>3</v>
      </c>
    </row>
    <row r="1226" spans="1:2" ht="28.8" x14ac:dyDescent="0.3">
      <c r="A1226" s="4" t="s">
        <v>3949</v>
      </c>
      <c r="B1226">
        <v>3</v>
      </c>
    </row>
    <row r="1227" spans="1:2" x14ac:dyDescent="0.3">
      <c r="A1227" s="4" t="s">
        <v>3950</v>
      </c>
      <c r="B1227">
        <v>3</v>
      </c>
    </row>
    <row r="1228" spans="1:2" ht="28.8" x14ac:dyDescent="0.3">
      <c r="A1228" s="4" t="s">
        <v>3951</v>
      </c>
      <c r="B1228">
        <v>3</v>
      </c>
    </row>
    <row r="1229" spans="1:2" ht="28.8" x14ac:dyDescent="0.3">
      <c r="A1229" s="4" t="s">
        <v>3952</v>
      </c>
      <c r="B1229">
        <v>3</v>
      </c>
    </row>
    <row r="1230" spans="1:2" ht="28.8" x14ac:dyDescent="0.3">
      <c r="A1230" s="4" t="s">
        <v>3953</v>
      </c>
      <c r="B1230">
        <v>3</v>
      </c>
    </row>
    <row r="1231" spans="1:2" ht="28.8" x14ac:dyDescent="0.3">
      <c r="A1231" s="4" t="s">
        <v>3954</v>
      </c>
      <c r="B1231">
        <v>3</v>
      </c>
    </row>
    <row r="1232" spans="1:2" ht="28.8" x14ac:dyDescent="0.3">
      <c r="A1232" s="4" t="s">
        <v>3955</v>
      </c>
      <c r="B1232">
        <v>3</v>
      </c>
    </row>
    <row r="1233" spans="1:2" ht="28.8" x14ac:dyDescent="0.3">
      <c r="A1233" s="4" t="s">
        <v>3956</v>
      </c>
      <c r="B1233">
        <v>3</v>
      </c>
    </row>
    <row r="1234" spans="1:2" ht="43.2" x14ac:dyDescent="0.3">
      <c r="A1234" s="4" t="s">
        <v>3957</v>
      </c>
      <c r="B1234">
        <v>3</v>
      </c>
    </row>
    <row r="1235" spans="1:2" ht="43.2" x14ac:dyDescent="0.3">
      <c r="A1235" s="4" t="s">
        <v>3958</v>
      </c>
      <c r="B1235">
        <v>3</v>
      </c>
    </row>
    <row r="1236" spans="1:2" ht="28.8" x14ac:dyDescent="0.3">
      <c r="A1236" s="4" t="s">
        <v>3959</v>
      </c>
      <c r="B1236">
        <v>3</v>
      </c>
    </row>
    <row r="1237" spans="1:2" ht="28.8" x14ac:dyDescent="0.3">
      <c r="A1237" s="4" t="s">
        <v>3960</v>
      </c>
      <c r="B1237">
        <v>3</v>
      </c>
    </row>
    <row r="1238" spans="1:2" ht="28.8" x14ac:dyDescent="0.3">
      <c r="A1238" s="4" t="s">
        <v>3961</v>
      </c>
      <c r="B1238">
        <v>3</v>
      </c>
    </row>
    <row r="1239" spans="1:2" ht="43.2" x14ac:dyDescent="0.3">
      <c r="A1239" s="4" t="s">
        <v>3962</v>
      </c>
      <c r="B1239">
        <v>3</v>
      </c>
    </row>
    <row r="1240" spans="1:2" ht="43.2" x14ac:dyDescent="0.3">
      <c r="A1240" s="4" t="s">
        <v>3963</v>
      </c>
      <c r="B1240">
        <v>3</v>
      </c>
    </row>
    <row r="1241" spans="1:2" ht="28.8" x14ac:dyDescent="0.3">
      <c r="A1241" s="4" t="s">
        <v>3964</v>
      </c>
      <c r="B1241">
        <v>3</v>
      </c>
    </row>
    <row r="1242" spans="1:2" ht="28.8" x14ac:dyDescent="0.3">
      <c r="A1242" s="4" t="s">
        <v>3965</v>
      </c>
      <c r="B1242">
        <v>3</v>
      </c>
    </row>
    <row r="1243" spans="1:2" ht="28.8" x14ac:dyDescent="0.3">
      <c r="A1243" s="4" t="s">
        <v>3966</v>
      </c>
      <c r="B1243">
        <v>3</v>
      </c>
    </row>
    <row r="1244" spans="1:2" ht="28.8" x14ac:dyDescent="0.3">
      <c r="A1244" s="4" t="s">
        <v>3967</v>
      </c>
      <c r="B1244">
        <v>3</v>
      </c>
    </row>
    <row r="1245" spans="1:2" ht="28.8" x14ac:dyDescent="0.3">
      <c r="A1245" s="4" t="s">
        <v>3968</v>
      </c>
      <c r="B1245">
        <v>3</v>
      </c>
    </row>
    <row r="1246" spans="1:2" ht="28.8" x14ac:dyDescent="0.3">
      <c r="A1246" s="4" t="s">
        <v>3969</v>
      </c>
      <c r="B1246">
        <v>3</v>
      </c>
    </row>
    <row r="1247" spans="1:2" ht="28.8" x14ac:dyDescent="0.3">
      <c r="A1247" s="4" t="s">
        <v>3970</v>
      </c>
      <c r="B1247">
        <v>3</v>
      </c>
    </row>
    <row r="1248" spans="1:2" ht="28.8" x14ac:dyDescent="0.3">
      <c r="A1248" s="4" t="s">
        <v>3971</v>
      </c>
      <c r="B1248">
        <v>3</v>
      </c>
    </row>
    <row r="1249" spans="1:2" ht="28.8" x14ac:dyDescent="0.3">
      <c r="A1249" s="4" t="s">
        <v>3972</v>
      </c>
      <c r="B1249">
        <v>3</v>
      </c>
    </row>
    <row r="1250" spans="1:2" ht="28.8" x14ac:dyDescent="0.3">
      <c r="A1250" s="4" t="s">
        <v>3973</v>
      </c>
      <c r="B1250">
        <v>3</v>
      </c>
    </row>
    <row r="1251" spans="1:2" ht="28.8" x14ac:dyDescent="0.3">
      <c r="A1251" s="4" t="s">
        <v>3974</v>
      </c>
      <c r="B1251">
        <v>3</v>
      </c>
    </row>
    <row r="1252" spans="1:2" ht="28.8" x14ac:dyDescent="0.3">
      <c r="A1252" s="4" t="s">
        <v>3975</v>
      </c>
      <c r="B1252">
        <v>3</v>
      </c>
    </row>
    <row r="1253" spans="1:2" ht="28.8" x14ac:dyDescent="0.3">
      <c r="A1253" s="4" t="s">
        <v>3976</v>
      </c>
      <c r="B1253">
        <v>3</v>
      </c>
    </row>
    <row r="1254" spans="1:2" ht="28.8" x14ac:dyDescent="0.3">
      <c r="A1254" s="4" t="s">
        <v>3977</v>
      </c>
      <c r="B1254">
        <v>3</v>
      </c>
    </row>
    <row r="1255" spans="1:2" ht="43.2" x14ac:dyDescent="0.3">
      <c r="A1255" s="4" t="s">
        <v>3978</v>
      </c>
      <c r="B1255">
        <v>3</v>
      </c>
    </row>
    <row r="1256" spans="1:2" ht="28.8" x14ac:dyDescent="0.3">
      <c r="A1256" s="4" t="s">
        <v>3979</v>
      </c>
      <c r="B1256">
        <v>3</v>
      </c>
    </row>
    <row r="1257" spans="1:2" ht="28.8" x14ac:dyDescent="0.3">
      <c r="A1257" s="4" t="s">
        <v>3980</v>
      </c>
      <c r="B1257">
        <v>3</v>
      </c>
    </row>
    <row r="1258" spans="1:2" ht="43.2" x14ac:dyDescent="0.3">
      <c r="A1258" s="4" t="s">
        <v>3981</v>
      </c>
      <c r="B1258">
        <v>3</v>
      </c>
    </row>
    <row r="1259" spans="1:2" ht="28.8" x14ac:dyDescent="0.3">
      <c r="A1259" s="4" t="s">
        <v>3982</v>
      </c>
      <c r="B1259">
        <v>3</v>
      </c>
    </row>
    <row r="1260" spans="1:2" ht="28.8" x14ac:dyDescent="0.3">
      <c r="A1260" s="4" t="s">
        <v>3983</v>
      </c>
      <c r="B1260">
        <v>3</v>
      </c>
    </row>
    <row r="1261" spans="1:2" ht="28.8" x14ac:dyDescent="0.3">
      <c r="A1261" s="4" t="s">
        <v>3984</v>
      </c>
      <c r="B1261">
        <v>3</v>
      </c>
    </row>
    <row r="1262" spans="1:2" ht="28.8" x14ac:dyDescent="0.3">
      <c r="A1262" s="4" t="s">
        <v>3985</v>
      </c>
      <c r="B1262">
        <v>3</v>
      </c>
    </row>
    <row r="1263" spans="1:2" ht="43.2" x14ac:dyDescent="0.3">
      <c r="A1263" s="4" t="s">
        <v>3986</v>
      </c>
      <c r="B1263">
        <v>3</v>
      </c>
    </row>
    <row r="1264" spans="1:2" ht="28.8" x14ac:dyDescent="0.3">
      <c r="A1264" s="4" t="s">
        <v>3987</v>
      </c>
      <c r="B1264">
        <v>3</v>
      </c>
    </row>
    <row r="1265" spans="1:2" ht="28.8" x14ac:dyDescent="0.3">
      <c r="A1265" s="4" t="s">
        <v>3988</v>
      </c>
      <c r="B1265">
        <v>3</v>
      </c>
    </row>
    <row r="1266" spans="1:2" ht="28.8" x14ac:dyDescent="0.3">
      <c r="A1266" s="4" t="s">
        <v>3989</v>
      </c>
      <c r="B1266">
        <v>3</v>
      </c>
    </row>
    <row r="1267" spans="1:2" ht="28.8" x14ac:dyDescent="0.3">
      <c r="A1267" s="4" t="s">
        <v>3990</v>
      </c>
      <c r="B1267">
        <v>3</v>
      </c>
    </row>
    <row r="1268" spans="1:2" ht="28.8" x14ac:dyDescent="0.3">
      <c r="A1268" s="4" t="s">
        <v>3991</v>
      </c>
      <c r="B1268">
        <v>3</v>
      </c>
    </row>
    <row r="1269" spans="1:2" ht="43.2" x14ac:dyDescent="0.3">
      <c r="A1269" s="4" t="s">
        <v>3992</v>
      </c>
      <c r="B1269">
        <v>3</v>
      </c>
    </row>
    <row r="1270" spans="1:2" ht="28.8" x14ac:dyDescent="0.3">
      <c r="A1270" s="4" t="s">
        <v>3993</v>
      </c>
      <c r="B1270">
        <v>3</v>
      </c>
    </row>
    <row r="1271" spans="1:2" ht="28.8" x14ac:dyDescent="0.3">
      <c r="A1271" s="4" t="s">
        <v>3994</v>
      </c>
      <c r="B1271">
        <v>3</v>
      </c>
    </row>
    <row r="1272" spans="1:2" x14ac:dyDescent="0.3">
      <c r="A1272" s="4" t="s">
        <v>3995</v>
      </c>
      <c r="B1272">
        <v>3</v>
      </c>
    </row>
    <row r="1273" spans="1:2" ht="28.8" x14ac:dyDescent="0.3">
      <c r="A1273" s="4" t="s">
        <v>3996</v>
      </c>
      <c r="B1273">
        <v>3</v>
      </c>
    </row>
    <row r="1274" spans="1:2" ht="28.8" x14ac:dyDescent="0.3">
      <c r="A1274" s="4" t="s">
        <v>3997</v>
      </c>
      <c r="B1274">
        <v>3</v>
      </c>
    </row>
    <row r="1275" spans="1:2" ht="28.8" x14ac:dyDescent="0.3">
      <c r="A1275" s="4" t="s">
        <v>3998</v>
      </c>
      <c r="B1275">
        <v>3</v>
      </c>
    </row>
    <row r="1276" spans="1:2" ht="28.8" x14ac:dyDescent="0.3">
      <c r="A1276" s="4" t="s">
        <v>3999</v>
      </c>
      <c r="B1276">
        <v>3</v>
      </c>
    </row>
    <row r="1277" spans="1:2" ht="28.8" x14ac:dyDescent="0.3">
      <c r="A1277" s="4" t="s">
        <v>4000</v>
      </c>
      <c r="B1277">
        <v>3</v>
      </c>
    </row>
    <row r="1278" spans="1:2" ht="43.2" x14ac:dyDescent="0.3">
      <c r="A1278" s="4" t="s">
        <v>4001</v>
      </c>
      <c r="B1278">
        <v>3</v>
      </c>
    </row>
    <row r="1279" spans="1:2" ht="28.8" x14ac:dyDescent="0.3">
      <c r="A1279" s="4" t="s">
        <v>4002</v>
      </c>
      <c r="B1279">
        <v>3</v>
      </c>
    </row>
    <row r="1280" spans="1:2" ht="43.2" x14ac:dyDescent="0.3">
      <c r="A1280" s="4" t="s">
        <v>4003</v>
      </c>
      <c r="B1280">
        <v>3</v>
      </c>
    </row>
    <row r="1281" spans="1:2" ht="28.8" x14ac:dyDescent="0.3">
      <c r="A1281" s="4" t="s">
        <v>4004</v>
      </c>
      <c r="B1281">
        <v>3</v>
      </c>
    </row>
    <row r="1282" spans="1:2" x14ac:dyDescent="0.3">
      <c r="A1282" s="4" t="s">
        <v>4005</v>
      </c>
      <c r="B1282">
        <v>3</v>
      </c>
    </row>
    <row r="1283" spans="1:2" ht="28.8" x14ac:dyDescent="0.3">
      <c r="A1283" s="4" t="s">
        <v>4006</v>
      </c>
      <c r="B1283">
        <v>3</v>
      </c>
    </row>
    <row r="1284" spans="1:2" ht="43.2" x14ac:dyDescent="0.3">
      <c r="A1284" s="4" t="s">
        <v>4007</v>
      </c>
      <c r="B1284">
        <v>3</v>
      </c>
    </row>
    <row r="1285" spans="1:2" ht="28.8" x14ac:dyDescent="0.3">
      <c r="A1285" s="4" t="s">
        <v>4008</v>
      </c>
      <c r="B1285">
        <v>3</v>
      </c>
    </row>
    <row r="1286" spans="1:2" ht="28.8" x14ac:dyDescent="0.3">
      <c r="A1286" s="4" t="s">
        <v>4009</v>
      </c>
      <c r="B1286">
        <v>3</v>
      </c>
    </row>
    <row r="1287" spans="1:2" ht="28.8" x14ac:dyDescent="0.3">
      <c r="A1287" s="4" t="s">
        <v>4010</v>
      </c>
      <c r="B1287">
        <v>3</v>
      </c>
    </row>
    <row r="1288" spans="1:2" ht="28.8" x14ac:dyDescent="0.3">
      <c r="A1288" s="4" t="s">
        <v>4011</v>
      </c>
      <c r="B1288">
        <v>3</v>
      </c>
    </row>
    <row r="1289" spans="1:2" ht="43.2" x14ac:dyDescent="0.3">
      <c r="A1289" s="4" t="s">
        <v>4012</v>
      </c>
      <c r="B1289">
        <v>3</v>
      </c>
    </row>
    <row r="1290" spans="1:2" ht="28.8" x14ac:dyDescent="0.3">
      <c r="A1290" s="4" t="s">
        <v>4013</v>
      </c>
      <c r="B1290">
        <v>3</v>
      </c>
    </row>
    <row r="1291" spans="1:2" x14ac:dyDescent="0.3">
      <c r="A1291" s="4" t="s">
        <v>4014</v>
      </c>
      <c r="B1291">
        <v>3</v>
      </c>
    </row>
    <row r="1292" spans="1:2" ht="28.8" x14ac:dyDescent="0.3">
      <c r="A1292" s="4" t="s">
        <v>4015</v>
      </c>
      <c r="B1292">
        <v>3</v>
      </c>
    </row>
    <row r="1293" spans="1:2" ht="28.8" x14ac:dyDescent="0.3">
      <c r="A1293" s="4" t="s">
        <v>4016</v>
      </c>
      <c r="B1293">
        <v>3</v>
      </c>
    </row>
    <row r="1294" spans="1:2" ht="28.8" x14ac:dyDescent="0.3">
      <c r="A1294" s="4" t="s">
        <v>4017</v>
      </c>
      <c r="B1294">
        <v>3</v>
      </c>
    </row>
    <row r="1295" spans="1:2" ht="28.8" x14ac:dyDescent="0.3">
      <c r="A1295" s="4" t="s">
        <v>4018</v>
      </c>
      <c r="B1295">
        <v>3</v>
      </c>
    </row>
    <row r="1296" spans="1:2" ht="28.8" x14ac:dyDescent="0.3">
      <c r="A1296" s="4" t="s">
        <v>4019</v>
      </c>
      <c r="B1296">
        <v>3</v>
      </c>
    </row>
    <row r="1297" spans="1:2" ht="28.8" x14ac:dyDescent="0.3">
      <c r="A1297" s="4" t="s">
        <v>4020</v>
      </c>
      <c r="B1297">
        <v>3</v>
      </c>
    </row>
    <row r="1298" spans="1:2" ht="28.8" x14ac:dyDescent="0.3">
      <c r="A1298" s="4" t="s">
        <v>4021</v>
      </c>
      <c r="B1298">
        <v>3</v>
      </c>
    </row>
    <row r="1299" spans="1:2" ht="28.8" x14ac:dyDescent="0.3">
      <c r="A1299" s="4" t="s">
        <v>4022</v>
      </c>
      <c r="B1299">
        <v>3</v>
      </c>
    </row>
    <row r="1300" spans="1:2" x14ac:dyDescent="0.3">
      <c r="A1300" s="4" t="s">
        <v>4023</v>
      </c>
      <c r="B1300">
        <v>3</v>
      </c>
    </row>
    <row r="1301" spans="1:2" ht="43.2" x14ac:dyDescent="0.3">
      <c r="A1301" s="4" t="s">
        <v>4024</v>
      </c>
      <c r="B1301">
        <v>3</v>
      </c>
    </row>
    <row r="1302" spans="1:2" ht="43.2" x14ac:dyDescent="0.3">
      <c r="A1302" s="4" t="s">
        <v>4025</v>
      </c>
      <c r="B1302">
        <v>3</v>
      </c>
    </row>
    <row r="1303" spans="1:2" ht="28.8" x14ac:dyDescent="0.3">
      <c r="A1303" s="4" t="s">
        <v>4026</v>
      </c>
      <c r="B1303">
        <v>3</v>
      </c>
    </row>
    <row r="1304" spans="1:2" ht="43.2" x14ac:dyDescent="0.3">
      <c r="A1304" s="4" t="s">
        <v>4027</v>
      </c>
      <c r="B1304">
        <v>3</v>
      </c>
    </row>
    <row r="1305" spans="1:2" ht="28.8" x14ac:dyDescent="0.3">
      <c r="A1305" s="4" t="s">
        <v>4028</v>
      </c>
      <c r="B1305">
        <v>3</v>
      </c>
    </row>
    <row r="1306" spans="1:2" ht="28.8" x14ac:dyDescent="0.3">
      <c r="A1306" s="4" t="s">
        <v>4029</v>
      </c>
      <c r="B1306">
        <v>3</v>
      </c>
    </row>
    <row r="1307" spans="1:2" ht="28.8" x14ac:dyDescent="0.3">
      <c r="A1307" s="4" t="s">
        <v>4030</v>
      </c>
      <c r="B1307">
        <v>3</v>
      </c>
    </row>
    <row r="1308" spans="1:2" ht="28.8" x14ac:dyDescent="0.3">
      <c r="A1308" s="4" t="s">
        <v>4031</v>
      </c>
      <c r="B1308">
        <v>3</v>
      </c>
    </row>
    <row r="1309" spans="1:2" ht="43.2" x14ac:dyDescent="0.3">
      <c r="A1309" s="4" t="s">
        <v>4032</v>
      </c>
      <c r="B1309">
        <v>3</v>
      </c>
    </row>
    <row r="1310" spans="1:2" ht="28.8" x14ac:dyDescent="0.3">
      <c r="A1310" s="4" t="s">
        <v>4033</v>
      </c>
      <c r="B1310">
        <v>3</v>
      </c>
    </row>
    <row r="1311" spans="1:2" ht="28.8" x14ac:dyDescent="0.3">
      <c r="A1311" s="4" t="s">
        <v>4034</v>
      </c>
      <c r="B1311">
        <v>3</v>
      </c>
    </row>
    <row r="1312" spans="1:2" ht="43.2" x14ac:dyDescent="0.3">
      <c r="A1312" s="4" t="s">
        <v>4035</v>
      </c>
      <c r="B1312">
        <v>3</v>
      </c>
    </row>
    <row r="1313" spans="1:2" ht="28.8" x14ac:dyDescent="0.3">
      <c r="A1313" s="4" t="s">
        <v>4036</v>
      </c>
      <c r="B1313">
        <v>3</v>
      </c>
    </row>
    <row r="1314" spans="1:2" ht="28.8" x14ac:dyDescent="0.3">
      <c r="A1314" s="4" t="s">
        <v>4037</v>
      </c>
      <c r="B1314">
        <v>3</v>
      </c>
    </row>
    <row r="1315" spans="1:2" ht="43.2" x14ac:dyDescent="0.3">
      <c r="A1315" s="4" t="s">
        <v>4038</v>
      </c>
      <c r="B1315">
        <v>3</v>
      </c>
    </row>
    <row r="1316" spans="1:2" ht="28.8" x14ac:dyDescent="0.3">
      <c r="A1316" s="4" t="s">
        <v>4039</v>
      </c>
      <c r="B1316">
        <v>3</v>
      </c>
    </row>
    <row r="1317" spans="1:2" ht="43.2" x14ac:dyDescent="0.3">
      <c r="A1317" s="4" t="s">
        <v>4040</v>
      </c>
      <c r="B1317">
        <v>3</v>
      </c>
    </row>
    <row r="1318" spans="1:2" x14ac:dyDescent="0.3">
      <c r="A1318" s="4" t="s">
        <v>4041</v>
      </c>
      <c r="B1318">
        <v>3</v>
      </c>
    </row>
    <row r="1319" spans="1:2" ht="28.8" x14ac:dyDescent="0.3">
      <c r="A1319" s="4" t="s">
        <v>4042</v>
      </c>
      <c r="B1319">
        <v>3</v>
      </c>
    </row>
    <row r="1320" spans="1:2" ht="28.8" x14ac:dyDescent="0.3">
      <c r="A1320" s="4" t="s">
        <v>4043</v>
      </c>
      <c r="B1320">
        <v>3</v>
      </c>
    </row>
    <row r="1321" spans="1:2" ht="28.8" x14ac:dyDescent="0.3">
      <c r="A1321" s="4" t="s">
        <v>4044</v>
      </c>
      <c r="B1321">
        <v>3</v>
      </c>
    </row>
    <row r="1322" spans="1:2" ht="28.8" x14ac:dyDescent="0.3">
      <c r="A1322" s="4" t="s">
        <v>4045</v>
      </c>
      <c r="B1322">
        <v>3</v>
      </c>
    </row>
    <row r="1323" spans="1:2" ht="28.8" x14ac:dyDescent="0.3">
      <c r="A1323" s="4" t="s">
        <v>4046</v>
      </c>
      <c r="B1323">
        <v>3</v>
      </c>
    </row>
    <row r="1324" spans="1:2" ht="28.8" x14ac:dyDescent="0.3">
      <c r="A1324" s="4" t="s">
        <v>4047</v>
      </c>
      <c r="B1324">
        <v>3</v>
      </c>
    </row>
    <row r="1325" spans="1:2" ht="28.8" x14ac:dyDescent="0.3">
      <c r="A1325" s="4" t="s">
        <v>4048</v>
      </c>
      <c r="B1325">
        <v>3</v>
      </c>
    </row>
    <row r="1326" spans="1:2" ht="28.8" x14ac:dyDescent="0.3">
      <c r="A1326" s="4" t="s">
        <v>4049</v>
      </c>
      <c r="B1326">
        <v>3</v>
      </c>
    </row>
    <row r="1327" spans="1:2" ht="28.8" x14ac:dyDescent="0.3">
      <c r="A1327" s="4" t="s">
        <v>4050</v>
      </c>
      <c r="B1327">
        <v>3</v>
      </c>
    </row>
    <row r="1328" spans="1:2" ht="28.8" x14ac:dyDescent="0.3">
      <c r="A1328" s="4" t="s">
        <v>4051</v>
      </c>
      <c r="B1328">
        <v>3</v>
      </c>
    </row>
    <row r="1329" spans="1:2" ht="43.2" x14ac:dyDescent="0.3">
      <c r="A1329" s="4" t="s">
        <v>4052</v>
      </c>
      <c r="B1329">
        <v>3</v>
      </c>
    </row>
    <row r="1330" spans="1:2" ht="28.8" x14ac:dyDescent="0.3">
      <c r="A1330" s="4" t="s">
        <v>4053</v>
      </c>
      <c r="B1330">
        <v>3</v>
      </c>
    </row>
    <row r="1331" spans="1:2" ht="28.8" x14ac:dyDescent="0.3">
      <c r="A1331" s="4" t="s">
        <v>4054</v>
      </c>
      <c r="B1331">
        <v>3</v>
      </c>
    </row>
    <row r="1332" spans="1:2" ht="43.2" x14ac:dyDescent="0.3">
      <c r="A1332" s="4" t="s">
        <v>4055</v>
      </c>
      <c r="B1332">
        <v>3</v>
      </c>
    </row>
    <row r="1333" spans="1:2" ht="28.8" x14ac:dyDescent="0.3">
      <c r="A1333" s="4" t="s">
        <v>4056</v>
      </c>
      <c r="B1333">
        <v>3</v>
      </c>
    </row>
    <row r="1334" spans="1:2" x14ac:dyDescent="0.3">
      <c r="A1334" s="4" t="s">
        <v>4057</v>
      </c>
      <c r="B1334">
        <v>3</v>
      </c>
    </row>
    <row r="1335" spans="1:2" ht="28.8" x14ac:dyDescent="0.3">
      <c r="A1335" s="4" t="s">
        <v>4058</v>
      </c>
      <c r="B1335">
        <v>3</v>
      </c>
    </row>
    <row r="1336" spans="1:2" ht="28.8" x14ac:dyDescent="0.3">
      <c r="A1336" s="4" t="s">
        <v>4059</v>
      </c>
      <c r="B1336">
        <v>3</v>
      </c>
    </row>
    <row r="1337" spans="1:2" x14ac:dyDescent="0.3">
      <c r="A1337" s="4" t="s">
        <v>4060</v>
      </c>
      <c r="B1337">
        <v>3</v>
      </c>
    </row>
    <row r="1338" spans="1:2" ht="43.2" x14ac:dyDescent="0.3">
      <c r="A1338" s="4" t="s">
        <v>4061</v>
      </c>
      <c r="B1338">
        <v>3</v>
      </c>
    </row>
    <row r="1339" spans="1:2" ht="43.2" x14ac:dyDescent="0.3">
      <c r="A1339" s="4" t="s">
        <v>4062</v>
      </c>
      <c r="B1339">
        <v>3</v>
      </c>
    </row>
    <row r="1340" spans="1:2" x14ac:dyDescent="0.3">
      <c r="A1340" s="4" t="s">
        <v>4063</v>
      </c>
      <c r="B1340">
        <v>3</v>
      </c>
    </row>
    <row r="1341" spans="1:2" x14ac:dyDescent="0.3">
      <c r="A1341" s="4" t="s">
        <v>4064</v>
      </c>
      <c r="B1341">
        <v>3</v>
      </c>
    </row>
    <row r="1342" spans="1:2" ht="28.8" x14ac:dyDescent="0.3">
      <c r="A1342" s="4" t="s">
        <v>4065</v>
      </c>
      <c r="B1342">
        <v>3</v>
      </c>
    </row>
    <row r="1343" spans="1:2" ht="28.8" x14ac:dyDescent="0.3">
      <c r="A1343" s="4" t="s">
        <v>4066</v>
      </c>
      <c r="B1343">
        <v>3</v>
      </c>
    </row>
    <row r="1344" spans="1:2" ht="43.2" x14ac:dyDescent="0.3">
      <c r="A1344" s="4" t="s">
        <v>4067</v>
      </c>
      <c r="B1344">
        <v>3</v>
      </c>
    </row>
    <row r="1345" spans="1:2" ht="28.8" x14ac:dyDescent="0.3">
      <c r="A1345" s="4" t="s">
        <v>4068</v>
      </c>
      <c r="B1345">
        <v>3</v>
      </c>
    </row>
    <row r="1346" spans="1:2" ht="28.8" x14ac:dyDescent="0.3">
      <c r="A1346" s="4" t="s">
        <v>4069</v>
      </c>
      <c r="B1346">
        <v>3</v>
      </c>
    </row>
    <row r="1347" spans="1:2" ht="28.8" x14ac:dyDescent="0.3">
      <c r="A1347" s="4" t="s">
        <v>4070</v>
      </c>
      <c r="B1347">
        <v>3</v>
      </c>
    </row>
    <row r="1348" spans="1:2" ht="28.8" x14ac:dyDescent="0.3">
      <c r="A1348" s="4" t="s">
        <v>4071</v>
      </c>
      <c r="B1348">
        <v>3</v>
      </c>
    </row>
    <row r="1349" spans="1:2" ht="28.8" x14ac:dyDescent="0.3">
      <c r="A1349" s="4" t="s">
        <v>4072</v>
      </c>
      <c r="B1349">
        <v>3</v>
      </c>
    </row>
    <row r="1350" spans="1:2" ht="28.8" x14ac:dyDescent="0.3">
      <c r="A1350" s="4" t="s">
        <v>4073</v>
      </c>
      <c r="B1350">
        <v>3</v>
      </c>
    </row>
    <row r="1351" spans="1:2" ht="28.8" x14ac:dyDescent="0.3">
      <c r="A1351" s="4" t="s">
        <v>4074</v>
      </c>
      <c r="B1351">
        <v>3</v>
      </c>
    </row>
    <row r="1352" spans="1:2" ht="28.8" x14ac:dyDescent="0.3">
      <c r="A1352" s="4" t="s">
        <v>4075</v>
      </c>
      <c r="B1352">
        <v>3</v>
      </c>
    </row>
    <row r="1353" spans="1:2" ht="43.2" x14ac:dyDescent="0.3">
      <c r="A1353" s="4" t="s">
        <v>4076</v>
      </c>
      <c r="B1353">
        <v>3</v>
      </c>
    </row>
    <row r="1354" spans="1:2" ht="43.2" x14ac:dyDescent="0.3">
      <c r="A1354" s="4" t="s">
        <v>4077</v>
      </c>
      <c r="B1354">
        <v>3</v>
      </c>
    </row>
    <row r="1355" spans="1:2" ht="28.8" x14ac:dyDescent="0.3">
      <c r="A1355" s="4" t="s">
        <v>4078</v>
      </c>
      <c r="B1355">
        <v>3</v>
      </c>
    </row>
    <row r="1356" spans="1:2" ht="28.8" x14ac:dyDescent="0.3">
      <c r="A1356" s="4" t="s">
        <v>4079</v>
      </c>
      <c r="B1356">
        <v>3</v>
      </c>
    </row>
    <row r="1357" spans="1:2" ht="28.8" x14ac:dyDescent="0.3">
      <c r="A1357" s="4" t="s">
        <v>4080</v>
      </c>
      <c r="B1357">
        <v>3</v>
      </c>
    </row>
    <row r="1358" spans="1:2" ht="43.2" x14ac:dyDescent="0.3">
      <c r="A1358" s="4" t="s">
        <v>4081</v>
      </c>
      <c r="B1358">
        <v>3</v>
      </c>
    </row>
    <row r="1359" spans="1:2" ht="28.8" x14ac:dyDescent="0.3">
      <c r="A1359" s="4" t="s">
        <v>4082</v>
      </c>
      <c r="B1359">
        <v>3</v>
      </c>
    </row>
    <row r="1360" spans="1:2" ht="28.8" x14ac:dyDescent="0.3">
      <c r="A1360" s="4" t="s">
        <v>4083</v>
      </c>
      <c r="B1360">
        <v>3</v>
      </c>
    </row>
    <row r="1361" spans="1:2" ht="28.8" x14ac:dyDescent="0.3">
      <c r="A1361" s="4" t="s">
        <v>4084</v>
      </c>
      <c r="B1361">
        <v>3</v>
      </c>
    </row>
    <row r="1362" spans="1:2" ht="28.8" x14ac:dyDescent="0.3">
      <c r="A1362" s="4" t="s">
        <v>4085</v>
      </c>
      <c r="B1362">
        <v>3</v>
      </c>
    </row>
    <row r="1363" spans="1:2" ht="28.8" x14ac:dyDescent="0.3">
      <c r="A1363" s="4" t="s">
        <v>4086</v>
      </c>
      <c r="B1363">
        <v>3</v>
      </c>
    </row>
    <row r="1364" spans="1:2" x14ac:dyDescent="0.3">
      <c r="A1364" s="4" t="s">
        <v>4087</v>
      </c>
      <c r="B1364">
        <v>3</v>
      </c>
    </row>
    <row r="1365" spans="1:2" ht="28.8" x14ac:dyDescent="0.3">
      <c r="A1365" s="4" t="s">
        <v>4088</v>
      </c>
      <c r="B1365">
        <v>3</v>
      </c>
    </row>
    <row r="1366" spans="1:2" ht="28.8" x14ac:dyDescent="0.3">
      <c r="A1366" s="4" t="s">
        <v>4089</v>
      </c>
      <c r="B1366">
        <v>3</v>
      </c>
    </row>
    <row r="1367" spans="1:2" x14ac:dyDescent="0.3">
      <c r="A1367" s="4" t="s">
        <v>4090</v>
      </c>
      <c r="B1367">
        <v>3</v>
      </c>
    </row>
    <row r="1368" spans="1:2" ht="28.8" x14ac:dyDescent="0.3">
      <c r="A1368" s="4" t="s">
        <v>4091</v>
      </c>
      <c r="B1368">
        <v>3</v>
      </c>
    </row>
    <row r="1369" spans="1:2" ht="28.8" x14ac:dyDescent="0.3">
      <c r="A1369" s="4" t="s">
        <v>4092</v>
      </c>
      <c r="B1369">
        <v>3</v>
      </c>
    </row>
    <row r="1370" spans="1:2" ht="28.8" x14ac:dyDescent="0.3">
      <c r="A1370" s="4" t="s">
        <v>4093</v>
      </c>
      <c r="B1370">
        <v>3</v>
      </c>
    </row>
    <row r="1371" spans="1:2" ht="28.8" x14ac:dyDescent="0.3">
      <c r="A1371" s="4" t="s">
        <v>4094</v>
      </c>
      <c r="B1371">
        <v>3</v>
      </c>
    </row>
    <row r="1372" spans="1:2" ht="43.2" x14ac:dyDescent="0.3">
      <c r="A1372" s="4" t="s">
        <v>4095</v>
      </c>
      <c r="B1372">
        <v>3</v>
      </c>
    </row>
    <row r="1373" spans="1:2" ht="28.8" x14ac:dyDescent="0.3">
      <c r="A1373" s="4" t="s">
        <v>4096</v>
      </c>
      <c r="B1373">
        <v>3</v>
      </c>
    </row>
    <row r="1374" spans="1:2" ht="28.8" x14ac:dyDescent="0.3">
      <c r="A1374" s="4" t="s">
        <v>4097</v>
      </c>
      <c r="B1374">
        <v>3</v>
      </c>
    </row>
    <row r="1375" spans="1:2" ht="28.8" x14ac:dyDescent="0.3">
      <c r="A1375" s="4" t="s">
        <v>4098</v>
      </c>
      <c r="B1375">
        <v>3</v>
      </c>
    </row>
    <row r="1376" spans="1:2" ht="43.2" x14ac:dyDescent="0.3">
      <c r="A1376" s="4" t="s">
        <v>4099</v>
      </c>
      <c r="B1376">
        <v>3</v>
      </c>
    </row>
    <row r="1377" spans="1:2" ht="28.8" x14ac:dyDescent="0.3">
      <c r="A1377" s="4" t="s">
        <v>4100</v>
      </c>
      <c r="B1377">
        <v>3</v>
      </c>
    </row>
    <row r="1378" spans="1:2" ht="28.8" x14ac:dyDescent="0.3">
      <c r="A1378" s="4" t="s">
        <v>4101</v>
      </c>
      <c r="B1378">
        <v>3</v>
      </c>
    </row>
    <row r="1379" spans="1:2" ht="28.8" x14ac:dyDescent="0.3">
      <c r="A1379" s="4" t="s">
        <v>4102</v>
      </c>
      <c r="B1379">
        <v>3</v>
      </c>
    </row>
    <row r="1380" spans="1:2" ht="43.2" x14ac:dyDescent="0.3">
      <c r="A1380" s="4" t="s">
        <v>4103</v>
      </c>
      <c r="B1380">
        <v>3</v>
      </c>
    </row>
    <row r="1381" spans="1:2" ht="43.2" x14ac:dyDescent="0.3">
      <c r="A1381" s="4" t="s">
        <v>4104</v>
      </c>
      <c r="B1381">
        <v>3</v>
      </c>
    </row>
    <row r="1382" spans="1:2" x14ac:dyDescent="0.3">
      <c r="A1382" s="4" t="s">
        <v>4105</v>
      </c>
      <c r="B1382">
        <v>3</v>
      </c>
    </row>
    <row r="1383" spans="1:2" ht="28.8" x14ac:dyDescent="0.3">
      <c r="A1383" s="4" t="s">
        <v>4106</v>
      </c>
      <c r="B1383">
        <v>3</v>
      </c>
    </row>
    <row r="1384" spans="1:2" ht="28.8" x14ac:dyDescent="0.3">
      <c r="A1384" s="4" t="s">
        <v>4107</v>
      </c>
      <c r="B1384">
        <v>3</v>
      </c>
    </row>
    <row r="1385" spans="1:2" ht="28.8" x14ac:dyDescent="0.3">
      <c r="A1385" s="4" t="s">
        <v>4108</v>
      </c>
      <c r="B1385">
        <v>3</v>
      </c>
    </row>
    <row r="1386" spans="1:2" ht="28.8" x14ac:dyDescent="0.3">
      <c r="A1386" s="4" t="s">
        <v>4109</v>
      </c>
      <c r="B1386">
        <v>3</v>
      </c>
    </row>
    <row r="1387" spans="1:2" ht="28.8" x14ac:dyDescent="0.3">
      <c r="A1387" s="4" t="s">
        <v>4110</v>
      </c>
      <c r="B1387">
        <v>3</v>
      </c>
    </row>
    <row r="1388" spans="1:2" ht="28.8" x14ac:dyDescent="0.3">
      <c r="A1388" s="4" t="s">
        <v>4111</v>
      </c>
      <c r="B1388">
        <v>3</v>
      </c>
    </row>
    <row r="1389" spans="1:2" ht="28.8" x14ac:dyDescent="0.3">
      <c r="A1389" s="4" t="s">
        <v>4112</v>
      </c>
      <c r="B1389">
        <v>3</v>
      </c>
    </row>
    <row r="1390" spans="1:2" ht="28.8" x14ac:dyDescent="0.3">
      <c r="A1390" s="4" t="s">
        <v>4113</v>
      </c>
      <c r="B1390">
        <v>3</v>
      </c>
    </row>
    <row r="1391" spans="1:2" ht="28.8" x14ac:dyDescent="0.3">
      <c r="A1391" s="4" t="s">
        <v>4114</v>
      </c>
      <c r="B1391">
        <v>3</v>
      </c>
    </row>
    <row r="1392" spans="1:2" ht="28.8" x14ac:dyDescent="0.3">
      <c r="A1392" s="4" t="s">
        <v>4115</v>
      </c>
      <c r="B1392">
        <v>3</v>
      </c>
    </row>
    <row r="1393" spans="1:2" ht="28.8" x14ac:dyDescent="0.3">
      <c r="A1393" s="4" t="s">
        <v>4116</v>
      </c>
      <c r="B1393">
        <v>3</v>
      </c>
    </row>
    <row r="1394" spans="1:2" ht="28.8" x14ac:dyDescent="0.3">
      <c r="A1394" s="4" t="s">
        <v>4117</v>
      </c>
      <c r="B1394">
        <v>3</v>
      </c>
    </row>
    <row r="1395" spans="1:2" ht="28.8" x14ac:dyDescent="0.3">
      <c r="A1395" s="4" t="s">
        <v>4118</v>
      </c>
      <c r="B1395">
        <v>3</v>
      </c>
    </row>
    <row r="1396" spans="1:2" ht="43.2" x14ac:dyDescent="0.3">
      <c r="A1396" s="4" t="s">
        <v>4119</v>
      </c>
      <c r="B1396">
        <v>3</v>
      </c>
    </row>
    <row r="1397" spans="1:2" ht="28.8" x14ac:dyDescent="0.3">
      <c r="A1397" s="4" t="s">
        <v>4120</v>
      </c>
      <c r="B1397">
        <v>3</v>
      </c>
    </row>
    <row r="1398" spans="1:2" ht="28.8" x14ac:dyDescent="0.3">
      <c r="A1398" s="4" t="s">
        <v>4121</v>
      </c>
      <c r="B1398">
        <v>3</v>
      </c>
    </row>
    <row r="1399" spans="1:2" ht="43.2" x14ac:dyDescent="0.3">
      <c r="A1399" s="4" t="s">
        <v>4122</v>
      </c>
      <c r="B1399">
        <v>3</v>
      </c>
    </row>
    <row r="1400" spans="1:2" ht="28.8" x14ac:dyDescent="0.3">
      <c r="A1400" s="4" t="s">
        <v>4123</v>
      </c>
      <c r="B1400">
        <v>3</v>
      </c>
    </row>
    <row r="1401" spans="1:2" ht="43.2" x14ac:dyDescent="0.3">
      <c r="A1401" s="4" t="s">
        <v>4124</v>
      </c>
      <c r="B1401">
        <v>3</v>
      </c>
    </row>
    <row r="1402" spans="1:2" ht="28.8" x14ac:dyDescent="0.3">
      <c r="A1402" s="4" t="s">
        <v>4125</v>
      </c>
      <c r="B1402">
        <v>3</v>
      </c>
    </row>
    <row r="1403" spans="1:2" x14ac:dyDescent="0.3">
      <c r="A1403" s="4" t="s">
        <v>4126</v>
      </c>
      <c r="B1403">
        <v>3</v>
      </c>
    </row>
    <row r="1404" spans="1:2" ht="28.8" x14ac:dyDescent="0.3">
      <c r="A1404" s="4" t="s">
        <v>4127</v>
      </c>
      <c r="B1404">
        <v>3</v>
      </c>
    </row>
    <row r="1405" spans="1:2" ht="28.8" x14ac:dyDescent="0.3">
      <c r="A1405" s="4" t="s">
        <v>4128</v>
      </c>
      <c r="B1405">
        <v>3</v>
      </c>
    </row>
    <row r="1406" spans="1:2" x14ac:dyDescent="0.3">
      <c r="A1406" s="4" t="s">
        <v>4129</v>
      </c>
      <c r="B1406">
        <v>3</v>
      </c>
    </row>
    <row r="1407" spans="1:2" ht="28.8" x14ac:dyDescent="0.3">
      <c r="A1407" s="4" t="s">
        <v>4130</v>
      </c>
      <c r="B1407">
        <v>3</v>
      </c>
    </row>
    <row r="1408" spans="1:2" ht="28.8" x14ac:dyDescent="0.3">
      <c r="A1408" s="4" t="s">
        <v>4131</v>
      </c>
      <c r="B1408">
        <v>3</v>
      </c>
    </row>
    <row r="1409" spans="1:2" ht="43.2" x14ac:dyDescent="0.3">
      <c r="A1409" s="4" t="s">
        <v>4132</v>
      </c>
      <c r="B1409">
        <v>3</v>
      </c>
    </row>
    <row r="1410" spans="1:2" ht="28.8" x14ac:dyDescent="0.3">
      <c r="A1410" s="4" t="s">
        <v>4133</v>
      </c>
      <c r="B1410">
        <v>3</v>
      </c>
    </row>
    <row r="1411" spans="1:2" ht="28.8" x14ac:dyDescent="0.3">
      <c r="A1411" s="4" t="s">
        <v>4134</v>
      </c>
      <c r="B1411">
        <v>3</v>
      </c>
    </row>
    <row r="1412" spans="1:2" ht="28.8" x14ac:dyDescent="0.3">
      <c r="A1412" s="4" t="s">
        <v>4135</v>
      </c>
      <c r="B1412">
        <v>3</v>
      </c>
    </row>
    <row r="1413" spans="1:2" ht="28.8" x14ac:dyDescent="0.3">
      <c r="A1413" s="4" t="s">
        <v>4136</v>
      </c>
      <c r="B1413">
        <v>3</v>
      </c>
    </row>
    <row r="1414" spans="1:2" ht="28.8" x14ac:dyDescent="0.3">
      <c r="A1414" s="4" t="s">
        <v>4137</v>
      </c>
      <c r="B1414">
        <v>3</v>
      </c>
    </row>
    <row r="1415" spans="1:2" ht="43.2" x14ac:dyDescent="0.3">
      <c r="A1415" s="4" t="s">
        <v>4138</v>
      </c>
      <c r="B1415">
        <v>3</v>
      </c>
    </row>
    <row r="1416" spans="1:2" ht="43.2" x14ac:dyDescent="0.3">
      <c r="A1416" s="4" t="s">
        <v>4139</v>
      </c>
      <c r="B1416">
        <v>3</v>
      </c>
    </row>
    <row r="1417" spans="1:2" ht="28.8" x14ac:dyDescent="0.3">
      <c r="A1417" s="4" t="s">
        <v>4140</v>
      </c>
      <c r="B1417">
        <v>3</v>
      </c>
    </row>
    <row r="1418" spans="1:2" ht="28.8" x14ac:dyDescent="0.3">
      <c r="A1418" s="4" t="s">
        <v>4141</v>
      </c>
      <c r="B1418">
        <v>3</v>
      </c>
    </row>
    <row r="1419" spans="1:2" ht="28.8" x14ac:dyDescent="0.3">
      <c r="A1419" s="4" t="s">
        <v>4142</v>
      </c>
      <c r="B1419">
        <v>3</v>
      </c>
    </row>
    <row r="1420" spans="1:2" ht="28.8" x14ac:dyDescent="0.3">
      <c r="A1420" s="4" t="s">
        <v>4143</v>
      </c>
      <c r="B1420">
        <v>3</v>
      </c>
    </row>
    <row r="1421" spans="1:2" ht="28.8" x14ac:dyDescent="0.3">
      <c r="A1421" s="4" t="s">
        <v>4144</v>
      </c>
      <c r="B1421">
        <v>3</v>
      </c>
    </row>
    <row r="1422" spans="1:2" ht="28.8" x14ac:dyDescent="0.3">
      <c r="A1422" s="4" t="s">
        <v>4145</v>
      </c>
      <c r="B1422">
        <v>3</v>
      </c>
    </row>
    <row r="1423" spans="1:2" ht="28.8" x14ac:dyDescent="0.3">
      <c r="A1423" s="4" t="s">
        <v>4146</v>
      </c>
      <c r="B1423">
        <v>3</v>
      </c>
    </row>
    <row r="1424" spans="1:2" ht="43.2" x14ac:dyDescent="0.3">
      <c r="A1424" s="4" t="s">
        <v>4147</v>
      </c>
      <c r="B1424">
        <v>3</v>
      </c>
    </row>
    <row r="1425" spans="1:2" ht="28.8" x14ac:dyDescent="0.3">
      <c r="A1425" s="4" t="s">
        <v>4148</v>
      </c>
      <c r="B1425">
        <v>3</v>
      </c>
    </row>
    <row r="1426" spans="1:2" ht="28.8" x14ac:dyDescent="0.3">
      <c r="A1426" s="4" t="s">
        <v>4149</v>
      </c>
      <c r="B1426">
        <v>3</v>
      </c>
    </row>
    <row r="1427" spans="1:2" ht="28.8" x14ac:dyDescent="0.3">
      <c r="A1427" s="4" t="s">
        <v>4150</v>
      </c>
      <c r="B1427">
        <v>3</v>
      </c>
    </row>
    <row r="1428" spans="1:2" ht="43.2" x14ac:dyDescent="0.3">
      <c r="A1428" s="4" t="s">
        <v>4151</v>
      </c>
      <c r="B1428">
        <v>3</v>
      </c>
    </row>
    <row r="1429" spans="1:2" ht="43.2" x14ac:dyDescent="0.3">
      <c r="A1429" s="4" t="s">
        <v>4152</v>
      </c>
      <c r="B1429">
        <v>3</v>
      </c>
    </row>
    <row r="1430" spans="1:2" ht="28.8" x14ac:dyDescent="0.3">
      <c r="A1430" s="4" t="s">
        <v>4153</v>
      </c>
      <c r="B1430">
        <v>3</v>
      </c>
    </row>
    <row r="1431" spans="1:2" ht="28.8" x14ac:dyDescent="0.3">
      <c r="A1431" s="4" t="s">
        <v>4154</v>
      </c>
      <c r="B1431">
        <v>3</v>
      </c>
    </row>
    <row r="1432" spans="1:2" ht="57.6" x14ac:dyDescent="0.3">
      <c r="A1432" s="4" t="s">
        <v>4155</v>
      </c>
      <c r="B1432">
        <v>3</v>
      </c>
    </row>
    <row r="1433" spans="1:2" ht="43.2" x14ac:dyDescent="0.3">
      <c r="A1433" s="4" t="s">
        <v>4156</v>
      </c>
      <c r="B1433">
        <v>3</v>
      </c>
    </row>
    <row r="1434" spans="1:2" ht="28.8" x14ac:dyDescent="0.3">
      <c r="A1434" s="4" t="s">
        <v>4157</v>
      </c>
      <c r="B1434">
        <v>3</v>
      </c>
    </row>
    <row r="1435" spans="1:2" ht="28.8" x14ac:dyDescent="0.3">
      <c r="A1435" s="4" t="s">
        <v>4158</v>
      </c>
      <c r="B1435">
        <v>3</v>
      </c>
    </row>
    <row r="1436" spans="1:2" ht="72" x14ac:dyDescent="0.3">
      <c r="A1436" s="4" t="s">
        <v>4159</v>
      </c>
      <c r="B1436">
        <v>3</v>
      </c>
    </row>
    <row r="1437" spans="1:2" ht="28.8" x14ac:dyDescent="0.3">
      <c r="A1437" s="4" t="s">
        <v>4160</v>
      </c>
      <c r="B1437">
        <v>3</v>
      </c>
    </row>
    <row r="1438" spans="1:2" ht="43.2" x14ac:dyDescent="0.3">
      <c r="A1438" s="4" t="s">
        <v>4161</v>
      </c>
      <c r="B1438">
        <v>3</v>
      </c>
    </row>
    <row r="1439" spans="1:2" ht="28.8" x14ac:dyDescent="0.3">
      <c r="A1439" s="4" t="s">
        <v>4162</v>
      </c>
      <c r="B1439">
        <v>3</v>
      </c>
    </row>
    <row r="1440" spans="1:2" ht="28.8" x14ac:dyDescent="0.3">
      <c r="A1440" s="4" t="s">
        <v>4163</v>
      </c>
      <c r="B1440">
        <v>3</v>
      </c>
    </row>
    <row r="1441" spans="1:2" x14ac:dyDescent="0.3">
      <c r="A1441" s="4" t="s">
        <v>4164</v>
      </c>
      <c r="B1441">
        <v>3</v>
      </c>
    </row>
    <row r="1442" spans="1:2" ht="43.2" x14ac:dyDescent="0.3">
      <c r="A1442" s="4" t="s">
        <v>4165</v>
      </c>
      <c r="B1442">
        <v>3</v>
      </c>
    </row>
    <row r="1443" spans="1:2" ht="28.8" x14ac:dyDescent="0.3">
      <c r="A1443" s="4" t="s">
        <v>4166</v>
      </c>
      <c r="B1443">
        <v>3</v>
      </c>
    </row>
    <row r="1444" spans="1:2" x14ac:dyDescent="0.3">
      <c r="A1444" s="4" t="s">
        <v>4167</v>
      </c>
      <c r="B1444">
        <v>3</v>
      </c>
    </row>
    <row r="1445" spans="1:2" ht="28.8" x14ac:dyDescent="0.3">
      <c r="A1445" s="4" t="s">
        <v>4168</v>
      </c>
      <c r="B1445">
        <v>3</v>
      </c>
    </row>
    <row r="1446" spans="1:2" ht="28.8" x14ac:dyDescent="0.3">
      <c r="A1446" s="4" t="s">
        <v>4169</v>
      </c>
      <c r="B1446">
        <v>3</v>
      </c>
    </row>
    <row r="1447" spans="1:2" x14ac:dyDescent="0.3">
      <c r="A1447" s="4" t="s">
        <v>4170</v>
      </c>
      <c r="B1447">
        <v>3</v>
      </c>
    </row>
    <row r="1448" spans="1:2" ht="28.8" x14ac:dyDescent="0.3">
      <c r="A1448" s="4" t="s">
        <v>4171</v>
      </c>
      <c r="B1448">
        <v>3</v>
      </c>
    </row>
    <row r="1449" spans="1:2" ht="43.2" x14ac:dyDescent="0.3">
      <c r="A1449" s="4" t="s">
        <v>4172</v>
      </c>
      <c r="B1449">
        <v>3</v>
      </c>
    </row>
    <row r="1450" spans="1:2" ht="28.8" x14ac:dyDescent="0.3">
      <c r="A1450" s="4" t="s">
        <v>4173</v>
      </c>
      <c r="B1450">
        <v>3</v>
      </c>
    </row>
    <row r="1451" spans="1:2" ht="28.8" x14ac:dyDescent="0.3">
      <c r="A1451" s="4" t="s">
        <v>4174</v>
      </c>
      <c r="B1451">
        <v>3</v>
      </c>
    </row>
    <row r="1452" spans="1:2" x14ac:dyDescent="0.3">
      <c r="A1452" s="4" t="s">
        <v>4175</v>
      </c>
      <c r="B1452">
        <v>3</v>
      </c>
    </row>
    <row r="1453" spans="1:2" ht="28.8" x14ac:dyDescent="0.3">
      <c r="A1453" s="4" t="s">
        <v>4176</v>
      </c>
      <c r="B1453">
        <v>3</v>
      </c>
    </row>
    <row r="1454" spans="1:2" ht="43.2" x14ac:dyDescent="0.3">
      <c r="A1454" s="4" t="s">
        <v>4177</v>
      </c>
      <c r="B1454">
        <v>3</v>
      </c>
    </row>
    <row r="1455" spans="1:2" ht="28.8" x14ac:dyDescent="0.3">
      <c r="A1455" s="4" t="s">
        <v>4178</v>
      </c>
      <c r="B1455">
        <v>3</v>
      </c>
    </row>
    <row r="1456" spans="1:2" ht="28.8" x14ac:dyDescent="0.3">
      <c r="A1456" s="4" t="s">
        <v>4179</v>
      </c>
      <c r="B1456">
        <v>3</v>
      </c>
    </row>
    <row r="1457" spans="1:2" ht="28.8" x14ac:dyDescent="0.3">
      <c r="A1457" s="4" t="s">
        <v>4180</v>
      </c>
      <c r="B1457">
        <v>3</v>
      </c>
    </row>
    <row r="1458" spans="1:2" x14ac:dyDescent="0.3">
      <c r="A1458" s="4" t="s">
        <v>4181</v>
      </c>
      <c r="B1458">
        <v>3</v>
      </c>
    </row>
    <row r="1459" spans="1:2" ht="28.8" x14ac:dyDescent="0.3">
      <c r="A1459" s="4" t="s">
        <v>4182</v>
      </c>
      <c r="B1459">
        <v>3</v>
      </c>
    </row>
    <row r="1460" spans="1:2" ht="28.8" x14ac:dyDescent="0.3">
      <c r="A1460" s="4" t="s">
        <v>4183</v>
      </c>
      <c r="B1460">
        <v>3</v>
      </c>
    </row>
    <row r="1461" spans="1:2" ht="28.8" x14ac:dyDescent="0.3">
      <c r="A1461" s="4" t="s">
        <v>4184</v>
      </c>
      <c r="B1461">
        <v>3</v>
      </c>
    </row>
    <row r="1462" spans="1:2" ht="28.8" x14ac:dyDescent="0.3">
      <c r="A1462" s="4" t="s">
        <v>4185</v>
      </c>
      <c r="B1462">
        <v>3</v>
      </c>
    </row>
    <row r="1463" spans="1:2" x14ac:dyDescent="0.3">
      <c r="A1463" s="4" t="s">
        <v>4186</v>
      </c>
      <c r="B1463">
        <v>3</v>
      </c>
    </row>
    <row r="1464" spans="1:2" ht="28.8" x14ac:dyDescent="0.3">
      <c r="A1464" s="4" t="s">
        <v>4187</v>
      </c>
      <c r="B1464">
        <v>3</v>
      </c>
    </row>
    <row r="1465" spans="1:2" ht="28.8" x14ac:dyDescent="0.3">
      <c r="A1465" s="4" t="s">
        <v>4188</v>
      </c>
      <c r="B1465">
        <v>3</v>
      </c>
    </row>
    <row r="1466" spans="1:2" x14ac:dyDescent="0.3">
      <c r="A1466" s="4" t="s">
        <v>4189</v>
      </c>
      <c r="B1466">
        <v>3</v>
      </c>
    </row>
    <row r="1467" spans="1:2" ht="28.8" x14ac:dyDescent="0.3">
      <c r="A1467" s="4" t="s">
        <v>4190</v>
      </c>
      <c r="B1467">
        <v>3</v>
      </c>
    </row>
    <row r="1468" spans="1:2" ht="28.8" x14ac:dyDescent="0.3">
      <c r="A1468" s="4" t="s">
        <v>4191</v>
      </c>
      <c r="B1468">
        <v>3</v>
      </c>
    </row>
    <row r="1469" spans="1:2" ht="28.8" x14ac:dyDescent="0.3">
      <c r="A1469" s="4" t="s">
        <v>4192</v>
      </c>
      <c r="B1469">
        <v>3</v>
      </c>
    </row>
    <row r="1470" spans="1:2" ht="43.2" x14ac:dyDescent="0.3">
      <c r="A1470" s="4" t="s">
        <v>4193</v>
      </c>
      <c r="B1470">
        <v>3</v>
      </c>
    </row>
    <row r="1471" spans="1:2" ht="28.8" x14ac:dyDescent="0.3">
      <c r="A1471" s="4" t="s">
        <v>4194</v>
      </c>
      <c r="B1471">
        <v>3</v>
      </c>
    </row>
    <row r="1472" spans="1:2" ht="28.8" x14ac:dyDescent="0.3">
      <c r="A1472" s="4" t="s">
        <v>4195</v>
      </c>
      <c r="B1472">
        <v>3</v>
      </c>
    </row>
    <row r="1473" spans="1:2" x14ac:dyDescent="0.3">
      <c r="A1473" s="4" t="s">
        <v>4196</v>
      </c>
      <c r="B1473">
        <v>3</v>
      </c>
    </row>
    <row r="1474" spans="1:2" ht="43.2" x14ac:dyDescent="0.3">
      <c r="A1474" s="4" t="s">
        <v>4197</v>
      </c>
      <c r="B1474">
        <v>3</v>
      </c>
    </row>
    <row r="1475" spans="1:2" ht="28.8" x14ac:dyDescent="0.3">
      <c r="A1475" s="4" t="s">
        <v>4198</v>
      </c>
      <c r="B1475">
        <v>3</v>
      </c>
    </row>
    <row r="1476" spans="1:2" ht="28.8" x14ac:dyDescent="0.3">
      <c r="A1476" s="4" t="s">
        <v>4199</v>
      </c>
      <c r="B1476">
        <v>3</v>
      </c>
    </row>
    <row r="1477" spans="1:2" ht="43.2" x14ac:dyDescent="0.3">
      <c r="A1477" s="4" t="s">
        <v>4200</v>
      </c>
      <c r="B1477">
        <v>3</v>
      </c>
    </row>
    <row r="1478" spans="1:2" ht="28.8" x14ac:dyDescent="0.3">
      <c r="A1478" s="4" t="s">
        <v>4201</v>
      </c>
      <c r="B1478">
        <v>3</v>
      </c>
    </row>
    <row r="1479" spans="1:2" ht="28.8" x14ac:dyDescent="0.3">
      <c r="A1479" s="4" t="s">
        <v>4202</v>
      </c>
      <c r="B1479">
        <v>3</v>
      </c>
    </row>
    <row r="1480" spans="1:2" ht="28.8" x14ac:dyDescent="0.3">
      <c r="A1480" s="4" t="s">
        <v>4203</v>
      </c>
      <c r="B1480">
        <v>3</v>
      </c>
    </row>
    <row r="1481" spans="1:2" ht="43.2" x14ac:dyDescent="0.3">
      <c r="A1481" s="4" t="s">
        <v>4204</v>
      </c>
      <c r="B1481">
        <v>3</v>
      </c>
    </row>
    <row r="1482" spans="1:2" ht="28.8" x14ac:dyDescent="0.3">
      <c r="A1482" s="4" t="s">
        <v>4205</v>
      </c>
      <c r="B1482">
        <v>3</v>
      </c>
    </row>
    <row r="1483" spans="1:2" ht="28.8" x14ac:dyDescent="0.3">
      <c r="A1483" s="4" t="s">
        <v>4206</v>
      </c>
      <c r="B1483">
        <v>3</v>
      </c>
    </row>
    <row r="1484" spans="1:2" ht="28.8" x14ac:dyDescent="0.3">
      <c r="A1484" s="4" t="s">
        <v>4207</v>
      </c>
      <c r="B1484">
        <v>3</v>
      </c>
    </row>
    <row r="1485" spans="1:2" ht="28.8" x14ac:dyDescent="0.3">
      <c r="A1485" s="4" t="s">
        <v>4208</v>
      </c>
      <c r="B1485">
        <v>3</v>
      </c>
    </row>
    <row r="1486" spans="1:2" ht="28.8" x14ac:dyDescent="0.3">
      <c r="A1486" s="4" t="s">
        <v>4209</v>
      </c>
      <c r="B1486">
        <v>3</v>
      </c>
    </row>
    <row r="1487" spans="1:2" ht="28.8" x14ac:dyDescent="0.3">
      <c r="A1487" s="4" t="s">
        <v>4210</v>
      </c>
      <c r="B1487">
        <v>3</v>
      </c>
    </row>
    <row r="1488" spans="1:2" ht="28.8" x14ac:dyDescent="0.3">
      <c r="A1488" s="4" t="s">
        <v>4211</v>
      </c>
      <c r="B1488">
        <v>3</v>
      </c>
    </row>
    <row r="1489" spans="1:2" ht="28.8" x14ac:dyDescent="0.3">
      <c r="A1489" s="4" t="s">
        <v>4212</v>
      </c>
      <c r="B1489">
        <v>3</v>
      </c>
    </row>
    <row r="1490" spans="1:2" ht="28.8" x14ac:dyDescent="0.3">
      <c r="A1490" s="4" t="s">
        <v>4213</v>
      </c>
      <c r="B1490">
        <v>3</v>
      </c>
    </row>
    <row r="1491" spans="1:2" x14ac:dyDescent="0.3">
      <c r="A1491" s="4" t="s">
        <v>4214</v>
      </c>
      <c r="B1491">
        <v>3</v>
      </c>
    </row>
    <row r="1492" spans="1:2" ht="28.8" x14ac:dyDescent="0.3">
      <c r="A1492" s="4" t="s">
        <v>4215</v>
      </c>
      <c r="B1492">
        <v>3</v>
      </c>
    </row>
    <row r="1493" spans="1:2" ht="28.8" x14ac:dyDescent="0.3">
      <c r="A1493" s="4" t="s">
        <v>4216</v>
      </c>
      <c r="B1493">
        <v>3</v>
      </c>
    </row>
    <row r="1494" spans="1:2" x14ac:dyDescent="0.3">
      <c r="A1494" s="4" t="s">
        <v>4217</v>
      </c>
      <c r="B1494">
        <v>3</v>
      </c>
    </row>
    <row r="1495" spans="1:2" ht="43.2" x14ac:dyDescent="0.3">
      <c r="A1495" s="4" t="s">
        <v>4218</v>
      </c>
      <c r="B1495">
        <v>3</v>
      </c>
    </row>
    <row r="1496" spans="1:2" x14ac:dyDescent="0.3">
      <c r="A1496" s="4" t="s">
        <v>4219</v>
      </c>
      <c r="B1496">
        <v>3</v>
      </c>
    </row>
    <row r="1497" spans="1:2" ht="28.8" x14ac:dyDescent="0.3">
      <c r="A1497" s="4" t="s">
        <v>4220</v>
      </c>
      <c r="B1497">
        <v>3</v>
      </c>
    </row>
    <row r="1498" spans="1:2" x14ac:dyDescent="0.3">
      <c r="A1498" s="4" t="s">
        <v>4221</v>
      </c>
      <c r="B1498">
        <v>3</v>
      </c>
    </row>
    <row r="1499" spans="1:2" ht="28.8" x14ac:dyDescent="0.3">
      <c r="A1499" s="4" t="s">
        <v>4222</v>
      </c>
      <c r="B1499">
        <v>3</v>
      </c>
    </row>
    <row r="1500" spans="1:2" ht="43.2" x14ac:dyDescent="0.3">
      <c r="A1500" s="4" t="s">
        <v>4223</v>
      </c>
      <c r="B1500">
        <v>3</v>
      </c>
    </row>
    <row r="1501" spans="1:2" ht="43.2" x14ac:dyDescent="0.3">
      <c r="A1501" s="4" t="s">
        <v>4224</v>
      </c>
      <c r="B1501">
        <v>3</v>
      </c>
    </row>
    <row r="1502" spans="1:2" ht="28.8" x14ac:dyDescent="0.3">
      <c r="A1502" s="4" t="s">
        <v>4225</v>
      </c>
      <c r="B1502">
        <v>3</v>
      </c>
    </row>
    <row r="1503" spans="1:2" ht="28.8" x14ac:dyDescent="0.3">
      <c r="A1503" s="4" t="s">
        <v>4226</v>
      </c>
      <c r="B1503">
        <v>3</v>
      </c>
    </row>
    <row r="1504" spans="1:2" ht="28.8" x14ac:dyDescent="0.3">
      <c r="A1504" s="4" t="s">
        <v>4227</v>
      </c>
      <c r="B1504">
        <v>3</v>
      </c>
    </row>
    <row r="1505" spans="1:2" ht="28.8" x14ac:dyDescent="0.3">
      <c r="A1505" s="4" t="s">
        <v>4228</v>
      </c>
      <c r="B1505">
        <v>3</v>
      </c>
    </row>
    <row r="1506" spans="1:2" x14ac:dyDescent="0.3">
      <c r="A1506" s="4" t="s">
        <v>4229</v>
      </c>
      <c r="B1506">
        <v>3</v>
      </c>
    </row>
    <row r="1507" spans="1:2" ht="43.2" x14ac:dyDescent="0.3">
      <c r="A1507" s="4" t="s">
        <v>4230</v>
      </c>
      <c r="B1507">
        <v>3</v>
      </c>
    </row>
    <row r="1508" spans="1:2" x14ac:dyDescent="0.3">
      <c r="A1508" s="4" t="s">
        <v>4231</v>
      </c>
      <c r="B1508">
        <v>3</v>
      </c>
    </row>
    <row r="1509" spans="1:2" ht="28.8" x14ac:dyDescent="0.3">
      <c r="A1509" s="4" t="s">
        <v>4232</v>
      </c>
      <c r="B1509">
        <v>3</v>
      </c>
    </row>
    <row r="1510" spans="1:2" ht="43.2" x14ac:dyDescent="0.3">
      <c r="A1510" s="4" t="s">
        <v>4233</v>
      </c>
      <c r="B1510">
        <v>3</v>
      </c>
    </row>
    <row r="1511" spans="1:2" ht="28.8" x14ac:dyDescent="0.3">
      <c r="A1511" s="4" t="s">
        <v>4234</v>
      </c>
      <c r="B1511">
        <v>3</v>
      </c>
    </row>
    <row r="1512" spans="1:2" x14ac:dyDescent="0.3">
      <c r="A1512" s="4" t="s">
        <v>4235</v>
      </c>
      <c r="B1512">
        <v>3</v>
      </c>
    </row>
    <row r="1513" spans="1:2" ht="28.8" x14ac:dyDescent="0.3">
      <c r="A1513" s="4" t="s">
        <v>4236</v>
      </c>
      <c r="B1513">
        <v>3</v>
      </c>
    </row>
    <row r="1514" spans="1:2" ht="43.2" x14ac:dyDescent="0.3">
      <c r="A1514" s="4" t="s">
        <v>4237</v>
      </c>
      <c r="B1514">
        <v>3</v>
      </c>
    </row>
    <row r="1515" spans="1:2" ht="28.8" x14ac:dyDescent="0.3">
      <c r="A1515" s="4" t="s">
        <v>4238</v>
      </c>
      <c r="B1515">
        <v>3</v>
      </c>
    </row>
    <row r="1516" spans="1:2" ht="28.8" x14ac:dyDescent="0.3">
      <c r="A1516" s="4" t="s">
        <v>4239</v>
      </c>
      <c r="B1516">
        <v>3</v>
      </c>
    </row>
    <row r="1517" spans="1:2" ht="28.8" x14ac:dyDescent="0.3">
      <c r="A1517" s="4" t="s">
        <v>4240</v>
      </c>
      <c r="B1517">
        <v>3</v>
      </c>
    </row>
    <row r="1518" spans="1:2" ht="28.8" x14ac:dyDescent="0.3">
      <c r="A1518" s="4" t="s">
        <v>4241</v>
      </c>
      <c r="B1518">
        <v>3</v>
      </c>
    </row>
    <row r="1519" spans="1:2" x14ac:dyDescent="0.3">
      <c r="A1519" s="4" t="s">
        <v>4242</v>
      </c>
      <c r="B1519">
        <v>3</v>
      </c>
    </row>
    <row r="1520" spans="1:2" ht="43.2" x14ac:dyDescent="0.3">
      <c r="A1520" s="4" t="s">
        <v>4243</v>
      </c>
      <c r="B1520">
        <v>3</v>
      </c>
    </row>
    <row r="1521" spans="1:2" ht="28.8" x14ac:dyDescent="0.3">
      <c r="A1521" s="4" t="s">
        <v>4244</v>
      </c>
      <c r="B1521">
        <v>3</v>
      </c>
    </row>
    <row r="1522" spans="1:2" ht="43.2" x14ac:dyDescent="0.3">
      <c r="A1522" s="4" t="s">
        <v>4245</v>
      </c>
      <c r="B1522">
        <v>3</v>
      </c>
    </row>
    <row r="1523" spans="1:2" ht="28.8" x14ac:dyDescent="0.3">
      <c r="A1523" s="4" t="s">
        <v>4246</v>
      </c>
      <c r="B1523">
        <v>3</v>
      </c>
    </row>
    <row r="1524" spans="1:2" ht="28.8" x14ac:dyDescent="0.3">
      <c r="A1524" s="4" t="s">
        <v>4247</v>
      </c>
      <c r="B1524">
        <v>3</v>
      </c>
    </row>
    <row r="1525" spans="1:2" ht="43.2" x14ac:dyDescent="0.3">
      <c r="A1525" s="4" t="s">
        <v>4248</v>
      </c>
      <c r="B1525">
        <v>3</v>
      </c>
    </row>
    <row r="1526" spans="1:2" ht="28.8" x14ac:dyDescent="0.3">
      <c r="A1526" s="4" t="s">
        <v>4249</v>
      </c>
      <c r="B1526">
        <v>3</v>
      </c>
    </row>
    <row r="1527" spans="1:2" ht="28.8" x14ac:dyDescent="0.3">
      <c r="A1527" s="4" t="s">
        <v>4250</v>
      </c>
      <c r="B1527">
        <v>3</v>
      </c>
    </row>
    <row r="1528" spans="1:2" ht="43.2" x14ac:dyDescent="0.3">
      <c r="A1528" s="4" t="s">
        <v>4251</v>
      </c>
      <c r="B1528">
        <v>3</v>
      </c>
    </row>
    <row r="1529" spans="1:2" x14ac:dyDescent="0.3">
      <c r="A1529" s="4" t="s">
        <v>4252</v>
      </c>
      <c r="B1529">
        <v>3</v>
      </c>
    </row>
    <row r="1530" spans="1:2" ht="43.2" x14ac:dyDescent="0.3">
      <c r="A1530" s="4" t="s">
        <v>4253</v>
      </c>
      <c r="B1530">
        <v>3</v>
      </c>
    </row>
    <row r="1531" spans="1:2" x14ac:dyDescent="0.3">
      <c r="A1531" s="4" t="s">
        <v>4254</v>
      </c>
      <c r="B1531">
        <v>3</v>
      </c>
    </row>
    <row r="1532" spans="1:2" ht="43.2" x14ac:dyDescent="0.3">
      <c r="A1532" s="4" t="s">
        <v>4255</v>
      </c>
      <c r="B1532">
        <v>3</v>
      </c>
    </row>
    <row r="1533" spans="1:2" ht="28.8" x14ac:dyDescent="0.3">
      <c r="A1533" s="4" t="s">
        <v>4256</v>
      </c>
      <c r="B1533">
        <v>3</v>
      </c>
    </row>
    <row r="1534" spans="1:2" ht="28.8" x14ac:dyDescent="0.3">
      <c r="A1534" s="4" t="s">
        <v>4257</v>
      </c>
      <c r="B1534">
        <v>3</v>
      </c>
    </row>
    <row r="1535" spans="1:2" x14ac:dyDescent="0.3">
      <c r="A1535" s="4" t="s">
        <v>4258</v>
      </c>
      <c r="B1535">
        <v>3</v>
      </c>
    </row>
    <row r="1536" spans="1:2" ht="28.8" x14ac:dyDescent="0.3">
      <c r="A1536" s="4" t="s">
        <v>4259</v>
      </c>
      <c r="B1536">
        <v>3</v>
      </c>
    </row>
    <row r="1537" spans="1:2" ht="28.8" x14ac:dyDescent="0.3">
      <c r="A1537" s="4" t="s">
        <v>4260</v>
      </c>
      <c r="B1537">
        <v>3</v>
      </c>
    </row>
    <row r="1538" spans="1:2" ht="43.2" x14ac:dyDescent="0.3">
      <c r="A1538" s="4" t="s">
        <v>4261</v>
      </c>
      <c r="B1538">
        <v>3</v>
      </c>
    </row>
    <row r="1539" spans="1:2" ht="28.8" x14ac:dyDescent="0.3">
      <c r="A1539" s="4" t="s">
        <v>4262</v>
      </c>
      <c r="B1539">
        <v>3</v>
      </c>
    </row>
    <row r="1540" spans="1:2" ht="28.8" x14ac:dyDescent="0.3">
      <c r="A1540" s="4" t="s">
        <v>4263</v>
      </c>
      <c r="B1540">
        <v>3</v>
      </c>
    </row>
    <row r="1541" spans="1:2" ht="28.8" x14ac:dyDescent="0.3">
      <c r="A1541" s="4" t="s">
        <v>4264</v>
      </c>
      <c r="B1541">
        <v>3</v>
      </c>
    </row>
    <row r="1542" spans="1:2" ht="28.8" x14ac:dyDescent="0.3">
      <c r="A1542" s="4" t="s">
        <v>4265</v>
      </c>
      <c r="B1542">
        <v>3</v>
      </c>
    </row>
    <row r="1543" spans="1:2" ht="28.8" x14ac:dyDescent="0.3">
      <c r="A1543" s="4" t="s">
        <v>4266</v>
      </c>
      <c r="B1543">
        <v>3</v>
      </c>
    </row>
    <row r="1544" spans="1:2" ht="28.8" x14ac:dyDescent="0.3">
      <c r="A1544" s="4" t="s">
        <v>4267</v>
      </c>
      <c r="B1544">
        <v>3</v>
      </c>
    </row>
    <row r="1545" spans="1:2" ht="28.8" x14ac:dyDescent="0.3">
      <c r="A1545" s="4" t="s">
        <v>4268</v>
      </c>
      <c r="B1545">
        <v>3</v>
      </c>
    </row>
    <row r="1546" spans="1:2" x14ac:dyDescent="0.3">
      <c r="A1546" s="4" t="s">
        <v>4269</v>
      </c>
      <c r="B1546">
        <v>3</v>
      </c>
    </row>
    <row r="1547" spans="1:2" ht="28.8" x14ac:dyDescent="0.3">
      <c r="A1547" s="4" t="s">
        <v>4270</v>
      </c>
      <c r="B1547">
        <v>3</v>
      </c>
    </row>
    <row r="1548" spans="1:2" ht="28.8" x14ac:dyDescent="0.3">
      <c r="A1548" s="4" t="s">
        <v>4271</v>
      </c>
      <c r="B1548">
        <v>3</v>
      </c>
    </row>
    <row r="1549" spans="1:2" ht="43.2" x14ac:dyDescent="0.3">
      <c r="A1549" s="4" t="s">
        <v>4272</v>
      </c>
      <c r="B1549">
        <v>3</v>
      </c>
    </row>
    <row r="1550" spans="1:2" ht="28.8" x14ac:dyDescent="0.3">
      <c r="A1550" s="4" t="s">
        <v>4273</v>
      </c>
      <c r="B1550">
        <v>3</v>
      </c>
    </row>
    <row r="1551" spans="1:2" x14ac:dyDescent="0.3">
      <c r="A1551" s="4" t="s">
        <v>4274</v>
      </c>
      <c r="B1551">
        <v>3</v>
      </c>
    </row>
    <row r="1552" spans="1:2" ht="28.8" x14ac:dyDescent="0.3">
      <c r="A1552" s="4" t="s">
        <v>4275</v>
      </c>
      <c r="B1552">
        <v>3</v>
      </c>
    </row>
    <row r="1553" spans="1:2" ht="43.2" x14ac:dyDescent="0.3">
      <c r="A1553" s="4" t="s">
        <v>4276</v>
      </c>
      <c r="B1553">
        <v>3</v>
      </c>
    </row>
    <row r="1554" spans="1:2" ht="28.8" x14ac:dyDescent="0.3">
      <c r="A1554" s="4" t="s">
        <v>4277</v>
      </c>
      <c r="B1554">
        <v>3</v>
      </c>
    </row>
    <row r="1555" spans="1:2" ht="28.8" x14ac:dyDescent="0.3">
      <c r="A1555" s="4" t="s">
        <v>4278</v>
      </c>
      <c r="B1555">
        <v>3</v>
      </c>
    </row>
    <row r="1556" spans="1:2" ht="28.8" x14ac:dyDescent="0.3">
      <c r="A1556" s="4" t="s">
        <v>4279</v>
      </c>
      <c r="B1556">
        <v>3</v>
      </c>
    </row>
    <row r="1557" spans="1:2" ht="43.2" x14ac:dyDescent="0.3">
      <c r="A1557" s="4" t="s">
        <v>4280</v>
      </c>
      <c r="B1557">
        <v>3</v>
      </c>
    </row>
    <row r="1558" spans="1:2" ht="28.8" x14ac:dyDescent="0.3">
      <c r="A1558" s="4" t="s">
        <v>4281</v>
      </c>
      <c r="B1558">
        <v>3</v>
      </c>
    </row>
    <row r="1559" spans="1:2" ht="28.8" x14ac:dyDescent="0.3">
      <c r="A1559" s="4" t="s">
        <v>4282</v>
      </c>
      <c r="B1559">
        <v>3</v>
      </c>
    </row>
    <row r="1560" spans="1:2" ht="43.2" x14ac:dyDescent="0.3">
      <c r="A1560" s="4" t="s">
        <v>4283</v>
      </c>
      <c r="B1560">
        <v>3</v>
      </c>
    </row>
    <row r="1561" spans="1:2" ht="28.8" x14ac:dyDescent="0.3">
      <c r="A1561" s="4" t="s">
        <v>4284</v>
      </c>
      <c r="B1561">
        <v>3</v>
      </c>
    </row>
    <row r="1562" spans="1:2" ht="28.8" x14ac:dyDescent="0.3">
      <c r="A1562" s="4" t="s">
        <v>4285</v>
      </c>
      <c r="B1562">
        <v>3</v>
      </c>
    </row>
    <row r="1563" spans="1:2" ht="28.8" x14ac:dyDescent="0.3">
      <c r="A1563" s="4" t="s">
        <v>4286</v>
      </c>
      <c r="B1563">
        <v>3</v>
      </c>
    </row>
    <row r="1564" spans="1:2" ht="28.8" x14ac:dyDescent="0.3">
      <c r="A1564" s="4" t="s">
        <v>4287</v>
      </c>
      <c r="B1564">
        <v>3</v>
      </c>
    </row>
    <row r="1565" spans="1:2" ht="28.8" x14ac:dyDescent="0.3">
      <c r="A1565" s="4" t="s">
        <v>4288</v>
      </c>
      <c r="B1565">
        <v>3</v>
      </c>
    </row>
    <row r="1566" spans="1:2" ht="28.8" x14ac:dyDescent="0.3">
      <c r="A1566" s="4" t="s">
        <v>4289</v>
      </c>
      <c r="B1566">
        <v>3</v>
      </c>
    </row>
    <row r="1567" spans="1:2" ht="28.8" x14ac:dyDescent="0.3">
      <c r="A1567" s="4" t="s">
        <v>4290</v>
      </c>
      <c r="B1567">
        <v>3</v>
      </c>
    </row>
    <row r="1568" spans="1:2" ht="28.8" x14ac:dyDescent="0.3">
      <c r="A1568" s="4" t="s">
        <v>4291</v>
      </c>
      <c r="B1568">
        <v>3</v>
      </c>
    </row>
    <row r="1569" spans="1:2" ht="28.8" x14ac:dyDescent="0.3">
      <c r="A1569" s="4" t="s">
        <v>4292</v>
      </c>
      <c r="B1569">
        <v>3</v>
      </c>
    </row>
    <row r="1570" spans="1:2" ht="28.8" x14ac:dyDescent="0.3">
      <c r="A1570" s="4" t="s">
        <v>4293</v>
      </c>
      <c r="B1570">
        <v>3</v>
      </c>
    </row>
    <row r="1571" spans="1:2" ht="28.8" x14ac:dyDescent="0.3">
      <c r="A1571" s="4" t="s">
        <v>4294</v>
      </c>
      <c r="B1571">
        <v>3</v>
      </c>
    </row>
    <row r="1572" spans="1:2" ht="28.8" x14ac:dyDescent="0.3">
      <c r="A1572" s="4" t="s">
        <v>4295</v>
      </c>
      <c r="B1572">
        <v>3</v>
      </c>
    </row>
    <row r="1573" spans="1:2" ht="28.8" x14ac:dyDescent="0.3">
      <c r="A1573" s="4" t="s">
        <v>4296</v>
      </c>
      <c r="B1573">
        <v>3</v>
      </c>
    </row>
    <row r="1574" spans="1:2" ht="28.8" x14ac:dyDescent="0.3">
      <c r="A1574" s="4" t="s">
        <v>4297</v>
      </c>
      <c r="B1574">
        <v>3</v>
      </c>
    </row>
    <row r="1575" spans="1:2" ht="57.6" x14ac:dyDescent="0.3">
      <c r="A1575" s="4" t="s">
        <v>4298</v>
      </c>
      <c r="B1575">
        <v>3</v>
      </c>
    </row>
    <row r="1576" spans="1:2" ht="28.8" x14ac:dyDescent="0.3">
      <c r="A1576" s="4" t="s">
        <v>4299</v>
      </c>
      <c r="B1576">
        <v>3</v>
      </c>
    </row>
    <row r="1577" spans="1:2" ht="28.8" x14ac:dyDescent="0.3">
      <c r="A1577" s="4" t="s">
        <v>4300</v>
      </c>
      <c r="B1577">
        <v>3</v>
      </c>
    </row>
    <row r="1578" spans="1:2" ht="43.2" x14ac:dyDescent="0.3">
      <c r="A1578" s="4" t="s">
        <v>4301</v>
      </c>
      <c r="B1578">
        <v>3</v>
      </c>
    </row>
    <row r="1579" spans="1:2" ht="28.8" x14ac:dyDescent="0.3">
      <c r="A1579" s="4" t="s">
        <v>4302</v>
      </c>
      <c r="B1579">
        <v>3</v>
      </c>
    </row>
    <row r="1580" spans="1:2" ht="28.8" x14ac:dyDescent="0.3">
      <c r="A1580" s="4" t="s">
        <v>4303</v>
      </c>
      <c r="B1580">
        <v>3</v>
      </c>
    </row>
    <row r="1581" spans="1:2" ht="28.8" x14ac:dyDescent="0.3">
      <c r="A1581" s="4" t="s">
        <v>4304</v>
      </c>
      <c r="B1581">
        <v>3</v>
      </c>
    </row>
    <row r="1582" spans="1:2" ht="43.2" x14ac:dyDescent="0.3">
      <c r="A1582" s="4" t="s">
        <v>4305</v>
      </c>
      <c r="B1582">
        <v>3</v>
      </c>
    </row>
    <row r="1583" spans="1:2" ht="28.8" x14ac:dyDescent="0.3">
      <c r="A1583" s="4" t="s">
        <v>4306</v>
      </c>
      <c r="B1583">
        <v>3</v>
      </c>
    </row>
    <row r="1584" spans="1:2" ht="28.8" x14ac:dyDescent="0.3">
      <c r="A1584" s="4" t="s">
        <v>4307</v>
      </c>
      <c r="B1584">
        <v>3</v>
      </c>
    </row>
    <row r="1585" spans="1:2" ht="28.8" x14ac:dyDescent="0.3">
      <c r="A1585" s="4" t="s">
        <v>4308</v>
      </c>
      <c r="B1585">
        <v>3</v>
      </c>
    </row>
    <row r="1586" spans="1:2" ht="28.8" x14ac:dyDescent="0.3">
      <c r="A1586" s="4" t="s">
        <v>4309</v>
      </c>
      <c r="B1586">
        <v>3</v>
      </c>
    </row>
    <row r="1587" spans="1:2" x14ac:dyDescent="0.3">
      <c r="A1587" s="4" t="s">
        <v>4310</v>
      </c>
      <c r="B1587">
        <v>3</v>
      </c>
    </row>
    <row r="1588" spans="1:2" ht="28.8" x14ac:dyDescent="0.3">
      <c r="A1588" s="4" t="s">
        <v>4311</v>
      </c>
      <c r="B1588">
        <v>3</v>
      </c>
    </row>
    <row r="1589" spans="1:2" ht="28.8" x14ac:dyDescent="0.3">
      <c r="A1589" s="4" t="s">
        <v>4312</v>
      </c>
      <c r="B1589">
        <v>3</v>
      </c>
    </row>
    <row r="1590" spans="1:2" ht="43.2" x14ac:dyDescent="0.3">
      <c r="A1590" s="4" t="s">
        <v>4313</v>
      </c>
      <c r="B1590">
        <v>3</v>
      </c>
    </row>
    <row r="1591" spans="1:2" ht="28.8" x14ac:dyDescent="0.3">
      <c r="A1591" s="4" t="s">
        <v>4314</v>
      </c>
      <c r="B1591">
        <v>3</v>
      </c>
    </row>
    <row r="1592" spans="1:2" ht="28.8" x14ac:dyDescent="0.3">
      <c r="A1592" s="4" t="s">
        <v>4315</v>
      </c>
      <c r="B1592">
        <v>3</v>
      </c>
    </row>
    <row r="1593" spans="1:2" ht="28.8" x14ac:dyDescent="0.3">
      <c r="A1593" s="4" t="s">
        <v>4316</v>
      </c>
      <c r="B1593">
        <v>3</v>
      </c>
    </row>
    <row r="1594" spans="1:2" ht="28.8" x14ac:dyDescent="0.3">
      <c r="A1594" s="4" t="s">
        <v>4317</v>
      </c>
      <c r="B1594">
        <v>3</v>
      </c>
    </row>
    <row r="1595" spans="1:2" ht="43.2" x14ac:dyDescent="0.3">
      <c r="A1595" s="4" t="s">
        <v>4318</v>
      </c>
      <c r="B1595">
        <v>3</v>
      </c>
    </row>
    <row r="1596" spans="1:2" ht="43.2" x14ac:dyDescent="0.3">
      <c r="A1596" s="4" t="s">
        <v>4319</v>
      </c>
      <c r="B1596">
        <v>3</v>
      </c>
    </row>
    <row r="1597" spans="1:2" ht="28.8" x14ac:dyDescent="0.3">
      <c r="A1597" s="4" t="s">
        <v>4320</v>
      </c>
      <c r="B1597">
        <v>3</v>
      </c>
    </row>
    <row r="1598" spans="1:2" ht="43.2" x14ac:dyDescent="0.3">
      <c r="A1598" s="4" t="s">
        <v>4321</v>
      </c>
      <c r="B1598">
        <v>3</v>
      </c>
    </row>
    <row r="1599" spans="1:2" ht="28.8" x14ac:dyDescent="0.3">
      <c r="A1599" s="4" t="s">
        <v>4322</v>
      </c>
      <c r="B1599">
        <v>3</v>
      </c>
    </row>
    <row r="1600" spans="1:2" ht="43.2" x14ac:dyDescent="0.3">
      <c r="A1600" s="4" t="s">
        <v>4323</v>
      </c>
      <c r="B1600">
        <v>3</v>
      </c>
    </row>
    <row r="1601" spans="1:2" x14ac:dyDescent="0.3">
      <c r="A1601" s="4" t="s">
        <v>4324</v>
      </c>
      <c r="B1601">
        <v>3</v>
      </c>
    </row>
    <row r="1602" spans="1:2" ht="28.8" x14ac:dyDescent="0.3">
      <c r="A1602" s="4" t="s">
        <v>4325</v>
      </c>
      <c r="B1602">
        <v>3</v>
      </c>
    </row>
    <row r="1603" spans="1:2" ht="28.8" x14ac:dyDescent="0.3">
      <c r="A1603" s="4" t="s">
        <v>4326</v>
      </c>
      <c r="B1603">
        <v>3</v>
      </c>
    </row>
    <row r="1604" spans="1:2" x14ac:dyDescent="0.3">
      <c r="A1604" s="4" t="s">
        <v>4327</v>
      </c>
      <c r="B1604">
        <v>3</v>
      </c>
    </row>
    <row r="1605" spans="1:2" ht="43.2" x14ac:dyDescent="0.3">
      <c r="A1605" s="4" t="s">
        <v>4328</v>
      </c>
      <c r="B1605">
        <v>3</v>
      </c>
    </row>
    <row r="1606" spans="1:2" ht="43.2" x14ac:dyDescent="0.3">
      <c r="A1606" s="4" t="s">
        <v>4329</v>
      </c>
      <c r="B1606">
        <v>3</v>
      </c>
    </row>
    <row r="1607" spans="1:2" ht="28.8" x14ac:dyDescent="0.3">
      <c r="A1607" s="4" t="s">
        <v>4330</v>
      </c>
      <c r="B1607">
        <v>3</v>
      </c>
    </row>
    <row r="1608" spans="1:2" ht="28.8" x14ac:dyDescent="0.3">
      <c r="A1608" s="4" t="s">
        <v>4331</v>
      </c>
      <c r="B1608">
        <v>3</v>
      </c>
    </row>
    <row r="1609" spans="1:2" ht="28.8" x14ac:dyDescent="0.3">
      <c r="A1609" s="4" t="s">
        <v>4332</v>
      </c>
      <c r="B1609">
        <v>3</v>
      </c>
    </row>
    <row r="1610" spans="1:2" ht="28.8" x14ac:dyDescent="0.3">
      <c r="A1610" s="4" t="s">
        <v>4333</v>
      </c>
      <c r="B1610">
        <v>3</v>
      </c>
    </row>
    <row r="1611" spans="1:2" ht="28.8" x14ac:dyDescent="0.3">
      <c r="A1611" s="4" t="s">
        <v>4334</v>
      </c>
      <c r="B1611">
        <v>3</v>
      </c>
    </row>
    <row r="1612" spans="1:2" ht="28.8" x14ac:dyDescent="0.3">
      <c r="A1612" s="4" t="s">
        <v>4335</v>
      </c>
      <c r="B1612">
        <v>3</v>
      </c>
    </row>
    <row r="1613" spans="1:2" ht="28.8" x14ac:dyDescent="0.3">
      <c r="A1613" s="4" t="s">
        <v>4336</v>
      </c>
      <c r="B1613">
        <v>3</v>
      </c>
    </row>
    <row r="1614" spans="1:2" ht="28.8" x14ac:dyDescent="0.3">
      <c r="A1614" s="4" t="s">
        <v>4337</v>
      </c>
      <c r="B1614">
        <v>3</v>
      </c>
    </row>
    <row r="1615" spans="1:2" ht="28.8" x14ac:dyDescent="0.3">
      <c r="A1615" s="4" t="s">
        <v>4338</v>
      </c>
      <c r="B1615">
        <v>3</v>
      </c>
    </row>
    <row r="1616" spans="1:2" ht="28.8" x14ac:dyDescent="0.3">
      <c r="A1616" s="4" t="s">
        <v>4339</v>
      </c>
      <c r="B1616">
        <v>3</v>
      </c>
    </row>
    <row r="1617" spans="1:2" ht="28.8" x14ac:dyDescent="0.3">
      <c r="A1617" s="4" t="s">
        <v>4340</v>
      </c>
      <c r="B1617">
        <v>3</v>
      </c>
    </row>
    <row r="1618" spans="1:2" ht="28.8" x14ac:dyDescent="0.3">
      <c r="A1618" s="4" t="s">
        <v>4341</v>
      </c>
      <c r="B1618">
        <v>3</v>
      </c>
    </row>
    <row r="1619" spans="1:2" ht="28.8" x14ac:dyDescent="0.3">
      <c r="A1619" s="4" t="s">
        <v>4342</v>
      </c>
      <c r="B1619">
        <v>3</v>
      </c>
    </row>
    <row r="1620" spans="1:2" ht="28.8" x14ac:dyDescent="0.3">
      <c r="A1620" s="4" t="s">
        <v>4343</v>
      </c>
      <c r="B1620">
        <v>3</v>
      </c>
    </row>
    <row r="1621" spans="1:2" x14ac:dyDescent="0.3">
      <c r="A1621" s="4" t="s">
        <v>4344</v>
      </c>
      <c r="B1621">
        <v>3</v>
      </c>
    </row>
    <row r="1622" spans="1:2" ht="43.2" x14ac:dyDescent="0.3">
      <c r="A1622" s="4" t="s">
        <v>4345</v>
      </c>
      <c r="B1622">
        <v>3</v>
      </c>
    </row>
    <row r="1623" spans="1:2" ht="28.8" x14ac:dyDescent="0.3">
      <c r="A1623" s="4" t="s">
        <v>4346</v>
      </c>
      <c r="B1623">
        <v>3</v>
      </c>
    </row>
    <row r="1624" spans="1:2" ht="28.8" x14ac:dyDescent="0.3">
      <c r="A1624" s="4" t="s">
        <v>4347</v>
      </c>
      <c r="B1624">
        <v>3</v>
      </c>
    </row>
    <row r="1625" spans="1:2" ht="43.2" x14ac:dyDescent="0.3">
      <c r="A1625" s="4" t="s">
        <v>4348</v>
      </c>
      <c r="B1625">
        <v>3</v>
      </c>
    </row>
    <row r="1626" spans="1:2" ht="28.8" x14ac:dyDescent="0.3">
      <c r="A1626" s="4" t="s">
        <v>4349</v>
      </c>
      <c r="B1626">
        <v>3</v>
      </c>
    </row>
    <row r="1627" spans="1:2" ht="43.2" x14ac:dyDescent="0.3">
      <c r="A1627" s="4" t="s">
        <v>4350</v>
      </c>
      <c r="B1627">
        <v>3</v>
      </c>
    </row>
    <row r="1628" spans="1:2" ht="28.8" x14ac:dyDescent="0.3">
      <c r="A1628" s="4" t="s">
        <v>4351</v>
      </c>
      <c r="B1628">
        <v>3</v>
      </c>
    </row>
    <row r="1629" spans="1:2" ht="86.4" x14ac:dyDescent="0.3">
      <c r="A1629" s="4" t="s">
        <v>4352</v>
      </c>
      <c r="B1629">
        <v>3</v>
      </c>
    </row>
    <row r="1630" spans="1:2" ht="28.8" x14ac:dyDescent="0.3">
      <c r="A1630" s="4" t="s">
        <v>4353</v>
      </c>
      <c r="B1630">
        <v>3</v>
      </c>
    </row>
    <row r="1631" spans="1:2" x14ac:dyDescent="0.3">
      <c r="A1631" s="4" t="s">
        <v>4354</v>
      </c>
      <c r="B1631">
        <v>3</v>
      </c>
    </row>
    <row r="1632" spans="1:2" ht="28.8" x14ac:dyDescent="0.3">
      <c r="A1632" s="4" t="s">
        <v>4355</v>
      </c>
      <c r="B1632">
        <v>3</v>
      </c>
    </row>
    <row r="1633" spans="1:2" ht="28.8" x14ac:dyDescent="0.3">
      <c r="A1633" s="4" t="s">
        <v>4356</v>
      </c>
      <c r="B1633">
        <v>3</v>
      </c>
    </row>
    <row r="1634" spans="1:2" ht="43.2" x14ac:dyDescent="0.3">
      <c r="A1634" s="4" t="s">
        <v>4357</v>
      </c>
      <c r="B1634">
        <v>3</v>
      </c>
    </row>
    <row r="1635" spans="1:2" ht="28.8" x14ac:dyDescent="0.3">
      <c r="A1635" s="4" t="s">
        <v>4358</v>
      </c>
      <c r="B1635">
        <v>3</v>
      </c>
    </row>
    <row r="1636" spans="1:2" ht="28.8" x14ac:dyDescent="0.3">
      <c r="A1636" s="4" t="s">
        <v>4359</v>
      </c>
      <c r="B1636">
        <v>3</v>
      </c>
    </row>
    <row r="1637" spans="1:2" ht="28.8" x14ac:dyDescent="0.3">
      <c r="A1637" s="4" t="s">
        <v>4360</v>
      </c>
      <c r="B1637">
        <v>3</v>
      </c>
    </row>
    <row r="1638" spans="1:2" ht="28.8" x14ac:dyDescent="0.3">
      <c r="A1638" s="4" t="s">
        <v>4361</v>
      </c>
      <c r="B1638">
        <v>3</v>
      </c>
    </row>
    <row r="1639" spans="1:2" x14ac:dyDescent="0.3">
      <c r="A1639" s="4" t="s">
        <v>4362</v>
      </c>
      <c r="B1639">
        <v>3</v>
      </c>
    </row>
    <row r="1640" spans="1:2" ht="28.8" x14ac:dyDescent="0.3">
      <c r="A1640" s="4" t="s">
        <v>4363</v>
      </c>
      <c r="B1640">
        <v>3</v>
      </c>
    </row>
    <row r="1641" spans="1:2" ht="43.2" x14ac:dyDescent="0.3">
      <c r="A1641" s="4" t="s">
        <v>4364</v>
      </c>
      <c r="B1641">
        <v>3</v>
      </c>
    </row>
    <row r="1642" spans="1:2" ht="28.8" x14ac:dyDescent="0.3">
      <c r="A1642" s="4" t="s">
        <v>4365</v>
      </c>
      <c r="B1642">
        <v>3</v>
      </c>
    </row>
    <row r="1643" spans="1:2" ht="28.8" x14ac:dyDescent="0.3">
      <c r="A1643" s="4" t="s">
        <v>4366</v>
      </c>
      <c r="B1643">
        <v>3</v>
      </c>
    </row>
    <row r="1644" spans="1:2" ht="43.2" x14ac:dyDescent="0.3">
      <c r="A1644" s="4" t="s">
        <v>4367</v>
      </c>
      <c r="B1644">
        <v>3</v>
      </c>
    </row>
    <row r="1645" spans="1:2" ht="43.2" x14ac:dyDescent="0.3">
      <c r="A1645" s="4" t="s">
        <v>4368</v>
      </c>
      <c r="B1645">
        <v>3</v>
      </c>
    </row>
    <row r="1646" spans="1:2" x14ac:dyDescent="0.3">
      <c r="A1646" s="4" t="s">
        <v>4369</v>
      </c>
      <c r="B1646">
        <v>3</v>
      </c>
    </row>
    <row r="1647" spans="1:2" ht="43.2" x14ac:dyDescent="0.3">
      <c r="A1647" s="4" t="s">
        <v>4370</v>
      </c>
      <c r="B1647">
        <v>3</v>
      </c>
    </row>
    <row r="1648" spans="1:2" ht="28.8" x14ac:dyDescent="0.3">
      <c r="A1648" s="4" t="s">
        <v>4371</v>
      </c>
      <c r="B1648">
        <v>3</v>
      </c>
    </row>
    <row r="1649" spans="1:2" ht="28.8" x14ac:dyDescent="0.3">
      <c r="A1649" s="4" t="s">
        <v>4372</v>
      </c>
      <c r="B1649">
        <v>3</v>
      </c>
    </row>
    <row r="1650" spans="1:2" ht="28.8" x14ac:dyDescent="0.3">
      <c r="A1650" s="4" t="s">
        <v>4373</v>
      </c>
      <c r="B1650">
        <v>3</v>
      </c>
    </row>
    <row r="1651" spans="1:2" ht="43.2" x14ac:dyDescent="0.3">
      <c r="A1651" s="4" t="s">
        <v>4374</v>
      </c>
      <c r="B1651">
        <v>3</v>
      </c>
    </row>
    <row r="1652" spans="1:2" ht="28.8" x14ac:dyDescent="0.3">
      <c r="A1652" s="4" t="s">
        <v>4375</v>
      </c>
      <c r="B1652">
        <v>3</v>
      </c>
    </row>
    <row r="1653" spans="1:2" ht="43.2" x14ac:dyDescent="0.3">
      <c r="A1653" s="4" t="s">
        <v>4376</v>
      </c>
      <c r="B1653">
        <v>3</v>
      </c>
    </row>
    <row r="1654" spans="1:2" ht="43.2" x14ac:dyDescent="0.3">
      <c r="A1654" s="4" t="s">
        <v>4377</v>
      </c>
      <c r="B1654">
        <v>3</v>
      </c>
    </row>
    <row r="1655" spans="1:2" ht="28.8" x14ac:dyDescent="0.3">
      <c r="A1655" s="4" t="s">
        <v>4378</v>
      </c>
      <c r="B1655">
        <v>3</v>
      </c>
    </row>
    <row r="1656" spans="1:2" ht="28.8" x14ac:dyDescent="0.3">
      <c r="A1656" s="4" t="s">
        <v>4379</v>
      </c>
      <c r="B1656">
        <v>3</v>
      </c>
    </row>
    <row r="1657" spans="1:2" ht="28.8" x14ac:dyDescent="0.3">
      <c r="A1657" s="4" t="s">
        <v>4380</v>
      </c>
      <c r="B1657">
        <v>3</v>
      </c>
    </row>
    <row r="1658" spans="1:2" ht="28.8" x14ac:dyDescent="0.3">
      <c r="A1658" s="4" t="s">
        <v>4381</v>
      </c>
      <c r="B1658">
        <v>3</v>
      </c>
    </row>
    <row r="1659" spans="1:2" ht="28.8" x14ac:dyDescent="0.3">
      <c r="A1659" s="4" t="s">
        <v>4382</v>
      </c>
      <c r="B1659">
        <v>3</v>
      </c>
    </row>
    <row r="1660" spans="1:2" ht="28.8" x14ac:dyDescent="0.3">
      <c r="A1660" s="4" t="s">
        <v>4383</v>
      </c>
      <c r="B1660">
        <v>3</v>
      </c>
    </row>
    <row r="1661" spans="1:2" ht="43.2" x14ac:dyDescent="0.3">
      <c r="A1661" s="4" t="s">
        <v>4384</v>
      </c>
      <c r="B1661">
        <v>3</v>
      </c>
    </row>
    <row r="1662" spans="1:2" ht="28.8" x14ac:dyDescent="0.3">
      <c r="A1662" s="4" t="s">
        <v>4385</v>
      </c>
      <c r="B1662">
        <v>3</v>
      </c>
    </row>
    <row r="1663" spans="1:2" ht="43.2" x14ac:dyDescent="0.3">
      <c r="A1663" s="4" t="s">
        <v>4386</v>
      </c>
      <c r="B1663">
        <v>3</v>
      </c>
    </row>
    <row r="1664" spans="1:2" ht="28.8" x14ac:dyDescent="0.3">
      <c r="A1664" s="4" t="s">
        <v>4387</v>
      </c>
      <c r="B1664">
        <v>3</v>
      </c>
    </row>
    <row r="1665" spans="1:2" ht="28.8" x14ac:dyDescent="0.3">
      <c r="A1665" s="4" t="s">
        <v>4388</v>
      </c>
      <c r="B1665">
        <v>3</v>
      </c>
    </row>
    <row r="1666" spans="1:2" ht="100.8" x14ac:dyDescent="0.3">
      <c r="A1666" s="4" t="s">
        <v>4389</v>
      </c>
      <c r="B1666">
        <v>3</v>
      </c>
    </row>
    <row r="1667" spans="1:2" ht="43.2" x14ac:dyDescent="0.3">
      <c r="A1667" s="4" t="s">
        <v>4390</v>
      </c>
      <c r="B1667">
        <v>3</v>
      </c>
    </row>
    <row r="1668" spans="1:2" ht="28.8" x14ac:dyDescent="0.3">
      <c r="A1668" s="4" t="s">
        <v>4391</v>
      </c>
      <c r="B1668">
        <v>3</v>
      </c>
    </row>
    <row r="1669" spans="1:2" ht="43.2" x14ac:dyDescent="0.3">
      <c r="A1669" s="4" t="s">
        <v>4392</v>
      </c>
      <c r="B1669">
        <v>3</v>
      </c>
    </row>
    <row r="1670" spans="1:2" x14ac:dyDescent="0.3">
      <c r="A1670" s="4" t="s">
        <v>4393</v>
      </c>
      <c r="B1670">
        <v>3</v>
      </c>
    </row>
    <row r="1671" spans="1:2" ht="43.2" x14ac:dyDescent="0.3">
      <c r="A1671" s="4" t="s">
        <v>4394</v>
      </c>
      <c r="B1671">
        <v>3</v>
      </c>
    </row>
    <row r="1672" spans="1:2" ht="28.8" x14ac:dyDescent="0.3">
      <c r="A1672" s="4" t="s">
        <v>4395</v>
      </c>
      <c r="B1672">
        <v>3</v>
      </c>
    </row>
    <row r="1673" spans="1:2" ht="28.8" x14ac:dyDescent="0.3">
      <c r="A1673" s="4" t="s">
        <v>4396</v>
      </c>
      <c r="B1673">
        <v>3</v>
      </c>
    </row>
    <row r="1674" spans="1:2" ht="28.8" x14ac:dyDescent="0.3">
      <c r="A1674" s="4" t="s">
        <v>4397</v>
      </c>
      <c r="B1674">
        <v>3</v>
      </c>
    </row>
    <row r="1675" spans="1:2" x14ac:dyDescent="0.3">
      <c r="A1675" s="4" t="s">
        <v>4398</v>
      </c>
      <c r="B1675">
        <v>3</v>
      </c>
    </row>
    <row r="1676" spans="1:2" ht="28.8" x14ac:dyDescent="0.3">
      <c r="A1676" s="4" t="s">
        <v>4399</v>
      </c>
      <c r="B1676">
        <v>3</v>
      </c>
    </row>
    <row r="1677" spans="1:2" ht="28.8" x14ac:dyDescent="0.3">
      <c r="A1677" s="4" t="s">
        <v>4400</v>
      </c>
      <c r="B1677">
        <v>3</v>
      </c>
    </row>
    <row r="1678" spans="1:2" ht="28.8" x14ac:dyDescent="0.3">
      <c r="A1678" s="4" t="s">
        <v>4401</v>
      </c>
      <c r="B1678">
        <v>3</v>
      </c>
    </row>
    <row r="1679" spans="1:2" ht="28.8" x14ac:dyDescent="0.3">
      <c r="A1679" s="4" t="s">
        <v>4402</v>
      </c>
      <c r="B1679">
        <v>3</v>
      </c>
    </row>
    <row r="1680" spans="1:2" ht="28.8" x14ac:dyDescent="0.3">
      <c r="A1680" s="4" t="s">
        <v>4403</v>
      </c>
      <c r="B1680">
        <v>3</v>
      </c>
    </row>
    <row r="1681" spans="1:2" ht="28.8" x14ac:dyDescent="0.3">
      <c r="A1681" s="4" t="s">
        <v>4404</v>
      </c>
      <c r="B1681">
        <v>3</v>
      </c>
    </row>
    <row r="1682" spans="1:2" ht="43.2" x14ac:dyDescent="0.3">
      <c r="A1682" s="4" t="s">
        <v>4405</v>
      </c>
      <c r="B1682">
        <v>3</v>
      </c>
    </row>
    <row r="1683" spans="1:2" x14ac:dyDescent="0.3">
      <c r="A1683" s="4" t="s">
        <v>4406</v>
      </c>
      <c r="B1683">
        <v>3</v>
      </c>
    </row>
    <row r="1684" spans="1:2" ht="28.8" x14ac:dyDescent="0.3">
      <c r="A1684" s="4" t="s">
        <v>4407</v>
      </c>
      <c r="B1684">
        <v>3</v>
      </c>
    </row>
    <row r="1685" spans="1:2" ht="28.8" x14ac:dyDescent="0.3">
      <c r="A1685" s="4" t="s">
        <v>4408</v>
      </c>
      <c r="B1685">
        <v>3</v>
      </c>
    </row>
    <row r="1686" spans="1:2" ht="28.8" x14ac:dyDescent="0.3">
      <c r="A1686" s="4" t="s">
        <v>4409</v>
      </c>
      <c r="B1686">
        <v>3</v>
      </c>
    </row>
    <row r="1687" spans="1:2" ht="43.2" x14ac:dyDescent="0.3">
      <c r="A1687" s="4" t="s">
        <v>4410</v>
      </c>
      <c r="B1687">
        <v>3</v>
      </c>
    </row>
    <row r="1688" spans="1:2" ht="28.8" x14ac:dyDescent="0.3">
      <c r="A1688" s="4" t="s">
        <v>4411</v>
      </c>
      <c r="B1688">
        <v>3</v>
      </c>
    </row>
    <row r="1689" spans="1:2" ht="57.6" x14ac:dyDescent="0.3">
      <c r="A1689" s="4" t="s">
        <v>4412</v>
      </c>
      <c r="B1689">
        <v>3</v>
      </c>
    </row>
    <row r="1690" spans="1:2" ht="57.6" x14ac:dyDescent="0.3">
      <c r="A1690" s="4" t="s">
        <v>4413</v>
      </c>
      <c r="B1690">
        <v>3</v>
      </c>
    </row>
    <row r="1691" spans="1:2" ht="43.2" x14ac:dyDescent="0.3">
      <c r="A1691" s="4" t="s">
        <v>4414</v>
      </c>
      <c r="B1691">
        <v>3</v>
      </c>
    </row>
    <row r="1692" spans="1:2" ht="28.8" x14ac:dyDescent="0.3">
      <c r="A1692" s="4" t="s">
        <v>4415</v>
      </c>
      <c r="B1692">
        <v>3</v>
      </c>
    </row>
    <row r="1693" spans="1:2" ht="57.6" x14ac:dyDescent="0.3">
      <c r="A1693" s="4" t="s">
        <v>4416</v>
      </c>
      <c r="B1693">
        <v>3</v>
      </c>
    </row>
    <row r="1694" spans="1:2" ht="28.8" x14ac:dyDescent="0.3">
      <c r="A1694" s="4" t="s">
        <v>4417</v>
      </c>
      <c r="B1694">
        <v>3</v>
      </c>
    </row>
    <row r="1695" spans="1:2" ht="28.8" x14ac:dyDescent="0.3">
      <c r="A1695" s="4" t="s">
        <v>4418</v>
      </c>
      <c r="B1695">
        <v>3</v>
      </c>
    </row>
    <row r="1696" spans="1:2" ht="28.8" x14ac:dyDescent="0.3">
      <c r="A1696" s="4" t="s">
        <v>4419</v>
      </c>
      <c r="B1696">
        <v>3</v>
      </c>
    </row>
    <row r="1697" spans="1:2" ht="28.8" x14ac:dyDescent="0.3">
      <c r="A1697" s="4" t="s">
        <v>4420</v>
      </c>
      <c r="B1697">
        <v>3</v>
      </c>
    </row>
    <row r="1698" spans="1:2" ht="28.8" x14ac:dyDescent="0.3">
      <c r="A1698" s="4" t="s">
        <v>4421</v>
      </c>
      <c r="B1698">
        <v>3</v>
      </c>
    </row>
    <row r="1699" spans="1:2" ht="28.8" x14ac:dyDescent="0.3">
      <c r="A1699" s="4" t="s">
        <v>4422</v>
      </c>
      <c r="B1699">
        <v>3</v>
      </c>
    </row>
    <row r="1700" spans="1:2" ht="43.2" x14ac:dyDescent="0.3">
      <c r="A1700" s="4" t="s">
        <v>4423</v>
      </c>
      <c r="B1700">
        <v>3</v>
      </c>
    </row>
    <row r="1701" spans="1:2" ht="28.8" x14ac:dyDescent="0.3">
      <c r="A1701" s="4" t="s">
        <v>4424</v>
      </c>
      <c r="B1701">
        <v>3</v>
      </c>
    </row>
    <row r="1702" spans="1:2" ht="43.2" x14ac:dyDescent="0.3">
      <c r="A1702" s="4" t="s">
        <v>4425</v>
      </c>
      <c r="B1702">
        <v>3</v>
      </c>
    </row>
    <row r="1703" spans="1:2" ht="28.8" x14ac:dyDescent="0.3">
      <c r="A1703" s="4" t="s">
        <v>4426</v>
      </c>
      <c r="B1703">
        <v>3</v>
      </c>
    </row>
    <row r="1704" spans="1:2" ht="28.8" x14ac:dyDescent="0.3">
      <c r="A1704" s="4" t="s">
        <v>4427</v>
      </c>
      <c r="B1704">
        <v>3</v>
      </c>
    </row>
    <row r="1705" spans="1:2" ht="28.8" x14ac:dyDescent="0.3">
      <c r="A1705" s="4" t="s">
        <v>4428</v>
      </c>
      <c r="B1705">
        <v>3</v>
      </c>
    </row>
    <row r="1706" spans="1:2" ht="28.8" x14ac:dyDescent="0.3">
      <c r="A1706" s="4" t="s">
        <v>4429</v>
      </c>
      <c r="B1706">
        <v>3</v>
      </c>
    </row>
    <row r="1707" spans="1:2" ht="43.2" x14ac:dyDescent="0.3">
      <c r="A1707" s="4" t="s">
        <v>4430</v>
      </c>
      <c r="B1707">
        <v>3</v>
      </c>
    </row>
    <row r="1708" spans="1:2" ht="43.2" x14ac:dyDescent="0.3">
      <c r="A1708" s="4" t="s">
        <v>4431</v>
      </c>
      <c r="B1708">
        <v>3</v>
      </c>
    </row>
    <row r="1709" spans="1:2" ht="28.8" x14ac:dyDescent="0.3">
      <c r="A1709" s="4" t="s">
        <v>4432</v>
      </c>
      <c r="B1709">
        <v>3</v>
      </c>
    </row>
    <row r="1710" spans="1:2" ht="28.8" x14ac:dyDescent="0.3">
      <c r="A1710" s="4" t="s">
        <v>4433</v>
      </c>
      <c r="B1710">
        <v>3</v>
      </c>
    </row>
    <row r="1711" spans="1:2" ht="28.8" x14ac:dyDescent="0.3">
      <c r="A1711" s="4" t="s">
        <v>4434</v>
      </c>
      <c r="B1711">
        <v>3</v>
      </c>
    </row>
    <row r="1712" spans="1:2" ht="28.8" x14ac:dyDescent="0.3">
      <c r="A1712" s="4" t="s">
        <v>4435</v>
      </c>
      <c r="B1712">
        <v>3</v>
      </c>
    </row>
    <row r="1713" spans="1:2" ht="28.8" x14ac:dyDescent="0.3">
      <c r="A1713" s="4" t="s">
        <v>4436</v>
      </c>
      <c r="B1713">
        <v>3</v>
      </c>
    </row>
    <row r="1714" spans="1:2" ht="28.8" x14ac:dyDescent="0.3">
      <c r="A1714" s="4" t="s">
        <v>4437</v>
      </c>
      <c r="B1714">
        <v>3</v>
      </c>
    </row>
    <row r="1715" spans="1:2" ht="28.8" x14ac:dyDescent="0.3">
      <c r="A1715" s="4" t="s">
        <v>4438</v>
      </c>
      <c r="B1715">
        <v>3</v>
      </c>
    </row>
    <row r="1716" spans="1:2" ht="28.8" x14ac:dyDescent="0.3">
      <c r="A1716" s="4" t="s">
        <v>4439</v>
      </c>
      <c r="B1716">
        <v>3</v>
      </c>
    </row>
    <row r="1717" spans="1:2" ht="28.8" x14ac:dyDescent="0.3">
      <c r="A1717" s="4" t="s">
        <v>4440</v>
      </c>
      <c r="B1717">
        <v>3</v>
      </c>
    </row>
    <row r="1718" spans="1:2" ht="28.8" x14ac:dyDescent="0.3">
      <c r="A1718" s="4" t="s">
        <v>4441</v>
      </c>
      <c r="B1718">
        <v>3</v>
      </c>
    </row>
    <row r="1719" spans="1:2" ht="28.8" x14ac:dyDescent="0.3">
      <c r="A1719" s="4" t="s">
        <v>4442</v>
      </c>
      <c r="B1719">
        <v>3</v>
      </c>
    </row>
    <row r="1720" spans="1:2" ht="28.8" x14ac:dyDescent="0.3">
      <c r="A1720" s="4" t="s">
        <v>4443</v>
      </c>
      <c r="B1720">
        <v>3</v>
      </c>
    </row>
    <row r="1721" spans="1:2" ht="43.2" x14ac:dyDescent="0.3">
      <c r="A1721" s="4" t="s">
        <v>4444</v>
      </c>
      <c r="B1721">
        <v>3</v>
      </c>
    </row>
    <row r="1722" spans="1:2" ht="28.8" x14ac:dyDescent="0.3">
      <c r="A1722" s="4" t="s">
        <v>4445</v>
      </c>
      <c r="B1722">
        <v>3</v>
      </c>
    </row>
    <row r="1723" spans="1:2" ht="28.8" x14ac:dyDescent="0.3">
      <c r="A1723" s="4" t="s">
        <v>4446</v>
      </c>
      <c r="B1723">
        <v>3</v>
      </c>
    </row>
    <row r="1724" spans="1:2" ht="28.8" x14ac:dyDescent="0.3">
      <c r="A1724" s="4" t="s">
        <v>4447</v>
      </c>
      <c r="B1724">
        <v>3</v>
      </c>
    </row>
    <row r="1725" spans="1:2" ht="28.8" x14ac:dyDescent="0.3">
      <c r="A1725" s="4" t="s">
        <v>4448</v>
      </c>
      <c r="B1725">
        <v>3</v>
      </c>
    </row>
    <row r="1726" spans="1:2" ht="28.8" x14ac:dyDescent="0.3">
      <c r="A1726" s="4" t="s">
        <v>4449</v>
      </c>
      <c r="B1726">
        <v>3</v>
      </c>
    </row>
    <row r="1727" spans="1:2" ht="28.8" x14ac:dyDescent="0.3">
      <c r="A1727" s="4" t="s">
        <v>4450</v>
      </c>
      <c r="B1727">
        <v>3</v>
      </c>
    </row>
    <row r="1728" spans="1:2" ht="43.2" x14ac:dyDescent="0.3">
      <c r="A1728" s="4" t="s">
        <v>4451</v>
      </c>
      <c r="B1728">
        <v>3</v>
      </c>
    </row>
    <row r="1729" spans="1:2" ht="28.8" x14ac:dyDescent="0.3">
      <c r="A1729" s="4" t="s">
        <v>4452</v>
      </c>
      <c r="B1729">
        <v>3</v>
      </c>
    </row>
    <row r="1730" spans="1:2" x14ac:dyDescent="0.3">
      <c r="A1730" s="4" t="s">
        <v>4453</v>
      </c>
      <c r="B1730">
        <v>3</v>
      </c>
    </row>
    <row r="1731" spans="1:2" ht="28.8" x14ac:dyDescent="0.3">
      <c r="A1731" s="4" t="s">
        <v>4454</v>
      </c>
      <c r="B1731">
        <v>3</v>
      </c>
    </row>
    <row r="1732" spans="1:2" ht="28.8" x14ac:dyDescent="0.3">
      <c r="A1732" s="4" t="s">
        <v>4455</v>
      </c>
      <c r="B1732">
        <v>3</v>
      </c>
    </row>
    <row r="1733" spans="1:2" ht="28.8" x14ac:dyDescent="0.3">
      <c r="A1733" s="4" t="s">
        <v>4456</v>
      </c>
      <c r="B1733">
        <v>3</v>
      </c>
    </row>
    <row r="1734" spans="1:2" ht="43.2" x14ac:dyDescent="0.3">
      <c r="A1734" s="4" t="s">
        <v>4457</v>
      </c>
      <c r="B1734">
        <v>3</v>
      </c>
    </row>
    <row r="1735" spans="1:2" ht="28.8" x14ac:dyDescent="0.3">
      <c r="A1735" s="4" t="s">
        <v>4458</v>
      </c>
      <c r="B1735">
        <v>3</v>
      </c>
    </row>
    <row r="1736" spans="1:2" x14ac:dyDescent="0.3">
      <c r="A1736" s="4" t="s">
        <v>4459</v>
      </c>
      <c r="B1736">
        <v>3</v>
      </c>
    </row>
    <row r="1737" spans="1:2" ht="28.8" x14ac:dyDescent="0.3">
      <c r="A1737" s="4" t="s">
        <v>4460</v>
      </c>
      <c r="B1737">
        <v>3</v>
      </c>
    </row>
    <row r="1738" spans="1:2" ht="28.8" x14ac:dyDescent="0.3">
      <c r="A1738" s="4" t="s">
        <v>4461</v>
      </c>
      <c r="B1738">
        <v>3</v>
      </c>
    </row>
    <row r="1739" spans="1:2" ht="28.8" x14ac:dyDescent="0.3">
      <c r="A1739" s="4" t="s">
        <v>4462</v>
      </c>
      <c r="B1739">
        <v>3</v>
      </c>
    </row>
    <row r="1740" spans="1:2" ht="28.8" x14ac:dyDescent="0.3">
      <c r="A1740" s="4" t="s">
        <v>4463</v>
      </c>
      <c r="B1740">
        <v>3</v>
      </c>
    </row>
    <row r="1741" spans="1:2" ht="28.8" x14ac:dyDescent="0.3">
      <c r="A1741" s="4" t="s">
        <v>4464</v>
      </c>
      <c r="B1741">
        <v>3</v>
      </c>
    </row>
    <row r="1742" spans="1:2" ht="28.8" x14ac:dyDescent="0.3">
      <c r="A1742" s="4" t="s">
        <v>4465</v>
      </c>
      <c r="B1742">
        <v>3</v>
      </c>
    </row>
    <row r="1743" spans="1:2" ht="28.8" x14ac:dyDescent="0.3">
      <c r="A1743" s="4" t="s">
        <v>4466</v>
      </c>
      <c r="B1743">
        <v>3</v>
      </c>
    </row>
    <row r="1744" spans="1:2" ht="28.8" x14ac:dyDescent="0.3">
      <c r="A1744" s="4" t="s">
        <v>4467</v>
      </c>
      <c r="B1744">
        <v>3</v>
      </c>
    </row>
    <row r="1745" spans="1:2" ht="28.8" x14ac:dyDescent="0.3">
      <c r="A1745" s="4" t="s">
        <v>4468</v>
      </c>
      <c r="B1745">
        <v>3</v>
      </c>
    </row>
    <row r="1746" spans="1:2" x14ac:dyDescent="0.3">
      <c r="A1746" s="4" t="s">
        <v>4469</v>
      </c>
      <c r="B1746">
        <v>3</v>
      </c>
    </row>
    <row r="1747" spans="1:2" x14ac:dyDescent="0.3">
      <c r="A1747" s="4" t="s">
        <v>4470</v>
      </c>
      <c r="B1747">
        <v>3</v>
      </c>
    </row>
    <row r="1748" spans="1:2" ht="28.8" x14ac:dyDescent="0.3">
      <c r="A1748" s="4" t="s">
        <v>4471</v>
      </c>
      <c r="B1748">
        <v>3</v>
      </c>
    </row>
    <row r="1749" spans="1:2" x14ac:dyDescent="0.3">
      <c r="A1749" s="4" t="s">
        <v>4472</v>
      </c>
      <c r="B1749">
        <v>3</v>
      </c>
    </row>
    <row r="1750" spans="1:2" ht="28.8" x14ac:dyDescent="0.3">
      <c r="A1750" s="4" t="s">
        <v>4473</v>
      </c>
      <c r="B1750">
        <v>3</v>
      </c>
    </row>
    <row r="1751" spans="1:2" x14ac:dyDescent="0.3">
      <c r="A1751" s="4" t="s">
        <v>4474</v>
      </c>
      <c r="B1751">
        <v>3</v>
      </c>
    </row>
    <row r="1752" spans="1:2" ht="28.8" x14ac:dyDescent="0.3">
      <c r="A1752" s="4" t="s">
        <v>4475</v>
      </c>
      <c r="B1752">
        <v>3</v>
      </c>
    </row>
    <row r="1753" spans="1:2" ht="28.8" x14ac:dyDescent="0.3">
      <c r="A1753" s="4" t="s">
        <v>4476</v>
      </c>
      <c r="B1753">
        <v>3</v>
      </c>
    </row>
    <row r="1754" spans="1:2" ht="43.2" x14ac:dyDescent="0.3">
      <c r="A1754" s="4" t="s">
        <v>4477</v>
      </c>
      <c r="B1754">
        <v>3</v>
      </c>
    </row>
    <row r="1755" spans="1:2" ht="28.8" x14ac:dyDescent="0.3">
      <c r="A1755" s="4" t="s">
        <v>4478</v>
      </c>
      <c r="B1755">
        <v>3</v>
      </c>
    </row>
    <row r="1756" spans="1:2" ht="28.8" x14ac:dyDescent="0.3">
      <c r="A1756" s="4" t="s">
        <v>4479</v>
      </c>
      <c r="B1756">
        <v>3</v>
      </c>
    </row>
    <row r="1757" spans="1:2" ht="28.8" x14ac:dyDescent="0.3">
      <c r="A1757" s="4" t="s">
        <v>4480</v>
      </c>
      <c r="B1757">
        <v>3</v>
      </c>
    </row>
    <row r="1758" spans="1:2" ht="43.2" x14ac:dyDescent="0.3">
      <c r="A1758" s="4" t="s">
        <v>4481</v>
      </c>
      <c r="B1758">
        <v>3</v>
      </c>
    </row>
    <row r="1759" spans="1:2" ht="28.8" x14ac:dyDescent="0.3">
      <c r="A1759" s="4" t="s">
        <v>4482</v>
      </c>
      <c r="B1759">
        <v>3</v>
      </c>
    </row>
    <row r="1760" spans="1:2" ht="28.8" x14ac:dyDescent="0.3">
      <c r="A1760" s="4" t="s">
        <v>4483</v>
      </c>
      <c r="B1760">
        <v>3</v>
      </c>
    </row>
    <row r="1761" spans="1:2" x14ac:dyDescent="0.3">
      <c r="A1761" s="4" t="s">
        <v>4484</v>
      </c>
      <c r="B1761">
        <v>3</v>
      </c>
    </row>
    <row r="1762" spans="1:2" ht="28.8" x14ac:dyDescent="0.3">
      <c r="A1762" s="4" t="s">
        <v>4485</v>
      </c>
      <c r="B1762">
        <v>3</v>
      </c>
    </row>
    <row r="1763" spans="1:2" ht="28.8" x14ac:dyDescent="0.3">
      <c r="A1763" s="4" t="s">
        <v>4486</v>
      </c>
      <c r="B1763">
        <v>3</v>
      </c>
    </row>
    <row r="1764" spans="1:2" x14ac:dyDescent="0.3">
      <c r="A1764" s="4" t="s">
        <v>4487</v>
      </c>
      <c r="B1764">
        <v>3</v>
      </c>
    </row>
    <row r="1765" spans="1:2" ht="28.8" x14ac:dyDescent="0.3">
      <c r="A1765" s="4" t="s">
        <v>4488</v>
      </c>
      <c r="B1765">
        <v>3</v>
      </c>
    </row>
    <row r="1766" spans="1:2" ht="28.8" x14ac:dyDescent="0.3">
      <c r="A1766" s="4" t="s">
        <v>4489</v>
      </c>
      <c r="B1766">
        <v>3</v>
      </c>
    </row>
    <row r="1767" spans="1:2" ht="43.2" x14ac:dyDescent="0.3">
      <c r="A1767" s="4" t="s">
        <v>4490</v>
      </c>
      <c r="B1767">
        <v>3</v>
      </c>
    </row>
    <row r="1768" spans="1:2" x14ac:dyDescent="0.3">
      <c r="A1768" s="4" t="s">
        <v>4491</v>
      </c>
      <c r="B1768">
        <v>3</v>
      </c>
    </row>
    <row r="1769" spans="1:2" ht="28.8" x14ac:dyDescent="0.3">
      <c r="A1769" s="4" t="s">
        <v>4492</v>
      </c>
      <c r="B1769">
        <v>3</v>
      </c>
    </row>
    <row r="1770" spans="1:2" ht="28.8" x14ac:dyDescent="0.3">
      <c r="A1770" s="4" t="s">
        <v>4493</v>
      </c>
      <c r="B1770">
        <v>3</v>
      </c>
    </row>
    <row r="1771" spans="1:2" ht="28.8" x14ac:dyDescent="0.3">
      <c r="A1771" s="4" t="s">
        <v>4494</v>
      </c>
      <c r="B1771">
        <v>3</v>
      </c>
    </row>
    <row r="1772" spans="1:2" ht="43.2" x14ac:dyDescent="0.3">
      <c r="A1772" s="4" t="s">
        <v>4495</v>
      </c>
      <c r="B1772">
        <v>3</v>
      </c>
    </row>
    <row r="1773" spans="1:2" ht="28.8" x14ac:dyDescent="0.3">
      <c r="A1773" s="4" t="s">
        <v>4496</v>
      </c>
      <c r="B1773">
        <v>3</v>
      </c>
    </row>
    <row r="1774" spans="1:2" ht="28.8" x14ac:dyDescent="0.3">
      <c r="A1774" s="4" t="s">
        <v>4497</v>
      </c>
      <c r="B1774">
        <v>3</v>
      </c>
    </row>
    <row r="1775" spans="1:2" ht="28.8" x14ac:dyDescent="0.3">
      <c r="A1775" s="4" t="s">
        <v>4498</v>
      </c>
      <c r="B1775">
        <v>3</v>
      </c>
    </row>
    <row r="1776" spans="1:2" ht="28.8" x14ac:dyDescent="0.3">
      <c r="A1776" s="4" t="s">
        <v>4499</v>
      </c>
      <c r="B1776">
        <v>3</v>
      </c>
    </row>
    <row r="1777" spans="1:2" ht="28.8" x14ac:dyDescent="0.3">
      <c r="A1777" s="4" t="s">
        <v>4500</v>
      </c>
      <c r="B1777">
        <v>3</v>
      </c>
    </row>
    <row r="1778" spans="1:2" ht="28.8" x14ac:dyDescent="0.3">
      <c r="A1778" s="4" t="s">
        <v>4501</v>
      </c>
      <c r="B1778">
        <v>3</v>
      </c>
    </row>
    <row r="1779" spans="1:2" ht="28.8" x14ac:dyDescent="0.3">
      <c r="A1779" s="4" t="s">
        <v>4502</v>
      </c>
      <c r="B1779">
        <v>3</v>
      </c>
    </row>
    <row r="1780" spans="1:2" ht="28.8" x14ac:dyDescent="0.3">
      <c r="A1780" s="4" t="s">
        <v>4503</v>
      </c>
      <c r="B1780">
        <v>3</v>
      </c>
    </row>
    <row r="1781" spans="1:2" x14ac:dyDescent="0.3">
      <c r="A1781" s="4" t="s">
        <v>4504</v>
      </c>
      <c r="B1781">
        <v>3</v>
      </c>
    </row>
    <row r="1782" spans="1:2" x14ac:dyDescent="0.3">
      <c r="A1782" s="4" t="s">
        <v>4505</v>
      </c>
      <c r="B1782">
        <v>3</v>
      </c>
    </row>
    <row r="1783" spans="1:2" ht="28.8" x14ac:dyDescent="0.3">
      <c r="A1783" s="4" t="s">
        <v>4506</v>
      </c>
      <c r="B1783">
        <v>3</v>
      </c>
    </row>
    <row r="1784" spans="1:2" ht="28.8" x14ac:dyDescent="0.3">
      <c r="A1784" s="4" t="s">
        <v>4507</v>
      </c>
      <c r="B1784">
        <v>3</v>
      </c>
    </row>
    <row r="1785" spans="1:2" ht="28.8" x14ac:dyDescent="0.3">
      <c r="A1785" s="4" t="s">
        <v>4508</v>
      </c>
      <c r="B1785">
        <v>3</v>
      </c>
    </row>
    <row r="1786" spans="1:2" ht="28.8" x14ac:dyDescent="0.3">
      <c r="A1786" s="4" t="s">
        <v>4509</v>
      </c>
      <c r="B1786">
        <v>3</v>
      </c>
    </row>
    <row r="1787" spans="1:2" ht="28.8" x14ac:dyDescent="0.3">
      <c r="A1787" s="4" t="s">
        <v>4510</v>
      </c>
      <c r="B1787">
        <v>3</v>
      </c>
    </row>
    <row r="1788" spans="1:2" ht="28.8" x14ac:dyDescent="0.3">
      <c r="A1788" s="4" t="s">
        <v>4511</v>
      </c>
      <c r="B1788">
        <v>3</v>
      </c>
    </row>
    <row r="1789" spans="1:2" ht="28.8" x14ac:dyDescent="0.3">
      <c r="A1789" s="4" t="s">
        <v>4512</v>
      </c>
      <c r="B1789">
        <v>3</v>
      </c>
    </row>
    <row r="1790" spans="1:2" ht="28.8" x14ac:dyDescent="0.3">
      <c r="A1790" s="4" t="s">
        <v>4513</v>
      </c>
      <c r="B1790">
        <v>3</v>
      </c>
    </row>
    <row r="1791" spans="1:2" ht="28.8" x14ac:dyDescent="0.3">
      <c r="A1791" s="4" t="s">
        <v>4514</v>
      </c>
      <c r="B1791">
        <v>3</v>
      </c>
    </row>
    <row r="1792" spans="1:2" x14ac:dyDescent="0.3">
      <c r="A1792" s="4" t="s">
        <v>4515</v>
      </c>
      <c r="B1792">
        <v>3</v>
      </c>
    </row>
    <row r="1793" spans="1:2" ht="28.8" x14ac:dyDescent="0.3">
      <c r="A1793" s="4" t="s">
        <v>4516</v>
      </c>
      <c r="B1793">
        <v>3</v>
      </c>
    </row>
    <row r="1794" spans="1:2" ht="28.8" x14ac:dyDescent="0.3">
      <c r="A1794" s="4" t="s">
        <v>4517</v>
      </c>
      <c r="B1794">
        <v>3</v>
      </c>
    </row>
    <row r="1795" spans="1:2" ht="28.8" x14ac:dyDescent="0.3">
      <c r="A1795" s="4" t="s">
        <v>4518</v>
      </c>
      <c r="B1795">
        <v>3</v>
      </c>
    </row>
    <row r="1796" spans="1:2" ht="28.8" x14ac:dyDescent="0.3">
      <c r="A1796" s="4" t="s">
        <v>4519</v>
      </c>
      <c r="B1796">
        <v>3</v>
      </c>
    </row>
    <row r="1797" spans="1:2" ht="28.8" x14ac:dyDescent="0.3">
      <c r="A1797" s="4" t="s">
        <v>4520</v>
      </c>
      <c r="B1797">
        <v>3</v>
      </c>
    </row>
    <row r="1798" spans="1:2" ht="28.8" x14ac:dyDescent="0.3">
      <c r="A1798" s="4" t="s">
        <v>4521</v>
      </c>
      <c r="B1798">
        <v>3</v>
      </c>
    </row>
    <row r="1799" spans="1:2" ht="28.8" x14ac:dyDescent="0.3">
      <c r="A1799" s="4" t="s">
        <v>4522</v>
      </c>
      <c r="B1799">
        <v>3</v>
      </c>
    </row>
    <row r="1800" spans="1:2" ht="28.8" x14ac:dyDescent="0.3">
      <c r="A1800" s="4" t="s">
        <v>4523</v>
      </c>
      <c r="B1800">
        <v>3</v>
      </c>
    </row>
    <row r="1801" spans="1:2" ht="28.8" x14ac:dyDescent="0.3">
      <c r="A1801" s="4" t="s">
        <v>4524</v>
      </c>
      <c r="B1801">
        <v>3</v>
      </c>
    </row>
    <row r="1802" spans="1:2" ht="28.8" x14ac:dyDescent="0.3">
      <c r="A1802" s="4" t="s">
        <v>4525</v>
      </c>
      <c r="B1802">
        <v>3</v>
      </c>
    </row>
    <row r="1803" spans="1:2" ht="28.8" x14ac:dyDescent="0.3">
      <c r="A1803" s="4" t="s">
        <v>4526</v>
      </c>
      <c r="B1803">
        <v>3</v>
      </c>
    </row>
    <row r="1804" spans="1:2" x14ac:dyDescent="0.3">
      <c r="A1804" s="4" t="s">
        <v>4527</v>
      </c>
      <c r="B1804">
        <v>3</v>
      </c>
    </row>
    <row r="1805" spans="1:2" ht="28.8" x14ac:dyDescent="0.3">
      <c r="A1805" s="4" t="s">
        <v>4528</v>
      </c>
      <c r="B1805">
        <v>3</v>
      </c>
    </row>
    <row r="1806" spans="1:2" ht="28.8" x14ac:dyDescent="0.3">
      <c r="A1806" s="4" t="s">
        <v>4529</v>
      </c>
      <c r="B1806">
        <v>3</v>
      </c>
    </row>
    <row r="1807" spans="1:2" ht="28.8" x14ac:dyDescent="0.3">
      <c r="A1807" s="4" t="s">
        <v>4530</v>
      </c>
      <c r="B1807">
        <v>3</v>
      </c>
    </row>
    <row r="1808" spans="1:2" ht="43.2" x14ac:dyDescent="0.3">
      <c r="A1808" s="4" t="s">
        <v>4531</v>
      </c>
      <c r="B1808">
        <v>3</v>
      </c>
    </row>
    <row r="1809" spans="1:2" ht="28.8" x14ac:dyDescent="0.3">
      <c r="A1809" s="4" t="s">
        <v>4532</v>
      </c>
      <c r="B1809">
        <v>3</v>
      </c>
    </row>
    <row r="1810" spans="1:2" ht="28.8" x14ac:dyDescent="0.3">
      <c r="A1810" s="4" t="s">
        <v>4533</v>
      </c>
      <c r="B1810">
        <v>3</v>
      </c>
    </row>
    <row r="1811" spans="1:2" ht="28.8" x14ac:dyDescent="0.3">
      <c r="A1811" s="4" t="s">
        <v>4534</v>
      </c>
      <c r="B1811">
        <v>3</v>
      </c>
    </row>
    <row r="1812" spans="1:2" ht="28.8" x14ac:dyDescent="0.3">
      <c r="A1812" s="4" t="s">
        <v>4535</v>
      </c>
      <c r="B1812">
        <v>3</v>
      </c>
    </row>
    <row r="1813" spans="1:2" x14ac:dyDescent="0.3">
      <c r="A1813" s="4" t="s">
        <v>4536</v>
      </c>
      <c r="B1813">
        <v>3</v>
      </c>
    </row>
    <row r="1814" spans="1:2" ht="28.8" x14ac:dyDescent="0.3">
      <c r="A1814" s="4" t="s">
        <v>4537</v>
      </c>
      <c r="B1814">
        <v>3</v>
      </c>
    </row>
    <row r="1815" spans="1:2" ht="28.8" x14ac:dyDescent="0.3">
      <c r="A1815" s="4" t="s">
        <v>4538</v>
      </c>
      <c r="B1815">
        <v>3</v>
      </c>
    </row>
    <row r="1816" spans="1:2" ht="28.8" x14ac:dyDescent="0.3">
      <c r="A1816" s="4" t="s">
        <v>4539</v>
      </c>
      <c r="B1816">
        <v>3</v>
      </c>
    </row>
    <row r="1817" spans="1:2" ht="28.8" x14ac:dyDescent="0.3">
      <c r="A1817" s="4" t="s">
        <v>4540</v>
      </c>
      <c r="B1817">
        <v>3</v>
      </c>
    </row>
    <row r="1818" spans="1:2" ht="28.8" x14ac:dyDescent="0.3">
      <c r="A1818" s="4" t="s">
        <v>4541</v>
      </c>
      <c r="B1818">
        <v>3</v>
      </c>
    </row>
    <row r="1819" spans="1:2" ht="28.8" x14ac:dyDescent="0.3">
      <c r="A1819" s="4" t="s">
        <v>4542</v>
      </c>
      <c r="B1819">
        <v>3</v>
      </c>
    </row>
    <row r="1820" spans="1:2" ht="28.8" x14ac:dyDescent="0.3">
      <c r="A1820" s="4" t="s">
        <v>4543</v>
      </c>
      <c r="B1820">
        <v>3</v>
      </c>
    </row>
    <row r="1821" spans="1:2" ht="28.8" x14ac:dyDescent="0.3">
      <c r="A1821" s="4" t="s">
        <v>4544</v>
      </c>
      <c r="B1821">
        <v>3</v>
      </c>
    </row>
    <row r="1822" spans="1:2" ht="28.8" x14ac:dyDescent="0.3">
      <c r="A1822" s="4" t="s">
        <v>4545</v>
      </c>
      <c r="B1822">
        <v>3</v>
      </c>
    </row>
    <row r="1823" spans="1:2" ht="28.8" x14ac:dyDescent="0.3">
      <c r="A1823" s="4" t="s">
        <v>4546</v>
      </c>
      <c r="B1823">
        <v>3</v>
      </c>
    </row>
    <row r="1824" spans="1:2" ht="28.8" x14ac:dyDescent="0.3">
      <c r="A1824" s="4" t="s">
        <v>4547</v>
      </c>
      <c r="B1824">
        <v>3</v>
      </c>
    </row>
    <row r="1825" spans="1:2" ht="28.8" x14ac:dyDescent="0.3">
      <c r="A1825" s="4" t="s">
        <v>4548</v>
      </c>
      <c r="B1825">
        <v>3</v>
      </c>
    </row>
    <row r="1826" spans="1:2" ht="28.8" x14ac:dyDescent="0.3">
      <c r="A1826" s="4" t="s">
        <v>4549</v>
      </c>
      <c r="B1826">
        <v>3</v>
      </c>
    </row>
    <row r="1827" spans="1:2" ht="28.8" x14ac:dyDescent="0.3">
      <c r="A1827" s="4" t="s">
        <v>4550</v>
      </c>
      <c r="B1827">
        <v>3</v>
      </c>
    </row>
    <row r="1828" spans="1:2" ht="28.8" x14ac:dyDescent="0.3">
      <c r="A1828" s="4" t="s">
        <v>4551</v>
      </c>
      <c r="B1828">
        <v>3</v>
      </c>
    </row>
    <row r="1829" spans="1:2" ht="43.2" x14ac:dyDescent="0.3">
      <c r="A1829" s="4" t="s">
        <v>4552</v>
      </c>
      <c r="B1829">
        <v>3</v>
      </c>
    </row>
    <row r="1830" spans="1:2" ht="28.8" x14ac:dyDescent="0.3">
      <c r="A1830" s="4" t="s">
        <v>4553</v>
      </c>
      <c r="B1830">
        <v>3</v>
      </c>
    </row>
    <row r="1831" spans="1:2" ht="28.8" x14ac:dyDescent="0.3">
      <c r="A1831" s="4" t="s">
        <v>4554</v>
      </c>
      <c r="B1831">
        <v>3</v>
      </c>
    </row>
    <row r="1832" spans="1:2" ht="28.8" x14ac:dyDescent="0.3">
      <c r="A1832" s="4" t="s">
        <v>4555</v>
      </c>
      <c r="B1832">
        <v>3</v>
      </c>
    </row>
    <row r="1833" spans="1:2" ht="43.2" x14ac:dyDescent="0.3">
      <c r="A1833" s="4" t="s">
        <v>4556</v>
      </c>
      <c r="B1833">
        <v>3</v>
      </c>
    </row>
    <row r="1834" spans="1:2" ht="28.8" x14ac:dyDescent="0.3">
      <c r="A1834" s="4" t="s">
        <v>4557</v>
      </c>
      <c r="B1834">
        <v>3</v>
      </c>
    </row>
    <row r="1835" spans="1:2" ht="28.8" x14ac:dyDescent="0.3">
      <c r="A1835" s="4" t="s">
        <v>4558</v>
      </c>
      <c r="B1835">
        <v>3</v>
      </c>
    </row>
    <row r="1836" spans="1:2" ht="28.8" x14ac:dyDescent="0.3">
      <c r="A1836" s="4" t="s">
        <v>4559</v>
      </c>
      <c r="B1836">
        <v>3</v>
      </c>
    </row>
    <row r="1837" spans="1:2" ht="43.2" x14ac:dyDescent="0.3">
      <c r="A1837" s="4" t="s">
        <v>4560</v>
      </c>
      <c r="B1837">
        <v>3</v>
      </c>
    </row>
    <row r="1838" spans="1:2" x14ac:dyDescent="0.3">
      <c r="A1838" s="4" t="s">
        <v>4561</v>
      </c>
      <c r="B1838">
        <v>3</v>
      </c>
    </row>
    <row r="1839" spans="1:2" ht="28.8" x14ac:dyDescent="0.3">
      <c r="A1839" s="4" t="s">
        <v>4562</v>
      </c>
      <c r="B1839">
        <v>3</v>
      </c>
    </row>
    <row r="1840" spans="1:2" ht="28.8" x14ac:dyDescent="0.3">
      <c r="A1840" s="4" t="s">
        <v>4563</v>
      </c>
      <c r="B1840">
        <v>3</v>
      </c>
    </row>
    <row r="1841" spans="1:2" ht="28.8" x14ac:dyDescent="0.3">
      <c r="A1841" s="4" t="s">
        <v>4564</v>
      </c>
      <c r="B1841">
        <v>3</v>
      </c>
    </row>
    <row r="1842" spans="1:2" ht="43.2" x14ac:dyDescent="0.3">
      <c r="A1842" s="4" t="s">
        <v>4565</v>
      </c>
      <c r="B1842">
        <v>3</v>
      </c>
    </row>
    <row r="1843" spans="1:2" ht="28.8" x14ac:dyDescent="0.3">
      <c r="A1843" s="4" t="s">
        <v>4566</v>
      </c>
      <c r="B1843">
        <v>3</v>
      </c>
    </row>
    <row r="1844" spans="1:2" x14ac:dyDescent="0.3">
      <c r="A1844" s="4" t="s">
        <v>4567</v>
      </c>
      <c r="B1844">
        <v>3</v>
      </c>
    </row>
    <row r="1845" spans="1:2" ht="43.2" x14ac:dyDescent="0.3">
      <c r="A1845" s="4" t="s">
        <v>4568</v>
      </c>
      <c r="B1845">
        <v>3</v>
      </c>
    </row>
    <row r="1846" spans="1:2" ht="57.6" x14ac:dyDescent="0.3">
      <c r="A1846" s="4" t="s">
        <v>4569</v>
      </c>
      <c r="B1846">
        <v>3</v>
      </c>
    </row>
    <row r="1847" spans="1:2" ht="43.2" x14ac:dyDescent="0.3">
      <c r="A1847" s="4" t="s">
        <v>4570</v>
      </c>
      <c r="B1847">
        <v>3</v>
      </c>
    </row>
    <row r="1848" spans="1:2" ht="28.8" x14ac:dyDescent="0.3">
      <c r="A1848" s="4" t="s">
        <v>4571</v>
      </c>
      <c r="B1848">
        <v>3</v>
      </c>
    </row>
    <row r="1849" spans="1:2" ht="28.8" x14ac:dyDescent="0.3">
      <c r="A1849" s="4" t="s">
        <v>4572</v>
      </c>
      <c r="B1849">
        <v>3</v>
      </c>
    </row>
    <row r="1850" spans="1:2" ht="28.8" x14ac:dyDescent="0.3">
      <c r="A1850" s="4" t="s">
        <v>4573</v>
      </c>
      <c r="B1850">
        <v>3</v>
      </c>
    </row>
    <row r="1851" spans="1:2" ht="43.2" x14ac:dyDescent="0.3">
      <c r="A1851" s="4" t="s">
        <v>4574</v>
      </c>
      <c r="B1851">
        <v>3</v>
      </c>
    </row>
    <row r="1852" spans="1:2" x14ac:dyDescent="0.3">
      <c r="A1852" s="4" t="s">
        <v>4575</v>
      </c>
      <c r="B1852">
        <v>3</v>
      </c>
    </row>
    <row r="1853" spans="1:2" ht="28.8" x14ac:dyDescent="0.3">
      <c r="A1853" s="4" t="s">
        <v>4576</v>
      </c>
      <c r="B1853">
        <v>3</v>
      </c>
    </row>
    <row r="1854" spans="1:2" ht="28.8" x14ac:dyDescent="0.3">
      <c r="A1854" s="4" t="s">
        <v>4577</v>
      </c>
      <c r="B1854">
        <v>3</v>
      </c>
    </row>
    <row r="1855" spans="1:2" ht="28.8" x14ac:dyDescent="0.3">
      <c r="A1855" s="4" t="s">
        <v>4578</v>
      </c>
      <c r="B1855">
        <v>3</v>
      </c>
    </row>
    <row r="1856" spans="1:2" ht="28.8" x14ac:dyDescent="0.3">
      <c r="A1856" s="4" t="s">
        <v>4579</v>
      </c>
      <c r="B1856">
        <v>3</v>
      </c>
    </row>
    <row r="1857" spans="1:2" ht="28.8" x14ac:dyDescent="0.3">
      <c r="A1857" s="4" t="s">
        <v>4580</v>
      </c>
      <c r="B1857">
        <v>3</v>
      </c>
    </row>
    <row r="1858" spans="1:2" ht="28.8" x14ac:dyDescent="0.3">
      <c r="A1858" s="4" t="s">
        <v>4581</v>
      </c>
      <c r="B1858">
        <v>3</v>
      </c>
    </row>
    <row r="1859" spans="1:2" ht="28.8" x14ac:dyDescent="0.3">
      <c r="A1859" s="4" t="s">
        <v>4582</v>
      </c>
      <c r="B1859">
        <v>3</v>
      </c>
    </row>
    <row r="1860" spans="1:2" ht="28.8" x14ac:dyDescent="0.3">
      <c r="A1860" s="4" t="s">
        <v>4583</v>
      </c>
      <c r="B1860">
        <v>3</v>
      </c>
    </row>
    <row r="1861" spans="1:2" ht="43.2" x14ac:dyDescent="0.3">
      <c r="A1861" s="4" t="s">
        <v>4584</v>
      </c>
      <c r="B1861">
        <v>3</v>
      </c>
    </row>
    <row r="1862" spans="1:2" ht="28.8" x14ac:dyDescent="0.3">
      <c r="A1862" s="4" t="s">
        <v>4585</v>
      </c>
      <c r="B1862">
        <v>3</v>
      </c>
    </row>
    <row r="1863" spans="1:2" ht="43.2" x14ac:dyDescent="0.3">
      <c r="A1863" s="4" t="s">
        <v>4586</v>
      </c>
      <c r="B1863">
        <v>3</v>
      </c>
    </row>
    <row r="1864" spans="1:2" ht="28.8" x14ac:dyDescent="0.3">
      <c r="A1864" s="4" t="s">
        <v>4587</v>
      </c>
      <c r="B1864">
        <v>3</v>
      </c>
    </row>
    <row r="1865" spans="1:2" ht="28.8" x14ac:dyDescent="0.3">
      <c r="A1865" s="4" t="s">
        <v>4588</v>
      </c>
      <c r="B1865">
        <v>3</v>
      </c>
    </row>
    <row r="1866" spans="1:2" x14ac:dyDescent="0.3">
      <c r="A1866" s="4" t="s">
        <v>4589</v>
      </c>
      <c r="B1866">
        <v>3</v>
      </c>
    </row>
    <row r="1867" spans="1:2" ht="28.8" x14ac:dyDescent="0.3">
      <c r="A1867" s="4" t="s">
        <v>4590</v>
      </c>
      <c r="B1867">
        <v>3</v>
      </c>
    </row>
    <row r="1868" spans="1:2" ht="43.2" x14ac:dyDescent="0.3">
      <c r="A1868" s="4" t="s">
        <v>4591</v>
      </c>
      <c r="B1868">
        <v>3</v>
      </c>
    </row>
    <row r="1869" spans="1:2" ht="28.8" x14ac:dyDescent="0.3">
      <c r="A1869" s="4" t="s">
        <v>4592</v>
      </c>
      <c r="B1869">
        <v>3</v>
      </c>
    </row>
    <row r="1870" spans="1:2" ht="28.8" x14ac:dyDescent="0.3">
      <c r="A1870" s="4" t="s">
        <v>4593</v>
      </c>
      <c r="B1870">
        <v>3</v>
      </c>
    </row>
    <row r="1871" spans="1:2" ht="28.8" x14ac:dyDescent="0.3">
      <c r="A1871" s="4" t="s">
        <v>4594</v>
      </c>
      <c r="B1871">
        <v>3</v>
      </c>
    </row>
    <row r="1872" spans="1:2" ht="43.2" x14ac:dyDescent="0.3">
      <c r="A1872" s="4" t="s">
        <v>4595</v>
      </c>
      <c r="B1872">
        <v>3</v>
      </c>
    </row>
    <row r="1873" spans="1:2" x14ac:dyDescent="0.3">
      <c r="A1873" s="4" t="s">
        <v>4596</v>
      </c>
      <c r="B1873">
        <v>3</v>
      </c>
    </row>
    <row r="1874" spans="1:2" ht="28.8" x14ac:dyDescent="0.3">
      <c r="A1874" s="4" t="s">
        <v>4597</v>
      </c>
      <c r="B1874">
        <v>3</v>
      </c>
    </row>
    <row r="1875" spans="1:2" ht="57.6" x14ac:dyDescent="0.3">
      <c r="A1875" s="4" t="s">
        <v>4598</v>
      </c>
      <c r="B1875">
        <v>3</v>
      </c>
    </row>
    <row r="1876" spans="1:2" ht="28.8" x14ac:dyDescent="0.3">
      <c r="A1876" s="4" t="s">
        <v>4599</v>
      </c>
      <c r="B1876">
        <v>3</v>
      </c>
    </row>
    <row r="1877" spans="1:2" ht="43.2" x14ac:dyDescent="0.3">
      <c r="A1877" s="4" t="s">
        <v>4600</v>
      </c>
      <c r="B1877">
        <v>3</v>
      </c>
    </row>
    <row r="1878" spans="1:2" ht="43.2" x14ac:dyDescent="0.3">
      <c r="A1878" s="4" t="s">
        <v>4601</v>
      </c>
      <c r="B1878">
        <v>3</v>
      </c>
    </row>
    <row r="1879" spans="1:2" ht="28.8" x14ac:dyDescent="0.3">
      <c r="A1879" s="4" t="s">
        <v>4602</v>
      </c>
      <c r="B1879">
        <v>3</v>
      </c>
    </row>
    <row r="1880" spans="1:2" ht="43.2" x14ac:dyDescent="0.3">
      <c r="A1880" s="4" t="s">
        <v>4603</v>
      </c>
      <c r="B1880">
        <v>3</v>
      </c>
    </row>
    <row r="1881" spans="1:2" ht="28.8" x14ac:dyDescent="0.3">
      <c r="A1881" s="4" t="s">
        <v>4604</v>
      </c>
      <c r="B1881">
        <v>3</v>
      </c>
    </row>
    <row r="1882" spans="1:2" ht="28.8" x14ac:dyDescent="0.3">
      <c r="A1882" s="4" t="s">
        <v>4605</v>
      </c>
      <c r="B1882">
        <v>3</v>
      </c>
    </row>
    <row r="1883" spans="1:2" ht="28.8" x14ac:dyDescent="0.3">
      <c r="A1883" s="4" t="s">
        <v>4606</v>
      </c>
      <c r="B1883">
        <v>3</v>
      </c>
    </row>
    <row r="1884" spans="1:2" ht="28.8" x14ac:dyDescent="0.3">
      <c r="A1884" s="4" t="s">
        <v>4607</v>
      </c>
      <c r="B1884">
        <v>3</v>
      </c>
    </row>
    <row r="1885" spans="1:2" ht="43.2" x14ac:dyDescent="0.3">
      <c r="A1885" s="4" t="s">
        <v>4608</v>
      </c>
      <c r="B1885">
        <v>3</v>
      </c>
    </row>
    <row r="1886" spans="1:2" x14ac:dyDescent="0.3">
      <c r="A1886" s="4" t="s">
        <v>4609</v>
      </c>
      <c r="B1886">
        <v>3</v>
      </c>
    </row>
    <row r="1887" spans="1:2" ht="43.2" x14ac:dyDescent="0.3">
      <c r="A1887" s="4" t="s">
        <v>4610</v>
      </c>
      <c r="B1887">
        <v>3</v>
      </c>
    </row>
    <row r="1888" spans="1:2" ht="28.8" x14ac:dyDescent="0.3">
      <c r="A1888" s="4" t="s">
        <v>4611</v>
      </c>
      <c r="B1888">
        <v>3</v>
      </c>
    </row>
    <row r="1889" spans="1:2" x14ac:dyDescent="0.3">
      <c r="A1889" s="4" t="s">
        <v>4612</v>
      </c>
      <c r="B1889">
        <v>3</v>
      </c>
    </row>
    <row r="1890" spans="1:2" ht="28.8" x14ac:dyDescent="0.3">
      <c r="A1890" s="4" t="s">
        <v>4613</v>
      </c>
      <c r="B1890">
        <v>3</v>
      </c>
    </row>
    <row r="1891" spans="1:2" ht="43.2" x14ac:dyDescent="0.3">
      <c r="A1891" s="4" t="s">
        <v>4614</v>
      </c>
      <c r="B1891">
        <v>3</v>
      </c>
    </row>
    <row r="1892" spans="1:2" ht="28.8" x14ac:dyDescent="0.3">
      <c r="A1892" s="4" t="s">
        <v>4615</v>
      </c>
      <c r="B1892">
        <v>3</v>
      </c>
    </row>
    <row r="1893" spans="1:2" ht="43.2" x14ac:dyDescent="0.3">
      <c r="A1893" s="4" t="s">
        <v>4616</v>
      </c>
      <c r="B1893">
        <v>3</v>
      </c>
    </row>
    <row r="1894" spans="1:2" ht="28.8" x14ac:dyDescent="0.3">
      <c r="A1894" s="4" t="s">
        <v>4617</v>
      </c>
      <c r="B1894">
        <v>3</v>
      </c>
    </row>
    <row r="1895" spans="1:2" ht="28.8" x14ac:dyDescent="0.3">
      <c r="A1895" s="4" t="s">
        <v>4618</v>
      </c>
      <c r="B1895">
        <v>3</v>
      </c>
    </row>
    <row r="1896" spans="1:2" x14ac:dyDescent="0.3">
      <c r="A1896" s="4" t="s">
        <v>4619</v>
      </c>
      <c r="B1896">
        <v>3</v>
      </c>
    </row>
    <row r="1897" spans="1:2" ht="86.4" x14ac:dyDescent="0.3">
      <c r="A1897" s="4" t="s">
        <v>4620</v>
      </c>
      <c r="B1897">
        <v>3</v>
      </c>
    </row>
    <row r="1898" spans="1:2" ht="28.8" x14ac:dyDescent="0.3">
      <c r="A1898" s="4" t="s">
        <v>4621</v>
      </c>
      <c r="B1898">
        <v>3</v>
      </c>
    </row>
    <row r="1899" spans="1:2" ht="28.8" x14ac:dyDescent="0.3">
      <c r="A1899" s="4" t="s">
        <v>4622</v>
      </c>
      <c r="B1899">
        <v>3</v>
      </c>
    </row>
    <row r="1900" spans="1:2" ht="28.8" x14ac:dyDescent="0.3">
      <c r="A1900" s="4" t="s">
        <v>4623</v>
      </c>
      <c r="B1900">
        <v>3</v>
      </c>
    </row>
    <row r="1901" spans="1:2" ht="28.8" x14ac:dyDescent="0.3">
      <c r="A1901" s="4" t="s">
        <v>4624</v>
      </c>
      <c r="B1901">
        <v>3</v>
      </c>
    </row>
    <row r="1902" spans="1:2" ht="28.8" x14ac:dyDescent="0.3">
      <c r="A1902" s="4" t="s">
        <v>4625</v>
      </c>
      <c r="B1902">
        <v>3</v>
      </c>
    </row>
    <row r="1903" spans="1:2" ht="28.8" x14ac:dyDescent="0.3">
      <c r="A1903" s="4" t="s">
        <v>4626</v>
      </c>
      <c r="B1903">
        <v>3</v>
      </c>
    </row>
    <row r="1904" spans="1:2" ht="28.8" x14ac:dyDescent="0.3">
      <c r="A1904" s="4" t="s">
        <v>4627</v>
      </c>
      <c r="B1904">
        <v>3</v>
      </c>
    </row>
    <row r="1905" spans="1:2" ht="28.8" x14ac:dyDescent="0.3">
      <c r="A1905" s="4" t="s">
        <v>4628</v>
      </c>
      <c r="B1905">
        <v>3</v>
      </c>
    </row>
    <row r="1906" spans="1:2" ht="28.8" x14ac:dyDescent="0.3">
      <c r="A1906" s="4" t="s">
        <v>4629</v>
      </c>
      <c r="B1906">
        <v>3</v>
      </c>
    </row>
    <row r="1907" spans="1:2" ht="28.8" x14ac:dyDescent="0.3">
      <c r="A1907" s="4" t="s">
        <v>4630</v>
      </c>
      <c r="B1907">
        <v>3</v>
      </c>
    </row>
    <row r="1908" spans="1:2" ht="28.8" x14ac:dyDescent="0.3">
      <c r="A1908" s="4" t="s">
        <v>4631</v>
      </c>
      <c r="B1908">
        <v>3</v>
      </c>
    </row>
    <row r="1909" spans="1:2" x14ac:dyDescent="0.3">
      <c r="A1909" s="4" t="s">
        <v>4632</v>
      </c>
      <c r="B1909">
        <v>3</v>
      </c>
    </row>
    <row r="1910" spans="1:2" ht="43.2" x14ac:dyDescent="0.3">
      <c r="A1910" s="4" t="s">
        <v>4633</v>
      </c>
      <c r="B1910">
        <v>3</v>
      </c>
    </row>
    <row r="1911" spans="1:2" x14ac:dyDescent="0.3">
      <c r="A1911" s="4" t="s">
        <v>4634</v>
      </c>
      <c r="B1911">
        <v>3</v>
      </c>
    </row>
    <row r="1912" spans="1:2" ht="28.8" x14ac:dyDescent="0.3">
      <c r="A1912" s="4" t="s">
        <v>4635</v>
      </c>
      <c r="B1912">
        <v>3</v>
      </c>
    </row>
    <row r="1913" spans="1:2" ht="28.8" x14ac:dyDescent="0.3">
      <c r="A1913" s="4" t="s">
        <v>4636</v>
      </c>
      <c r="B1913">
        <v>3</v>
      </c>
    </row>
    <row r="1914" spans="1:2" ht="43.2" x14ac:dyDescent="0.3">
      <c r="A1914" s="4" t="s">
        <v>4637</v>
      </c>
      <c r="B1914">
        <v>3</v>
      </c>
    </row>
    <row r="1915" spans="1:2" ht="28.8" x14ac:dyDescent="0.3">
      <c r="A1915" s="4" t="s">
        <v>4638</v>
      </c>
      <c r="B1915">
        <v>3</v>
      </c>
    </row>
    <row r="1916" spans="1:2" ht="28.8" x14ac:dyDescent="0.3">
      <c r="A1916" s="4" t="s">
        <v>4639</v>
      </c>
      <c r="B1916">
        <v>3</v>
      </c>
    </row>
    <row r="1917" spans="1:2" ht="28.8" x14ac:dyDescent="0.3">
      <c r="A1917" s="4" t="s">
        <v>4640</v>
      </c>
      <c r="B1917">
        <v>3</v>
      </c>
    </row>
    <row r="1918" spans="1:2" ht="43.2" x14ac:dyDescent="0.3">
      <c r="A1918" s="4" t="s">
        <v>4641</v>
      </c>
      <c r="B1918">
        <v>3</v>
      </c>
    </row>
    <row r="1919" spans="1:2" ht="28.8" x14ac:dyDescent="0.3">
      <c r="A1919" s="4" t="s">
        <v>4642</v>
      </c>
      <c r="B1919">
        <v>3</v>
      </c>
    </row>
    <row r="1920" spans="1:2" ht="28.8" x14ac:dyDescent="0.3">
      <c r="A1920" s="4" t="s">
        <v>4643</v>
      </c>
      <c r="B1920">
        <v>3</v>
      </c>
    </row>
    <row r="1921" spans="1:2" x14ac:dyDescent="0.3">
      <c r="A1921" s="4" t="s">
        <v>4644</v>
      </c>
      <c r="B1921">
        <v>3</v>
      </c>
    </row>
    <row r="1922" spans="1:2" ht="28.8" x14ac:dyDescent="0.3">
      <c r="A1922" s="4" t="s">
        <v>4645</v>
      </c>
      <c r="B1922">
        <v>3</v>
      </c>
    </row>
    <row r="1923" spans="1:2" x14ac:dyDescent="0.3">
      <c r="A1923" s="4" t="s">
        <v>4646</v>
      </c>
      <c r="B1923">
        <v>3</v>
      </c>
    </row>
    <row r="1924" spans="1:2" ht="43.2" x14ac:dyDescent="0.3">
      <c r="A1924" s="4" t="s">
        <v>4647</v>
      </c>
      <c r="B1924">
        <v>3</v>
      </c>
    </row>
    <row r="1925" spans="1:2" ht="28.8" x14ac:dyDescent="0.3">
      <c r="A1925" s="4" t="s">
        <v>4648</v>
      </c>
      <c r="B1925">
        <v>3</v>
      </c>
    </row>
    <row r="1926" spans="1:2" ht="28.8" x14ac:dyDescent="0.3">
      <c r="A1926" s="4" t="s">
        <v>4649</v>
      </c>
      <c r="B1926">
        <v>3</v>
      </c>
    </row>
    <row r="1927" spans="1:2" ht="28.8" x14ac:dyDescent="0.3">
      <c r="A1927" s="4" t="s">
        <v>4650</v>
      </c>
      <c r="B1927">
        <v>3</v>
      </c>
    </row>
    <row r="1928" spans="1:2" ht="28.8" x14ac:dyDescent="0.3">
      <c r="A1928" s="4" t="s">
        <v>4651</v>
      </c>
      <c r="B1928">
        <v>3</v>
      </c>
    </row>
    <row r="1929" spans="1:2" ht="28.8" x14ac:dyDescent="0.3">
      <c r="A1929" s="4" t="s">
        <v>4652</v>
      </c>
      <c r="B1929">
        <v>3</v>
      </c>
    </row>
    <row r="1930" spans="1:2" ht="43.2" x14ac:dyDescent="0.3">
      <c r="A1930" s="4" t="s">
        <v>4653</v>
      </c>
      <c r="B1930">
        <v>3</v>
      </c>
    </row>
    <row r="1931" spans="1:2" ht="28.8" x14ac:dyDescent="0.3">
      <c r="A1931" s="4" t="s">
        <v>4654</v>
      </c>
      <c r="B1931">
        <v>3</v>
      </c>
    </row>
    <row r="1932" spans="1:2" ht="28.8" x14ac:dyDescent="0.3">
      <c r="A1932" s="4" t="s">
        <v>4655</v>
      </c>
      <c r="B1932">
        <v>3</v>
      </c>
    </row>
    <row r="1933" spans="1:2" ht="28.8" x14ac:dyDescent="0.3">
      <c r="A1933" s="4" t="s">
        <v>4656</v>
      </c>
      <c r="B1933">
        <v>3</v>
      </c>
    </row>
    <row r="1934" spans="1:2" ht="28.8" x14ac:dyDescent="0.3">
      <c r="A1934" s="4" t="s">
        <v>4657</v>
      </c>
      <c r="B1934">
        <v>3</v>
      </c>
    </row>
    <row r="1935" spans="1:2" ht="28.8" x14ac:dyDescent="0.3">
      <c r="A1935" s="4" t="s">
        <v>4658</v>
      </c>
      <c r="B1935">
        <v>3</v>
      </c>
    </row>
    <row r="1936" spans="1:2" ht="28.8" x14ac:dyDescent="0.3">
      <c r="A1936" s="4" t="s">
        <v>4659</v>
      </c>
      <c r="B1936">
        <v>3</v>
      </c>
    </row>
    <row r="1937" spans="1:2" ht="28.8" x14ac:dyDescent="0.3">
      <c r="A1937" s="4" t="s">
        <v>4660</v>
      </c>
      <c r="B1937">
        <v>3</v>
      </c>
    </row>
    <row r="1938" spans="1:2" ht="28.8" x14ac:dyDescent="0.3">
      <c r="A1938" s="4" t="s">
        <v>4661</v>
      </c>
      <c r="B1938">
        <v>3</v>
      </c>
    </row>
    <row r="1939" spans="1:2" ht="43.2" x14ac:dyDescent="0.3">
      <c r="A1939" s="4" t="s">
        <v>4662</v>
      </c>
      <c r="B1939">
        <v>3</v>
      </c>
    </row>
    <row r="1940" spans="1:2" ht="28.8" x14ac:dyDescent="0.3">
      <c r="A1940" s="4" t="s">
        <v>4663</v>
      </c>
      <c r="B1940">
        <v>3</v>
      </c>
    </row>
    <row r="1941" spans="1:2" ht="28.8" x14ac:dyDescent="0.3">
      <c r="A1941" s="4" t="s">
        <v>4664</v>
      </c>
      <c r="B1941">
        <v>3</v>
      </c>
    </row>
    <row r="1942" spans="1:2" ht="43.2" x14ac:dyDescent="0.3">
      <c r="A1942" s="4" t="s">
        <v>4665</v>
      </c>
      <c r="B1942">
        <v>3</v>
      </c>
    </row>
    <row r="1943" spans="1:2" ht="28.8" x14ac:dyDescent="0.3">
      <c r="A1943" s="4" t="s">
        <v>4666</v>
      </c>
      <c r="B1943">
        <v>3</v>
      </c>
    </row>
    <row r="1944" spans="1:2" ht="28.8" x14ac:dyDescent="0.3">
      <c r="A1944" s="4" t="s">
        <v>4667</v>
      </c>
      <c r="B1944">
        <v>3</v>
      </c>
    </row>
    <row r="1945" spans="1:2" ht="28.8" x14ac:dyDescent="0.3">
      <c r="A1945" s="4" t="s">
        <v>4668</v>
      </c>
      <c r="B1945">
        <v>3</v>
      </c>
    </row>
    <row r="1946" spans="1:2" ht="28.8" x14ac:dyDescent="0.3">
      <c r="A1946" s="4" t="s">
        <v>4669</v>
      </c>
      <c r="B1946">
        <v>3</v>
      </c>
    </row>
    <row r="1947" spans="1:2" ht="28.8" x14ac:dyDescent="0.3">
      <c r="A1947" s="4" t="s">
        <v>4670</v>
      </c>
      <c r="B1947">
        <v>3</v>
      </c>
    </row>
    <row r="1948" spans="1:2" ht="28.8" x14ac:dyDescent="0.3">
      <c r="A1948" s="4" t="s">
        <v>4671</v>
      </c>
      <c r="B1948">
        <v>3</v>
      </c>
    </row>
    <row r="1949" spans="1:2" ht="43.2" x14ac:dyDescent="0.3">
      <c r="A1949" s="4" t="s">
        <v>4672</v>
      </c>
      <c r="B1949">
        <v>3</v>
      </c>
    </row>
    <row r="1950" spans="1:2" ht="28.8" x14ac:dyDescent="0.3">
      <c r="A1950" s="4" t="s">
        <v>4673</v>
      </c>
      <c r="B1950">
        <v>3</v>
      </c>
    </row>
    <row r="1951" spans="1:2" ht="28.8" x14ac:dyDescent="0.3">
      <c r="A1951" s="4" t="s">
        <v>4674</v>
      </c>
      <c r="B1951">
        <v>3</v>
      </c>
    </row>
    <row r="1952" spans="1:2" ht="28.8" x14ac:dyDescent="0.3">
      <c r="A1952" s="4" t="s">
        <v>4675</v>
      </c>
      <c r="B1952">
        <v>3</v>
      </c>
    </row>
    <row r="1953" spans="1:2" ht="28.8" x14ac:dyDescent="0.3">
      <c r="A1953" s="4" t="s">
        <v>4676</v>
      </c>
      <c r="B1953">
        <v>3</v>
      </c>
    </row>
    <row r="1954" spans="1:2" ht="43.2" x14ac:dyDescent="0.3">
      <c r="A1954" s="4" t="s">
        <v>4677</v>
      </c>
      <c r="B1954">
        <v>3</v>
      </c>
    </row>
    <row r="1955" spans="1:2" ht="28.8" x14ac:dyDescent="0.3">
      <c r="A1955" s="4" t="s">
        <v>4678</v>
      </c>
      <c r="B1955">
        <v>3</v>
      </c>
    </row>
    <row r="1956" spans="1:2" ht="28.8" x14ac:dyDescent="0.3">
      <c r="A1956" s="4" t="s">
        <v>4679</v>
      </c>
      <c r="B1956">
        <v>3</v>
      </c>
    </row>
    <row r="1957" spans="1:2" ht="43.2" x14ac:dyDescent="0.3">
      <c r="A1957" s="4" t="s">
        <v>4680</v>
      </c>
      <c r="B1957">
        <v>3</v>
      </c>
    </row>
    <row r="1958" spans="1:2" ht="28.8" x14ac:dyDescent="0.3">
      <c r="A1958" s="4" t="s">
        <v>4681</v>
      </c>
      <c r="B1958">
        <v>3</v>
      </c>
    </row>
    <row r="1959" spans="1:2" ht="28.8" x14ac:dyDescent="0.3">
      <c r="A1959" s="4" t="s">
        <v>4682</v>
      </c>
      <c r="B1959">
        <v>3</v>
      </c>
    </row>
    <row r="1960" spans="1:2" ht="28.8" x14ac:dyDescent="0.3">
      <c r="A1960" s="4" t="s">
        <v>4683</v>
      </c>
      <c r="B1960">
        <v>3</v>
      </c>
    </row>
    <row r="1961" spans="1:2" ht="28.8" x14ac:dyDescent="0.3">
      <c r="A1961" s="4" t="s">
        <v>4684</v>
      </c>
      <c r="B1961">
        <v>3</v>
      </c>
    </row>
    <row r="1962" spans="1:2" ht="28.8" x14ac:dyDescent="0.3">
      <c r="A1962" s="4" t="s">
        <v>4685</v>
      </c>
      <c r="B1962">
        <v>3</v>
      </c>
    </row>
    <row r="1963" spans="1:2" ht="28.8" x14ac:dyDescent="0.3">
      <c r="A1963" s="4" t="s">
        <v>4686</v>
      </c>
      <c r="B1963">
        <v>3</v>
      </c>
    </row>
    <row r="1964" spans="1:2" ht="28.8" x14ac:dyDescent="0.3">
      <c r="A1964" s="4" t="s">
        <v>4687</v>
      </c>
      <c r="B1964">
        <v>3</v>
      </c>
    </row>
    <row r="1965" spans="1:2" ht="28.8" x14ac:dyDescent="0.3">
      <c r="A1965" s="4" t="s">
        <v>4688</v>
      </c>
      <c r="B1965">
        <v>3</v>
      </c>
    </row>
    <row r="1966" spans="1:2" ht="28.8" x14ac:dyDescent="0.3">
      <c r="A1966" s="4" t="s">
        <v>4689</v>
      </c>
      <c r="B1966">
        <v>3</v>
      </c>
    </row>
    <row r="1967" spans="1:2" ht="28.8" x14ac:dyDescent="0.3">
      <c r="A1967" s="4" t="s">
        <v>4690</v>
      </c>
      <c r="B1967">
        <v>3</v>
      </c>
    </row>
    <row r="1968" spans="1:2" ht="43.2" x14ac:dyDescent="0.3">
      <c r="A1968" s="4" t="s">
        <v>4691</v>
      </c>
      <c r="B1968">
        <v>3</v>
      </c>
    </row>
    <row r="1969" spans="1:2" ht="28.8" x14ac:dyDescent="0.3">
      <c r="A1969" s="4" t="s">
        <v>4692</v>
      </c>
      <c r="B1969">
        <v>3</v>
      </c>
    </row>
    <row r="1970" spans="1:2" x14ac:dyDescent="0.3">
      <c r="A1970" s="4" t="s">
        <v>4693</v>
      </c>
      <c r="B1970">
        <v>3</v>
      </c>
    </row>
    <row r="1971" spans="1:2" ht="43.2" x14ac:dyDescent="0.3">
      <c r="A1971" s="4" t="s">
        <v>4694</v>
      </c>
      <c r="B1971">
        <v>3</v>
      </c>
    </row>
    <row r="1972" spans="1:2" ht="28.8" x14ac:dyDescent="0.3">
      <c r="A1972" s="4" t="s">
        <v>4695</v>
      </c>
      <c r="B1972">
        <v>3</v>
      </c>
    </row>
    <row r="1973" spans="1:2" ht="28.8" x14ac:dyDescent="0.3">
      <c r="A1973" s="4" t="s">
        <v>4696</v>
      </c>
      <c r="B1973">
        <v>3</v>
      </c>
    </row>
    <row r="1974" spans="1:2" ht="43.2" x14ac:dyDescent="0.3">
      <c r="A1974" s="4" t="s">
        <v>4697</v>
      </c>
      <c r="B1974">
        <v>3</v>
      </c>
    </row>
    <row r="1975" spans="1:2" ht="28.8" x14ac:dyDescent="0.3">
      <c r="A1975" s="4" t="s">
        <v>4698</v>
      </c>
      <c r="B1975">
        <v>3</v>
      </c>
    </row>
    <row r="1976" spans="1:2" ht="28.8" x14ac:dyDescent="0.3">
      <c r="A1976" s="4" t="s">
        <v>4699</v>
      </c>
      <c r="B1976">
        <v>3</v>
      </c>
    </row>
    <row r="1977" spans="1:2" ht="28.8" x14ac:dyDescent="0.3">
      <c r="A1977" s="4" t="s">
        <v>4700</v>
      </c>
      <c r="B1977">
        <v>3</v>
      </c>
    </row>
    <row r="1978" spans="1:2" ht="28.8" x14ac:dyDescent="0.3">
      <c r="A1978" s="4" t="s">
        <v>4701</v>
      </c>
      <c r="B1978">
        <v>3</v>
      </c>
    </row>
    <row r="1979" spans="1:2" ht="28.8" x14ac:dyDescent="0.3">
      <c r="A1979" s="4" t="s">
        <v>4702</v>
      </c>
      <c r="B1979">
        <v>3</v>
      </c>
    </row>
    <row r="1980" spans="1:2" ht="28.8" x14ac:dyDescent="0.3">
      <c r="A1980" s="4" t="s">
        <v>4703</v>
      </c>
      <c r="B1980">
        <v>3</v>
      </c>
    </row>
    <row r="1981" spans="1:2" ht="28.8" x14ac:dyDescent="0.3">
      <c r="A1981" s="4" t="s">
        <v>4704</v>
      </c>
      <c r="B1981">
        <v>3</v>
      </c>
    </row>
    <row r="1982" spans="1:2" ht="28.8" x14ac:dyDescent="0.3">
      <c r="A1982" s="4" t="s">
        <v>4705</v>
      </c>
      <c r="B1982">
        <v>3</v>
      </c>
    </row>
    <row r="1983" spans="1:2" ht="28.8" x14ac:dyDescent="0.3">
      <c r="A1983" s="4" t="s">
        <v>4706</v>
      </c>
      <c r="B1983">
        <v>3</v>
      </c>
    </row>
    <row r="1984" spans="1:2" ht="28.8" x14ac:dyDescent="0.3">
      <c r="A1984" s="4" t="s">
        <v>4707</v>
      </c>
      <c r="B1984">
        <v>3</v>
      </c>
    </row>
    <row r="1985" spans="1:2" ht="28.8" x14ac:dyDescent="0.3">
      <c r="A1985" s="4" t="s">
        <v>4708</v>
      </c>
      <c r="B1985">
        <v>3</v>
      </c>
    </row>
    <row r="1986" spans="1:2" ht="28.8" x14ac:dyDescent="0.3">
      <c r="A1986" s="4" t="s">
        <v>4709</v>
      </c>
      <c r="B1986">
        <v>3</v>
      </c>
    </row>
    <row r="1987" spans="1:2" ht="28.8" x14ac:dyDescent="0.3">
      <c r="A1987" s="4" t="s">
        <v>4710</v>
      </c>
      <c r="B1987">
        <v>3</v>
      </c>
    </row>
    <row r="1988" spans="1:2" x14ac:dyDescent="0.3">
      <c r="A1988" s="4" t="s">
        <v>4711</v>
      </c>
      <c r="B1988">
        <v>3</v>
      </c>
    </row>
    <row r="1989" spans="1:2" ht="43.2" x14ac:dyDescent="0.3">
      <c r="A1989" s="4" t="s">
        <v>4712</v>
      </c>
      <c r="B1989">
        <v>3</v>
      </c>
    </row>
    <row r="1990" spans="1:2" ht="28.8" x14ac:dyDescent="0.3">
      <c r="A1990" s="4" t="s">
        <v>4713</v>
      </c>
      <c r="B1990">
        <v>3</v>
      </c>
    </row>
    <row r="1991" spans="1:2" ht="28.8" x14ac:dyDescent="0.3">
      <c r="A1991" s="4" t="s">
        <v>4714</v>
      </c>
      <c r="B1991">
        <v>3</v>
      </c>
    </row>
    <row r="1992" spans="1:2" ht="28.8" x14ac:dyDescent="0.3">
      <c r="A1992" s="4" t="s">
        <v>4715</v>
      </c>
      <c r="B1992">
        <v>3</v>
      </c>
    </row>
    <row r="1993" spans="1:2" ht="28.8" x14ac:dyDescent="0.3">
      <c r="A1993" s="4" t="s">
        <v>4716</v>
      </c>
      <c r="B1993">
        <v>3</v>
      </c>
    </row>
    <row r="1994" spans="1:2" ht="28.8" x14ac:dyDescent="0.3">
      <c r="A1994" s="4" t="s">
        <v>4717</v>
      </c>
      <c r="B1994">
        <v>3</v>
      </c>
    </row>
    <row r="1995" spans="1:2" ht="28.8" x14ac:dyDescent="0.3">
      <c r="A1995" s="4" t="s">
        <v>4718</v>
      </c>
      <c r="B1995">
        <v>3</v>
      </c>
    </row>
    <row r="1996" spans="1:2" ht="28.8" x14ac:dyDescent="0.3">
      <c r="A1996" s="4" t="s">
        <v>4719</v>
      </c>
      <c r="B1996">
        <v>3</v>
      </c>
    </row>
    <row r="1997" spans="1:2" ht="28.8" x14ac:dyDescent="0.3">
      <c r="A1997" s="4" t="s">
        <v>4720</v>
      </c>
      <c r="B1997">
        <v>3</v>
      </c>
    </row>
    <row r="1998" spans="1:2" ht="28.8" x14ac:dyDescent="0.3">
      <c r="A1998" s="4" t="s">
        <v>4721</v>
      </c>
      <c r="B1998">
        <v>3</v>
      </c>
    </row>
    <row r="1999" spans="1:2" ht="28.8" x14ac:dyDescent="0.3">
      <c r="A1999" s="4" t="s">
        <v>4722</v>
      </c>
      <c r="B1999">
        <v>3</v>
      </c>
    </row>
    <row r="2000" spans="1:2" ht="43.2" x14ac:dyDescent="0.3">
      <c r="A2000" s="4" t="s">
        <v>4723</v>
      </c>
      <c r="B2000">
        <v>3</v>
      </c>
    </row>
    <row r="2001" spans="1:2" x14ac:dyDescent="0.3">
      <c r="A2001" s="4" t="s">
        <v>4724</v>
      </c>
      <c r="B2001">
        <v>3</v>
      </c>
    </row>
    <row r="2002" spans="1:2" ht="28.8" x14ac:dyDescent="0.3">
      <c r="A2002" s="4" t="s">
        <v>4725</v>
      </c>
      <c r="B2002">
        <v>3</v>
      </c>
    </row>
    <row r="2003" spans="1:2" ht="28.8" x14ac:dyDescent="0.3">
      <c r="A2003" s="4" t="s">
        <v>4726</v>
      </c>
      <c r="B2003">
        <v>3</v>
      </c>
    </row>
    <row r="2004" spans="1:2" ht="28.8" x14ac:dyDescent="0.3">
      <c r="A2004" s="4" t="s">
        <v>4727</v>
      </c>
      <c r="B2004">
        <v>3</v>
      </c>
    </row>
    <row r="2005" spans="1:2" ht="28.8" x14ac:dyDescent="0.3">
      <c r="A2005" s="4" t="s">
        <v>4728</v>
      </c>
      <c r="B2005">
        <v>3</v>
      </c>
    </row>
    <row r="2006" spans="1:2" ht="43.2" x14ac:dyDescent="0.3">
      <c r="A2006" s="4" t="s">
        <v>4729</v>
      </c>
      <c r="B2006">
        <v>3</v>
      </c>
    </row>
    <row r="2007" spans="1:2" ht="28.8" x14ac:dyDescent="0.3">
      <c r="A2007" s="4" t="s">
        <v>4730</v>
      </c>
      <c r="B2007">
        <v>3</v>
      </c>
    </row>
    <row r="2008" spans="1:2" ht="28.8" x14ac:dyDescent="0.3">
      <c r="A2008" s="4" t="s">
        <v>4731</v>
      </c>
      <c r="B2008">
        <v>3</v>
      </c>
    </row>
    <row r="2009" spans="1:2" ht="43.2" x14ac:dyDescent="0.3">
      <c r="A2009" s="4" t="s">
        <v>4732</v>
      </c>
      <c r="B2009">
        <v>3</v>
      </c>
    </row>
    <row r="2010" spans="1:2" ht="28.8" x14ac:dyDescent="0.3">
      <c r="A2010" s="4" t="s">
        <v>4733</v>
      </c>
      <c r="B2010">
        <v>3</v>
      </c>
    </row>
    <row r="2011" spans="1:2" ht="28.8" x14ac:dyDescent="0.3">
      <c r="A2011" s="4" t="s">
        <v>4734</v>
      </c>
      <c r="B2011">
        <v>3</v>
      </c>
    </row>
    <row r="2012" spans="1:2" ht="43.2" x14ac:dyDescent="0.3">
      <c r="A2012" s="4" t="s">
        <v>4735</v>
      </c>
      <c r="B2012">
        <v>3</v>
      </c>
    </row>
    <row r="2013" spans="1:2" ht="28.8" x14ac:dyDescent="0.3">
      <c r="A2013" s="4" t="s">
        <v>4736</v>
      </c>
      <c r="B2013">
        <v>3</v>
      </c>
    </row>
    <row r="2014" spans="1:2" ht="28.8" x14ac:dyDescent="0.3">
      <c r="A2014" s="4" t="s">
        <v>4737</v>
      </c>
      <c r="B2014">
        <v>3</v>
      </c>
    </row>
    <row r="2015" spans="1:2" ht="28.8" x14ac:dyDescent="0.3">
      <c r="A2015" s="4" t="s">
        <v>4738</v>
      </c>
      <c r="B2015">
        <v>3</v>
      </c>
    </row>
    <row r="2016" spans="1:2" ht="43.2" x14ac:dyDescent="0.3">
      <c r="A2016" s="4" t="s">
        <v>4739</v>
      </c>
      <c r="B2016">
        <v>3</v>
      </c>
    </row>
    <row r="2017" spans="1:2" ht="28.8" x14ac:dyDescent="0.3">
      <c r="A2017" s="4" t="s">
        <v>4740</v>
      </c>
      <c r="B2017">
        <v>3</v>
      </c>
    </row>
    <row r="2018" spans="1:2" ht="28.8" x14ac:dyDescent="0.3">
      <c r="A2018" s="4" t="s">
        <v>4741</v>
      </c>
      <c r="B2018">
        <v>3</v>
      </c>
    </row>
    <row r="2019" spans="1:2" ht="28.8" x14ac:dyDescent="0.3">
      <c r="A2019" s="4" t="s">
        <v>4742</v>
      </c>
      <c r="B2019">
        <v>3</v>
      </c>
    </row>
    <row r="2020" spans="1:2" ht="28.8" x14ac:dyDescent="0.3">
      <c r="A2020" s="4" t="s">
        <v>4743</v>
      </c>
      <c r="B2020">
        <v>3</v>
      </c>
    </row>
    <row r="2021" spans="1:2" ht="28.8" x14ac:dyDescent="0.3">
      <c r="A2021" s="4" t="s">
        <v>4744</v>
      </c>
      <c r="B2021">
        <v>3</v>
      </c>
    </row>
    <row r="2022" spans="1:2" ht="28.8" x14ac:dyDescent="0.3">
      <c r="A2022" s="4" t="s">
        <v>4745</v>
      </c>
      <c r="B2022">
        <v>3</v>
      </c>
    </row>
    <row r="2023" spans="1:2" x14ac:dyDescent="0.3">
      <c r="A2023" s="4" t="s">
        <v>4746</v>
      </c>
      <c r="B2023">
        <v>3</v>
      </c>
    </row>
    <row r="2024" spans="1:2" ht="28.8" x14ac:dyDescent="0.3">
      <c r="A2024" s="4" t="s">
        <v>4747</v>
      </c>
      <c r="B2024">
        <v>3</v>
      </c>
    </row>
    <row r="2025" spans="1:2" ht="28.8" x14ac:dyDescent="0.3">
      <c r="A2025" s="4" t="s">
        <v>4748</v>
      </c>
      <c r="B2025">
        <v>3</v>
      </c>
    </row>
    <row r="2026" spans="1:2" ht="43.2" x14ac:dyDescent="0.3">
      <c r="A2026" s="4" t="s">
        <v>4749</v>
      </c>
      <c r="B2026">
        <v>3</v>
      </c>
    </row>
    <row r="2027" spans="1:2" ht="28.8" x14ac:dyDescent="0.3">
      <c r="A2027" s="4" t="s">
        <v>4750</v>
      </c>
      <c r="B2027">
        <v>3</v>
      </c>
    </row>
    <row r="2028" spans="1:2" ht="28.8" x14ac:dyDescent="0.3">
      <c r="A2028" s="4" t="s">
        <v>4751</v>
      </c>
      <c r="B2028">
        <v>3</v>
      </c>
    </row>
    <row r="2029" spans="1:2" ht="28.8" x14ac:dyDescent="0.3">
      <c r="A2029" s="4" t="s">
        <v>4752</v>
      </c>
      <c r="B2029">
        <v>3</v>
      </c>
    </row>
    <row r="2030" spans="1:2" ht="28.8" x14ac:dyDescent="0.3">
      <c r="A2030" s="4" t="s">
        <v>4753</v>
      </c>
      <c r="B2030">
        <v>3</v>
      </c>
    </row>
    <row r="2031" spans="1:2" ht="28.8" x14ac:dyDescent="0.3">
      <c r="A2031" s="4" t="s">
        <v>4754</v>
      </c>
      <c r="B2031">
        <v>3</v>
      </c>
    </row>
    <row r="2032" spans="1:2" ht="28.8" x14ac:dyDescent="0.3">
      <c r="A2032" s="4" t="s">
        <v>4755</v>
      </c>
      <c r="B2032">
        <v>3</v>
      </c>
    </row>
    <row r="2033" spans="1:2" ht="28.8" x14ac:dyDescent="0.3">
      <c r="A2033" s="4" t="s">
        <v>4756</v>
      </c>
      <c r="B2033">
        <v>3</v>
      </c>
    </row>
    <row r="2034" spans="1:2" x14ac:dyDescent="0.3">
      <c r="A2034" s="4" t="s">
        <v>4757</v>
      </c>
      <c r="B2034">
        <v>3</v>
      </c>
    </row>
    <row r="2035" spans="1:2" ht="28.8" x14ac:dyDescent="0.3">
      <c r="A2035" s="4" t="s">
        <v>4758</v>
      </c>
      <c r="B2035">
        <v>3</v>
      </c>
    </row>
    <row r="2036" spans="1:2" ht="28.8" x14ac:dyDescent="0.3">
      <c r="A2036" s="4" t="s">
        <v>4759</v>
      </c>
      <c r="B2036">
        <v>3</v>
      </c>
    </row>
    <row r="2037" spans="1:2" ht="43.2" x14ac:dyDescent="0.3">
      <c r="A2037" s="4" t="s">
        <v>4760</v>
      </c>
      <c r="B2037">
        <v>3</v>
      </c>
    </row>
    <row r="2038" spans="1:2" ht="28.8" x14ac:dyDescent="0.3">
      <c r="A2038" s="4" t="s">
        <v>4761</v>
      </c>
      <c r="B2038">
        <v>3</v>
      </c>
    </row>
    <row r="2039" spans="1:2" ht="28.8" x14ac:dyDescent="0.3">
      <c r="A2039" s="4" t="s">
        <v>4762</v>
      </c>
      <c r="B2039">
        <v>3</v>
      </c>
    </row>
    <row r="2040" spans="1:2" ht="28.8" x14ac:dyDescent="0.3">
      <c r="A2040" s="4" t="s">
        <v>4763</v>
      </c>
      <c r="B2040">
        <v>3</v>
      </c>
    </row>
    <row r="2041" spans="1:2" x14ac:dyDescent="0.3">
      <c r="A2041" s="4" t="s">
        <v>4764</v>
      </c>
      <c r="B2041">
        <v>3</v>
      </c>
    </row>
    <row r="2042" spans="1:2" ht="28.8" x14ac:dyDescent="0.3">
      <c r="A2042" s="4" t="s">
        <v>4765</v>
      </c>
      <c r="B2042">
        <v>3</v>
      </c>
    </row>
    <row r="2043" spans="1:2" ht="28.8" x14ac:dyDescent="0.3">
      <c r="A2043" s="4" t="s">
        <v>4766</v>
      </c>
      <c r="B2043">
        <v>3</v>
      </c>
    </row>
    <row r="2044" spans="1:2" ht="28.8" x14ac:dyDescent="0.3">
      <c r="A2044" s="4" t="s">
        <v>4767</v>
      </c>
      <c r="B2044">
        <v>3</v>
      </c>
    </row>
    <row r="2045" spans="1:2" ht="28.8" x14ac:dyDescent="0.3">
      <c r="A2045" s="4" t="s">
        <v>4768</v>
      </c>
      <c r="B2045">
        <v>3</v>
      </c>
    </row>
    <row r="2046" spans="1:2" ht="28.8" x14ac:dyDescent="0.3">
      <c r="A2046" s="4" t="s">
        <v>4769</v>
      </c>
      <c r="B2046">
        <v>3</v>
      </c>
    </row>
    <row r="2047" spans="1:2" ht="28.8" x14ac:dyDescent="0.3">
      <c r="A2047" s="4" t="s">
        <v>4770</v>
      </c>
      <c r="B2047">
        <v>3</v>
      </c>
    </row>
    <row r="2048" spans="1:2" ht="28.8" x14ac:dyDescent="0.3">
      <c r="A2048" s="4" t="s">
        <v>4771</v>
      </c>
      <c r="B2048">
        <v>3</v>
      </c>
    </row>
    <row r="2049" spans="1:2" x14ac:dyDescent="0.3">
      <c r="A2049" s="4" t="s">
        <v>4772</v>
      </c>
      <c r="B2049">
        <v>3</v>
      </c>
    </row>
    <row r="2050" spans="1:2" x14ac:dyDescent="0.3">
      <c r="A2050" s="4" t="s">
        <v>4773</v>
      </c>
      <c r="B2050">
        <v>3</v>
      </c>
    </row>
    <row r="2051" spans="1:2" ht="28.8" x14ac:dyDescent="0.3">
      <c r="A2051" s="4" t="s">
        <v>4774</v>
      </c>
      <c r="B2051">
        <v>3</v>
      </c>
    </row>
    <row r="2052" spans="1:2" x14ac:dyDescent="0.3">
      <c r="A2052" s="4" t="s">
        <v>4775</v>
      </c>
      <c r="B2052">
        <v>3</v>
      </c>
    </row>
    <row r="2053" spans="1:2" ht="28.8" x14ac:dyDescent="0.3">
      <c r="A2053" s="4" t="s">
        <v>4776</v>
      </c>
      <c r="B2053">
        <v>3</v>
      </c>
    </row>
    <row r="2054" spans="1:2" ht="43.2" x14ac:dyDescent="0.3">
      <c r="A2054" s="4" t="s">
        <v>4777</v>
      </c>
      <c r="B2054">
        <v>3</v>
      </c>
    </row>
    <row r="2055" spans="1:2" ht="28.8" x14ac:dyDescent="0.3">
      <c r="A2055" s="4" t="s">
        <v>4778</v>
      </c>
      <c r="B2055">
        <v>3</v>
      </c>
    </row>
    <row r="2056" spans="1:2" ht="28.8" x14ac:dyDescent="0.3">
      <c r="A2056" s="4" t="s">
        <v>4779</v>
      </c>
      <c r="B2056">
        <v>3</v>
      </c>
    </row>
    <row r="2057" spans="1:2" ht="28.8" x14ac:dyDescent="0.3">
      <c r="A2057" s="4" t="s">
        <v>4780</v>
      </c>
      <c r="B2057">
        <v>3</v>
      </c>
    </row>
    <row r="2058" spans="1:2" ht="28.8" x14ac:dyDescent="0.3">
      <c r="A2058" s="4" t="s">
        <v>4781</v>
      </c>
      <c r="B2058">
        <v>3</v>
      </c>
    </row>
    <row r="2059" spans="1:2" ht="28.8" x14ac:dyDescent="0.3">
      <c r="A2059" s="4" t="s">
        <v>4782</v>
      </c>
      <c r="B2059">
        <v>3</v>
      </c>
    </row>
    <row r="2060" spans="1:2" ht="43.2" x14ac:dyDescent="0.3">
      <c r="A2060" s="4" t="s">
        <v>4783</v>
      </c>
      <c r="B2060">
        <v>3</v>
      </c>
    </row>
    <row r="2061" spans="1:2" ht="28.8" x14ac:dyDescent="0.3">
      <c r="A2061" s="4" t="s">
        <v>4784</v>
      </c>
      <c r="B2061">
        <v>3</v>
      </c>
    </row>
    <row r="2062" spans="1:2" ht="28.8" x14ac:dyDescent="0.3">
      <c r="A2062" s="4" t="s">
        <v>4785</v>
      </c>
      <c r="B2062">
        <v>3</v>
      </c>
    </row>
    <row r="2063" spans="1:2" x14ac:dyDescent="0.3">
      <c r="A2063" s="4" t="s">
        <v>4786</v>
      </c>
      <c r="B2063">
        <v>3</v>
      </c>
    </row>
    <row r="2064" spans="1:2" ht="43.2" x14ac:dyDescent="0.3">
      <c r="A2064" s="4" t="s">
        <v>4787</v>
      </c>
      <c r="B2064">
        <v>3</v>
      </c>
    </row>
    <row r="2065" spans="1:2" ht="28.8" x14ac:dyDescent="0.3">
      <c r="A2065" s="4" t="s">
        <v>4788</v>
      </c>
      <c r="B2065">
        <v>3</v>
      </c>
    </row>
    <row r="2066" spans="1:2" ht="28.8" x14ac:dyDescent="0.3">
      <c r="A2066" s="4" t="s">
        <v>4789</v>
      </c>
      <c r="B2066">
        <v>3</v>
      </c>
    </row>
    <row r="2067" spans="1:2" ht="43.2" x14ac:dyDescent="0.3">
      <c r="A2067" s="4" t="s">
        <v>4790</v>
      </c>
      <c r="B2067">
        <v>3</v>
      </c>
    </row>
    <row r="2068" spans="1:2" ht="43.2" x14ac:dyDescent="0.3">
      <c r="A2068" s="4" t="s">
        <v>4791</v>
      </c>
      <c r="B2068">
        <v>3</v>
      </c>
    </row>
    <row r="2069" spans="1:2" ht="28.8" x14ac:dyDescent="0.3">
      <c r="A2069" s="4" t="s">
        <v>4792</v>
      </c>
      <c r="B2069">
        <v>3</v>
      </c>
    </row>
    <row r="2070" spans="1:2" ht="43.2" x14ac:dyDescent="0.3">
      <c r="A2070" s="4" t="s">
        <v>4793</v>
      </c>
      <c r="B2070">
        <v>3</v>
      </c>
    </row>
    <row r="2071" spans="1:2" ht="28.8" x14ac:dyDescent="0.3">
      <c r="A2071" s="4" t="s">
        <v>4794</v>
      </c>
      <c r="B2071">
        <v>3</v>
      </c>
    </row>
    <row r="2072" spans="1:2" ht="28.8" x14ac:dyDescent="0.3">
      <c r="A2072" s="4" t="s">
        <v>4795</v>
      </c>
      <c r="B2072">
        <v>3</v>
      </c>
    </row>
    <row r="2073" spans="1:2" ht="28.8" x14ac:dyDescent="0.3">
      <c r="A2073" s="4" t="s">
        <v>4796</v>
      </c>
      <c r="B2073">
        <v>3</v>
      </c>
    </row>
    <row r="2074" spans="1:2" ht="43.2" x14ac:dyDescent="0.3">
      <c r="A2074" s="4" t="s">
        <v>4797</v>
      </c>
      <c r="B2074">
        <v>3</v>
      </c>
    </row>
    <row r="2075" spans="1:2" ht="28.8" x14ac:dyDescent="0.3">
      <c r="A2075" s="4" t="s">
        <v>4798</v>
      </c>
      <c r="B2075">
        <v>3</v>
      </c>
    </row>
    <row r="2076" spans="1:2" ht="43.2" x14ac:dyDescent="0.3">
      <c r="A2076" s="4" t="s">
        <v>4799</v>
      </c>
      <c r="B2076">
        <v>3</v>
      </c>
    </row>
    <row r="2077" spans="1:2" ht="28.8" x14ac:dyDescent="0.3">
      <c r="A2077" s="4" t="s">
        <v>4800</v>
      </c>
      <c r="B2077">
        <v>3</v>
      </c>
    </row>
    <row r="2078" spans="1:2" ht="43.2" x14ac:dyDescent="0.3">
      <c r="A2078" s="4" t="s">
        <v>4801</v>
      </c>
      <c r="B2078">
        <v>3</v>
      </c>
    </row>
    <row r="2079" spans="1:2" ht="28.8" x14ac:dyDescent="0.3">
      <c r="A2079" s="4" t="s">
        <v>4802</v>
      </c>
      <c r="B2079">
        <v>3</v>
      </c>
    </row>
    <row r="2080" spans="1:2" ht="28.8" x14ac:dyDescent="0.3">
      <c r="A2080" s="4" t="s">
        <v>4803</v>
      </c>
      <c r="B2080">
        <v>3</v>
      </c>
    </row>
    <row r="2081" spans="1:2" ht="28.8" x14ac:dyDescent="0.3">
      <c r="A2081" s="4" t="s">
        <v>4804</v>
      </c>
      <c r="B2081">
        <v>3</v>
      </c>
    </row>
    <row r="2082" spans="1:2" ht="43.2" x14ac:dyDescent="0.3">
      <c r="A2082" s="4" t="s">
        <v>4805</v>
      </c>
      <c r="B2082">
        <v>3</v>
      </c>
    </row>
    <row r="2083" spans="1:2" ht="28.8" x14ac:dyDescent="0.3">
      <c r="A2083" s="4" t="s">
        <v>4806</v>
      </c>
      <c r="B2083">
        <v>3</v>
      </c>
    </row>
    <row r="2084" spans="1:2" ht="28.8" x14ac:dyDescent="0.3">
      <c r="A2084" s="4" t="s">
        <v>4807</v>
      </c>
      <c r="B2084">
        <v>3</v>
      </c>
    </row>
    <row r="2085" spans="1:2" ht="28.8" x14ac:dyDescent="0.3">
      <c r="A2085" s="4" t="s">
        <v>4808</v>
      </c>
      <c r="B2085">
        <v>3</v>
      </c>
    </row>
    <row r="2086" spans="1:2" ht="28.8" x14ac:dyDescent="0.3">
      <c r="A2086" s="4" t="s">
        <v>4809</v>
      </c>
      <c r="B2086">
        <v>3</v>
      </c>
    </row>
    <row r="2087" spans="1:2" x14ac:dyDescent="0.3">
      <c r="A2087" s="4" t="s">
        <v>4810</v>
      </c>
      <c r="B2087">
        <v>3</v>
      </c>
    </row>
    <row r="2088" spans="1:2" ht="28.8" x14ac:dyDescent="0.3">
      <c r="A2088" s="4" t="s">
        <v>4811</v>
      </c>
      <c r="B2088">
        <v>3</v>
      </c>
    </row>
    <row r="2089" spans="1:2" ht="28.8" x14ac:dyDescent="0.3">
      <c r="A2089" s="4" t="s">
        <v>4812</v>
      </c>
      <c r="B2089">
        <v>3</v>
      </c>
    </row>
    <row r="2090" spans="1:2" ht="28.8" x14ac:dyDescent="0.3">
      <c r="A2090" s="4" t="s">
        <v>4813</v>
      </c>
      <c r="B2090">
        <v>3</v>
      </c>
    </row>
    <row r="2091" spans="1:2" ht="28.8" x14ac:dyDescent="0.3">
      <c r="A2091" s="4" t="s">
        <v>4814</v>
      </c>
      <c r="B2091">
        <v>3</v>
      </c>
    </row>
    <row r="2092" spans="1:2" ht="43.2" x14ac:dyDescent="0.3">
      <c r="A2092" s="4" t="s">
        <v>4815</v>
      </c>
      <c r="B2092">
        <v>3</v>
      </c>
    </row>
    <row r="2093" spans="1:2" ht="28.8" x14ac:dyDescent="0.3">
      <c r="A2093" s="4" t="s">
        <v>4816</v>
      </c>
      <c r="B2093">
        <v>3</v>
      </c>
    </row>
    <row r="2094" spans="1:2" ht="28.8" x14ac:dyDescent="0.3">
      <c r="A2094" s="4" t="s">
        <v>4817</v>
      </c>
      <c r="B2094">
        <v>3</v>
      </c>
    </row>
    <row r="2095" spans="1:2" ht="28.8" x14ac:dyDescent="0.3">
      <c r="A2095" s="4" t="s">
        <v>4818</v>
      </c>
      <c r="B2095">
        <v>3</v>
      </c>
    </row>
    <row r="2096" spans="1:2" ht="28.8" x14ac:dyDescent="0.3">
      <c r="A2096" s="4" t="s">
        <v>4819</v>
      </c>
      <c r="B2096">
        <v>3</v>
      </c>
    </row>
    <row r="2097" spans="1:2" ht="57.6" x14ac:dyDescent="0.3">
      <c r="A2097" s="4" t="s">
        <v>4820</v>
      </c>
      <c r="B2097">
        <v>3</v>
      </c>
    </row>
    <row r="2098" spans="1:2" ht="57.6" x14ac:dyDescent="0.3">
      <c r="A2098" s="4" t="s">
        <v>4821</v>
      </c>
      <c r="B2098">
        <v>3</v>
      </c>
    </row>
    <row r="2099" spans="1:2" ht="28.8" x14ac:dyDescent="0.3">
      <c r="A2099" s="4" t="s">
        <v>4822</v>
      </c>
      <c r="B2099">
        <v>3</v>
      </c>
    </row>
    <row r="2100" spans="1:2" ht="28.8" x14ac:dyDescent="0.3">
      <c r="A2100" s="4" t="s">
        <v>4823</v>
      </c>
      <c r="B2100">
        <v>3</v>
      </c>
    </row>
    <row r="2101" spans="1:2" ht="43.2" x14ac:dyDescent="0.3">
      <c r="A2101" s="4" t="s">
        <v>4824</v>
      </c>
      <c r="B2101">
        <v>3</v>
      </c>
    </row>
    <row r="2102" spans="1:2" x14ac:dyDescent="0.3">
      <c r="A2102" s="4" t="s">
        <v>4825</v>
      </c>
      <c r="B2102">
        <v>3</v>
      </c>
    </row>
    <row r="2103" spans="1:2" ht="28.8" x14ac:dyDescent="0.3">
      <c r="A2103" s="4" t="s">
        <v>4826</v>
      </c>
      <c r="B2103">
        <v>3</v>
      </c>
    </row>
    <row r="2104" spans="1:2" ht="28.8" x14ac:dyDescent="0.3">
      <c r="A2104" s="4" t="s">
        <v>4827</v>
      </c>
      <c r="B2104">
        <v>3</v>
      </c>
    </row>
    <row r="2105" spans="1:2" x14ac:dyDescent="0.3">
      <c r="A2105" s="4" t="s">
        <v>4828</v>
      </c>
      <c r="B2105">
        <v>3</v>
      </c>
    </row>
    <row r="2106" spans="1:2" ht="28.8" x14ac:dyDescent="0.3">
      <c r="A2106" s="4" t="s">
        <v>4829</v>
      </c>
      <c r="B2106">
        <v>3</v>
      </c>
    </row>
    <row r="2107" spans="1:2" ht="28.8" x14ac:dyDescent="0.3">
      <c r="A2107" s="4" t="s">
        <v>4830</v>
      </c>
      <c r="B2107">
        <v>3</v>
      </c>
    </row>
    <row r="2108" spans="1:2" ht="28.8" x14ac:dyDescent="0.3">
      <c r="A2108" s="4" t="s">
        <v>4831</v>
      </c>
      <c r="B2108">
        <v>3</v>
      </c>
    </row>
    <row r="2109" spans="1:2" ht="28.8" x14ac:dyDescent="0.3">
      <c r="A2109" s="4" t="s">
        <v>4832</v>
      </c>
      <c r="B2109">
        <v>3</v>
      </c>
    </row>
    <row r="2110" spans="1:2" ht="28.8" x14ac:dyDescent="0.3">
      <c r="A2110" s="4" t="s">
        <v>4833</v>
      </c>
      <c r="B2110">
        <v>3</v>
      </c>
    </row>
    <row r="2111" spans="1:2" x14ac:dyDescent="0.3">
      <c r="A2111" s="4" t="s">
        <v>4834</v>
      </c>
      <c r="B2111">
        <v>3</v>
      </c>
    </row>
    <row r="2112" spans="1:2" ht="43.2" x14ac:dyDescent="0.3">
      <c r="A2112" s="4" t="s">
        <v>4835</v>
      </c>
      <c r="B2112">
        <v>3</v>
      </c>
    </row>
    <row r="2113" spans="1:2" ht="43.2" x14ac:dyDescent="0.3">
      <c r="A2113" s="4" t="s">
        <v>4836</v>
      </c>
      <c r="B2113">
        <v>3</v>
      </c>
    </row>
    <row r="2114" spans="1:2" ht="43.2" x14ac:dyDescent="0.3">
      <c r="A2114" s="4" t="s">
        <v>4837</v>
      </c>
      <c r="B2114">
        <v>3</v>
      </c>
    </row>
    <row r="2115" spans="1:2" ht="28.8" x14ac:dyDescent="0.3">
      <c r="A2115" s="4" t="s">
        <v>4838</v>
      </c>
      <c r="B2115">
        <v>3</v>
      </c>
    </row>
    <row r="2116" spans="1:2" ht="28.8" x14ac:dyDescent="0.3">
      <c r="A2116" s="4" t="s">
        <v>4839</v>
      </c>
      <c r="B2116">
        <v>3</v>
      </c>
    </row>
    <row r="2117" spans="1:2" ht="43.2" x14ac:dyDescent="0.3">
      <c r="A2117" s="4" t="s">
        <v>4840</v>
      </c>
      <c r="B2117">
        <v>3</v>
      </c>
    </row>
    <row r="2118" spans="1:2" ht="28.8" x14ac:dyDescent="0.3">
      <c r="A2118" s="4" t="s">
        <v>4841</v>
      </c>
      <c r="B2118">
        <v>3</v>
      </c>
    </row>
    <row r="2119" spans="1:2" x14ac:dyDescent="0.3">
      <c r="A2119" s="4" t="s">
        <v>4842</v>
      </c>
      <c r="B2119">
        <v>3</v>
      </c>
    </row>
    <row r="2120" spans="1:2" ht="43.2" x14ac:dyDescent="0.3">
      <c r="A2120" s="4" t="s">
        <v>4843</v>
      </c>
      <c r="B2120">
        <v>3</v>
      </c>
    </row>
    <row r="2121" spans="1:2" ht="43.2" x14ac:dyDescent="0.3">
      <c r="A2121" s="4" t="s">
        <v>4844</v>
      </c>
      <c r="B2121">
        <v>3</v>
      </c>
    </row>
    <row r="2122" spans="1:2" ht="28.8" x14ac:dyDescent="0.3">
      <c r="A2122" s="4" t="s">
        <v>4845</v>
      </c>
      <c r="B2122">
        <v>3</v>
      </c>
    </row>
    <row r="2123" spans="1:2" ht="28.8" x14ac:dyDescent="0.3">
      <c r="A2123" s="4" t="s">
        <v>4846</v>
      </c>
      <c r="B2123">
        <v>3</v>
      </c>
    </row>
    <row r="2124" spans="1:2" ht="28.8" x14ac:dyDescent="0.3">
      <c r="A2124" s="4" t="s">
        <v>4847</v>
      </c>
      <c r="B2124">
        <v>3</v>
      </c>
    </row>
    <row r="2125" spans="1:2" ht="28.8" x14ac:dyDescent="0.3">
      <c r="A2125" s="4" t="s">
        <v>4848</v>
      </c>
      <c r="B2125">
        <v>3</v>
      </c>
    </row>
    <row r="2126" spans="1:2" ht="28.8" x14ac:dyDescent="0.3">
      <c r="A2126" s="4" t="s">
        <v>4849</v>
      </c>
      <c r="B2126">
        <v>3</v>
      </c>
    </row>
    <row r="2127" spans="1:2" ht="43.2" x14ac:dyDescent="0.3">
      <c r="A2127" s="4" t="s">
        <v>4850</v>
      </c>
      <c r="B2127">
        <v>3</v>
      </c>
    </row>
    <row r="2128" spans="1:2" ht="28.8" x14ac:dyDescent="0.3">
      <c r="A2128" s="4" t="s">
        <v>4851</v>
      </c>
      <c r="B2128">
        <v>3</v>
      </c>
    </row>
    <row r="2129" spans="1:2" ht="43.2" x14ac:dyDescent="0.3">
      <c r="A2129" s="4" t="s">
        <v>4852</v>
      </c>
      <c r="B2129">
        <v>3</v>
      </c>
    </row>
    <row r="2130" spans="1:2" ht="28.8" x14ac:dyDescent="0.3">
      <c r="A2130" s="4" t="s">
        <v>4853</v>
      </c>
      <c r="B2130">
        <v>3</v>
      </c>
    </row>
    <row r="2131" spans="1:2" ht="28.8" x14ac:dyDescent="0.3">
      <c r="A2131" s="4" t="s">
        <v>4854</v>
      </c>
      <c r="B2131">
        <v>3</v>
      </c>
    </row>
    <row r="2132" spans="1:2" ht="43.2" x14ac:dyDescent="0.3">
      <c r="A2132" s="4" t="s">
        <v>4855</v>
      </c>
      <c r="B2132">
        <v>3</v>
      </c>
    </row>
    <row r="2133" spans="1:2" x14ac:dyDescent="0.3">
      <c r="A2133" s="4" t="s">
        <v>4856</v>
      </c>
      <c r="B2133">
        <v>3</v>
      </c>
    </row>
    <row r="2134" spans="1:2" x14ac:dyDescent="0.3">
      <c r="A2134" s="4" t="s">
        <v>4857</v>
      </c>
      <c r="B2134">
        <v>3</v>
      </c>
    </row>
    <row r="2135" spans="1:2" ht="28.8" x14ac:dyDescent="0.3">
      <c r="A2135" s="4" t="s">
        <v>4858</v>
      </c>
      <c r="B2135">
        <v>3</v>
      </c>
    </row>
    <row r="2136" spans="1:2" ht="43.2" x14ac:dyDescent="0.3">
      <c r="A2136" s="4" t="s">
        <v>4859</v>
      </c>
      <c r="B2136">
        <v>3</v>
      </c>
    </row>
    <row r="2137" spans="1:2" ht="28.8" x14ac:dyDescent="0.3">
      <c r="A2137" s="4" t="s">
        <v>4860</v>
      </c>
      <c r="B2137">
        <v>3</v>
      </c>
    </row>
    <row r="2138" spans="1:2" ht="28.8" x14ac:dyDescent="0.3">
      <c r="A2138" s="4" t="s">
        <v>4861</v>
      </c>
      <c r="B2138">
        <v>3</v>
      </c>
    </row>
    <row r="2139" spans="1:2" ht="86.4" x14ac:dyDescent="0.3">
      <c r="A2139" s="4" t="s">
        <v>4862</v>
      </c>
      <c r="B2139">
        <v>3</v>
      </c>
    </row>
    <row r="2140" spans="1:2" ht="28.8" x14ac:dyDescent="0.3">
      <c r="A2140" s="4" t="s">
        <v>4863</v>
      </c>
      <c r="B2140">
        <v>3</v>
      </c>
    </row>
    <row r="2141" spans="1:2" ht="43.2" x14ac:dyDescent="0.3">
      <c r="A2141" s="4" t="s">
        <v>4864</v>
      </c>
      <c r="B2141">
        <v>3</v>
      </c>
    </row>
    <row r="2142" spans="1:2" ht="57.6" x14ac:dyDescent="0.3">
      <c r="A2142" s="4" t="s">
        <v>4865</v>
      </c>
      <c r="B2142">
        <v>3</v>
      </c>
    </row>
    <row r="2143" spans="1:2" ht="43.2" x14ac:dyDescent="0.3">
      <c r="A2143" s="4" t="s">
        <v>4866</v>
      </c>
      <c r="B2143">
        <v>3</v>
      </c>
    </row>
    <row r="2144" spans="1:2" ht="28.8" x14ac:dyDescent="0.3">
      <c r="A2144" s="4" t="s">
        <v>4867</v>
      </c>
      <c r="B2144">
        <v>3</v>
      </c>
    </row>
    <row r="2145" spans="1:2" ht="28.8" x14ac:dyDescent="0.3">
      <c r="A2145" s="4" t="s">
        <v>4868</v>
      </c>
      <c r="B2145">
        <v>3</v>
      </c>
    </row>
    <row r="2146" spans="1:2" ht="28.8" x14ac:dyDescent="0.3">
      <c r="A2146" s="4" t="s">
        <v>4869</v>
      </c>
      <c r="B2146">
        <v>3</v>
      </c>
    </row>
    <row r="2147" spans="1:2" ht="28.8" x14ac:dyDescent="0.3">
      <c r="A2147" s="4" t="s">
        <v>4870</v>
      </c>
      <c r="B2147">
        <v>3</v>
      </c>
    </row>
    <row r="2148" spans="1:2" ht="28.8" x14ac:dyDescent="0.3">
      <c r="A2148" s="4" t="s">
        <v>4871</v>
      </c>
      <c r="B2148">
        <v>3</v>
      </c>
    </row>
    <row r="2149" spans="1:2" ht="28.8" x14ac:dyDescent="0.3">
      <c r="A2149" s="4" t="s">
        <v>4872</v>
      </c>
      <c r="B2149">
        <v>3</v>
      </c>
    </row>
    <row r="2150" spans="1:2" ht="28.8" x14ac:dyDescent="0.3">
      <c r="A2150" s="4" t="s">
        <v>4873</v>
      </c>
      <c r="B2150">
        <v>3</v>
      </c>
    </row>
    <row r="2151" spans="1:2" ht="28.8" x14ac:dyDescent="0.3">
      <c r="A2151" s="4" t="s">
        <v>4874</v>
      </c>
      <c r="B2151">
        <v>3</v>
      </c>
    </row>
    <row r="2152" spans="1:2" ht="28.8" x14ac:dyDescent="0.3">
      <c r="A2152" s="4" t="s">
        <v>4875</v>
      </c>
      <c r="B2152">
        <v>3</v>
      </c>
    </row>
    <row r="2153" spans="1:2" x14ac:dyDescent="0.3">
      <c r="A2153" s="4" t="s">
        <v>4876</v>
      </c>
      <c r="B2153">
        <v>3</v>
      </c>
    </row>
    <row r="2154" spans="1:2" ht="28.8" x14ac:dyDescent="0.3">
      <c r="A2154" s="4" t="s">
        <v>4877</v>
      </c>
      <c r="B2154">
        <v>3</v>
      </c>
    </row>
    <row r="2155" spans="1:2" ht="43.2" x14ac:dyDescent="0.3">
      <c r="A2155" s="4" t="s">
        <v>4878</v>
      </c>
      <c r="B2155">
        <v>3</v>
      </c>
    </row>
    <row r="2156" spans="1:2" ht="28.8" x14ac:dyDescent="0.3">
      <c r="A2156" s="4" t="s">
        <v>4879</v>
      </c>
      <c r="B2156">
        <v>3</v>
      </c>
    </row>
    <row r="2157" spans="1:2" ht="28.8" x14ac:dyDescent="0.3">
      <c r="A2157" s="4" t="s">
        <v>4880</v>
      </c>
      <c r="B2157">
        <v>3</v>
      </c>
    </row>
    <row r="2158" spans="1:2" ht="28.8" x14ac:dyDescent="0.3">
      <c r="A2158" s="4" t="s">
        <v>4881</v>
      </c>
      <c r="B2158">
        <v>3</v>
      </c>
    </row>
    <row r="2159" spans="1:2" ht="43.2" x14ac:dyDescent="0.3">
      <c r="A2159" s="4" t="s">
        <v>4882</v>
      </c>
      <c r="B2159">
        <v>3</v>
      </c>
    </row>
    <row r="2160" spans="1:2" ht="43.2" x14ac:dyDescent="0.3">
      <c r="A2160" s="4" t="s">
        <v>4883</v>
      </c>
      <c r="B2160">
        <v>3</v>
      </c>
    </row>
    <row r="2161" spans="1:2" ht="28.8" x14ac:dyDescent="0.3">
      <c r="A2161" s="4" t="s">
        <v>4884</v>
      </c>
      <c r="B2161">
        <v>3</v>
      </c>
    </row>
    <row r="2162" spans="1:2" ht="28.8" x14ac:dyDescent="0.3">
      <c r="A2162" s="4" t="s">
        <v>4885</v>
      </c>
      <c r="B2162">
        <v>3</v>
      </c>
    </row>
    <row r="2163" spans="1:2" ht="28.8" x14ac:dyDescent="0.3">
      <c r="A2163" s="4" t="s">
        <v>4886</v>
      </c>
      <c r="B2163">
        <v>3</v>
      </c>
    </row>
    <row r="2164" spans="1:2" ht="28.8" x14ac:dyDescent="0.3">
      <c r="A2164" s="4" t="s">
        <v>4887</v>
      </c>
      <c r="B2164">
        <v>3</v>
      </c>
    </row>
    <row r="2165" spans="1:2" ht="28.8" x14ac:dyDescent="0.3">
      <c r="A2165" s="4" t="s">
        <v>4888</v>
      </c>
      <c r="B2165">
        <v>3</v>
      </c>
    </row>
    <row r="2166" spans="1:2" ht="28.8" x14ac:dyDescent="0.3">
      <c r="A2166" s="4" t="s">
        <v>4889</v>
      </c>
      <c r="B2166">
        <v>3</v>
      </c>
    </row>
    <row r="2167" spans="1:2" ht="43.2" x14ac:dyDescent="0.3">
      <c r="A2167" s="4" t="s">
        <v>4890</v>
      </c>
      <c r="B2167">
        <v>3</v>
      </c>
    </row>
    <row r="2168" spans="1:2" ht="43.2" x14ac:dyDescent="0.3">
      <c r="A2168" s="4" t="s">
        <v>4891</v>
      </c>
      <c r="B2168">
        <v>3</v>
      </c>
    </row>
    <row r="2169" spans="1:2" ht="43.2" x14ac:dyDescent="0.3">
      <c r="A2169" s="4" t="s">
        <v>4892</v>
      </c>
      <c r="B2169">
        <v>3</v>
      </c>
    </row>
    <row r="2170" spans="1:2" ht="28.8" x14ac:dyDescent="0.3">
      <c r="A2170" s="4" t="s">
        <v>4893</v>
      </c>
      <c r="B2170">
        <v>3</v>
      </c>
    </row>
    <row r="2171" spans="1:2" x14ac:dyDescent="0.3">
      <c r="A2171" s="4" t="s">
        <v>4894</v>
      </c>
      <c r="B2171">
        <v>3</v>
      </c>
    </row>
    <row r="2172" spans="1:2" ht="28.8" x14ac:dyDescent="0.3">
      <c r="A2172" s="4" t="s">
        <v>4895</v>
      </c>
      <c r="B2172">
        <v>3</v>
      </c>
    </row>
    <row r="2173" spans="1:2" ht="28.8" x14ac:dyDescent="0.3">
      <c r="A2173" s="4" t="s">
        <v>4896</v>
      </c>
      <c r="B2173">
        <v>3</v>
      </c>
    </row>
    <row r="2174" spans="1:2" ht="28.8" x14ac:dyDescent="0.3">
      <c r="A2174" s="4" t="s">
        <v>4897</v>
      </c>
      <c r="B2174">
        <v>3</v>
      </c>
    </row>
    <row r="2175" spans="1:2" ht="28.8" x14ac:dyDescent="0.3">
      <c r="A2175" s="4" t="s">
        <v>4898</v>
      </c>
      <c r="B2175">
        <v>3</v>
      </c>
    </row>
    <row r="2176" spans="1:2" ht="28.8" x14ac:dyDescent="0.3">
      <c r="A2176" s="4" t="s">
        <v>4899</v>
      </c>
      <c r="B2176">
        <v>3</v>
      </c>
    </row>
    <row r="2177" spans="1:2" ht="28.8" x14ac:dyDescent="0.3">
      <c r="A2177" s="4" t="s">
        <v>4900</v>
      </c>
      <c r="B2177">
        <v>3</v>
      </c>
    </row>
    <row r="2178" spans="1:2" ht="28.8" x14ac:dyDescent="0.3">
      <c r="A2178" s="4" t="s">
        <v>4901</v>
      </c>
      <c r="B2178">
        <v>3</v>
      </c>
    </row>
    <row r="2179" spans="1:2" ht="28.8" x14ac:dyDescent="0.3">
      <c r="A2179" s="4" t="s">
        <v>4902</v>
      </c>
      <c r="B2179">
        <v>3</v>
      </c>
    </row>
    <row r="2180" spans="1:2" ht="28.8" x14ac:dyDescent="0.3">
      <c r="A2180" s="4" t="s">
        <v>4903</v>
      </c>
      <c r="B2180">
        <v>3</v>
      </c>
    </row>
    <row r="2181" spans="1:2" ht="28.8" x14ac:dyDescent="0.3">
      <c r="A2181" s="4" t="s">
        <v>4904</v>
      </c>
      <c r="B2181">
        <v>3</v>
      </c>
    </row>
    <row r="2182" spans="1:2" ht="43.2" x14ac:dyDescent="0.3">
      <c r="A2182" s="4" t="s">
        <v>4905</v>
      </c>
      <c r="B2182">
        <v>3</v>
      </c>
    </row>
    <row r="2183" spans="1:2" ht="28.8" x14ac:dyDescent="0.3">
      <c r="A2183" s="4" t="s">
        <v>4906</v>
      </c>
      <c r="B2183">
        <v>3</v>
      </c>
    </row>
    <row r="2184" spans="1:2" ht="28.8" x14ac:dyDescent="0.3">
      <c r="A2184" s="4" t="s">
        <v>4907</v>
      </c>
      <c r="B2184">
        <v>3</v>
      </c>
    </row>
    <row r="2185" spans="1:2" ht="28.8" x14ac:dyDescent="0.3">
      <c r="A2185" s="4" t="s">
        <v>4908</v>
      </c>
      <c r="B2185">
        <v>3</v>
      </c>
    </row>
    <row r="2186" spans="1:2" ht="28.8" x14ac:dyDescent="0.3">
      <c r="A2186" s="4" t="s">
        <v>4909</v>
      </c>
      <c r="B2186">
        <v>3</v>
      </c>
    </row>
    <row r="2187" spans="1:2" x14ac:dyDescent="0.3">
      <c r="A2187" s="4" t="s">
        <v>4910</v>
      </c>
      <c r="B2187">
        <v>3</v>
      </c>
    </row>
    <row r="2188" spans="1:2" ht="28.8" x14ac:dyDescent="0.3">
      <c r="A2188" s="4" t="s">
        <v>4911</v>
      </c>
      <c r="B2188">
        <v>3</v>
      </c>
    </row>
    <row r="2189" spans="1:2" x14ac:dyDescent="0.3">
      <c r="A2189" s="4" t="s">
        <v>4912</v>
      </c>
      <c r="B2189">
        <v>3</v>
      </c>
    </row>
    <row r="2190" spans="1:2" ht="28.8" x14ac:dyDescent="0.3">
      <c r="A2190" s="4" t="s">
        <v>4913</v>
      </c>
      <c r="B2190">
        <v>3</v>
      </c>
    </row>
    <row r="2191" spans="1:2" x14ac:dyDescent="0.3">
      <c r="A2191" s="4" t="s">
        <v>4914</v>
      </c>
      <c r="B2191">
        <v>3</v>
      </c>
    </row>
    <row r="2192" spans="1:2" ht="28.8" x14ac:dyDescent="0.3">
      <c r="A2192" s="4" t="s">
        <v>4915</v>
      </c>
      <c r="B2192">
        <v>3</v>
      </c>
    </row>
    <row r="2193" spans="1:2" x14ac:dyDescent="0.3">
      <c r="A2193" s="4" t="s">
        <v>4916</v>
      </c>
      <c r="B2193">
        <v>3</v>
      </c>
    </row>
    <row r="2194" spans="1:2" ht="28.8" x14ac:dyDescent="0.3">
      <c r="A2194" s="4" t="s">
        <v>4917</v>
      </c>
      <c r="B2194">
        <v>3</v>
      </c>
    </row>
    <row r="2195" spans="1:2" ht="43.2" x14ac:dyDescent="0.3">
      <c r="A2195" s="4" t="s">
        <v>4918</v>
      </c>
      <c r="B2195">
        <v>3</v>
      </c>
    </row>
    <row r="2196" spans="1:2" ht="28.8" x14ac:dyDescent="0.3">
      <c r="A2196" s="4" t="s">
        <v>4919</v>
      </c>
      <c r="B2196">
        <v>3</v>
      </c>
    </row>
    <row r="2197" spans="1:2" ht="28.8" x14ac:dyDescent="0.3">
      <c r="A2197" s="4" t="s">
        <v>4920</v>
      </c>
      <c r="B2197">
        <v>3</v>
      </c>
    </row>
    <row r="2198" spans="1:2" ht="28.8" x14ac:dyDescent="0.3">
      <c r="A2198" s="4" t="s">
        <v>4921</v>
      </c>
      <c r="B2198">
        <v>3</v>
      </c>
    </row>
    <row r="2199" spans="1:2" ht="28.8" x14ac:dyDescent="0.3">
      <c r="A2199" s="4" t="s">
        <v>4922</v>
      </c>
      <c r="B2199">
        <v>3</v>
      </c>
    </row>
    <row r="2200" spans="1:2" ht="28.8" x14ac:dyDescent="0.3">
      <c r="A2200" s="4" t="s">
        <v>4923</v>
      </c>
      <c r="B2200">
        <v>3</v>
      </c>
    </row>
    <row r="2201" spans="1:2" ht="28.8" x14ac:dyDescent="0.3">
      <c r="A2201" s="4" t="s">
        <v>4924</v>
      </c>
      <c r="B2201">
        <v>3</v>
      </c>
    </row>
    <row r="2202" spans="1:2" ht="28.8" x14ac:dyDescent="0.3">
      <c r="A2202" s="4" t="s">
        <v>4925</v>
      </c>
      <c r="B2202">
        <v>3</v>
      </c>
    </row>
    <row r="2203" spans="1:2" ht="28.8" x14ac:dyDescent="0.3">
      <c r="A2203" s="4" t="s">
        <v>4926</v>
      </c>
      <c r="B2203">
        <v>3</v>
      </c>
    </row>
    <row r="2204" spans="1:2" x14ac:dyDescent="0.3">
      <c r="A2204" s="4" t="s">
        <v>4927</v>
      </c>
      <c r="B2204">
        <v>3</v>
      </c>
    </row>
    <row r="2205" spans="1:2" ht="43.2" x14ac:dyDescent="0.3">
      <c r="A2205" s="4" t="s">
        <v>4928</v>
      </c>
      <c r="B2205">
        <v>3</v>
      </c>
    </row>
    <row r="2206" spans="1:2" ht="28.8" x14ac:dyDescent="0.3">
      <c r="A2206" s="4" t="s">
        <v>4929</v>
      </c>
      <c r="B2206">
        <v>3</v>
      </c>
    </row>
    <row r="2207" spans="1:2" ht="28.8" x14ac:dyDescent="0.3">
      <c r="A2207" s="4" t="s">
        <v>4930</v>
      </c>
      <c r="B2207">
        <v>3</v>
      </c>
    </row>
    <row r="2208" spans="1:2" ht="43.2" x14ac:dyDescent="0.3">
      <c r="A2208" s="4" t="s">
        <v>4931</v>
      </c>
      <c r="B2208">
        <v>3</v>
      </c>
    </row>
    <row r="2209" spans="1:2" ht="43.2" x14ac:dyDescent="0.3">
      <c r="A2209" s="4" t="s">
        <v>4932</v>
      </c>
      <c r="B2209">
        <v>3</v>
      </c>
    </row>
    <row r="2210" spans="1:2" ht="28.8" x14ac:dyDescent="0.3">
      <c r="A2210" s="4" t="s">
        <v>4933</v>
      </c>
      <c r="B2210">
        <v>3</v>
      </c>
    </row>
    <row r="2211" spans="1:2" ht="28.8" x14ac:dyDescent="0.3">
      <c r="A2211" s="4" t="s">
        <v>4934</v>
      </c>
      <c r="B2211">
        <v>3</v>
      </c>
    </row>
    <row r="2212" spans="1:2" ht="43.2" x14ac:dyDescent="0.3">
      <c r="A2212" s="4" t="s">
        <v>4935</v>
      </c>
      <c r="B2212">
        <v>3</v>
      </c>
    </row>
    <row r="2213" spans="1:2" x14ac:dyDescent="0.3">
      <c r="A2213" s="4" t="s">
        <v>4936</v>
      </c>
      <c r="B2213">
        <v>3</v>
      </c>
    </row>
    <row r="2214" spans="1:2" ht="28.8" x14ac:dyDescent="0.3">
      <c r="A2214" s="4" t="s">
        <v>4937</v>
      </c>
      <c r="B2214">
        <v>3</v>
      </c>
    </row>
    <row r="2215" spans="1:2" ht="28.8" x14ac:dyDescent="0.3">
      <c r="A2215" s="4" t="s">
        <v>4938</v>
      </c>
      <c r="B2215">
        <v>3</v>
      </c>
    </row>
    <row r="2216" spans="1:2" ht="28.8" x14ac:dyDescent="0.3">
      <c r="A2216" s="4" t="s">
        <v>4939</v>
      </c>
      <c r="B2216">
        <v>3</v>
      </c>
    </row>
    <row r="2217" spans="1:2" ht="28.8" x14ac:dyDescent="0.3">
      <c r="A2217" s="4" t="s">
        <v>4940</v>
      </c>
      <c r="B2217">
        <v>3</v>
      </c>
    </row>
    <row r="2218" spans="1:2" ht="43.2" x14ac:dyDescent="0.3">
      <c r="A2218" s="4" t="s">
        <v>4941</v>
      </c>
      <c r="B2218">
        <v>3</v>
      </c>
    </row>
    <row r="2219" spans="1:2" ht="28.8" x14ac:dyDescent="0.3">
      <c r="A2219" s="4" t="s">
        <v>4942</v>
      </c>
      <c r="B2219">
        <v>3</v>
      </c>
    </row>
    <row r="2220" spans="1:2" x14ac:dyDescent="0.3">
      <c r="A2220" s="4" t="s">
        <v>4943</v>
      </c>
      <c r="B2220">
        <v>3</v>
      </c>
    </row>
    <row r="2221" spans="1:2" ht="28.8" x14ac:dyDescent="0.3">
      <c r="A2221" s="4" t="s">
        <v>4944</v>
      </c>
      <c r="B2221">
        <v>3</v>
      </c>
    </row>
    <row r="2222" spans="1:2" ht="28.8" x14ac:dyDescent="0.3">
      <c r="A2222" s="4" t="s">
        <v>4945</v>
      </c>
      <c r="B2222">
        <v>3</v>
      </c>
    </row>
    <row r="2223" spans="1:2" ht="28.8" x14ac:dyDescent="0.3">
      <c r="A2223" s="4" t="s">
        <v>4946</v>
      </c>
      <c r="B2223">
        <v>3</v>
      </c>
    </row>
    <row r="2224" spans="1:2" ht="28.8" x14ac:dyDescent="0.3">
      <c r="A2224" s="4" t="s">
        <v>4947</v>
      </c>
      <c r="B2224">
        <v>3</v>
      </c>
    </row>
    <row r="2225" spans="1:2" ht="28.8" x14ac:dyDescent="0.3">
      <c r="A2225" s="4" t="s">
        <v>4948</v>
      </c>
      <c r="B2225">
        <v>3</v>
      </c>
    </row>
    <row r="2226" spans="1:2" ht="28.8" x14ac:dyDescent="0.3">
      <c r="A2226" s="4" t="s">
        <v>4949</v>
      </c>
      <c r="B2226">
        <v>3</v>
      </c>
    </row>
    <row r="2227" spans="1:2" ht="43.2" x14ac:dyDescent="0.3">
      <c r="A2227" s="4" t="s">
        <v>4950</v>
      </c>
      <c r="B2227">
        <v>3</v>
      </c>
    </row>
    <row r="2228" spans="1:2" ht="28.8" x14ac:dyDescent="0.3">
      <c r="A2228" s="4" t="s">
        <v>4951</v>
      </c>
      <c r="B2228">
        <v>3</v>
      </c>
    </row>
    <row r="2229" spans="1:2" ht="28.8" x14ac:dyDescent="0.3">
      <c r="A2229" s="4" t="s">
        <v>4952</v>
      </c>
      <c r="B2229">
        <v>3</v>
      </c>
    </row>
    <row r="2230" spans="1:2" ht="28.8" x14ac:dyDescent="0.3">
      <c r="A2230" s="4" t="s">
        <v>4953</v>
      </c>
      <c r="B2230">
        <v>3</v>
      </c>
    </row>
    <row r="2231" spans="1:2" ht="28.8" x14ac:dyDescent="0.3">
      <c r="A2231" s="4" t="s">
        <v>4954</v>
      </c>
      <c r="B2231">
        <v>3</v>
      </c>
    </row>
    <row r="2232" spans="1:2" ht="43.2" x14ac:dyDescent="0.3">
      <c r="A2232" s="4" t="s">
        <v>4955</v>
      </c>
      <c r="B2232">
        <v>3</v>
      </c>
    </row>
    <row r="2233" spans="1:2" ht="28.8" x14ac:dyDescent="0.3">
      <c r="A2233" s="4" t="s">
        <v>4956</v>
      </c>
      <c r="B2233">
        <v>3</v>
      </c>
    </row>
    <row r="2234" spans="1:2" ht="28.8" x14ac:dyDescent="0.3">
      <c r="A2234" s="4" t="s">
        <v>4957</v>
      </c>
      <c r="B2234">
        <v>3</v>
      </c>
    </row>
    <row r="2235" spans="1:2" x14ac:dyDescent="0.3">
      <c r="A2235" s="4" t="s">
        <v>4958</v>
      </c>
      <c r="B2235">
        <v>3</v>
      </c>
    </row>
    <row r="2236" spans="1:2" x14ac:dyDescent="0.3">
      <c r="A2236" s="4" t="s">
        <v>4959</v>
      </c>
      <c r="B2236">
        <v>3</v>
      </c>
    </row>
    <row r="2237" spans="1:2" ht="86.4" x14ac:dyDescent="0.3">
      <c r="A2237" s="4" t="s">
        <v>4960</v>
      </c>
      <c r="B2237">
        <v>3</v>
      </c>
    </row>
    <row r="2238" spans="1:2" x14ac:dyDescent="0.3">
      <c r="A2238" s="4" t="s">
        <v>4961</v>
      </c>
      <c r="B2238">
        <v>3</v>
      </c>
    </row>
    <row r="2239" spans="1:2" ht="57.6" x14ac:dyDescent="0.3">
      <c r="A2239" s="4" t="s">
        <v>4962</v>
      </c>
      <c r="B2239">
        <v>3</v>
      </c>
    </row>
    <row r="2240" spans="1:2" ht="28.8" x14ac:dyDescent="0.3">
      <c r="A2240" s="4" t="s">
        <v>4963</v>
      </c>
      <c r="B2240">
        <v>3</v>
      </c>
    </row>
    <row r="2241" spans="1:2" x14ac:dyDescent="0.3">
      <c r="A2241" s="4" t="s">
        <v>4964</v>
      </c>
      <c r="B2241">
        <v>3</v>
      </c>
    </row>
    <row r="2242" spans="1:2" ht="43.2" x14ac:dyDescent="0.3">
      <c r="A2242" s="4" t="s">
        <v>4965</v>
      </c>
      <c r="B2242">
        <v>3</v>
      </c>
    </row>
    <row r="2243" spans="1:2" ht="28.8" x14ac:dyDescent="0.3">
      <c r="A2243" s="4" t="s">
        <v>4966</v>
      </c>
      <c r="B2243">
        <v>3</v>
      </c>
    </row>
    <row r="2244" spans="1:2" ht="28.8" x14ac:dyDescent="0.3">
      <c r="A2244" s="4" t="s">
        <v>4967</v>
      </c>
      <c r="B2244">
        <v>3</v>
      </c>
    </row>
    <row r="2245" spans="1:2" ht="43.2" x14ac:dyDescent="0.3">
      <c r="A2245" s="4" t="s">
        <v>4968</v>
      </c>
      <c r="B2245">
        <v>3</v>
      </c>
    </row>
    <row r="2246" spans="1:2" x14ac:dyDescent="0.3">
      <c r="A2246" s="4" t="s">
        <v>4969</v>
      </c>
      <c r="B2246">
        <v>3</v>
      </c>
    </row>
    <row r="2247" spans="1:2" ht="28.8" x14ac:dyDescent="0.3">
      <c r="A2247" s="4" t="s">
        <v>4970</v>
      </c>
      <c r="B2247">
        <v>3</v>
      </c>
    </row>
    <row r="2248" spans="1:2" ht="28.8" x14ac:dyDescent="0.3">
      <c r="A2248" s="4" t="s">
        <v>4971</v>
      </c>
      <c r="B2248">
        <v>3</v>
      </c>
    </row>
    <row r="2249" spans="1:2" ht="28.8" x14ac:dyDescent="0.3">
      <c r="A2249" s="4" t="s">
        <v>4972</v>
      </c>
      <c r="B2249">
        <v>3</v>
      </c>
    </row>
    <row r="2250" spans="1:2" x14ac:dyDescent="0.3">
      <c r="A2250" s="4" t="s">
        <v>4973</v>
      </c>
      <c r="B2250">
        <v>3</v>
      </c>
    </row>
    <row r="2251" spans="1:2" ht="28.8" x14ac:dyDescent="0.3">
      <c r="A2251" s="4" t="s">
        <v>4974</v>
      </c>
      <c r="B2251">
        <v>3</v>
      </c>
    </row>
    <row r="2252" spans="1:2" ht="28.8" x14ac:dyDescent="0.3">
      <c r="A2252" s="4" t="s">
        <v>4975</v>
      </c>
      <c r="B2252">
        <v>3</v>
      </c>
    </row>
    <row r="2253" spans="1:2" x14ac:dyDescent="0.3">
      <c r="A2253" s="4" t="s">
        <v>4976</v>
      </c>
      <c r="B2253">
        <v>3</v>
      </c>
    </row>
    <row r="2254" spans="1:2" ht="28.8" x14ac:dyDescent="0.3">
      <c r="A2254" s="4" t="s">
        <v>4977</v>
      </c>
      <c r="B2254">
        <v>3</v>
      </c>
    </row>
    <row r="2255" spans="1:2" ht="28.8" x14ac:dyDescent="0.3">
      <c r="A2255" s="4" t="s">
        <v>4978</v>
      </c>
      <c r="B2255">
        <v>3</v>
      </c>
    </row>
    <row r="2256" spans="1:2" ht="28.8" x14ac:dyDescent="0.3">
      <c r="A2256" s="4" t="s">
        <v>4979</v>
      </c>
      <c r="B2256">
        <v>3</v>
      </c>
    </row>
    <row r="2257" spans="1:2" ht="28.8" x14ac:dyDescent="0.3">
      <c r="A2257" s="4" t="s">
        <v>4980</v>
      </c>
      <c r="B2257">
        <v>3</v>
      </c>
    </row>
    <row r="2258" spans="1:2" x14ac:dyDescent="0.3">
      <c r="A2258" s="4" t="s">
        <v>4981</v>
      </c>
      <c r="B2258">
        <v>3</v>
      </c>
    </row>
    <row r="2259" spans="1:2" ht="28.8" x14ac:dyDescent="0.3">
      <c r="A2259" s="4" t="s">
        <v>4982</v>
      </c>
      <c r="B2259">
        <v>3</v>
      </c>
    </row>
    <row r="2260" spans="1:2" ht="28.8" x14ac:dyDescent="0.3">
      <c r="A2260" s="4" t="s">
        <v>4983</v>
      </c>
      <c r="B2260">
        <v>3</v>
      </c>
    </row>
    <row r="2261" spans="1:2" ht="28.8" x14ac:dyDescent="0.3">
      <c r="A2261" s="4" t="s">
        <v>4984</v>
      </c>
      <c r="B2261">
        <v>3</v>
      </c>
    </row>
    <row r="2262" spans="1:2" ht="28.8" x14ac:dyDescent="0.3">
      <c r="A2262" s="4" t="s">
        <v>4985</v>
      </c>
      <c r="B2262">
        <v>3</v>
      </c>
    </row>
    <row r="2263" spans="1:2" ht="28.8" x14ac:dyDescent="0.3">
      <c r="A2263" s="4" t="s">
        <v>4986</v>
      </c>
      <c r="B2263">
        <v>3</v>
      </c>
    </row>
    <row r="2264" spans="1:2" ht="28.8" x14ac:dyDescent="0.3">
      <c r="A2264" s="4" t="s">
        <v>4987</v>
      </c>
      <c r="B2264">
        <v>3</v>
      </c>
    </row>
    <row r="2265" spans="1:2" ht="28.8" x14ac:dyDescent="0.3">
      <c r="A2265" s="4" t="s">
        <v>4988</v>
      </c>
      <c r="B2265">
        <v>3</v>
      </c>
    </row>
    <row r="2266" spans="1:2" ht="28.8" x14ac:dyDescent="0.3">
      <c r="A2266" s="4" t="s">
        <v>4989</v>
      </c>
      <c r="B2266">
        <v>3</v>
      </c>
    </row>
    <row r="2267" spans="1:2" ht="28.8" x14ac:dyDescent="0.3">
      <c r="A2267" s="4" t="s">
        <v>4990</v>
      </c>
      <c r="B2267">
        <v>3</v>
      </c>
    </row>
    <row r="2268" spans="1:2" ht="43.2" x14ac:dyDescent="0.3">
      <c r="A2268" s="4" t="s">
        <v>4991</v>
      </c>
      <c r="B2268">
        <v>3</v>
      </c>
    </row>
    <row r="2269" spans="1:2" ht="43.2" x14ac:dyDescent="0.3">
      <c r="A2269" s="4" t="s">
        <v>4992</v>
      </c>
      <c r="B2269">
        <v>3</v>
      </c>
    </row>
    <row r="2270" spans="1:2" ht="28.8" x14ac:dyDescent="0.3">
      <c r="A2270" s="4" t="s">
        <v>4993</v>
      </c>
      <c r="B2270">
        <v>3</v>
      </c>
    </row>
    <row r="2271" spans="1:2" ht="28.8" x14ac:dyDescent="0.3">
      <c r="A2271" s="4" t="s">
        <v>4994</v>
      </c>
      <c r="B2271">
        <v>3</v>
      </c>
    </row>
    <row r="2272" spans="1:2" ht="28.8" x14ac:dyDescent="0.3">
      <c r="A2272" s="4" t="s">
        <v>4995</v>
      </c>
      <c r="B2272">
        <v>3</v>
      </c>
    </row>
    <row r="2273" spans="1:2" ht="43.2" x14ac:dyDescent="0.3">
      <c r="A2273" s="4" t="s">
        <v>4996</v>
      </c>
      <c r="B2273">
        <v>3</v>
      </c>
    </row>
    <row r="2274" spans="1:2" ht="28.8" x14ac:dyDescent="0.3">
      <c r="A2274" s="4" t="s">
        <v>4997</v>
      </c>
      <c r="B2274">
        <v>3</v>
      </c>
    </row>
    <row r="2275" spans="1:2" ht="28.8" x14ac:dyDescent="0.3">
      <c r="A2275" s="4" t="s">
        <v>4998</v>
      </c>
      <c r="B2275">
        <v>3</v>
      </c>
    </row>
    <row r="2276" spans="1:2" ht="43.2" x14ac:dyDescent="0.3">
      <c r="A2276" s="4" t="s">
        <v>4999</v>
      </c>
      <c r="B2276">
        <v>3</v>
      </c>
    </row>
    <row r="2277" spans="1:2" ht="43.2" x14ac:dyDescent="0.3">
      <c r="A2277" s="4" t="s">
        <v>5000</v>
      </c>
      <c r="B2277">
        <v>3</v>
      </c>
    </row>
    <row r="2278" spans="1:2" x14ac:dyDescent="0.3">
      <c r="A2278" s="4" t="s">
        <v>5001</v>
      </c>
      <c r="B2278">
        <v>3</v>
      </c>
    </row>
    <row r="2279" spans="1:2" ht="28.8" x14ac:dyDescent="0.3">
      <c r="A2279" s="4" t="s">
        <v>5002</v>
      </c>
      <c r="B2279">
        <v>3</v>
      </c>
    </row>
    <row r="2280" spans="1:2" ht="28.8" x14ac:dyDescent="0.3">
      <c r="A2280" s="4" t="s">
        <v>5003</v>
      </c>
      <c r="B2280">
        <v>3</v>
      </c>
    </row>
    <row r="2281" spans="1:2" ht="28.8" x14ac:dyDescent="0.3">
      <c r="A2281" s="4" t="s">
        <v>5004</v>
      </c>
      <c r="B2281">
        <v>3</v>
      </c>
    </row>
    <row r="2282" spans="1:2" ht="28.8" x14ac:dyDescent="0.3">
      <c r="A2282" s="4" t="s">
        <v>5005</v>
      </c>
      <c r="B2282">
        <v>3</v>
      </c>
    </row>
    <row r="2283" spans="1:2" ht="28.8" x14ac:dyDescent="0.3">
      <c r="A2283" s="4" t="s">
        <v>5006</v>
      </c>
      <c r="B2283">
        <v>3</v>
      </c>
    </row>
    <row r="2284" spans="1:2" x14ac:dyDescent="0.3">
      <c r="A2284" s="4" t="s">
        <v>5007</v>
      </c>
      <c r="B2284">
        <v>3</v>
      </c>
    </row>
    <row r="2285" spans="1:2" ht="28.8" x14ac:dyDescent="0.3">
      <c r="A2285" s="4" t="s">
        <v>5008</v>
      </c>
      <c r="B2285">
        <v>3</v>
      </c>
    </row>
    <row r="2286" spans="1:2" x14ac:dyDescent="0.3">
      <c r="A2286" s="4" t="s">
        <v>5009</v>
      </c>
      <c r="B2286">
        <v>3</v>
      </c>
    </row>
    <row r="2287" spans="1:2" ht="28.8" x14ac:dyDescent="0.3">
      <c r="A2287" s="4" t="s">
        <v>5010</v>
      </c>
      <c r="B2287">
        <v>3</v>
      </c>
    </row>
    <row r="2288" spans="1:2" ht="28.8" x14ac:dyDescent="0.3">
      <c r="A2288" s="4" t="s">
        <v>5011</v>
      </c>
      <c r="B2288">
        <v>3</v>
      </c>
    </row>
    <row r="2289" spans="1:2" ht="43.2" x14ac:dyDescent="0.3">
      <c r="A2289" s="4" t="s">
        <v>5012</v>
      </c>
      <c r="B2289">
        <v>3</v>
      </c>
    </row>
    <row r="2290" spans="1:2" ht="28.8" x14ac:dyDescent="0.3">
      <c r="A2290" s="4" t="s">
        <v>5013</v>
      </c>
      <c r="B2290">
        <v>3</v>
      </c>
    </row>
    <row r="2291" spans="1:2" ht="28.8" x14ac:dyDescent="0.3">
      <c r="A2291" s="4" t="s">
        <v>5014</v>
      </c>
      <c r="B2291">
        <v>3</v>
      </c>
    </row>
    <row r="2292" spans="1:2" ht="43.2" x14ac:dyDescent="0.3">
      <c r="A2292" s="4" t="s">
        <v>5015</v>
      </c>
      <c r="B2292">
        <v>3</v>
      </c>
    </row>
    <row r="2293" spans="1:2" ht="28.8" x14ac:dyDescent="0.3">
      <c r="A2293" s="4" t="s">
        <v>5016</v>
      </c>
      <c r="B2293">
        <v>3</v>
      </c>
    </row>
    <row r="2294" spans="1:2" x14ac:dyDescent="0.3">
      <c r="A2294" s="4" t="s">
        <v>5017</v>
      </c>
      <c r="B2294">
        <v>3</v>
      </c>
    </row>
    <row r="2295" spans="1:2" x14ac:dyDescent="0.3">
      <c r="A2295" s="4" t="s">
        <v>5018</v>
      </c>
      <c r="B2295">
        <v>3</v>
      </c>
    </row>
    <row r="2296" spans="1:2" ht="28.8" x14ac:dyDescent="0.3">
      <c r="A2296" s="4" t="s">
        <v>5019</v>
      </c>
      <c r="B2296">
        <v>3</v>
      </c>
    </row>
    <row r="2297" spans="1:2" x14ac:dyDescent="0.3">
      <c r="A2297" s="4" t="s">
        <v>5020</v>
      </c>
      <c r="B2297">
        <v>3</v>
      </c>
    </row>
    <row r="2298" spans="1:2" ht="43.2" x14ac:dyDescent="0.3">
      <c r="A2298" s="4" t="s">
        <v>5021</v>
      </c>
      <c r="B2298">
        <v>3</v>
      </c>
    </row>
    <row r="2299" spans="1:2" ht="43.2" x14ac:dyDescent="0.3">
      <c r="A2299" s="4" t="s">
        <v>5022</v>
      </c>
      <c r="B2299">
        <v>3</v>
      </c>
    </row>
    <row r="2300" spans="1:2" ht="28.8" x14ac:dyDescent="0.3">
      <c r="A2300" s="4" t="s">
        <v>5023</v>
      </c>
      <c r="B2300">
        <v>3</v>
      </c>
    </row>
    <row r="2301" spans="1:2" ht="28.8" x14ac:dyDescent="0.3">
      <c r="A2301" s="4" t="s">
        <v>5024</v>
      </c>
      <c r="B2301">
        <v>3</v>
      </c>
    </row>
    <row r="2302" spans="1:2" x14ac:dyDescent="0.3">
      <c r="A2302" s="4" t="s">
        <v>5025</v>
      </c>
      <c r="B2302">
        <v>3</v>
      </c>
    </row>
    <row r="2303" spans="1:2" x14ac:dyDescent="0.3">
      <c r="A2303" s="4" t="s">
        <v>5026</v>
      </c>
      <c r="B2303">
        <v>3</v>
      </c>
    </row>
    <row r="2304" spans="1:2" ht="28.8" x14ac:dyDescent="0.3">
      <c r="A2304" s="4" t="s">
        <v>5027</v>
      </c>
      <c r="B2304">
        <v>3</v>
      </c>
    </row>
    <row r="2305" spans="1:2" ht="28.8" x14ac:dyDescent="0.3">
      <c r="A2305" s="4" t="s">
        <v>5028</v>
      </c>
      <c r="B2305">
        <v>3</v>
      </c>
    </row>
    <row r="2306" spans="1:2" ht="28.8" x14ac:dyDescent="0.3">
      <c r="A2306" s="4" t="s">
        <v>5029</v>
      </c>
      <c r="B2306">
        <v>3</v>
      </c>
    </row>
    <row r="2307" spans="1:2" ht="28.8" x14ac:dyDescent="0.3">
      <c r="A2307" s="4" t="s">
        <v>5030</v>
      </c>
      <c r="B2307">
        <v>3</v>
      </c>
    </row>
    <row r="2308" spans="1:2" ht="43.2" x14ac:dyDescent="0.3">
      <c r="A2308" s="4" t="s">
        <v>5031</v>
      </c>
      <c r="B2308">
        <v>3</v>
      </c>
    </row>
    <row r="2309" spans="1:2" ht="28.8" x14ac:dyDescent="0.3">
      <c r="A2309" s="4" t="s">
        <v>5032</v>
      </c>
      <c r="B2309">
        <v>3</v>
      </c>
    </row>
    <row r="2310" spans="1:2" ht="28.8" x14ac:dyDescent="0.3">
      <c r="A2310" s="4" t="s">
        <v>5033</v>
      </c>
      <c r="B2310">
        <v>3</v>
      </c>
    </row>
    <row r="2311" spans="1:2" ht="43.2" x14ac:dyDescent="0.3">
      <c r="A2311" s="4" t="s">
        <v>5034</v>
      </c>
      <c r="B2311">
        <v>3</v>
      </c>
    </row>
    <row r="2312" spans="1:2" ht="28.8" x14ac:dyDescent="0.3">
      <c r="A2312" s="4" t="s">
        <v>5035</v>
      </c>
      <c r="B2312">
        <v>3</v>
      </c>
    </row>
    <row r="2313" spans="1:2" ht="28.8" x14ac:dyDescent="0.3">
      <c r="A2313" s="4" t="s">
        <v>5036</v>
      </c>
      <c r="B2313">
        <v>3</v>
      </c>
    </row>
    <row r="2314" spans="1:2" ht="43.2" x14ac:dyDescent="0.3">
      <c r="A2314" s="4" t="s">
        <v>5037</v>
      </c>
      <c r="B2314">
        <v>3</v>
      </c>
    </row>
    <row r="2315" spans="1:2" ht="28.8" x14ac:dyDescent="0.3">
      <c r="A2315" s="4" t="s">
        <v>5038</v>
      </c>
      <c r="B2315">
        <v>3</v>
      </c>
    </row>
    <row r="2316" spans="1:2" ht="28.8" x14ac:dyDescent="0.3">
      <c r="A2316" s="4" t="s">
        <v>5039</v>
      </c>
      <c r="B2316">
        <v>3</v>
      </c>
    </row>
    <row r="2317" spans="1:2" ht="43.2" x14ac:dyDescent="0.3">
      <c r="A2317" s="4" t="s">
        <v>5040</v>
      </c>
      <c r="B2317">
        <v>3</v>
      </c>
    </row>
    <row r="2318" spans="1:2" ht="28.8" x14ac:dyDescent="0.3">
      <c r="A2318" s="4" t="s">
        <v>5041</v>
      </c>
      <c r="B2318">
        <v>3</v>
      </c>
    </row>
    <row r="2319" spans="1:2" ht="43.2" x14ac:dyDescent="0.3">
      <c r="A2319" s="4" t="s">
        <v>5042</v>
      </c>
      <c r="B2319">
        <v>3</v>
      </c>
    </row>
    <row r="2320" spans="1:2" ht="28.8" x14ac:dyDescent="0.3">
      <c r="A2320" s="4" t="s">
        <v>5043</v>
      </c>
      <c r="B2320">
        <v>3</v>
      </c>
    </row>
    <row r="2321" spans="1:2" ht="28.8" x14ac:dyDescent="0.3">
      <c r="A2321" s="4" t="s">
        <v>5044</v>
      </c>
      <c r="B2321">
        <v>3</v>
      </c>
    </row>
    <row r="2322" spans="1:2" ht="43.2" x14ac:dyDescent="0.3">
      <c r="A2322" s="4" t="s">
        <v>5045</v>
      </c>
      <c r="B2322">
        <v>3</v>
      </c>
    </row>
    <row r="2323" spans="1:2" ht="43.2" x14ac:dyDescent="0.3">
      <c r="A2323" s="4" t="s">
        <v>5046</v>
      </c>
      <c r="B2323">
        <v>3</v>
      </c>
    </row>
    <row r="2324" spans="1:2" ht="28.8" x14ac:dyDescent="0.3">
      <c r="A2324" s="4" t="s">
        <v>5047</v>
      </c>
      <c r="B2324">
        <v>3</v>
      </c>
    </row>
    <row r="2325" spans="1:2" ht="28.8" x14ac:dyDescent="0.3">
      <c r="A2325" s="4" t="s">
        <v>5048</v>
      </c>
      <c r="B2325">
        <v>3</v>
      </c>
    </row>
    <row r="2326" spans="1:2" ht="28.8" x14ac:dyDescent="0.3">
      <c r="A2326" s="4" t="s">
        <v>5049</v>
      </c>
      <c r="B2326">
        <v>3</v>
      </c>
    </row>
    <row r="2327" spans="1:2" ht="43.2" x14ac:dyDescent="0.3">
      <c r="A2327" s="4" t="s">
        <v>5050</v>
      </c>
      <c r="B2327">
        <v>3</v>
      </c>
    </row>
    <row r="2328" spans="1:2" ht="28.8" x14ac:dyDescent="0.3">
      <c r="A2328" s="4" t="s">
        <v>5051</v>
      </c>
      <c r="B2328">
        <v>3</v>
      </c>
    </row>
    <row r="2329" spans="1:2" ht="28.8" x14ac:dyDescent="0.3">
      <c r="A2329" s="4" t="s">
        <v>5052</v>
      </c>
      <c r="B2329">
        <v>3</v>
      </c>
    </row>
    <row r="2330" spans="1:2" ht="28.8" x14ac:dyDescent="0.3">
      <c r="A2330" s="4" t="s">
        <v>5053</v>
      </c>
      <c r="B2330">
        <v>3</v>
      </c>
    </row>
    <row r="2331" spans="1:2" ht="28.8" x14ac:dyDescent="0.3">
      <c r="A2331" s="4" t="s">
        <v>5054</v>
      </c>
      <c r="B2331">
        <v>3</v>
      </c>
    </row>
    <row r="2332" spans="1:2" ht="28.8" x14ac:dyDescent="0.3">
      <c r="A2332" s="4" t="s">
        <v>5055</v>
      </c>
      <c r="B2332">
        <v>3</v>
      </c>
    </row>
    <row r="2333" spans="1:2" ht="28.8" x14ac:dyDescent="0.3">
      <c r="A2333" s="4" t="s">
        <v>5056</v>
      </c>
      <c r="B2333">
        <v>3</v>
      </c>
    </row>
    <row r="2334" spans="1:2" ht="28.8" x14ac:dyDescent="0.3">
      <c r="A2334" s="4" t="s">
        <v>5057</v>
      </c>
      <c r="B2334">
        <v>3</v>
      </c>
    </row>
    <row r="2335" spans="1:2" ht="28.8" x14ac:dyDescent="0.3">
      <c r="A2335" s="4" t="s">
        <v>5058</v>
      </c>
      <c r="B2335">
        <v>3</v>
      </c>
    </row>
    <row r="2336" spans="1:2" ht="28.8" x14ac:dyDescent="0.3">
      <c r="A2336" s="4" t="s">
        <v>5059</v>
      </c>
      <c r="B2336">
        <v>3</v>
      </c>
    </row>
    <row r="2337" spans="1:2" ht="43.2" x14ac:dyDescent="0.3">
      <c r="A2337" s="4" t="s">
        <v>5060</v>
      </c>
      <c r="B2337">
        <v>3</v>
      </c>
    </row>
    <row r="2338" spans="1:2" ht="28.8" x14ac:dyDescent="0.3">
      <c r="A2338" s="4" t="s">
        <v>5061</v>
      </c>
      <c r="B2338">
        <v>3</v>
      </c>
    </row>
    <row r="2339" spans="1:2" ht="28.8" x14ac:dyDescent="0.3">
      <c r="A2339" s="4" t="s">
        <v>5062</v>
      </c>
      <c r="B2339">
        <v>3</v>
      </c>
    </row>
    <row r="2340" spans="1:2" ht="28.8" x14ac:dyDescent="0.3">
      <c r="A2340" s="4" t="s">
        <v>5063</v>
      </c>
      <c r="B2340">
        <v>3</v>
      </c>
    </row>
    <row r="2341" spans="1:2" x14ac:dyDescent="0.3">
      <c r="A2341" s="4" t="s">
        <v>5064</v>
      </c>
      <c r="B2341">
        <v>3</v>
      </c>
    </row>
    <row r="2342" spans="1:2" ht="28.8" x14ac:dyDescent="0.3">
      <c r="A2342" s="4" t="s">
        <v>5065</v>
      </c>
      <c r="B2342">
        <v>3</v>
      </c>
    </row>
    <row r="2343" spans="1:2" ht="28.8" x14ac:dyDescent="0.3">
      <c r="A2343" s="4" t="s">
        <v>5066</v>
      </c>
      <c r="B2343">
        <v>3</v>
      </c>
    </row>
    <row r="2344" spans="1:2" ht="28.8" x14ac:dyDescent="0.3">
      <c r="A2344" s="4" t="s">
        <v>5067</v>
      </c>
      <c r="B2344">
        <v>3</v>
      </c>
    </row>
    <row r="2345" spans="1:2" ht="28.8" x14ac:dyDescent="0.3">
      <c r="A2345" s="4" t="s">
        <v>5068</v>
      </c>
      <c r="B2345">
        <v>3</v>
      </c>
    </row>
    <row r="2346" spans="1:2" ht="28.8" x14ac:dyDescent="0.3">
      <c r="A2346" s="4" t="s">
        <v>5069</v>
      </c>
      <c r="B2346">
        <v>3</v>
      </c>
    </row>
    <row r="2347" spans="1:2" ht="28.8" x14ac:dyDescent="0.3">
      <c r="A2347" s="4" t="s">
        <v>5070</v>
      </c>
      <c r="B2347">
        <v>3</v>
      </c>
    </row>
    <row r="2348" spans="1:2" ht="28.8" x14ac:dyDescent="0.3">
      <c r="A2348" s="4" t="s">
        <v>5071</v>
      </c>
      <c r="B2348">
        <v>3</v>
      </c>
    </row>
    <row r="2349" spans="1:2" ht="28.8" x14ac:dyDescent="0.3">
      <c r="A2349" s="4" t="s">
        <v>5072</v>
      </c>
      <c r="B2349">
        <v>3</v>
      </c>
    </row>
    <row r="2350" spans="1:2" ht="28.8" x14ac:dyDescent="0.3">
      <c r="A2350" s="4" t="s">
        <v>5073</v>
      </c>
      <c r="B2350">
        <v>3</v>
      </c>
    </row>
    <row r="2351" spans="1:2" ht="28.8" x14ac:dyDescent="0.3">
      <c r="A2351" s="4" t="s">
        <v>5074</v>
      </c>
      <c r="B2351">
        <v>3</v>
      </c>
    </row>
    <row r="2352" spans="1:2" ht="28.8" x14ac:dyDescent="0.3">
      <c r="A2352" s="4" t="s">
        <v>5075</v>
      </c>
      <c r="B2352">
        <v>3</v>
      </c>
    </row>
    <row r="2353" spans="1:2" ht="28.8" x14ac:dyDescent="0.3">
      <c r="A2353" s="4" t="s">
        <v>5076</v>
      </c>
      <c r="B2353">
        <v>3</v>
      </c>
    </row>
    <row r="2354" spans="1:2" ht="28.8" x14ac:dyDescent="0.3">
      <c r="A2354" s="4" t="s">
        <v>5077</v>
      </c>
      <c r="B2354">
        <v>3</v>
      </c>
    </row>
    <row r="2355" spans="1:2" ht="28.8" x14ac:dyDescent="0.3">
      <c r="A2355" s="4" t="s">
        <v>5078</v>
      </c>
      <c r="B2355">
        <v>3</v>
      </c>
    </row>
    <row r="2356" spans="1:2" ht="28.8" x14ac:dyDescent="0.3">
      <c r="A2356" s="4" t="s">
        <v>5079</v>
      </c>
      <c r="B2356">
        <v>3</v>
      </c>
    </row>
    <row r="2357" spans="1:2" ht="28.8" x14ac:dyDescent="0.3">
      <c r="A2357" s="4" t="s">
        <v>5080</v>
      </c>
      <c r="B2357">
        <v>3</v>
      </c>
    </row>
    <row r="2358" spans="1:2" ht="28.8" x14ac:dyDescent="0.3">
      <c r="A2358" s="4" t="s">
        <v>5081</v>
      </c>
      <c r="B2358">
        <v>3</v>
      </c>
    </row>
    <row r="2359" spans="1:2" ht="43.2" x14ac:dyDescent="0.3">
      <c r="A2359" s="4" t="s">
        <v>5082</v>
      </c>
      <c r="B2359">
        <v>3</v>
      </c>
    </row>
    <row r="2360" spans="1:2" ht="28.8" x14ac:dyDescent="0.3">
      <c r="A2360" s="4" t="s">
        <v>5083</v>
      </c>
      <c r="B2360">
        <v>3</v>
      </c>
    </row>
    <row r="2361" spans="1:2" x14ac:dyDescent="0.3">
      <c r="A2361" s="4" t="s">
        <v>5084</v>
      </c>
      <c r="B2361">
        <v>3</v>
      </c>
    </row>
    <row r="2362" spans="1:2" ht="28.8" x14ac:dyDescent="0.3">
      <c r="A2362" s="4" t="s">
        <v>5085</v>
      </c>
      <c r="B2362">
        <v>3</v>
      </c>
    </row>
    <row r="2363" spans="1:2" ht="28.8" x14ac:dyDescent="0.3">
      <c r="A2363" s="4" t="s">
        <v>5086</v>
      </c>
      <c r="B2363">
        <v>3</v>
      </c>
    </row>
    <row r="2364" spans="1:2" ht="28.8" x14ac:dyDescent="0.3">
      <c r="A2364" s="4" t="s">
        <v>5087</v>
      </c>
      <c r="B2364">
        <v>3</v>
      </c>
    </row>
    <row r="2365" spans="1:2" ht="28.8" x14ac:dyDescent="0.3">
      <c r="A2365" s="4" t="s">
        <v>5088</v>
      </c>
      <c r="B2365">
        <v>3</v>
      </c>
    </row>
    <row r="2366" spans="1:2" ht="28.8" x14ac:dyDescent="0.3">
      <c r="A2366" s="4" t="s">
        <v>5089</v>
      </c>
      <c r="B2366">
        <v>3</v>
      </c>
    </row>
    <row r="2367" spans="1:2" ht="28.8" x14ac:dyDescent="0.3">
      <c r="A2367" s="4" t="s">
        <v>5090</v>
      </c>
      <c r="B2367">
        <v>3</v>
      </c>
    </row>
    <row r="2368" spans="1:2" ht="28.8" x14ac:dyDescent="0.3">
      <c r="A2368" s="4" t="s">
        <v>5091</v>
      </c>
      <c r="B2368">
        <v>3</v>
      </c>
    </row>
    <row r="2369" spans="1:2" ht="43.2" x14ac:dyDescent="0.3">
      <c r="A2369" s="4" t="s">
        <v>5092</v>
      </c>
      <c r="B2369">
        <v>3</v>
      </c>
    </row>
    <row r="2370" spans="1:2" ht="43.2" x14ac:dyDescent="0.3">
      <c r="A2370" s="4" t="s">
        <v>5093</v>
      </c>
      <c r="B2370">
        <v>3</v>
      </c>
    </row>
    <row r="2371" spans="1:2" x14ac:dyDescent="0.3">
      <c r="A2371" s="4" t="s">
        <v>5094</v>
      </c>
      <c r="B2371">
        <v>3</v>
      </c>
    </row>
    <row r="2372" spans="1:2" ht="28.8" x14ac:dyDescent="0.3">
      <c r="A2372" s="4" t="s">
        <v>5095</v>
      </c>
      <c r="B2372">
        <v>3</v>
      </c>
    </row>
    <row r="2373" spans="1:2" ht="28.8" x14ac:dyDescent="0.3">
      <c r="A2373" s="4" t="s">
        <v>5096</v>
      </c>
      <c r="B2373">
        <v>3</v>
      </c>
    </row>
    <row r="2374" spans="1:2" ht="57.6" x14ac:dyDescent="0.3">
      <c r="A2374" s="4" t="s">
        <v>5097</v>
      </c>
      <c r="B2374">
        <v>3</v>
      </c>
    </row>
    <row r="2375" spans="1:2" ht="28.8" x14ac:dyDescent="0.3">
      <c r="A2375" s="4" t="s">
        <v>5098</v>
      </c>
      <c r="B2375">
        <v>3</v>
      </c>
    </row>
    <row r="2376" spans="1:2" ht="43.2" x14ac:dyDescent="0.3">
      <c r="A2376" s="4" t="s">
        <v>5099</v>
      </c>
      <c r="B2376">
        <v>3</v>
      </c>
    </row>
    <row r="2377" spans="1:2" ht="28.8" x14ac:dyDescent="0.3">
      <c r="A2377" s="4" t="s">
        <v>5100</v>
      </c>
      <c r="B2377">
        <v>3</v>
      </c>
    </row>
    <row r="2378" spans="1:2" ht="28.8" x14ac:dyDescent="0.3">
      <c r="A2378" s="4" t="s">
        <v>5101</v>
      </c>
      <c r="B2378">
        <v>3</v>
      </c>
    </row>
    <row r="2379" spans="1:2" ht="158.4" x14ac:dyDescent="0.3">
      <c r="A2379" s="4" t="s">
        <v>5102</v>
      </c>
      <c r="B2379">
        <v>3</v>
      </c>
    </row>
    <row r="2380" spans="1:2" ht="28.8" x14ac:dyDescent="0.3">
      <c r="A2380" s="4" t="s">
        <v>5103</v>
      </c>
      <c r="B2380">
        <v>3</v>
      </c>
    </row>
    <row r="2381" spans="1:2" ht="28.8" x14ac:dyDescent="0.3">
      <c r="A2381" s="4" t="s">
        <v>5104</v>
      </c>
      <c r="B2381">
        <v>3</v>
      </c>
    </row>
    <row r="2382" spans="1:2" ht="28.8" x14ac:dyDescent="0.3">
      <c r="A2382" s="4" t="s">
        <v>5105</v>
      </c>
      <c r="B2382">
        <v>3</v>
      </c>
    </row>
    <row r="2383" spans="1:2" ht="43.2" x14ac:dyDescent="0.3">
      <c r="A2383" s="4" t="s">
        <v>5106</v>
      </c>
      <c r="B2383">
        <v>3</v>
      </c>
    </row>
    <row r="2384" spans="1:2" ht="28.8" x14ac:dyDescent="0.3">
      <c r="A2384" s="4" t="s">
        <v>5107</v>
      </c>
      <c r="B2384">
        <v>3</v>
      </c>
    </row>
    <row r="2385" spans="1:2" x14ac:dyDescent="0.3">
      <c r="A2385" s="4" t="s">
        <v>5108</v>
      </c>
      <c r="B2385">
        <v>3</v>
      </c>
    </row>
    <row r="2386" spans="1:2" ht="28.8" x14ac:dyDescent="0.3">
      <c r="A2386" s="4" t="s">
        <v>5109</v>
      </c>
      <c r="B2386">
        <v>3</v>
      </c>
    </row>
    <row r="2387" spans="1:2" ht="28.8" x14ac:dyDescent="0.3">
      <c r="A2387" s="4" t="s">
        <v>5110</v>
      </c>
      <c r="B2387">
        <v>3</v>
      </c>
    </row>
    <row r="2388" spans="1:2" ht="57.6" x14ac:dyDescent="0.3">
      <c r="A2388" s="4" t="s">
        <v>5111</v>
      </c>
      <c r="B2388">
        <v>3</v>
      </c>
    </row>
    <row r="2389" spans="1:2" ht="28.8" x14ac:dyDescent="0.3">
      <c r="A2389" s="4" t="s">
        <v>5112</v>
      </c>
      <c r="B2389">
        <v>3</v>
      </c>
    </row>
    <row r="2390" spans="1:2" ht="43.2" x14ac:dyDescent="0.3">
      <c r="A2390" s="4" t="s">
        <v>5113</v>
      </c>
      <c r="B2390">
        <v>3</v>
      </c>
    </row>
    <row r="2391" spans="1:2" ht="28.8" x14ac:dyDescent="0.3">
      <c r="A2391" s="4" t="s">
        <v>5114</v>
      </c>
      <c r="B2391">
        <v>3</v>
      </c>
    </row>
    <row r="2392" spans="1:2" ht="43.2" x14ac:dyDescent="0.3">
      <c r="A2392" s="4" t="s">
        <v>5115</v>
      </c>
      <c r="B2392">
        <v>3</v>
      </c>
    </row>
    <row r="2393" spans="1:2" ht="28.8" x14ac:dyDescent="0.3">
      <c r="A2393" s="4" t="s">
        <v>5116</v>
      </c>
      <c r="B2393">
        <v>3</v>
      </c>
    </row>
    <row r="2394" spans="1:2" ht="28.8" x14ac:dyDescent="0.3">
      <c r="A2394" s="4" t="s">
        <v>5117</v>
      </c>
      <c r="B2394">
        <v>3</v>
      </c>
    </row>
    <row r="2395" spans="1:2" x14ac:dyDescent="0.3">
      <c r="A2395" s="4" t="s">
        <v>5118</v>
      </c>
      <c r="B2395">
        <v>3</v>
      </c>
    </row>
    <row r="2396" spans="1:2" ht="28.8" x14ac:dyDescent="0.3">
      <c r="A2396" s="4" t="s">
        <v>5119</v>
      </c>
      <c r="B2396">
        <v>3</v>
      </c>
    </row>
    <row r="2397" spans="1:2" ht="43.2" x14ac:dyDescent="0.3">
      <c r="A2397" s="4" t="s">
        <v>5120</v>
      </c>
      <c r="B2397">
        <v>3</v>
      </c>
    </row>
    <row r="2398" spans="1:2" ht="43.2" x14ac:dyDescent="0.3">
      <c r="A2398" s="4" t="s">
        <v>5121</v>
      </c>
      <c r="B2398">
        <v>3</v>
      </c>
    </row>
    <row r="2399" spans="1:2" ht="28.8" x14ac:dyDescent="0.3">
      <c r="A2399" s="4" t="s">
        <v>5122</v>
      </c>
      <c r="B2399">
        <v>3</v>
      </c>
    </row>
    <row r="2400" spans="1:2" ht="28.8" x14ac:dyDescent="0.3">
      <c r="A2400" s="4" t="s">
        <v>5123</v>
      </c>
      <c r="B2400">
        <v>3</v>
      </c>
    </row>
    <row r="2401" spans="1:2" ht="28.8" x14ac:dyDescent="0.3">
      <c r="A2401" s="4" t="s">
        <v>5124</v>
      </c>
      <c r="B2401">
        <v>3</v>
      </c>
    </row>
    <row r="2402" spans="1:2" ht="43.2" x14ac:dyDescent="0.3">
      <c r="A2402" s="4" t="s">
        <v>5125</v>
      </c>
      <c r="B2402">
        <v>3</v>
      </c>
    </row>
    <row r="2403" spans="1:2" ht="43.2" x14ac:dyDescent="0.3">
      <c r="A2403" s="4" t="s">
        <v>5126</v>
      </c>
      <c r="B2403">
        <v>3</v>
      </c>
    </row>
    <row r="2404" spans="1:2" ht="43.2" x14ac:dyDescent="0.3">
      <c r="A2404" s="4" t="s">
        <v>5127</v>
      </c>
      <c r="B2404">
        <v>3</v>
      </c>
    </row>
    <row r="2405" spans="1:2" ht="43.2" x14ac:dyDescent="0.3">
      <c r="A2405" s="4" t="s">
        <v>5128</v>
      </c>
      <c r="B2405">
        <v>3</v>
      </c>
    </row>
    <row r="2406" spans="1:2" ht="28.8" x14ac:dyDescent="0.3">
      <c r="A2406" s="4" t="s">
        <v>5129</v>
      </c>
      <c r="B2406">
        <v>3</v>
      </c>
    </row>
    <row r="2407" spans="1:2" ht="28.8" x14ac:dyDescent="0.3">
      <c r="A2407" s="4" t="s">
        <v>5130</v>
      </c>
      <c r="B2407">
        <v>3</v>
      </c>
    </row>
    <row r="2408" spans="1:2" x14ac:dyDescent="0.3">
      <c r="A2408" s="4" t="s">
        <v>5131</v>
      </c>
      <c r="B2408">
        <v>3</v>
      </c>
    </row>
    <row r="2409" spans="1:2" ht="72" x14ac:dyDescent="0.3">
      <c r="A2409" s="4" t="s">
        <v>5132</v>
      </c>
      <c r="B2409">
        <v>3</v>
      </c>
    </row>
    <row r="2410" spans="1:2" ht="28.8" x14ac:dyDescent="0.3">
      <c r="A2410" s="4" t="s">
        <v>5133</v>
      </c>
      <c r="B2410">
        <v>3</v>
      </c>
    </row>
    <row r="2411" spans="1:2" ht="28.8" x14ac:dyDescent="0.3">
      <c r="A2411" s="4" t="s">
        <v>5134</v>
      </c>
      <c r="B2411">
        <v>3</v>
      </c>
    </row>
    <row r="2412" spans="1:2" ht="28.8" x14ac:dyDescent="0.3">
      <c r="A2412" s="4" t="s">
        <v>5135</v>
      </c>
      <c r="B2412">
        <v>3</v>
      </c>
    </row>
    <row r="2413" spans="1:2" ht="28.8" x14ac:dyDescent="0.3">
      <c r="A2413" s="4" t="s">
        <v>5136</v>
      </c>
      <c r="B2413">
        <v>3</v>
      </c>
    </row>
    <row r="2414" spans="1:2" ht="28.8" x14ac:dyDescent="0.3">
      <c r="A2414" s="4" t="s">
        <v>5137</v>
      </c>
      <c r="B2414">
        <v>3</v>
      </c>
    </row>
    <row r="2415" spans="1:2" ht="28.8" x14ac:dyDescent="0.3">
      <c r="A2415" s="4" t="s">
        <v>5138</v>
      </c>
      <c r="B2415">
        <v>3</v>
      </c>
    </row>
    <row r="2416" spans="1:2" x14ac:dyDescent="0.3">
      <c r="A2416" s="4" t="s">
        <v>5139</v>
      </c>
      <c r="B2416">
        <v>3</v>
      </c>
    </row>
    <row r="2417" spans="1:2" ht="43.2" x14ac:dyDescent="0.3">
      <c r="A2417" s="4" t="s">
        <v>5140</v>
      </c>
      <c r="B2417">
        <v>3</v>
      </c>
    </row>
    <row r="2418" spans="1:2" ht="28.8" x14ac:dyDescent="0.3">
      <c r="A2418" s="4" t="s">
        <v>5141</v>
      </c>
      <c r="B2418">
        <v>3</v>
      </c>
    </row>
    <row r="2419" spans="1:2" x14ac:dyDescent="0.3">
      <c r="A2419" s="4" t="s">
        <v>5142</v>
      </c>
      <c r="B2419">
        <v>3</v>
      </c>
    </row>
    <row r="2420" spans="1:2" ht="28.8" x14ac:dyDescent="0.3">
      <c r="A2420" s="4" t="s">
        <v>5143</v>
      </c>
      <c r="B2420">
        <v>3</v>
      </c>
    </row>
    <row r="2421" spans="1:2" x14ac:dyDescent="0.3">
      <c r="A2421" s="4" t="s">
        <v>5144</v>
      </c>
      <c r="B2421">
        <v>3</v>
      </c>
    </row>
    <row r="2422" spans="1:2" ht="28.8" x14ac:dyDescent="0.3">
      <c r="A2422" s="4" t="s">
        <v>5145</v>
      </c>
      <c r="B2422">
        <v>3</v>
      </c>
    </row>
    <row r="2423" spans="1:2" ht="28.8" x14ac:dyDescent="0.3">
      <c r="A2423" s="4" t="s">
        <v>5146</v>
      </c>
      <c r="B2423">
        <v>3</v>
      </c>
    </row>
    <row r="2424" spans="1:2" ht="43.2" x14ac:dyDescent="0.3">
      <c r="A2424" s="4" t="s">
        <v>5147</v>
      </c>
      <c r="B2424">
        <v>3</v>
      </c>
    </row>
    <row r="2425" spans="1:2" ht="28.8" x14ac:dyDescent="0.3">
      <c r="A2425" s="4" t="s">
        <v>5148</v>
      </c>
      <c r="B2425">
        <v>3</v>
      </c>
    </row>
    <row r="2426" spans="1:2" ht="28.8" x14ac:dyDescent="0.3">
      <c r="A2426" s="4" t="s">
        <v>5149</v>
      </c>
      <c r="B2426">
        <v>3</v>
      </c>
    </row>
    <row r="2427" spans="1:2" ht="28.8" x14ac:dyDescent="0.3">
      <c r="A2427" s="4" t="s">
        <v>5150</v>
      </c>
      <c r="B2427">
        <v>3</v>
      </c>
    </row>
    <row r="2428" spans="1:2" ht="43.2" x14ac:dyDescent="0.3">
      <c r="A2428" s="4" t="s">
        <v>5151</v>
      </c>
      <c r="B2428">
        <v>3</v>
      </c>
    </row>
    <row r="2429" spans="1:2" ht="43.2" x14ac:dyDescent="0.3">
      <c r="A2429" s="4" t="s">
        <v>5152</v>
      </c>
      <c r="B2429">
        <v>3</v>
      </c>
    </row>
    <row r="2430" spans="1:2" ht="28.8" x14ac:dyDescent="0.3">
      <c r="A2430" s="4" t="s">
        <v>5153</v>
      </c>
      <c r="B2430">
        <v>3</v>
      </c>
    </row>
    <row r="2431" spans="1:2" ht="28.8" x14ac:dyDescent="0.3">
      <c r="A2431" s="4" t="s">
        <v>5154</v>
      </c>
      <c r="B2431">
        <v>3</v>
      </c>
    </row>
    <row r="2432" spans="1:2" ht="28.8" x14ac:dyDescent="0.3">
      <c r="A2432" s="4" t="s">
        <v>5155</v>
      </c>
      <c r="B2432">
        <v>3</v>
      </c>
    </row>
    <row r="2433" spans="1:2" ht="43.2" x14ac:dyDescent="0.3">
      <c r="A2433" s="4" t="s">
        <v>5156</v>
      </c>
      <c r="B2433">
        <v>3</v>
      </c>
    </row>
    <row r="2434" spans="1:2" ht="28.8" x14ac:dyDescent="0.3">
      <c r="A2434" s="4" t="s">
        <v>5157</v>
      </c>
      <c r="B2434">
        <v>3</v>
      </c>
    </row>
    <row r="2435" spans="1:2" ht="43.2" x14ac:dyDescent="0.3">
      <c r="A2435" s="4" t="s">
        <v>5158</v>
      </c>
      <c r="B2435">
        <v>3</v>
      </c>
    </row>
    <row r="2436" spans="1:2" x14ac:dyDescent="0.3">
      <c r="A2436" s="4" t="s">
        <v>5159</v>
      </c>
      <c r="B2436">
        <v>3</v>
      </c>
    </row>
    <row r="2437" spans="1:2" ht="28.8" x14ac:dyDescent="0.3">
      <c r="A2437" s="4" t="s">
        <v>5160</v>
      </c>
      <c r="B2437">
        <v>3</v>
      </c>
    </row>
    <row r="2438" spans="1:2" ht="28.8" x14ac:dyDescent="0.3">
      <c r="A2438" s="4" t="s">
        <v>5161</v>
      </c>
      <c r="B2438">
        <v>3</v>
      </c>
    </row>
    <row r="2439" spans="1:2" ht="28.8" x14ac:dyDescent="0.3">
      <c r="A2439" s="4" t="s">
        <v>5162</v>
      </c>
      <c r="B2439">
        <v>3</v>
      </c>
    </row>
    <row r="2440" spans="1:2" ht="28.8" x14ac:dyDescent="0.3">
      <c r="A2440" s="4" t="s">
        <v>5163</v>
      </c>
      <c r="B2440">
        <v>3</v>
      </c>
    </row>
    <row r="2441" spans="1:2" ht="28.8" x14ac:dyDescent="0.3">
      <c r="A2441" s="4" t="s">
        <v>5164</v>
      </c>
      <c r="B2441">
        <v>3</v>
      </c>
    </row>
    <row r="2442" spans="1:2" ht="28.8" x14ac:dyDescent="0.3">
      <c r="A2442" s="4" t="s">
        <v>5165</v>
      </c>
      <c r="B2442">
        <v>3</v>
      </c>
    </row>
    <row r="2443" spans="1:2" ht="28.8" x14ac:dyDescent="0.3">
      <c r="A2443" s="4" t="s">
        <v>5166</v>
      </c>
      <c r="B2443">
        <v>3</v>
      </c>
    </row>
    <row r="2444" spans="1:2" ht="28.8" x14ac:dyDescent="0.3">
      <c r="A2444" s="4" t="s">
        <v>5167</v>
      </c>
      <c r="B2444">
        <v>3</v>
      </c>
    </row>
    <row r="2445" spans="1:2" ht="28.8" x14ac:dyDescent="0.3">
      <c r="A2445" s="4" t="s">
        <v>5168</v>
      </c>
      <c r="B2445">
        <v>3</v>
      </c>
    </row>
    <row r="2446" spans="1:2" ht="28.8" x14ac:dyDescent="0.3">
      <c r="A2446" s="4" t="s">
        <v>5169</v>
      </c>
      <c r="B2446">
        <v>3</v>
      </c>
    </row>
    <row r="2447" spans="1:2" x14ac:dyDescent="0.3">
      <c r="A2447" s="4" t="s">
        <v>5170</v>
      </c>
      <c r="B2447">
        <v>3</v>
      </c>
    </row>
    <row r="2448" spans="1:2" ht="28.8" x14ac:dyDescent="0.3">
      <c r="A2448" s="4" t="s">
        <v>5171</v>
      </c>
      <c r="B2448">
        <v>3</v>
      </c>
    </row>
    <row r="2449" spans="1:2" ht="28.8" x14ac:dyDescent="0.3">
      <c r="A2449" s="4" t="s">
        <v>5172</v>
      </c>
      <c r="B2449">
        <v>3</v>
      </c>
    </row>
    <row r="2450" spans="1:2" ht="28.8" x14ac:dyDescent="0.3">
      <c r="A2450" s="4" t="s">
        <v>5173</v>
      </c>
      <c r="B2450">
        <v>3</v>
      </c>
    </row>
    <row r="2451" spans="1:2" ht="28.8" x14ac:dyDescent="0.3">
      <c r="A2451" s="4" t="s">
        <v>5174</v>
      </c>
      <c r="B2451">
        <v>3</v>
      </c>
    </row>
    <row r="2452" spans="1:2" ht="28.8" x14ac:dyDescent="0.3">
      <c r="A2452" s="4" t="s">
        <v>5175</v>
      </c>
      <c r="B2452">
        <v>3</v>
      </c>
    </row>
    <row r="2453" spans="1:2" ht="28.8" x14ac:dyDescent="0.3">
      <c r="A2453" s="4" t="s">
        <v>5176</v>
      </c>
      <c r="B2453">
        <v>3</v>
      </c>
    </row>
    <row r="2454" spans="1:2" ht="28.8" x14ac:dyDescent="0.3">
      <c r="A2454" s="4" t="s">
        <v>5177</v>
      </c>
      <c r="B2454">
        <v>3</v>
      </c>
    </row>
    <row r="2455" spans="1:2" ht="28.8" x14ac:dyDescent="0.3">
      <c r="A2455" s="4" t="s">
        <v>5178</v>
      </c>
      <c r="B2455">
        <v>3</v>
      </c>
    </row>
    <row r="2456" spans="1:2" ht="28.8" x14ac:dyDescent="0.3">
      <c r="A2456" s="4" t="s">
        <v>5179</v>
      </c>
      <c r="B2456">
        <v>3</v>
      </c>
    </row>
    <row r="2457" spans="1:2" ht="28.8" x14ac:dyDescent="0.3">
      <c r="A2457" s="4" t="s">
        <v>5180</v>
      </c>
      <c r="B2457">
        <v>3</v>
      </c>
    </row>
    <row r="2458" spans="1:2" ht="43.2" x14ac:dyDescent="0.3">
      <c r="A2458" s="4" t="s">
        <v>5181</v>
      </c>
      <c r="B2458">
        <v>3</v>
      </c>
    </row>
    <row r="2459" spans="1:2" ht="28.8" x14ac:dyDescent="0.3">
      <c r="A2459" s="4" t="s">
        <v>5182</v>
      </c>
      <c r="B2459">
        <v>3</v>
      </c>
    </row>
    <row r="2460" spans="1:2" ht="43.2" x14ac:dyDescent="0.3">
      <c r="A2460" s="4" t="s">
        <v>5183</v>
      </c>
      <c r="B2460">
        <v>3</v>
      </c>
    </row>
    <row r="2461" spans="1:2" ht="28.8" x14ac:dyDescent="0.3">
      <c r="A2461" s="4" t="s">
        <v>5184</v>
      </c>
      <c r="B2461">
        <v>3</v>
      </c>
    </row>
    <row r="2462" spans="1:2" ht="28.8" x14ac:dyDescent="0.3">
      <c r="A2462" s="4" t="s">
        <v>5185</v>
      </c>
      <c r="B2462">
        <v>3</v>
      </c>
    </row>
    <row r="2463" spans="1:2" ht="43.2" x14ac:dyDescent="0.3">
      <c r="A2463" s="4" t="s">
        <v>5186</v>
      </c>
      <c r="B2463">
        <v>3</v>
      </c>
    </row>
    <row r="2464" spans="1:2" ht="28.8" x14ac:dyDescent="0.3">
      <c r="A2464" s="4" t="s">
        <v>5187</v>
      </c>
      <c r="B2464">
        <v>3</v>
      </c>
    </row>
    <row r="2465" spans="1:2" ht="28.8" x14ac:dyDescent="0.3">
      <c r="A2465" s="4" t="s">
        <v>5188</v>
      </c>
      <c r="B2465">
        <v>3</v>
      </c>
    </row>
    <row r="2466" spans="1:2" ht="28.8" x14ac:dyDescent="0.3">
      <c r="A2466" s="4" t="s">
        <v>5189</v>
      </c>
      <c r="B2466">
        <v>3</v>
      </c>
    </row>
    <row r="2467" spans="1:2" ht="28.8" x14ac:dyDescent="0.3">
      <c r="A2467" s="4" t="s">
        <v>5190</v>
      </c>
      <c r="B2467">
        <v>3</v>
      </c>
    </row>
    <row r="2468" spans="1:2" ht="28.8" x14ac:dyDescent="0.3">
      <c r="A2468" s="4" t="s">
        <v>5191</v>
      </c>
      <c r="B2468">
        <v>3</v>
      </c>
    </row>
    <row r="2469" spans="1:2" ht="28.8" x14ac:dyDescent="0.3">
      <c r="A2469" s="4" t="s">
        <v>5192</v>
      </c>
      <c r="B2469">
        <v>3</v>
      </c>
    </row>
    <row r="2470" spans="1:2" ht="28.8" x14ac:dyDescent="0.3">
      <c r="A2470" s="4" t="s">
        <v>5193</v>
      </c>
      <c r="B2470">
        <v>3</v>
      </c>
    </row>
    <row r="2471" spans="1:2" ht="28.8" x14ac:dyDescent="0.3">
      <c r="A2471" s="4" t="s">
        <v>5194</v>
      </c>
      <c r="B2471">
        <v>3</v>
      </c>
    </row>
    <row r="2472" spans="1:2" ht="28.8" x14ac:dyDescent="0.3">
      <c r="A2472" s="4" t="s">
        <v>5195</v>
      </c>
      <c r="B2472">
        <v>3</v>
      </c>
    </row>
    <row r="2473" spans="1:2" ht="28.8" x14ac:dyDescent="0.3">
      <c r="A2473" s="4" t="s">
        <v>5196</v>
      </c>
      <c r="B2473">
        <v>3</v>
      </c>
    </row>
    <row r="2474" spans="1:2" ht="28.8" x14ac:dyDescent="0.3">
      <c r="A2474" s="4" t="s">
        <v>5197</v>
      </c>
      <c r="B2474">
        <v>3</v>
      </c>
    </row>
    <row r="2475" spans="1:2" ht="28.8" x14ac:dyDescent="0.3">
      <c r="A2475" s="4" t="s">
        <v>5198</v>
      </c>
      <c r="B2475">
        <v>3</v>
      </c>
    </row>
    <row r="2476" spans="1:2" ht="28.8" x14ac:dyDescent="0.3">
      <c r="A2476" s="4" t="s">
        <v>5199</v>
      </c>
      <c r="B2476">
        <v>3</v>
      </c>
    </row>
    <row r="2477" spans="1:2" ht="28.8" x14ac:dyDescent="0.3">
      <c r="A2477" s="4" t="s">
        <v>5200</v>
      </c>
      <c r="B2477">
        <v>3</v>
      </c>
    </row>
    <row r="2478" spans="1:2" ht="28.8" x14ac:dyDescent="0.3">
      <c r="A2478" s="4" t="s">
        <v>5201</v>
      </c>
      <c r="B2478">
        <v>3</v>
      </c>
    </row>
    <row r="2479" spans="1:2" ht="28.8" x14ac:dyDescent="0.3">
      <c r="A2479" s="4" t="s">
        <v>5202</v>
      </c>
      <c r="B2479">
        <v>3</v>
      </c>
    </row>
    <row r="2480" spans="1:2" ht="28.8" x14ac:dyDescent="0.3">
      <c r="A2480" s="4" t="s">
        <v>5203</v>
      </c>
      <c r="B2480">
        <v>3</v>
      </c>
    </row>
    <row r="2481" spans="1:2" ht="28.8" x14ac:dyDescent="0.3">
      <c r="A2481" s="4" t="s">
        <v>5204</v>
      </c>
      <c r="B2481">
        <v>3</v>
      </c>
    </row>
    <row r="2482" spans="1:2" ht="43.2" x14ac:dyDescent="0.3">
      <c r="A2482" s="4" t="s">
        <v>5205</v>
      </c>
      <c r="B2482">
        <v>3</v>
      </c>
    </row>
    <row r="2483" spans="1:2" x14ac:dyDescent="0.3">
      <c r="A2483" s="4" t="s">
        <v>5206</v>
      </c>
      <c r="B2483">
        <v>3</v>
      </c>
    </row>
    <row r="2484" spans="1:2" ht="28.8" x14ac:dyDescent="0.3">
      <c r="A2484" s="4" t="s">
        <v>5207</v>
      </c>
      <c r="B2484">
        <v>3</v>
      </c>
    </row>
    <row r="2485" spans="1:2" ht="28.8" x14ac:dyDescent="0.3">
      <c r="A2485" s="4" t="s">
        <v>5208</v>
      </c>
      <c r="B2485">
        <v>3</v>
      </c>
    </row>
    <row r="2486" spans="1:2" x14ac:dyDescent="0.3">
      <c r="A2486" s="4" t="s">
        <v>5209</v>
      </c>
      <c r="B2486">
        <v>3</v>
      </c>
    </row>
    <row r="2487" spans="1:2" x14ac:dyDescent="0.3">
      <c r="A2487" s="4" t="s">
        <v>5210</v>
      </c>
      <c r="B2487">
        <v>3</v>
      </c>
    </row>
    <row r="2488" spans="1:2" ht="28.8" x14ac:dyDescent="0.3">
      <c r="A2488" s="4" t="s">
        <v>5211</v>
      </c>
      <c r="B2488">
        <v>3</v>
      </c>
    </row>
    <row r="2489" spans="1:2" ht="28.8" x14ac:dyDescent="0.3">
      <c r="A2489" s="4" t="s">
        <v>5212</v>
      </c>
      <c r="B2489">
        <v>3</v>
      </c>
    </row>
    <row r="2490" spans="1:2" ht="28.8" x14ac:dyDescent="0.3">
      <c r="A2490" s="4" t="s">
        <v>5213</v>
      </c>
      <c r="B2490">
        <v>3</v>
      </c>
    </row>
    <row r="2491" spans="1:2" ht="28.8" x14ac:dyDescent="0.3">
      <c r="A2491" s="4" t="s">
        <v>5214</v>
      </c>
      <c r="B2491">
        <v>3</v>
      </c>
    </row>
    <row r="2492" spans="1:2" ht="43.2" x14ac:dyDescent="0.3">
      <c r="A2492" s="4" t="s">
        <v>5215</v>
      </c>
      <c r="B2492">
        <v>3</v>
      </c>
    </row>
    <row r="2493" spans="1:2" ht="28.8" x14ac:dyDescent="0.3">
      <c r="A2493" s="4" t="s">
        <v>5216</v>
      </c>
      <c r="B2493">
        <v>3</v>
      </c>
    </row>
    <row r="2494" spans="1:2" ht="28.8" x14ac:dyDescent="0.3">
      <c r="A2494" s="4" t="s">
        <v>5217</v>
      </c>
      <c r="B2494">
        <v>3</v>
      </c>
    </row>
    <row r="2495" spans="1:2" ht="28.8" x14ac:dyDescent="0.3">
      <c r="A2495" s="4" t="s">
        <v>5218</v>
      </c>
      <c r="B2495">
        <v>3</v>
      </c>
    </row>
    <row r="2496" spans="1:2" x14ac:dyDescent="0.3">
      <c r="A2496" s="4" t="s">
        <v>5219</v>
      </c>
      <c r="B2496">
        <v>3</v>
      </c>
    </row>
    <row r="2497" spans="1:2" ht="28.8" x14ac:dyDescent="0.3">
      <c r="A2497" s="4" t="s">
        <v>5220</v>
      </c>
      <c r="B2497">
        <v>3</v>
      </c>
    </row>
    <row r="2498" spans="1:2" ht="28.8" x14ac:dyDescent="0.3">
      <c r="A2498" s="4" t="s">
        <v>5221</v>
      </c>
      <c r="B2498">
        <v>3</v>
      </c>
    </row>
    <row r="2499" spans="1:2" ht="28.8" x14ac:dyDescent="0.3">
      <c r="A2499" s="4" t="s">
        <v>5222</v>
      </c>
      <c r="B2499">
        <v>3</v>
      </c>
    </row>
    <row r="2500" spans="1:2" x14ac:dyDescent="0.3">
      <c r="A2500" s="4" t="s">
        <v>5223</v>
      </c>
      <c r="B2500">
        <v>3</v>
      </c>
    </row>
    <row r="2501" spans="1:2" x14ac:dyDescent="0.3">
      <c r="A2501" s="4" t="s">
        <v>5224</v>
      </c>
      <c r="B2501">
        <v>3</v>
      </c>
    </row>
    <row r="2502" spans="1:2" ht="28.8" x14ac:dyDescent="0.3">
      <c r="A2502" s="4" t="s">
        <v>5225</v>
      </c>
      <c r="B2502">
        <v>3</v>
      </c>
    </row>
    <row r="2503" spans="1:2" ht="28.8" x14ac:dyDescent="0.3">
      <c r="A2503" s="4" t="s">
        <v>5226</v>
      </c>
      <c r="B2503">
        <v>3</v>
      </c>
    </row>
    <row r="2504" spans="1:2" ht="28.8" x14ac:dyDescent="0.3">
      <c r="A2504" s="4" t="s">
        <v>5227</v>
      </c>
      <c r="B2504">
        <v>3</v>
      </c>
    </row>
    <row r="2505" spans="1:2" ht="28.8" x14ac:dyDescent="0.3">
      <c r="A2505" s="4" t="s">
        <v>5228</v>
      </c>
      <c r="B2505">
        <v>3</v>
      </c>
    </row>
    <row r="2506" spans="1:2" ht="28.8" x14ac:dyDescent="0.3">
      <c r="A2506" s="4" t="s">
        <v>5229</v>
      </c>
      <c r="B2506">
        <v>3</v>
      </c>
    </row>
    <row r="2507" spans="1:2" ht="43.2" x14ac:dyDescent="0.3">
      <c r="A2507" s="4" t="s">
        <v>5230</v>
      </c>
      <c r="B2507">
        <v>3</v>
      </c>
    </row>
    <row r="2508" spans="1:2" ht="28.8" x14ac:dyDescent="0.3">
      <c r="A2508" s="4" t="s">
        <v>5231</v>
      </c>
      <c r="B2508">
        <v>3</v>
      </c>
    </row>
    <row r="2509" spans="1:2" ht="43.2" x14ac:dyDescent="0.3">
      <c r="A2509" s="4" t="s">
        <v>5232</v>
      </c>
      <c r="B2509">
        <v>3</v>
      </c>
    </row>
    <row r="2510" spans="1:2" ht="28.8" x14ac:dyDescent="0.3">
      <c r="A2510" s="4" t="s">
        <v>5233</v>
      </c>
      <c r="B2510">
        <v>3</v>
      </c>
    </row>
    <row r="2511" spans="1:2" ht="28.8" x14ac:dyDescent="0.3">
      <c r="A2511" s="4" t="s">
        <v>5234</v>
      </c>
      <c r="B2511">
        <v>3</v>
      </c>
    </row>
    <row r="2512" spans="1:2" ht="43.2" x14ac:dyDescent="0.3">
      <c r="A2512" s="4" t="s">
        <v>5235</v>
      </c>
      <c r="B2512">
        <v>3</v>
      </c>
    </row>
    <row r="2513" spans="1:2" ht="28.8" x14ac:dyDescent="0.3">
      <c r="A2513" s="4" t="s">
        <v>5236</v>
      </c>
      <c r="B2513">
        <v>3</v>
      </c>
    </row>
    <row r="2514" spans="1:2" x14ac:dyDescent="0.3">
      <c r="A2514" s="4" t="s">
        <v>5237</v>
      </c>
      <c r="B2514">
        <v>3</v>
      </c>
    </row>
    <row r="2515" spans="1:2" ht="28.8" x14ac:dyDescent="0.3">
      <c r="A2515" s="4" t="s">
        <v>5238</v>
      </c>
      <c r="B2515">
        <v>3</v>
      </c>
    </row>
    <row r="2516" spans="1:2" x14ac:dyDescent="0.3">
      <c r="A2516" s="4" t="s">
        <v>5239</v>
      </c>
      <c r="B2516">
        <v>3</v>
      </c>
    </row>
    <row r="2517" spans="1:2" ht="43.2" x14ac:dyDescent="0.3">
      <c r="A2517" s="4" t="s">
        <v>5240</v>
      </c>
      <c r="B2517">
        <v>3</v>
      </c>
    </row>
    <row r="2518" spans="1:2" ht="28.8" x14ac:dyDescent="0.3">
      <c r="A2518" s="4" t="s">
        <v>5241</v>
      </c>
      <c r="B2518">
        <v>3</v>
      </c>
    </row>
    <row r="2519" spans="1:2" ht="28.8" x14ac:dyDescent="0.3">
      <c r="A2519" s="4" t="s">
        <v>5242</v>
      </c>
      <c r="B2519">
        <v>3</v>
      </c>
    </row>
    <row r="2520" spans="1:2" ht="43.2" x14ac:dyDescent="0.3">
      <c r="A2520" s="4" t="s">
        <v>5243</v>
      </c>
      <c r="B2520">
        <v>3</v>
      </c>
    </row>
    <row r="2521" spans="1:2" ht="28.8" x14ac:dyDescent="0.3">
      <c r="A2521" s="4" t="s">
        <v>5244</v>
      </c>
      <c r="B2521">
        <v>3</v>
      </c>
    </row>
    <row r="2522" spans="1:2" ht="28.8" x14ac:dyDescent="0.3">
      <c r="A2522" s="4" t="s">
        <v>5245</v>
      </c>
      <c r="B2522">
        <v>3</v>
      </c>
    </row>
    <row r="2523" spans="1:2" x14ac:dyDescent="0.3">
      <c r="A2523" s="4" t="s">
        <v>5246</v>
      </c>
      <c r="B2523">
        <v>3</v>
      </c>
    </row>
    <row r="2524" spans="1:2" ht="28.8" x14ac:dyDescent="0.3">
      <c r="A2524" s="4" t="s">
        <v>5247</v>
      </c>
      <c r="B2524">
        <v>3</v>
      </c>
    </row>
    <row r="2525" spans="1:2" ht="28.8" x14ac:dyDescent="0.3">
      <c r="A2525" s="4" t="s">
        <v>5248</v>
      </c>
      <c r="B2525">
        <v>3</v>
      </c>
    </row>
    <row r="2526" spans="1:2" ht="28.8" x14ac:dyDescent="0.3">
      <c r="A2526" s="4" t="s">
        <v>5249</v>
      </c>
      <c r="B2526">
        <v>3</v>
      </c>
    </row>
    <row r="2527" spans="1:2" ht="28.8" x14ac:dyDescent="0.3">
      <c r="A2527" s="4" t="s">
        <v>5250</v>
      </c>
      <c r="B2527">
        <v>3</v>
      </c>
    </row>
    <row r="2528" spans="1:2" ht="28.8" x14ac:dyDescent="0.3">
      <c r="A2528" s="4" t="s">
        <v>5251</v>
      </c>
      <c r="B2528">
        <v>3</v>
      </c>
    </row>
    <row r="2529" spans="1:2" ht="43.2" x14ac:dyDescent="0.3">
      <c r="A2529" s="4" t="s">
        <v>5252</v>
      </c>
      <c r="B2529">
        <v>3</v>
      </c>
    </row>
    <row r="2530" spans="1:2" x14ac:dyDescent="0.3">
      <c r="A2530" s="4" t="s">
        <v>5253</v>
      </c>
      <c r="B2530">
        <v>3</v>
      </c>
    </row>
    <row r="2531" spans="1:2" ht="28.8" x14ac:dyDescent="0.3">
      <c r="A2531" s="4" t="s">
        <v>5254</v>
      </c>
      <c r="B2531">
        <v>3</v>
      </c>
    </row>
    <row r="2532" spans="1:2" ht="28.8" x14ac:dyDescent="0.3">
      <c r="A2532" s="4" t="s">
        <v>5255</v>
      </c>
      <c r="B2532">
        <v>3</v>
      </c>
    </row>
    <row r="2533" spans="1:2" ht="43.2" x14ac:dyDescent="0.3">
      <c r="A2533" s="4" t="s">
        <v>5256</v>
      </c>
      <c r="B2533">
        <v>3</v>
      </c>
    </row>
    <row r="2534" spans="1:2" ht="28.8" x14ac:dyDescent="0.3">
      <c r="A2534" s="4" t="s">
        <v>5257</v>
      </c>
      <c r="B2534">
        <v>3</v>
      </c>
    </row>
    <row r="2535" spans="1:2" ht="28.8" x14ac:dyDescent="0.3">
      <c r="A2535" s="4" t="s">
        <v>5258</v>
      </c>
      <c r="B2535">
        <v>3</v>
      </c>
    </row>
    <row r="2536" spans="1:2" x14ac:dyDescent="0.3">
      <c r="A2536" s="4" t="s">
        <v>5259</v>
      </c>
      <c r="B2536">
        <v>3</v>
      </c>
    </row>
    <row r="2537" spans="1:2" ht="28.8" x14ac:dyDescent="0.3">
      <c r="A2537" s="4" t="s">
        <v>5260</v>
      </c>
      <c r="B2537">
        <v>3</v>
      </c>
    </row>
    <row r="2538" spans="1:2" ht="43.2" x14ac:dyDescent="0.3">
      <c r="A2538" s="4" t="s">
        <v>5261</v>
      </c>
      <c r="B2538">
        <v>3</v>
      </c>
    </row>
    <row r="2539" spans="1:2" ht="28.8" x14ac:dyDescent="0.3">
      <c r="A2539" s="4" t="s">
        <v>5262</v>
      </c>
      <c r="B2539">
        <v>3</v>
      </c>
    </row>
    <row r="2540" spans="1:2" ht="28.8" x14ac:dyDescent="0.3">
      <c r="A2540" s="4" t="s">
        <v>5263</v>
      </c>
      <c r="B2540">
        <v>3</v>
      </c>
    </row>
    <row r="2541" spans="1:2" x14ac:dyDescent="0.3">
      <c r="A2541" s="4" t="s">
        <v>5264</v>
      </c>
      <c r="B2541">
        <v>3</v>
      </c>
    </row>
    <row r="2542" spans="1:2" ht="28.8" x14ac:dyDescent="0.3">
      <c r="A2542" s="4" t="s">
        <v>5265</v>
      </c>
      <c r="B2542">
        <v>3</v>
      </c>
    </row>
    <row r="2543" spans="1:2" ht="28.8" x14ac:dyDescent="0.3">
      <c r="A2543" s="4" t="s">
        <v>5266</v>
      </c>
      <c r="B2543">
        <v>3</v>
      </c>
    </row>
    <row r="2544" spans="1:2" ht="28.8" x14ac:dyDescent="0.3">
      <c r="A2544" s="4" t="s">
        <v>5267</v>
      </c>
      <c r="B2544">
        <v>3</v>
      </c>
    </row>
    <row r="2545" spans="1:2" ht="43.2" x14ac:dyDescent="0.3">
      <c r="A2545" s="4" t="s">
        <v>5268</v>
      </c>
      <c r="B2545">
        <v>3</v>
      </c>
    </row>
    <row r="2546" spans="1:2" ht="28.8" x14ac:dyDescent="0.3">
      <c r="A2546" s="4" t="s">
        <v>5269</v>
      </c>
      <c r="B2546">
        <v>3</v>
      </c>
    </row>
    <row r="2547" spans="1:2" x14ac:dyDescent="0.3">
      <c r="A2547" s="4" t="s">
        <v>5270</v>
      </c>
      <c r="B2547">
        <v>3</v>
      </c>
    </row>
    <row r="2548" spans="1:2" ht="43.2" x14ac:dyDescent="0.3">
      <c r="A2548" s="4" t="s">
        <v>5271</v>
      </c>
      <c r="B2548">
        <v>3</v>
      </c>
    </row>
    <row r="2549" spans="1:2" ht="28.8" x14ac:dyDescent="0.3">
      <c r="A2549" s="4" t="s">
        <v>5272</v>
      </c>
      <c r="B2549">
        <v>3</v>
      </c>
    </row>
    <row r="2550" spans="1:2" ht="43.2" x14ac:dyDescent="0.3">
      <c r="A2550" s="4" t="s">
        <v>5273</v>
      </c>
      <c r="B2550">
        <v>3</v>
      </c>
    </row>
    <row r="2551" spans="1:2" ht="28.8" x14ac:dyDescent="0.3">
      <c r="A2551" s="4" t="s">
        <v>5274</v>
      </c>
      <c r="B2551">
        <v>3</v>
      </c>
    </row>
    <row r="2552" spans="1:2" ht="28.8" x14ac:dyDescent="0.3">
      <c r="A2552" s="4" t="s">
        <v>5275</v>
      </c>
      <c r="B2552">
        <v>3</v>
      </c>
    </row>
    <row r="2553" spans="1:2" x14ac:dyDescent="0.3">
      <c r="A2553" s="4" t="s">
        <v>5276</v>
      </c>
      <c r="B2553">
        <v>3</v>
      </c>
    </row>
    <row r="2554" spans="1:2" ht="28.8" x14ac:dyDescent="0.3">
      <c r="A2554" s="4" t="s">
        <v>5277</v>
      </c>
      <c r="B2554">
        <v>3</v>
      </c>
    </row>
    <row r="2555" spans="1:2" ht="28.8" x14ac:dyDescent="0.3">
      <c r="A2555" s="4" t="s">
        <v>5278</v>
      </c>
      <c r="B2555">
        <v>3</v>
      </c>
    </row>
    <row r="2556" spans="1:2" ht="28.8" x14ac:dyDescent="0.3">
      <c r="A2556" s="4" t="s">
        <v>5279</v>
      </c>
      <c r="B2556">
        <v>3</v>
      </c>
    </row>
    <row r="2557" spans="1:2" x14ac:dyDescent="0.3">
      <c r="A2557" s="4" t="s">
        <v>5280</v>
      </c>
      <c r="B2557">
        <v>3</v>
      </c>
    </row>
    <row r="2558" spans="1:2" ht="28.8" x14ac:dyDescent="0.3">
      <c r="A2558" s="4" t="s">
        <v>5281</v>
      </c>
      <c r="B2558">
        <v>3</v>
      </c>
    </row>
    <row r="2559" spans="1:2" ht="43.2" x14ac:dyDescent="0.3">
      <c r="A2559" s="4" t="s">
        <v>5282</v>
      </c>
      <c r="B2559">
        <v>3</v>
      </c>
    </row>
    <row r="2560" spans="1:2" x14ac:dyDescent="0.3">
      <c r="A2560" s="4" t="s">
        <v>5283</v>
      </c>
      <c r="B2560">
        <v>3</v>
      </c>
    </row>
    <row r="2561" spans="1:2" ht="28.8" x14ac:dyDescent="0.3">
      <c r="A2561" s="4" t="s">
        <v>5284</v>
      </c>
      <c r="B2561">
        <v>3</v>
      </c>
    </row>
    <row r="2562" spans="1:2" ht="28.8" x14ac:dyDescent="0.3">
      <c r="A2562" s="4" t="s">
        <v>5285</v>
      </c>
      <c r="B2562">
        <v>3</v>
      </c>
    </row>
    <row r="2563" spans="1:2" ht="43.2" x14ac:dyDescent="0.3">
      <c r="A2563" s="4" t="s">
        <v>5286</v>
      </c>
      <c r="B2563">
        <v>3</v>
      </c>
    </row>
    <row r="2564" spans="1:2" ht="28.8" x14ac:dyDescent="0.3">
      <c r="A2564" s="4" t="s">
        <v>5287</v>
      </c>
      <c r="B2564">
        <v>3</v>
      </c>
    </row>
    <row r="2565" spans="1:2" ht="28.8" x14ac:dyDescent="0.3">
      <c r="A2565" s="4" t="s">
        <v>5288</v>
      </c>
      <c r="B2565">
        <v>3</v>
      </c>
    </row>
    <row r="2566" spans="1:2" ht="28.8" x14ac:dyDescent="0.3">
      <c r="A2566" s="4" t="s">
        <v>5289</v>
      </c>
      <c r="B2566">
        <v>3</v>
      </c>
    </row>
    <row r="2567" spans="1:2" ht="28.8" x14ac:dyDescent="0.3">
      <c r="A2567" s="4" t="s">
        <v>5290</v>
      </c>
      <c r="B2567">
        <v>3</v>
      </c>
    </row>
    <row r="2568" spans="1:2" ht="28.8" x14ac:dyDescent="0.3">
      <c r="A2568" s="4" t="s">
        <v>5291</v>
      </c>
      <c r="B2568">
        <v>3</v>
      </c>
    </row>
    <row r="2569" spans="1:2" ht="28.8" x14ac:dyDescent="0.3">
      <c r="A2569" s="4" t="s">
        <v>5292</v>
      </c>
      <c r="B2569">
        <v>3</v>
      </c>
    </row>
    <row r="2570" spans="1:2" ht="28.8" x14ac:dyDescent="0.3">
      <c r="A2570" s="4" t="s">
        <v>5293</v>
      </c>
      <c r="B2570">
        <v>3</v>
      </c>
    </row>
    <row r="2571" spans="1:2" ht="28.8" x14ac:dyDescent="0.3">
      <c r="A2571" s="4" t="s">
        <v>5294</v>
      </c>
      <c r="B2571">
        <v>3</v>
      </c>
    </row>
    <row r="2572" spans="1:2" ht="43.2" x14ac:dyDescent="0.3">
      <c r="A2572" s="4" t="s">
        <v>5295</v>
      </c>
      <c r="B2572">
        <v>3</v>
      </c>
    </row>
    <row r="2573" spans="1:2" x14ac:dyDescent="0.3">
      <c r="A2573" s="4" t="s">
        <v>5296</v>
      </c>
      <c r="B2573">
        <v>3</v>
      </c>
    </row>
    <row r="2574" spans="1:2" ht="28.8" x14ac:dyDescent="0.3">
      <c r="A2574" s="4" t="s">
        <v>5297</v>
      </c>
      <c r="B2574">
        <v>3</v>
      </c>
    </row>
    <row r="2575" spans="1:2" ht="28.8" x14ac:dyDescent="0.3">
      <c r="A2575" s="4" t="s">
        <v>5298</v>
      </c>
      <c r="B2575">
        <v>3</v>
      </c>
    </row>
    <row r="2576" spans="1:2" ht="28.8" x14ac:dyDescent="0.3">
      <c r="A2576" s="4" t="s">
        <v>5299</v>
      </c>
      <c r="B2576">
        <v>3</v>
      </c>
    </row>
    <row r="2577" spans="1:2" ht="28.8" x14ac:dyDescent="0.3">
      <c r="A2577" s="4" t="s">
        <v>5300</v>
      </c>
      <c r="B2577">
        <v>3</v>
      </c>
    </row>
    <row r="2578" spans="1:2" ht="28.8" x14ac:dyDescent="0.3">
      <c r="A2578" s="4" t="s">
        <v>5301</v>
      </c>
      <c r="B2578">
        <v>3</v>
      </c>
    </row>
    <row r="2579" spans="1:2" ht="43.2" x14ac:dyDescent="0.3">
      <c r="A2579" s="4" t="s">
        <v>5302</v>
      </c>
      <c r="B2579">
        <v>3</v>
      </c>
    </row>
    <row r="2580" spans="1:2" ht="43.2" x14ac:dyDescent="0.3">
      <c r="A2580" s="4" t="s">
        <v>5303</v>
      </c>
      <c r="B2580">
        <v>3</v>
      </c>
    </row>
    <row r="2581" spans="1:2" ht="28.8" x14ac:dyDescent="0.3">
      <c r="A2581" s="4" t="s">
        <v>5304</v>
      </c>
      <c r="B2581">
        <v>3</v>
      </c>
    </row>
    <row r="2582" spans="1:2" ht="28.8" x14ac:dyDescent="0.3">
      <c r="A2582" s="4" t="s">
        <v>5305</v>
      </c>
      <c r="B2582">
        <v>3</v>
      </c>
    </row>
    <row r="2583" spans="1:2" ht="28.8" x14ac:dyDescent="0.3">
      <c r="A2583" s="4" t="s">
        <v>5306</v>
      </c>
      <c r="B2583">
        <v>3</v>
      </c>
    </row>
    <row r="2584" spans="1:2" ht="28.8" x14ac:dyDescent="0.3">
      <c r="A2584" s="4" t="s">
        <v>5307</v>
      </c>
      <c r="B2584">
        <v>3</v>
      </c>
    </row>
    <row r="2585" spans="1:2" ht="28.8" x14ac:dyDescent="0.3">
      <c r="A2585" s="4" t="s">
        <v>5308</v>
      </c>
      <c r="B2585">
        <v>3</v>
      </c>
    </row>
    <row r="2586" spans="1:2" ht="43.2" x14ac:dyDescent="0.3">
      <c r="A2586" s="4" t="s">
        <v>5309</v>
      </c>
      <c r="B2586">
        <v>3</v>
      </c>
    </row>
    <row r="2587" spans="1:2" ht="28.8" x14ac:dyDescent="0.3">
      <c r="A2587" s="4" t="s">
        <v>5310</v>
      </c>
      <c r="B2587">
        <v>3</v>
      </c>
    </row>
    <row r="2588" spans="1:2" ht="28.8" x14ac:dyDescent="0.3">
      <c r="A2588" s="4" t="s">
        <v>5311</v>
      </c>
      <c r="B2588">
        <v>3</v>
      </c>
    </row>
    <row r="2589" spans="1:2" ht="28.8" x14ac:dyDescent="0.3">
      <c r="A2589" s="4" t="s">
        <v>5312</v>
      </c>
      <c r="B2589">
        <v>3</v>
      </c>
    </row>
    <row r="2590" spans="1:2" ht="28.8" x14ac:dyDescent="0.3">
      <c r="A2590" s="4" t="s">
        <v>5313</v>
      </c>
      <c r="B2590">
        <v>3</v>
      </c>
    </row>
    <row r="2591" spans="1:2" ht="28.8" x14ac:dyDescent="0.3">
      <c r="A2591" s="4" t="s">
        <v>5314</v>
      </c>
      <c r="B2591">
        <v>3</v>
      </c>
    </row>
    <row r="2592" spans="1:2" x14ac:dyDescent="0.3">
      <c r="A2592" s="4" t="s">
        <v>5315</v>
      </c>
      <c r="B2592">
        <v>3</v>
      </c>
    </row>
    <row r="2593" spans="1:2" ht="28.8" x14ac:dyDescent="0.3">
      <c r="A2593" s="4" t="s">
        <v>5316</v>
      </c>
      <c r="B2593">
        <v>3</v>
      </c>
    </row>
    <row r="2594" spans="1:2" ht="28.8" x14ac:dyDescent="0.3">
      <c r="A2594" s="4" t="s">
        <v>5317</v>
      </c>
      <c r="B2594">
        <v>3</v>
      </c>
    </row>
    <row r="2595" spans="1:2" ht="28.8" x14ac:dyDescent="0.3">
      <c r="A2595" s="4" t="s">
        <v>5318</v>
      </c>
      <c r="B2595">
        <v>3</v>
      </c>
    </row>
    <row r="2596" spans="1:2" ht="28.8" x14ac:dyDescent="0.3">
      <c r="A2596" s="4" t="s">
        <v>5319</v>
      </c>
      <c r="B2596">
        <v>3</v>
      </c>
    </row>
    <row r="2597" spans="1:2" ht="28.8" x14ac:dyDescent="0.3">
      <c r="A2597" s="4" t="s">
        <v>5320</v>
      </c>
      <c r="B2597">
        <v>3</v>
      </c>
    </row>
    <row r="2598" spans="1:2" ht="43.2" x14ac:dyDescent="0.3">
      <c r="A2598" s="4" t="s">
        <v>5321</v>
      </c>
      <c r="B2598">
        <v>3</v>
      </c>
    </row>
    <row r="2599" spans="1:2" x14ac:dyDescent="0.3">
      <c r="A2599" s="4" t="s">
        <v>5322</v>
      </c>
      <c r="B2599">
        <v>3</v>
      </c>
    </row>
    <row r="2600" spans="1:2" x14ac:dyDescent="0.3">
      <c r="A2600" s="4" t="s">
        <v>5323</v>
      </c>
      <c r="B2600">
        <v>3</v>
      </c>
    </row>
    <row r="2601" spans="1:2" ht="28.8" x14ac:dyDescent="0.3">
      <c r="A2601" s="4" t="s">
        <v>5324</v>
      </c>
      <c r="B2601">
        <v>3</v>
      </c>
    </row>
    <row r="2602" spans="1:2" x14ac:dyDescent="0.3">
      <c r="A2602" s="4" t="s">
        <v>5325</v>
      </c>
      <c r="B2602">
        <v>3</v>
      </c>
    </row>
    <row r="2603" spans="1:2" ht="28.8" x14ac:dyDescent="0.3">
      <c r="A2603" s="4" t="s">
        <v>5326</v>
      </c>
      <c r="B2603">
        <v>3</v>
      </c>
    </row>
    <row r="2604" spans="1:2" ht="28.8" x14ac:dyDescent="0.3">
      <c r="A2604" s="4" t="s">
        <v>5327</v>
      </c>
      <c r="B2604">
        <v>3</v>
      </c>
    </row>
    <row r="2605" spans="1:2" ht="28.8" x14ac:dyDescent="0.3">
      <c r="A2605" s="4" t="s">
        <v>5328</v>
      </c>
      <c r="B2605">
        <v>3</v>
      </c>
    </row>
    <row r="2606" spans="1:2" ht="28.8" x14ac:dyDescent="0.3">
      <c r="A2606" s="4" t="s">
        <v>5329</v>
      </c>
      <c r="B2606">
        <v>3</v>
      </c>
    </row>
    <row r="2607" spans="1:2" ht="28.8" x14ac:dyDescent="0.3">
      <c r="A2607" s="4" t="s">
        <v>5330</v>
      </c>
      <c r="B2607">
        <v>3</v>
      </c>
    </row>
    <row r="2608" spans="1:2" ht="28.8" x14ac:dyDescent="0.3">
      <c r="A2608" s="4" t="s">
        <v>5331</v>
      </c>
      <c r="B2608">
        <v>3</v>
      </c>
    </row>
    <row r="2609" spans="1:2" ht="43.2" x14ac:dyDescent="0.3">
      <c r="A2609" s="4" t="s">
        <v>5332</v>
      </c>
      <c r="B2609">
        <v>3</v>
      </c>
    </row>
    <row r="2610" spans="1:2" ht="43.2" x14ac:dyDescent="0.3">
      <c r="A2610" s="4" t="s">
        <v>5333</v>
      </c>
      <c r="B2610">
        <v>3</v>
      </c>
    </row>
    <row r="2611" spans="1:2" ht="28.8" x14ac:dyDescent="0.3">
      <c r="A2611" s="4" t="s">
        <v>5334</v>
      </c>
      <c r="B2611">
        <v>3</v>
      </c>
    </row>
    <row r="2612" spans="1:2" ht="28.8" x14ac:dyDescent="0.3">
      <c r="A2612" s="4" t="s">
        <v>5335</v>
      </c>
      <c r="B2612">
        <v>3</v>
      </c>
    </row>
    <row r="2613" spans="1:2" ht="28.8" x14ac:dyDescent="0.3">
      <c r="A2613" s="4" t="s">
        <v>5336</v>
      </c>
      <c r="B2613">
        <v>3</v>
      </c>
    </row>
    <row r="2614" spans="1:2" ht="28.8" x14ac:dyDescent="0.3">
      <c r="A2614" s="4" t="s">
        <v>5337</v>
      </c>
      <c r="B2614">
        <v>3</v>
      </c>
    </row>
    <row r="2615" spans="1:2" ht="28.8" x14ac:dyDescent="0.3">
      <c r="A2615" s="4" t="s">
        <v>5338</v>
      </c>
      <c r="B2615">
        <v>3</v>
      </c>
    </row>
    <row r="2616" spans="1:2" x14ac:dyDescent="0.3">
      <c r="A2616" s="4" t="s">
        <v>5339</v>
      </c>
      <c r="B2616">
        <v>3</v>
      </c>
    </row>
    <row r="2617" spans="1:2" ht="28.8" x14ac:dyDescent="0.3">
      <c r="A2617" s="4" t="s">
        <v>5340</v>
      </c>
      <c r="B2617">
        <v>3</v>
      </c>
    </row>
    <row r="2618" spans="1:2" ht="28.8" x14ac:dyDescent="0.3">
      <c r="A2618" s="4" t="s">
        <v>5341</v>
      </c>
      <c r="B2618">
        <v>3</v>
      </c>
    </row>
    <row r="2619" spans="1:2" x14ac:dyDescent="0.3">
      <c r="A2619" s="4" t="s">
        <v>5342</v>
      </c>
      <c r="B2619">
        <v>3</v>
      </c>
    </row>
    <row r="2620" spans="1:2" ht="28.8" x14ac:dyDescent="0.3">
      <c r="A2620" s="4" t="s">
        <v>5343</v>
      </c>
      <c r="B2620">
        <v>3</v>
      </c>
    </row>
    <row r="2621" spans="1:2" ht="28.8" x14ac:dyDescent="0.3">
      <c r="A2621" s="4" t="s">
        <v>5344</v>
      </c>
      <c r="B2621">
        <v>3</v>
      </c>
    </row>
    <row r="2622" spans="1:2" ht="28.8" x14ac:dyDescent="0.3">
      <c r="A2622" s="4" t="s">
        <v>5345</v>
      </c>
      <c r="B2622">
        <v>3</v>
      </c>
    </row>
    <row r="2623" spans="1:2" ht="28.8" x14ac:dyDescent="0.3">
      <c r="A2623" s="4" t="s">
        <v>5346</v>
      </c>
      <c r="B2623">
        <v>3</v>
      </c>
    </row>
    <row r="2624" spans="1:2" ht="28.8" x14ac:dyDescent="0.3">
      <c r="A2624" s="4" t="s">
        <v>5347</v>
      </c>
      <c r="B2624">
        <v>3</v>
      </c>
    </row>
    <row r="2625" spans="1:2" x14ac:dyDescent="0.3">
      <c r="A2625" s="4" t="s">
        <v>5348</v>
      </c>
      <c r="B2625">
        <v>3</v>
      </c>
    </row>
    <row r="2626" spans="1:2" ht="28.8" x14ac:dyDescent="0.3">
      <c r="A2626" s="4" t="s">
        <v>5349</v>
      </c>
      <c r="B2626">
        <v>3</v>
      </c>
    </row>
    <row r="2627" spans="1:2" ht="28.8" x14ac:dyDescent="0.3">
      <c r="A2627" s="4" t="s">
        <v>5350</v>
      </c>
      <c r="B2627">
        <v>3</v>
      </c>
    </row>
    <row r="2628" spans="1:2" ht="28.8" x14ac:dyDescent="0.3">
      <c r="A2628" s="4" t="s">
        <v>5351</v>
      </c>
      <c r="B2628">
        <v>3</v>
      </c>
    </row>
    <row r="2629" spans="1:2" ht="28.8" x14ac:dyDescent="0.3">
      <c r="A2629" s="4" t="s">
        <v>5352</v>
      </c>
      <c r="B2629">
        <v>3</v>
      </c>
    </row>
    <row r="2630" spans="1:2" ht="28.8" x14ac:dyDescent="0.3">
      <c r="A2630" s="4" t="s">
        <v>5353</v>
      </c>
      <c r="B2630">
        <v>3</v>
      </c>
    </row>
    <row r="2631" spans="1:2" ht="28.8" x14ac:dyDescent="0.3">
      <c r="A2631" s="4" t="s">
        <v>5354</v>
      </c>
      <c r="B2631">
        <v>3</v>
      </c>
    </row>
    <row r="2632" spans="1:2" ht="43.2" x14ac:dyDescent="0.3">
      <c r="A2632" s="4" t="s">
        <v>5355</v>
      </c>
      <c r="B2632">
        <v>3</v>
      </c>
    </row>
    <row r="2633" spans="1:2" ht="28.8" x14ac:dyDescent="0.3">
      <c r="A2633" s="4" t="s">
        <v>5356</v>
      </c>
      <c r="B2633">
        <v>3</v>
      </c>
    </row>
    <row r="2634" spans="1:2" ht="28.8" x14ac:dyDescent="0.3">
      <c r="A2634" s="4" t="s">
        <v>5357</v>
      </c>
      <c r="B2634">
        <v>3</v>
      </c>
    </row>
    <row r="2635" spans="1:2" ht="28.8" x14ac:dyDescent="0.3">
      <c r="A2635" s="4" t="s">
        <v>5358</v>
      </c>
      <c r="B2635">
        <v>3</v>
      </c>
    </row>
    <row r="2636" spans="1:2" ht="28.8" x14ac:dyDescent="0.3">
      <c r="A2636" s="4" t="s">
        <v>5359</v>
      </c>
      <c r="B2636">
        <v>3</v>
      </c>
    </row>
    <row r="2637" spans="1:2" ht="28.8" x14ac:dyDescent="0.3">
      <c r="A2637" s="4" t="s">
        <v>5360</v>
      </c>
      <c r="B2637">
        <v>3</v>
      </c>
    </row>
    <row r="2638" spans="1:2" ht="43.2" x14ac:dyDescent="0.3">
      <c r="A2638" s="4" t="s">
        <v>5361</v>
      </c>
      <c r="B2638">
        <v>3</v>
      </c>
    </row>
    <row r="2639" spans="1:2" ht="43.2" x14ac:dyDescent="0.3">
      <c r="A2639" s="4" t="s">
        <v>5362</v>
      </c>
      <c r="B2639">
        <v>3</v>
      </c>
    </row>
    <row r="2640" spans="1:2" ht="28.8" x14ac:dyDescent="0.3">
      <c r="A2640" s="4" t="s">
        <v>5363</v>
      </c>
      <c r="B2640">
        <v>3</v>
      </c>
    </row>
    <row r="2641" spans="1:2" ht="28.8" x14ac:dyDescent="0.3">
      <c r="A2641" s="4" t="s">
        <v>5364</v>
      </c>
      <c r="B2641">
        <v>3</v>
      </c>
    </row>
    <row r="2642" spans="1:2" ht="72" x14ac:dyDescent="0.3">
      <c r="A2642" s="4" t="s">
        <v>5365</v>
      </c>
      <c r="B2642">
        <v>3</v>
      </c>
    </row>
    <row r="2643" spans="1:2" ht="28.8" x14ac:dyDescent="0.3">
      <c r="A2643" s="4" t="s">
        <v>5366</v>
      </c>
      <c r="B2643">
        <v>3</v>
      </c>
    </row>
    <row r="2644" spans="1:2" ht="28.8" x14ac:dyDescent="0.3">
      <c r="A2644" s="4" t="s">
        <v>5367</v>
      </c>
      <c r="B2644">
        <v>3</v>
      </c>
    </row>
    <row r="2645" spans="1:2" ht="28.8" x14ac:dyDescent="0.3">
      <c r="A2645" s="4" t="s">
        <v>5368</v>
      </c>
      <c r="B2645">
        <v>3</v>
      </c>
    </row>
    <row r="2646" spans="1:2" ht="28.8" x14ac:dyDescent="0.3">
      <c r="A2646" s="4" t="s">
        <v>5369</v>
      </c>
      <c r="B2646">
        <v>3</v>
      </c>
    </row>
    <row r="2647" spans="1:2" ht="28.8" x14ac:dyDescent="0.3">
      <c r="A2647" s="4" t="s">
        <v>5370</v>
      </c>
      <c r="B2647">
        <v>3</v>
      </c>
    </row>
    <row r="2648" spans="1:2" ht="28.8" x14ac:dyDescent="0.3">
      <c r="A2648" s="4" t="s">
        <v>5371</v>
      </c>
      <c r="B2648">
        <v>3</v>
      </c>
    </row>
    <row r="2649" spans="1:2" ht="28.8" x14ac:dyDescent="0.3">
      <c r="A2649" s="4" t="s">
        <v>5372</v>
      </c>
      <c r="B2649">
        <v>3</v>
      </c>
    </row>
    <row r="2650" spans="1:2" ht="43.2" x14ac:dyDescent="0.3">
      <c r="A2650" s="4" t="s">
        <v>5373</v>
      </c>
      <c r="B2650">
        <v>3</v>
      </c>
    </row>
    <row r="2651" spans="1:2" ht="43.2" x14ac:dyDescent="0.3">
      <c r="A2651" s="4" t="s">
        <v>5374</v>
      </c>
      <c r="B2651">
        <v>3</v>
      </c>
    </row>
    <row r="2652" spans="1:2" ht="28.8" x14ac:dyDescent="0.3">
      <c r="A2652" s="4" t="s">
        <v>5375</v>
      </c>
      <c r="B2652">
        <v>3</v>
      </c>
    </row>
    <row r="2653" spans="1:2" ht="57.6" x14ac:dyDescent="0.3">
      <c r="A2653" s="4" t="s">
        <v>5376</v>
      </c>
      <c r="B2653">
        <v>3</v>
      </c>
    </row>
    <row r="2654" spans="1:2" ht="28.8" x14ac:dyDescent="0.3">
      <c r="A2654" s="4" t="s">
        <v>5377</v>
      </c>
      <c r="B2654">
        <v>3</v>
      </c>
    </row>
    <row r="2655" spans="1:2" ht="28.8" x14ac:dyDescent="0.3">
      <c r="A2655" s="4" t="s">
        <v>5378</v>
      </c>
      <c r="B2655">
        <v>3</v>
      </c>
    </row>
    <row r="2656" spans="1:2" ht="28.8" x14ac:dyDescent="0.3">
      <c r="A2656" s="4" t="s">
        <v>5379</v>
      </c>
      <c r="B2656">
        <v>3</v>
      </c>
    </row>
    <row r="2657" spans="1:2" ht="28.8" x14ac:dyDescent="0.3">
      <c r="A2657" s="4" t="s">
        <v>5380</v>
      </c>
      <c r="B2657">
        <v>3</v>
      </c>
    </row>
    <row r="2658" spans="1:2" ht="28.8" x14ac:dyDescent="0.3">
      <c r="A2658" s="4" t="s">
        <v>5381</v>
      </c>
      <c r="B2658">
        <v>3</v>
      </c>
    </row>
    <row r="2659" spans="1:2" ht="28.8" x14ac:dyDescent="0.3">
      <c r="A2659" s="4" t="s">
        <v>5382</v>
      </c>
      <c r="B2659">
        <v>3</v>
      </c>
    </row>
    <row r="2660" spans="1:2" ht="28.8" x14ac:dyDescent="0.3">
      <c r="A2660" s="4" t="s">
        <v>5383</v>
      </c>
      <c r="B2660">
        <v>3</v>
      </c>
    </row>
    <row r="2661" spans="1:2" x14ac:dyDescent="0.3">
      <c r="A2661" s="4" t="s">
        <v>5384</v>
      </c>
      <c r="B2661">
        <v>3</v>
      </c>
    </row>
    <row r="2662" spans="1:2" ht="28.8" x14ac:dyDescent="0.3">
      <c r="A2662" s="4" t="s">
        <v>5385</v>
      </c>
      <c r="B2662">
        <v>3</v>
      </c>
    </row>
    <row r="2663" spans="1:2" x14ac:dyDescent="0.3">
      <c r="A2663" s="4" t="s">
        <v>5386</v>
      </c>
      <c r="B2663">
        <v>3</v>
      </c>
    </row>
    <row r="2664" spans="1:2" ht="28.8" x14ac:dyDescent="0.3">
      <c r="A2664" s="4" t="s">
        <v>5387</v>
      </c>
      <c r="B2664">
        <v>3</v>
      </c>
    </row>
    <row r="2665" spans="1:2" ht="28.8" x14ac:dyDescent="0.3">
      <c r="A2665" s="4" t="s">
        <v>5388</v>
      </c>
      <c r="B2665">
        <v>3</v>
      </c>
    </row>
    <row r="2666" spans="1:2" ht="28.8" x14ac:dyDescent="0.3">
      <c r="A2666" s="4" t="s">
        <v>5389</v>
      </c>
      <c r="B2666">
        <v>3</v>
      </c>
    </row>
    <row r="2667" spans="1:2" ht="28.8" x14ac:dyDescent="0.3">
      <c r="A2667" s="4" t="s">
        <v>5390</v>
      </c>
      <c r="B2667">
        <v>3</v>
      </c>
    </row>
    <row r="2668" spans="1:2" ht="28.8" x14ac:dyDescent="0.3">
      <c r="A2668" s="4" t="s">
        <v>5391</v>
      </c>
      <c r="B2668">
        <v>3</v>
      </c>
    </row>
    <row r="2669" spans="1:2" ht="57.6" x14ac:dyDescent="0.3">
      <c r="A2669" s="4" t="s">
        <v>5392</v>
      </c>
      <c r="B2669">
        <v>3</v>
      </c>
    </row>
    <row r="2670" spans="1:2" ht="28.8" x14ac:dyDescent="0.3">
      <c r="A2670" s="4" t="s">
        <v>5393</v>
      </c>
      <c r="B2670">
        <v>3</v>
      </c>
    </row>
    <row r="2671" spans="1:2" ht="28.8" x14ac:dyDescent="0.3">
      <c r="A2671" s="4" t="s">
        <v>5394</v>
      </c>
      <c r="B2671">
        <v>3</v>
      </c>
    </row>
    <row r="2672" spans="1:2" x14ac:dyDescent="0.3">
      <c r="A2672" s="4" t="s">
        <v>5395</v>
      </c>
      <c r="B2672">
        <v>3</v>
      </c>
    </row>
    <row r="2673" spans="1:2" ht="28.8" x14ac:dyDescent="0.3">
      <c r="A2673" s="4" t="s">
        <v>5396</v>
      </c>
      <c r="B2673">
        <v>3</v>
      </c>
    </row>
    <row r="2674" spans="1:2" ht="28.8" x14ac:dyDescent="0.3">
      <c r="A2674" s="4" t="s">
        <v>5397</v>
      </c>
      <c r="B2674">
        <v>3</v>
      </c>
    </row>
    <row r="2675" spans="1:2" ht="28.8" x14ac:dyDescent="0.3">
      <c r="A2675" s="4" t="s">
        <v>5398</v>
      </c>
      <c r="B2675">
        <v>3</v>
      </c>
    </row>
    <row r="2676" spans="1:2" ht="28.8" x14ac:dyDescent="0.3">
      <c r="A2676" s="4" t="s">
        <v>5399</v>
      </c>
      <c r="B2676">
        <v>3</v>
      </c>
    </row>
    <row r="2677" spans="1:2" ht="28.8" x14ac:dyDescent="0.3">
      <c r="A2677" s="4" t="s">
        <v>5400</v>
      </c>
      <c r="B2677">
        <v>3</v>
      </c>
    </row>
    <row r="2678" spans="1:2" ht="28.8" x14ac:dyDescent="0.3">
      <c r="A2678" s="4" t="s">
        <v>5401</v>
      </c>
      <c r="B2678">
        <v>3</v>
      </c>
    </row>
    <row r="2679" spans="1:2" ht="43.2" x14ac:dyDescent="0.3">
      <c r="A2679" s="4" t="s">
        <v>5402</v>
      </c>
      <c r="B2679">
        <v>3</v>
      </c>
    </row>
    <row r="2680" spans="1:2" ht="28.8" x14ac:dyDescent="0.3">
      <c r="A2680" s="4" t="s">
        <v>5403</v>
      </c>
      <c r="B2680">
        <v>3</v>
      </c>
    </row>
    <row r="2681" spans="1:2" ht="28.8" x14ac:dyDescent="0.3">
      <c r="A2681" s="4" t="s">
        <v>5404</v>
      </c>
      <c r="B2681">
        <v>3</v>
      </c>
    </row>
    <row r="2682" spans="1:2" x14ac:dyDescent="0.3">
      <c r="A2682" s="4" t="s">
        <v>5405</v>
      </c>
      <c r="B2682">
        <v>3</v>
      </c>
    </row>
    <row r="2683" spans="1:2" ht="28.8" x14ac:dyDescent="0.3">
      <c r="A2683" s="4" t="s">
        <v>5406</v>
      </c>
      <c r="B2683">
        <v>3</v>
      </c>
    </row>
    <row r="2684" spans="1:2" ht="28.8" x14ac:dyDescent="0.3">
      <c r="A2684" s="4" t="s">
        <v>5407</v>
      </c>
      <c r="B2684">
        <v>3</v>
      </c>
    </row>
    <row r="2685" spans="1:2" ht="28.8" x14ac:dyDescent="0.3">
      <c r="A2685" s="4" t="s">
        <v>5408</v>
      </c>
      <c r="B2685">
        <v>3</v>
      </c>
    </row>
    <row r="2686" spans="1:2" ht="28.8" x14ac:dyDescent="0.3">
      <c r="A2686" s="4" t="s">
        <v>5409</v>
      </c>
      <c r="B2686">
        <v>3</v>
      </c>
    </row>
    <row r="2687" spans="1:2" ht="28.8" x14ac:dyDescent="0.3">
      <c r="A2687" s="4" t="s">
        <v>5410</v>
      </c>
      <c r="B2687">
        <v>3</v>
      </c>
    </row>
    <row r="2688" spans="1:2" ht="28.8" x14ac:dyDescent="0.3">
      <c r="A2688" s="4" t="s">
        <v>5411</v>
      </c>
      <c r="B2688">
        <v>3</v>
      </c>
    </row>
    <row r="2689" spans="1:2" ht="43.2" x14ac:dyDescent="0.3">
      <c r="A2689" s="4" t="s">
        <v>5412</v>
      </c>
      <c r="B2689">
        <v>3</v>
      </c>
    </row>
    <row r="2690" spans="1:2" ht="28.8" x14ac:dyDescent="0.3">
      <c r="A2690" s="4" t="s">
        <v>5413</v>
      </c>
      <c r="B2690">
        <v>3</v>
      </c>
    </row>
    <row r="2691" spans="1:2" ht="28.8" x14ac:dyDescent="0.3">
      <c r="A2691" s="4" t="s">
        <v>5414</v>
      </c>
      <c r="B2691">
        <v>3</v>
      </c>
    </row>
    <row r="2692" spans="1:2" ht="28.8" x14ac:dyDescent="0.3">
      <c r="A2692" s="4" t="s">
        <v>5415</v>
      </c>
      <c r="B2692">
        <v>3</v>
      </c>
    </row>
    <row r="2693" spans="1:2" ht="28.8" x14ac:dyDescent="0.3">
      <c r="A2693" s="4" t="s">
        <v>5416</v>
      </c>
      <c r="B2693">
        <v>3</v>
      </c>
    </row>
    <row r="2694" spans="1:2" ht="28.8" x14ac:dyDescent="0.3">
      <c r="A2694" s="4" t="s">
        <v>5417</v>
      </c>
      <c r="B2694">
        <v>3</v>
      </c>
    </row>
    <row r="2695" spans="1:2" x14ac:dyDescent="0.3">
      <c r="A2695" s="4" t="s">
        <v>5418</v>
      </c>
      <c r="B2695">
        <v>3</v>
      </c>
    </row>
    <row r="2696" spans="1:2" ht="28.8" x14ac:dyDescent="0.3">
      <c r="A2696" s="4" t="s">
        <v>5419</v>
      </c>
      <c r="B2696">
        <v>3</v>
      </c>
    </row>
    <row r="2697" spans="1:2" ht="43.2" x14ac:dyDescent="0.3">
      <c r="A2697" s="4" t="s">
        <v>5420</v>
      </c>
      <c r="B2697">
        <v>3</v>
      </c>
    </row>
    <row r="2698" spans="1:2" ht="43.2" x14ac:dyDescent="0.3">
      <c r="A2698" s="4" t="s">
        <v>5421</v>
      </c>
      <c r="B2698">
        <v>3</v>
      </c>
    </row>
    <row r="2699" spans="1:2" x14ac:dyDescent="0.3">
      <c r="A2699" s="4" t="s">
        <v>5422</v>
      </c>
      <c r="B2699">
        <v>3</v>
      </c>
    </row>
    <row r="2700" spans="1:2" ht="28.8" x14ac:dyDescent="0.3">
      <c r="A2700" s="4" t="s">
        <v>5423</v>
      </c>
      <c r="B2700">
        <v>3</v>
      </c>
    </row>
    <row r="2701" spans="1:2" ht="43.2" x14ac:dyDescent="0.3">
      <c r="A2701" s="4" t="s">
        <v>5424</v>
      </c>
      <c r="B2701">
        <v>3</v>
      </c>
    </row>
    <row r="2702" spans="1:2" ht="57.6" x14ac:dyDescent="0.3">
      <c r="A2702" s="4" t="s">
        <v>5425</v>
      </c>
      <c r="B2702">
        <v>3</v>
      </c>
    </row>
    <row r="2703" spans="1:2" x14ac:dyDescent="0.3">
      <c r="A2703" s="4" t="s">
        <v>5426</v>
      </c>
      <c r="B2703">
        <v>3</v>
      </c>
    </row>
    <row r="2704" spans="1:2" x14ac:dyDescent="0.3">
      <c r="A2704" s="4" t="s">
        <v>5427</v>
      </c>
      <c r="B2704">
        <v>3</v>
      </c>
    </row>
    <row r="2705" spans="1:2" ht="28.8" x14ac:dyDescent="0.3">
      <c r="A2705" s="4" t="s">
        <v>5428</v>
      </c>
      <c r="B2705">
        <v>3</v>
      </c>
    </row>
    <row r="2706" spans="1:2" ht="28.8" x14ac:dyDescent="0.3">
      <c r="A2706" s="4" t="s">
        <v>5429</v>
      </c>
      <c r="B2706">
        <v>3</v>
      </c>
    </row>
    <row r="2707" spans="1:2" ht="28.8" x14ac:dyDescent="0.3">
      <c r="A2707" s="4" t="s">
        <v>5430</v>
      </c>
      <c r="B2707">
        <v>3</v>
      </c>
    </row>
    <row r="2708" spans="1:2" ht="43.2" x14ac:dyDescent="0.3">
      <c r="A2708" s="4" t="s">
        <v>5431</v>
      </c>
      <c r="B2708">
        <v>3</v>
      </c>
    </row>
    <row r="2709" spans="1:2" ht="28.8" x14ac:dyDescent="0.3">
      <c r="A2709" s="4" t="s">
        <v>5432</v>
      </c>
      <c r="B2709">
        <v>3</v>
      </c>
    </row>
    <row r="2710" spans="1:2" ht="43.2" x14ac:dyDescent="0.3">
      <c r="A2710" s="4" t="s">
        <v>5433</v>
      </c>
      <c r="B2710">
        <v>3</v>
      </c>
    </row>
    <row r="2711" spans="1:2" ht="43.2" x14ac:dyDescent="0.3">
      <c r="A2711" s="4" t="s">
        <v>5434</v>
      </c>
      <c r="B2711">
        <v>3</v>
      </c>
    </row>
    <row r="2712" spans="1:2" ht="28.8" x14ac:dyDescent="0.3">
      <c r="A2712" s="4" t="s">
        <v>5435</v>
      </c>
      <c r="B2712">
        <v>3</v>
      </c>
    </row>
    <row r="2713" spans="1:2" ht="43.2" x14ac:dyDescent="0.3">
      <c r="A2713" s="4" t="s">
        <v>5436</v>
      </c>
      <c r="B2713">
        <v>3</v>
      </c>
    </row>
    <row r="2714" spans="1:2" ht="28.8" x14ac:dyDescent="0.3">
      <c r="A2714" s="4" t="s">
        <v>5437</v>
      </c>
      <c r="B2714">
        <v>3</v>
      </c>
    </row>
    <row r="2715" spans="1:2" ht="28.8" x14ac:dyDescent="0.3">
      <c r="A2715" s="4" t="s">
        <v>5438</v>
      </c>
      <c r="B2715">
        <v>3</v>
      </c>
    </row>
    <row r="2716" spans="1:2" ht="28.8" x14ac:dyDescent="0.3">
      <c r="A2716" s="4" t="s">
        <v>5439</v>
      </c>
      <c r="B2716">
        <v>3</v>
      </c>
    </row>
    <row r="2717" spans="1:2" ht="43.2" x14ac:dyDescent="0.3">
      <c r="A2717" s="4" t="s">
        <v>5440</v>
      </c>
      <c r="B2717">
        <v>3</v>
      </c>
    </row>
    <row r="2718" spans="1:2" ht="28.8" x14ac:dyDescent="0.3">
      <c r="A2718" s="4" t="s">
        <v>5441</v>
      </c>
      <c r="B2718">
        <v>3</v>
      </c>
    </row>
    <row r="2719" spans="1:2" ht="28.8" x14ac:dyDescent="0.3">
      <c r="A2719" s="4" t="s">
        <v>5442</v>
      </c>
      <c r="B2719">
        <v>3</v>
      </c>
    </row>
    <row r="2720" spans="1:2" ht="28.8" x14ac:dyDescent="0.3">
      <c r="A2720" s="4" t="s">
        <v>5443</v>
      </c>
      <c r="B2720">
        <v>3</v>
      </c>
    </row>
    <row r="2721" spans="1:2" ht="28.8" x14ac:dyDescent="0.3">
      <c r="A2721" s="4" t="s">
        <v>5444</v>
      </c>
      <c r="B2721">
        <v>3</v>
      </c>
    </row>
    <row r="2722" spans="1:2" ht="28.8" x14ac:dyDescent="0.3">
      <c r="A2722" s="4" t="s">
        <v>5445</v>
      </c>
      <c r="B2722">
        <v>3</v>
      </c>
    </row>
    <row r="2723" spans="1:2" ht="43.2" x14ac:dyDescent="0.3">
      <c r="A2723" s="4" t="s">
        <v>5446</v>
      </c>
      <c r="B2723">
        <v>3</v>
      </c>
    </row>
    <row r="2724" spans="1:2" ht="28.8" x14ac:dyDescent="0.3">
      <c r="A2724" s="4" t="s">
        <v>5447</v>
      </c>
      <c r="B2724">
        <v>3</v>
      </c>
    </row>
    <row r="2725" spans="1:2" ht="28.8" x14ac:dyDescent="0.3">
      <c r="A2725" s="4" t="s">
        <v>5448</v>
      </c>
      <c r="B2725">
        <v>3</v>
      </c>
    </row>
    <row r="2726" spans="1:2" ht="28.8" x14ac:dyDescent="0.3">
      <c r="A2726" s="4" t="s">
        <v>5449</v>
      </c>
      <c r="B2726">
        <v>3</v>
      </c>
    </row>
    <row r="2727" spans="1:2" ht="43.2" x14ac:dyDescent="0.3">
      <c r="A2727" s="4" t="s">
        <v>5450</v>
      </c>
      <c r="B2727">
        <v>3</v>
      </c>
    </row>
    <row r="2728" spans="1:2" ht="28.8" x14ac:dyDescent="0.3">
      <c r="A2728" s="4" t="s">
        <v>5451</v>
      </c>
      <c r="B2728">
        <v>3</v>
      </c>
    </row>
    <row r="2729" spans="1:2" x14ac:dyDescent="0.3">
      <c r="A2729" s="4" t="s">
        <v>5452</v>
      </c>
      <c r="B2729">
        <v>3</v>
      </c>
    </row>
    <row r="2730" spans="1:2" ht="28.8" x14ac:dyDescent="0.3">
      <c r="A2730" s="4" t="s">
        <v>5453</v>
      </c>
      <c r="B2730">
        <v>3</v>
      </c>
    </row>
    <row r="2731" spans="1:2" ht="28.8" x14ac:dyDescent="0.3">
      <c r="A2731" s="4" t="s">
        <v>5454</v>
      </c>
      <c r="B2731">
        <v>3</v>
      </c>
    </row>
    <row r="2732" spans="1:2" ht="28.8" x14ac:dyDescent="0.3">
      <c r="A2732" s="4" t="s">
        <v>5455</v>
      </c>
      <c r="B2732">
        <v>3</v>
      </c>
    </row>
    <row r="2733" spans="1:2" ht="28.8" x14ac:dyDescent="0.3">
      <c r="A2733" s="4" t="s">
        <v>5456</v>
      </c>
      <c r="B2733">
        <v>3</v>
      </c>
    </row>
    <row r="2734" spans="1:2" ht="28.8" x14ac:dyDescent="0.3">
      <c r="A2734" s="4" t="s">
        <v>5457</v>
      </c>
      <c r="B2734">
        <v>3</v>
      </c>
    </row>
    <row r="2735" spans="1:2" ht="28.8" x14ac:dyDescent="0.3">
      <c r="A2735" s="4" t="s">
        <v>5458</v>
      </c>
      <c r="B2735">
        <v>3</v>
      </c>
    </row>
    <row r="2736" spans="1:2" ht="28.8" x14ac:dyDescent="0.3">
      <c r="A2736" s="4" t="s">
        <v>5459</v>
      </c>
      <c r="B2736">
        <v>3</v>
      </c>
    </row>
    <row r="2737" spans="1:2" x14ac:dyDescent="0.3">
      <c r="A2737" s="4" t="s">
        <v>5460</v>
      </c>
      <c r="B2737">
        <v>3</v>
      </c>
    </row>
    <row r="2738" spans="1:2" ht="28.8" x14ac:dyDescent="0.3">
      <c r="A2738" s="4" t="s">
        <v>5461</v>
      </c>
      <c r="B2738">
        <v>3</v>
      </c>
    </row>
    <row r="2739" spans="1:2" ht="28.8" x14ac:dyDescent="0.3">
      <c r="A2739" s="4" t="s">
        <v>5462</v>
      </c>
      <c r="B2739">
        <v>3</v>
      </c>
    </row>
    <row r="2740" spans="1:2" ht="28.8" x14ac:dyDescent="0.3">
      <c r="A2740" s="4" t="s">
        <v>5463</v>
      </c>
      <c r="B2740">
        <v>3</v>
      </c>
    </row>
    <row r="2741" spans="1:2" ht="43.2" x14ac:dyDescent="0.3">
      <c r="A2741" s="4" t="s">
        <v>5464</v>
      </c>
      <c r="B2741">
        <v>3</v>
      </c>
    </row>
    <row r="2742" spans="1:2" ht="28.8" x14ac:dyDescent="0.3">
      <c r="A2742" s="4" t="s">
        <v>5465</v>
      </c>
      <c r="B2742">
        <v>3</v>
      </c>
    </row>
    <row r="2743" spans="1:2" ht="28.8" x14ac:dyDescent="0.3">
      <c r="A2743" s="4" t="s">
        <v>5466</v>
      </c>
      <c r="B2743">
        <v>3</v>
      </c>
    </row>
    <row r="2744" spans="1:2" ht="28.8" x14ac:dyDescent="0.3">
      <c r="A2744" s="4" t="s">
        <v>5467</v>
      </c>
      <c r="B2744">
        <v>3</v>
      </c>
    </row>
    <row r="2745" spans="1:2" ht="28.8" x14ac:dyDescent="0.3">
      <c r="A2745" s="4" t="s">
        <v>5468</v>
      </c>
      <c r="B2745">
        <v>3</v>
      </c>
    </row>
    <row r="2746" spans="1:2" ht="28.8" x14ac:dyDescent="0.3">
      <c r="A2746" s="4" t="s">
        <v>5469</v>
      </c>
      <c r="B2746">
        <v>3</v>
      </c>
    </row>
    <row r="2747" spans="1:2" ht="28.8" x14ac:dyDescent="0.3">
      <c r="A2747" s="4" t="s">
        <v>5470</v>
      </c>
      <c r="B2747">
        <v>3</v>
      </c>
    </row>
    <row r="2748" spans="1:2" ht="28.8" x14ac:dyDescent="0.3">
      <c r="A2748" s="4" t="s">
        <v>5471</v>
      </c>
      <c r="B2748">
        <v>3</v>
      </c>
    </row>
    <row r="2749" spans="1:2" ht="28.8" x14ac:dyDescent="0.3">
      <c r="A2749" s="4" t="s">
        <v>5472</v>
      </c>
      <c r="B2749">
        <v>3</v>
      </c>
    </row>
    <row r="2750" spans="1:2" ht="28.8" x14ac:dyDescent="0.3">
      <c r="A2750" s="4" t="s">
        <v>5473</v>
      </c>
      <c r="B2750">
        <v>3</v>
      </c>
    </row>
    <row r="2751" spans="1:2" x14ac:dyDescent="0.3">
      <c r="A2751" s="4" t="s">
        <v>5474</v>
      </c>
      <c r="B2751">
        <v>3</v>
      </c>
    </row>
    <row r="2752" spans="1:2" ht="43.2" x14ac:dyDescent="0.3">
      <c r="A2752" s="4" t="s">
        <v>5475</v>
      </c>
      <c r="B2752">
        <v>3</v>
      </c>
    </row>
    <row r="2753" spans="1:2" ht="28.8" x14ac:dyDescent="0.3">
      <c r="A2753" s="4" t="s">
        <v>5476</v>
      </c>
      <c r="B2753">
        <v>3</v>
      </c>
    </row>
    <row r="2754" spans="1:2" ht="28.8" x14ac:dyDescent="0.3">
      <c r="A2754" s="4" t="s">
        <v>5477</v>
      </c>
      <c r="B2754">
        <v>3</v>
      </c>
    </row>
    <row r="2755" spans="1:2" ht="28.8" x14ac:dyDescent="0.3">
      <c r="A2755" s="4" t="s">
        <v>5478</v>
      </c>
      <c r="B2755">
        <v>3</v>
      </c>
    </row>
    <row r="2756" spans="1:2" ht="28.8" x14ac:dyDescent="0.3">
      <c r="A2756" s="4" t="s">
        <v>5479</v>
      </c>
      <c r="B2756">
        <v>3</v>
      </c>
    </row>
    <row r="2757" spans="1:2" ht="28.8" x14ac:dyDescent="0.3">
      <c r="A2757" s="4" t="s">
        <v>5480</v>
      </c>
      <c r="B2757">
        <v>3</v>
      </c>
    </row>
    <row r="2758" spans="1:2" ht="28.8" x14ac:dyDescent="0.3">
      <c r="A2758" s="4" t="s">
        <v>5481</v>
      </c>
      <c r="B2758">
        <v>3</v>
      </c>
    </row>
    <row r="2759" spans="1:2" ht="28.8" x14ac:dyDescent="0.3">
      <c r="A2759" s="4" t="s">
        <v>5482</v>
      </c>
      <c r="B2759">
        <v>3</v>
      </c>
    </row>
    <row r="2760" spans="1:2" ht="28.8" x14ac:dyDescent="0.3">
      <c r="A2760" s="4" t="s">
        <v>5483</v>
      </c>
      <c r="B2760">
        <v>3</v>
      </c>
    </row>
    <row r="2761" spans="1:2" x14ac:dyDescent="0.3">
      <c r="A2761" s="4" t="s">
        <v>5484</v>
      </c>
      <c r="B2761">
        <v>3</v>
      </c>
    </row>
    <row r="2762" spans="1:2" ht="28.8" x14ac:dyDescent="0.3">
      <c r="A2762" s="4" t="s">
        <v>5485</v>
      </c>
      <c r="B2762">
        <v>3</v>
      </c>
    </row>
    <row r="2763" spans="1:2" ht="43.2" x14ac:dyDescent="0.3">
      <c r="A2763" s="4" t="s">
        <v>5486</v>
      </c>
      <c r="B2763">
        <v>3</v>
      </c>
    </row>
    <row r="2764" spans="1:2" ht="28.8" x14ac:dyDescent="0.3">
      <c r="A2764" s="4" t="s">
        <v>5487</v>
      </c>
      <c r="B2764">
        <v>3</v>
      </c>
    </row>
    <row r="2765" spans="1:2" ht="28.8" x14ac:dyDescent="0.3">
      <c r="A2765" s="4" t="s">
        <v>5488</v>
      </c>
      <c r="B2765">
        <v>3</v>
      </c>
    </row>
    <row r="2766" spans="1:2" ht="28.8" x14ac:dyDescent="0.3">
      <c r="A2766" s="4" t="s">
        <v>5489</v>
      </c>
      <c r="B2766">
        <v>3</v>
      </c>
    </row>
    <row r="2767" spans="1:2" ht="28.8" x14ac:dyDescent="0.3">
      <c r="A2767" s="4" t="s">
        <v>5490</v>
      </c>
      <c r="B2767">
        <v>3</v>
      </c>
    </row>
    <row r="2768" spans="1:2" ht="57.6" x14ac:dyDescent="0.3">
      <c r="A2768" s="4" t="s">
        <v>5491</v>
      </c>
      <c r="B2768">
        <v>3</v>
      </c>
    </row>
    <row r="2769" spans="1:2" ht="28.8" x14ac:dyDescent="0.3">
      <c r="A2769" s="4" t="s">
        <v>5492</v>
      </c>
      <c r="B2769">
        <v>3</v>
      </c>
    </row>
    <row r="2770" spans="1:2" ht="28.8" x14ac:dyDescent="0.3">
      <c r="A2770" s="4" t="s">
        <v>5493</v>
      </c>
      <c r="B2770">
        <v>3</v>
      </c>
    </row>
    <row r="2771" spans="1:2" ht="28.8" x14ac:dyDescent="0.3">
      <c r="A2771" s="4" t="s">
        <v>5494</v>
      </c>
      <c r="B2771">
        <v>3</v>
      </c>
    </row>
    <row r="2772" spans="1:2" ht="28.8" x14ac:dyDescent="0.3">
      <c r="A2772" s="4" t="s">
        <v>5495</v>
      </c>
      <c r="B2772">
        <v>3</v>
      </c>
    </row>
    <row r="2773" spans="1:2" ht="43.2" x14ac:dyDescent="0.3">
      <c r="A2773" s="4" t="s">
        <v>5496</v>
      </c>
      <c r="B2773">
        <v>3</v>
      </c>
    </row>
    <row r="2774" spans="1:2" ht="28.8" x14ac:dyDescent="0.3">
      <c r="A2774" s="4" t="s">
        <v>5497</v>
      </c>
      <c r="B2774">
        <v>3</v>
      </c>
    </row>
    <row r="2775" spans="1:2" ht="28.8" x14ac:dyDescent="0.3">
      <c r="A2775" s="4" t="s">
        <v>5498</v>
      </c>
      <c r="B2775">
        <v>3</v>
      </c>
    </row>
    <row r="2776" spans="1:2" ht="28.8" x14ac:dyDescent="0.3">
      <c r="A2776" s="4" t="s">
        <v>5499</v>
      </c>
      <c r="B2776">
        <v>3</v>
      </c>
    </row>
    <row r="2777" spans="1:2" ht="28.8" x14ac:dyDescent="0.3">
      <c r="A2777" s="4" t="s">
        <v>5500</v>
      </c>
      <c r="B2777">
        <v>3</v>
      </c>
    </row>
    <row r="2778" spans="1:2" ht="28.8" x14ac:dyDescent="0.3">
      <c r="A2778" s="4" t="s">
        <v>5501</v>
      </c>
      <c r="B2778">
        <v>3</v>
      </c>
    </row>
    <row r="2779" spans="1:2" x14ac:dyDescent="0.3">
      <c r="A2779" s="4" t="s">
        <v>5502</v>
      </c>
      <c r="B2779">
        <v>3</v>
      </c>
    </row>
    <row r="2780" spans="1:2" ht="28.8" x14ac:dyDescent="0.3">
      <c r="A2780" s="4" t="s">
        <v>5503</v>
      </c>
      <c r="B2780">
        <v>3</v>
      </c>
    </row>
    <row r="2781" spans="1:2" ht="43.2" x14ac:dyDescent="0.3">
      <c r="A2781" s="4" t="s">
        <v>5504</v>
      </c>
      <c r="B2781">
        <v>3</v>
      </c>
    </row>
    <row r="2782" spans="1:2" ht="28.8" x14ac:dyDescent="0.3">
      <c r="A2782" s="4" t="s">
        <v>5505</v>
      </c>
      <c r="B2782">
        <v>3</v>
      </c>
    </row>
    <row r="2783" spans="1:2" ht="28.8" x14ac:dyDescent="0.3">
      <c r="A2783" s="4" t="s">
        <v>5506</v>
      </c>
      <c r="B2783">
        <v>3</v>
      </c>
    </row>
    <row r="2784" spans="1:2" ht="28.8" x14ac:dyDescent="0.3">
      <c r="A2784" s="4" t="s">
        <v>5507</v>
      </c>
      <c r="B2784">
        <v>3</v>
      </c>
    </row>
    <row r="2785" spans="1:2" ht="28.8" x14ac:dyDescent="0.3">
      <c r="A2785" s="4" t="s">
        <v>5508</v>
      </c>
      <c r="B2785">
        <v>3</v>
      </c>
    </row>
    <row r="2786" spans="1:2" ht="28.8" x14ac:dyDescent="0.3">
      <c r="A2786" s="4" t="s">
        <v>5509</v>
      </c>
      <c r="B2786">
        <v>3</v>
      </c>
    </row>
    <row r="2787" spans="1:2" ht="28.8" x14ac:dyDescent="0.3">
      <c r="A2787" s="4" t="s">
        <v>5510</v>
      </c>
      <c r="B2787">
        <v>3</v>
      </c>
    </row>
    <row r="2788" spans="1:2" ht="43.2" x14ac:dyDescent="0.3">
      <c r="A2788" s="4" t="s">
        <v>5511</v>
      </c>
      <c r="B2788">
        <v>3</v>
      </c>
    </row>
    <row r="2789" spans="1:2" ht="28.8" x14ac:dyDescent="0.3">
      <c r="A2789" s="4" t="s">
        <v>5512</v>
      </c>
      <c r="B2789">
        <v>3</v>
      </c>
    </row>
    <row r="2790" spans="1:2" ht="43.2" x14ac:dyDescent="0.3">
      <c r="A2790" s="4" t="s">
        <v>5513</v>
      </c>
      <c r="B2790">
        <v>3</v>
      </c>
    </row>
    <row r="2791" spans="1:2" x14ac:dyDescent="0.3">
      <c r="A2791" s="4" t="s">
        <v>5514</v>
      </c>
      <c r="B2791">
        <v>3</v>
      </c>
    </row>
    <row r="2792" spans="1:2" ht="28.8" x14ac:dyDescent="0.3">
      <c r="A2792" s="4" t="s">
        <v>5515</v>
      </c>
      <c r="B2792">
        <v>3</v>
      </c>
    </row>
    <row r="2793" spans="1:2" ht="28.8" x14ac:dyDescent="0.3">
      <c r="A2793" s="4" t="s">
        <v>5516</v>
      </c>
      <c r="B2793">
        <v>3</v>
      </c>
    </row>
    <row r="2794" spans="1:2" ht="28.8" x14ac:dyDescent="0.3">
      <c r="A2794" s="4" t="s">
        <v>5517</v>
      </c>
      <c r="B2794">
        <v>3</v>
      </c>
    </row>
    <row r="2795" spans="1:2" ht="28.8" x14ac:dyDescent="0.3">
      <c r="A2795" s="4" t="s">
        <v>5518</v>
      </c>
      <c r="B2795">
        <v>3</v>
      </c>
    </row>
    <row r="2796" spans="1:2" ht="28.8" x14ac:dyDescent="0.3">
      <c r="A2796" s="4" t="s">
        <v>5519</v>
      </c>
      <c r="B2796">
        <v>3</v>
      </c>
    </row>
    <row r="2797" spans="1:2" x14ac:dyDescent="0.3">
      <c r="A2797" s="4" t="s">
        <v>5520</v>
      </c>
      <c r="B2797">
        <v>3</v>
      </c>
    </row>
    <row r="2798" spans="1:2" ht="28.8" x14ac:dyDescent="0.3">
      <c r="A2798" s="4" t="s">
        <v>5521</v>
      </c>
      <c r="B2798">
        <v>3</v>
      </c>
    </row>
    <row r="2799" spans="1:2" ht="28.8" x14ac:dyDescent="0.3">
      <c r="A2799" s="4" t="s">
        <v>5522</v>
      </c>
      <c r="B2799">
        <v>3</v>
      </c>
    </row>
    <row r="2800" spans="1:2" ht="28.8" x14ac:dyDescent="0.3">
      <c r="A2800" s="4" t="s">
        <v>5523</v>
      </c>
      <c r="B2800">
        <v>3</v>
      </c>
    </row>
    <row r="2801" spans="1:2" ht="28.8" x14ac:dyDescent="0.3">
      <c r="A2801" s="4" t="s">
        <v>5524</v>
      </c>
      <c r="B2801">
        <v>3</v>
      </c>
    </row>
    <row r="2802" spans="1:2" ht="28.8" x14ac:dyDescent="0.3">
      <c r="A2802" s="4" t="s">
        <v>5525</v>
      </c>
      <c r="B2802">
        <v>3</v>
      </c>
    </row>
    <row r="2803" spans="1:2" ht="28.8" x14ac:dyDescent="0.3">
      <c r="A2803" s="4" t="s">
        <v>5526</v>
      </c>
      <c r="B2803">
        <v>3</v>
      </c>
    </row>
    <row r="2804" spans="1:2" ht="28.8" x14ac:dyDescent="0.3">
      <c r="A2804" s="4" t="s">
        <v>5527</v>
      </c>
      <c r="B2804">
        <v>3</v>
      </c>
    </row>
    <row r="2805" spans="1:2" x14ac:dyDescent="0.3">
      <c r="A2805" s="4" t="s">
        <v>5528</v>
      </c>
      <c r="B2805">
        <v>3</v>
      </c>
    </row>
    <row r="2806" spans="1:2" ht="28.8" x14ac:dyDescent="0.3">
      <c r="A2806" s="4" t="s">
        <v>5529</v>
      </c>
      <c r="B2806">
        <v>3</v>
      </c>
    </row>
    <row r="2807" spans="1:2" ht="28.8" x14ac:dyDescent="0.3">
      <c r="A2807" s="4" t="s">
        <v>5530</v>
      </c>
      <c r="B2807">
        <v>3</v>
      </c>
    </row>
    <row r="2808" spans="1:2" ht="28.8" x14ac:dyDescent="0.3">
      <c r="A2808" s="4" t="s">
        <v>5531</v>
      </c>
      <c r="B2808">
        <v>3</v>
      </c>
    </row>
    <row r="2809" spans="1:2" ht="43.2" x14ac:dyDescent="0.3">
      <c r="A2809" s="4" t="s">
        <v>5532</v>
      </c>
      <c r="B2809">
        <v>3</v>
      </c>
    </row>
    <row r="2810" spans="1:2" x14ac:dyDescent="0.3">
      <c r="A2810" s="4" t="s">
        <v>5533</v>
      </c>
      <c r="B2810">
        <v>3</v>
      </c>
    </row>
    <row r="2811" spans="1:2" ht="43.2" x14ac:dyDescent="0.3">
      <c r="A2811" s="4" t="s">
        <v>5534</v>
      </c>
      <c r="B2811">
        <v>3</v>
      </c>
    </row>
    <row r="2812" spans="1:2" ht="28.8" x14ac:dyDescent="0.3">
      <c r="A2812" s="4" t="s">
        <v>5535</v>
      </c>
      <c r="B2812">
        <v>3</v>
      </c>
    </row>
    <row r="2813" spans="1:2" ht="28.8" x14ac:dyDescent="0.3">
      <c r="A2813" s="4" t="s">
        <v>5536</v>
      </c>
      <c r="B2813">
        <v>3</v>
      </c>
    </row>
    <row r="2814" spans="1:2" ht="28.8" x14ac:dyDescent="0.3">
      <c r="A2814" s="4" t="s">
        <v>5537</v>
      </c>
      <c r="B2814">
        <v>3</v>
      </c>
    </row>
    <row r="2815" spans="1:2" x14ac:dyDescent="0.3">
      <c r="A2815" s="4" t="s">
        <v>5538</v>
      </c>
      <c r="B2815">
        <v>3</v>
      </c>
    </row>
    <row r="2816" spans="1:2" ht="28.8" x14ac:dyDescent="0.3">
      <c r="A2816" s="4" t="s">
        <v>5539</v>
      </c>
      <c r="B2816">
        <v>3</v>
      </c>
    </row>
    <row r="2817" spans="1:2" ht="28.8" x14ac:dyDescent="0.3">
      <c r="A2817" s="4" t="s">
        <v>5540</v>
      </c>
      <c r="B2817">
        <v>3</v>
      </c>
    </row>
    <row r="2818" spans="1:2" ht="28.8" x14ac:dyDescent="0.3">
      <c r="A2818" s="4" t="s">
        <v>5541</v>
      </c>
      <c r="B2818">
        <v>3</v>
      </c>
    </row>
    <row r="2819" spans="1:2" ht="28.8" x14ac:dyDescent="0.3">
      <c r="A2819" s="4" t="s">
        <v>5542</v>
      </c>
      <c r="B2819">
        <v>3</v>
      </c>
    </row>
    <row r="2820" spans="1:2" ht="28.8" x14ac:dyDescent="0.3">
      <c r="A2820" s="4" t="s">
        <v>5543</v>
      </c>
      <c r="B2820">
        <v>3</v>
      </c>
    </row>
    <row r="2821" spans="1:2" ht="28.8" x14ac:dyDescent="0.3">
      <c r="A2821" s="4" t="s">
        <v>5544</v>
      </c>
      <c r="B2821">
        <v>3</v>
      </c>
    </row>
    <row r="2822" spans="1:2" ht="28.8" x14ac:dyDescent="0.3">
      <c r="A2822" s="4" t="s">
        <v>5545</v>
      </c>
      <c r="B2822">
        <v>3</v>
      </c>
    </row>
    <row r="2823" spans="1:2" ht="28.8" x14ac:dyDescent="0.3">
      <c r="A2823" s="4" t="s">
        <v>5546</v>
      </c>
      <c r="B2823">
        <v>3</v>
      </c>
    </row>
    <row r="2824" spans="1:2" ht="28.8" x14ac:dyDescent="0.3">
      <c r="A2824" s="4" t="s">
        <v>5547</v>
      </c>
      <c r="B2824">
        <v>3</v>
      </c>
    </row>
    <row r="2825" spans="1:2" ht="28.8" x14ac:dyDescent="0.3">
      <c r="A2825" s="4" t="s">
        <v>5548</v>
      </c>
      <c r="B2825">
        <v>3</v>
      </c>
    </row>
    <row r="2826" spans="1:2" ht="28.8" x14ac:dyDescent="0.3">
      <c r="A2826" s="4" t="s">
        <v>5549</v>
      </c>
      <c r="B2826">
        <v>3</v>
      </c>
    </row>
    <row r="2827" spans="1:2" ht="28.8" x14ac:dyDescent="0.3">
      <c r="A2827" s="4" t="s">
        <v>5550</v>
      </c>
      <c r="B2827">
        <v>3</v>
      </c>
    </row>
    <row r="2828" spans="1:2" x14ac:dyDescent="0.3">
      <c r="A2828" s="4" t="s">
        <v>5551</v>
      </c>
      <c r="B2828">
        <v>3</v>
      </c>
    </row>
    <row r="2829" spans="1:2" x14ac:dyDescent="0.3">
      <c r="A2829" s="4" t="s">
        <v>5552</v>
      </c>
      <c r="B2829">
        <v>3</v>
      </c>
    </row>
    <row r="2830" spans="1:2" ht="43.2" x14ac:dyDescent="0.3">
      <c r="A2830" s="4" t="s">
        <v>5553</v>
      </c>
      <c r="B2830">
        <v>3</v>
      </c>
    </row>
    <row r="2831" spans="1:2" ht="28.8" x14ac:dyDescent="0.3">
      <c r="A2831" s="4" t="s">
        <v>5554</v>
      </c>
      <c r="B2831">
        <v>3</v>
      </c>
    </row>
    <row r="2832" spans="1:2" ht="28.8" x14ac:dyDescent="0.3">
      <c r="A2832" s="4" t="s">
        <v>5555</v>
      </c>
      <c r="B2832">
        <v>3</v>
      </c>
    </row>
    <row r="2833" spans="1:2" x14ac:dyDescent="0.3">
      <c r="A2833" s="4" t="s">
        <v>5556</v>
      </c>
      <c r="B2833">
        <v>3</v>
      </c>
    </row>
    <row r="2834" spans="1:2" ht="28.8" x14ac:dyDescent="0.3">
      <c r="A2834" s="4" t="s">
        <v>5557</v>
      </c>
      <c r="B2834">
        <v>3</v>
      </c>
    </row>
    <row r="2835" spans="1:2" ht="28.8" x14ac:dyDescent="0.3">
      <c r="A2835" s="4" t="s">
        <v>5558</v>
      </c>
      <c r="B2835">
        <v>3</v>
      </c>
    </row>
    <row r="2836" spans="1:2" ht="28.8" x14ac:dyDescent="0.3">
      <c r="A2836" s="4" t="s">
        <v>5559</v>
      </c>
      <c r="B2836">
        <v>3</v>
      </c>
    </row>
    <row r="2837" spans="1:2" ht="28.8" x14ac:dyDescent="0.3">
      <c r="A2837" s="4" t="s">
        <v>5560</v>
      </c>
      <c r="B2837">
        <v>3</v>
      </c>
    </row>
    <row r="2838" spans="1:2" ht="43.2" x14ac:dyDescent="0.3">
      <c r="A2838" s="4" t="s">
        <v>5561</v>
      </c>
      <c r="B2838">
        <v>3</v>
      </c>
    </row>
    <row r="2839" spans="1:2" ht="28.8" x14ac:dyDescent="0.3">
      <c r="A2839" s="4" t="s">
        <v>5562</v>
      </c>
      <c r="B2839">
        <v>3</v>
      </c>
    </row>
    <row r="2840" spans="1:2" ht="28.8" x14ac:dyDescent="0.3">
      <c r="A2840" s="4" t="s">
        <v>5563</v>
      </c>
      <c r="B2840">
        <v>3</v>
      </c>
    </row>
    <row r="2841" spans="1:2" x14ac:dyDescent="0.3">
      <c r="A2841" s="4" t="s">
        <v>5564</v>
      </c>
      <c r="B2841">
        <v>3</v>
      </c>
    </row>
    <row r="2842" spans="1:2" ht="28.8" x14ac:dyDescent="0.3">
      <c r="A2842" s="4" t="s">
        <v>5565</v>
      </c>
      <c r="B2842">
        <v>3</v>
      </c>
    </row>
    <row r="2843" spans="1:2" ht="28.8" x14ac:dyDescent="0.3">
      <c r="A2843" s="4" t="s">
        <v>5566</v>
      </c>
      <c r="B2843">
        <v>3</v>
      </c>
    </row>
    <row r="2844" spans="1:2" ht="28.8" x14ac:dyDescent="0.3">
      <c r="A2844" s="4" t="s">
        <v>5567</v>
      </c>
      <c r="B2844">
        <v>3</v>
      </c>
    </row>
    <row r="2845" spans="1:2" ht="28.8" x14ac:dyDescent="0.3">
      <c r="A2845" s="4" t="s">
        <v>5568</v>
      </c>
      <c r="B2845">
        <v>3</v>
      </c>
    </row>
    <row r="2846" spans="1:2" x14ac:dyDescent="0.3">
      <c r="A2846" s="4" t="s">
        <v>5569</v>
      </c>
      <c r="B2846">
        <v>3</v>
      </c>
    </row>
    <row r="2847" spans="1:2" ht="43.2" x14ac:dyDescent="0.3">
      <c r="A2847" s="4" t="s">
        <v>5570</v>
      </c>
      <c r="B2847">
        <v>3</v>
      </c>
    </row>
    <row r="2848" spans="1:2" ht="28.8" x14ac:dyDescent="0.3">
      <c r="A2848" s="4" t="s">
        <v>5571</v>
      </c>
      <c r="B2848">
        <v>3</v>
      </c>
    </row>
    <row r="2849" spans="1:2" ht="28.8" x14ac:dyDescent="0.3">
      <c r="A2849" s="4" t="s">
        <v>5572</v>
      </c>
      <c r="B2849">
        <v>3</v>
      </c>
    </row>
    <row r="2850" spans="1:2" x14ac:dyDescent="0.3">
      <c r="A2850" s="4" t="s">
        <v>5573</v>
      </c>
      <c r="B2850">
        <v>3</v>
      </c>
    </row>
    <row r="2851" spans="1:2" x14ac:dyDescent="0.3">
      <c r="A2851" s="4" t="s">
        <v>5574</v>
      </c>
      <c r="B2851">
        <v>3</v>
      </c>
    </row>
    <row r="2852" spans="1:2" ht="28.8" x14ac:dyDescent="0.3">
      <c r="A2852" s="4" t="s">
        <v>5575</v>
      </c>
      <c r="B2852">
        <v>3</v>
      </c>
    </row>
    <row r="2853" spans="1:2" x14ac:dyDescent="0.3">
      <c r="A2853" s="4" t="s">
        <v>5576</v>
      </c>
      <c r="B2853">
        <v>3</v>
      </c>
    </row>
    <row r="2854" spans="1:2" ht="28.8" x14ac:dyDescent="0.3">
      <c r="A2854" s="4" t="s">
        <v>5577</v>
      </c>
      <c r="B2854">
        <v>3</v>
      </c>
    </row>
    <row r="2855" spans="1:2" ht="28.8" x14ac:dyDescent="0.3">
      <c r="A2855" s="4" t="s">
        <v>5578</v>
      </c>
      <c r="B2855">
        <v>3</v>
      </c>
    </row>
    <row r="2856" spans="1:2" ht="28.8" x14ac:dyDescent="0.3">
      <c r="A2856" s="4" t="s">
        <v>5579</v>
      </c>
      <c r="B2856">
        <v>3</v>
      </c>
    </row>
    <row r="2857" spans="1:2" ht="28.8" x14ac:dyDescent="0.3">
      <c r="A2857" s="4" t="s">
        <v>5580</v>
      </c>
      <c r="B2857">
        <v>3</v>
      </c>
    </row>
    <row r="2858" spans="1:2" ht="28.8" x14ac:dyDescent="0.3">
      <c r="A2858" s="4" t="s">
        <v>5581</v>
      </c>
      <c r="B2858">
        <v>3</v>
      </c>
    </row>
    <row r="2859" spans="1:2" ht="28.8" x14ac:dyDescent="0.3">
      <c r="A2859" s="4" t="s">
        <v>5582</v>
      </c>
      <c r="B2859">
        <v>3</v>
      </c>
    </row>
    <row r="2860" spans="1:2" ht="28.8" x14ac:dyDescent="0.3">
      <c r="A2860" s="4" t="s">
        <v>5583</v>
      </c>
      <c r="B2860">
        <v>3</v>
      </c>
    </row>
    <row r="2861" spans="1:2" ht="28.8" x14ac:dyDescent="0.3">
      <c r="A2861" s="4" t="s">
        <v>5584</v>
      </c>
      <c r="B2861">
        <v>3</v>
      </c>
    </row>
    <row r="2862" spans="1:2" ht="28.8" x14ac:dyDescent="0.3">
      <c r="A2862" s="4" t="s">
        <v>5585</v>
      </c>
      <c r="B2862">
        <v>3</v>
      </c>
    </row>
    <row r="2863" spans="1:2" ht="43.2" x14ac:dyDescent="0.3">
      <c r="A2863" s="4" t="s">
        <v>5586</v>
      </c>
      <c r="B2863">
        <v>3</v>
      </c>
    </row>
    <row r="2864" spans="1:2" x14ac:dyDescent="0.3">
      <c r="A2864" s="4" t="s">
        <v>5587</v>
      </c>
      <c r="B2864">
        <v>3</v>
      </c>
    </row>
    <row r="2865" spans="1:2" ht="28.8" x14ac:dyDescent="0.3">
      <c r="A2865" s="4" t="s">
        <v>5588</v>
      </c>
      <c r="B2865">
        <v>3</v>
      </c>
    </row>
    <row r="2866" spans="1:2" ht="28.8" x14ac:dyDescent="0.3">
      <c r="A2866" s="4" t="s">
        <v>5589</v>
      </c>
      <c r="B2866">
        <v>3</v>
      </c>
    </row>
    <row r="2867" spans="1:2" ht="28.8" x14ac:dyDescent="0.3">
      <c r="A2867" s="4" t="s">
        <v>5590</v>
      </c>
      <c r="B2867">
        <v>3</v>
      </c>
    </row>
    <row r="2868" spans="1:2" ht="28.8" x14ac:dyDescent="0.3">
      <c r="A2868" s="4" t="s">
        <v>5591</v>
      </c>
      <c r="B2868">
        <v>3</v>
      </c>
    </row>
    <row r="2869" spans="1:2" ht="43.2" x14ac:dyDescent="0.3">
      <c r="A2869" s="4" t="s">
        <v>5592</v>
      </c>
      <c r="B2869">
        <v>3</v>
      </c>
    </row>
    <row r="2870" spans="1:2" ht="28.8" x14ac:dyDescent="0.3">
      <c r="A2870" s="4" t="s">
        <v>5593</v>
      </c>
      <c r="B2870">
        <v>3</v>
      </c>
    </row>
    <row r="2871" spans="1:2" ht="28.8" x14ac:dyDescent="0.3">
      <c r="A2871" s="4" t="s">
        <v>5594</v>
      </c>
      <c r="B2871">
        <v>3</v>
      </c>
    </row>
    <row r="2872" spans="1:2" ht="43.2" x14ac:dyDescent="0.3">
      <c r="A2872" s="4" t="s">
        <v>5595</v>
      </c>
      <c r="B2872">
        <v>3</v>
      </c>
    </row>
    <row r="2873" spans="1:2" ht="28.8" x14ac:dyDescent="0.3">
      <c r="A2873" s="4" t="s">
        <v>5596</v>
      </c>
      <c r="B2873">
        <v>3</v>
      </c>
    </row>
    <row r="2874" spans="1:2" x14ac:dyDescent="0.3">
      <c r="A2874" s="4" t="s">
        <v>5597</v>
      </c>
      <c r="B2874">
        <v>3</v>
      </c>
    </row>
    <row r="2875" spans="1:2" ht="28.8" x14ac:dyDescent="0.3">
      <c r="A2875" s="4" t="s">
        <v>5598</v>
      </c>
      <c r="B2875">
        <v>3</v>
      </c>
    </row>
    <row r="2876" spans="1:2" ht="28.8" x14ac:dyDescent="0.3">
      <c r="A2876" s="4" t="s">
        <v>5599</v>
      </c>
      <c r="B2876">
        <v>3</v>
      </c>
    </row>
    <row r="2877" spans="1:2" ht="28.8" x14ac:dyDescent="0.3">
      <c r="A2877" s="4" t="s">
        <v>5600</v>
      </c>
      <c r="B2877">
        <v>3</v>
      </c>
    </row>
    <row r="2878" spans="1:2" ht="28.8" x14ac:dyDescent="0.3">
      <c r="A2878" s="4" t="s">
        <v>5601</v>
      </c>
      <c r="B2878">
        <v>3</v>
      </c>
    </row>
    <row r="2879" spans="1:2" ht="43.2" x14ac:dyDescent="0.3">
      <c r="A2879" s="4" t="s">
        <v>5602</v>
      </c>
      <c r="B2879">
        <v>3</v>
      </c>
    </row>
    <row r="2880" spans="1:2" ht="28.8" x14ac:dyDescent="0.3">
      <c r="A2880" s="4" t="s">
        <v>5603</v>
      </c>
      <c r="B2880">
        <v>3</v>
      </c>
    </row>
    <row r="2881" spans="1:2" ht="28.8" x14ac:dyDescent="0.3">
      <c r="A2881" s="4" t="s">
        <v>5604</v>
      </c>
      <c r="B2881">
        <v>3</v>
      </c>
    </row>
    <row r="2882" spans="1:2" ht="28.8" x14ac:dyDescent="0.3">
      <c r="A2882" s="4" t="s">
        <v>5605</v>
      </c>
      <c r="B2882">
        <v>3</v>
      </c>
    </row>
    <row r="2883" spans="1:2" ht="28.8" x14ac:dyDescent="0.3">
      <c r="A2883" s="4" t="s">
        <v>5606</v>
      </c>
      <c r="B2883">
        <v>3</v>
      </c>
    </row>
    <row r="2884" spans="1:2" ht="28.8" x14ac:dyDescent="0.3">
      <c r="A2884" s="4" t="s">
        <v>5607</v>
      </c>
      <c r="B2884">
        <v>3</v>
      </c>
    </row>
    <row r="2885" spans="1:2" ht="28.8" x14ac:dyDescent="0.3">
      <c r="A2885" s="4" t="s">
        <v>5608</v>
      </c>
      <c r="B2885">
        <v>3</v>
      </c>
    </row>
    <row r="2886" spans="1:2" ht="28.8" x14ac:dyDescent="0.3">
      <c r="A2886" s="4" t="s">
        <v>5609</v>
      </c>
      <c r="B2886">
        <v>3</v>
      </c>
    </row>
    <row r="2887" spans="1:2" ht="28.8" x14ac:dyDescent="0.3">
      <c r="A2887" s="4" t="s">
        <v>5610</v>
      </c>
      <c r="B2887">
        <v>3</v>
      </c>
    </row>
    <row r="2888" spans="1:2" ht="28.8" x14ac:dyDescent="0.3">
      <c r="A2888" s="4" t="s">
        <v>5611</v>
      </c>
      <c r="B2888">
        <v>3</v>
      </c>
    </row>
    <row r="2889" spans="1:2" x14ac:dyDescent="0.3">
      <c r="A2889" s="4" t="s">
        <v>5612</v>
      </c>
      <c r="B2889">
        <v>3</v>
      </c>
    </row>
    <row r="2890" spans="1:2" ht="28.8" x14ac:dyDescent="0.3">
      <c r="A2890" s="4" t="s">
        <v>5613</v>
      </c>
      <c r="B2890">
        <v>3</v>
      </c>
    </row>
    <row r="2891" spans="1:2" x14ac:dyDescent="0.3">
      <c r="A2891" s="4" t="s">
        <v>5614</v>
      </c>
      <c r="B2891">
        <v>3</v>
      </c>
    </row>
    <row r="2892" spans="1:2" ht="28.8" x14ac:dyDescent="0.3">
      <c r="A2892" s="4" t="s">
        <v>5615</v>
      </c>
      <c r="B2892">
        <v>3</v>
      </c>
    </row>
    <row r="2893" spans="1:2" ht="28.8" x14ac:dyDescent="0.3">
      <c r="A2893" s="4" t="s">
        <v>5616</v>
      </c>
      <c r="B2893">
        <v>3</v>
      </c>
    </row>
    <row r="2894" spans="1:2" ht="28.8" x14ac:dyDescent="0.3">
      <c r="A2894" s="4" t="s">
        <v>5617</v>
      </c>
      <c r="B2894">
        <v>3</v>
      </c>
    </row>
    <row r="2895" spans="1:2" ht="43.2" x14ac:dyDescent="0.3">
      <c r="A2895" s="4" t="s">
        <v>5618</v>
      </c>
      <c r="B2895">
        <v>3</v>
      </c>
    </row>
    <row r="2896" spans="1:2" ht="28.8" x14ac:dyDescent="0.3">
      <c r="A2896" s="4" t="s">
        <v>5619</v>
      </c>
      <c r="B2896">
        <v>3</v>
      </c>
    </row>
    <row r="2897" spans="1:2" ht="43.2" x14ac:dyDescent="0.3">
      <c r="A2897" s="4" t="s">
        <v>5620</v>
      </c>
      <c r="B2897">
        <v>3</v>
      </c>
    </row>
    <row r="2898" spans="1:2" ht="28.8" x14ac:dyDescent="0.3">
      <c r="A2898" s="4" t="s">
        <v>5621</v>
      </c>
      <c r="B2898">
        <v>3</v>
      </c>
    </row>
    <row r="2899" spans="1:2" ht="28.8" x14ac:dyDescent="0.3">
      <c r="A2899" s="4" t="s">
        <v>5622</v>
      </c>
      <c r="B2899">
        <v>3</v>
      </c>
    </row>
    <row r="2900" spans="1:2" ht="28.8" x14ac:dyDescent="0.3">
      <c r="A2900" s="4" t="s">
        <v>5623</v>
      </c>
      <c r="B2900">
        <v>3</v>
      </c>
    </row>
    <row r="2901" spans="1:2" ht="28.8" x14ac:dyDescent="0.3">
      <c r="A2901" s="4" t="s">
        <v>5624</v>
      </c>
      <c r="B2901">
        <v>3</v>
      </c>
    </row>
    <row r="2902" spans="1:2" ht="28.8" x14ac:dyDescent="0.3">
      <c r="A2902" s="4" t="s">
        <v>5625</v>
      </c>
      <c r="B2902">
        <v>3</v>
      </c>
    </row>
    <row r="2903" spans="1:2" ht="28.8" x14ac:dyDescent="0.3">
      <c r="A2903" s="4" t="s">
        <v>5626</v>
      </c>
      <c r="B2903">
        <v>3</v>
      </c>
    </row>
    <row r="2904" spans="1:2" ht="28.8" x14ac:dyDescent="0.3">
      <c r="A2904" s="4" t="s">
        <v>5627</v>
      </c>
      <c r="B2904">
        <v>3</v>
      </c>
    </row>
    <row r="2905" spans="1:2" ht="28.8" x14ac:dyDescent="0.3">
      <c r="A2905" s="4" t="s">
        <v>5628</v>
      </c>
      <c r="B2905">
        <v>3</v>
      </c>
    </row>
    <row r="2906" spans="1:2" ht="28.8" x14ac:dyDescent="0.3">
      <c r="A2906" s="4" t="s">
        <v>5629</v>
      </c>
      <c r="B2906">
        <v>3</v>
      </c>
    </row>
    <row r="2907" spans="1:2" ht="28.8" x14ac:dyDescent="0.3">
      <c r="A2907" s="4" t="s">
        <v>5630</v>
      </c>
      <c r="B2907">
        <v>3</v>
      </c>
    </row>
    <row r="2908" spans="1:2" ht="28.8" x14ac:dyDescent="0.3">
      <c r="A2908" s="4" t="s">
        <v>5631</v>
      </c>
      <c r="B2908">
        <v>3</v>
      </c>
    </row>
    <row r="2909" spans="1:2" ht="28.8" x14ac:dyDescent="0.3">
      <c r="A2909" s="4" t="s">
        <v>5632</v>
      </c>
      <c r="B2909">
        <v>3</v>
      </c>
    </row>
    <row r="2910" spans="1:2" ht="28.8" x14ac:dyDescent="0.3">
      <c r="A2910" s="4" t="s">
        <v>5633</v>
      </c>
      <c r="B2910">
        <v>3</v>
      </c>
    </row>
    <row r="2911" spans="1:2" ht="28.8" x14ac:dyDescent="0.3">
      <c r="A2911" s="4" t="s">
        <v>5634</v>
      </c>
      <c r="B2911">
        <v>3</v>
      </c>
    </row>
    <row r="2912" spans="1:2" ht="28.8" x14ac:dyDescent="0.3">
      <c r="A2912" s="4" t="s">
        <v>5635</v>
      </c>
      <c r="B2912">
        <v>3</v>
      </c>
    </row>
    <row r="2913" spans="1:2" ht="28.8" x14ac:dyDescent="0.3">
      <c r="A2913" s="4" t="s">
        <v>5636</v>
      </c>
      <c r="B2913">
        <v>3</v>
      </c>
    </row>
    <row r="2914" spans="1:2" ht="28.8" x14ac:dyDescent="0.3">
      <c r="A2914" s="4" t="s">
        <v>5637</v>
      </c>
      <c r="B2914">
        <v>3</v>
      </c>
    </row>
    <row r="2915" spans="1:2" ht="43.2" x14ac:dyDescent="0.3">
      <c r="A2915" s="4" t="s">
        <v>5638</v>
      </c>
      <c r="B2915">
        <v>3</v>
      </c>
    </row>
    <row r="2916" spans="1:2" ht="28.8" x14ac:dyDescent="0.3">
      <c r="A2916" s="4" t="s">
        <v>5639</v>
      </c>
      <c r="B2916">
        <v>3</v>
      </c>
    </row>
    <row r="2917" spans="1:2" ht="28.8" x14ac:dyDescent="0.3">
      <c r="A2917" s="4" t="s">
        <v>5640</v>
      </c>
      <c r="B2917">
        <v>3</v>
      </c>
    </row>
    <row r="2918" spans="1:2" x14ac:dyDescent="0.3">
      <c r="A2918" s="4" t="s">
        <v>5641</v>
      </c>
      <c r="B2918">
        <v>3</v>
      </c>
    </row>
    <row r="2919" spans="1:2" ht="28.8" x14ac:dyDescent="0.3">
      <c r="A2919" s="4" t="s">
        <v>5642</v>
      </c>
      <c r="B2919">
        <v>3</v>
      </c>
    </row>
    <row r="2920" spans="1:2" ht="28.8" x14ac:dyDescent="0.3">
      <c r="A2920" s="4" t="s">
        <v>5643</v>
      </c>
      <c r="B2920">
        <v>3</v>
      </c>
    </row>
    <row r="2921" spans="1:2" ht="28.8" x14ac:dyDescent="0.3">
      <c r="A2921" s="4" t="s">
        <v>5644</v>
      </c>
      <c r="B2921">
        <v>3</v>
      </c>
    </row>
    <row r="2922" spans="1:2" ht="28.8" x14ac:dyDescent="0.3">
      <c r="A2922" s="4" t="s">
        <v>5645</v>
      </c>
      <c r="B2922">
        <v>3</v>
      </c>
    </row>
    <row r="2923" spans="1:2" ht="28.8" x14ac:dyDescent="0.3">
      <c r="A2923" s="4" t="s">
        <v>5646</v>
      </c>
      <c r="B2923">
        <v>3</v>
      </c>
    </row>
    <row r="2924" spans="1:2" ht="28.8" x14ac:dyDescent="0.3">
      <c r="A2924" s="4" t="s">
        <v>5647</v>
      </c>
      <c r="B2924">
        <v>3</v>
      </c>
    </row>
    <row r="2925" spans="1:2" ht="28.8" x14ac:dyDescent="0.3">
      <c r="A2925" s="4" t="s">
        <v>5648</v>
      </c>
      <c r="B2925">
        <v>3</v>
      </c>
    </row>
    <row r="2926" spans="1:2" ht="28.8" x14ac:dyDescent="0.3">
      <c r="A2926" s="4" t="s">
        <v>5649</v>
      </c>
      <c r="B2926">
        <v>3</v>
      </c>
    </row>
    <row r="2927" spans="1:2" ht="28.8" x14ac:dyDescent="0.3">
      <c r="A2927" s="4" t="s">
        <v>5650</v>
      </c>
      <c r="B2927">
        <v>3</v>
      </c>
    </row>
    <row r="2928" spans="1:2" ht="28.8" x14ac:dyDescent="0.3">
      <c r="A2928" s="4" t="s">
        <v>5651</v>
      </c>
      <c r="B2928">
        <v>3</v>
      </c>
    </row>
    <row r="2929" spans="1:2" ht="28.8" x14ac:dyDescent="0.3">
      <c r="A2929" s="4" t="s">
        <v>5652</v>
      </c>
      <c r="B2929">
        <v>3</v>
      </c>
    </row>
    <row r="2930" spans="1:2" ht="28.8" x14ac:dyDescent="0.3">
      <c r="A2930" s="4" t="s">
        <v>5653</v>
      </c>
      <c r="B2930">
        <v>3</v>
      </c>
    </row>
    <row r="2931" spans="1:2" ht="43.2" x14ac:dyDescent="0.3">
      <c r="A2931" s="4" t="s">
        <v>5654</v>
      </c>
      <c r="B2931">
        <v>3</v>
      </c>
    </row>
    <row r="2932" spans="1:2" ht="28.8" x14ac:dyDescent="0.3">
      <c r="A2932" s="4" t="s">
        <v>5655</v>
      </c>
      <c r="B2932">
        <v>3</v>
      </c>
    </row>
    <row r="2933" spans="1:2" ht="43.2" x14ac:dyDescent="0.3">
      <c r="A2933" s="4" t="s">
        <v>5656</v>
      </c>
      <c r="B2933">
        <v>3</v>
      </c>
    </row>
    <row r="2934" spans="1:2" ht="28.8" x14ac:dyDescent="0.3">
      <c r="A2934" s="4" t="s">
        <v>5657</v>
      </c>
      <c r="B2934">
        <v>3</v>
      </c>
    </row>
    <row r="2935" spans="1:2" ht="28.8" x14ac:dyDescent="0.3">
      <c r="A2935" s="4" t="s">
        <v>5658</v>
      </c>
      <c r="B2935">
        <v>3</v>
      </c>
    </row>
    <row r="2936" spans="1:2" ht="43.2" x14ac:dyDescent="0.3">
      <c r="A2936" s="4" t="s">
        <v>5659</v>
      </c>
      <c r="B2936">
        <v>3</v>
      </c>
    </row>
    <row r="2937" spans="1:2" ht="43.2" x14ac:dyDescent="0.3">
      <c r="A2937" s="4" t="s">
        <v>5660</v>
      </c>
      <c r="B2937">
        <v>3</v>
      </c>
    </row>
    <row r="2938" spans="1:2" ht="28.8" x14ac:dyDescent="0.3">
      <c r="A2938" s="4" t="s">
        <v>5661</v>
      </c>
      <c r="B2938">
        <v>3</v>
      </c>
    </row>
    <row r="2939" spans="1:2" ht="28.8" x14ac:dyDescent="0.3">
      <c r="A2939" s="4" t="s">
        <v>5662</v>
      </c>
      <c r="B2939">
        <v>3</v>
      </c>
    </row>
    <row r="2940" spans="1:2" ht="28.8" x14ac:dyDescent="0.3">
      <c r="A2940" s="4" t="s">
        <v>5663</v>
      </c>
      <c r="B2940">
        <v>3</v>
      </c>
    </row>
    <row r="2941" spans="1:2" ht="28.8" x14ac:dyDescent="0.3">
      <c r="A2941" s="4" t="s">
        <v>5664</v>
      </c>
      <c r="B2941">
        <v>3</v>
      </c>
    </row>
    <row r="2942" spans="1:2" ht="28.8" x14ac:dyDescent="0.3">
      <c r="A2942" s="4" t="s">
        <v>5665</v>
      </c>
      <c r="B2942">
        <v>3</v>
      </c>
    </row>
    <row r="2943" spans="1:2" ht="28.8" x14ac:dyDescent="0.3">
      <c r="A2943" s="4" t="s">
        <v>5666</v>
      </c>
      <c r="B2943">
        <v>3</v>
      </c>
    </row>
    <row r="2944" spans="1:2" ht="28.8" x14ac:dyDescent="0.3">
      <c r="A2944" s="4" t="s">
        <v>5667</v>
      </c>
      <c r="B2944">
        <v>3</v>
      </c>
    </row>
    <row r="2945" spans="1:2" x14ac:dyDescent="0.3">
      <c r="A2945" s="4" t="s">
        <v>5668</v>
      </c>
      <c r="B2945">
        <v>3</v>
      </c>
    </row>
    <row r="2946" spans="1:2" ht="28.8" x14ac:dyDescent="0.3">
      <c r="A2946" s="4" t="s">
        <v>5669</v>
      </c>
      <c r="B2946">
        <v>3</v>
      </c>
    </row>
    <row r="2947" spans="1:2" ht="28.8" x14ac:dyDescent="0.3">
      <c r="A2947" s="4" t="s">
        <v>5670</v>
      </c>
      <c r="B2947">
        <v>3</v>
      </c>
    </row>
    <row r="2948" spans="1:2" ht="28.8" x14ac:dyDescent="0.3">
      <c r="A2948" s="4" t="s">
        <v>5671</v>
      </c>
      <c r="B2948">
        <v>3</v>
      </c>
    </row>
    <row r="2949" spans="1:2" ht="28.8" x14ac:dyDescent="0.3">
      <c r="A2949" s="4" t="s">
        <v>5672</v>
      </c>
      <c r="B2949">
        <v>3</v>
      </c>
    </row>
    <row r="2950" spans="1:2" ht="43.2" x14ac:dyDescent="0.3">
      <c r="A2950" s="4" t="s">
        <v>5673</v>
      </c>
      <c r="B2950">
        <v>3</v>
      </c>
    </row>
    <row r="2951" spans="1:2" ht="28.8" x14ac:dyDescent="0.3">
      <c r="A2951" s="4" t="s">
        <v>5674</v>
      </c>
      <c r="B2951">
        <v>3</v>
      </c>
    </row>
    <row r="2952" spans="1:2" ht="28.8" x14ac:dyDescent="0.3">
      <c r="A2952" s="4" t="s">
        <v>5675</v>
      </c>
      <c r="B2952">
        <v>3</v>
      </c>
    </row>
    <row r="2953" spans="1:2" ht="28.8" x14ac:dyDescent="0.3">
      <c r="A2953" s="4" t="s">
        <v>5676</v>
      </c>
      <c r="B2953">
        <v>3</v>
      </c>
    </row>
    <row r="2954" spans="1:2" ht="28.8" x14ac:dyDescent="0.3">
      <c r="A2954" s="4" t="s">
        <v>5677</v>
      </c>
      <c r="B2954">
        <v>3</v>
      </c>
    </row>
    <row r="2955" spans="1:2" ht="28.8" x14ac:dyDescent="0.3">
      <c r="A2955" s="4" t="s">
        <v>5678</v>
      </c>
      <c r="B2955">
        <v>3</v>
      </c>
    </row>
    <row r="2956" spans="1:2" ht="28.8" x14ac:dyDescent="0.3">
      <c r="A2956" s="4" t="s">
        <v>5679</v>
      </c>
      <c r="B2956">
        <v>3</v>
      </c>
    </row>
    <row r="2957" spans="1:2" ht="28.8" x14ac:dyDescent="0.3">
      <c r="A2957" s="4" t="s">
        <v>5680</v>
      </c>
      <c r="B2957">
        <v>3</v>
      </c>
    </row>
    <row r="2958" spans="1:2" ht="28.8" x14ac:dyDescent="0.3">
      <c r="A2958" s="4" t="s">
        <v>5681</v>
      </c>
      <c r="B2958">
        <v>3</v>
      </c>
    </row>
    <row r="2959" spans="1:2" ht="28.8" x14ac:dyDescent="0.3">
      <c r="A2959" s="4" t="s">
        <v>5682</v>
      </c>
      <c r="B2959">
        <v>3</v>
      </c>
    </row>
    <row r="2960" spans="1:2" ht="28.8" x14ac:dyDescent="0.3">
      <c r="A2960" s="4" t="s">
        <v>5683</v>
      </c>
      <c r="B2960">
        <v>3</v>
      </c>
    </row>
    <row r="2961" spans="1:2" ht="28.8" x14ac:dyDescent="0.3">
      <c r="A2961" s="4" t="s">
        <v>5684</v>
      </c>
      <c r="B2961">
        <v>3</v>
      </c>
    </row>
    <row r="2962" spans="1:2" ht="28.8" x14ac:dyDescent="0.3">
      <c r="A2962" s="4" t="s">
        <v>5685</v>
      </c>
      <c r="B2962">
        <v>3</v>
      </c>
    </row>
    <row r="2963" spans="1:2" x14ac:dyDescent="0.3">
      <c r="A2963" s="4" t="s">
        <v>5686</v>
      </c>
      <c r="B2963">
        <v>3</v>
      </c>
    </row>
    <row r="2964" spans="1:2" ht="28.8" x14ac:dyDescent="0.3">
      <c r="A2964" s="4" t="s">
        <v>5687</v>
      </c>
      <c r="B2964">
        <v>3</v>
      </c>
    </row>
    <row r="2965" spans="1:2" ht="28.8" x14ac:dyDescent="0.3">
      <c r="A2965" s="4" t="s">
        <v>5688</v>
      </c>
      <c r="B2965">
        <v>3</v>
      </c>
    </row>
    <row r="2966" spans="1:2" ht="43.2" x14ac:dyDescent="0.3">
      <c r="A2966" s="4" t="s">
        <v>5689</v>
      </c>
      <c r="B2966">
        <v>3</v>
      </c>
    </row>
    <row r="2967" spans="1:2" ht="28.8" x14ac:dyDescent="0.3">
      <c r="A2967" s="4" t="s">
        <v>5690</v>
      </c>
      <c r="B2967">
        <v>3</v>
      </c>
    </row>
    <row r="2968" spans="1:2" x14ac:dyDescent="0.3">
      <c r="A2968" s="4" t="s">
        <v>5691</v>
      </c>
      <c r="B2968">
        <v>3</v>
      </c>
    </row>
    <row r="2969" spans="1:2" ht="28.8" x14ac:dyDescent="0.3">
      <c r="A2969" s="4" t="s">
        <v>5692</v>
      </c>
      <c r="B2969">
        <v>3</v>
      </c>
    </row>
    <row r="2970" spans="1:2" ht="28.8" x14ac:dyDescent="0.3">
      <c r="A2970" s="4" t="s">
        <v>5693</v>
      </c>
      <c r="B2970">
        <v>3</v>
      </c>
    </row>
    <row r="2971" spans="1:2" ht="43.2" x14ac:dyDescent="0.3">
      <c r="A2971" s="4" t="s">
        <v>5694</v>
      </c>
      <c r="B2971">
        <v>3</v>
      </c>
    </row>
    <row r="2972" spans="1:2" ht="28.8" x14ac:dyDescent="0.3">
      <c r="A2972" s="4" t="s">
        <v>5695</v>
      </c>
      <c r="B2972">
        <v>3</v>
      </c>
    </row>
    <row r="2973" spans="1:2" ht="43.2" x14ac:dyDescent="0.3">
      <c r="A2973" s="4" t="s">
        <v>5696</v>
      </c>
      <c r="B2973">
        <v>3</v>
      </c>
    </row>
    <row r="2974" spans="1:2" ht="28.8" x14ac:dyDescent="0.3">
      <c r="A2974" s="4" t="s">
        <v>5697</v>
      </c>
      <c r="B2974">
        <v>3</v>
      </c>
    </row>
    <row r="2975" spans="1:2" ht="43.2" x14ac:dyDescent="0.3">
      <c r="A2975" s="4" t="s">
        <v>5698</v>
      </c>
      <c r="B2975">
        <v>3</v>
      </c>
    </row>
    <row r="2976" spans="1:2" ht="28.8" x14ac:dyDescent="0.3">
      <c r="A2976" s="4" t="s">
        <v>5699</v>
      </c>
      <c r="B2976">
        <v>3</v>
      </c>
    </row>
    <row r="2977" spans="1:2" ht="28.8" x14ac:dyDescent="0.3">
      <c r="A2977" s="4" t="s">
        <v>5700</v>
      </c>
      <c r="B2977">
        <v>3</v>
      </c>
    </row>
    <row r="2978" spans="1:2" ht="28.8" x14ac:dyDescent="0.3">
      <c r="A2978" s="4" t="s">
        <v>5701</v>
      </c>
      <c r="B2978">
        <v>3</v>
      </c>
    </row>
    <row r="2979" spans="1:2" ht="28.8" x14ac:dyDescent="0.3">
      <c r="A2979" s="4" t="s">
        <v>5702</v>
      </c>
      <c r="B2979">
        <v>3</v>
      </c>
    </row>
    <row r="2980" spans="1:2" ht="28.8" x14ac:dyDescent="0.3">
      <c r="A2980" s="4" t="s">
        <v>5703</v>
      </c>
      <c r="B2980">
        <v>3</v>
      </c>
    </row>
    <row r="2981" spans="1:2" x14ac:dyDescent="0.3">
      <c r="A2981" s="4" t="s">
        <v>5704</v>
      </c>
      <c r="B2981">
        <v>3</v>
      </c>
    </row>
    <row r="2982" spans="1:2" ht="28.8" x14ac:dyDescent="0.3">
      <c r="A2982" s="4" t="s">
        <v>5705</v>
      </c>
      <c r="B2982">
        <v>3</v>
      </c>
    </row>
    <row r="2983" spans="1:2" ht="28.8" x14ac:dyDescent="0.3">
      <c r="A2983" s="4" t="s">
        <v>5706</v>
      </c>
      <c r="B2983">
        <v>3</v>
      </c>
    </row>
    <row r="2984" spans="1:2" ht="28.8" x14ac:dyDescent="0.3">
      <c r="A2984" s="4" t="s">
        <v>5707</v>
      </c>
      <c r="B2984">
        <v>3</v>
      </c>
    </row>
    <row r="2985" spans="1:2" ht="28.8" x14ac:dyDescent="0.3">
      <c r="A2985" s="4" t="s">
        <v>5708</v>
      </c>
      <c r="B2985">
        <v>3</v>
      </c>
    </row>
    <row r="2986" spans="1:2" ht="28.8" x14ac:dyDescent="0.3">
      <c r="A2986" s="4" t="s">
        <v>5709</v>
      </c>
      <c r="B2986">
        <v>3</v>
      </c>
    </row>
    <row r="2987" spans="1:2" ht="28.8" x14ac:dyDescent="0.3">
      <c r="A2987" s="4" t="s">
        <v>5710</v>
      </c>
      <c r="B2987">
        <v>3</v>
      </c>
    </row>
    <row r="2988" spans="1:2" ht="28.8" x14ac:dyDescent="0.3">
      <c r="A2988" s="4" t="s">
        <v>5711</v>
      </c>
      <c r="B2988">
        <v>3</v>
      </c>
    </row>
    <row r="2989" spans="1:2" ht="28.8" x14ac:dyDescent="0.3">
      <c r="A2989" s="4" t="s">
        <v>5712</v>
      </c>
      <c r="B2989">
        <v>3</v>
      </c>
    </row>
    <row r="2990" spans="1:2" ht="28.8" x14ac:dyDescent="0.3">
      <c r="A2990" s="4" t="s">
        <v>5713</v>
      </c>
      <c r="B2990">
        <v>3</v>
      </c>
    </row>
    <row r="2991" spans="1:2" ht="28.8" x14ac:dyDescent="0.3">
      <c r="A2991" s="4" t="s">
        <v>5714</v>
      </c>
      <c r="B2991">
        <v>3</v>
      </c>
    </row>
    <row r="2992" spans="1:2" ht="28.8" x14ac:dyDescent="0.3">
      <c r="A2992" s="4" t="s">
        <v>5715</v>
      </c>
      <c r="B2992">
        <v>3</v>
      </c>
    </row>
    <row r="2993" spans="1:2" ht="43.2" x14ac:dyDescent="0.3">
      <c r="A2993" s="4" t="s">
        <v>5716</v>
      </c>
      <c r="B2993">
        <v>3</v>
      </c>
    </row>
    <row r="2994" spans="1:2" ht="28.8" x14ac:dyDescent="0.3">
      <c r="A2994" s="4" t="s">
        <v>5717</v>
      </c>
      <c r="B2994">
        <v>3</v>
      </c>
    </row>
    <row r="2995" spans="1:2" x14ac:dyDescent="0.3">
      <c r="A2995" s="4" t="s">
        <v>5718</v>
      </c>
      <c r="B2995">
        <v>3</v>
      </c>
    </row>
    <row r="2996" spans="1:2" ht="28.8" x14ac:dyDescent="0.3">
      <c r="A2996" s="4" t="s">
        <v>5719</v>
      </c>
      <c r="B2996">
        <v>3</v>
      </c>
    </row>
    <row r="2997" spans="1:2" ht="28.8" x14ac:dyDescent="0.3">
      <c r="A2997" s="4" t="s">
        <v>5720</v>
      </c>
      <c r="B2997">
        <v>3</v>
      </c>
    </row>
    <row r="2998" spans="1:2" ht="28.8" x14ac:dyDescent="0.3">
      <c r="A2998" s="4" t="s">
        <v>5721</v>
      </c>
      <c r="B2998">
        <v>3</v>
      </c>
    </row>
    <row r="2999" spans="1:2" ht="43.2" x14ac:dyDescent="0.3">
      <c r="A2999" s="4" t="s">
        <v>5722</v>
      </c>
      <c r="B2999">
        <v>3</v>
      </c>
    </row>
    <row r="3000" spans="1:2" ht="28.8" x14ac:dyDescent="0.3">
      <c r="A3000" s="4" t="s">
        <v>5723</v>
      </c>
      <c r="B3000">
        <v>3</v>
      </c>
    </row>
    <row r="3001" spans="1:2" x14ac:dyDescent="0.3">
      <c r="A3001" s="4" t="s">
        <v>5724</v>
      </c>
      <c r="B3001">
        <v>3</v>
      </c>
    </row>
    <row r="3002" spans="1:2" ht="43.2" x14ac:dyDescent="0.3">
      <c r="A3002" s="4" t="s">
        <v>5725</v>
      </c>
      <c r="B3002">
        <v>3</v>
      </c>
    </row>
    <row r="3003" spans="1:2" ht="28.8" x14ac:dyDescent="0.3">
      <c r="A3003" s="4" t="s">
        <v>5726</v>
      </c>
      <c r="B3003">
        <v>3</v>
      </c>
    </row>
    <row r="3004" spans="1:2" x14ac:dyDescent="0.3">
      <c r="A3004" s="4" t="s">
        <v>5727</v>
      </c>
      <c r="B3004">
        <v>3</v>
      </c>
    </row>
    <row r="3005" spans="1:2" ht="28.8" x14ac:dyDescent="0.3">
      <c r="A3005" s="4" t="s">
        <v>5728</v>
      </c>
      <c r="B3005">
        <v>3</v>
      </c>
    </row>
    <row r="3006" spans="1:2" ht="28.8" x14ac:dyDescent="0.3">
      <c r="A3006" s="4" t="s">
        <v>5729</v>
      </c>
      <c r="B3006">
        <v>3</v>
      </c>
    </row>
    <row r="3007" spans="1:2" ht="28.8" x14ac:dyDescent="0.3">
      <c r="A3007" s="4" t="s">
        <v>5730</v>
      </c>
      <c r="B3007">
        <v>3</v>
      </c>
    </row>
    <row r="3008" spans="1:2" ht="28.8" x14ac:dyDescent="0.3">
      <c r="A3008" s="4" t="s">
        <v>5731</v>
      </c>
      <c r="B3008">
        <v>3</v>
      </c>
    </row>
    <row r="3009" spans="1:2" ht="28.8" x14ac:dyDescent="0.3">
      <c r="A3009" s="4" t="s">
        <v>5732</v>
      </c>
      <c r="B3009">
        <v>3</v>
      </c>
    </row>
    <row r="3010" spans="1:2" ht="43.2" x14ac:dyDescent="0.3">
      <c r="A3010" s="4" t="s">
        <v>5733</v>
      </c>
      <c r="B3010">
        <v>3</v>
      </c>
    </row>
    <row r="3011" spans="1:2" x14ac:dyDescent="0.3">
      <c r="A3011" s="4" t="s">
        <v>5734</v>
      </c>
      <c r="B3011">
        <v>3</v>
      </c>
    </row>
    <row r="3012" spans="1:2" ht="28.8" x14ac:dyDescent="0.3">
      <c r="A3012" s="4" t="s">
        <v>5735</v>
      </c>
      <c r="B3012">
        <v>3</v>
      </c>
    </row>
    <row r="3013" spans="1:2" ht="28.8" x14ac:dyDescent="0.3">
      <c r="A3013" s="4" t="s">
        <v>5736</v>
      </c>
      <c r="B3013">
        <v>3</v>
      </c>
    </row>
    <row r="3014" spans="1:2" ht="28.8" x14ac:dyDescent="0.3">
      <c r="A3014" s="4" t="s">
        <v>5737</v>
      </c>
      <c r="B3014">
        <v>3</v>
      </c>
    </row>
    <row r="3015" spans="1:2" ht="28.8" x14ac:dyDescent="0.3">
      <c r="A3015" s="4" t="s">
        <v>5738</v>
      </c>
      <c r="B3015">
        <v>3</v>
      </c>
    </row>
    <row r="3016" spans="1:2" ht="43.2" x14ac:dyDescent="0.3">
      <c r="A3016" s="4" t="s">
        <v>5739</v>
      </c>
      <c r="B3016">
        <v>3</v>
      </c>
    </row>
    <row r="3017" spans="1:2" ht="28.8" x14ac:dyDescent="0.3">
      <c r="A3017" s="4" t="s">
        <v>5740</v>
      </c>
      <c r="B3017">
        <v>3</v>
      </c>
    </row>
    <row r="3018" spans="1:2" ht="28.8" x14ac:dyDescent="0.3">
      <c r="A3018" s="4" t="s">
        <v>5741</v>
      </c>
      <c r="B3018">
        <v>3</v>
      </c>
    </row>
    <row r="3019" spans="1:2" ht="28.8" x14ac:dyDescent="0.3">
      <c r="A3019" s="4" t="s">
        <v>5742</v>
      </c>
      <c r="B3019">
        <v>3</v>
      </c>
    </row>
    <row r="3020" spans="1:2" x14ac:dyDescent="0.3">
      <c r="A3020" s="4" t="s">
        <v>5743</v>
      </c>
      <c r="B3020">
        <v>3</v>
      </c>
    </row>
    <row r="3021" spans="1:2" ht="28.8" x14ac:dyDescent="0.3">
      <c r="A3021" s="4" t="s">
        <v>5744</v>
      </c>
      <c r="B3021">
        <v>3</v>
      </c>
    </row>
    <row r="3022" spans="1:2" x14ac:dyDescent="0.3">
      <c r="A3022" s="4" t="s">
        <v>5745</v>
      </c>
      <c r="B3022">
        <v>3</v>
      </c>
    </row>
    <row r="3023" spans="1:2" ht="28.8" x14ac:dyDescent="0.3">
      <c r="A3023" s="4" t="s">
        <v>5746</v>
      </c>
      <c r="B3023">
        <v>3</v>
      </c>
    </row>
    <row r="3024" spans="1:2" ht="28.8" x14ac:dyDescent="0.3">
      <c r="A3024" s="4" t="s">
        <v>5747</v>
      </c>
      <c r="B3024">
        <v>3</v>
      </c>
    </row>
    <row r="3025" spans="1:2" ht="28.8" x14ac:dyDescent="0.3">
      <c r="A3025" s="4" t="s">
        <v>5748</v>
      </c>
      <c r="B3025">
        <v>3</v>
      </c>
    </row>
    <row r="3026" spans="1:2" ht="28.8" x14ac:dyDescent="0.3">
      <c r="A3026" s="4" t="s">
        <v>5749</v>
      </c>
      <c r="B3026">
        <v>3</v>
      </c>
    </row>
    <row r="3027" spans="1:2" ht="28.8" x14ac:dyDescent="0.3">
      <c r="A3027" s="4" t="s">
        <v>5750</v>
      </c>
      <c r="B3027">
        <v>3</v>
      </c>
    </row>
    <row r="3028" spans="1:2" ht="28.8" x14ac:dyDescent="0.3">
      <c r="A3028" s="4" t="s">
        <v>5751</v>
      </c>
      <c r="B3028">
        <v>3</v>
      </c>
    </row>
    <row r="3029" spans="1:2" ht="28.8" x14ac:dyDescent="0.3">
      <c r="A3029" s="4" t="s">
        <v>5752</v>
      </c>
      <c r="B3029">
        <v>3</v>
      </c>
    </row>
    <row r="3030" spans="1:2" ht="158.4" x14ac:dyDescent="0.3">
      <c r="A3030" s="4" t="s">
        <v>5753</v>
      </c>
      <c r="B3030">
        <v>3</v>
      </c>
    </row>
    <row r="3031" spans="1:2" ht="28.8" x14ac:dyDescent="0.3">
      <c r="A3031" s="4" t="s">
        <v>5754</v>
      </c>
      <c r="B3031">
        <v>3</v>
      </c>
    </row>
    <row r="3032" spans="1:2" ht="28.8" x14ac:dyDescent="0.3">
      <c r="A3032" s="4" t="s">
        <v>5755</v>
      </c>
      <c r="B3032">
        <v>3</v>
      </c>
    </row>
    <row r="3033" spans="1:2" ht="28.8" x14ac:dyDescent="0.3">
      <c r="A3033" s="4" t="s">
        <v>5756</v>
      </c>
      <c r="B3033">
        <v>3</v>
      </c>
    </row>
    <row r="3034" spans="1:2" ht="28.8" x14ac:dyDescent="0.3">
      <c r="A3034" s="4" t="s">
        <v>5757</v>
      </c>
      <c r="B3034">
        <v>3</v>
      </c>
    </row>
    <row r="3035" spans="1:2" ht="28.8" x14ac:dyDescent="0.3">
      <c r="A3035" s="4" t="s">
        <v>5758</v>
      </c>
      <c r="B3035">
        <v>3</v>
      </c>
    </row>
    <row r="3036" spans="1:2" ht="28.8" x14ac:dyDescent="0.3">
      <c r="A3036" s="4" t="s">
        <v>5759</v>
      </c>
      <c r="B3036">
        <v>3</v>
      </c>
    </row>
    <row r="3037" spans="1:2" ht="43.2" x14ac:dyDescent="0.3">
      <c r="A3037" s="4" t="s">
        <v>5760</v>
      </c>
      <c r="B3037">
        <v>3</v>
      </c>
    </row>
    <row r="3038" spans="1:2" ht="28.8" x14ac:dyDescent="0.3">
      <c r="A3038" s="4" t="s">
        <v>5761</v>
      </c>
      <c r="B3038">
        <v>3</v>
      </c>
    </row>
    <row r="3039" spans="1:2" ht="28.8" x14ac:dyDescent="0.3">
      <c r="A3039" s="4" t="s">
        <v>5762</v>
      </c>
      <c r="B3039">
        <v>3</v>
      </c>
    </row>
    <row r="3040" spans="1:2" x14ac:dyDescent="0.3">
      <c r="A3040" s="4" t="s">
        <v>5763</v>
      </c>
      <c r="B3040">
        <v>3</v>
      </c>
    </row>
    <row r="3041" spans="1:2" ht="43.2" x14ac:dyDescent="0.3">
      <c r="A3041" s="4" t="s">
        <v>5764</v>
      </c>
      <c r="B3041">
        <v>3</v>
      </c>
    </row>
    <row r="3042" spans="1:2" ht="28.8" x14ac:dyDescent="0.3">
      <c r="A3042" s="4" t="s">
        <v>5765</v>
      </c>
      <c r="B3042">
        <v>3</v>
      </c>
    </row>
    <row r="3043" spans="1:2" x14ac:dyDescent="0.3">
      <c r="A3043" s="4" t="s">
        <v>5766</v>
      </c>
      <c r="B3043">
        <v>3</v>
      </c>
    </row>
    <row r="3044" spans="1:2" ht="28.8" x14ac:dyDescent="0.3">
      <c r="A3044" s="4" t="s">
        <v>5767</v>
      </c>
      <c r="B3044">
        <v>3</v>
      </c>
    </row>
    <row r="3045" spans="1:2" ht="28.8" x14ac:dyDescent="0.3">
      <c r="A3045" s="4" t="s">
        <v>5768</v>
      </c>
      <c r="B3045">
        <v>3</v>
      </c>
    </row>
    <row r="3046" spans="1:2" ht="28.8" x14ac:dyDescent="0.3">
      <c r="A3046" s="4" t="s">
        <v>5769</v>
      </c>
      <c r="B3046">
        <v>3</v>
      </c>
    </row>
    <row r="3047" spans="1:2" ht="28.8" x14ac:dyDescent="0.3">
      <c r="A3047" s="4" t="s">
        <v>5770</v>
      </c>
      <c r="B3047">
        <v>3</v>
      </c>
    </row>
    <row r="3048" spans="1:2" ht="28.8" x14ac:dyDescent="0.3">
      <c r="A3048" s="4" t="s">
        <v>5771</v>
      </c>
      <c r="B3048">
        <v>3</v>
      </c>
    </row>
    <row r="3049" spans="1:2" ht="28.8" x14ac:dyDescent="0.3">
      <c r="A3049" s="4" t="s">
        <v>5772</v>
      </c>
      <c r="B3049">
        <v>3</v>
      </c>
    </row>
    <row r="3050" spans="1:2" ht="28.8" x14ac:dyDescent="0.3">
      <c r="A3050" s="4" t="s">
        <v>5773</v>
      </c>
      <c r="B3050">
        <v>3</v>
      </c>
    </row>
    <row r="3051" spans="1:2" ht="28.8" x14ac:dyDescent="0.3">
      <c r="A3051" s="4" t="s">
        <v>5774</v>
      </c>
      <c r="B3051">
        <v>3</v>
      </c>
    </row>
    <row r="3052" spans="1:2" ht="28.8" x14ac:dyDescent="0.3">
      <c r="A3052" s="4" t="s">
        <v>5775</v>
      </c>
      <c r="B3052">
        <v>3</v>
      </c>
    </row>
    <row r="3053" spans="1:2" ht="28.8" x14ac:dyDescent="0.3">
      <c r="A3053" s="4" t="s">
        <v>5776</v>
      </c>
      <c r="B3053">
        <v>3</v>
      </c>
    </row>
    <row r="3054" spans="1:2" ht="28.8" x14ac:dyDescent="0.3">
      <c r="A3054" s="4" t="s">
        <v>5777</v>
      </c>
      <c r="B3054">
        <v>3</v>
      </c>
    </row>
    <row r="3055" spans="1:2" ht="43.2" x14ac:dyDescent="0.3">
      <c r="A3055" s="4" t="s">
        <v>5778</v>
      </c>
      <c r="B3055">
        <v>3</v>
      </c>
    </row>
    <row r="3056" spans="1:2" ht="28.8" x14ac:dyDescent="0.3">
      <c r="A3056" s="4" t="s">
        <v>5779</v>
      </c>
      <c r="B3056">
        <v>3</v>
      </c>
    </row>
    <row r="3057" spans="1:2" ht="28.8" x14ac:dyDescent="0.3">
      <c r="A3057" s="4" t="s">
        <v>5780</v>
      </c>
      <c r="B3057">
        <v>3</v>
      </c>
    </row>
    <row r="3058" spans="1:2" x14ac:dyDescent="0.3">
      <c r="A3058" s="4" t="s">
        <v>5781</v>
      </c>
      <c r="B3058">
        <v>3</v>
      </c>
    </row>
    <row r="3059" spans="1:2" ht="43.2" x14ac:dyDescent="0.3">
      <c r="A3059" s="4" t="s">
        <v>5782</v>
      </c>
      <c r="B3059">
        <v>3</v>
      </c>
    </row>
    <row r="3060" spans="1:2" x14ac:dyDescent="0.3">
      <c r="A3060" s="4" t="s">
        <v>5783</v>
      </c>
      <c r="B3060">
        <v>3</v>
      </c>
    </row>
    <row r="3061" spans="1:2" ht="28.8" x14ac:dyDescent="0.3">
      <c r="A3061" s="4" t="s">
        <v>5784</v>
      </c>
      <c r="B3061">
        <v>3</v>
      </c>
    </row>
    <row r="3062" spans="1:2" ht="28.8" x14ac:dyDescent="0.3">
      <c r="A3062" s="4" t="s">
        <v>5785</v>
      </c>
      <c r="B3062">
        <v>3</v>
      </c>
    </row>
    <row r="3063" spans="1:2" ht="43.2" x14ac:dyDescent="0.3">
      <c r="A3063" s="4" t="s">
        <v>5786</v>
      </c>
      <c r="B3063">
        <v>3</v>
      </c>
    </row>
    <row r="3064" spans="1:2" ht="28.8" x14ac:dyDescent="0.3">
      <c r="A3064" s="4" t="s">
        <v>5787</v>
      </c>
      <c r="B3064">
        <v>3</v>
      </c>
    </row>
    <row r="3065" spans="1:2" ht="28.8" x14ac:dyDescent="0.3">
      <c r="A3065" s="4" t="s">
        <v>5788</v>
      </c>
      <c r="B3065">
        <v>3</v>
      </c>
    </row>
    <row r="3066" spans="1:2" ht="28.8" x14ac:dyDescent="0.3">
      <c r="A3066" s="4" t="s">
        <v>5789</v>
      </c>
      <c r="B3066">
        <v>3</v>
      </c>
    </row>
    <row r="3067" spans="1:2" ht="28.8" x14ac:dyDescent="0.3">
      <c r="A3067" s="4" t="s">
        <v>5790</v>
      </c>
      <c r="B3067">
        <v>3</v>
      </c>
    </row>
    <row r="3068" spans="1:2" x14ac:dyDescent="0.3">
      <c r="A3068" s="4" t="s">
        <v>5791</v>
      </c>
      <c r="B3068">
        <v>3</v>
      </c>
    </row>
    <row r="3069" spans="1:2" ht="28.8" x14ac:dyDescent="0.3">
      <c r="A3069" s="4" t="s">
        <v>5792</v>
      </c>
      <c r="B3069">
        <v>3</v>
      </c>
    </row>
    <row r="3070" spans="1:2" ht="28.8" x14ac:dyDescent="0.3">
      <c r="A3070" s="4" t="s">
        <v>5793</v>
      </c>
      <c r="B3070">
        <v>3</v>
      </c>
    </row>
    <row r="3071" spans="1:2" ht="28.8" x14ac:dyDescent="0.3">
      <c r="A3071" s="4" t="s">
        <v>5794</v>
      </c>
      <c r="B3071">
        <v>3</v>
      </c>
    </row>
    <row r="3072" spans="1:2" ht="28.8" x14ac:dyDescent="0.3">
      <c r="A3072" s="4" t="s">
        <v>5795</v>
      </c>
      <c r="B3072">
        <v>3</v>
      </c>
    </row>
    <row r="3073" spans="1:2" ht="28.8" x14ac:dyDescent="0.3">
      <c r="A3073" s="4" t="s">
        <v>5796</v>
      </c>
      <c r="B3073">
        <v>3</v>
      </c>
    </row>
    <row r="3074" spans="1:2" ht="28.8" x14ac:dyDescent="0.3">
      <c r="A3074" s="4" t="s">
        <v>5797</v>
      </c>
      <c r="B3074">
        <v>3</v>
      </c>
    </row>
    <row r="3075" spans="1:2" ht="28.8" x14ac:dyDescent="0.3">
      <c r="A3075" s="4" t="s">
        <v>5798</v>
      </c>
      <c r="B3075">
        <v>3</v>
      </c>
    </row>
    <row r="3076" spans="1:2" x14ac:dyDescent="0.3">
      <c r="A3076" s="4" t="s">
        <v>5799</v>
      </c>
      <c r="B3076">
        <v>3</v>
      </c>
    </row>
    <row r="3077" spans="1:2" x14ac:dyDescent="0.3">
      <c r="A3077" s="4" t="s">
        <v>5800</v>
      </c>
      <c r="B3077">
        <v>3</v>
      </c>
    </row>
    <row r="3078" spans="1:2" ht="28.8" x14ac:dyDescent="0.3">
      <c r="A3078" s="4" t="s">
        <v>5801</v>
      </c>
      <c r="B3078">
        <v>3</v>
      </c>
    </row>
    <row r="3079" spans="1:2" x14ac:dyDescent="0.3">
      <c r="A3079" s="4" t="s">
        <v>5802</v>
      </c>
      <c r="B3079">
        <v>3</v>
      </c>
    </row>
    <row r="3080" spans="1:2" ht="28.8" x14ac:dyDescent="0.3">
      <c r="A3080" s="4" t="s">
        <v>5803</v>
      </c>
      <c r="B3080">
        <v>3</v>
      </c>
    </row>
    <row r="3081" spans="1:2" ht="28.8" x14ac:dyDescent="0.3">
      <c r="A3081" s="4" t="s">
        <v>5804</v>
      </c>
      <c r="B3081">
        <v>3</v>
      </c>
    </row>
    <row r="3082" spans="1:2" ht="28.8" x14ac:dyDescent="0.3">
      <c r="A3082" s="4" t="s">
        <v>5805</v>
      </c>
      <c r="B3082">
        <v>3</v>
      </c>
    </row>
    <row r="3083" spans="1:2" ht="28.8" x14ac:dyDescent="0.3">
      <c r="A3083" s="4" t="s">
        <v>5806</v>
      </c>
      <c r="B3083">
        <v>3</v>
      </c>
    </row>
    <row r="3084" spans="1:2" x14ac:dyDescent="0.3">
      <c r="A3084" s="4" t="s">
        <v>5807</v>
      </c>
      <c r="B3084">
        <v>3</v>
      </c>
    </row>
    <row r="3085" spans="1:2" ht="28.8" x14ac:dyDescent="0.3">
      <c r="A3085" s="4" t="s">
        <v>5808</v>
      </c>
      <c r="B3085">
        <v>3</v>
      </c>
    </row>
    <row r="3086" spans="1:2" ht="28.8" x14ac:dyDescent="0.3">
      <c r="A3086" s="4" t="s">
        <v>5809</v>
      </c>
      <c r="B3086">
        <v>3</v>
      </c>
    </row>
    <row r="3087" spans="1:2" ht="28.8" x14ac:dyDescent="0.3">
      <c r="A3087" s="4" t="s">
        <v>5810</v>
      </c>
      <c r="B3087">
        <v>3</v>
      </c>
    </row>
    <row r="3088" spans="1:2" ht="28.8" x14ac:dyDescent="0.3">
      <c r="A3088" s="4" t="s">
        <v>5811</v>
      </c>
      <c r="B3088">
        <v>3</v>
      </c>
    </row>
    <row r="3089" spans="1:2" ht="28.8" x14ac:dyDescent="0.3">
      <c r="A3089" s="4" t="s">
        <v>5812</v>
      </c>
      <c r="B3089">
        <v>3</v>
      </c>
    </row>
    <row r="3090" spans="1:2" ht="28.8" x14ac:dyDescent="0.3">
      <c r="A3090" s="4" t="s">
        <v>5813</v>
      </c>
      <c r="B3090">
        <v>3</v>
      </c>
    </row>
    <row r="3091" spans="1:2" x14ac:dyDescent="0.3">
      <c r="A3091" s="4" t="s">
        <v>5814</v>
      </c>
      <c r="B3091">
        <v>3</v>
      </c>
    </row>
    <row r="3092" spans="1:2" ht="28.8" x14ac:dyDescent="0.3">
      <c r="A3092" s="4" t="s">
        <v>5815</v>
      </c>
      <c r="B3092">
        <v>3</v>
      </c>
    </row>
    <row r="3093" spans="1:2" ht="28.8" x14ac:dyDescent="0.3">
      <c r="A3093" s="4" t="s">
        <v>5816</v>
      </c>
      <c r="B3093">
        <v>3</v>
      </c>
    </row>
    <row r="3094" spans="1:2" ht="28.8" x14ac:dyDescent="0.3">
      <c r="A3094" s="4" t="s">
        <v>5817</v>
      </c>
      <c r="B3094">
        <v>3</v>
      </c>
    </row>
    <row r="3095" spans="1:2" ht="43.2" x14ac:dyDescent="0.3">
      <c r="A3095" s="4" t="s">
        <v>5818</v>
      </c>
      <c r="B3095">
        <v>3</v>
      </c>
    </row>
    <row r="3096" spans="1:2" ht="43.2" x14ac:dyDescent="0.3">
      <c r="A3096" s="4" t="s">
        <v>5819</v>
      </c>
      <c r="B3096">
        <v>3</v>
      </c>
    </row>
    <row r="3097" spans="1:2" ht="28.8" x14ac:dyDescent="0.3">
      <c r="A3097" s="4" t="s">
        <v>5820</v>
      </c>
      <c r="B3097">
        <v>3</v>
      </c>
    </row>
    <row r="3098" spans="1:2" ht="43.2" x14ac:dyDescent="0.3">
      <c r="A3098" s="4" t="s">
        <v>5821</v>
      </c>
      <c r="B3098">
        <v>3</v>
      </c>
    </row>
    <row r="3099" spans="1:2" ht="28.8" x14ac:dyDescent="0.3">
      <c r="A3099" s="4" t="s">
        <v>5822</v>
      </c>
      <c r="B3099">
        <v>3</v>
      </c>
    </row>
    <row r="3100" spans="1:2" x14ac:dyDescent="0.3">
      <c r="A3100" s="4" t="s">
        <v>5823</v>
      </c>
      <c r="B3100">
        <v>3</v>
      </c>
    </row>
    <row r="3101" spans="1:2" ht="28.8" x14ac:dyDescent="0.3">
      <c r="A3101" s="4" t="s">
        <v>5824</v>
      </c>
      <c r="B3101">
        <v>3</v>
      </c>
    </row>
    <row r="3102" spans="1:2" ht="28.8" x14ac:dyDescent="0.3">
      <c r="A3102" s="4" t="s">
        <v>5825</v>
      </c>
      <c r="B3102">
        <v>3</v>
      </c>
    </row>
    <row r="3103" spans="1:2" ht="28.8" x14ac:dyDescent="0.3">
      <c r="A3103" s="4" t="s">
        <v>5826</v>
      </c>
      <c r="B3103">
        <v>3</v>
      </c>
    </row>
    <row r="3104" spans="1:2" ht="43.2" x14ac:dyDescent="0.3">
      <c r="A3104" s="4" t="s">
        <v>5827</v>
      </c>
      <c r="B3104">
        <v>3</v>
      </c>
    </row>
    <row r="3105" spans="1:2" ht="28.8" x14ac:dyDescent="0.3">
      <c r="A3105" s="4" t="s">
        <v>5828</v>
      </c>
      <c r="B3105">
        <v>3</v>
      </c>
    </row>
    <row r="3106" spans="1:2" ht="28.8" x14ac:dyDescent="0.3">
      <c r="A3106" s="4" t="s">
        <v>5829</v>
      </c>
      <c r="B3106">
        <v>3</v>
      </c>
    </row>
    <row r="3107" spans="1:2" ht="28.8" x14ac:dyDescent="0.3">
      <c r="A3107" s="4" t="s">
        <v>5830</v>
      </c>
      <c r="B3107">
        <v>3</v>
      </c>
    </row>
    <row r="3108" spans="1:2" ht="28.8" x14ac:dyDescent="0.3">
      <c r="A3108" s="4" t="s">
        <v>5831</v>
      </c>
      <c r="B3108">
        <v>3</v>
      </c>
    </row>
    <row r="3109" spans="1:2" ht="28.8" x14ac:dyDescent="0.3">
      <c r="A3109" s="4" t="s">
        <v>5832</v>
      </c>
      <c r="B3109">
        <v>3</v>
      </c>
    </row>
    <row r="3110" spans="1:2" ht="28.8" x14ac:dyDescent="0.3">
      <c r="A3110" s="4" t="s">
        <v>5833</v>
      </c>
      <c r="B3110">
        <v>3</v>
      </c>
    </row>
    <row r="3111" spans="1:2" ht="28.8" x14ac:dyDescent="0.3">
      <c r="A3111" s="4" t="s">
        <v>5834</v>
      </c>
      <c r="B3111">
        <v>3</v>
      </c>
    </row>
    <row r="3112" spans="1:2" ht="28.8" x14ac:dyDescent="0.3">
      <c r="A3112" s="4" t="s">
        <v>5835</v>
      </c>
      <c r="B3112">
        <v>3</v>
      </c>
    </row>
    <row r="3113" spans="1:2" ht="28.8" x14ac:dyDescent="0.3">
      <c r="A3113" s="4" t="s">
        <v>5836</v>
      </c>
      <c r="B3113">
        <v>3</v>
      </c>
    </row>
    <row r="3114" spans="1:2" ht="28.8" x14ac:dyDescent="0.3">
      <c r="A3114" s="4" t="s">
        <v>5837</v>
      </c>
      <c r="B3114">
        <v>3</v>
      </c>
    </row>
    <row r="3115" spans="1:2" ht="28.8" x14ac:dyDescent="0.3">
      <c r="A3115" s="4" t="s">
        <v>5838</v>
      </c>
      <c r="B3115">
        <v>3</v>
      </c>
    </row>
    <row r="3116" spans="1:2" ht="43.2" x14ac:dyDescent="0.3">
      <c r="A3116" s="4" t="s">
        <v>5839</v>
      </c>
      <c r="B3116">
        <v>3</v>
      </c>
    </row>
    <row r="3117" spans="1:2" ht="28.8" x14ac:dyDescent="0.3">
      <c r="A3117" s="4" t="s">
        <v>5840</v>
      </c>
      <c r="B3117">
        <v>3</v>
      </c>
    </row>
    <row r="3118" spans="1:2" ht="28.8" x14ac:dyDescent="0.3">
      <c r="A3118" s="4" t="s">
        <v>5841</v>
      </c>
      <c r="B3118">
        <v>3</v>
      </c>
    </row>
    <row r="3119" spans="1:2" x14ac:dyDescent="0.3">
      <c r="A3119" s="4" t="s">
        <v>5842</v>
      </c>
      <c r="B3119">
        <v>3</v>
      </c>
    </row>
    <row r="3120" spans="1:2" ht="28.8" x14ac:dyDescent="0.3">
      <c r="A3120" s="4" t="s">
        <v>5843</v>
      </c>
      <c r="B3120">
        <v>3</v>
      </c>
    </row>
    <row r="3121" spans="1:2" x14ac:dyDescent="0.3">
      <c r="A3121" s="4" t="s">
        <v>5844</v>
      </c>
      <c r="B3121">
        <v>3</v>
      </c>
    </row>
    <row r="3122" spans="1:2" ht="28.8" x14ac:dyDescent="0.3">
      <c r="A3122" s="4" t="s">
        <v>5845</v>
      </c>
      <c r="B3122">
        <v>3</v>
      </c>
    </row>
    <row r="3123" spans="1:2" ht="28.8" x14ac:dyDescent="0.3">
      <c r="A3123" s="4" t="s">
        <v>5846</v>
      </c>
      <c r="B3123">
        <v>3</v>
      </c>
    </row>
    <row r="3124" spans="1:2" ht="28.8" x14ac:dyDescent="0.3">
      <c r="A3124" s="4" t="s">
        <v>5847</v>
      </c>
      <c r="B3124">
        <v>3</v>
      </c>
    </row>
    <row r="3125" spans="1:2" ht="28.8" x14ac:dyDescent="0.3">
      <c r="A3125" s="4" t="s">
        <v>5848</v>
      </c>
      <c r="B3125">
        <v>3</v>
      </c>
    </row>
    <row r="3126" spans="1:2" ht="28.8" x14ac:dyDescent="0.3">
      <c r="A3126" s="4" t="s">
        <v>5849</v>
      </c>
      <c r="B3126">
        <v>3</v>
      </c>
    </row>
    <row r="3127" spans="1:2" ht="28.8" x14ac:dyDescent="0.3">
      <c r="A3127" s="4" t="s">
        <v>5850</v>
      </c>
      <c r="B3127">
        <v>3</v>
      </c>
    </row>
    <row r="3128" spans="1:2" ht="43.2" x14ac:dyDescent="0.3">
      <c r="A3128" s="4" t="s">
        <v>5851</v>
      </c>
      <c r="B3128">
        <v>3</v>
      </c>
    </row>
    <row r="3129" spans="1:2" ht="28.8" x14ac:dyDescent="0.3">
      <c r="A3129" s="4" t="s">
        <v>5852</v>
      </c>
      <c r="B3129">
        <v>3</v>
      </c>
    </row>
    <row r="3130" spans="1:2" ht="28.8" x14ac:dyDescent="0.3">
      <c r="A3130" s="4" t="s">
        <v>5853</v>
      </c>
      <c r="B3130">
        <v>3</v>
      </c>
    </row>
    <row r="3131" spans="1:2" ht="43.2" x14ac:dyDescent="0.3">
      <c r="A3131" s="4" t="s">
        <v>5854</v>
      </c>
      <c r="B3131">
        <v>3</v>
      </c>
    </row>
    <row r="3132" spans="1:2" ht="28.8" x14ac:dyDescent="0.3">
      <c r="A3132" s="4" t="s">
        <v>5855</v>
      </c>
      <c r="B3132">
        <v>3</v>
      </c>
    </row>
    <row r="3133" spans="1:2" ht="43.2" x14ac:dyDescent="0.3">
      <c r="A3133" s="4" t="s">
        <v>5856</v>
      </c>
      <c r="B3133">
        <v>3</v>
      </c>
    </row>
    <row r="3134" spans="1:2" ht="28.8" x14ac:dyDescent="0.3">
      <c r="A3134" s="4" t="s">
        <v>5857</v>
      </c>
      <c r="B3134">
        <v>3</v>
      </c>
    </row>
    <row r="3135" spans="1:2" ht="28.8" x14ac:dyDescent="0.3">
      <c r="A3135" s="4" t="s">
        <v>5858</v>
      </c>
      <c r="B3135">
        <v>3</v>
      </c>
    </row>
    <row r="3136" spans="1:2" ht="28.8" x14ac:dyDescent="0.3">
      <c r="A3136" s="4" t="s">
        <v>5859</v>
      </c>
      <c r="B3136">
        <v>3</v>
      </c>
    </row>
    <row r="3137" spans="1:2" ht="28.8" x14ac:dyDescent="0.3">
      <c r="A3137" s="4" t="s">
        <v>5860</v>
      </c>
      <c r="B3137">
        <v>3</v>
      </c>
    </row>
    <row r="3138" spans="1:2" ht="28.8" x14ac:dyDescent="0.3">
      <c r="A3138" s="4" t="s">
        <v>5861</v>
      </c>
      <c r="B3138">
        <v>3</v>
      </c>
    </row>
    <row r="3139" spans="1:2" ht="28.8" x14ac:dyDescent="0.3">
      <c r="A3139" s="4" t="s">
        <v>5862</v>
      </c>
      <c r="B3139">
        <v>3</v>
      </c>
    </row>
    <row r="3140" spans="1:2" ht="28.8" x14ac:dyDescent="0.3">
      <c r="A3140" s="4" t="s">
        <v>5863</v>
      </c>
      <c r="B3140">
        <v>3</v>
      </c>
    </row>
    <row r="3141" spans="1:2" ht="28.8" x14ac:dyDescent="0.3">
      <c r="A3141" s="4" t="s">
        <v>5864</v>
      </c>
      <c r="B3141">
        <v>3</v>
      </c>
    </row>
    <row r="3142" spans="1:2" ht="28.8" x14ac:dyDescent="0.3">
      <c r="A3142" s="4" t="s">
        <v>5865</v>
      </c>
      <c r="B3142">
        <v>3</v>
      </c>
    </row>
    <row r="3143" spans="1:2" ht="28.8" x14ac:dyDescent="0.3">
      <c r="A3143" s="4" t="s">
        <v>5866</v>
      </c>
      <c r="B3143">
        <v>3</v>
      </c>
    </row>
    <row r="3144" spans="1:2" ht="28.8" x14ac:dyDescent="0.3">
      <c r="A3144" s="4" t="s">
        <v>5867</v>
      </c>
      <c r="B3144">
        <v>3</v>
      </c>
    </row>
    <row r="3145" spans="1:2" ht="28.8" x14ac:dyDescent="0.3">
      <c r="A3145" s="4" t="s">
        <v>5868</v>
      </c>
      <c r="B3145">
        <v>3</v>
      </c>
    </row>
    <row r="3146" spans="1:2" ht="28.8" x14ac:dyDescent="0.3">
      <c r="A3146" s="4" t="s">
        <v>5869</v>
      </c>
      <c r="B3146">
        <v>3</v>
      </c>
    </row>
    <row r="3147" spans="1:2" ht="28.8" x14ac:dyDescent="0.3">
      <c r="A3147" s="4" t="s">
        <v>5870</v>
      </c>
      <c r="B3147">
        <v>3</v>
      </c>
    </row>
    <row r="3148" spans="1:2" ht="28.8" x14ac:dyDescent="0.3">
      <c r="A3148" s="4" t="s">
        <v>5871</v>
      </c>
      <c r="B3148">
        <v>3</v>
      </c>
    </row>
    <row r="3149" spans="1:2" ht="28.8" x14ac:dyDescent="0.3">
      <c r="A3149" s="4" t="s">
        <v>5872</v>
      </c>
      <c r="B3149">
        <v>3</v>
      </c>
    </row>
    <row r="3150" spans="1:2" ht="28.8" x14ac:dyDescent="0.3">
      <c r="A3150" s="4" t="s">
        <v>5873</v>
      </c>
      <c r="B3150">
        <v>3</v>
      </c>
    </row>
    <row r="3151" spans="1:2" ht="28.8" x14ac:dyDescent="0.3">
      <c r="A3151" s="4" t="s">
        <v>5874</v>
      </c>
      <c r="B3151">
        <v>3</v>
      </c>
    </row>
    <row r="3152" spans="1:2" ht="28.8" x14ac:dyDescent="0.3">
      <c r="A3152" s="4" t="s">
        <v>5875</v>
      </c>
      <c r="B3152">
        <v>3</v>
      </c>
    </row>
    <row r="3153" spans="1:2" ht="43.2" x14ac:dyDescent="0.3">
      <c r="A3153" s="4" t="s">
        <v>5876</v>
      </c>
      <c r="B3153">
        <v>3</v>
      </c>
    </row>
    <row r="3154" spans="1:2" ht="28.8" x14ac:dyDescent="0.3">
      <c r="A3154" s="4" t="s">
        <v>5877</v>
      </c>
      <c r="B3154">
        <v>3</v>
      </c>
    </row>
    <row r="3155" spans="1:2" ht="28.8" x14ac:dyDescent="0.3">
      <c r="A3155" s="4" t="s">
        <v>5878</v>
      </c>
      <c r="B3155">
        <v>3</v>
      </c>
    </row>
    <row r="3156" spans="1:2" ht="43.2" x14ac:dyDescent="0.3">
      <c r="A3156" s="4" t="s">
        <v>5879</v>
      </c>
      <c r="B3156">
        <v>3</v>
      </c>
    </row>
    <row r="3157" spans="1:2" ht="28.8" x14ac:dyDescent="0.3">
      <c r="A3157" s="4" t="s">
        <v>5880</v>
      </c>
      <c r="B3157">
        <v>3</v>
      </c>
    </row>
    <row r="3158" spans="1:2" x14ac:dyDescent="0.3">
      <c r="A3158" s="4" t="s">
        <v>5881</v>
      </c>
      <c r="B3158">
        <v>3</v>
      </c>
    </row>
    <row r="3159" spans="1:2" ht="28.8" x14ac:dyDescent="0.3">
      <c r="A3159" s="4" t="s">
        <v>5882</v>
      </c>
      <c r="B3159">
        <v>3</v>
      </c>
    </row>
    <row r="3160" spans="1:2" ht="28.8" x14ac:dyDescent="0.3">
      <c r="A3160" s="4" t="s">
        <v>5883</v>
      </c>
      <c r="B3160">
        <v>3</v>
      </c>
    </row>
    <row r="3161" spans="1:2" ht="28.8" x14ac:dyDescent="0.3">
      <c r="A3161" s="4" t="s">
        <v>5884</v>
      </c>
      <c r="B3161">
        <v>3</v>
      </c>
    </row>
    <row r="3162" spans="1:2" ht="28.8" x14ac:dyDescent="0.3">
      <c r="A3162" s="4" t="s">
        <v>5885</v>
      </c>
      <c r="B3162">
        <v>3</v>
      </c>
    </row>
    <row r="3163" spans="1:2" ht="28.8" x14ac:dyDescent="0.3">
      <c r="A3163" s="4" t="s">
        <v>5886</v>
      </c>
      <c r="B3163">
        <v>3</v>
      </c>
    </row>
    <row r="3164" spans="1:2" ht="28.8" x14ac:dyDescent="0.3">
      <c r="A3164" s="4" t="s">
        <v>5887</v>
      </c>
      <c r="B3164">
        <v>3</v>
      </c>
    </row>
    <row r="3165" spans="1:2" x14ac:dyDescent="0.3">
      <c r="A3165" s="4" t="s">
        <v>5888</v>
      </c>
      <c r="B3165">
        <v>3</v>
      </c>
    </row>
    <row r="3166" spans="1:2" ht="28.8" x14ac:dyDescent="0.3">
      <c r="A3166" s="4" t="s">
        <v>5889</v>
      </c>
      <c r="B3166">
        <v>3</v>
      </c>
    </row>
    <row r="3167" spans="1:2" ht="43.2" x14ac:dyDescent="0.3">
      <c r="A3167" s="4" t="s">
        <v>5890</v>
      </c>
      <c r="B3167">
        <v>3</v>
      </c>
    </row>
    <row r="3168" spans="1:2" ht="28.8" x14ac:dyDescent="0.3">
      <c r="A3168" s="4" t="s">
        <v>5891</v>
      </c>
      <c r="B3168">
        <v>3</v>
      </c>
    </row>
    <row r="3169" spans="1:2" ht="28.8" x14ac:dyDescent="0.3">
      <c r="A3169" s="4" t="s">
        <v>5892</v>
      </c>
      <c r="B3169">
        <v>3</v>
      </c>
    </row>
    <row r="3170" spans="1:2" ht="28.8" x14ac:dyDescent="0.3">
      <c r="A3170" s="4" t="s">
        <v>5893</v>
      </c>
      <c r="B3170">
        <v>3</v>
      </c>
    </row>
    <row r="3171" spans="1:2" ht="28.8" x14ac:dyDescent="0.3">
      <c r="A3171" s="4" t="s">
        <v>5894</v>
      </c>
      <c r="B3171">
        <v>3</v>
      </c>
    </row>
    <row r="3172" spans="1:2" ht="28.8" x14ac:dyDescent="0.3">
      <c r="A3172" s="4" t="s">
        <v>5895</v>
      </c>
      <c r="B3172">
        <v>3</v>
      </c>
    </row>
    <row r="3173" spans="1:2" ht="28.8" x14ac:dyDescent="0.3">
      <c r="A3173" s="4" t="s">
        <v>5896</v>
      </c>
      <c r="B3173">
        <v>3</v>
      </c>
    </row>
    <row r="3174" spans="1:2" ht="43.2" x14ac:dyDescent="0.3">
      <c r="A3174" s="4" t="s">
        <v>5897</v>
      </c>
      <c r="B3174">
        <v>3</v>
      </c>
    </row>
    <row r="3175" spans="1:2" ht="28.8" x14ac:dyDescent="0.3">
      <c r="A3175" s="4" t="s">
        <v>5898</v>
      </c>
      <c r="B3175">
        <v>3</v>
      </c>
    </row>
    <row r="3176" spans="1:2" x14ac:dyDescent="0.3">
      <c r="A3176" s="4" t="s">
        <v>5899</v>
      </c>
      <c r="B3176">
        <v>3</v>
      </c>
    </row>
    <row r="3177" spans="1:2" ht="28.8" x14ac:dyDescent="0.3">
      <c r="A3177" s="4" t="s">
        <v>5900</v>
      </c>
      <c r="B3177">
        <v>3</v>
      </c>
    </row>
    <row r="3178" spans="1:2" ht="43.2" x14ac:dyDescent="0.3">
      <c r="A3178" s="4" t="s">
        <v>5901</v>
      </c>
      <c r="B3178">
        <v>3</v>
      </c>
    </row>
    <row r="3179" spans="1:2" ht="28.8" x14ac:dyDescent="0.3">
      <c r="A3179" s="4" t="s">
        <v>5902</v>
      </c>
      <c r="B3179">
        <v>3</v>
      </c>
    </row>
    <row r="3180" spans="1:2" ht="28.8" x14ac:dyDescent="0.3">
      <c r="A3180" s="4" t="s">
        <v>5903</v>
      </c>
      <c r="B3180">
        <v>3</v>
      </c>
    </row>
    <row r="3181" spans="1:2" ht="28.8" x14ac:dyDescent="0.3">
      <c r="A3181" s="4" t="s">
        <v>5904</v>
      </c>
      <c r="B3181">
        <v>3</v>
      </c>
    </row>
    <row r="3182" spans="1:2" ht="28.8" x14ac:dyDescent="0.3">
      <c r="A3182" s="4" t="s">
        <v>5905</v>
      </c>
      <c r="B3182">
        <v>3</v>
      </c>
    </row>
    <row r="3183" spans="1:2" ht="28.8" x14ac:dyDescent="0.3">
      <c r="A3183" s="4" t="s">
        <v>5906</v>
      </c>
      <c r="B3183">
        <v>3</v>
      </c>
    </row>
    <row r="3184" spans="1:2" ht="28.8" x14ac:dyDescent="0.3">
      <c r="A3184" s="4" t="s">
        <v>5907</v>
      </c>
      <c r="B3184">
        <v>3</v>
      </c>
    </row>
    <row r="3185" spans="1:2" ht="28.8" x14ac:dyDescent="0.3">
      <c r="A3185" s="4" t="s">
        <v>5908</v>
      </c>
      <c r="B3185">
        <v>3</v>
      </c>
    </row>
    <row r="3186" spans="1:2" ht="43.2" x14ac:dyDescent="0.3">
      <c r="A3186" s="4" t="s">
        <v>5909</v>
      </c>
      <c r="B3186">
        <v>3</v>
      </c>
    </row>
    <row r="3187" spans="1:2" ht="43.2" x14ac:dyDescent="0.3">
      <c r="A3187" s="4" t="s">
        <v>5910</v>
      </c>
      <c r="B3187">
        <v>3</v>
      </c>
    </row>
    <row r="3188" spans="1:2" ht="43.2" x14ac:dyDescent="0.3">
      <c r="A3188" s="4" t="s">
        <v>5911</v>
      </c>
      <c r="B3188">
        <v>3</v>
      </c>
    </row>
    <row r="3189" spans="1:2" ht="28.8" x14ac:dyDescent="0.3">
      <c r="A3189" s="4" t="s">
        <v>5912</v>
      </c>
      <c r="B3189">
        <v>3</v>
      </c>
    </row>
    <row r="3190" spans="1:2" ht="28.8" x14ac:dyDescent="0.3">
      <c r="A3190" s="4" t="s">
        <v>5913</v>
      </c>
      <c r="B3190">
        <v>3</v>
      </c>
    </row>
    <row r="3191" spans="1:2" x14ac:dyDescent="0.3">
      <c r="A3191" s="4" t="s">
        <v>5914</v>
      </c>
      <c r="B3191">
        <v>3</v>
      </c>
    </row>
    <row r="3192" spans="1:2" ht="28.8" x14ac:dyDescent="0.3">
      <c r="A3192" s="4" t="s">
        <v>5915</v>
      </c>
      <c r="B3192">
        <v>3</v>
      </c>
    </row>
    <row r="3193" spans="1:2" ht="28.8" x14ac:dyDescent="0.3">
      <c r="A3193" s="4" t="s">
        <v>5916</v>
      </c>
      <c r="B3193">
        <v>3</v>
      </c>
    </row>
    <row r="3194" spans="1:2" ht="28.8" x14ac:dyDescent="0.3">
      <c r="A3194" s="4" t="s">
        <v>5917</v>
      </c>
      <c r="B3194">
        <v>3</v>
      </c>
    </row>
    <row r="3195" spans="1:2" ht="28.8" x14ac:dyDescent="0.3">
      <c r="A3195" s="4" t="s">
        <v>5918</v>
      </c>
      <c r="B3195">
        <v>3</v>
      </c>
    </row>
    <row r="3196" spans="1:2" ht="28.8" x14ac:dyDescent="0.3">
      <c r="A3196" s="4" t="s">
        <v>5919</v>
      </c>
      <c r="B3196">
        <v>3</v>
      </c>
    </row>
    <row r="3197" spans="1:2" ht="28.8" x14ac:dyDescent="0.3">
      <c r="A3197" s="4" t="s">
        <v>5920</v>
      </c>
      <c r="B3197">
        <v>3</v>
      </c>
    </row>
    <row r="3198" spans="1:2" ht="43.2" x14ac:dyDescent="0.3">
      <c r="A3198" s="4" t="s">
        <v>5921</v>
      </c>
      <c r="B3198">
        <v>3</v>
      </c>
    </row>
    <row r="3199" spans="1:2" ht="28.8" x14ac:dyDescent="0.3">
      <c r="A3199" s="4" t="s">
        <v>5922</v>
      </c>
      <c r="B3199">
        <v>3</v>
      </c>
    </row>
    <row r="3200" spans="1:2" ht="28.8" x14ac:dyDescent="0.3">
      <c r="A3200" s="4" t="s">
        <v>5923</v>
      </c>
      <c r="B3200">
        <v>3</v>
      </c>
    </row>
    <row r="3201" spans="1:2" ht="43.2" x14ac:dyDescent="0.3">
      <c r="A3201" s="4" t="s">
        <v>5924</v>
      </c>
      <c r="B3201">
        <v>3</v>
      </c>
    </row>
    <row r="3202" spans="1:2" ht="28.8" x14ac:dyDescent="0.3">
      <c r="A3202" s="4" t="s">
        <v>5925</v>
      </c>
      <c r="B3202">
        <v>3</v>
      </c>
    </row>
    <row r="3203" spans="1:2" ht="28.8" x14ac:dyDescent="0.3">
      <c r="A3203" s="4" t="s">
        <v>5926</v>
      </c>
      <c r="B3203">
        <v>3</v>
      </c>
    </row>
    <row r="3204" spans="1:2" ht="28.8" x14ac:dyDescent="0.3">
      <c r="A3204" s="4" t="s">
        <v>5927</v>
      </c>
      <c r="B3204">
        <v>3</v>
      </c>
    </row>
    <row r="3205" spans="1:2" ht="28.8" x14ac:dyDescent="0.3">
      <c r="A3205" s="4" t="s">
        <v>5928</v>
      </c>
      <c r="B3205">
        <v>3</v>
      </c>
    </row>
    <row r="3206" spans="1:2" ht="28.8" x14ac:dyDescent="0.3">
      <c r="A3206" s="4" t="s">
        <v>5929</v>
      </c>
      <c r="B3206">
        <v>3</v>
      </c>
    </row>
    <row r="3207" spans="1:2" x14ac:dyDescent="0.3">
      <c r="A3207" s="4" t="s">
        <v>5930</v>
      </c>
      <c r="B3207">
        <v>3</v>
      </c>
    </row>
    <row r="3208" spans="1:2" ht="28.8" x14ac:dyDescent="0.3">
      <c r="A3208" s="4" t="s">
        <v>5931</v>
      </c>
      <c r="B3208">
        <v>3</v>
      </c>
    </row>
    <row r="3209" spans="1:2" ht="28.8" x14ac:dyDescent="0.3">
      <c r="A3209" s="4" t="s">
        <v>5932</v>
      </c>
      <c r="B3209">
        <v>3</v>
      </c>
    </row>
    <row r="3210" spans="1:2" ht="28.8" x14ac:dyDescent="0.3">
      <c r="A3210" s="4" t="s">
        <v>5933</v>
      </c>
      <c r="B3210">
        <v>3</v>
      </c>
    </row>
    <row r="3211" spans="1:2" x14ac:dyDescent="0.3">
      <c r="A3211" s="4" t="s">
        <v>5934</v>
      </c>
      <c r="B3211">
        <v>3</v>
      </c>
    </row>
    <row r="3212" spans="1:2" ht="28.8" x14ac:dyDescent="0.3">
      <c r="A3212" s="4" t="s">
        <v>5935</v>
      </c>
      <c r="B3212">
        <v>3</v>
      </c>
    </row>
    <row r="3213" spans="1:2" ht="28.8" x14ac:dyDescent="0.3">
      <c r="A3213" s="4" t="s">
        <v>5936</v>
      </c>
      <c r="B3213">
        <v>3</v>
      </c>
    </row>
    <row r="3214" spans="1:2" ht="28.8" x14ac:dyDescent="0.3">
      <c r="A3214" s="4" t="s">
        <v>5937</v>
      </c>
      <c r="B3214">
        <v>3</v>
      </c>
    </row>
    <row r="3215" spans="1:2" ht="28.8" x14ac:dyDescent="0.3">
      <c r="A3215" s="4" t="s">
        <v>5938</v>
      </c>
      <c r="B3215">
        <v>3</v>
      </c>
    </row>
    <row r="3216" spans="1:2" ht="28.8" x14ac:dyDescent="0.3">
      <c r="A3216" s="4" t="s">
        <v>5939</v>
      </c>
      <c r="B3216">
        <v>3</v>
      </c>
    </row>
    <row r="3217" spans="1:2" ht="28.8" x14ac:dyDescent="0.3">
      <c r="A3217" s="4" t="s">
        <v>5940</v>
      </c>
      <c r="B3217">
        <v>3</v>
      </c>
    </row>
    <row r="3218" spans="1:2" ht="43.2" x14ac:dyDescent="0.3">
      <c r="A3218" s="4" t="s">
        <v>5941</v>
      </c>
      <c r="B3218">
        <v>3</v>
      </c>
    </row>
    <row r="3219" spans="1:2" ht="28.8" x14ac:dyDescent="0.3">
      <c r="A3219" s="4" t="s">
        <v>5942</v>
      </c>
      <c r="B3219">
        <v>3</v>
      </c>
    </row>
    <row r="3220" spans="1:2" ht="43.2" x14ac:dyDescent="0.3">
      <c r="A3220" s="4" t="s">
        <v>5943</v>
      </c>
      <c r="B3220">
        <v>3</v>
      </c>
    </row>
    <row r="3221" spans="1:2" ht="28.8" x14ac:dyDescent="0.3">
      <c r="A3221" s="4" t="s">
        <v>5944</v>
      </c>
      <c r="B3221">
        <v>3</v>
      </c>
    </row>
    <row r="3222" spans="1:2" ht="43.2" x14ac:dyDescent="0.3">
      <c r="A3222" s="4" t="s">
        <v>5945</v>
      </c>
      <c r="B3222">
        <v>3</v>
      </c>
    </row>
    <row r="3223" spans="1:2" ht="28.8" x14ac:dyDescent="0.3">
      <c r="A3223" s="4" t="s">
        <v>5946</v>
      </c>
      <c r="B3223">
        <v>3</v>
      </c>
    </row>
    <row r="3224" spans="1:2" ht="28.8" x14ac:dyDescent="0.3">
      <c r="A3224" s="4" t="s">
        <v>5947</v>
      </c>
      <c r="B3224">
        <v>3</v>
      </c>
    </row>
    <row r="3225" spans="1:2" x14ac:dyDescent="0.3">
      <c r="A3225" s="4" t="s">
        <v>5948</v>
      </c>
      <c r="B3225">
        <v>3</v>
      </c>
    </row>
    <row r="3226" spans="1:2" ht="28.8" x14ac:dyDescent="0.3">
      <c r="A3226" s="4" t="s">
        <v>5949</v>
      </c>
      <c r="B3226">
        <v>3</v>
      </c>
    </row>
    <row r="3227" spans="1:2" ht="28.8" x14ac:dyDescent="0.3">
      <c r="A3227" s="4" t="s">
        <v>5950</v>
      </c>
      <c r="B3227">
        <v>3</v>
      </c>
    </row>
    <row r="3228" spans="1:2" ht="43.2" x14ac:dyDescent="0.3">
      <c r="A3228" s="4" t="s">
        <v>5951</v>
      </c>
      <c r="B3228">
        <v>3</v>
      </c>
    </row>
    <row r="3229" spans="1:2" ht="28.8" x14ac:dyDescent="0.3">
      <c r="A3229" s="4" t="s">
        <v>5952</v>
      </c>
      <c r="B3229">
        <v>3</v>
      </c>
    </row>
    <row r="3230" spans="1:2" ht="28.8" x14ac:dyDescent="0.3">
      <c r="A3230" s="4" t="s">
        <v>5953</v>
      </c>
      <c r="B3230">
        <v>3</v>
      </c>
    </row>
    <row r="3231" spans="1:2" ht="28.8" x14ac:dyDescent="0.3">
      <c r="A3231" s="4" t="s">
        <v>5954</v>
      </c>
      <c r="B3231">
        <v>3</v>
      </c>
    </row>
    <row r="3232" spans="1:2" ht="43.2" x14ac:dyDescent="0.3">
      <c r="A3232" s="4" t="s">
        <v>5955</v>
      </c>
      <c r="B3232">
        <v>3</v>
      </c>
    </row>
    <row r="3233" spans="1:2" ht="28.8" x14ac:dyDescent="0.3">
      <c r="A3233" s="4" t="s">
        <v>5956</v>
      </c>
      <c r="B3233">
        <v>3</v>
      </c>
    </row>
    <row r="3234" spans="1:2" ht="28.8" x14ac:dyDescent="0.3">
      <c r="A3234" s="4" t="s">
        <v>5957</v>
      </c>
      <c r="B3234">
        <v>3</v>
      </c>
    </row>
    <row r="3235" spans="1:2" ht="28.8" x14ac:dyDescent="0.3">
      <c r="A3235" s="4" t="s">
        <v>5958</v>
      </c>
      <c r="B3235">
        <v>3</v>
      </c>
    </row>
    <row r="3236" spans="1:2" x14ac:dyDescent="0.3">
      <c r="A3236" s="4" t="s">
        <v>5959</v>
      </c>
      <c r="B3236">
        <v>3</v>
      </c>
    </row>
    <row r="3237" spans="1:2" ht="28.8" x14ac:dyDescent="0.3">
      <c r="A3237" s="4" t="s">
        <v>5960</v>
      </c>
      <c r="B3237">
        <v>3</v>
      </c>
    </row>
    <row r="3238" spans="1:2" ht="28.8" x14ac:dyDescent="0.3">
      <c r="A3238" s="4" t="s">
        <v>5961</v>
      </c>
      <c r="B3238">
        <v>3</v>
      </c>
    </row>
    <row r="3239" spans="1:2" ht="57.6" x14ac:dyDescent="0.3">
      <c r="A3239" s="4" t="s">
        <v>5962</v>
      </c>
      <c r="B3239">
        <v>3</v>
      </c>
    </row>
    <row r="3240" spans="1:2" ht="28.8" x14ac:dyDescent="0.3">
      <c r="A3240" s="4" t="s">
        <v>5963</v>
      </c>
      <c r="B3240">
        <v>3</v>
      </c>
    </row>
    <row r="3241" spans="1:2" ht="28.8" x14ac:dyDescent="0.3">
      <c r="A3241" s="4" t="s">
        <v>5964</v>
      </c>
      <c r="B3241">
        <v>3</v>
      </c>
    </row>
    <row r="3242" spans="1:2" ht="57.6" x14ac:dyDescent="0.3">
      <c r="A3242" s="4" t="s">
        <v>5965</v>
      </c>
      <c r="B3242">
        <v>3</v>
      </c>
    </row>
    <row r="3243" spans="1:2" ht="28.8" x14ac:dyDescent="0.3">
      <c r="A3243" s="4" t="s">
        <v>5966</v>
      </c>
      <c r="B3243">
        <v>3</v>
      </c>
    </row>
    <row r="3244" spans="1:2" ht="28.8" x14ac:dyDescent="0.3">
      <c r="A3244" s="4" t="s">
        <v>5967</v>
      </c>
      <c r="B3244">
        <v>3</v>
      </c>
    </row>
    <row r="3245" spans="1:2" ht="28.8" x14ac:dyDescent="0.3">
      <c r="A3245" s="4" t="s">
        <v>5968</v>
      </c>
      <c r="B3245">
        <v>3</v>
      </c>
    </row>
    <row r="3246" spans="1:2" ht="43.2" x14ac:dyDescent="0.3">
      <c r="A3246" s="4" t="s">
        <v>5969</v>
      </c>
      <c r="B3246">
        <v>3</v>
      </c>
    </row>
    <row r="3247" spans="1:2" ht="28.8" x14ac:dyDescent="0.3">
      <c r="A3247" s="4" t="s">
        <v>5970</v>
      </c>
      <c r="B3247">
        <v>3</v>
      </c>
    </row>
    <row r="3248" spans="1:2" ht="28.8" x14ac:dyDescent="0.3">
      <c r="A3248" s="4" t="s">
        <v>5971</v>
      </c>
      <c r="B3248">
        <v>3</v>
      </c>
    </row>
    <row r="3249" spans="1:2" x14ac:dyDescent="0.3">
      <c r="A3249" s="4" t="s">
        <v>5972</v>
      </c>
      <c r="B3249">
        <v>3</v>
      </c>
    </row>
    <row r="3250" spans="1:2" x14ac:dyDescent="0.3">
      <c r="A3250" s="4" t="s">
        <v>5973</v>
      </c>
      <c r="B3250">
        <v>3</v>
      </c>
    </row>
    <row r="3251" spans="1:2" ht="28.8" x14ac:dyDescent="0.3">
      <c r="A3251" s="4" t="s">
        <v>5974</v>
      </c>
      <c r="B3251">
        <v>3</v>
      </c>
    </row>
    <row r="3252" spans="1:2" ht="28.8" x14ac:dyDescent="0.3">
      <c r="A3252" s="4" t="s">
        <v>5975</v>
      </c>
      <c r="B3252">
        <v>3</v>
      </c>
    </row>
    <row r="3253" spans="1:2" x14ac:dyDescent="0.3">
      <c r="A3253" s="4" t="s">
        <v>5976</v>
      </c>
      <c r="B3253">
        <v>3</v>
      </c>
    </row>
    <row r="3254" spans="1:2" ht="43.2" x14ac:dyDescent="0.3">
      <c r="A3254" s="4" t="s">
        <v>5977</v>
      </c>
      <c r="B3254">
        <v>3</v>
      </c>
    </row>
    <row r="3255" spans="1:2" ht="28.8" x14ac:dyDescent="0.3">
      <c r="A3255" s="4" t="s">
        <v>5978</v>
      </c>
      <c r="B3255">
        <v>3</v>
      </c>
    </row>
    <row r="3256" spans="1:2" ht="28.8" x14ac:dyDescent="0.3">
      <c r="A3256" s="4" t="s">
        <v>5979</v>
      </c>
      <c r="B3256">
        <v>3</v>
      </c>
    </row>
    <row r="3257" spans="1:2" ht="28.8" x14ac:dyDescent="0.3">
      <c r="A3257" s="4" t="s">
        <v>5980</v>
      </c>
      <c r="B3257">
        <v>3</v>
      </c>
    </row>
    <row r="3258" spans="1:2" ht="28.8" x14ac:dyDescent="0.3">
      <c r="A3258" s="4" t="s">
        <v>5981</v>
      </c>
      <c r="B3258">
        <v>3</v>
      </c>
    </row>
    <row r="3259" spans="1:2" ht="28.8" x14ac:dyDescent="0.3">
      <c r="A3259" s="4" t="s">
        <v>5982</v>
      </c>
      <c r="B3259">
        <v>3</v>
      </c>
    </row>
    <row r="3260" spans="1:2" ht="28.8" x14ac:dyDescent="0.3">
      <c r="A3260" s="4" t="s">
        <v>5983</v>
      </c>
      <c r="B3260">
        <v>3</v>
      </c>
    </row>
    <row r="3261" spans="1:2" ht="43.2" x14ac:dyDescent="0.3">
      <c r="A3261" s="4" t="s">
        <v>5984</v>
      </c>
      <c r="B3261">
        <v>3</v>
      </c>
    </row>
    <row r="3262" spans="1:2" ht="28.8" x14ac:dyDescent="0.3">
      <c r="A3262" s="4" t="s">
        <v>5985</v>
      </c>
      <c r="B3262">
        <v>3</v>
      </c>
    </row>
    <row r="3263" spans="1:2" ht="43.2" x14ac:dyDescent="0.3">
      <c r="A3263" s="4" t="s">
        <v>5986</v>
      </c>
      <c r="B3263">
        <v>3</v>
      </c>
    </row>
    <row r="3264" spans="1:2" ht="43.2" x14ac:dyDescent="0.3">
      <c r="A3264" s="4" t="s">
        <v>5987</v>
      </c>
      <c r="B3264">
        <v>3</v>
      </c>
    </row>
    <row r="3265" spans="1:2" ht="28.8" x14ac:dyDescent="0.3">
      <c r="A3265" s="4" t="s">
        <v>5988</v>
      </c>
      <c r="B3265">
        <v>3</v>
      </c>
    </row>
    <row r="3266" spans="1:2" ht="28.8" x14ac:dyDescent="0.3">
      <c r="A3266" s="4" t="s">
        <v>5989</v>
      </c>
      <c r="B3266">
        <v>3</v>
      </c>
    </row>
    <row r="3267" spans="1:2" ht="28.8" x14ac:dyDescent="0.3">
      <c r="A3267" s="4" t="s">
        <v>5990</v>
      </c>
      <c r="B3267">
        <v>3</v>
      </c>
    </row>
    <row r="3268" spans="1:2" ht="28.8" x14ac:dyDescent="0.3">
      <c r="A3268" s="4" t="s">
        <v>5991</v>
      </c>
      <c r="B3268">
        <v>3</v>
      </c>
    </row>
    <row r="3269" spans="1:2" x14ac:dyDescent="0.3">
      <c r="A3269" s="4" t="s">
        <v>5992</v>
      </c>
      <c r="B3269">
        <v>3</v>
      </c>
    </row>
    <row r="3270" spans="1:2" ht="28.8" x14ac:dyDescent="0.3">
      <c r="A3270" s="4" t="s">
        <v>5993</v>
      </c>
      <c r="B3270">
        <v>3</v>
      </c>
    </row>
    <row r="3271" spans="1:2" ht="28.8" x14ac:dyDescent="0.3">
      <c r="A3271" s="4" t="s">
        <v>5994</v>
      </c>
      <c r="B3271">
        <v>3</v>
      </c>
    </row>
    <row r="3272" spans="1:2" x14ac:dyDescent="0.3">
      <c r="A3272" s="4" t="s">
        <v>5995</v>
      </c>
      <c r="B3272">
        <v>3</v>
      </c>
    </row>
    <row r="3273" spans="1:2" ht="43.2" x14ac:dyDescent="0.3">
      <c r="A3273" s="4" t="s">
        <v>5996</v>
      </c>
      <c r="B3273">
        <v>3</v>
      </c>
    </row>
    <row r="3274" spans="1:2" ht="28.8" x14ac:dyDescent="0.3">
      <c r="A3274" s="4" t="s">
        <v>5997</v>
      </c>
      <c r="B3274">
        <v>3</v>
      </c>
    </row>
    <row r="3275" spans="1:2" x14ac:dyDescent="0.3">
      <c r="A3275" s="4" t="s">
        <v>5998</v>
      </c>
      <c r="B3275">
        <v>3</v>
      </c>
    </row>
    <row r="3276" spans="1:2" ht="28.8" x14ac:dyDescent="0.3">
      <c r="A3276" s="4" t="s">
        <v>5999</v>
      </c>
      <c r="B3276">
        <v>3</v>
      </c>
    </row>
    <row r="3277" spans="1:2" x14ac:dyDescent="0.3">
      <c r="A3277" s="4" t="s">
        <v>6000</v>
      </c>
      <c r="B3277">
        <v>3</v>
      </c>
    </row>
    <row r="3278" spans="1:2" ht="28.8" x14ac:dyDescent="0.3">
      <c r="A3278" s="4" t="s">
        <v>6001</v>
      </c>
      <c r="B3278">
        <v>3</v>
      </c>
    </row>
    <row r="3279" spans="1:2" x14ac:dyDescent="0.3">
      <c r="A3279" s="4" t="s">
        <v>6002</v>
      </c>
      <c r="B3279">
        <v>3</v>
      </c>
    </row>
    <row r="3280" spans="1:2" x14ac:dyDescent="0.3">
      <c r="A3280" s="4" t="s">
        <v>6003</v>
      </c>
      <c r="B3280">
        <v>3</v>
      </c>
    </row>
    <row r="3281" spans="1:2" ht="28.8" x14ac:dyDescent="0.3">
      <c r="A3281" s="4" t="s">
        <v>6004</v>
      </c>
      <c r="B3281">
        <v>3</v>
      </c>
    </row>
    <row r="3282" spans="1:2" ht="28.8" x14ac:dyDescent="0.3">
      <c r="A3282" s="4" t="s">
        <v>6005</v>
      </c>
      <c r="B3282">
        <v>3</v>
      </c>
    </row>
    <row r="3283" spans="1:2" x14ac:dyDescent="0.3">
      <c r="A3283" s="4" t="s">
        <v>6006</v>
      </c>
      <c r="B3283">
        <v>3</v>
      </c>
    </row>
    <row r="3284" spans="1:2" ht="43.2" x14ac:dyDescent="0.3">
      <c r="A3284" s="4" t="s">
        <v>6007</v>
      </c>
      <c r="B3284">
        <v>3</v>
      </c>
    </row>
    <row r="3285" spans="1:2" ht="43.2" x14ac:dyDescent="0.3">
      <c r="A3285" s="4" t="s">
        <v>6008</v>
      </c>
      <c r="B3285">
        <v>3</v>
      </c>
    </row>
    <row r="3286" spans="1:2" ht="28.8" x14ac:dyDescent="0.3">
      <c r="A3286" s="4" t="s">
        <v>6009</v>
      </c>
      <c r="B3286">
        <v>3</v>
      </c>
    </row>
    <row r="3287" spans="1:2" ht="28.8" x14ac:dyDescent="0.3">
      <c r="A3287" s="4" t="s">
        <v>6010</v>
      </c>
      <c r="B3287">
        <v>3</v>
      </c>
    </row>
    <row r="3288" spans="1:2" ht="28.8" x14ac:dyDescent="0.3">
      <c r="A3288" s="4" t="s">
        <v>6011</v>
      </c>
      <c r="B3288">
        <v>3</v>
      </c>
    </row>
    <row r="3289" spans="1:2" ht="28.8" x14ac:dyDescent="0.3">
      <c r="A3289" s="4" t="s">
        <v>6012</v>
      </c>
      <c r="B3289">
        <v>3</v>
      </c>
    </row>
    <row r="3290" spans="1:2" x14ac:dyDescent="0.3">
      <c r="A3290" s="4" t="s">
        <v>6013</v>
      </c>
      <c r="B3290">
        <v>3</v>
      </c>
    </row>
    <row r="3291" spans="1:2" ht="28.8" x14ac:dyDescent="0.3">
      <c r="A3291" s="4" t="s">
        <v>6014</v>
      </c>
      <c r="B3291">
        <v>3</v>
      </c>
    </row>
    <row r="3292" spans="1:2" ht="43.2" x14ac:dyDescent="0.3">
      <c r="A3292" s="4" t="s">
        <v>6015</v>
      </c>
      <c r="B3292">
        <v>3</v>
      </c>
    </row>
    <row r="3293" spans="1:2" ht="28.8" x14ac:dyDescent="0.3">
      <c r="A3293" s="4" t="s">
        <v>6016</v>
      </c>
      <c r="B3293">
        <v>3</v>
      </c>
    </row>
    <row r="3294" spans="1:2" ht="57.6" x14ac:dyDescent="0.3">
      <c r="A3294" s="4" t="s">
        <v>6017</v>
      </c>
      <c r="B3294">
        <v>3</v>
      </c>
    </row>
    <row r="3295" spans="1:2" ht="43.2" x14ac:dyDescent="0.3">
      <c r="A3295" s="4" t="s">
        <v>6018</v>
      </c>
      <c r="B3295">
        <v>3</v>
      </c>
    </row>
    <row r="3296" spans="1:2" ht="28.8" x14ac:dyDescent="0.3">
      <c r="A3296" s="4" t="s">
        <v>6019</v>
      </c>
      <c r="B3296">
        <v>3</v>
      </c>
    </row>
    <row r="3297" spans="1:2" ht="43.2" x14ac:dyDescent="0.3">
      <c r="A3297" s="4" t="s">
        <v>6020</v>
      </c>
      <c r="B3297">
        <v>3</v>
      </c>
    </row>
    <row r="3298" spans="1:2" ht="28.8" x14ac:dyDescent="0.3">
      <c r="A3298" s="4" t="s">
        <v>6021</v>
      </c>
      <c r="B3298">
        <v>3</v>
      </c>
    </row>
    <row r="3299" spans="1:2" ht="28.8" x14ac:dyDescent="0.3">
      <c r="A3299" s="4" t="s">
        <v>6022</v>
      </c>
      <c r="B3299">
        <v>3</v>
      </c>
    </row>
    <row r="3300" spans="1:2" ht="28.8" x14ac:dyDescent="0.3">
      <c r="A3300" s="4" t="s">
        <v>6023</v>
      </c>
      <c r="B3300">
        <v>3</v>
      </c>
    </row>
    <row r="3301" spans="1:2" ht="28.8" x14ac:dyDescent="0.3">
      <c r="A3301" s="4" t="s">
        <v>6024</v>
      </c>
      <c r="B3301">
        <v>3</v>
      </c>
    </row>
    <row r="3302" spans="1:2" ht="28.8" x14ac:dyDescent="0.3">
      <c r="A3302" s="4" t="s">
        <v>6025</v>
      </c>
      <c r="B3302">
        <v>3</v>
      </c>
    </row>
    <row r="3303" spans="1:2" x14ac:dyDescent="0.3">
      <c r="A3303" s="4" t="s">
        <v>6026</v>
      </c>
      <c r="B3303">
        <v>3</v>
      </c>
    </row>
    <row r="3304" spans="1:2" x14ac:dyDescent="0.3">
      <c r="A3304" s="4" t="s">
        <v>6027</v>
      </c>
      <c r="B3304">
        <v>3</v>
      </c>
    </row>
    <row r="3305" spans="1:2" ht="28.8" x14ac:dyDescent="0.3">
      <c r="A3305" s="4" t="s">
        <v>6028</v>
      </c>
      <c r="B3305">
        <v>3</v>
      </c>
    </row>
    <row r="3306" spans="1:2" ht="28.8" x14ac:dyDescent="0.3">
      <c r="A3306" s="4" t="s">
        <v>6029</v>
      </c>
      <c r="B3306">
        <v>3</v>
      </c>
    </row>
    <row r="3307" spans="1:2" ht="28.8" x14ac:dyDescent="0.3">
      <c r="A3307" s="4" t="s">
        <v>6030</v>
      </c>
      <c r="B3307">
        <v>3</v>
      </c>
    </row>
    <row r="3308" spans="1:2" x14ac:dyDescent="0.3">
      <c r="A3308" s="4" t="s">
        <v>6031</v>
      </c>
      <c r="B3308">
        <v>3</v>
      </c>
    </row>
    <row r="3309" spans="1:2" ht="28.8" x14ac:dyDescent="0.3">
      <c r="A3309" s="4" t="s">
        <v>6032</v>
      </c>
      <c r="B3309">
        <v>3</v>
      </c>
    </row>
    <row r="3310" spans="1:2" x14ac:dyDescent="0.3">
      <c r="A3310" s="4" t="s">
        <v>6033</v>
      </c>
      <c r="B3310">
        <v>3</v>
      </c>
    </row>
    <row r="3311" spans="1:2" ht="28.8" x14ac:dyDescent="0.3">
      <c r="A3311" s="4" t="s">
        <v>6034</v>
      </c>
      <c r="B3311">
        <v>3</v>
      </c>
    </row>
    <row r="3312" spans="1:2" ht="28.8" x14ac:dyDescent="0.3">
      <c r="A3312" s="4" t="s">
        <v>6035</v>
      </c>
      <c r="B3312">
        <v>3</v>
      </c>
    </row>
    <row r="3313" spans="1:2" ht="28.8" x14ac:dyDescent="0.3">
      <c r="A3313" s="4" t="s">
        <v>6036</v>
      </c>
      <c r="B3313">
        <v>3</v>
      </c>
    </row>
    <row r="3314" spans="1:2" ht="28.8" x14ac:dyDescent="0.3">
      <c r="A3314" s="4" t="s">
        <v>6037</v>
      </c>
      <c r="B3314">
        <v>3</v>
      </c>
    </row>
    <row r="3315" spans="1:2" ht="28.8" x14ac:dyDescent="0.3">
      <c r="A3315" s="4" t="s">
        <v>6038</v>
      </c>
      <c r="B3315">
        <v>3</v>
      </c>
    </row>
    <row r="3316" spans="1:2" ht="28.8" x14ac:dyDescent="0.3">
      <c r="A3316" s="4" t="s">
        <v>6039</v>
      </c>
      <c r="B3316">
        <v>3</v>
      </c>
    </row>
    <row r="3317" spans="1:2" ht="28.8" x14ac:dyDescent="0.3">
      <c r="A3317" s="4" t="s">
        <v>6040</v>
      </c>
      <c r="B3317">
        <v>3</v>
      </c>
    </row>
    <row r="3318" spans="1:2" ht="43.2" x14ac:dyDescent="0.3">
      <c r="A3318" s="4" t="s">
        <v>6041</v>
      </c>
      <c r="B3318">
        <v>3</v>
      </c>
    </row>
    <row r="3319" spans="1:2" ht="43.2" x14ac:dyDescent="0.3">
      <c r="A3319" s="4" t="s">
        <v>6042</v>
      </c>
      <c r="B3319">
        <v>3</v>
      </c>
    </row>
    <row r="3320" spans="1:2" ht="57.6" x14ac:dyDescent="0.3">
      <c r="A3320" s="4" t="s">
        <v>6043</v>
      </c>
      <c r="B3320">
        <v>3</v>
      </c>
    </row>
    <row r="3321" spans="1:2" ht="57.6" x14ac:dyDescent="0.3">
      <c r="A3321" s="4" t="s">
        <v>6044</v>
      </c>
      <c r="B3321">
        <v>3</v>
      </c>
    </row>
    <row r="3322" spans="1:2" ht="28.8" x14ac:dyDescent="0.3">
      <c r="A3322" s="4" t="s">
        <v>6045</v>
      </c>
      <c r="B3322">
        <v>3</v>
      </c>
    </row>
    <row r="3323" spans="1:2" ht="43.2" x14ac:dyDescent="0.3">
      <c r="A3323" s="4" t="s">
        <v>6046</v>
      </c>
      <c r="B3323">
        <v>3</v>
      </c>
    </row>
    <row r="3324" spans="1:2" ht="28.8" x14ac:dyDescent="0.3">
      <c r="A3324" s="4" t="s">
        <v>6047</v>
      </c>
      <c r="B3324">
        <v>3</v>
      </c>
    </row>
    <row r="3325" spans="1:2" ht="28.8" x14ac:dyDescent="0.3">
      <c r="A3325" s="4" t="s">
        <v>6048</v>
      </c>
      <c r="B3325">
        <v>3</v>
      </c>
    </row>
    <row r="3326" spans="1:2" ht="28.8" x14ac:dyDescent="0.3">
      <c r="A3326" s="4" t="s">
        <v>6049</v>
      </c>
      <c r="B3326">
        <v>3</v>
      </c>
    </row>
    <row r="3327" spans="1:2" ht="28.8" x14ac:dyDescent="0.3">
      <c r="A3327" s="4" t="s">
        <v>6050</v>
      </c>
      <c r="B3327">
        <v>3</v>
      </c>
    </row>
    <row r="3328" spans="1:2" ht="28.8" x14ac:dyDescent="0.3">
      <c r="A3328" s="4" t="s">
        <v>6051</v>
      </c>
      <c r="B3328">
        <v>3</v>
      </c>
    </row>
    <row r="3329" spans="1:2" ht="28.8" x14ac:dyDescent="0.3">
      <c r="A3329" s="4" t="s">
        <v>6052</v>
      </c>
      <c r="B3329">
        <v>3</v>
      </c>
    </row>
    <row r="3330" spans="1:2" ht="28.8" x14ac:dyDescent="0.3">
      <c r="A3330" s="4" t="s">
        <v>6053</v>
      </c>
      <c r="B3330">
        <v>3</v>
      </c>
    </row>
    <row r="3331" spans="1:2" ht="28.8" x14ac:dyDescent="0.3">
      <c r="A3331" s="4" t="s">
        <v>6054</v>
      </c>
      <c r="B3331">
        <v>3</v>
      </c>
    </row>
    <row r="3332" spans="1:2" ht="28.8" x14ac:dyDescent="0.3">
      <c r="A3332" s="4" t="s">
        <v>6055</v>
      </c>
      <c r="B3332">
        <v>3</v>
      </c>
    </row>
    <row r="3333" spans="1:2" x14ac:dyDescent="0.3">
      <c r="A3333" s="4" t="s">
        <v>6056</v>
      </c>
      <c r="B3333">
        <v>3</v>
      </c>
    </row>
    <row r="3334" spans="1:2" ht="43.2" x14ac:dyDescent="0.3">
      <c r="A3334" s="4" t="s">
        <v>6057</v>
      </c>
      <c r="B3334">
        <v>3</v>
      </c>
    </row>
    <row r="3335" spans="1:2" x14ac:dyDescent="0.3">
      <c r="A3335" s="4" t="s">
        <v>6058</v>
      </c>
      <c r="B3335">
        <v>3</v>
      </c>
    </row>
    <row r="3336" spans="1:2" ht="43.2" x14ac:dyDescent="0.3">
      <c r="A3336" s="4" t="s">
        <v>6059</v>
      </c>
      <c r="B3336">
        <v>3</v>
      </c>
    </row>
    <row r="3337" spans="1:2" ht="28.8" x14ac:dyDescent="0.3">
      <c r="A3337" s="4" t="s">
        <v>6060</v>
      </c>
      <c r="B3337">
        <v>3</v>
      </c>
    </row>
    <row r="3338" spans="1:2" ht="28.8" x14ac:dyDescent="0.3">
      <c r="A3338" s="4" t="s">
        <v>6061</v>
      </c>
      <c r="B3338">
        <v>3</v>
      </c>
    </row>
    <row r="3339" spans="1:2" ht="28.8" x14ac:dyDescent="0.3">
      <c r="A3339" s="4" t="s">
        <v>6062</v>
      </c>
      <c r="B3339">
        <v>3</v>
      </c>
    </row>
    <row r="3340" spans="1:2" ht="28.8" x14ac:dyDescent="0.3">
      <c r="A3340" s="4" t="s">
        <v>6063</v>
      </c>
      <c r="B3340">
        <v>3</v>
      </c>
    </row>
    <row r="3341" spans="1:2" x14ac:dyDescent="0.3">
      <c r="A3341" s="4" t="s">
        <v>6064</v>
      </c>
      <c r="B3341">
        <v>3</v>
      </c>
    </row>
    <row r="3342" spans="1:2" ht="28.8" x14ac:dyDescent="0.3">
      <c r="A3342" s="4" t="s">
        <v>6065</v>
      </c>
      <c r="B3342">
        <v>3</v>
      </c>
    </row>
    <row r="3343" spans="1:2" ht="28.8" x14ac:dyDescent="0.3">
      <c r="A3343" s="4" t="s">
        <v>6066</v>
      </c>
      <c r="B3343">
        <v>3</v>
      </c>
    </row>
    <row r="3344" spans="1:2" ht="28.8" x14ac:dyDescent="0.3">
      <c r="A3344" s="4" t="s">
        <v>6067</v>
      </c>
      <c r="B3344">
        <v>3</v>
      </c>
    </row>
    <row r="3345" spans="1:2" ht="28.8" x14ac:dyDescent="0.3">
      <c r="A3345" s="4" t="s">
        <v>6068</v>
      </c>
      <c r="B3345">
        <v>3</v>
      </c>
    </row>
    <row r="3346" spans="1:2" ht="28.8" x14ac:dyDescent="0.3">
      <c r="A3346" s="4" t="s">
        <v>6069</v>
      </c>
      <c r="B3346">
        <v>3</v>
      </c>
    </row>
    <row r="3347" spans="1:2" ht="28.8" x14ac:dyDescent="0.3">
      <c r="A3347" s="4" t="s">
        <v>6070</v>
      </c>
      <c r="B3347">
        <v>3</v>
      </c>
    </row>
    <row r="3348" spans="1:2" ht="43.2" x14ac:dyDescent="0.3">
      <c r="A3348" s="4" t="s">
        <v>6071</v>
      </c>
      <c r="B3348">
        <v>3</v>
      </c>
    </row>
    <row r="3349" spans="1:2" ht="28.8" x14ac:dyDescent="0.3">
      <c r="A3349" s="4" t="s">
        <v>6072</v>
      </c>
      <c r="B3349">
        <v>3</v>
      </c>
    </row>
    <row r="3350" spans="1:2" ht="28.8" x14ac:dyDescent="0.3">
      <c r="A3350" s="4" t="s">
        <v>6073</v>
      </c>
      <c r="B3350">
        <v>3</v>
      </c>
    </row>
    <row r="3351" spans="1:2" ht="28.8" x14ac:dyDescent="0.3">
      <c r="A3351" s="4" t="s">
        <v>6074</v>
      </c>
      <c r="B3351">
        <v>3</v>
      </c>
    </row>
    <row r="3352" spans="1:2" ht="28.8" x14ac:dyDescent="0.3">
      <c r="A3352" s="4" t="s">
        <v>6075</v>
      </c>
      <c r="B3352">
        <v>3</v>
      </c>
    </row>
    <row r="3353" spans="1:2" ht="28.8" x14ac:dyDescent="0.3">
      <c r="A3353" s="4" t="s">
        <v>6076</v>
      </c>
      <c r="B3353">
        <v>3</v>
      </c>
    </row>
    <row r="3354" spans="1:2" ht="28.8" x14ac:dyDescent="0.3">
      <c r="A3354" s="4" t="s">
        <v>6077</v>
      </c>
      <c r="B3354">
        <v>3</v>
      </c>
    </row>
    <row r="3355" spans="1:2" ht="28.8" x14ac:dyDescent="0.3">
      <c r="A3355" s="4" t="s">
        <v>6078</v>
      </c>
      <c r="B3355">
        <v>3</v>
      </c>
    </row>
    <row r="3356" spans="1:2" ht="28.8" x14ac:dyDescent="0.3">
      <c r="A3356" s="4" t="s">
        <v>6079</v>
      </c>
      <c r="B3356">
        <v>3</v>
      </c>
    </row>
    <row r="3357" spans="1:2" ht="28.8" x14ac:dyDescent="0.3">
      <c r="A3357" s="4" t="s">
        <v>6080</v>
      </c>
      <c r="B3357">
        <v>3</v>
      </c>
    </row>
    <row r="3358" spans="1:2" ht="28.8" x14ac:dyDescent="0.3">
      <c r="A3358" s="4" t="s">
        <v>6081</v>
      </c>
      <c r="B3358">
        <v>3</v>
      </c>
    </row>
    <row r="3359" spans="1:2" ht="28.8" x14ac:dyDescent="0.3">
      <c r="A3359" s="4" t="s">
        <v>6082</v>
      </c>
      <c r="B3359">
        <v>3</v>
      </c>
    </row>
    <row r="3360" spans="1:2" ht="28.8" x14ac:dyDescent="0.3">
      <c r="A3360" s="4" t="s">
        <v>6083</v>
      </c>
      <c r="B3360">
        <v>3</v>
      </c>
    </row>
    <row r="3361" spans="1:2" ht="28.8" x14ac:dyDescent="0.3">
      <c r="A3361" s="4" t="s">
        <v>6084</v>
      </c>
      <c r="B3361">
        <v>3</v>
      </c>
    </row>
    <row r="3362" spans="1:2" ht="28.8" x14ac:dyDescent="0.3">
      <c r="A3362" s="4" t="s">
        <v>6085</v>
      </c>
      <c r="B3362">
        <v>3</v>
      </c>
    </row>
    <row r="3363" spans="1:2" ht="28.8" x14ac:dyDescent="0.3">
      <c r="A3363" s="4" t="s">
        <v>6086</v>
      </c>
      <c r="B3363">
        <v>3</v>
      </c>
    </row>
    <row r="3364" spans="1:2" ht="28.8" x14ac:dyDescent="0.3">
      <c r="A3364" s="4" t="s">
        <v>6087</v>
      </c>
      <c r="B3364">
        <v>3</v>
      </c>
    </row>
    <row r="3365" spans="1:2" x14ac:dyDescent="0.3">
      <c r="A3365" s="4" t="s">
        <v>6088</v>
      </c>
      <c r="B3365">
        <v>3</v>
      </c>
    </row>
    <row r="3366" spans="1:2" ht="28.8" x14ac:dyDescent="0.3">
      <c r="A3366" s="4" t="s">
        <v>6089</v>
      </c>
      <c r="B3366">
        <v>3</v>
      </c>
    </row>
    <row r="3367" spans="1:2" ht="28.8" x14ac:dyDescent="0.3">
      <c r="A3367" s="4" t="s">
        <v>6090</v>
      </c>
      <c r="B3367">
        <v>3</v>
      </c>
    </row>
    <row r="3368" spans="1:2" x14ac:dyDescent="0.3">
      <c r="A3368" s="4" t="s">
        <v>6091</v>
      </c>
      <c r="B3368">
        <v>3</v>
      </c>
    </row>
    <row r="3369" spans="1:2" x14ac:dyDescent="0.3">
      <c r="A3369" s="4" t="s">
        <v>6092</v>
      </c>
      <c r="B3369">
        <v>3</v>
      </c>
    </row>
    <row r="3370" spans="1:2" ht="28.8" x14ac:dyDescent="0.3">
      <c r="A3370" s="4" t="s">
        <v>6093</v>
      </c>
      <c r="B3370">
        <v>3</v>
      </c>
    </row>
    <row r="3371" spans="1:2" ht="28.8" x14ac:dyDescent="0.3">
      <c r="A3371" s="4" t="s">
        <v>6094</v>
      </c>
      <c r="B3371">
        <v>3</v>
      </c>
    </row>
    <row r="3372" spans="1:2" ht="28.8" x14ac:dyDescent="0.3">
      <c r="A3372" s="4" t="s">
        <v>6095</v>
      </c>
      <c r="B3372">
        <v>3</v>
      </c>
    </row>
    <row r="3373" spans="1:2" ht="28.8" x14ac:dyDescent="0.3">
      <c r="A3373" s="4" t="s">
        <v>6096</v>
      </c>
      <c r="B3373">
        <v>3</v>
      </c>
    </row>
    <row r="3374" spans="1:2" ht="28.8" x14ac:dyDescent="0.3">
      <c r="A3374" s="4" t="s">
        <v>6097</v>
      </c>
      <c r="B3374">
        <v>3</v>
      </c>
    </row>
    <row r="3375" spans="1:2" ht="28.8" x14ac:dyDescent="0.3">
      <c r="A3375" s="4" t="s">
        <v>6098</v>
      </c>
      <c r="B3375">
        <v>3</v>
      </c>
    </row>
    <row r="3376" spans="1:2" ht="28.8" x14ac:dyDescent="0.3">
      <c r="A3376" s="4" t="s">
        <v>6099</v>
      </c>
      <c r="B3376">
        <v>3</v>
      </c>
    </row>
    <row r="3377" spans="1:2" ht="28.8" x14ac:dyDescent="0.3">
      <c r="A3377" s="4" t="s">
        <v>6100</v>
      </c>
      <c r="B3377">
        <v>3</v>
      </c>
    </row>
    <row r="3378" spans="1:2" ht="43.2" x14ac:dyDescent="0.3">
      <c r="A3378" s="4" t="s">
        <v>6101</v>
      </c>
      <c r="B3378">
        <v>3</v>
      </c>
    </row>
    <row r="3379" spans="1:2" x14ac:dyDescent="0.3">
      <c r="A3379" s="4" t="s">
        <v>6102</v>
      </c>
      <c r="B3379">
        <v>3</v>
      </c>
    </row>
    <row r="3380" spans="1:2" x14ac:dyDescent="0.3">
      <c r="A3380" s="4" t="s">
        <v>6103</v>
      </c>
      <c r="B3380">
        <v>3</v>
      </c>
    </row>
    <row r="3381" spans="1:2" ht="28.8" x14ac:dyDescent="0.3">
      <c r="A3381" s="4" t="s">
        <v>6104</v>
      </c>
      <c r="B3381">
        <v>3</v>
      </c>
    </row>
    <row r="3382" spans="1:2" ht="28.8" x14ac:dyDescent="0.3">
      <c r="A3382" s="4" t="s">
        <v>6105</v>
      </c>
      <c r="B3382">
        <v>3</v>
      </c>
    </row>
    <row r="3383" spans="1:2" ht="43.2" x14ac:dyDescent="0.3">
      <c r="A3383" s="4" t="s">
        <v>6106</v>
      </c>
      <c r="B3383">
        <v>3</v>
      </c>
    </row>
    <row r="3384" spans="1:2" ht="28.8" x14ac:dyDescent="0.3">
      <c r="A3384" s="4" t="s">
        <v>6107</v>
      </c>
      <c r="B3384">
        <v>3</v>
      </c>
    </row>
    <row r="3385" spans="1:2" ht="28.8" x14ac:dyDescent="0.3">
      <c r="A3385" s="4" t="s">
        <v>6108</v>
      </c>
      <c r="B3385">
        <v>3</v>
      </c>
    </row>
    <row r="3386" spans="1:2" ht="28.8" x14ac:dyDescent="0.3">
      <c r="A3386" s="4" t="s">
        <v>6109</v>
      </c>
      <c r="B3386">
        <v>3</v>
      </c>
    </row>
    <row r="3387" spans="1:2" ht="28.8" x14ac:dyDescent="0.3">
      <c r="A3387" s="4" t="s">
        <v>6110</v>
      </c>
      <c r="B3387">
        <v>3</v>
      </c>
    </row>
    <row r="3388" spans="1:2" ht="43.2" x14ac:dyDescent="0.3">
      <c r="A3388" s="4" t="s">
        <v>6111</v>
      </c>
      <c r="B3388">
        <v>3</v>
      </c>
    </row>
    <row r="3389" spans="1:2" ht="28.8" x14ac:dyDescent="0.3">
      <c r="A3389" s="4" t="s">
        <v>6112</v>
      </c>
      <c r="B3389">
        <v>3</v>
      </c>
    </row>
    <row r="3390" spans="1:2" x14ac:dyDescent="0.3">
      <c r="A3390" s="4" t="s">
        <v>6113</v>
      </c>
      <c r="B3390">
        <v>3</v>
      </c>
    </row>
    <row r="3391" spans="1:2" x14ac:dyDescent="0.3">
      <c r="A3391" s="4" t="s">
        <v>6114</v>
      </c>
      <c r="B3391">
        <v>3</v>
      </c>
    </row>
    <row r="3392" spans="1:2" ht="28.8" x14ac:dyDescent="0.3">
      <c r="A3392" s="4" t="s">
        <v>6115</v>
      </c>
      <c r="B3392">
        <v>3</v>
      </c>
    </row>
    <row r="3393" spans="1:2" ht="28.8" x14ac:dyDescent="0.3">
      <c r="A3393" s="4" t="s">
        <v>6116</v>
      </c>
      <c r="B3393">
        <v>3</v>
      </c>
    </row>
    <row r="3394" spans="1:2" ht="43.2" x14ac:dyDescent="0.3">
      <c r="A3394" s="4" t="s">
        <v>6117</v>
      </c>
      <c r="B3394">
        <v>3</v>
      </c>
    </row>
    <row r="3395" spans="1:2" ht="28.8" x14ac:dyDescent="0.3">
      <c r="A3395" s="4" t="s">
        <v>6118</v>
      </c>
      <c r="B3395">
        <v>3</v>
      </c>
    </row>
    <row r="3396" spans="1:2" ht="43.2" x14ac:dyDescent="0.3">
      <c r="A3396" s="4" t="s">
        <v>6119</v>
      </c>
      <c r="B3396">
        <v>3</v>
      </c>
    </row>
    <row r="3397" spans="1:2" ht="43.2" x14ac:dyDescent="0.3">
      <c r="A3397" s="4" t="s">
        <v>6120</v>
      </c>
      <c r="B3397">
        <v>3</v>
      </c>
    </row>
    <row r="3398" spans="1:2" ht="43.2" x14ac:dyDescent="0.3">
      <c r="A3398" s="4" t="s">
        <v>6121</v>
      </c>
      <c r="B3398">
        <v>3</v>
      </c>
    </row>
    <row r="3399" spans="1:2" ht="43.2" x14ac:dyDescent="0.3">
      <c r="A3399" s="4" t="s">
        <v>6122</v>
      </c>
      <c r="B3399">
        <v>3</v>
      </c>
    </row>
    <row r="3400" spans="1:2" ht="28.8" x14ac:dyDescent="0.3">
      <c r="A3400" s="4" t="s">
        <v>6123</v>
      </c>
      <c r="B3400">
        <v>3</v>
      </c>
    </row>
    <row r="3401" spans="1:2" ht="28.8" x14ac:dyDescent="0.3">
      <c r="A3401" s="4" t="s">
        <v>6124</v>
      </c>
      <c r="B3401">
        <v>3</v>
      </c>
    </row>
    <row r="3402" spans="1:2" ht="28.8" x14ac:dyDescent="0.3">
      <c r="A3402" s="4" t="s">
        <v>6125</v>
      </c>
      <c r="B3402">
        <v>3</v>
      </c>
    </row>
    <row r="3403" spans="1:2" ht="28.8" x14ac:dyDescent="0.3">
      <c r="A3403" s="4" t="s">
        <v>6126</v>
      </c>
      <c r="B3403">
        <v>3</v>
      </c>
    </row>
    <row r="3404" spans="1:2" ht="28.8" x14ac:dyDescent="0.3">
      <c r="A3404" s="4" t="s">
        <v>6127</v>
      </c>
      <c r="B3404">
        <v>3</v>
      </c>
    </row>
    <row r="3405" spans="1:2" ht="28.8" x14ac:dyDescent="0.3">
      <c r="A3405" s="4" t="s">
        <v>6128</v>
      </c>
      <c r="B3405">
        <v>3</v>
      </c>
    </row>
    <row r="3406" spans="1:2" ht="43.2" x14ac:dyDescent="0.3">
      <c r="A3406" s="4" t="s">
        <v>6129</v>
      </c>
      <c r="B3406">
        <v>3</v>
      </c>
    </row>
    <row r="3407" spans="1:2" ht="28.8" x14ac:dyDescent="0.3">
      <c r="A3407" s="4" t="s">
        <v>6130</v>
      </c>
      <c r="B3407">
        <v>3</v>
      </c>
    </row>
    <row r="3408" spans="1:2" ht="28.8" x14ac:dyDescent="0.3">
      <c r="A3408" s="4" t="s">
        <v>6131</v>
      </c>
      <c r="B3408">
        <v>3</v>
      </c>
    </row>
    <row r="3409" spans="1:2" ht="28.8" x14ac:dyDescent="0.3">
      <c r="A3409" s="4" t="s">
        <v>6132</v>
      </c>
      <c r="B3409">
        <v>3</v>
      </c>
    </row>
    <row r="3410" spans="1:2" ht="28.8" x14ac:dyDescent="0.3">
      <c r="A3410" s="4" t="s">
        <v>6133</v>
      </c>
      <c r="B3410">
        <v>3</v>
      </c>
    </row>
    <row r="3411" spans="1:2" x14ac:dyDescent="0.3">
      <c r="A3411" s="4" t="s">
        <v>6134</v>
      </c>
      <c r="B3411">
        <v>3</v>
      </c>
    </row>
    <row r="3412" spans="1:2" ht="28.8" x14ac:dyDescent="0.3">
      <c r="A3412" s="4" t="s">
        <v>6135</v>
      </c>
      <c r="B3412">
        <v>3</v>
      </c>
    </row>
    <row r="3413" spans="1:2" x14ac:dyDescent="0.3">
      <c r="A3413" s="4" t="s">
        <v>6136</v>
      </c>
      <c r="B3413">
        <v>3</v>
      </c>
    </row>
    <row r="3414" spans="1:2" x14ac:dyDescent="0.3">
      <c r="A3414" s="4" t="s">
        <v>6137</v>
      </c>
      <c r="B3414">
        <v>3</v>
      </c>
    </row>
    <row r="3415" spans="1:2" ht="28.8" x14ac:dyDescent="0.3">
      <c r="A3415" s="4" t="s">
        <v>6138</v>
      </c>
      <c r="B3415">
        <v>3</v>
      </c>
    </row>
    <row r="3416" spans="1:2" ht="28.8" x14ac:dyDescent="0.3">
      <c r="A3416" s="4" t="s">
        <v>6139</v>
      </c>
      <c r="B3416">
        <v>3</v>
      </c>
    </row>
    <row r="3417" spans="1:2" ht="28.8" x14ac:dyDescent="0.3">
      <c r="A3417" s="4" t="s">
        <v>6140</v>
      </c>
      <c r="B3417">
        <v>3</v>
      </c>
    </row>
    <row r="3418" spans="1:2" ht="28.8" x14ac:dyDescent="0.3">
      <c r="A3418" s="4" t="s">
        <v>6141</v>
      </c>
      <c r="B3418">
        <v>3</v>
      </c>
    </row>
    <row r="3419" spans="1:2" ht="28.8" x14ac:dyDescent="0.3">
      <c r="A3419" s="4" t="s">
        <v>6142</v>
      </c>
      <c r="B3419">
        <v>3</v>
      </c>
    </row>
    <row r="3420" spans="1:2" ht="43.2" x14ac:dyDescent="0.3">
      <c r="A3420" s="4" t="s">
        <v>6143</v>
      </c>
      <c r="B3420">
        <v>3</v>
      </c>
    </row>
    <row r="3421" spans="1:2" ht="43.2" x14ac:dyDescent="0.3">
      <c r="A3421" s="4" t="s">
        <v>6144</v>
      </c>
      <c r="B3421">
        <v>3</v>
      </c>
    </row>
    <row r="3422" spans="1:2" ht="28.8" x14ac:dyDescent="0.3">
      <c r="A3422" s="4" t="s">
        <v>6145</v>
      </c>
      <c r="B3422">
        <v>3</v>
      </c>
    </row>
    <row r="3423" spans="1:2" ht="28.8" x14ac:dyDescent="0.3">
      <c r="A3423" s="4" t="s">
        <v>6146</v>
      </c>
      <c r="B3423">
        <v>3</v>
      </c>
    </row>
    <row r="3424" spans="1:2" ht="28.8" x14ac:dyDescent="0.3">
      <c r="A3424" s="4" t="s">
        <v>6147</v>
      </c>
      <c r="B3424">
        <v>3</v>
      </c>
    </row>
    <row r="3425" spans="1:2" ht="43.2" x14ac:dyDescent="0.3">
      <c r="A3425" s="4" t="s">
        <v>6148</v>
      </c>
      <c r="B3425">
        <v>3</v>
      </c>
    </row>
    <row r="3426" spans="1:2" ht="28.8" x14ac:dyDescent="0.3">
      <c r="A3426" s="4" t="s">
        <v>6149</v>
      </c>
      <c r="B3426">
        <v>3</v>
      </c>
    </row>
    <row r="3427" spans="1:2" ht="28.8" x14ac:dyDescent="0.3">
      <c r="A3427" s="4" t="s">
        <v>6150</v>
      </c>
      <c r="B3427">
        <v>3</v>
      </c>
    </row>
    <row r="3428" spans="1:2" x14ac:dyDescent="0.3">
      <c r="A3428" s="4" t="s">
        <v>6151</v>
      </c>
      <c r="B3428">
        <v>3</v>
      </c>
    </row>
    <row r="3429" spans="1:2" ht="43.2" x14ac:dyDescent="0.3">
      <c r="A3429" s="4" t="s">
        <v>6152</v>
      </c>
      <c r="B3429">
        <v>3</v>
      </c>
    </row>
    <row r="3430" spans="1:2" x14ac:dyDescent="0.3">
      <c r="A3430" s="4" t="s">
        <v>6153</v>
      </c>
      <c r="B3430">
        <v>3</v>
      </c>
    </row>
    <row r="3431" spans="1:2" ht="28.8" x14ac:dyDescent="0.3">
      <c r="A3431" s="4" t="s">
        <v>6154</v>
      </c>
      <c r="B3431">
        <v>3</v>
      </c>
    </row>
    <row r="3432" spans="1:2" ht="28.8" x14ac:dyDescent="0.3">
      <c r="A3432" s="4" t="s">
        <v>6155</v>
      </c>
      <c r="B3432">
        <v>3</v>
      </c>
    </row>
    <row r="3433" spans="1:2" ht="28.8" x14ac:dyDescent="0.3">
      <c r="A3433" s="4" t="s">
        <v>6156</v>
      </c>
      <c r="B3433">
        <v>3</v>
      </c>
    </row>
    <row r="3434" spans="1:2" ht="43.2" x14ac:dyDescent="0.3">
      <c r="A3434" s="4" t="s">
        <v>6157</v>
      </c>
      <c r="B3434">
        <v>3</v>
      </c>
    </row>
    <row r="3435" spans="1:2" ht="28.8" x14ac:dyDescent="0.3">
      <c r="A3435" s="4" t="s">
        <v>6158</v>
      </c>
      <c r="B3435">
        <v>3</v>
      </c>
    </row>
    <row r="3436" spans="1:2" ht="28.8" x14ac:dyDescent="0.3">
      <c r="A3436" s="4" t="s">
        <v>6159</v>
      </c>
      <c r="B3436">
        <v>3</v>
      </c>
    </row>
    <row r="3437" spans="1:2" ht="28.8" x14ac:dyDescent="0.3">
      <c r="A3437" s="4" t="s">
        <v>6160</v>
      </c>
      <c r="B3437">
        <v>3</v>
      </c>
    </row>
    <row r="3438" spans="1:2" ht="28.8" x14ac:dyDescent="0.3">
      <c r="A3438" s="4" t="s">
        <v>6161</v>
      </c>
      <c r="B3438">
        <v>3</v>
      </c>
    </row>
    <row r="3439" spans="1:2" ht="28.8" x14ac:dyDescent="0.3">
      <c r="A3439" s="4" t="s">
        <v>6162</v>
      </c>
      <c r="B3439">
        <v>3</v>
      </c>
    </row>
    <row r="3440" spans="1:2" ht="28.8" x14ac:dyDescent="0.3">
      <c r="A3440" s="4" t="s">
        <v>6163</v>
      </c>
      <c r="B3440">
        <v>3</v>
      </c>
    </row>
    <row r="3441" spans="1:2" ht="28.8" x14ac:dyDescent="0.3">
      <c r="A3441" s="4" t="s">
        <v>6164</v>
      </c>
      <c r="B3441">
        <v>3</v>
      </c>
    </row>
    <row r="3442" spans="1:2" x14ac:dyDescent="0.3">
      <c r="A3442" s="4" t="s">
        <v>6165</v>
      </c>
      <c r="B3442">
        <v>3</v>
      </c>
    </row>
    <row r="3443" spans="1:2" x14ac:dyDescent="0.3">
      <c r="A3443" s="4" t="s">
        <v>6166</v>
      </c>
      <c r="B3443">
        <v>3</v>
      </c>
    </row>
    <row r="3444" spans="1:2" ht="28.8" x14ac:dyDescent="0.3">
      <c r="A3444" s="4" t="s">
        <v>6167</v>
      </c>
      <c r="B3444">
        <v>3</v>
      </c>
    </row>
    <row r="3445" spans="1:2" ht="28.8" x14ac:dyDescent="0.3">
      <c r="A3445" s="4" t="s">
        <v>6168</v>
      </c>
      <c r="B3445">
        <v>3</v>
      </c>
    </row>
    <row r="3446" spans="1:2" ht="43.2" x14ac:dyDescent="0.3">
      <c r="A3446" s="4" t="s">
        <v>6169</v>
      </c>
      <c r="B3446">
        <v>3</v>
      </c>
    </row>
    <row r="3447" spans="1:2" ht="28.8" x14ac:dyDescent="0.3">
      <c r="A3447" s="4" t="s">
        <v>6170</v>
      </c>
      <c r="B3447">
        <v>3</v>
      </c>
    </row>
    <row r="3448" spans="1:2" ht="43.2" x14ac:dyDescent="0.3">
      <c r="A3448" s="4" t="s">
        <v>6171</v>
      </c>
      <c r="B3448">
        <v>3</v>
      </c>
    </row>
    <row r="3449" spans="1:2" ht="28.8" x14ac:dyDescent="0.3">
      <c r="A3449" s="4" t="s">
        <v>6172</v>
      </c>
      <c r="B3449">
        <v>3</v>
      </c>
    </row>
    <row r="3450" spans="1:2" ht="28.8" x14ac:dyDescent="0.3">
      <c r="A3450" s="4" t="s">
        <v>6173</v>
      </c>
      <c r="B3450">
        <v>3</v>
      </c>
    </row>
    <row r="3451" spans="1:2" ht="28.8" x14ac:dyDescent="0.3">
      <c r="A3451" s="4" t="s">
        <v>6174</v>
      </c>
      <c r="B3451">
        <v>3</v>
      </c>
    </row>
    <row r="3452" spans="1:2" ht="28.8" x14ac:dyDescent="0.3">
      <c r="A3452" s="4" t="s">
        <v>6175</v>
      </c>
      <c r="B3452">
        <v>3</v>
      </c>
    </row>
    <row r="3453" spans="1:2" ht="43.2" x14ac:dyDescent="0.3">
      <c r="A3453" s="4" t="s">
        <v>6176</v>
      </c>
      <c r="B3453">
        <v>3</v>
      </c>
    </row>
    <row r="3454" spans="1:2" ht="28.8" x14ac:dyDescent="0.3">
      <c r="A3454" s="4" t="s">
        <v>6177</v>
      </c>
      <c r="B3454">
        <v>3</v>
      </c>
    </row>
    <row r="3455" spans="1:2" ht="28.8" x14ac:dyDescent="0.3">
      <c r="A3455" s="4" t="s">
        <v>6178</v>
      </c>
      <c r="B3455">
        <v>3</v>
      </c>
    </row>
    <row r="3456" spans="1:2" ht="28.8" x14ac:dyDescent="0.3">
      <c r="A3456" s="4" t="s">
        <v>6179</v>
      </c>
      <c r="B3456">
        <v>3</v>
      </c>
    </row>
    <row r="3457" spans="1:2" ht="28.8" x14ac:dyDescent="0.3">
      <c r="A3457" s="4" t="s">
        <v>6180</v>
      </c>
      <c r="B3457">
        <v>3</v>
      </c>
    </row>
    <row r="3458" spans="1:2" ht="28.8" x14ac:dyDescent="0.3">
      <c r="A3458" s="4" t="s">
        <v>6181</v>
      </c>
      <c r="B3458">
        <v>3</v>
      </c>
    </row>
    <row r="3459" spans="1:2" ht="28.8" x14ac:dyDescent="0.3">
      <c r="A3459" s="4" t="s">
        <v>6182</v>
      </c>
      <c r="B3459">
        <v>3</v>
      </c>
    </row>
    <row r="3460" spans="1:2" ht="28.8" x14ac:dyDescent="0.3">
      <c r="A3460" s="4" t="s">
        <v>6183</v>
      </c>
      <c r="B3460">
        <v>3</v>
      </c>
    </row>
    <row r="3461" spans="1:2" ht="28.8" x14ac:dyDescent="0.3">
      <c r="A3461" s="4" t="s">
        <v>6184</v>
      </c>
      <c r="B3461">
        <v>3</v>
      </c>
    </row>
    <row r="3462" spans="1:2" ht="43.2" x14ac:dyDescent="0.3">
      <c r="A3462" s="4" t="s">
        <v>6185</v>
      </c>
      <c r="B3462">
        <v>3</v>
      </c>
    </row>
    <row r="3463" spans="1:2" ht="28.8" x14ac:dyDescent="0.3">
      <c r="A3463" s="4" t="s">
        <v>6186</v>
      </c>
      <c r="B3463">
        <v>3</v>
      </c>
    </row>
    <row r="3464" spans="1:2" ht="28.8" x14ac:dyDescent="0.3">
      <c r="A3464" s="4" t="s">
        <v>6187</v>
      </c>
      <c r="B3464">
        <v>3</v>
      </c>
    </row>
    <row r="3465" spans="1:2" ht="28.8" x14ac:dyDescent="0.3">
      <c r="A3465" s="4" t="s">
        <v>6188</v>
      </c>
      <c r="B3465">
        <v>3</v>
      </c>
    </row>
    <row r="3466" spans="1:2" ht="43.2" x14ac:dyDescent="0.3">
      <c r="A3466" s="4" t="s">
        <v>6189</v>
      </c>
      <c r="B3466">
        <v>3</v>
      </c>
    </row>
    <row r="3467" spans="1:2" ht="28.8" x14ac:dyDescent="0.3">
      <c r="A3467" s="4" t="s">
        <v>6190</v>
      </c>
      <c r="B3467">
        <v>3</v>
      </c>
    </row>
    <row r="3468" spans="1:2" ht="28.8" x14ac:dyDescent="0.3">
      <c r="A3468" s="4" t="s">
        <v>6191</v>
      </c>
      <c r="B3468">
        <v>3</v>
      </c>
    </row>
    <row r="3469" spans="1:2" ht="28.8" x14ac:dyDescent="0.3">
      <c r="A3469" s="4" t="s">
        <v>6192</v>
      </c>
      <c r="B3469">
        <v>3</v>
      </c>
    </row>
    <row r="3470" spans="1:2" ht="28.8" x14ac:dyDescent="0.3">
      <c r="A3470" s="4" t="s">
        <v>6193</v>
      </c>
      <c r="B3470">
        <v>3</v>
      </c>
    </row>
    <row r="3471" spans="1:2" ht="28.8" x14ac:dyDescent="0.3">
      <c r="A3471" s="4" t="s">
        <v>6194</v>
      </c>
      <c r="B3471">
        <v>3</v>
      </c>
    </row>
    <row r="3472" spans="1:2" x14ac:dyDescent="0.3">
      <c r="A3472" s="4" t="s">
        <v>6195</v>
      </c>
      <c r="B3472">
        <v>3</v>
      </c>
    </row>
    <row r="3473" spans="1:2" ht="28.8" x14ac:dyDescent="0.3">
      <c r="A3473" s="4" t="s">
        <v>6196</v>
      </c>
      <c r="B3473">
        <v>3</v>
      </c>
    </row>
    <row r="3474" spans="1:2" ht="28.8" x14ac:dyDescent="0.3">
      <c r="A3474" s="4" t="s">
        <v>6197</v>
      </c>
      <c r="B3474">
        <v>3</v>
      </c>
    </row>
    <row r="3475" spans="1:2" ht="28.8" x14ac:dyDescent="0.3">
      <c r="A3475" s="4" t="s">
        <v>6198</v>
      </c>
      <c r="B3475">
        <v>3</v>
      </c>
    </row>
    <row r="3476" spans="1:2" ht="28.8" x14ac:dyDescent="0.3">
      <c r="A3476" s="4" t="s">
        <v>6199</v>
      </c>
      <c r="B3476">
        <v>3</v>
      </c>
    </row>
    <row r="3477" spans="1:2" ht="28.8" x14ac:dyDescent="0.3">
      <c r="A3477" s="4" t="s">
        <v>6200</v>
      </c>
      <c r="B3477">
        <v>3</v>
      </c>
    </row>
    <row r="3478" spans="1:2" ht="28.8" x14ac:dyDescent="0.3">
      <c r="A3478" s="4" t="s">
        <v>6201</v>
      </c>
      <c r="B3478">
        <v>3</v>
      </c>
    </row>
    <row r="3479" spans="1:2" ht="28.8" x14ac:dyDescent="0.3">
      <c r="A3479" s="4" t="s">
        <v>6202</v>
      </c>
      <c r="B3479">
        <v>3</v>
      </c>
    </row>
    <row r="3480" spans="1:2" ht="28.8" x14ac:dyDescent="0.3">
      <c r="A3480" s="4" t="s">
        <v>6203</v>
      </c>
      <c r="B3480">
        <v>3</v>
      </c>
    </row>
    <row r="3481" spans="1:2" ht="28.8" x14ac:dyDescent="0.3">
      <c r="A3481" s="4" t="s">
        <v>6204</v>
      </c>
      <c r="B3481">
        <v>3</v>
      </c>
    </row>
    <row r="3482" spans="1:2" ht="28.8" x14ac:dyDescent="0.3">
      <c r="A3482" s="4" t="s">
        <v>6205</v>
      </c>
      <c r="B3482">
        <v>3</v>
      </c>
    </row>
    <row r="3483" spans="1:2" ht="28.8" x14ac:dyDescent="0.3">
      <c r="A3483" s="4" t="s">
        <v>6206</v>
      </c>
      <c r="B3483">
        <v>3</v>
      </c>
    </row>
    <row r="3484" spans="1:2" ht="28.8" x14ac:dyDescent="0.3">
      <c r="A3484" s="4" t="s">
        <v>6207</v>
      </c>
      <c r="B3484">
        <v>3</v>
      </c>
    </row>
    <row r="3485" spans="1:2" ht="43.2" x14ac:dyDescent="0.3">
      <c r="A3485" s="4" t="s">
        <v>6208</v>
      </c>
      <c r="B3485">
        <v>3</v>
      </c>
    </row>
    <row r="3486" spans="1:2" ht="28.8" x14ac:dyDescent="0.3">
      <c r="A3486" s="4" t="s">
        <v>6209</v>
      </c>
      <c r="B3486">
        <v>3</v>
      </c>
    </row>
    <row r="3487" spans="1:2" ht="28.8" x14ac:dyDescent="0.3">
      <c r="A3487" s="4" t="s">
        <v>6210</v>
      </c>
      <c r="B3487">
        <v>3</v>
      </c>
    </row>
    <row r="3488" spans="1:2" ht="28.8" x14ac:dyDescent="0.3">
      <c r="A3488" s="4" t="s">
        <v>6211</v>
      </c>
      <c r="B3488">
        <v>3</v>
      </c>
    </row>
    <row r="3489" spans="1:2" ht="43.2" x14ac:dyDescent="0.3">
      <c r="A3489" s="4" t="s">
        <v>6212</v>
      </c>
      <c r="B3489">
        <v>3</v>
      </c>
    </row>
    <row r="3490" spans="1:2" ht="28.8" x14ac:dyDescent="0.3">
      <c r="A3490" s="4" t="s">
        <v>6213</v>
      </c>
      <c r="B3490">
        <v>3</v>
      </c>
    </row>
    <row r="3491" spans="1:2" ht="28.8" x14ac:dyDescent="0.3">
      <c r="A3491" s="4" t="s">
        <v>6214</v>
      </c>
      <c r="B3491">
        <v>3</v>
      </c>
    </row>
    <row r="3492" spans="1:2" x14ac:dyDescent="0.3">
      <c r="A3492" s="4" t="s">
        <v>6215</v>
      </c>
      <c r="B3492">
        <v>3</v>
      </c>
    </row>
    <row r="3493" spans="1:2" ht="28.8" x14ac:dyDescent="0.3">
      <c r="A3493" s="4" t="s">
        <v>6216</v>
      </c>
      <c r="B3493">
        <v>3</v>
      </c>
    </row>
    <row r="3494" spans="1:2" ht="28.8" x14ac:dyDescent="0.3">
      <c r="A3494" s="4" t="s">
        <v>6217</v>
      </c>
      <c r="B3494">
        <v>3</v>
      </c>
    </row>
    <row r="3495" spans="1:2" ht="43.2" x14ac:dyDescent="0.3">
      <c r="A3495" s="4" t="s">
        <v>6218</v>
      </c>
      <c r="B3495">
        <v>3</v>
      </c>
    </row>
    <row r="3496" spans="1:2" ht="28.8" x14ac:dyDescent="0.3">
      <c r="A3496" s="4" t="s">
        <v>6219</v>
      </c>
      <c r="B3496">
        <v>3</v>
      </c>
    </row>
    <row r="3497" spans="1:2" x14ac:dyDescent="0.3">
      <c r="A3497" s="4" t="s">
        <v>6220</v>
      </c>
      <c r="B3497">
        <v>3</v>
      </c>
    </row>
    <row r="3498" spans="1:2" ht="28.8" x14ac:dyDescent="0.3">
      <c r="A3498" s="4" t="s">
        <v>6221</v>
      </c>
      <c r="B3498">
        <v>3</v>
      </c>
    </row>
    <row r="3499" spans="1:2" ht="28.8" x14ac:dyDescent="0.3">
      <c r="A3499" s="4" t="s">
        <v>6222</v>
      </c>
      <c r="B3499">
        <v>3</v>
      </c>
    </row>
    <row r="3500" spans="1:2" ht="43.2" x14ac:dyDescent="0.3">
      <c r="A3500" s="4" t="s">
        <v>6223</v>
      </c>
      <c r="B3500">
        <v>3</v>
      </c>
    </row>
    <row r="3501" spans="1:2" ht="28.8" x14ac:dyDescent="0.3">
      <c r="A3501" s="4" t="s">
        <v>6224</v>
      </c>
      <c r="B3501">
        <v>3</v>
      </c>
    </row>
    <row r="3502" spans="1:2" ht="28.8" x14ac:dyDescent="0.3">
      <c r="A3502" s="4" t="s">
        <v>6225</v>
      </c>
      <c r="B3502">
        <v>3</v>
      </c>
    </row>
    <row r="3503" spans="1:2" x14ac:dyDescent="0.3">
      <c r="A3503" s="4" t="s">
        <v>6226</v>
      </c>
      <c r="B3503">
        <v>3</v>
      </c>
    </row>
    <row r="3504" spans="1:2" ht="28.8" x14ac:dyDescent="0.3">
      <c r="A3504" s="4" t="s">
        <v>6227</v>
      </c>
      <c r="B3504">
        <v>3</v>
      </c>
    </row>
    <row r="3505" spans="1:2" ht="28.8" x14ac:dyDescent="0.3">
      <c r="A3505" s="4" t="s">
        <v>6228</v>
      </c>
      <c r="B3505">
        <v>3</v>
      </c>
    </row>
    <row r="3506" spans="1:2" ht="28.8" x14ac:dyDescent="0.3">
      <c r="A3506" s="4" t="s">
        <v>6229</v>
      </c>
      <c r="B3506">
        <v>3</v>
      </c>
    </row>
    <row r="3507" spans="1:2" ht="28.8" x14ac:dyDescent="0.3">
      <c r="A3507" s="4" t="s">
        <v>6230</v>
      </c>
      <c r="B3507">
        <v>3</v>
      </c>
    </row>
    <row r="3508" spans="1:2" ht="28.8" x14ac:dyDescent="0.3">
      <c r="A3508" s="4" t="s">
        <v>6231</v>
      </c>
      <c r="B3508">
        <v>3</v>
      </c>
    </row>
    <row r="3509" spans="1:2" x14ac:dyDescent="0.3">
      <c r="A3509" s="4" t="s">
        <v>6232</v>
      </c>
      <c r="B3509">
        <v>3</v>
      </c>
    </row>
    <row r="3510" spans="1:2" ht="28.8" x14ac:dyDescent="0.3">
      <c r="A3510" s="4" t="s">
        <v>6233</v>
      </c>
      <c r="B3510">
        <v>3</v>
      </c>
    </row>
    <row r="3511" spans="1:2" ht="28.8" x14ac:dyDescent="0.3">
      <c r="A3511" s="4" t="s">
        <v>6234</v>
      </c>
      <c r="B3511">
        <v>3</v>
      </c>
    </row>
    <row r="3512" spans="1:2" ht="28.8" x14ac:dyDescent="0.3">
      <c r="A3512" s="4" t="s">
        <v>6235</v>
      </c>
      <c r="B3512">
        <v>3</v>
      </c>
    </row>
    <row r="3513" spans="1:2" ht="28.8" x14ac:dyDescent="0.3">
      <c r="A3513" s="4" t="s">
        <v>6236</v>
      </c>
      <c r="B3513">
        <v>3</v>
      </c>
    </row>
    <row r="3514" spans="1:2" ht="28.8" x14ac:dyDescent="0.3">
      <c r="A3514" s="4" t="s">
        <v>6237</v>
      </c>
      <c r="B3514">
        <v>3</v>
      </c>
    </row>
    <row r="3515" spans="1:2" ht="28.8" x14ac:dyDescent="0.3">
      <c r="A3515" s="4" t="s">
        <v>6238</v>
      </c>
      <c r="B3515">
        <v>3</v>
      </c>
    </row>
    <row r="3516" spans="1:2" ht="28.8" x14ac:dyDescent="0.3">
      <c r="A3516" s="4" t="s">
        <v>6239</v>
      </c>
      <c r="B3516">
        <v>3</v>
      </c>
    </row>
    <row r="3517" spans="1:2" ht="28.8" x14ac:dyDescent="0.3">
      <c r="A3517" s="4" t="s">
        <v>6240</v>
      </c>
      <c r="B3517">
        <v>3</v>
      </c>
    </row>
    <row r="3518" spans="1:2" ht="28.8" x14ac:dyDescent="0.3">
      <c r="A3518" s="4" t="s">
        <v>6241</v>
      </c>
      <c r="B3518">
        <v>3</v>
      </c>
    </row>
    <row r="3519" spans="1:2" ht="28.8" x14ac:dyDescent="0.3">
      <c r="A3519" s="4" t="s">
        <v>6242</v>
      </c>
      <c r="B3519">
        <v>3</v>
      </c>
    </row>
    <row r="3520" spans="1:2" ht="28.8" x14ac:dyDescent="0.3">
      <c r="A3520" s="4" t="s">
        <v>6243</v>
      </c>
      <c r="B3520">
        <v>3</v>
      </c>
    </row>
    <row r="3521" spans="1:2" x14ac:dyDescent="0.3">
      <c r="A3521" s="4" t="s">
        <v>6244</v>
      </c>
      <c r="B3521">
        <v>3</v>
      </c>
    </row>
    <row r="3522" spans="1:2" x14ac:dyDescent="0.3">
      <c r="A3522" s="4" t="s">
        <v>6245</v>
      </c>
      <c r="B3522">
        <v>3</v>
      </c>
    </row>
    <row r="3523" spans="1:2" ht="28.8" x14ac:dyDescent="0.3">
      <c r="A3523" s="4" t="s">
        <v>6246</v>
      </c>
      <c r="B3523">
        <v>3</v>
      </c>
    </row>
    <row r="3524" spans="1:2" ht="28.8" x14ac:dyDescent="0.3">
      <c r="A3524" s="4" t="s">
        <v>6247</v>
      </c>
      <c r="B3524">
        <v>3</v>
      </c>
    </row>
    <row r="3525" spans="1:2" ht="28.8" x14ac:dyDescent="0.3">
      <c r="A3525" s="4" t="s">
        <v>6248</v>
      </c>
      <c r="B3525">
        <v>3</v>
      </c>
    </row>
    <row r="3526" spans="1:2" ht="28.8" x14ac:dyDescent="0.3">
      <c r="A3526" s="4" t="s">
        <v>6249</v>
      </c>
      <c r="B3526">
        <v>3</v>
      </c>
    </row>
    <row r="3527" spans="1:2" ht="28.8" x14ac:dyDescent="0.3">
      <c r="A3527" s="4" t="s">
        <v>6250</v>
      </c>
      <c r="B3527">
        <v>3</v>
      </c>
    </row>
    <row r="3528" spans="1:2" ht="28.8" x14ac:dyDescent="0.3">
      <c r="A3528" s="4" t="s">
        <v>6251</v>
      </c>
      <c r="B3528">
        <v>3</v>
      </c>
    </row>
    <row r="3529" spans="1:2" ht="28.8" x14ac:dyDescent="0.3">
      <c r="A3529" s="4" t="s">
        <v>6252</v>
      </c>
      <c r="B3529">
        <v>3</v>
      </c>
    </row>
    <row r="3530" spans="1:2" ht="43.2" x14ac:dyDescent="0.3">
      <c r="A3530" s="4" t="s">
        <v>6253</v>
      </c>
      <c r="B3530">
        <v>3</v>
      </c>
    </row>
    <row r="3531" spans="1:2" ht="28.8" x14ac:dyDescent="0.3">
      <c r="A3531" s="4" t="s">
        <v>6254</v>
      </c>
      <c r="B3531">
        <v>3</v>
      </c>
    </row>
    <row r="3532" spans="1:2" ht="28.8" x14ac:dyDescent="0.3">
      <c r="A3532" s="4" t="s">
        <v>6255</v>
      </c>
      <c r="B3532">
        <v>3</v>
      </c>
    </row>
    <row r="3533" spans="1:2" ht="43.2" x14ac:dyDescent="0.3">
      <c r="A3533" s="4" t="s">
        <v>6256</v>
      </c>
      <c r="B3533">
        <v>3</v>
      </c>
    </row>
    <row r="3534" spans="1:2" ht="28.8" x14ac:dyDescent="0.3">
      <c r="A3534" s="4" t="s">
        <v>6257</v>
      </c>
      <c r="B3534">
        <v>3</v>
      </c>
    </row>
    <row r="3535" spans="1:2" ht="28.8" x14ac:dyDescent="0.3">
      <c r="A3535" s="4" t="s">
        <v>6258</v>
      </c>
      <c r="B3535">
        <v>3</v>
      </c>
    </row>
    <row r="3536" spans="1:2" ht="28.8" x14ac:dyDescent="0.3">
      <c r="A3536" s="4" t="s">
        <v>6259</v>
      </c>
      <c r="B3536">
        <v>3</v>
      </c>
    </row>
    <row r="3537" spans="1:2" ht="28.8" x14ac:dyDescent="0.3">
      <c r="A3537" s="4" t="s">
        <v>6260</v>
      </c>
      <c r="B3537">
        <v>3</v>
      </c>
    </row>
    <row r="3538" spans="1:2" ht="28.8" x14ac:dyDescent="0.3">
      <c r="A3538" s="4" t="s">
        <v>6261</v>
      </c>
      <c r="B3538">
        <v>3</v>
      </c>
    </row>
    <row r="3539" spans="1:2" x14ac:dyDescent="0.3">
      <c r="A3539" s="4" t="s">
        <v>6262</v>
      </c>
      <c r="B3539">
        <v>3</v>
      </c>
    </row>
    <row r="3540" spans="1:2" ht="28.8" x14ac:dyDescent="0.3">
      <c r="A3540" s="4" t="s">
        <v>6263</v>
      </c>
      <c r="B3540">
        <v>3</v>
      </c>
    </row>
    <row r="3541" spans="1:2" x14ac:dyDescent="0.3">
      <c r="A3541" s="4" t="s">
        <v>6264</v>
      </c>
      <c r="B3541">
        <v>3</v>
      </c>
    </row>
    <row r="3542" spans="1:2" ht="28.8" x14ac:dyDescent="0.3">
      <c r="A3542" s="4" t="s">
        <v>6265</v>
      </c>
      <c r="B3542">
        <v>3</v>
      </c>
    </row>
    <row r="3543" spans="1:2" x14ac:dyDescent="0.3">
      <c r="A3543" s="4" t="s">
        <v>6266</v>
      </c>
      <c r="B3543">
        <v>3</v>
      </c>
    </row>
    <row r="3544" spans="1:2" ht="28.8" x14ac:dyDescent="0.3">
      <c r="A3544" s="4" t="s">
        <v>6267</v>
      </c>
      <c r="B3544">
        <v>3</v>
      </c>
    </row>
    <row r="3545" spans="1:2" x14ac:dyDescent="0.3">
      <c r="A3545" s="4" t="s">
        <v>6268</v>
      </c>
      <c r="B3545">
        <v>3</v>
      </c>
    </row>
    <row r="3546" spans="1:2" ht="28.8" x14ac:dyDescent="0.3">
      <c r="A3546" s="4" t="s">
        <v>6269</v>
      </c>
      <c r="B3546">
        <v>3</v>
      </c>
    </row>
    <row r="3547" spans="1:2" ht="43.2" x14ac:dyDescent="0.3">
      <c r="A3547" s="4" t="s">
        <v>6270</v>
      </c>
      <c r="B3547">
        <v>3</v>
      </c>
    </row>
    <row r="3548" spans="1:2" ht="28.8" x14ac:dyDescent="0.3">
      <c r="A3548" s="4" t="s">
        <v>6271</v>
      </c>
      <c r="B3548">
        <v>3</v>
      </c>
    </row>
    <row r="3549" spans="1:2" ht="28.8" x14ac:dyDescent="0.3">
      <c r="A3549" s="4" t="s">
        <v>6272</v>
      </c>
      <c r="B3549">
        <v>3</v>
      </c>
    </row>
    <row r="3550" spans="1:2" ht="28.8" x14ac:dyDescent="0.3">
      <c r="A3550" s="4" t="s">
        <v>6273</v>
      </c>
      <c r="B3550">
        <v>3</v>
      </c>
    </row>
    <row r="3551" spans="1:2" ht="28.8" x14ac:dyDescent="0.3">
      <c r="A3551" s="4" t="s">
        <v>6274</v>
      </c>
      <c r="B3551">
        <v>3</v>
      </c>
    </row>
    <row r="3552" spans="1:2" ht="28.8" x14ac:dyDescent="0.3">
      <c r="A3552" s="4" t="s">
        <v>6275</v>
      </c>
      <c r="B3552">
        <v>3</v>
      </c>
    </row>
    <row r="3553" spans="1:2" x14ac:dyDescent="0.3">
      <c r="A3553" s="4" t="s">
        <v>6276</v>
      </c>
      <c r="B3553">
        <v>3</v>
      </c>
    </row>
    <row r="3554" spans="1:2" ht="28.8" x14ac:dyDescent="0.3">
      <c r="A3554" s="4" t="s">
        <v>6277</v>
      </c>
      <c r="B3554">
        <v>3</v>
      </c>
    </row>
    <row r="3555" spans="1:2" ht="28.8" x14ac:dyDescent="0.3">
      <c r="A3555" s="4" t="s">
        <v>6278</v>
      </c>
      <c r="B3555">
        <v>3</v>
      </c>
    </row>
    <row r="3556" spans="1:2" ht="28.8" x14ac:dyDescent="0.3">
      <c r="A3556" s="4" t="s">
        <v>6279</v>
      </c>
      <c r="B3556">
        <v>3</v>
      </c>
    </row>
    <row r="3557" spans="1:2" ht="28.8" x14ac:dyDescent="0.3">
      <c r="A3557" s="4" t="s">
        <v>6280</v>
      </c>
      <c r="B3557">
        <v>3</v>
      </c>
    </row>
    <row r="3558" spans="1:2" x14ac:dyDescent="0.3">
      <c r="A3558" s="4" t="s">
        <v>6281</v>
      </c>
      <c r="B3558">
        <v>3</v>
      </c>
    </row>
    <row r="3559" spans="1:2" ht="28.8" x14ac:dyDescent="0.3">
      <c r="A3559" s="4" t="s">
        <v>6282</v>
      </c>
      <c r="B3559">
        <v>3</v>
      </c>
    </row>
    <row r="3560" spans="1:2" ht="28.8" x14ac:dyDescent="0.3">
      <c r="A3560" s="4" t="s">
        <v>6283</v>
      </c>
      <c r="B3560">
        <v>3</v>
      </c>
    </row>
    <row r="3561" spans="1:2" ht="28.8" x14ac:dyDescent="0.3">
      <c r="A3561" s="4" t="s">
        <v>6284</v>
      </c>
      <c r="B3561">
        <v>3</v>
      </c>
    </row>
    <row r="3562" spans="1:2" ht="28.8" x14ac:dyDescent="0.3">
      <c r="A3562" s="4" t="s">
        <v>6285</v>
      </c>
      <c r="B3562">
        <v>3</v>
      </c>
    </row>
    <row r="3563" spans="1:2" ht="43.2" x14ac:dyDescent="0.3">
      <c r="A3563" s="4" t="s">
        <v>6286</v>
      </c>
      <c r="B3563">
        <v>3</v>
      </c>
    </row>
    <row r="3564" spans="1:2" ht="28.8" x14ac:dyDescent="0.3">
      <c r="A3564" s="4" t="s">
        <v>6287</v>
      </c>
      <c r="B3564">
        <v>3</v>
      </c>
    </row>
    <row r="3565" spans="1:2" ht="28.8" x14ac:dyDescent="0.3">
      <c r="A3565" s="4" t="s">
        <v>6288</v>
      </c>
      <c r="B3565">
        <v>3</v>
      </c>
    </row>
    <row r="3566" spans="1:2" x14ac:dyDescent="0.3">
      <c r="A3566" s="4" t="s">
        <v>6289</v>
      </c>
      <c r="B3566">
        <v>3</v>
      </c>
    </row>
    <row r="3567" spans="1:2" ht="28.8" x14ac:dyDescent="0.3">
      <c r="A3567" s="4" t="s">
        <v>6290</v>
      </c>
      <c r="B3567">
        <v>3</v>
      </c>
    </row>
    <row r="3568" spans="1:2" ht="28.8" x14ac:dyDescent="0.3">
      <c r="A3568" s="4" t="s">
        <v>6291</v>
      </c>
      <c r="B3568">
        <v>3</v>
      </c>
    </row>
    <row r="3569" spans="1:2" x14ac:dyDescent="0.3">
      <c r="A3569" s="4" t="s">
        <v>6292</v>
      </c>
      <c r="B3569">
        <v>3</v>
      </c>
    </row>
    <row r="3570" spans="1:2" ht="28.8" x14ac:dyDescent="0.3">
      <c r="A3570" s="4" t="s">
        <v>6293</v>
      </c>
      <c r="B3570">
        <v>3</v>
      </c>
    </row>
    <row r="3571" spans="1:2" ht="28.8" x14ac:dyDescent="0.3">
      <c r="A3571" s="4" t="s">
        <v>6294</v>
      </c>
      <c r="B3571">
        <v>3</v>
      </c>
    </row>
    <row r="3572" spans="1:2" x14ac:dyDescent="0.3">
      <c r="A3572" s="4" t="s">
        <v>6295</v>
      </c>
      <c r="B3572">
        <v>3</v>
      </c>
    </row>
    <row r="3573" spans="1:2" ht="28.8" x14ac:dyDescent="0.3">
      <c r="A3573" s="4" t="s">
        <v>6296</v>
      </c>
      <c r="B3573">
        <v>3</v>
      </c>
    </row>
    <row r="3574" spans="1:2" ht="28.8" x14ac:dyDescent="0.3">
      <c r="A3574" s="4" t="s">
        <v>6297</v>
      </c>
      <c r="B3574">
        <v>3</v>
      </c>
    </row>
    <row r="3575" spans="1:2" ht="28.8" x14ac:dyDescent="0.3">
      <c r="A3575" s="4" t="s">
        <v>6298</v>
      </c>
      <c r="B3575">
        <v>3</v>
      </c>
    </row>
    <row r="3576" spans="1:2" ht="28.8" x14ac:dyDescent="0.3">
      <c r="A3576" s="4" t="s">
        <v>6299</v>
      </c>
      <c r="B3576">
        <v>3</v>
      </c>
    </row>
    <row r="3577" spans="1:2" ht="28.8" x14ac:dyDescent="0.3">
      <c r="A3577" s="4" t="s">
        <v>6300</v>
      </c>
      <c r="B3577">
        <v>3</v>
      </c>
    </row>
    <row r="3578" spans="1:2" ht="28.8" x14ac:dyDescent="0.3">
      <c r="A3578" s="4" t="s">
        <v>6301</v>
      </c>
      <c r="B3578">
        <v>3</v>
      </c>
    </row>
    <row r="3579" spans="1:2" ht="28.8" x14ac:dyDescent="0.3">
      <c r="A3579" s="4" t="s">
        <v>6302</v>
      </c>
      <c r="B3579">
        <v>3</v>
      </c>
    </row>
    <row r="3580" spans="1:2" ht="28.8" x14ac:dyDescent="0.3">
      <c r="A3580" s="4" t="s">
        <v>6303</v>
      </c>
      <c r="B3580">
        <v>3</v>
      </c>
    </row>
    <row r="3581" spans="1:2" ht="28.8" x14ac:dyDescent="0.3">
      <c r="A3581" s="4" t="s">
        <v>6304</v>
      </c>
      <c r="B3581">
        <v>3</v>
      </c>
    </row>
    <row r="3582" spans="1:2" x14ac:dyDescent="0.3">
      <c r="A3582" s="4" t="s">
        <v>6305</v>
      </c>
      <c r="B3582">
        <v>3</v>
      </c>
    </row>
    <row r="3583" spans="1:2" ht="28.8" x14ac:dyDescent="0.3">
      <c r="A3583" s="4" t="s">
        <v>6306</v>
      </c>
      <c r="B3583">
        <v>3</v>
      </c>
    </row>
    <row r="3584" spans="1:2" ht="28.8" x14ac:dyDescent="0.3">
      <c r="A3584" s="4" t="s">
        <v>6307</v>
      </c>
      <c r="B3584">
        <v>3</v>
      </c>
    </row>
    <row r="3585" spans="1:2" x14ac:dyDescent="0.3">
      <c r="A3585" s="4" t="s">
        <v>6308</v>
      </c>
      <c r="B3585">
        <v>3</v>
      </c>
    </row>
    <row r="3586" spans="1:2" ht="28.8" x14ac:dyDescent="0.3">
      <c r="A3586" s="4" t="s">
        <v>6309</v>
      </c>
      <c r="B3586">
        <v>3</v>
      </c>
    </row>
    <row r="3587" spans="1:2" ht="28.8" x14ac:dyDescent="0.3">
      <c r="A3587" s="4" t="s">
        <v>6310</v>
      </c>
      <c r="B3587">
        <v>3</v>
      </c>
    </row>
    <row r="3588" spans="1:2" ht="28.8" x14ac:dyDescent="0.3">
      <c r="A3588" s="4" t="s">
        <v>6311</v>
      </c>
      <c r="B3588">
        <v>3</v>
      </c>
    </row>
    <row r="3589" spans="1:2" ht="43.2" x14ac:dyDescent="0.3">
      <c r="A3589" s="4" t="s">
        <v>6312</v>
      </c>
      <c r="B3589">
        <v>3</v>
      </c>
    </row>
    <row r="3590" spans="1:2" ht="28.8" x14ac:dyDescent="0.3">
      <c r="A3590" s="4" t="s">
        <v>6313</v>
      </c>
      <c r="B3590">
        <v>3</v>
      </c>
    </row>
    <row r="3591" spans="1:2" ht="28.8" x14ac:dyDescent="0.3">
      <c r="A3591" s="4" t="s">
        <v>6314</v>
      </c>
      <c r="B3591">
        <v>3</v>
      </c>
    </row>
    <row r="3592" spans="1:2" ht="28.8" x14ac:dyDescent="0.3">
      <c r="A3592" s="4" t="s">
        <v>6315</v>
      </c>
      <c r="B3592">
        <v>3</v>
      </c>
    </row>
    <row r="3593" spans="1:2" ht="28.8" x14ac:dyDescent="0.3">
      <c r="A3593" s="4" t="s">
        <v>6316</v>
      </c>
      <c r="B3593">
        <v>3</v>
      </c>
    </row>
    <row r="3594" spans="1:2" ht="43.2" x14ac:dyDescent="0.3">
      <c r="A3594" s="4" t="s">
        <v>6317</v>
      </c>
      <c r="B3594">
        <v>3</v>
      </c>
    </row>
    <row r="3595" spans="1:2" ht="28.8" x14ac:dyDescent="0.3">
      <c r="A3595" s="4" t="s">
        <v>6318</v>
      </c>
      <c r="B3595">
        <v>3</v>
      </c>
    </row>
    <row r="3596" spans="1:2" ht="28.8" x14ac:dyDescent="0.3">
      <c r="A3596" s="4" t="s">
        <v>6319</v>
      </c>
      <c r="B3596">
        <v>3</v>
      </c>
    </row>
    <row r="3597" spans="1:2" ht="28.8" x14ac:dyDescent="0.3">
      <c r="A3597" s="4" t="s">
        <v>6320</v>
      </c>
      <c r="B3597">
        <v>3</v>
      </c>
    </row>
    <row r="3598" spans="1:2" ht="28.8" x14ac:dyDescent="0.3">
      <c r="A3598" s="4" t="s">
        <v>6321</v>
      </c>
      <c r="B3598">
        <v>3</v>
      </c>
    </row>
    <row r="3599" spans="1:2" ht="28.8" x14ac:dyDescent="0.3">
      <c r="A3599" s="4" t="s">
        <v>6322</v>
      </c>
      <c r="B3599">
        <v>3</v>
      </c>
    </row>
    <row r="3600" spans="1:2" x14ac:dyDescent="0.3">
      <c r="A3600" s="4" t="s">
        <v>6323</v>
      </c>
      <c r="B3600">
        <v>3</v>
      </c>
    </row>
    <row r="3601" spans="1:2" ht="28.8" x14ac:dyDescent="0.3">
      <c r="A3601" s="4" t="s">
        <v>6324</v>
      </c>
      <c r="B3601">
        <v>3</v>
      </c>
    </row>
    <row r="3602" spans="1:2" ht="28.8" x14ac:dyDescent="0.3">
      <c r="A3602" s="4" t="s">
        <v>6325</v>
      </c>
      <c r="B3602">
        <v>3</v>
      </c>
    </row>
    <row r="3603" spans="1:2" ht="43.2" x14ac:dyDescent="0.3">
      <c r="A3603" s="4" t="s">
        <v>6326</v>
      </c>
      <c r="B3603">
        <v>3</v>
      </c>
    </row>
    <row r="3604" spans="1:2" ht="43.2" x14ac:dyDescent="0.3">
      <c r="A3604" s="4" t="s">
        <v>6327</v>
      </c>
      <c r="B3604">
        <v>3</v>
      </c>
    </row>
    <row r="3605" spans="1:2" ht="28.8" x14ac:dyDescent="0.3">
      <c r="A3605" s="4" t="s">
        <v>6328</v>
      </c>
      <c r="B3605">
        <v>3</v>
      </c>
    </row>
    <row r="3606" spans="1:2" ht="28.8" x14ac:dyDescent="0.3">
      <c r="A3606" s="4" t="s">
        <v>6329</v>
      </c>
      <c r="B3606">
        <v>3</v>
      </c>
    </row>
    <row r="3607" spans="1:2" ht="28.8" x14ac:dyDescent="0.3">
      <c r="A3607" s="4" t="s">
        <v>6330</v>
      </c>
      <c r="B3607">
        <v>3</v>
      </c>
    </row>
    <row r="3608" spans="1:2" ht="28.8" x14ac:dyDescent="0.3">
      <c r="A3608" s="4" t="s">
        <v>6331</v>
      </c>
      <c r="B3608">
        <v>3</v>
      </c>
    </row>
    <row r="3609" spans="1:2" ht="28.8" x14ac:dyDescent="0.3">
      <c r="A3609" s="4" t="s">
        <v>6332</v>
      </c>
      <c r="B3609">
        <v>3</v>
      </c>
    </row>
    <row r="3610" spans="1:2" ht="28.8" x14ac:dyDescent="0.3">
      <c r="A3610" s="4" t="s">
        <v>6333</v>
      </c>
      <c r="B3610">
        <v>3</v>
      </c>
    </row>
    <row r="3611" spans="1:2" ht="28.8" x14ac:dyDescent="0.3">
      <c r="A3611" s="4" t="s">
        <v>6334</v>
      </c>
      <c r="B3611">
        <v>3</v>
      </c>
    </row>
    <row r="3612" spans="1:2" ht="28.8" x14ac:dyDescent="0.3">
      <c r="A3612" s="4" t="s">
        <v>6335</v>
      </c>
      <c r="B3612">
        <v>3</v>
      </c>
    </row>
    <row r="3613" spans="1:2" ht="28.8" x14ac:dyDescent="0.3">
      <c r="A3613" s="4" t="s">
        <v>6336</v>
      </c>
      <c r="B3613">
        <v>3</v>
      </c>
    </row>
    <row r="3614" spans="1:2" ht="43.2" x14ac:dyDescent="0.3">
      <c r="A3614" s="4" t="s">
        <v>6337</v>
      </c>
      <c r="B3614">
        <v>3</v>
      </c>
    </row>
    <row r="3615" spans="1:2" ht="28.8" x14ac:dyDescent="0.3">
      <c r="A3615" s="4" t="s">
        <v>6338</v>
      </c>
      <c r="B3615">
        <v>3</v>
      </c>
    </row>
    <row r="3616" spans="1:2" ht="28.8" x14ac:dyDescent="0.3">
      <c r="A3616" s="4" t="s">
        <v>6339</v>
      </c>
      <c r="B3616">
        <v>3</v>
      </c>
    </row>
    <row r="3617" spans="1:2" ht="28.8" x14ac:dyDescent="0.3">
      <c r="A3617" s="4" t="s">
        <v>6340</v>
      </c>
      <c r="B3617">
        <v>3</v>
      </c>
    </row>
    <row r="3618" spans="1:2" ht="28.8" x14ac:dyDescent="0.3">
      <c r="A3618" s="4" t="s">
        <v>6341</v>
      </c>
      <c r="B3618">
        <v>3</v>
      </c>
    </row>
    <row r="3619" spans="1:2" ht="28.8" x14ac:dyDescent="0.3">
      <c r="A3619" s="4" t="s">
        <v>6342</v>
      </c>
      <c r="B3619">
        <v>3</v>
      </c>
    </row>
    <row r="3620" spans="1:2" ht="28.8" x14ac:dyDescent="0.3">
      <c r="A3620" s="4" t="s">
        <v>6343</v>
      </c>
      <c r="B3620">
        <v>3</v>
      </c>
    </row>
    <row r="3621" spans="1:2" ht="28.8" x14ac:dyDescent="0.3">
      <c r="A3621" s="4" t="s">
        <v>6344</v>
      </c>
      <c r="B3621">
        <v>3</v>
      </c>
    </row>
    <row r="3622" spans="1:2" ht="43.2" x14ac:dyDescent="0.3">
      <c r="A3622" s="4" t="s">
        <v>6345</v>
      </c>
      <c r="B3622">
        <v>3</v>
      </c>
    </row>
    <row r="3623" spans="1:2" ht="28.8" x14ac:dyDescent="0.3">
      <c r="A3623" s="4" t="s">
        <v>6346</v>
      </c>
      <c r="B3623">
        <v>3</v>
      </c>
    </row>
    <row r="3624" spans="1:2" ht="28.8" x14ac:dyDescent="0.3">
      <c r="A3624" s="4" t="s">
        <v>6347</v>
      </c>
      <c r="B3624">
        <v>3</v>
      </c>
    </row>
    <row r="3625" spans="1:2" ht="43.2" x14ac:dyDescent="0.3">
      <c r="A3625" s="4" t="s">
        <v>6348</v>
      </c>
      <c r="B3625">
        <v>3</v>
      </c>
    </row>
    <row r="3626" spans="1:2" x14ac:dyDescent="0.3">
      <c r="A3626" s="4" t="s">
        <v>6349</v>
      </c>
      <c r="B3626">
        <v>3</v>
      </c>
    </row>
    <row r="3627" spans="1:2" ht="28.8" x14ac:dyDescent="0.3">
      <c r="A3627" s="4" t="s">
        <v>6350</v>
      </c>
      <c r="B3627">
        <v>3</v>
      </c>
    </row>
    <row r="3628" spans="1:2" ht="28.8" x14ac:dyDescent="0.3">
      <c r="A3628" s="4" t="s">
        <v>6351</v>
      </c>
      <c r="B3628">
        <v>3</v>
      </c>
    </row>
    <row r="3629" spans="1:2" ht="28.8" x14ac:dyDescent="0.3">
      <c r="A3629" s="4" t="s">
        <v>6352</v>
      </c>
      <c r="B3629">
        <v>3</v>
      </c>
    </row>
    <row r="3630" spans="1:2" x14ac:dyDescent="0.3">
      <c r="A3630" s="4" t="s">
        <v>6353</v>
      </c>
      <c r="B3630">
        <v>3</v>
      </c>
    </row>
    <row r="3631" spans="1:2" ht="28.8" x14ac:dyDescent="0.3">
      <c r="A3631" s="4" t="s">
        <v>6354</v>
      </c>
      <c r="B3631">
        <v>3</v>
      </c>
    </row>
    <row r="3632" spans="1:2" x14ac:dyDescent="0.3">
      <c r="A3632" s="4" t="s">
        <v>6355</v>
      </c>
      <c r="B3632">
        <v>3</v>
      </c>
    </row>
    <row r="3633" spans="1:2" ht="28.8" x14ac:dyDescent="0.3">
      <c r="A3633" s="4" t="s">
        <v>6356</v>
      </c>
      <c r="B3633">
        <v>3</v>
      </c>
    </row>
    <row r="3634" spans="1:2" ht="28.8" x14ac:dyDescent="0.3">
      <c r="A3634" s="4" t="s">
        <v>6357</v>
      </c>
      <c r="B3634">
        <v>3</v>
      </c>
    </row>
    <row r="3635" spans="1:2" ht="28.8" x14ac:dyDescent="0.3">
      <c r="A3635" s="4" t="s">
        <v>6358</v>
      </c>
      <c r="B3635">
        <v>3</v>
      </c>
    </row>
    <row r="3636" spans="1:2" ht="28.8" x14ac:dyDescent="0.3">
      <c r="A3636" s="4" t="s">
        <v>6359</v>
      </c>
      <c r="B3636">
        <v>3</v>
      </c>
    </row>
    <row r="3637" spans="1:2" ht="28.8" x14ac:dyDescent="0.3">
      <c r="A3637" s="4" t="s">
        <v>6360</v>
      </c>
      <c r="B3637">
        <v>3</v>
      </c>
    </row>
    <row r="3638" spans="1:2" ht="28.8" x14ac:dyDescent="0.3">
      <c r="A3638" s="4" t="s">
        <v>6361</v>
      </c>
      <c r="B3638">
        <v>3</v>
      </c>
    </row>
    <row r="3639" spans="1:2" ht="28.8" x14ac:dyDescent="0.3">
      <c r="A3639" s="4" t="s">
        <v>6362</v>
      </c>
      <c r="B3639">
        <v>3</v>
      </c>
    </row>
    <row r="3640" spans="1:2" ht="28.8" x14ac:dyDescent="0.3">
      <c r="A3640" s="4" t="s">
        <v>6363</v>
      </c>
      <c r="B3640">
        <v>3</v>
      </c>
    </row>
    <row r="3641" spans="1:2" ht="43.2" x14ac:dyDescent="0.3">
      <c r="A3641" s="4" t="s">
        <v>6364</v>
      </c>
      <c r="B3641">
        <v>3</v>
      </c>
    </row>
    <row r="3642" spans="1:2" ht="28.8" x14ac:dyDescent="0.3">
      <c r="A3642" s="4" t="s">
        <v>6365</v>
      </c>
      <c r="B3642">
        <v>3</v>
      </c>
    </row>
    <row r="3643" spans="1:2" ht="28.8" x14ac:dyDescent="0.3">
      <c r="A3643" s="4" t="s">
        <v>6366</v>
      </c>
      <c r="B3643">
        <v>3</v>
      </c>
    </row>
    <row r="3644" spans="1:2" x14ac:dyDescent="0.3">
      <c r="A3644" s="4" t="s">
        <v>6367</v>
      </c>
      <c r="B3644">
        <v>3</v>
      </c>
    </row>
    <row r="3645" spans="1:2" ht="28.8" x14ac:dyDescent="0.3">
      <c r="A3645" s="4" t="s">
        <v>6368</v>
      </c>
      <c r="B3645">
        <v>3</v>
      </c>
    </row>
    <row r="3646" spans="1:2" ht="28.8" x14ac:dyDescent="0.3">
      <c r="A3646" s="4" t="s">
        <v>6369</v>
      </c>
      <c r="B3646">
        <v>3</v>
      </c>
    </row>
    <row r="3647" spans="1:2" ht="28.8" x14ac:dyDescent="0.3">
      <c r="A3647" s="4" t="s">
        <v>6370</v>
      </c>
      <c r="B3647">
        <v>3</v>
      </c>
    </row>
    <row r="3648" spans="1:2" ht="28.8" x14ac:dyDescent="0.3">
      <c r="A3648" s="4" t="s">
        <v>6371</v>
      </c>
      <c r="B3648">
        <v>3</v>
      </c>
    </row>
    <row r="3649" spans="1:2" ht="28.8" x14ac:dyDescent="0.3">
      <c r="A3649" s="4" t="s">
        <v>6372</v>
      </c>
      <c r="B3649">
        <v>3</v>
      </c>
    </row>
    <row r="3650" spans="1:2" ht="28.8" x14ac:dyDescent="0.3">
      <c r="A3650" s="4" t="s">
        <v>6373</v>
      </c>
      <c r="B3650">
        <v>3</v>
      </c>
    </row>
    <row r="3651" spans="1:2" ht="28.8" x14ac:dyDescent="0.3">
      <c r="A3651" s="4" t="s">
        <v>6374</v>
      </c>
      <c r="B3651">
        <v>3</v>
      </c>
    </row>
    <row r="3652" spans="1:2" ht="28.8" x14ac:dyDescent="0.3">
      <c r="A3652" s="4" t="s">
        <v>6375</v>
      </c>
      <c r="B3652">
        <v>3</v>
      </c>
    </row>
    <row r="3653" spans="1:2" ht="28.8" x14ac:dyDescent="0.3">
      <c r="A3653" s="4" t="s">
        <v>6376</v>
      </c>
      <c r="B3653">
        <v>3</v>
      </c>
    </row>
    <row r="3654" spans="1:2" ht="28.8" x14ac:dyDescent="0.3">
      <c r="A3654" s="4" t="s">
        <v>6377</v>
      </c>
      <c r="B3654">
        <v>3</v>
      </c>
    </row>
    <row r="3655" spans="1:2" x14ac:dyDescent="0.3">
      <c r="A3655" s="4" t="s">
        <v>6378</v>
      </c>
      <c r="B3655">
        <v>3</v>
      </c>
    </row>
    <row r="3656" spans="1:2" ht="28.8" x14ac:dyDescent="0.3">
      <c r="A3656" s="4" t="s">
        <v>6379</v>
      </c>
      <c r="B3656">
        <v>3</v>
      </c>
    </row>
    <row r="3657" spans="1:2" ht="43.2" x14ac:dyDescent="0.3">
      <c r="A3657" s="4" t="s">
        <v>6380</v>
      </c>
      <c r="B3657">
        <v>3</v>
      </c>
    </row>
    <row r="3658" spans="1:2" x14ac:dyDescent="0.3">
      <c r="A3658" s="4" t="s">
        <v>6381</v>
      </c>
      <c r="B3658">
        <v>3</v>
      </c>
    </row>
    <row r="3659" spans="1:2" ht="43.2" x14ac:dyDescent="0.3">
      <c r="A3659" s="4" t="s">
        <v>6382</v>
      </c>
      <c r="B3659">
        <v>3</v>
      </c>
    </row>
    <row r="3660" spans="1:2" ht="28.8" x14ac:dyDescent="0.3">
      <c r="A3660" s="4" t="s">
        <v>6383</v>
      </c>
      <c r="B3660">
        <v>3</v>
      </c>
    </row>
    <row r="3661" spans="1:2" ht="28.8" x14ac:dyDescent="0.3">
      <c r="A3661" s="4" t="s">
        <v>6384</v>
      </c>
      <c r="B3661">
        <v>3</v>
      </c>
    </row>
    <row r="3662" spans="1:2" ht="43.2" x14ac:dyDescent="0.3">
      <c r="A3662" s="4" t="s">
        <v>6385</v>
      </c>
      <c r="B3662">
        <v>3</v>
      </c>
    </row>
    <row r="3663" spans="1:2" ht="28.8" x14ac:dyDescent="0.3">
      <c r="A3663" s="4" t="s">
        <v>6386</v>
      </c>
      <c r="B3663">
        <v>3</v>
      </c>
    </row>
    <row r="3664" spans="1:2" ht="28.8" x14ac:dyDescent="0.3">
      <c r="A3664" s="4" t="s">
        <v>6387</v>
      </c>
      <c r="B3664">
        <v>3</v>
      </c>
    </row>
    <row r="3665" spans="1:2" ht="28.8" x14ac:dyDescent="0.3">
      <c r="A3665" s="4" t="s">
        <v>6388</v>
      </c>
      <c r="B3665">
        <v>3</v>
      </c>
    </row>
    <row r="3666" spans="1:2" ht="28.8" x14ac:dyDescent="0.3">
      <c r="A3666" s="4" t="s">
        <v>6389</v>
      </c>
      <c r="B3666">
        <v>3</v>
      </c>
    </row>
    <row r="3667" spans="1:2" ht="28.8" x14ac:dyDescent="0.3">
      <c r="A3667" s="4" t="s">
        <v>6390</v>
      </c>
      <c r="B3667">
        <v>3</v>
      </c>
    </row>
    <row r="3668" spans="1:2" ht="28.8" x14ac:dyDescent="0.3">
      <c r="A3668" s="4" t="s">
        <v>6391</v>
      </c>
      <c r="B3668">
        <v>3</v>
      </c>
    </row>
    <row r="3669" spans="1:2" ht="28.8" x14ac:dyDescent="0.3">
      <c r="A3669" s="4" t="s">
        <v>6392</v>
      </c>
      <c r="B3669">
        <v>3</v>
      </c>
    </row>
    <row r="3670" spans="1:2" ht="28.8" x14ac:dyDescent="0.3">
      <c r="A3670" s="4" t="s">
        <v>6393</v>
      </c>
      <c r="B3670">
        <v>3</v>
      </c>
    </row>
    <row r="3671" spans="1:2" x14ac:dyDescent="0.3">
      <c r="A3671" s="4" t="s">
        <v>6394</v>
      </c>
      <c r="B3671">
        <v>3</v>
      </c>
    </row>
    <row r="3672" spans="1:2" ht="28.8" x14ac:dyDescent="0.3">
      <c r="A3672" s="4" t="s">
        <v>6395</v>
      </c>
      <c r="B3672">
        <v>3</v>
      </c>
    </row>
    <row r="3673" spans="1:2" ht="28.8" x14ac:dyDescent="0.3">
      <c r="A3673" s="4" t="s">
        <v>6396</v>
      </c>
      <c r="B3673">
        <v>3</v>
      </c>
    </row>
    <row r="3674" spans="1:2" ht="43.2" x14ac:dyDescent="0.3">
      <c r="A3674" s="4" t="s">
        <v>6397</v>
      </c>
      <c r="B3674">
        <v>3</v>
      </c>
    </row>
    <row r="3675" spans="1:2" ht="28.8" x14ac:dyDescent="0.3">
      <c r="A3675" s="4" t="s">
        <v>6398</v>
      </c>
      <c r="B3675">
        <v>3</v>
      </c>
    </row>
    <row r="3676" spans="1:2" ht="28.8" x14ac:dyDescent="0.3">
      <c r="A3676" s="4" t="s">
        <v>6399</v>
      </c>
      <c r="B3676">
        <v>3</v>
      </c>
    </row>
    <row r="3677" spans="1:2" ht="43.2" x14ac:dyDescent="0.3">
      <c r="A3677" s="4" t="s">
        <v>6400</v>
      </c>
      <c r="B3677">
        <v>3</v>
      </c>
    </row>
    <row r="3678" spans="1:2" x14ac:dyDescent="0.3">
      <c r="A3678" s="4" t="s">
        <v>6401</v>
      </c>
      <c r="B3678">
        <v>3</v>
      </c>
    </row>
    <row r="3679" spans="1:2" ht="28.8" x14ac:dyDescent="0.3">
      <c r="A3679" s="4" t="s">
        <v>6402</v>
      </c>
      <c r="B3679">
        <v>3</v>
      </c>
    </row>
    <row r="3680" spans="1:2" ht="28.8" x14ac:dyDescent="0.3">
      <c r="A3680" s="4" t="s">
        <v>6403</v>
      </c>
      <c r="B3680">
        <v>3</v>
      </c>
    </row>
    <row r="3681" spans="1:2" ht="28.8" x14ac:dyDescent="0.3">
      <c r="A3681" s="4" t="s">
        <v>6404</v>
      </c>
      <c r="B3681">
        <v>3</v>
      </c>
    </row>
    <row r="3682" spans="1:2" ht="28.8" x14ac:dyDescent="0.3">
      <c r="A3682" s="4" t="s">
        <v>6405</v>
      </c>
      <c r="B3682">
        <v>3</v>
      </c>
    </row>
    <row r="3683" spans="1:2" x14ac:dyDescent="0.3">
      <c r="A3683" s="4" t="s">
        <v>6406</v>
      </c>
      <c r="B3683">
        <v>3</v>
      </c>
    </row>
    <row r="3684" spans="1:2" ht="28.8" x14ac:dyDescent="0.3">
      <c r="A3684" s="4" t="s">
        <v>6407</v>
      </c>
      <c r="B3684">
        <v>3</v>
      </c>
    </row>
    <row r="3685" spans="1:2" ht="28.8" x14ac:dyDescent="0.3">
      <c r="A3685" s="4" t="s">
        <v>6408</v>
      </c>
      <c r="B3685">
        <v>3</v>
      </c>
    </row>
    <row r="3686" spans="1:2" ht="28.8" x14ac:dyDescent="0.3">
      <c r="A3686" s="4" t="s">
        <v>6409</v>
      </c>
      <c r="B3686">
        <v>3</v>
      </c>
    </row>
    <row r="3687" spans="1:2" ht="28.8" x14ac:dyDescent="0.3">
      <c r="A3687" s="4" t="s">
        <v>6410</v>
      </c>
      <c r="B3687">
        <v>3</v>
      </c>
    </row>
    <row r="3688" spans="1:2" ht="28.8" x14ac:dyDescent="0.3">
      <c r="A3688" s="4" t="s">
        <v>6411</v>
      </c>
      <c r="B3688">
        <v>3</v>
      </c>
    </row>
    <row r="3689" spans="1:2" ht="28.8" x14ac:dyDescent="0.3">
      <c r="A3689" s="4" t="s">
        <v>6412</v>
      </c>
      <c r="B3689">
        <v>3</v>
      </c>
    </row>
    <row r="3690" spans="1:2" x14ac:dyDescent="0.3">
      <c r="A3690" s="4" t="s">
        <v>6413</v>
      </c>
      <c r="B3690">
        <v>3</v>
      </c>
    </row>
    <row r="3691" spans="1:2" ht="28.8" x14ac:dyDescent="0.3">
      <c r="A3691" s="4" t="s">
        <v>6414</v>
      </c>
      <c r="B3691">
        <v>3</v>
      </c>
    </row>
    <row r="3692" spans="1:2" x14ac:dyDescent="0.3">
      <c r="A3692" s="4" t="s">
        <v>6415</v>
      </c>
      <c r="B3692">
        <v>3</v>
      </c>
    </row>
    <row r="3693" spans="1:2" ht="28.8" x14ac:dyDescent="0.3">
      <c r="A3693" s="4" t="s">
        <v>6416</v>
      </c>
      <c r="B3693">
        <v>3</v>
      </c>
    </row>
    <row r="3694" spans="1:2" ht="28.8" x14ac:dyDescent="0.3">
      <c r="A3694" s="4" t="s">
        <v>6417</v>
      </c>
      <c r="B3694">
        <v>3</v>
      </c>
    </row>
    <row r="3695" spans="1:2" ht="28.8" x14ac:dyDescent="0.3">
      <c r="A3695" s="4" t="s">
        <v>6418</v>
      </c>
      <c r="B3695">
        <v>3</v>
      </c>
    </row>
    <row r="3696" spans="1:2" ht="28.8" x14ac:dyDescent="0.3">
      <c r="A3696" s="4" t="s">
        <v>6419</v>
      </c>
      <c r="B3696">
        <v>3</v>
      </c>
    </row>
    <row r="3697" spans="1:2" ht="43.2" x14ac:dyDescent="0.3">
      <c r="A3697" s="4" t="s">
        <v>6420</v>
      </c>
      <c r="B3697">
        <v>3</v>
      </c>
    </row>
    <row r="3698" spans="1:2" ht="28.8" x14ac:dyDescent="0.3">
      <c r="A3698" s="4" t="s">
        <v>6421</v>
      </c>
      <c r="B3698">
        <v>3</v>
      </c>
    </row>
    <row r="3699" spans="1:2" ht="28.8" x14ac:dyDescent="0.3">
      <c r="A3699" s="4" t="s">
        <v>6422</v>
      </c>
      <c r="B3699">
        <v>3</v>
      </c>
    </row>
    <row r="3700" spans="1:2" ht="28.8" x14ac:dyDescent="0.3">
      <c r="A3700" s="4" t="s">
        <v>6423</v>
      </c>
      <c r="B3700">
        <v>3</v>
      </c>
    </row>
    <row r="3701" spans="1:2" ht="28.8" x14ac:dyDescent="0.3">
      <c r="A3701" s="4" t="s">
        <v>6424</v>
      </c>
      <c r="B3701">
        <v>3</v>
      </c>
    </row>
    <row r="3702" spans="1:2" ht="28.8" x14ac:dyDescent="0.3">
      <c r="A3702" s="4" t="s">
        <v>6425</v>
      </c>
      <c r="B3702">
        <v>3</v>
      </c>
    </row>
    <row r="3703" spans="1:2" ht="28.8" x14ac:dyDescent="0.3">
      <c r="A3703" s="4" t="s">
        <v>6426</v>
      </c>
      <c r="B3703">
        <v>3</v>
      </c>
    </row>
    <row r="3704" spans="1:2" ht="28.8" x14ac:dyDescent="0.3">
      <c r="A3704" s="4" t="s">
        <v>6427</v>
      </c>
      <c r="B3704">
        <v>3</v>
      </c>
    </row>
    <row r="3705" spans="1:2" ht="28.8" x14ac:dyDescent="0.3">
      <c r="A3705" s="4" t="s">
        <v>6428</v>
      </c>
      <c r="B3705">
        <v>3</v>
      </c>
    </row>
    <row r="3706" spans="1:2" ht="28.8" x14ac:dyDescent="0.3">
      <c r="A3706" s="4" t="s">
        <v>6429</v>
      </c>
      <c r="B3706">
        <v>3</v>
      </c>
    </row>
    <row r="3707" spans="1:2" ht="28.8" x14ac:dyDescent="0.3">
      <c r="A3707" s="4" t="s">
        <v>6430</v>
      </c>
      <c r="B3707">
        <v>3</v>
      </c>
    </row>
    <row r="3708" spans="1:2" ht="28.8" x14ac:dyDescent="0.3">
      <c r="A3708" s="4" t="s">
        <v>6431</v>
      </c>
      <c r="B3708">
        <v>3</v>
      </c>
    </row>
    <row r="3709" spans="1:2" ht="28.8" x14ac:dyDescent="0.3">
      <c r="A3709" s="4" t="s">
        <v>6432</v>
      </c>
      <c r="B3709">
        <v>3</v>
      </c>
    </row>
    <row r="3710" spans="1:2" x14ac:dyDescent="0.3">
      <c r="A3710" s="4" t="s">
        <v>6433</v>
      </c>
      <c r="B3710">
        <v>3</v>
      </c>
    </row>
    <row r="3711" spans="1:2" ht="28.8" x14ac:dyDescent="0.3">
      <c r="A3711" s="4" t="s">
        <v>6434</v>
      </c>
      <c r="B3711">
        <v>3</v>
      </c>
    </row>
    <row r="3712" spans="1:2" ht="28.8" x14ac:dyDescent="0.3">
      <c r="A3712" s="4" t="s">
        <v>6435</v>
      </c>
      <c r="B3712">
        <v>3</v>
      </c>
    </row>
    <row r="3713" spans="1:2" ht="28.8" x14ac:dyDescent="0.3">
      <c r="A3713" s="4" t="s">
        <v>6436</v>
      </c>
      <c r="B3713">
        <v>3</v>
      </c>
    </row>
    <row r="3714" spans="1:2" ht="28.8" x14ac:dyDescent="0.3">
      <c r="A3714" s="4" t="s">
        <v>6437</v>
      </c>
      <c r="B3714">
        <v>3</v>
      </c>
    </row>
    <row r="3715" spans="1:2" ht="28.8" x14ac:dyDescent="0.3">
      <c r="A3715" s="4" t="s">
        <v>6438</v>
      </c>
      <c r="B3715">
        <v>3</v>
      </c>
    </row>
    <row r="3716" spans="1:2" ht="28.8" x14ac:dyDescent="0.3">
      <c r="A3716" s="4" t="s">
        <v>6439</v>
      </c>
      <c r="B3716">
        <v>3</v>
      </c>
    </row>
    <row r="3717" spans="1:2" ht="28.8" x14ac:dyDescent="0.3">
      <c r="A3717" s="4" t="s">
        <v>6440</v>
      </c>
      <c r="B3717">
        <v>3</v>
      </c>
    </row>
    <row r="3718" spans="1:2" ht="28.8" x14ac:dyDescent="0.3">
      <c r="A3718" s="4" t="s">
        <v>6441</v>
      </c>
      <c r="B3718">
        <v>3</v>
      </c>
    </row>
    <row r="3719" spans="1:2" ht="28.8" x14ac:dyDescent="0.3">
      <c r="A3719" s="4" t="s">
        <v>6442</v>
      </c>
      <c r="B3719">
        <v>3</v>
      </c>
    </row>
    <row r="3720" spans="1:2" ht="43.2" x14ac:dyDescent="0.3">
      <c r="A3720" s="4" t="s">
        <v>6443</v>
      </c>
      <c r="B3720">
        <v>3</v>
      </c>
    </row>
    <row r="3721" spans="1:2" ht="28.8" x14ac:dyDescent="0.3">
      <c r="A3721" s="4" t="s">
        <v>6444</v>
      </c>
      <c r="B3721">
        <v>3</v>
      </c>
    </row>
    <row r="3722" spans="1:2" ht="28.8" x14ac:dyDescent="0.3">
      <c r="A3722" s="4" t="s">
        <v>6445</v>
      </c>
      <c r="B3722">
        <v>3</v>
      </c>
    </row>
    <row r="3723" spans="1:2" ht="28.8" x14ac:dyDescent="0.3">
      <c r="A3723" s="4" t="s">
        <v>6446</v>
      </c>
      <c r="B3723">
        <v>3</v>
      </c>
    </row>
    <row r="3724" spans="1:2" ht="28.8" x14ac:dyDescent="0.3">
      <c r="A3724" s="4" t="s">
        <v>6447</v>
      </c>
      <c r="B3724">
        <v>3</v>
      </c>
    </row>
    <row r="3725" spans="1:2" ht="28.8" x14ac:dyDescent="0.3">
      <c r="A3725" s="4" t="s">
        <v>6448</v>
      </c>
      <c r="B3725">
        <v>3</v>
      </c>
    </row>
    <row r="3726" spans="1:2" ht="28.8" x14ac:dyDescent="0.3">
      <c r="A3726" s="4" t="s">
        <v>6449</v>
      </c>
      <c r="B3726">
        <v>3</v>
      </c>
    </row>
    <row r="3727" spans="1:2" ht="28.8" x14ac:dyDescent="0.3">
      <c r="A3727" s="4" t="s">
        <v>6450</v>
      </c>
      <c r="B3727">
        <v>3</v>
      </c>
    </row>
    <row r="3728" spans="1:2" ht="28.8" x14ac:dyDescent="0.3">
      <c r="A3728" s="4" t="s">
        <v>6451</v>
      </c>
      <c r="B3728">
        <v>3</v>
      </c>
    </row>
    <row r="3729" spans="1:2" ht="28.8" x14ac:dyDescent="0.3">
      <c r="A3729" s="4" t="s">
        <v>6452</v>
      </c>
      <c r="B3729">
        <v>3</v>
      </c>
    </row>
    <row r="3730" spans="1:2" ht="28.8" x14ac:dyDescent="0.3">
      <c r="A3730" s="4" t="s">
        <v>6453</v>
      </c>
      <c r="B3730">
        <v>3</v>
      </c>
    </row>
    <row r="3731" spans="1:2" ht="28.8" x14ac:dyDescent="0.3">
      <c r="A3731" s="4" t="s">
        <v>6454</v>
      </c>
      <c r="B3731">
        <v>3</v>
      </c>
    </row>
    <row r="3732" spans="1:2" ht="28.8" x14ac:dyDescent="0.3">
      <c r="A3732" s="4" t="s">
        <v>6455</v>
      </c>
      <c r="B3732">
        <v>3</v>
      </c>
    </row>
    <row r="3733" spans="1:2" x14ac:dyDescent="0.3">
      <c r="A3733" s="4" t="s">
        <v>6456</v>
      </c>
      <c r="B3733">
        <v>3</v>
      </c>
    </row>
    <row r="3734" spans="1:2" ht="28.8" x14ac:dyDescent="0.3">
      <c r="A3734" s="4" t="s">
        <v>6457</v>
      </c>
      <c r="B3734">
        <v>3</v>
      </c>
    </row>
    <row r="3735" spans="1:2" x14ac:dyDescent="0.3">
      <c r="A3735" s="4" t="s">
        <v>6458</v>
      </c>
      <c r="B3735">
        <v>3</v>
      </c>
    </row>
    <row r="3736" spans="1:2" ht="28.8" x14ac:dyDescent="0.3">
      <c r="A3736" s="4" t="s">
        <v>6459</v>
      </c>
      <c r="B3736">
        <v>3</v>
      </c>
    </row>
    <row r="3737" spans="1:2" ht="28.8" x14ac:dyDescent="0.3">
      <c r="A3737" s="4" t="s">
        <v>6460</v>
      </c>
      <c r="B3737">
        <v>3</v>
      </c>
    </row>
    <row r="3738" spans="1:2" ht="43.2" x14ac:dyDescent="0.3">
      <c r="A3738" s="4" t="s">
        <v>6461</v>
      </c>
      <c r="B3738">
        <v>3</v>
      </c>
    </row>
    <row r="3739" spans="1:2" ht="28.8" x14ac:dyDescent="0.3">
      <c r="A3739" s="4" t="s">
        <v>6462</v>
      </c>
      <c r="B3739">
        <v>3</v>
      </c>
    </row>
    <row r="3740" spans="1:2" ht="28.8" x14ac:dyDescent="0.3">
      <c r="A3740" s="4" t="s">
        <v>6463</v>
      </c>
      <c r="B3740">
        <v>3</v>
      </c>
    </row>
    <row r="3741" spans="1:2" ht="28.8" x14ac:dyDescent="0.3">
      <c r="A3741" s="4" t="s">
        <v>6464</v>
      </c>
      <c r="B3741">
        <v>3</v>
      </c>
    </row>
    <row r="3742" spans="1:2" ht="28.8" x14ac:dyDescent="0.3">
      <c r="A3742" s="4" t="s">
        <v>6465</v>
      </c>
      <c r="B3742">
        <v>3</v>
      </c>
    </row>
    <row r="3743" spans="1:2" ht="43.2" x14ac:dyDescent="0.3">
      <c r="A3743" s="4" t="s">
        <v>6466</v>
      </c>
      <c r="B3743">
        <v>3</v>
      </c>
    </row>
    <row r="3744" spans="1:2" ht="28.8" x14ac:dyDescent="0.3">
      <c r="A3744" s="4" t="s">
        <v>6467</v>
      </c>
      <c r="B3744">
        <v>3</v>
      </c>
    </row>
    <row r="3745" spans="1:2" ht="28.8" x14ac:dyDescent="0.3">
      <c r="A3745" s="4" t="s">
        <v>6468</v>
      </c>
      <c r="B3745">
        <v>3</v>
      </c>
    </row>
    <row r="3746" spans="1:2" ht="28.8" x14ac:dyDescent="0.3">
      <c r="A3746" s="4" t="s">
        <v>6469</v>
      </c>
      <c r="B3746">
        <v>3</v>
      </c>
    </row>
    <row r="3747" spans="1:2" ht="43.2" x14ac:dyDescent="0.3">
      <c r="A3747" s="4" t="s">
        <v>6470</v>
      </c>
      <c r="B3747">
        <v>3</v>
      </c>
    </row>
    <row r="3748" spans="1:2" ht="28.8" x14ac:dyDescent="0.3">
      <c r="A3748" s="4" t="s">
        <v>6471</v>
      </c>
      <c r="B3748">
        <v>3</v>
      </c>
    </row>
    <row r="3749" spans="1:2" ht="28.8" x14ac:dyDescent="0.3">
      <c r="A3749" s="4" t="s">
        <v>6472</v>
      </c>
      <c r="B3749">
        <v>3</v>
      </c>
    </row>
    <row r="3750" spans="1:2" ht="28.8" x14ac:dyDescent="0.3">
      <c r="A3750" s="4" t="s">
        <v>6473</v>
      </c>
      <c r="B3750">
        <v>3</v>
      </c>
    </row>
    <row r="3751" spans="1:2" ht="28.8" x14ac:dyDescent="0.3">
      <c r="A3751" s="4" t="s">
        <v>6474</v>
      </c>
      <c r="B3751">
        <v>3</v>
      </c>
    </row>
    <row r="3752" spans="1:2" ht="28.8" x14ac:dyDescent="0.3">
      <c r="A3752" s="4" t="s">
        <v>6475</v>
      </c>
      <c r="B3752">
        <v>3</v>
      </c>
    </row>
    <row r="3753" spans="1:2" ht="28.8" x14ac:dyDescent="0.3">
      <c r="A3753" s="4" t="s">
        <v>6476</v>
      </c>
      <c r="B3753">
        <v>3</v>
      </c>
    </row>
    <row r="3754" spans="1:2" x14ac:dyDescent="0.3">
      <c r="A3754" s="4" t="s">
        <v>6477</v>
      </c>
      <c r="B3754">
        <v>3</v>
      </c>
    </row>
    <row r="3755" spans="1:2" ht="28.8" x14ac:dyDescent="0.3">
      <c r="A3755" s="4" t="s">
        <v>6478</v>
      </c>
      <c r="B3755">
        <v>3</v>
      </c>
    </row>
    <row r="3756" spans="1:2" ht="28.8" x14ac:dyDescent="0.3">
      <c r="A3756" s="4" t="s">
        <v>6479</v>
      </c>
      <c r="B3756">
        <v>3</v>
      </c>
    </row>
    <row r="3757" spans="1:2" ht="28.8" x14ac:dyDescent="0.3">
      <c r="A3757" s="4" t="s">
        <v>6480</v>
      </c>
      <c r="B3757">
        <v>3</v>
      </c>
    </row>
    <row r="3758" spans="1:2" ht="28.8" x14ac:dyDescent="0.3">
      <c r="A3758" s="4" t="s">
        <v>6481</v>
      </c>
      <c r="B3758">
        <v>3</v>
      </c>
    </row>
    <row r="3759" spans="1:2" ht="28.8" x14ac:dyDescent="0.3">
      <c r="A3759" s="4" t="s">
        <v>6482</v>
      </c>
      <c r="B3759">
        <v>3</v>
      </c>
    </row>
    <row r="3760" spans="1:2" x14ac:dyDescent="0.3">
      <c r="A3760" s="4" t="s">
        <v>6483</v>
      </c>
      <c r="B3760">
        <v>3</v>
      </c>
    </row>
    <row r="3761" spans="1:2" ht="28.8" x14ac:dyDescent="0.3">
      <c r="A3761" s="4" t="s">
        <v>6484</v>
      </c>
      <c r="B3761">
        <v>3</v>
      </c>
    </row>
    <row r="3762" spans="1:2" x14ac:dyDescent="0.3">
      <c r="A3762" s="4" t="s">
        <v>6485</v>
      </c>
      <c r="B3762">
        <v>3</v>
      </c>
    </row>
    <row r="3763" spans="1:2" ht="28.8" x14ac:dyDescent="0.3">
      <c r="A3763" s="4" t="s">
        <v>6486</v>
      </c>
      <c r="B3763">
        <v>3</v>
      </c>
    </row>
    <row r="3764" spans="1:2" ht="28.8" x14ac:dyDescent="0.3">
      <c r="A3764" s="4" t="s">
        <v>6487</v>
      </c>
      <c r="B3764">
        <v>3</v>
      </c>
    </row>
    <row r="3765" spans="1:2" ht="28.8" x14ac:dyDescent="0.3">
      <c r="A3765" s="4" t="s">
        <v>6488</v>
      </c>
      <c r="B3765">
        <v>3</v>
      </c>
    </row>
    <row r="3766" spans="1:2" ht="28.8" x14ac:dyDescent="0.3">
      <c r="A3766" s="4" t="s">
        <v>6489</v>
      </c>
      <c r="B3766">
        <v>3</v>
      </c>
    </row>
    <row r="3767" spans="1:2" ht="28.8" x14ac:dyDescent="0.3">
      <c r="A3767" s="4" t="s">
        <v>6490</v>
      </c>
      <c r="B3767">
        <v>3</v>
      </c>
    </row>
    <row r="3768" spans="1:2" x14ac:dyDescent="0.3">
      <c r="A3768" s="4" t="s">
        <v>6491</v>
      </c>
      <c r="B3768">
        <v>3</v>
      </c>
    </row>
    <row r="3769" spans="1:2" ht="28.8" x14ac:dyDescent="0.3">
      <c r="A3769" s="4" t="s">
        <v>6492</v>
      </c>
      <c r="B3769">
        <v>3</v>
      </c>
    </row>
    <row r="3770" spans="1:2" ht="28.8" x14ac:dyDescent="0.3">
      <c r="A3770" s="4" t="s">
        <v>6493</v>
      </c>
      <c r="B3770">
        <v>3</v>
      </c>
    </row>
    <row r="3771" spans="1:2" ht="28.8" x14ac:dyDescent="0.3">
      <c r="A3771" s="4" t="s">
        <v>6494</v>
      </c>
      <c r="B3771">
        <v>3</v>
      </c>
    </row>
    <row r="3772" spans="1:2" ht="28.8" x14ac:dyDescent="0.3">
      <c r="A3772" s="4" t="s">
        <v>6495</v>
      </c>
      <c r="B3772">
        <v>3</v>
      </c>
    </row>
    <row r="3773" spans="1:2" ht="28.8" x14ac:dyDescent="0.3">
      <c r="A3773" s="4" t="s">
        <v>6496</v>
      </c>
      <c r="B3773">
        <v>3</v>
      </c>
    </row>
    <row r="3774" spans="1:2" ht="28.8" x14ac:dyDescent="0.3">
      <c r="A3774" s="4" t="s">
        <v>6497</v>
      </c>
      <c r="B3774">
        <v>3</v>
      </c>
    </row>
    <row r="3775" spans="1:2" ht="28.8" x14ac:dyDescent="0.3">
      <c r="A3775" s="4" t="s">
        <v>6498</v>
      </c>
      <c r="B3775">
        <v>3</v>
      </c>
    </row>
    <row r="3776" spans="1:2" ht="28.8" x14ac:dyDescent="0.3">
      <c r="A3776" s="4" t="s">
        <v>6499</v>
      </c>
      <c r="B3776">
        <v>3</v>
      </c>
    </row>
    <row r="3777" spans="1:2" ht="28.8" x14ac:dyDescent="0.3">
      <c r="A3777" s="4" t="s">
        <v>6500</v>
      </c>
      <c r="B3777">
        <v>3</v>
      </c>
    </row>
    <row r="3778" spans="1:2" ht="28.8" x14ac:dyDescent="0.3">
      <c r="A3778" s="4" t="s">
        <v>6501</v>
      </c>
      <c r="B3778">
        <v>3</v>
      </c>
    </row>
    <row r="3779" spans="1:2" ht="28.8" x14ac:dyDescent="0.3">
      <c r="A3779" s="4" t="s">
        <v>6502</v>
      </c>
      <c r="B3779">
        <v>3</v>
      </c>
    </row>
    <row r="3780" spans="1:2" ht="28.8" x14ac:dyDescent="0.3">
      <c r="A3780" s="4" t="s">
        <v>6503</v>
      </c>
      <c r="B3780">
        <v>3</v>
      </c>
    </row>
    <row r="3781" spans="1:2" ht="28.8" x14ac:dyDescent="0.3">
      <c r="A3781" s="4" t="s">
        <v>6504</v>
      </c>
      <c r="B3781">
        <v>3</v>
      </c>
    </row>
    <row r="3782" spans="1:2" x14ac:dyDescent="0.3">
      <c r="A3782" s="4" t="s">
        <v>6505</v>
      </c>
      <c r="B3782">
        <v>3</v>
      </c>
    </row>
    <row r="3783" spans="1:2" ht="28.8" x14ac:dyDescent="0.3">
      <c r="A3783" s="4" t="s">
        <v>6506</v>
      </c>
      <c r="B3783">
        <v>3</v>
      </c>
    </row>
    <row r="3784" spans="1:2" ht="28.8" x14ac:dyDescent="0.3">
      <c r="A3784" s="4" t="s">
        <v>6507</v>
      </c>
      <c r="B3784">
        <v>3</v>
      </c>
    </row>
    <row r="3785" spans="1:2" x14ac:dyDescent="0.3">
      <c r="A3785" s="4" t="s">
        <v>6508</v>
      </c>
      <c r="B3785">
        <v>3</v>
      </c>
    </row>
    <row r="3786" spans="1:2" ht="28.8" x14ac:dyDescent="0.3">
      <c r="A3786" s="4" t="s">
        <v>6509</v>
      </c>
      <c r="B3786">
        <v>3</v>
      </c>
    </row>
    <row r="3787" spans="1:2" ht="28.8" x14ac:dyDescent="0.3">
      <c r="A3787" s="4" t="s">
        <v>6510</v>
      </c>
      <c r="B3787">
        <v>3</v>
      </c>
    </row>
    <row r="3788" spans="1:2" ht="28.8" x14ac:dyDescent="0.3">
      <c r="A3788" s="4" t="s">
        <v>6511</v>
      </c>
      <c r="B3788">
        <v>3</v>
      </c>
    </row>
    <row r="3789" spans="1:2" ht="43.2" x14ac:dyDescent="0.3">
      <c r="A3789" s="4" t="s">
        <v>6512</v>
      </c>
      <c r="B3789">
        <v>3</v>
      </c>
    </row>
    <row r="3790" spans="1:2" x14ac:dyDescent="0.3">
      <c r="A3790" s="4" t="s">
        <v>6513</v>
      </c>
      <c r="B3790">
        <v>3</v>
      </c>
    </row>
    <row r="3791" spans="1:2" ht="28.8" x14ac:dyDescent="0.3">
      <c r="A3791" s="4" t="s">
        <v>6514</v>
      </c>
      <c r="B3791">
        <v>3</v>
      </c>
    </row>
    <row r="3792" spans="1:2" ht="28.8" x14ac:dyDescent="0.3">
      <c r="A3792" s="4" t="s">
        <v>6515</v>
      </c>
      <c r="B3792">
        <v>3</v>
      </c>
    </row>
    <row r="3793" spans="1:2" ht="28.8" x14ac:dyDescent="0.3">
      <c r="A3793" s="4" t="s">
        <v>6516</v>
      </c>
      <c r="B3793">
        <v>3</v>
      </c>
    </row>
    <row r="3794" spans="1:2" ht="28.8" x14ac:dyDescent="0.3">
      <c r="A3794" s="4" t="s">
        <v>6517</v>
      </c>
      <c r="B3794">
        <v>3</v>
      </c>
    </row>
    <row r="3795" spans="1:2" x14ac:dyDescent="0.3">
      <c r="A3795" s="4" t="s">
        <v>6518</v>
      </c>
      <c r="B3795">
        <v>3</v>
      </c>
    </row>
    <row r="3796" spans="1:2" ht="28.8" x14ac:dyDescent="0.3">
      <c r="A3796" s="4" t="s">
        <v>6519</v>
      </c>
      <c r="B3796">
        <v>3</v>
      </c>
    </row>
    <row r="3797" spans="1:2" ht="28.8" x14ac:dyDescent="0.3">
      <c r="A3797" s="4" t="s">
        <v>6520</v>
      </c>
      <c r="B3797">
        <v>3</v>
      </c>
    </row>
    <row r="3798" spans="1:2" ht="43.2" x14ac:dyDescent="0.3">
      <c r="A3798" s="4" t="s">
        <v>6521</v>
      </c>
      <c r="B3798">
        <v>3</v>
      </c>
    </row>
    <row r="3799" spans="1:2" ht="28.8" x14ac:dyDescent="0.3">
      <c r="A3799" s="4" t="s">
        <v>6522</v>
      </c>
      <c r="B3799">
        <v>3</v>
      </c>
    </row>
    <row r="3800" spans="1:2" ht="28.8" x14ac:dyDescent="0.3">
      <c r="A3800" s="4" t="s">
        <v>6523</v>
      </c>
      <c r="B3800">
        <v>3</v>
      </c>
    </row>
    <row r="3801" spans="1:2" ht="28.8" x14ac:dyDescent="0.3">
      <c r="A3801" s="4" t="s">
        <v>6524</v>
      </c>
      <c r="B3801">
        <v>3</v>
      </c>
    </row>
    <row r="3802" spans="1:2" ht="43.2" x14ac:dyDescent="0.3">
      <c r="A3802" s="4" t="s">
        <v>6525</v>
      </c>
      <c r="B3802">
        <v>3</v>
      </c>
    </row>
    <row r="3803" spans="1:2" ht="28.8" x14ac:dyDescent="0.3">
      <c r="A3803" s="4" t="s">
        <v>6526</v>
      </c>
      <c r="B3803">
        <v>3</v>
      </c>
    </row>
    <row r="3804" spans="1:2" ht="28.8" x14ac:dyDescent="0.3">
      <c r="A3804" s="4" t="s">
        <v>6527</v>
      </c>
      <c r="B3804">
        <v>3</v>
      </c>
    </row>
    <row r="3805" spans="1:2" ht="28.8" x14ac:dyDescent="0.3">
      <c r="A3805" s="4" t="s">
        <v>6528</v>
      </c>
      <c r="B3805">
        <v>3</v>
      </c>
    </row>
    <row r="3806" spans="1:2" ht="28.8" x14ac:dyDescent="0.3">
      <c r="A3806" s="4" t="s">
        <v>6529</v>
      </c>
      <c r="B3806">
        <v>3</v>
      </c>
    </row>
    <row r="3807" spans="1:2" ht="28.8" x14ac:dyDescent="0.3">
      <c r="A3807" s="4" t="s">
        <v>6530</v>
      </c>
      <c r="B3807">
        <v>3</v>
      </c>
    </row>
    <row r="3808" spans="1:2" ht="28.8" x14ac:dyDescent="0.3">
      <c r="A3808" s="4" t="s">
        <v>6531</v>
      </c>
      <c r="B3808">
        <v>3</v>
      </c>
    </row>
    <row r="3809" spans="1:2" ht="28.8" x14ac:dyDescent="0.3">
      <c r="A3809" s="4" t="s">
        <v>6532</v>
      </c>
      <c r="B3809">
        <v>3</v>
      </c>
    </row>
    <row r="3810" spans="1:2" ht="28.8" x14ac:dyDescent="0.3">
      <c r="A3810" s="4" t="s">
        <v>6533</v>
      </c>
      <c r="B3810">
        <v>3</v>
      </c>
    </row>
    <row r="3811" spans="1:2" ht="28.8" x14ac:dyDescent="0.3">
      <c r="A3811" s="4" t="s">
        <v>6534</v>
      </c>
      <c r="B3811">
        <v>3</v>
      </c>
    </row>
    <row r="3812" spans="1:2" ht="28.8" x14ac:dyDescent="0.3">
      <c r="A3812" s="4" t="s">
        <v>6535</v>
      </c>
      <c r="B3812">
        <v>3</v>
      </c>
    </row>
    <row r="3813" spans="1:2" ht="28.8" x14ac:dyDescent="0.3">
      <c r="A3813" s="4" t="s">
        <v>6536</v>
      </c>
      <c r="B3813">
        <v>3</v>
      </c>
    </row>
    <row r="3814" spans="1:2" ht="28.8" x14ac:dyDescent="0.3">
      <c r="A3814" s="4" t="s">
        <v>6537</v>
      </c>
      <c r="B3814">
        <v>3</v>
      </c>
    </row>
    <row r="3815" spans="1:2" ht="28.8" x14ac:dyDescent="0.3">
      <c r="A3815" s="4" t="s">
        <v>6538</v>
      </c>
      <c r="B3815">
        <v>3</v>
      </c>
    </row>
    <row r="3816" spans="1:2" ht="28.8" x14ac:dyDescent="0.3">
      <c r="A3816" s="4" t="s">
        <v>6539</v>
      </c>
      <c r="B3816">
        <v>3</v>
      </c>
    </row>
    <row r="3817" spans="1:2" ht="172.8" x14ac:dyDescent="0.3">
      <c r="A3817" s="4" t="s">
        <v>6540</v>
      </c>
      <c r="B3817">
        <v>3</v>
      </c>
    </row>
    <row r="3818" spans="1:2" ht="28.8" x14ac:dyDescent="0.3">
      <c r="A3818" s="4" t="s">
        <v>6541</v>
      </c>
      <c r="B3818">
        <v>3</v>
      </c>
    </row>
    <row r="3819" spans="1:2" ht="43.2" x14ac:dyDescent="0.3">
      <c r="A3819" s="4" t="s">
        <v>6542</v>
      </c>
      <c r="B3819">
        <v>3</v>
      </c>
    </row>
    <row r="3820" spans="1:2" ht="28.8" x14ac:dyDescent="0.3">
      <c r="A3820" s="4" t="s">
        <v>6543</v>
      </c>
      <c r="B3820">
        <v>3</v>
      </c>
    </row>
    <row r="3821" spans="1:2" ht="28.8" x14ac:dyDescent="0.3">
      <c r="A3821" s="4" t="s">
        <v>6544</v>
      </c>
      <c r="B3821">
        <v>3</v>
      </c>
    </row>
    <row r="3822" spans="1:2" ht="28.8" x14ac:dyDescent="0.3">
      <c r="A3822" s="4" t="s">
        <v>6545</v>
      </c>
      <c r="B3822">
        <v>3</v>
      </c>
    </row>
    <row r="3823" spans="1:2" x14ac:dyDescent="0.3">
      <c r="A3823" s="4" t="s">
        <v>6546</v>
      </c>
      <c r="B3823">
        <v>3</v>
      </c>
    </row>
    <row r="3824" spans="1:2" ht="43.2" x14ac:dyDescent="0.3">
      <c r="A3824" s="4" t="s">
        <v>6547</v>
      </c>
      <c r="B3824">
        <v>3</v>
      </c>
    </row>
    <row r="3825" spans="1:2" ht="28.8" x14ac:dyDescent="0.3">
      <c r="A3825" s="4" t="s">
        <v>6548</v>
      </c>
      <c r="B3825">
        <v>3</v>
      </c>
    </row>
    <row r="3826" spans="1:2" ht="28.8" x14ac:dyDescent="0.3">
      <c r="A3826" s="4" t="s">
        <v>6549</v>
      </c>
      <c r="B3826">
        <v>3</v>
      </c>
    </row>
    <row r="3827" spans="1:2" ht="28.8" x14ac:dyDescent="0.3">
      <c r="A3827" s="4" t="s">
        <v>6550</v>
      </c>
      <c r="B3827">
        <v>3</v>
      </c>
    </row>
    <row r="3828" spans="1:2" ht="28.8" x14ac:dyDescent="0.3">
      <c r="A3828" s="4" t="s">
        <v>6551</v>
      </c>
      <c r="B3828">
        <v>3</v>
      </c>
    </row>
    <row r="3829" spans="1:2" ht="28.8" x14ac:dyDescent="0.3">
      <c r="A3829" s="4" t="s">
        <v>6552</v>
      </c>
      <c r="B3829">
        <v>3</v>
      </c>
    </row>
    <row r="3830" spans="1:2" x14ac:dyDescent="0.3">
      <c r="A3830" s="4" t="s">
        <v>6553</v>
      </c>
      <c r="B3830">
        <v>3</v>
      </c>
    </row>
    <row r="3831" spans="1:2" ht="28.8" x14ac:dyDescent="0.3">
      <c r="A3831" s="4" t="s">
        <v>6554</v>
      </c>
      <c r="B3831">
        <v>3</v>
      </c>
    </row>
    <row r="3832" spans="1:2" ht="28.8" x14ac:dyDescent="0.3">
      <c r="A3832" s="4" t="s">
        <v>6555</v>
      </c>
      <c r="B3832">
        <v>3</v>
      </c>
    </row>
    <row r="3833" spans="1:2" ht="28.8" x14ac:dyDescent="0.3">
      <c r="A3833" s="4" t="s">
        <v>6556</v>
      </c>
      <c r="B3833">
        <v>3</v>
      </c>
    </row>
    <row r="3834" spans="1:2" ht="28.8" x14ac:dyDescent="0.3">
      <c r="A3834" s="4" t="s">
        <v>6557</v>
      </c>
      <c r="B3834">
        <v>3</v>
      </c>
    </row>
    <row r="3835" spans="1:2" ht="28.8" x14ac:dyDescent="0.3">
      <c r="A3835" s="4" t="s">
        <v>6558</v>
      </c>
      <c r="B3835">
        <v>3</v>
      </c>
    </row>
    <row r="3836" spans="1:2" ht="28.8" x14ac:dyDescent="0.3">
      <c r="A3836" s="4" t="s">
        <v>6559</v>
      </c>
      <c r="B3836">
        <v>3</v>
      </c>
    </row>
    <row r="3837" spans="1:2" ht="28.8" x14ac:dyDescent="0.3">
      <c r="A3837" s="4" t="s">
        <v>6560</v>
      </c>
      <c r="B3837">
        <v>3</v>
      </c>
    </row>
    <row r="3838" spans="1:2" ht="28.8" x14ac:dyDescent="0.3">
      <c r="A3838" s="4" t="s">
        <v>6561</v>
      </c>
      <c r="B3838">
        <v>3</v>
      </c>
    </row>
    <row r="3839" spans="1:2" ht="28.8" x14ac:dyDescent="0.3">
      <c r="A3839" s="4" t="s">
        <v>6562</v>
      </c>
      <c r="B3839">
        <v>3</v>
      </c>
    </row>
    <row r="3840" spans="1:2" ht="28.8" x14ac:dyDescent="0.3">
      <c r="A3840" s="4" t="s">
        <v>6563</v>
      </c>
      <c r="B3840">
        <v>3</v>
      </c>
    </row>
    <row r="3841" spans="1:2" ht="28.8" x14ac:dyDescent="0.3">
      <c r="A3841" s="4" t="s">
        <v>6564</v>
      </c>
      <c r="B3841">
        <v>3</v>
      </c>
    </row>
    <row r="3842" spans="1:2" ht="28.8" x14ac:dyDescent="0.3">
      <c r="A3842" s="4" t="s">
        <v>6565</v>
      </c>
      <c r="B3842">
        <v>3</v>
      </c>
    </row>
    <row r="3843" spans="1:2" ht="28.8" x14ac:dyDescent="0.3">
      <c r="A3843" s="4" t="s">
        <v>6566</v>
      </c>
      <c r="B3843">
        <v>3</v>
      </c>
    </row>
    <row r="3844" spans="1:2" ht="28.8" x14ac:dyDescent="0.3">
      <c r="A3844" s="4" t="s">
        <v>6567</v>
      </c>
      <c r="B3844">
        <v>3</v>
      </c>
    </row>
    <row r="3845" spans="1:2" ht="28.8" x14ac:dyDescent="0.3">
      <c r="A3845" s="4" t="s">
        <v>6568</v>
      </c>
      <c r="B3845">
        <v>3</v>
      </c>
    </row>
    <row r="3846" spans="1:2" ht="28.8" x14ac:dyDescent="0.3">
      <c r="A3846" s="4" t="s">
        <v>6569</v>
      </c>
      <c r="B3846">
        <v>3</v>
      </c>
    </row>
    <row r="3847" spans="1:2" ht="28.8" x14ac:dyDescent="0.3">
      <c r="A3847" s="4" t="s">
        <v>6570</v>
      </c>
      <c r="B3847">
        <v>3</v>
      </c>
    </row>
    <row r="3848" spans="1:2" ht="28.8" x14ac:dyDescent="0.3">
      <c r="A3848" s="4" t="s">
        <v>6571</v>
      </c>
      <c r="B3848">
        <v>3</v>
      </c>
    </row>
    <row r="3849" spans="1:2" ht="43.2" x14ac:dyDescent="0.3">
      <c r="A3849" s="4" t="s">
        <v>6572</v>
      </c>
      <c r="B3849">
        <v>3</v>
      </c>
    </row>
    <row r="3850" spans="1:2" ht="28.8" x14ac:dyDescent="0.3">
      <c r="A3850" s="4" t="s">
        <v>6573</v>
      </c>
      <c r="B3850">
        <v>3</v>
      </c>
    </row>
    <row r="3851" spans="1:2" ht="28.8" x14ac:dyDescent="0.3">
      <c r="A3851" s="4" t="s">
        <v>6574</v>
      </c>
      <c r="B3851">
        <v>3</v>
      </c>
    </row>
    <row r="3852" spans="1:2" ht="28.8" x14ac:dyDescent="0.3">
      <c r="A3852" s="4" t="s">
        <v>6575</v>
      </c>
      <c r="B3852">
        <v>3</v>
      </c>
    </row>
    <row r="3853" spans="1:2" ht="28.8" x14ac:dyDescent="0.3">
      <c r="A3853" s="4" t="s">
        <v>6576</v>
      </c>
      <c r="B3853">
        <v>3</v>
      </c>
    </row>
    <row r="3854" spans="1:2" ht="28.8" x14ac:dyDescent="0.3">
      <c r="A3854" s="4" t="s">
        <v>6577</v>
      </c>
      <c r="B3854">
        <v>3</v>
      </c>
    </row>
    <row r="3855" spans="1:2" ht="28.8" x14ac:dyDescent="0.3">
      <c r="A3855" s="4" t="s">
        <v>6578</v>
      </c>
      <c r="B3855">
        <v>3</v>
      </c>
    </row>
    <row r="3856" spans="1:2" ht="28.8" x14ac:dyDescent="0.3">
      <c r="A3856" s="4" t="s">
        <v>6579</v>
      </c>
      <c r="B3856">
        <v>3</v>
      </c>
    </row>
    <row r="3857" spans="1:2" x14ac:dyDescent="0.3">
      <c r="A3857" s="4" t="s">
        <v>6580</v>
      </c>
      <c r="B3857">
        <v>3</v>
      </c>
    </row>
    <row r="3858" spans="1:2" ht="28.8" x14ac:dyDescent="0.3">
      <c r="A3858" s="4" t="s">
        <v>6581</v>
      </c>
      <c r="B3858">
        <v>3</v>
      </c>
    </row>
    <row r="3859" spans="1:2" ht="28.8" x14ac:dyDescent="0.3">
      <c r="A3859" s="4" t="s">
        <v>6582</v>
      </c>
      <c r="B3859">
        <v>3</v>
      </c>
    </row>
    <row r="3860" spans="1:2" ht="28.8" x14ac:dyDescent="0.3">
      <c r="A3860" s="4" t="s">
        <v>6583</v>
      </c>
      <c r="B3860">
        <v>3</v>
      </c>
    </row>
    <row r="3861" spans="1:2" ht="28.8" x14ac:dyDescent="0.3">
      <c r="A3861" s="4" t="s">
        <v>6584</v>
      </c>
      <c r="B3861">
        <v>3</v>
      </c>
    </row>
    <row r="3862" spans="1:2" ht="28.8" x14ac:dyDescent="0.3">
      <c r="A3862" s="4" t="s">
        <v>6585</v>
      </c>
      <c r="B3862">
        <v>3</v>
      </c>
    </row>
    <row r="3863" spans="1:2" ht="28.8" x14ac:dyDescent="0.3">
      <c r="A3863" s="4" t="s">
        <v>6586</v>
      </c>
      <c r="B3863">
        <v>3</v>
      </c>
    </row>
    <row r="3864" spans="1:2" ht="28.8" x14ac:dyDescent="0.3">
      <c r="A3864" s="4" t="s">
        <v>6587</v>
      </c>
      <c r="B3864">
        <v>3</v>
      </c>
    </row>
    <row r="3865" spans="1:2" ht="28.8" x14ac:dyDescent="0.3">
      <c r="A3865" s="4" t="s">
        <v>6588</v>
      </c>
      <c r="B3865">
        <v>3</v>
      </c>
    </row>
    <row r="3866" spans="1:2" ht="28.8" x14ac:dyDescent="0.3">
      <c r="A3866" s="4" t="s">
        <v>6589</v>
      </c>
      <c r="B3866">
        <v>3</v>
      </c>
    </row>
    <row r="3867" spans="1:2" x14ac:dyDescent="0.3">
      <c r="A3867" s="4" t="s">
        <v>6590</v>
      </c>
      <c r="B3867">
        <v>3</v>
      </c>
    </row>
    <row r="3868" spans="1:2" ht="28.8" x14ac:dyDescent="0.3">
      <c r="A3868" s="4" t="s">
        <v>6591</v>
      </c>
      <c r="B3868">
        <v>3</v>
      </c>
    </row>
    <row r="3869" spans="1:2" ht="28.8" x14ac:dyDescent="0.3">
      <c r="A3869" s="4" t="s">
        <v>6592</v>
      </c>
      <c r="B3869">
        <v>3</v>
      </c>
    </row>
    <row r="3870" spans="1:2" ht="28.8" x14ac:dyDescent="0.3">
      <c r="A3870" s="4" t="s">
        <v>6593</v>
      </c>
      <c r="B3870">
        <v>3</v>
      </c>
    </row>
    <row r="3871" spans="1:2" ht="28.8" x14ac:dyDescent="0.3">
      <c r="A3871" s="4" t="s">
        <v>6594</v>
      </c>
      <c r="B3871">
        <v>3</v>
      </c>
    </row>
    <row r="3872" spans="1:2" x14ac:dyDescent="0.3">
      <c r="A3872" s="4" t="s">
        <v>6595</v>
      </c>
      <c r="B3872">
        <v>3</v>
      </c>
    </row>
    <row r="3873" spans="1:2" ht="28.8" x14ac:dyDescent="0.3">
      <c r="A3873" s="4" t="s">
        <v>6596</v>
      </c>
      <c r="B3873">
        <v>3</v>
      </c>
    </row>
    <row r="3874" spans="1:2" ht="28.8" x14ac:dyDescent="0.3">
      <c r="A3874" s="4" t="s">
        <v>6597</v>
      </c>
      <c r="B3874">
        <v>3</v>
      </c>
    </row>
    <row r="3875" spans="1:2" ht="43.2" x14ac:dyDescent="0.3">
      <c r="A3875" s="4" t="s">
        <v>6598</v>
      </c>
      <c r="B3875">
        <v>3</v>
      </c>
    </row>
    <row r="3876" spans="1:2" ht="28.8" x14ac:dyDescent="0.3">
      <c r="A3876" s="4" t="s">
        <v>6599</v>
      </c>
      <c r="B3876">
        <v>3</v>
      </c>
    </row>
    <row r="3877" spans="1:2" ht="28.8" x14ac:dyDescent="0.3">
      <c r="A3877" s="4" t="s">
        <v>6600</v>
      </c>
      <c r="B3877">
        <v>3</v>
      </c>
    </row>
    <row r="3878" spans="1:2" ht="28.8" x14ac:dyDescent="0.3">
      <c r="A3878" s="4" t="s">
        <v>6601</v>
      </c>
      <c r="B3878">
        <v>3</v>
      </c>
    </row>
    <row r="3879" spans="1:2" x14ac:dyDescent="0.3">
      <c r="A3879" s="4" t="s">
        <v>6602</v>
      </c>
      <c r="B3879">
        <v>3</v>
      </c>
    </row>
    <row r="3880" spans="1:2" ht="28.8" x14ac:dyDescent="0.3">
      <c r="A3880" s="4" t="s">
        <v>6603</v>
      </c>
      <c r="B3880">
        <v>3</v>
      </c>
    </row>
    <row r="3881" spans="1:2" ht="28.8" x14ac:dyDescent="0.3">
      <c r="A3881" s="4" t="s">
        <v>6604</v>
      </c>
      <c r="B3881">
        <v>3</v>
      </c>
    </row>
    <row r="3882" spans="1:2" ht="28.8" x14ac:dyDescent="0.3">
      <c r="A3882" s="4" t="s">
        <v>6605</v>
      </c>
      <c r="B3882">
        <v>3</v>
      </c>
    </row>
    <row r="3883" spans="1:2" ht="28.8" x14ac:dyDescent="0.3">
      <c r="A3883" s="4" t="s">
        <v>6606</v>
      </c>
      <c r="B3883">
        <v>3</v>
      </c>
    </row>
    <row r="3884" spans="1:2" x14ac:dyDescent="0.3">
      <c r="A3884" s="4" t="s">
        <v>6607</v>
      </c>
      <c r="B3884">
        <v>3</v>
      </c>
    </row>
    <row r="3885" spans="1:2" x14ac:dyDescent="0.3">
      <c r="A3885" s="4" t="s">
        <v>6608</v>
      </c>
      <c r="B3885">
        <v>3</v>
      </c>
    </row>
    <row r="3886" spans="1:2" ht="43.2" x14ac:dyDescent="0.3">
      <c r="A3886" s="4" t="s">
        <v>6609</v>
      </c>
      <c r="B3886">
        <v>3</v>
      </c>
    </row>
    <row r="3887" spans="1:2" ht="28.8" x14ac:dyDescent="0.3">
      <c r="A3887" s="4" t="s">
        <v>6610</v>
      </c>
      <c r="B3887">
        <v>3</v>
      </c>
    </row>
    <row r="3888" spans="1:2" ht="28.8" x14ac:dyDescent="0.3">
      <c r="A3888" s="4" t="s">
        <v>6611</v>
      </c>
      <c r="B3888">
        <v>3</v>
      </c>
    </row>
    <row r="3889" spans="1:2" ht="28.8" x14ac:dyDescent="0.3">
      <c r="A3889" s="4" t="s">
        <v>6612</v>
      </c>
      <c r="B3889">
        <v>3</v>
      </c>
    </row>
    <row r="3890" spans="1:2" ht="28.8" x14ac:dyDescent="0.3">
      <c r="A3890" s="4" t="s">
        <v>6613</v>
      </c>
      <c r="B3890">
        <v>3</v>
      </c>
    </row>
    <row r="3891" spans="1:2" ht="28.8" x14ac:dyDescent="0.3">
      <c r="A3891" s="4" t="s">
        <v>6614</v>
      </c>
      <c r="B3891">
        <v>3</v>
      </c>
    </row>
    <row r="3892" spans="1:2" x14ac:dyDescent="0.3">
      <c r="A3892" s="4" t="s">
        <v>6615</v>
      </c>
      <c r="B3892">
        <v>3</v>
      </c>
    </row>
    <row r="3893" spans="1:2" ht="43.2" x14ac:dyDescent="0.3">
      <c r="A3893" s="4" t="s">
        <v>6616</v>
      </c>
      <c r="B3893">
        <v>3</v>
      </c>
    </row>
    <row r="3894" spans="1:2" x14ac:dyDescent="0.3">
      <c r="A3894" s="4" t="s">
        <v>6617</v>
      </c>
      <c r="B3894">
        <v>3</v>
      </c>
    </row>
    <row r="3895" spans="1:2" ht="28.8" x14ac:dyDescent="0.3">
      <c r="A3895" s="4" t="s">
        <v>6618</v>
      </c>
      <c r="B3895">
        <v>3</v>
      </c>
    </row>
    <row r="3896" spans="1:2" x14ac:dyDescent="0.3">
      <c r="A3896" s="4" t="s">
        <v>6619</v>
      </c>
      <c r="B3896">
        <v>3</v>
      </c>
    </row>
    <row r="3897" spans="1:2" ht="28.8" x14ac:dyDescent="0.3">
      <c r="A3897" s="4" t="s">
        <v>6620</v>
      </c>
      <c r="B3897">
        <v>3</v>
      </c>
    </row>
    <row r="3898" spans="1:2" ht="28.8" x14ac:dyDescent="0.3">
      <c r="A3898" s="4" t="s">
        <v>6621</v>
      </c>
      <c r="B3898">
        <v>3</v>
      </c>
    </row>
    <row r="3899" spans="1:2" x14ac:dyDescent="0.3">
      <c r="A3899" s="4" t="s">
        <v>6622</v>
      </c>
      <c r="B3899">
        <v>3</v>
      </c>
    </row>
    <row r="3900" spans="1:2" ht="43.2" x14ac:dyDescent="0.3">
      <c r="A3900" s="4" t="s">
        <v>6623</v>
      </c>
      <c r="B3900">
        <v>3</v>
      </c>
    </row>
    <row r="3901" spans="1:2" ht="28.8" x14ac:dyDescent="0.3">
      <c r="A3901" s="4" t="s">
        <v>6624</v>
      </c>
      <c r="B3901">
        <v>3</v>
      </c>
    </row>
    <row r="3902" spans="1:2" ht="28.8" x14ac:dyDescent="0.3">
      <c r="A3902" s="4" t="s">
        <v>6625</v>
      </c>
      <c r="B3902">
        <v>3</v>
      </c>
    </row>
    <row r="3903" spans="1:2" ht="28.8" x14ac:dyDescent="0.3">
      <c r="A3903" s="4" t="s">
        <v>6626</v>
      </c>
      <c r="B3903">
        <v>3</v>
      </c>
    </row>
    <row r="3904" spans="1:2" x14ac:dyDescent="0.3">
      <c r="A3904" s="4" t="s">
        <v>6627</v>
      </c>
      <c r="B3904">
        <v>3</v>
      </c>
    </row>
    <row r="3905" spans="1:2" ht="28.8" x14ac:dyDescent="0.3">
      <c r="A3905" s="4" t="s">
        <v>6628</v>
      </c>
      <c r="B3905">
        <v>3</v>
      </c>
    </row>
    <row r="3906" spans="1:2" ht="43.2" x14ac:dyDescent="0.3">
      <c r="A3906" s="4" t="s">
        <v>6629</v>
      </c>
      <c r="B3906">
        <v>3</v>
      </c>
    </row>
    <row r="3907" spans="1:2" ht="28.8" x14ac:dyDescent="0.3">
      <c r="A3907" s="4" t="s">
        <v>6630</v>
      </c>
      <c r="B3907">
        <v>3</v>
      </c>
    </row>
    <row r="3908" spans="1:2" ht="28.8" x14ac:dyDescent="0.3">
      <c r="A3908" s="4" t="s">
        <v>6631</v>
      </c>
      <c r="B3908">
        <v>3</v>
      </c>
    </row>
    <row r="3909" spans="1:2" ht="28.8" x14ac:dyDescent="0.3">
      <c r="A3909" s="4" t="s">
        <v>6632</v>
      </c>
      <c r="B3909">
        <v>3</v>
      </c>
    </row>
    <row r="3910" spans="1:2" ht="28.8" x14ac:dyDescent="0.3">
      <c r="A3910" s="4" t="s">
        <v>6633</v>
      </c>
      <c r="B3910">
        <v>3</v>
      </c>
    </row>
    <row r="3911" spans="1:2" x14ac:dyDescent="0.3">
      <c r="A3911" s="4" t="s">
        <v>6634</v>
      </c>
      <c r="B3911">
        <v>3</v>
      </c>
    </row>
    <row r="3912" spans="1:2" ht="28.8" x14ac:dyDescent="0.3">
      <c r="A3912" s="4" t="s">
        <v>6635</v>
      </c>
      <c r="B3912">
        <v>3</v>
      </c>
    </row>
    <row r="3913" spans="1:2" ht="28.8" x14ac:dyDescent="0.3">
      <c r="A3913" s="4" t="s">
        <v>6636</v>
      </c>
      <c r="B3913">
        <v>3</v>
      </c>
    </row>
    <row r="3914" spans="1:2" ht="43.2" x14ac:dyDescent="0.3">
      <c r="A3914" s="4" t="s">
        <v>6637</v>
      </c>
      <c r="B3914">
        <v>3</v>
      </c>
    </row>
    <row r="3915" spans="1:2" x14ac:dyDescent="0.3">
      <c r="A3915" s="4" t="s">
        <v>6638</v>
      </c>
      <c r="B3915">
        <v>3</v>
      </c>
    </row>
    <row r="3916" spans="1:2" ht="28.8" x14ac:dyDescent="0.3">
      <c r="A3916" s="4" t="s">
        <v>6639</v>
      </c>
      <c r="B3916">
        <v>3</v>
      </c>
    </row>
    <row r="3917" spans="1:2" ht="28.8" x14ac:dyDescent="0.3">
      <c r="A3917" s="4" t="s">
        <v>6640</v>
      </c>
      <c r="B3917">
        <v>3</v>
      </c>
    </row>
    <row r="3918" spans="1:2" ht="28.8" x14ac:dyDescent="0.3">
      <c r="A3918" s="4" t="s">
        <v>6641</v>
      </c>
      <c r="B3918">
        <v>3</v>
      </c>
    </row>
    <row r="3919" spans="1:2" ht="28.8" x14ac:dyDescent="0.3">
      <c r="A3919" s="4" t="s">
        <v>6642</v>
      </c>
      <c r="B3919">
        <v>3</v>
      </c>
    </row>
    <row r="3920" spans="1:2" ht="28.8" x14ac:dyDescent="0.3">
      <c r="A3920" s="4" t="s">
        <v>6643</v>
      </c>
      <c r="B3920">
        <v>3</v>
      </c>
    </row>
    <row r="3921" spans="1:2" ht="28.8" x14ac:dyDescent="0.3">
      <c r="A3921" s="4" t="s">
        <v>6644</v>
      </c>
      <c r="B3921">
        <v>3</v>
      </c>
    </row>
    <row r="3922" spans="1:2" ht="28.8" x14ac:dyDescent="0.3">
      <c r="A3922" s="4" t="s">
        <v>6645</v>
      </c>
      <c r="B3922">
        <v>3</v>
      </c>
    </row>
    <row r="3923" spans="1:2" ht="28.8" x14ac:dyDescent="0.3">
      <c r="A3923" s="4" t="s">
        <v>6646</v>
      </c>
      <c r="B3923">
        <v>3</v>
      </c>
    </row>
    <row r="3924" spans="1:2" ht="28.8" x14ac:dyDescent="0.3">
      <c r="A3924" s="4" t="s">
        <v>6647</v>
      </c>
      <c r="B3924">
        <v>3</v>
      </c>
    </row>
    <row r="3925" spans="1:2" ht="43.2" x14ac:dyDescent="0.3">
      <c r="A3925" s="4" t="s">
        <v>6648</v>
      </c>
      <c r="B3925">
        <v>3</v>
      </c>
    </row>
    <row r="3926" spans="1:2" x14ac:dyDescent="0.3">
      <c r="A3926" s="4" t="s">
        <v>6649</v>
      </c>
      <c r="B3926">
        <v>3</v>
      </c>
    </row>
    <row r="3927" spans="1:2" ht="28.8" x14ac:dyDescent="0.3">
      <c r="A3927" s="4" t="s">
        <v>6650</v>
      </c>
      <c r="B3927">
        <v>3</v>
      </c>
    </row>
    <row r="3928" spans="1:2" ht="28.8" x14ac:dyDescent="0.3">
      <c r="A3928" s="4" t="s">
        <v>6651</v>
      </c>
      <c r="B3928">
        <v>3</v>
      </c>
    </row>
    <row r="3929" spans="1:2" ht="43.2" x14ac:dyDescent="0.3">
      <c r="A3929" s="4" t="s">
        <v>6652</v>
      </c>
      <c r="B3929">
        <v>3</v>
      </c>
    </row>
    <row r="3930" spans="1:2" ht="28.8" x14ac:dyDescent="0.3">
      <c r="A3930" s="4" t="s">
        <v>6653</v>
      </c>
      <c r="B3930">
        <v>3</v>
      </c>
    </row>
    <row r="3931" spans="1:2" ht="28.8" x14ac:dyDescent="0.3">
      <c r="A3931" s="4" t="s">
        <v>6654</v>
      </c>
      <c r="B3931">
        <v>3</v>
      </c>
    </row>
    <row r="3932" spans="1:2" ht="28.8" x14ac:dyDescent="0.3">
      <c r="A3932" s="4" t="s">
        <v>6655</v>
      </c>
      <c r="B3932">
        <v>3</v>
      </c>
    </row>
    <row r="3933" spans="1:2" ht="28.8" x14ac:dyDescent="0.3">
      <c r="A3933" s="4" t="s">
        <v>6656</v>
      </c>
      <c r="B3933">
        <v>3</v>
      </c>
    </row>
    <row r="3934" spans="1:2" x14ac:dyDescent="0.3">
      <c r="A3934" s="4" t="s">
        <v>6657</v>
      </c>
      <c r="B3934">
        <v>3</v>
      </c>
    </row>
    <row r="3935" spans="1:2" ht="28.8" x14ac:dyDescent="0.3">
      <c r="A3935" s="4" t="s">
        <v>6658</v>
      </c>
      <c r="B3935">
        <v>3</v>
      </c>
    </row>
    <row r="3936" spans="1:2" ht="28.8" x14ac:dyDescent="0.3">
      <c r="A3936" s="4" t="s">
        <v>6659</v>
      </c>
      <c r="B3936">
        <v>3</v>
      </c>
    </row>
    <row r="3937" spans="1:2" ht="28.8" x14ac:dyDescent="0.3">
      <c r="A3937" s="4" t="s">
        <v>6660</v>
      </c>
      <c r="B3937">
        <v>3</v>
      </c>
    </row>
    <row r="3938" spans="1:2" ht="28.8" x14ac:dyDescent="0.3">
      <c r="A3938" s="4" t="s">
        <v>6661</v>
      </c>
      <c r="B3938">
        <v>3</v>
      </c>
    </row>
    <row r="3939" spans="1:2" ht="28.8" x14ac:dyDescent="0.3">
      <c r="A3939" s="4" t="s">
        <v>6662</v>
      </c>
      <c r="B3939">
        <v>3</v>
      </c>
    </row>
    <row r="3940" spans="1:2" x14ac:dyDescent="0.3">
      <c r="A3940" s="4" t="s">
        <v>6663</v>
      </c>
      <c r="B3940">
        <v>3</v>
      </c>
    </row>
    <row r="3941" spans="1:2" ht="28.8" x14ac:dyDescent="0.3">
      <c r="A3941" s="4" t="s">
        <v>6664</v>
      </c>
      <c r="B3941">
        <v>3</v>
      </c>
    </row>
    <row r="3942" spans="1:2" x14ac:dyDescent="0.3">
      <c r="A3942" s="4" t="s">
        <v>6665</v>
      </c>
      <c r="B3942">
        <v>3</v>
      </c>
    </row>
    <row r="3943" spans="1:2" ht="28.8" x14ac:dyDescent="0.3">
      <c r="A3943" s="4" t="s">
        <v>6666</v>
      </c>
      <c r="B3943">
        <v>3</v>
      </c>
    </row>
    <row r="3944" spans="1:2" ht="28.8" x14ac:dyDescent="0.3">
      <c r="A3944" s="4" t="s">
        <v>6667</v>
      </c>
      <c r="B3944">
        <v>3</v>
      </c>
    </row>
    <row r="3945" spans="1:2" x14ac:dyDescent="0.3">
      <c r="A3945" s="4" t="s">
        <v>6668</v>
      </c>
      <c r="B3945">
        <v>3</v>
      </c>
    </row>
    <row r="3946" spans="1:2" ht="43.2" x14ac:dyDescent="0.3">
      <c r="A3946" s="4" t="s">
        <v>6669</v>
      </c>
      <c r="B3946">
        <v>3</v>
      </c>
    </row>
    <row r="3947" spans="1:2" ht="28.8" x14ac:dyDescent="0.3">
      <c r="A3947" s="4" t="s">
        <v>6670</v>
      </c>
      <c r="B3947">
        <v>3</v>
      </c>
    </row>
    <row r="3948" spans="1:2" ht="28.8" x14ac:dyDescent="0.3">
      <c r="A3948" s="4" t="s">
        <v>6671</v>
      </c>
      <c r="B3948">
        <v>3</v>
      </c>
    </row>
    <row r="3949" spans="1:2" ht="28.8" x14ac:dyDescent="0.3">
      <c r="A3949" s="4" t="s">
        <v>6672</v>
      </c>
      <c r="B3949">
        <v>3</v>
      </c>
    </row>
    <row r="3950" spans="1:2" ht="28.8" x14ac:dyDescent="0.3">
      <c r="A3950" s="4" t="s">
        <v>6673</v>
      </c>
      <c r="B3950">
        <v>3</v>
      </c>
    </row>
    <row r="3951" spans="1:2" ht="28.8" x14ac:dyDescent="0.3">
      <c r="A3951" s="4" t="s">
        <v>6674</v>
      </c>
      <c r="B3951">
        <v>3</v>
      </c>
    </row>
    <row r="3952" spans="1:2" ht="28.8" x14ac:dyDescent="0.3">
      <c r="A3952" s="4" t="s">
        <v>6675</v>
      </c>
      <c r="B3952">
        <v>3</v>
      </c>
    </row>
    <row r="3953" spans="1:2" ht="28.8" x14ac:dyDescent="0.3">
      <c r="A3953" s="4" t="s">
        <v>6676</v>
      </c>
      <c r="B3953">
        <v>3</v>
      </c>
    </row>
    <row r="3954" spans="1:2" x14ac:dyDescent="0.3">
      <c r="A3954" s="4" t="s">
        <v>6677</v>
      </c>
      <c r="B3954">
        <v>3</v>
      </c>
    </row>
    <row r="3955" spans="1:2" ht="28.8" x14ac:dyDescent="0.3">
      <c r="A3955" s="4" t="s">
        <v>6678</v>
      </c>
      <c r="B3955">
        <v>3</v>
      </c>
    </row>
    <row r="3956" spans="1:2" x14ac:dyDescent="0.3">
      <c r="A3956" s="4" t="s">
        <v>6679</v>
      </c>
      <c r="B3956">
        <v>3</v>
      </c>
    </row>
    <row r="3957" spans="1:2" x14ac:dyDescent="0.3">
      <c r="A3957" s="4" t="s">
        <v>6680</v>
      </c>
      <c r="B3957">
        <v>3</v>
      </c>
    </row>
    <row r="3958" spans="1:2" ht="28.8" x14ac:dyDescent="0.3">
      <c r="A3958" s="4" t="s">
        <v>6681</v>
      </c>
      <c r="B3958">
        <v>3</v>
      </c>
    </row>
    <row r="3959" spans="1:2" ht="28.8" x14ac:dyDescent="0.3">
      <c r="A3959" s="4" t="s">
        <v>6682</v>
      </c>
      <c r="B3959">
        <v>3</v>
      </c>
    </row>
    <row r="3960" spans="1:2" ht="28.8" x14ac:dyDescent="0.3">
      <c r="A3960" s="4" t="s">
        <v>6683</v>
      </c>
      <c r="B3960">
        <v>3</v>
      </c>
    </row>
    <row r="3961" spans="1:2" x14ac:dyDescent="0.3">
      <c r="A3961" s="4" t="s">
        <v>6684</v>
      </c>
      <c r="B3961">
        <v>3</v>
      </c>
    </row>
    <row r="3962" spans="1:2" ht="28.8" x14ac:dyDescent="0.3">
      <c r="A3962" s="4" t="s">
        <v>6685</v>
      </c>
      <c r="B3962">
        <v>3</v>
      </c>
    </row>
    <row r="3963" spans="1:2" ht="28.8" x14ac:dyDescent="0.3">
      <c r="A3963" s="4" t="s">
        <v>6686</v>
      </c>
      <c r="B3963">
        <v>3</v>
      </c>
    </row>
    <row r="3964" spans="1:2" ht="28.8" x14ac:dyDescent="0.3">
      <c r="A3964" s="4" t="s">
        <v>6687</v>
      </c>
      <c r="B3964">
        <v>3</v>
      </c>
    </row>
    <row r="3965" spans="1:2" ht="43.2" x14ac:dyDescent="0.3">
      <c r="A3965" s="4" t="s">
        <v>6688</v>
      </c>
      <c r="B3965">
        <v>3</v>
      </c>
    </row>
    <row r="3966" spans="1:2" ht="28.8" x14ac:dyDescent="0.3">
      <c r="A3966" s="4" t="s">
        <v>6689</v>
      </c>
      <c r="B3966">
        <v>3</v>
      </c>
    </row>
    <row r="3967" spans="1:2" x14ac:dyDescent="0.3">
      <c r="A3967" s="4" t="s">
        <v>6690</v>
      </c>
      <c r="B3967">
        <v>3</v>
      </c>
    </row>
    <row r="3968" spans="1:2" ht="28.8" x14ac:dyDescent="0.3">
      <c r="A3968" s="4" t="s">
        <v>6691</v>
      </c>
      <c r="B3968">
        <v>3</v>
      </c>
    </row>
    <row r="3969" spans="1:2" ht="28.8" x14ac:dyDescent="0.3">
      <c r="A3969" s="4" t="s">
        <v>6692</v>
      </c>
      <c r="B3969">
        <v>3</v>
      </c>
    </row>
    <row r="3970" spans="1:2" ht="43.2" x14ac:dyDescent="0.3">
      <c r="A3970" s="4" t="s">
        <v>6693</v>
      </c>
      <c r="B3970">
        <v>3</v>
      </c>
    </row>
    <row r="3971" spans="1:2" x14ac:dyDescent="0.3">
      <c r="A3971" s="4" t="s">
        <v>6694</v>
      </c>
      <c r="B3971">
        <v>3</v>
      </c>
    </row>
    <row r="3972" spans="1:2" x14ac:dyDescent="0.3">
      <c r="A3972" s="4" t="s">
        <v>6695</v>
      </c>
      <c r="B3972">
        <v>3</v>
      </c>
    </row>
    <row r="3973" spans="1:2" ht="28.8" x14ac:dyDescent="0.3">
      <c r="A3973" s="4" t="s">
        <v>6696</v>
      </c>
      <c r="B3973">
        <v>3</v>
      </c>
    </row>
    <row r="3974" spans="1:2" x14ac:dyDescent="0.3">
      <c r="A3974" s="4" t="s">
        <v>6697</v>
      </c>
      <c r="B3974">
        <v>3</v>
      </c>
    </row>
    <row r="3975" spans="1:2" x14ac:dyDescent="0.3">
      <c r="A3975" s="4" t="s">
        <v>6698</v>
      </c>
      <c r="B3975">
        <v>3</v>
      </c>
    </row>
    <row r="3976" spans="1:2" x14ac:dyDescent="0.3">
      <c r="A3976" s="4" t="s">
        <v>6699</v>
      </c>
      <c r="B3976">
        <v>3</v>
      </c>
    </row>
    <row r="3977" spans="1:2" ht="28.8" x14ac:dyDescent="0.3">
      <c r="A3977" s="4" t="s">
        <v>6700</v>
      </c>
      <c r="B3977">
        <v>3</v>
      </c>
    </row>
    <row r="3978" spans="1:2" ht="28.8" x14ac:dyDescent="0.3">
      <c r="A3978" s="4" t="s">
        <v>6701</v>
      </c>
      <c r="B3978">
        <v>3</v>
      </c>
    </row>
    <row r="3979" spans="1:2" ht="43.2" x14ac:dyDescent="0.3">
      <c r="A3979" s="4" t="s">
        <v>6702</v>
      </c>
      <c r="B3979">
        <v>3</v>
      </c>
    </row>
    <row r="3980" spans="1:2" ht="28.8" x14ac:dyDescent="0.3">
      <c r="A3980" s="4" t="s">
        <v>6703</v>
      </c>
      <c r="B3980">
        <v>3</v>
      </c>
    </row>
    <row r="3981" spans="1:2" x14ac:dyDescent="0.3">
      <c r="A3981" s="4" t="s">
        <v>6704</v>
      </c>
      <c r="B3981">
        <v>3</v>
      </c>
    </row>
    <row r="3982" spans="1:2" ht="43.2" x14ac:dyDescent="0.3">
      <c r="A3982" s="4" t="s">
        <v>6705</v>
      </c>
      <c r="B3982">
        <v>3</v>
      </c>
    </row>
    <row r="3983" spans="1:2" ht="28.8" x14ac:dyDescent="0.3">
      <c r="A3983" s="4" t="s">
        <v>6706</v>
      </c>
      <c r="B3983">
        <v>3</v>
      </c>
    </row>
    <row r="3984" spans="1:2" ht="28.8" x14ac:dyDescent="0.3">
      <c r="A3984" s="4" t="s">
        <v>6707</v>
      </c>
      <c r="B3984">
        <v>3</v>
      </c>
    </row>
    <row r="3985" spans="1:2" ht="28.8" x14ac:dyDescent="0.3">
      <c r="A3985" s="4" t="s">
        <v>6708</v>
      </c>
      <c r="B3985">
        <v>3</v>
      </c>
    </row>
    <row r="3986" spans="1:2" ht="28.8" x14ac:dyDescent="0.3">
      <c r="A3986" s="4" t="s">
        <v>6709</v>
      </c>
      <c r="B3986">
        <v>3</v>
      </c>
    </row>
    <row r="3987" spans="1:2" ht="28.8" x14ac:dyDescent="0.3">
      <c r="A3987" s="4" t="s">
        <v>6710</v>
      </c>
      <c r="B3987">
        <v>3</v>
      </c>
    </row>
    <row r="3988" spans="1:2" x14ac:dyDescent="0.3">
      <c r="A3988" s="4" t="s">
        <v>6711</v>
      </c>
      <c r="B3988">
        <v>3</v>
      </c>
    </row>
    <row r="3989" spans="1:2" ht="28.8" x14ac:dyDescent="0.3">
      <c r="A3989" s="4" t="s">
        <v>6712</v>
      </c>
      <c r="B3989">
        <v>3</v>
      </c>
    </row>
    <row r="3990" spans="1:2" ht="43.2" x14ac:dyDescent="0.3">
      <c r="A3990" s="4" t="s">
        <v>6713</v>
      </c>
      <c r="B3990">
        <v>3</v>
      </c>
    </row>
    <row r="3991" spans="1:2" ht="28.8" x14ac:dyDescent="0.3">
      <c r="A3991" s="4" t="s">
        <v>6714</v>
      </c>
      <c r="B3991">
        <v>3</v>
      </c>
    </row>
    <row r="3992" spans="1:2" ht="28.8" x14ac:dyDescent="0.3">
      <c r="A3992" s="4" t="s">
        <v>6715</v>
      </c>
      <c r="B3992">
        <v>3</v>
      </c>
    </row>
    <row r="3993" spans="1:2" ht="28.8" x14ac:dyDescent="0.3">
      <c r="A3993" s="4" t="s">
        <v>6716</v>
      </c>
      <c r="B3993">
        <v>3</v>
      </c>
    </row>
    <row r="3994" spans="1:2" ht="43.2" x14ac:dyDescent="0.3">
      <c r="A3994" s="4" t="s">
        <v>6717</v>
      </c>
      <c r="B3994">
        <v>3</v>
      </c>
    </row>
    <row r="3995" spans="1:2" ht="28.8" x14ac:dyDescent="0.3">
      <c r="A3995" s="4" t="s">
        <v>6718</v>
      </c>
      <c r="B3995">
        <v>3</v>
      </c>
    </row>
    <row r="3996" spans="1:2" ht="28.8" x14ac:dyDescent="0.3">
      <c r="A3996" s="4" t="s">
        <v>6719</v>
      </c>
      <c r="B3996">
        <v>3</v>
      </c>
    </row>
    <row r="3997" spans="1:2" ht="43.2" x14ac:dyDescent="0.3">
      <c r="A3997" s="4" t="s">
        <v>6720</v>
      </c>
      <c r="B3997">
        <v>3</v>
      </c>
    </row>
    <row r="3998" spans="1:2" ht="28.8" x14ac:dyDescent="0.3">
      <c r="A3998" s="4" t="s">
        <v>6721</v>
      </c>
      <c r="B3998">
        <v>3</v>
      </c>
    </row>
    <row r="3999" spans="1:2" ht="28.8" x14ac:dyDescent="0.3">
      <c r="A3999" s="4" t="s">
        <v>6722</v>
      </c>
      <c r="B3999">
        <v>3</v>
      </c>
    </row>
    <row r="4000" spans="1:2" ht="28.8" x14ac:dyDescent="0.3">
      <c r="A4000" s="4" t="s">
        <v>6723</v>
      </c>
      <c r="B4000">
        <v>3</v>
      </c>
    </row>
    <row r="4001" spans="1:2" ht="28.8" x14ac:dyDescent="0.3">
      <c r="A4001" s="4" t="s">
        <v>6724</v>
      </c>
      <c r="B4001">
        <v>3</v>
      </c>
    </row>
    <row r="4002" spans="1:2" ht="28.8" x14ac:dyDescent="0.3">
      <c r="A4002" s="4" t="s">
        <v>6725</v>
      </c>
      <c r="B4002">
        <v>3</v>
      </c>
    </row>
    <row r="4003" spans="1:2" ht="43.2" x14ac:dyDescent="0.3">
      <c r="A4003" s="4" t="s">
        <v>6726</v>
      </c>
      <c r="B4003">
        <v>3</v>
      </c>
    </row>
    <row r="4004" spans="1:2" ht="28.8" x14ac:dyDescent="0.3">
      <c r="A4004" s="4" t="s">
        <v>6727</v>
      </c>
      <c r="B4004">
        <v>3</v>
      </c>
    </row>
    <row r="4005" spans="1:2" ht="28.8" x14ac:dyDescent="0.3">
      <c r="A4005" s="4" t="s">
        <v>6728</v>
      </c>
      <c r="B4005">
        <v>3</v>
      </c>
    </row>
    <row r="4006" spans="1:2" ht="28.8" x14ac:dyDescent="0.3">
      <c r="A4006" s="4" t="s">
        <v>6729</v>
      </c>
      <c r="B4006">
        <v>3</v>
      </c>
    </row>
    <row r="4007" spans="1:2" ht="28.8" x14ac:dyDescent="0.3">
      <c r="A4007" s="4" t="s">
        <v>6730</v>
      </c>
      <c r="B4007">
        <v>3</v>
      </c>
    </row>
    <row r="4008" spans="1:2" ht="43.2" x14ac:dyDescent="0.3">
      <c r="A4008" s="4" t="s">
        <v>6731</v>
      </c>
      <c r="B4008">
        <v>3</v>
      </c>
    </row>
    <row r="4009" spans="1:2" ht="28.8" x14ac:dyDescent="0.3">
      <c r="A4009" s="4" t="s">
        <v>6732</v>
      </c>
      <c r="B4009">
        <v>3</v>
      </c>
    </row>
    <row r="4010" spans="1:2" ht="43.2" x14ac:dyDescent="0.3">
      <c r="A4010" s="4" t="s">
        <v>6733</v>
      </c>
      <c r="B4010">
        <v>3</v>
      </c>
    </row>
    <row r="4011" spans="1:2" ht="28.8" x14ac:dyDescent="0.3">
      <c r="A4011" s="4" t="s">
        <v>6734</v>
      </c>
      <c r="B4011">
        <v>3</v>
      </c>
    </row>
    <row r="4012" spans="1:2" ht="28.8" x14ac:dyDescent="0.3">
      <c r="A4012" s="4" t="s">
        <v>6735</v>
      </c>
      <c r="B4012">
        <v>3</v>
      </c>
    </row>
    <row r="4013" spans="1:2" ht="28.8" x14ac:dyDescent="0.3">
      <c r="A4013" s="4" t="s">
        <v>6736</v>
      </c>
      <c r="B4013">
        <v>3</v>
      </c>
    </row>
    <row r="4014" spans="1:2" ht="28.8" x14ac:dyDescent="0.3">
      <c r="A4014" s="4" t="s">
        <v>6737</v>
      </c>
      <c r="B4014">
        <v>3</v>
      </c>
    </row>
    <row r="4015" spans="1:2" ht="28.8" x14ac:dyDescent="0.3">
      <c r="A4015" s="4" t="s">
        <v>6738</v>
      </c>
      <c r="B4015">
        <v>3</v>
      </c>
    </row>
    <row r="4016" spans="1:2" ht="28.8" x14ac:dyDescent="0.3">
      <c r="A4016" s="4" t="s">
        <v>6739</v>
      </c>
      <c r="B4016">
        <v>3</v>
      </c>
    </row>
    <row r="4017" spans="1:2" ht="28.8" x14ac:dyDescent="0.3">
      <c r="A4017" s="4" t="s">
        <v>6740</v>
      </c>
      <c r="B4017">
        <v>3</v>
      </c>
    </row>
    <row r="4018" spans="1:2" ht="28.8" x14ac:dyDescent="0.3">
      <c r="A4018" s="4" t="s">
        <v>6741</v>
      </c>
      <c r="B4018">
        <v>3</v>
      </c>
    </row>
    <row r="4019" spans="1:2" x14ac:dyDescent="0.3">
      <c r="A4019" s="4" t="s">
        <v>6742</v>
      </c>
      <c r="B4019">
        <v>3</v>
      </c>
    </row>
    <row r="4020" spans="1:2" ht="28.8" x14ac:dyDescent="0.3">
      <c r="A4020" s="4" t="s">
        <v>6743</v>
      </c>
      <c r="B4020">
        <v>3</v>
      </c>
    </row>
    <row r="4021" spans="1:2" ht="28.8" x14ac:dyDescent="0.3">
      <c r="A4021" s="4" t="s">
        <v>6744</v>
      </c>
      <c r="B4021">
        <v>3</v>
      </c>
    </row>
    <row r="4022" spans="1:2" x14ac:dyDescent="0.3">
      <c r="A4022" s="4" t="s">
        <v>6745</v>
      </c>
      <c r="B4022">
        <v>3</v>
      </c>
    </row>
    <row r="4023" spans="1:2" ht="28.8" x14ac:dyDescent="0.3">
      <c r="A4023" s="4" t="s">
        <v>6746</v>
      </c>
      <c r="B4023">
        <v>3</v>
      </c>
    </row>
    <row r="4024" spans="1:2" ht="28.8" x14ac:dyDescent="0.3">
      <c r="A4024" s="4" t="s">
        <v>6747</v>
      </c>
      <c r="B4024">
        <v>3</v>
      </c>
    </row>
    <row r="4025" spans="1:2" ht="129.6" x14ac:dyDescent="0.3">
      <c r="A4025" s="4" t="s">
        <v>6748</v>
      </c>
      <c r="B4025">
        <v>3</v>
      </c>
    </row>
    <row r="4026" spans="1:2" ht="28.8" x14ac:dyDescent="0.3">
      <c r="A4026" s="4" t="s">
        <v>6749</v>
      </c>
      <c r="B4026">
        <v>3</v>
      </c>
    </row>
    <row r="4027" spans="1:2" ht="28.8" x14ac:dyDescent="0.3">
      <c r="A4027" s="4" t="s">
        <v>6750</v>
      </c>
      <c r="B4027">
        <v>3</v>
      </c>
    </row>
    <row r="4028" spans="1:2" x14ac:dyDescent="0.3">
      <c r="A4028" s="4" t="s">
        <v>6751</v>
      </c>
      <c r="B4028">
        <v>3</v>
      </c>
    </row>
    <row r="4029" spans="1:2" x14ac:dyDescent="0.3">
      <c r="A4029" s="4" t="s">
        <v>6752</v>
      </c>
      <c r="B4029">
        <v>3</v>
      </c>
    </row>
    <row r="4030" spans="1:2" ht="28.8" x14ac:dyDescent="0.3">
      <c r="A4030" s="4" t="s">
        <v>6753</v>
      </c>
      <c r="B4030">
        <v>3</v>
      </c>
    </row>
    <row r="4031" spans="1:2" x14ac:dyDescent="0.3">
      <c r="A4031" s="4" t="s">
        <v>6754</v>
      </c>
      <c r="B4031">
        <v>3</v>
      </c>
    </row>
    <row r="4032" spans="1:2" ht="28.8" x14ac:dyDescent="0.3">
      <c r="A4032" s="4" t="s">
        <v>6755</v>
      </c>
      <c r="B4032">
        <v>3</v>
      </c>
    </row>
    <row r="4033" spans="1:2" ht="28.8" x14ac:dyDescent="0.3">
      <c r="A4033" s="4" t="s">
        <v>6756</v>
      </c>
      <c r="B4033">
        <v>3</v>
      </c>
    </row>
    <row r="4034" spans="1:2" ht="43.2" x14ac:dyDescent="0.3">
      <c r="A4034" s="4" t="s">
        <v>6757</v>
      </c>
      <c r="B4034">
        <v>3</v>
      </c>
    </row>
    <row r="4035" spans="1:2" ht="28.8" x14ac:dyDescent="0.3">
      <c r="A4035" s="4" t="s">
        <v>6758</v>
      </c>
      <c r="B4035">
        <v>3</v>
      </c>
    </row>
    <row r="4036" spans="1:2" ht="28.8" x14ac:dyDescent="0.3">
      <c r="A4036" s="4" t="s">
        <v>6759</v>
      </c>
      <c r="B4036">
        <v>3</v>
      </c>
    </row>
    <row r="4037" spans="1:2" ht="28.8" x14ac:dyDescent="0.3">
      <c r="A4037" s="4" t="s">
        <v>6760</v>
      </c>
      <c r="B4037">
        <v>3</v>
      </c>
    </row>
    <row r="4038" spans="1:2" ht="28.8" x14ac:dyDescent="0.3">
      <c r="A4038" s="4" t="s">
        <v>6761</v>
      </c>
      <c r="B4038">
        <v>3</v>
      </c>
    </row>
    <row r="4039" spans="1:2" ht="28.8" x14ac:dyDescent="0.3">
      <c r="A4039" s="4" t="s">
        <v>6762</v>
      </c>
      <c r="B4039">
        <v>3</v>
      </c>
    </row>
    <row r="4040" spans="1:2" ht="43.2" x14ac:dyDescent="0.3">
      <c r="A4040" s="4" t="s">
        <v>6763</v>
      </c>
      <c r="B4040">
        <v>3</v>
      </c>
    </row>
    <row r="4041" spans="1:2" ht="43.2" x14ac:dyDescent="0.3">
      <c r="A4041" s="4" t="s">
        <v>6764</v>
      </c>
      <c r="B4041">
        <v>3</v>
      </c>
    </row>
    <row r="4042" spans="1:2" x14ac:dyDescent="0.3">
      <c r="A4042" s="4" t="s">
        <v>6765</v>
      </c>
      <c r="B4042">
        <v>3</v>
      </c>
    </row>
    <row r="4043" spans="1:2" x14ac:dyDescent="0.3">
      <c r="A4043" s="4" t="s">
        <v>6766</v>
      </c>
      <c r="B4043">
        <v>3</v>
      </c>
    </row>
    <row r="4044" spans="1:2" ht="28.8" x14ac:dyDescent="0.3">
      <c r="A4044" s="4" t="s">
        <v>6767</v>
      </c>
      <c r="B4044">
        <v>3</v>
      </c>
    </row>
    <row r="4045" spans="1:2" ht="28.8" x14ac:dyDescent="0.3">
      <c r="A4045" s="4" t="s">
        <v>6768</v>
      </c>
      <c r="B4045">
        <v>3</v>
      </c>
    </row>
    <row r="4046" spans="1:2" ht="28.8" x14ac:dyDescent="0.3">
      <c r="A4046" s="4" t="s">
        <v>6769</v>
      </c>
      <c r="B4046">
        <v>3</v>
      </c>
    </row>
    <row r="4047" spans="1:2" ht="28.8" x14ac:dyDescent="0.3">
      <c r="A4047" s="4" t="s">
        <v>6770</v>
      </c>
      <c r="B4047">
        <v>3</v>
      </c>
    </row>
    <row r="4048" spans="1:2" ht="28.8" x14ac:dyDescent="0.3">
      <c r="A4048" s="4" t="s">
        <v>6771</v>
      </c>
      <c r="B4048">
        <v>3</v>
      </c>
    </row>
    <row r="4049" spans="1:2" ht="28.8" x14ac:dyDescent="0.3">
      <c r="A4049" s="4" t="s">
        <v>6772</v>
      </c>
      <c r="B4049">
        <v>3</v>
      </c>
    </row>
    <row r="4050" spans="1:2" ht="28.8" x14ac:dyDescent="0.3">
      <c r="A4050" s="4" t="s">
        <v>6773</v>
      </c>
      <c r="B4050">
        <v>3</v>
      </c>
    </row>
    <row r="4051" spans="1:2" x14ac:dyDescent="0.3">
      <c r="A4051" s="4" t="s">
        <v>6774</v>
      </c>
      <c r="B4051">
        <v>3</v>
      </c>
    </row>
    <row r="4052" spans="1:2" ht="28.8" x14ac:dyDescent="0.3">
      <c r="A4052" s="4" t="s">
        <v>6775</v>
      </c>
      <c r="B4052">
        <v>3</v>
      </c>
    </row>
    <row r="4053" spans="1:2" ht="28.8" x14ac:dyDescent="0.3">
      <c r="A4053" s="4" t="s">
        <v>6776</v>
      </c>
      <c r="B4053">
        <v>3</v>
      </c>
    </row>
    <row r="4054" spans="1:2" ht="28.8" x14ac:dyDescent="0.3">
      <c r="A4054" s="4" t="s">
        <v>6777</v>
      </c>
      <c r="B4054">
        <v>3</v>
      </c>
    </row>
    <row r="4055" spans="1:2" ht="28.8" x14ac:dyDescent="0.3">
      <c r="A4055" s="4" t="s">
        <v>6778</v>
      </c>
      <c r="B4055">
        <v>3</v>
      </c>
    </row>
    <row r="4056" spans="1:2" x14ac:dyDescent="0.3">
      <c r="A4056" s="4" t="s">
        <v>6779</v>
      </c>
      <c r="B4056">
        <v>3</v>
      </c>
    </row>
    <row r="4057" spans="1:2" ht="28.8" x14ac:dyDescent="0.3">
      <c r="A4057" s="4" t="s">
        <v>6780</v>
      </c>
      <c r="B4057">
        <v>3</v>
      </c>
    </row>
    <row r="4058" spans="1:2" ht="28.8" x14ac:dyDescent="0.3">
      <c r="A4058" s="4" t="s">
        <v>6781</v>
      </c>
      <c r="B4058">
        <v>3</v>
      </c>
    </row>
    <row r="4059" spans="1:2" ht="28.8" x14ac:dyDescent="0.3">
      <c r="A4059" s="4" t="s">
        <v>6782</v>
      </c>
      <c r="B4059">
        <v>3</v>
      </c>
    </row>
    <row r="4060" spans="1:2" ht="28.8" x14ac:dyDescent="0.3">
      <c r="A4060" s="4" t="s">
        <v>6783</v>
      </c>
      <c r="B4060">
        <v>3</v>
      </c>
    </row>
    <row r="4061" spans="1:2" ht="43.2" x14ac:dyDescent="0.3">
      <c r="A4061" s="4" t="s">
        <v>6784</v>
      </c>
      <c r="B4061">
        <v>3</v>
      </c>
    </row>
    <row r="4062" spans="1:2" ht="28.8" x14ac:dyDescent="0.3">
      <c r="A4062" s="4" t="s">
        <v>6785</v>
      </c>
      <c r="B4062">
        <v>3</v>
      </c>
    </row>
    <row r="4063" spans="1:2" ht="28.8" x14ac:dyDescent="0.3">
      <c r="A4063" s="4" t="s">
        <v>6786</v>
      </c>
      <c r="B4063">
        <v>3</v>
      </c>
    </row>
    <row r="4064" spans="1:2" ht="28.8" x14ac:dyDescent="0.3">
      <c r="A4064" s="4" t="s">
        <v>6787</v>
      </c>
      <c r="B4064">
        <v>3</v>
      </c>
    </row>
    <row r="4065" spans="1:2" x14ac:dyDescent="0.3">
      <c r="A4065" s="4" t="s">
        <v>6788</v>
      </c>
      <c r="B4065">
        <v>3</v>
      </c>
    </row>
    <row r="4066" spans="1:2" ht="43.2" x14ac:dyDescent="0.3">
      <c r="A4066" s="4" t="s">
        <v>6789</v>
      </c>
      <c r="B4066">
        <v>3</v>
      </c>
    </row>
    <row r="4067" spans="1:2" x14ac:dyDescent="0.3">
      <c r="A4067" s="4" t="s">
        <v>6790</v>
      </c>
      <c r="B4067">
        <v>3</v>
      </c>
    </row>
    <row r="4068" spans="1:2" ht="28.8" x14ac:dyDescent="0.3">
      <c r="A4068" s="4" t="s">
        <v>6791</v>
      </c>
      <c r="B4068">
        <v>3</v>
      </c>
    </row>
    <row r="4069" spans="1:2" ht="28.8" x14ac:dyDescent="0.3">
      <c r="A4069" s="4" t="s">
        <v>6792</v>
      </c>
      <c r="B4069">
        <v>3</v>
      </c>
    </row>
    <row r="4070" spans="1:2" ht="28.8" x14ac:dyDescent="0.3">
      <c r="A4070" s="4" t="s">
        <v>6793</v>
      </c>
      <c r="B4070">
        <v>3</v>
      </c>
    </row>
    <row r="4071" spans="1:2" ht="43.2" x14ac:dyDescent="0.3">
      <c r="A4071" s="4" t="s">
        <v>6794</v>
      </c>
      <c r="B4071">
        <v>3</v>
      </c>
    </row>
    <row r="4072" spans="1:2" ht="28.8" x14ac:dyDescent="0.3">
      <c r="A4072" s="4" t="s">
        <v>6795</v>
      </c>
      <c r="B4072">
        <v>3</v>
      </c>
    </row>
    <row r="4073" spans="1:2" ht="28.8" x14ac:dyDescent="0.3">
      <c r="A4073" s="4" t="s">
        <v>6796</v>
      </c>
      <c r="B4073">
        <v>3</v>
      </c>
    </row>
    <row r="4074" spans="1:2" ht="28.8" x14ac:dyDescent="0.3">
      <c r="A4074" s="4" t="s">
        <v>6797</v>
      </c>
      <c r="B4074">
        <v>3</v>
      </c>
    </row>
    <row r="4075" spans="1:2" ht="28.8" x14ac:dyDescent="0.3">
      <c r="A4075" s="4" t="s">
        <v>6798</v>
      </c>
      <c r="B4075">
        <v>3</v>
      </c>
    </row>
    <row r="4076" spans="1:2" ht="43.2" x14ac:dyDescent="0.3">
      <c r="A4076" s="4" t="s">
        <v>6799</v>
      </c>
      <c r="B4076">
        <v>3</v>
      </c>
    </row>
    <row r="4077" spans="1:2" ht="28.8" x14ac:dyDescent="0.3">
      <c r="A4077" s="4" t="s">
        <v>6800</v>
      </c>
      <c r="B4077">
        <v>3</v>
      </c>
    </row>
    <row r="4078" spans="1:2" ht="28.8" x14ac:dyDescent="0.3">
      <c r="A4078" s="4" t="s">
        <v>6801</v>
      </c>
      <c r="B4078">
        <v>3</v>
      </c>
    </row>
    <row r="4079" spans="1:2" ht="28.8" x14ac:dyDescent="0.3">
      <c r="A4079" s="4" t="s">
        <v>6802</v>
      </c>
      <c r="B4079">
        <v>3</v>
      </c>
    </row>
    <row r="4080" spans="1:2" ht="28.8" x14ac:dyDescent="0.3">
      <c r="A4080" s="4" t="s">
        <v>6803</v>
      </c>
      <c r="B4080">
        <v>3</v>
      </c>
    </row>
    <row r="4081" spans="1:2" ht="28.8" x14ac:dyDescent="0.3">
      <c r="A4081" s="4" t="s">
        <v>6804</v>
      </c>
      <c r="B4081">
        <v>3</v>
      </c>
    </row>
    <row r="4082" spans="1:2" ht="28.8" x14ac:dyDescent="0.3">
      <c r="A4082" s="4" t="s">
        <v>6805</v>
      </c>
      <c r="B4082">
        <v>3</v>
      </c>
    </row>
    <row r="4083" spans="1:2" ht="43.2" x14ac:dyDescent="0.3">
      <c r="A4083" s="4" t="s">
        <v>6806</v>
      </c>
      <c r="B4083">
        <v>3</v>
      </c>
    </row>
    <row r="4084" spans="1:2" ht="43.2" x14ac:dyDescent="0.3">
      <c r="A4084" s="4" t="s">
        <v>6807</v>
      </c>
      <c r="B4084">
        <v>3</v>
      </c>
    </row>
    <row r="4085" spans="1:2" ht="28.8" x14ac:dyDescent="0.3">
      <c r="A4085" s="4" t="s">
        <v>6808</v>
      </c>
      <c r="B4085">
        <v>3</v>
      </c>
    </row>
    <row r="4086" spans="1:2" ht="28.8" x14ac:dyDescent="0.3">
      <c r="A4086" s="4" t="s">
        <v>6809</v>
      </c>
      <c r="B4086">
        <v>3</v>
      </c>
    </row>
    <row r="4087" spans="1:2" ht="28.8" x14ac:dyDescent="0.3">
      <c r="A4087" s="4" t="s">
        <v>6810</v>
      </c>
      <c r="B4087">
        <v>3</v>
      </c>
    </row>
    <row r="4088" spans="1:2" x14ac:dyDescent="0.3">
      <c r="A4088" s="4" t="s">
        <v>6811</v>
      </c>
      <c r="B4088">
        <v>3</v>
      </c>
    </row>
    <row r="4089" spans="1:2" ht="28.8" x14ac:dyDescent="0.3">
      <c r="A4089" s="4" t="s">
        <v>6812</v>
      </c>
      <c r="B4089">
        <v>3</v>
      </c>
    </row>
    <row r="4090" spans="1:2" ht="43.2" x14ac:dyDescent="0.3">
      <c r="A4090" s="4" t="s">
        <v>6813</v>
      </c>
      <c r="B4090">
        <v>3</v>
      </c>
    </row>
    <row r="4091" spans="1:2" ht="28.8" x14ac:dyDescent="0.3">
      <c r="A4091" s="4" t="s">
        <v>6814</v>
      </c>
      <c r="B4091">
        <v>3</v>
      </c>
    </row>
    <row r="4092" spans="1:2" ht="28.8" x14ac:dyDescent="0.3">
      <c r="A4092" s="4" t="s">
        <v>6815</v>
      </c>
      <c r="B4092">
        <v>3</v>
      </c>
    </row>
    <row r="4093" spans="1:2" ht="43.2" x14ac:dyDescent="0.3">
      <c r="A4093" s="4" t="s">
        <v>6816</v>
      </c>
      <c r="B4093">
        <v>3</v>
      </c>
    </row>
    <row r="4094" spans="1:2" ht="43.2" x14ac:dyDescent="0.3">
      <c r="A4094" s="4" t="s">
        <v>6817</v>
      </c>
      <c r="B4094">
        <v>3</v>
      </c>
    </row>
    <row r="4095" spans="1:2" ht="28.8" x14ac:dyDescent="0.3">
      <c r="A4095" s="4" t="s">
        <v>6818</v>
      </c>
      <c r="B4095">
        <v>3</v>
      </c>
    </row>
    <row r="4096" spans="1:2" ht="28.8" x14ac:dyDescent="0.3">
      <c r="A4096" s="4" t="s">
        <v>6819</v>
      </c>
      <c r="B4096">
        <v>3</v>
      </c>
    </row>
    <row r="4097" spans="1:2" ht="28.8" x14ac:dyDescent="0.3">
      <c r="A4097" s="4" t="s">
        <v>6820</v>
      </c>
      <c r="B4097">
        <v>3</v>
      </c>
    </row>
    <row r="4098" spans="1:2" x14ac:dyDescent="0.3">
      <c r="A4098" s="4" t="s">
        <v>6821</v>
      </c>
      <c r="B4098">
        <v>3</v>
      </c>
    </row>
    <row r="4099" spans="1:2" ht="28.8" x14ac:dyDescent="0.3">
      <c r="A4099" s="4" t="s">
        <v>6822</v>
      </c>
      <c r="B4099">
        <v>3</v>
      </c>
    </row>
    <row r="4100" spans="1:2" x14ac:dyDescent="0.3">
      <c r="A4100" s="4" t="s">
        <v>6823</v>
      </c>
      <c r="B4100">
        <v>3</v>
      </c>
    </row>
    <row r="4101" spans="1:2" ht="28.8" x14ac:dyDescent="0.3">
      <c r="A4101" s="4" t="s">
        <v>6824</v>
      </c>
      <c r="B4101">
        <v>3</v>
      </c>
    </row>
    <row r="4102" spans="1:2" ht="28.8" x14ac:dyDescent="0.3">
      <c r="A4102" s="4" t="s">
        <v>6825</v>
      </c>
      <c r="B4102">
        <v>3</v>
      </c>
    </row>
    <row r="4103" spans="1:2" ht="28.8" x14ac:dyDescent="0.3">
      <c r="A4103" s="4" t="s">
        <v>6826</v>
      </c>
      <c r="B4103">
        <v>3</v>
      </c>
    </row>
    <row r="4104" spans="1:2" ht="28.8" x14ac:dyDescent="0.3">
      <c r="A4104" s="4" t="s">
        <v>6827</v>
      </c>
      <c r="B4104">
        <v>3</v>
      </c>
    </row>
    <row r="4105" spans="1:2" ht="28.8" x14ac:dyDescent="0.3">
      <c r="A4105" s="4" t="s">
        <v>6828</v>
      </c>
      <c r="B4105">
        <v>3</v>
      </c>
    </row>
    <row r="4106" spans="1:2" ht="28.8" x14ac:dyDescent="0.3">
      <c r="A4106" s="4" t="s">
        <v>6829</v>
      </c>
      <c r="B4106">
        <v>3</v>
      </c>
    </row>
    <row r="4107" spans="1:2" x14ac:dyDescent="0.3">
      <c r="A4107" s="4" t="s">
        <v>6830</v>
      </c>
      <c r="B4107">
        <v>3</v>
      </c>
    </row>
    <row r="4108" spans="1:2" ht="28.8" x14ac:dyDescent="0.3">
      <c r="A4108" s="4" t="s">
        <v>6831</v>
      </c>
      <c r="B4108">
        <v>3</v>
      </c>
    </row>
    <row r="4109" spans="1:2" ht="28.8" x14ac:dyDescent="0.3">
      <c r="A4109" s="4" t="s">
        <v>6832</v>
      </c>
      <c r="B4109">
        <v>3</v>
      </c>
    </row>
    <row r="4110" spans="1:2" ht="28.8" x14ac:dyDescent="0.3">
      <c r="A4110" s="4" t="s">
        <v>6833</v>
      </c>
      <c r="B4110">
        <v>3</v>
      </c>
    </row>
    <row r="4111" spans="1:2" ht="43.2" x14ac:dyDescent="0.3">
      <c r="A4111" s="4" t="s">
        <v>6834</v>
      </c>
      <c r="B4111">
        <v>3</v>
      </c>
    </row>
    <row r="4112" spans="1:2" ht="28.8" x14ac:dyDescent="0.3">
      <c r="A4112" s="4" t="s">
        <v>6835</v>
      </c>
      <c r="B4112">
        <v>3</v>
      </c>
    </row>
    <row r="4113" spans="1:2" ht="28.8" x14ac:dyDescent="0.3">
      <c r="A4113" s="4" t="s">
        <v>6836</v>
      </c>
      <c r="B4113">
        <v>3</v>
      </c>
    </row>
    <row r="4114" spans="1:2" ht="28.8" x14ac:dyDescent="0.3">
      <c r="A4114" s="4" t="s">
        <v>6837</v>
      </c>
      <c r="B4114">
        <v>3</v>
      </c>
    </row>
    <row r="4115" spans="1:2" ht="28.8" x14ac:dyDescent="0.3">
      <c r="A4115" s="4" t="s">
        <v>6838</v>
      </c>
      <c r="B4115">
        <v>3</v>
      </c>
    </row>
    <row r="4116" spans="1:2" ht="28.8" x14ac:dyDescent="0.3">
      <c r="A4116" s="4" t="s">
        <v>6839</v>
      </c>
      <c r="B4116">
        <v>3</v>
      </c>
    </row>
    <row r="4117" spans="1:2" ht="28.8" x14ac:dyDescent="0.3">
      <c r="A4117" s="4" t="s">
        <v>6840</v>
      </c>
      <c r="B4117">
        <v>3</v>
      </c>
    </row>
    <row r="4118" spans="1:2" ht="28.8" x14ac:dyDescent="0.3">
      <c r="A4118" s="4" t="s">
        <v>6841</v>
      </c>
      <c r="B4118">
        <v>3</v>
      </c>
    </row>
    <row r="4119" spans="1:2" ht="28.8" x14ac:dyDescent="0.3">
      <c r="A4119" s="4" t="s">
        <v>6842</v>
      </c>
      <c r="B4119">
        <v>3</v>
      </c>
    </row>
    <row r="4120" spans="1:2" ht="43.2" x14ac:dyDescent="0.3">
      <c r="A4120" s="4" t="s">
        <v>6843</v>
      </c>
      <c r="B4120">
        <v>3</v>
      </c>
    </row>
    <row r="4121" spans="1:2" ht="28.8" x14ac:dyDescent="0.3">
      <c r="A4121" s="4" t="s">
        <v>6844</v>
      </c>
      <c r="B4121">
        <v>3</v>
      </c>
    </row>
    <row r="4122" spans="1:2" ht="28.8" x14ac:dyDescent="0.3">
      <c r="A4122" s="4" t="s">
        <v>6845</v>
      </c>
      <c r="B4122">
        <v>3</v>
      </c>
    </row>
    <row r="4123" spans="1:2" ht="28.8" x14ac:dyDescent="0.3">
      <c r="A4123" s="4" t="s">
        <v>6846</v>
      </c>
      <c r="B4123">
        <v>3</v>
      </c>
    </row>
    <row r="4124" spans="1:2" ht="28.8" x14ac:dyDescent="0.3">
      <c r="A4124" s="4" t="s">
        <v>6847</v>
      </c>
      <c r="B4124">
        <v>3</v>
      </c>
    </row>
    <row r="4125" spans="1:2" ht="28.8" x14ac:dyDescent="0.3">
      <c r="A4125" s="4" t="s">
        <v>6848</v>
      </c>
      <c r="B4125">
        <v>3</v>
      </c>
    </row>
    <row r="4126" spans="1:2" ht="43.2" x14ac:dyDescent="0.3">
      <c r="A4126" s="4" t="s">
        <v>6849</v>
      </c>
      <c r="B4126">
        <v>3</v>
      </c>
    </row>
    <row r="4127" spans="1:2" ht="28.8" x14ac:dyDescent="0.3">
      <c r="A4127" s="4" t="s">
        <v>6850</v>
      </c>
      <c r="B4127">
        <v>3</v>
      </c>
    </row>
    <row r="4128" spans="1:2" x14ac:dyDescent="0.3">
      <c r="A4128" s="4" t="s">
        <v>6851</v>
      </c>
      <c r="B4128">
        <v>3</v>
      </c>
    </row>
    <row r="4129" spans="1:2" ht="43.2" x14ac:dyDescent="0.3">
      <c r="A4129" s="4" t="s">
        <v>6852</v>
      </c>
      <c r="B4129">
        <v>3</v>
      </c>
    </row>
    <row r="4130" spans="1:2" ht="28.8" x14ac:dyDescent="0.3">
      <c r="A4130" s="4" t="s">
        <v>6853</v>
      </c>
      <c r="B4130">
        <v>3</v>
      </c>
    </row>
    <row r="4131" spans="1:2" ht="43.2" x14ac:dyDescent="0.3">
      <c r="A4131" s="4" t="s">
        <v>6854</v>
      </c>
      <c r="B4131">
        <v>3</v>
      </c>
    </row>
    <row r="4132" spans="1:2" ht="28.8" x14ac:dyDescent="0.3">
      <c r="A4132" s="4" t="s">
        <v>6855</v>
      </c>
      <c r="B4132">
        <v>3</v>
      </c>
    </row>
    <row r="4133" spans="1:2" x14ac:dyDescent="0.3">
      <c r="A4133" s="4" t="s">
        <v>6856</v>
      </c>
      <c r="B4133">
        <v>3</v>
      </c>
    </row>
    <row r="4134" spans="1:2" ht="28.8" x14ac:dyDescent="0.3">
      <c r="A4134" s="4" t="s">
        <v>6857</v>
      </c>
      <c r="B4134">
        <v>3</v>
      </c>
    </row>
    <row r="4135" spans="1:2" ht="28.8" x14ac:dyDescent="0.3">
      <c r="A4135" s="4" t="s">
        <v>6858</v>
      </c>
      <c r="B4135">
        <v>3</v>
      </c>
    </row>
    <row r="4136" spans="1:2" ht="28.8" x14ac:dyDescent="0.3">
      <c r="A4136" s="4" t="s">
        <v>6859</v>
      </c>
      <c r="B4136">
        <v>3</v>
      </c>
    </row>
    <row r="4137" spans="1:2" ht="28.8" x14ac:dyDescent="0.3">
      <c r="A4137" s="4" t="s">
        <v>6860</v>
      </c>
      <c r="B4137">
        <v>3</v>
      </c>
    </row>
    <row r="4138" spans="1:2" ht="28.8" x14ac:dyDescent="0.3">
      <c r="A4138" s="4" t="s">
        <v>6861</v>
      </c>
      <c r="B4138">
        <v>3</v>
      </c>
    </row>
    <row r="4139" spans="1:2" x14ac:dyDescent="0.3">
      <c r="A4139" s="4" t="s">
        <v>6862</v>
      </c>
      <c r="B4139">
        <v>3</v>
      </c>
    </row>
    <row r="4140" spans="1:2" ht="28.8" x14ac:dyDescent="0.3">
      <c r="A4140" s="4" t="s">
        <v>6863</v>
      </c>
      <c r="B4140">
        <v>3</v>
      </c>
    </row>
    <row r="4141" spans="1:2" ht="28.8" x14ac:dyDescent="0.3">
      <c r="A4141" s="4" t="s">
        <v>6864</v>
      </c>
      <c r="B4141">
        <v>3</v>
      </c>
    </row>
    <row r="4142" spans="1:2" ht="28.8" x14ac:dyDescent="0.3">
      <c r="A4142" s="4" t="s">
        <v>6865</v>
      </c>
      <c r="B4142">
        <v>3</v>
      </c>
    </row>
    <row r="4143" spans="1:2" ht="43.2" x14ac:dyDescent="0.3">
      <c r="A4143" s="4" t="s">
        <v>6866</v>
      </c>
      <c r="B4143">
        <v>3</v>
      </c>
    </row>
    <row r="4144" spans="1:2" ht="28.8" x14ac:dyDescent="0.3">
      <c r="A4144" s="4" t="s">
        <v>6867</v>
      </c>
      <c r="B4144">
        <v>3</v>
      </c>
    </row>
    <row r="4145" spans="1:2" ht="28.8" x14ac:dyDescent="0.3">
      <c r="A4145" s="4" t="s">
        <v>6868</v>
      </c>
      <c r="B4145">
        <v>3</v>
      </c>
    </row>
    <row r="4146" spans="1:2" x14ac:dyDescent="0.3">
      <c r="A4146" s="4" t="s">
        <v>6869</v>
      </c>
      <c r="B4146">
        <v>3</v>
      </c>
    </row>
    <row r="4147" spans="1:2" ht="28.8" x14ac:dyDescent="0.3">
      <c r="A4147" s="4" t="s">
        <v>6870</v>
      </c>
      <c r="B4147">
        <v>3</v>
      </c>
    </row>
    <row r="4148" spans="1:2" x14ac:dyDescent="0.3">
      <c r="A4148" s="4" t="s">
        <v>6871</v>
      </c>
      <c r="B4148">
        <v>3</v>
      </c>
    </row>
    <row r="4149" spans="1:2" ht="28.8" x14ac:dyDescent="0.3">
      <c r="A4149" s="4" t="s">
        <v>6872</v>
      </c>
      <c r="B4149">
        <v>3</v>
      </c>
    </row>
    <row r="4150" spans="1:2" ht="43.2" x14ac:dyDescent="0.3">
      <c r="A4150" s="4" t="s">
        <v>6873</v>
      </c>
      <c r="B4150">
        <v>3</v>
      </c>
    </row>
    <row r="4151" spans="1:2" ht="28.8" x14ac:dyDescent="0.3">
      <c r="A4151" s="4" t="s">
        <v>6874</v>
      </c>
      <c r="B4151">
        <v>3</v>
      </c>
    </row>
    <row r="4152" spans="1:2" ht="28.8" x14ac:dyDescent="0.3">
      <c r="A4152" s="4" t="s">
        <v>6875</v>
      </c>
      <c r="B4152">
        <v>3</v>
      </c>
    </row>
    <row r="4153" spans="1:2" ht="28.8" x14ac:dyDescent="0.3">
      <c r="A4153" s="4" t="s">
        <v>6876</v>
      </c>
      <c r="B4153">
        <v>3</v>
      </c>
    </row>
    <row r="4154" spans="1:2" ht="28.8" x14ac:dyDescent="0.3">
      <c r="A4154" s="4" t="s">
        <v>6877</v>
      </c>
      <c r="B4154">
        <v>3</v>
      </c>
    </row>
    <row r="4155" spans="1:2" ht="28.8" x14ac:dyDescent="0.3">
      <c r="A4155" s="4" t="s">
        <v>6878</v>
      </c>
      <c r="B4155">
        <v>3</v>
      </c>
    </row>
    <row r="4156" spans="1:2" ht="28.8" x14ac:dyDescent="0.3">
      <c r="A4156" s="4" t="s">
        <v>6879</v>
      </c>
      <c r="B4156">
        <v>3</v>
      </c>
    </row>
    <row r="4157" spans="1:2" ht="28.8" x14ac:dyDescent="0.3">
      <c r="A4157" s="4" t="s">
        <v>6880</v>
      </c>
      <c r="B4157">
        <v>3</v>
      </c>
    </row>
    <row r="4158" spans="1:2" ht="28.8" x14ac:dyDescent="0.3">
      <c r="A4158" s="4" t="s">
        <v>6881</v>
      </c>
      <c r="B4158">
        <v>3</v>
      </c>
    </row>
    <row r="4159" spans="1:2" ht="28.8" x14ac:dyDescent="0.3">
      <c r="A4159" s="4" t="s">
        <v>6882</v>
      </c>
      <c r="B4159">
        <v>3</v>
      </c>
    </row>
    <row r="4160" spans="1:2" x14ac:dyDescent="0.3">
      <c r="A4160" s="4" t="s">
        <v>6883</v>
      </c>
      <c r="B4160">
        <v>3</v>
      </c>
    </row>
    <row r="4161" spans="1:2" ht="28.8" x14ac:dyDescent="0.3">
      <c r="A4161" s="4" t="s">
        <v>6884</v>
      </c>
      <c r="B4161">
        <v>3</v>
      </c>
    </row>
    <row r="4162" spans="1:2" ht="28.8" x14ac:dyDescent="0.3">
      <c r="A4162" s="4" t="s">
        <v>6885</v>
      </c>
      <c r="B4162">
        <v>3</v>
      </c>
    </row>
    <row r="4163" spans="1:2" ht="28.8" x14ac:dyDescent="0.3">
      <c r="A4163" s="4" t="s">
        <v>6886</v>
      </c>
      <c r="B4163">
        <v>3</v>
      </c>
    </row>
    <row r="4164" spans="1:2" ht="28.8" x14ac:dyDescent="0.3">
      <c r="A4164" s="4" t="s">
        <v>6887</v>
      </c>
      <c r="B4164">
        <v>3</v>
      </c>
    </row>
    <row r="4165" spans="1:2" ht="28.8" x14ac:dyDescent="0.3">
      <c r="A4165" s="4" t="s">
        <v>6888</v>
      </c>
      <c r="B4165">
        <v>3</v>
      </c>
    </row>
    <row r="4166" spans="1:2" x14ac:dyDescent="0.3">
      <c r="A4166" s="4" t="s">
        <v>6889</v>
      </c>
      <c r="B4166">
        <v>3</v>
      </c>
    </row>
    <row r="4167" spans="1:2" ht="28.8" x14ac:dyDescent="0.3">
      <c r="A4167" s="4" t="s">
        <v>6890</v>
      </c>
      <c r="B4167">
        <v>3</v>
      </c>
    </row>
    <row r="4168" spans="1:2" ht="43.2" x14ac:dyDescent="0.3">
      <c r="A4168" s="4" t="s">
        <v>6891</v>
      </c>
      <c r="B4168">
        <v>3</v>
      </c>
    </row>
    <row r="4169" spans="1:2" ht="28.8" x14ac:dyDescent="0.3">
      <c r="A4169" s="4" t="s">
        <v>6892</v>
      </c>
      <c r="B4169">
        <v>3</v>
      </c>
    </row>
    <row r="4170" spans="1:2" ht="28.8" x14ac:dyDescent="0.3">
      <c r="A4170" s="4" t="s">
        <v>6893</v>
      </c>
      <c r="B4170">
        <v>3</v>
      </c>
    </row>
    <row r="4171" spans="1:2" x14ac:dyDescent="0.3">
      <c r="A4171" s="4" t="s">
        <v>6894</v>
      </c>
      <c r="B4171">
        <v>3</v>
      </c>
    </row>
    <row r="4172" spans="1:2" x14ac:dyDescent="0.3">
      <c r="A4172" s="4" t="s">
        <v>6895</v>
      </c>
      <c r="B4172">
        <v>3</v>
      </c>
    </row>
    <row r="4173" spans="1:2" ht="28.8" x14ac:dyDescent="0.3">
      <c r="A4173" s="4" t="s">
        <v>6896</v>
      </c>
      <c r="B4173">
        <v>3</v>
      </c>
    </row>
    <row r="4174" spans="1:2" ht="28.8" x14ac:dyDescent="0.3">
      <c r="A4174" s="4" t="s">
        <v>6897</v>
      </c>
      <c r="B4174">
        <v>3</v>
      </c>
    </row>
    <row r="4175" spans="1:2" ht="28.8" x14ac:dyDescent="0.3">
      <c r="A4175" s="4" t="s">
        <v>6898</v>
      </c>
      <c r="B4175">
        <v>3</v>
      </c>
    </row>
    <row r="4176" spans="1:2" ht="28.8" x14ac:dyDescent="0.3">
      <c r="A4176" s="4" t="s">
        <v>6899</v>
      </c>
      <c r="B4176">
        <v>3</v>
      </c>
    </row>
    <row r="4177" spans="1:2" ht="28.8" x14ac:dyDescent="0.3">
      <c r="A4177" s="4" t="s">
        <v>6900</v>
      </c>
      <c r="B4177">
        <v>3</v>
      </c>
    </row>
    <row r="4178" spans="1:2" ht="28.8" x14ac:dyDescent="0.3">
      <c r="A4178" s="4" t="s">
        <v>6901</v>
      </c>
      <c r="B4178">
        <v>3</v>
      </c>
    </row>
    <row r="4179" spans="1:2" ht="28.8" x14ac:dyDescent="0.3">
      <c r="A4179" s="4" t="s">
        <v>6902</v>
      </c>
      <c r="B4179">
        <v>3</v>
      </c>
    </row>
    <row r="4180" spans="1:2" ht="28.8" x14ac:dyDescent="0.3">
      <c r="A4180" s="4" t="s">
        <v>6903</v>
      </c>
      <c r="B4180">
        <v>3</v>
      </c>
    </row>
    <row r="4181" spans="1:2" ht="43.2" x14ac:dyDescent="0.3">
      <c r="A4181" s="4" t="s">
        <v>6904</v>
      </c>
      <c r="B4181">
        <v>3</v>
      </c>
    </row>
    <row r="4182" spans="1:2" x14ac:dyDescent="0.3">
      <c r="A4182" s="4" t="s">
        <v>6905</v>
      </c>
      <c r="B4182">
        <v>3</v>
      </c>
    </row>
    <row r="4183" spans="1:2" ht="28.8" x14ac:dyDescent="0.3">
      <c r="A4183" s="4" t="s">
        <v>6906</v>
      </c>
      <c r="B4183">
        <v>3</v>
      </c>
    </row>
    <row r="4184" spans="1:2" ht="43.2" x14ac:dyDescent="0.3">
      <c r="A4184" s="4" t="s">
        <v>6907</v>
      </c>
      <c r="B4184">
        <v>3</v>
      </c>
    </row>
    <row r="4185" spans="1:2" ht="28.8" x14ac:dyDescent="0.3">
      <c r="A4185" s="4" t="s">
        <v>6908</v>
      </c>
      <c r="B4185">
        <v>3</v>
      </c>
    </row>
    <row r="4186" spans="1:2" ht="28.8" x14ac:dyDescent="0.3">
      <c r="A4186" s="4" t="s">
        <v>6909</v>
      </c>
      <c r="B4186">
        <v>3</v>
      </c>
    </row>
    <row r="4187" spans="1:2" ht="28.8" x14ac:dyDescent="0.3">
      <c r="A4187" s="4" t="s">
        <v>6910</v>
      </c>
      <c r="B4187">
        <v>3</v>
      </c>
    </row>
    <row r="4188" spans="1:2" x14ac:dyDescent="0.3">
      <c r="A4188" s="4" t="s">
        <v>6911</v>
      </c>
      <c r="B4188">
        <v>3</v>
      </c>
    </row>
    <row r="4189" spans="1:2" ht="28.8" x14ac:dyDescent="0.3">
      <c r="A4189" s="4" t="s">
        <v>6912</v>
      </c>
      <c r="B4189">
        <v>3</v>
      </c>
    </row>
    <row r="4190" spans="1:2" ht="28.8" x14ac:dyDescent="0.3">
      <c r="A4190" s="4" t="s">
        <v>6913</v>
      </c>
      <c r="B4190">
        <v>3</v>
      </c>
    </row>
    <row r="4191" spans="1:2" ht="28.8" x14ac:dyDescent="0.3">
      <c r="A4191" s="4" t="s">
        <v>6914</v>
      </c>
      <c r="B4191">
        <v>3</v>
      </c>
    </row>
    <row r="4192" spans="1:2" ht="28.8" x14ac:dyDescent="0.3">
      <c r="A4192" s="4" t="s">
        <v>6915</v>
      </c>
      <c r="B4192">
        <v>3</v>
      </c>
    </row>
    <row r="4193" spans="1:2" ht="28.8" x14ac:dyDescent="0.3">
      <c r="A4193" s="4" t="s">
        <v>6916</v>
      </c>
      <c r="B4193">
        <v>3</v>
      </c>
    </row>
    <row r="4194" spans="1:2" ht="28.8" x14ac:dyDescent="0.3">
      <c r="A4194" s="4" t="s">
        <v>6917</v>
      </c>
      <c r="B4194">
        <v>3</v>
      </c>
    </row>
    <row r="4195" spans="1:2" ht="28.8" x14ac:dyDescent="0.3">
      <c r="A4195" s="4" t="s">
        <v>6918</v>
      </c>
      <c r="B4195">
        <v>3</v>
      </c>
    </row>
    <row r="4196" spans="1:2" ht="28.8" x14ac:dyDescent="0.3">
      <c r="A4196" s="4" t="s">
        <v>6919</v>
      </c>
      <c r="B4196">
        <v>3</v>
      </c>
    </row>
    <row r="4197" spans="1:2" ht="28.8" x14ac:dyDescent="0.3">
      <c r="A4197" s="4" t="s">
        <v>6920</v>
      </c>
      <c r="B4197">
        <v>3</v>
      </c>
    </row>
    <row r="4198" spans="1:2" ht="28.8" x14ac:dyDescent="0.3">
      <c r="A4198" s="4" t="s">
        <v>6921</v>
      </c>
      <c r="B4198">
        <v>3</v>
      </c>
    </row>
    <row r="4199" spans="1:2" ht="28.8" x14ac:dyDescent="0.3">
      <c r="A4199" s="4" t="s">
        <v>6922</v>
      </c>
      <c r="B4199">
        <v>3</v>
      </c>
    </row>
    <row r="4200" spans="1:2" x14ac:dyDescent="0.3">
      <c r="A4200" s="4" t="s">
        <v>6923</v>
      </c>
      <c r="B4200">
        <v>3</v>
      </c>
    </row>
    <row r="4201" spans="1:2" ht="28.8" x14ac:dyDescent="0.3">
      <c r="A4201" s="4" t="s">
        <v>6924</v>
      </c>
      <c r="B4201">
        <v>3</v>
      </c>
    </row>
    <row r="4202" spans="1:2" ht="28.8" x14ac:dyDescent="0.3">
      <c r="A4202" s="4" t="s">
        <v>6925</v>
      </c>
      <c r="B4202">
        <v>3</v>
      </c>
    </row>
    <row r="4203" spans="1:2" ht="28.8" x14ac:dyDescent="0.3">
      <c r="A4203" s="4" t="s">
        <v>6926</v>
      </c>
      <c r="B4203">
        <v>3</v>
      </c>
    </row>
    <row r="4204" spans="1:2" x14ac:dyDescent="0.3">
      <c r="A4204" s="4" t="s">
        <v>6927</v>
      </c>
      <c r="B4204">
        <v>3</v>
      </c>
    </row>
    <row r="4205" spans="1:2" ht="28.8" x14ac:dyDescent="0.3">
      <c r="A4205" s="4" t="s">
        <v>6928</v>
      </c>
      <c r="B4205">
        <v>3</v>
      </c>
    </row>
    <row r="4206" spans="1:2" ht="28.8" x14ac:dyDescent="0.3">
      <c r="A4206" s="4" t="s">
        <v>6929</v>
      </c>
      <c r="B4206">
        <v>3</v>
      </c>
    </row>
    <row r="4207" spans="1:2" ht="28.8" x14ac:dyDescent="0.3">
      <c r="A4207" s="4" t="s">
        <v>6930</v>
      </c>
      <c r="B4207">
        <v>3</v>
      </c>
    </row>
    <row r="4208" spans="1:2" ht="28.8" x14ac:dyDescent="0.3">
      <c r="A4208" s="4" t="s">
        <v>6931</v>
      </c>
      <c r="B4208">
        <v>3</v>
      </c>
    </row>
    <row r="4209" spans="1:2" ht="28.8" x14ac:dyDescent="0.3">
      <c r="A4209" s="4" t="s">
        <v>6932</v>
      </c>
      <c r="B4209">
        <v>3</v>
      </c>
    </row>
    <row r="4210" spans="1:2" ht="28.8" x14ac:dyDescent="0.3">
      <c r="A4210" s="4" t="s">
        <v>6933</v>
      </c>
      <c r="B4210">
        <v>3</v>
      </c>
    </row>
    <row r="4211" spans="1:2" ht="28.8" x14ac:dyDescent="0.3">
      <c r="A4211" s="4" t="s">
        <v>6934</v>
      </c>
      <c r="B4211">
        <v>3</v>
      </c>
    </row>
    <row r="4212" spans="1:2" ht="28.8" x14ac:dyDescent="0.3">
      <c r="A4212" s="4" t="s">
        <v>6935</v>
      </c>
      <c r="B4212">
        <v>3</v>
      </c>
    </row>
    <row r="4213" spans="1:2" ht="28.8" x14ac:dyDescent="0.3">
      <c r="A4213" s="4" t="s">
        <v>6936</v>
      </c>
      <c r="B4213">
        <v>3</v>
      </c>
    </row>
    <row r="4214" spans="1:2" ht="28.8" x14ac:dyDescent="0.3">
      <c r="A4214" s="4" t="s">
        <v>6937</v>
      </c>
      <c r="B4214">
        <v>3</v>
      </c>
    </row>
    <row r="4215" spans="1:2" ht="43.2" x14ac:dyDescent="0.3">
      <c r="A4215" s="4" t="s">
        <v>6938</v>
      </c>
      <c r="B4215">
        <v>3</v>
      </c>
    </row>
    <row r="4216" spans="1:2" ht="28.8" x14ac:dyDescent="0.3">
      <c r="A4216" s="4" t="s">
        <v>6939</v>
      </c>
      <c r="B4216">
        <v>3</v>
      </c>
    </row>
    <row r="4217" spans="1:2" ht="28.8" x14ac:dyDescent="0.3">
      <c r="A4217" s="4" t="s">
        <v>6940</v>
      </c>
      <c r="B4217">
        <v>3</v>
      </c>
    </row>
    <row r="4218" spans="1:2" x14ac:dyDescent="0.3">
      <c r="A4218" s="4" t="s">
        <v>6941</v>
      </c>
      <c r="B4218">
        <v>3</v>
      </c>
    </row>
    <row r="4219" spans="1:2" ht="28.8" x14ac:dyDescent="0.3">
      <c r="A4219" s="4" t="s">
        <v>6942</v>
      </c>
      <c r="B4219">
        <v>3</v>
      </c>
    </row>
    <row r="4220" spans="1:2" ht="28.8" x14ac:dyDescent="0.3">
      <c r="A4220" s="4" t="s">
        <v>6943</v>
      </c>
      <c r="B4220">
        <v>3</v>
      </c>
    </row>
    <row r="4221" spans="1:2" ht="28.8" x14ac:dyDescent="0.3">
      <c r="A4221" s="4" t="s">
        <v>6944</v>
      </c>
      <c r="B4221">
        <v>3</v>
      </c>
    </row>
    <row r="4222" spans="1:2" ht="28.8" x14ac:dyDescent="0.3">
      <c r="A4222" s="4" t="s">
        <v>6945</v>
      </c>
      <c r="B4222">
        <v>3</v>
      </c>
    </row>
    <row r="4223" spans="1:2" ht="28.8" x14ac:dyDescent="0.3">
      <c r="A4223" s="4" t="s">
        <v>6946</v>
      </c>
      <c r="B4223">
        <v>3</v>
      </c>
    </row>
    <row r="4224" spans="1:2" ht="43.2" x14ac:dyDescent="0.3">
      <c r="A4224" s="4" t="s">
        <v>6947</v>
      </c>
      <c r="B4224">
        <v>3</v>
      </c>
    </row>
    <row r="4225" spans="1:2" ht="28.8" x14ac:dyDescent="0.3">
      <c r="A4225" s="4" t="s">
        <v>6948</v>
      </c>
      <c r="B4225">
        <v>3</v>
      </c>
    </row>
    <row r="4226" spans="1:2" ht="28.8" x14ac:dyDescent="0.3">
      <c r="A4226" s="4" t="s">
        <v>6949</v>
      </c>
      <c r="B4226">
        <v>3</v>
      </c>
    </row>
    <row r="4227" spans="1:2" ht="86.4" x14ac:dyDescent="0.3">
      <c r="A4227" s="4" t="s">
        <v>6950</v>
      </c>
      <c r="B4227">
        <v>3</v>
      </c>
    </row>
    <row r="4228" spans="1:2" x14ac:dyDescent="0.3">
      <c r="A4228" s="4" t="s">
        <v>6951</v>
      </c>
      <c r="B4228">
        <v>3</v>
      </c>
    </row>
    <row r="4229" spans="1:2" ht="28.8" x14ac:dyDescent="0.3">
      <c r="A4229" s="4" t="s">
        <v>6952</v>
      </c>
      <c r="B4229">
        <v>3</v>
      </c>
    </row>
    <row r="4230" spans="1:2" ht="28.8" x14ac:dyDescent="0.3">
      <c r="A4230" s="4" t="s">
        <v>6953</v>
      </c>
      <c r="B4230">
        <v>3</v>
      </c>
    </row>
    <row r="4231" spans="1:2" x14ac:dyDescent="0.3">
      <c r="A4231" s="4" t="s">
        <v>6954</v>
      </c>
      <c r="B4231">
        <v>3</v>
      </c>
    </row>
    <row r="4232" spans="1:2" ht="28.8" x14ac:dyDescent="0.3">
      <c r="A4232" s="4" t="s">
        <v>6955</v>
      </c>
      <c r="B4232">
        <v>3</v>
      </c>
    </row>
    <row r="4233" spans="1:2" ht="28.8" x14ac:dyDescent="0.3">
      <c r="A4233" s="4" t="s">
        <v>6956</v>
      </c>
      <c r="B4233">
        <v>3</v>
      </c>
    </row>
    <row r="4234" spans="1:2" x14ac:dyDescent="0.3">
      <c r="A4234" s="4" t="s">
        <v>6957</v>
      </c>
      <c r="B4234">
        <v>3</v>
      </c>
    </row>
    <row r="4235" spans="1:2" ht="28.8" x14ac:dyDescent="0.3">
      <c r="A4235" s="4" t="s">
        <v>6958</v>
      </c>
      <c r="B4235">
        <v>3</v>
      </c>
    </row>
    <row r="4236" spans="1:2" ht="28.8" x14ac:dyDescent="0.3">
      <c r="A4236" s="4" t="s">
        <v>6959</v>
      </c>
      <c r="B4236">
        <v>3</v>
      </c>
    </row>
    <row r="4237" spans="1:2" ht="28.8" x14ac:dyDescent="0.3">
      <c r="A4237" s="4" t="s">
        <v>6960</v>
      </c>
      <c r="B4237">
        <v>3</v>
      </c>
    </row>
    <row r="4238" spans="1:2" ht="57.6" x14ac:dyDescent="0.3">
      <c r="A4238" s="4" t="s">
        <v>6961</v>
      </c>
      <c r="B4238">
        <v>3</v>
      </c>
    </row>
    <row r="4239" spans="1:2" x14ac:dyDescent="0.3">
      <c r="A4239" s="4" t="s">
        <v>6962</v>
      </c>
      <c r="B4239">
        <v>3</v>
      </c>
    </row>
    <row r="4240" spans="1:2" ht="28.8" x14ac:dyDescent="0.3">
      <c r="A4240" s="4" t="s">
        <v>6963</v>
      </c>
      <c r="B4240">
        <v>3</v>
      </c>
    </row>
    <row r="4241" spans="1:2" ht="43.2" x14ac:dyDescent="0.3">
      <c r="A4241" s="4" t="s">
        <v>6964</v>
      </c>
      <c r="B4241">
        <v>3</v>
      </c>
    </row>
    <row r="4242" spans="1:2" ht="28.8" x14ac:dyDescent="0.3">
      <c r="A4242" s="4" t="s">
        <v>6965</v>
      </c>
      <c r="B4242">
        <v>3</v>
      </c>
    </row>
    <row r="4243" spans="1:2" ht="28.8" x14ac:dyDescent="0.3">
      <c r="A4243" s="4" t="s">
        <v>6966</v>
      </c>
      <c r="B4243">
        <v>3</v>
      </c>
    </row>
    <row r="4244" spans="1:2" ht="28.8" x14ac:dyDescent="0.3">
      <c r="A4244" s="4" t="s">
        <v>6967</v>
      </c>
      <c r="B4244">
        <v>3</v>
      </c>
    </row>
    <row r="4245" spans="1:2" x14ac:dyDescent="0.3">
      <c r="A4245" s="4" t="s">
        <v>6968</v>
      </c>
      <c r="B4245">
        <v>3</v>
      </c>
    </row>
    <row r="4246" spans="1:2" ht="28.8" x14ac:dyDescent="0.3">
      <c r="A4246" s="4" t="s">
        <v>6969</v>
      </c>
      <c r="B4246">
        <v>3</v>
      </c>
    </row>
    <row r="4247" spans="1:2" ht="43.2" x14ac:dyDescent="0.3">
      <c r="A4247" s="4" t="s">
        <v>6970</v>
      </c>
      <c r="B4247">
        <v>3</v>
      </c>
    </row>
    <row r="4248" spans="1:2" x14ac:dyDescent="0.3">
      <c r="A4248" s="4" t="s">
        <v>6971</v>
      </c>
      <c r="B4248">
        <v>3</v>
      </c>
    </row>
    <row r="4249" spans="1:2" ht="28.8" x14ac:dyDescent="0.3">
      <c r="A4249" s="4" t="s">
        <v>6972</v>
      </c>
      <c r="B4249">
        <v>3</v>
      </c>
    </row>
    <row r="4250" spans="1:2" ht="28.8" x14ac:dyDescent="0.3">
      <c r="A4250" s="4" t="s">
        <v>6973</v>
      </c>
      <c r="B4250">
        <v>3</v>
      </c>
    </row>
    <row r="4251" spans="1:2" ht="28.8" x14ac:dyDescent="0.3">
      <c r="A4251" s="4" t="s">
        <v>6974</v>
      </c>
      <c r="B4251">
        <v>3</v>
      </c>
    </row>
    <row r="4252" spans="1:2" ht="28.8" x14ac:dyDescent="0.3">
      <c r="A4252" s="4" t="s">
        <v>6975</v>
      </c>
      <c r="B4252">
        <v>3</v>
      </c>
    </row>
    <row r="4253" spans="1:2" ht="28.8" x14ac:dyDescent="0.3">
      <c r="A4253" s="4" t="s">
        <v>6976</v>
      </c>
      <c r="B4253">
        <v>3</v>
      </c>
    </row>
    <row r="4254" spans="1:2" ht="28.8" x14ac:dyDescent="0.3">
      <c r="A4254" s="4" t="s">
        <v>6977</v>
      </c>
      <c r="B4254">
        <v>3</v>
      </c>
    </row>
    <row r="4255" spans="1:2" ht="28.8" x14ac:dyDescent="0.3">
      <c r="A4255" s="4" t="s">
        <v>6978</v>
      </c>
      <c r="B4255">
        <v>3</v>
      </c>
    </row>
    <row r="4256" spans="1:2" ht="43.2" x14ac:dyDescent="0.3">
      <c r="A4256" s="4" t="s">
        <v>6979</v>
      </c>
      <c r="B4256">
        <v>3</v>
      </c>
    </row>
    <row r="4257" spans="1:2" ht="57.6" x14ac:dyDescent="0.3">
      <c r="A4257" s="4" t="s">
        <v>6980</v>
      </c>
      <c r="B4257">
        <v>3</v>
      </c>
    </row>
    <row r="4258" spans="1:2" x14ac:dyDescent="0.3">
      <c r="A4258" s="4" t="s">
        <v>6981</v>
      </c>
      <c r="B4258">
        <v>3</v>
      </c>
    </row>
    <row r="4259" spans="1:2" ht="28.8" x14ac:dyDescent="0.3">
      <c r="A4259" s="4" t="s">
        <v>6982</v>
      </c>
      <c r="B4259">
        <v>3</v>
      </c>
    </row>
    <row r="4260" spans="1:2" ht="28.8" x14ac:dyDescent="0.3">
      <c r="A4260" s="4" t="s">
        <v>6983</v>
      </c>
      <c r="B4260">
        <v>3</v>
      </c>
    </row>
    <row r="4261" spans="1:2" ht="28.8" x14ac:dyDescent="0.3">
      <c r="A4261" s="4" t="s">
        <v>6984</v>
      </c>
      <c r="B4261">
        <v>3</v>
      </c>
    </row>
    <row r="4262" spans="1:2" ht="28.8" x14ac:dyDescent="0.3">
      <c r="A4262" s="4" t="s">
        <v>6985</v>
      </c>
      <c r="B4262">
        <v>3</v>
      </c>
    </row>
    <row r="4263" spans="1:2" ht="28.8" x14ac:dyDescent="0.3">
      <c r="A4263" s="4" t="s">
        <v>6986</v>
      </c>
      <c r="B4263">
        <v>3</v>
      </c>
    </row>
    <row r="4264" spans="1:2" ht="28.8" x14ac:dyDescent="0.3">
      <c r="A4264" s="4" t="s">
        <v>6987</v>
      </c>
      <c r="B4264">
        <v>3</v>
      </c>
    </row>
    <row r="4265" spans="1:2" ht="28.8" x14ac:dyDescent="0.3">
      <c r="A4265" s="4" t="s">
        <v>6988</v>
      </c>
      <c r="B4265">
        <v>3</v>
      </c>
    </row>
    <row r="4266" spans="1:2" ht="28.8" x14ac:dyDescent="0.3">
      <c r="A4266" s="4" t="s">
        <v>6989</v>
      </c>
      <c r="B4266">
        <v>3</v>
      </c>
    </row>
    <row r="4267" spans="1:2" ht="28.8" x14ac:dyDescent="0.3">
      <c r="A4267" s="4" t="s">
        <v>6990</v>
      </c>
      <c r="B4267">
        <v>3</v>
      </c>
    </row>
    <row r="4268" spans="1:2" ht="28.8" x14ac:dyDescent="0.3">
      <c r="A4268" s="4" t="s">
        <v>6991</v>
      </c>
      <c r="B4268">
        <v>3</v>
      </c>
    </row>
    <row r="4269" spans="1:2" ht="43.2" x14ac:dyDescent="0.3">
      <c r="A4269" s="4" t="s">
        <v>6992</v>
      </c>
      <c r="B4269">
        <v>3</v>
      </c>
    </row>
    <row r="4270" spans="1:2" x14ac:dyDescent="0.3">
      <c r="A4270" s="4" t="s">
        <v>6993</v>
      </c>
      <c r="B4270">
        <v>3</v>
      </c>
    </row>
    <row r="4271" spans="1:2" ht="28.8" x14ac:dyDescent="0.3">
      <c r="A4271" s="4" t="s">
        <v>6994</v>
      </c>
      <c r="B4271">
        <v>3</v>
      </c>
    </row>
    <row r="4272" spans="1:2" ht="43.2" x14ac:dyDescent="0.3">
      <c r="A4272" s="4" t="s">
        <v>6995</v>
      </c>
      <c r="B4272">
        <v>3</v>
      </c>
    </row>
    <row r="4273" spans="1:2" x14ac:dyDescent="0.3">
      <c r="A4273" s="4" t="s">
        <v>6996</v>
      </c>
      <c r="B4273">
        <v>3</v>
      </c>
    </row>
    <row r="4274" spans="1:2" ht="28.8" x14ac:dyDescent="0.3">
      <c r="A4274" s="4" t="s">
        <v>6997</v>
      </c>
      <c r="B4274">
        <v>3</v>
      </c>
    </row>
    <row r="4275" spans="1:2" ht="28.8" x14ac:dyDescent="0.3">
      <c r="A4275" s="4" t="s">
        <v>6998</v>
      </c>
      <c r="B4275">
        <v>3</v>
      </c>
    </row>
    <row r="4276" spans="1:2" x14ac:dyDescent="0.3">
      <c r="A4276" s="4" t="s">
        <v>6999</v>
      </c>
      <c r="B4276">
        <v>3</v>
      </c>
    </row>
    <row r="4277" spans="1:2" ht="28.8" x14ac:dyDescent="0.3">
      <c r="A4277" s="4" t="s">
        <v>7000</v>
      </c>
      <c r="B4277">
        <v>3</v>
      </c>
    </row>
    <row r="4278" spans="1:2" ht="28.8" x14ac:dyDescent="0.3">
      <c r="A4278" s="4" t="s">
        <v>7001</v>
      </c>
      <c r="B4278">
        <v>3</v>
      </c>
    </row>
    <row r="4279" spans="1:2" ht="28.8" x14ac:dyDescent="0.3">
      <c r="A4279" s="4" t="s">
        <v>7002</v>
      </c>
      <c r="B4279">
        <v>3</v>
      </c>
    </row>
    <row r="4280" spans="1:2" ht="28.8" x14ac:dyDescent="0.3">
      <c r="A4280" s="4" t="s">
        <v>7003</v>
      </c>
      <c r="B4280">
        <v>3</v>
      </c>
    </row>
    <row r="4281" spans="1:2" ht="28.8" x14ac:dyDescent="0.3">
      <c r="A4281" s="4" t="s">
        <v>7004</v>
      </c>
      <c r="B4281">
        <v>3</v>
      </c>
    </row>
    <row r="4282" spans="1:2" ht="28.8" x14ac:dyDescent="0.3">
      <c r="A4282" s="4" t="s">
        <v>7005</v>
      </c>
      <c r="B4282">
        <v>3</v>
      </c>
    </row>
    <row r="4283" spans="1:2" ht="43.2" x14ac:dyDescent="0.3">
      <c r="A4283" s="4" t="s">
        <v>7006</v>
      </c>
      <c r="B4283">
        <v>3</v>
      </c>
    </row>
    <row r="4284" spans="1:2" ht="28.8" x14ac:dyDescent="0.3">
      <c r="A4284" s="4" t="s">
        <v>7007</v>
      </c>
      <c r="B4284">
        <v>3</v>
      </c>
    </row>
    <row r="4285" spans="1:2" ht="28.8" x14ac:dyDescent="0.3">
      <c r="A4285" s="4" t="s">
        <v>7008</v>
      </c>
      <c r="B4285">
        <v>3</v>
      </c>
    </row>
    <row r="4286" spans="1:2" ht="28.8" x14ac:dyDescent="0.3">
      <c r="A4286" s="4" t="s">
        <v>7009</v>
      </c>
      <c r="B4286">
        <v>3</v>
      </c>
    </row>
    <row r="4287" spans="1:2" x14ac:dyDescent="0.3">
      <c r="A4287" s="4" t="s">
        <v>7010</v>
      </c>
      <c r="B4287">
        <v>3</v>
      </c>
    </row>
    <row r="4288" spans="1:2" ht="28.8" x14ac:dyDescent="0.3">
      <c r="A4288" s="4" t="s">
        <v>7011</v>
      </c>
      <c r="B4288">
        <v>3</v>
      </c>
    </row>
    <row r="4289" spans="1:2" ht="28.8" x14ac:dyDescent="0.3">
      <c r="A4289" s="4" t="s">
        <v>7012</v>
      </c>
      <c r="B4289">
        <v>3</v>
      </c>
    </row>
    <row r="4290" spans="1:2" ht="43.2" x14ac:dyDescent="0.3">
      <c r="A4290" s="4" t="s">
        <v>7013</v>
      </c>
      <c r="B4290">
        <v>3</v>
      </c>
    </row>
    <row r="4291" spans="1:2" ht="28.8" x14ac:dyDescent="0.3">
      <c r="A4291" s="4" t="s">
        <v>7014</v>
      </c>
      <c r="B4291">
        <v>3</v>
      </c>
    </row>
    <row r="4292" spans="1:2" ht="28.8" x14ac:dyDescent="0.3">
      <c r="A4292" s="4" t="s">
        <v>7015</v>
      </c>
      <c r="B4292">
        <v>3</v>
      </c>
    </row>
    <row r="4293" spans="1:2" ht="28.8" x14ac:dyDescent="0.3">
      <c r="A4293" s="4" t="s">
        <v>7016</v>
      </c>
      <c r="B4293">
        <v>3</v>
      </c>
    </row>
    <row r="4294" spans="1:2" ht="28.8" x14ac:dyDescent="0.3">
      <c r="A4294" s="4" t="s">
        <v>7017</v>
      </c>
      <c r="B4294">
        <v>3</v>
      </c>
    </row>
    <row r="4295" spans="1:2" ht="28.8" x14ac:dyDescent="0.3">
      <c r="A4295" s="4" t="s">
        <v>7018</v>
      </c>
      <c r="B4295">
        <v>3</v>
      </c>
    </row>
    <row r="4296" spans="1:2" ht="28.8" x14ac:dyDescent="0.3">
      <c r="A4296" s="4" t="s">
        <v>7019</v>
      </c>
      <c r="B4296">
        <v>3</v>
      </c>
    </row>
    <row r="4297" spans="1:2" ht="28.8" x14ac:dyDescent="0.3">
      <c r="A4297" s="4" t="s">
        <v>7020</v>
      </c>
      <c r="B4297">
        <v>3</v>
      </c>
    </row>
    <row r="4298" spans="1:2" ht="28.8" x14ac:dyDescent="0.3">
      <c r="A4298" s="4" t="s">
        <v>7021</v>
      </c>
      <c r="B4298">
        <v>3</v>
      </c>
    </row>
    <row r="4299" spans="1:2" ht="28.8" x14ac:dyDescent="0.3">
      <c r="A4299" s="4" t="s">
        <v>7022</v>
      </c>
      <c r="B4299">
        <v>3</v>
      </c>
    </row>
    <row r="4300" spans="1:2" ht="28.8" x14ac:dyDescent="0.3">
      <c r="A4300" s="4" t="s">
        <v>7023</v>
      </c>
      <c r="B4300">
        <v>3</v>
      </c>
    </row>
    <row r="4301" spans="1:2" ht="28.8" x14ac:dyDescent="0.3">
      <c r="A4301" s="4" t="s">
        <v>7024</v>
      </c>
      <c r="B4301">
        <v>3</v>
      </c>
    </row>
    <row r="4302" spans="1:2" x14ac:dyDescent="0.3">
      <c r="A4302" s="4" t="s">
        <v>7025</v>
      </c>
      <c r="B4302">
        <v>3</v>
      </c>
    </row>
    <row r="4303" spans="1:2" ht="43.2" x14ac:dyDescent="0.3">
      <c r="A4303" s="4" t="s">
        <v>7026</v>
      </c>
      <c r="B4303">
        <v>3</v>
      </c>
    </row>
    <row r="4304" spans="1:2" x14ac:dyDescent="0.3">
      <c r="A4304" s="4" t="s">
        <v>7027</v>
      </c>
      <c r="B4304">
        <v>3</v>
      </c>
    </row>
    <row r="4305" spans="1:2" x14ac:dyDescent="0.3">
      <c r="A4305" s="4" t="s">
        <v>7028</v>
      </c>
      <c r="B4305">
        <v>3</v>
      </c>
    </row>
    <row r="4306" spans="1:2" x14ac:dyDescent="0.3">
      <c r="A4306" s="4" t="s">
        <v>7029</v>
      </c>
      <c r="B4306">
        <v>3</v>
      </c>
    </row>
    <row r="4307" spans="1:2" ht="43.2" x14ac:dyDescent="0.3">
      <c r="A4307" s="4" t="s">
        <v>7030</v>
      </c>
      <c r="B4307">
        <v>3</v>
      </c>
    </row>
    <row r="4308" spans="1:2" ht="28.8" x14ac:dyDescent="0.3">
      <c r="A4308" s="4" t="s">
        <v>7031</v>
      </c>
      <c r="B4308">
        <v>3</v>
      </c>
    </row>
    <row r="4309" spans="1:2" ht="43.2" x14ac:dyDescent="0.3">
      <c r="A4309" s="4" t="s">
        <v>7032</v>
      </c>
      <c r="B4309">
        <v>3</v>
      </c>
    </row>
    <row r="4310" spans="1:2" x14ac:dyDescent="0.3">
      <c r="A4310" s="4" t="s">
        <v>7033</v>
      </c>
      <c r="B4310">
        <v>3</v>
      </c>
    </row>
    <row r="4311" spans="1:2" ht="28.8" x14ac:dyDescent="0.3">
      <c r="A4311" s="4" t="s">
        <v>7034</v>
      </c>
      <c r="B4311">
        <v>3</v>
      </c>
    </row>
    <row r="4312" spans="1:2" ht="28.8" x14ac:dyDescent="0.3">
      <c r="A4312" s="4" t="s">
        <v>7035</v>
      </c>
      <c r="B4312">
        <v>3</v>
      </c>
    </row>
    <row r="4313" spans="1:2" ht="28.8" x14ac:dyDescent="0.3">
      <c r="A4313" s="4" t="s">
        <v>7036</v>
      </c>
      <c r="B4313">
        <v>3</v>
      </c>
    </row>
    <row r="4314" spans="1:2" ht="28.8" x14ac:dyDescent="0.3">
      <c r="A4314" s="4" t="s">
        <v>7037</v>
      </c>
      <c r="B4314">
        <v>3</v>
      </c>
    </row>
    <row r="4315" spans="1:2" x14ac:dyDescent="0.3">
      <c r="A4315" s="4" t="s">
        <v>7038</v>
      </c>
      <c r="B4315">
        <v>3</v>
      </c>
    </row>
    <row r="4316" spans="1:2" ht="28.8" x14ac:dyDescent="0.3">
      <c r="A4316" s="4" t="s">
        <v>7039</v>
      </c>
      <c r="B4316">
        <v>3</v>
      </c>
    </row>
    <row r="4317" spans="1:2" ht="28.8" x14ac:dyDescent="0.3">
      <c r="A4317" s="4" t="s">
        <v>7040</v>
      </c>
      <c r="B4317">
        <v>3</v>
      </c>
    </row>
    <row r="4318" spans="1:2" ht="28.8" x14ac:dyDescent="0.3">
      <c r="A4318" s="4" t="s">
        <v>7041</v>
      </c>
      <c r="B4318">
        <v>3</v>
      </c>
    </row>
    <row r="4319" spans="1:2" ht="28.8" x14ac:dyDescent="0.3">
      <c r="A4319" s="4" t="s">
        <v>7042</v>
      </c>
      <c r="B4319">
        <v>3</v>
      </c>
    </row>
    <row r="4320" spans="1:2" ht="28.8" x14ac:dyDescent="0.3">
      <c r="A4320" s="4" t="s">
        <v>7043</v>
      </c>
      <c r="B4320">
        <v>3</v>
      </c>
    </row>
    <row r="4321" spans="1:2" ht="28.8" x14ac:dyDescent="0.3">
      <c r="A4321" s="4" t="s">
        <v>7044</v>
      </c>
      <c r="B4321">
        <v>3</v>
      </c>
    </row>
    <row r="4322" spans="1:2" ht="28.8" x14ac:dyDescent="0.3">
      <c r="A4322" s="4" t="s">
        <v>7045</v>
      </c>
      <c r="B4322">
        <v>3</v>
      </c>
    </row>
    <row r="4323" spans="1:2" ht="43.2" x14ac:dyDescent="0.3">
      <c r="A4323" s="4" t="s">
        <v>7046</v>
      </c>
      <c r="B4323">
        <v>3</v>
      </c>
    </row>
    <row r="4324" spans="1:2" ht="28.8" x14ac:dyDescent="0.3">
      <c r="A4324" s="4" t="s">
        <v>7047</v>
      </c>
      <c r="B4324">
        <v>3</v>
      </c>
    </row>
    <row r="4325" spans="1:2" ht="43.2" x14ac:dyDescent="0.3">
      <c r="A4325" s="4" t="s">
        <v>7048</v>
      </c>
      <c r="B4325">
        <v>3</v>
      </c>
    </row>
    <row r="4326" spans="1:2" ht="28.8" x14ac:dyDescent="0.3">
      <c r="A4326" s="4" t="s">
        <v>7049</v>
      </c>
      <c r="B4326">
        <v>3</v>
      </c>
    </row>
    <row r="4327" spans="1:2" ht="28.8" x14ac:dyDescent="0.3">
      <c r="A4327" s="4" t="s">
        <v>7050</v>
      </c>
      <c r="B4327">
        <v>3</v>
      </c>
    </row>
    <row r="4328" spans="1:2" ht="28.8" x14ac:dyDescent="0.3">
      <c r="A4328" s="4" t="s">
        <v>7051</v>
      </c>
      <c r="B4328">
        <v>3</v>
      </c>
    </row>
    <row r="4329" spans="1:2" ht="43.2" x14ac:dyDescent="0.3">
      <c r="A4329" s="4" t="s">
        <v>7052</v>
      </c>
      <c r="B4329">
        <v>3</v>
      </c>
    </row>
    <row r="4330" spans="1:2" ht="43.2" x14ac:dyDescent="0.3">
      <c r="A4330" s="4" t="s">
        <v>7053</v>
      </c>
      <c r="B4330">
        <v>3</v>
      </c>
    </row>
    <row r="4331" spans="1:2" ht="43.2" x14ac:dyDescent="0.3">
      <c r="A4331" s="4" t="s">
        <v>7054</v>
      </c>
      <c r="B4331">
        <v>3</v>
      </c>
    </row>
    <row r="4332" spans="1:2" ht="28.8" x14ac:dyDescent="0.3">
      <c r="A4332" s="4" t="s">
        <v>7055</v>
      </c>
      <c r="B4332">
        <v>3</v>
      </c>
    </row>
    <row r="4333" spans="1:2" ht="43.2" x14ac:dyDescent="0.3">
      <c r="A4333" s="4" t="s">
        <v>7056</v>
      </c>
      <c r="B4333">
        <v>3</v>
      </c>
    </row>
    <row r="4334" spans="1:2" x14ac:dyDescent="0.3">
      <c r="A4334" s="4" t="s">
        <v>7057</v>
      </c>
      <c r="B4334">
        <v>3</v>
      </c>
    </row>
    <row r="4335" spans="1:2" ht="28.8" x14ac:dyDescent="0.3">
      <c r="A4335" s="4" t="s">
        <v>7058</v>
      </c>
      <c r="B4335">
        <v>3</v>
      </c>
    </row>
    <row r="4336" spans="1:2" ht="28.8" x14ac:dyDescent="0.3">
      <c r="A4336" s="4" t="s">
        <v>7059</v>
      </c>
      <c r="B4336">
        <v>3</v>
      </c>
    </row>
    <row r="4337" spans="1:2" ht="28.8" x14ac:dyDescent="0.3">
      <c r="A4337" s="4" t="s">
        <v>7060</v>
      </c>
      <c r="B4337">
        <v>3</v>
      </c>
    </row>
    <row r="4338" spans="1:2" ht="28.8" x14ac:dyDescent="0.3">
      <c r="A4338" s="4" t="s">
        <v>7061</v>
      </c>
      <c r="B4338">
        <v>3</v>
      </c>
    </row>
    <row r="4339" spans="1:2" ht="28.8" x14ac:dyDescent="0.3">
      <c r="A4339" s="4" t="s">
        <v>7062</v>
      </c>
      <c r="B4339">
        <v>3</v>
      </c>
    </row>
    <row r="4340" spans="1:2" ht="28.8" x14ac:dyDescent="0.3">
      <c r="A4340" s="4" t="s">
        <v>7063</v>
      </c>
      <c r="B4340">
        <v>3</v>
      </c>
    </row>
    <row r="4341" spans="1:2" ht="28.8" x14ac:dyDescent="0.3">
      <c r="A4341" s="4" t="s">
        <v>7064</v>
      </c>
      <c r="B4341">
        <v>3</v>
      </c>
    </row>
    <row r="4342" spans="1:2" ht="43.2" x14ac:dyDescent="0.3">
      <c r="A4342" s="4" t="s">
        <v>7065</v>
      </c>
      <c r="B4342">
        <v>3</v>
      </c>
    </row>
    <row r="4343" spans="1:2" ht="43.2" x14ac:dyDescent="0.3">
      <c r="A4343" s="4" t="s">
        <v>7066</v>
      </c>
      <c r="B4343">
        <v>3</v>
      </c>
    </row>
    <row r="4344" spans="1:2" x14ac:dyDescent="0.3">
      <c r="A4344" s="4" t="s">
        <v>7067</v>
      </c>
      <c r="B4344">
        <v>3</v>
      </c>
    </row>
    <row r="4345" spans="1:2" x14ac:dyDescent="0.3">
      <c r="A4345" s="4" t="s">
        <v>7068</v>
      </c>
      <c r="B4345">
        <v>3</v>
      </c>
    </row>
    <row r="4346" spans="1:2" x14ac:dyDescent="0.3">
      <c r="A4346" s="4" t="s">
        <v>7069</v>
      </c>
      <c r="B4346">
        <v>3</v>
      </c>
    </row>
    <row r="4347" spans="1:2" ht="28.8" x14ac:dyDescent="0.3">
      <c r="A4347" s="4" t="s">
        <v>7070</v>
      </c>
      <c r="B4347">
        <v>3</v>
      </c>
    </row>
    <row r="4348" spans="1:2" x14ac:dyDescent="0.3">
      <c r="A4348" s="4" t="s">
        <v>7071</v>
      </c>
      <c r="B4348">
        <v>3</v>
      </c>
    </row>
    <row r="4349" spans="1:2" ht="28.8" x14ac:dyDescent="0.3">
      <c r="A4349" s="4" t="s">
        <v>7072</v>
      </c>
      <c r="B4349">
        <v>3</v>
      </c>
    </row>
    <row r="4350" spans="1:2" ht="28.8" x14ac:dyDescent="0.3">
      <c r="A4350" s="4" t="s">
        <v>7073</v>
      </c>
      <c r="B4350">
        <v>3</v>
      </c>
    </row>
    <row r="4351" spans="1:2" ht="28.8" x14ac:dyDescent="0.3">
      <c r="A4351" s="4" t="s">
        <v>7074</v>
      </c>
      <c r="B4351">
        <v>3</v>
      </c>
    </row>
    <row r="4352" spans="1:2" ht="28.8" x14ac:dyDescent="0.3">
      <c r="A4352" s="4" t="s">
        <v>7075</v>
      </c>
      <c r="B4352">
        <v>3</v>
      </c>
    </row>
    <row r="4353" spans="1:2" ht="28.8" x14ac:dyDescent="0.3">
      <c r="A4353" s="4" t="s">
        <v>7076</v>
      </c>
      <c r="B4353">
        <v>3</v>
      </c>
    </row>
    <row r="4354" spans="1:2" x14ac:dyDescent="0.3">
      <c r="A4354" s="4" t="s">
        <v>7077</v>
      </c>
      <c r="B4354">
        <v>3</v>
      </c>
    </row>
    <row r="4355" spans="1:2" ht="43.2" x14ac:dyDescent="0.3">
      <c r="A4355" s="4" t="s">
        <v>7078</v>
      </c>
      <c r="B4355">
        <v>3</v>
      </c>
    </row>
    <row r="4356" spans="1:2" ht="28.8" x14ac:dyDescent="0.3">
      <c r="A4356" s="4" t="s">
        <v>7079</v>
      </c>
      <c r="B4356">
        <v>3</v>
      </c>
    </row>
    <row r="4357" spans="1:2" ht="28.8" x14ac:dyDescent="0.3">
      <c r="A4357" s="4" t="s">
        <v>7080</v>
      </c>
      <c r="B4357">
        <v>3</v>
      </c>
    </row>
    <row r="4358" spans="1:2" ht="28.8" x14ac:dyDescent="0.3">
      <c r="A4358" s="4" t="s">
        <v>7081</v>
      </c>
      <c r="B4358">
        <v>3</v>
      </c>
    </row>
    <row r="4359" spans="1:2" ht="28.8" x14ac:dyDescent="0.3">
      <c r="A4359" s="4" t="s">
        <v>7082</v>
      </c>
      <c r="B4359">
        <v>3</v>
      </c>
    </row>
    <row r="4360" spans="1:2" ht="28.8" x14ac:dyDescent="0.3">
      <c r="A4360" s="4" t="s">
        <v>7083</v>
      </c>
      <c r="B4360">
        <v>3</v>
      </c>
    </row>
    <row r="4361" spans="1:2" ht="57.6" x14ac:dyDescent="0.3">
      <c r="A4361" s="4" t="s">
        <v>7084</v>
      </c>
      <c r="B4361">
        <v>3</v>
      </c>
    </row>
    <row r="4362" spans="1:2" ht="28.8" x14ac:dyDescent="0.3">
      <c r="A4362" s="4" t="s">
        <v>7085</v>
      </c>
      <c r="B4362">
        <v>3</v>
      </c>
    </row>
    <row r="4363" spans="1:2" ht="28.8" x14ac:dyDescent="0.3">
      <c r="A4363" s="4" t="s">
        <v>7086</v>
      </c>
      <c r="B4363">
        <v>3</v>
      </c>
    </row>
    <row r="4364" spans="1:2" ht="28.8" x14ac:dyDescent="0.3">
      <c r="A4364" s="4" t="s">
        <v>7087</v>
      </c>
      <c r="B4364">
        <v>3</v>
      </c>
    </row>
    <row r="4365" spans="1:2" ht="28.8" x14ac:dyDescent="0.3">
      <c r="A4365" s="4" t="s">
        <v>7088</v>
      </c>
      <c r="B4365">
        <v>3</v>
      </c>
    </row>
    <row r="4366" spans="1:2" x14ac:dyDescent="0.3">
      <c r="A4366" s="4" t="s">
        <v>7089</v>
      </c>
      <c r="B4366">
        <v>3</v>
      </c>
    </row>
    <row r="4367" spans="1:2" ht="28.8" x14ac:dyDescent="0.3">
      <c r="A4367" s="4" t="s">
        <v>7090</v>
      </c>
      <c r="B4367">
        <v>3</v>
      </c>
    </row>
    <row r="4368" spans="1:2" ht="28.8" x14ac:dyDescent="0.3">
      <c r="A4368" s="4" t="s">
        <v>7091</v>
      </c>
      <c r="B4368">
        <v>3</v>
      </c>
    </row>
    <row r="4369" spans="1:2" x14ac:dyDescent="0.3">
      <c r="A4369" s="4" t="s">
        <v>7092</v>
      </c>
      <c r="B4369">
        <v>3</v>
      </c>
    </row>
    <row r="4370" spans="1:2" ht="28.8" x14ac:dyDescent="0.3">
      <c r="A4370" s="4" t="s">
        <v>7093</v>
      </c>
      <c r="B4370">
        <v>3</v>
      </c>
    </row>
    <row r="4371" spans="1:2" ht="28.8" x14ac:dyDescent="0.3">
      <c r="A4371" s="4" t="s">
        <v>7094</v>
      </c>
      <c r="B4371">
        <v>3</v>
      </c>
    </row>
    <row r="4372" spans="1:2" ht="28.8" x14ac:dyDescent="0.3">
      <c r="A4372" s="4" t="s">
        <v>7095</v>
      </c>
      <c r="B4372">
        <v>3</v>
      </c>
    </row>
    <row r="4373" spans="1:2" ht="28.8" x14ac:dyDescent="0.3">
      <c r="A4373" s="4" t="s">
        <v>7096</v>
      </c>
      <c r="B4373">
        <v>3</v>
      </c>
    </row>
    <row r="4374" spans="1:2" ht="28.8" x14ac:dyDescent="0.3">
      <c r="A4374" s="4" t="s">
        <v>7097</v>
      </c>
      <c r="B4374">
        <v>3</v>
      </c>
    </row>
    <row r="4375" spans="1:2" ht="28.8" x14ac:dyDescent="0.3">
      <c r="A4375" s="4" t="s">
        <v>7098</v>
      </c>
      <c r="B4375">
        <v>3</v>
      </c>
    </row>
    <row r="4376" spans="1:2" ht="43.2" x14ac:dyDescent="0.3">
      <c r="A4376" s="4" t="s">
        <v>7099</v>
      </c>
      <c r="B4376">
        <v>3</v>
      </c>
    </row>
    <row r="4377" spans="1:2" ht="28.8" x14ac:dyDescent="0.3">
      <c r="A4377" s="4" t="s">
        <v>7100</v>
      </c>
      <c r="B4377">
        <v>3</v>
      </c>
    </row>
    <row r="4378" spans="1:2" ht="28.8" x14ac:dyDescent="0.3">
      <c r="A4378" s="4" t="s">
        <v>7101</v>
      </c>
      <c r="B4378">
        <v>3</v>
      </c>
    </row>
    <row r="4379" spans="1:2" x14ac:dyDescent="0.3">
      <c r="A4379" s="4" t="s">
        <v>7102</v>
      </c>
      <c r="B4379">
        <v>3</v>
      </c>
    </row>
    <row r="4380" spans="1:2" ht="28.8" x14ac:dyDescent="0.3">
      <c r="A4380" s="4" t="s">
        <v>7103</v>
      </c>
      <c r="B4380">
        <v>3</v>
      </c>
    </row>
    <row r="4381" spans="1:2" ht="28.8" x14ac:dyDescent="0.3">
      <c r="A4381" s="4" t="s">
        <v>7104</v>
      </c>
      <c r="B4381">
        <v>3</v>
      </c>
    </row>
    <row r="4382" spans="1:2" ht="28.8" x14ac:dyDescent="0.3">
      <c r="A4382" s="4" t="s">
        <v>7105</v>
      </c>
      <c r="B4382">
        <v>3</v>
      </c>
    </row>
    <row r="4383" spans="1:2" x14ac:dyDescent="0.3">
      <c r="A4383" s="4" t="s">
        <v>7106</v>
      </c>
      <c r="B4383">
        <v>3</v>
      </c>
    </row>
    <row r="4384" spans="1:2" ht="28.8" x14ac:dyDescent="0.3">
      <c r="A4384" s="4" t="s">
        <v>7107</v>
      </c>
      <c r="B4384">
        <v>3</v>
      </c>
    </row>
    <row r="4385" spans="1:2" ht="28.8" x14ac:dyDescent="0.3">
      <c r="A4385" s="4" t="s">
        <v>7108</v>
      </c>
      <c r="B4385">
        <v>3</v>
      </c>
    </row>
    <row r="4386" spans="1:2" ht="28.8" x14ac:dyDescent="0.3">
      <c r="A4386" s="4" t="s">
        <v>7109</v>
      </c>
      <c r="B4386">
        <v>3</v>
      </c>
    </row>
    <row r="4387" spans="1:2" ht="28.8" x14ac:dyDescent="0.3">
      <c r="A4387" s="4" t="s">
        <v>7110</v>
      </c>
      <c r="B4387">
        <v>3</v>
      </c>
    </row>
    <row r="4388" spans="1:2" ht="28.8" x14ac:dyDescent="0.3">
      <c r="A4388" s="4" t="s">
        <v>7111</v>
      </c>
      <c r="B4388">
        <v>3</v>
      </c>
    </row>
    <row r="4389" spans="1:2" ht="28.8" x14ac:dyDescent="0.3">
      <c r="A4389" s="4" t="s">
        <v>7112</v>
      </c>
      <c r="B4389">
        <v>3</v>
      </c>
    </row>
    <row r="4390" spans="1:2" ht="28.8" x14ac:dyDescent="0.3">
      <c r="A4390" s="4" t="s">
        <v>7113</v>
      </c>
      <c r="B4390">
        <v>3</v>
      </c>
    </row>
    <row r="4391" spans="1:2" ht="43.2" x14ac:dyDescent="0.3">
      <c r="A4391" s="4" t="s">
        <v>7114</v>
      </c>
      <c r="B4391">
        <v>3</v>
      </c>
    </row>
    <row r="4392" spans="1:2" ht="28.8" x14ac:dyDescent="0.3">
      <c r="A4392" s="4" t="s">
        <v>7115</v>
      </c>
      <c r="B4392">
        <v>3</v>
      </c>
    </row>
    <row r="4393" spans="1:2" ht="28.8" x14ac:dyDescent="0.3">
      <c r="A4393" s="4" t="s">
        <v>7116</v>
      </c>
      <c r="B4393">
        <v>3</v>
      </c>
    </row>
    <row r="4394" spans="1:2" ht="28.8" x14ac:dyDescent="0.3">
      <c r="A4394" s="4" t="s">
        <v>7117</v>
      </c>
      <c r="B4394">
        <v>3</v>
      </c>
    </row>
    <row r="4395" spans="1:2" x14ac:dyDescent="0.3">
      <c r="A4395" s="4" t="s">
        <v>7118</v>
      </c>
      <c r="B4395">
        <v>3</v>
      </c>
    </row>
    <row r="4396" spans="1:2" ht="28.8" x14ac:dyDescent="0.3">
      <c r="A4396" s="4" t="s">
        <v>7119</v>
      </c>
      <c r="B4396">
        <v>3</v>
      </c>
    </row>
    <row r="4397" spans="1:2" ht="28.8" x14ac:dyDescent="0.3">
      <c r="A4397" s="4" t="s">
        <v>7120</v>
      </c>
      <c r="B4397">
        <v>3</v>
      </c>
    </row>
    <row r="4398" spans="1:2" ht="28.8" x14ac:dyDescent="0.3">
      <c r="A4398" s="4" t="s">
        <v>7121</v>
      </c>
      <c r="B4398">
        <v>3</v>
      </c>
    </row>
    <row r="4399" spans="1:2" ht="28.8" x14ac:dyDescent="0.3">
      <c r="A4399" s="4" t="s">
        <v>7122</v>
      </c>
      <c r="B4399">
        <v>3</v>
      </c>
    </row>
    <row r="4400" spans="1:2" x14ac:dyDescent="0.3">
      <c r="A4400" s="4" t="s">
        <v>7123</v>
      </c>
      <c r="B4400">
        <v>3</v>
      </c>
    </row>
    <row r="4401" spans="1:2" ht="43.2" x14ac:dyDescent="0.3">
      <c r="A4401" s="4" t="s">
        <v>7124</v>
      </c>
      <c r="B4401">
        <v>3</v>
      </c>
    </row>
    <row r="4402" spans="1:2" ht="28.8" x14ac:dyDescent="0.3">
      <c r="A4402" s="4" t="s">
        <v>7125</v>
      </c>
      <c r="B4402">
        <v>3</v>
      </c>
    </row>
    <row r="4403" spans="1:2" ht="28.8" x14ac:dyDescent="0.3">
      <c r="A4403" s="4" t="s">
        <v>7126</v>
      </c>
      <c r="B4403">
        <v>3</v>
      </c>
    </row>
    <row r="4404" spans="1:2" ht="28.8" x14ac:dyDescent="0.3">
      <c r="A4404" s="4" t="s">
        <v>7127</v>
      </c>
      <c r="B4404">
        <v>3</v>
      </c>
    </row>
    <row r="4405" spans="1:2" ht="28.8" x14ac:dyDescent="0.3">
      <c r="A4405" s="4" t="s">
        <v>7128</v>
      </c>
      <c r="B4405">
        <v>3</v>
      </c>
    </row>
    <row r="4406" spans="1:2" ht="28.8" x14ac:dyDescent="0.3">
      <c r="A4406" s="4" t="s">
        <v>7129</v>
      </c>
      <c r="B4406">
        <v>3</v>
      </c>
    </row>
    <row r="4407" spans="1:2" ht="28.8" x14ac:dyDescent="0.3">
      <c r="A4407" s="4" t="s">
        <v>7130</v>
      </c>
      <c r="B4407">
        <v>3</v>
      </c>
    </row>
    <row r="4408" spans="1:2" ht="28.8" x14ac:dyDescent="0.3">
      <c r="A4408" s="4" t="s">
        <v>7131</v>
      </c>
      <c r="B4408">
        <v>3</v>
      </c>
    </row>
    <row r="4409" spans="1:2" ht="28.8" x14ac:dyDescent="0.3">
      <c r="A4409" s="4" t="s">
        <v>7132</v>
      </c>
      <c r="B4409">
        <v>3</v>
      </c>
    </row>
    <row r="4410" spans="1:2" ht="28.8" x14ac:dyDescent="0.3">
      <c r="A4410" s="4" t="s">
        <v>7133</v>
      </c>
      <c r="B4410">
        <v>3</v>
      </c>
    </row>
    <row r="4411" spans="1:2" ht="28.8" x14ac:dyDescent="0.3">
      <c r="A4411" s="4" t="s">
        <v>7134</v>
      </c>
      <c r="B4411">
        <v>3</v>
      </c>
    </row>
    <row r="4412" spans="1:2" ht="28.8" x14ac:dyDescent="0.3">
      <c r="A4412" s="4" t="s">
        <v>7135</v>
      </c>
      <c r="B4412">
        <v>3</v>
      </c>
    </row>
    <row r="4413" spans="1:2" ht="28.8" x14ac:dyDescent="0.3">
      <c r="A4413" s="4" t="s">
        <v>7136</v>
      </c>
      <c r="B4413">
        <v>3</v>
      </c>
    </row>
    <row r="4414" spans="1:2" ht="28.8" x14ac:dyDescent="0.3">
      <c r="A4414" s="4" t="s">
        <v>7137</v>
      </c>
      <c r="B4414">
        <v>3</v>
      </c>
    </row>
    <row r="4415" spans="1:2" ht="28.8" x14ac:dyDescent="0.3">
      <c r="A4415" s="4" t="s">
        <v>7138</v>
      </c>
      <c r="B4415">
        <v>3</v>
      </c>
    </row>
    <row r="4416" spans="1:2" ht="28.8" x14ac:dyDescent="0.3">
      <c r="A4416" s="4" t="s">
        <v>7139</v>
      </c>
      <c r="B4416">
        <v>3</v>
      </c>
    </row>
    <row r="4417" spans="1:2" ht="28.8" x14ac:dyDescent="0.3">
      <c r="A4417" s="4" t="s">
        <v>7140</v>
      </c>
      <c r="B4417">
        <v>3</v>
      </c>
    </row>
    <row r="4418" spans="1:2" ht="28.8" x14ac:dyDescent="0.3">
      <c r="A4418" s="4" t="s">
        <v>7141</v>
      </c>
      <c r="B4418">
        <v>3</v>
      </c>
    </row>
    <row r="4419" spans="1:2" ht="28.8" x14ac:dyDescent="0.3">
      <c r="A4419" s="4" t="s">
        <v>7142</v>
      </c>
      <c r="B4419">
        <v>3</v>
      </c>
    </row>
    <row r="4420" spans="1:2" x14ac:dyDescent="0.3">
      <c r="A4420" s="4" t="s">
        <v>7143</v>
      </c>
      <c r="B4420">
        <v>3</v>
      </c>
    </row>
    <row r="4421" spans="1:2" ht="28.8" x14ac:dyDescent="0.3">
      <c r="A4421" s="4" t="s">
        <v>7144</v>
      </c>
      <c r="B4421">
        <v>3</v>
      </c>
    </row>
    <row r="4422" spans="1:2" ht="28.8" x14ac:dyDescent="0.3">
      <c r="A4422" s="4" t="s">
        <v>7145</v>
      </c>
      <c r="B4422">
        <v>3</v>
      </c>
    </row>
    <row r="4423" spans="1:2" ht="28.8" x14ac:dyDescent="0.3">
      <c r="A4423" s="4" t="s">
        <v>7146</v>
      </c>
      <c r="B4423">
        <v>3</v>
      </c>
    </row>
    <row r="4424" spans="1:2" ht="28.8" x14ac:dyDescent="0.3">
      <c r="A4424" s="4" t="s">
        <v>7147</v>
      </c>
      <c r="B4424">
        <v>3</v>
      </c>
    </row>
    <row r="4425" spans="1:2" x14ac:dyDescent="0.3">
      <c r="A4425" s="4" t="s">
        <v>7148</v>
      </c>
      <c r="B4425">
        <v>3</v>
      </c>
    </row>
    <row r="4426" spans="1:2" ht="28.8" x14ac:dyDescent="0.3">
      <c r="A4426" s="4" t="s">
        <v>7149</v>
      </c>
      <c r="B4426">
        <v>3</v>
      </c>
    </row>
    <row r="4427" spans="1:2" ht="43.2" x14ac:dyDescent="0.3">
      <c r="A4427" s="4" t="s">
        <v>7150</v>
      </c>
      <c r="B4427">
        <v>3</v>
      </c>
    </row>
    <row r="4428" spans="1:2" ht="28.8" x14ac:dyDescent="0.3">
      <c r="A4428" s="4" t="s">
        <v>7151</v>
      </c>
      <c r="B4428">
        <v>3</v>
      </c>
    </row>
    <row r="4429" spans="1:2" ht="28.8" x14ac:dyDescent="0.3">
      <c r="A4429" s="4" t="s">
        <v>7152</v>
      </c>
      <c r="B4429">
        <v>3</v>
      </c>
    </row>
    <row r="4430" spans="1:2" ht="28.8" x14ac:dyDescent="0.3">
      <c r="A4430" s="4" t="s">
        <v>7153</v>
      </c>
      <c r="B4430">
        <v>3</v>
      </c>
    </row>
    <row r="4431" spans="1:2" ht="28.8" x14ac:dyDescent="0.3">
      <c r="A4431" s="4" t="s">
        <v>7154</v>
      </c>
      <c r="B4431">
        <v>3</v>
      </c>
    </row>
    <row r="4432" spans="1:2" x14ac:dyDescent="0.3">
      <c r="A4432" s="4" t="s">
        <v>7155</v>
      </c>
      <c r="B4432">
        <v>3</v>
      </c>
    </row>
    <row r="4433" spans="1:2" ht="43.2" x14ac:dyDescent="0.3">
      <c r="A4433" s="4" t="s">
        <v>7156</v>
      </c>
      <c r="B4433">
        <v>3</v>
      </c>
    </row>
    <row r="4434" spans="1:2" ht="43.2" x14ac:dyDescent="0.3">
      <c r="A4434" s="4" t="s">
        <v>7157</v>
      </c>
      <c r="B4434">
        <v>3</v>
      </c>
    </row>
    <row r="4435" spans="1:2" ht="28.8" x14ac:dyDescent="0.3">
      <c r="A4435" s="4" t="s">
        <v>7158</v>
      </c>
      <c r="B4435">
        <v>3</v>
      </c>
    </row>
    <row r="4436" spans="1:2" ht="43.2" x14ac:dyDescent="0.3">
      <c r="A4436" s="4" t="s">
        <v>7159</v>
      </c>
      <c r="B4436">
        <v>3</v>
      </c>
    </row>
    <row r="4437" spans="1:2" ht="28.8" x14ac:dyDescent="0.3">
      <c r="A4437" s="4" t="s">
        <v>7160</v>
      </c>
      <c r="B4437">
        <v>3</v>
      </c>
    </row>
    <row r="4438" spans="1:2" ht="28.8" x14ac:dyDescent="0.3">
      <c r="A4438" s="4" t="s">
        <v>7161</v>
      </c>
      <c r="B4438">
        <v>3</v>
      </c>
    </row>
    <row r="4439" spans="1:2" ht="28.8" x14ac:dyDescent="0.3">
      <c r="A4439" s="4" t="s">
        <v>7162</v>
      </c>
      <c r="B4439">
        <v>3</v>
      </c>
    </row>
    <row r="4440" spans="1:2" ht="28.8" x14ac:dyDescent="0.3">
      <c r="A4440" s="4" t="s">
        <v>7163</v>
      </c>
      <c r="B4440">
        <v>3</v>
      </c>
    </row>
    <row r="4441" spans="1:2" ht="28.8" x14ac:dyDescent="0.3">
      <c r="A4441" s="4" t="s">
        <v>7164</v>
      </c>
      <c r="B4441">
        <v>3</v>
      </c>
    </row>
    <row r="4442" spans="1:2" ht="28.8" x14ac:dyDescent="0.3">
      <c r="A4442" s="4" t="s">
        <v>7165</v>
      </c>
      <c r="B4442">
        <v>3</v>
      </c>
    </row>
    <row r="4443" spans="1:2" ht="28.8" x14ac:dyDescent="0.3">
      <c r="A4443" s="4" t="s">
        <v>7166</v>
      </c>
      <c r="B4443">
        <v>3</v>
      </c>
    </row>
    <row r="4444" spans="1:2" ht="28.8" x14ac:dyDescent="0.3">
      <c r="A4444" s="4" t="s">
        <v>7167</v>
      </c>
      <c r="B4444">
        <v>3</v>
      </c>
    </row>
    <row r="4445" spans="1:2" ht="28.8" x14ac:dyDescent="0.3">
      <c r="A4445" s="4" t="s">
        <v>7168</v>
      </c>
      <c r="B4445">
        <v>3</v>
      </c>
    </row>
    <row r="4446" spans="1:2" ht="28.8" x14ac:dyDescent="0.3">
      <c r="A4446" s="4" t="s">
        <v>7169</v>
      </c>
      <c r="B4446">
        <v>3</v>
      </c>
    </row>
    <row r="4447" spans="1:2" ht="28.8" x14ac:dyDescent="0.3">
      <c r="A4447" s="4" t="s">
        <v>7170</v>
      </c>
      <c r="B4447">
        <v>3</v>
      </c>
    </row>
    <row r="4448" spans="1:2" ht="28.8" x14ac:dyDescent="0.3">
      <c r="A4448" s="4" t="s">
        <v>7171</v>
      </c>
      <c r="B4448">
        <v>3</v>
      </c>
    </row>
    <row r="4449" spans="1:2" ht="43.2" x14ac:dyDescent="0.3">
      <c r="A4449" s="4" t="s">
        <v>7172</v>
      </c>
      <c r="B4449">
        <v>3</v>
      </c>
    </row>
    <row r="4450" spans="1:2" ht="43.2" x14ac:dyDescent="0.3">
      <c r="A4450" s="4" t="s">
        <v>7173</v>
      </c>
      <c r="B4450">
        <v>3</v>
      </c>
    </row>
    <row r="4451" spans="1:2" x14ac:dyDescent="0.3">
      <c r="A4451" s="4" t="s">
        <v>7174</v>
      </c>
      <c r="B4451">
        <v>3</v>
      </c>
    </row>
    <row r="4452" spans="1:2" ht="28.8" x14ac:dyDescent="0.3">
      <c r="A4452" s="4" t="s">
        <v>7175</v>
      </c>
      <c r="B4452">
        <v>3</v>
      </c>
    </row>
    <row r="4453" spans="1:2" ht="57.6" x14ac:dyDescent="0.3">
      <c r="A4453" s="4" t="s">
        <v>7176</v>
      </c>
      <c r="B4453">
        <v>3</v>
      </c>
    </row>
    <row r="4454" spans="1:2" ht="28.8" x14ac:dyDescent="0.3">
      <c r="A4454" s="4" t="s">
        <v>7177</v>
      </c>
      <c r="B4454">
        <v>3</v>
      </c>
    </row>
    <row r="4455" spans="1:2" ht="28.8" x14ac:dyDescent="0.3">
      <c r="A4455" s="4" t="s">
        <v>7178</v>
      </c>
      <c r="B4455">
        <v>3</v>
      </c>
    </row>
    <row r="4456" spans="1:2" ht="28.8" x14ac:dyDescent="0.3">
      <c r="A4456" s="4" t="s">
        <v>7179</v>
      </c>
      <c r="B4456">
        <v>3</v>
      </c>
    </row>
    <row r="4457" spans="1:2" ht="28.8" x14ac:dyDescent="0.3">
      <c r="A4457" s="4" t="s">
        <v>7180</v>
      </c>
      <c r="B4457">
        <v>3</v>
      </c>
    </row>
    <row r="4458" spans="1:2" ht="28.8" x14ac:dyDescent="0.3">
      <c r="A4458" s="4" t="s">
        <v>7181</v>
      </c>
      <c r="B4458">
        <v>3</v>
      </c>
    </row>
    <row r="4459" spans="1:2" ht="28.8" x14ac:dyDescent="0.3">
      <c r="A4459" s="4" t="s">
        <v>7182</v>
      </c>
      <c r="B4459">
        <v>3</v>
      </c>
    </row>
    <row r="4460" spans="1:2" ht="28.8" x14ac:dyDescent="0.3">
      <c r="A4460" s="4" t="s">
        <v>7183</v>
      </c>
      <c r="B4460">
        <v>3</v>
      </c>
    </row>
    <row r="4461" spans="1:2" ht="28.8" x14ac:dyDescent="0.3">
      <c r="A4461" s="4" t="s">
        <v>7184</v>
      </c>
      <c r="B4461">
        <v>3</v>
      </c>
    </row>
    <row r="4462" spans="1:2" ht="28.8" x14ac:dyDescent="0.3">
      <c r="A4462" s="4" t="s">
        <v>7185</v>
      </c>
      <c r="B4462">
        <v>3</v>
      </c>
    </row>
    <row r="4463" spans="1:2" x14ac:dyDescent="0.3">
      <c r="A4463" s="4" t="s">
        <v>7186</v>
      </c>
      <c r="B4463">
        <v>3</v>
      </c>
    </row>
    <row r="4464" spans="1:2" ht="28.8" x14ac:dyDescent="0.3">
      <c r="A4464" s="4" t="s">
        <v>7187</v>
      </c>
      <c r="B4464">
        <v>3</v>
      </c>
    </row>
    <row r="4465" spans="1:2" ht="28.8" x14ac:dyDescent="0.3">
      <c r="A4465" s="4" t="s">
        <v>7188</v>
      </c>
      <c r="B4465">
        <v>3</v>
      </c>
    </row>
    <row r="4466" spans="1:2" ht="43.2" x14ac:dyDescent="0.3">
      <c r="A4466" s="4" t="s">
        <v>7189</v>
      </c>
      <c r="B4466">
        <v>3</v>
      </c>
    </row>
    <row r="4467" spans="1:2" ht="43.2" x14ac:dyDescent="0.3">
      <c r="A4467" s="4" t="s">
        <v>7190</v>
      </c>
      <c r="B4467">
        <v>3</v>
      </c>
    </row>
    <row r="4468" spans="1:2" ht="28.8" x14ac:dyDescent="0.3">
      <c r="A4468" s="4" t="s">
        <v>7191</v>
      </c>
      <c r="B4468">
        <v>3</v>
      </c>
    </row>
    <row r="4469" spans="1:2" ht="28.8" x14ac:dyDescent="0.3">
      <c r="A4469" s="4" t="s">
        <v>7192</v>
      </c>
      <c r="B4469">
        <v>3</v>
      </c>
    </row>
    <row r="4470" spans="1:2" ht="28.8" x14ac:dyDescent="0.3">
      <c r="A4470" s="4" t="s">
        <v>7193</v>
      </c>
      <c r="B4470">
        <v>3</v>
      </c>
    </row>
    <row r="4471" spans="1:2" x14ac:dyDescent="0.3">
      <c r="A4471" s="4" t="s">
        <v>7194</v>
      </c>
      <c r="B4471">
        <v>3</v>
      </c>
    </row>
    <row r="4472" spans="1:2" ht="28.8" x14ac:dyDescent="0.3">
      <c r="A4472" s="4" t="s">
        <v>7195</v>
      </c>
      <c r="B4472">
        <v>3</v>
      </c>
    </row>
    <row r="4473" spans="1:2" x14ac:dyDescent="0.3">
      <c r="A4473" s="4" t="s">
        <v>7196</v>
      </c>
      <c r="B4473">
        <v>3</v>
      </c>
    </row>
    <row r="4474" spans="1:2" ht="28.8" x14ac:dyDescent="0.3">
      <c r="A4474" s="4" t="s">
        <v>7197</v>
      </c>
      <c r="B4474">
        <v>3</v>
      </c>
    </row>
    <row r="4475" spans="1:2" ht="43.2" x14ac:dyDescent="0.3">
      <c r="A4475" s="4" t="s">
        <v>7198</v>
      </c>
      <c r="B4475">
        <v>3</v>
      </c>
    </row>
    <row r="4476" spans="1:2" ht="28.8" x14ac:dyDescent="0.3">
      <c r="A4476" s="4" t="s">
        <v>7199</v>
      </c>
      <c r="B4476">
        <v>3</v>
      </c>
    </row>
    <row r="4477" spans="1:2" ht="28.8" x14ac:dyDescent="0.3">
      <c r="A4477" s="4" t="s">
        <v>7200</v>
      </c>
      <c r="B4477">
        <v>3</v>
      </c>
    </row>
    <row r="4478" spans="1:2" ht="28.8" x14ac:dyDescent="0.3">
      <c r="A4478" s="4" t="s">
        <v>7201</v>
      </c>
      <c r="B4478">
        <v>3</v>
      </c>
    </row>
    <row r="4479" spans="1:2" ht="28.8" x14ac:dyDescent="0.3">
      <c r="A4479" s="4" t="s">
        <v>7202</v>
      </c>
      <c r="B4479">
        <v>3</v>
      </c>
    </row>
    <row r="4480" spans="1:2" ht="43.2" x14ac:dyDescent="0.3">
      <c r="A4480" s="4" t="s">
        <v>7203</v>
      </c>
      <c r="B4480">
        <v>3</v>
      </c>
    </row>
    <row r="4481" spans="1:2" x14ac:dyDescent="0.3">
      <c r="A4481" s="4" t="s">
        <v>7204</v>
      </c>
      <c r="B4481">
        <v>3</v>
      </c>
    </row>
    <row r="4482" spans="1:2" ht="43.2" x14ac:dyDescent="0.3">
      <c r="A4482" s="4" t="s">
        <v>7205</v>
      </c>
      <c r="B4482">
        <v>3</v>
      </c>
    </row>
    <row r="4483" spans="1:2" ht="28.8" x14ac:dyDescent="0.3">
      <c r="A4483" s="4" t="s">
        <v>7206</v>
      </c>
      <c r="B4483">
        <v>3</v>
      </c>
    </row>
    <row r="4484" spans="1:2" x14ac:dyDescent="0.3">
      <c r="A4484" s="4" t="s">
        <v>7207</v>
      </c>
      <c r="B4484">
        <v>3</v>
      </c>
    </row>
    <row r="4485" spans="1:2" ht="28.8" x14ac:dyDescent="0.3">
      <c r="A4485" s="4" t="s">
        <v>7208</v>
      </c>
      <c r="B4485">
        <v>3</v>
      </c>
    </row>
    <row r="4486" spans="1:2" ht="28.8" x14ac:dyDescent="0.3">
      <c r="A4486" s="4" t="s">
        <v>7209</v>
      </c>
      <c r="B4486">
        <v>3</v>
      </c>
    </row>
    <row r="4487" spans="1:2" ht="43.2" x14ac:dyDescent="0.3">
      <c r="A4487" s="4" t="s">
        <v>7210</v>
      </c>
      <c r="B4487">
        <v>3</v>
      </c>
    </row>
    <row r="4488" spans="1:2" ht="28.8" x14ac:dyDescent="0.3">
      <c r="A4488" s="4" t="s">
        <v>7211</v>
      </c>
      <c r="B4488">
        <v>3</v>
      </c>
    </row>
    <row r="4489" spans="1:2" x14ac:dyDescent="0.3">
      <c r="A4489" s="4" t="s">
        <v>7212</v>
      </c>
      <c r="B4489">
        <v>3</v>
      </c>
    </row>
    <row r="4490" spans="1:2" ht="28.8" x14ac:dyDescent="0.3">
      <c r="A4490" s="4" t="s">
        <v>7213</v>
      </c>
      <c r="B4490">
        <v>3</v>
      </c>
    </row>
    <row r="4491" spans="1:2" ht="43.2" x14ac:dyDescent="0.3">
      <c r="A4491" s="4" t="s">
        <v>7214</v>
      </c>
      <c r="B4491">
        <v>3</v>
      </c>
    </row>
    <row r="4492" spans="1:2" x14ac:dyDescent="0.3">
      <c r="A4492" s="4" t="s">
        <v>7215</v>
      </c>
      <c r="B4492">
        <v>3</v>
      </c>
    </row>
    <row r="4493" spans="1:2" ht="28.8" x14ac:dyDescent="0.3">
      <c r="A4493" s="4" t="s">
        <v>7216</v>
      </c>
      <c r="B4493">
        <v>3</v>
      </c>
    </row>
    <row r="4494" spans="1:2" ht="28.8" x14ac:dyDescent="0.3">
      <c r="A4494" s="4" t="s">
        <v>7217</v>
      </c>
      <c r="B4494">
        <v>3</v>
      </c>
    </row>
    <row r="4495" spans="1:2" ht="43.2" x14ac:dyDescent="0.3">
      <c r="A4495" s="4" t="s">
        <v>7218</v>
      </c>
      <c r="B4495">
        <v>3</v>
      </c>
    </row>
    <row r="4496" spans="1:2" ht="43.2" x14ac:dyDescent="0.3">
      <c r="A4496" s="4" t="s">
        <v>7219</v>
      </c>
      <c r="B4496">
        <v>3</v>
      </c>
    </row>
    <row r="4497" spans="1:2" ht="28.8" x14ac:dyDescent="0.3">
      <c r="A4497" s="4" t="s">
        <v>7220</v>
      </c>
      <c r="B4497">
        <v>3</v>
      </c>
    </row>
    <row r="4498" spans="1:2" ht="28.8" x14ac:dyDescent="0.3">
      <c r="A4498" s="4" t="s">
        <v>7221</v>
      </c>
      <c r="B4498">
        <v>3</v>
      </c>
    </row>
    <row r="4499" spans="1:2" ht="28.8" x14ac:dyDescent="0.3">
      <c r="A4499" s="4" t="s">
        <v>7222</v>
      </c>
      <c r="B4499">
        <v>3</v>
      </c>
    </row>
    <row r="4500" spans="1:2" ht="28.8" x14ac:dyDescent="0.3">
      <c r="A4500" s="4" t="s">
        <v>7223</v>
      </c>
      <c r="B4500">
        <v>3</v>
      </c>
    </row>
    <row r="4501" spans="1:2" x14ac:dyDescent="0.3">
      <c r="A4501" s="4" t="s">
        <v>7224</v>
      </c>
      <c r="B4501">
        <v>3</v>
      </c>
    </row>
    <row r="4502" spans="1:2" ht="28.8" x14ac:dyDescent="0.3">
      <c r="A4502" s="4" t="s">
        <v>7225</v>
      </c>
      <c r="B4502">
        <v>3</v>
      </c>
    </row>
    <row r="4503" spans="1:2" x14ac:dyDescent="0.3">
      <c r="A4503" s="4" t="s">
        <v>7226</v>
      </c>
      <c r="B4503">
        <v>3</v>
      </c>
    </row>
    <row r="4504" spans="1:2" ht="28.8" x14ac:dyDescent="0.3">
      <c r="A4504" s="4" t="s">
        <v>7227</v>
      </c>
      <c r="B4504">
        <v>3</v>
      </c>
    </row>
    <row r="4505" spans="1:2" x14ac:dyDescent="0.3">
      <c r="A4505" s="4" t="s">
        <v>7228</v>
      </c>
      <c r="B4505">
        <v>3</v>
      </c>
    </row>
    <row r="4506" spans="1:2" ht="28.8" x14ac:dyDescent="0.3">
      <c r="A4506" s="4" t="s">
        <v>7229</v>
      </c>
      <c r="B4506">
        <v>3</v>
      </c>
    </row>
    <row r="4507" spans="1:2" ht="28.8" x14ac:dyDescent="0.3">
      <c r="A4507" s="4" t="s">
        <v>7230</v>
      </c>
      <c r="B4507">
        <v>3</v>
      </c>
    </row>
    <row r="4508" spans="1:2" ht="28.8" x14ac:dyDescent="0.3">
      <c r="A4508" s="4" t="s">
        <v>7231</v>
      </c>
      <c r="B4508">
        <v>3</v>
      </c>
    </row>
    <row r="4509" spans="1:2" ht="43.2" x14ac:dyDescent="0.3">
      <c r="A4509" s="4" t="s">
        <v>7232</v>
      </c>
      <c r="B4509">
        <v>3</v>
      </c>
    </row>
    <row r="4510" spans="1:2" ht="28.8" x14ac:dyDescent="0.3">
      <c r="A4510" s="4" t="s">
        <v>7233</v>
      </c>
      <c r="B4510">
        <v>3</v>
      </c>
    </row>
    <row r="4511" spans="1:2" ht="28.8" x14ac:dyDescent="0.3">
      <c r="A4511" s="4" t="s">
        <v>7234</v>
      </c>
      <c r="B4511">
        <v>3</v>
      </c>
    </row>
    <row r="4512" spans="1:2" ht="28.8" x14ac:dyDescent="0.3">
      <c r="A4512" s="4" t="s">
        <v>7235</v>
      </c>
      <c r="B4512">
        <v>3</v>
      </c>
    </row>
    <row r="4513" spans="1:2" ht="43.2" x14ac:dyDescent="0.3">
      <c r="A4513" s="4" t="s">
        <v>7236</v>
      </c>
      <c r="B4513">
        <v>3</v>
      </c>
    </row>
    <row r="4514" spans="1:2" ht="28.8" x14ac:dyDescent="0.3">
      <c r="A4514" s="4" t="s">
        <v>7237</v>
      </c>
      <c r="B4514">
        <v>3</v>
      </c>
    </row>
    <row r="4515" spans="1:2" ht="28.8" x14ac:dyDescent="0.3">
      <c r="A4515" s="4" t="s">
        <v>7238</v>
      </c>
      <c r="B4515">
        <v>3</v>
      </c>
    </row>
    <row r="4516" spans="1:2" ht="28.8" x14ac:dyDescent="0.3">
      <c r="A4516" s="4" t="s">
        <v>7239</v>
      </c>
      <c r="B4516">
        <v>3</v>
      </c>
    </row>
    <row r="4517" spans="1:2" ht="28.8" x14ac:dyDescent="0.3">
      <c r="A4517" s="4" t="s">
        <v>7240</v>
      </c>
      <c r="B4517">
        <v>3</v>
      </c>
    </row>
    <row r="4518" spans="1:2" ht="28.8" x14ac:dyDescent="0.3">
      <c r="A4518" s="4" t="s">
        <v>7241</v>
      </c>
      <c r="B4518">
        <v>3</v>
      </c>
    </row>
    <row r="4519" spans="1:2" ht="28.8" x14ac:dyDescent="0.3">
      <c r="A4519" s="4" t="s">
        <v>7242</v>
      </c>
      <c r="B4519">
        <v>3</v>
      </c>
    </row>
    <row r="4520" spans="1:2" ht="28.8" x14ac:dyDescent="0.3">
      <c r="A4520" s="4" t="s">
        <v>7243</v>
      </c>
      <c r="B4520">
        <v>3</v>
      </c>
    </row>
    <row r="4521" spans="1:2" ht="28.8" x14ac:dyDescent="0.3">
      <c r="A4521" s="4" t="s">
        <v>7244</v>
      </c>
      <c r="B4521">
        <v>3</v>
      </c>
    </row>
    <row r="4522" spans="1:2" ht="28.8" x14ac:dyDescent="0.3">
      <c r="A4522" s="4" t="s">
        <v>7245</v>
      </c>
      <c r="B4522">
        <v>3</v>
      </c>
    </row>
    <row r="4523" spans="1:2" ht="43.2" x14ac:dyDescent="0.3">
      <c r="A4523" s="4" t="s">
        <v>7246</v>
      </c>
      <c r="B4523">
        <v>3</v>
      </c>
    </row>
    <row r="4524" spans="1:2" ht="28.8" x14ac:dyDescent="0.3">
      <c r="A4524" s="4" t="s">
        <v>7247</v>
      </c>
      <c r="B4524">
        <v>3</v>
      </c>
    </row>
    <row r="4525" spans="1:2" x14ac:dyDescent="0.3">
      <c r="A4525" s="4" t="s">
        <v>7248</v>
      </c>
      <c r="B4525">
        <v>3</v>
      </c>
    </row>
    <row r="4526" spans="1:2" ht="28.8" x14ac:dyDescent="0.3">
      <c r="A4526" s="4" t="s">
        <v>7249</v>
      </c>
      <c r="B4526">
        <v>3</v>
      </c>
    </row>
    <row r="4527" spans="1:2" ht="28.8" x14ac:dyDescent="0.3">
      <c r="A4527" s="4" t="s">
        <v>7250</v>
      </c>
      <c r="B4527">
        <v>3</v>
      </c>
    </row>
    <row r="4528" spans="1:2" ht="28.8" x14ac:dyDescent="0.3">
      <c r="A4528" s="4" t="s">
        <v>7251</v>
      </c>
      <c r="B4528">
        <v>3</v>
      </c>
    </row>
    <row r="4529" spans="1:2" ht="28.8" x14ac:dyDescent="0.3">
      <c r="A4529" s="4" t="s">
        <v>7252</v>
      </c>
      <c r="B4529">
        <v>3</v>
      </c>
    </row>
    <row r="4530" spans="1:2" ht="28.8" x14ac:dyDescent="0.3">
      <c r="A4530" s="4" t="s">
        <v>7253</v>
      </c>
      <c r="B4530">
        <v>3</v>
      </c>
    </row>
    <row r="4531" spans="1:2" ht="28.8" x14ac:dyDescent="0.3">
      <c r="A4531" s="4" t="s">
        <v>7254</v>
      </c>
      <c r="B4531">
        <v>3</v>
      </c>
    </row>
    <row r="4532" spans="1:2" ht="43.2" x14ac:dyDescent="0.3">
      <c r="A4532" s="4" t="s">
        <v>7255</v>
      </c>
      <c r="B4532">
        <v>3</v>
      </c>
    </row>
    <row r="4533" spans="1:2" ht="28.8" x14ac:dyDescent="0.3">
      <c r="A4533" s="4" t="s">
        <v>7256</v>
      </c>
      <c r="B4533">
        <v>3</v>
      </c>
    </row>
    <row r="4534" spans="1:2" ht="28.8" x14ac:dyDescent="0.3">
      <c r="A4534" s="4" t="s">
        <v>7257</v>
      </c>
      <c r="B4534">
        <v>3</v>
      </c>
    </row>
    <row r="4535" spans="1:2" ht="43.2" x14ac:dyDescent="0.3">
      <c r="A4535" s="4" t="s">
        <v>7258</v>
      </c>
      <c r="B4535">
        <v>3</v>
      </c>
    </row>
    <row r="4536" spans="1:2" ht="28.8" x14ac:dyDescent="0.3">
      <c r="A4536" s="4" t="s">
        <v>7259</v>
      </c>
      <c r="B4536">
        <v>3</v>
      </c>
    </row>
    <row r="4537" spans="1:2" x14ac:dyDescent="0.3">
      <c r="A4537" s="4" t="s">
        <v>7260</v>
      </c>
      <c r="B4537">
        <v>3</v>
      </c>
    </row>
    <row r="4538" spans="1:2" ht="28.8" x14ac:dyDescent="0.3">
      <c r="A4538" s="4" t="s">
        <v>7261</v>
      </c>
      <c r="B4538">
        <v>3</v>
      </c>
    </row>
    <row r="4539" spans="1:2" ht="28.8" x14ac:dyDescent="0.3">
      <c r="A4539" s="4" t="s">
        <v>7262</v>
      </c>
      <c r="B4539">
        <v>3</v>
      </c>
    </row>
    <row r="4540" spans="1:2" ht="43.2" x14ac:dyDescent="0.3">
      <c r="A4540" s="4" t="s">
        <v>7263</v>
      </c>
      <c r="B4540">
        <v>3</v>
      </c>
    </row>
    <row r="4541" spans="1:2" ht="28.8" x14ac:dyDescent="0.3">
      <c r="A4541" s="4" t="s">
        <v>7264</v>
      </c>
      <c r="B4541">
        <v>3</v>
      </c>
    </row>
    <row r="4542" spans="1:2" ht="28.8" x14ac:dyDescent="0.3">
      <c r="A4542" s="4" t="s">
        <v>7265</v>
      </c>
      <c r="B4542">
        <v>3</v>
      </c>
    </row>
    <row r="4543" spans="1:2" x14ac:dyDescent="0.3">
      <c r="A4543" s="4" t="s">
        <v>7266</v>
      </c>
      <c r="B4543">
        <v>3</v>
      </c>
    </row>
    <row r="4544" spans="1:2" ht="43.2" x14ac:dyDescent="0.3">
      <c r="A4544" s="4" t="s">
        <v>7267</v>
      </c>
      <c r="B4544">
        <v>3</v>
      </c>
    </row>
    <row r="4545" spans="1:2" ht="28.8" x14ac:dyDescent="0.3">
      <c r="A4545" s="4" t="s">
        <v>7268</v>
      </c>
      <c r="B4545">
        <v>3</v>
      </c>
    </row>
    <row r="4546" spans="1:2" ht="43.2" x14ac:dyDescent="0.3">
      <c r="A4546" s="4" t="s">
        <v>7269</v>
      </c>
      <c r="B4546">
        <v>3</v>
      </c>
    </row>
    <row r="4547" spans="1:2" ht="28.8" x14ac:dyDescent="0.3">
      <c r="A4547" s="4" t="s">
        <v>7270</v>
      </c>
      <c r="B4547">
        <v>3</v>
      </c>
    </row>
    <row r="4548" spans="1:2" ht="43.2" x14ac:dyDescent="0.3">
      <c r="A4548" s="4" t="s">
        <v>7271</v>
      </c>
      <c r="B4548">
        <v>3</v>
      </c>
    </row>
    <row r="4549" spans="1:2" x14ac:dyDescent="0.3">
      <c r="A4549" s="4" t="s">
        <v>7272</v>
      </c>
      <c r="B4549">
        <v>3</v>
      </c>
    </row>
    <row r="4550" spans="1:2" ht="43.2" x14ac:dyDescent="0.3">
      <c r="A4550" s="4" t="s">
        <v>7273</v>
      </c>
      <c r="B4550">
        <v>3</v>
      </c>
    </row>
    <row r="4551" spans="1:2" ht="28.8" x14ac:dyDescent="0.3">
      <c r="A4551" s="4" t="s">
        <v>7274</v>
      </c>
      <c r="B4551">
        <v>3</v>
      </c>
    </row>
    <row r="4552" spans="1:2" ht="28.8" x14ac:dyDescent="0.3">
      <c r="A4552" s="4" t="s">
        <v>7275</v>
      </c>
      <c r="B4552">
        <v>3</v>
      </c>
    </row>
    <row r="4553" spans="1:2" ht="43.2" x14ac:dyDescent="0.3">
      <c r="A4553" s="4" t="s">
        <v>7276</v>
      </c>
      <c r="B4553">
        <v>3</v>
      </c>
    </row>
    <row r="4554" spans="1:2" x14ac:dyDescent="0.3">
      <c r="A4554" s="4" t="s">
        <v>7277</v>
      </c>
      <c r="B4554">
        <v>3</v>
      </c>
    </row>
    <row r="4555" spans="1:2" ht="43.2" x14ac:dyDescent="0.3">
      <c r="A4555" s="4" t="s">
        <v>7278</v>
      </c>
      <c r="B4555">
        <v>3</v>
      </c>
    </row>
    <row r="4556" spans="1:2" ht="28.8" x14ac:dyDescent="0.3">
      <c r="A4556" s="4" t="s">
        <v>7279</v>
      </c>
      <c r="B4556">
        <v>3</v>
      </c>
    </row>
    <row r="4557" spans="1:2" ht="43.2" x14ac:dyDescent="0.3">
      <c r="A4557" s="4" t="s">
        <v>7280</v>
      </c>
      <c r="B4557">
        <v>3</v>
      </c>
    </row>
    <row r="4558" spans="1:2" ht="28.8" x14ac:dyDescent="0.3">
      <c r="A4558" s="4" t="s">
        <v>7281</v>
      </c>
      <c r="B4558">
        <v>3</v>
      </c>
    </row>
    <row r="4559" spans="1:2" x14ac:dyDescent="0.3">
      <c r="A4559" s="4" t="s">
        <v>7282</v>
      </c>
      <c r="B4559">
        <v>3</v>
      </c>
    </row>
    <row r="4560" spans="1:2" ht="28.8" x14ac:dyDescent="0.3">
      <c r="A4560" s="4" t="s">
        <v>7283</v>
      </c>
      <c r="B4560">
        <v>3</v>
      </c>
    </row>
    <row r="4561" spans="1:2" ht="28.8" x14ac:dyDescent="0.3">
      <c r="A4561" s="4" t="s">
        <v>7284</v>
      </c>
      <c r="B4561">
        <v>3</v>
      </c>
    </row>
    <row r="4562" spans="1:2" ht="28.8" x14ac:dyDescent="0.3">
      <c r="A4562" s="4" t="s">
        <v>7285</v>
      </c>
      <c r="B4562">
        <v>3</v>
      </c>
    </row>
    <row r="4563" spans="1:2" ht="28.8" x14ac:dyDescent="0.3">
      <c r="A4563" s="4" t="s">
        <v>7286</v>
      </c>
      <c r="B4563">
        <v>3</v>
      </c>
    </row>
    <row r="4564" spans="1:2" ht="28.8" x14ac:dyDescent="0.3">
      <c r="A4564" s="4" t="s">
        <v>7287</v>
      </c>
      <c r="B4564">
        <v>3</v>
      </c>
    </row>
    <row r="4565" spans="1:2" ht="28.8" x14ac:dyDescent="0.3">
      <c r="A4565" s="4" t="s">
        <v>7288</v>
      </c>
      <c r="B4565">
        <v>3</v>
      </c>
    </row>
    <row r="4566" spans="1:2" x14ac:dyDescent="0.3">
      <c r="A4566" s="4" t="s">
        <v>7289</v>
      </c>
      <c r="B4566">
        <v>3</v>
      </c>
    </row>
    <row r="4567" spans="1:2" ht="28.8" x14ac:dyDescent="0.3">
      <c r="A4567" s="4" t="s">
        <v>7290</v>
      </c>
      <c r="B4567">
        <v>3</v>
      </c>
    </row>
    <row r="4568" spans="1:2" ht="28.8" x14ac:dyDescent="0.3">
      <c r="A4568" s="4" t="s">
        <v>7291</v>
      </c>
      <c r="B4568">
        <v>3</v>
      </c>
    </row>
    <row r="4569" spans="1:2" ht="28.8" x14ac:dyDescent="0.3">
      <c r="A4569" s="4" t="s">
        <v>7292</v>
      </c>
      <c r="B4569">
        <v>3</v>
      </c>
    </row>
    <row r="4570" spans="1:2" ht="28.8" x14ac:dyDescent="0.3">
      <c r="A4570" s="4" t="s">
        <v>7293</v>
      </c>
      <c r="B4570">
        <v>3</v>
      </c>
    </row>
    <row r="4571" spans="1:2" ht="28.8" x14ac:dyDescent="0.3">
      <c r="A4571" s="4" t="s">
        <v>7294</v>
      </c>
      <c r="B4571">
        <v>3</v>
      </c>
    </row>
    <row r="4572" spans="1:2" ht="43.2" x14ac:dyDescent="0.3">
      <c r="A4572" s="4" t="s">
        <v>7295</v>
      </c>
      <c r="B4572">
        <v>3</v>
      </c>
    </row>
    <row r="4573" spans="1:2" ht="28.8" x14ac:dyDescent="0.3">
      <c r="A4573" s="4" t="s">
        <v>7296</v>
      </c>
      <c r="B4573">
        <v>3</v>
      </c>
    </row>
    <row r="4574" spans="1:2" ht="28.8" x14ac:dyDescent="0.3">
      <c r="A4574" s="4" t="s">
        <v>7297</v>
      </c>
      <c r="B4574">
        <v>3</v>
      </c>
    </row>
    <row r="4575" spans="1:2" ht="28.8" x14ac:dyDescent="0.3">
      <c r="A4575" s="4" t="s">
        <v>7298</v>
      </c>
      <c r="B4575">
        <v>3</v>
      </c>
    </row>
    <row r="4576" spans="1:2" x14ac:dyDescent="0.3">
      <c r="A4576" s="4" t="s">
        <v>7299</v>
      </c>
      <c r="B4576">
        <v>3</v>
      </c>
    </row>
    <row r="4577" spans="1:2" x14ac:dyDescent="0.3">
      <c r="A4577" s="4" t="s">
        <v>7300</v>
      </c>
      <c r="B4577">
        <v>3</v>
      </c>
    </row>
    <row r="4578" spans="1:2" ht="28.8" x14ac:dyDescent="0.3">
      <c r="A4578" s="4" t="s">
        <v>7301</v>
      </c>
      <c r="B4578">
        <v>3</v>
      </c>
    </row>
    <row r="4579" spans="1:2" x14ac:dyDescent="0.3">
      <c r="A4579" s="4" t="s">
        <v>7302</v>
      </c>
      <c r="B4579">
        <v>3</v>
      </c>
    </row>
    <row r="4580" spans="1:2" ht="28.8" x14ac:dyDescent="0.3">
      <c r="A4580" s="4" t="s">
        <v>7303</v>
      </c>
      <c r="B4580">
        <v>3</v>
      </c>
    </row>
    <row r="4581" spans="1:2" ht="43.2" x14ac:dyDescent="0.3">
      <c r="A4581" s="4" t="s">
        <v>7304</v>
      </c>
      <c r="B4581">
        <v>3</v>
      </c>
    </row>
    <row r="4582" spans="1:2" ht="28.8" x14ac:dyDescent="0.3">
      <c r="A4582" s="4" t="s">
        <v>7305</v>
      </c>
      <c r="B4582">
        <v>3</v>
      </c>
    </row>
    <row r="4583" spans="1:2" ht="28.8" x14ac:dyDescent="0.3">
      <c r="A4583" s="4" t="s">
        <v>7306</v>
      </c>
      <c r="B4583">
        <v>3</v>
      </c>
    </row>
    <row r="4584" spans="1:2" x14ac:dyDescent="0.3">
      <c r="A4584" s="4" t="s">
        <v>7307</v>
      </c>
      <c r="B4584">
        <v>3</v>
      </c>
    </row>
    <row r="4585" spans="1:2" ht="43.2" x14ac:dyDescent="0.3">
      <c r="A4585" s="4" t="s">
        <v>7308</v>
      </c>
      <c r="B4585">
        <v>3</v>
      </c>
    </row>
    <row r="4586" spans="1:2" ht="72" x14ac:dyDescent="0.3">
      <c r="A4586" s="4" t="s">
        <v>7309</v>
      </c>
      <c r="B4586">
        <v>3</v>
      </c>
    </row>
    <row r="4587" spans="1:2" ht="28.8" x14ac:dyDescent="0.3">
      <c r="A4587" s="4" t="s">
        <v>7310</v>
      </c>
      <c r="B4587">
        <v>3</v>
      </c>
    </row>
    <row r="4588" spans="1:2" ht="28.8" x14ac:dyDescent="0.3">
      <c r="A4588" s="4" t="s">
        <v>7311</v>
      </c>
      <c r="B4588">
        <v>3</v>
      </c>
    </row>
    <row r="4589" spans="1:2" ht="28.8" x14ac:dyDescent="0.3">
      <c r="A4589" s="4" t="s">
        <v>7312</v>
      </c>
      <c r="B4589">
        <v>3</v>
      </c>
    </row>
    <row r="4590" spans="1:2" ht="28.8" x14ac:dyDescent="0.3">
      <c r="A4590" s="4" t="s">
        <v>7313</v>
      </c>
      <c r="B4590">
        <v>3</v>
      </c>
    </row>
    <row r="4591" spans="1:2" ht="43.2" x14ac:dyDescent="0.3">
      <c r="A4591" s="4" t="s">
        <v>7314</v>
      </c>
      <c r="B4591">
        <v>3</v>
      </c>
    </row>
    <row r="4592" spans="1:2" ht="28.8" x14ac:dyDescent="0.3">
      <c r="A4592" s="4" t="s">
        <v>7315</v>
      </c>
      <c r="B4592">
        <v>3</v>
      </c>
    </row>
    <row r="4593" spans="1:2" ht="28.8" x14ac:dyDescent="0.3">
      <c r="A4593" s="4" t="s">
        <v>7316</v>
      </c>
      <c r="B4593">
        <v>3</v>
      </c>
    </row>
    <row r="4594" spans="1:2" ht="28.8" x14ac:dyDescent="0.3">
      <c r="A4594" s="4" t="s">
        <v>7317</v>
      </c>
      <c r="B4594">
        <v>3</v>
      </c>
    </row>
    <row r="4595" spans="1:2" ht="43.2" x14ac:dyDescent="0.3">
      <c r="A4595" s="4" t="s">
        <v>7318</v>
      </c>
      <c r="B4595">
        <v>3</v>
      </c>
    </row>
    <row r="4596" spans="1:2" ht="28.8" x14ac:dyDescent="0.3">
      <c r="A4596" s="4" t="s">
        <v>7319</v>
      </c>
      <c r="B4596">
        <v>3</v>
      </c>
    </row>
    <row r="4597" spans="1:2" ht="28.8" x14ac:dyDescent="0.3">
      <c r="A4597" s="4" t="s">
        <v>7320</v>
      </c>
      <c r="B4597">
        <v>3</v>
      </c>
    </row>
    <row r="4598" spans="1:2" ht="28.8" x14ac:dyDescent="0.3">
      <c r="A4598" s="4" t="s">
        <v>7321</v>
      </c>
      <c r="B4598">
        <v>3</v>
      </c>
    </row>
    <row r="4599" spans="1:2" ht="28.8" x14ac:dyDescent="0.3">
      <c r="A4599" s="4" t="s">
        <v>7322</v>
      </c>
      <c r="B4599">
        <v>3</v>
      </c>
    </row>
    <row r="4600" spans="1:2" ht="28.8" x14ac:dyDescent="0.3">
      <c r="A4600" s="4" t="s">
        <v>7323</v>
      </c>
      <c r="B4600">
        <v>3</v>
      </c>
    </row>
    <row r="4601" spans="1:2" ht="28.8" x14ac:dyDescent="0.3">
      <c r="A4601" s="4" t="s">
        <v>7324</v>
      </c>
      <c r="B4601">
        <v>3</v>
      </c>
    </row>
    <row r="4602" spans="1:2" ht="28.8" x14ac:dyDescent="0.3">
      <c r="A4602" s="4" t="s">
        <v>7325</v>
      </c>
      <c r="B4602">
        <v>3</v>
      </c>
    </row>
    <row r="4603" spans="1:2" ht="28.8" x14ac:dyDescent="0.3">
      <c r="A4603" s="4" t="s">
        <v>7326</v>
      </c>
      <c r="B4603">
        <v>3</v>
      </c>
    </row>
    <row r="4604" spans="1:2" ht="28.8" x14ac:dyDescent="0.3">
      <c r="A4604" s="4" t="s">
        <v>7327</v>
      </c>
      <c r="B4604">
        <v>3</v>
      </c>
    </row>
    <row r="4605" spans="1:2" x14ac:dyDescent="0.3">
      <c r="A4605" s="4" t="s">
        <v>7328</v>
      </c>
      <c r="B4605">
        <v>3</v>
      </c>
    </row>
    <row r="4606" spans="1:2" ht="28.8" x14ac:dyDescent="0.3">
      <c r="A4606" s="4" t="s">
        <v>7329</v>
      </c>
      <c r="B4606">
        <v>3</v>
      </c>
    </row>
    <row r="4607" spans="1:2" ht="28.8" x14ac:dyDescent="0.3">
      <c r="A4607" s="4" t="s">
        <v>7330</v>
      </c>
      <c r="B4607">
        <v>3</v>
      </c>
    </row>
    <row r="4608" spans="1:2" x14ac:dyDescent="0.3">
      <c r="A4608" s="4" t="s">
        <v>7331</v>
      </c>
      <c r="B4608">
        <v>3</v>
      </c>
    </row>
    <row r="4609" spans="1:2" x14ac:dyDescent="0.3">
      <c r="A4609" s="4" t="s">
        <v>7332</v>
      </c>
      <c r="B4609">
        <v>3</v>
      </c>
    </row>
    <row r="4610" spans="1:2" ht="28.8" x14ac:dyDescent="0.3">
      <c r="A4610" s="4" t="s">
        <v>7333</v>
      </c>
      <c r="B4610">
        <v>3</v>
      </c>
    </row>
    <row r="4611" spans="1:2" ht="28.8" x14ac:dyDescent="0.3">
      <c r="A4611" s="4" t="s">
        <v>7334</v>
      </c>
      <c r="B4611">
        <v>3</v>
      </c>
    </row>
    <row r="4612" spans="1:2" ht="28.8" x14ac:dyDescent="0.3">
      <c r="A4612" s="4" t="s">
        <v>7335</v>
      </c>
      <c r="B4612">
        <v>3</v>
      </c>
    </row>
    <row r="4613" spans="1:2" ht="28.8" x14ac:dyDescent="0.3">
      <c r="A4613" s="4" t="s">
        <v>7336</v>
      </c>
      <c r="B4613">
        <v>3</v>
      </c>
    </row>
    <row r="4614" spans="1:2" ht="28.8" x14ac:dyDescent="0.3">
      <c r="A4614" s="4" t="s">
        <v>7337</v>
      </c>
      <c r="B4614">
        <v>3</v>
      </c>
    </row>
    <row r="4615" spans="1:2" ht="28.8" x14ac:dyDescent="0.3">
      <c r="A4615" s="4" t="s">
        <v>7338</v>
      </c>
      <c r="B4615">
        <v>3</v>
      </c>
    </row>
    <row r="4616" spans="1:2" ht="28.8" x14ac:dyDescent="0.3">
      <c r="A4616" s="4" t="s">
        <v>7339</v>
      </c>
      <c r="B4616">
        <v>3</v>
      </c>
    </row>
    <row r="4617" spans="1:2" ht="28.8" x14ac:dyDescent="0.3">
      <c r="A4617" s="4" t="s">
        <v>7340</v>
      </c>
      <c r="B4617">
        <v>3</v>
      </c>
    </row>
    <row r="4618" spans="1:2" x14ac:dyDescent="0.3">
      <c r="A4618" s="4" t="s">
        <v>7341</v>
      </c>
      <c r="B4618">
        <v>3</v>
      </c>
    </row>
    <row r="4619" spans="1:2" ht="28.8" x14ac:dyDescent="0.3">
      <c r="A4619" s="4" t="s">
        <v>7342</v>
      </c>
      <c r="B4619">
        <v>3</v>
      </c>
    </row>
    <row r="4620" spans="1:2" ht="28.8" x14ac:dyDescent="0.3">
      <c r="A4620" s="4" t="s">
        <v>7343</v>
      </c>
      <c r="B4620">
        <v>3</v>
      </c>
    </row>
    <row r="4621" spans="1:2" ht="28.8" x14ac:dyDescent="0.3">
      <c r="A4621" s="4" t="s">
        <v>7344</v>
      </c>
      <c r="B4621">
        <v>3</v>
      </c>
    </row>
    <row r="4622" spans="1:2" ht="28.8" x14ac:dyDescent="0.3">
      <c r="A4622" s="4" t="s">
        <v>7345</v>
      </c>
      <c r="B4622">
        <v>3</v>
      </c>
    </row>
    <row r="4623" spans="1:2" ht="28.8" x14ac:dyDescent="0.3">
      <c r="A4623" s="4" t="s">
        <v>7346</v>
      </c>
      <c r="B4623">
        <v>3</v>
      </c>
    </row>
    <row r="4624" spans="1:2" ht="28.8" x14ac:dyDescent="0.3">
      <c r="A4624" s="4" t="s">
        <v>7347</v>
      </c>
      <c r="B4624">
        <v>3</v>
      </c>
    </row>
    <row r="4625" spans="1:2" ht="28.8" x14ac:dyDescent="0.3">
      <c r="A4625" s="4" t="s">
        <v>7348</v>
      </c>
      <c r="B4625">
        <v>3</v>
      </c>
    </row>
    <row r="4626" spans="1:2" ht="28.8" x14ac:dyDescent="0.3">
      <c r="A4626" s="4" t="s">
        <v>7349</v>
      </c>
      <c r="B4626">
        <v>3</v>
      </c>
    </row>
    <row r="4627" spans="1:2" ht="28.8" x14ac:dyDescent="0.3">
      <c r="A4627" s="4" t="s">
        <v>7350</v>
      </c>
      <c r="B4627">
        <v>3</v>
      </c>
    </row>
    <row r="4628" spans="1:2" ht="28.8" x14ac:dyDescent="0.3">
      <c r="A4628" s="4" t="s">
        <v>7351</v>
      </c>
      <c r="B4628">
        <v>3</v>
      </c>
    </row>
    <row r="4629" spans="1:2" ht="28.8" x14ac:dyDescent="0.3">
      <c r="A4629" s="4" t="s">
        <v>7352</v>
      </c>
      <c r="B4629">
        <v>3</v>
      </c>
    </row>
    <row r="4630" spans="1:2" ht="28.8" x14ac:dyDescent="0.3">
      <c r="A4630" s="4" t="s">
        <v>7353</v>
      </c>
      <c r="B4630">
        <v>3</v>
      </c>
    </row>
    <row r="4631" spans="1:2" ht="28.8" x14ac:dyDescent="0.3">
      <c r="A4631" s="4" t="s">
        <v>7354</v>
      </c>
      <c r="B4631">
        <v>3</v>
      </c>
    </row>
    <row r="4632" spans="1:2" ht="28.8" x14ac:dyDescent="0.3">
      <c r="A4632" s="4" t="s">
        <v>7355</v>
      </c>
      <c r="B4632">
        <v>3</v>
      </c>
    </row>
    <row r="4633" spans="1:2" ht="28.8" x14ac:dyDescent="0.3">
      <c r="A4633" s="4" t="s">
        <v>7356</v>
      </c>
      <c r="B4633">
        <v>3</v>
      </c>
    </row>
    <row r="4634" spans="1:2" ht="43.2" x14ac:dyDescent="0.3">
      <c r="A4634" s="4" t="s">
        <v>7357</v>
      </c>
      <c r="B4634">
        <v>3</v>
      </c>
    </row>
    <row r="4635" spans="1:2" ht="43.2" x14ac:dyDescent="0.3">
      <c r="A4635" s="4" t="s">
        <v>7358</v>
      </c>
      <c r="B4635">
        <v>3</v>
      </c>
    </row>
    <row r="4636" spans="1:2" ht="28.8" x14ac:dyDescent="0.3">
      <c r="A4636" s="4" t="s">
        <v>7359</v>
      </c>
      <c r="B4636">
        <v>3</v>
      </c>
    </row>
    <row r="4637" spans="1:2" x14ac:dyDescent="0.3">
      <c r="A4637" s="4" t="s">
        <v>7360</v>
      </c>
      <c r="B4637">
        <v>3</v>
      </c>
    </row>
    <row r="4638" spans="1:2" ht="28.8" x14ac:dyDescent="0.3">
      <c r="A4638" s="4" t="s">
        <v>7361</v>
      </c>
      <c r="B4638">
        <v>3</v>
      </c>
    </row>
    <row r="4639" spans="1:2" ht="28.8" x14ac:dyDescent="0.3">
      <c r="A4639" s="4" t="s">
        <v>7362</v>
      </c>
      <c r="B4639">
        <v>3</v>
      </c>
    </row>
    <row r="4640" spans="1:2" ht="28.8" x14ac:dyDescent="0.3">
      <c r="A4640" s="4" t="s">
        <v>7363</v>
      </c>
      <c r="B4640">
        <v>3</v>
      </c>
    </row>
    <row r="4641" spans="1:2" ht="28.8" x14ac:dyDescent="0.3">
      <c r="A4641" s="4" t="s">
        <v>7364</v>
      </c>
      <c r="B4641">
        <v>3</v>
      </c>
    </row>
    <row r="4642" spans="1:2" ht="28.8" x14ac:dyDescent="0.3">
      <c r="A4642" s="4" t="s">
        <v>7365</v>
      </c>
      <c r="B4642">
        <v>3</v>
      </c>
    </row>
    <row r="4643" spans="1:2" ht="28.8" x14ac:dyDescent="0.3">
      <c r="A4643" s="4" t="s">
        <v>7366</v>
      </c>
      <c r="B4643">
        <v>3</v>
      </c>
    </row>
    <row r="4644" spans="1:2" ht="28.8" x14ac:dyDescent="0.3">
      <c r="A4644" s="4" t="s">
        <v>7367</v>
      </c>
      <c r="B4644">
        <v>3</v>
      </c>
    </row>
    <row r="4645" spans="1:2" ht="28.8" x14ac:dyDescent="0.3">
      <c r="A4645" s="4" t="s">
        <v>7368</v>
      </c>
      <c r="B4645">
        <v>3</v>
      </c>
    </row>
    <row r="4646" spans="1:2" ht="28.8" x14ac:dyDescent="0.3">
      <c r="A4646" s="4" t="s">
        <v>7369</v>
      </c>
      <c r="B4646">
        <v>3</v>
      </c>
    </row>
    <row r="4647" spans="1:2" x14ac:dyDescent="0.3">
      <c r="A4647" s="4" t="s">
        <v>7370</v>
      </c>
      <c r="B4647">
        <v>3</v>
      </c>
    </row>
    <row r="4648" spans="1:2" ht="43.2" x14ac:dyDescent="0.3">
      <c r="A4648" s="4" t="s">
        <v>7371</v>
      </c>
      <c r="B4648">
        <v>3</v>
      </c>
    </row>
    <row r="4649" spans="1:2" ht="28.8" x14ac:dyDescent="0.3">
      <c r="A4649" s="4" t="s">
        <v>7372</v>
      </c>
      <c r="B4649">
        <v>3</v>
      </c>
    </row>
    <row r="4650" spans="1:2" ht="28.8" x14ac:dyDescent="0.3">
      <c r="A4650" s="4" t="s">
        <v>7373</v>
      </c>
      <c r="B4650">
        <v>3</v>
      </c>
    </row>
    <row r="4651" spans="1:2" ht="28.8" x14ac:dyDescent="0.3">
      <c r="A4651" s="4" t="s">
        <v>7374</v>
      </c>
      <c r="B4651">
        <v>3</v>
      </c>
    </row>
    <row r="4652" spans="1:2" ht="28.8" x14ac:dyDescent="0.3">
      <c r="A4652" s="4" t="s">
        <v>7375</v>
      </c>
      <c r="B4652">
        <v>3</v>
      </c>
    </row>
    <row r="4653" spans="1:2" x14ac:dyDescent="0.3">
      <c r="A4653" s="4" t="s">
        <v>7376</v>
      </c>
      <c r="B4653">
        <v>3</v>
      </c>
    </row>
    <row r="4654" spans="1:2" ht="28.8" x14ac:dyDescent="0.3">
      <c r="A4654" s="4" t="s">
        <v>7377</v>
      </c>
      <c r="B4654">
        <v>3</v>
      </c>
    </row>
    <row r="4655" spans="1:2" ht="28.8" x14ac:dyDescent="0.3">
      <c r="A4655" s="4" t="s">
        <v>7378</v>
      </c>
      <c r="B4655">
        <v>3</v>
      </c>
    </row>
    <row r="4656" spans="1:2" ht="28.8" x14ac:dyDescent="0.3">
      <c r="A4656" s="4" t="s">
        <v>7379</v>
      </c>
      <c r="B4656">
        <v>3</v>
      </c>
    </row>
    <row r="4657" spans="1:2" ht="28.8" x14ac:dyDescent="0.3">
      <c r="A4657" s="4" t="s">
        <v>7380</v>
      </c>
      <c r="B4657">
        <v>3</v>
      </c>
    </row>
    <row r="4658" spans="1:2" ht="28.8" x14ac:dyDescent="0.3">
      <c r="A4658" s="4" t="s">
        <v>7381</v>
      </c>
      <c r="B4658">
        <v>3</v>
      </c>
    </row>
    <row r="4659" spans="1:2" x14ac:dyDescent="0.3">
      <c r="A4659" s="4" t="s">
        <v>7382</v>
      </c>
      <c r="B4659">
        <v>3</v>
      </c>
    </row>
    <row r="4660" spans="1:2" ht="28.8" x14ac:dyDescent="0.3">
      <c r="A4660" s="4" t="s">
        <v>7383</v>
      </c>
      <c r="B4660">
        <v>3</v>
      </c>
    </row>
    <row r="4661" spans="1:2" ht="28.8" x14ac:dyDescent="0.3">
      <c r="A4661" s="4" t="s">
        <v>7384</v>
      </c>
      <c r="B4661">
        <v>3</v>
      </c>
    </row>
    <row r="4662" spans="1:2" ht="28.8" x14ac:dyDescent="0.3">
      <c r="A4662" s="4" t="s">
        <v>7385</v>
      </c>
      <c r="B4662">
        <v>3</v>
      </c>
    </row>
    <row r="4663" spans="1:2" ht="28.8" x14ac:dyDescent="0.3">
      <c r="A4663" s="4" t="s">
        <v>7386</v>
      </c>
      <c r="B4663">
        <v>3</v>
      </c>
    </row>
    <row r="4664" spans="1:2" ht="28.8" x14ac:dyDescent="0.3">
      <c r="A4664" s="4" t="s">
        <v>7387</v>
      </c>
      <c r="B4664">
        <v>3</v>
      </c>
    </row>
    <row r="4665" spans="1:2" ht="28.8" x14ac:dyDescent="0.3">
      <c r="A4665" s="4" t="s">
        <v>7388</v>
      </c>
      <c r="B4665">
        <v>3</v>
      </c>
    </row>
    <row r="4666" spans="1:2" ht="28.8" x14ac:dyDescent="0.3">
      <c r="A4666" s="4" t="s">
        <v>7389</v>
      </c>
      <c r="B4666">
        <v>3</v>
      </c>
    </row>
    <row r="4667" spans="1:2" ht="28.8" x14ac:dyDescent="0.3">
      <c r="A4667" s="4" t="s">
        <v>7390</v>
      </c>
      <c r="B4667">
        <v>3</v>
      </c>
    </row>
    <row r="4668" spans="1:2" ht="28.8" x14ac:dyDescent="0.3">
      <c r="A4668" s="4" t="s">
        <v>7391</v>
      </c>
      <c r="B4668">
        <v>3</v>
      </c>
    </row>
    <row r="4669" spans="1:2" ht="28.8" x14ac:dyDescent="0.3">
      <c r="A4669" s="4" t="s">
        <v>7392</v>
      </c>
      <c r="B4669">
        <v>3</v>
      </c>
    </row>
    <row r="4670" spans="1:2" ht="28.8" x14ac:dyDescent="0.3">
      <c r="A4670" s="4" t="s">
        <v>7393</v>
      </c>
      <c r="B4670">
        <v>3</v>
      </c>
    </row>
    <row r="4671" spans="1:2" ht="43.2" x14ac:dyDescent="0.3">
      <c r="A4671" s="4" t="s">
        <v>7394</v>
      </c>
      <c r="B4671">
        <v>3</v>
      </c>
    </row>
    <row r="4672" spans="1:2" ht="28.8" x14ac:dyDescent="0.3">
      <c r="A4672" s="4" t="s">
        <v>7395</v>
      </c>
      <c r="B4672">
        <v>3</v>
      </c>
    </row>
    <row r="4673" spans="1:2" ht="28.8" x14ac:dyDescent="0.3">
      <c r="A4673" s="4" t="s">
        <v>7396</v>
      </c>
      <c r="B4673">
        <v>3</v>
      </c>
    </row>
    <row r="4674" spans="1:2" ht="28.8" x14ac:dyDescent="0.3">
      <c r="A4674" s="4" t="s">
        <v>7397</v>
      </c>
      <c r="B4674">
        <v>3</v>
      </c>
    </row>
    <row r="4675" spans="1:2" ht="28.8" x14ac:dyDescent="0.3">
      <c r="A4675" s="4" t="s">
        <v>7398</v>
      </c>
      <c r="B4675">
        <v>3</v>
      </c>
    </row>
    <row r="4676" spans="1:2" ht="28.8" x14ac:dyDescent="0.3">
      <c r="A4676" s="4" t="s">
        <v>7399</v>
      </c>
      <c r="B4676">
        <v>3</v>
      </c>
    </row>
    <row r="4677" spans="1:2" ht="43.2" x14ac:dyDescent="0.3">
      <c r="A4677" s="4" t="s">
        <v>7400</v>
      </c>
      <c r="B4677">
        <v>3</v>
      </c>
    </row>
    <row r="4678" spans="1:2" ht="28.8" x14ac:dyDescent="0.3">
      <c r="A4678" s="4" t="s">
        <v>7401</v>
      </c>
      <c r="B4678">
        <v>3</v>
      </c>
    </row>
    <row r="4679" spans="1:2" x14ac:dyDescent="0.3">
      <c r="A4679" s="4" t="s">
        <v>7402</v>
      </c>
      <c r="B4679">
        <v>3</v>
      </c>
    </row>
    <row r="4680" spans="1:2" ht="43.2" x14ac:dyDescent="0.3">
      <c r="A4680" s="4" t="s">
        <v>7403</v>
      </c>
      <c r="B4680">
        <v>3</v>
      </c>
    </row>
    <row r="4681" spans="1:2" ht="28.8" x14ac:dyDescent="0.3">
      <c r="A4681" s="4" t="s">
        <v>7404</v>
      </c>
      <c r="B4681">
        <v>3</v>
      </c>
    </row>
    <row r="4682" spans="1:2" ht="28.8" x14ac:dyDescent="0.3">
      <c r="A4682" s="4" t="s">
        <v>7405</v>
      </c>
      <c r="B4682">
        <v>3</v>
      </c>
    </row>
    <row r="4683" spans="1:2" ht="28.8" x14ac:dyDescent="0.3">
      <c r="A4683" s="4" t="s">
        <v>7406</v>
      </c>
      <c r="B4683">
        <v>3</v>
      </c>
    </row>
    <row r="4684" spans="1:2" ht="28.8" x14ac:dyDescent="0.3">
      <c r="A4684" s="4" t="s">
        <v>7407</v>
      </c>
      <c r="B4684">
        <v>3</v>
      </c>
    </row>
    <row r="4685" spans="1:2" ht="28.8" x14ac:dyDescent="0.3">
      <c r="A4685" s="4" t="s">
        <v>7408</v>
      </c>
      <c r="B4685">
        <v>3</v>
      </c>
    </row>
    <row r="4686" spans="1:2" ht="28.8" x14ac:dyDescent="0.3">
      <c r="A4686" s="4" t="s">
        <v>7409</v>
      </c>
      <c r="B4686">
        <v>3</v>
      </c>
    </row>
    <row r="4687" spans="1:2" ht="43.2" x14ac:dyDescent="0.3">
      <c r="A4687" s="4" t="s">
        <v>7410</v>
      </c>
      <c r="B4687">
        <v>3</v>
      </c>
    </row>
    <row r="4688" spans="1:2" ht="28.8" x14ac:dyDescent="0.3">
      <c r="A4688" s="4" t="s">
        <v>7411</v>
      </c>
      <c r="B4688">
        <v>3</v>
      </c>
    </row>
    <row r="4689" spans="1:2" ht="28.8" x14ac:dyDescent="0.3">
      <c r="A4689" s="4" t="s">
        <v>7412</v>
      </c>
      <c r="B4689">
        <v>3</v>
      </c>
    </row>
    <row r="4690" spans="1:2" ht="28.8" x14ac:dyDescent="0.3">
      <c r="A4690" s="4" t="s">
        <v>7413</v>
      </c>
      <c r="B4690">
        <v>3</v>
      </c>
    </row>
    <row r="4691" spans="1:2" ht="28.8" x14ac:dyDescent="0.3">
      <c r="A4691" s="4" t="s">
        <v>7414</v>
      </c>
      <c r="B4691">
        <v>3</v>
      </c>
    </row>
    <row r="4692" spans="1:2" ht="28.8" x14ac:dyDescent="0.3">
      <c r="A4692" s="4" t="s">
        <v>7415</v>
      </c>
      <c r="B4692">
        <v>3</v>
      </c>
    </row>
    <row r="4693" spans="1:2" x14ac:dyDescent="0.3">
      <c r="A4693" s="4" t="s">
        <v>7416</v>
      </c>
      <c r="B4693">
        <v>3</v>
      </c>
    </row>
    <row r="4694" spans="1:2" x14ac:dyDescent="0.3">
      <c r="A4694" s="4" t="s">
        <v>7417</v>
      </c>
      <c r="B4694">
        <v>3</v>
      </c>
    </row>
    <row r="4695" spans="1:2" ht="28.8" x14ac:dyDescent="0.3">
      <c r="A4695" s="4" t="s">
        <v>7418</v>
      </c>
      <c r="B4695">
        <v>3</v>
      </c>
    </row>
    <row r="4696" spans="1:2" ht="28.8" x14ac:dyDescent="0.3">
      <c r="A4696" s="4" t="s">
        <v>7419</v>
      </c>
      <c r="B4696">
        <v>3</v>
      </c>
    </row>
    <row r="4697" spans="1:2" ht="28.8" x14ac:dyDescent="0.3">
      <c r="A4697" s="4" t="s">
        <v>7420</v>
      </c>
      <c r="B4697">
        <v>3</v>
      </c>
    </row>
    <row r="4698" spans="1:2" ht="28.8" x14ac:dyDescent="0.3">
      <c r="A4698" s="4" t="s">
        <v>7421</v>
      </c>
      <c r="B4698">
        <v>3</v>
      </c>
    </row>
    <row r="4699" spans="1:2" ht="28.8" x14ac:dyDescent="0.3">
      <c r="A4699" s="4" t="s">
        <v>7422</v>
      </c>
      <c r="B4699">
        <v>3</v>
      </c>
    </row>
    <row r="4700" spans="1:2" ht="28.8" x14ac:dyDescent="0.3">
      <c r="A4700" s="4" t="s">
        <v>7423</v>
      </c>
      <c r="B4700">
        <v>3</v>
      </c>
    </row>
    <row r="4701" spans="1:2" ht="43.2" x14ac:dyDescent="0.3">
      <c r="A4701" s="4" t="s">
        <v>7424</v>
      </c>
      <c r="B4701">
        <v>3</v>
      </c>
    </row>
    <row r="4702" spans="1:2" ht="28.8" x14ac:dyDescent="0.3">
      <c r="A4702" s="4" t="s">
        <v>7425</v>
      </c>
      <c r="B4702">
        <v>3</v>
      </c>
    </row>
    <row r="4703" spans="1:2" ht="28.8" x14ac:dyDescent="0.3">
      <c r="A4703" s="4" t="s">
        <v>7426</v>
      </c>
      <c r="B4703">
        <v>3</v>
      </c>
    </row>
    <row r="4704" spans="1:2" ht="43.2" x14ac:dyDescent="0.3">
      <c r="A4704" s="4" t="s">
        <v>7427</v>
      </c>
      <c r="B4704">
        <v>3</v>
      </c>
    </row>
    <row r="4705" spans="1:2" ht="28.8" x14ac:dyDescent="0.3">
      <c r="A4705" s="4" t="s">
        <v>7428</v>
      </c>
      <c r="B4705">
        <v>3</v>
      </c>
    </row>
    <row r="4706" spans="1:2" ht="28.8" x14ac:dyDescent="0.3">
      <c r="A4706" s="4" t="s">
        <v>7429</v>
      </c>
      <c r="B4706">
        <v>3</v>
      </c>
    </row>
    <row r="4707" spans="1:2" ht="28.8" x14ac:dyDescent="0.3">
      <c r="A4707" s="4" t="s">
        <v>7430</v>
      </c>
      <c r="B4707">
        <v>3</v>
      </c>
    </row>
    <row r="4708" spans="1:2" ht="43.2" x14ac:dyDescent="0.3">
      <c r="A4708" s="4" t="s">
        <v>7431</v>
      </c>
      <c r="B4708">
        <v>3</v>
      </c>
    </row>
    <row r="4709" spans="1:2" ht="28.8" x14ac:dyDescent="0.3">
      <c r="A4709" s="4" t="s">
        <v>7432</v>
      </c>
      <c r="B4709">
        <v>3</v>
      </c>
    </row>
    <row r="4710" spans="1:2" ht="28.8" x14ac:dyDescent="0.3">
      <c r="A4710" s="4" t="s">
        <v>7433</v>
      </c>
      <c r="B4710">
        <v>3</v>
      </c>
    </row>
    <row r="4711" spans="1:2" x14ac:dyDescent="0.3">
      <c r="A4711" s="4" t="s">
        <v>7434</v>
      </c>
      <c r="B4711">
        <v>3</v>
      </c>
    </row>
    <row r="4712" spans="1:2" ht="43.2" x14ac:dyDescent="0.3">
      <c r="A4712" s="4" t="s">
        <v>7435</v>
      </c>
      <c r="B4712">
        <v>3</v>
      </c>
    </row>
    <row r="4713" spans="1:2" ht="28.8" x14ac:dyDescent="0.3">
      <c r="A4713" s="4" t="s">
        <v>7436</v>
      </c>
      <c r="B4713">
        <v>3</v>
      </c>
    </row>
    <row r="4714" spans="1:2" x14ac:dyDescent="0.3">
      <c r="A4714" s="4" t="s">
        <v>7437</v>
      </c>
      <c r="B4714">
        <v>3</v>
      </c>
    </row>
    <row r="4715" spans="1:2" ht="28.8" x14ac:dyDescent="0.3">
      <c r="A4715" s="4" t="s">
        <v>7438</v>
      </c>
      <c r="B4715">
        <v>3</v>
      </c>
    </row>
    <row r="4716" spans="1:2" ht="28.8" x14ac:dyDescent="0.3">
      <c r="A4716" s="4" t="s">
        <v>7439</v>
      </c>
      <c r="B4716">
        <v>3</v>
      </c>
    </row>
    <row r="4717" spans="1:2" ht="28.8" x14ac:dyDescent="0.3">
      <c r="A4717" s="4" t="s">
        <v>7440</v>
      </c>
      <c r="B4717">
        <v>3</v>
      </c>
    </row>
    <row r="4718" spans="1:2" ht="28.8" x14ac:dyDescent="0.3">
      <c r="A4718" s="4" t="s">
        <v>7441</v>
      </c>
      <c r="B4718">
        <v>3</v>
      </c>
    </row>
    <row r="4719" spans="1:2" x14ac:dyDescent="0.3">
      <c r="A4719" s="4" t="s">
        <v>7442</v>
      </c>
      <c r="B4719">
        <v>3</v>
      </c>
    </row>
    <row r="4720" spans="1:2" x14ac:dyDescent="0.3">
      <c r="A4720" s="4" t="s">
        <v>7443</v>
      </c>
      <c r="B4720">
        <v>3</v>
      </c>
    </row>
    <row r="4721" spans="1:2" ht="28.8" x14ac:dyDescent="0.3">
      <c r="A4721" s="4" t="s">
        <v>7444</v>
      </c>
      <c r="B4721">
        <v>3</v>
      </c>
    </row>
    <row r="4722" spans="1:2" ht="43.2" x14ac:dyDescent="0.3">
      <c r="A4722" s="4" t="s">
        <v>7445</v>
      </c>
      <c r="B4722">
        <v>3</v>
      </c>
    </row>
    <row r="4723" spans="1:2" ht="28.8" x14ac:dyDescent="0.3">
      <c r="A4723" s="4" t="s">
        <v>7446</v>
      </c>
      <c r="B4723">
        <v>3</v>
      </c>
    </row>
    <row r="4724" spans="1:2" ht="28.8" x14ac:dyDescent="0.3">
      <c r="A4724" s="4" t="s">
        <v>7447</v>
      </c>
      <c r="B4724">
        <v>3</v>
      </c>
    </row>
    <row r="4725" spans="1:2" ht="28.8" x14ac:dyDescent="0.3">
      <c r="A4725" s="4" t="s">
        <v>7448</v>
      </c>
      <c r="B4725">
        <v>3</v>
      </c>
    </row>
    <row r="4726" spans="1:2" x14ac:dyDescent="0.3">
      <c r="A4726" s="4" t="s">
        <v>7449</v>
      </c>
      <c r="B4726">
        <v>3</v>
      </c>
    </row>
    <row r="4727" spans="1:2" ht="28.8" x14ac:dyDescent="0.3">
      <c r="A4727" s="4" t="s">
        <v>7450</v>
      </c>
      <c r="B4727">
        <v>3</v>
      </c>
    </row>
    <row r="4728" spans="1:2" ht="28.8" x14ac:dyDescent="0.3">
      <c r="A4728" s="4" t="s">
        <v>7451</v>
      </c>
      <c r="B4728">
        <v>3</v>
      </c>
    </row>
    <row r="4729" spans="1:2" ht="28.8" x14ac:dyDescent="0.3">
      <c r="A4729" s="4" t="s">
        <v>7452</v>
      </c>
      <c r="B4729">
        <v>3</v>
      </c>
    </row>
    <row r="4730" spans="1:2" ht="28.8" x14ac:dyDescent="0.3">
      <c r="A4730" s="4" t="s">
        <v>7453</v>
      </c>
      <c r="B4730">
        <v>3</v>
      </c>
    </row>
    <row r="4731" spans="1:2" ht="28.8" x14ac:dyDescent="0.3">
      <c r="A4731" s="4" t="s">
        <v>7454</v>
      </c>
      <c r="B4731">
        <v>3</v>
      </c>
    </row>
    <row r="4732" spans="1:2" ht="28.8" x14ac:dyDescent="0.3">
      <c r="A4732" s="4" t="s">
        <v>7455</v>
      </c>
      <c r="B4732">
        <v>3</v>
      </c>
    </row>
    <row r="4733" spans="1:2" ht="28.8" x14ac:dyDescent="0.3">
      <c r="A4733" s="4" t="s">
        <v>7456</v>
      </c>
      <c r="B4733">
        <v>3</v>
      </c>
    </row>
    <row r="4734" spans="1:2" ht="28.8" x14ac:dyDescent="0.3">
      <c r="A4734" s="4" t="s">
        <v>7457</v>
      </c>
      <c r="B4734">
        <v>3</v>
      </c>
    </row>
    <row r="4735" spans="1:2" x14ac:dyDescent="0.3">
      <c r="A4735" s="4" t="s">
        <v>7458</v>
      </c>
      <c r="B4735">
        <v>3</v>
      </c>
    </row>
    <row r="4736" spans="1:2" ht="28.8" x14ac:dyDescent="0.3">
      <c r="A4736" s="4" t="s">
        <v>7459</v>
      </c>
      <c r="B4736">
        <v>3</v>
      </c>
    </row>
    <row r="4737" spans="1:2" ht="28.8" x14ac:dyDescent="0.3">
      <c r="A4737" s="4" t="s">
        <v>7460</v>
      </c>
      <c r="B4737">
        <v>3</v>
      </c>
    </row>
    <row r="4738" spans="1:2" ht="28.8" x14ac:dyDescent="0.3">
      <c r="A4738" s="4" t="s">
        <v>7461</v>
      </c>
      <c r="B4738">
        <v>3</v>
      </c>
    </row>
    <row r="4739" spans="1:2" x14ac:dyDescent="0.3">
      <c r="A4739" s="4" t="s">
        <v>7462</v>
      </c>
      <c r="B4739">
        <v>3</v>
      </c>
    </row>
    <row r="4740" spans="1:2" ht="28.8" x14ac:dyDescent="0.3">
      <c r="A4740" s="4" t="s">
        <v>7463</v>
      </c>
      <c r="B4740">
        <v>3</v>
      </c>
    </row>
    <row r="4741" spans="1:2" ht="28.8" x14ac:dyDescent="0.3">
      <c r="A4741" s="4" t="s">
        <v>7464</v>
      </c>
      <c r="B4741">
        <v>3</v>
      </c>
    </row>
    <row r="4742" spans="1:2" x14ac:dyDescent="0.3">
      <c r="A4742" s="4" t="s">
        <v>7465</v>
      </c>
      <c r="B4742">
        <v>3</v>
      </c>
    </row>
    <row r="4743" spans="1:2" x14ac:dyDescent="0.3">
      <c r="A4743" s="4" t="s">
        <v>7466</v>
      </c>
      <c r="B4743">
        <v>3</v>
      </c>
    </row>
    <row r="4744" spans="1:2" ht="28.8" x14ac:dyDescent="0.3">
      <c r="A4744" s="4" t="s">
        <v>7467</v>
      </c>
      <c r="B4744">
        <v>3</v>
      </c>
    </row>
    <row r="4745" spans="1:2" ht="28.8" x14ac:dyDescent="0.3">
      <c r="A4745" s="4" t="s">
        <v>7468</v>
      </c>
      <c r="B4745">
        <v>3</v>
      </c>
    </row>
    <row r="4746" spans="1:2" ht="43.2" x14ac:dyDescent="0.3">
      <c r="A4746" s="4" t="s">
        <v>7469</v>
      </c>
      <c r="B4746">
        <v>3</v>
      </c>
    </row>
    <row r="4747" spans="1:2" ht="43.2" x14ac:dyDescent="0.3">
      <c r="A4747" s="4" t="s">
        <v>7470</v>
      </c>
      <c r="B4747">
        <v>3</v>
      </c>
    </row>
    <row r="4748" spans="1:2" ht="28.8" x14ac:dyDescent="0.3">
      <c r="A4748" s="4" t="s">
        <v>7471</v>
      </c>
      <c r="B4748">
        <v>3</v>
      </c>
    </row>
    <row r="4749" spans="1:2" ht="28.8" x14ac:dyDescent="0.3">
      <c r="A4749" s="4" t="s">
        <v>7472</v>
      </c>
      <c r="B4749">
        <v>3</v>
      </c>
    </row>
    <row r="4750" spans="1:2" ht="28.8" x14ac:dyDescent="0.3">
      <c r="A4750" s="4" t="s">
        <v>7473</v>
      </c>
      <c r="B4750">
        <v>3</v>
      </c>
    </row>
    <row r="4751" spans="1:2" ht="28.8" x14ac:dyDescent="0.3">
      <c r="A4751" s="4" t="s">
        <v>7474</v>
      </c>
      <c r="B4751">
        <v>3</v>
      </c>
    </row>
    <row r="4752" spans="1:2" ht="28.8" x14ac:dyDescent="0.3">
      <c r="A4752" s="4" t="s">
        <v>7475</v>
      </c>
      <c r="B4752">
        <v>3</v>
      </c>
    </row>
    <row r="4753" spans="1:2" ht="28.8" x14ac:dyDescent="0.3">
      <c r="A4753" s="4" t="s">
        <v>7476</v>
      </c>
      <c r="B4753">
        <v>3</v>
      </c>
    </row>
    <row r="4754" spans="1:2" ht="28.8" x14ac:dyDescent="0.3">
      <c r="A4754" s="4" t="s">
        <v>7477</v>
      </c>
      <c r="B4754">
        <v>3</v>
      </c>
    </row>
    <row r="4755" spans="1:2" ht="28.8" x14ac:dyDescent="0.3">
      <c r="A4755" s="4" t="s">
        <v>7478</v>
      </c>
      <c r="B4755">
        <v>3</v>
      </c>
    </row>
    <row r="4756" spans="1:2" ht="28.8" x14ac:dyDescent="0.3">
      <c r="A4756" s="4" t="s">
        <v>7479</v>
      </c>
      <c r="B4756">
        <v>3</v>
      </c>
    </row>
    <row r="4757" spans="1:2" ht="43.2" x14ac:dyDescent="0.3">
      <c r="A4757" s="4" t="s">
        <v>7480</v>
      </c>
      <c r="B4757">
        <v>3</v>
      </c>
    </row>
    <row r="4758" spans="1:2" ht="28.8" x14ac:dyDescent="0.3">
      <c r="A4758" s="4" t="s">
        <v>7481</v>
      </c>
      <c r="B4758">
        <v>3</v>
      </c>
    </row>
    <row r="4759" spans="1:2" ht="28.8" x14ac:dyDescent="0.3">
      <c r="A4759" s="4" t="s">
        <v>7482</v>
      </c>
      <c r="B4759">
        <v>3</v>
      </c>
    </row>
    <row r="4760" spans="1:2" ht="28.8" x14ac:dyDescent="0.3">
      <c r="A4760" s="4" t="s">
        <v>7483</v>
      </c>
      <c r="B4760">
        <v>3</v>
      </c>
    </row>
    <row r="4761" spans="1:2" ht="28.8" x14ac:dyDescent="0.3">
      <c r="A4761" s="4" t="s">
        <v>7484</v>
      </c>
      <c r="B4761">
        <v>3</v>
      </c>
    </row>
    <row r="4762" spans="1:2" ht="28.8" x14ac:dyDescent="0.3">
      <c r="A4762" s="4" t="s">
        <v>7485</v>
      </c>
      <c r="B4762">
        <v>3</v>
      </c>
    </row>
    <row r="4763" spans="1:2" ht="28.8" x14ac:dyDescent="0.3">
      <c r="A4763" s="4" t="s">
        <v>7486</v>
      </c>
      <c r="B4763">
        <v>3</v>
      </c>
    </row>
    <row r="4764" spans="1:2" ht="28.8" x14ac:dyDescent="0.3">
      <c r="A4764" s="4" t="s">
        <v>7487</v>
      </c>
      <c r="B4764">
        <v>3</v>
      </c>
    </row>
    <row r="4765" spans="1:2" ht="28.8" x14ac:dyDescent="0.3">
      <c r="A4765" s="4" t="s">
        <v>7488</v>
      </c>
      <c r="B4765">
        <v>3</v>
      </c>
    </row>
    <row r="4766" spans="1:2" ht="28.8" x14ac:dyDescent="0.3">
      <c r="A4766" s="4" t="s">
        <v>7489</v>
      </c>
      <c r="B4766">
        <v>3</v>
      </c>
    </row>
    <row r="4767" spans="1:2" ht="28.8" x14ac:dyDescent="0.3">
      <c r="A4767" s="4" t="s">
        <v>7490</v>
      </c>
      <c r="B4767">
        <v>3</v>
      </c>
    </row>
    <row r="4768" spans="1:2" ht="28.8" x14ac:dyDescent="0.3">
      <c r="A4768" s="4" t="s">
        <v>7491</v>
      </c>
      <c r="B4768">
        <v>3</v>
      </c>
    </row>
    <row r="4769" spans="1:2" ht="28.8" x14ac:dyDescent="0.3">
      <c r="A4769" s="4" t="s">
        <v>7492</v>
      </c>
      <c r="B4769">
        <v>3</v>
      </c>
    </row>
    <row r="4770" spans="1:2" ht="28.8" x14ac:dyDescent="0.3">
      <c r="A4770" s="4" t="s">
        <v>7493</v>
      </c>
      <c r="B4770">
        <v>3</v>
      </c>
    </row>
    <row r="4771" spans="1:2" ht="28.8" x14ac:dyDescent="0.3">
      <c r="A4771" s="4" t="s">
        <v>7494</v>
      </c>
      <c r="B4771">
        <v>3</v>
      </c>
    </row>
    <row r="4772" spans="1:2" x14ac:dyDescent="0.3">
      <c r="A4772" s="4" t="s">
        <v>7495</v>
      </c>
      <c r="B4772">
        <v>3</v>
      </c>
    </row>
    <row r="4773" spans="1:2" ht="43.2" x14ac:dyDescent="0.3">
      <c r="A4773" s="4" t="s">
        <v>7496</v>
      </c>
      <c r="B4773">
        <v>3</v>
      </c>
    </row>
    <row r="4774" spans="1:2" ht="28.8" x14ac:dyDescent="0.3">
      <c r="A4774" s="4" t="s">
        <v>7497</v>
      </c>
      <c r="B4774">
        <v>3</v>
      </c>
    </row>
    <row r="4775" spans="1:2" ht="28.8" x14ac:dyDescent="0.3">
      <c r="A4775" s="4" t="s">
        <v>7498</v>
      </c>
      <c r="B4775">
        <v>3</v>
      </c>
    </row>
    <row r="4776" spans="1:2" ht="43.2" x14ac:dyDescent="0.3">
      <c r="A4776" s="4" t="s">
        <v>7499</v>
      </c>
      <c r="B4776">
        <v>3</v>
      </c>
    </row>
    <row r="4777" spans="1:2" ht="28.8" x14ac:dyDescent="0.3">
      <c r="A4777" s="4" t="s">
        <v>7500</v>
      </c>
      <c r="B4777">
        <v>3</v>
      </c>
    </row>
    <row r="4778" spans="1:2" x14ac:dyDescent="0.3">
      <c r="A4778" s="4" t="s">
        <v>7501</v>
      </c>
      <c r="B4778">
        <v>3</v>
      </c>
    </row>
    <row r="4779" spans="1:2" ht="43.2" x14ac:dyDescent="0.3">
      <c r="A4779" s="4" t="s">
        <v>7502</v>
      </c>
      <c r="B4779">
        <v>3</v>
      </c>
    </row>
    <row r="4780" spans="1:2" ht="28.8" x14ac:dyDescent="0.3">
      <c r="A4780" s="4" t="s">
        <v>7503</v>
      </c>
      <c r="B4780">
        <v>3</v>
      </c>
    </row>
    <row r="4781" spans="1:2" ht="28.8" x14ac:dyDescent="0.3">
      <c r="A4781" s="4" t="s">
        <v>7504</v>
      </c>
      <c r="B4781">
        <v>3</v>
      </c>
    </row>
    <row r="4782" spans="1:2" ht="28.8" x14ac:dyDescent="0.3">
      <c r="A4782" s="4" t="s">
        <v>7505</v>
      </c>
      <c r="B4782">
        <v>3</v>
      </c>
    </row>
    <row r="4783" spans="1:2" ht="28.8" x14ac:dyDescent="0.3">
      <c r="A4783" s="4" t="s">
        <v>7506</v>
      </c>
      <c r="B4783">
        <v>3</v>
      </c>
    </row>
    <row r="4784" spans="1:2" ht="28.8" x14ac:dyDescent="0.3">
      <c r="A4784" s="4" t="s">
        <v>7507</v>
      </c>
      <c r="B4784">
        <v>3</v>
      </c>
    </row>
    <row r="4785" spans="1:2" ht="28.8" x14ac:dyDescent="0.3">
      <c r="A4785" s="4" t="s">
        <v>7508</v>
      </c>
      <c r="B4785">
        <v>3</v>
      </c>
    </row>
    <row r="4786" spans="1:2" ht="28.8" x14ac:dyDescent="0.3">
      <c r="A4786" s="4" t="s">
        <v>7509</v>
      </c>
      <c r="B4786">
        <v>3</v>
      </c>
    </row>
    <row r="4787" spans="1:2" x14ac:dyDescent="0.3">
      <c r="A4787" s="4" t="s">
        <v>7510</v>
      </c>
      <c r="B4787">
        <v>3</v>
      </c>
    </row>
    <row r="4788" spans="1:2" ht="28.8" x14ac:dyDescent="0.3">
      <c r="A4788" s="4" t="s">
        <v>7511</v>
      </c>
      <c r="B4788">
        <v>3</v>
      </c>
    </row>
    <row r="4789" spans="1:2" ht="28.8" x14ac:dyDescent="0.3">
      <c r="A4789" s="4" t="s">
        <v>7512</v>
      </c>
      <c r="B4789">
        <v>3</v>
      </c>
    </row>
    <row r="4790" spans="1:2" x14ac:dyDescent="0.3">
      <c r="A4790" s="4" t="s">
        <v>7513</v>
      </c>
      <c r="B4790">
        <v>3</v>
      </c>
    </row>
    <row r="4791" spans="1:2" ht="28.8" x14ac:dyDescent="0.3">
      <c r="A4791" s="4" t="s">
        <v>7514</v>
      </c>
      <c r="B4791">
        <v>3</v>
      </c>
    </row>
    <row r="4792" spans="1:2" ht="28.8" x14ac:dyDescent="0.3">
      <c r="A4792" s="4" t="s">
        <v>7515</v>
      </c>
      <c r="B4792">
        <v>3</v>
      </c>
    </row>
    <row r="4793" spans="1:2" ht="28.8" x14ac:dyDescent="0.3">
      <c r="A4793" s="4" t="s">
        <v>7516</v>
      </c>
      <c r="B4793">
        <v>3</v>
      </c>
    </row>
    <row r="4794" spans="1:2" ht="43.2" x14ac:dyDescent="0.3">
      <c r="A4794" s="4" t="s">
        <v>7517</v>
      </c>
      <c r="B4794">
        <v>3</v>
      </c>
    </row>
    <row r="4795" spans="1:2" ht="28.8" x14ac:dyDescent="0.3">
      <c r="A4795" s="4" t="s">
        <v>7518</v>
      </c>
      <c r="B4795">
        <v>3</v>
      </c>
    </row>
    <row r="4796" spans="1:2" ht="28.8" x14ac:dyDescent="0.3">
      <c r="A4796" s="4" t="s">
        <v>7519</v>
      </c>
      <c r="B4796">
        <v>3</v>
      </c>
    </row>
    <row r="4797" spans="1:2" x14ac:dyDescent="0.3">
      <c r="A4797" s="4" t="s">
        <v>7520</v>
      </c>
      <c r="B4797">
        <v>3</v>
      </c>
    </row>
    <row r="4798" spans="1:2" ht="28.8" x14ac:dyDescent="0.3">
      <c r="A4798" s="4" t="s">
        <v>7521</v>
      </c>
      <c r="B4798">
        <v>3</v>
      </c>
    </row>
    <row r="4799" spans="1:2" ht="28.8" x14ac:dyDescent="0.3">
      <c r="A4799" s="4" t="s">
        <v>7522</v>
      </c>
      <c r="B4799">
        <v>3</v>
      </c>
    </row>
    <row r="4800" spans="1:2" ht="28.8" x14ac:dyDescent="0.3">
      <c r="A4800" s="4" t="s">
        <v>7523</v>
      </c>
      <c r="B4800">
        <v>3</v>
      </c>
    </row>
    <row r="4801" spans="1:2" ht="28.8" x14ac:dyDescent="0.3">
      <c r="A4801" s="4" t="s">
        <v>7524</v>
      </c>
      <c r="B4801">
        <v>3</v>
      </c>
    </row>
    <row r="4802" spans="1:2" x14ac:dyDescent="0.3">
      <c r="A4802" s="4" t="s">
        <v>7525</v>
      </c>
      <c r="B4802">
        <v>3</v>
      </c>
    </row>
    <row r="4803" spans="1:2" ht="28.8" x14ac:dyDescent="0.3">
      <c r="A4803" s="4" t="s">
        <v>7526</v>
      </c>
      <c r="B4803">
        <v>3</v>
      </c>
    </row>
    <row r="4804" spans="1:2" ht="28.8" x14ac:dyDescent="0.3">
      <c r="A4804" s="4" t="s">
        <v>7527</v>
      </c>
      <c r="B4804">
        <v>3</v>
      </c>
    </row>
    <row r="4805" spans="1:2" ht="28.8" x14ac:dyDescent="0.3">
      <c r="A4805" s="4" t="s">
        <v>7528</v>
      </c>
      <c r="B4805">
        <v>3</v>
      </c>
    </row>
    <row r="4806" spans="1:2" ht="28.8" x14ac:dyDescent="0.3">
      <c r="A4806" s="4" t="s">
        <v>7529</v>
      </c>
      <c r="B4806">
        <v>3</v>
      </c>
    </row>
    <row r="4807" spans="1:2" x14ac:dyDescent="0.3">
      <c r="A4807" s="4" t="s">
        <v>7530</v>
      </c>
      <c r="B4807">
        <v>3</v>
      </c>
    </row>
    <row r="4808" spans="1:2" ht="28.8" x14ac:dyDescent="0.3">
      <c r="A4808" s="4" t="s">
        <v>7531</v>
      </c>
      <c r="B4808">
        <v>3</v>
      </c>
    </row>
    <row r="4809" spans="1:2" ht="28.8" x14ac:dyDescent="0.3">
      <c r="A4809" s="4" t="s">
        <v>7532</v>
      </c>
      <c r="B4809">
        <v>3</v>
      </c>
    </row>
    <row r="4810" spans="1:2" ht="28.8" x14ac:dyDescent="0.3">
      <c r="A4810" s="4" t="s">
        <v>7533</v>
      </c>
      <c r="B4810">
        <v>3</v>
      </c>
    </row>
    <row r="4811" spans="1:2" ht="43.2" x14ac:dyDescent="0.3">
      <c r="A4811" s="4" t="s">
        <v>7534</v>
      </c>
      <c r="B4811">
        <v>3</v>
      </c>
    </row>
    <row r="4812" spans="1:2" ht="28.8" x14ac:dyDescent="0.3">
      <c r="A4812" s="4" t="s">
        <v>7535</v>
      </c>
      <c r="B4812">
        <v>3</v>
      </c>
    </row>
    <row r="4813" spans="1:2" x14ac:dyDescent="0.3">
      <c r="A4813" s="4" t="s">
        <v>7536</v>
      </c>
      <c r="B4813">
        <v>3</v>
      </c>
    </row>
    <row r="4814" spans="1:2" ht="28.8" x14ac:dyDescent="0.3">
      <c r="A4814" s="4" t="s">
        <v>7537</v>
      </c>
      <c r="B4814">
        <v>3</v>
      </c>
    </row>
    <row r="4815" spans="1:2" ht="43.2" x14ac:dyDescent="0.3">
      <c r="A4815" s="4" t="s">
        <v>7538</v>
      </c>
      <c r="B4815">
        <v>3</v>
      </c>
    </row>
    <row r="4816" spans="1:2" x14ac:dyDescent="0.3">
      <c r="A4816" s="4" t="s">
        <v>7539</v>
      </c>
      <c r="B4816">
        <v>3</v>
      </c>
    </row>
    <row r="4817" spans="1:2" ht="43.2" x14ac:dyDescent="0.3">
      <c r="A4817" s="4" t="s">
        <v>7540</v>
      </c>
      <c r="B4817">
        <v>3</v>
      </c>
    </row>
    <row r="4818" spans="1:2" ht="28.8" x14ac:dyDescent="0.3">
      <c r="A4818" s="4" t="s">
        <v>7541</v>
      </c>
      <c r="B4818">
        <v>3</v>
      </c>
    </row>
    <row r="4819" spans="1:2" ht="28.8" x14ac:dyDescent="0.3">
      <c r="A4819" s="4" t="s">
        <v>7542</v>
      </c>
      <c r="B4819">
        <v>3</v>
      </c>
    </row>
    <row r="4820" spans="1:2" ht="28.8" x14ac:dyDescent="0.3">
      <c r="A4820" s="4" t="s">
        <v>7543</v>
      </c>
      <c r="B4820">
        <v>3</v>
      </c>
    </row>
    <row r="4821" spans="1:2" ht="28.8" x14ac:dyDescent="0.3">
      <c r="A4821" s="4" t="s">
        <v>7544</v>
      </c>
      <c r="B4821">
        <v>3</v>
      </c>
    </row>
    <row r="4822" spans="1:2" x14ac:dyDescent="0.3">
      <c r="A4822" s="4" t="s">
        <v>7545</v>
      </c>
      <c r="B4822">
        <v>3</v>
      </c>
    </row>
    <row r="4823" spans="1:2" ht="28.8" x14ac:dyDescent="0.3">
      <c r="A4823" s="4" t="s">
        <v>7546</v>
      </c>
      <c r="B4823">
        <v>3</v>
      </c>
    </row>
    <row r="4824" spans="1:2" ht="28.8" x14ac:dyDescent="0.3">
      <c r="A4824" s="4" t="s">
        <v>7547</v>
      </c>
      <c r="B4824">
        <v>3</v>
      </c>
    </row>
    <row r="4825" spans="1:2" ht="28.8" x14ac:dyDescent="0.3">
      <c r="A4825" s="4" t="s">
        <v>7548</v>
      </c>
      <c r="B4825">
        <v>3</v>
      </c>
    </row>
    <row r="4826" spans="1:2" ht="28.8" x14ac:dyDescent="0.3">
      <c r="A4826" s="4" t="s">
        <v>7549</v>
      </c>
      <c r="B4826">
        <v>3</v>
      </c>
    </row>
    <row r="4827" spans="1:2" ht="28.8" x14ac:dyDescent="0.3">
      <c r="A4827" s="4" t="s">
        <v>7550</v>
      </c>
      <c r="B4827">
        <v>3</v>
      </c>
    </row>
    <row r="4828" spans="1:2" ht="28.8" x14ac:dyDescent="0.3">
      <c r="A4828" s="4" t="s">
        <v>7551</v>
      </c>
      <c r="B4828">
        <v>3</v>
      </c>
    </row>
    <row r="4829" spans="1:2" ht="43.2" x14ac:dyDescent="0.3">
      <c r="A4829" s="4" t="s">
        <v>7552</v>
      </c>
      <c r="B4829">
        <v>3</v>
      </c>
    </row>
    <row r="4830" spans="1:2" ht="28.8" x14ac:dyDescent="0.3">
      <c r="A4830" s="4" t="s">
        <v>7553</v>
      </c>
      <c r="B4830">
        <v>3</v>
      </c>
    </row>
    <row r="4831" spans="1:2" ht="28.8" x14ac:dyDescent="0.3">
      <c r="A4831" s="4" t="s">
        <v>7554</v>
      </c>
      <c r="B4831">
        <v>3</v>
      </c>
    </row>
    <row r="4832" spans="1:2" ht="28.8" x14ac:dyDescent="0.3">
      <c r="A4832" s="4" t="s">
        <v>7555</v>
      </c>
      <c r="B4832">
        <v>3</v>
      </c>
    </row>
    <row r="4833" spans="1:2" ht="28.8" x14ac:dyDescent="0.3">
      <c r="A4833" s="4" t="s">
        <v>7556</v>
      </c>
      <c r="B4833">
        <v>3</v>
      </c>
    </row>
    <row r="4834" spans="1:2" ht="28.8" x14ac:dyDescent="0.3">
      <c r="A4834" s="4" t="s">
        <v>7557</v>
      </c>
      <c r="B4834">
        <v>3</v>
      </c>
    </row>
    <row r="4835" spans="1:2" ht="28.8" x14ac:dyDescent="0.3">
      <c r="A4835" s="4" t="s">
        <v>7558</v>
      </c>
      <c r="B4835">
        <v>3</v>
      </c>
    </row>
    <row r="4836" spans="1:2" ht="28.8" x14ac:dyDescent="0.3">
      <c r="A4836" s="4" t="s">
        <v>7559</v>
      </c>
      <c r="B4836">
        <v>3</v>
      </c>
    </row>
    <row r="4837" spans="1:2" ht="28.8" x14ac:dyDescent="0.3">
      <c r="A4837" s="4" t="s">
        <v>7560</v>
      </c>
      <c r="B4837">
        <v>3</v>
      </c>
    </row>
    <row r="4838" spans="1:2" ht="43.2" x14ac:dyDescent="0.3">
      <c r="A4838" s="4" t="s">
        <v>7561</v>
      </c>
      <c r="B4838">
        <v>3</v>
      </c>
    </row>
    <row r="4839" spans="1:2" ht="28.8" x14ac:dyDescent="0.3">
      <c r="A4839" s="4" t="s">
        <v>7562</v>
      </c>
      <c r="B4839">
        <v>3</v>
      </c>
    </row>
    <row r="4840" spans="1:2" ht="28.8" x14ac:dyDescent="0.3">
      <c r="A4840" s="4" t="s">
        <v>7563</v>
      </c>
      <c r="B4840">
        <v>3</v>
      </c>
    </row>
    <row r="4841" spans="1:2" ht="28.8" x14ac:dyDescent="0.3">
      <c r="A4841" s="4" t="s">
        <v>7564</v>
      </c>
      <c r="B4841">
        <v>3</v>
      </c>
    </row>
    <row r="4842" spans="1:2" x14ac:dyDescent="0.3">
      <c r="A4842" s="4" t="s">
        <v>7565</v>
      </c>
      <c r="B4842">
        <v>3</v>
      </c>
    </row>
    <row r="4843" spans="1:2" ht="28.8" x14ac:dyDescent="0.3">
      <c r="A4843" s="4" t="s">
        <v>7566</v>
      </c>
      <c r="B4843">
        <v>3</v>
      </c>
    </row>
    <row r="4844" spans="1:2" x14ac:dyDescent="0.3">
      <c r="A4844" s="4" t="s">
        <v>7567</v>
      </c>
      <c r="B4844">
        <v>3</v>
      </c>
    </row>
    <row r="4845" spans="1:2" ht="28.8" x14ac:dyDescent="0.3">
      <c r="A4845" s="4" t="s">
        <v>7568</v>
      </c>
      <c r="B4845">
        <v>3</v>
      </c>
    </row>
    <row r="4846" spans="1:2" ht="28.8" x14ac:dyDescent="0.3">
      <c r="A4846" s="4" t="s">
        <v>7569</v>
      </c>
      <c r="B4846">
        <v>3</v>
      </c>
    </row>
    <row r="4847" spans="1:2" ht="28.8" x14ac:dyDescent="0.3">
      <c r="A4847" s="4" t="s">
        <v>7570</v>
      </c>
      <c r="B4847">
        <v>3</v>
      </c>
    </row>
    <row r="4848" spans="1:2" ht="28.8" x14ac:dyDescent="0.3">
      <c r="A4848" s="4" t="s">
        <v>7571</v>
      </c>
      <c r="B4848">
        <v>3</v>
      </c>
    </row>
    <row r="4849" spans="1:2" ht="28.8" x14ac:dyDescent="0.3">
      <c r="A4849" s="4" t="s">
        <v>7572</v>
      </c>
      <c r="B4849">
        <v>3</v>
      </c>
    </row>
    <row r="4850" spans="1:2" ht="43.2" x14ac:dyDescent="0.3">
      <c r="A4850" s="4" t="s">
        <v>7573</v>
      </c>
      <c r="B4850">
        <v>3</v>
      </c>
    </row>
    <row r="4851" spans="1:2" x14ac:dyDescent="0.3">
      <c r="A4851" s="4" t="s">
        <v>7574</v>
      </c>
      <c r="B4851">
        <v>3</v>
      </c>
    </row>
    <row r="4852" spans="1:2" ht="28.8" x14ac:dyDescent="0.3">
      <c r="A4852" s="4" t="s">
        <v>7575</v>
      </c>
      <c r="B4852">
        <v>3</v>
      </c>
    </row>
    <row r="4853" spans="1:2" ht="28.8" x14ac:dyDescent="0.3">
      <c r="A4853" s="4" t="s">
        <v>7576</v>
      </c>
      <c r="B4853">
        <v>3</v>
      </c>
    </row>
    <row r="4854" spans="1:2" ht="28.8" x14ac:dyDescent="0.3">
      <c r="A4854" s="4" t="s">
        <v>7577</v>
      </c>
      <c r="B4854">
        <v>3</v>
      </c>
    </row>
    <row r="4855" spans="1:2" ht="28.8" x14ac:dyDescent="0.3">
      <c r="A4855" s="4" t="s">
        <v>7578</v>
      </c>
      <c r="B4855">
        <v>3</v>
      </c>
    </row>
    <row r="4856" spans="1:2" ht="28.8" x14ac:dyDescent="0.3">
      <c r="A4856" s="4" t="s">
        <v>7579</v>
      </c>
      <c r="B4856">
        <v>3</v>
      </c>
    </row>
    <row r="4857" spans="1:2" ht="28.8" x14ac:dyDescent="0.3">
      <c r="A4857" s="4" t="s">
        <v>7580</v>
      </c>
      <c r="B4857">
        <v>3</v>
      </c>
    </row>
    <row r="4858" spans="1:2" ht="28.8" x14ac:dyDescent="0.3">
      <c r="A4858" s="4" t="s">
        <v>7581</v>
      </c>
      <c r="B4858">
        <v>3</v>
      </c>
    </row>
    <row r="4859" spans="1:2" x14ac:dyDescent="0.3">
      <c r="A4859" s="4" t="s">
        <v>7582</v>
      </c>
      <c r="B4859">
        <v>3</v>
      </c>
    </row>
    <row r="4860" spans="1:2" ht="28.8" x14ac:dyDescent="0.3">
      <c r="A4860" s="4" t="s">
        <v>7583</v>
      </c>
      <c r="B4860">
        <v>3</v>
      </c>
    </row>
    <row r="4861" spans="1:2" ht="28.8" x14ac:dyDescent="0.3">
      <c r="A4861" s="4" t="s">
        <v>7584</v>
      </c>
      <c r="B4861">
        <v>3</v>
      </c>
    </row>
    <row r="4862" spans="1:2" ht="28.8" x14ac:dyDescent="0.3">
      <c r="A4862" s="4" t="s">
        <v>7585</v>
      </c>
      <c r="B4862">
        <v>3</v>
      </c>
    </row>
    <row r="4863" spans="1:2" ht="28.8" x14ac:dyDescent="0.3">
      <c r="A4863" s="4" t="s">
        <v>7586</v>
      </c>
      <c r="B4863">
        <v>3</v>
      </c>
    </row>
    <row r="4864" spans="1:2" x14ac:dyDescent="0.3">
      <c r="A4864" s="4" t="s">
        <v>7587</v>
      </c>
      <c r="B4864">
        <v>3</v>
      </c>
    </row>
    <row r="4865" spans="1:2" x14ac:dyDescent="0.3">
      <c r="A4865" s="4" t="s">
        <v>7588</v>
      </c>
      <c r="B4865">
        <v>3</v>
      </c>
    </row>
    <row r="4866" spans="1:2" ht="28.8" x14ac:dyDescent="0.3">
      <c r="A4866" s="4" t="s">
        <v>7589</v>
      </c>
      <c r="B4866">
        <v>3</v>
      </c>
    </row>
    <row r="4867" spans="1:2" ht="28.8" x14ac:dyDescent="0.3">
      <c r="A4867" s="4" t="s">
        <v>7590</v>
      </c>
      <c r="B4867">
        <v>3</v>
      </c>
    </row>
    <row r="4868" spans="1:2" ht="28.8" x14ac:dyDescent="0.3">
      <c r="A4868" s="4" t="s">
        <v>7591</v>
      </c>
      <c r="B4868">
        <v>3</v>
      </c>
    </row>
    <row r="4869" spans="1:2" ht="28.8" x14ac:dyDescent="0.3">
      <c r="A4869" s="4" t="s">
        <v>7592</v>
      </c>
      <c r="B4869">
        <v>3</v>
      </c>
    </row>
    <row r="4870" spans="1:2" ht="28.8" x14ac:dyDescent="0.3">
      <c r="A4870" s="4" t="s">
        <v>7593</v>
      </c>
      <c r="B4870">
        <v>3</v>
      </c>
    </row>
    <row r="4871" spans="1:2" ht="28.8" x14ac:dyDescent="0.3">
      <c r="A4871" s="4" t="s">
        <v>7594</v>
      </c>
      <c r="B4871">
        <v>3</v>
      </c>
    </row>
    <row r="4872" spans="1:2" ht="28.8" x14ac:dyDescent="0.3">
      <c r="A4872" s="4" t="s">
        <v>7595</v>
      </c>
      <c r="B4872">
        <v>3</v>
      </c>
    </row>
    <row r="4873" spans="1:2" x14ac:dyDescent="0.3">
      <c r="A4873" s="4" t="s">
        <v>7596</v>
      </c>
      <c r="B4873">
        <v>3</v>
      </c>
    </row>
    <row r="4874" spans="1:2" x14ac:dyDescent="0.3">
      <c r="A4874" s="4" t="s">
        <v>7597</v>
      </c>
      <c r="B4874">
        <v>3</v>
      </c>
    </row>
    <row r="4875" spans="1:2" ht="28.8" x14ac:dyDescent="0.3">
      <c r="A4875" s="4" t="s">
        <v>7598</v>
      </c>
      <c r="B4875">
        <v>3</v>
      </c>
    </row>
    <row r="4876" spans="1:2" ht="28.8" x14ac:dyDescent="0.3">
      <c r="A4876" s="4" t="s">
        <v>7599</v>
      </c>
      <c r="B4876">
        <v>3</v>
      </c>
    </row>
    <row r="4877" spans="1:2" ht="28.8" x14ac:dyDescent="0.3">
      <c r="A4877" s="4" t="s">
        <v>7600</v>
      </c>
      <c r="B4877">
        <v>3</v>
      </c>
    </row>
    <row r="4878" spans="1:2" ht="28.8" x14ac:dyDescent="0.3">
      <c r="A4878" s="4" t="s">
        <v>7601</v>
      </c>
      <c r="B4878">
        <v>3</v>
      </c>
    </row>
    <row r="4879" spans="1:2" ht="28.8" x14ac:dyDescent="0.3">
      <c r="A4879" s="4" t="s">
        <v>7602</v>
      </c>
      <c r="B4879">
        <v>3</v>
      </c>
    </row>
    <row r="4880" spans="1:2" x14ac:dyDescent="0.3">
      <c r="A4880" s="4" t="s">
        <v>7603</v>
      </c>
      <c r="B4880">
        <v>3</v>
      </c>
    </row>
    <row r="4881" spans="1:2" ht="28.8" x14ac:dyDescent="0.3">
      <c r="A4881" s="4" t="s">
        <v>7604</v>
      </c>
      <c r="B4881">
        <v>3</v>
      </c>
    </row>
    <row r="4882" spans="1:2" ht="28.8" x14ac:dyDescent="0.3">
      <c r="A4882" s="4" t="s">
        <v>7605</v>
      </c>
      <c r="B4882">
        <v>3</v>
      </c>
    </row>
    <row r="4883" spans="1:2" ht="28.8" x14ac:dyDescent="0.3">
      <c r="A4883" s="4" t="s">
        <v>7606</v>
      </c>
      <c r="B4883">
        <v>3</v>
      </c>
    </row>
    <row r="4884" spans="1:2" ht="28.8" x14ac:dyDescent="0.3">
      <c r="A4884" s="4" t="s">
        <v>7607</v>
      </c>
      <c r="B4884">
        <v>3</v>
      </c>
    </row>
    <row r="4885" spans="1:2" ht="28.8" x14ac:dyDescent="0.3">
      <c r="A4885" s="4" t="s">
        <v>7608</v>
      </c>
      <c r="B4885">
        <v>3</v>
      </c>
    </row>
    <row r="4886" spans="1:2" ht="28.8" x14ac:dyDescent="0.3">
      <c r="A4886" s="4" t="s">
        <v>7609</v>
      </c>
      <c r="B4886">
        <v>3</v>
      </c>
    </row>
    <row r="4887" spans="1:2" x14ac:dyDescent="0.3">
      <c r="A4887" s="4" t="s">
        <v>7610</v>
      </c>
      <c r="B4887">
        <v>3</v>
      </c>
    </row>
    <row r="4888" spans="1:2" ht="28.8" x14ac:dyDescent="0.3">
      <c r="A4888" s="4" t="s">
        <v>7611</v>
      </c>
      <c r="B4888">
        <v>3</v>
      </c>
    </row>
    <row r="4889" spans="1:2" ht="28.8" x14ac:dyDescent="0.3">
      <c r="A4889" s="4" t="s">
        <v>7612</v>
      </c>
      <c r="B4889">
        <v>3</v>
      </c>
    </row>
    <row r="4890" spans="1:2" x14ac:dyDescent="0.3">
      <c r="A4890" s="4" t="s">
        <v>7613</v>
      </c>
      <c r="B4890">
        <v>3</v>
      </c>
    </row>
    <row r="4891" spans="1:2" ht="28.8" x14ac:dyDescent="0.3">
      <c r="A4891" s="4" t="s">
        <v>7614</v>
      </c>
      <c r="B4891">
        <v>3</v>
      </c>
    </row>
    <row r="4892" spans="1:2" ht="43.2" x14ac:dyDescent="0.3">
      <c r="A4892" s="4" t="s">
        <v>7615</v>
      </c>
      <c r="B4892">
        <v>3</v>
      </c>
    </row>
    <row r="4893" spans="1:2" ht="28.8" x14ac:dyDescent="0.3">
      <c r="A4893" s="4" t="s">
        <v>7616</v>
      </c>
      <c r="B4893">
        <v>3</v>
      </c>
    </row>
    <row r="4894" spans="1:2" ht="28.8" x14ac:dyDescent="0.3">
      <c r="A4894" s="4" t="s">
        <v>7617</v>
      </c>
      <c r="B4894">
        <v>3</v>
      </c>
    </row>
    <row r="4895" spans="1:2" ht="28.8" x14ac:dyDescent="0.3">
      <c r="A4895" s="4" t="s">
        <v>7618</v>
      </c>
      <c r="B4895">
        <v>3</v>
      </c>
    </row>
    <row r="4896" spans="1:2" ht="28.8" x14ac:dyDescent="0.3">
      <c r="A4896" s="4" t="s">
        <v>7619</v>
      </c>
      <c r="B4896">
        <v>3</v>
      </c>
    </row>
    <row r="4897" spans="1:2" ht="43.2" x14ac:dyDescent="0.3">
      <c r="A4897" s="4" t="s">
        <v>7620</v>
      </c>
      <c r="B4897">
        <v>3</v>
      </c>
    </row>
    <row r="4898" spans="1:2" ht="28.8" x14ac:dyDescent="0.3">
      <c r="A4898" s="4" t="s">
        <v>7621</v>
      </c>
      <c r="B4898">
        <v>3</v>
      </c>
    </row>
    <row r="4899" spans="1:2" ht="28.8" x14ac:dyDescent="0.3">
      <c r="A4899" s="4" t="s">
        <v>7622</v>
      </c>
      <c r="B4899">
        <v>3</v>
      </c>
    </row>
    <row r="4900" spans="1:2" ht="28.8" x14ac:dyDescent="0.3">
      <c r="A4900" s="4" t="s">
        <v>7623</v>
      </c>
      <c r="B4900">
        <v>3</v>
      </c>
    </row>
    <row r="4901" spans="1:2" ht="28.8" x14ac:dyDescent="0.3">
      <c r="A4901" s="4" t="s">
        <v>7624</v>
      </c>
      <c r="B4901">
        <v>3</v>
      </c>
    </row>
    <row r="4902" spans="1:2" ht="28.8" x14ac:dyDescent="0.3">
      <c r="A4902" s="4" t="s">
        <v>7625</v>
      </c>
      <c r="B4902">
        <v>3</v>
      </c>
    </row>
    <row r="4903" spans="1:2" ht="28.8" x14ac:dyDescent="0.3">
      <c r="A4903" s="4" t="s">
        <v>7626</v>
      </c>
      <c r="B4903">
        <v>3</v>
      </c>
    </row>
    <row r="4904" spans="1:2" ht="28.8" x14ac:dyDescent="0.3">
      <c r="A4904" s="4" t="s">
        <v>7627</v>
      </c>
      <c r="B4904">
        <v>3</v>
      </c>
    </row>
    <row r="4905" spans="1:2" ht="28.8" x14ac:dyDescent="0.3">
      <c r="A4905" s="4" t="s">
        <v>7628</v>
      </c>
      <c r="B4905">
        <v>3</v>
      </c>
    </row>
    <row r="4906" spans="1:2" ht="43.2" x14ac:dyDescent="0.3">
      <c r="A4906" s="4" t="s">
        <v>7629</v>
      </c>
      <c r="B4906">
        <v>3</v>
      </c>
    </row>
    <row r="4907" spans="1:2" ht="28.8" x14ac:dyDescent="0.3">
      <c r="A4907" s="4" t="s">
        <v>7630</v>
      </c>
      <c r="B4907">
        <v>3</v>
      </c>
    </row>
    <row r="4908" spans="1:2" ht="28.8" x14ac:dyDescent="0.3">
      <c r="A4908" s="4" t="s">
        <v>7631</v>
      </c>
      <c r="B4908">
        <v>3</v>
      </c>
    </row>
    <row r="4909" spans="1:2" x14ac:dyDescent="0.3">
      <c r="A4909" s="4" t="s">
        <v>7632</v>
      </c>
      <c r="B4909">
        <v>3</v>
      </c>
    </row>
    <row r="4910" spans="1:2" ht="28.8" x14ac:dyDescent="0.3">
      <c r="A4910" s="4" t="s">
        <v>7633</v>
      </c>
      <c r="B4910">
        <v>3</v>
      </c>
    </row>
    <row r="4911" spans="1:2" ht="43.2" x14ac:dyDescent="0.3">
      <c r="A4911" s="4" t="s">
        <v>7634</v>
      </c>
      <c r="B4911">
        <v>3</v>
      </c>
    </row>
    <row r="4912" spans="1:2" ht="28.8" x14ac:dyDescent="0.3">
      <c r="A4912" s="4" t="s">
        <v>7635</v>
      </c>
      <c r="B4912">
        <v>3</v>
      </c>
    </row>
    <row r="4913" spans="1:2" ht="28.8" x14ac:dyDescent="0.3">
      <c r="A4913" s="4" t="s">
        <v>7636</v>
      </c>
      <c r="B4913">
        <v>3</v>
      </c>
    </row>
    <row r="4914" spans="1:2" ht="28.8" x14ac:dyDescent="0.3">
      <c r="A4914" s="4" t="s">
        <v>7637</v>
      </c>
      <c r="B4914">
        <v>3</v>
      </c>
    </row>
    <row r="4915" spans="1:2" ht="28.8" x14ac:dyDescent="0.3">
      <c r="A4915" s="4" t="s">
        <v>7638</v>
      </c>
      <c r="B4915">
        <v>3</v>
      </c>
    </row>
    <row r="4916" spans="1:2" ht="43.2" x14ac:dyDescent="0.3">
      <c r="A4916" s="4" t="s">
        <v>7639</v>
      </c>
      <c r="B4916">
        <v>3</v>
      </c>
    </row>
    <row r="4917" spans="1:2" ht="28.8" x14ac:dyDescent="0.3">
      <c r="A4917" s="4" t="s">
        <v>7640</v>
      </c>
      <c r="B4917">
        <v>3</v>
      </c>
    </row>
    <row r="4918" spans="1:2" ht="28.8" x14ac:dyDescent="0.3">
      <c r="A4918" s="4" t="s">
        <v>7641</v>
      </c>
      <c r="B4918">
        <v>3</v>
      </c>
    </row>
    <row r="4919" spans="1:2" ht="43.2" x14ac:dyDescent="0.3">
      <c r="A4919" s="4" t="s">
        <v>7642</v>
      </c>
      <c r="B4919">
        <v>3</v>
      </c>
    </row>
    <row r="4920" spans="1:2" ht="28.8" x14ac:dyDescent="0.3">
      <c r="A4920" s="4" t="s">
        <v>7643</v>
      </c>
      <c r="B4920">
        <v>3</v>
      </c>
    </row>
    <row r="4921" spans="1:2" ht="28.8" x14ac:dyDescent="0.3">
      <c r="A4921" s="4" t="s">
        <v>7644</v>
      </c>
      <c r="B4921">
        <v>3</v>
      </c>
    </row>
    <row r="4922" spans="1:2" ht="28.8" x14ac:dyDescent="0.3">
      <c r="A4922" s="4" t="s">
        <v>7645</v>
      </c>
      <c r="B4922">
        <v>3</v>
      </c>
    </row>
    <row r="4923" spans="1:2" ht="28.8" x14ac:dyDescent="0.3">
      <c r="A4923" s="4" t="s">
        <v>7646</v>
      </c>
      <c r="B4923">
        <v>3</v>
      </c>
    </row>
    <row r="4924" spans="1:2" x14ac:dyDescent="0.3">
      <c r="A4924" s="4" t="s">
        <v>7647</v>
      </c>
      <c r="B4924">
        <v>3</v>
      </c>
    </row>
    <row r="4925" spans="1:2" ht="28.8" x14ac:dyDescent="0.3">
      <c r="A4925" s="4" t="s">
        <v>7648</v>
      </c>
      <c r="B4925">
        <v>3</v>
      </c>
    </row>
    <row r="4926" spans="1:2" ht="28.8" x14ac:dyDescent="0.3">
      <c r="A4926" s="4" t="s">
        <v>7649</v>
      </c>
      <c r="B4926">
        <v>3</v>
      </c>
    </row>
    <row r="4927" spans="1:2" ht="28.8" x14ac:dyDescent="0.3">
      <c r="A4927" s="4" t="s">
        <v>7650</v>
      </c>
      <c r="B4927">
        <v>3</v>
      </c>
    </row>
    <row r="4928" spans="1:2" ht="28.8" x14ac:dyDescent="0.3">
      <c r="A4928" s="4" t="s">
        <v>7651</v>
      </c>
      <c r="B4928">
        <v>3</v>
      </c>
    </row>
    <row r="4929" spans="1:2" ht="28.8" x14ac:dyDescent="0.3">
      <c r="A4929" s="4" t="s">
        <v>7652</v>
      </c>
      <c r="B4929">
        <v>3</v>
      </c>
    </row>
    <row r="4930" spans="1:2" ht="28.8" x14ac:dyDescent="0.3">
      <c r="A4930" s="4" t="s">
        <v>7653</v>
      </c>
      <c r="B4930">
        <v>3</v>
      </c>
    </row>
    <row r="4931" spans="1:2" ht="28.8" x14ac:dyDescent="0.3">
      <c r="A4931" s="4" t="s">
        <v>7654</v>
      </c>
      <c r="B4931">
        <v>3</v>
      </c>
    </row>
    <row r="4932" spans="1:2" ht="43.2" x14ac:dyDescent="0.3">
      <c r="A4932" s="4" t="s">
        <v>7655</v>
      </c>
      <c r="B4932">
        <v>3</v>
      </c>
    </row>
    <row r="4933" spans="1:2" ht="28.8" x14ac:dyDescent="0.3">
      <c r="A4933" s="4" t="s">
        <v>7656</v>
      </c>
      <c r="B4933">
        <v>3</v>
      </c>
    </row>
    <row r="4934" spans="1:2" ht="28.8" x14ac:dyDescent="0.3">
      <c r="A4934" s="4" t="s">
        <v>7657</v>
      </c>
      <c r="B4934">
        <v>3</v>
      </c>
    </row>
    <row r="4935" spans="1:2" ht="28.8" x14ac:dyDescent="0.3">
      <c r="A4935" s="4" t="s">
        <v>7658</v>
      </c>
      <c r="B4935">
        <v>3</v>
      </c>
    </row>
    <row r="4936" spans="1:2" x14ac:dyDescent="0.3">
      <c r="A4936" s="4" t="s">
        <v>7659</v>
      </c>
      <c r="B4936">
        <v>3</v>
      </c>
    </row>
    <row r="4937" spans="1:2" ht="28.8" x14ac:dyDescent="0.3">
      <c r="A4937" s="4" t="s">
        <v>7660</v>
      </c>
      <c r="B4937">
        <v>3</v>
      </c>
    </row>
    <row r="4938" spans="1:2" ht="28.8" x14ac:dyDescent="0.3">
      <c r="A4938" s="4" t="s">
        <v>7661</v>
      </c>
      <c r="B4938">
        <v>3</v>
      </c>
    </row>
    <row r="4939" spans="1:2" ht="28.8" x14ac:dyDescent="0.3">
      <c r="A4939" s="4" t="s">
        <v>7662</v>
      </c>
      <c r="B4939">
        <v>3</v>
      </c>
    </row>
    <row r="4940" spans="1:2" ht="28.8" x14ac:dyDescent="0.3">
      <c r="A4940" s="4" t="s">
        <v>7663</v>
      </c>
      <c r="B4940">
        <v>3</v>
      </c>
    </row>
    <row r="4941" spans="1:2" x14ac:dyDescent="0.3">
      <c r="A4941" s="4" t="s">
        <v>7664</v>
      </c>
      <c r="B4941">
        <v>3</v>
      </c>
    </row>
    <row r="4942" spans="1:2" ht="28.8" x14ac:dyDescent="0.3">
      <c r="A4942" s="4" t="s">
        <v>7665</v>
      </c>
      <c r="B4942">
        <v>3</v>
      </c>
    </row>
    <row r="4943" spans="1:2" ht="28.8" x14ac:dyDescent="0.3">
      <c r="A4943" s="4" t="s">
        <v>7666</v>
      </c>
      <c r="B4943">
        <v>3</v>
      </c>
    </row>
    <row r="4944" spans="1:2" ht="72" x14ac:dyDescent="0.3">
      <c r="A4944" s="4" t="s">
        <v>7667</v>
      </c>
      <c r="B4944">
        <v>3</v>
      </c>
    </row>
    <row r="4945" spans="1:2" ht="28.8" x14ac:dyDescent="0.3">
      <c r="A4945" s="4" t="s">
        <v>7668</v>
      </c>
      <c r="B4945">
        <v>3</v>
      </c>
    </row>
    <row r="4946" spans="1:2" x14ac:dyDescent="0.3">
      <c r="A4946" s="4" t="s">
        <v>7669</v>
      </c>
      <c r="B4946">
        <v>3</v>
      </c>
    </row>
    <row r="4947" spans="1:2" ht="43.2" x14ac:dyDescent="0.3">
      <c r="A4947" s="4" t="s">
        <v>7670</v>
      </c>
      <c r="B4947">
        <v>3</v>
      </c>
    </row>
    <row r="4948" spans="1:2" x14ac:dyDescent="0.3">
      <c r="A4948" s="4" t="s">
        <v>7671</v>
      </c>
      <c r="B4948">
        <v>3</v>
      </c>
    </row>
    <row r="4949" spans="1:2" ht="28.8" x14ac:dyDescent="0.3">
      <c r="A4949" s="4" t="s">
        <v>7672</v>
      </c>
      <c r="B4949">
        <v>3</v>
      </c>
    </row>
    <row r="4950" spans="1:2" ht="28.8" x14ac:dyDescent="0.3">
      <c r="A4950" s="4" t="s">
        <v>7673</v>
      </c>
      <c r="B4950">
        <v>3</v>
      </c>
    </row>
    <row r="4951" spans="1:2" ht="28.8" x14ac:dyDescent="0.3">
      <c r="A4951" s="4" t="s">
        <v>7674</v>
      </c>
      <c r="B4951">
        <v>3</v>
      </c>
    </row>
    <row r="4952" spans="1:2" ht="28.8" x14ac:dyDescent="0.3">
      <c r="A4952" s="4" t="s">
        <v>7675</v>
      </c>
      <c r="B4952">
        <v>3</v>
      </c>
    </row>
    <row r="4953" spans="1:2" x14ac:dyDescent="0.3">
      <c r="A4953" s="4" t="s">
        <v>7676</v>
      </c>
      <c r="B4953">
        <v>3</v>
      </c>
    </row>
    <row r="4954" spans="1:2" ht="43.2" x14ac:dyDescent="0.3">
      <c r="A4954" s="4" t="s">
        <v>7677</v>
      </c>
      <c r="B4954">
        <v>3</v>
      </c>
    </row>
    <row r="4955" spans="1:2" x14ac:dyDescent="0.3">
      <c r="A4955" s="4" t="s">
        <v>7678</v>
      </c>
      <c r="B4955">
        <v>3</v>
      </c>
    </row>
    <row r="4956" spans="1:2" x14ac:dyDescent="0.3">
      <c r="A4956" s="4" t="s">
        <v>7679</v>
      </c>
      <c r="B4956">
        <v>3</v>
      </c>
    </row>
    <row r="4957" spans="1:2" x14ac:dyDescent="0.3">
      <c r="A4957" s="4" t="s">
        <v>7680</v>
      </c>
      <c r="B4957">
        <v>3</v>
      </c>
    </row>
    <row r="4958" spans="1:2" ht="28.8" x14ac:dyDescent="0.3">
      <c r="A4958" s="4" t="s">
        <v>7681</v>
      </c>
      <c r="B4958">
        <v>3</v>
      </c>
    </row>
    <row r="4959" spans="1:2" x14ac:dyDescent="0.3">
      <c r="A4959" s="4" t="s">
        <v>7682</v>
      </c>
      <c r="B4959">
        <v>3</v>
      </c>
    </row>
    <row r="4960" spans="1:2" ht="43.2" x14ac:dyDescent="0.3">
      <c r="A4960" s="4" t="s">
        <v>7683</v>
      </c>
      <c r="B4960">
        <v>3</v>
      </c>
    </row>
    <row r="4961" spans="1:2" ht="28.8" x14ac:dyDescent="0.3">
      <c r="A4961" s="4" t="s">
        <v>7684</v>
      </c>
      <c r="B4961">
        <v>3</v>
      </c>
    </row>
    <row r="4962" spans="1:2" ht="28.8" x14ac:dyDescent="0.3">
      <c r="A4962" s="4" t="s">
        <v>7685</v>
      </c>
      <c r="B4962">
        <v>3</v>
      </c>
    </row>
    <row r="4963" spans="1:2" ht="28.8" x14ac:dyDescent="0.3">
      <c r="A4963" s="4" t="s">
        <v>7686</v>
      </c>
      <c r="B4963">
        <v>3</v>
      </c>
    </row>
    <row r="4964" spans="1:2" ht="28.8" x14ac:dyDescent="0.3">
      <c r="A4964" s="4" t="s">
        <v>7687</v>
      </c>
      <c r="B4964">
        <v>3</v>
      </c>
    </row>
    <row r="4965" spans="1:2" ht="28.8" x14ac:dyDescent="0.3">
      <c r="A4965" s="4" t="s">
        <v>7688</v>
      </c>
      <c r="B4965">
        <v>3</v>
      </c>
    </row>
    <row r="4966" spans="1:2" x14ac:dyDescent="0.3">
      <c r="A4966" s="4" t="s">
        <v>7689</v>
      </c>
      <c r="B4966">
        <v>3</v>
      </c>
    </row>
    <row r="4967" spans="1:2" ht="100.8" x14ac:dyDescent="0.3">
      <c r="A4967" s="4" t="s">
        <v>7690</v>
      </c>
      <c r="B4967">
        <v>3</v>
      </c>
    </row>
    <row r="4968" spans="1:2" ht="28.8" x14ac:dyDescent="0.3">
      <c r="A4968" s="4" t="s">
        <v>7691</v>
      </c>
      <c r="B4968">
        <v>3</v>
      </c>
    </row>
    <row r="4969" spans="1:2" ht="28.8" x14ac:dyDescent="0.3">
      <c r="A4969" s="4" t="s">
        <v>7692</v>
      </c>
      <c r="B4969">
        <v>3</v>
      </c>
    </row>
    <row r="4970" spans="1:2" ht="28.8" x14ac:dyDescent="0.3">
      <c r="A4970" s="4" t="s">
        <v>7693</v>
      </c>
      <c r="B4970">
        <v>3</v>
      </c>
    </row>
    <row r="4971" spans="1:2" ht="28.8" x14ac:dyDescent="0.3">
      <c r="A4971" s="4" t="s">
        <v>7694</v>
      </c>
      <c r="B4971">
        <v>3</v>
      </c>
    </row>
    <row r="4972" spans="1:2" x14ac:dyDescent="0.3">
      <c r="A4972" s="4" t="s">
        <v>7695</v>
      </c>
      <c r="B4972">
        <v>3</v>
      </c>
    </row>
    <row r="4973" spans="1:2" ht="28.8" x14ac:dyDescent="0.3">
      <c r="A4973" s="4" t="s">
        <v>7696</v>
      </c>
      <c r="B4973">
        <v>3</v>
      </c>
    </row>
    <row r="4974" spans="1:2" x14ac:dyDescent="0.3">
      <c r="A4974" s="4" t="s">
        <v>7697</v>
      </c>
      <c r="B4974">
        <v>3</v>
      </c>
    </row>
    <row r="4975" spans="1:2" x14ac:dyDescent="0.3">
      <c r="A4975" s="4" t="s">
        <v>7698</v>
      </c>
      <c r="B4975">
        <v>3</v>
      </c>
    </row>
    <row r="4976" spans="1:2" x14ac:dyDescent="0.3">
      <c r="A4976" s="4" t="s">
        <v>7699</v>
      </c>
      <c r="B4976">
        <v>3</v>
      </c>
    </row>
    <row r="4977" spans="1:2" ht="28.8" x14ac:dyDescent="0.3">
      <c r="A4977" s="4" t="s">
        <v>7700</v>
      </c>
      <c r="B4977">
        <v>3</v>
      </c>
    </row>
    <row r="4978" spans="1:2" x14ac:dyDescent="0.3">
      <c r="A4978" s="4" t="s">
        <v>7701</v>
      </c>
      <c r="B4978">
        <v>3</v>
      </c>
    </row>
    <row r="4979" spans="1:2" ht="28.8" x14ac:dyDescent="0.3">
      <c r="A4979" s="4" t="s">
        <v>7702</v>
      </c>
      <c r="B4979">
        <v>3</v>
      </c>
    </row>
    <row r="4980" spans="1:2" ht="28.8" x14ac:dyDescent="0.3">
      <c r="A4980" s="4" t="s">
        <v>7703</v>
      </c>
      <c r="B4980">
        <v>3</v>
      </c>
    </row>
    <row r="4981" spans="1:2" ht="28.8" x14ac:dyDescent="0.3">
      <c r="A4981" s="4" t="s">
        <v>7704</v>
      </c>
      <c r="B4981">
        <v>3</v>
      </c>
    </row>
    <row r="4982" spans="1:2" ht="28.8" x14ac:dyDescent="0.3">
      <c r="A4982" s="4" t="s">
        <v>7705</v>
      </c>
      <c r="B4982">
        <v>3</v>
      </c>
    </row>
    <row r="4983" spans="1:2" ht="28.8" x14ac:dyDescent="0.3">
      <c r="A4983" s="4" t="s">
        <v>7706</v>
      </c>
      <c r="B4983">
        <v>3</v>
      </c>
    </row>
    <row r="4984" spans="1:2" ht="28.8" x14ac:dyDescent="0.3">
      <c r="A4984" s="4" t="s">
        <v>7707</v>
      </c>
      <c r="B4984">
        <v>3</v>
      </c>
    </row>
    <row r="4985" spans="1:2" ht="28.8" x14ac:dyDescent="0.3">
      <c r="A4985" s="4" t="s">
        <v>7708</v>
      </c>
      <c r="B4985">
        <v>3</v>
      </c>
    </row>
    <row r="4986" spans="1:2" ht="43.2" x14ac:dyDescent="0.3">
      <c r="A4986" s="4" t="s">
        <v>7709</v>
      </c>
      <c r="B4986">
        <v>3</v>
      </c>
    </row>
    <row r="4987" spans="1:2" ht="43.2" x14ac:dyDescent="0.3">
      <c r="A4987" s="4" t="s">
        <v>7710</v>
      </c>
      <c r="B4987">
        <v>3</v>
      </c>
    </row>
    <row r="4988" spans="1:2" ht="28.8" x14ac:dyDescent="0.3">
      <c r="A4988" s="4" t="s">
        <v>7711</v>
      </c>
      <c r="B4988">
        <v>3</v>
      </c>
    </row>
    <row r="4989" spans="1:2" ht="28.8" x14ac:dyDescent="0.3">
      <c r="A4989" s="4" t="s">
        <v>7712</v>
      </c>
      <c r="B4989">
        <v>3</v>
      </c>
    </row>
    <row r="4990" spans="1:2" ht="28.8" x14ac:dyDescent="0.3">
      <c r="A4990" s="4" t="s">
        <v>7713</v>
      </c>
      <c r="B4990">
        <v>3</v>
      </c>
    </row>
    <row r="4991" spans="1:2" ht="28.8" x14ac:dyDescent="0.3">
      <c r="A4991" s="4" t="s">
        <v>7714</v>
      </c>
      <c r="B4991">
        <v>3</v>
      </c>
    </row>
    <row r="4992" spans="1:2" ht="28.8" x14ac:dyDescent="0.3">
      <c r="A4992" s="4" t="s">
        <v>7715</v>
      </c>
      <c r="B4992">
        <v>3</v>
      </c>
    </row>
    <row r="4993" spans="1:2" ht="43.2" x14ac:dyDescent="0.3">
      <c r="A4993" s="4" t="s">
        <v>7716</v>
      </c>
      <c r="B4993">
        <v>3</v>
      </c>
    </row>
    <row r="4994" spans="1:2" x14ac:dyDescent="0.3">
      <c r="A4994" s="4" t="s">
        <v>7717</v>
      </c>
      <c r="B4994">
        <v>3</v>
      </c>
    </row>
    <row r="4995" spans="1:2" ht="28.8" x14ac:dyDescent="0.3">
      <c r="A4995" s="4" t="s">
        <v>7718</v>
      </c>
      <c r="B4995">
        <v>3</v>
      </c>
    </row>
    <row r="4996" spans="1:2" ht="28.8" x14ac:dyDescent="0.3">
      <c r="A4996" s="4" t="s">
        <v>7719</v>
      </c>
      <c r="B4996">
        <v>3</v>
      </c>
    </row>
    <row r="4997" spans="1:2" ht="28.8" x14ac:dyDescent="0.3">
      <c r="A4997" s="4" t="s">
        <v>7720</v>
      </c>
      <c r="B4997">
        <v>3</v>
      </c>
    </row>
    <row r="4998" spans="1:2" ht="28.8" x14ac:dyDescent="0.3">
      <c r="A4998" s="4" t="s">
        <v>7721</v>
      </c>
      <c r="B4998">
        <v>3</v>
      </c>
    </row>
    <row r="4999" spans="1:2" ht="28.8" x14ac:dyDescent="0.3">
      <c r="A4999" s="4" t="s">
        <v>7722</v>
      </c>
      <c r="B4999">
        <v>3</v>
      </c>
    </row>
    <row r="5000" spans="1:2" x14ac:dyDescent="0.3">
      <c r="A5000" s="4" t="s">
        <v>7723</v>
      </c>
      <c r="B5000">
        <v>3</v>
      </c>
    </row>
    <row r="5001" spans="1:2" ht="28.8" x14ac:dyDescent="0.3">
      <c r="A5001" s="4" t="s">
        <v>7724</v>
      </c>
      <c r="B5001">
        <v>3</v>
      </c>
    </row>
    <row r="5002" spans="1:2" ht="28.8" x14ac:dyDescent="0.3">
      <c r="A5002" s="4" t="s">
        <v>7725</v>
      </c>
      <c r="B5002">
        <v>3</v>
      </c>
    </row>
    <row r="5003" spans="1:2" ht="28.8" x14ac:dyDescent="0.3">
      <c r="A5003" s="4" t="s">
        <v>7726</v>
      </c>
      <c r="B5003">
        <v>3</v>
      </c>
    </row>
    <row r="5004" spans="1:2" ht="28.8" x14ac:dyDescent="0.3">
      <c r="A5004" s="4" t="s">
        <v>7727</v>
      </c>
      <c r="B5004">
        <v>3</v>
      </c>
    </row>
    <row r="5005" spans="1:2" ht="28.8" x14ac:dyDescent="0.3">
      <c r="A5005" s="4" t="s">
        <v>7728</v>
      </c>
      <c r="B5005">
        <v>3</v>
      </c>
    </row>
    <row r="5006" spans="1:2" ht="28.8" x14ac:dyDescent="0.3">
      <c r="A5006" s="4" t="s">
        <v>7729</v>
      </c>
      <c r="B5006">
        <v>3</v>
      </c>
    </row>
    <row r="5007" spans="1:2" ht="28.8" x14ac:dyDescent="0.3">
      <c r="A5007" s="4" t="s">
        <v>7730</v>
      </c>
      <c r="B5007">
        <v>3</v>
      </c>
    </row>
    <row r="5008" spans="1:2" ht="28.8" x14ac:dyDescent="0.3">
      <c r="A5008" s="4" t="s">
        <v>7731</v>
      </c>
      <c r="B5008">
        <v>3</v>
      </c>
    </row>
    <row r="5009" spans="1:2" ht="28.8" x14ac:dyDescent="0.3">
      <c r="A5009" s="4" t="s">
        <v>7732</v>
      </c>
      <c r="B5009">
        <v>3</v>
      </c>
    </row>
    <row r="5010" spans="1:2" ht="28.8" x14ac:dyDescent="0.3">
      <c r="A5010" s="4" t="s">
        <v>7733</v>
      </c>
      <c r="B5010">
        <v>3</v>
      </c>
    </row>
    <row r="5011" spans="1:2" ht="28.8" x14ac:dyDescent="0.3">
      <c r="A5011" s="4" t="s">
        <v>7734</v>
      </c>
      <c r="B5011">
        <v>3</v>
      </c>
    </row>
    <row r="5012" spans="1:2" ht="28.8" x14ac:dyDescent="0.3">
      <c r="A5012" s="4" t="s">
        <v>7735</v>
      </c>
      <c r="B5012">
        <v>3</v>
      </c>
    </row>
    <row r="5013" spans="1:2" ht="28.8" x14ac:dyDescent="0.3">
      <c r="A5013" s="4" t="s">
        <v>7736</v>
      </c>
      <c r="B5013">
        <v>3</v>
      </c>
    </row>
    <row r="5014" spans="1:2" ht="28.8" x14ac:dyDescent="0.3">
      <c r="A5014" s="4" t="s">
        <v>7737</v>
      </c>
      <c r="B5014">
        <v>3</v>
      </c>
    </row>
    <row r="5015" spans="1:2" ht="28.8" x14ac:dyDescent="0.3">
      <c r="A5015" s="4" t="s">
        <v>7738</v>
      </c>
      <c r="B5015">
        <v>3</v>
      </c>
    </row>
    <row r="5016" spans="1:2" ht="28.8" x14ac:dyDescent="0.3">
      <c r="A5016" s="4" t="s">
        <v>7739</v>
      </c>
      <c r="B5016">
        <v>3</v>
      </c>
    </row>
    <row r="5017" spans="1:2" x14ac:dyDescent="0.3">
      <c r="A5017" s="4" t="s">
        <v>7740</v>
      </c>
      <c r="B5017">
        <v>3</v>
      </c>
    </row>
    <row r="5018" spans="1:2" ht="28.8" x14ac:dyDescent="0.3">
      <c r="A5018" s="4" t="s">
        <v>7741</v>
      </c>
      <c r="B5018">
        <v>3</v>
      </c>
    </row>
    <row r="5019" spans="1:2" ht="43.2" x14ac:dyDescent="0.3">
      <c r="A5019" s="4" t="s">
        <v>7742</v>
      </c>
      <c r="B5019">
        <v>3</v>
      </c>
    </row>
    <row r="5020" spans="1:2" ht="28.8" x14ac:dyDescent="0.3">
      <c r="A5020" s="4" t="s">
        <v>7743</v>
      </c>
      <c r="B5020">
        <v>3</v>
      </c>
    </row>
    <row r="5021" spans="1:2" ht="28.8" x14ac:dyDescent="0.3">
      <c r="A5021" s="4" t="s">
        <v>7744</v>
      </c>
      <c r="B5021">
        <v>3</v>
      </c>
    </row>
    <row r="5022" spans="1:2" ht="28.8" x14ac:dyDescent="0.3">
      <c r="A5022" s="4" t="s">
        <v>7745</v>
      </c>
      <c r="B5022">
        <v>3</v>
      </c>
    </row>
    <row r="5023" spans="1:2" ht="28.8" x14ac:dyDescent="0.3">
      <c r="A5023" s="4" t="s">
        <v>7746</v>
      </c>
      <c r="B5023">
        <v>3</v>
      </c>
    </row>
    <row r="5024" spans="1:2" ht="28.8" x14ac:dyDescent="0.3">
      <c r="A5024" s="4" t="s">
        <v>7747</v>
      </c>
      <c r="B5024">
        <v>3</v>
      </c>
    </row>
    <row r="5025" spans="1:2" ht="28.8" x14ac:dyDescent="0.3">
      <c r="A5025" s="4" t="s">
        <v>7748</v>
      </c>
      <c r="B5025">
        <v>3</v>
      </c>
    </row>
    <row r="5026" spans="1:2" ht="28.8" x14ac:dyDescent="0.3">
      <c r="A5026" s="4" t="s">
        <v>7749</v>
      </c>
      <c r="B5026">
        <v>3</v>
      </c>
    </row>
    <row r="5027" spans="1:2" ht="28.8" x14ac:dyDescent="0.3">
      <c r="A5027" s="4" t="s">
        <v>7750</v>
      </c>
      <c r="B5027">
        <v>3</v>
      </c>
    </row>
    <row r="5028" spans="1:2" ht="28.8" x14ac:dyDescent="0.3">
      <c r="A5028" s="4" t="s">
        <v>7751</v>
      </c>
      <c r="B5028">
        <v>3</v>
      </c>
    </row>
    <row r="5029" spans="1:2" ht="28.8" x14ac:dyDescent="0.3">
      <c r="A5029" s="4" t="s">
        <v>7752</v>
      </c>
      <c r="B5029">
        <v>3</v>
      </c>
    </row>
    <row r="5030" spans="1:2" ht="28.8" x14ac:dyDescent="0.3">
      <c r="A5030" s="4" t="s">
        <v>7753</v>
      </c>
      <c r="B5030">
        <v>3</v>
      </c>
    </row>
    <row r="5031" spans="1:2" ht="28.8" x14ac:dyDescent="0.3">
      <c r="A5031" s="4" t="s">
        <v>7754</v>
      </c>
      <c r="B5031">
        <v>3</v>
      </c>
    </row>
    <row r="5032" spans="1:2" ht="28.8" x14ac:dyDescent="0.3">
      <c r="A5032" s="4" t="s">
        <v>7755</v>
      </c>
      <c r="B5032">
        <v>3</v>
      </c>
    </row>
    <row r="5033" spans="1:2" x14ac:dyDescent="0.3">
      <c r="A5033" s="4" t="s">
        <v>7756</v>
      </c>
      <c r="B5033">
        <v>3</v>
      </c>
    </row>
    <row r="5034" spans="1:2" ht="28.8" x14ac:dyDescent="0.3">
      <c r="A5034" s="4" t="s">
        <v>7757</v>
      </c>
      <c r="B5034">
        <v>3</v>
      </c>
    </row>
    <row r="5035" spans="1:2" ht="43.2" x14ac:dyDescent="0.3">
      <c r="A5035" s="4" t="s">
        <v>7758</v>
      </c>
      <c r="B5035">
        <v>3</v>
      </c>
    </row>
    <row r="5036" spans="1:2" ht="28.8" x14ac:dyDescent="0.3">
      <c r="A5036" s="4" t="s">
        <v>7759</v>
      </c>
      <c r="B5036">
        <v>3</v>
      </c>
    </row>
    <row r="5037" spans="1:2" ht="28.8" x14ac:dyDescent="0.3">
      <c r="A5037" s="4" t="s">
        <v>7760</v>
      </c>
      <c r="B5037">
        <v>3</v>
      </c>
    </row>
    <row r="5038" spans="1:2" ht="28.8" x14ac:dyDescent="0.3">
      <c r="A5038" s="4" t="s">
        <v>7761</v>
      </c>
      <c r="B5038">
        <v>3</v>
      </c>
    </row>
    <row r="5039" spans="1:2" ht="28.8" x14ac:dyDescent="0.3">
      <c r="A5039" s="4" t="s">
        <v>7762</v>
      </c>
      <c r="B5039">
        <v>3</v>
      </c>
    </row>
    <row r="5040" spans="1:2" x14ac:dyDescent="0.3">
      <c r="A5040" s="4" t="s">
        <v>7763</v>
      </c>
      <c r="B5040">
        <v>3</v>
      </c>
    </row>
    <row r="5041" spans="1:2" ht="43.2" x14ac:dyDescent="0.3">
      <c r="A5041" s="4" t="s">
        <v>7764</v>
      </c>
      <c r="B5041">
        <v>3</v>
      </c>
    </row>
    <row r="5042" spans="1:2" ht="28.8" x14ac:dyDescent="0.3">
      <c r="A5042" s="4" t="s">
        <v>7765</v>
      </c>
      <c r="B5042">
        <v>3</v>
      </c>
    </row>
    <row r="5043" spans="1:2" x14ac:dyDescent="0.3">
      <c r="A5043" s="4" t="s">
        <v>7766</v>
      </c>
      <c r="B5043">
        <v>3</v>
      </c>
    </row>
    <row r="5044" spans="1:2" ht="28.8" x14ac:dyDescent="0.3">
      <c r="A5044" s="4" t="s">
        <v>7767</v>
      </c>
      <c r="B5044">
        <v>3</v>
      </c>
    </row>
    <row r="5045" spans="1:2" x14ac:dyDescent="0.3">
      <c r="A5045" s="4" t="s">
        <v>7768</v>
      </c>
      <c r="B5045">
        <v>3</v>
      </c>
    </row>
    <row r="5046" spans="1:2" ht="43.2" x14ac:dyDescent="0.3">
      <c r="A5046" s="4" t="s">
        <v>7769</v>
      </c>
      <c r="B5046">
        <v>3</v>
      </c>
    </row>
    <row r="5047" spans="1:2" ht="28.8" x14ac:dyDescent="0.3">
      <c r="A5047" s="4" t="s">
        <v>7770</v>
      </c>
      <c r="B5047">
        <v>3</v>
      </c>
    </row>
    <row r="5048" spans="1:2" ht="28.8" x14ac:dyDescent="0.3">
      <c r="A5048" s="4" t="s">
        <v>7771</v>
      </c>
      <c r="B5048">
        <v>3</v>
      </c>
    </row>
    <row r="5049" spans="1:2" ht="28.8" x14ac:dyDescent="0.3">
      <c r="A5049" s="4" t="s">
        <v>7772</v>
      </c>
      <c r="B5049">
        <v>3</v>
      </c>
    </row>
    <row r="5050" spans="1:2" x14ac:dyDescent="0.3">
      <c r="A5050" s="4" t="s">
        <v>7773</v>
      </c>
      <c r="B5050">
        <v>3</v>
      </c>
    </row>
    <row r="5051" spans="1:2" ht="28.8" x14ac:dyDescent="0.3">
      <c r="A5051" s="4" t="s">
        <v>7774</v>
      </c>
      <c r="B5051">
        <v>3</v>
      </c>
    </row>
    <row r="5052" spans="1:2" ht="28.8" x14ac:dyDescent="0.3">
      <c r="A5052" s="4" t="s">
        <v>7775</v>
      </c>
      <c r="B5052">
        <v>3</v>
      </c>
    </row>
    <row r="5053" spans="1:2" ht="28.8" x14ac:dyDescent="0.3">
      <c r="A5053" s="4" t="s">
        <v>7776</v>
      </c>
      <c r="B5053">
        <v>3</v>
      </c>
    </row>
    <row r="5054" spans="1:2" ht="28.8" x14ac:dyDescent="0.3">
      <c r="A5054" s="4" t="s">
        <v>7777</v>
      </c>
      <c r="B5054">
        <v>3</v>
      </c>
    </row>
    <row r="5055" spans="1:2" ht="28.8" x14ac:dyDescent="0.3">
      <c r="A5055" s="4" t="s">
        <v>7778</v>
      </c>
      <c r="B5055">
        <v>3</v>
      </c>
    </row>
    <row r="5056" spans="1:2" x14ac:dyDescent="0.3">
      <c r="A5056" s="4" t="s">
        <v>7779</v>
      </c>
      <c r="B5056">
        <v>3</v>
      </c>
    </row>
    <row r="5057" spans="1:2" ht="28.8" x14ac:dyDescent="0.3">
      <c r="A5057" s="4" t="s">
        <v>7780</v>
      </c>
      <c r="B5057">
        <v>3</v>
      </c>
    </row>
    <row r="5058" spans="1:2" ht="28.8" x14ac:dyDescent="0.3">
      <c r="A5058" s="4" t="s">
        <v>7781</v>
      </c>
      <c r="B5058">
        <v>3</v>
      </c>
    </row>
    <row r="5059" spans="1:2" ht="28.8" x14ac:dyDescent="0.3">
      <c r="A5059" s="4" t="s">
        <v>7782</v>
      </c>
      <c r="B5059">
        <v>3</v>
      </c>
    </row>
    <row r="5060" spans="1:2" ht="28.8" x14ac:dyDescent="0.3">
      <c r="A5060" s="4" t="s">
        <v>7783</v>
      </c>
      <c r="B5060">
        <v>3</v>
      </c>
    </row>
    <row r="5061" spans="1:2" ht="28.8" x14ac:dyDescent="0.3">
      <c r="A5061" s="4" t="s">
        <v>7784</v>
      </c>
      <c r="B5061">
        <v>3</v>
      </c>
    </row>
    <row r="5062" spans="1:2" x14ac:dyDescent="0.3">
      <c r="A5062" s="4" t="s">
        <v>7785</v>
      </c>
      <c r="B5062">
        <v>3</v>
      </c>
    </row>
    <row r="5063" spans="1:2" ht="28.8" x14ac:dyDescent="0.3">
      <c r="A5063" s="4" t="s">
        <v>7786</v>
      </c>
      <c r="B5063">
        <v>3</v>
      </c>
    </row>
    <row r="5064" spans="1:2" ht="28.8" x14ac:dyDescent="0.3">
      <c r="A5064" s="4" t="s">
        <v>7787</v>
      </c>
      <c r="B5064">
        <v>3</v>
      </c>
    </row>
    <row r="5065" spans="1:2" ht="43.2" x14ac:dyDescent="0.3">
      <c r="A5065" s="4" t="s">
        <v>7788</v>
      </c>
      <c r="B5065">
        <v>3</v>
      </c>
    </row>
    <row r="5066" spans="1:2" ht="28.8" x14ac:dyDescent="0.3">
      <c r="A5066" s="4" t="s">
        <v>7789</v>
      </c>
      <c r="B5066">
        <v>3</v>
      </c>
    </row>
    <row r="5067" spans="1:2" x14ac:dyDescent="0.3">
      <c r="A5067" s="4" t="s">
        <v>7790</v>
      </c>
      <c r="B5067">
        <v>3</v>
      </c>
    </row>
    <row r="5068" spans="1:2" ht="43.2" x14ac:dyDescent="0.3">
      <c r="A5068" s="4" t="s">
        <v>7791</v>
      </c>
      <c r="B5068">
        <v>3</v>
      </c>
    </row>
    <row r="5069" spans="1:2" ht="28.8" x14ac:dyDescent="0.3">
      <c r="A5069" s="4" t="s">
        <v>7792</v>
      </c>
      <c r="B5069">
        <v>3</v>
      </c>
    </row>
    <row r="5070" spans="1:2" ht="28.8" x14ac:dyDescent="0.3">
      <c r="A5070" s="4" t="s">
        <v>7793</v>
      </c>
      <c r="B5070">
        <v>3</v>
      </c>
    </row>
    <row r="5071" spans="1:2" ht="28.8" x14ac:dyDescent="0.3">
      <c r="A5071" s="4" t="s">
        <v>7794</v>
      </c>
      <c r="B5071">
        <v>3</v>
      </c>
    </row>
    <row r="5072" spans="1:2" ht="28.8" x14ac:dyDescent="0.3">
      <c r="A5072" s="4" t="s">
        <v>7795</v>
      </c>
      <c r="B5072">
        <v>3</v>
      </c>
    </row>
    <row r="5073" spans="1:2" ht="28.8" x14ac:dyDescent="0.3">
      <c r="A5073" s="4" t="s">
        <v>7796</v>
      </c>
      <c r="B5073">
        <v>3</v>
      </c>
    </row>
    <row r="5074" spans="1:2" ht="28.8" x14ac:dyDescent="0.3">
      <c r="A5074" s="4" t="s">
        <v>7797</v>
      </c>
      <c r="B5074">
        <v>3</v>
      </c>
    </row>
    <row r="5075" spans="1:2" ht="28.8" x14ac:dyDescent="0.3">
      <c r="A5075" s="4" t="s">
        <v>7798</v>
      </c>
      <c r="B5075">
        <v>3</v>
      </c>
    </row>
    <row r="5076" spans="1:2" x14ac:dyDescent="0.3">
      <c r="A5076" s="4" t="s">
        <v>7799</v>
      </c>
      <c r="B5076">
        <v>3</v>
      </c>
    </row>
    <row r="5077" spans="1:2" ht="43.2" x14ac:dyDescent="0.3">
      <c r="A5077" s="4" t="s">
        <v>7800</v>
      </c>
      <c r="B5077">
        <v>3</v>
      </c>
    </row>
    <row r="5078" spans="1:2" ht="28.8" x14ac:dyDescent="0.3">
      <c r="A5078" s="4" t="s">
        <v>7801</v>
      </c>
      <c r="B5078">
        <v>3</v>
      </c>
    </row>
    <row r="5079" spans="1:2" x14ac:dyDescent="0.3">
      <c r="A5079" s="4" t="s">
        <v>7802</v>
      </c>
      <c r="B5079">
        <v>3</v>
      </c>
    </row>
    <row r="5080" spans="1:2" ht="28.8" x14ac:dyDescent="0.3">
      <c r="A5080" s="4" t="s">
        <v>7803</v>
      </c>
      <c r="B5080">
        <v>3</v>
      </c>
    </row>
    <row r="5081" spans="1:2" ht="28.8" x14ac:dyDescent="0.3">
      <c r="A5081" s="4" t="s">
        <v>7804</v>
      </c>
      <c r="B5081">
        <v>3</v>
      </c>
    </row>
    <row r="5082" spans="1:2" ht="28.8" x14ac:dyDescent="0.3">
      <c r="A5082" s="4" t="s">
        <v>7805</v>
      </c>
      <c r="B5082">
        <v>3</v>
      </c>
    </row>
    <row r="5083" spans="1:2" x14ac:dyDescent="0.3">
      <c r="A5083" s="4" t="s">
        <v>7806</v>
      </c>
      <c r="B5083">
        <v>3</v>
      </c>
    </row>
    <row r="5084" spans="1:2" ht="28.8" x14ac:dyDescent="0.3">
      <c r="A5084" s="4" t="s">
        <v>7807</v>
      </c>
      <c r="B5084">
        <v>3</v>
      </c>
    </row>
    <row r="5085" spans="1:2" x14ac:dyDescent="0.3">
      <c r="A5085" s="4" t="s">
        <v>7808</v>
      </c>
      <c r="B5085">
        <v>3</v>
      </c>
    </row>
    <row r="5086" spans="1:2" x14ac:dyDescent="0.3">
      <c r="A5086" s="4" t="s">
        <v>7809</v>
      </c>
      <c r="B5086">
        <v>3</v>
      </c>
    </row>
    <row r="5087" spans="1:2" ht="28.8" x14ac:dyDescent="0.3">
      <c r="A5087" s="4" t="s">
        <v>7810</v>
      </c>
      <c r="B5087">
        <v>3</v>
      </c>
    </row>
    <row r="5088" spans="1:2" ht="28.8" x14ac:dyDescent="0.3">
      <c r="A5088" s="4" t="s">
        <v>7811</v>
      </c>
      <c r="B5088">
        <v>3</v>
      </c>
    </row>
    <row r="5089" spans="1:2" x14ac:dyDescent="0.3">
      <c r="A5089" s="4" t="s">
        <v>7812</v>
      </c>
      <c r="B5089">
        <v>3</v>
      </c>
    </row>
    <row r="5090" spans="1:2" ht="28.8" x14ac:dyDescent="0.3">
      <c r="A5090" s="4" t="s">
        <v>7813</v>
      </c>
      <c r="B5090">
        <v>3</v>
      </c>
    </row>
    <row r="5091" spans="1:2" ht="28.8" x14ac:dyDescent="0.3">
      <c r="A5091" s="4" t="s">
        <v>7814</v>
      </c>
      <c r="B5091">
        <v>3</v>
      </c>
    </row>
    <row r="5092" spans="1:2" ht="28.8" x14ac:dyDescent="0.3">
      <c r="A5092" s="4" t="s">
        <v>7815</v>
      </c>
      <c r="B5092">
        <v>3</v>
      </c>
    </row>
    <row r="5093" spans="1:2" ht="28.8" x14ac:dyDescent="0.3">
      <c r="A5093" s="4" t="s">
        <v>7816</v>
      </c>
      <c r="B5093">
        <v>3</v>
      </c>
    </row>
    <row r="5094" spans="1:2" ht="43.2" x14ac:dyDescent="0.3">
      <c r="A5094" s="4" t="s">
        <v>7817</v>
      </c>
      <c r="B5094">
        <v>3</v>
      </c>
    </row>
    <row r="5095" spans="1:2" ht="28.8" x14ac:dyDescent="0.3">
      <c r="A5095" s="4" t="s">
        <v>7818</v>
      </c>
      <c r="B5095">
        <v>3</v>
      </c>
    </row>
    <row r="5096" spans="1:2" ht="28.8" x14ac:dyDescent="0.3">
      <c r="A5096" s="4" t="s">
        <v>7819</v>
      </c>
      <c r="B5096">
        <v>3</v>
      </c>
    </row>
    <row r="5097" spans="1:2" ht="28.8" x14ac:dyDescent="0.3">
      <c r="A5097" s="4" t="s">
        <v>7820</v>
      </c>
      <c r="B5097">
        <v>3</v>
      </c>
    </row>
    <row r="5098" spans="1:2" x14ac:dyDescent="0.3">
      <c r="A5098" s="4" t="s">
        <v>7821</v>
      </c>
      <c r="B5098">
        <v>3</v>
      </c>
    </row>
    <row r="5099" spans="1:2" x14ac:dyDescent="0.3">
      <c r="A5099" s="4" t="s">
        <v>7822</v>
      </c>
      <c r="B5099">
        <v>3</v>
      </c>
    </row>
    <row r="5100" spans="1:2" ht="28.8" x14ac:dyDescent="0.3">
      <c r="A5100" s="4" t="s">
        <v>7823</v>
      </c>
      <c r="B5100">
        <v>3</v>
      </c>
    </row>
    <row r="5101" spans="1:2" ht="43.2" x14ac:dyDescent="0.3">
      <c r="A5101" s="4" t="s">
        <v>7824</v>
      </c>
      <c r="B5101">
        <v>3</v>
      </c>
    </row>
    <row r="5102" spans="1:2" ht="28.8" x14ac:dyDescent="0.3">
      <c r="A5102" s="4" t="s">
        <v>7825</v>
      </c>
      <c r="B5102">
        <v>3</v>
      </c>
    </row>
    <row r="5103" spans="1:2" x14ac:dyDescent="0.3">
      <c r="A5103" s="4" t="s">
        <v>7826</v>
      </c>
      <c r="B5103">
        <v>3</v>
      </c>
    </row>
    <row r="5104" spans="1:2" x14ac:dyDescent="0.3">
      <c r="A5104" s="4" t="s">
        <v>7827</v>
      </c>
      <c r="B5104">
        <v>3</v>
      </c>
    </row>
    <row r="5105" spans="1:2" ht="28.8" x14ac:dyDescent="0.3">
      <c r="A5105" s="4" t="s">
        <v>7828</v>
      </c>
      <c r="B5105">
        <v>3</v>
      </c>
    </row>
    <row r="5106" spans="1:2" ht="28.8" x14ac:dyDescent="0.3">
      <c r="A5106" s="4" t="s">
        <v>7829</v>
      </c>
      <c r="B5106">
        <v>3</v>
      </c>
    </row>
    <row r="5107" spans="1:2" ht="28.8" x14ac:dyDescent="0.3">
      <c r="A5107" s="4" t="s">
        <v>7830</v>
      </c>
      <c r="B5107">
        <v>3</v>
      </c>
    </row>
    <row r="5108" spans="1:2" ht="28.8" x14ac:dyDescent="0.3">
      <c r="A5108" s="4" t="s">
        <v>7831</v>
      </c>
      <c r="B5108">
        <v>3</v>
      </c>
    </row>
    <row r="5109" spans="1:2" ht="28.8" x14ac:dyDescent="0.3">
      <c r="A5109" s="4" t="s">
        <v>7832</v>
      </c>
      <c r="B5109">
        <v>3</v>
      </c>
    </row>
    <row r="5110" spans="1:2" ht="28.8" x14ac:dyDescent="0.3">
      <c r="A5110" s="4" t="s">
        <v>7833</v>
      </c>
      <c r="B5110">
        <v>3</v>
      </c>
    </row>
    <row r="5111" spans="1:2" ht="28.8" x14ac:dyDescent="0.3">
      <c r="A5111" s="4" t="s">
        <v>7834</v>
      </c>
      <c r="B5111">
        <v>3</v>
      </c>
    </row>
    <row r="5112" spans="1:2" ht="28.8" x14ac:dyDescent="0.3">
      <c r="A5112" s="4" t="s">
        <v>7835</v>
      </c>
      <c r="B5112">
        <v>3</v>
      </c>
    </row>
    <row r="5113" spans="1:2" ht="28.8" x14ac:dyDescent="0.3">
      <c r="A5113" s="4" t="s">
        <v>7836</v>
      </c>
      <c r="B5113">
        <v>3</v>
      </c>
    </row>
    <row r="5114" spans="1:2" ht="28.8" x14ac:dyDescent="0.3">
      <c r="A5114" s="4" t="s">
        <v>7837</v>
      </c>
      <c r="B5114">
        <v>3</v>
      </c>
    </row>
    <row r="5115" spans="1:2" ht="28.8" x14ac:dyDescent="0.3">
      <c r="A5115" s="4" t="s">
        <v>7838</v>
      </c>
      <c r="B5115">
        <v>3</v>
      </c>
    </row>
    <row r="5116" spans="1:2" ht="28.8" x14ac:dyDescent="0.3">
      <c r="A5116" s="4" t="s">
        <v>7839</v>
      </c>
      <c r="B5116">
        <v>3</v>
      </c>
    </row>
    <row r="5117" spans="1:2" x14ac:dyDescent="0.3">
      <c r="A5117" s="4" t="s">
        <v>7840</v>
      </c>
      <c r="B5117">
        <v>3</v>
      </c>
    </row>
    <row r="5118" spans="1:2" ht="28.8" x14ac:dyDescent="0.3">
      <c r="A5118" s="4" t="s">
        <v>7841</v>
      </c>
      <c r="B5118">
        <v>3</v>
      </c>
    </row>
    <row r="5119" spans="1:2" ht="43.2" x14ac:dyDescent="0.3">
      <c r="A5119" s="4" t="s">
        <v>7842</v>
      </c>
      <c r="B5119">
        <v>3</v>
      </c>
    </row>
    <row r="5120" spans="1:2" ht="43.2" x14ac:dyDescent="0.3">
      <c r="A5120" s="4" t="s">
        <v>7843</v>
      </c>
      <c r="B5120">
        <v>3</v>
      </c>
    </row>
    <row r="5121" spans="1:2" x14ac:dyDescent="0.3">
      <c r="A5121" s="4" t="s">
        <v>7844</v>
      </c>
      <c r="B5121">
        <v>3</v>
      </c>
    </row>
    <row r="5122" spans="1:2" ht="28.8" x14ac:dyDescent="0.3">
      <c r="A5122" s="4" t="s">
        <v>7845</v>
      </c>
      <c r="B5122">
        <v>3</v>
      </c>
    </row>
    <row r="5123" spans="1:2" x14ac:dyDescent="0.3">
      <c r="A5123" s="4" t="s">
        <v>7846</v>
      </c>
      <c r="B5123">
        <v>3</v>
      </c>
    </row>
    <row r="5124" spans="1:2" ht="43.2" x14ac:dyDescent="0.3">
      <c r="A5124" s="4" t="s">
        <v>7847</v>
      </c>
      <c r="B5124">
        <v>3</v>
      </c>
    </row>
    <row r="5125" spans="1:2" ht="28.8" x14ac:dyDescent="0.3">
      <c r="A5125" s="4" t="s">
        <v>7848</v>
      </c>
      <c r="B5125">
        <v>3</v>
      </c>
    </row>
    <row r="5126" spans="1:2" ht="28.8" x14ac:dyDescent="0.3">
      <c r="A5126" s="4" t="s">
        <v>7849</v>
      </c>
      <c r="B5126">
        <v>3</v>
      </c>
    </row>
    <row r="5127" spans="1:2" ht="28.8" x14ac:dyDescent="0.3">
      <c r="A5127" s="4" t="s">
        <v>7850</v>
      </c>
      <c r="B5127">
        <v>3</v>
      </c>
    </row>
    <row r="5128" spans="1:2" ht="28.8" x14ac:dyDescent="0.3">
      <c r="A5128" s="4" t="s">
        <v>7851</v>
      </c>
      <c r="B5128">
        <v>3</v>
      </c>
    </row>
    <row r="5129" spans="1:2" ht="28.8" x14ac:dyDescent="0.3">
      <c r="A5129" s="4" t="s">
        <v>7852</v>
      </c>
      <c r="B5129">
        <v>3</v>
      </c>
    </row>
    <row r="5130" spans="1:2" ht="28.8" x14ac:dyDescent="0.3">
      <c r="A5130" s="4" t="s">
        <v>7853</v>
      </c>
      <c r="B5130">
        <v>3</v>
      </c>
    </row>
    <row r="5131" spans="1:2" x14ac:dyDescent="0.3">
      <c r="A5131" s="4" t="s">
        <v>7854</v>
      </c>
      <c r="B5131">
        <v>3</v>
      </c>
    </row>
    <row r="5132" spans="1:2" ht="28.8" x14ac:dyDescent="0.3">
      <c r="A5132" s="4" t="s">
        <v>7855</v>
      </c>
      <c r="B5132">
        <v>3</v>
      </c>
    </row>
    <row r="5133" spans="1:2" ht="28.8" x14ac:dyDescent="0.3">
      <c r="A5133" s="4" t="s">
        <v>7856</v>
      </c>
      <c r="B5133">
        <v>3</v>
      </c>
    </row>
    <row r="5134" spans="1:2" ht="28.8" x14ac:dyDescent="0.3">
      <c r="A5134" s="4" t="s">
        <v>7857</v>
      </c>
      <c r="B5134">
        <v>3</v>
      </c>
    </row>
    <row r="5135" spans="1:2" ht="28.8" x14ac:dyDescent="0.3">
      <c r="A5135" s="4" t="s">
        <v>7858</v>
      </c>
      <c r="B5135">
        <v>3</v>
      </c>
    </row>
    <row r="5136" spans="1:2" ht="28.8" x14ac:dyDescent="0.3">
      <c r="A5136" s="4" t="s">
        <v>7859</v>
      </c>
      <c r="B5136">
        <v>3</v>
      </c>
    </row>
    <row r="5137" spans="1:2" ht="28.8" x14ac:dyDescent="0.3">
      <c r="A5137" s="4" t="s">
        <v>7860</v>
      </c>
      <c r="B5137">
        <v>3</v>
      </c>
    </row>
    <row r="5138" spans="1:2" ht="28.8" x14ac:dyDescent="0.3">
      <c r="A5138" s="4" t="s">
        <v>7861</v>
      </c>
      <c r="B5138">
        <v>3</v>
      </c>
    </row>
    <row r="5139" spans="1:2" ht="28.8" x14ac:dyDescent="0.3">
      <c r="A5139" s="4" t="s">
        <v>7862</v>
      </c>
      <c r="B5139">
        <v>3</v>
      </c>
    </row>
    <row r="5140" spans="1:2" ht="28.8" x14ac:dyDescent="0.3">
      <c r="A5140" s="4" t="s">
        <v>7863</v>
      </c>
      <c r="B5140">
        <v>3</v>
      </c>
    </row>
    <row r="5141" spans="1:2" ht="28.8" x14ac:dyDescent="0.3">
      <c r="A5141" s="4" t="s">
        <v>7864</v>
      </c>
      <c r="B5141">
        <v>3</v>
      </c>
    </row>
    <row r="5142" spans="1:2" x14ac:dyDescent="0.3">
      <c r="A5142" s="4" t="s">
        <v>7865</v>
      </c>
      <c r="B5142">
        <v>3</v>
      </c>
    </row>
    <row r="5143" spans="1:2" x14ac:dyDescent="0.3">
      <c r="A5143" s="4" t="s">
        <v>7866</v>
      </c>
      <c r="B5143">
        <v>3</v>
      </c>
    </row>
    <row r="5144" spans="1:2" x14ac:dyDescent="0.3">
      <c r="A5144" s="4" t="s">
        <v>7867</v>
      </c>
      <c r="B5144">
        <v>3</v>
      </c>
    </row>
    <row r="5145" spans="1:2" ht="28.8" x14ac:dyDescent="0.3">
      <c r="A5145" s="4" t="s">
        <v>7868</v>
      </c>
      <c r="B5145">
        <v>3</v>
      </c>
    </row>
    <row r="5146" spans="1:2" ht="28.8" x14ac:dyDescent="0.3">
      <c r="A5146" s="4" t="s">
        <v>7869</v>
      </c>
      <c r="B5146">
        <v>3</v>
      </c>
    </row>
    <row r="5147" spans="1:2" ht="28.8" x14ac:dyDescent="0.3">
      <c r="A5147" s="4" t="s">
        <v>7870</v>
      </c>
      <c r="B5147">
        <v>3</v>
      </c>
    </row>
    <row r="5148" spans="1:2" ht="28.8" x14ac:dyDescent="0.3">
      <c r="A5148" s="4" t="s">
        <v>7871</v>
      </c>
      <c r="B5148">
        <v>3</v>
      </c>
    </row>
    <row r="5149" spans="1:2" ht="28.8" x14ac:dyDescent="0.3">
      <c r="A5149" s="4" t="s">
        <v>7872</v>
      </c>
      <c r="B5149">
        <v>3</v>
      </c>
    </row>
    <row r="5150" spans="1:2" ht="28.8" x14ac:dyDescent="0.3">
      <c r="A5150" s="4" t="s">
        <v>7873</v>
      </c>
      <c r="B5150">
        <v>3</v>
      </c>
    </row>
    <row r="5151" spans="1:2" ht="28.8" x14ac:dyDescent="0.3">
      <c r="A5151" s="4" t="s">
        <v>7874</v>
      </c>
      <c r="B5151">
        <v>3</v>
      </c>
    </row>
    <row r="5152" spans="1:2" ht="28.8" x14ac:dyDescent="0.3">
      <c r="A5152" s="4" t="s">
        <v>7875</v>
      </c>
      <c r="B5152">
        <v>3</v>
      </c>
    </row>
    <row r="5153" spans="1:2" ht="28.8" x14ac:dyDescent="0.3">
      <c r="A5153" s="4" t="s">
        <v>7876</v>
      </c>
      <c r="B5153">
        <v>3</v>
      </c>
    </row>
    <row r="5154" spans="1:2" ht="28.8" x14ac:dyDescent="0.3">
      <c r="A5154" s="4" t="s">
        <v>7877</v>
      </c>
      <c r="B5154">
        <v>3</v>
      </c>
    </row>
    <row r="5155" spans="1:2" x14ac:dyDescent="0.3">
      <c r="A5155" s="4" t="s">
        <v>7878</v>
      </c>
      <c r="B5155">
        <v>3</v>
      </c>
    </row>
    <row r="5156" spans="1:2" ht="28.8" x14ac:dyDescent="0.3">
      <c r="A5156" s="4" t="s">
        <v>7879</v>
      </c>
      <c r="B5156">
        <v>3</v>
      </c>
    </row>
    <row r="5157" spans="1:2" x14ac:dyDescent="0.3">
      <c r="A5157" s="4" t="s">
        <v>7880</v>
      </c>
      <c r="B5157">
        <v>3</v>
      </c>
    </row>
    <row r="5158" spans="1:2" ht="28.8" x14ac:dyDescent="0.3">
      <c r="A5158" s="4" t="s">
        <v>7881</v>
      </c>
      <c r="B5158">
        <v>3</v>
      </c>
    </row>
    <row r="5159" spans="1:2" ht="28.8" x14ac:dyDescent="0.3">
      <c r="A5159" s="4" t="s">
        <v>7882</v>
      </c>
      <c r="B5159">
        <v>3</v>
      </c>
    </row>
    <row r="5160" spans="1:2" ht="28.8" x14ac:dyDescent="0.3">
      <c r="A5160" s="4" t="s">
        <v>7883</v>
      </c>
      <c r="B5160">
        <v>3</v>
      </c>
    </row>
    <row r="5161" spans="1:2" ht="28.8" x14ac:dyDescent="0.3">
      <c r="A5161" s="4" t="s">
        <v>7884</v>
      </c>
      <c r="B5161">
        <v>3</v>
      </c>
    </row>
    <row r="5162" spans="1:2" ht="28.8" x14ac:dyDescent="0.3">
      <c r="A5162" s="4" t="s">
        <v>7885</v>
      </c>
      <c r="B5162">
        <v>3</v>
      </c>
    </row>
    <row r="5163" spans="1:2" x14ac:dyDescent="0.3">
      <c r="A5163" s="4" t="s">
        <v>7886</v>
      </c>
      <c r="B5163">
        <v>3</v>
      </c>
    </row>
    <row r="5164" spans="1:2" ht="43.2" x14ac:dyDescent="0.3">
      <c r="A5164" s="4" t="s">
        <v>7887</v>
      </c>
      <c r="B5164">
        <v>3</v>
      </c>
    </row>
    <row r="5165" spans="1:2" ht="28.8" x14ac:dyDescent="0.3">
      <c r="A5165" s="4" t="s">
        <v>7888</v>
      </c>
      <c r="B5165">
        <v>3</v>
      </c>
    </row>
    <row r="5166" spans="1:2" ht="28.8" x14ac:dyDescent="0.3">
      <c r="A5166" s="4" t="s">
        <v>7889</v>
      </c>
      <c r="B5166">
        <v>3</v>
      </c>
    </row>
    <row r="5167" spans="1:2" ht="28.8" x14ac:dyDescent="0.3">
      <c r="A5167" s="4" t="s">
        <v>7890</v>
      </c>
      <c r="B5167">
        <v>3</v>
      </c>
    </row>
    <row r="5168" spans="1:2" ht="28.8" x14ac:dyDescent="0.3">
      <c r="A5168" s="4" t="s">
        <v>7891</v>
      </c>
      <c r="B5168">
        <v>3</v>
      </c>
    </row>
    <row r="5169" spans="1:2" x14ac:dyDescent="0.3">
      <c r="A5169" s="4" t="s">
        <v>7892</v>
      </c>
      <c r="B5169">
        <v>3</v>
      </c>
    </row>
    <row r="5170" spans="1:2" ht="28.8" x14ac:dyDescent="0.3">
      <c r="A5170" s="4" t="s">
        <v>7893</v>
      </c>
      <c r="B5170">
        <v>3</v>
      </c>
    </row>
    <row r="5171" spans="1:2" x14ac:dyDescent="0.3">
      <c r="A5171" s="4" t="s">
        <v>7894</v>
      </c>
      <c r="B5171">
        <v>3</v>
      </c>
    </row>
    <row r="5172" spans="1:2" ht="28.8" x14ac:dyDescent="0.3">
      <c r="A5172" s="4" t="s">
        <v>7895</v>
      </c>
      <c r="B5172">
        <v>3</v>
      </c>
    </row>
    <row r="5173" spans="1:2" ht="28.8" x14ac:dyDescent="0.3">
      <c r="A5173" s="4" t="s">
        <v>7896</v>
      </c>
      <c r="B5173">
        <v>3</v>
      </c>
    </row>
    <row r="5174" spans="1:2" ht="43.2" x14ac:dyDescent="0.3">
      <c r="A5174" s="4" t="s">
        <v>7897</v>
      </c>
      <c r="B5174">
        <v>3</v>
      </c>
    </row>
    <row r="5175" spans="1:2" ht="28.8" x14ac:dyDescent="0.3">
      <c r="A5175" s="4" t="s">
        <v>7898</v>
      </c>
      <c r="B5175">
        <v>3</v>
      </c>
    </row>
    <row r="5176" spans="1:2" ht="28.8" x14ac:dyDescent="0.3">
      <c r="A5176" s="4" t="s">
        <v>7899</v>
      </c>
      <c r="B5176">
        <v>3</v>
      </c>
    </row>
    <row r="5177" spans="1:2" ht="28.8" x14ac:dyDescent="0.3">
      <c r="A5177" s="4" t="s">
        <v>7900</v>
      </c>
      <c r="B5177">
        <v>3</v>
      </c>
    </row>
    <row r="5178" spans="1:2" ht="28.8" x14ac:dyDescent="0.3">
      <c r="A5178" s="4" t="s">
        <v>7901</v>
      </c>
      <c r="B5178">
        <v>3</v>
      </c>
    </row>
    <row r="5179" spans="1:2" ht="28.8" x14ac:dyDescent="0.3">
      <c r="A5179" s="4" t="s">
        <v>7902</v>
      </c>
      <c r="B5179">
        <v>3</v>
      </c>
    </row>
    <row r="5180" spans="1:2" ht="28.8" x14ac:dyDescent="0.3">
      <c r="A5180" s="4" t="s">
        <v>7903</v>
      </c>
      <c r="B5180">
        <v>3</v>
      </c>
    </row>
    <row r="5181" spans="1:2" ht="28.8" x14ac:dyDescent="0.3">
      <c r="A5181" s="4" t="s">
        <v>7904</v>
      </c>
      <c r="B5181">
        <v>3</v>
      </c>
    </row>
    <row r="5182" spans="1:2" ht="28.8" x14ac:dyDescent="0.3">
      <c r="A5182" s="4" t="s">
        <v>7905</v>
      </c>
      <c r="B5182">
        <v>3</v>
      </c>
    </row>
    <row r="5183" spans="1:2" x14ac:dyDescent="0.3">
      <c r="A5183" s="4" t="s">
        <v>7906</v>
      </c>
      <c r="B5183">
        <v>3</v>
      </c>
    </row>
    <row r="5184" spans="1:2" ht="28.8" x14ac:dyDescent="0.3">
      <c r="A5184" s="4" t="s">
        <v>7907</v>
      </c>
      <c r="B5184">
        <v>3</v>
      </c>
    </row>
    <row r="5185" spans="1:2" ht="28.8" x14ac:dyDescent="0.3">
      <c r="A5185" s="4" t="s">
        <v>7908</v>
      </c>
      <c r="B5185">
        <v>3</v>
      </c>
    </row>
    <row r="5186" spans="1:2" ht="43.2" x14ac:dyDescent="0.3">
      <c r="A5186" s="4" t="s">
        <v>7909</v>
      </c>
      <c r="B5186">
        <v>3</v>
      </c>
    </row>
    <row r="5187" spans="1:2" ht="28.8" x14ac:dyDescent="0.3">
      <c r="A5187" s="4" t="s">
        <v>7910</v>
      </c>
      <c r="B5187">
        <v>3</v>
      </c>
    </row>
    <row r="5188" spans="1:2" ht="28.8" x14ac:dyDescent="0.3">
      <c r="A5188" s="38" t="s">
        <v>7911</v>
      </c>
      <c r="B5188" s="39">
        <v>3</v>
      </c>
    </row>
    <row r="5189" spans="1:2" ht="28.8" x14ac:dyDescent="0.3">
      <c r="A5189" s="4" t="s">
        <v>7912</v>
      </c>
      <c r="B5189">
        <v>3</v>
      </c>
    </row>
    <row r="5190" spans="1:2" ht="28.8" x14ac:dyDescent="0.3">
      <c r="A5190" s="4" t="s">
        <v>7913</v>
      </c>
      <c r="B5190">
        <v>3</v>
      </c>
    </row>
    <row r="5191" spans="1:2" ht="28.8" x14ac:dyDescent="0.3">
      <c r="A5191" s="4" t="s">
        <v>7914</v>
      </c>
      <c r="B5191">
        <v>3</v>
      </c>
    </row>
    <row r="5192" spans="1:2" x14ac:dyDescent="0.3">
      <c r="A5192" s="4" t="s">
        <v>7915</v>
      </c>
      <c r="B5192">
        <v>3</v>
      </c>
    </row>
    <row r="5193" spans="1:2" ht="43.2" x14ac:dyDescent="0.3">
      <c r="A5193" s="4" t="s">
        <v>7916</v>
      </c>
      <c r="B5193">
        <v>3</v>
      </c>
    </row>
    <row r="5194" spans="1:2" ht="28.8" x14ac:dyDescent="0.3">
      <c r="A5194" s="4" t="s">
        <v>7917</v>
      </c>
      <c r="B5194">
        <v>3</v>
      </c>
    </row>
    <row r="5195" spans="1:2" ht="28.8" x14ac:dyDescent="0.3">
      <c r="A5195" s="4" t="s">
        <v>7918</v>
      </c>
      <c r="B5195">
        <v>3</v>
      </c>
    </row>
    <row r="5196" spans="1:2" x14ac:dyDescent="0.3">
      <c r="A5196" s="4" t="s">
        <v>7919</v>
      </c>
      <c r="B5196">
        <v>3</v>
      </c>
    </row>
    <row r="5197" spans="1:2" ht="28.8" x14ac:dyDescent="0.3">
      <c r="A5197" s="4" t="s">
        <v>7920</v>
      </c>
      <c r="B5197">
        <v>3</v>
      </c>
    </row>
    <row r="5198" spans="1:2" ht="28.8" x14ac:dyDescent="0.3">
      <c r="A5198" s="4" t="s">
        <v>7921</v>
      </c>
      <c r="B5198">
        <v>3</v>
      </c>
    </row>
    <row r="5199" spans="1:2" ht="28.8" x14ac:dyDescent="0.3">
      <c r="A5199" s="4" t="s">
        <v>7922</v>
      </c>
      <c r="B5199">
        <v>3</v>
      </c>
    </row>
    <row r="5200" spans="1:2" ht="43.2" x14ac:dyDescent="0.3">
      <c r="A5200" s="4" t="s">
        <v>7923</v>
      </c>
      <c r="B5200">
        <v>3</v>
      </c>
    </row>
    <row r="5201" spans="1:2" ht="43.2" x14ac:dyDescent="0.3">
      <c r="A5201" s="4" t="s">
        <v>7924</v>
      </c>
      <c r="B5201">
        <v>3</v>
      </c>
    </row>
    <row r="5202" spans="1:2" ht="28.8" x14ac:dyDescent="0.3">
      <c r="A5202" s="4" t="s">
        <v>7925</v>
      </c>
      <c r="B5202">
        <v>3</v>
      </c>
    </row>
    <row r="5203" spans="1:2" ht="28.8" x14ac:dyDescent="0.3">
      <c r="A5203" s="4" t="s">
        <v>7926</v>
      </c>
      <c r="B5203">
        <v>3</v>
      </c>
    </row>
    <row r="5204" spans="1:2" ht="28.8" x14ac:dyDescent="0.3">
      <c r="A5204" s="4" t="s">
        <v>7927</v>
      </c>
      <c r="B5204">
        <v>3</v>
      </c>
    </row>
    <row r="5205" spans="1:2" ht="28.8" x14ac:dyDescent="0.3">
      <c r="A5205" s="4" t="s">
        <v>7928</v>
      </c>
      <c r="B5205">
        <v>3</v>
      </c>
    </row>
    <row r="5206" spans="1:2" ht="28.8" x14ac:dyDescent="0.3">
      <c r="A5206" s="4" t="s">
        <v>7929</v>
      </c>
      <c r="B5206">
        <v>3</v>
      </c>
    </row>
    <row r="5207" spans="1:2" ht="28.8" x14ac:dyDescent="0.3">
      <c r="A5207" s="4" t="s">
        <v>7930</v>
      </c>
      <c r="B5207">
        <v>3</v>
      </c>
    </row>
    <row r="5208" spans="1:2" x14ac:dyDescent="0.3">
      <c r="A5208" s="4" t="s">
        <v>7931</v>
      </c>
      <c r="B5208">
        <v>3</v>
      </c>
    </row>
    <row r="5209" spans="1:2" x14ac:dyDescent="0.3">
      <c r="A5209" s="4" t="s">
        <v>7932</v>
      </c>
      <c r="B5209">
        <v>3</v>
      </c>
    </row>
    <row r="5210" spans="1:2" x14ac:dyDescent="0.3">
      <c r="A5210" s="4" t="s">
        <v>7933</v>
      </c>
      <c r="B5210">
        <v>3</v>
      </c>
    </row>
    <row r="5211" spans="1:2" ht="28.8" x14ac:dyDescent="0.3">
      <c r="A5211" s="4" t="s">
        <v>7934</v>
      </c>
      <c r="B5211">
        <v>3</v>
      </c>
    </row>
    <row r="5212" spans="1:2" x14ac:dyDescent="0.3">
      <c r="A5212" s="4" t="s">
        <v>7935</v>
      </c>
      <c r="B5212">
        <v>3</v>
      </c>
    </row>
    <row r="5213" spans="1:2" x14ac:dyDescent="0.3">
      <c r="A5213" s="4" t="s">
        <v>7936</v>
      </c>
      <c r="B5213">
        <v>3</v>
      </c>
    </row>
    <row r="5214" spans="1:2" ht="28.8" x14ac:dyDescent="0.3">
      <c r="A5214" s="4" t="s">
        <v>7937</v>
      </c>
      <c r="B5214">
        <v>3</v>
      </c>
    </row>
    <row r="5215" spans="1:2" ht="43.2" x14ac:dyDescent="0.3">
      <c r="A5215" s="4" t="s">
        <v>7938</v>
      </c>
      <c r="B5215">
        <v>3</v>
      </c>
    </row>
    <row r="5216" spans="1:2" ht="28.8" x14ac:dyDescent="0.3">
      <c r="A5216" s="4" t="s">
        <v>7939</v>
      </c>
      <c r="B5216">
        <v>3</v>
      </c>
    </row>
    <row r="5217" spans="1:2" ht="28.8" x14ac:dyDescent="0.3">
      <c r="A5217" s="4" t="s">
        <v>7940</v>
      </c>
      <c r="B5217">
        <v>3</v>
      </c>
    </row>
    <row r="5218" spans="1:2" ht="43.2" x14ac:dyDescent="0.3">
      <c r="A5218" s="4" t="s">
        <v>7941</v>
      </c>
      <c r="B5218">
        <v>3</v>
      </c>
    </row>
    <row r="5219" spans="1:2" ht="28.8" x14ac:dyDescent="0.3">
      <c r="A5219" s="4" t="s">
        <v>7942</v>
      </c>
      <c r="B5219">
        <v>3</v>
      </c>
    </row>
    <row r="5220" spans="1:2" ht="28.8" x14ac:dyDescent="0.3">
      <c r="A5220" s="4" t="s">
        <v>7943</v>
      </c>
      <c r="B5220">
        <v>3</v>
      </c>
    </row>
    <row r="5221" spans="1:2" x14ac:dyDescent="0.3">
      <c r="A5221" s="4" t="s">
        <v>7944</v>
      </c>
      <c r="B5221">
        <v>3</v>
      </c>
    </row>
    <row r="5222" spans="1:2" ht="28.8" x14ac:dyDescent="0.3">
      <c r="A5222" s="4" t="s">
        <v>7945</v>
      </c>
      <c r="B5222">
        <v>3</v>
      </c>
    </row>
    <row r="5223" spans="1:2" x14ac:dyDescent="0.3">
      <c r="A5223" s="4" t="s">
        <v>7946</v>
      </c>
      <c r="B5223">
        <v>3</v>
      </c>
    </row>
    <row r="5224" spans="1:2" ht="43.2" x14ac:dyDescent="0.3">
      <c r="A5224" s="4" t="s">
        <v>7947</v>
      </c>
      <c r="B5224">
        <v>3</v>
      </c>
    </row>
    <row r="5225" spans="1:2" ht="28.8" x14ac:dyDescent="0.3">
      <c r="A5225" s="4" t="s">
        <v>7948</v>
      </c>
      <c r="B5225">
        <v>3</v>
      </c>
    </row>
    <row r="5226" spans="1:2" x14ac:dyDescent="0.3">
      <c r="A5226" s="4" t="s">
        <v>7949</v>
      </c>
      <c r="B5226">
        <v>3</v>
      </c>
    </row>
    <row r="5227" spans="1:2" x14ac:dyDescent="0.3">
      <c r="A5227" s="4" t="s">
        <v>7950</v>
      </c>
      <c r="B5227">
        <v>3</v>
      </c>
    </row>
    <row r="5228" spans="1:2" ht="28.8" x14ac:dyDescent="0.3">
      <c r="A5228" s="4" t="s">
        <v>7951</v>
      </c>
      <c r="B5228">
        <v>3</v>
      </c>
    </row>
    <row r="5229" spans="1:2" ht="28.8" x14ac:dyDescent="0.3">
      <c r="A5229" s="4" t="s">
        <v>7952</v>
      </c>
      <c r="B5229">
        <v>3</v>
      </c>
    </row>
    <row r="5230" spans="1:2" ht="57.6" x14ac:dyDescent="0.3">
      <c r="A5230" s="4" t="s">
        <v>7953</v>
      </c>
      <c r="B5230">
        <v>3</v>
      </c>
    </row>
    <row r="5231" spans="1:2" ht="28.8" x14ac:dyDescent="0.3">
      <c r="A5231" s="4" t="s">
        <v>7954</v>
      </c>
      <c r="B5231">
        <v>3</v>
      </c>
    </row>
    <row r="5232" spans="1:2" ht="43.2" x14ac:dyDescent="0.3">
      <c r="A5232" s="4" t="s">
        <v>7955</v>
      </c>
      <c r="B5232">
        <v>3</v>
      </c>
    </row>
    <row r="5233" spans="1:2" ht="28.8" x14ac:dyDescent="0.3">
      <c r="A5233" s="4" t="s">
        <v>7956</v>
      </c>
      <c r="B5233">
        <v>3</v>
      </c>
    </row>
    <row r="5234" spans="1:2" ht="28.8" x14ac:dyDescent="0.3">
      <c r="A5234" s="4" t="s">
        <v>7957</v>
      </c>
      <c r="B5234">
        <v>3</v>
      </c>
    </row>
    <row r="5235" spans="1:2" x14ac:dyDescent="0.3">
      <c r="A5235" s="4" t="s">
        <v>7958</v>
      </c>
      <c r="B5235">
        <v>3</v>
      </c>
    </row>
    <row r="5236" spans="1:2" ht="28.8" x14ac:dyDescent="0.3">
      <c r="A5236" s="4" t="s">
        <v>7959</v>
      </c>
      <c r="B5236">
        <v>3</v>
      </c>
    </row>
    <row r="5237" spans="1:2" x14ac:dyDescent="0.3">
      <c r="A5237" s="4" t="s">
        <v>7960</v>
      </c>
      <c r="B5237">
        <v>3</v>
      </c>
    </row>
    <row r="5238" spans="1:2" ht="28.8" x14ac:dyDescent="0.3">
      <c r="A5238" s="4" t="s">
        <v>7961</v>
      </c>
      <c r="B5238">
        <v>3</v>
      </c>
    </row>
    <row r="5239" spans="1:2" ht="28.8" x14ac:dyDescent="0.3">
      <c r="A5239" s="4" t="s">
        <v>7962</v>
      </c>
      <c r="B5239">
        <v>3</v>
      </c>
    </row>
    <row r="5240" spans="1:2" ht="28.8" x14ac:dyDescent="0.3">
      <c r="A5240" s="4" t="s">
        <v>7963</v>
      </c>
      <c r="B5240">
        <v>3</v>
      </c>
    </row>
    <row r="5241" spans="1:2" x14ac:dyDescent="0.3">
      <c r="A5241" s="4" t="s">
        <v>7964</v>
      </c>
      <c r="B5241">
        <v>3</v>
      </c>
    </row>
    <row r="5242" spans="1:2" x14ac:dyDescent="0.3">
      <c r="A5242" s="4" t="s">
        <v>7965</v>
      </c>
      <c r="B5242">
        <v>3</v>
      </c>
    </row>
    <row r="5243" spans="1:2" ht="43.2" x14ac:dyDescent="0.3">
      <c r="A5243" s="4" t="s">
        <v>7966</v>
      </c>
      <c r="B5243">
        <v>3</v>
      </c>
    </row>
    <row r="5244" spans="1:2" ht="43.2" x14ac:dyDescent="0.3">
      <c r="A5244" s="4" t="s">
        <v>7967</v>
      </c>
      <c r="B5244">
        <v>3</v>
      </c>
    </row>
    <row r="5245" spans="1:2" ht="28.8" x14ac:dyDescent="0.3">
      <c r="A5245" s="4" t="s">
        <v>7968</v>
      </c>
      <c r="B5245">
        <v>3</v>
      </c>
    </row>
    <row r="5246" spans="1:2" ht="28.8" x14ac:dyDescent="0.3">
      <c r="A5246" s="4" t="s">
        <v>7969</v>
      </c>
      <c r="B5246">
        <v>3</v>
      </c>
    </row>
    <row r="5247" spans="1:2" ht="43.2" x14ac:dyDescent="0.3">
      <c r="A5247" s="4" t="s">
        <v>7970</v>
      </c>
      <c r="B5247">
        <v>3</v>
      </c>
    </row>
    <row r="5248" spans="1:2" ht="28.8" x14ac:dyDescent="0.3">
      <c r="A5248" s="4" t="s">
        <v>7971</v>
      </c>
      <c r="B5248">
        <v>3</v>
      </c>
    </row>
    <row r="5249" spans="1:2" ht="28.8" x14ac:dyDescent="0.3">
      <c r="A5249" s="4" t="s">
        <v>7972</v>
      </c>
      <c r="B5249">
        <v>3</v>
      </c>
    </row>
    <row r="5250" spans="1:2" ht="28.8" x14ac:dyDescent="0.3">
      <c r="A5250" s="4" t="s">
        <v>7973</v>
      </c>
      <c r="B5250">
        <v>3</v>
      </c>
    </row>
    <row r="5251" spans="1:2" ht="28.8" x14ac:dyDescent="0.3">
      <c r="A5251" s="4" t="s">
        <v>7974</v>
      </c>
      <c r="B5251">
        <v>3</v>
      </c>
    </row>
    <row r="5252" spans="1:2" x14ac:dyDescent="0.3">
      <c r="A5252" s="4" t="s">
        <v>7975</v>
      </c>
      <c r="B5252">
        <v>3</v>
      </c>
    </row>
    <row r="5253" spans="1:2" ht="28.8" x14ac:dyDescent="0.3">
      <c r="A5253" s="4" t="s">
        <v>7976</v>
      </c>
      <c r="B5253">
        <v>3</v>
      </c>
    </row>
    <row r="5254" spans="1:2" ht="28.8" x14ac:dyDescent="0.3">
      <c r="A5254" s="4" t="s">
        <v>7977</v>
      </c>
      <c r="B5254">
        <v>3</v>
      </c>
    </row>
    <row r="5255" spans="1:2" ht="28.8" x14ac:dyDescent="0.3">
      <c r="A5255" s="4" t="s">
        <v>7978</v>
      </c>
      <c r="B5255">
        <v>3</v>
      </c>
    </row>
    <row r="5256" spans="1:2" ht="28.8" x14ac:dyDescent="0.3">
      <c r="A5256" s="4" t="s">
        <v>7979</v>
      </c>
      <c r="B5256">
        <v>3</v>
      </c>
    </row>
    <row r="5257" spans="1:2" ht="28.8" x14ac:dyDescent="0.3">
      <c r="A5257" s="4" t="s">
        <v>7980</v>
      </c>
      <c r="B5257">
        <v>3</v>
      </c>
    </row>
    <row r="5258" spans="1:2" ht="43.2" x14ac:dyDescent="0.3">
      <c r="A5258" s="4" t="s">
        <v>7981</v>
      </c>
      <c r="B5258">
        <v>3</v>
      </c>
    </row>
    <row r="5259" spans="1:2" ht="28.8" x14ac:dyDescent="0.3">
      <c r="A5259" s="4" t="s">
        <v>7982</v>
      </c>
      <c r="B5259">
        <v>3</v>
      </c>
    </row>
    <row r="5260" spans="1:2" ht="28.8" x14ac:dyDescent="0.3">
      <c r="A5260" s="4" t="s">
        <v>7983</v>
      </c>
      <c r="B5260">
        <v>3</v>
      </c>
    </row>
    <row r="5261" spans="1:2" ht="28.8" x14ac:dyDescent="0.3">
      <c r="A5261" s="4" t="s">
        <v>7984</v>
      </c>
      <c r="B5261">
        <v>3</v>
      </c>
    </row>
    <row r="5262" spans="1:2" ht="43.2" x14ac:dyDescent="0.3">
      <c r="A5262" s="4" t="s">
        <v>7985</v>
      </c>
      <c r="B5262">
        <v>3</v>
      </c>
    </row>
    <row r="5263" spans="1:2" ht="28.8" x14ac:dyDescent="0.3">
      <c r="A5263" s="4" t="s">
        <v>7986</v>
      </c>
      <c r="B5263">
        <v>3</v>
      </c>
    </row>
    <row r="5264" spans="1:2" ht="28.8" x14ac:dyDescent="0.3">
      <c r="A5264" s="4" t="s">
        <v>7987</v>
      </c>
      <c r="B5264">
        <v>3</v>
      </c>
    </row>
    <row r="5265" spans="1:2" ht="28.8" x14ac:dyDescent="0.3">
      <c r="A5265" s="4" t="s">
        <v>7988</v>
      </c>
      <c r="B5265">
        <v>3</v>
      </c>
    </row>
    <row r="5266" spans="1:2" ht="28.8" x14ac:dyDescent="0.3">
      <c r="A5266" s="4" t="s">
        <v>7989</v>
      </c>
      <c r="B5266">
        <v>3</v>
      </c>
    </row>
    <row r="5267" spans="1:2" ht="43.2" x14ac:dyDescent="0.3">
      <c r="A5267" s="4" t="s">
        <v>7990</v>
      </c>
      <c r="B5267">
        <v>3</v>
      </c>
    </row>
    <row r="5268" spans="1:2" ht="28.8" x14ac:dyDescent="0.3">
      <c r="A5268" s="4" t="s">
        <v>7991</v>
      </c>
      <c r="B5268">
        <v>3</v>
      </c>
    </row>
    <row r="5269" spans="1:2" ht="28.8" x14ac:dyDescent="0.3">
      <c r="A5269" s="4" t="s">
        <v>7992</v>
      </c>
      <c r="B5269">
        <v>3</v>
      </c>
    </row>
    <row r="5270" spans="1:2" ht="28.8" x14ac:dyDescent="0.3">
      <c r="A5270" s="4" t="s">
        <v>7993</v>
      </c>
      <c r="B5270">
        <v>3</v>
      </c>
    </row>
    <row r="5271" spans="1:2" ht="43.2" x14ac:dyDescent="0.3">
      <c r="A5271" s="4" t="s">
        <v>7994</v>
      </c>
      <c r="B5271">
        <v>3</v>
      </c>
    </row>
    <row r="5272" spans="1:2" ht="28.8" x14ac:dyDescent="0.3">
      <c r="A5272" s="4" t="s">
        <v>7995</v>
      </c>
      <c r="B5272">
        <v>3</v>
      </c>
    </row>
    <row r="5273" spans="1:2" ht="28.8" x14ac:dyDescent="0.3">
      <c r="A5273" s="4" t="s">
        <v>7996</v>
      </c>
      <c r="B5273">
        <v>3</v>
      </c>
    </row>
    <row r="5274" spans="1:2" ht="43.2" x14ac:dyDescent="0.3">
      <c r="A5274" s="4" t="s">
        <v>7997</v>
      </c>
      <c r="B5274">
        <v>3</v>
      </c>
    </row>
    <row r="5275" spans="1:2" ht="28.8" x14ac:dyDescent="0.3">
      <c r="A5275" s="4" t="s">
        <v>7998</v>
      </c>
      <c r="B5275">
        <v>3</v>
      </c>
    </row>
    <row r="5276" spans="1:2" x14ac:dyDescent="0.3">
      <c r="A5276" s="4" t="s">
        <v>7999</v>
      </c>
      <c r="B5276">
        <v>3</v>
      </c>
    </row>
    <row r="5277" spans="1:2" ht="43.2" x14ac:dyDescent="0.3">
      <c r="A5277" s="4" t="s">
        <v>8000</v>
      </c>
      <c r="B5277">
        <v>3</v>
      </c>
    </row>
    <row r="5278" spans="1:2" ht="28.8" x14ac:dyDescent="0.3">
      <c r="A5278" s="4" t="s">
        <v>8001</v>
      </c>
      <c r="B5278">
        <v>3</v>
      </c>
    </row>
    <row r="5279" spans="1:2" ht="28.8" x14ac:dyDescent="0.3">
      <c r="A5279" s="4" t="s">
        <v>8002</v>
      </c>
      <c r="B5279">
        <v>3</v>
      </c>
    </row>
    <row r="5280" spans="1:2" ht="28.8" x14ac:dyDescent="0.3">
      <c r="A5280" s="4" t="s">
        <v>8003</v>
      </c>
      <c r="B5280">
        <v>3</v>
      </c>
    </row>
    <row r="5281" spans="1:2" ht="28.8" x14ac:dyDescent="0.3">
      <c r="A5281" s="4" t="s">
        <v>8004</v>
      </c>
      <c r="B5281">
        <v>3</v>
      </c>
    </row>
    <row r="5282" spans="1:2" ht="28.8" x14ac:dyDescent="0.3">
      <c r="A5282" s="4" t="s">
        <v>8005</v>
      </c>
      <c r="B5282">
        <v>3</v>
      </c>
    </row>
    <row r="5283" spans="1:2" ht="28.8" x14ac:dyDescent="0.3">
      <c r="A5283" s="4" t="s">
        <v>8006</v>
      </c>
      <c r="B5283">
        <v>3</v>
      </c>
    </row>
    <row r="5284" spans="1:2" x14ac:dyDescent="0.3">
      <c r="A5284" s="4" t="s">
        <v>8007</v>
      </c>
      <c r="B5284">
        <v>3</v>
      </c>
    </row>
    <row r="5285" spans="1:2" ht="28.8" x14ac:dyDescent="0.3">
      <c r="A5285" s="4" t="s">
        <v>8008</v>
      </c>
      <c r="B5285">
        <v>3</v>
      </c>
    </row>
    <row r="5286" spans="1:2" ht="28.8" x14ac:dyDescent="0.3">
      <c r="A5286" s="4" t="s">
        <v>8009</v>
      </c>
      <c r="B5286">
        <v>3</v>
      </c>
    </row>
    <row r="5287" spans="1:2" ht="28.8" x14ac:dyDescent="0.3">
      <c r="A5287" s="4" t="s">
        <v>8010</v>
      </c>
      <c r="B5287">
        <v>3</v>
      </c>
    </row>
    <row r="5288" spans="1:2" ht="28.8" x14ac:dyDescent="0.3">
      <c r="A5288" s="4" t="s">
        <v>8011</v>
      </c>
      <c r="B5288">
        <v>3</v>
      </c>
    </row>
    <row r="5289" spans="1:2" x14ac:dyDescent="0.3">
      <c r="A5289" s="4" t="s">
        <v>8012</v>
      </c>
      <c r="B5289">
        <v>3</v>
      </c>
    </row>
    <row r="5290" spans="1:2" ht="28.8" x14ac:dyDescent="0.3">
      <c r="A5290" s="4" t="s">
        <v>8013</v>
      </c>
      <c r="B5290">
        <v>3</v>
      </c>
    </row>
    <row r="5291" spans="1:2" x14ac:dyDescent="0.3">
      <c r="A5291" s="4" t="s">
        <v>8014</v>
      </c>
      <c r="B5291">
        <v>3</v>
      </c>
    </row>
    <row r="5292" spans="1:2" x14ac:dyDescent="0.3">
      <c r="A5292" s="4" t="s">
        <v>8015</v>
      </c>
      <c r="B5292">
        <v>3</v>
      </c>
    </row>
    <row r="5293" spans="1:2" x14ac:dyDescent="0.3">
      <c r="A5293" s="4" t="s">
        <v>8016</v>
      </c>
      <c r="B5293">
        <v>3</v>
      </c>
    </row>
    <row r="5294" spans="1:2" ht="28.8" x14ac:dyDescent="0.3">
      <c r="A5294" s="4" t="s">
        <v>8017</v>
      </c>
      <c r="B5294">
        <v>3</v>
      </c>
    </row>
    <row r="5295" spans="1:2" ht="43.2" x14ac:dyDescent="0.3">
      <c r="A5295" s="4" t="s">
        <v>8018</v>
      </c>
      <c r="B5295">
        <v>3</v>
      </c>
    </row>
    <row r="5296" spans="1:2" ht="72" x14ac:dyDescent="0.3">
      <c r="A5296" s="4" t="s">
        <v>8019</v>
      </c>
      <c r="B5296">
        <v>3</v>
      </c>
    </row>
    <row r="5297" spans="1:2" x14ac:dyDescent="0.3">
      <c r="A5297" s="4" t="s">
        <v>8020</v>
      </c>
      <c r="B5297">
        <v>3</v>
      </c>
    </row>
    <row r="5298" spans="1:2" ht="28.8" x14ac:dyDescent="0.3">
      <c r="A5298" s="4" t="s">
        <v>8021</v>
      </c>
      <c r="B5298">
        <v>3</v>
      </c>
    </row>
    <row r="5299" spans="1:2" ht="28.8" x14ac:dyDescent="0.3">
      <c r="A5299" s="4" t="s">
        <v>8022</v>
      </c>
      <c r="B5299">
        <v>3</v>
      </c>
    </row>
    <row r="5300" spans="1:2" ht="28.8" x14ac:dyDescent="0.3">
      <c r="A5300" s="4" t="s">
        <v>8023</v>
      </c>
      <c r="B5300">
        <v>3</v>
      </c>
    </row>
    <row r="5301" spans="1:2" x14ac:dyDescent="0.3">
      <c r="A5301" s="4" t="s">
        <v>8024</v>
      </c>
      <c r="B5301">
        <v>3</v>
      </c>
    </row>
    <row r="5302" spans="1:2" x14ac:dyDescent="0.3">
      <c r="A5302" s="4" t="s">
        <v>8025</v>
      </c>
      <c r="B5302">
        <v>3</v>
      </c>
    </row>
    <row r="5303" spans="1:2" ht="43.2" x14ac:dyDescent="0.3">
      <c r="A5303" s="4" t="s">
        <v>8026</v>
      </c>
      <c r="B5303">
        <v>3</v>
      </c>
    </row>
    <row r="5304" spans="1:2" ht="28.8" x14ac:dyDescent="0.3">
      <c r="A5304" s="4" t="s">
        <v>8027</v>
      </c>
      <c r="B5304">
        <v>3</v>
      </c>
    </row>
    <row r="5305" spans="1:2" ht="28.8" x14ac:dyDescent="0.3">
      <c r="A5305" s="4" t="s">
        <v>8028</v>
      </c>
      <c r="B5305">
        <v>3</v>
      </c>
    </row>
    <row r="5306" spans="1:2" x14ac:dyDescent="0.3">
      <c r="A5306" s="4" t="s">
        <v>8029</v>
      </c>
      <c r="B5306">
        <v>3</v>
      </c>
    </row>
    <row r="5307" spans="1:2" ht="28.8" x14ac:dyDescent="0.3">
      <c r="A5307" s="4" t="s">
        <v>8030</v>
      </c>
      <c r="B5307">
        <v>3</v>
      </c>
    </row>
    <row r="5308" spans="1:2" ht="43.2" x14ac:dyDescent="0.3">
      <c r="A5308" s="4" t="s">
        <v>8031</v>
      </c>
      <c r="B5308">
        <v>3</v>
      </c>
    </row>
    <row r="5309" spans="1:2" ht="28.8" x14ac:dyDescent="0.3">
      <c r="A5309" s="4" t="s">
        <v>8032</v>
      </c>
      <c r="B5309">
        <v>3</v>
      </c>
    </row>
    <row r="5310" spans="1:2" ht="28.8" x14ac:dyDescent="0.3">
      <c r="A5310" s="4" t="s">
        <v>8033</v>
      </c>
      <c r="B5310">
        <v>3</v>
      </c>
    </row>
    <row r="5311" spans="1:2" ht="28.8" x14ac:dyDescent="0.3">
      <c r="A5311" s="4" t="s">
        <v>8034</v>
      </c>
      <c r="B5311">
        <v>3</v>
      </c>
    </row>
    <row r="5312" spans="1:2" ht="28.8" x14ac:dyDescent="0.3">
      <c r="A5312" s="4" t="s">
        <v>8035</v>
      </c>
      <c r="B5312">
        <v>3</v>
      </c>
    </row>
    <row r="5313" spans="1:2" ht="28.8" x14ac:dyDescent="0.3">
      <c r="A5313" s="4" t="s">
        <v>8036</v>
      </c>
      <c r="B5313">
        <v>3</v>
      </c>
    </row>
    <row r="5314" spans="1:2" ht="28.8" x14ac:dyDescent="0.3">
      <c r="A5314" s="4" t="s">
        <v>8037</v>
      </c>
      <c r="B5314">
        <v>3</v>
      </c>
    </row>
    <row r="5315" spans="1:2" x14ac:dyDescent="0.3">
      <c r="A5315" s="4" t="s">
        <v>8038</v>
      </c>
      <c r="B5315">
        <v>3</v>
      </c>
    </row>
    <row r="5316" spans="1:2" ht="28.8" x14ac:dyDescent="0.3">
      <c r="A5316" s="4" t="s">
        <v>8039</v>
      </c>
      <c r="B5316">
        <v>3</v>
      </c>
    </row>
    <row r="5317" spans="1:2" ht="28.8" x14ac:dyDescent="0.3">
      <c r="A5317" s="4" t="s">
        <v>8040</v>
      </c>
      <c r="B5317">
        <v>3</v>
      </c>
    </row>
    <row r="5318" spans="1:2" ht="43.2" x14ac:dyDescent="0.3">
      <c r="A5318" s="4" t="s">
        <v>8041</v>
      </c>
      <c r="B5318">
        <v>3</v>
      </c>
    </row>
    <row r="5319" spans="1:2" ht="28.8" x14ac:dyDescent="0.3">
      <c r="A5319" s="4" t="s">
        <v>8042</v>
      </c>
      <c r="B5319">
        <v>3</v>
      </c>
    </row>
    <row r="5320" spans="1:2" ht="28.8" x14ac:dyDescent="0.3">
      <c r="A5320" s="4" t="s">
        <v>8043</v>
      </c>
      <c r="B5320">
        <v>3</v>
      </c>
    </row>
    <row r="5321" spans="1:2" ht="28.8" x14ac:dyDescent="0.3">
      <c r="A5321" s="4" t="s">
        <v>8044</v>
      </c>
      <c r="B5321">
        <v>3</v>
      </c>
    </row>
    <row r="5322" spans="1:2" ht="28.8" x14ac:dyDescent="0.3">
      <c r="A5322" s="4" t="s">
        <v>8045</v>
      </c>
      <c r="B5322">
        <v>3</v>
      </c>
    </row>
    <row r="5323" spans="1:2" ht="28.8" x14ac:dyDescent="0.3">
      <c r="A5323" s="4" t="s">
        <v>8046</v>
      </c>
      <c r="B5323">
        <v>3</v>
      </c>
    </row>
    <row r="5324" spans="1:2" x14ac:dyDescent="0.3">
      <c r="A5324" s="4" t="s">
        <v>8047</v>
      </c>
      <c r="B5324">
        <v>3</v>
      </c>
    </row>
    <row r="5325" spans="1:2" ht="28.8" x14ac:dyDescent="0.3">
      <c r="A5325" s="4" t="s">
        <v>8048</v>
      </c>
      <c r="B5325">
        <v>3</v>
      </c>
    </row>
    <row r="5326" spans="1:2" ht="28.8" x14ac:dyDescent="0.3">
      <c r="A5326" s="4" t="s">
        <v>8049</v>
      </c>
      <c r="B5326">
        <v>3</v>
      </c>
    </row>
    <row r="5327" spans="1:2" ht="28.8" x14ac:dyDescent="0.3">
      <c r="A5327" s="4" t="s">
        <v>8050</v>
      </c>
      <c r="B5327">
        <v>3</v>
      </c>
    </row>
    <row r="5328" spans="1:2" ht="43.2" x14ac:dyDescent="0.3">
      <c r="A5328" s="4" t="s">
        <v>8051</v>
      </c>
      <c r="B5328">
        <v>3</v>
      </c>
    </row>
    <row r="5329" spans="1:2" ht="28.8" x14ac:dyDescent="0.3">
      <c r="A5329" s="4" t="s">
        <v>8052</v>
      </c>
      <c r="B5329">
        <v>3</v>
      </c>
    </row>
    <row r="5330" spans="1:2" x14ac:dyDescent="0.3">
      <c r="A5330" s="4" t="s">
        <v>8053</v>
      </c>
      <c r="B5330">
        <v>3</v>
      </c>
    </row>
    <row r="5331" spans="1:2" ht="28.8" x14ac:dyDescent="0.3">
      <c r="A5331" s="4" t="s">
        <v>8054</v>
      </c>
      <c r="B5331">
        <v>3</v>
      </c>
    </row>
    <row r="5332" spans="1:2" ht="28.8" x14ac:dyDescent="0.3">
      <c r="A5332" s="4" t="s">
        <v>8055</v>
      </c>
      <c r="B5332">
        <v>3</v>
      </c>
    </row>
    <row r="5333" spans="1:2" ht="43.2" x14ac:dyDescent="0.3">
      <c r="A5333" s="4" t="s">
        <v>8056</v>
      </c>
      <c r="B5333">
        <v>3</v>
      </c>
    </row>
    <row r="5334" spans="1:2" ht="28.8" x14ac:dyDescent="0.3">
      <c r="A5334" s="4" t="s">
        <v>8057</v>
      </c>
      <c r="B5334">
        <v>3</v>
      </c>
    </row>
    <row r="5335" spans="1:2" ht="28.8" x14ac:dyDescent="0.3">
      <c r="A5335" s="4" t="s">
        <v>8058</v>
      </c>
      <c r="B5335">
        <v>3</v>
      </c>
    </row>
    <row r="5336" spans="1:2" ht="28.8" x14ac:dyDescent="0.3">
      <c r="A5336" s="4" t="s">
        <v>8059</v>
      </c>
      <c r="B5336">
        <v>3</v>
      </c>
    </row>
    <row r="5337" spans="1:2" x14ac:dyDescent="0.3">
      <c r="A5337" s="4" t="s">
        <v>8060</v>
      </c>
      <c r="B5337">
        <v>3</v>
      </c>
    </row>
    <row r="5338" spans="1:2" ht="28.8" x14ac:dyDescent="0.3">
      <c r="A5338" s="4" t="s">
        <v>8061</v>
      </c>
      <c r="B5338">
        <v>3</v>
      </c>
    </row>
    <row r="5339" spans="1:2" ht="28.8" x14ac:dyDescent="0.3">
      <c r="A5339" s="4" t="s">
        <v>8062</v>
      </c>
      <c r="B5339">
        <v>3</v>
      </c>
    </row>
    <row r="5340" spans="1:2" ht="28.8" x14ac:dyDescent="0.3">
      <c r="A5340" s="4" t="s">
        <v>8063</v>
      </c>
      <c r="B5340">
        <v>3</v>
      </c>
    </row>
    <row r="5341" spans="1:2" ht="43.2" x14ac:dyDescent="0.3">
      <c r="A5341" s="4" t="s">
        <v>8064</v>
      </c>
      <c r="B5341">
        <v>3</v>
      </c>
    </row>
    <row r="5342" spans="1:2" ht="28.8" x14ac:dyDescent="0.3">
      <c r="A5342" s="4" t="s">
        <v>8065</v>
      </c>
      <c r="B5342">
        <v>3</v>
      </c>
    </row>
    <row r="5343" spans="1:2" ht="28.8" x14ac:dyDescent="0.3">
      <c r="A5343" s="4" t="s">
        <v>8066</v>
      </c>
      <c r="B5343">
        <v>3</v>
      </c>
    </row>
    <row r="5344" spans="1:2" x14ac:dyDescent="0.3">
      <c r="A5344" s="4" t="s">
        <v>8067</v>
      </c>
      <c r="B5344">
        <v>3</v>
      </c>
    </row>
    <row r="5345" spans="1:2" ht="28.8" x14ac:dyDescent="0.3">
      <c r="A5345" s="4" t="s">
        <v>8068</v>
      </c>
      <c r="B5345">
        <v>3</v>
      </c>
    </row>
    <row r="5346" spans="1:2" ht="28.8" x14ac:dyDescent="0.3">
      <c r="A5346" s="4" t="s">
        <v>8069</v>
      </c>
      <c r="B5346">
        <v>3</v>
      </c>
    </row>
    <row r="5347" spans="1:2" ht="28.8" x14ac:dyDescent="0.3">
      <c r="A5347" s="4" t="s">
        <v>8070</v>
      </c>
      <c r="B5347">
        <v>3</v>
      </c>
    </row>
    <row r="5348" spans="1:2" ht="43.2" x14ac:dyDescent="0.3">
      <c r="A5348" s="4" t="s">
        <v>8071</v>
      </c>
      <c r="B5348">
        <v>3</v>
      </c>
    </row>
    <row r="5349" spans="1:2" ht="28.8" x14ac:dyDescent="0.3">
      <c r="A5349" s="4" t="s">
        <v>8072</v>
      </c>
      <c r="B5349">
        <v>3</v>
      </c>
    </row>
    <row r="5350" spans="1:2" ht="28.8" x14ac:dyDescent="0.3">
      <c r="A5350" s="4" t="s">
        <v>8073</v>
      </c>
      <c r="B5350">
        <v>3</v>
      </c>
    </row>
    <row r="5351" spans="1:2" ht="28.8" x14ac:dyDescent="0.3">
      <c r="A5351" s="4" t="s">
        <v>8074</v>
      </c>
      <c r="B5351">
        <v>3</v>
      </c>
    </row>
    <row r="5352" spans="1:2" ht="28.8" x14ac:dyDescent="0.3">
      <c r="A5352" s="4" t="s">
        <v>8075</v>
      </c>
      <c r="B5352">
        <v>3</v>
      </c>
    </row>
    <row r="5353" spans="1:2" x14ac:dyDescent="0.3">
      <c r="A5353" s="4" t="s">
        <v>8076</v>
      </c>
      <c r="B5353">
        <v>3</v>
      </c>
    </row>
    <row r="5354" spans="1:2" ht="28.8" x14ac:dyDescent="0.3">
      <c r="A5354" s="4" t="s">
        <v>8077</v>
      </c>
      <c r="B5354">
        <v>3</v>
      </c>
    </row>
    <row r="5355" spans="1:2" ht="28.8" x14ac:dyDescent="0.3">
      <c r="A5355" s="4" t="s">
        <v>8078</v>
      </c>
      <c r="B5355">
        <v>3</v>
      </c>
    </row>
    <row r="5356" spans="1:2" ht="28.8" x14ac:dyDescent="0.3">
      <c r="A5356" s="4" t="s">
        <v>8079</v>
      </c>
      <c r="B5356">
        <v>3</v>
      </c>
    </row>
    <row r="5357" spans="1:2" ht="28.8" x14ac:dyDescent="0.3">
      <c r="A5357" s="4" t="s">
        <v>8080</v>
      </c>
      <c r="B5357">
        <v>3</v>
      </c>
    </row>
    <row r="5358" spans="1:2" ht="43.2" x14ac:dyDescent="0.3">
      <c r="A5358" s="4" t="s">
        <v>8081</v>
      </c>
      <c r="B5358">
        <v>3</v>
      </c>
    </row>
    <row r="5359" spans="1:2" x14ac:dyDescent="0.3">
      <c r="A5359" s="4" t="s">
        <v>8082</v>
      </c>
      <c r="B5359">
        <v>3</v>
      </c>
    </row>
    <row r="5360" spans="1:2" ht="28.8" x14ac:dyDescent="0.3">
      <c r="A5360" s="4" t="s">
        <v>8083</v>
      </c>
      <c r="B5360">
        <v>3</v>
      </c>
    </row>
    <row r="5361" spans="1:2" x14ac:dyDescent="0.3">
      <c r="A5361" s="4" t="s">
        <v>8084</v>
      </c>
      <c r="B5361">
        <v>3</v>
      </c>
    </row>
    <row r="5362" spans="1:2" ht="28.8" x14ac:dyDescent="0.3">
      <c r="A5362" s="4" t="s">
        <v>8085</v>
      </c>
      <c r="B5362">
        <v>3</v>
      </c>
    </row>
    <row r="5363" spans="1:2" ht="28.8" x14ac:dyDescent="0.3">
      <c r="A5363" s="4" t="s">
        <v>8086</v>
      </c>
      <c r="B5363">
        <v>3</v>
      </c>
    </row>
    <row r="5364" spans="1:2" ht="28.8" x14ac:dyDescent="0.3">
      <c r="A5364" s="4" t="s">
        <v>8087</v>
      </c>
      <c r="B5364">
        <v>3</v>
      </c>
    </row>
    <row r="5365" spans="1:2" ht="28.8" x14ac:dyDescent="0.3">
      <c r="A5365" s="4" t="s">
        <v>8088</v>
      </c>
      <c r="B5365">
        <v>3</v>
      </c>
    </row>
    <row r="5366" spans="1:2" ht="72" x14ac:dyDescent="0.3">
      <c r="A5366" s="4" t="s">
        <v>8089</v>
      </c>
      <c r="B5366">
        <v>3</v>
      </c>
    </row>
    <row r="5367" spans="1:2" ht="28.8" x14ac:dyDescent="0.3">
      <c r="A5367" s="4" t="s">
        <v>8090</v>
      </c>
      <c r="B5367">
        <v>3</v>
      </c>
    </row>
    <row r="5368" spans="1:2" ht="28.8" x14ac:dyDescent="0.3">
      <c r="A5368" s="4" t="s">
        <v>8091</v>
      </c>
      <c r="B5368">
        <v>3</v>
      </c>
    </row>
    <row r="5369" spans="1:2" ht="28.8" x14ac:dyDescent="0.3">
      <c r="A5369" s="4" t="s">
        <v>8092</v>
      </c>
      <c r="B5369">
        <v>3</v>
      </c>
    </row>
    <row r="5370" spans="1:2" ht="28.8" x14ac:dyDescent="0.3">
      <c r="A5370" s="4" t="s">
        <v>8093</v>
      </c>
      <c r="B5370">
        <v>3</v>
      </c>
    </row>
    <row r="5371" spans="1:2" ht="28.8" x14ac:dyDescent="0.3">
      <c r="A5371" s="4" t="s">
        <v>8094</v>
      </c>
      <c r="B5371">
        <v>3</v>
      </c>
    </row>
    <row r="5372" spans="1:2" ht="28.8" x14ac:dyDescent="0.3">
      <c r="A5372" s="4" t="s">
        <v>8095</v>
      </c>
      <c r="B5372">
        <v>3</v>
      </c>
    </row>
    <row r="5373" spans="1:2" ht="28.8" x14ac:dyDescent="0.3">
      <c r="A5373" s="4" t="s">
        <v>8096</v>
      </c>
      <c r="B5373">
        <v>3</v>
      </c>
    </row>
    <row r="5374" spans="1:2" ht="43.2" x14ac:dyDescent="0.3">
      <c r="A5374" s="4" t="s">
        <v>8097</v>
      </c>
      <c r="B5374">
        <v>3</v>
      </c>
    </row>
    <row r="5375" spans="1:2" ht="43.2" x14ac:dyDescent="0.3">
      <c r="A5375" s="4" t="s">
        <v>8098</v>
      </c>
      <c r="B5375">
        <v>3</v>
      </c>
    </row>
    <row r="5376" spans="1:2" ht="28.8" x14ac:dyDescent="0.3">
      <c r="A5376" s="4" t="s">
        <v>8099</v>
      </c>
      <c r="B5376">
        <v>3</v>
      </c>
    </row>
    <row r="5377" spans="1:2" ht="28.8" x14ac:dyDescent="0.3">
      <c r="A5377" s="4" t="s">
        <v>8100</v>
      </c>
      <c r="B5377">
        <v>3</v>
      </c>
    </row>
    <row r="5378" spans="1:2" ht="28.8" x14ac:dyDescent="0.3">
      <c r="A5378" s="4" t="s">
        <v>8101</v>
      </c>
      <c r="B5378">
        <v>3</v>
      </c>
    </row>
    <row r="5379" spans="1:2" ht="28.8" x14ac:dyDescent="0.3">
      <c r="A5379" s="4" t="s">
        <v>8102</v>
      </c>
      <c r="B5379">
        <v>3</v>
      </c>
    </row>
    <row r="5380" spans="1:2" ht="28.8" x14ac:dyDescent="0.3">
      <c r="A5380" s="4" t="s">
        <v>8103</v>
      </c>
      <c r="B5380">
        <v>3</v>
      </c>
    </row>
    <row r="5381" spans="1:2" x14ac:dyDescent="0.3">
      <c r="A5381" s="4" t="s">
        <v>8104</v>
      </c>
      <c r="B5381">
        <v>3</v>
      </c>
    </row>
    <row r="5382" spans="1:2" ht="28.8" x14ac:dyDescent="0.3">
      <c r="A5382" s="4" t="s">
        <v>8105</v>
      </c>
      <c r="B5382">
        <v>3</v>
      </c>
    </row>
    <row r="5383" spans="1:2" ht="28.8" x14ac:dyDescent="0.3">
      <c r="A5383" s="4" t="s">
        <v>8106</v>
      </c>
      <c r="B5383">
        <v>3</v>
      </c>
    </row>
    <row r="5384" spans="1:2" ht="28.8" x14ac:dyDescent="0.3">
      <c r="A5384" s="4" t="s">
        <v>8107</v>
      </c>
      <c r="B5384">
        <v>3</v>
      </c>
    </row>
    <row r="5385" spans="1:2" x14ac:dyDescent="0.3">
      <c r="A5385" s="4" t="s">
        <v>8108</v>
      </c>
      <c r="B5385">
        <v>3</v>
      </c>
    </row>
    <row r="5386" spans="1:2" ht="28.8" x14ac:dyDescent="0.3">
      <c r="A5386" s="4" t="s">
        <v>8109</v>
      </c>
      <c r="B5386">
        <v>3</v>
      </c>
    </row>
    <row r="5387" spans="1:2" ht="28.8" x14ac:dyDescent="0.3">
      <c r="A5387" s="4" t="s">
        <v>8110</v>
      </c>
      <c r="B5387">
        <v>3</v>
      </c>
    </row>
    <row r="5388" spans="1:2" ht="28.8" x14ac:dyDescent="0.3">
      <c r="A5388" s="4" t="s">
        <v>8111</v>
      </c>
      <c r="B5388">
        <v>3</v>
      </c>
    </row>
    <row r="5389" spans="1:2" ht="28.8" x14ac:dyDescent="0.3">
      <c r="A5389" s="4" t="s">
        <v>8112</v>
      </c>
      <c r="B5389">
        <v>3</v>
      </c>
    </row>
    <row r="5390" spans="1:2" ht="28.8" x14ac:dyDescent="0.3">
      <c r="A5390" s="4" t="s">
        <v>8113</v>
      </c>
      <c r="B5390">
        <v>3</v>
      </c>
    </row>
    <row r="5391" spans="1:2" ht="28.8" x14ac:dyDescent="0.3">
      <c r="A5391" s="4" t="s">
        <v>8114</v>
      </c>
      <c r="B5391">
        <v>3</v>
      </c>
    </row>
    <row r="5392" spans="1:2" ht="28.8" x14ac:dyDescent="0.3">
      <c r="A5392" s="4" t="s">
        <v>8115</v>
      </c>
      <c r="B5392">
        <v>3</v>
      </c>
    </row>
    <row r="5393" spans="1:2" ht="28.8" x14ac:dyDescent="0.3">
      <c r="A5393" s="4" t="s">
        <v>8116</v>
      </c>
      <c r="B5393">
        <v>3</v>
      </c>
    </row>
    <row r="5394" spans="1:2" ht="28.8" x14ac:dyDescent="0.3">
      <c r="A5394" s="4" t="s">
        <v>8117</v>
      </c>
      <c r="B5394">
        <v>3</v>
      </c>
    </row>
    <row r="5395" spans="1:2" ht="28.8" x14ac:dyDescent="0.3">
      <c r="A5395" s="4" t="s">
        <v>8118</v>
      </c>
      <c r="B5395">
        <v>3</v>
      </c>
    </row>
    <row r="5396" spans="1:2" ht="28.8" x14ac:dyDescent="0.3">
      <c r="A5396" s="4" t="s">
        <v>8119</v>
      </c>
      <c r="B5396">
        <v>3</v>
      </c>
    </row>
    <row r="5397" spans="1:2" ht="28.8" x14ac:dyDescent="0.3">
      <c r="A5397" s="4" t="s">
        <v>8120</v>
      </c>
      <c r="B5397">
        <v>3</v>
      </c>
    </row>
    <row r="5398" spans="1:2" ht="28.8" x14ac:dyDescent="0.3">
      <c r="A5398" s="4" t="s">
        <v>8121</v>
      </c>
      <c r="B5398">
        <v>3</v>
      </c>
    </row>
    <row r="5399" spans="1:2" ht="28.8" x14ac:dyDescent="0.3">
      <c r="A5399" s="4" t="s">
        <v>8122</v>
      </c>
      <c r="B5399">
        <v>3</v>
      </c>
    </row>
    <row r="5400" spans="1:2" ht="28.8" x14ac:dyDescent="0.3">
      <c r="A5400" s="4" t="s">
        <v>8123</v>
      </c>
      <c r="B5400">
        <v>3</v>
      </c>
    </row>
    <row r="5401" spans="1:2" ht="28.8" x14ac:dyDescent="0.3">
      <c r="A5401" s="4" t="s">
        <v>8124</v>
      </c>
      <c r="B5401">
        <v>3</v>
      </c>
    </row>
    <row r="5402" spans="1:2" ht="28.8" x14ac:dyDescent="0.3">
      <c r="A5402" s="4" t="s">
        <v>8125</v>
      </c>
      <c r="B5402">
        <v>3</v>
      </c>
    </row>
    <row r="5403" spans="1:2" ht="28.8" x14ac:dyDescent="0.3">
      <c r="A5403" s="4" t="s">
        <v>8126</v>
      </c>
      <c r="B5403">
        <v>3</v>
      </c>
    </row>
    <row r="5404" spans="1:2" x14ac:dyDescent="0.3">
      <c r="A5404" s="4" t="s">
        <v>8127</v>
      </c>
      <c r="B5404">
        <v>3</v>
      </c>
    </row>
    <row r="5405" spans="1:2" ht="28.8" x14ac:dyDescent="0.3">
      <c r="A5405" s="4" t="s">
        <v>8128</v>
      </c>
      <c r="B5405">
        <v>3</v>
      </c>
    </row>
    <row r="5406" spans="1:2" ht="28.8" x14ac:dyDescent="0.3">
      <c r="A5406" s="4" t="s">
        <v>8129</v>
      </c>
      <c r="B5406">
        <v>3</v>
      </c>
    </row>
    <row r="5407" spans="1:2" ht="28.8" x14ac:dyDescent="0.3">
      <c r="A5407" s="4" t="s">
        <v>8130</v>
      </c>
      <c r="B5407">
        <v>3</v>
      </c>
    </row>
    <row r="5408" spans="1:2" ht="28.8" x14ac:dyDescent="0.3">
      <c r="A5408" s="4" t="s">
        <v>8131</v>
      </c>
      <c r="B5408">
        <v>3</v>
      </c>
    </row>
    <row r="5409" spans="1:2" ht="28.8" x14ac:dyDescent="0.3">
      <c r="A5409" s="4" t="s">
        <v>8132</v>
      </c>
      <c r="B5409">
        <v>3</v>
      </c>
    </row>
    <row r="5410" spans="1:2" ht="28.8" x14ac:dyDescent="0.3">
      <c r="A5410" s="4" t="s">
        <v>8133</v>
      </c>
      <c r="B5410">
        <v>3</v>
      </c>
    </row>
    <row r="5411" spans="1:2" ht="28.8" x14ac:dyDescent="0.3">
      <c r="A5411" s="4" t="s">
        <v>8134</v>
      </c>
      <c r="B5411">
        <v>3</v>
      </c>
    </row>
    <row r="5412" spans="1:2" x14ac:dyDescent="0.3">
      <c r="A5412" s="4" t="s">
        <v>8135</v>
      </c>
      <c r="B5412">
        <v>3</v>
      </c>
    </row>
    <row r="5413" spans="1:2" ht="28.8" x14ac:dyDescent="0.3">
      <c r="A5413" s="4" t="s">
        <v>8136</v>
      </c>
      <c r="B5413">
        <v>3</v>
      </c>
    </row>
    <row r="5414" spans="1:2" ht="28.8" x14ac:dyDescent="0.3">
      <c r="A5414" s="4" t="s">
        <v>8137</v>
      </c>
      <c r="B5414">
        <v>3</v>
      </c>
    </row>
    <row r="5415" spans="1:2" ht="28.8" x14ac:dyDescent="0.3">
      <c r="A5415" s="4" t="s">
        <v>8138</v>
      </c>
      <c r="B5415">
        <v>3</v>
      </c>
    </row>
    <row r="5416" spans="1:2" ht="43.2" x14ac:dyDescent="0.3">
      <c r="A5416" s="4" t="s">
        <v>8139</v>
      </c>
      <c r="B5416">
        <v>3</v>
      </c>
    </row>
    <row r="5417" spans="1:2" ht="28.8" x14ac:dyDescent="0.3">
      <c r="A5417" s="4" t="s">
        <v>8140</v>
      </c>
      <c r="B5417">
        <v>3</v>
      </c>
    </row>
    <row r="5418" spans="1:2" x14ac:dyDescent="0.3">
      <c r="A5418" s="4" t="s">
        <v>8141</v>
      </c>
      <c r="B5418">
        <v>3</v>
      </c>
    </row>
    <row r="5419" spans="1:2" x14ac:dyDescent="0.3">
      <c r="A5419" s="4" t="s">
        <v>8142</v>
      </c>
      <c r="B5419">
        <v>3</v>
      </c>
    </row>
    <row r="5420" spans="1:2" x14ac:dyDescent="0.3">
      <c r="A5420" s="4" t="s">
        <v>8143</v>
      </c>
      <c r="B5420">
        <v>3</v>
      </c>
    </row>
    <row r="5421" spans="1:2" ht="28.8" x14ac:dyDescent="0.3">
      <c r="A5421" s="4" t="s">
        <v>8144</v>
      </c>
      <c r="B5421">
        <v>3</v>
      </c>
    </row>
    <row r="5422" spans="1:2" ht="28.8" x14ac:dyDescent="0.3">
      <c r="A5422" s="4" t="s">
        <v>8145</v>
      </c>
      <c r="B5422">
        <v>3</v>
      </c>
    </row>
    <row r="5423" spans="1:2" ht="43.2" x14ac:dyDescent="0.3">
      <c r="A5423" s="4" t="s">
        <v>8146</v>
      </c>
      <c r="B5423">
        <v>3</v>
      </c>
    </row>
    <row r="5424" spans="1:2" ht="28.8" x14ac:dyDescent="0.3">
      <c r="A5424" s="4" t="s">
        <v>8147</v>
      </c>
      <c r="B5424">
        <v>3</v>
      </c>
    </row>
    <row r="5425" spans="1:2" ht="28.8" x14ac:dyDescent="0.3">
      <c r="A5425" s="4" t="s">
        <v>8148</v>
      </c>
      <c r="B5425">
        <v>3</v>
      </c>
    </row>
    <row r="5426" spans="1:2" ht="28.8" x14ac:dyDescent="0.3">
      <c r="A5426" s="4" t="s">
        <v>8149</v>
      </c>
      <c r="B5426">
        <v>3</v>
      </c>
    </row>
    <row r="5427" spans="1:2" ht="28.8" x14ac:dyDescent="0.3">
      <c r="A5427" s="4" t="s">
        <v>8150</v>
      </c>
      <c r="B5427">
        <v>3</v>
      </c>
    </row>
    <row r="5428" spans="1:2" ht="28.8" x14ac:dyDescent="0.3">
      <c r="A5428" s="4" t="s">
        <v>8151</v>
      </c>
      <c r="B5428">
        <v>3</v>
      </c>
    </row>
    <row r="5429" spans="1:2" ht="28.8" x14ac:dyDescent="0.3">
      <c r="A5429" s="4" t="s">
        <v>8152</v>
      </c>
      <c r="B5429">
        <v>3</v>
      </c>
    </row>
    <row r="5430" spans="1:2" ht="43.2" x14ac:dyDescent="0.3">
      <c r="A5430" s="4" t="s">
        <v>8153</v>
      </c>
      <c r="B5430">
        <v>3</v>
      </c>
    </row>
    <row r="5431" spans="1:2" ht="43.2" x14ac:dyDescent="0.3">
      <c r="A5431" s="4" t="s">
        <v>8154</v>
      </c>
      <c r="B5431">
        <v>3</v>
      </c>
    </row>
    <row r="5432" spans="1:2" x14ac:dyDescent="0.3">
      <c r="A5432" s="4" t="s">
        <v>8155</v>
      </c>
      <c r="B5432">
        <v>3</v>
      </c>
    </row>
    <row r="5433" spans="1:2" ht="28.8" x14ac:dyDescent="0.3">
      <c r="A5433" s="4" t="s">
        <v>8156</v>
      </c>
      <c r="B5433">
        <v>3</v>
      </c>
    </row>
    <row r="5434" spans="1:2" x14ac:dyDescent="0.3">
      <c r="A5434" s="4" t="s">
        <v>8157</v>
      </c>
      <c r="B5434">
        <v>3</v>
      </c>
    </row>
    <row r="5435" spans="1:2" ht="28.8" x14ac:dyDescent="0.3">
      <c r="A5435" s="4" t="s">
        <v>8158</v>
      </c>
      <c r="B5435">
        <v>3</v>
      </c>
    </row>
    <row r="5436" spans="1:2" x14ac:dyDescent="0.3">
      <c r="A5436" s="4" t="s">
        <v>8159</v>
      </c>
      <c r="B5436">
        <v>3</v>
      </c>
    </row>
    <row r="5437" spans="1:2" ht="28.8" x14ac:dyDescent="0.3">
      <c r="A5437" s="4" t="s">
        <v>8160</v>
      </c>
      <c r="B5437">
        <v>3</v>
      </c>
    </row>
    <row r="5438" spans="1:2" x14ac:dyDescent="0.3">
      <c r="A5438" s="4" t="s">
        <v>8161</v>
      </c>
      <c r="B5438">
        <v>3</v>
      </c>
    </row>
    <row r="5439" spans="1:2" ht="43.2" x14ac:dyDescent="0.3">
      <c r="A5439" s="4" t="s">
        <v>8162</v>
      </c>
      <c r="B5439">
        <v>3</v>
      </c>
    </row>
    <row r="5440" spans="1:2" ht="28.8" x14ac:dyDescent="0.3">
      <c r="A5440" s="4" t="s">
        <v>8163</v>
      </c>
      <c r="B5440">
        <v>3</v>
      </c>
    </row>
    <row r="5441" spans="1:2" ht="28.8" x14ac:dyDescent="0.3">
      <c r="A5441" s="4" t="s">
        <v>8164</v>
      </c>
      <c r="B5441">
        <v>3</v>
      </c>
    </row>
    <row r="5442" spans="1:2" ht="28.8" x14ac:dyDescent="0.3">
      <c r="A5442" s="4" t="s">
        <v>8165</v>
      </c>
      <c r="B5442">
        <v>3</v>
      </c>
    </row>
    <row r="5443" spans="1:2" ht="28.8" x14ac:dyDescent="0.3">
      <c r="A5443" s="4" t="s">
        <v>8166</v>
      </c>
      <c r="B5443">
        <v>3</v>
      </c>
    </row>
    <row r="5444" spans="1:2" ht="28.8" x14ac:dyDescent="0.3">
      <c r="A5444" s="4" t="s">
        <v>8167</v>
      </c>
      <c r="B5444">
        <v>3</v>
      </c>
    </row>
    <row r="5445" spans="1:2" x14ac:dyDescent="0.3">
      <c r="A5445" s="4" t="s">
        <v>8168</v>
      </c>
      <c r="B5445">
        <v>3</v>
      </c>
    </row>
    <row r="5446" spans="1:2" ht="28.8" x14ac:dyDescent="0.3">
      <c r="A5446" s="4" t="s">
        <v>8169</v>
      </c>
      <c r="B5446">
        <v>3</v>
      </c>
    </row>
    <row r="5447" spans="1:2" ht="28.8" x14ac:dyDescent="0.3">
      <c r="A5447" s="4" t="s">
        <v>8170</v>
      </c>
      <c r="B5447">
        <v>3</v>
      </c>
    </row>
    <row r="5448" spans="1:2" ht="28.8" x14ac:dyDescent="0.3">
      <c r="A5448" s="4" t="s">
        <v>8171</v>
      </c>
      <c r="B5448">
        <v>3</v>
      </c>
    </row>
    <row r="5449" spans="1:2" ht="28.8" x14ac:dyDescent="0.3">
      <c r="A5449" s="4" t="s">
        <v>8172</v>
      </c>
      <c r="B5449">
        <v>3</v>
      </c>
    </row>
    <row r="5450" spans="1:2" ht="28.8" x14ac:dyDescent="0.3">
      <c r="A5450" s="4" t="s">
        <v>8173</v>
      </c>
      <c r="B5450">
        <v>3</v>
      </c>
    </row>
    <row r="5451" spans="1:2" ht="43.2" x14ac:dyDescent="0.3">
      <c r="A5451" s="4" t="s">
        <v>8174</v>
      </c>
      <c r="B5451">
        <v>3</v>
      </c>
    </row>
    <row r="5452" spans="1:2" ht="28.8" x14ac:dyDescent="0.3">
      <c r="A5452" s="4" t="s">
        <v>8175</v>
      </c>
      <c r="B5452">
        <v>3</v>
      </c>
    </row>
    <row r="5453" spans="1:2" ht="28.8" x14ac:dyDescent="0.3">
      <c r="A5453" s="4" t="s">
        <v>8176</v>
      </c>
      <c r="B5453">
        <v>3</v>
      </c>
    </row>
    <row r="5454" spans="1:2" ht="28.8" x14ac:dyDescent="0.3">
      <c r="A5454" s="4" t="s">
        <v>8177</v>
      </c>
      <c r="B5454">
        <v>3</v>
      </c>
    </row>
    <row r="5455" spans="1:2" ht="28.8" x14ac:dyDescent="0.3">
      <c r="A5455" s="4" t="s">
        <v>8178</v>
      </c>
      <c r="B5455">
        <v>3</v>
      </c>
    </row>
    <row r="5456" spans="1:2" ht="28.8" x14ac:dyDescent="0.3">
      <c r="A5456" s="4" t="s">
        <v>8179</v>
      </c>
      <c r="B5456">
        <v>3</v>
      </c>
    </row>
    <row r="5457" spans="1:2" ht="28.8" x14ac:dyDescent="0.3">
      <c r="A5457" s="4" t="s">
        <v>8180</v>
      </c>
      <c r="B5457">
        <v>3</v>
      </c>
    </row>
    <row r="5458" spans="1:2" ht="28.8" x14ac:dyDescent="0.3">
      <c r="A5458" s="4" t="s">
        <v>8181</v>
      </c>
      <c r="B5458">
        <v>3</v>
      </c>
    </row>
    <row r="5459" spans="1:2" ht="28.8" x14ac:dyDescent="0.3">
      <c r="A5459" s="4" t="s">
        <v>8182</v>
      </c>
      <c r="B5459">
        <v>3</v>
      </c>
    </row>
    <row r="5460" spans="1:2" ht="43.2" x14ac:dyDescent="0.3">
      <c r="A5460" s="4" t="s">
        <v>8183</v>
      </c>
      <c r="B5460">
        <v>3</v>
      </c>
    </row>
    <row r="5461" spans="1:2" ht="28.8" x14ac:dyDescent="0.3">
      <c r="A5461" s="4" t="s">
        <v>8184</v>
      </c>
      <c r="B5461">
        <v>3</v>
      </c>
    </row>
    <row r="5462" spans="1:2" ht="72" x14ac:dyDescent="0.3">
      <c r="A5462" s="4" t="s">
        <v>8185</v>
      </c>
      <c r="B5462">
        <v>3</v>
      </c>
    </row>
    <row r="5463" spans="1:2" ht="28.8" x14ac:dyDescent="0.3">
      <c r="A5463" s="4" t="s">
        <v>8186</v>
      </c>
      <c r="B5463">
        <v>3</v>
      </c>
    </row>
    <row r="5464" spans="1:2" ht="28.8" x14ac:dyDescent="0.3">
      <c r="A5464" s="4" t="s">
        <v>8187</v>
      </c>
      <c r="B5464">
        <v>3</v>
      </c>
    </row>
    <row r="5465" spans="1:2" ht="43.2" x14ac:dyDescent="0.3">
      <c r="A5465" s="4" t="s">
        <v>8188</v>
      </c>
      <c r="B5465">
        <v>3</v>
      </c>
    </row>
    <row r="5466" spans="1:2" ht="28.8" x14ac:dyDescent="0.3">
      <c r="A5466" s="4" t="s">
        <v>8189</v>
      </c>
      <c r="B5466">
        <v>3</v>
      </c>
    </row>
    <row r="5467" spans="1:2" ht="28.8" x14ac:dyDescent="0.3">
      <c r="A5467" s="4" t="s">
        <v>8190</v>
      </c>
      <c r="B5467">
        <v>3</v>
      </c>
    </row>
    <row r="5468" spans="1:2" ht="28.8" x14ac:dyDescent="0.3">
      <c r="A5468" s="4" t="s">
        <v>8191</v>
      </c>
      <c r="B5468">
        <v>3</v>
      </c>
    </row>
    <row r="5469" spans="1:2" x14ac:dyDescent="0.3">
      <c r="A5469" s="4" t="s">
        <v>8192</v>
      </c>
      <c r="B5469">
        <v>3</v>
      </c>
    </row>
    <row r="5470" spans="1:2" ht="28.8" x14ac:dyDescent="0.3">
      <c r="A5470" s="4" t="s">
        <v>8193</v>
      </c>
      <c r="B5470">
        <v>3</v>
      </c>
    </row>
    <row r="5471" spans="1:2" ht="28.8" x14ac:dyDescent="0.3">
      <c r="A5471" s="4" t="s">
        <v>8194</v>
      </c>
      <c r="B5471">
        <v>3</v>
      </c>
    </row>
    <row r="5472" spans="1:2" ht="28.8" x14ac:dyDescent="0.3">
      <c r="A5472" s="4" t="s">
        <v>8195</v>
      </c>
      <c r="B5472">
        <v>3</v>
      </c>
    </row>
    <row r="5473" spans="1:2" ht="28.8" x14ac:dyDescent="0.3">
      <c r="A5473" s="4" t="s">
        <v>8196</v>
      </c>
      <c r="B5473">
        <v>3</v>
      </c>
    </row>
    <row r="5474" spans="1:2" ht="28.8" x14ac:dyDescent="0.3">
      <c r="A5474" s="4" t="s">
        <v>8197</v>
      </c>
      <c r="B5474">
        <v>3</v>
      </c>
    </row>
    <row r="5475" spans="1:2" ht="28.8" x14ac:dyDescent="0.3">
      <c r="A5475" s="4" t="s">
        <v>8198</v>
      </c>
      <c r="B5475">
        <v>3</v>
      </c>
    </row>
    <row r="5476" spans="1:2" ht="28.8" x14ac:dyDescent="0.3">
      <c r="A5476" s="4" t="s">
        <v>8199</v>
      </c>
      <c r="B5476">
        <v>3</v>
      </c>
    </row>
    <row r="5477" spans="1:2" ht="28.8" x14ac:dyDescent="0.3">
      <c r="A5477" s="4" t="s">
        <v>8200</v>
      </c>
      <c r="B5477">
        <v>3</v>
      </c>
    </row>
    <row r="5478" spans="1:2" ht="28.8" x14ac:dyDescent="0.3">
      <c r="A5478" s="4" t="s">
        <v>8201</v>
      </c>
      <c r="B5478">
        <v>3</v>
      </c>
    </row>
    <row r="5479" spans="1:2" x14ac:dyDescent="0.3">
      <c r="A5479" s="4" t="s">
        <v>8202</v>
      </c>
      <c r="B5479">
        <v>3</v>
      </c>
    </row>
    <row r="5480" spans="1:2" ht="28.8" x14ac:dyDescent="0.3">
      <c r="A5480" s="4" t="s">
        <v>8203</v>
      </c>
      <c r="B5480">
        <v>3</v>
      </c>
    </row>
    <row r="5481" spans="1:2" ht="28.8" x14ac:dyDescent="0.3">
      <c r="A5481" s="4" t="s">
        <v>8204</v>
      </c>
      <c r="B5481">
        <v>3</v>
      </c>
    </row>
    <row r="5482" spans="1:2" ht="28.8" x14ac:dyDescent="0.3">
      <c r="A5482" s="4" t="s">
        <v>8205</v>
      </c>
      <c r="B5482">
        <v>3</v>
      </c>
    </row>
    <row r="5483" spans="1:2" x14ac:dyDescent="0.3">
      <c r="A5483" s="4" t="s">
        <v>8206</v>
      </c>
      <c r="B5483">
        <v>3</v>
      </c>
    </row>
    <row r="5484" spans="1:2" ht="28.8" x14ac:dyDescent="0.3">
      <c r="A5484" s="4" t="s">
        <v>8207</v>
      </c>
      <c r="B5484">
        <v>3</v>
      </c>
    </row>
    <row r="5485" spans="1:2" ht="28.8" x14ac:dyDescent="0.3">
      <c r="A5485" s="4" t="s">
        <v>8208</v>
      </c>
      <c r="B5485">
        <v>3</v>
      </c>
    </row>
    <row r="5486" spans="1:2" ht="28.8" x14ac:dyDescent="0.3">
      <c r="A5486" s="4" t="s">
        <v>8209</v>
      </c>
      <c r="B5486">
        <v>3</v>
      </c>
    </row>
    <row r="5487" spans="1:2" ht="28.8" x14ac:dyDescent="0.3">
      <c r="A5487" s="4" t="s">
        <v>8210</v>
      </c>
      <c r="B5487">
        <v>3</v>
      </c>
    </row>
    <row r="5488" spans="1:2" ht="28.8" x14ac:dyDescent="0.3">
      <c r="A5488" s="4" t="s">
        <v>8211</v>
      </c>
      <c r="B5488">
        <v>3</v>
      </c>
    </row>
    <row r="5489" spans="1:2" x14ac:dyDescent="0.3">
      <c r="A5489" s="4" t="s">
        <v>8212</v>
      </c>
      <c r="B5489">
        <v>3</v>
      </c>
    </row>
    <row r="5490" spans="1:2" ht="28.8" x14ac:dyDescent="0.3">
      <c r="A5490" s="4" t="s">
        <v>8213</v>
      </c>
      <c r="B5490">
        <v>3</v>
      </c>
    </row>
    <row r="5491" spans="1:2" ht="28.8" x14ac:dyDescent="0.3">
      <c r="A5491" s="4" t="s">
        <v>8214</v>
      </c>
      <c r="B5491">
        <v>3</v>
      </c>
    </row>
    <row r="5492" spans="1:2" ht="43.2" x14ac:dyDescent="0.3">
      <c r="A5492" s="4" t="s">
        <v>8215</v>
      </c>
      <c r="B5492">
        <v>3</v>
      </c>
    </row>
    <row r="5493" spans="1:2" x14ac:dyDescent="0.3">
      <c r="A5493" s="4" t="s">
        <v>8216</v>
      </c>
      <c r="B5493">
        <v>3</v>
      </c>
    </row>
    <row r="5494" spans="1:2" ht="28.8" x14ac:dyDescent="0.3">
      <c r="A5494" s="4" t="s">
        <v>8217</v>
      </c>
      <c r="B5494">
        <v>3</v>
      </c>
    </row>
    <row r="5495" spans="1:2" x14ac:dyDescent="0.3">
      <c r="A5495" s="4" t="s">
        <v>8218</v>
      </c>
      <c r="B5495">
        <v>3</v>
      </c>
    </row>
    <row r="5496" spans="1:2" ht="43.2" x14ac:dyDescent="0.3">
      <c r="A5496" s="4" t="s">
        <v>8219</v>
      </c>
      <c r="B5496">
        <v>3</v>
      </c>
    </row>
    <row r="5497" spans="1:2" ht="28.8" x14ac:dyDescent="0.3">
      <c r="A5497" s="4" t="s">
        <v>8220</v>
      </c>
      <c r="B5497">
        <v>3</v>
      </c>
    </row>
    <row r="5498" spans="1:2" ht="28.8" x14ac:dyDescent="0.3">
      <c r="A5498" s="4" t="s">
        <v>8221</v>
      </c>
      <c r="B5498">
        <v>3</v>
      </c>
    </row>
    <row r="5499" spans="1:2" x14ac:dyDescent="0.3">
      <c r="A5499" s="4" t="s">
        <v>8222</v>
      </c>
      <c r="B5499">
        <v>3</v>
      </c>
    </row>
    <row r="5500" spans="1:2" ht="28.8" x14ac:dyDescent="0.3">
      <c r="A5500" s="4" t="s">
        <v>8223</v>
      </c>
      <c r="B5500">
        <v>3</v>
      </c>
    </row>
    <row r="5501" spans="1:2" ht="28.8" x14ac:dyDescent="0.3">
      <c r="A5501" s="4" t="s">
        <v>8224</v>
      </c>
      <c r="B5501">
        <v>3</v>
      </c>
    </row>
    <row r="5502" spans="1:2" ht="43.2" x14ac:dyDescent="0.3">
      <c r="A5502" s="4" t="s">
        <v>8225</v>
      </c>
      <c r="B5502">
        <v>3</v>
      </c>
    </row>
    <row r="5503" spans="1:2" ht="28.8" x14ac:dyDescent="0.3">
      <c r="A5503" s="4" t="s">
        <v>8226</v>
      </c>
      <c r="B5503">
        <v>3</v>
      </c>
    </row>
    <row r="5504" spans="1:2" ht="28.8" x14ac:dyDescent="0.3">
      <c r="A5504" s="4" t="s">
        <v>8227</v>
      </c>
      <c r="B5504">
        <v>3</v>
      </c>
    </row>
    <row r="5505" spans="1:2" x14ac:dyDescent="0.3">
      <c r="A5505" s="4" t="s">
        <v>8228</v>
      </c>
      <c r="B5505">
        <v>3</v>
      </c>
    </row>
    <row r="5506" spans="1:2" ht="28.8" x14ac:dyDescent="0.3">
      <c r="A5506" s="4" t="s">
        <v>8229</v>
      </c>
      <c r="B5506">
        <v>3</v>
      </c>
    </row>
    <row r="5507" spans="1:2" ht="28.8" x14ac:dyDescent="0.3">
      <c r="A5507" s="4" t="s">
        <v>8230</v>
      </c>
      <c r="B5507">
        <v>3</v>
      </c>
    </row>
    <row r="5508" spans="1:2" ht="28.8" x14ac:dyDescent="0.3">
      <c r="A5508" s="4" t="s">
        <v>8231</v>
      </c>
      <c r="B5508">
        <v>3</v>
      </c>
    </row>
    <row r="5509" spans="1:2" ht="28.8" x14ac:dyDescent="0.3">
      <c r="A5509" s="4" t="s">
        <v>8232</v>
      </c>
      <c r="B5509">
        <v>3</v>
      </c>
    </row>
    <row r="5510" spans="1:2" ht="28.8" x14ac:dyDescent="0.3">
      <c r="A5510" s="4" t="s">
        <v>8233</v>
      </c>
      <c r="B5510">
        <v>3</v>
      </c>
    </row>
    <row r="5511" spans="1:2" ht="28.8" x14ac:dyDescent="0.3">
      <c r="A5511" s="4" t="s">
        <v>8234</v>
      </c>
      <c r="B5511">
        <v>3</v>
      </c>
    </row>
    <row r="5512" spans="1:2" ht="28.8" x14ac:dyDescent="0.3">
      <c r="A5512" s="4" t="s">
        <v>8235</v>
      </c>
      <c r="B5512">
        <v>3</v>
      </c>
    </row>
    <row r="5513" spans="1:2" ht="28.8" x14ac:dyDescent="0.3">
      <c r="A5513" s="4" t="s">
        <v>8236</v>
      </c>
      <c r="B5513">
        <v>3</v>
      </c>
    </row>
    <row r="5514" spans="1:2" x14ac:dyDescent="0.3">
      <c r="A5514" s="4" t="s">
        <v>8237</v>
      </c>
      <c r="B5514">
        <v>3</v>
      </c>
    </row>
    <row r="5515" spans="1:2" ht="28.8" x14ac:dyDescent="0.3">
      <c r="A5515" s="4" t="s">
        <v>8238</v>
      </c>
      <c r="B5515">
        <v>3</v>
      </c>
    </row>
    <row r="5516" spans="1:2" ht="28.8" x14ac:dyDescent="0.3">
      <c r="A5516" s="4" t="s">
        <v>8239</v>
      </c>
      <c r="B5516">
        <v>3</v>
      </c>
    </row>
    <row r="5517" spans="1:2" ht="28.8" x14ac:dyDescent="0.3">
      <c r="A5517" s="4" t="s">
        <v>8240</v>
      </c>
      <c r="B5517">
        <v>3</v>
      </c>
    </row>
    <row r="5518" spans="1:2" ht="28.8" x14ac:dyDescent="0.3">
      <c r="A5518" s="4" t="s">
        <v>8241</v>
      </c>
      <c r="B5518">
        <v>3</v>
      </c>
    </row>
    <row r="5519" spans="1:2" ht="28.8" x14ac:dyDescent="0.3">
      <c r="A5519" s="4" t="s">
        <v>8242</v>
      </c>
      <c r="B5519">
        <v>3</v>
      </c>
    </row>
    <row r="5520" spans="1:2" ht="28.8" x14ac:dyDescent="0.3">
      <c r="A5520" s="4" t="s">
        <v>8243</v>
      </c>
      <c r="B5520">
        <v>3</v>
      </c>
    </row>
    <row r="5521" spans="1:2" ht="28.8" x14ac:dyDescent="0.3">
      <c r="A5521" s="4" t="s">
        <v>8244</v>
      </c>
      <c r="B5521">
        <v>3</v>
      </c>
    </row>
    <row r="5522" spans="1:2" ht="28.8" x14ac:dyDescent="0.3">
      <c r="A5522" s="4" t="s">
        <v>8245</v>
      </c>
      <c r="B5522">
        <v>3</v>
      </c>
    </row>
    <row r="5523" spans="1:2" ht="28.8" x14ac:dyDescent="0.3">
      <c r="A5523" s="4" t="s">
        <v>8246</v>
      </c>
      <c r="B5523">
        <v>3</v>
      </c>
    </row>
    <row r="5524" spans="1:2" ht="28.8" x14ac:dyDescent="0.3">
      <c r="A5524" s="4" t="s">
        <v>8247</v>
      </c>
      <c r="B5524">
        <v>3</v>
      </c>
    </row>
    <row r="5525" spans="1:2" ht="28.8" x14ac:dyDescent="0.3">
      <c r="A5525" s="4" t="s">
        <v>8248</v>
      </c>
      <c r="B5525">
        <v>3</v>
      </c>
    </row>
    <row r="5526" spans="1:2" ht="28.8" x14ac:dyDescent="0.3">
      <c r="A5526" s="4" t="s">
        <v>8249</v>
      </c>
      <c r="B5526">
        <v>3</v>
      </c>
    </row>
    <row r="5527" spans="1:2" ht="28.8" x14ac:dyDescent="0.3">
      <c r="A5527" s="4" t="s">
        <v>8250</v>
      </c>
      <c r="B5527">
        <v>3</v>
      </c>
    </row>
    <row r="5528" spans="1:2" ht="28.8" x14ac:dyDescent="0.3">
      <c r="A5528" s="4" t="s">
        <v>8251</v>
      </c>
      <c r="B5528">
        <v>3</v>
      </c>
    </row>
    <row r="5529" spans="1:2" ht="28.8" x14ac:dyDescent="0.3">
      <c r="A5529" s="4" t="s">
        <v>8252</v>
      </c>
      <c r="B5529">
        <v>3</v>
      </c>
    </row>
    <row r="5530" spans="1:2" ht="28.8" x14ac:dyDescent="0.3">
      <c r="A5530" s="4" t="s">
        <v>8253</v>
      </c>
      <c r="B5530">
        <v>3</v>
      </c>
    </row>
    <row r="5531" spans="1:2" ht="129.6" x14ac:dyDescent="0.3">
      <c r="A5531" s="4" t="s">
        <v>8254</v>
      </c>
      <c r="B5531">
        <v>3</v>
      </c>
    </row>
    <row r="5532" spans="1:2" x14ac:dyDescent="0.3">
      <c r="A5532" s="4" t="s">
        <v>8255</v>
      </c>
      <c r="B5532">
        <v>3</v>
      </c>
    </row>
    <row r="5533" spans="1:2" ht="28.8" x14ac:dyDescent="0.3">
      <c r="A5533" s="4" t="s">
        <v>8256</v>
      </c>
      <c r="B5533">
        <v>3</v>
      </c>
    </row>
    <row r="5534" spans="1:2" x14ac:dyDescent="0.3">
      <c r="A5534" s="4" t="s">
        <v>8257</v>
      </c>
      <c r="B5534">
        <v>3</v>
      </c>
    </row>
    <row r="5535" spans="1:2" ht="28.8" x14ac:dyDescent="0.3">
      <c r="A5535" s="4" t="s">
        <v>8258</v>
      </c>
      <c r="B5535">
        <v>3</v>
      </c>
    </row>
    <row r="5536" spans="1:2" ht="28.8" x14ac:dyDescent="0.3">
      <c r="A5536" s="4" t="s">
        <v>8259</v>
      </c>
      <c r="B5536">
        <v>3</v>
      </c>
    </row>
    <row r="5537" spans="1:2" x14ac:dyDescent="0.3">
      <c r="A5537" s="4" t="s">
        <v>8260</v>
      </c>
      <c r="B5537">
        <v>3</v>
      </c>
    </row>
    <row r="5538" spans="1:2" ht="28.8" x14ac:dyDescent="0.3">
      <c r="A5538" s="4" t="s">
        <v>8261</v>
      </c>
      <c r="B5538">
        <v>3</v>
      </c>
    </row>
    <row r="5539" spans="1:2" x14ac:dyDescent="0.3">
      <c r="A5539" s="4" t="s">
        <v>8262</v>
      </c>
      <c r="B5539">
        <v>3</v>
      </c>
    </row>
    <row r="5540" spans="1:2" ht="28.8" x14ac:dyDescent="0.3">
      <c r="A5540" s="4" t="s">
        <v>8263</v>
      </c>
      <c r="B5540">
        <v>3</v>
      </c>
    </row>
    <row r="5541" spans="1:2" ht="28.8" x14ac:dyDescent="0.3">
      <c r="A5541" s="4" t="s">
        <v>8264</v>
      </c>
      <c r="B5541">
        <v>3</v>
      </c>
    </row>
    <row r="5542" spans="1:2" x14ac:dyDescent="0.3">
      <c r="A5542" s="4" t="s">
        <v>8265</v>
      </c>
      <c r="B5542">
        <v>3</v>
      </c>
    </row>
    <row r="5543" spans="1:2" x14ac:dyDescent="0.3">
      <c r="A5543" s="4" t="s">
        <v>8266</v>
      </c>
      <c r="B5543">
        <v>3</v>
      </c>
    </row>
    <row r="5544" spans="1:2" ht="28.8" x14ac:dyDescent="0.3">
      <c r="A5544" s="4" t="s">
        <v>8267</v>
      </c>
      <c r="B5544">
        <v>3</v>
      </c>
    </row>
    <row r="5545" spans="1:2" x14ac:dyDescent="0.3">
      <c r="A5545" s="4" t="s">
        <v>8268</v>
      </c>
      <c r="B5545">
        <v>3</v>
      </c>
    </row>
    <row r="5546" spans="1:2" ht="28.8" x14ac:dyDescent="0.3">
      <c r="A5546" s="4" t="s">
        <v>8269</v>
      </c>
      <c r="B5546">
        <v>3</v>
      </c>
    </row>
    <row r="5547" spans="1:2" ht="28.8" x14ac:dyDescent="0.3">
      <c r="A5547" s="4" t="s">
        <v>8270</v>
      </c>
      <c r="B5547">
        <v>3</v>
      </c>
    </row>
    <row r="5548" spans="1:2" ht="28.8" x14ac:dyDescent="0.3">
      <c r="A5548" s="4" t="s">
        <v>8271</v>
      </c>
      <c r="B5548">
        <v>3</v>
      </c>
    </row>
    <row r="5549" spans="1:2" ht="28.8" x14ac:dyDescent="0.3">
      <c r="A5549" s="4" t="s">
        <v>8272</v>
      </c>
      <c r="B5549">
        <v>3</v>
      </c>
    </row>
    <row r="5550" spans="1:2" ht="43.2" x14ac:dyDescent="0.3">
      <c r="A5550" s="4" t="s">
        <v>8273</v>
      </c>
      <c r="B5550">
        <v>3</v>
      </c>
    </row>
    <row r="5551" spans="1:2" ht="28.8" x14ac:dyDescent="0.3">
      <c r="A5551" s="4" t="s">
        <v>8274</v>
      </c>
      <c r="B5551">
        <v>3</v>
      </c>
    </row>
    <row r="5552" spans="1:2" ht="28.8" x14ac:dyDescent="0.3">
      <c r="A5552" s="4" t="s">
        <v>8275</v>
      </c>
      <c r="B5552">
        <v>3</v>
      </c>
    </row>
    <row r="5553" spans="1:2" ht="28.8" x14ac:dyDescent="0.3">
      <c r="A5553" s="4" t="s">
        <v>8276</v>
      </c>
      <c r="B5553">
        <v>3</v>
      </c>
    </row>
    <row r="5554" spans="1:2" ht="28.8" x14ac:dyDescent="0.3">
      <c r="A5554" s="4" t="s">
        <v>8277</v>
      </c>
      <c r="B5554">
        <v>3</v>
      </c>
    </row>
    <row r="5555" spans="1:2" ht="43.2" x14ac:dyDescent="0.3">
      <c r="A5555" s="4" t="s">
        <v>8278</v>
      </c>
      <c r="B5555">
        <v>3</v>
      </c>
    </row>
    <row r="5556" spans="1:2" ht="28.8" x14ac:dyDescent="0.3">
      <c r="A5556" s="4" t="s">
        <v>8279</v>
      </c>
      <c r="B5556">
        <v>3</v>
      </c>
    </row>
    <row r="5557" spans="1:2" ht="28.8" x14ac:dyDescent="0.3">
      <c r="A5557" s="4" t="s">
        <v>8280</v>
      </c>
      <c r="B5557">
        <v>3</v>
      </c>
    </row>
    <row r="5558" spans="1:2" ht="28.8" x14ac:dyDescent="0.3">
      <c r="A5558" s="4" t="s">
        <v>8281</v>
      </c>
      <c r="B5558">
        <v>3</v>
      </c>
    </row>
    <row r="5559" spans="1:2" ht="28.8" x14ac:dyDescent="0.3">
      <c r="A5559" s="4" t="s">
        <v>8282</v>
      </c>
      <c r="B5559">
        <v>3</v>
      </c>
    </row>
    <row r="5560" spans="1:2" ht="28.8" x14ac:dyDescent="0.3">
      <c r="A5560" s="4" t="s">
        <v>8283</v>
      </c>
      <c r="B5560">
        <v>3</v>
      </c>
    </row>
    <row r="5561" spans="1:2" x14ac:dyDescent="0.3">
      <c r="A5561" s="4" t="s">
        <v>8284</v>
      </c>
      <c r="B5561">
        <v>3</v>
      </c>
    </row>
    <row r="5562" spans="1:2" ht="28.8" x14ac:dyDescent="0.3">
      <c r="A5562" s="4" t="s">
        <v>8285</v>
      </c>
      <c r="B5562">
        <v>3</v>
      </c>
    </row>
    <row r="5563" spans="1:2" ht="28.8" x14ac:dyDescent="0.3">
      <c r="A5563" s="4" t="s">
        <v>8286</v>
      </c>
      <c r="B5563">
        <v>3</v>
      </c>
    </row>
    <row r="5564" spans="1:2" x14ac:dyDescent="0.3">
      <c r="A5564" s="4" t="s">
        <v>8287</v>
      </c>
      <c r="B5564">
        <v>3</v>
      </c>
    </row>
    <row r="5565" spans="1:2" ht="28.8" x14ac:dyDescent="0.3">
      <c r="A5565" s="4" t="s">
        <v>8288</v>
      </c>
      <c r="B5565">
        <v>3</v>
      </c>
    </row>
    <row r="5566" spans="1:2" x14ac:dyDescent="0.3">
      <c r="A5566" s="4" t="s">
        <v>8289</v>
      </c>
      <c r="B5566">
        <v>3</v>
      </c>
    </row>
    <row r="5567" spans="1:2" ht="28.8" x14ac:dyDescent="0.3">
      <c r="A5567" s="4" t="s">
        <v>8290</v>
      </c>
      <c r="B5567">
        <v>3</v>
      </c>
    </row>
    <row r="5568" spans="1:2" ht="28.8" x14ac:dyDescent="0.3">
      <c r="A5568" s="4" t="s">
        <v>8291</v>
      </c>
      <c r="B5568">
        <v>3</v>
      </c>
    </row>
    <row r="5569" spans="1:2" ht="28.8" x14ac:dyDescent="0.3">
      <c r="A5569" s="4" t="s">
        <v>8292</v>
      </c>
      <c r="B5569">
        <v>3</v>
      </c>
    </row>
    <row r="5570" spans="1:2" ht="28.8" x14ac:dyDescent="0.3">
      <c r="A5570" s="4" t="s">
        <v>8293</v>
      </c>
      <c r="B5570">
        <v>3</v>
      </c>
    </row>
    <row r="5571" spans="1:2" ht="28.8" x14ac:dyDescent="0.3">
      <c r="A5571" s="4" t="s">
        <v>8294</v>
      </c>
      <c r="B5571">
        <v>3</v>
      </c>
    </row>
    <row r="5572" spans="1:2" ht="28.8" x14ac:dyDescent="0.3">
      <c r="A5572" s="4" t="s">
        <v>8295</v>
      </c>
      <c r="B5572">
        <v>3</v>
      </c>
    </row>
    <row r="5573" spans="1:2" x14ac:dyDescent="0.3">
      <c r="A5573" s="4" t="s">
        <v>8296</v>
      </c>
      <c r="B5573">
        <v>3</v>
      </c>
    </row>
    <row r="5574" spans="1:2" ht="28.8" x14ac:dyDescent="0.3">
      <c r="A5574" s="4" t="s">
        <v>8297</v>
      </c>
      <c r="B5574">
        <v>3</v>
      </c>
    </row>
    <row r="5575" spans="1:2" ht="43.2" x14ac:dyDescent="0.3">
      <c r="A5575" s="4" t="s">
        <v>8298</v>
      </c>
      <c r="B5575">
        <v>3</v>
      </c>
    </row>
    <row r="5576" spans="1:2" ht="187.2" x14ac:dyDescent="0.3">
      <c r="A5576" s="4" t="s">
        <v>8299</v>
      </c>
      <c r="B5576">
        <v>3</v>
      </c>
    </row>
    <row r="5577" spans="1:2" ht="28.8" x14ac:dyDescent="0.3">
      <c r="A5577" s="4" t="s">
        <v>8300</v>
      </c>
      <c r="B5577">
        <v>3</v>
      </c>
    </row>
    <row r="5578" spans="1:2" ht="28.8" x14ac:dyDescent="0.3">
      <c r="A5578" s="4" t="s">
        <v>8301</v>
      </c>
      <c r="B5578">
        <v>3</v>
      </c>
    </row>
    <row r="5579" spans="1:2" ht="28.8" x14ac:dyDescent="0.3">
      <c r="A5579" s="4" t="s">
        <v>8302</v>
      </c>
      <c r="B5579">
        <v>3</v>
      </c>
    </row>
    <row r="5580" spans="1:2" ht="28.8" x14ac:dyDescent="0.3">
      <c r="A5580" s="4" t="s">
        <v>8303</v>
      </c>
      <c r="B5580">
        <v>3</v>
      </c>
    </row>
    <row r="5581" spans="1:2" x14ac:dyDescent="0.3">
      <c r="A5581" s="4" t="s">
        <v>8304</v>
      </c>
      <c r="B5581">
        <v>3</v>
      </c>
    </row>
    <row r="5582" spans="1:2" ht="28.8" x14ac:dyDescent="0.3">
      <c r="A5582" s="4" t="s">
        <v>8305</v>
      </c>
      <c r="B5582">
        <v>3</v>
      </c>
    </row>
    <row r="5583" spans="1:2" ht="28.8" x14ac:dyDescent="0.3">
      <c r="A5583" s="4" t="s">
        <v>8306</v>
      </c>
      <c r="B5583">
        <v>3</v>
      </c>
    </row>
    <row r="5584" spans="1:2" x14ac:dyDescent="0.3">
      <c r="A5584" s="4" t="s">
        <v>8307</v>
      </c>
      <c r="B5584">
        <v>3</v>
      </c>
    </row>
    <row r="5585" spans="1:2" ht="28.8" x14ac:dyDescent="0.3">
      <c r="A5585" s="4" t="s">
        <v>8308</v>
      </c>
      <c r="B5585">
        <v>3</v>
      </c>
    </row>
    <row r="5586" spans="1:2" ht="28.8" x14ac:dyDescent="0.3">
      <c r="A5586" s="4" t="s">
        <v>8309</v>
      </c>
      <c r="B5586">
        <v>3</v>
      </c>
    </row>
    <row r="5587" spans="1:2" ht="43.2" x14ac:dyDescent="0.3">
      <c r="A5587" s="4" t="s">
        <v>8310</v>
      </c>
      <c r="B5587">
        <v>3</v>
      </c>
    </row>
    <row r="5588" spans="1:2" x14ac:dyDescent="0.3">
      <c r="A5588" s="4" t="s">
        <v>8311</v>
      </c>
      <c r="B5588">
        <v>3</v>
      </c>
    </row>
    <row r="5589" spans="1:2" ht="28.8" x14ac:dyDescent="0.3">
      <c r="A5589" s="4" t="s">
        <v>8312</v>
      </c>
      <c r="B5589">
        <v>3</v>
      </c>
    </row>
    <row r="5590" spans="1:2" ht="28.8" x14ac:dyDescent="0.3">
      <c r="A5590" s="4" t="s">
        <v>8313</v>
      </c>
      <c r="B5590">
        <v>3</v>
      </c>
    </row>
    <row r="5591" spans="1:2" ht="28.8" x14ac:dyDescent="0.3">
      <c r="A5591" s="4" t="s">
        <v>8314</v>
      </c>
      <c r="B5591">
        <v>3</v>
      </c>
    </row>
    <row r="5592" spans="1:2" ht="28.8" x14ac:dyDescent="0.3">
      <c r="A5592" s="4" t="s">
        <v>8315</v>
      </c>
      <c r="B5592">
        <v>3</v>
      </c>
    </row>
    <row r="5593" spans="1:2" x14ac:dyDescent="0.3">
      <c r="A5593" s="4" t="s">
        <v>8316</v>
      </c>
      <c r="B5593">
        <v>3</v>
      </c>
    </row>
    <row r="5594" spans="1:2" ht="43.2" x14ac:dyDescent="0.3">
      <c r="A5594" s="4" t="s">
        <v>8317</v>
      </c>
      <c r="B5594">
        <v>3</v>
      </c>
    </row>
    <row r="5595" spans="1:2" ht="28.8" x14ac:dyDescent="0.3">
      <c r="A5595" s="4" t="s">
        <v>8318</v>
      </c>
      <c r="B5595">
        <v>3</v>
      </c>
    </row>
    <row r="5596" spans="1:2" ht="43.2" x14ac:dyDescent="0.3">
      <c r="A5596" s="4" t="s">
        <v>8319</v>
      </c>
      <c r="B5596">
        <v>3</v>
      </c>
    </row>
    <row r="5597" spans="1:2" ht="28.8" x14ac:dyDescent="0.3">
      <c r="A5597" s="4" t="s">
        <v>8320</v>
      </c>
      <c r="B5597">
        <v>3</v>
      </c>
    </row>
    <row r="5598" spans="1:2" ht="28.8" x14ac:dyDescent="0.3">
      <c r="A5598" s="4" t="s">
        <v>8321</v>
      </c>
      <c r="B5598">
        <v>3</v>
      </c>
    </row>
    <row r="5599" spans="1:2" ht="28.8" x14ac:dyDescent="0.3">
      <c r="A5599" s="4" t="s">
        <v>8322</v>
      </c>
      <c r="B5599">
        <v>3</v>
      </c>
    </row>
    <row r="5600" spans="1:2" x14ac:dyDescent="0.3">
      <c r="A5600" s="4" t="s">
        <v>8323</v>
      </c>
      <c r="B5600">
        <v>3</v>
      </c>
    </row>
    <row r="5601" spans="1:2" ht="28.8" x14ac:dyDescent="0.3">
      <c r="A5601" s="4" t="s">
        <v>8324</v>
      </c>
      <c r="B5601">
        <v>3</v>
      </c>
    </row>
    <row r="5602" spans="1:2" ht="28.8" x14ac:dyDescent="0.3">
      <c r="A5602" s="4" t="s">
        <v>8325</v>
      </c>
      <c r="B5602">
        <v>3</v>
      </c>
    </row>
    <row r="5603" spans="1:2" ht="28.8" x14ac:dyDescent="0.3">
      <c r="A5603" s="4" t="s">
        <v>8326</v>
      </c>
      <c r="B5603">
        <v>3</v>
      </c>
    </row>
    <row r="5604" spans="1:2" ht="28.8" x14ac:dyDescent="0.3">
      <c r="A5604" s="4" t="s">
        <v>8327</v>
      </c>
      <c r="B5604">
        <v>3</v>
      </c>
    </row>
    <row r="5605" spans="1:2" ht="28.8" x14ac:dyDescent="0.3">
      <c r="A5605" s="4" t="s">
        <v>8328</v>
      </c>
      <c r="B5605">
        <v>3</v>
      </c>
    </row>
    <row r="5606" spans="1:2" ht="28.8" x14ac:dyDescent="0.3">
      <c r="A5606" s="4" t="s">
        <v>8329</v>
      </c>
      <c r="B5606">
        <v>3</v>
      </c>
    </row>
    <row r="5607" spans="1:2" ht="28.8" x14ac:dyDescent="0.3">
      <c r="A5607" s="4" t="s">
        <v>8330</v>
      </c>
      <c r="B5607">
        <v>3</v>
      </c>
    </row>
    <row r="5608" spans="1:2" ht="28.8" x14ac:dyDescent="0.3">
      <c r="A5608" s="4" t="s">
        <v>8331</v>
      </c>
      <c r="B5608">
        <v>3</v>
      </c>
    </row>
    <row r="5609" spans="1:2" ht="28.8" x14ac:dyDescent="0.3">
      <c r="A5609" s="4" t="s">
        <v>8332</v>
      </c>
      <c r="B5609">
        <v>3</v>
      </c>
    </row>
    <row r="5610" spans="1:2" ht="43.2" x14ac:dyDescent="0.3">
      <c r="A5610" s="4" t="s">
        <v>8333</v>
      </c>
      <c r="B5610">
        <v>3</v>
      </c>
    </row>
    <row r="5611" spans="1:2" ht="28.8" x14ac:dyDescent="0.3">
      <c r="A5611" s="4" t="s">
        <v>8334</v>
      </c>
      <c r="B5611">
        <v>3</v>
      </c>
    </row>
    <row r="5612" spans="1:2" ht="43.2" x14ac:dyDescent="0.3">
      <c r="A5612" s="4" t="s">
        <v>8335</v>
      </c>
      <c r="B5612">
        <v>3</v>
      </c>
    </row>
    <row r="5613" spans="1:2" ht="28.8" x14ac:dyDescent="0.3">
      <c r="A5613" s="4" t="s">
        <v>8336</v>
      </c>
      <c r="B5613">
        <v>3</v>
      </c>
    </row>
    <row r="5614" spans="1:2" x14ac:dyDescent="0.3">
      <c r="A5614" s="4" t="s">
        <v>8337</v>
      </c>
      <c r="B5614">
        <v>3</v>
      </c>
    </row>
    <row r="5615" spans="1:2" ht="28.8" x14ac:dyDescent="0.3">
      <c r="A5615" s="4" t="s">
        <v>8338</v>
      </c>
      <c r="B5615">
        <v>3</v>
      </c>
    </row>
    <row r="5616" spans="1:2" ht="28.8" x14ac:dyDescent="0.3">
      <c r="A5616" s="4" t="s">
        <v>8339</v>
      </c>
      <c r="B5616">
        <v>3</v>
      </c>
    </row>
    <row r="5617" spans="1:2" x14ac:dyDescent="0.3">
      <c r="A5617" s="4" t="s">
        <v>8340</v>
      </c>
      <c r="B5617">
        <v>3</v>
      </c>
    </row>
    <row r="5618" spans="1:2" ht="28.8" x14ac:dyDescent="0.3">
      <c r="A5618" s="4" t="s">
        <v>8341</v>
      </c>
      <c r="B5618">
        <v>3</v>
      </c>
    </row>
    <row r="5619" spans="1:2" ht="43.2" x14ac:dyDescent="0.3">
      <c r="A5619" s="4" t="s">
        <v>8342</v>
      </c>
      <c r="B5619">
        <v>3</v>
      </c>
    </row>
    <row r="5620" spans="1:2" ht="28.8" x14ac:dyDescent="0.3">
      <c r="A5620" s="4" t="s">
        <v>8343</v>
      </c>
      <c r="B5620">
        <v>3</v>
      </c>
    </row>
    <row r="5621" spans="1:2" x14ac:dyDescent="0.3">
      <c r="A5621" s="4" t="s">
        <v>8344</v>
      </c>
      <c r="B5621">
        <v>3</v>
      </c>
    </row>
    <row r="5622" spans="1:2" ht="28.8" x14ac:dyDescent="0.3">
      <c r="A5622" s="4" t="s">
        <v>8345</v>
      </c>
      <c r="B5622">
        <v>3</v>
      </c>
    </row>
    <row r="5623" spans="1:2" x14ac:dyDescent="0.3">
      <c r="A5623" s="4" t="s">
        <v>8346</v>
      </c>
      <c r="B5623">
        <v>3</v>
      </c>
    </row>
    <row r="5624" spans="1:2" ht="28.8" x14ac:dyDescent="0.3">
      <c r="A5624" s="4" t="s">
        <v>8347</v>
      </c>
      <c r="B5624">
        <v>3</v>
      </c>
    </row>
    <row r="5625" spans="1:2" ht="43.2" x14ac:dyDescent="0.3">
      <c r="A5625" s="4" t="s">
        <v>8348</v>
      </c>
      <c r="B5625">
        <v>3</v>
      </c>
    </row>
    <row r="5626" spans="1:2" ht="28.8" x14ac:dyDescent="0.3">
      <c r="A5626" s="4" t="s">
        <v>8349</v>
      </c>
      <c r="B5626">
        <v>3</v>
      </c>
    </row>
    <row r="5627" spans="1:2" ht="28.8" x14ac:dyDescent="0.3">
      <c r="A5627" s="4" t="s">
        <v>8350</v>
      </c>
      <c r="B5627">
        <v>3</v>
      </c>
    </row>
    <row r="5628" spans="1:2" ht="28.8" x14ac:dyDescent="0.3">
      <c r="A5628" s="4" t="s">
        <v>8351</v>
      </c>
      <c r="B5628">
        <v>3</v>
      </c>
    </row>
    <row r="5629" spans="1:2" ht="28.8" x14ac:dyDescent="0.3">
      <c r="A5629" s="4" t="s">
        <v>8352</v>
      </c>
      <c r="B5629">
        <v>3</v>
      </c>
    </row>
    <row r="5630" spans="1:2" ht="28.8" x14ac:dyDescent="0.3">
      <c r="A5630" s="4" t="s">
        <v>8353</v>
      </c>
      <c r="B5630">
        <v>3</v>
      </c>
    </row>
    <row r="5631" spans="1:2" ht="28.8" x14ac:dyDescent="0.3">
      <c r="A5631" s="4" t="s">
        <v>8354</v>
      </c>
      <c r="B5631">
        <v>3</v>
      </c>
    </row>
    <row r="5632" spans="1:2" x14ac:dyDescent="0.3">
      <c r="A5632" s="4" t="s">
        <v>8355</v>
      </c>
      <c r="B5632">
        <v>3</v>
      </c>
    </row>
    <row r="5633" spans="1:2" ht="43.2" x14ac:dyDescent="0.3">
      <c r="A5633" s="4" t="s">
        <v>8356</v>
      </c>
      <c r="B5633">
        <v>3</v>
      </c>
    </row>
    <row r="5634" spans="1:2" ht="28.8" x14ac:dyDescent="0.3">
      <c r="A5634" s="4" t="s">
        <v>8357</v>
      </c>
      <c r="B5634">
        <v>3</v>
      </c>
    </row>
    <row r="5635" spans="1:2" ht="28.8" x14ac:dyDescent="0.3">
      <c r="A5635" s="4" t="s">
        <v>8358</v>
      </c>
      <c r="B5635">
        <v>3</v>
      </c>
    </row>
    <row r="5636" spans="1:2" ht="28.8" x14ac:dyDescent="0.3">
      <c r="A5636" s="4" t="s">
        <v>8359</v>
      </c>
      <c r="B5636">
        <v>3</v>
      </c>
    </row>
    <row r="5637" spans="1:2" ht="28.8" x14ac:dyDescent="0.3">
      <c r="A5637" s="4" t="s">
        <v>8360</v>
      </c>
      <c r="B5637">
        <v>3</v>
      </c>
    </row>
    <row r="5638" spans="1:2" ht="28.8" x14ac:dyDescent="0.3">
      <c r="A5638" s="4" t="s">
        <v>8361</v>
      </c>
      <c r="B5638">
        <v>3</v>
      </c>
    </row>
    <row r="5639" spans="1:2" ht="28.8" x14ac:dyDescent="0.3">
      <c r="A5639" s="4" t="s">
        <v>8362</v>
      </c>
      <c r="B5639">
        <v>3</v>
      </c>
    </row>
    <row r="5640" spans="1:2" ht="28.8" x14ac:dyDescent="0.3">
      <c r="A5640" s="4" t="s">
        <v>8363</v>
      </c>
      <c r="B5640">
        <v>3</v>
      </c>
    </row>
    <row r="5641" spans="1:2" ht="28.8" x14ac:dyDescent="0.3">
      <c r="A5641" s="4" t="s">
        <v>8364</v>
      </c>
      <c r="B5641">
        <v>3</v>
      </c>
    </row>
    <row r="5642" spans="1:2" ht="28.8" x14ac:dyDescent="0.3">
      <c r="A5642" s="4" t="s">
        <v>8365</v>
      </c>
      <c r="B5642">
        <v>3</v>
      </c>
    </row>
    <row r="5643" spans="1:2" ht="28.8" x14ac:dyDescent="0.3">
      <c r="A5643" s="4" t="s">
        <v>8366</v>
      </c>
      <c r="B5643">
        <v>3</v>
      </c>
    </row>
    <row r="5644" spans="1:2" x14ac:dyDescent="0.3">
      <c r="A5644" s="4" t="s">
        <v>8367</v>
      </c>
      <c r="B5644">
        <v>3</v>
      </c>
    </row>
    <row r="5645" spans="1:2" x14ac:dyDescent="0.3">
      <c r="A5645" s="4" t="s">
        <v>8368</v>
      </c>
      <c r="B5645">
        <v>3</v>
      </c>
    </row>
    <row r="5646" spans="1:2" ht="28.8" x14ac:dyDescent="0.3">
      <c r="A5646" s="4" t="s">
        <v>8369</v>
      </c>
      <c r="B5646">
        <v>3</v>
      </c>
    </row>
    <row r="5647" spans="1:2" ht="28.8" x14ac:dyDescent="0.3">
      <c r="A5647" s="4" t="s">
        <v>8370</v>
      </c>
      <c r="B5647">
        <v>3</v>
      </c>
    </row>
    <row r="5648" spans="1:2" ht="28.8" x14ac:dyDescent="0.3">
      <c r="A5648" s="4" t="s">
        <v>8371</v>
      </c>
      <c r="B5648">
        <v>3</v>
      </c>
    </row>
    <row r="5649" spans="1:2" ht="28.8" x14ac:dyDescent="0.3">
      <c r="A5649" s="4" t="s">
        <v>8372</v>
      </c>
      <c r="B5649">
        <v>3</v>
      </c>
    </row>
    <row r="5650" spans="1:2" ht="28.8" x14ac:dyDescent="0.3">
      <c r="A5650" s="4" t="s">
        <v>8373</v>
      </c>
      <c r="B5650">
        <v>3</v>
      </c>
    </row>
    <row r="5651" spans="1:2" ht="43.2" x14ac:dyDescent="0.3">
      <c r="A5651" s="4" t="s">
        <v>8374</v>
      </c>
      <c r="B5651">
        <v>3</v>
      </c>
    </row>
    <row r="5652" spans="1:2" ht="28.8" x14ac:dyDescent="0.3">
      <c r="A5652" s="4" t="s">
        <v>8375</v>
      </c>
      <c r="B5652">
        <v>3</v>
      </c>
    </row>
    <row r="5653" spans="1:2" x14ac:dyDescent="0.3">
      <c r="A5653" s="4" t="s">
        <v>8376</v>
      </c>
      <c r="B5653">
        <v>3</v>
      </c>
    </row>
    <row r="5654" spans="1:2" ht="28.8" x14ac:dyDescent="0.3">
      <c r="A5654" s="4" t="s">
        <v>8377</v>
      </c>
      <c r="B5654">
        <v>3</v>
      </c>
    </row>
    <row r="5655" spans="1:2" ht="43.2" x14ac:dyDescent="0.3">
      <c r="A5655" s="4" t="s">
        <v>8378</v>
      </c>
      <c r="B5655">
        <v>3</v>
      </c>
    </row>
    <row r="5656" spans="1:2" ht="28.8" x14ac:dyDescent="0.3">
      <c r="A5656" s="4" t="s">
        <v>8379</v>
      </c>
      <c r="B5656">
        <v>3</v>
      </c>
    </row>
    <row r="5657" spans="1:2" ht="43.2" x14ac:dyDescent="0.3">
      <c r="A5657" s="4" t="s">
        <v>8380</v>
      </c>
      <c r="B5657">
        <v>3</v>
      </c>
    </row>
    <row r="5658" spans="1:2" ht="28.8" x14ac:dyDescent="0.3">
      <c r="A5658" s="4" t="s">
        <v>8381</v>
      </c>
      <c r="B5658">
        <v>3</v>
      </c>
    </row>
    <row r="5659" spans="1:2" ht="28.8" x14ac:dyDescent="0.3">
      <c r="A5659" s="4" t="s">
        <v>8382</v>
      </c>
      <c r="B5659">
        <v>3</v>
      </c>
    </row>
    <row r="5660" spans="1:2" ht="28.8" x14ac:dyDescent="0.3">
      <c r="A5660" s="4" t="s">
        <v>8383</v>
      </c>
      <c r="B5660">
        <v>3</v>
      </c>
    </row>
    <row r="5661" spans="1:2" ht="28.8" x14ac:dyDescent="0.3">
      <c r="A5661" s="4" t="s">
        <v>8384</v>
      </c>
      <c r="B5661">
        <v>3</v>
      </c>
    </row>
    <row r="5662" spans="1:2" x14ac:dyDescent="0.3">
      <c r="A5662" s="4" t="s">
        <v>8385</v>
      </c>
      <c r="B5662">
        <v>3</v>
      </c>
    </row>
    <row r="5663" spans="1:2" ht="28.8" x14ac:dyDescent="0.3">
      <c r="A5663" s="4" t="s">
        <v>8386</v>
      </c>
      <c r="B5663">
        <v>3</v>
      </c>
    </row>
    <row r="5664" spans="1:2" ht="28.8" x14ac:dyDescent="0.3">
      <c r="A5664" s="4" t="s">
        <v>8387</v>
      </c>
      <c r="B5664">
        <v>3</v>
      </c>
    </row>
    <row r="5665" spans="1:2" ht="28.8" x14ac:dyDescent="0.3">
      <c r="A5665" s="4" t="s">
        <v>8388</v>
      </c>
      <c r="B5665">
        <v>3</v>
      </c>
    </row>
    <row r="5666" spans="1:2" ht="28.8" x14ac:dyDescent="0.3">
      <c r="A5666" s="4" t="s">
        <v>8389</v>
      </c>
      <c r="B5666">
        <v>3</v>
      </c>
    </row>
    <row r="5667" spans="1:2" ht="43.2" x14ac:dyDescent="0.3">
      <c r="A5667" s="4" t="s">
        <v>8390</v>
      </c>
      <c r="B5667">
        <v>3</v>
      </c>
    </row>
    <row r="5668" spans="1:2" ht="28.8" x14ac:dyDescent="0.3">
      <c r="A5668" s="4" t="s">
        <v>8391</v>
      </c>
      <c r="B5668">
        <v>3</v>
      </c>
    </row>
    <row r="5669" spans="1:2" x14ac:dyDescent="0.3">
      <c r="A5669" s="4" t="s">
        <v>8392</v>
      </c>
      <c r="B5669">
        <v>3</v>
      </c>
    </row>
    <row r="5670" spans="1:2" ht="28.8" x14ac:dyDescent="0.3">
      <c r="A5670" s="4" t="s">
        <v>8393</v>
      </c>
      <c r="B5670">
        <v>3</v>
      </c>
    </row>
    <row r="5671" spans="1:2" ht="28.8" x14ac:dyDescent="0.3">
      <c r="A5671" s="4" t="s">
        <v>8394</v>
      </c>
      <c r="B5671">
        <v>3</v>
      </c>
    </row>
    <row r="5672" spans="1:2" x14ac:dyDescent="0.3">
      <c r="A5672" s="4" t="s">
        <v>8395</v>
      </c>
      <c r="B5672">
        <v>3</v>
      </c>
    </row>
    <row r="5673" spans="1:2" x14ac:dyDescent="0.3">
      <c r="A5673" s="4" t="s">
        <v>8396</v>
      </c>
      <c r="B5673">
        <v>3</v>
      </c>
    </row>
    <row r="5674" spans="1:2" ht="28.8" x14ac:dyDescent="0.3">
      <c r="A5674" s="4" t="s">
        <v>8397</v>
      </c>
      <c r="B5674">
        <v>3</v>
      </c>
    </row>
    <row r="5675" spans="1:2" ht="28.8" x14ac:dyDescent="0.3">
      <c r="A5675" s="4" t="s">
        <v>8398</v>
      </c>
      <c r="B5675">
        <v>3</v>
      </c>
    </row>
    <row r="5676" spans="1:2" x14ac:dyDescent="0.3">
      <c r="A5676" s="4" t="s">
        <v>8399</v>
      </c>
      <c r="B5676">
        <v>3</v>
      </c>
    </row>
    <row r="5677" spans="1:2" ht="28.8" x14ac:dyDescent="0.3">
      <c r="A5677" s="4" t="s">
        <v>8400</v>
      </c>
      <c r="B5677">
        <v>3</v>
      </c>
    </row>
    <row r="5678" spans="1:2" ht="28.8" x14ac:dyDescent="0.3">
      <c r="A5678" s="4" t="s">
        <v>8401</v>
      </c>
      <c r="B5678">
        <v>3</v>
      </c>
    </row>
    <row r="5679" spans="1:2" x14ac:dyDescent="0.3">
      <c r="A5679" s="4" t="s">
        <v>8402</v>
      </c>
      <c r="B5679">
        <v>3</v>
      </c>
    </row>
    <row r="5680" spans="1:2" ht="28.8" x14ac:dyDescent="0.3">
      <c r="A5680" s="4" t="s">
        <v>8403</v>
      </c>
      <c r="B5680">
        <v>3</v>
      </c>
    </row>
    <row r="5681" spans="1:2" ht="28.8" x14ac:dyDescent="0.3">
      <c r="A5681" s="4" t="s">
        <v>8404</v>
      </c>
      <c r="B5681">
        <v>3</v>
      </c>
    </row>
    <row r="5682" spans="1:2" x14ac:dyDescent="0.3">
      <c r="A5682" s="4" t="s">
        <v>8405</v>
      </c>
      <c r="B5682">
        <v>3</v>
      </c>
    </row>
    <row r="5683" spans="1:2" ht="28.8" x14ac:dyDescent="0.3">
      <c r="A5683" s="4" t="s">
        <v>8406</v>
      </c>
      <c r="B5683">
        <v>3</v>
      </c>
    </row>
    <row r="5684" spans="1:2" ht="28.8" x14ac:dyDescent="0.3">
      <c r="A5684" s="4" t="s">
        <v>8407</v>
      </c>
      <c r="B5684">
        <v>3</v>
      </c>
    </row>
    <row r="5685" spans="1:2" x14ac:dyDescent="0.3">
      <c r="A5685" s="4" t="s">
        <v>8408</v>
      </c>
      <c r="B5685">
        <v>3</v>
      </c>
    </row>
    <row r="5686" spans="1:2" ht="28.8" x14ac:dyDescent="0.3">
      <c r="A5686" s="4" t="s">
        <v>8409</v>
      </c>
      <c r="B5686">
        <v>3</v>
      </c>
    </row>
    <row r="5687" spans="1:2" ht="28.8" x14ac:dyDescent="0.3">
      <c r="A5687" s="4" t="s">
        <v>8410</v>
      </c>
      <c r="B5687">
        <v>3</v>
      </c>
    </row>
    <row r="5688" spans="1:2" ht="43.2" x14ac:dyDescent="0.3">
      <c r="A5688" s="4" t="s">
        <v>8411</v>
      </c>
      <c r="B5688">
        <v>3</v>
      </c>
    </row>
    <row r="5689" spans="1:2" ht="28.8" x14ac:dyDescent="0.3">
      <c r="A5689" s="4" t="s">
        <v>8412</v>
      </c>
      <c r="B5689">
        <v>3</v>
      </c>
    </row>
    <row r="5690" spans="1:2" ht="43.2" x14ac:dyDescent="0.3">
      <c r="A5690" s="4" t="s">
        <v>8413</v>
      </c>
      <c r="B5690">
        <v>3</v>
      </c>
    </row>
    <row r="5691" spans="1:2" ht="43.2" x14ac:dyDescent="0.3">
      <c r="A5691" s="4" t="s">
        <v>8414</v>
      </c>
      <c r="B5691">
        <v>3</v>
      </c>
    </row>
    <row r="5692" spans="1:2" ht="28.8" x14ac:dyDescent="0.3">
      <c r="A5692" s="4" t="s">
        <v>8415</v>
      </c>
      <c r="B5692">
        <v>3</v>
      </c>
    </row>
    <row r="5693" spans="1:2" ht="28.8" x14ac:dyDescent="0.3">
      <c r="A5693" s="4" t="s">
        <v>8416</v>
      </c>
      <c r="B5693">
        <v>3</v>
      </c>
    </row>
    <row r="5694" spans="1:2" ht="28.8" x14ac:dyDescent="0.3">
      <c r="A5694" s="4" t="s">
        <v>8417</v>
      </c>
      <c r="B5694">
        <v>3</v>
      </c>
    </row>
    <row r="5695" spans="1:2" ht="28.8" x14ac:dyDescent="0.3">
      <c r="A5695" s="4" t="s">
        <v>8418</v>
      </c>
      <c r="B5695">
        <v>3</v>
      </c>
    </row>
    <row r="5696" spans="1:2" ht="28.8" x14ac:dyDescent="0.3">
      <c r="A5696" s="4" t="s">
        <v>8419</v>
      </c>
      <c r="B5696">
        <v>3</v>
      </c>
    </row>
    <row r="5697" spans="1:2" ht="28.8" x14ac:dyDescent="0.3">
      <c r="A5697" s="4" t="s">
        <v>8420</v>
      </c>
      <c r="B5697">
        <v>3</v>
      </c>
    </row>
    <row r="5698" spans="1:2" ht="28.8" x14ac:dyDescent="0.3">
      <c r="A5698" s="4" t="s">
        <v>8421</v>
      </c>
      <c r="B5698">
        <v>3</v>
      </c>
    </row>
    <row r="5699" spans="1:2" ht="72" x14ac:dyDescent="0.3">
      <c r="A5699" s="4" t="s">
        <v>8422</v>
      </c>
      <c r="B5699">
        <v>3</v>
      </c>
    </row>
    <row r="5700" spans="1:2" ht="28.8" x14ac:dyDescent="0.3">
      <c r="A5700" s="4" t="s">
        <v>8423</v>
      </c>
      <c r="B5700">
        <v>3</v>
      </c>
    </row>
    <row r="5701" spans="1:2" x14ac:dyDescent="0.3">
      <c r="A5701" s="4" t="s">
        <v>8424</v>
      </c>
      <c r="B5701">
        <v>3</v>
      </c>
    </row>
    <row r="5702" spans="1:2" x14ac:dyDescent="0.3">
      <c r="A5702" s="4" t="s">
        <v>8425</v>
      </c>
      <c r="B5702">
        <v>3</v>
      </c>
    </row>
    <row r="5703" spans="1:2" ht="28.8" x14ac:dyDescent="0.3">
      <c r="A5703" s="4" t="s">
        <v>8426</v>
      </c>
      <c r="B5703">
        <v>3</v>
      </c>
    </row>
    <row r="5704" spans="1:2" ht="28.8" x14ac:dyDescent="0.3">
      <c r="A5704" s="4" t="s">
        <v>8427</v>
      </c>
      <c r="B5704">
        <v>3</v>
      </c>
    </row>
    <row r="5705" spans="1:2" ht="28.8" x14ac:dyDescent="0.3">
      <c r="A5705" s="4" t="s">
        <v>8428</v>
      </c>
      <c r="B5705">
        <v>3</v>
      </c>
    </row>
    <row r="5706" spans="1:2" x14ac:dyDescent="0.3">
      <c r="A5706" s="4" t="s">
        <v>8429</v>
      </c>
      <c r="B5706">
        <v>3</v>
      </c>
    </row>
    <row r="5707" spans="1:2" ht="28.8" x14ac:dyDescent="0.3">
      <c r="A5707" s="4" t="s">
        <v>8430</v>
      </c>
      <c r="B5707">
        <v>3</v>
      </c>
    </row>
    <row r="5708" spans="1:2" ht="28.8" x14ac:dyDescent="0.3">
      <c r="A5708" s="4" t="s">
        <v>8431</v>
      </c>
      <c r="B5708">
        <v>3</v>
      </c>
    </row>
    <row r="5709" spans="1:2" ht="28.8" x14ac:dyDescent="0.3">
      <c r="A5709" s="4" t="s">
        <v>8432</v>
      </c>
      <c r="B5709">
        <v>3</v>
      </c>
    </row>
    <row r="5710" spans="1:2" ht="28.8" x14ac:dyDescent="0.3">
      <c r="A5710" s="4" t="s">
        <v>8433</v>
      </c>
      <c r="B5710">
        <v>3</v>
      </c>
    </row>
    <row r="5711" spans="1:2" ht="28.8" x14ac:dyDescent="0.3">
      <c r="A5711" s="4" t="s">
        <v>8434</v>
      </c>
      <c r="B5711">
        <v>3</v>
      </c>
    </row>
    <row r="5712" spans="1:2" ht="28.8" x14ac:dyDescent="0.3">
      <c r="A5712" s="4" t="s">
        <v>8435</v>
      </c>
      <c r="B5712">
        <v>3</v>
      </c>
    </row>
    <row r="5713" spans="1:2" ht="28.8" x14ac:dyDescent="0.3">
      <c r="A5713" s="4" t="s">
        <v>8436</v>
      </c>
      <c r="B5713">
        <v>3</v>
      </c>
    </row>
    <row r="5714" spans="1:2" ht="43.2" x14ac:dyDescent="0.3">
      <c r="A5714" s="4" t="s">
        <v>8437</v>
      </c>
      <c r="B5714">
        <v>3</v>
      </c>
    </row>
    <row r="5715" spans="1:2" ht="28.8" x14ac:dyDescent="0.3">
      <c r="A5715" s="4" t="s">
        <v>8438</v>
      </c>
      <c r="B5715">
        <v>3</v>
      </c>
    </row>
    <row r="5716" spans="1:2" ht="28.8" x14ac:dyDescent="0.3">
      <c r="A5716" s="4" t="s">
        <v>8439</v>
      </c>
      <c r="B5716">
        <v>3</v>
      </c>
    </row>
    <row r="5717" spans="1:2" ht="57.6" x14ac:dyDescent="0.3">
      <c r="A5717" s="4" t="s">
        <v>8440</v>
      </c>
      <c r="B5717">
        <v>3</v>
      </c>
    </row>
    <row r="5718" spans="1:2" x14ac:dyDescent="0.3">
      <c r="A5718" s="4" t="s">
        <v>8441</v>
      </c>
      <c r="B5718">
        <v>3</v>
      </c>
    </row>
    <row r="5719" spans="1:2" x14ac:dyDescent="0.3">
      <c r="A5719" s="4" t="s">
        <v>8442</v>
      </c>
      <c r="B5719">
        <v>3</v>
      </c>
    </row>
    <row r="5720" spans="1:2" ht="28.8" x14ac:dyDescent="0.3">
      <c r="A5720" s="4" t="s">
        <v>8443</v>
      </c>
      <c r="B5720">
        <v>3</v>
      </c>
    </row>
    <row r="5721" spans="1:2" ht="43.2" x14ac:dyDescent="0.3">
      <c r="A5721" s="4" t="s">
        <v>8444</v>
      </c>
      <c r="B5721">
        <v>3</v>
      </c>
    </row>
    <row r="5722" spans="1:2" ht="28.8" x14ac:dyDescent="0.3">
      <c r="A5722" s="4" t="s">
        <v>8445</v>
      </c>
      <c r="B5722">
        <v>3</v>
      </c>
    </row>
    <row r="5723" spans="1:2" ht="28.8" x14ac:dyDescent="0.3">
      <c r="A5723" s="4" t="s">
        <v>8446</v>
      </c>
      <c r="B5723">
        <v>3</v>
      </c>
    </row>
    <row r="5724" spans="1:2" ht="28.8" x14ac:dyDescent="0.3">
      <c r="A5724" s="4" t="s">
        <v>8447</v>
      </c>
      <c r="B5724">
        <v>3</v>
      </c>
    </row>
    <row r="5725" spans="1:2" x14ac:dyDescent="0.3">
      <c r="A5725" s="4" t="s">
        <v>8448</v>
      </c>
      <c r="B5725">
        <v>3</v>
      </c>
    </row>
    <row r="5726" spans="1:2" ht="28.8" x14ac:dyDescent="0.3">
      <c r="A5726" s="4" t="s">
        <v>8449</v>
      </c>
      <c r="B5726">
        <v>3</v>
      </c>
    </row>
    <row r="5727" spans="1:2" ht="28.8" x14ac:dyDescent="0.3">
      <c r="A5727" s="4" t="s">
        <v>8450</v>
      </c>
      <c r="B5727">
        <v>3</v>
      </c>
    </row>
    <row r="5728" spans="1:2" ht="28.8" x14ac:dyDescent="0.3">
      <c r="A5728" s="4" t="s">
        <v>8451</v>
      </c>
      <c r="B5728">
        <v>3</v>
      </c>
    </row>
    <row r="5729" spans="1:2" ht="28.8" x14ac:dyDescent="0.3">
      <c r="A5729" s="4" t="s">
        <v>8452</v>
      </c>
      <c r="B5729">
        <v>3</v>
      </c>
    </row>
    <row r="5730" spans="1:2" ht="28.8" x14ac:dyDescent="0.3">
      <c r="A5730" s="4" t="s">
        <v>8453</v>
      </c>
      <c r="B5730">
        <v>3</v>
      </c>
    </row>
    <row r="5731" spans="1:2" x14ac:dyDescent="0.3">
      <c r="A5731" s="4" t="s">
        <v>8454</v>
      </c>
      <c r="B5731">
        <v>3</v>
      </c>
    </row>
    <row r="5732" spans="1:2" x14ac:dyDescent="0.3">
      <c r="A5732" s="4" t="s">
        <v>8455</v>
      </c>
      <c r="B5732">
        <v>3</v>
      </c>
    </row>
    <row r="5733" spans="1:2" x14ac:dyDescent="0.3">
      <c r="A5733" s="4" t="s">
        <v>8456</v>
      </c>
      <c r="B5733">
        <v>3</v>
      </c>
    </row>
    <row r="5734" spans="1:2" ht="28.8" x14ac:dyDescent="0.3">
      <c r="A5734" s="4" t="s">
        <v>8457</v>
      </c>
      <c r="B5734">
        <v>3</v>
      </c>
    </row>
    <row r="5735" spans="1:2" x14ac:dyDescent="0.3">
      <c r="A5735" s="4" t="s">
        <v>8458</v>
      </c>
      <c r="B5735">
        <v>3</v>
      </c>
    </row>
    <row r="5736" spans="1:2" ht="28.8" x14ac:dyDescent="0.3">
      <c r="A5736" s="4" t="s">
        <v>8459</v>
      </c>
      <c r="B5736">
        <v>3</v>
      </c>
    </row>
    <row r="5737" spans="1:2" ht="28.8" x14ac:dyDescent="0.3">
      <c r="A5737" s="4" t="s">
        <v>8460</v>
      </c>
      <c r="B5737">
        <v>3</v>
      </c>
    </row>
    <row r="5738" spans="1:2" x14ac:dyDescent="0.3">
      <c r="A5738" s="4" t="s">
        <v>8461</v>
      </c>
      <c r="B5738">
        <v>3</v>
      </c>
    </row>
    <row r="5739" spans="1:2" x14ac:dyDescent="0.3">
      <c r="A5739" s="4" t="s">
        <v>8462</v>
      </c>
      <c r="B5739">
        <v>3</v>
      </c>
    </row>
    <row r="5740" spans="1:2" ht="28.8" x14ac:dyDescent="0.3">
      <c r="A5740" s="4" t="s">
        <v>8463</v>
      </c>
      <c r="B5740">
        <v>3</v>
      </c>
    </row>
    <row r="5741" spans="1:2" ht="28.8" x14ac:dyDescent="0.3">
      <c r="A5741" s="4" t="s">
        <v>8464</v>
      </c>
      <c r="B5741">
        <v>3</v>
      </c>
    </row>
    <row r="5742" spans="1:2" ht="28.8" x14ac:dyDescent="0.3">
      <c r="A5742" s="4" t="s">
        <v>8465</v>
      </c>
      <c r="B5742">
        <v>3</v>
      </c>
    </row>
    <row r="5743" spans="1:2" ht="28.8" x14ac:dyDescent="0.3">
      <c r="A5743" s="4" t="s">
        <v>8466</v>
      </c>
      <c r="B5743">
        <v>3</v>
      </c>
    </row>
    <row r="5744" spans="1:2" ht="28.8" x14ac:dyDescent="0.3">
      <c r="A5744" s="4" t="s">
        <v>8467</v>
      </c>
      <c r="B5744">
        <v>3</v>
      </c>
    </row>
    <row r="5745" spans="1:2" ht="43.2" x14ac:dyDescent="0.3">
      <c r="A5745" s="4" t="s">
        <v>8468</v>
      </c>
      <c r="B5745">
        <v>3</v>
      </c>
    </row>
    <row r="5746" spans="1:2" ht="28.8" x14ac:dyDescent="0.3">
      <c r="A5746" s="4" t="s">
        <v>8469</v>
      </c>
      <c r="B5746">
        <v>3</v>
      </c>
    </row>
    <row r="5747" spans="1:2" ht="28.8" x14ac:dyDescent="0.3">
      <c r="A5747" s="4" t="s">
        <v>8470</v>
      </c>
      <c r="B5747">
        <v>3</v>
      </c>
    </row>
    <row r="5748" spans="1:2" ht="28.8" x14ac:dyDescent="0.3">
      <c r="A5748" s="4" t="s">
        <v>8471</v>
      </c>
      <c r="B5748">
        <v>3</v>
      </c>
    </row>
    <row r="5749" spans="1:2" ht="28.8" x14ac:dyDescent="0.3">
      <c r="A5749" s="4" t="s">
        <v>8472</v>
      </c>
      <c r="B5749">
        <v>3</v>
      </c>
    </row>
    <row r="5750" spans="1:2" ht="28.8" x14ac:dyDescent="0.3">
      <c r="A5750" s="4" t="s">
        <v>8473</v>
      </c>
      <c r="B5750">
        <v>3</v>
      </c>
    </row>
    <row r="5751" spans="1:2" x14ac:dyDescent="0.3">
      <c r="A5751" s="4" t="s">
        <v>8474</v>
      </c>
      <c r="B5751">
        <v>3</v>
      </c>
    </row>
    <row r="5752" spans="1:2" ht="28.8" x14ac:dyDescent="0.3">
      <c r="A5752" s="4" t="s">
        <v>8475</v>
      </c>
      <c r="B5752">
        <v>3</v>
      </c>
    </row>
    <row r="5753" spans="1:2" ht="28.8" x14ac:dyDescent="0.3">
      <c r="A5753" s="4" t="s">
        <v>8476</v>
      </c>
      <c r="B5753">
        <v>3</v>
      </c>
    </row>
    <row r="5754" spans="1:2" ht="43.2" x14ac:dyDescent="0.3">
      <c r="A5754" s="4" t="s">
        <v>8477</v>
      </c>
      <c r="B5754">
        <v>3</v>
      </c>
    </row>
    <row r="5755" spans="1:2" ht="28.8" x14ac:dyDescent="0.3">
      <c r="A5755" s="4" t="s">
        <v>8478</v>
      </c>
      <c r="B5755">
        <v>3</v>
      </c>
    </row>
    <row r="5756" spans="1:2" x14ac:dyDescent="0.3">
      <c r="A5756" s="4" t="s">
        <v>8479</v>
      </c>
      <c r="B5756">
        <v>3</v>
      </c>
    </row>
    <row r="5757" spans="1:2" ht="28.8" x14ac:dyDescent="0.3">
      <c r="A5757" s="4" t="s">
        <v>8480</v>
      </c>
      <c r="B5757">
        <v>3</v>
      </c>
    </row>
    <row r="5758" spans="1:2" x14ac:dyDescent="0.3">
      <c r="A5758" s="4" t="s">
        <v>8481</v>
      </c>
      <c r="B5758">
        <v>3</v>
      </c>
    </row>
    <row r="5759" spans="1:2" ht="28.8" x14ac:dyDescent="0.3">
      <c r="A5759" s="4" t="s">
        <v>8482</v>
      </c>
      <c r="B5759">
        <v>3</v>
      </c>
    </row>
    <row r="5760" spans="1:2" ht="28.8" x14ac:dyDescent="0.3">
      <c r="A5760" s="4" t="s">
        <v>8483</v>
      </c>
      <c r="B5760">
        <v>3</v>
      </c>
    </row>
    <row r="5761" spans="1:2" ht="28.8" x14ac:dyDescent="0.3">
      <c r="A5761" s="4" t="s">
        <v>8484</v>
      </c>
      <c r="B5761">
        <v>3</v>
      </c>
    </row>
    <row r="5762" spans="1:2" ht="28.8" x14ac:dyDescent="0.3">
      <c r="A5762" s="4" t="s">
        <v>8485</v>
      </c>
      <c r="B5762">
        <v>3</v>
      </c>
    </row>
    <row r="5763" spans="1:2" ht="28.8" x14ac:dyDescent="0.3">
      <c r="A5763" s="4" t="s">
        <v>8486</v>
      </c>
      <c r="B5763">
        <v>3</v>
      </c>
    </row>
    <row r="5764" spans="1:2" ht="28.8" x14ac:dyDescent="0.3">
      <c r="A5764" s="4" t="s">
        <v>8487</v>
      </c>
      <c r="B5764">
        <v>3</v>
      </c>
    </row>
    <row r="5765" spans="1:2" ht="28.8" x14ac:dyDescent="0.3">
      <c r="A5765" s="4" t="s">
        <v>8488</v>
      </c>
      <c r="B5765">
        <v>3</v>
      </c>
    </row>
    <row r="5766" spans="1:2" ht="28.8" x14ac:dyDescent="0.3">
      <c r="A5766" s="4" t="s">
        <v>8489</v>
      </c>
      <c r="B5766">
        <v>3</v>
      </c>
    </row>
    <row r="5767" spans="1:2" ht="28.8" x14ac:dyDescent="0.3">
      <c r="A5767" s="4" t="s">
        <v>8490</v>
      </c>
      <c r="B5767">
        <v>3</v>
      </c>
    </row>
    <row r="5768" spans="1:2" ht="28.8" x14ac:dyDescent="0.3">
      <c r="A5768" s="4" t="s">
        <v>8491</v>
      </c>
      <c r="B5768">
        <v>3</v>
      </c>
    </row>
    <row r="5769" spans="1:2" ht="28.8" x14ac:dyDescent="0.3">
      <c r="A5769" s="4" t="s">
        <v>8492</v>
      </c>
      <c r="B5769">
        <v>3</v>
      </c>
    </row>
    <row r="5770" spans="1:2" x14ac:dyDescent="0.3">
      <c r="A5770" s="4" t="s">
        <v>8493</v>
      </c>
      <c r="B5770">
        <v>3</v>
      </c>
    </row>
    <row r="5771" spans="1:2" ht="28.8" x14ac:dyDescent="0.3">
      <c r="A5771" s="4" t="s">
        <v>8494</v>
      </c>
      <c r="B5771">
        <v>3</v>
      </c>
    </row>
    <row r="5772" spans="1:2" ht="28.8" x14ac:dyDescent="0.3">
      <c r="A5772" s="4" t="s">
        <v>8495</v>
      </c>
      <c r="B5772">
        <v>3</v>
      </c>
    </row>
    <row r="5773" spans="1:2" ht="28.8" x14ac:dyDescent="0.3">
      <c r="A5773" s="4" t="s">
        <v>8496</v>
      </c>
      <c r="B5773">
        <v>3</v>
      </c>
    </row>
    <row r="5774" spans="1:2" ht="28.8" x14ac:dyDescent="0.3">
      <c r="A5774" s="4" t="s">
        <v>8497</v>
      </c>
      <c r="B5774">
        <v>3</v>
      </c>
    </row>
    <row r="5775" spans="1:2" ht="28.8" x14ac:dyDescent="0.3">
      <c r="A5775" s="4" t="s">
        <v>8498</v>
      </c>
      <c r="B5775">
        <v>3</v>
      </c>
    </row>
    <row r="5776" spans="1:2" ht="28.8" x14ac:dyDescent="0.3">
      <c r="A5776" s="4" t="s">
        <v>8499</v>
      </c>
      <c r="B5776">
        <v>3</v>
      </c>
    </row>
    <row r="5777" spans="1:2" ht="28.8" x14ac:dyDescent="0.3">
      <c r="A5777" s="4" t="s">
        <v>8500</v>
      </c>
      <c r="B5777">
        <v>3</v>
      </c>
    </row>
    <row r="5778" spans="1:2" ht="28.8" x14ac:dyDescent="0.3">
      <c r="A5778" s="4" t="s">
        <v>8501</v>
      </c>
      <c r="B5778">
        <v>3</v>
      </c>
    </row>
    <row r="5779" spans="1:2" ht="57.6" x14ac:dyDescent="0.3">
      <c r="A5779" s="4" t="s">
        <v>8502</v>
      </c>
      <c r="B5779">
        <v>3</v>
      </c>
    </row>
    <row r="5780" spans="1:2" x14ac:dyDescent="0.3">
      <c r="A5780" s="4" t="s">
        <v>8503</v>
      </c>
      <c r="B5780">
        <v>3</v>
      </c>
    </row>
    <row r="5781" spans="1:2" ht="28.8" x14ac:dyDescent="0.3">
      <c r="A5781" s="4" t="s">
        <v>8504</v>
      </c>
      <c r="B5781">
        <v>3</v>
      </c>
    </row>
    <row r="5782" spans="1:2" ht="28.8" x14ac:dyDescent="0.3">
      <c r="A5782" s="4" t="s">
        <v>8505</v>
      </c>
      <c r="B5782">
        <v>3</v>
      </c>
    </row>
    <row r="5783" spans="1:2" x14ac:dyDescent="0.3">
      <c r="A5783" s="4" t="s">
        <v>8506</v>
      </c>
      <c r="B5783">
        <v>3</v>
      </c>
    </row>
    <row r="5784" spans="1:2" ht="28.8" x14ac:dyDescent="0.3">
      <c r="A5784" s="4" t="s">
        <v>8507</v>
      </c>
      <c r="B5784">
        <v>3</v>
      </c>
    </row>
    <row r="5785" spans="1:2" x14ac:dyDescent="0.3">
      <c r="A5785" s="4" t="s">
        <v>8508</v>
      </c>
      <c r="B5785">
        <v>3</v>
      </c>
    </row>
    <row r="5786" spans="1:2" ht="43.2" x14ac:dyDescent="0.3">
      <c r="A5786" s="4" t="s">
        <v>8509</v>
      </c>
      <c r="B5786">
        <v>3</v>
      </c>
    </row>
    <row r="5787" spans="1:2" ht="28.8" x14ac:dyDescent="0.3">
      <c r="A5787" s="4" t="s">
        <v>8510</v>
      </c>
      <c r="B5787">
        <v>3</v>
      </c>
    </row>
    <row r="5788" spans="1:2" ht="28.8" x14ac:dyDescent="0.3">
      <c r="A5788" s="4" t="s">
        <v>8511</v>
      </c>
      <c r="B5788">
        <v>3</v>
      </c>
    </row>
    <row r="5789" spans="1:2" ht="28.8" x14ac:dyDescent="0.3">
      <c r="A5789" s="4" t="s">
        <v>8512</v>
      </c>
      <c r="B5789">
        <v>3</v>
      </c>
    </row>
    <row r="5790" spans="1:2" ht="43.2" x14ac:dyDescent="0.3">
      <c r="A5790" s="4" t="s">
        <v>8513</v>
      </c>
      <c r="B5790">
        <v>3</v>
      </c>
    </row>
    <row r="5791" spans="1:2" x14ac:dyDescent="0.3">
      <c r="A5791" s="4" t="s">
        <v>8514</v>
      </c>
      <c r="B5791">
        <v>3</v>
      </c>
    </row>
    <row r="5792" spans="1:2" ht="28.8" x14ac:dyDescent="0.3">
      <c r="A5792" s="4" t="s">
        <v>8515</v>
      </c>
      <c r="B5792">
        <v>3</v>
      </c>
    </row>
    <row r="5793" spans="1:2" ht="28.8" x14ac:dyDescent="0.3">
      <c r="A5793" s="4" t="s">
        <v>8516</v>
      </c>
      <c r="B5793">
        <v>3</v>
      </c>
    </row>
    <row r="5794" spans="1:2" x14ac:dyDescent="0.3">
      <c r="A5794" s="4" t="s">
        <v>8517</v>
      </c>
      <c r="B5794">
        <v>3</v>
      </c>
    </row>
    <row r="5795" spans="1:2" ht="28.8" x14ac:dyDescent="0.3">
      <c r="A5795" s="4" t="s">
        <v>8518</v>
      </c>
      <c r="B5795">
        <v>3</v>
      </c>
    </row>
    <row r="5796" spans="1:2" ht="28.8" x14ac:dyDescent="0.3">
      <c r="A5796" s="4" t="s">
        <v>8519</v>
      </c>
      <c r="B5796">
        <v>3</v>
      </c>
    </row>
    <row r="5797" spans="1:2" ht="28.8" x14ac:dyDescent="0.3">
      <c r="A5797" s="4" t="s">
        <v>8520</v>
      </c>
      <c r="B5797">
        <v>3</v>
      </c>
    </row>
    <row r="5798" spans="1:2" ht="28.8" x14ac:dyDescent="0.3">
      <c r="A5798" s="4" t="s">
        <v>8521</v>
      </c>
      <c r="B5798">
        <v>3</v>
      </c>
    </row>
    <row r="5799" spans="1:2" ht="28.8" x14ac:dyDescent="0.3">
      <c r="A5799" s="4" t="s">
        <v>8522</v>
      </c>
      <c r="B5799">
        <v>3</v>
      </c>
    </row>
    <row r="5800" spans="1:2" ht="28.8" x14ac:dyDescent="0.3">
      <c r="A5800" s="4" t="s">
        <v>8523</v>
      </c>
      <c r="B5800">
        <v>3</v>
      </c>
    </row>
    <row r="5801" spans="1:2" x14ac:dyDescent="0.3">
      <c r="A5801" s="4" t="s">
        <v>8524</v>
      </c>
      <c r="B5801">
        <v>3</v>
      </c>
    </row>
    <row r="5802" spans="1:2" ht="28.8" x14ac:dyDescent="0.3">
      <c r="A5802" s="4" t="s">
        <v>8525</v>
      </c>
      <c r="B5802">
        <v>3</v>
      </c>
    </row>
    <row r="5803" spans="1:2" ht="28.8" x14ac:dyDescent="0.3">
      <c r="A5803" s="4" t="s">
        <v>8526</v>
      </c>
      <c r="B5803">
        <v>3</v>
      </c>
    </row>
    <row r="5804" spans="1:2" ht="28.8" x14ac:dyDescent="0.3">
      <c r="A5804" s="4" t="s">
        <v>8527</v>
      </c>
      <c r="B5804">
        <v>3</v>
      </c>
    </row>
    <row r="5805" spans="1:2" x14ac:dyDescent="0.3">
      <c r="A5805" s="4" t="s">
        <v>8528</v>
      </c>
      <c r="B5805">
        <v>3</v>
      </c>
    </row>
    <row r="5806" spans="1:2" ht="28.8" x14ac:dyDescent="0.3">
      <c r="A5806" s="4" t="s">
        <v>8529</v>
      </c>
      <c r="B5806">
        <v>3</v>
      </c>
    </row>
    <row r="5807" spans="1:2" ht="28.8" x14ac:dyDescent="0.3">
      <c r="A5807" s="4" t="s">
        <v>8530</v>
      </c>
      <c r="B5807">
        <v>3</v>
      </c>
    </row>
    <row r="5808" spans="1:2" x14ac:dyDescent="0.3">
      <c r="A5808" s="4" t="s">
        <v>8531</v>
      </c>
      <c r="B5808">
        <v>3</v>
      </c>
    </row>
    <row r="5809" spans="1:2" ht="28.8" x14ac:dyDescent="0.3">
      <c r="A5809" s="4" t="s">
        <v>8532</v>
      </c>
      <c r="B5809">
        <v>3</v>
      </c>
    </row>
    <row r="5810" spans="1:2" ht="28.8" x14ac:dyDescent="0.3">
      <c r="A5810" s="4" t="s">
        <v>8533</v>
      </c>
      <c r="B5810">
        <v>3</v>
      </c>
    </row>
    <row r="5811" spans="1:2" ht="43.2" x14ac:dyDescent="0.3">
      <c r="A5811" s="4" t="s">
        <v>8534</v>
      </c>
      <c r="B5811">
        <v>3</v>
      </c>
    </row>
    <row r="5812" spans="1:2" ht="28.8" x14ac:dyDescent="0.3">
      <c r="A5812" s="4" t="s">
        <v>8535</v>
      </c>
      <c r="B5812">
        <v>3</v>
      </c>
    </row>
    <row r="5813" spans="1:2" x14ac:dyDescent="0.3">
      <c r="A5813" s="4" t="s">
        <v>8536</v>
      </c>
      <c r="B5813">
        <v>3</v>
      </c>
    </row>
    <row r="5814" spans="1:2" ht="28.8" x14ac:dyDescent="0.3">
      <c r="A5814" s="4" t="s">
        <v>8537</v>
      </c>
      <c r="B5814">
        <v>3</v>
      </c>
    </row>
    <row r="5815" spans="1:2" ht="28.8" x14ac:dyDescent="0.3">
      <c r="A5815" s="4" t="s">
        <v>8538</v>
      </c>
      <c r="B5815">
        <v>3</v>
      </c>
    </row>
    <row r="5816" spans="1:2" x14ac:dyDescent="0.3">
      <c r="A5816" s="4" t="s">
        <v>8539</v>
      </c>
      <c r="B5816">
        <v>3</v>
      </c>
    </row>
    <row r="5817" spans="1:2" ht="28.8" x14ac:dyDescent="0.3">
      <c r="A5817" s="4" t="s">
        <v>8540</v>
      </c>
      <c r="B5817">
        <v>3</v>
      </c>
    </row>
    <row r="5818" spans="1:2" ht="43.2" x14ac:dyDescent="0.3">
      <c r="A5818" s="4" t="s">
        <v>8541</v>
      </c>
      <c r="B5818">
        <v>3</v>
      </c>
    </row>
    <row r="5819" spans="1:2" ht="28.8" x14ac:dyDescent="0.3">
      <c r="A5819" s="4" t="s">
        <v>8542</v>
      </c>
      <c r="B5819">
        <v>3</v>
      </c>
    </row>
    <row r="5820" spans="1:2" ht="28.8" x14ac:dyDescent="0.3">
      <c r="A5820" s="4" t="s">
        <v>8543</v>
      </c>
      <c r="B5820">
        <v>3</v>
      </c>
    </row>
    <row r="5821" spans="1:2" ht="28.8" x14ac:dyDescent="0.3">
      <c r="A5821" s="4" t="s">
        <v>8544</v>
      </c>
      <c r="B5821">
        <v>3</v>
      </c>
    </row>
    <row r="5822" spans="1:2" ht="28.8" x14ac:dyDescent="0.3">
      <c r="A5822" s="4" t="s">
        <v>8545</v>
      </c>
      <c r="B5822">
        <v>3</v>
      </c>
    </row>
    <row r="5823" spans="1:2" ht="43.2" x14ac:dyDescent="0.3">
      <c r="A5823" s="4" t="s">
        <v>8546</v>
      </c>
      <c r="B5823">
        <v>3</v>
      </c>
    </row>
    <row r="5824" spans="1:2" ht="28.8" x14ac:dyDescent="0.3">
      <c r="A5824" s="4" t="s">
        <v>8547</v>
      </c>
      <c r="B5824">
        <v>3</v>
      </c>
    </row>
    <row r="5825" spans="1:2" ht="43.2" x14ac:dyDescent="0.3">
      <c r="A5825" s="4" t="s">
        <v>8548</v>
      </c>
      <c r="B5825">
        <v>3</v>
      </c>
    </row>
    <row r="5826" spans="1:2" ht="28.8" x14ac:dyDescent="0.3">
      <c r="A5826" s="4" t="s">
        <v>8549</v>
      </c>
      <c r="B5826">
        <v>3</v>
      </c>
    </row>
    <row r="5827" spans="1:2" ht="28.8" x14ac:dyDescent="0.3">
      <c r="A5827" s="4" t="s">
        <v>8550</v>
      </c>
      <c r="B5827">
        <v>3</v>
      </c>
    </row>
    <row r="5828" spans="1:2" ht="28.8" x14ac:dyDescent="0.3">
      <c r="A5828" s="4" t="s">
        <v>8551</v>
      </c>
      <c r="B5828">
        <v>3</v>
      </c>
    </row>
    <row r="5829" spans="1:2" ht="28.8" x14ac:dyDescent="0.3">
      <c r="A5829" s="4" t="s">
        <v>8552</v>
      </c>
      <c r="B5829">
        <v>3</v>
      </c>
    </row>
    <row r="5830" spans="1:2" ht="28.8" x14ac:dyDescent="0.3">
      <c r="A5830" s="4" t="s">
        <v>8553</v>
      </c>
      <c r="B5830">
        <v>3</v>
      </c>
    </row>
    <row r="5831" spans="1:2" ht="43.2" x14ac:dyDescent="0.3">
      <c r="A5831" s="4" t="s">
        <v>8554</v>
      </c>
      <c r="B5831">
        <v>3</v>
      </c>
    </row>
    <row r="5832" spans="1:2" ht="28.8" x14ac:dyDescent="0.3">
      <c r="A5832" s="4" t="s">
        <v>8555</v>
      </c>
      <c r="B5832">
        <v>3</v>
      </c>
    </row>
    <row r="5833" spans="1:2" ht="28.8" x14ac:dyDescent="0.3">
      <c r="A5833" s="4" t="s">
        <v>8556</v>
      </c>
      <c r="B5833">
        <v>3</v>
      </c>
    </row>
    <row r="5834" spans="1:2" ht="43.2" x14ac:dyDescent="0.3">
      <c r="A5834" s="4" t="s">
        <v>8557</v>
      </c>
      <c r="B5834">
        <v>3</v>
      </c>
    </row>
    <row r="5835" spans="1:2" ht="28.8" x14ac:dyDescent="0.3">
      <c r="A5835" s="4" t="s">
        <v>8558</v>
      </c>
      <c r="B5835">
        <v>3</v>
      </c>
    </row>
    <row r="5836" spans="1:2" ht="43.2" x14ac:dyDescent="0.3">
      <c r="A5836" s="4" t="s">
        <v>8559</v>
      </c>
      <c r="B5836">
        <v>3</v>
      </c>
    </row>
    <row r="5837" spans="1:2" ht="28.8" x14ac:dyDescent="0.3">
      <c r="A5837" s="4" t="s">
        <v>8560</v>
      </c>
      <c r="B5837">
        <v>3</v>
      </c>
    </row>
    <row r="5838" spans="1:2" ht="28.8" x14ac:dyDescent="0.3">
      <c r="A5838" s="4" t="s">
        <v>8561</v>
      </c>
      <c r="B5838">
        <v>3</v>
      </c>
    </row>
    <row r="5839" spans="1:2" ht="43.2" x14ac:dyDescent="0.3">
      <c r="A5839" s="4" t="s">
        <v>8562</v>
      </c>
      <c r="B5839">
        <v>3</v>
      </c>
    </row>
    <row r="5840" spans="1:2" ht="28.8" x14ac:dyDescent="0.3">
      <c r="A5840" s="4" t="s">
        <v>8563</v>
      </c>
      <c r="B5840">
        <v>3</v>
      </c>
    </row>
    <row r="5841" spans="1:2" ht="28.8" x14ac:dyDescent="0.3">
      <c r="A5841" s="4" t="s">
        <v>8564</v>
      </c>
      <c r="B5841">
        <v>3</v>
      </c>
    </row>
    <row r="5842" spans="1:2" ht="28.8" x14ac:dyDescent="0.3">
      <c r="A5842" s="4" t="s">
        <v>8565</v>
      </c>
      <c r="B5842">
        <v>3</v>
      </c>
    </row>
    <row r="5843" spans="1:2" ht="28.8" x14ac:dyDescent="0.3">
      <c r="A5843" s="4" t="s">
        <v>8566</v>
      </c>
      <c r="B5843">
        <v>3</v>
      </c>
    </row>
    <row r="5844" spans="1:2" ht="28.8" x14ac:dyDescent="0.3">
      <c r="A5844" s="4" t="s">
        <v>8567</v>
      </c>
      <c r="B5844">
        <v>3</v>
      </c>
    </row>
    <row r="5845" spans="1:2" ht="28.8" x14ac:dyDescent="0.3">
      <c r="A5845" s="4" t="s">
        <v>8568</v>
      </c>
      <c r="B5845">
        <v>3</v>
      </c>
    </row>
    <row r="5846" spans="1:2" ht="57.6" x14ac:dyDescent="0.3">
      <c r="A5846" s="4" t="s">
        <v>8569</v>
      </c>
      <c r="B5846">
        <v>3</v>
      </c>
    </row>
    <row r="5847" spans="1:2" ht="28.8" x14ac:dyDescent="0.3">
      <c r="A5847" s="4" t="s">
        <v>8570</v>
      </c>
      <c r="B5847">
        <v>3</v>
      </c>
    </row>
    <row r="5848" spans="1:2" ht="28.8" x14ac:dyDescent="0.3">
      <c r="A5848" s="4" t="s">
        <v>8571</v>
      </c>
      <c r="B5848">
        <v>3</v>
      </c>
    </row>
    <row r="5849" spans="1:2" ht="28.8" x14ac:dyDescent="0.3">
      <c r="A5849" s="4" t="s">
        <v>8572</v>
      </c>
      <c r="B5849">
        <v>3</v>
      </c>
    </row>
    <row r="5850" spans="1:2" ht="28.8" x14ac:dyDescent="0.3">
      <c r="A5850" s="4" t="s">
        <v>8573</v>
      </c>
      <c r="B5850">
        <v>3</v>
      </c>
    </row>
    <row r="5851" spans="1:2" ht="28.8" x14ac:dyDescent="0.3">
      <c r="A5851" s="4" t="s">
        <v>8574</v>
      </c>
      <c r="B5851">
        <v>3</v>
      </c>
    </row>
    <row r="5852" spans="1:2" ht="28.8" x14ac:dyDescent="0.3">
      <c r="A5852" s="4" t="s">
        <v>8575</v>
      </c>
      <c r="B5852">
        <v>3</v>
      </c>
    </row>
    <row r="5853" spans="1:2" ht="28.8" x14ac:dyDescent="0.3">
      <c r="A5853" s="4" t="s">
        <v>8576</v>
      </c>
      <c r="B5853">
        <v>3</v>
      </c>
    </row>
    <row r="5854" spans="1:2" ht="28.8" x14ac:dyDescent="0.3">
      <c r="A5854" s="4" t="s">
        <v>8577</v>
      </c>
      <c r="B5854">
        <v>3</v>
      </c>
    </row>
    <row r="5855" spans="1:2" x14ac:dyDescent="0.3">
      <c r="A5855" s="4" t="s">
        <v>8578</v>
      </c>
      <c r="B5855">
        <v>3</v>
      </c>
    </row>
    <row r="5856" spans="1:2" ht="28.8" x14ac:dyDescent="0.3">
      <c r="A5856" s="4" t="s">
        <v>8579</v>
      </c>
      <c r="B5856">
        <v>3</v>
      </c>
    </row>
    <row r="5857" spans="1:2" ht="28.8" x14ac:dyDescent="0.3">
      <c r="A5857" s="4" t="s">
        <v>8580</v>
      </c>
      <c r="B5857">
        <v>3</v>
      </c>
    </row>
    <row r="5858" spans="1:2" ht="28.8" x14ac:dyDescent="0.3">
      <c r="A5858" s="4" t="s">
        <v>8581</v>
      </c>
      <c r="B5858">
        <v>3</v>
      </c>
    </row>
    <row r="5859" spans="1:2" ht="28.8" x14ac:dyDescent="0.3">
      <c r="A5859" s="4" t="s">
        <v>8582</v>
      </c>
      <c r="B5859">
        <v>3</v>
      </c>
    </row>
    <row r="5860" spans="1:2" ht="28.8" x14ac:dyDescent="0.3">
      <c r="A5860" s="4" t="s">
        <v>8583</v>
      </c>
      <c r="B5860">
        <v>3</v>
      </c>
    </row>
    <row r="5861" spans="1:2" ht="28.8" x14ac:dyDescent="0.3">
      <c r="A5861" s="4" t="s">
        <v>8584</v>
      </c>
      <c r="B5861">
        <v>3</v>
      </c>
    </row>
    <row r="5862" spans="1:2" ht="28.8" x14ac:dyDescent="0.3">
      <c r="A5862" s="4" t="s">
        <v>8585</v>
      </c>
      <c r="B5862">
        <v>3</v>
      </c>
    </row>
    <row r="5863" spans="1:2" ht="28.8" x14ac:dyDescent="0.3">
      <c r="A5863" s="4" t="s">
        <v>8586</v>
      </c>
      <c r="B5863">
        <v>3</v>
      </c>
    </row>
    <row r="5864" spans="1:2" ht="28.8" x14ac:dyDescent="0.3">
      <c r="A5864" s="4" t="s">
        <v>8587</v>
      </c>
      <c r="B5864">
        <v>3</v>
      </c>
    </row>
    <row r="5865" spans="1:2" x14ac:dyDescent="0.3">
      <c r="A5865" s="4" t="s">
        <v>8588</v>
      </c>
      <c r="B5865">
        <v>3</v>
      </c>
    </row>
    <row r="5866" spans="1:2" ht="43.2" x14ac:dyDescent="0.3">
      <c r="A5866" s="4" t="s">
        <v>8589</v>
      </c>
      <c r="B5866">
        <v>3</v>
      </c>
    </row>
    <row r="5867" spans="1:2" x14ac:dyDescent="0.3">
      <c r="A5867" s="4" t="s">
        <v>8590</v>
      </c>
      <c r="B5867">
        <v>3</v>
      </c>
    </row>
    <row r="5868" spans="1:2" ht="28.8" x14ac:dyDescent="0.3">
      <c r="A5868" s="4" t="s">
        <v>8591</v>
      </c>
      <c r="B5868">
        <v>3</v>
      </c>
    </row>
    <row r="5869" spans="1:2" ht="28.8" x14ac:dyDescent="0.3">
      <c r="A5869" s="4" t="s">
        <v>8592</v>
      </c>
      <c r="B5869">
        <v>3</v>
      </c>
    </row>
    <row r="5870" spans="1:2" x14ac:dyDescent="0.3">
      <c r="A5870" s="4" t="s">
        <v>8593</v>
      </c>
      <c r="B5870">
        <v>3</v>
      </c>
    </row>
    <row r="5871" spans="1:2" ht="28.8" x14ac:dyDescent="0.3">
      <c r="A5871" s="4" t="s">
        <v>8594</v>
      </c>
      <c r="B5871">
        <v>3</v>
      </c>
    </row>
    <row r="5872" spans="1:2" x14ac:dyDescent="0.3">
      <c r="A5872" s="4" t="s">
        <v>8595</v>
      </c>
      <c r="B5872">
        <v>3</v>
      </c>
    </row>
    <row r="5873" spans="1:2" ht="28.8" x14ac:dyDescent="0.3">
      <c r="A5873" s="4" t="s">
        <v>8596</v>
      </c>
      <c r="B5873">
        <v>3</v>
      </c>
    </row>
    <row r="5874" spans="1:2" ht="28.8" x14ac:dyDescent="0.3">
      <c r="A5874" s="4" t="s">
        <v>8597</v>
      </c>
      <c r="B5874">
        <v>3</v>
      </c>
    </row>
    <row r="5875" spans="1:2" ht="28.8" x14ac:dyDescent="0.3">
      <c r="A5875" s="4" t="s">
        <v>8598</v>
      </c>
      <c r="B5875">
        <v>3</v>
      </c>
    </row>
    <row r="5876" spans="1:2" ht="28.8" x14ac:dyDescent="0.3">
      <c r="A5876" s="4" t="s">
        <v>8599</v>
      </c>
      <c r="B5876">
        <v>3</v>
      </c>
    </row>
    <row r="5877" spans="1:2" ht="28.8" x14ac:dyDescent="0.3">
      <c r="A5877" s="4" t="s">
        <v>8600</v>
      </c>
      <c r="B5877">
        <v>3</v>
      </c>
    </row>
    <row r="5878" spans="1:2" ht="28.8" x14ac:dyDescent="0.3">
      <c r="A5878" s="4" t="s">
        <v>8601</v>
      </c>
      <c r="B5878">
        <v>3</v>
      </c>
    </row>
    <row r="5879" spans="1:2" ht="28.8" x14ac:dyDescent="0.3">
      <c r="A5879" s="4" t="s">
        <v>8602</v>
      </c>
      <c r="B5879">
        <v>3</v>
      </c>
    </row>
    <row r="5880" spans="1:2" ht="28.8" x14ac:dyDescent="0.3">
      <c r="A5880" s="4" t="s">
        <v>8603</v>
      </c>
      <c r="B5880">
        <v>3</v>
      </c>
    </row>
    <row r="5881" spans="1:2" ht="28.8" x14ac:dyDescent="0.3">
      <c r="A5881" s="4" t="s">
        <v>8604</v>
      </c>
      <c r="B5881">
        <v>3</v>
      </c>
    </row>
    <row r="5882" spans="1:2" ht="28.8" x14ac:dyDescent="0.3">
      <c r="A5882" s="4" t="s">
        <v>8605</v>
      </c>
      <c r="B5882">
        <v>3</v>
      </c>
    </row>
    <row r="5883" spans="1:2" ht="28.8" x14ac:dyDescent="0.3">
      <c r="A5883" s="4" t="s">
        <v>8606</v>
      </c>
      <c r="B5883">
        <v>3</v>
      </c>
    </row>
    <row r="5884" spans="1:2" ht="43.2" x14ac:dyDescent="0.3">
      <c r="A5884" s="4" t="s">
        <v>8607</v>
      </c>
      <c r="B5884">
        <v>3</v>
      </c>
    </row>
    <row r="5885" spans="1:2" ht="28.8" x14ac:dyDescent="0.3">
      <c r="A5885" s="4" t="s">
        <v>8608</v>
      </c>
      <c r="B5885">
        <v>3</v>
      </c>
    </row>
    <row r="5886" spans="1:2" ht="28.8" x14ac:dyDescent="0.3">
      <c r="A5886" s="4" t="s">
        <v>8609</v>
      </c>
      <c r="B5886">
        <v>3</v>
      </c>
    </row>
    <row r="5887" spans="1:2" ht="28.8" x14ac:dyDescent="0.3">
      <c r="A5887" s="4" t="s">
        <v>8610</v>
      </c>
      <c r="B5887">
        <v>3</v>
      </c>
    </row>
    <row r="5888" spans="1:2" ht="28.8" x14ac:dyDescent="0.3">
      <c r="A5888" s="4" t="s">
        <v>8611</v>
      </c>
      <c r="B5888">
        <v>3</v>
      </c>
    </row>
    <row r="5889" spans="1:2" ht="28.8" x14ac:dyDescent="0.3">
      <c r="A5889" s="4" t="s">
        <v>8612</v>
      </c>
      <c r="B5889">
        <v>3</v>
      </c>
    </row>
    <row r="5890" spans="1:2" ht="28.8" x14ac:dyDescent="0.3">
      <c r="A5890" s="4" t="s">
        <v>8613</v>
      </c>
      <c r="B5890">
        <v>3</v>
      </c>
    </row>
    <row r="5891" spans="1:2" ht="28.8" x14ac:dyDescent="0.3">
      <c r="A5891" s="4" t="s">
        <v>8614</v>
      </c>
      <c r="B5891">
        <v>3</v>
      </c>
    </row>
    <row r="5892" spans="1:2" ht="28.8" x14ac:dyDescent="0.3">
      <c r="A5892" s="4" t="s">
        <v>8615</v>
      </c>
      <c r="B5892">
        <v>3</v>
      </c>
    </row>
    <row r="5893" spans="1:2" ht="28.8" x14ac:dyDescent="0.3">
      <c r="A5893" s="4" t="s">
        <v>8616</v>
      </c>
      <c r="B5893">
        <v>3</v>
      </c>
    </row>
    <row r="5894" spans="1:2" ht="28.8" x14ac:dyDescent="0.3">
      <c r="A5894" s="4" t="s">
        <v>8617</v>
      </c>
      <c r="B5894">
        <v>3</v>
      </c>
    </row>
    <row r="5895" spans="1:2" ht="28.8" x14ac:dyDescent="0.3">
      <c r="A5895" s="4" t="s">
        <v>8618</v>
      </c>
      <c r="B5895">
        <v>3</v>
      </c>
    </row>
    <row r="5896" spans="1:2" x14ac:dyDescent="0.3">
      <c r="A5896" s="4" t="s">
        <v>8619</v>
      </c>
      <c r="B5896">
        <v>3</v>
      </c>
    </row>
    <row r="5897" spans="1:2" ht="28.8" x14ac:dyDescent="0.3">
      <c r="A5897" s="4" t="s">
        <v>8620</v>
      </c>
      <c r="B5897">
        <v>3</v>
      </c>
    </row>
    <row r="5898" spans="1:2" ht="28.8" x14ac:dyDescent="0.3">
      <c r="A5898" s="4" t="s">
        <v>8621</v>
      </c>
      <c r="B5898">
        <v>3</v>
      </c>
    </row>
    <row r="5899" spans="1:2" ht="28.8" x14ac:dyDescent="0.3">
      <c r="A5899" s="4" t="s">
        <v>8622</v>
      </c>
      <c r="B5899">
        <v>3</v>
      </c>
    </row>
    <row r="5900" spans="1:2" ht="43.2" x14ac:dyDescent="0.3">
      <c r="A5900" s="4" t="s">
        <v>8623</v>
      </c>
      <c r="B5900">
        <v>3</v>
      </c>
    </row>
    <row r="5901" spans="1:2" ht="28.8" x14ac:dyDescent="0.3">
      <c r="A5901" s="4" t="s">
        <v>8624</v>
      </c>
      <c r="B5901">
        <v>3</v>
      </c>
    </row>
    <row r="5902" spans="1:2" ht="28.8" x14ac:dyDescent="0.3">
      <c r="A5902" s="4" t="s">
        <v>8625</v>
      </c>
      <c r="B5902">
        <v>3</v>
      </c>
    </row>
    <row r="5903" spans="1:2" ht="28.8" x14ac:dyDescent="0.3">
      <c r="A5903" s="4" t="s">
        <v>8626</v>
      </c>
      <c r="B5903">
        <v>3</v>
      </c>
    </row>
    <row r="5904" spans="1:2" ht="28.8" x14ac:dyDescent="0.3">
      <c r="A5904" s="4" t="s">
        <v>8627</v>
      </c>
      <c r="B5904">
        <v>3</v>
      </c>
    </row>
    <row r="5905" spans="1:2" ht="28.8" x14ac:dyDescent="0.3">
      <c r="A5905" s="4" t="s">
        <v>8628</v>
      </c>
      <c r="B5905">
        <v>3</v>
      </c>
    </row>
    <row r="5906" spans="1:2" ht="28.8" x14ac:dyDescent="0.3">
      <c r="A5906" s="4" t="s">
        <v>8629</v>
      </c>
      <c r="B5906">
        <v>3</v>
      </c>
    </row>
    <row r="5907" spans="1:2" ht="72" x14ac:dyDescent="0.3">
      <c r="A5907" s="4" t="s">
        <v>8630</v>
      </c>
      <c r="B5907">
        <v>3</v>
      </c>
    </row>
    <row r="5908" spans="1:2" x14ac:dyDescent="0.3">
      <c r="A5908" s="4" t="s">
        <v>8631</v>
      </c>
      <c r="B5908">
        <v>3</v>
      </c>
    </row>
    <row r="5909" spans="1:2" ht="28.8" x14ac:dyDescent="0.3">
      <c r="A5909" s="4" t="s">
        <v>8632</v>
      </c>
      <c r="B5909">
        <v>3</v>
      </c>
    </row>
    <row r="5910" spans="1:2" ht="28.8" x14ac:dyDescent="0.3">
      <c r="A5910" s="4" t="s">
        <v>8633</v>
      </c>
      <c r="B5910">
        <v>3</v>
      </c>
    </row>
    <row r="5911" spans="1:2" ht="28.8" x14ac:dyDescent="0.3">
      <c r="A5911" s="4" t="s">
        <v>8634</v>
      </c>
      <c r="B5911">
        <v>3</v>
      </c>
    </row>
    <row r="5912" spans="1:2" ht="28.8" x14ac:dyDescent="0.3">
      <c r="A5912" s="4" t="s">
        <v>8635</v>
      </c>
      <c r="B5912">
        <v>3</v>
      </c>
    </row>
    <row r="5913" spans="1:2" ht="28.8" x14ac:dyDescent="0.3">
      <c r="A5913" s="4" t="s">
        <v>8636</v>
      </c>
      <c r="B5913">
        <v>3</v>
      </c>
    </row>
    <row r="5914" spans="1:2" ht="28.8" x14ac:dyDescent="0.3">
      <c r="A5914" s="4" t="s">
        <v>8637</v>
      </c>
      <c r="B5914">
        <v>3</v>
      </c>
    </row>
    <row r="5915" spans="1:2" ht="28.8" x14ac:dyDescent="0.3">
      <c r="A5915" s="4" t="s">
        <v>8638</v>
      </c>
      <c r="B5915">
        <v>3</v>
      </c>
    </row>
    <row r="5916" spans="1:2" x14ac:dyDescent="0.3">
      <c r="A5916" s="4" t="s">
        <v>8639</v>
      </c>
      <c r="B5916">
        <v>3</v>
      </c>
    </row>
    <row r="5917" spans="1:2" ht="28.8" x14ac:dyDescent="0.3">
      <c r="A5917" s="4" t="s">
        <v>8640</v>
      </c>
      <c r="B5917">
        <v>3</v>
      </c>
    </row>
    <row r="5918" spans="1:2" ht="28.8" x14ac:dyDescent="0.3">
      <c r="A5918" s="4" t="s">
        <v>8641</v>
      </c>
      <c r="B5918">
        <v>3</v>
      </c>
    </row>
    <row r="5919" spans="1:2" x14ac:dyDescent="0.3">
      <c r="A5919" s="4" t="s">
        <v>8642</v>
      </c>
      <c r="B5919">
        <v>3</v>
      </c>
    </row>
    <row r="5920" spans="1:2" ht="28.8" x14ac:dyDescent="0.3">
      <c r="A5920" s="4" t="s">
        <v>8643</v>
      </c>
      <c r="B5920">
        <v>3</v>
      </c>
    </row>
    <row r="5921" spans="1:2" ht="28.8" x14ac:dyDescent="0.3">
      <c r="A5921" s="4" t="s">
        <v>8644</v>
      </c>
      <c r="B5921">
        <v>3</v>
      </c>
    </row>
    <row r="5922" spans="1:2" ht="43.2" x14ac:dyDescent="0.3">
      <c r="A5922" s="4" t="s">
        <v>8645</v>
      </c>
      <c r="B5922">
        <v>3</v>
      </c>
    </row>
    <row r="5923" spans="1:2" ht="28.8" x14ac:dyDescent="0.3">
      <c r="A5923" s="4" t="s">
        <v>8646</v>
      </c>
      <c r="B5923">
        <v>3</v>
      </c>
    </row>
    <row r="5924" spans="1:2" x14ac:dyDescent="0.3">
      <c r="A5924" s="4" t="s">
        <v>8647</v>
      </c>
      <c r="B5924">
        <v>3</v>
      </c>
    </row>
    <row r="5925" spans="1:2" ht="28.8" x14ac:dyDescent="0.3">
      <c r="A5925" s="4" t="s">
        <v>8648</v>
      </c>
      <c r="B5925">
        <v>3</v>
      </c>
    </row>
    <row r="5926" spans="1:2" ht="28.8" x14ac:dyDescent="0.3">
      <c r="A5926" s="4" t="s">
        <v>8649</v>
      </c>
      <c r="B5926">
        <v>3</v>
      </c>
    </row>
    <row r="5927" spans="1:2" ht="28.8" x14ac:dyDescent="0.3">
      <c r="A5927" s="4" t="s">
        <v>8650</v>
      </c>
      <c r="B5927">
        <v>3</v>
      </c>
    </row>
    <row r="5928" spans="1:2" ht="28.8" x14ac:dyDescent="0.3">
      <c r="A5928" s="4" t="s">
        <v>8651</v>
      </c>
      <c r="B5928">
        <v>3</v>
      </c>
    </row>
    <row r="5929" spans="1:2" ht="28.8" x14ac:dyDescent="0.3">
      <c r="A5929" s="4" t="s">
        <v>8652</v>
      </c>
      <c r="B5929">
        <v>3</v>
      </c>
    </row>
    <row r="5930" spans="1:2" ht="28.8" x14ac:dyDescent="0.3">
      <c r="A5930" s="4" t="s">
        <v>8653</v>
      </c>
      <c r="B5930">
        <v>3</v>
      </c>
    </row>
    <row r="5931" spans="1:2" ht="28.8" x14ac:dyDescent="0.3">
      <c r="A5931" s="4" t="s">
        <v>8654</v>
      </c>
      <c r="B5931">
        <v>3</v>
      </c>
    </row>
    <row r="5932" spans="1:2" x14ac:dyDescent="0.3">
      <c r="A5932" s="4" t="s">
        <v>8655</v>
      </c>
      <c r="B5932">
        <v>3</v>
      </c>
    </row>
    <row r="5933" spans="1:2" ht="28.8" x14ac:dyDescent="0.3">
      <c r="A5933" s="4" t="s">
        <v>8656</v>
      </c>
      <c r="B5933">
        <v>3</v>
      </c>
    </row>
    <row r="5934" spans="1:2" ht="28.8" x14ac:dyDescent="0.3">
      <c r="A5934" s="4" t="s">
        <v>8657</v>
      </c>
      <c r="B5934">
        <v>3</v>
      </c>
    </row>
    <row r="5935" spans="1:2" x14ac:dyDescent="0.3">
      <c r="A5935" s="4" t="s">
        <v>8658</v>
      </c>
      <c r="B5935">
        <v>3</v>
      </c>
    </row>
    <row r="5936" spans="1:2" ht="28.8" x14ac:dyDescent="0.3">
      <c r="A5936" s="4" t="s">
        <v>8659</v>
      </c>
      <c r="B5936">
        <v>3</v>
      </c>
    </row>
    <row r="5937" spans="1:2" ht="43.2" x14ac:dyDescent="0.3">
      <c r="A5937" s="4" t="s">
        <v>8660</v>
      </c>
      <c r="B5937">
        <v>3</v>
      </c>
    </row>
    <row r="5938" spans="1:2" x14ac:dyDescent="0.3">
      <c r="A5938" s="4" t="s">
        <v>8661</v>
      </c>
      <c r="B5938">
        <v>3</v>
      </c>
    </row>
    <row r="5939" spans="1:2" ht="28.8" x14ac:dyDescent="0.3">
      <c r="A5939" s="4" t="s">
        <v>8662</v>
      </c>
      <c r="B5939">
        <v>3</v>
      </c>
    </row>
    <row r="5940" spans="1:2" ht="28.8" x14ac:dyDescent="0.3">
      <c r="A5940" s="4" t="s">
        <v>8663</v>
      </c>
      <c r="B5940">
        <v>3</v>
      </c>
    </row>
    <row r="5941" spans="1:2" ht="28.8" x14ac:dyDescent="0.3">
      <c r="A5941" s="4" t="s">
        <v>8664</v>
      </c>
      <c r="B5941">
        <v>3</v>
      </c>
    </row>
    <row r="5942" spans="1:2" ht="28.8" x14ac:dyDescent="0.3">
      <c r="A5942" s="4" t="s">
        <v>8665</v>
      </c>
      <c r="B5942">
        <v>3</v>
      </c>
    </row>
    <row r="5943" spans="1:2" ht="28.8" x14ac:dyDescent="0.3">
      <c r="A5943" s="4" t="s">
        <v>8666</v>
      </c>
      <c r="B5943">
        <v>3</v>
      </c>
    </row>
    <row r="5944" spans="1:2" ht="28.8" x14ac:dyDescent="0.3">
      <c r="A5944" s="4" t="s">
        <v>8667</v>
      </c>
      <c r="B5944">
        <v>3</v>
      </c>
    </row>
    <row r="5945" spans="1:2" x14ac:dyDescent="0.3">
      <c r="A5945" s="4" t="s">
        <v>8668</v>
      </c>
      <c r="B5945">
        <v>3</v>
      </c>
    </row>
    <row r="5946" spans="1:2" ht="43.2" x14ac:dyDescent="0.3">
      <c r="A5946" s="4" t="s">
        <v>8669</v>
      </c>
      <c r="B5946">
        <v>3</v>
      </c>
    </row>
    <row r="5947" spans="1:2" x14ac:dyDescent="0.3">
      <c r="A5947" s="4" t="s">
        <v>8670</v>
      </c>
      <c r="B5947">
        <v>3</v>
      </c>
    </row>
    <row r="5948" spans="1:2" ht="28.8" x14ac:dyDescent="0.3">
      <c r="A5948" s="4" t="s">
        <v>8671</v>
      </c>
      <c r="B5948">
        <v>3</v>
      </c>
    </row>
    <row r="5949" spans="1:2" ht="28.8" x14ac:dyDescent="0.3">
      <c r="A5949" s="4" t="s">
        <v>8672</v>
      </c>
      <c r="B5949">
        <v>3</v>
      </c>
    </row>
    <row r="5950" spans="1:2" x14ac:dyDescent="0.3">
      <c r="A5950" s="4" t="s">
        <v>8673</v>
      </c>
      <c r="B5950">
        <v>3</v>
      </c>
    </row>
    <row r="5951" spans="1:2" ht="28.8" x14ac:dyDescent="0.3">
      <c r="A5951" s="4" t="s">
        <v>8674</v>
      </c>
      <c r="B5951">
        <v>3</v>
      </c>
    </row>
    <row r="5952" spans="1:2" ht="28.8" x14ac:dyDescent="0.3">
      <c r="A5952" s="4" t="s">
        <v>8675</v>
      </c>
      <c r="B5952">
        <v>3</v>
      </c>
    </row>
    <row r="5953" spans="1:2" ht="28.8" x14ac:dyDescent="0.3">
      <c r="A5953" s="4" t="s">
        <v>8676</v>
      </c>
      <c r="B5953">
        <v>3</v>
      </c>
    </row>
    <row r="5954" spans="1:2" ht="28.8" x14ac:dyDescent="0.3">
      <c r="A5954" s="4" t="s">
        <v>8677</v>
      </c>
      <c r="B5954">
        <v>3</v>
      </c>
    </row>
    <row r="5955" spans="1:2" x14ac:dyDescent="0.3">
      <c r="A5955" s="4" t="s">
        <v>8678</v>
      </c>
      <c r="B5955">
        <v>3</v>
      </c>
    </row>
    <row r="5956" spans="1:2" ht="28.8" x14ac:dyDescent="0.3">
      <c r="A5956" s="4" t="s">
        <v>8679</v>
      </c>
      <c r="B5956">
        <v>3</v>
      </c>
    </row>
    <row r="5957" spans="1:2" ht="43.2" x14ac:dyDescent="0.3">
      <c r="A5957" s="4" t="s">
        <v>8680</v>
      </c>
      <c r="B5957">
        <v>3</v>
      </c>
    </row>
    <row r="5958" spans="1:2" ht="28.8" x14ac:dyDescent="0.3">
      <c r="A5958" s="4" t="s">
        <v>8681</v>
      </c>
      <c r="B5958">
        <v>3</v>
      </c>
    </row>
    <row r="5959" spans="1:2" ht="28.8" x14ac:dyDescent="0.3">
      <c r="A5959" s="4" t="s">
        <v>8682</v>
      </c>
      <c r="B5959">
        <v>3</v>
      </c>
    </row>
    <row r="5960" spans="1:2" ht="28.8" x14ac:dyDescent="0.3">
      <c r="A5960" s="4" t="s">
        <v>8683</v>
      </c>
      <c r="B5960">
        <v>3</v>
      </c>
    </row>
    <row r="5961" spans="1:2" ht="28.8" x14ac:dyDescent="0.3">
      <c r="A5961" s="4" t="s">
        <v>8684</v>
      </c>
      <c r="B5961">
        <v>3</v>
      </c>
    </row>
    <row r="5962" spans="1:2" x14ac:dyDescent="0.3">
      <c r="A5962" s="4" t="s">
        <v>8685</v>
      </c>
      <c r="B5962">
        <v>3</v>
      </c>
    </row>
    <row r="5963" spans="1:2" ht="72" x14ac:dyDescent="0.3">
      <c r="A5963" s="4" t="s">
        <v>8686</v>
      </c>
      <c r="B5963">
        <v>3</v>
      </c>
    </row>
    <row r="5964" spans="1:2" ht="43.2" x14ac:dyDescent="0.3">
      <c r="A5964" s="4" t="s">
        <v>8687</v>
      </c>
      <c r="B5964">
        <v>3</v>
      </c>
    </row>
    <row r="5965" spans="1:2" x14ac:dyDescent="0.3">
      <c r="A5965" s="4" t="s">
        <v>8688</v>
      </c>
      <c r="B5965">
        <v>3</v>
      </c>
    </row>
    <row r="5966" spans="1:2" x14ac:dyDescent="0.3">
      <c r="A5966" s="4" t="s">
        <v>8689</v>
      </c>
      <c r="B5966">
        <v>3</v>
      </c>
    </row>
    <row r="5967" spans="1:2" x14ac:dyDescent="0.3">
      <c r="A5967" s="4" t="s">
        <v>8690</v>
      </c>
      <c r="B5967">
        <v>3</v>
      </c>
    </row>
    <row r="5968" spans="1:2" ht="28.8" x14ac:dyDescent="0.3">
      <c r="A5968" s="4" t="s">
        <v>8691</v>
      </c>
      <c r="B5968">
        <v>3</v>
      </c>
    </row>
    <row r="5969" spans="1:2" x14ac:dyDescent="0.3">
      <c r="A5969" s="4" t="s">
        <v>8692</v>
      </c>
      <c r="B5969">
        <v>3</v>
      </c>
    </row>
    <row r="5970" spans="1:2" ht="28.8" x14ac:dyDescent="0.3">
      <c r="A5970" s="4" t="s">
        <v>8693</v>
      </c>
      <c r="B5970">
        <v>3</v>
      </c>
    </row>
    <row r="5971" spans="1:2" x14ac:dyDescent="0.3">
      <c r="A5971" s="4" t="s">
        <v>8694</v>
      </c>
      <c r="B5971">
        <v>3</v>
      </c>
    </row>
    <row r="5972" spans="1:2" ht="28.8" x14ac:dyDescent="0.3">
      <c r="A5972" s="4" t="s">
        <v>8695</v>
      </c>
      <c r="B5972">
        <v>3</v>
      </c>
    </row>
    <row r="5973" spans="1:2" ht="28.8" x14ac:dyDescent="0.3">
      <c r="A5973" s="4" t="s">
        <v>8696</v>
      </c>
      <c r="B5973">
        <v>3</v>
      </c>
    </row>
    <row r="5974" spans="1:2" x14ac:dyDescent="0.3">
      <c r="A5974" s="4" t="s">
        <v>8697</v>
      </c>
      <c r="B5974">
        <v>3</v>
      </c>
    </row>
    <row r="5975" spans="1:2" x14ac:dyDescent="0.3">
      <c r="A5975" s="4" t="s">
        <v>8698</v>
      </c>
      <c r="B5975">
        <v>3</v>
      </c>
    </row>
    <row r="5976" spans="1:2" ht="43.2" x14ac:dyDescent="0.3">
      <c r="A5976" s="4" t="s">
        <v>8699</v>
      </c>
      <c r="B5976">
        <v>3</v>
      </c>
    </row>
    <row r="5977" spans="1:2" ht="28.8" x14ac:dyDescent="0.3">
      <c r="A5977" s="4" t="s">
        <v>8700</v>
      </c>
      <c r="B5977">
        <v>3</v>
      </c>
    </row>
    <row r="5978" spans="1:2" ht="43.2" x14ac:dyDescent="0.3">
      <c r="A5978" s="4" t="s">
        <v>8701</v>
      </c>
      <c r="B5978">
        <v>3</v>
      </c>
    </row>
    <row r="5979" spans="1:2" x14ac:dyDescent="0.3">
      <c r="A5979" s="4" t="s">
        <v>8702</v>
      </c>
      <c r="B5979">
        <v>3</v>
      </c>
    </row>
    <row r="5980" spans="1:2" ht="28.8" x14ac:dyDescent="0.3">
      <c r="A5980" s="4" t="s">
        <v>8703</v>
      </c>
      <c r="B5980">
        <v>3</v>
      </c>
    </row>
    <row r="5981" spans="1:2" ht="28.8" x14ac:dyDescent="0.3">
      <c r="A5981" s="4" t="s">
        <v>8704</v>
      </c>
      <c r="B5981">
        <v>3</v>
      </c>
    </row>
    <row r="5982" spans="1:2" ht="28.8" x14ac:dyDescent="0.3">
      <c r="A5982" s="4" t="s">
        <v>8705</v>
      </c>
      <c r="B5982">
        <v>3</v>
      </c>
    </row>
    <row r="5983" spans="1:2" ht="28.8" x14ac:dyDescent="0.3">
      <c r="A5983" s="4" t="s">
        <v>8706</v>
      </c>
      <c r="B5983">
        <v>3</v>
      </c>
    </row>
    <row r="5984" spans="1:2" ht="28.8" x14ac:dyDescent="0.3">
      <c r="A5984" s="4" t="s">
        <v>8707</v>
      </c>
      <c r="B5984">
        <v>3</v>
      </c>
    </row>
    <row r="5985" spans="1:2" ht="28.8" x14ac:dyDescent="0.3">
      <c r="A5985" s="4" t="s">
        <v>8708</v>
      </c>
      <c r="B5985">
        <v>3</v>
      </c>
    </row>
    <row r="5986" spans="1:2" x14ac:dyDescent="0.3">
      <c r="A5986" s="4" t="s">
        <v>8709</v>
      </c>
      <c r="B5986">
        <v>3</v>
      </c>
    </row>
    <row r="5987" spans="1:2" ht="28.8" x14ac:dyDescent="0.3">
      <c r="A5987" s="4" t="s">
        <v>8710</v>
      </c>
      <c r="B5987">
        <v>3</v>
      </c>
    </row>
    <row r="5988" spans="1:2" ht="28.8" x14ac:dyDescent="0.3">
      <c r="A5988" s="4" t="s">
        <v>8711</v>
      </c>
      <c r="B5988">
        <v>3</v>
      </c>
    </row>
    <row r="5989" spans="1:2" ht="28.8" x14ac:dyDescent="0.3">
      <c r="A5989" s="4" t="s">
        <v>8712</v>
      </c>
      <c r="B5989">
        <v>3</v>
      </c>
    </row>
    <row r="5990" spans="1:2" x14ac:dyDescent="0.3">
      <c r="A5990" s="4" t="s">
        <v>8713</v>
      </c>
      <c r="B5990">
        <v>3</v>
      </c>
    </row>
    <row r="5991" spans="1:2" x14ac:dyDescent="0.3">
      <c r="A5991" s="4" t="s">
        <v>8714</v>
      </c>
      <c r="B5991">
        <v>3</v>
      </c>
    </row>
    <row r="5992" spans="1:2" ht="28.8" x14ac:dyDescent="0.3">
      <c r="A5992" s="4" t="s">
        <v>8715</v>
      </c>
      <c r="B5992">
        <v>3</v>
      </c>
    </row>
    <row r="5993" spans="1:2" x14ac:dyDescent="0.3">
      <c r="A5993" s="4" t="s">
        <v>8716</v>
      </c>
      <c r="B5993">
        <v>3</v>
      </c>
    </row>
    <row r="5994" spans="1:2" ht="28.8" x14ac:dyDescent="0.3">
      <c r="A5994" s="4" t="s">
        <v>8717</v>
      </c>
      <c r="B5994">
        <v>3</v>
      </c>
    </row>
    <row r="5995" spans="1:2" x14ac:dyDescent="0.3">
      <c r="A5995" s="4" t="s">
        <v>8718</v>
      </c>
      <c r="B5995">
        <v>3</v>
      </c>
    </row>
    <row r="5996" spans="1:2" ht="28.8" x14ac:dyDescent="0.3">
      <c r="A5996" s="4" t="s">
        <v>8719</v>
      </c>
      <c r="B5996">
        <v>3</v>
      </c>
    </row>
    <row r="5997" spans="1:2" ht="57.6" x14ac:dyDescent="0.3">
      <c r="A5997" s="4" t="s">
        <v>8720</v>
      </c>
      <c r="B5997">
        <v>3</v>
      </c>
    </row>
    <row r="5998" spans="1:2" ht="28.8" x14ac:dyDescent="0.3">
      <c r="A5998" s="4" t="s">
        <v>8721</v>
      </c>
      <c r="B5998">
        <v>3</v>
      </c>
    </row>
    <row r="5999" spans="1:2" ht="28.8" x14ac:dyDescent="0.3">
      <c r="A5999" s="4" t="s">
        <v>8722</v>
      </c>
      <c r="B5999">
        <v>3</v>
      </c>
    </row>
    <row r="6000" spans="1:2" ht="43.2" x14ac:dyDescent="0.3">
      <c r="A6000" s="4" t="s">
        <v>8723</v>
      </c>
      <c r="B6000">
        <v>3</v>
      </c>
    </row>
    <row r="6001" spans="1:2" ht="57.6" x14ac:dyDescent="0.3">
      <c r="A6001" s="4" t="s">
        <v>8724</v>
      </c>
      <c r="B6001">
        <v>3</v>
      </c>
    </row>
    <row r="6002" spans="1:2" ht="28.8" x14ac:dyDescent="0.3">
      <c r="A6002" s="4" t="s">
        <v>8725</v>
      </c>
      <c r="B6002">
        <v>3</v>
      </c>
    </row>
    <row r="6003" spans="1:2" ht="28.8" x14ac:dyDescent="0.3">
      <c r="A6003" s="4" t="s">
        <v>8726</v>
      </c>
      <c r="B6003">
        <v>3</v>
      </c>
    </row>
    <row r="6004" spans="1:2" ht="28.8" x14ac:dyDescent="0.3">
      <c r="A6004" s="4" t="s">
        <v>8727</v>
      </c>
      <c r="B6004">
        <v>3</v>
      </c>
    </row>
    <row r="6005" spans="1:2" x14ac:dyDescent="0.3">
      <c r="A6005" s="4" t="s">
        <v>8728</v>
      </c>
      <c r="B6005">
        <v>3</v>
      </c>
    </row>
    <row r="6006" spans="1:2" ht="28.8" x14ac:dyDescent="0.3">
      <c r="A6006" s="4" t="s">
        <v>8729</v>
      </c>
      <c r="B6006">
        <v>3</v>
      </c>
    </row>
    <row r="6007" spans="1:2" x14ac:dyDescent="0.3">
      <c r="A6007" s="4" t="s">
        <v>8730</v>
      </c>
      <c r="B6007">
        <v>3</v>
      </c>
    </row>
    <row r="6008" spans="1:2" ht="28.8" x14ac:dyDescent="0.3">
      <c r="A6008" s="4" t="s">
        <v>8731</v>
      </c>
      <c r="B6008">
        <v>3</v>
      </c>
    </row>
    <row r="6009" spans="1:2" ht="28.8" x14ac:dyDescent="0.3">
      <c r="A6009" s="4" t="s">
        <v>8732</v>
      </c>
      <c r="B6009">
        <v>3</v>
      </c>
    </row>
    <row r="6010" spans="1:2" ht="28.8" x14ac:dyDescent="0.3">
      <c r="A6010" s="4" t="s">
        <v>8733</v>
      </c>
      <c r="B6010">
        <v>3</v>
      </c>
    </row>
    <row r="6011" spans="1:2" ht="28.8" x14ac:dyDescent="0.3">
      <c r="A6011" s="4" t="s">
        <v>8734</v>
      </c>
      <c r="B6011">
        <v>3</v>
      </c>
    </row>
    <row r="6012" spans="1:2" ht="28.8" x14ac:dyDescent="0.3">
      <c r="A6012" s="4" t="s">
        <v>8735</v>
      </c>
      <c r="B6012">
        <v>3</v>
      </c>
    </row>
    <row r="6013" spans="1:2" ht="28.8" x14ac:dyDescent="0.3">
      <c r="A6013" s="4" t="s">
        <v>8736</v>
      </c>
      <c r="B6013">
        <v>3</v>
      </c>
    </row>
    <row r="6014" spans="1:2" x14ac:dyDescent="0.3">
      <c r="A6014" s="4" t="s">
        <v>8737</v>
      </c>
      <c r="B6014">
        <v>3</v>
      </c>
    </row>
    <row r="6015" spans="1:2" ht="28.8" x14ac:dyDescent="0.3">
      <c r="A6015" s="4" t="s">
        <v>8738</v>
      </c>
      <c r="B6015">
        <v>3</v>
      </c>
    </row>
    <row r="6016" spans="1:2" ht="43.2" x14ac:dyDescent="0.3">
      <c r="A6016" s="4" t="s">
        <v>8739</v>
      </c>
      <c r="B6016">
        <v>3</v>
      </c>
    </row>
    <row r="6017" spans="1:2" ht="43.2" x14ac:dyDescent="0.3">
      <c r="A6017" s="4" t="s">
        <v>8740</v>
      </c>
      <c r="B6017">
        <v>3</v>
      </c>
    </row>
    <row r="6018" spans="1:2" x14ac:dyDescent="0.3">
      <c r="A6018" s="4" t="s">
        <v>8741</v>
      </c>
      <c r="B6018">
        <v>3</v>
      </c>
    </row>
    <row r="6019" spans="1:2" ht="28.8" x14ac:dyDescent="0.3">
      <c r="A6019" s="4" t="s">
        <v>8742</v>
      </c>
      <c r="B6019">
        <v>3</v>
      </c>
    </row>
    <row r="6020" spans="1:2" ht="72" x14ac:dyDescent="0.3">
      <c r="A6020" s="4" t="s">
        <v>8743</v>
      </c>
      <c r="B6020">
        <v>3</v>
      </c>
    </row>
    <row r="6021" spans="1:2" ht="43.2" x14ac:dyDescent="0.3">
      <c r="A6021" s="4" t="s">
        <v>8744</v>
      </c>
      <c r="B6021">
        <v>3</v>
      </c>
    </row>
    <row r="6022" spans="1:2" x14ac:dyDescent="0.3">
      <c r="A6022" s="4" t="s">
        <v>8745</v>
      </c>
      <c r="B6022">
        <v>3</v>
      </c>
    </row>
    <row r="6023" spans="1:2" x14ac:dyDescent="0.3">
      <c r="A6023" s="4" t="s">
        <v>8746</v>
      </c>
      <c r="B6023">
        <v>3</v>
      </c>
    </row>
    <row r="6024" spans="1:2" x14ac:dyDescent="0.3">
      <c r="A6024" s="4" t="s">
        <v>8747</v>
      </c>
      <c r="B6024">
        <v>3</v>
      </c>
    </row>
    <row r="6025" spans="1:2" ht="28.8" x14ac:dyDescent="0.3">
      <c r="A6025" s="4" t="s">
        <v>8748</v>
      </c>
      <c r="B6025">
        <v>3</v>
      </c>
    </row>
    <row r="6026" spans="1:2" x14ac:dyDescent="0.3">
      <c r="A6026" s="4" t="s">
        <v>8749</v>
      </c>
      <c r="B6026">
        <v>3</v>
      </c>
    </row>
    <row r="6027" spans="1:2" ht="28.8" x14ac:dyDescent="0.3">
      <c r="A6027" s="4" t="s">
        <v>8750</v>
      </c>
      <c r="B6027">
        <v>3</v>
      </c>
    </row>
    <row r="6028" spans="1:2" ht="28.8" x14ac:dyDescent="0.3">
      <c r="A6028" s="4" t="s">
        <v>8751</v>
      </c>
      <c r="B6028">
        <v>3</v>
      </c>
    </row>
    <row r="6029" spans="1:2" ht="28.8" x14ac:dyDescent="0.3">
      <c r="A6029" s="4" t="s">
        <v>8752</v>
      </c>
      <c r="B6029">
        <v>3</v>
      </c>
    </row>
    <row r="6030" spans="1:2" ht="28.8" x14ac:dyDescent="0.3">
      <c r="A6030" s="4" t="s">
        <v>8753</v>
      </c>
      <c r="B6030">
        <v>3</v>
      </c>
    </row>
    <row r="6031" spans="1:2" x14ac:dyDescent="0.3">
      <c r="A6031" s="4" t="s">
        <v>8754</v>
      </c>
      <c r="B6031">
        <v>3</v>
      </c>
    </row>
    <row r="6032" spans="1:2" ht="28.8" x14ac:dyDescent="0.3">
      <c r="A6032" s="4" t="s">
        <v>8755</v>
      </c>
      <c r="B6032">
        <v>3</v>
      </c>
    </row>
    <row r="6033" spans="1:2" ht="28.8" x14ac:dyDescent="0.3">
      <c r="A6033" s="4" t="s">
        <v>8756</v>
      </c>
      <c r="B6033">
        <v>3</v>
      </c>
    </row>
    <row r="6034" spans="1:2" ht="28.8" x14ac:dyDescent="0.3">
      <c r="A6034" s="4" t="s">
        <v>8757</v>
      </c>
      <c r="B6034">
        <v>3</v>
      </c>
    </row>
    <row r="6035" spans="1:2" ht="28.8" x14ac:dyDescent="0.3">
      <c r="A6035" s="4" t="s">
        <v>8758</v>
      </c>
      <c r="B6035">
        <v>3</v>
      </c>
    </row>
    <row r="6036" spans="1:2" ht="28.8" x14ac:dyDescent="0.3">
      <c r="A6036" s="4" t="s">
        <v>8759</v>
      </c>
      <c r="B6036">
        <v>3</v>
      </c>
    </row>
    <row r="6037" spans="1:2" ht="28.8" x14ac:dyDescent="0.3">
      <c r="A6037" s="4" t="s">
        <v>8760</v>
      </c>
      <c r="B6037">
        <v>3</v>
      </c>
    </row>
    <row r="6038" spans="1:2" x14ac:dyDescent="0.3">
      <c r="A6038" s="4" t="s">
        <v>8761</v>
      </c>
      <c r="B6038">
        <v>3</v>
      </c>
    </row>
    <row r="6039" spans="1:2" ht="43.2" x14ac:dyDescent="0.3">
      <c r="A6039" s="4" t="s">
        <v>8762</v>
      </c>
      <c r="B6039">
        <v>3</v>
      </c>
    </row>
    <row r="6040" spans="1:2" ht="28.8" x14ac:dyDescent="0.3">
      <c r="A6040" s="4" t="s">
        <v>8763</v>
      </c>
      <c r="B6040">
        <v>3</v>
      </c>
    </row>
    <row r="6041" spans="1:2" ht="28.8" x14ac:dyDescent="0.3">
      <c r="A6041" s="4" t="s">
        <v>8764</v>
      </c>
      <c r="B6041">
        <v>3</v>
      </c>
    </row>
    <row r="6042" spans="1:2" ht="28.8" x14ac:dyDescent="0.3">
      <c r="A6042" s="4" t="s">
        <v>8765</v>
      </c>
      <c r="B6042">
        <v>3</v>
      </c>
    </row>
    <row r="6043" spans="1:2" ht="28.8" x14ac:dyDescent="0.3">
      <c r="A6043" s="4" t="s">
        <v>8766</v>
      </c>
      <c r="B6043">
        <v>3</v>
      </c>
    </row>
    <row r="6044" spans="1:2" ht="28.8" x14ac:dyDescent="0.3">
      <c r="A6044" s="4" t="s">
        <v>8767</v>
      </c>
      <c r="B6044">
        <v>3</v>
      </c>
    </row>
    <row r="6045" spans="1:2" ht="28.8" x14ac:dyDescent="0.3">
      <c r="A6045" s="4" t="s">
        <v>8768</v>
      </c>
      <c r="B6045">
        <v>3</v>
      </c>
    </row>
    <row r="6046" spans="1:2" ht="28.8" x14ac:dyDescent="0.3">
      <c r="A6046" s="4" t="s">
        <v>8769</v>
      </c>
      <c r="B6046">
        <v>3</v>
      </c>
    </row>
    <row r="6047" spans="1:2" ht="28.8" x14ac:dyDescent="0.3">
      <c r="A6047" s="4" t="s">
        <v>8770</v>
      </c>
      <c r="B6047">
        <v>3</v>
      </c>
    </row>
    <row r="6048" spans="1:2" ht="28.8" x14ac:dyDescent="0.3">
      <c r="A6048" s="4" t="s">
        <v>8771</v>
      </c>
      <c r="B6048">
        <v>3</v>
      </c>
    </row>
    <row r="6049" spans="1:2" ht="28.8" x14ac:dyDescent="0.3">
      <c r="A6049" s="4" t="s">
        <v>8772</v>
      </c>
      <c r="B6049">
        <v>3</v>
      </c>
    </row>
    <row r="6050" spans="1:2" ht="28.8" x14ac:dyDescent="0.3">
      <c r="A6050" s="4" t="s">
        <v>8773</v>
      </c>
      <c r="B6050">
        <v>3</v>
      </c>
    </row>
    <row r="6051" spans="1:2" ht="28.8" x14ac:dyDescent="0.3">
      <c r="A6051" s="4" t="s">
        <v>8774</v>
      </c>
      <c r="B6051">
        <v>3</v>
      </c>
    </row>
    <row r="6052" spans="1:2" ht="28.8" x14ac:dyDescent="0.3">
      <c r="A6052" s="4" t="s">
        <v>8775</v>
      </c>
      <c r="B6052">
        <v>3</v>
      </c>
    </row>
    <row r="6053" spans="1:2" ht="28.8" x14ac:dyDescent="0.3">
      <c r="A6053" s="4" t="s">
        <v>8776</v>
      </c>
      <c r="B6053">
        <v>3</v>
      </c>
    </row>
    <row r="6054" spans="1:2" x14ac:dyDescent="0.3">
      <c r="A6054" s="4" t="s">
        <v>8777</v>
      </c>
      <c r="B6054">
        <v>3</v>
      </c>
    </row>
    <row r="6055" spans="1:2" ht="28.8" x14ac:dyDescent="0.3">
      <c r="A6055" s="4" t="s">
        <v>8778</v>
      </c>
      <c r="B6055">
        <v>3</v>
      </c>
    </row>
    <row r="6056" spans="1:2" x14ac:dyDescent="0.3">
      <c r="A6056" s="4" t="s">
        <v>8779</v>
      </c>
      <c r="B6056">
        <v>3</v>
      </c>
    </row>
    <row r="6057" spans="1:2" ht="28.8" x14ac:dyDescent="0.3">
      <c r="A6057" s="4" t="s">
        <v>8780</v>
      </c>
      <c r="B6057">
        <v>3</v>
      </c>
    </row>
    <row r="6058" spans="1:2" ht="28.8" x14ac:dyDescent="0.3">
      <c r="A6058" s="4" t="s">
        <v>8781</v>
      </c>
      <c r="B6058">
        <v>3</v>
      </c>
    </row>
    <row r="6059" spans="1:2" ht="57.6" x14ac:dyDescent="0.3">
      <c r="A6059" s="4" t="s">
        <v>8782</v>
      </c>
      <c r="B6059">
        <v>3</v>
      </c>
    </row>
    <row r="6060" spans="1:2" ht="28.8" x14ac:dyDescent="0.3">
      <c r="A6060" s="4" t="s">
        <v>8783</v>
      </c>
      <c r="B6060">
        <v>3</v>
      </c>
    </row>
    <row r="6061" spans="1:2" ht="28.8" x14ac:dyDescent="0.3">
      <c r="A6061" s="4" t="s">
        <v>8784</v>
      </c>
      <c r="B6061">
        <v>3</v>
      </c>
    </row>
    <row r="6062" spans="1:2" ht="28.8" x14ac:dyDescent="0.3">
      <c r="A6062" s="4" t="s">
        <v>8785</v>
      </c>
      <c r="B6062">
        <v>3</v>
      </c>
    </row>
    <row r="6063" spans="1:2" x14ac:dyDescent="0.3">
      <c r="A6063" s="4" t="s">
        <v>8786</v>
      </c>
      <c r="B6063">
        <v>3</v>
      </c>
    </row>
    <row r="6064" spans="1:2" ht="28.8" x14ac:dyDescent="0.3">
      <c r="A6064" s="4" t="s">
        <v>8787</v>
      </c>
      <c r="B6064">
        <v>3</v>
      </c>
    </row>
    <row r="6065" spans="1:2" ht="43.2" x14ac:dyDescent="0.3">
      <c r="A6065" s="4" t="s">
        <v>8788</v>
      </c>
      <c r="B6065">
        <v>3</v>
      </c>
    </row>
    <row r="6066" spans="1:2" ht="28.8" x14ac:dyDescent="0.3">
      <c r="A6066" s="4" t="s">
        <v>8789</v>
      </c>
      <c r="B6066">
        <v>3</v>
      </c>
    </row>
    <row r="6067" spans="1:2" x14ac:dyDescent="0.3">
      <c r="A6067" s="4" t="s">
        <v>8790</v>
      </c>
      <c r="B6067">
        <v>3</v>
      </c>
    </row>
    <row r="6068" spans="1:2" x14ac:dyDescent="0.3">
      <c r="A6068" s="4" t="s">
        <v>8791</v>
      </c>
      <c r="B6068">
        <v>3</v>
      </c>
    </row>
    <row r="6069" spans="1:2" x14ac:dyDescent="0.3">
      <c r="A6069" s="4" t="s">
        <v>8792</v>
      </c>
      <c r="B6069">
        <v>3</v>
      </c>
    </row>
    <row r="6070" spans="1:2" x14ac:dyDescent="0.3">
      <c r="A6070" s="4" t="s">
        <v>8793</v>
      </c>
      <c r="B6070">
        <v>3</v>
      </c>
    </row>
    <row r="6071" spans="1:2" ht="28.8" x14ac:dyDescent="0.3">
      <c r="A6071" s="4" t="s">
        <v>8794</v>
      </c>
      <c r="B6071">
        <v>3</v>
      </c>
    </row>
    <row r="6072" spans="1:2" ht="28.8" x14ac:dyDescent="0.3">
      <c r="A6072" s="4" t="s">
        <v>8795</v>
      </c>
      <c r="B6072">
        <v>3</v>
      </c>
    </row>
    <row r="6073" spans="1:2" ht="43.2" x14ac:dyDescent="0.3">
      <c r="A6073" s="4" t="s">
        <v>8796</v>
      </c>
      <c r="B6073">
        <v>3</v>
      </c>
    </row>
    <row r="6074" spans="1:2" ht="43.2" x14ac:dyDescent="0.3">
      <c r="A6074" s="4" t="s">
        <v>8797</v>
      </c>
      <c r="B6074">
        <v>3</v>
      </c>
    </row>
    <row r="6075" spans="1:2" ht="28.8" x14ac:dyDescent="0.3">
      <c r="A6075" s="4" t="s">
        <v>8798</v>
      </c>
      <c r="B6075">
        <v>3</v>
      </c>
    </row>
    <row r="6076" spans="1:2" ht="28.8" x14ac:dyDescent="0.3">
      <c r="A6076" s="4" t="s">
        <v>8799</v>
      </c>
      <c r="B6076">
        <v>3</v>
      </c>
    </row>
    <row r="6077" spans="1:2" ht="28.8" x14ac:dyDescent="0.3">
      <c r="A6077" s="4" t="s">
        <v>8800</v>
      </c>
      <c r="B6077">
        <v>3</v>
      </c>
    </row>
    <row r="6078" spans="1:2" ht="28.8" x14ac:dyDescent="0.3">
      <c r="A6078" s="4" t="s">
        <v>8801</v>
      </c>
      <c r="B6078">
        <v>3</v>
      </c>
    </row>
    <row r="6079" spans="1:2" ht="28.8" x14ac:dyDescent="0.3">
      <c r="A6079" s="4" t="s">
        <v>8802</v>
      </c>
      <c r="B6079">
        <v>3</v>
      </c>
    </row>
    <row r="6080" spans="1:2" ht="28.8" x14ac:dyDescent="0.3">
      <c r="A6080" s="4" t="s">
        <v>8803</v>
      </c>
      <c r="B6080">
        <v>3</v>
      </c>
    </row>
    <row r="6081" spans="1:2" ht="28.8" x14ac:dyDescent="0.3">
      <c r="A6081" s="4" t="s">
        <v>8804</v>
      </c>
      <c r="B6081">
        <v>3</v>
      </c>
    </row>
    <row r="6082" spans="1:2" x14ac:dyDescent="0.3">
      <c r="A6082" s="4" t="s">
        <v>8805</v>
      </c>
      <c r="B6082">
        <v>3</v>
      </c>
    </row>
    <row r="6083" spans="1:2" x14ac:dyDescent="0.3">
      <c r="A6083" s="4" t="s">
        <v>8806</v>
      </c>
      <c r="B6083">
        <v>3</v>
      </c>
    </row>
    <row r="6084" spans="1:2" ht="28.8" x14ac:dyDescent="0.3">
      <c r="A6084" s="4" t="s">
        <v>8807</v>
      </c>
      <c r="B6084">
        <v>3</v>
      </c>
    </row>
    <row r="6085" spans="1:2" ht="28.8" x14ac:dyDescent="0.3">
      <c r="A6085" s="4" t="s">
        <v>8808</v>
      </c>
      <c r="B6085">
        <v>3</v>
      </c>
    </row>
    <row r="6086" spans="1:2" ht="43.2" x14ac:dyDescent="0.3">
      <c r="A6086" s="4" t="s">
        <v>8809</v>
      </c>
      <c r="B6086">
        <v>3</v>
      </c>
    </row>
    <row r="6087" spans="1:2" ht="28.8" x14ac:dyDescent="0.3">
      <c r="A6087" s="4" t="s">
        <v>8810</v>
      </c>
      <c r="B6087">
        <v>3</v>
      </c>
    </row>
    <row r="6088" spans="1:2" ht="28.8" x14ac:dyDescent="0.3">
      <c r="A6088" s="4" t="s">
        <v>8811</v>
      </c>
      <c r="B6088">
        <v>3</v>
      </c>
    </row>
    <row r="6089" spans="1:2" ht="28.8" x14ac:dyDescent="0.3">
      <c r="A6089" s="4" t="s">
        <v>8812</v>
      </c>
      <c r="B6089">
        <v>3</v>
      </c>
    </row>
    <row r="6090" spans="1:2" ht="28.8" x14ac:dyDescent="0.3">
      <c r="A6090" s="4" t="s">
        <v>8813</v>
      </c>
      <c r="B6090">
        <v>3</v>
      </c>
    </row>
    <row r="6091" spans="1:2" x14ac:dyDescent="0.3">
      <c r="A6091" s="4" t="s">
        <v>8814</v>
      </c>
      <c r="B6091">
        <v>3</v>
      </c>
    </row>
    <row r="6092" spans="1:2" ht="28.8" x14ac:dyDescent="0.3">
      <c r="A6092" s="4" t="s">
        <v>8815</v>
      </c>
      <c r="B6092">
        <v>3</v>
      </c>
    </row>
    <row r="6093" spans="1:2" ht="28.8" x14ac:dyDescent="0.3">
      <c r="A6093" s="4" t="s">
        <v>8816</v>
      </c>
      <c r="B6093">
        <v>3</v>
      </c>
    </row>
    <row r="6094" spans="1:2" ht="28.8" x14ac:dyDescent="0.3">
      <c r="A6094" s="4" t="s">
        <v>8817</v>
      </c>
      <c r="B6094">
        <v>3</v>
      </c>
    </row>
    <row r="6095" spans="1:2" ht="28.8" x14ac:dyDescent="0.3">
      <c r="A6095" s="4" t="s">
        <v>8818</v>
      </c>
      <c r="B6095">
        <v>3</v>
      </c>
    </row>
    <row r="6096" spans="1:2" ht="28.8" x14ac:dyDescent="0.3">
      <c r="A6096" s="4" t="s">
        <v>8819</v>
      </c>
      <c r="B6096">
        <v>3</v>
      </c>
    </row>
    <row r="6097" spans="1:2" x14ac:dyDescent="0.3">
      <c r="A6097" s="4" t="s">
        <v>8820</v>
      </c>
      <c r="B6097">
        <v>3</v>
      </c>
    </row>
    <row r="6098" spans="1:2" ht="28.8" x14ac:dyDescent="0.3">
      <c r="A6098" s="4" t="s">
        <v>8821</v>
      </c>
      <c r="B6098">
        <v>3</v>
      </c>
    </row>
    <row r="6099" spans="1:2" ht="28.8" x14ac:dyDescent="0.3">
      <c r="A6099" s="4" t="s">
        <v>8822</v>
      </c>
      <c r="B6099">
        <v>3</v>
      </c>
    </row>
    <row r="6100" spans="1:2" ht="43.2" x14ac:dyDescent="0.3">
      <c r="A6100" s="4" t="s">
        <v>8823</v>
      </c>
      <c r="B6100">
        <v>3</v>
      </c>
    </row>
    <row r="6101" spans="1:2" ht="28.8" x14ac:dyDescent="0.3">
      <c r="A6101" s="4" t="s">
        <v>8824</v>
      </c>
      <c r="B6101">
        <v>3</v>
      </c>
    </row>
    <row r="6102" spans="1:2" ht="28.8" x14ac:dyDescent="0.3">
      <c r="A6102" s="4" t="s">
        <v>8825</v>
      </c>
      <c r="B6102">
        <v>3</v>
      </c>
    </row>
    <row r="6103" spans="1:2" ht="28.8" x14ac:dyDescent="0.3">
      <c r="A6103" s="4" t="s">
        <v>8826</v>
      </c>
      <c r="B6103">
        <v>3</v>
      </c>
    </row>
    <row r="6104" spans="1:2" ht="28.8" x14ac:dyDescent="0.3">
      <c r="A6104" s="4" t="s">
        <v>8827</v>
      </c>
      <c r="B6104">
        <v>3</v>
      </c>
    </row>
    <row r="6105" spans="1:2" ht="28.8" x14ac:dyDescent="0.3">
      <c r="A6105" s="4" t="s">
        <v>8828</v>
      </c>
      <c r="B6105">
        <v>3</v>
      </c>
    </row>
    <row r="6106" spans="1:2" ht="43.2" x14ac:dyDescent="0.3">
      <c r="A6106" s="4" t="s">
        <v>8829</v>
      </c>
      <c r="B6106">
        <v>3</v>
      </c>
    </row>
    <row r="6107" spans="1:2" ht="28.8" x14ac:dyDescent="0.3">
      <c r="A6107" s="4" t="s">
        <v>8830</v>
      </c>
      <c r="B6107">
        <v>3</v>
      </c>
    </row>
    <row r="6108" spans="1:2" ht="28.8" x14ac:dyDescent="0.3">
      <c r="A6108" s="4" t="s">
        <v>8831</v>
      </c>
      <c r="B6108">
        <v>3</v>
      </c>
    </row>
    <row r="6109" spans="1:2" ht="28.8" x14ac:dyDescent="0.3">
      <c r="A6109" s="4" t="s">
        <v>8832</v>
      </c>
      <c r="B6109">
        <v>3</v>
      </c>
    </row>
    <row r="6110" spans="1:2" ht="28.8" x14ac:dyDescent="0.3">
      <c r="A6110" s="4" t="s">
        <v>8833</v>
      </c>
      <c r="B6110">
        <v>3</v>
      </c>
    </row>
    <row r="6111" spans="1:2" ht="43.2" x14ac:dyDescent="0.3">
      <c r="A6111" s="4" t="s">
        <v>8834</v>
      </c>
      <c r="B6111">
        <v>3</v>
      </c>
    </row>
    <row r="6112" spans="1:2" ht="28.8" x14ac:dyDescent="0.3">
      <c r="A6112" s="4" t="s">
        <v>8835</v>
      </c>
      <c r="B6112">
        <v>3</v>
      </c>
    </row>
    <row r="6113" spans="1:2" x14ac:dyDescent="0.3">
      <c r="A6113" s="4" t="s">
        <v>8836</v>
      </c>
      <c r="B6113">
        <v>3</v>
      </c>
    </row>
    <row r="6114" spans="1:2" ht="28.8" x14ac:dyDescent="0.3">
      <c r="A6114" s="4" t="s">
        <v>8837</v>
      </c>
      <c r="B6114">
        <v>3</v>
      </c>
    </row>
    <row r="6115" spans="1:2" ht="28.8" x14ac:dyDescent="0.3">
      <c r="A6115" s="4" t="s">
        <v>8838</v>
      </c>
      <c r="B6115">
        <v>3</v>
      </c>
    </row>
    <row r="6116" spans="1:2" ht="28.8" x14ac:dyDescent="0.3">
      <c r="A6116" s="4" t="s">
        <v>8839</v>
      </c>
      <c r="B6116">
        <v>3</v>
      </c>
    </row>
    <row r="6117" spans="1:2" ht="28.8" x14ac:dyDescent="0.3">
      <c r="A6117" s="4" t="s">
        <v>8840</v>
      </c>
      <c r="B6117">
        <v>3</v>
      </c>
    </row>
    <row r="6118" spans="1:2" ht="28.8" x14ac:dyDescent="0.3">
      <c r="A6118" s="4" t="s">
        <v>8841</v>
      </c>
      <c r="B6118">
        <v>3</v>
      </c>
    </row>
    <row r="6119" spans="1:2" ht="28.8" x14ac:dyDescent="0.3">
      <c r="A6119" s="4" t="s">
        <v>8842</v>
      </c>
      <c r="B6119">
        <v>3</v>
      </c>
    </row>
    <row r="6120" spans="1:2" ht="28.8" x14ac:dyDescent="0.3">
      <c r="A6120" s="4" t="s">
        <v>8843</v>
      </c>
      <c r="B6120">
        <v>3</v>
      </c>
    </row>
    <row r="6121" spans="1:2" ht="28.8" x14ac:dyDescent="0.3">
      <c r="A6121" s="4" t="s">
        <v>8844</v>
      </c>
      <c r="B6121">
        <v>3</v>
      </c>
    </row>
    <row r="6122" spans="1:2" x14ac:dyDescent="0.3">
      <c r="A6122" s="4" t="s">
        <v>8845</v>
      </c>
      <c r="B6122">
        <v>3</v>
      </c>
    </row>
    <row r="6123" spans="1:2" ht="28.8" x14ac:dyDescent="0.3">
      <c r="A6123" s="4" t="s">
        <v>8846</v>
      </c>
      <c r="B6123">
        <v>3</v>
      </c>
    </row>
    <row r="6124" spans="1:2" x14ac:dyDescent="0.3">
      <c r="A6124" s="4" t="s">
        <v>8847</v>
      </c>
      <c r="B6124">
        <v>3</v>
      </c>
    </row>
    <row r="6125" spans="1:2" ht="28.8" x14ac:dyDescent="0.3">
      <c r="A6125" s="4" t="s">
        <v>8848</v>
      </c>
      <c r="B6125">
        <v>3</v>
      </c>
    </row>
    <row r="6126" spans="1:2" ht="28.8" x14ac:dyDescent="0.3">
      <c r="A6126" s="4" t="s">
        <v>8849</v>
      </c>
      <c r="B6126">
        <v>3</v>
      </c>
    </row>
    <row r="6127" spans="1:2" x14ac:dyDescent="0.3">
      <c r="A6127" s="4" t="s">
        <v>8850</v>
      </c>
      <c r="B6127">
        <v>3</v>
      </c>
    </row>
    <row r="6128" spans="1:2" ht="28.8" x14ac:dyDescent="0.3">
      <c r="A6128" s="4" t="s">
        <v>8851</v>
      </c>
      <c r="B6128">
        <v>3</v>
      </c>
    </row>
    <row r="6129" spans="1:2" ht="43.2" x14ac:dyDescent="0.3">
      <c r="A6129" s="4" t="s">
        <v>8852</v>
      </c>
      <c r="B6129">
        <v>3</v>
      </c>
    </row>
    <row r="6130" spans="1:2" ht="28.8" x14ac:dyDescent="0.3">
      <c r="A6130" s="4" t="s">
        <v>8853</v>
      </c>
      <c r="B6130">
        <v>3</v>
      </c>
    </row>
    <row r="6131" spans="1:2" ht="43.2" x14ac:dyDescent="0.3">
      <c r="A6131" s="4" t="s">
        <v>8854</v>
      </c>
      <c r="B6131">
        <v>3</v>
      </c>
    </row>
    <row r="6132" spans="1:2" ht="43.2" x14ac:dyDescent="0.3">
      <c r="A6132" s="4" t="s">
        <v>8855</v>
      </c>
      <c r="B6132">
        <v>3</v>
      </c>
    </row>
    <row r="6133" spans="1:2" ht="28.8" x14ac:dyDescent="0.3">
      <c r="A6133" s="4" t="s">
        <v>8856</v>
      </c>
      <c r="B6133">
        <v>3</v>
      </c>
    </row>
    <row r="6134" spans="1:2" ht="28.8" x14ac:dyDescent="0.3">
      <c r="A6134" s="4" t="s">
        <v>8857</v>
      </c>
      <c r="B6134">
        <v>3</v>
      </c>
    </row>
    <row r="6135" spans="1:2" ht="28.8" x14ac:dyDescent="0.3">
      <c r="A6135" s="4" t="s">
        <v>8858</v>
      </c>
      <c r="B6135">
        <v>3</v>
      </c>
    </row>
    <row r="6136" spans="1:2" ht="28.8" x14ac:dyDescent="0.3">
      <c r="A6136" s="4" t="s">
        <v>8859</v>
      </c>
      <c r="B6136">
        <v>3</v>
      </c>
    </row>
    <row r="6137" spans="1:2" x14ac:dyDescent="0.3">
      <c r="A6137" s="4" t="s">
        <v>8860</v>
      </c>
      <c r="B6137">
        <v>3</v>
      </c>
    </row>
    <row r="6138" spans="1:2" ht="28.8" x14ac:dyDescent="0.3">
      <c r="A6138" s="4" t="s">
        <v>8861</v>
      </c>
      <c r="B6138">
        <v>3</v>
      </c>
    </row>
    <row r="6139" spans="1:2" ht="28.8" x14ac:dyDescent="0.3">
      <c r="A6139" s="4" t="s">
        <v>8862</v>
      </c>
      <c r="B6139">
        <v>3</v>
      </c>
    </row>
    <row r="6140" spans="1:2" x14ac:dyDescent="0.3">
      <c r="A6140" s="4" t="s">
        <v>8863</v>
      </c>
      <c r="B6140">
        <v>3</v>
      </c>
    </row>
    <row r="6141" spans="1:2" ht="57.6" x14ac:dyDescent="0.3">
      <c r="A6141" s="4" t="s">
        <v>8864</v>
      </c>
      <c r="B6141">
        <v>3</v>
      </c>
    </row>
    <row r="6142" spans="1:2" ht="28.8" x14ac:dyDescent="0.3">
      <c r="A6142" s="4" t="s">
        <v>8865</v>
      </c>
      <c r="B6142">
        <v>3</v>
      </c>
    </row>
    <row r="6143" spans="1:2" ht="28.8" x14ac:dyDescent="0.3">
      <c r="A6143" s="4" t="s">
        <v>8866</v>
      </c>
      <c r="B6143">
        <v>3</v>
      </c>
    </row>
    <row r="6144" spans="1:2" ht="86.4" x14ac:dyDescent="0.3">
      <c r="A6144" s="4" t="s">
        <v>8867</v>
      </c>
      <c r="B6144">
        <v>3</v>
      </c>
    </row>
    <row r="6145" spans="1:2" ht="28.8" x14ac:dyDescent="0.3">
      <c r="A6145" s="4" t="s">
        <v>8868</v>
      </c>
      <c r="B6145">
        <v>3</v>
      </c>
    </row>
    <row r="6146" spans="1:2" ht="28.8" x14ac:dyDescent="0.3">
      <c r="A6146" s="4" t="s">
        <v>8869</v>
      </c>
      <c r="B6146">
        <v>3</v>
      </c>
    </row>
    <row r="6147" spans="1:2" ht="28.8" x14ac:dyDescent="0.3">
      <c r="A6147" s="4" t="s">
        <v>8870</v>
      </c>
      <c r="B6147">
        <v>3</v>
      </c>
    </row>
    <row r="6148" spans="1:2" ht="28.8" x14ac:dyDescent="0.3">
      <c r="A6148" s="4" t="s">
        <v>8871</v>
      </c>
      <c r="B6148">
        <v>3</v>
      </c>
    </row>
    <row r="6149" spans="1:2" ht="28.8" x14ac:dyDescent="0.3">
      <c r="A6149" s="4" t="s">
        <v>8872</v>
      </c>
      <c r="B6149">
        <v>3</v>
      </c>
    </row>
    <row r="6150" spans="1:2" ht="28.8" x14ac:dyDescent="0.3">
      <c r="A6150" s="4" t="s">
        <v>8873</v>
      </c>
      <c r="B6150">
        <v>3</v>
      </c>
    </row>
    <row r="6151" spans="1:2" ht="28.8" x14ac:dyDescent="0.3">
      <c r="A6151" s="4" t="s">
        <v>8874</v>
      </c>
      <c r="B6151">
        <v>3</v>
      </c>
    </row>
    <row r="6152" spans="1:2" ht="28.8" x14ac:dyDescent="0.3">
      <c r="A6152" s="4" t="s">
        <v>8875</v>
      </c>
      <c r="B6152">
        <v>3</v>
      </c>
    </row>
    <row r="6153" spans="1:2" ht="28.8" x14ac:dyDescent="0.3">
      <c r="A6153" s="4" t="s">
        <v>8876</v>
      </c>
      <c r="B6153">
        <v>3</v>
      </c>
    </row>
    <row r="6154" spans="1:2" ht="28.8" x14ac:dyDescent="0.3">
      <c r="A6154" s="4" t="s">
        <v>8877</v>
      </c>
      <c r="B6154">
        <v>3</v>
      </c>
    </row>
    <row r="6155" spans="1:2" ht="28.8" x14ac:dyDescent="0.3">
      <c r="A6155" s="4" t="s">
        <v>8878</v>
      </c>
      <c r="B6155">
        <v>3</v>
      </c>
    </row>
    <row r="6156" spans="1:2" ht="28.8" x14ac:dyDescent="0.3">
      <c r="A6156" s="4" t="s">
        <v>8879</v>
      </c>
      <c r="B6156">
        <v>3</v>
      </c>
    </row>
    <row r="6157" spans="1:2" ht="28.8" x14ac:dyDescent="0.3">
      <c r="A6157" s="4" t="s">
        <v>8880</v>
      </c>
      <c r="B6157">
        <v>3</v>
      </c>
    </row>
    <row r="6158" spans="1:2" ht="28.8" x14ac:dyDescent="0.3">
      <c r="A6158" s="4" t="s">
        <v>8881</v>
      </c>
      <c r="B6158">
        <v>3</v>
      </c>
    </row>
    <row r="6159" spans="1:2" ht="28.8" x14ac:dyDescent="0.3">
      <c r="A6159" s="4" t="s">
        <v>8882</v>
      </c>
      <c r="B6159">
        <v>3</v>
      </c>
    </row>
    <row r="6160" spans="1:2" x14ac:dyDescent="0.3">
      <c r="A6160" s="4" t="s">
        <v>8883</v>
      </c>
      <c r="B6160">
        <v>3</v>
      </c>
    </row>
    <row r="6161" spans="1:2" ht="28.8" x14ac:dyDescent="0.3">
      <c r="A6161" s="4" t="s">
        <v>8884</v>
      </c>
      <c r="B6161">
        <v>3</v>
      </c>
    </row>
    <row r="6162" spans="1:2" ht="28.8" x14ac:dyDescent="0.3">
      <c r="A6162" s="4" t="s">
        <v>8885</v>
      </c>
      <c r="B6162">
        <v>3</v>
      </c>
    </row>
    <row r="6163" spans="1:2" ht="28.8" x14ac:dyDescent="0.3">
      <c r="A6163" s="4" t="s">
        <v>8886</v>
      </c>
      <c r="B6163">
        <v>3</v>
      </c>
    </row>
    <row r="6164" spans="1:2" ht="43.2" x14ac:dyDescent="0.3">
      <c r="A6164" s="4" t="s">
        <v>8887</v>
      </c>
      <c r="B6164">
        <v>3</v>
      </c>
    </row>
    <row r="6165" spans="1:2" ht="28.8" x14ac:dyDescent="0.3">
      <c r="A6165" s="4" t="s">
        <v>8888</v>
      </c>
      <c r="B6165">
        <v>3</v>
      </c>
    </row>
    <row r="6166" spans="1:2" ht="43.2" x14ac:dyDescent="0.3">
      <c r="A6166" s="4" t="s">
        <v>8889</v>
      </c>
      <c r="B6166">
        <v>3</v>
      </c>
    </row>
    <row r="6167" spans="1:2" ht="43.2" x14ac:dyDescent="0.3">
      <c r="A6167" s="4" t="s">
        <v>8890</v>
      </c>
      <c r="B6167">
        <v>3</v>
      </c>
    </row>
    <row r="6168" spans="1:2" ht="43.2" x14ac:dyDescent="0.3">
      <c r="A6168" s="4" t="s">
        <v>8891</v>
      </c>
      <c r="B6168">
        <v>3</v>
      </c>
    </row>
    <row r="6169" spans="1:2" ht="28.8" x14ac:dyDescent="0.3">
      <c r="A6169" s="4" t="s">
        <v>8892</v>
      </c>
      <c r="B6169">
        <v>3</v>
      </c>
    </row>
    <row r="6170" spans="1:2" ht="28.8" x14ac:dyDescent="0.3">
      <c r="A6170" s="4" t="s">
        <v>8893</v>
      </c>
      <c r="B6170">
        <v>3</v>
      </c>
    </row>
    <row r="6171" spans="1:2" x14ac:dyDescent="0.3">
      <c r="A6171" s="4" t="s">
        <v>8894</v>
      </c>
      <c r="B6171">
        <v>3</v>
      </c>
    </row>
    <row r="6172" spans="1:2" ht="28.8" x14ac:dyDescent="0.3">
      <c r="A6172" s="4" t="s">
        <v>8895</v>
      </c>
      <c r="B6172">
        <v>3</v>
      </c>
    </row>
    <row r="6173" spans="1:2" ht="28.8" x14ac:dyDescent="0.3">
      <c r="A6173" s="4" t="s">
        <v>8896</v>
      </c>
      <c r="B6173">
        <v>3</v>
      </c>
    </row>
    <row r="6174" spans="1:2" x14ac:dyDescent="0.3">
      <c r="A6174" s="4" t="s">
        <v>8897</v>
      </c>
      <c r="B6174">
        <v>3</v>
      </c>
    </row>
    <row r="6175" spans="1:2" ht="28.8" x14ac:dyDescent="0.3">
      <c r="A6175" s="4" t="s">
        <v>8898</v>
      </c>
      <c r="B6175">
        <v>3</v>
      </c>
    </row>
    <row r="6176" spans="1:2" ht="28.8" x14ac:dyDescent="0.3">
      <c r="A6176" s="4" t="s">
        <v>8899</v>
      </c>
      <c r="B6176">
        <v>3</v>
      </c>
    </row>
    <row r="6177" spans="1:2" ht="28.8" x14ac:dyDescent="0.3">
      <c r="A6177" s="4" t="s">
        <v>8900</v>
      </c>
      <c r="B6177">
        <v>3</v>
      </c>
    </row>
    <row r="6178" spans="1:2" ht="28.8" x14ac:dyDescent="0.3">
      <c r="A6178" s="4" t="s">
        <v>8901</v>
      </c>
      <c r="B6178">
        <v>3</v>
      </c>
    </row>
    <row r="6179" spans="1:2" x14ac:dyDescent="0.3">
      <c r="A6179" s="4" t="s">
        <v>8902</v>
      </c>
      <c r="B6179">
        <v>3</v>
      </c>
    </row>
    <row r="6180" spans="1:2" ht="28.8" x14ac:dyDescent="0.3">
      <c r="A6180" s="4" t="s">
        <v>8903</v>
      </c>
      <c r="B6180">
        <v>3</v>
      </c>
    </row>
    <row r="6181" spans="1:2" ht="28.8" x14ac:dyDescent="0.3">
      <c r="A6181" s="4" t="s">
        <v>8904</v>
      </c>
      <c r="B6181">
        <v>3</v>
      </c>
    </row>
    <row r="6182" spans="1:2" ht="28.8" x14ac:dyDescent="0.3">
      <c r="A6182" s="4" t="s">
        <v>8905</v>
      </c>
      <c r="B6182">
        <v>3</v>
      </c>
    </row>
    <row r="6183" spans="1:2" ht="28.8" x14ac:dyDescent="0.3">
      <c r="A6183" s="4" t="s">
        <v>8906</v>
      </c>
      <c r="B6183">
        <v>3</v>
      </c>
    </row>
    <row r="6184" spans="1:2" ht="28.8" x14ac:dyDescent="0.3">
      <c r="A6184" s="4" t="s">
        <v>8907</v>
      </c>
      <c r="B6184">
        <v>3</v>
      </c>
    </row>
    <row r="6185" spans="1:2" ht="28.8" x14ac:dyDescent="0.3">
      <c r="A6185" s="4" t="s">
        <v>8908</v>
      </c>
      <c r="B6185">
        <v>3</v>
      </c>
    </row>
    <row r="6186" spans="1:2" ht="28.8" x14ac:dyDescent="0.3">
      <c r="A6186" s="4" t="s">
        <v>8909</v>
      </c>
      <c r="B6186">
        <v>3</v>
      </c>
    </row>
    <row r="6187" spans="1:2" ht="28.8" x14ac:dyDescent="0.3">
      <c r="A6187" s="4" t="s">
        <v>8910</v>
      </c>
      <c r="B6187">
        <v>3</v>
      </c>
    </row>
    <row r="6188" spans="1:2" ht="28.8" x14ac:dyDescent="0.3">
      <c r="A6188" s="4" t="s">
        <v>8911</v>
      </c>
      <c r="B6188">
        <v>3</v>
      </c>
    </row>
    <row r="6189" spans="1:2" x14ac:dyDescent="0.3">
      <c r="A6189" s="4" t="s">
        <v>8912</v>
      </c>
      <c r="B6189">
        <v>3</v>
      </c>
    </row>
    <row r="6190" spans="1:2" ht="28.8" x14ac:dyDescent="0.3">
      <c r="A6190" s="4" t="s">
        <v>8913</v>
      </c>
      <c r="B6190">
        <v>3</v>
      </c>
    </row>
    <row r="6191" spans="1:2" ht="28.8" x14ac:dyDescent="0.3">
      <c r="A6191" s="4" t="s">
        <v>8914</v>
      </c>
      <c r="B6191">
        <v>3</v>
      </c>
    </row>
    <row r="6192" spans="1:2" ht="28.8" x14ac:dyDescent="0.3">
      <c r="A6192" s="4" t="s">
        <v>8915</v>
      </c>
      <c r="B6192">
        <v>3</v>
      </c>
    </row>
    <row r="6193" spans="1:2" x14ac:dyDescent="0.3">
      <c r="A6193" s="4" t="s">
        <v>8916</v>
      </c>
      <c r="B6193">
        <v>3</v>
      </c>
    </row>
    <row r="6194" spans="1:2" ht="28.8" x14ac:dyDescent="0.3">
      <c r="A6194" s="4" t="s">
        <v>8917</v>
      </c>
      <c r="B6194">
        <v>3</v>
      </c>
    </row>
    <row r="6195" spans="1:2" ht="43.2" x14ac:dyDescent="0.3">
      <c r="A6195" s="4" t="s">
        <v>8918</v>
      </c>
      <c r="B6195">
        <v>3</v>
      </c>
    </row>
    <row r="6196" spans="1:2" ht="28.8" x14ac:dyDescent="0.3">
      <c r="A6196" s="4" t="s">
        <v>8919</v>
      </c>
      <c r="B6196">
        <v>3</v>
      </c>
    </row>
    <row r="6197" spans="1:2" x14ac:dyDescent="0.3">
      <c r="A6197" s="4" t="s">
        <v>8920</v>
      </c>
      <c r="B6197">
        <v>3</v>
      </c>
    </row>
    <row r="6198" spans="1:2" ht="28.8" x14ac:dyDescent="0.3">
      <c r="A6198" s="4" t="s">
        <v>8921</v>
      </c>
      <c r="B6198">
        <v>3</v>
      </c>
    </row>
    <row r="6199" spans="1:2" x14ac:dyDescent="0.3">
      <c r="A6199" s="4" t="s">
        <v>8922</v>
      </c>
      <c r="B6199">
        <v>3</v>
      </c>
    </row>
    <row r="6200" spans="1:2" ht="28.8" x14ac:dyDescent="0.3">
      <c r="A6200" s="4" t="s">
        <v>8923</v>
      </c>
      <c r="B6200">
        <v>3</v>
      </c>
    </row>
    <row r="6201" spans="1:2" ht="28.8" x14ac:dyDescent="0.3">
      <c r="A6201" s="4" t="s">
        <v>8924</v>
      </c>
      <c r="B6201">
        <v>3</v>
      </c>
    </row>
    <row r="6202" spans="1:2" x14ac:dyDescent="0.3">
      <c r="A6202" s="4" t="s">
        <v>8925</v>
      </c>
      <c r="B6202">
        <v>3</v>
      </c>
    </row>
    <row r="6203" spans="1:2" ht="28.8" x14ac:dyDescent="0.3">
      <c r="A6203" s="4" t="s">
        <v>8926</v>
      </c>
      <c r="B6203">
        <v>3</v>
      </c>
    </row>
    <row r="6204" spans="1:2" ht="43.2" x14ac:dyDescent="0.3">
      <c r="A6204" s="4" t="s">
        <v>8927</v>
      </c>
      <c r="B6204">
        <v>3</v>
      </c>
    </row>
    <row r="6205" spans="1:2" ht="28.8" x14ac:dyDescent="0.3">
      <c r="A6205" s="4" t="s">
        <v>8928</v>
      </c>
      <c r="B6205">
        <v>3</v>
      </c>
    </row>
    <row r="6206" spans="1:2" ht="28.8" x14ac:dyDescent="0.3">
      <c r="A6206" s="4" t="s">
        <v>8929</v>
      </c>
      <c r="B6206">
        <v>3</v>
      </c>
    </row>
    <row r="6207" spans="1:2" x14ac:dyDescent="0.3">
      <c r="A6207" s="4" t="s">
        <v>8930</v>
      </c>
      <c r="B6207">
        <v>3</v>
      </c>
    </row>
    <row r="6208" spans="1:2" ht="28.8" x14ac:dyDescent="0.3">
      <c r="A6208" s="4" t="s">
        <v>8931</v>
      </c>
      <c r="B6208">
        <v>3</v>
      </c>
    </row>
    <row r="6209" spans="1:2" x14ac:dyDescent="0.3">
      <c r="A6209" s="4" t="s">
        <v>8932</v>
      </c>
      <c r="B6209">
        <v>3</v>
      </c>
    </row>
    <row r="6210" spans="1:2" x14ac:dyDescent="0.3">
      <c r="A6210" s="4" t="s">
        <v>8933</v>
      </c>
      <c r="B6210">
        <v>3</v>
      </c>
    </row>
    <row r="6211" spans="1:2" ht="28.8" x14ac:dyDescent="0.3">
      <c r="A6211" s="4" t="s">
        <v>8934</v>
      </c>
      <c r="B6211">
        <v>3</v>
      </c>
    </row>
    <row r="6212" spans="1:2" x14ac:dyDescent="0.3">
      <c r="A6212" s="4" t="s">
        <v>8935</v>
      </c>
      <c r="B6212">
        <v>3</v>
      </c>
    </row>
    <row r="6213" spans="1:2" ht="28.8" x14ac:dyDescent="0.3">
      <c r="A6213" s="4" t="s">
        <v>8936</v>
      </c>
      <c r="B6213">
        <v>3</v>
      </c>
    </row>
    <row r="6214" spans="1:2" ht="28.8" x14ac:dyDescent="0.3">
      <c r="A6214" s="4" t="s">
        <v>8937</v>
      </c>
      <c r="B6214">
        <v>3</v>
      </c>
    </row>
    <row r="6215" spans="1:2" ht="28.8" x14ac:dyDescent="0.3">
      <c r="A6215" s="4" t="s">
        <v>8938</v>
      </c>
      <c r="B6215">
        <v>3</v>
      </c>
    </row>
    <row r="6216" spans="1:2" ht="43.2" x14ac:dyDescent="0.3">
      <c r="A6216" s="4" t="s">
        <v>8939</v>
      </c>
      <c r="B6216">
        <v>3</v>
      </c>
    </row>
    <row r="6217" spans="1:2" x14ac:dyDescent="0.3">
      <c r="A6217" s="4" t="s">
        <v>8940</v>
      </c>
      <c r="B6217">
        <v>3</v>
      </c>
    </row>
    <row r="6218" spans="1:2" ht="28.8" x14ac:dyDescent="0.3">
      <c r="A6218" s="4" t="s">
        <v>8941</v>
      </c>
      <c r="B6218">
        <v>3</v>
      </c>
    </row>
    <row r="6219" spans="1:2" x14ac:dyDescent="0.3">
      <c r="A6219" s="4" t="s">
        <v>8942</v>
      </c>
      <c r="B6219">
        <v>3</v>
      </c>
    </row>
    <row r="6220" spans="1:2" ht="28.8" x14ac:dyDescent="0.3">
      <c r="A6220" s="4" t="s">
        <v>8943</v>
      </c>
      <c r="B6220">
        <v>3</v>
      </c>
    </row>
    <row r="6221" spans="1:2" ht="28.8" x14ac:dyDescent="0.3">
      <c r="A6221" s="4" t="s">
        <v>8944</v>
      </c>
      <c r="B6221">
        <v>3</v>
      </c>
    </row>
    <row r="6222" spans="1:2" ht="28.8" x14ac:dyDescent="0.3">
      <c r="A6222" s="4" t="s">
        <v>8945</v>
      </c>
      <c r="B6222">
        <v>3</v>
      </c>
    </row>
    <row r="6223" spans="1:2" ht="43.2" x14ac:dyDescent="0.3">
      <c r="A6223" s="4" t="s">
        <v>8946</v>
      </c>
      <c r="B6223">
        <v>3</v>
      </c>
    </row>
    <row r="6224" spans="1:2" ht="28.8" x14ac:dyDescent="0.3">
      <c r="A6224" s="4" t="s">
        <v>8947</v>
      </c>
      <c r="B6224">
        <v>3</v>
      </c>
    </row>
    <row r="6225" spans="1:2" ht="28.8" x14ac:dyDescent="0.3">
      <c r="A6225" s="4" t="s">
        <v>8948</v>
      </c>
      <c r="B6225">
        <v>3</v>
      </c>
    </row>
    <row r="6226" spans="1:2" ht="72" x14ac:dyDescent="0.3">
      <c r="A6226" s="4" t="s">
        <v>8949</v>
      </c>
      <c r="B6226">
        <v>3</v>
      </c>
    </row>
    <row r="6227" spans="1:2" ht="28.8" x14ac:dyDescent="0.3">
      <c r="A6227" s="4" t="s">
        <v>8950</v>
      </c>
      <c r="B6227">
        <v>3</v>
      </c>
    </row>
    <row r="6228" spans="1:2" ht="28.8" x14ac:dyDescent="0.3">
      <c r="A6228" s="4" t="s">
        <v>8951</v>
      </c>
      <c r="B6228">
        <v>3</v>
      </c>
    </row>
    <row r="6229" spans="1:2" ht="28.8" x14ac:dyDescent="0.3">
      <c r="A6229" s="4" t="s">
        <v>8952</v>
      </c>
      <c r="B6229">
        <v>3</v>
      </c>
    </row>
    <row r="6230" spans="1:2" x14ac:dyDescent="0.3">
      <c r="A6230" s="4" t="s">
        <v>8953</v>
      </c>
      <c r="B6230">
        <v>3</v>
      </c>
    </row>
    <row r="6231" spans="1:2" x14ac:dyDescent="0.3">
      <c r="A6231" s="4" t="s">
        <v>8954</v>
      </c>
      <c r="B6231">
        <v>3</v>
      </c>
    </row>
    <row r="6232" spans="1:2" x14ac:dyDescent="0.3">
      <c r="A6232" s="4" t="s">
        <v>8955</v>
      </c>
      <c r="B6232">
        <v>3</v>
      </c>
    </row>
    <row r="6233" spans="1:2" ht="28.8" x14ac:dyDescent="0.3">
      <c r="A6233" s="4" t="s">
        <v>8956</v>
      </c>
      <c r="B6233">
        <v>3</v>
      </c>
    </row>
    <row r="6234" spans="1:2" ht="28.8" x14ac:dyDescent="0.3">
      <c r="A6234" s="4" t="s">
        <v>8957</v>
      </c>
      <c r="B6234">
        <v>3</v>
      </c>
    </row>
    <row r="6235" spans="1:2" ht="28.8" x14ac:dyDescent="0.3">
      <c r="A6235" s="4" t="s">
        <v>8958</v>
      </c>
      <c r="B6235">
        <v>3</v>
      </c>
    </row>
    <row r="6236" spans="1:2" x14ac:dyDescent="0.3">
      <c r="A6236" s="4" t="s">
        <v>8959</v>
      </c>
      <c r="B6236">
        <v>3</v>
      </c>
    </row>
    <row r="6237" spans="1:2" ht="28.8" x14ac:dyDescent="0.3">
      <c r="A6237" s="4" t="s">
        <v>8960</v>
      </c>
      <c r="B6237">
        <v>3</v>
      </c>
    </row>
    <row r="6238" spans="1:2" ht="28.8" x14ac:dyDescent="0.3">
      <c r="A6238" s="4" t="s">
        <v>8961</v>
      </c>
      <c r="B6238">
        <v>3</v>
      </c>
    </row>
    <row r="6239" spans="1:2" x14ac:dyDescent="0.3">
      <c r="A6239" s="4" t="s">
        <v>8962</v>
      </c>
      <c r="B6239">
        <v>3</v>
      </c>
    </row>
    <row r="6240" spans="1:2" ht="28.8" x14ac:dyDescent="0.3">
      <c r="A6240" s="4" t="s">
        <v>8963</v>
      </c>
      <c r="B6240">
        <v>3</v>
      </c>
    </row>
    <row r="6241" spans="1:2" x14ac:dyDescent="0.3">
      <c r="A6241" s="4" t="s">
        <v>8964</v>
      </c>
      <c r="B6241">
        <v>3</v>
      </c>
    </row>
    <row r="6242" spans="1:2" ht="28.8" x14ac:dyDescent="0.3">
      <c r="A6242" s="4" t="s">
        <v>8965</v>
      </c>
      <c r="B6242">
        <v>3</v>
      </c>
    </row>
    <row r="6243" spans="1:2" ht="28.8" x14ac:dyDescent="0.3">
      <c r="A6243" s="4" t="s">
        <v>8966</v>
      </c>
      <c r="B6243">
        <v>3</v>
      </c>
    </row>
    <row r="6244" spans="1:2" ht="28.8" x14ac:dyDescent="0.3">
      <c r="A6244" s="4" t="s">
        <v>8967</v>
      </c>
      <c r="B6244">
        <v>3</v>
      </c>
    </row>
    <row r="6245" spans="1:2" ht="28.8" x14ac:dyDescent="0.3">
      <c r="A6245" s="4" t="s">
        <v>8968</v>
      </c>
      <c r="B6245">
        <v>3</v>
      </c>
    </row>
    <row r="6246" spans="1:2" ht="43.2" x14ac:dyDescent="0.3">
      <c r="A6246" s="4" t="s">
        <v>8969</v>
      </c>
      <c r="B6246">
        <v>3</v>
      </c>
    </row>
    <row r="6247" spans="1:2" ht="28.8" x14ac:dyDescent="0.3">
      <c r="A6247" s="4" t="s">
        <v>8970</v>
      </c>
      <c r="B6247">
        <v>3</v>
      </c>
    </row>
    <row r="6248" spans="1:2" ht="28.8" x14ac:dyDescent="0.3">
      <c r="A6248" s="4" t="s">
        <v>8971</v>
      </c>
      <c r="B6248">
        <v>3</v>
      </c>
    </row>
    <row r="6249" spans="1:2" ht="43.2" x14ac:dyDescent="0.3">
      <c r="A6249" s="4" t="s">
        <v>8972</v>
      </c>
      <c r="B6249">
        <v>3</v>
      </c>
    </row>
    <row r="6250" spans="1:2" ht="28.8" x14ac:dyDescent="0.3">
      <c r="A6250" s="4" t="s">
        <v>8973</v>
      </c>
      <c r="B6250">
        <v>3</v>
      </c>
    </row>
    <row r="6251" spans="1:2" ht="28.8" x14ac:dyDescent="0.3">
      <c r="A6251" s="4" t="s">
        <v>8974</v>
      </c>
      <c r="B6251">
        <v>3</v>
      </c>
    </row>
    <row r="6252" spans="1:2" ht="28.8" x14ac:dyDescent="0.3">
      <c r="A6252" s="4" t="s">
        <v>8975</v>
      </c>
      <c r="B6252">
        <v>3</v>
      </c>
    </row>
    <row r="6253" spans="1:2" ht="28.8" x14ac:dyDescent="0.3">
      <c r="A6253" s="4" t="s">
        <v>8976</v>
      </c>
      <c r="B6253">
        <v>3</v>
      </c>
    </row>
    <row r="6254" spans="1:2" ht="28.8" x14ac:dyDescent="0.3">
      <c r="A6254" s="4" t="s">
        <v>8977</v>
      </c>
      <c r="B6254">
        <v>3</v>
      </c>
    </row>
    <row r="6255" spans="1:2" ht="28.8" x14ac:dyDescent="0.3">
      <c r="A6255" s="4" t="s">
        <v>8978</v>
      </c>
      <c r="B6255">
        <v>3</v>
      </c>
    </row>
    <row r="6256" spans="1:2" ht="28.8" x14ac:dyDescent="0.3">
      <c r="A6256" s="4" t="s">
        <v>8979</v>
      </c>
      <c r="B6256">
        <v>3</v>
      </c>
    </row>
    <row r="6257" spans="1:2" x14ac:dyDescent="0.3">
      <c r="A6257" s="4" t="s">
        <v>8980</v>
      </c>
      <c r="B6257">
        <v>3</v>
      </c>
    </row>
    <row r="6258" spans="1:2" ht="28.8" x14ac:dyDescent="0.3">
      <c r="A6258" s="4" t="s">
        <v>8981</v>
      </c>
      <c r="B6258">
        <v>3</v>
      </c>
    </row>
    <row r="6259" spans="1:2" x14ac:dyDescent="0.3">
      <c r="A6259" s="4" t="s">
        <v>8982</v>
      </c>
      <c r="B6259">
        <v>3</v>
      </c>
    </row>
    <row r="6260" spans="1:2" ht="28.8" x14ac:dyDescent="0.3">
      <c r="A6260" s="4" t="s">
        <v>8983</v>
      </c>
      <c r="B6260">
        <v>3</v>
      </c>
    </row>
    <row r="6261" spans="1:2" ht="28.8" x14ac:dyDescent="0.3">
      <c r="A6261" s="4" t="s">
        <v>8984</v>
      </c>
      <c r="B6261">
        <v>3</v>
      </c>
    </row>
    <row r="6262" spans="1:2" x14ac:dyDescent="0.3">
      <c r="A6262" s="4" t="s">
        <v>8985</v>
      </c>
      <c r="B6262">
        <v>3</v>
      </c>
    </row>
    <row r="6263" spans="1:2" ht="28.8" x14ac:dyDescent="0.3">
      <c r="A6263" s="4" t="s">
        <v>8986</v>
      </c>
      <c r="B6263">
        <v>3</v>
      </c>
    </row>
    <row r="6264" spans="1:2" x14ac:dyDescent="0.3">
      <c r="A6264" s="4" t="s">
        <v>8987</v>
      </c>
      <c r="B6264">
        <v>3</v>
      </c>
    </row>
    <row r="6265" spans="1:2" ht="28.8" x14ac:dyDescent="0.3">
      <c r="A6265" s="4" t="s">
        <v>8988</v>
      </c>
      <c r="B6265">
        <v>3</v>
      </c>
    </row>
    <row r="6266" spans="1:2" ht="28.8" x14ac:dyDescent="0.3">
      <c r="A6266" s="4" t="s">
        <v>8989</v>
      </c>
      <c r="B6266">
        <v>3</v>
      </c>
    </row>
    <row r="6267" spans="1:2" ht="28.8" x14ac:dyDescent="0.3">
      <c r="A6267" s="4" t="s">
        <v>8990</v>
      </c>
      <c r="B6267">
        <v>3</v>
      </c>
    </row>
    <row r="6268" spans="1:2" ht="28.8" x14ac:dyDescent="0.3">
      <c r="A6268" s="4" t="s">
        <v>8991</v>
      </c>
      <c r="B6268">
        <v>3</v>
      </c>
    </row>
    <row r="6269" spans="1:2" ht="28.8" x14ac:dyDescent="0.3">
      <c r="A6269" s="4" t="s">
        <v>8992</v>
      </c>
      <c r="B6269">
        <v>3</v>
      </c>
    </row>
    <row r="6270" spans="1:2" ht="28.8" x14ac:dyDescent="0.3">
      <c r="A6270" s="4" t="s">
        <v>8993</v>
      </c>
      <c r="B6270">
        <v>3</v>
      </c>
    </row>
    <row r="6271" spans="1:2" x14ac:dyDescent="0.3">
      <c r="A6271" s="4" t="s">
        <v>8994</v>
      </c>
      <c r="B6271">
        <v>3</v>
      </c>
    </row>
    <row r="6272" spans="1:2" x14ac:dyDescent="0.3">
      <c r="A6272" s="4" t="s">
        <v>8995</v>
      </c>
      <c r="B6272">
        <v>3</v>
      </c>
    </row>
    <row r="6273" spans="1:2" ht="43.2" x14ac:dyDescent="0.3">
      <c r="A6273" s="4" t="s">
        <v>8996</v>
      </c>
      <c r="B6273">
        <v>3</v>
      </c>
    </row>
    <row r="6274" spans="1:2" ht="43.2" x14ac:dyDescent="0.3">
      <c r="A6274" s="4" t="s">
        <v>8997</v>
      </c>
      <c r="B6274">
        <v>3</v>
      </c>
    </row>
    <row r="6275" spans="1:2" x14ac:dyDescent="0.3">
      <c r="A6275" s="4" t="s">
        <v>8998</v>
      </c>
      <c r="B6275">
        <v>3</v>
      </c>
    </row>
    <row r="6276" spans="1:2" ht="28.8" x14ac:dyDescent="0.3">
      <c r="A6276" s="4" t="s">
        <v>8999</v>
      </c>
      <c r="B6276">
        <v>3</v>
      </c>
    </row>
    <row r="6277" spans="1:2" ht="28.8" x14ac:dyDescent="0.3">
      <c r="A6277" s="4" t="s">
        <v>9000</v>
      </c>
      <c r="B6277">
        <v>3</v>
      </c>
    </row>
    <row r="6278" spans="1:2" ht="28.8" x14ac:dyDescent="0.3">
      <c r="A6278" s="4" t="s">
        <v>9001</v>
      </c>
      <c r="B6278">
        <v>3</v>
      </c>
    </row>
    <row r="6279" spans="1:2" ht="28.8" x14ac:dyDescent="0.3">
      <c r="A6279" s="4" t="s">
        <v>9002</v>
      </c>
      <c r="B6279">
        <v>3</v>
      </c>
    </row>
    <row r="6280" spans="1:2" ht="43.2" x14ac:dyDescent="0.3">
      <c r="A6280" s="4" t="s">
        <v>9003</v>
      </c>
      <c r="B6280">
        <v>3</v>
      </c>
    </row>
    <row r="6281" spans="1:2" ht="28.8" x14ac:dyDescent="0.3">
      <c r="A6281" s="4" t="s">
        <v>9004</v>
      </c>
      <c r="B6281">
        <v>3</v>
      </c>
    </row>
    <row r="6282" spans="1:2" ht="28.8" x14ac:dyDescent="0.3">
      <c r="A6282" s="4" t="s">
        <v>9005</v>
      </c>
      <c r="B6282">
        <v>3</v>
      </c>
    </row>
    <row r="6283" spans="1:2" ht="28.8" x14ac:dyDescent="0.3">
      <c r="A6283" s="4" t="s">
        <v>9006</v>
      </c>
      <c r="B6283">
        <v>3</v>
      </c>
    </row>
    <row r="6284" spans="1:2" x14ac:dyDescent="0.3">
      <c r="A6284" s="4" t="s">
        <v>9007</v>
      </c>
      <c r="B6284">
        <v>3</v>
      </c>
    </row>
    <row r="6285" spans="1:2" ht="28.8" x14ac:dyDescent="0.3">
      <c r="A6285" s="4" t="s">
        <v>9008</v>
      </c>
      <c r="B6285">
        <v>3</v>
      </c>
    </row>
    <row r="6286" spans="1:2" x14ac:dyDescent="0.3">
      <c r="A6286" s="4" t="s">
        <v>9009</v>
      </c>
      <c r="B6286">
        <v>3</v>
      </c>
    </row>
    <row r="6287" spans="1:2" ht="28.8" x14ac:dyDescent="0.3">
      <c r="A6287" s="4" t="s">
        <v>9010</v>
      </c>
      <c r="B6287">
        <v>3</v>
      </c>
    </row>
    <row r="6288" spans="1:2" x14ac:dyDescent="0.3">
      <c r="A6288" s="4" t="s">
        <v>9011</v>
      </c>
      <c r="B6288">
        <v>3</v>
      </c>
    </row>
    <row r="6289" spans="1:2" ht="28.8" x14ac:dyDescent="0.3">
      <c r="A6289" s="4" t="s">
        <v>9012</v>
      </c>
      <c r="B6289">
        <v>3</v>
      </c>
    </row>
    <row r="6290" spans="1:2" ht="28.8" x14ac:dyDescent="0.3">
      <c r="A6290" s="4" t="s">
        <v>9013</v>
      </c>
      <c r="B6290">
        <v>3</v>
      </c>
    </row>
    <row r="6291" spans="1:2" ht="28.8" x14ac:dyDescent="0.3">
      <c r="A6291" s="4" t="s">
        <v>9014</v>
      </c>
      <c r="B6291">
        <v>3</v>
      </c>
    </row>
    <row r="6292" spans="1:2" ht="28.8" x14ac:dyDescent="0.3">
      <c r="A6292" s="4" t="s">
        <v>9015</v>
      </c>
      <c r="B6292">
        <v>3</v>
      </c>
    </row>
    <row r="6293" spans="1:2" ht="43.2" x14ac:dyDescent="0.3">
      <c r="A6293" s="4" t="s">
        <v>9016</v>
      </c>
      <c r="B6293">
        <v>3</v>
      </c>
    </row>
    <row r="6294" spans="1:2" x14ac:dyDescent="0.3">
      <c r="A6294" s="4" t="s">
        <v>9017</v>
      </c>
      <c r="B6294">
        <v>3</v>
      </c>
    </row>
    <row r="6295" spans="1:2" ht="28.8" x14ac:dyDescent="0.3">
      <c r="A6295" s="4" t="s">
        <v>9018</v>
      </c>
      <c r="B6295">
        <v>3</v>
      </c>
    </row>
    <row r="6296" spans="1:2" ht="28.8" x14ac:dyDescent="0.3">
      <c r="A6296" s="4" t="s">
        <v>9019</v>
      </c>
      <c r="B6296">
        <v>3</v>
      </c>
    </row>
    <row r="6297" spans="1:2" x14ac:dyDescent="0.3">
      <c r="A6297" s="4" t="s">
        <v>9020</v>
      </c>
      <c r="B6297">
        <v>3</v>
      </c>
    </row>
    <row r="6298" spans="1:2" ht="28.8" x14ac:dyDescent="0.3">
      <c r="A6298" s="4" t="s">
        <v>9021</v>
      </c>
      <c r="B6298">
        <v>3</v>
      </c>
    </row>
    <row r="6299" spans="1:2" x14ac:dyDescent="0.3">
      <c r="A6299" s="4" t="s">
        <v>9022</v>
      </c>
      <c r="B6299">
        <v>3</v>
      </c>
    </row>
    <row r="6300" spans="1:2" ht="28.8" x14ac:dyDescent="0.3">
      <c r="A6300" s="4" t="s">
        <v>9023</v>
      </c>
      <c r="B6300">
        <v>3</v>
      </c>
    </row>
    <row r="6301" spans="1:2" ht="28.8" x14ac:dyDescent="0.3">
      <c r="A6301" s="4" t="s">
        <v>9024</v>
      </c>
      <c r="B6301">
        <v>3</v>
      </c>
    </row>
    <row r="6302" spans="1:2" ht="28.8" x14ac:dyDescent="0.3">
      <c r="A6302" s="4" t="s">
        <v>9025</v>
      </c>
      <c r="B6302">
        <v>3</v>
      </c>
    </row>
    <row r="6303" spans="1:2" x14ac:dyDescent="0.3">
      <c r="A6303" s="4" t="s">
        <v>9026</v>
      </c>
      <c r="B6303">
        <v>3</v>
      </c>
    </row>
    <row r="6304" spans="1:2" ht="28.8" x14ac:dyDescent="0.3">
      <c r="A6304" s="4" t="s">
        <v>9027</v>
      </c>
      <c r="B6304">
        <v>3</v>
      </c>
    </row>
    <row r="6305" spans="1:2" ht="28.8" x14ac:dyDescent="0.3">
      <c r="A6305" s="4" t="s">
        <v>9028</v>
      </c>
      <c r="B6305">
        <v>3</v>
      </c>
    </row>
    <row r="6306" spans="1:2" x14ac:dyDescent="0.3">
      <c r="A6306" s="4" t="s">
        <v>9029</v>
      </c>
      <c r="B6306">
        <v>3</v>
      </c>
    </row>
    <row r="6307" spans="1:2" ht="28.8" x14ac:dyDescent="0.3">
      <c r="A6307" s="4" t="s">
        <v>9030</v>
      </c>
      <c r="B6307">
        <v>3</v>
      </c>
    </row>
    <row r="6308" spans="1:2" ht="28.8" x14ac:dyDescent="0.3">
      <c r="A6308" s="4" t="s">
        <v>9031</v>
      </c>
      <c r="B6308">
        <v>3</v>
      </c>
    </row>
    <row r="6309" spans="1:2" ht="28.8" x14ac:dyDescent="0.3">
      <c r="A6309" s="4" t="s">
        <v>9032</v>
      </c>
      <c r="B6309">
        <v>3</v>
      </c>
    </row>
    <row r="6310" spans="1:2" ht="28.8" x14ac:dyDescent="0.3">
      <c r="A6310" s="4" t="s">
        <v>9033</v>
      </c>
      <c r="B6310">
        <v>3</v>
      </c>
    </row>
    <row r="6311" spans="1:2" ht="28.8" x14ac:dyDescent="0.3">
      <c r="A6311" s="4" t="s">
        <v>9034</v>
      </c>
      <c r="B6311">
        <v>3</v>
      </c>
    </row>
    <row r="6312" spans="1:2" ht="28.8" x14ac:dyDescent="0.3">
      <c r="A6312" s="4" t="s">
        <v>9035</v>
      </c>
      <c r="B6312">
        <v>3</v>
      </c>
    </row>
    <row r="6313" spans="1:2" ht="28.8" x14ac:dyDescent="0.3">
      <c r="A6313" s="4" t="s">
        <v>9036</v>
      </c>
      <c r="B6313">
        <v>3</v>
      </c>
    </row>
    <row r="6314" spans="1:2" ht="28.8" x14ac:dyDescent="0.3">
      <c r="A6314" s="4" t="s">
        <v>9037</v>
      </c>
      <c r="B6314">
        <v>3</v>
      </c>
    </row>
    <row r="6315" spans="1:2" ht="43.2" x14ac:dyDescent="0.3">
      <c r="A6315" s="4" t="s">
        <v>9038</v>
      </c>
      <c r="B6315">
        <v>3</v>
      </c>
    </row>
    <row r="6316" spans="1:2" x14ac:dyDescent="0.3">
      <c r="A6316" s="4" t="s">
        <v>9039</v>
      </c>
      <c r="B6316">
        <v>3</v>
      </c>
    </row>
    <row r="6317" spans="1:2" ht="28.8" x14ac:dyDescent="0.3">
      <c r="A6317" s="4" t="s">
        <v>9040</v>
      </c>
      <c r="B6317">
        <v>3</v>
      </c>
    </row>
    <row r="6318" spans="1:2" ht="43.2" x14ac:dyDescent="0.3">
      <c r="A6318" s="4" t="s">
        <v>9041</v>
      </c>
      <c r="B6318">
        <v>3</v>
      </c>
    </row>
    <row r="6319" spans="1:2" x14ac:dyDescent="0.3">
      <c r="A6319" s="4" t="s">
        <v>9042</v>
      </c>
      <c r="B6319">
        <v>3</v>
      </c>
    </row>
    <row r="6320" spans="1:2" ht="28.8" x14ac:dyDescent="0.3">
      <c r="A6320" s="4" t="s">
        <v>9043</v>
      </c>
      <c r="B6320">
        <v>3</v>
      </c>
    </row>
    <row r="6321" spans="1:2" x14ac:dyDescent="0.3">
      <c r="A6321" s="4" t="s">
        <v>9044</v>
      </c>
      <c r="B6321">
        <v>3</v>
      </c>
    </row>
    <row r="6322" spans="1:2" ht="28.8" x14ac:dyDescent="0.3">
      <c r="A6322" s="4" t="s">
        <v>9045</v>
      </c>
      <c r="B6322">
        <v>3</v>
      </c>
    </row>
    <row r="6323" spans="1:2" ht="43.2" x14ac:dyDescent="0.3">
      <c r="A6323" s="4" t="s">
        <v>9046</v>
      </c>
      <c r="B6323">
        <v>3</v>
      </c>
    </row>
    <row r="6324" spans="1:2" ht="28.8" x14ac:dyDescent="0.3">
      <c r="A6324" s="4" t="s">
        <v>9047</v>
      </c>
      <c r="B6324">
        <v>3</v>
      </c>
    </row>
    <row r="6325" spans="1:2" x14ac:dyDescent="0.3">
      <c r="A6325" s="4" t="s">
        <v>9048</v>
      </c>
      <c r="B6325">
        <v>3</v>
      </c>
    </row>
    <row r="6326" spans="1:2" ht="28.8" x14ac:dyDescent="0.3">
      <c r="A6326" s="4" t="s">
        <v>9049</v>
      </c>
      <c r="B6326">
        <v>3</v>
      </c>
    </row>
    <row r="6327" spans="1:2" ht="28.8" x14ac:dyDescent="0.3">
      <c r="A6327" s="4" t="s">
        <v>9050</v>
      </c>
      <c r="B6327">
        <v>3</v>
      </c>
    </row>
    <row r="6328" spans="1:2" ht="72" x14ac:dyDescent="0.3">
      <c r="A6328" s="4" t="s">
        <v>9051</v>
      </c>
      <c r="B6328">
        <v>3</v>
      </c>
    </row>
    <row r="6329" spans="1:2" ht="28.8" x14ac:dyDescent="0.3">
      <c r="A6329" s="4" t="s">
        <v>9052</v>
      </c>
      <c r="B6329">
        <v>3</v>
      </c>
    </row>
    <row r="6330" spans="1:2" x14ac:dyDescent="0.3">
      <c r="A6330" s="4" t="s">
        <v>9053</v>
      </c>
      <c r="B6330">
        <v>3</v>
      </c>
    </row>
    <row r="6331" spans="1:2" ht="28.8" x14ac:dyDescent="0.3">
      <c r="A6331" s="4" t="s">
        <v>9054</v>
      </c>
      <c r="B6331">
        <v>3</v>
      </c>
    </row>
    <row r="6332" spans="1:2" ht="28.8" x14ac:dyDescent="0.3">
      <c r="A6332" s="4" t="s">
        <v>9055</v>
      </c>
      <c r="B6332">
        <v>3</v>
      </c>
    </row>
    <row r="6333" spans="1:2" x14ac:dyDescent="0.3">
      <c r="A6333" s="4" t="s">
        <v>9056</v>
      </c>
      <c r="B6333">
        <v>3</v>
      </c>
    </row>
    <row r="6334" spans="1:2" ht="28.8" x14ac:dyDescent="0.3">
      <c r="A6334" s="4" t="s">
        <v>9057</v>
      </c>
      <c r="B6334">
        <v>3</v>
      </c>
    </row>
    <row r="6335" spans="1:2" ht="28.8" x14ac:dyDescent="0.3">
      <c r="A6335" s="4" t="s">
        <v>9058</v>
      </c>
      <c r="B6335">
        <v>3</v>
      </c>
    </row>
    <row r="6336" spans="1:2" ht="28.8" x14ac:dyDescent="0.3">
      <c r="A6336" s="4" t="s">
        <v>9059</v>
      </c>
      <c r="B6336">
        <v>3</v>
      </c>
    </row>
    <row r="6337" spans="1:2" ht="28.8" x14ac:dyDescent="0.3">
      <c r="A6337" s="4" t="s">
        <v>9060</v>
      </c>
      <c r="B6337">
        <v>3</v>
      </c>
    </row>
    <row r="6338" spans="1:2" ht="28.8" x14ac:dyDescent="0.3">
      <c r="A6338" s="4" t="s">
        <v>9061</v>
      </c>
      <c r="B6338">
        <v>3</v>
      </c>
    </row>
    <row r="6339" spans="1:2" ht="43.2" x14ac:dyDescent="0.3">
      <c r="A6339" s="4" t="s">
        <v>9062</v>
      </c>
      <c r="B6339">
        <v>3</v>
      </c>
    </row>
    <row r="6340" spans="1:2" ht="28.8" x14ac:dyDescent="0.3">
      <c r="A6340" s="4" t="s">
        <v>9063</v>
      </c>
      <c r="B6340">
        <v>3</v>
      </c>
    </row>
    <row r="6341" spans="1:2" ht="28.8" x14ac:dyDescent="0.3">
      <c r="A6341" s="4" t="s">
        <v>9064</v>
      </c>
      <c r="B6341">
        <v>3</v>
      </c>
    </row>
    <row r="6342" spans="1:2" ht="28.8" x14ac:dyDescent="0.3">
      <c r="A6342" s="4" t="s">
        <v>9065</v>
      </c>
      <c r="B6342">
        <v>3</v>
      </c>
    </row>
    <row r="6343" spans="1:2" ht="28.8" x14ac:dyDescent="0.3">
      <c r="A6343" s="4" t="s">
        <v>9066</v>
      </c>
      <c r="B6343">
        <v>3</v>
      </c>
    </row>
    <row r="6344" spans="1:2" ht="28.8" x14ac:dyDescent="0.3">
      <c r="A6344" s="4" t="s">
        <v>9067</v>
      </c>
      <c r="B6344">
        <v>3</v>
      </c>
    </row>
    <row r="6345" spans="1:2" x14ac:dyDescent="0.3">
      <c r="A6345" s="4" t="s">
        <v>9068</v>
      </c>
      <c r="B6345">
        <v>3</v>
      </c>
    </row>
    <row r="6346" spans="1:2" x14ac:dyDescent="0.3">
      <c r="A6346" s="4" t="s">
        <v>9069</v>
      </c>
      <c r="B6346">
        <v>3</v>
      </c>
    </row>
    <row r="6347" spans="1:2" ht="28.8" x14ac:dyDescent="0.3">
      <c r="A6347" s="4" t="s">
        <v>9070</v>
      </c>
      <c r="B6347">
        <v>3</v>
      </c>
    </row>
    <row r="6348" spans="1:2" ht="28.8" x14ac:dyDescent="0.3">
      <c r="A6348" s="4" t="s">
        <v>9071</v>
      </c>
      <c r="B6348">
        <v>3</v>
      </c>
    </row>
    <row r="6349" spans="1:2" ht="28.8" x14ac:dyDescent="0.3">
      <c r="A6349" s="4" t="s">
        <v>9072</v>
      </c>
      <c r="B6349">
        <v>3</v>
      </c>
    </row>
    <row r="6350" spans="1:2" ht="43.2" x14ac:dyDescent="0.3">
      <c r="A6350" s="4" t="s">
        <v>9073</v>
      </c>
      <c r="B6350">
        <v>3</v>
      </c>
    </row>
    <row r="6351" spans="1:2" ht="43.2" x14ac:dyDescent="0.3">
      <c r="A6351" s="4" t="s">
        <v>9074</v>
      </c>
      <c r="B6351">
        <v>3</v>
      </c>
    </row>
    <row r="6352" spans="1:2" ht="28.8" x14ac:dyDescent="0.3">
      <c r="A6352" s="4" t="s">
        <v>9075</v>
      </c>
      <c r="B6352">
        <v>3</v>
      </c>
    </row>
    <row r="6353" spans="1:2" x14ac:dyDescent="0.3">
      <c r="A6353" s="4" t="s">
        <v>9076</v>
      </c>
      <c r="B6353">
        <v>3</v>
      </c>
    </row>
    <row r="6354" spans="1:2" x14ac:dyDescent="0.3">
      <c r="A6354" s="4" t="s">
        <v>9077</v>
      </c>
      <c r="B6354">
        <v>3</v>
      </c>
    </row>
    <row r="6355" spans="1:2" ht="28.8" x14ac:dyDescent="0.3">
      <c r="A6355" s="4" t="s">
        <v>9078</v>
      </c>
      <c r="B6355">
        <v>3</v>
      </c>
    </row>
    <row r="6356" spans="1:2" x14ac:dyDescent="0.3">
      <c r="A6356" s="4" t="s">
        <v>9079</v>
      </c>
      <c r="B6356">
        <v>3</v>
      </c>
    </row>
    <row r="6357" spans="1:2" ht="28.8" x14ac:dyDescent="0.3">
      <c r="A6357" s="4" t="s">
        <v>9080</v>
      </c>
      <c r="B6357">
        <v>3</v>
      </c>
    </row>
    <row r="6358" spans="1:2" ht="28.8" x14ac:dyDescent="0.3">
      <c r="A6358" s="4" t="s">
        <v>9081</v>
      </c>
      <c r="B6358">
        <v>3</v>
      </c>
    </row>
    <row r="6359" spans="1:2" ht="28.8" x14ac:dyDescent="0.3">
      <c r="A6359" s="4" t="s">
        <v>9082</v>
      </c>
      <c r="B6359">
        <v>3</v>
      </c>
    </row>
    <row r="6360" spans="1:2" ht="28.8" x14ac:dyDescent="0.3">
      <c r="A6360" s="4" t="s">
        <v>9083</v>
      </c>
      <c r="B6360">
        <v>3</v>
      </c>
    </row>
    <row r="6361" spans="1:2" ht="28.8" x14ac:dyDescent="0.3">
      <c r="A6361" s="4" t="s">
        <v>9084</v>
      </c>
      <c r="B6361">
        <v>3</v>
      </c>
    </row>
    <row r="6362" spans="1:2" ht="43.2" x14ac:dyDescent="0.3">
      <c r="A6362" s="4" t="s">
        <v>9085</v>
      </c>
      <c r="B6362">
        <v>3</v>
      </c>
    </row>
    <row r="6363" spans="1:2" ht="28.8" x14ac:dyDescent="0.3">
      <c r="A6363" s="4" t="s">
        <v>9086</v>
      </c>
      <c r="B6363">
        <v>3</v>
      </c>
    </row>
    <row r="6364" spans="1:2" x14ac:dyDescent="0.3">
      <c r="A6364" s="4" t="s">
        <v>9087</v>
      </c>
      <c r="B6364">
        <v>3</v>
      </c>
    </row>
    <row r="6365" spans="1:2" ht="28.8" x14ac:dyDescent="0.3">
      <c r="A6365" s="4" t="s">
        <v>9088</v>
      </c>
      <c r="B6365">
        <v>3</v>
      </c>
    </row>
    <row r="6366" spans="1:2" ht="28.8" x14ac:dyDescent="0.3">
      <c r="A6366" s="4" t="s">
        <v>9089</v>
      </c>
      <c r="B6366">
        <v>3</v>
      </c>
    </row>
    <row r="6367" spans="1:2" ht="28.8" x14ac:dyDescent="0.3">
      <c r="A6367" s="4" t="s">
        <v>9090</v>
      </c>
      <c r="B6367">
        <v>3</v>
      </c>
    </row>
    <row r="6368" spans="1:2" ht="43.2" x14ac:dyDescent="0.3">
      <c r="A6368" s="4" t="s">
        <v>9091</v>
      </c>
      <c r="B6368">
        <v>3</v>
      </c>
    </row>
    <row r="6369" spans="1:2" ht="28.8" x14ac:dyDescent="0.3">
      <c r="A6369" s="4" t="s">
        <v>9092</v>
      </c>
      <c r="B6369">
        <v>3</v>
      </c>
    </row>
    <row r="6370" spans="1:2" ht="28.8" x14ac:dyDescent="0.3">
      <c r="A6370" s="4" t="s">
        <v>9093</v>
      </c>
      <c r="B6370">
        <v>3</v>
      </c>
    </row>
    <row r="6371" spans="1:2" ht="28.8" x14ac:dyDescent="0.3">
      <c r="A6371" s="4" t="s">
        <v>9094</v>
      </c>
      <c r="B6371">
        <v>3</v>
      </c>
    </row>
    <row r="6372" spans="1:2" ht="43.2" x14ac:dyDescent="0.3">
      <c r="A6372" s="4" t="s">
        <v>9095</v>
      </c>
      <c r="B6372">
        <v>3</v>
      </c>
    </row>
    <row r="6373" spans="1:2" ht="28.8" x14ac:dyDescent="0.3">
      <c r="A6373" s="4" t="s">
        <v>9096</v>
      </c>
      <c r="B6373">
        <v>3</v>
      </c>
    </row>
    <row r="6374" spans="1:2" x14ac:dyDescent="0.3">
      <c r="A6374" s="4" t="s">
        <v>9097</v>
      </c>
      <c r="B6374">
        <v>3</v>
      </c>
    </row>
    <row r="6375" spans="1:2" ht="28.8" x14ac:dyDescent="0.3">
      <c r="A6375" s="4" t="s">
        <v>9098</v>
      </c>
      <c r="B6375">
        <v>3</v>
      </c>
    </row>
    <row r="6376" spans="1:2" ht="28.8" x14ac:dyDescent="0.3">
      <c r="A6376" s="4" t="s">
        <v>9099</v>
      </c>
      <c r="B6376">
        <v>3</v>
      </c>
    </row>
    <row r="6377" spans="1:2" ht="28.8" x14ac:dyDescent="0.3">
      <c r="A6377" s="4" t="s">
        <v>9100</v>
      </c>
      <c r="B6377">
        <v>3</v>
      </c>
    </row>
    <row r="6378" spans="1:2" ht="43.2" x14ac:dyDescent="0.3">
      <c r="A6378" s="4" t="s">
        <v>9101</v>
      </c>
      <c r="B6378">
        <v>3</v>
      </c>
    </row>
    <row r="6379" spans="1:2" x14ac:dyDescent="0.3">
      <c r="A6379" s="4" t="s">
        <v>9102</v>
      </c>
      <c r="B6379">
        <v>3</v>
      </c>
    </row>
    <row r="6380" spans="1:2" ht="28.8" x14ac:dyDescent="0.3">
      <c r="A6380" s="4" t="s">
        <v>9103</v>
      </c>
      <c r="B6380">
        <v>3</v>
      </c>
    </row>
    <row r="6381" spans="1:2" ht="43.2" x14ac:dyDescent="0.3">
      <c r="A6381" s="4" t="s">
        <v>9104</v>
      </c>
      <c r="B6381">
        <v>3</v>
      </c>
    </row>
    <row r="6382" spans="1:2" ht="28.8" x14ac:dyDescent="0.3">
      <c r="A6382" s="4" t="s">
        <v>9105</v>
      </c>
      <c r="B6382">
        <v>3</v>
      </c>
    </row>
    <row r="6383" spans="1:2" ht="28.8" x14ac:dyDescent="0.3">
      <c r="A6383" s="4" t="s">
        <v>9106</v>
      </c>
      <c r="B6383">
        <v>3</v>
      </c>
    </row>
    <row r="6384" spans="1:2" ht="28.8" x14ac:dyDescent="0.3">
      <c r="A6384" s="4" t="s">
        <v>9107</v>
      </c>
      <c r="B6384">
        <v>3</v>
      </c>
    </row>
    <row r="6385" spans="1:2" ht="28.8" x14ac:dyDescent="0.3">
      <c r="A6385" s="4" t="s">
        <v>9108</v>
      </c>
      <c r="B6385">
        <v>3</v>
      </c>
    </row>
    <row r="6386" spans="1:2" ht="28.8" x14ac:dyDescent="0.3">
      <c r="A6386" s="4" t="s">
        <v>9109</v>
      </c>
      <c r="B6386">
        <v>3</v>
      </c>
    </row>
    <row r="6387" spans="1:2" ht="28.8" x14ac:dyDescent="0.3">
      <c r="A6387" s="4" t="s">
        <v>9110</v>
      </c>
      <c r="B6387">
        <v>3</v>
      </c>
    </row>
    <row r="6388" spans="1:2" ht="28.8" x14ac:dyDescent="0.3">
      <c r="A6388" s="4" t="s">
        <v>9111</v>
      </c>
      <c r="B6388">
        <v>3</v>
      </c>
    </row>
    <row r="6389" spans="1:2" ht="28.8" x14ac:dyDescent="0.3">
      <c r="A6389" s="4" t="s">
        <v>9112</v>
      </c>
      <c r="B6389">
        <v>3</v>
      </c>
    </row>
    <row r="6390" spans="1:2" ht="28.8" x14ac:dyDescent="0.3">
      <c r="A6390" s="4" t="s">
        <v>9113</v>
      </c>
      <c r="B6390">
        <v>3</v>
      </c>
    </row>
    <row r="6391" spans="1:2" ht="28.8" x14ac:dyDescent="0.3">
      <c r="A6391" s="4" t="s">
        <v>9114</v>
      </c>
      <c r="B6391">
        <v>3</v>
      </c>
    </row>
    <row r="6392" spans="1:2" x14ac:dyDescent="0.3">
      <c r="A6392" s="4" t="s">
        <v>9115</v>
      </c>
      <c r="B6392">
        <v>3</v>
      </c>
    </row>
    <row r="6393" spans="1:2" ht="28.8" x14ac:dyDescent="0.3">
      <c r="A6393" s="4" t="s">
        <v>9116</v>
      </c>
      <c r="B6393">
        <v>3</v>
      </c>
    </row>
    <row r="6394" spans="1:2" ht="28.8" x14ac:dyDescent="0.3">
      <c r="A6394" s="4" t="s">
        <v>9117</v>
      </c>
      <c r="B6394">
        <v>3</v>
      </c>
    </row>
    <row r="6395" spans="1:2" x14ac:dyDescent="0.3">
      <c r="A6395" s="4" t="s">
        <v>9118</v>
      </c>
      <c r="B6395">
        <v>3</v>
      </c>
    </row>
    <row r="6396" spans="1:2" ht="28.8" x14ac:dyDescent="0.3">
      <c r="A6396" s="4" t="s">
        <v>9119</v>
      </c>
      <c r="B6396">
        <v>3</v>
      </c>
    </row>
    <row r="6397" spans="1:2" ht="28.8" x14ac:dyDescent="0.3">
      <c r="A6397" s="4" t="s">
        <v>8945</v>
      </c>
      <c r="B6397">
        <v>3</v>
      </c>
    </row>
    <row r="6398" spans="1:2" ht="28.8" x14ac:dyDescent="0.3">
      <c r="A6398" s="4" t="s">
        <v>9120</v>
      </c>
      <c r="B6398">
        <v>3</v>
      </c>
    </row>
    <row r="6399" spans="1:2" ht="43.2" x14ac:dyDescent="0.3">
      <c r="A6399" s="4" t="s">
        <v>9121</v>
      </c>
      <c r="B6399">
        <v>3</v>
      </c>
    </row>
    <row r="6400" spans="1:2" ht="28.8" x14ac:dyDescent="0.3">
      <c r="A6400" s="4" t="s">
        <v>9122</v>
      </c>
      <c r="B6400">
        <v>3</v>
      </c>
    </row>
    <row r="6401" spans="1:2" ht="28.8" x14ac:dyDescent="0.3">
      <c r="A6401" s="4" t="s">
        <v>9123</v>
      </c>
      <c r="B6401">
        <v>3</v>
      </c>
    </row>
    <row r="6402" spans="1:2" ht="28.8" x14ac:dyDescent="0.3">
      <c r="A6402" s="4" t="s">
        <v>9124</v>
      </c>
      <c r="B6402">
        <v>3</v>
      </c>
    </row>
    <row r="6403" spans="1:2" ht="28.8" x14ac:dyDescent="0.3">
      <c r="A6403" s="4" t="s">
        <v>9125</v>
      </c>
      <c r="B6403">
        <v>3</v>
      </c>
    </row>
    <row r="6404" spans="1:2" ht="28.8" x14ac:dyDescent="0.3">
      <c r="A6404" s="4" t="s">
        <v>9126</v>
      </c>
      <c r="B6404">
        <v>3</v>
      </c>
    </row>
    <row r="6405" spans="1:2" ht="28.8" x14ac:dyDescent="0.3">
      <c r="A6405" s="4" t="s">
        <v>9127</v>
      </c>
      <c r="B6405">
        <v>3</v>
      </c>
    </row>
    <row r="6406" spans="1:2" ht="28.8" x14ac:dyDescent="0.3">
      <c r="A6406" s="4" t="s">
        <v>9128</v>
      </c>
      <c r="B6406">
        <v>3</v>
      </c>
    </row>
    <row r="6407" spans="1:2" ht="28.8" x14ac:dyDescent="0.3">
      <c r="A6407" s="4" t="s">
        <v>9129</v>
      </c>
      <c r="B6407">
        <v>3</v>
      </c>
    </row>
    <row r="6408" spans="1:2" ht="28.8" x14ac:dyDescent="0.3">
      <c r="A6408" s="4" t="s">
        <v>9130</v>
      </c>
      <c r="B6408">
        <v>3</v>
      </c>
    </row>
    <row r="6409" spans="1:2" ht="43.2" x14ac:dyDescent="0.3">
      <c r="A6409" s="4" t="s">
        <v>9131</v>
      </c>
      <c r="B6409">
        <v>3</v>
      </c>
    </row>
    <row r="6410" spans="1:2" ht="28.8" x14ac:dyDescent="0.3">
      <c r="A6410" s="4" t="s">
        <v>9132</v>
      </c>
      <c r="B6410">
        <v>3</v>
      </c>
    </row>
    <row r="6411" spans="1:2" x14ac:dyDescent="0.3">
      <c r="A6411" s="4" t="s">
        <v>9133</v>
      </c>
      <c r="B6411">
        <v>3</v>
      </c>
    </row>
    <row r="6412" spans="1:2" x14ac:dyDescent="0.3">
      <c r="A6412" s="4" t="s">
        <v>9134</v>
      </c>
      <c r="B6412">
        <v>3</v>
      </c>
    </row>
    <row r="6413" spans="1:2" ht="28.8" x14ac:dyDescent="0.3">
      <c r="A6413" s="4" t="s">
        <v>9135</v>
      </c>
      <c r="B6413">
        <v>3</v>
      </c>
    </row>
    <row r="6414" spans="1:2" ht="28.8" x14ac:dyDescent="0.3">
      <c r="A6414" s="4" t="s">
        <v>9136</v>
      </c>
      <c r="B6414">
        <v>3</v>
      </c>
    </row>
    <row r="6415" spans="1:2" ht="43.2" x14ac:dyDescent="0.3">
      <c r="A6415" s="4" t="s">
        <v>9137</v>
      </c>
      <c r="B6415">
        <v>3</v>
      </c>
    </row>
    <row r="6416" spans="1:2" ht="57.6" x14ac:dyDescent="0.3">
      <c r="A6416" s="4" t="s">
        <v>9138</v>
      </c>
      <c r="B6416">
        <v>3</v>
      </c>
    </row>
    <row r="6417" spans="1:2" ht="28.8" x14ac:dyDescent="0.3">
      <c r="A6417" s="4" t="s">
        <v>9139</v>
      </c>
      <c r="B6417">
        <v>3</v>
      </c>
    </row>
    <row r="6418" spans="1:2" ht="28.8" x14ac:dyDescent="0.3">
      <c r="A6418" s="4" t="s">
        <v>9140</v>
      </c>
      <c r="B6418">
        <v>3</v>
      </c>
    </row>
    <row r="6419" spans="1:2" ht="28.8" x14ac:dyDescent="0.3">
      <c r="A6419" s="4" t="s">
        <v>9141</v>
      </c>
      <c r="B6419">
        <v>3</v>
      </c>
    </row>
    <row r="6420" spans="1:2" ht="28.8" x14ac:dyDescent="0.3">
      <c r="A6420" s="4" t="s">
        <v>9142</v>
      </c>
      <c r="B6420">
        <v>3</v>
      </c>
    </row>
    <row r="6421" spans="1:2" ht="28.8" x14ac:dyDescent="0.3">
      <c r="A6421" s="4" t="s">
        <v>9143</v>
      </c>
      <c r="B6421">
        <v>3</v>
      </c>
    </row>
    <row r="6422" spans="1:2" ht="28.8" x14ac:dyDescent="0.3">
      <c r="A6422" s="4" t="s">
        <v>9144</v>
      </c>
      <c r="B6422">
        <v>3</v>
      </c>
    </row>
    <row r="6423" spans="1:2" ht="28.8" x14ac:dyDescent="0.3">
      <c r="A6423" s="4" t="s">
        <v>9145</v>
      </c>
      <c r="B6423">
        <v>3</v>
      </c>
    </row>
    <row r="6424" spans="1:2" ht="28.8" x14ac:dyDescent="0.3">
      <c r="A6424" s="4" t="s">
        <v>9146</v>
      </c>
      <c r="B6424">
        <v>3</v>
      </c>
    </row>
    <row r="6425" spans="1:2" ht="28.8" x14ac:dyDescent="0.3">
      <c r="A6425" s="4" t="s">
        <v>9147</v>
      </c>
      <c r="B6425">
        <v>3</v>
      </c>
    </row>
    <row r="6426" spans="1:2" ht="28.8" x14ac:dyDescent="0.3">
      <c r="A6426" s="4" t="s">
        <v>9148</v>
      </c>
      <c r="B6426">
        <v>3</v>
      </c>
    </row>
    <row r="6427" spans="1:2" ht="28.8" x14ac:dyDescent="0.3">
      <c r="A6427" s="4" t="s">
        <v>9149</v>
      </c>
      <c r="B6427">
        <v>3</v>
      </c>
    </row>
    <row r="6428" spans="1:2" ht="28.8" x14ac:dyDescent="0.3">
      <c r="A6428" s="4" t="s">
        <v>9150</v>
      </c>
      <c r="B6428">
        <v>3</v>
      </c>
    </row>
    <row r="6429" spans="1:2" ht="28.8" x14ac:dyDescent="0.3">
      <c r="A6429" s="4" t="s">
        <v>9151</v>
      </c>
      <c r="B6429">
        <v>3</v>
      </c>
    </row>
    <row r="6430" spans="1:2" ht="28.8" x14ac:dyDescent="0.3">
      <c r="A6430" s="4" t="s">
        <v>9152</v>
      </c>
      <c r="B6430">
        <v>3</v>
      </c>
    </row>
    <row r="6431" spans="1:2" ht="28.8" x14ac:dyDescent="0.3">
      <c r="A6431" s="4" t="s">
        <v>9153</v>
      </c>
      <c r="B6431">
        <v>3</v>
      </c>
    </row>
    <row r="6432" spans="1:2" ht="28.8" x14ac:dyDescent="0.3">
      <c r="A6432" s="4" t="s">
        <v>9154</v>
      </c>
      <c r="B6432">
        <v>3</v>
      </c>
    </row>
    <row r="6433" spans="1:2" ht="28.8" x14ac:dyDescent="0.3">
      <c r="A6433" s="4" t="s">
        <v>9155</v>
      </c>
      <c r="B6433">
        <v>3</v>
      </c>
    </row>
    <row r="6434" spans="1:2" ht="28.8" x14ac:dyDescent="0.3">
      <c r="A6434" s="4" t="s">
        <v>9156</v>
      </c>
      <c r="B6434">
        <v>3</v>
      </c>
    </row>
    <row r="6435" spans="1:2" x14ac:dyDescent="0.3">
      <c r="A6435" s="4" t="s">
        <v>9157</v>
      </c>
      <c r="B6435">
        <v>3</v>
      </c>
    </row>
    <row r="6436" spans="1:2" ht="28.8" x14ac:dyDescent="0.3">
      <c r="A6436" s="4" t="s">
        <v>9158</v>
      </c>
      <c r="B6436">
        <v>3</v>
      </c>
    </row>
    <row r="6437" spans="1:2" ht="28.8" x14ac:dyDescent="0.3">
      <c r="A6437" s="4" t="s">
        <v>9159</v>
      </c>
      <c r="B6437">
        <v>3</v>
      </c>
    </row>
    <row r="6438" spans="1:2" ht="28.8" x14ac:dyDescent="0.3">
      <c r="A6438" s="4" t="s">
        <v>9160</v>
      </c>
      <c r="B6438">
        <v>3</v>
      </c>
    </row>
    <row r="6439" spans="1:2" x14ac:dyDescent="0.3">
      <c r="A6439" s="4" t="s">
        <v>9161</v>
      </c>
      <c r="B6439">
        <v>3</v>
      </c>
    </row>
    <row r="6440" spans="1:2" ht="43.2" x14ac:dyDescent="0.3">
      <c r="A6440" s="4" t="s">
        <v>9162</v>
      </c>
      <c r="B6440">
        <v>3</v>
      </c>
    </row>
    <row r="6441" spans="1:2" ht="28.8" x14ac:dyDescent="0.3">
      <c r="A6441" s="4" t="s">
        <v>9163</v>
      </c>
      <c r="B6441">
        <v>3</v>
      </c>
    </row>
    <row r="6442" spans="1:2" ht="28.8" x14ac:dyDescent="0.3">
      <c r="A6442" s="4" t="s">
        <v>9164</v>
      </c>
      <c r="B6442">
        <v>3</v>
      </c>
    </row>
    <row r="6443" spans="1:2" x14ac:dyDescent="0.3">
      <c r="A6443" s="4" t="s">
        <v>9165</v>
      </c>
      <c r="B6443">
        <v>3</v>
      </c>
    </row>
    <row r="6444" spans="1:2" ht="28.8" x14ac:dyDescent="0.3">
      <c r="A6444" s="4" t="s">
        <v>9166</v>
      </c>
      <c r="B6444">
        <v>3</v>
      </c>
    </row>
    <row r="6445" spans="1:2" ht="28.8" x14ac:dyDescent="0.3">
      <c r="A6445" s="4" t="s">
        <v>9167</v>
      </c>
      <c r="B6445">
        <v>3</v>
      </c>
    </row>
    <row r="6446" spans="1:2" ht="28.8" x14ac:dyDescent="0.3">
      <c r="A6446" s="4" t="s">
        <v>9168</v>
      </c>
      <c r="B6446">
        <v>3</v>
      </c>
    </row>
    <row r="6447" spans="1:2" ht="28.8" x14ac:dyDescent="0.3">
      <c r="A6447" s="4" t="s">
        <v>9169</v>
      </c>
      <c r="B6447">
        <v>3</v>
      </c>
    </row>
    <row r="6448" spans="1:2" x14ac:dyDescent="0.3">
      <c r="A6448" s="4" t="s">
        <v>9170</v>
      </c>
      <c r="B6448">
        <v>3</v>
      </c>
    </row>
    <row r="6449" spans="1:2" ht="28.8" x14ac:dyDescent="0.3">
      <c r="A6449" s="4" t="s">
        <v>9171</v>
      </c>
      <c r="B6449">
        <v>3</v>
      </c>
    </row>
    <row r="6450" spans="1:2" ht="28.8" x14ac:dyDescent="0.3">
      <c r="A6450" s="4" t="s">
        <v>9172</v>
      </c>
      <c r="B6450">
        <v>3</v>
      </c>
    </row>
    <row r="6451" spans="1:2" ht="28.8" x14ac:dyDescent="0.3">
      <c r="A6451" s="4" t="s">
        <v>9173</v>
      </c>
      <c r="B6451">
        <v>3</v>
      </c>
    </row>
    <row r="6452" spans="1:2" x14ac:dyDescent="0.3">
      <c r="A6452" s="4" t="s">
        <v>9174</v>
      </c>
      <c r="B6452">
        <v>3</v>
      </c>
    </row>
    <row r="6453" spans="1:2" ht="28.8" x14ac:dyDescent="0.3">
      <c r="A6453" s="4" t="s">
        <v>9175</v>
      </c>
      <c r="B6453">
        <v>3</v>
      </c>
    </row>
    <row r="6454" spans="1:2" ht="28.8" x14ac:dyDescent="0.3">
      <c r="A6454" s="4" t="s">
        <v>9176</v>
      </c>
      <c r="B6454">
        <v>3</v>
      </c>
    </row>
    <row r="6455" spans="1:2" x14ac:dyDescent="0.3">
      <c r="A6455" s="4" t="s">
        <v>9177</v>
      </c>
      <c r="B6455">
        <v>3</v>
      </c>
    </row>
    <row r="6456" spans="1:2" x14ac:dyDescent="0.3">
      <c r="A6456" s="4" t="s">
        <v>9178</v>
      </c>
      <c r="B6456">
        <v>3</v>
      </c>
    </row>
    <row r="6457" spans="1:2" ht="28.8" x14ac:dyDescent="0.3">
      <c r="A6457" s="4" t="s">
        <v>9179</v>
      </c>
      <c r="B6457">
        <v>3</v>
      </c>
    </row>
    <row r="6458" spans="1:2" ht="28.8" x14ac:dyDescent="0.3">
      <c r="A6458" s="4" t="s">
        <v>9180</v>
      </c>
      <c r="B6458">
        <v>3</v>
      </c>
    </row>
    <row r="6459" spans="1:2" ht="28.8" x14ac:dyDescent="0.3">
      <c r="A6459" s="4" t="s">
        <v>9181</v>
      </c>
      <c r="B6459">
        <v>3</v>
      </c>
    </row>
    <row r="6460" spans="1:2" ht="28.8" x14ac:dyDescent="0.3">
      <c r="A6460" s="4" t="s">
        <v>9182</v>
      </c>
      <c r="B6460">
        <v>3</v>
      </c>
    </row>
    <row r="6461" spans="1:2" ht="28.8" x14ac:dyDescent="0.3">
      <c r="A6461" s="4" t="s">
        <v>9183</v>
      </c>
      <c r="B6461">
        <v>3</v>
      </c>
    </row>
    <row r="6462" spans="1:2" ht="28.8" x14ac:dyDescent="0.3">
      <c r="A6462" s="4" t="s">
        <v>9184</v>
      </c>
      <c r="B6462">
        <v>3</v>
      </c>
    </row>
    <row r="6463" spans="1:2" x14ac:dyDescent="0.3">
      <c r="A6463" s="4" t="s">
        <v>9185</v>
      </c>
      <c r="B6463">
        <v>3</v>
      </c>
    </row>
    <row r="6464" spans="1:2" x14ac:dyDescent="0.3">
      <c r="A6464" s="4" t="s">
        <v>9186</v>
      </c>
      <c r="B6464">
        <v>3</v>
      </c>
    </row>
    <row r="6465" spans="1:2" ht="43.2" x14ac:dyDescent="0.3">
      <c r="A6465" s="4" t="s">
        <v>9187</v>
      </c>
      <c r="B6465">
        <v>3</v>
      </c>
    </row>
    <row r="6466" spans="1:2" ht="28.8" x14ac:dyDescent="0.3">
      <c r="A6466" s="4" t="s">
        <v>9188</v>
      </c>
      <c r="B6466">
        <v>3</v>
      </c>
    </row>
    <row r="6467" spans="1:2" ht="28.8" x14ac:dyDescent="0.3">
      <c r="A6467" s="4" t="s">
        <v>9189</v>
      </c>
      <c r="B6467">
        <v>3</v>
      </c>
    </row>
    <row r="6468" spans="1:2" x14ac:dyDescent="0.3">
      <c r="A6468" s="4" t="s">
        <v>9190</v>
      </c>
      <c r="B6468">
        <v>3</v>
      </c>
    </row>
    <row r="6469" spans="1:2" ht="28.8" x14ac:dyDescent="0.3">
      <c r="A6469" s="4" t="s">
        <v>9191</v>
      </c>
      <c r="B6469">
        <v>3</v>
      </c>
    </row>
    <row r="6470" spans="1:2" ht="28.8" x14ac:dyDescent="0.3">
      <c r="A6470" s="4" t="s">
        <v>9192</v>
      </c>
      <c r="B6470">
        <v>3</v>
      </c>
    </row>
    <row r="6471" spans="1:2" ht="28.8" x14ac:dyDescent="0.3">
      <c r="A6471" s="4" t="s">
        <v>9193</v>
      </c>
      <c r="B6471">
        <v>3</v>
      </c>
    </row>
    <row r="6472" spans="1:2" ht="28.8" x14ac:dyDescent="0.3">
      <c r="A6472" s="4" t="s">
        <v>9194</v>
      </c>
      <c r="B6472">
        <v>3</v>
      </c>
    </row>
    <row r="6473" spans="1:2" x14ac:dyDescent="0.3">
      <c r="A6473" s="4" t="s">
        <v>9195</v>
      </c>
      <c r="B6473">
        <v>3</v>
      </c>
    </row>
    <row r="6474" spans="1:2" ht="28.8" x14ac:dyDescent="0.3">
      <c r="A6474" s="4" t="s">
        <v>9196</v>
      </c>
      <c r="B6474">
        <v>3</v>
      </c>
    </row>
    <row r="6475" spans="1:2" ht="28.8" x14ac:dyDescent="0.3">
      <c r="A6475" s="4" t="s">
        <v>9197</v>
      </c>
      <c r="B6475">
        <v>3</v>
      </c>
    </row>
    <row r="6476" spans="1:2" x14ac:dyDescent="0.3">
      <c r="A6476" s="4" t="s">
        <v>9198</v>
      </c>
      <c r="B6476">
        <v>3</v>
      </c>
    </row>
    <row r="6477" spans="1:2" ht="28.8" x14ac:dyDescent="0.3">
      <c r="A6477" s="4" t="s">
        <v>9199</v>
      </c>
      <c r="B6477">
        <v>3</v>
      </c>
    </row>
    <row r="6478" spans="1:2" ht="28.8" x14ac:dyDescent="0.3">
      <c r="A6478" s="4" t="s">
        <v>9200</v>
      </c>
      <c r="B6478">
        <v>3</v>
      </c>
    </row>
    <row r="6479" spans="1:2" ht="43.2" x14ac:dyDescent="0.3">
      <c r="A6479" s="4" t="s">
        <v>9201</v>
      </c>
      <c r="B6479">
        <v>3</v>
      </c>
    </row>
    <row r="6480" spans="1:2" ht="28.8" x14ac:dyDescent="0.3">
      <c r="A6480" s="4" t="s">
        <v>9202</v>
      </c>
      <c r="B6480">
        <v>3</v>
      </c>
    </row>
    <row r="6481" spans="1:2" ht="28.8" x14ac:dyDescent="0.3">
      <c r="A6481" s="4" t="s">
        <v>9203</v>
      </c>
      <c r="B6481">
        <v>3</v>
      </c>
    </row>
    <row r="6482" spans="1:2" ht="28.8" x14ac:dyDescent="0.3">
      <c r="A6482" s="4" t="s">
        <v>9204</v>
      </c>
      <c r="B6482">
        <v>3</v>
      </c>
    </row>
    <row r="6483" spans="1:2" ht="28.8" x14ac:dyDescent="0.3">
      <c r="A6483" s="4" t="s">
        <v>9205</v>
      </c>
      <c r="B6483">
        <v>3</v>
      </c>
    </row>
    <row r="6484" spans="1:2" ht="28.8" x14ac:dyDescent="0.3">
      <c r="A6484" s="4" t="s">
        <v>9206</v>
      </c>
      <c r="B6484">
        <v>3</v>
      </c>
    </row>
    <row r="6485" spans="1:2" x14ac:dyDescent="0.3">
      <c r="A6485" s="4" t="s">
        <v>9207</v>
      </c>
      <c r="B6485">
        <v>3</v>
      </c>
    </row>
    <row r="6486" spans="1:2" x14ac:dyDescent="0.3">
      <c r="A6486" s="4" t="s">
        <v>9208</v>
      </c>
      <c r="B6486">
        <v>3</v>
      </c>
    </row>
    <row r="6487" spans="1:2" ht="28.8" x14ac:dyDescent="0.3">
      <c r="A6487" s="4" t="s">
        <v>9209</v>
      </c>
      <c r="B6487">
        <v>3</v>
      </c>
    </row>
    <row r="6488" spans="1:2" x14ac:dyDescent="0.3">
      <c r="A6488" s="4" t="s">
        <v>9210</v>
      </c>
      <c r="B6488">
        <v>3</v>
      </c>
    </row>
    <row r="6489" spans="1:2" x14ac:dyDescent="0.3">
      <c r="A6489" s="4" t="s">
        <v>9211</v>
      </c>
      <c r="B6489">
        <v>3</v>
      </c>
    </row>
    <row r="6490" spans="1:2" ht="28.8" x14ac:dyDescent="0.3">
      <c r="A6490" s="4" t="s">
        <v>9212</v>
      </c>
      <c r="B6490">
        <v>3</v>
      </c>
    </row>
    <row r="6491" spans="1:2" ht="28.8" x14ac:dyDescent="0.3">
      <c r="A6491" s="4" t="s">
        <v>9213</v>
      </c>
      <c r="B6491">
        <v>3</v>
      </c>
    </row>
    <row r="6492" spans="1:2" ht="28.8" x14ac:dyDescent="0.3">
      <c r="A6492" s="4" t="s">
        <v>9214</v>
      </c>
      <c r="B6492">
        <v>3</v>
      </c>
    </row>
    <row r="6493" spans="1:2" ht="28.8" x14ac:dyDescent="0.3">
      <c r="A6493" s="4" t="s">
        <v>9215</v>
      </c>
      <c r="B6493">
        <v>3</v>
      </c>
    </row>
    <row r="6494" spans="1:2" ht="28.8" x14ac:dyDescent="0.3">
      <c r="A6494" s="4" t="s">
        <v>9216</v>
      </c>
      <c r="B6494">
        <v>3</v>
      </c>
    </row>
    <row r="6495" spans="1:2" x14ac:dyDescent="0.3">
      <c r="A6495" s="4" t="s">
        <v>9217</v>
      </c>
      <c r="B6495">
        <v>3</v>
      </c>
    </row>
    <row r="6496" spans="1:2" ht="28.8" x14ac:dyDescent="0.3">
      <c r="A6496" s="4" t="s">
        <v>9218</v>
      </c>
      <c r="B6496">
        <v>3</v>
      </c>
    </row>
    <row r="6497" spans="1:2" ht="28.8" x14ac:dyDescent="0.3">
      <c r="A6497" s="4" t="s">
        <v>9219</v>
      </c>
      <c r="B6497">
        <v>3</v>
      </c>
    </row>
    <row r="6498" spans="1:2" ht="28.8" x14ac:dyDescent="0.3">
      <c r="A6498" s="4" t="s">
        <v>9220</v>
      </c>
      <c r="B6498">
        <v>3</v>
      </c>
    </row>
    <row r="6499" spans="1:2" ht="28.8" x14ac:dyDescent="0.3">
      <c r="A6499" s="4" t="s">
        <v>9221</v>
      </c>
      <c r="B6499">
        <v>3</v>
      </c>
    </row>
    <row r="6500" spans="1:2" ht="28.8" x14ac:dyDescent="0.3">
      <c r="A6500" s="4" t="s">
        <v>9222</v>
      </c>
      <c r="B6500">
        <v>3</v>
      </c>
    </row>
    <row r="6501" spans="1:2" x14ac:dyDescent="0.3">
      <c r="A6501" s="4" t="s">
        <v>9223</v>
      </c>
      <c r="B6501">
        <v>3</v>
      </c>
    </row>
    <row r="6502" spans="1:2" ht="28.8" x14ac:dyDescent="0.3">
      <c r="A6502" s="4" t="s">
        <v>9224</v>
      </c>
      <c r="B6502">
        <v>3</v>
      </c>
    </row>
    <row r="6503" spans="1:2" ht="43.2" x14ac:dyDescent="0.3">
      <c r="A6503" s="4" t="s">
        <v>9225</v>
      </c>
      <c r="B6503">
        <v>3</v>
      </c>
    </row>
    <row r="6504" spans="1:2" ht="28.8" x14ac:dyDescent="0.3">
      <c r="A6504" s="4" t="s">
        <v>9226</v>
      </c>
      <c r="B6504">
        <v>3</v>
      </c>
    </row>
    <row r="6505" spans="1:2" ht="28.8" x14ac:dyDescent="0.3">
      <c r="A6505" s="4" t="s">
        <v>9227</v>
      </c>
      <c r="B6505">
        <v>3</v>
      </c>
    </row>
    <row r="6506" spans="1:2" ht="28.8" x14ac:dyDescent="0.3">
      <c r="A6506" s="4" t="s">
        <v>9228</v>
      </c>
      <c r="B6506">
        <v>3</v>
      </c>
    </row>
    <row r="6507" spans="1:2" ht="28.8" x14ac:dyDescent="0.3">
      <c r="A6507" s="4" t="s">
        <v>9229</v>
      </c>
      <c r="B6507">
        <v>3</v>
      </c>
    </row>
    <row r="6508" spans="1:2" ht="28.8" x14ac:dyDescent="0.3">
      <c r="A6508" s="4" t="s">
        <v>9230</v>
      </c>
      <c r="B6508">
        <v>3</v>
      </c>
    </row>
    <row r="6509" spans="1:2" ht="28.8" x14ac:dyDescent="0.3">
      <c r="A6509" s="4" t="s">
        <v>9231</v>
      </c>
      <c r="B6509">
        <v>3</v>
      </c>
    </row>
    <row r="6510" spans="1:2" ht="28.8" x14ac:dyDescent="0.3">
      <c r="A6510" s="4" t="s">
        <v>9232</v>
      </c>
      <c r="B6510">
        <v>3</v>
      </c>
    </row>
    <row r="6511" spans="1:2" ht="28.8" x14ac:dyDescent="0.3">
      <c r="A6511" s="4" t="s">
        <v>9233</v>
      </c>
      <c r="B6511">
        <v>3</v>
      </c>
    </row>
    <row r="6512" spans="1:2" x14ac:dyDescent="0.3">
      <c r="A6512" s="4" t="s">
        <v>9234</v>
      </c>
      <c r="B6512">
        <v>3</v>
      </c>
    </row>
    <row r="6513" spans="1:2" ht="28.8" x14ac:dyDescent="0.3">
      <c r="A6513" s="4" t="s">
        <v>9235</v>
      </c>
      <c r="B6513">
        <v>3</v>
      </c>
    </row>
    <row r="6514" spans="1:2" x14ac:dyDescent="0.3">
      <c r="A6514" s="4" t="s">
        <v>9236</v>
      </c>
      <c r="B6514">
        <v>3</v>
      </c>
    </row>
    <row r="6515" spans="1:2" x14ac:dyDescent="0.3">
      <c r="A6515" s="4" t="s">
        <v>9237</v>
      </c>
      <c r="B6515">
        <v>3</v>
      </c>
    </row>
    <row r="6516" spans="1:2" ht="28.8" x14ac:dyDescent="0.3">
      <c r="A6516" s="4" t="s">
        <v>9238</v>
      </c>
      <c r="B6516">
        <v>3</v>
      </c>
    </row>
    <row r="6517" spans="1:2" ht="43.2" x14ac:dyDescent="0.3">
      <c r="A6517" s="4" t="s">
        <v>9239</v>
      </c>
      <c r="B6517">
        <v>3</v>
      </c>
    </row>
    <row r="6518" spans="1:2" ht="28.8" x14ac:dyDescent="0.3">
      <c r="A6518" s="4" t="s">
        <v>9240</v>
      </c>
      <c r="B6518">
        <v>3</v>
      </c>
    </row>
    <row r="6519" spans="1:2" x14ac:dyDescent="0.3">
      <c r="A6519" s="4" t="s">
        <v>9241</v>
      </c>
      <c r="B6519">
        <v>3</v>
      </c>
    </row>
    <row r="6520" spans="1:2" ht="28.8" x14ac:dyDescent="0.3">
      <c r="A6520" s="4" t="s">
        <v>9242</v>
      </c>
      <c r="B6520">
        <v>3</v>
      </c>
    </row>
    <row r="6521" spans="1:2" ht="28.8" x14ac:dyDescent="0.3">
      <c r="A6521" s="4" t="s">
        <v>9243</v>
      </c>
      <c r="B6521">
        <v>3</v>
      </c>
    </row>
    <row r="6522" spans="1:2" ht="43.2" x14ac:dyDescent="0.3">
      <c r="A6522" s="4" t="s">
        <v>9244</v>
      </c>
      <c r="B6522">
        <v>3</v>
      </c>
    </row>
    <row r="6523" spans="1:2" x14ac:dyDescent="0.3">
      <c r="A6523" s="4" t="s">
        <v>9245</v>
      </c>
      <c r="B6523">
        <v>3</v>
      </c>
    </row>
    <row r="6524" spans="1:2" ht="28.8" x14ac:dyDescent="0.3">
      <c r="A6524" s="4" t="s">
        <v>9246</v>
      </c>
      <c r="B6524">
        <v>3</v>
      </c>
    </row>
    <row r="6525" spans="1:2" x14ac:dyDescent="0.3">
      <c r="A6525" s="4" t="s">
        <v>9247</v>
      </c>
      <c r="B6525">
        <v>3</v>
      </c>
    </row>
    <row r="6526" spans="1:2" ht="28.8" x14ac:dyDescent="0.3">
      <c r="A6526" s="4" t="s">
        <v>9248</v>
      </c>
      <c r="B6526">
        <v>3</v>
      </c>
    </row>
    <row r="6527" spans="1:2" x14ac:dyDescent="0.3">
      <c r="A6527" s="4" t="s">
        <v>9249</v>
      </c>
      <c r="B6527">
        <v>3</v>
      </c>
    </row>
    <row r="6528" spans="1:2" ht="28.8" x14ac:dyDescent="0.3">
      <c r="A6528" s="4" t="s">
        <v>9250</v>
      </c>
      <c r="B6528">
        <v>3</v>
      </c>
    </row>
    <row r="6529" spans="1:2" ht="28.8" x14ac:dyDescent="0.3">
      <c r="A6529" s="4" t="s">
        <v>9251</v>
      </c>
      <c r="B6529">
        <v>3</v>
      </c>
    </row>
    <row r="6530" spans="1:2" ht="28.8" x14ac:dyDescent="0.3">
      <c r="A6530" s="4" t="s">
        <v>9252</v>
      </c>
      <c r="B6530">
        <v>3</v>
      </c>
    </row>
    <row r="6531" spans="1:2" ht="28.8" x14ac:dyDescent="0.3">
      <c r="A6531" s="4" t="s">
        <v>9253</v>
      </c>
      <c r="B6531">
        <v>3</v>
      </c>
    </row>
    <row r="6532" spans="1:2" ht="28.8" x14ac:dyDescent="0.3">
      <c r="A6532" s="4" t="s">
        <v>9254</v>
      </c>
      <c r="B6532">
        <v>3</v>
      </c>
    </row>
    <row r="6533" spans="1:2" ht="28.8" x14ac:dyDescent="0.3">
      <c r="A6533" s="4" t="s">
        <v>9255</v>
      </c>
      <c r="B6533">
        <v>3</v>
      </c>
    </row>
    <row r="6534" spans="1:2" ht="28.8" x14ac:dyDescent="0.3">
      <c r="A6534" s="4" t="s">
        <v>9256</v>
      </c>
      <c r="B6534">
        <v>3</v>
      </c>
    </row>
    <row r="6535" spans="1:2" ht="28.8" x14ac:dyDescent="0.3">
      <c r="A6535" s="4" t="s">
        <v>9257</v>
      </c>
      <c r="B6535">
        <v>3</v>
      </c>
    </row>
    <row r="6536" spans="1:2" ht="28.8" x14ac:dyDescent="0.3">
      <c r="A6536" s="4" t="s">
        <v>9258</v>
      </c>
      <c r="B6536">
        <v>3</v>
      </c>
    </row>
    <row r="6537" spans="1:2" ht="57.6" x14ac:dyDescent="0.3">
      <c r="A6537" s="4" t="s">
        <v>9259</v>
      </c>
      <c r="B6537">
        <v>3</v>
      </c>
    </row>
    <row r="6538" spans="1:2" ht="28.8" x14ac:dyDescent="0.3">
      <c r="A6538" s="4" t="s">
        <v>9260</v>
      </c>
      <c r="B6538">
        <v>3</v>
      </c>
    </row>
    <row r="6539" spans="1:2" ht="28.8" x14ac:dyDescent="0.3">
      <c r="A6539" s="4" t="s">
        <v>9261</v>
      </c>
      <c r="B6539">
        <v>3</v>
      </c>
    </row>
    <row r="6540" spans="1:2" ht="28.8" x14ac:dyDescent="0.3">
      <c r="A6540" s="4" t="s">
        <v>9262</v>
      </c>
      <c r="B6540">
        <v>3</v>
      </c>
    </row>
    <row r="6541" spans="1:2" ht="28.8" x14ac:dyDescent="0.3">
      <c r="A6541" s="4" t="s">
        <v>9263</v>
      </c>
      <c r="B6541">
        <v>3</v>
      </c>
    </row>
    <row r="6542" spans="1:2" ht="28.8" x14ac:dyDescent="0.3">
      <c r="A6542" s="4" t="s">
        <v>9264</v>
      </c>
      <c r="B6542">
        <v>3</v>
      </c>
    </row>
    <row r="6543" spans="1:2" x14ac:dyDescent="0.3">
      <c r="A6543" s="4" t="s">
        <v>9265</v>
      </c>
      <c r="B6543">
        <v>3</v>
      </c>
    </row>
    <row r="6544" spans="1:2" ht="28.8" x14ac:dyDescent="0.3">
      <c r="A6544" s="4" t="s">
        <v>9266</v>
      </c>
      <c r="B6544">
        <v>3</v>
      </c>
    </row>
    <row r="6545" spans="1:2" ht="28.8" x14ac:dyDescent="0.3">
      <c r="A6545" s="4" t="s">
        <v>9267</v>
      </c>
      <c r="B6545">
        <v>3</v>
      </c>
    </row>
    <row r="6546" spans="1:2" ht="28.8" x14ac:dyDescent="0.3">
      <c r="A6546" s="4" t="s">
        <v>9268</v>
      </c>
      <c r="B6546">
        <v>3</v>
      </c>
    </row>
    <row r="6547" spans="1:2" ht="28.8" x14ac:dyDescent="0.3">
      <c r="A6547" s="4" t="s">
        <v>9269</v>
      </c>
      <c r="B6547">
        <v>3</v>
      </c>
    </row>
    <row r="6548" spans="1:2" x14ac:dyDescent="0.3">
      <c r="A6548" s="4" t="s">
        <v>9270</v>
      </c>
      <c r="B6548">
        <v>3</v>
      </c>
    </row>
    <row r="6549" spans="1:2" ht="28.8" x14ac:dyDescent="0.3">
      <c r="A6549" s="4" t="s">
        <v>9271</v>
      </c>
      <c r="B6549">
        <v>3</v>
      </c>
    </row>
    <row r="6550" spans="1:2" ht="43.2" x14ac:dyDescent="0.3">
      <c r="A6550" s="4" t="s">
        <v>9272</v>
      </c>
      <c r="B6550">
        <v>3</v>
      </c>
    </row>
    <row r="6551" spans="1:2" ht="28.8" x14ac:dyDescent="0.3">
      <c r="A6551" s="4" t="s">
        <v>9273</v>
      </c>
      <c r="B6551">
        <v>3</v>
      </c>
    </row>
    <row r="6552" spans="1:2" x14ac:dyDescent="0.3">
      <c r="A6552" s="4" t="s">
        <v>9274</v>
      </c>
      <c r="B6552">
        <v>3</v>
      </c>
    </row>
    <row r="6553" spans="1:2" x14ac:dyDescent="0.3">
      <c r="A6553" s="4" t="s">
        <v>9275</v>
      </c>
      <c r="B6553">
        <v>3</v>
      </c>
    </row>
    <row r="6554" spans="1:2" x14ac:dyDescent="0.3">
      <c r="A6554" s="4" t="s">
        <v>9276</v>
      </c>
      <c r="B6554">
        <v>3</v>
      </c>
    </row>
    <row r="6555" spans="1:2" ht="28.8" x14ac:dyDescent="0.3">
      <c r="A6555" s="4" t="s">
        <v>9277</v>
      </c>
      <c r="B6555">
        <v>3</v>
      </c>
    </row>
    <row r="6556" spans="1:2" ht="28.8" x14ac:dyDescent="0.3">
      <c r="A6556" s="4" t="s">
        <v>9278</v>
      </c>
      <c r="B6556">
        <v>3</v>
      </c>
    </row>
    <row r="6557" spans="1:2" ht="28.8" x14ac:dyDescent="0.3">
      <c r="A6557" s="4" t="s">
        <v>9279</v>
      </c>
      <c r="B6557">
        <v>3</v>
      </c>
    </row>
    <row r="6558" spans="1:2" ht="43.2" x14ac:dyDescent="0.3">
      <c r="A6558" s="4" t="s">
        <v>9280</v>
      </c>
      <c r="B6558">
        <v>3</v>
      </c>
    </row>
    <row r="6559" spans="1:2" ht="28.8" x14ac:dyDescent="0.3">
      <c r="A6559" s="4" t="s">
        <v>9281</v>
      </c>
      <c r="B6559">
        <v>3</v>
      </c>
    </row>
    <row r="6560" spans="1:2" ht="28.8" x14ac:dyDescent="0.3">
      <c r="A6560" s="4" t="s">
        <v>9282</v>
      </c>
      <c r="B6560">
        <v>3</v>
      </c>
    </row>
    <row r="6561" spans="1:2" ht="43.2" x14ac:dyDescent="0.3">
      <c r="A6561" s="4" t="s">
        <v>9283</v>
      </c>
      <c r="B6561">
        <v>3</v>
      </c>
    </row>
    <row r="6562" spans="1:2" ht="28.8" x14ac:dyDescent="0.3">
      <c r="A6562" s="4" t="s">
        <v>9284</v>
      </c>
      <c r="B6562">
        <v>3</v>
      </c>
    </row>
    <row r="6563" spans="1:2" ht="28.8" x14ac:dyDescent="0.3">
      <c r="A6563" s="4" t="s">
        <v>9285</v>
      </c>
      <c r="B6563">
        <v>3</v>
      </c>
    </row>
    <row r="6564" spans="1:2" ht="28.8" x14ac:dyDescent="0.3">
      <c r="A6564" s="4" t="s">
        <v>9286</v>
      </c>
      <c r="B6564">
        <v>3</v>
      </c>
    </row>
    <row r="6565" spans="1:2" ht="57.6" x14ac:dyDescent="0.3">
      <c r="A6565" s="4" t="s">
        <v>9287</v>
      </c>
      <c r="B6565">
        <v>3</v>
      </c>
    </row>
    <row r="6566" spans="1:2" ht="28.8" x14ac:dyDescent="0.3">
      <c r="A6566" s="4" t="s">
        <v>9288</v>
      </c>
      <c r="B6566">
        <v>3</v>
      </c>
    </row>
    <row r="6567" spans="1:2" ht="28.8" x14ac:dyDescent="0.3">
      <c r="A6567" s="4" t="s">
        <v>9289</v>
      </c>
      <c r="B6567">
        <v>3</v>
      </c>
    </row>
    <row r="6568" spans="1:2" ht="28.8" x14ac:dyDescent="0.3">
      <c r="A6568" s="4" t="s">
        <v>9290</v>
      </c>
      <c r="B6568">
        <v>3</v>
      </c>
    </row>
    <row r="6569" spans="1:2" ht="28.8" x14ac:dyDescent="0.3">
      <c r="A6569" s="4" t="s">
        <v>9291</v>
      </c>
      <c r="B6569">
        <v>3</v>
      </c>
    </row>
    <row r="6570" spans="1:2" x14ac:dyDescent="0.3">
      <c r="A6570" s="4" t="s">
        <v>9292</v>
      </c>
      <c r="B6570">
        <v>3</v>
      </c>
    </row>
    <row r="6571" spans="1:2" ht="43.2" x14ac:dyDescent="0.3">
      <c r="A6571" s="4" t="s">
        <v>9293</v>
      </c>
      <c r="B6571">
        <v>3</v>
      </c>
    </row>
    <row r="6572" spans="1:2" ht="28.8" x14ac:dyDescent="0.3">
      <c r="A6572" s="4" t="s">
        <v>9294</v>
      </c>
      <c r="B6572">
        <v>3</v>
      </c>
    </row>
    <row r="6573" spans="1:2" ht="28.8" x14ac:dyDescent="0.3">
      <c r="A6573" s="4" t="s">
        <v>9295</v>
      </c>
      <c r="B6573">
        <v>3</v>
      </c>
    </row>
    <row r="6574" spans="1:2" ht="28.8" x14ac:dyDescent="0.3">
      <c r="A6574" s="4" t="s">
        <v>9296</v>
      </c>
      <c r="B6574">
        <v>3</v>
      </c>
    </row>
    <row r="6575" spans="1:2" ht="28.8" x14ac:dyDescent="0.3">
      <c r="A6575" s="4" t="s">
        <v>9297</v>
      </c>
      <c r="B6575">
        <v>3</v>
      </c>
    </row>
    <row r="6576" spans="1:2" ht="28.8" x14ac:dyDescent="0.3">
      <c r="A6576" s="4" t="s">
        <v>9298</v>
      </c>
      <c r="B6576">
        <v>3</v>
      </c>
    </row>
    <row r="6577" spans="1:2" ht="28.8" x14ac:dyDescent="0.3">
      <c r="A6577" s="4" t="s">
        <v>9299</v>
      </c>
      <c r="B6577">
        <v>3</v>
      </c>
    </row>
    <row r="6578" spans="1:2" ht="28.8" x14ac:dyDescent="0.3">
      <c r="A6578" s="4" t="s">
        <v>9300</v>
      </c>
      <c r="B6578">
        <v>3</v>
      </c>
    </row>
    <row r="6579" spans="1:2" ht="28.8" x14ac:dyDescent="0.3">
      <c r="A6579" s="4" t="s">
        <v>9301</v>
      </c>
      <c r="B6579">
        <v>3</v>
      </c>
    </row>
    <row r="6580" spans="1:2" ht="28.8" x14ac:dyDescent="0.3">
      <c r="A6580" s="4" t="s">
        <v>9302</v>
      </c>
      <c r="B6580">
        <v>3</v>
      </c>
    </row>
    <row r="6581" spans="1:2" x14ac:dyDescent="0.3">
      <c r="A6581" s="4" t="s">
        <v>9303</v>
      </c>
      <c r="B6581">
        <v>3</v>
      </c>
    </row>
    <row r="6582" spans="1:2" ht="28.8" x14ac:dyDescent="0.3">
      <c r="A6582" s="4" t="s">
        <v>9304</v>
      </c>
      <c r="B6582">
        <v>3</v>
      </c>
    </row>
    <row r="6583" spans="1:2" ht="28.8" x14ac:dyDescent="0.3">
      <c r="A6583" s="4" t="s">
        <v>9305</v>
      </c>
      <c r="B6583">
        <v>3</v>
      </c>
    </row>
    <row r="6584" spans="1:2" ht="28.8" x14ac:dyDescent="0.3">
      <c r="A6584" s="4" t="s">
        <v>9306</v>
      </c>
      <c r="B6584">
        <v>3</v>
      </c>
    </row>
    <row r="6585" spans="1:2" ht="57.6" x14ac:dyDescent="0.3">
      <c r="A6585" s="4" t="s">
        <v>9307</v>
      </c>
      <c r="B6585">
        <v>3</v>
      </c>
    </row>
    <row r="6586" spans="1:2" ht="28.8" x14ac:dyDescent="0.3">
      <c r="A6586" s="4" t="s">
        <v>9308</v>
      </c>
      <c r="B6586">
        <v>3</v>
      </c>
    </row>
    <row r="6587" spans="1:2" ht="28.8" x14ac:dyDescent="0.3">
      <c r="A6587" s="4" t="s">
        <v>9309</v>
      </c>
      <c r="B6587">
        <v>3</v>
      </c>
    </row>
    <row r="6588" spans="1:2" ht="43.2" x14ac:dyDescent="0.3">
      <c r="A6588" s="4" t="s">
        <v>9310</v>
      </c>
      <c r="B6588">
        <v>3</v>
      </c>
    </row>
    <row r="6589" spans="1:2" ht="28.8" x14ac:dyDescent="0.3">
      <c r="A6589" s="4" t="s">
        <v>9311</v>
      </c>
      <c r="B6589">
        <v>3</v>
      </c>
    </row>
    <row r="6590" spans="1:2" ht="28.8" x14ac:dyDescent="0.3">
      <c r="A6590" s="4" t="s">
        <v>9312</v>
      </c>
      <c r="B6590">
        <v>3</v>
      </c>
    </row>
    <row r="6591" spans="1:2" ht="28.8" x14ac:dyDescent="0.3">
      <c r="A6591" s="4" t="s">
        <v>9313</v>
      </c>
      <c r="B6591">
        <v>3</v>
      </c>
    </row>
    <row r="6592" spans="1:2" ht="28.8" x14ac:dyDescent="0.3">
      <c r="A6592" s="4" t="s">
        <v>9314</v>
      </c>
      <c r="B6592">
        <v>3</v>
      </c>
    </row>
    <row r="6593" spans="1:2" ht="28.8" x14ac:dyDescent="0.3">
      <c r="A6593" s="4" t="s">
        <v>9315</v>
      </c>
      <c r="B6593">
        <v>3</v>
      </c>
    </row>
    <row r="6594" spans="1:2" ht="28.8" x14ac:dyDescent="0.3">
      <c r="A6594" s="4" t="s">
        <v>9316</v>
      </c>
      <c r="B6594">
        <v>3</v>
      </c>
    </row>
    <row r="6595" spans="1:2" x14ac:dyDescent="0.3">
      <c r="A6595" s="4" t="s">
        <v>9317</v>
      </c>
      <c r="B6595">
        <v>3</v>
      </c>
    </row>
    <row r="6596" spans="1:2" ht="28.8" x14ac:dyDescent="0.3">
      <c r="A6596" s="4" t="s">
        <v>9318</v>
      </c>
      <c r="B6596">
        <v>3</v>
      </c>
    </row>
    <row r="6597" spans="1:2" ht="28.8" x14ac:dyDescent="0.3">
      <c r="A6597" s="4" t="s">
        <v>9319</v>
      </c>
      <c r="B6597">
        <v>3</v>
      </c>
    </row>
    <row r="6598" spans="1:2" x14ac:dyDescent="0.3">
      <c r="A6598" s="4" t="s">
        <v>9320</v>
      </c>
      <c r="B6598">
        <v>3</v>
      </c>
    </row>
    <row r="6599" spans="1:2" ht="28.8" x14ac:dyDescent="0.3">
      <c r="A6599" s="4" t="s">
        <v>9321</v>
      </c>
      <c r="B6599">
        <v>3</v>
      </c>
    </row>
    <row r="6600" spans="1:2" x14ac:dyDescent="0.3">
      <c r="A6600" s="4" t="s">
        <v>9322</v>
      </c>
      <c r="B6600">
        <v>3</v>
      </c>
    </row>
    <row r="6601" spans="1:2" ht="28.8" x14ac:dyDescent="0.3">
      <c r="A6601" s="4" t="s">
        <v>9323</v>
      </c>
      <c r="B6601">
        <v>3</v>
      </c>
    </row>
    <row r="6602" spans="1:2" ht="28.8" x14ac:dyDescent="0.3">
      <c r="A6602" s="4" t="s">
        <v>9324</v>
      </c>
      <c r="B6602">
        <v>3</v>
      </c>
    </row>
    <row r="6603" spans="1:2" ht="28.8" x14ac:dyDescent="0.3">
      <c r="A6603" s="4" t="s">
        <v>9325</v>
      </c>
      <c r="B6603">
        <v>3</v>
      </c>
    </row>
    <row r="6604" spans="1:2" ht="28.8" x14ac:dyDescent="0.3">
      <c r="A6604" s="4" t="s">
        <v>9326</v>
      </c>
      <c r="B6604">
        <v>3</v>
      </c>
    </row>
    <row r="6605" spans="1:2" x14ac:dyDescent="0.3">
      <c r="A6605" s="4" t="s">
        <v>9327</v>
      </c>
      <c r="B6605">
        <v>3</v>
      </c>
    </row>
    <row r="6606" spans="1:2" ht="28.8" x14ac:dyDescent="0.3">
      <c r="A6606" s="4" t="s">
        <v>9328</v>
      </c>
      <c r="B6606">
        <v>3</v>
      </c>
    </row>
    <row r="6607" spans="1:2" x14ac:dyDescent="0.3">
      <c r="A6607" s="4" t="s">
        <v>9329</v>
      </c>
      <c r="B6607">
        <v>3</v>
      </c>
    </row>
    <row r="6608" spans="1:2" ht="28.8" x14ac:dyDescent="0.3">
      <c r="A6608" s="4" t="s">
        <v>9330</v>
      </c>
      <c r="B6608">
        <v>3</v>
      </c>
    </row>
    <row r="6609" spans="1:2" ht="43.2" x14ac:dyDescent="0.3">
      <c r="A6609" s="4" t="s">
        <v>9331</v>
      </c>
      <c r="B6609">
        <v>3</v>
      </c>
    </row>
    <row r="6610" spans="1:2" ht="28.8" x14ac:dyDescent="0.3">
      <c r="A6610" s="4" t="s">
        <v>9332</v>
      </c>
      <c r="B6610">
        <v>3</v>
      </c>
    </row>
    <row r="6611" spans="1:2" ht="28.8" x14ac:dyDescent="0.3">
      <c r="A6611" s="4" t="s">
        <v>9333</v>
      </c>
      <c r="B6611">
        <v>3</v>
      </c>
    </row>
    <row r="6612" spans="1:2" ht="28.8" x14ac:dyDescent="0.3">
      <c r="A6612" s="4" t="s">
        <v>9334</v>
      </c>
      <c r="B6612">
        <v>3</v>
      </c>
    </row>
    <row r="6613" spans="1:2" x14ac:dyDescent="0.3">
      <c r="A6613" s="4" t="s">
        <v>9335</v>
      </c>
      <c r="B6613">
        <v>3</v>
      </c>
    </row>
    <row r="6614" spans="1:2" ht="28.8" x14ac:dyDescent="0.3">
      <c r="A6614" s="4" t="s">
        <v>9336</v>
      </c>
      <c r="B6614">
        <v>3</v>
      </c>
    </row>
    <row r="6615" spans="1:2" ht="28.8" x14ac:dyDescent="0.3">
      <c r="A6615" s="4" t="s">
        <v>9337</v>
      </c>
      <c r="B6615">
        <v>3</v>
      </c>
    </row>
    <row r="6616" spans="1:2" ht="28.8" x14ac:dyDescent="0.3">
      <c r="A6616" s="4" t="s">
        <v>9338</v>
      </c>
      <c r="B6616">
        <v>3</v>
      </c>
    </row>
    <row r="6617" spans="1:2" ht="28.8" x14ac:dyDescent="0.3">
      <c r="A6617" s="4" t="s">
        <v>9339</v>
      </c>
      <c r="B6617">
        <v>3</v>
      </c>
    </row>
    <row r="6618" spans="1:2" ht="28.8" x14ac:dyDescent="0.3">
      <c r="A6618" s="4" t="s">
        <v>9340</v>
      </c>
      <c r="B6618">
        <v>3</v>
      </c>
    </row>
    <row r="6619" spans="1:2" x14ac:dyDescent="0.3">
      <c r="A6619" s="4" t="s">
        <v>9341</v>
      </c>
      <c r="B6619">
        <v>3</v>
      </c>
    </row>
    <row r="6620" spans="1:2" x14ac:dyDescent="0.3">
      <c r="A6620" s="4" t="s">
        <v>9342</v>
      </c>
      <c r="B6620">
        <v>3</v>
      </c>
    </row>
    <row r="6621" spans="1:2" ht="28.8" x14ac:dyDescent="0.3">
      <c r="A6621" s="4" t="s">
        <v>9343</v>
      </c>
      <c r="B6621">
        <v>3</v>
      </c>
    </row>
    <row r="6622" spans="1:2" x14ac:dyDescent="0.3">
      <c r="A6622" s="4" t="s">
        <v>9344</v>
      </c>
      <c r="B6622">
        <v>3</v>
      </c>
    </row>
    <row r="6623" spans="1:2" ht="28.8" x14ac:dyDescent="0.3">
      <c r="A6623" s="4" t="s">
        <v>9345</v>
      </c>
      <c r="B6623">
        <v>3</v>
      </c>
    </row>
    <row r="6624" spans="1:2" x14ac:dyDescent="0.3">
      <c r="A6624" s="4" t="s">
        <v>9346</v>
      </c>
      <c r="B6624">
        <v>3</v>
      </c>
    </row>
    <row r="6625" spans="1:2" ht="43.2" x14ac:dyDescent="0.3">
      <c r="A6625" s="4" t="s">
        <v>9347</v>
      </c>
      <c r="B6625">
        <v>3</v>
      </c>
    </row>
    <row r="6626" spans="1:2" x14ac:dyDescent="0.3">
      <c r="A6626" s="4" t="s">
        <v>9348</v>
      </c>
      <c r="B6626">
        <v>3</v>
      </c>
    </row>
    <row r="6627" spans="1:2" x14ac:dyDescent="0.3">
      <c r="A6627" s="4" t="s">
        <v>9349</v>
      </c>
      <c r="B6627">
        <v>3</v>
      </c>
    </row>
    <row r="6628" spans="1:2" ht="28.8" x14ac:dyDescent="0.3">
      <c r="A6628" s="4" t="s">
        <v>9350</v>
      </c>
      <c r="B6628">
        <v>3</v>
      </c>
    </row>
    <row r="6629" spans="1:2" ht="28.8" x14ac:dyDescent="0.3">
      <c r="A6629" s="4" t="s">
        <v>9351</v>
      </c>
      <c r="B6629">
        <v>3</v>
      </c>
    </row>
    <row r="6630" spans="1:2" ht="28.8" x14ac:dyDescent="0.3">
      <c r="A6630" s="4" t="s">
        <v>9352</v>
      </c>
      <c r="B6630">
        <v>3</v>
      </c>
    </row>
    <row r="6631" spans="1:2" ht="28.8" x14ac:dyDescent="0.3">
      <c r="A6631" s="4" t="s">
        <v>9353</v>
      </c>
      <c r="B6631">
        <v>3</v>
      </c>
    </row>
    <row r="6632" spans="1:2" ht="28.8" x14ac:dyDescent="0.3">
      <c r="A6632" s="4" t="s">
        <v>9354</v>
      </c>
      <c r="B6632">
        <v>3</v>
      </c>
    </row>
    <row r="6633" spans="1:2" ht="28.8" x14ac:dyDescent="0.3">
      <c r="A6633" s="4" t="s">
        <v>9355</v>
      </c>
      <c r="B6633">
        <v>3</v>
      </c>
    </row>
    <row r="6634" spans="1:2" ht="28.8" x14ac:dyDescent="0.3">
      <c r="A6634" s="4" t="s">
        <v>9356</v>
      </c>
      <c r="B6634">
        <v>3</v>
      </c>
    </row>
    <row r="6635" spans="1:2" ht="28.8" x14ac:dyDescent="0.3">
      <c r="A6635" s="4" t="s">
        <v>9357</v>
      </c>
      <c r="B6635">
        <v>3</v>
      </c>
    </row>
    <row r="6636" spans="1:2" ht="28.8" x14ac:dyDescent="0.3">
      <c r="A6636" s="4" t="s">
        <v>9358</v>
      </c>
      <c r="B6636">
        <v>3</v>
      </c>
    </row>
    <row r="6637" spans="1:2" ht="28.8" x14ac:dyDescent="0.3">
      <c r="A6637" s="4" t="s">
        <v>9359</v>
      </c>
      <c r="B6637">
        <v>3</v>
      </c>
    </row>
    <row r="6638" spans="1:2" ht="28.8" x14ac:dyDescent="0.3">
      <c r="A6638" s="4" t="s">
        <v>9360</v>
      </c>
      <c r="B6638">
        <v>3</v>
      </c>
    </row>
    <row r="6639" spans="1:2" ht="28.8" x14ac:dyDescent="0.3">
      <c r="A6639" s="4" t="s">
        <v>9361</v>
      </c>
      <c r="B6639">
        <v>3</v>
      </c>
    </row>
    <row r="6640" spans="1:2" ht="28.8" x14ac:dyDescent="0.3">
      <c r="A6640" s="4" t="s">
        <v>9362</v>
      </c>
      <c r="B6640">
        <v>3</v>
      </c>
    </row>
    <row r="6641" spans="1:2" ht="28.8" x14ac:dyDescent="0.3">
      <c r="A6641" s="4" t="s">
        <v>9363</v>
      </c>
      <c r="B6641">
        <v>3</v>
      </c>
    </row>
    <row r="6642" spans="1:2" ht="28.8" x14ac:dyDescent="0.3">
      <c r="A6642" s="4" t="s">
        <v>9364</v>
      </c>
      <c r="B6642">
        <v>3</v>
      </c>
    </row>
    <row r="6643" spans="1:2" x14ac:dyDescent="0.3">
      <c r="A6643" s="4" t="s">
        <v>9365</v>
      </c>
      <c r="B6643">
        <v>3</v>
      </c>
    </row>
    <row r="6644" spans="1:2" ht="28.8" x14ac:dyDescent="0.3">
      <c r="A6644" s="4" t="s">
        <v>9366</v>
      </c>
      <c r="B6644">
        <v>3</v>
      </c>
    </row>
    <row r="6645" spans="1:2" ht="28.8" x14ac:dyDescent="0.3">
      <c r="A6645" s="4" t="s">
        <v>9367</v>
      </c>
      <c r="B6645">
        <v>3</v>
      </c>
    </row>
    <row r="6646" spans="1:2" ht="28.8" x14ac:dyDescent="0.3">
      <c r="A6646" s="4" t="s">
        <v>9368</v>
      </c>
      <c r="B6646">
        <v>3</v>
      </c>
    </row>
    <row r="6647" spans="1:2" ht="28.8" x14ac:dyDescent="0.3">
      <c r="A6647" s="4" t="s">
        <v>9369</v>
      </c>
      <c r="B6647">
        <v>3</v>
      </c>
    </row>
    <row r="6648" spans="1:2" ht="28.8" x14ac:dyDescent="0.3">
      <c r="A6648" s="4" t="s">
        <v>9370</v>
      </c>
      <c r="B6648">
        <v>3</v>
      </c>
    </row>
    <row r="6649" spans="1:2" x14ac:dyDescent="0.3">
      <c r="A6649" s="4" t="s">
        <v>9371</v>
      </c>
      <c r="B6649">
        <v>3</v>
      </c>
    </row>
    <row r="6650" spans="1:2" x14ac:dyDescent="0.3">
      <c r="A6650" s="4" t="s">
        <v>9372</v>
      </c>
      <c r="B6650">
        <v>3</v>
      </c>
    </row>
    <row r="6651" spans="1:2" x14ac:dyDescent="0.3">
      <c r="A6651" s="4" t="s">
        <v>9373</v>
      </c>
      <c r="B6651">
        <v>3</v>
      </c>
    </row>
    <row r="6652" spans="1:2" ht="28.8" x14ac:dyDescent="0.3">
      <c r="A6652" s="4" t="s">
        <v>9374</v>
      </c>
      <c r="B6652">
        <v>3</v>
      </c>
    </row>
    <row r="6653" spans="1:2" ht="28.8" x14ac:dyDescent="0.3">
      <c r="A6653" s="4" t="s">
        <v>9375</v>
      </c>
      <c r="B6653">
        <v>3</v>
      </c>
    </row>
    <row r="6654" spans="1:2" ht="43.2" x14ac:dyDescent="0.3">
      <c r="A6654" s="4" t="s">
        <v>9376</v>
      </c>
      <c r="B6654">
        <v>3</v>
      </c>
    </row>
    <row r="6655" spans="1:2" ht="28.8" x14ac:dyDescent="0.3">
      <c r="A6655" s="4" t="s">
        <v>9377</v>
      </c>
      <c r="B6655">
        <v>3</v>
      </c>
    </row>
    <row r="6656" spans="1:2" ht="28.8" x14ac:dyDescent="0.3">
      <c r="A6656" s="4" t="s">
        <v>9378</v>
      </c>
      <c r="B6656">
        <v>3</v>
      </c>
    </row>
    <row r="6657" spans="1:2" ht="28.8" x14ac:dyDescent="0.3">
      <c r="A6657" s="4" t="s">
        <v>9379</v>
      </c>
      <c r="B6657">
        <v>3</v>
      </c>
    </row>
    <row r="6658" spans="1:2" ht="28.8" x14ac:dyDescent="0.3">
      <c r="A6658" s="4" t="s">
        <v>9380</v>
      </c>
      <c r="B6658">
        <v>3</v>
      </c>
    </row>
    <row r="6659" spans="1:2" x14ac:dyDescent="0.3">
      <c r="A6659" s="4" t="s">
        <v>9381</v>
      </c>
      <c r="B6659">
        <v>3</v>
      </c>
    </row>
    <row r="6660" spans="1:2" x14ac:dyDescent="0.3">
      <c r="A6660" s="4" t="s">
        <v>9382</v>
      </c>
      <c r="B6660">
        <v>3</v>
      </c>
    </row>
    <row r="6661" spans="1:2" ht="28.8" x14ac:dyDescent="0.3">
      <c r="A6661" s="4" t="s">
        <v>9383</v>
      </c>
      <c r="B6661">
        <v>3</v>
      </c>
    </row>
    <row r="6662" spans="1:2" ht="28.8" x14ac:dyDescent="0.3">
      <c r="A6662" s="4" t="s">
        <v>9384</v>
      </c>
      <c r="B6662">
        <v>3</v>
      </c>
    </row>
    <row r="6663" spans="1:2" ht="28.8" x14ac:dyDescent="0.3">
      <c r="A6663" s="4" t="s">
        <v>9385</v>
      </c>
      <c r="B6663">
        <v>3</v>
      </c>
    </row>
    <row r="6664" spans="1:2" ht="28.8" x14ac:dyDescent="0.3">
      <c r="A6664" s="4" t="s">
        <v>9386</v>
      </c>
      <c r="B6664">
        <v>3</v>
      </c>
    </row>
    <row r="6665" spans="1:2" ht="28.8" x14ac:dyDescent="0.3">
      <c r="A6665" s="4" t="s">
        <v>9387</v>
      </c>
      <c r="B6665">
        <v>3</v>
      </c>
    </row>
    <row r="6666" spans="1:2" ht="28.8" x14ac:dyDescent="0.3">
      <c r="A6666" s="4" t="s">
        <v>9388</v>
      </c>
      <c r="B6666">
        <v>3</v>
      </c>
    </row>
    <row r="6667" spans="1:2" ht="28.8" x14ac:dyDescent="0.3">
      <c r="A6667" s="4" t="s">
        <v>9389</v>
      </c>
      <c r="B6667">
        <v>3</v>
      </c>
    </row>
    <row r="6668" spans="1:2" ht="28.8" x14ac:dyDescent="0.3">
      <c r="A6668" s="4" t="s">
        <v>9390</v>
      </c>
      <c r="B6668">
        <v>3</v>
      </c>
    </row>
    <row r="6669" spans="1:2" ht="28.8" x14ac:dyDescent="0.3">
      <c r="A6669" s="4" t="s">
        <v>9391</v>
      </c>
      <c r="B6669">
        <v>3</v>
      </c>
    </row>
    <row r="6670" spans="1:2" x14ac:dyDescent="0.3">
      <c r="A6670" s="4" t="s">
        <v>9392</v>
      </c>
      <c r="B6670">
        <v>3</v>
      </c>
    </row>
    <row r="6671" spans="1:2" ht="28.8" x14ac:dyDescent="0.3">
      <c r="A6671" s="4" t="s">
        <v>9393</v>
      </c>
      <c r="B6671">
        <v>3</v>
      </c>
    </row>
    <row r="6672" spans="1:2" ht="28.8" x14ac:dyDescent="0.3">
      <c r="A6672" s="4" t="s">
        <v>9394</v>
      </c>
      <c r="B6672">
        <v>3</v>
      </c>
    </row>
    <row r="6673" spans="1:2" x14ac:dyDescent="0.3">
      <c r="A6673" s="4" t="s">
        <v>9395</v>
      </c>
      <c r="B6673">
        <v>3</v>
      </c>
    </row>
    <row r="6674" spans="1:2" x14ac:dyDescent="0.3">
      <c r="A6674" s="4" t="s">
        <v>9396</v>
      </c>
      <c r="B6674">
        <v>3</v>
      </c>
    </row>
    <row r="6675" spans="1:2" x14ac:dyDescent="0.3">
      <c r="A6675" s="4" t="s">
        <v>9397</v>
      </c>
      <c r="B6675">
        <v>3</v>
      </c>
    </row>
    <row r="6676" spans="1:2" ht="28.8" x14ac:dyDescent="0.3">
      <c r="A6676" s="4" t="s">
        <v>9398</v>
      </c>
      <c r="B6676">
        <v>3</v>
      </c>
    </row>
    <row r="6677" spans="1:2" ht="28.8" x14ac:dyDescent="0.3">
      <c r="A6677" s="4" t="s">
        <v>9399</v>
      </c>
      <c r="B6677">
        <v>3</v>
      </c>
    </row>
    <row r="6678" spans="1:2" x14ac:dyDescent="0.3">
      <c r="A6678" s="4" t="s">
        <v>9400</v>
      </c>
      <c r="B6678">
        <v>3</v>
      </c>
    </row>
    <row r="6679" spans="1:2" ht="43.2" x14ac:dyDescent="0.3">
      <c r="A6679" s="4" t="s">
        <v>9401</v>
      </c>
      <c r="B6679">
        <v>3</v>
      </c>
    </row>
    <row r="6680" spans="1:2" ht="28.8" x14ac:dyDescent="0.3">
      <c r="A6680" s="4" t="s">
        <v>9402</v>
      </c>
      <c r="B6680">
        <v>3</v>
      </c>
    </row>
    <row r="6681" spans="1:2" x14ac:dyDescent="0.3">
      <c r="A6681" s="4" t="s">
        <v>9403</v>
      </c>
      <c r="B6681">
        <v>3</v>
      </c>
    </row>
    <row r="6682" spans="1:2" ht="28.8" x14ac:dyDescent="0.3">
      <c r="A6682" s="4" t="s">
        <v>9404</v>
      </c>
      <c r="B6682">
        <v>3</v>
      </c>
    </row>
    <row r="6683" spans="1:2" ht="28.8" x14ac:dyDescent="0.3">
      <c r="A6683" s="4" t="s">
        <v>9405</v>
      </c>
      <c r="B6683">
        <v>3</v>
      </c>
    </row>
    <row r="6684" spans="1:2" x14ac:dyDescent="0.3">
      <c r="A6684" s="4" t="s">
        <v>9406</v>
      </c>
      <c r="B6684">
        <v>3</v>
      </c>
    </row>
    <row r="6685" spans="1:2" ht="28.8" x14ac:dyDescent="0.3">
      <c r="A6685" s="4" t="s">
        <v>9407</v>
      </c>
      <c r="B6685">
        <v>3</v>
      </c>
    </row>
    <row r="6686" spans="1:2" ht="28.8" x14ac:dyDescent="0.3">
      <c r="A6686" s="4" t="s">
        <v>9408</v>
      </c>
      <c r="B6686">
        <v>3</v>
      </c>
    </row>
    <row r="6687" spans="1:2" ht="28.8" x14ac:dyDescent="0.3">
      <c r="A6687" s="4" t="s">
        <v>9409</v>
      </c>
      <c r="B6687">
        <v>3</v>
      </c>
    </row>
    <row r="6688" spans="1:2" ht="28.8" x14ac:dyDescent="0.3">
      <c r="A6688" s="4" t="s">
        <v>9410</v>
      </c>
      <c r="B6688">
        <v>3</v>
      </c>
    </row>
    <row r="6689" spans="1:2" ht="28.8" x14ac:dyDescent="0.3">
      <c r="A6689" s="4" t="s">
        <v>9411</v>
      </c>
      <c r="B6689">
        <v>3</v>
      </c>
    </row>
    <row r="6690" spans="1:2" ht="28.8" x14ac:dyDescent="0.3">
      <c r="A6690" s="4" t="s">
        <v>9412</v>
      </c>
      <c r="B6690">
        <v>3</v>
      </c>
    </row>
    <row r="6691" spans="1:2" ht="28.8" x14ac:dyDescent="0.3">
      <c r="A6691" s="4" t="s">
        <v>9413</v>
      </c>
      <c r="B6691">
        <v>3</v>
      </c>
    </row>
    <row r="6692" spans="1:2" ht="28.8" x14ac:dyDescent="0.3">
      <c r="A6692" s="4" t="s">
        <v>9414</v>
      </c>
      <c r="B6692">
        <v>3</v>
      </c>
    </row>
    <row r="6693" spans="1:2" ht="28.8" x14ac:dyDescent="0.3">
      <c r="A6693" s="4" t="s">
        <v>9415</v>
      </c>
      <c r="B6693">
        <v>3</v>
      </c>
    </row>
    <row r="6694" spans="1:2" ht="28.8" x14ac:dyDescent="0.3">
      <c r="A6694" s="4" t="s">
        <v>9416</v>
      </c>
      <c r="B6694">
        <v>3</v>
      </c>
    </row>
    <row r="6695" spans="1:2" ht="28.8" x14ac:dyDescent="0.3">
      <c r="A6695" s="4" t="s">
        <v>9417</v>
      </c>
      <c r="B6695">
        <v>3</v>
      </c>
    </row>
    <row r="6696" spans="1:2" ht="28.8" x14ac:dyDescent="0.3">
      <c r="A6696" s="4" t="s">
        <v>9418</v>
      </c>
      <c r="B6696">
        <v>3</v>
      </c>
    </row>
    <row r="6697" spans="1:2" ht="28.8" x14ac:dyDescent="0.3">
      <c r="A6697" s="4" t="s">
        <v>9419</v>
      </c>
      <c r="B6697">
        <v>3</v>
      </c>
    </row>
    <row r="6698" spans="1:2" x14ac:dyDescent="0.3">
      <c r="A6698" s="4" t="s">
        <v>9420</v>
      </c>
      <c r="B6698">
        <v>3</v>
      </c>
    </row>
    <row r="6699" spans="1:2" ht="28.8" x14ac:dyDescent="0.3">
      <c r="A6699" s="4" t="s">
        <v>9421</v>
      </c>
      <c r="B6699">
        <v>3</v>
      </c>
    </row>
    <row r="6700" spans="1:2" ht="28.8" x14ac:dyDescent="0.3">
      <c r="A6700" s="4" t="s">
        <v>9422</v>
      </c>
      <c r="B6700">
        <v>3</v>
      </c>
    </row>
    <row r="6701" spans="1:2" ht="28.8" x14ac:dyDescent="0.3">
      <c r="A6701" s="4" t="s">
        <v>9423</v>
      </c>
      <c r="B6701">
        <v>3</v>
      </c>
    </row>
    <row r="6702" spans="1:2" ht="28.8" x14ac:dyDescent="0.3">
      <c r="A6702" s="4" t="s">
        <v>9424</v>
      </c>
      <c r="B6702">
        <v>3</v>
      </c>
    </row>
    <row r="6703" spans="1:2" ht="28.8" x14ac:dyDescent="0.3">
      <c r="A6703" s="4" t="s">
        <v>9425</v>
      </c>
      <c r="B6703">
        <v>3</v>
      </c>
    </row>
    <row r="6704" spans="1:2" ht="28.8" x14ac:dyDescent="0.3">
      <c r="A6704" s="4" t="s">
        <v>9426</v>
      </c>
      <c r="B6704">
        <v>3</v>
      </c>
    </row>
    <row r="6705" spans="1:2" x14ac:dyDescent="0.3">
      <c r="A6705" s="4" t="s">
        <v>9427</v>
      </c>
      <c r="B6705">
        <v>3</v>
      </c>
    </row>
    <row r="6706" spans="1:2" ht="28.8" x14ac:dyDescent="0.3">
      <c r="A6706" s="4" t="s">
        <v>9428</v>
      </c>
      <c r="B6706">
        <v>3</v>
      </c>
    </row>
    <row r="6707" spans="1:2" ht="28.8" x14ac:dyDescent="0.3">
      <c r="A6707" s="4" t="s">
        <v>9429</v>
      </c>
      <c r="B6707">
        <v>3</v>
      </c>
    </row>
    <row r="6708" spans="1:2" ht="28.8" x14ac:dyDescent="0.3">
      <c r="A6708" s="4" t="s">
        <v>9430</v>
      </c>
      <c r="B6708">
        <v>3</v>
      </c>
    </row>
    <row r="6709" spans="1:2" ht="28.8" x14ac:dyDescent="0.3">
      <c r="A6709" s="4" t="s">
        <v>9431</v>
      </c>
      <c r="B6709">
        <v>3</v>
      </c>
    </row>
    <row r="6710" spans="1:2" x14ac:dyDescent="0.3">
      <c r="A6710" s="4" t="s">
        <v>9432</v>
      </c>
      <c r="B6710">
        <v>3</v>
      </c>
    </row>
    <row r="6711" spans="1:2" ht="28.8" x14ac:dyDescent="0.3">
      <c r="A6711" s="4" t="s">
        <v>9433</v>
      </c>
      <c r="B6711">
        <v>3</v>
      </c>
    </row>
    <row r="6712" spans="1:2" x14ac:dyDescent="0.3">
      <c r="A6712" s="4" t="s">
        <v>9434</v>
      </c>
      <c r="B6712">
        <v>3</v>
      </c>
    </row>
    <row r="6713" spans="1:2" ht="43.2" x14ac:dyDescent="0.3">
      <c r="A6713" s="4" t="s">
        <v>9435</v>
      </c>
      <c r="B6713">
        <v>3</v>
      </c>
    </row>
    <row r="6714" spans="1:2" x14ac:dyDescent="0.3">
      <c r="A6714" s="4" t="s">
        <v>9436</v>
      </c>
      <c r="B6714">
        <v>3</v>
      </c>
    </row>
    <row r="6715" spans="1:2" ht="28.8" x14ac:dyDescent="0.3">
      <c r="A6715" s="4" t="s">
        <v>9437</v>
      </c>
      <c r="B6715">
        <v>3</v>
      </c>
    </row>
    <row r="6716" spans="1:2" ht="28.8" x14ac:dyDescent="0.3">
      <c r="A6716" s="4" t="s">
        <v>9438</v>
      </c>
      <c r="B6716">
        <v>3</v>
      </c>
    </row>
    <row r="6717" spans="1:2" x14ac:dyDescent="0.3">
      <c r="A6717" s="4" t="s">
        <v>9439</v>
      </c>
      <c r="B6717">
        <v>3</v>
      </c>
    </row>
    <row r="6718" spans="1:2" ht="28.8" x14ac:dyDescent="0.3">
      <c r="A6718" s="4" t="s">
        <v>9440</v>
      </c>
      <c r="B6718">
        <v>3</v>
      </c>
    </row>
    <row r="6719" spans="1:2" ht="28.8" x14ac:dyDescent="0.3">
      <c r="A6719" s="4" t="s">
        <v>9441</v>
      </c>
      <c r="B6719">
        <v>3</v>
      </c>
    </row>
    <row r="6720" spans="1:2" ht="28.8" x14ac:dyDescent="0.3">
      <c r="A6720" s="4" t="s">
        <v>9442</v>
      </c>
      <c r="B6720">
        <v>3</v>
      </c>
    </row>
    <row r="6721" spans="1:2" ht="28.8" x14ac:dyDescent="0.3">
      <c r="A6721" s="4" t="s">
        <v>9443</v>
      </c>
      <c r="B6721">
        <v>3</v>
      </c>
    </row>
    <row r="6722" spans="1:2" ht="28.8" x14ac:dyDescent="0.3">
      <c r="A6722" s="4" t="s">
        <v>9444</v>
      </c>
      <c r="B6722">
        <v>3</v>
      </c>
    </row>
    <row r="6723" spans="1:2" ht="28.8" x14ac:dyDescent="0.3">
      <c r="A6723" s="4" t="s">
        <v>9445</v>
      </c>
      <c r="B6723">
        <v>3</v>
      </c>
    </row>
    <row r="6724" spans="1:2" ht="28.8" x14ac:dyDescent="0.3">
      <c r="A6724" s="4" t="s">
        <v>9446</v>
      </c>
      <c r="B6724">
        <v>3</v>
      </c>
    </row>
    <row r="6725" spans="1:2" ht="28.8" x14ac:dyDescent="0.3">
      <c r="A6725" s="4" t="s">
        <v>9447</v>
      </c>
      <c r="B6725">
        <v>3</v>
      </c>
    </row>
    <row r="6726" spans="1:2" ht="28.8" x14ac:dyDescent="0.3">
      <c r="A6726" s="4" t="s">
        <v>9448</v>
      </c>
      <c r="B6726">
        <v>3</v>
      </c>
    </row>
    <row r="6727" spans="1:2" ht="28.8" x14ac:dyDescent="0.3">
      <c r="A6727" s="4" t="s">
        <v>9449</v>
      </c>
      <c r="B6727">
        <v>3</v>
      </c>
    </row>
    <row r="6728" spans="1:2" ht="28.8" x14ac:dyDescent="0.3">
      <c r="A6728" s="4" t="s">
        <v>9450</v>
      </c>
      <c r="B6728">
        <v>3</v>
      </c>
    </row>
    <row r="6729" spans="1:2" ht="28.8" x14ac:dyDescent="0.3">
      <c r="A6729" s="4" t="s">
        <v>9451</v>
      </c>
      <c r="B6729">
        <v>3</v>
      </c>
    </row>
    <row r="6730" spans="1:2" x14ac:dyDescent="0.3">
      <c r="A6730" s="4" t="s">
        <v>9452</v>
      </c>
      <c r="B6730">
        <v>3</v>
      </c>
    </row>
    <row r="6731" spans="1:2" ht="43.2" x14ac:dyDescent="0.3">
      <c r="A6731" s="4" t="s">
        <v>9453</v>
      </c>
      <c r="B6731">
        <v>3</v>
      </c>
    </row>
    <row r="6732" spans="1:2" ht="28.8" x14ac:dyDescent="0.3">
      <c r="A6732" s="4" t="s">
        <v>9454</v>
      </c>
      <c r="B6732">
        <v>3</v>
      </c>
    </row>
    <row r="6733" spans="1:2" x14ac:dyDescent="0.3">
      <c r="A6733" s="4" t="s">
        <v>9455</v>
      </c>
      <c r="B6733">
        <v>3</v>
      </c>
    </row>
    <row r="6734" spans="1:2" ht="28.8" x14ac:dyDescent="0.3">
      <c r="A6734" s="4" t="s">
        <v>9456</v>
      </c>
      <c r="B6734">
        <v>3</v>
      </c>
    </row>
    <row r="6735" spans="1:2" x14ac:dyDescent="0.3">
      <c r="A6735" s="4" t="s">
        <v>9457</v>
      </c>
      <c r="B6735">
        <v>3</v>
      </c>
    </row>
    <row r="6736" spans="1:2" x14ac:dyDescent="0.3">
      <c r="A6736" s="4" t="s">
        <v>9458</v>
      </c>
      <c r="B6736">
        <v>3</v>
      </c>
    </row>
    <row r="6737" spans="1:2" x14ac:dyDescent="0.3">
      <c r="A6737" s="4" t="s">
        <v>9459</v>
      </c>
      <c r="B6737">
        <v>3</v>
      </c>
    </row>
    <row r="6738" spans="1:2" ht="28.8" x14ac:dyDescent="0.3">
      <c r="A6738" s="4" t="s">
        <v>9460</v>
      </c>
      <c r="B6738">
        <v>3</v>
      </c>
    </row>
    <row r="6739" spans="1:2" ht="43.2" x14ac:dyDescent="0.3">
      <c r="A6739" s="4" t="s">
        <v>9461</v>
      </c>
      <c r="B6739">
        <v>3</v>
      </c>
    </row>
    <row r="6740" spans="1:2" ht="28.8" x14ac:dyDescent="0.3">
      <c r="A6740" s="4" t="s">
        <v>9462</v>
      </c>
      <c r="B6740">
        <v>3</v>
      </c>
    </row>
    <row r="6741" spans="1:2" x14ac:dyDescent="0.3">
      <c r="A6741" s="4" t="s">
        <v>9463</v>
      </c>
      <c r="B6741">
        <v>3</v>
      </c>
    </row>
    <row r="6742" spans="1:2" ht="28.8" x14ac:dyDescent="0.3">
      <c r="A6742" s="4" t="s">
        <v>9464</v>
      </c>
      <c r="B6742">
        <v>3</v>
      </c>
    </row>
    <row r="6743" spans="1:2" ht="28.8" x14ac:dyDescent="0.3">
      <c r="A6743" s="4" t="s">
        <v>9465</v>
      </c>
      <c r="B6743">
        <v>3</v>
      </c>
    </row>
    <row r="6744" spans="1:2" ht="28.8" x14ac:dyDescent="0.3">
      <c r="A6744" s="4" t="s">
        <v>9466</v>
      </c>
      <c r="B6744">
        <v>3</v>
      </c>
    </row>
    <row r="6745" spans="1:2" ht="28.8" x14ac:dyDescent="0.3">
      <c r="A6745" s="4" t="s">
        <v>9467</v>
      </c>
      <c r="B6745">
        <v>3</v>
      </c>
    </row>
    <row r="6746" spans="1:2" ht="28.8" x14ac:dyDescent="0.3">
      <c r="A6746" s="4" t="s">
        <v>9468</v>
      </c>
      <c r="B6746">
        <v>3</v>
      </c>
    </row>
    <row r="6747" spans="1:2" ht="28.8" x14ac:dyDescent="0.3">
      <c r="A6747" s="4" t="s">
        <v>9469</v>
      </c>
      <c r="B6747">
        <v>3</v>
      </c>
    </row>
    <row r="6748" spans="1:2" ht="28.8" x14ac:dyDescent="0.3">
      <c r="A6748" s="4" t="s">
        <v>9470</v>
      </c>
      <c r="B6748">
        <v>3</v>
      </c>
    </row>
    <row r="6749" spans="1:2" ht="28.8" x14ac:dyDescent="0.3">
      <c r="A6749" s="4" t="s">
        <v>9471</v>
      </c>
      <c r="B6749">
        <v>3</v>
      </c>
    </row>
    <row r="6750" spans="1:2" ht="28.8" x14ac:dyDescent="0.3">
      <c r="A6750" s="4" t="s">
        <v>9472</v>
      </c>
      <c r="B6750">
        <v>3</v>
      </c>
    </row>
    <row r="6751" spans="1:2" ht="28.8" x14ac:dyDescent="0.3">
      <c r="A6751" s="4" t="s">
        <v>9473</v>
      </c>
      <c r="B6751">
        <v>3</v>
      </c>
    </row>
    <row r="6752" spans="1:2" ht="28.8" x14ac:dyDescent="0.3">
      <c r="A6752" s="4" t="s">
        <v>9474</v>
      </c>
      <c r="B6752">
        <v>3</v>
      </c>
    </row>
    <row r="6753" spans="1:2" ht="28.8" x14ac:dyDescent="0.3">
      <c r="A6753" s="4" t="s">
        <v>9475</v>
      </c>
      <c r="B6753">
        <v>3</v>
      </c>
    </row>
    <row r="6754" spans="1:2" ht="28.8" x14ac:dyDescent="0.3">
      <c r="A6754" s="4" t="s">
        <v>9476</v>
      </c>
      <c r="B6754">
        <v>3</v>
      </c>
    </row>
    <row r="6755" spans="1:2" ht="28.8" x14ac:dyDescent="0.3">
      <c r="A6755" s="4" t="s">
        <v>9477</v>
      </c>
      <c r="B6755">
        <v>3</v>
      </c>
    </row>
    <row r="6756" spans="1:2" x14ac:dyDescent="0.3">
      <c r="A6756" s="4" t="s">
        <v>9478</v>
      </c>
      <c r="B6756">
        <v>3</v>
      </c>
    </row>
    <row r="6757" spans="1:2" x14ac:dyDescent="0.3">
      <c r="A6757" s="4" t="s">
        <v>9479</v>
      </c>
      <c r="B6757">
        <v>3</v>
      </c>
    </row>
    <row r="6758" spans="1:2" x14ac:dyDescent="0.3">
      <c r="A6758" s="4" t="s">
        <v>9480</v>
      </c>
      <c r="B6758">
        <v>3</v>
      </c>
    </row>
    <row r="6759" spans="1:2" ht="28.8" x14ac:dyDescent="0.3">
      <c r="A6759" s="4" t="s">
        <v>9481</v>
      </c>
      <c r="B6759">
        <v>3</v>
      </c>
    </row>
    <row r="6760" spans="1:2" ht="28.8" x14ac:dyDescent="0.3">
      <c r="A6760" s="4" t="s">
        <v>9482</v>
      </c>
      <c r="B6760">
        <v>3</v>
      </c>
    </row>
    <row r="6761" spans="1:2" x14ac:dyDescent="0.3">
      <c r="A6761" s="4" t="s">
        <v>9483</v>
      </c>
      <c r="B6761">
        <v>3</v>
      </c>
    </row>
    <row r="6762" spans="1:2" ht="28.8" x14ac:dyDescent="0.3">
      <c r="A6762" s="4" t="s">
        <v>9484</v>
      </c>
      <c r="B6762">
        <v>3</v>
      </c>
    </row>
    <row r="6763" spans="1:2" ht="28.8" x14ac:dyDescent="0.3">
      <c r="A6763" s="4" t="s">
        <v>9485</v>
      </c>
      <c r="B6763">
        <v>3</v>
      </c>
    </row>
    <row r="6764" spans="1:2" ht="28.8" x14ac:dyDescent="0.3">
      <c r="A6764" s="4" t="s">
        <v>9486</v>
      </c>
      <c r="B6764">
        <v>3</v>
      </c>
    </row>
    <row r="6765" spans="1:2" x14ac:dyDescent="0.3">
      <c r="A6765" s="4" t="s">
        <v>9487</v>
      </c>
      <c r="B6765">
        <v>3</v>
      </c>
    </row>
    <row r="6766" spans="1:2" ht="28.8" x14ac:dyDescent="0.3">
      <c r="A6766" s="4" t="s">
        <v>9488</v>
      </c>
      <c r="B6766">
        <v>3</v>
      </c>
    </row>
    <row r="6767" spans="1:2" ht="28.8" x14ac:dyDescent="0.3">
      <c r="A6767" s="4" t="s">
        <v>9489</v>
      </c>
      <c r="B6767">
        <v>3</v>
      </c>
    </row>
    <row r="6768" spans="1:2" ht="28.8" x14ac:dyDescent="0.3">
      <c r="A6768" s="4" t="s">
        <v>9490</v>
      </c>
      <c r="B6768">
        <v>3</v>
      </c>
    </row>
    <row r="6769" spans="1:2" ht="28.8" x14ac:dyDescent="0.3">
      <c r="A6769" s="4" t="s">
        <v>9491</v>
      </c>
      <c r="B6769">
        <v>3</v>
      </c>
    </row>
    <row r="6770" spans="1:2" ht="28.8" x14ac:dyDescent="0.3">
      <c r="A6770" s="4" t="s">
        <v>9492</v>
      </c>
      <c r="B6770">
        <v>3</v>
      </c>
    </row>
    <row r="6771" spans="1:2" x14ac:dyDescent="0.3">
      <c r="A6771" s="4" t="s">
        <v>9493</v>
      </c>
      <c r="B6771">
        <v>3</v>
      </c>
    </row>
    <row r="6772" spans="1:2" x14ac:dyDescent="0.3">
      <c r="A6772" s="4" t="s">
        <v>9494</v>
      </c>
      <c r="B6772">
        <v>3</v>
      </c>
    </row>
    <row r="6773" spans="1:2" ht="28.8" x14ac:dyDescent="0.3">
      <c r="A6773" s="4" t="s">
        <v>9495</v>
      </c>
      <c r="B6773">
        <v>3</v>
      </c>
    </row>
    <row r="6774" spans="1:2" ht="28.8" x14ac:dyDescent="0.3">
      <c r="A6774" s="4" t="s">
        <v>9496</v>
      </c>
      <c r="B6774">
        <v>3</v>
      </c>
    </row>
    <row r="6775" spans="1:2" ht="28.8" x14ac:dyDescent="0.3">
      <c r="A6775" s="4" t="s">
        <v>9497</v>
      </c>
      <c r="B6775">
        <v>3</v>
      </c>
    </row>
    <row r="6776" spans="1:2" ht="28.8" x14ac:dyDescent="0.3">
      <c r="A6776" s="4" t="s">
        <v>9498</v>
      </c>
      <c r="B6776">
        <v>3</v>
      </c>
    </row>
    <row r="6777" spans="1:2" ht="28.8" x14ac:dyDescent="0.3">
      <c r="A6777" s="4" t="s">
        <v>9499</v>
      </c>
      <c r="B6777">
        <v>3</v>
      </c>
    </row>
    <row r="6778" spans="1:2" ht="43.2" x14ac:dyDescent="0.3">
      <c r="A6778" s="4" t="s">
        <v>9500</v>
      </c>
      <c r="B6778">
        <v>3</v>
      </c>
    </row>
    <row r="6779" spans="1:2" x14ac:dyDescent="0.3">
      <c r="A6779" s="4" t="s">
        <v>9501</v>
      </c>
      <c r="B6779">
        <v>3</v>
      </c>
    </row>
    <row r="6780" spans="1:2" ht="28.8" x14ac:dyDescent="0.3">
      <c r="A6780" s="4" t="s">
        <v>9502</v>
      </c>
      <c r="B6780">
        <v>3</v>
      </c>
    </row>
    <row r="6781" spans="1:2" ht="57.6" x14ac:dyDescent="0.3">
      <c r="A6781" s="4" t="s">
        <v>9503</v>
      </c>
      <c r="B6781">
        <v>3</v>
      </c>
    </row>
    <row r="6782" spans="1:2" ht="28.8" x14ac:dyDescent="0.3">
      <c r="A6782" s="4" t="s">
        <v>9504</v>
      </c>
      <c r="B6782">
        <v>3</v>
      </c>
    </row>
    <row r="6783" spans="1:2" ht="28.8" x14ac:dyDescent="0.3">
      <c r="A6783" s="4" t="s">
        <v>9505</v>
      </c>
      <c r="B6783">
        <v>3</v>
      </c>
    </row>
    <row r="6784" spans="1:2" x14ac:dyDescent="0.3">
      <c r="A6784" s="4" t="s">
        <v>9506</v>
      </c>
      <c r="B6784">
        <v>3</v>
      </c>
    </row>
    <row r="6785" spans="1:2" ht="28.8" x14ac:dyDescent="0.3">
      <c r="A6785" s="4" t="s">
        <v>9507</v>
      </c>
      <c r="B6785">
        <v>3</v>
      </c>
    </row>
    <row r="6786" spans="1:2" x14ac:dyDescent="0.3">
      <c r="A6786" s="4" t="s">
        <v>9508</v>
      </c>
      <c r="B6786">
        <v>3</v>
      </c>
    </row>
    <row r="6787" spans="1:2" ht="28.8" x14ac:dyDescent="0.3">
      <c r="A6787" s="4" t="s">
        <v>9509</v>
      </c>
      <c r="B6787">
        <v>3</v>
      </c>
    </row>
    <row r="6788" spans="1:2" ht="43.2" x14ac:dyDescent="0.3">
      <c r="A6788" s="4" t="s">
        <v>9510</v>
      </c>
      <c r="B6788">
        <v>3</v>
      </c>
    </row>
    <row r="6789" spans="1:2" ht="28.8" x14ac:dyDescent="0.3">
      <c r="A6789" s="4" t="s">
        <v>9511</v>
      </c>
      <c r="B6789">
        <v>3</v>
      </c>
    </row>
    <row r="6790" spans="1:2" ht="43.2" x14ac:dyDescent="0.3">
      <c r="A6790" s="4" t="s">
        <v>9512</v>
      </c>
      <c r="B6790">
        <v>3</v>
      </c>
    </row>
    <row r="6791" spans="1:2" ht="43.2" x14ac:dyDescent="0.3">
      <c r="A6791" s="4" t="s">
        <v>9513</v>
      </c>
      <c r="B6791">
        <v>3</v>
      </c>
    </row>
    <row r="6792" spans="1:2" x14ac:dyDescent="0.3">
      <c r="A6792" s="4" t="s">
        <v>9514</v>
      </c>
      <c r="B6792">
        <v>3</v>
      </c>
    </row>
    <row r="6793" spans="1:2" ht="28.8" x14ac:dyDescent="0.3">
      <c r="A6793" s="4" t="s">
        <v>9515</v>
      </c>
      <c r="B6793">
        <v>3</v>
      </c>
    </row>
    <row r="6794" spans="1:2" ht="28.8" x14ac:dyDescent="0.3">
      <c r="A6794" s="4" t="s">
        <v>9516</v>
      </c>
      <c r="B6794">
        <v>3</v>
      </c>
    </row>
    <row r="6795" spans="1:2" ht="28.8" x14ac:dyDescent="0.3">
      <c r="A6795" s="4" t="s">
        <v>9517</v>
      </c>
      <c r="B6795">
        <v>3</v>
      </c>
    </row>
    <row r="6796" spans="1:2" ht="28.8" x14ac:dyDescent="0.3">
      <c r="A6796" s="4" t="s">
        <v>9518</v>
      </c>
      <c r="B6796">
        <v>3</v>
      </c>
    </row>
    <row r="6797" spans="1:2" ht="28.8" x14ac:dyDescent="0.3">
      <c r="A6797" s="4" t="s">
        <v>9519</v>
      </c>
      <c r="B6797">
        <v>3</v>
      </c>
    </row>
    <row r="6798" spans="1:2" ht="28.8" x14ac:dyDescent="0.3">
      <c r="A6798" s="4" t="s">
        <v>9520</v>
      </c>
      <c r="B6798">
        <v>3</v>
      </c>
    </row>
    <row r="6799" spans="1:2" x14ac:dyDescent="0.3">
      <c r="A6799" s="4" t="s">
        <v>9521</v>
      </c>
      <c r="B6799">
        <v>3</v>
      </c>
    </row>
    <row r="6800" spans="1:2" ht="28.8" x14ac:dyDescent="0.3">
      <c r="A6800" s="4" t="s">
        <v>9522</v>
      </c>
      <c r="B6800">
        <v>3</v>
      </c>
    </row>
    <row r="6801" spans="1:2" ht="28.8" x14ac:dyDescent="0.3">
      <c r="A6801" s="4" t="s">
        <v>9523</v>
      </c>
      <c r="B6801">
        <v>3</v>
      </c>
    </row>
    <row r="6802" spans="1:2" x14ac:dyDescent="0.3">
      <c r="A6802" s="4" t="s">
        <v>9524</v>
      </c>
      <c r="B6802">
        <v>3</v>
      </c>
    </row>
    <row r="6803" spans="1:2" x14ac:dyDescent="0.3">
      <c r="A6803" s="4" t="s">
        <v>9525</v>
      </c>
      <c r="B6803">
        <v>3</v>
      </c>
    </row>
    <row r="6804" spans="1:2" ht="28.8" x14ac:dyDescent="0.3">
      <c r="A6804" s="4" t="s">
        <v>9526</v>
      </c>
      <c r="B6804">
        <v>3</v>
      </c>
    </row>
    <row r="6805" spans="1:2" x14ac:dyDescent="0.3">
      <c r="A6805" s="4" t="s">
        <v>9527</v>
      </c>
      <c r="B6805">
        <v>3</v>
      </c>
    </row>
    <row r="6806" spans="1:2" ht="28.8" x14ac:dyDescent="0.3">
      <c r="A6806" s="4" t="s">
        <v>9528</v>
      </c>
      <c r="B6806">
        <v>3</v>
      </c>
    </row>
    <row r="6807" spans="1:2" ht="28.8" x14ac:dyDescent="0.3">
      <c r="A6807" s="4" t="s">
        <v>9529</v>
      </c>
      <c r="B6807">
        <v>3</v>
      </c>
    </row>
    <row r="6808" spans="1:2" ht="28.8" x14ac:dyDescent="0.3">
      <c r="A6808" s="4" t="s">
        <v>9530</v>
      </c>
      <c r="B6808">
        <v>3</v>
      </c>
    </row>
    <row r="6809" spans="1:2" ht="28.8" x14ac:dyDescent="0.3">
      <c r="A6809" s="4" t="s">
        <v>9531</v>
      </c>
      <c r="B6809">
        <v>3</v>
      </c>
    </row>
    <row r="6810" spans="1:2" ht="28.8" x14ac:dyDescent="0.3">
      <c r="A6810" s="4" t="s">
        <v>9532</v>
      </c>
      <c r="B6810">
        <v>3</v>
      </c>
    </row>
    <row r="6811" spans="1:2" ht="28.8" x14ac:dyDescent="0.3">
      <c r="A6811" s="4" t="s">
        <v>9533</v>
      </c>
      <c r="B6811">
        <v>3</v>
      </c>
    </row>
    <row r="6812" spans="1:2" ht="28.8" x14ac:dyDescent="0.3">
      <c r="A6812" s="4" t="s">
        <v>9534</v>
      </c>
      <c r="B6812">
        <v>3</v>
      </c>
    </row>
    <row r="6813" spans="1:2" ht="28.8" x14ac:dyDescent="0.3">
      <c r="A6813" s="4" t="s">
        <v>9535</v>
      </c>
      <c r="B6813">
        <v>3</v>
      </c>
    </row>
    <row r="6814" spans="1:2" x14ac:dyDescent="0.3">
      <c r="A6814" s="4" t="s">
        <v>9536</v>
      </c>
      <c r="B6814">
        <v>3</v>
      </c>
    </row>
    <row r="6815" spans="1:2" ht="28.8" x14ac:dyDescent="0.3">
      <c r="A6815" s="4" t="s">
        <v>9537</v>
      </c>
      <c r="B6815">
        <v>3</v>
      </c>
    </row>
    <row r="6816" spans="1:2" ht="43.2" x14ac:dyDescent="0.3">
      <c r="A6816" s="4" t="s">
        <v>9538</v>
      </c>
      <c r="B6816">
        <v>3</v>
      </c>
    </row>
    <row r="6817" spans="1:2" x14ac:dyDescent="0.3">
      <c r="A6817" s="4" t="s">
        <v>9539</v>
      </c>
      <c r="B6817">
        <v>3</v>
      </c>
    </row>
    <row r="6818" spans="1:2" ht="28.8" x14ac:dyDescent="0.3">
      <c r="A6818" s="4" t="s">
        <v>9540</v>
      </c>
      <c r="B6818">
        <v>3</v>
      </c>
    </row>
    <row r="6819" spans="1:2" ht="43.2" x14ac:dyDescent="0.3">
      <c r="A6819" s="4" t="s">
        <v>9541</v>
      </c>
      <c r="B6819">
        <v>3</v>
      </c>
    </row>
    <row r="6820" spans="1:2" ht="28.8" x14ac:dyDescent="0.3">
      <c r="A6820" s="4" t="s">
        <v>9542</v>
      </c>
      <c r="B6820">
        <v>3</v>
      </c>
    </row>
    <row r="6821" spans="1:2" x14ac:dyDescent="0.3">
      <c r="A6821" s="4" t="s">
        <v>9543</v>
      </c>
      <c r="B6821">
        <v>3</v>
      </c>
    </row>
    <row r="6822" spans="1:2" ht="28.8" x14ac:dyDescent="0.3">
      <c r="A6822" s="4" t="s">
        <v>9544</v>
      </c>
      <c r="B6822">
        <v>3</v>
      </c>
    </row>
    <row r="6823" spans="1:2" x14ac:dyDescent="0.3">
      <c r="A6823" s="4" t="s">
        <v>9545</v>
      </c>
      <c r="B6823">
        <v>3</v>
      </c>
    </row>
    <row r="6824" spans="1:2" x14ac:dyDescent="0.3">
      <c r="A6824" s="4" t="s">
        <v>9546</v>
      </c>
      <c r="B6824">
        <v>3</v>
      </c>
    </row>
    <row r="6825" spans="1:2" x14ac:dyDescent="0.3">
      <c r="A6825" s="4" t="s">
        <v>9547</v>
      </c>
      <c r="B6825">
        <v>3</v>
      </c>
    </row>
    <row r="6826" spans="1:2" ht="28.8" x14ac:dyDescent="0.3">
      <c r="A6826" s="4" t="s">
        <v>9548</v>
      </c>
      <c r="B6826">
        <v>3</v>
      </c>
    </row>
    <row r="6827" spans="1:2" ht="28.8" x14ac:dyDescent="0.3">
      <c r="A6827" s="4" t="s">
        <v>9549</v>
      </c>
      <c r="B6827">
        <v>3</v>
      </c>
    </row>
    <row r="6828" spans="1:2" x14ac:dyDescent="0.3">
      <c r="A6828" s="4" t="s">
        <v>9550</v>
      </c>
      <c r="B6828">
        <v>3</v>
      </c>
    </row>
    <row r="6829" spans="1:2" ht="28.8" x14ac:dyDescent="0.3">
      <c r="A6829" s="4" t="s">
        <v>9551</v>
      </c>
      <c r="B6829">
        <v>3</v>
      </c>
    </row>
    <row r="6830" spans="1:2" ht="28.8" x14ac:dyDescent="0.3">
      <c r="A6830" s="4" t="s">
        <v>9552</v>
      </c>
      <c r="B6830">
        <v>3</v>
      </c>
    </row>
    <row r="6831" spans="1:2" ht="28.8" x14ac:dyDescent="0.3">
      <c r="A6831" s="4" t="s">
        <v>9553</v>
      </c>
      <c r="B6831">
        <v>3</v>
      </c>
    </row>
    <row r="6832" spans="1:2" ht="28.8" x14ac:dyDescent="0.3">
      <c r="A6832" s="4" t="s">
        <v>9554</v>
      </c>
      <c r="B6832">
        <v>3</v>
      </c>
    </row>
    <row r="6833" spans="1:2" x14ac:dyDescent="0.3">
      <c r="A6833" s="4" t="s">
        <v>9555</v>
      </c>
      <c r="B6833">
        <v>3</v>
      </c>
    </row>
    <row r="6834" spans="1:2" ht="28.8" x14ac:dyDescent="0.3">
      <c r="A6834" s="4" t="s">
        <v>9556</v>
      </c>
      <c r="B6834">
        <v>3</v>
      </c>
    </row>
    <row r="6835" spans="1:2" x14ac:dyDescent="0.3">
      <c r="A6835" s="4" t="s">
        <v>9557</v>
      </c>
      <c r="B6835">
        <v>3</v>
      </c>
    </row>
    <row r="6836" spans="1:2" x14ac:dyDescent="0.3">
      <c r="A6836" s="4" t="s">
        <v>9558</v>
      </c>
      <c r="B6836">
        <v>3</v>
      </c>
    </row>
    <row r="6837" spans="1:2" ht="28.8" x14ac:dyDescent="0.3">
      <c r="A6837" s="4" t="s">
        <v>9559</v>
      </c>
      <c r="B6837">
        <v>3</v>
      </c>
    </row>
    <row r="6838" spans="1:2" x14ac:dyDescent="0.3">
      <c r="A6838" s="4" t="s">
        <v>9560</v>
      </c>
      <c r="B6838">
        <v>3</v>
      </c>
    </row>
    <row r="6839" spans="1:2" x14ac:dyDescent="0.3">
      <c r="A6839" s="4" t="s">
        <v>9561</v>
      </c>
      <c r="B6839">
        <v>3</v>
      </c>
    </row>
    <row r="6840" spans="1:2" ht="28.8" x14ac:dyDescent="0.3">
      <c r="A6840" s="4" t="s">
        <v>9562</v>
      </c>
      <c r="B6840">
        <v>3</v>
      </c>
    </row>
    <row r="6841" spans="1:2" ht="28.8" x14ac:dyDescent="0.3">
      <c r="A6841" s="4" t="s">
        <v>9563</v>
      </c>
      <c r="B6841">
        <v>3</v>
      </c>
    </row>
    <row r="6842" spans="1:2" ht="28.8" x14ac:dyDescent="0.3">
      <c r="A6842" s="4" t="s">
        <v>9564</v>
      </c>
      <c r="B6842">
        <v>3</v>
      </c>
    </row>
    <row r="6843" spans="1:2" ht="28.8" x14ac:dyDescent="0.3">
      <c r="A6843" s="4" t="s">
        <v>9565</v>
      </c>
      <c r="B6843">
        <v>3</v>
      </c>
    </row>
    <row r="6844" spans="1:2" ht="43.2" x14ac:dyDescent="0.3">
      <c r="A6844" s="4" t="s">
        <v>9566</v>
      </c>
      <c r="B6844">
        <v>3</v>
      </c>
    </row>
    <row r="6845" spans="1:2" x14ac:dyDescent="0.3">
      <c r="A6845" s="4" t="s">
        <v>9567</v>
      </c>
      <c r="B6845">
        <v>3</v>
      </c>
    </row>
    <row r="6846" spans="1:2" ht="28.8" x14ac:dyDescent="0.3">
      <c r="A6846" s="4" t="s">
        <v>9568</v>
      </c>
      <c r="B6846">
        <v>3</v>
      </c>
    </row>
    <row r="6847" spans="1:2" ht="28.8" x14ac:dyDescent="0.3">
      <c r="A6847" s="4" t="s">
        <v>9569</v>
      </c>
      <c r="B6847">
        <v>3</v>
      </c>
    </row>
    <row r="6848" spans="1:2" x14ac:dyDescent="0.3">
      <c r="A6848" s="4" t="s">
        <v>9570</v>
      </c>
      <c r="B6848">
        <v>3</v>
      </c>
    </row>
    <row r="6849" spans="1:2" ht="43.2" x14ac:dyDescent="0.3">
      <c r="A6849" s="4" t="s">
        <v>9571</v>
      </c>
      <c r="B6849">
        <v>3</v>
      </c>
    </row>
    <row r="6850" spans="1:2" ht="28.8" x14ac:dyDescent="0.3">
      <c r="A6850" s="4" t="s">
        <v>9572</v>
      </c>
      <c r="B6850">
        <v>3</v>
      </c>
    </row>
    <row r="6851" spans="1:2" ht="57.6" x14ac:dyDescent="0.3">
      <c r="A6851" s="4" t="s">
        <v>9573</v>
      </c>
      <c r="B6851">
        <v>3</v>
      </c>
    </row>
    <row r="6852" spans="1:2" ht="28.8" x14ac:dyDescent="0.3">
      <c r="A6852" s="4" t="s">
        <v>9574</v>
      </c>
      <c r="B6852">
        <v>3</v>
      </c>
    </row>
    <row r="6853" spans="1:2" ht="28.8" x14ac:dyDescent="0.3">
      <c r="A6853" s="4" t="s">
        <v>9575</v>
      </c>
      <c r="B6853">
        <v>3</v>
      </c>
    </row>
    <row r="6854" spans="1:2" ht="28.8" x14ac:dyDescent="0.3">
      <c r="A6854" s="4" t="s">
        <v>9576</v>
      </c>
      <c r="B6854">
        <v>3</v>
      </c>
    </row>
    <row r="6855" spans="1:2" ht="28.8" x14ac:dyDescent="0.3">
      <c r="A6855" s="4" t="s">
        <v>9577</v>
      </c>
      <c r="B6855">
        <v>3</v>
      </c>
    </row>
    <row r="6856" spans="1:2" ht="28.8" x14ac:dyDescent="0.3">
      <c r="A6856" s="4" t="s">
        <v>9578</v>
      </c>
      <c r="B6856">
        <v>3</v>
      </c>
    </row>
    <row r="6857" spans="1:2" x14ac:dyDescent="0.3">
      <c r="A6857" s="4" t="s">
        <v>9579</v>
      </c>
      <c r="B6857">
        <v>3</v>
      </c>
    </row>
    <row r="6858" spans="1:2" ht="57.6" x14ac:dyDescent="0.3">
      <c r="A6858" s="4" t="s">
        <v>9580</v>
      </c>
      <c r="B6858">
        <v>3</v>
      </c>
    </row>
    <row r="6859" spans="1:2" ht="28.8" x14ac:dyDescent="0.3">
      <c r="A6859" s="4" t="s">
        <v>9581</v>
      </c>
      <c r="B6859">
        <v>3</v>
      </c>
    </row>
    <row r="6860" spans="1:2" ht="28.8" x14ac:dyDescent="0.3">
      <c r="A6860" s="4" t="s">
        <v>9582</v>
      </c>
      <c r="B6860">
        <v>3</v>
      </c>
    </row>
    <row r="6861" spans="1:2" ht="28.8" x14ac:dyDescent="0.3">
      <c r="A6861" s="4" t="s">
        <v>9583</v>
      </c>
      <c r="B6861">
        <v>3</v>
      </c>
    </row>
    <row r="6862" spans="1:2" ht="28.8" x14ac:dyDescent="0.3">
      <c r="A6862" s="4" t="s">
        <v>9584</v>
      </c>
      <c r="B6862">
        <v>3</v>
      </c>
    </row>
    <row r="6863" spans="1:2" ht="28.8" x14ac:dyDescent="0.3">
      <c r="A6863" s="4" t="s">
        <v>9585</v>
      </c>
      <c r="B6863">
        <v>3</v>
      </c>
    </row>
    <row r="6864" spans="1:2" ht="28.8" x14ac:dyDescent="0.3">
      <c r="A6864" s="4" t="s">
        <v>9586</v>
      </c>
      <c r="B6864">
        <v>3</v>
      </c>
    </row>
    <row r="6865" spans="1:2" x14ac:dyDescent="0.3">
      <c r="A6865" s="4" t="s">
        <v>9587</v>
      </c>
      <c r="B6865">
        <v>3</v>
      </c>
    </row>
    <row r="6866" spans="1:2" ht="28.8" x14ac:dyDescent="0.3">
      <c r="A6866" s="4" t="s">
        <v>9588</v>
      </c>
      <c r="B6866">
        <v>3</v>
      </c>
    </row>
    <row r="6867" spans="1:2" ht="28.8" x14ac:dyDescent="0.3">
      <c r="A6867" s="4" t="s">
        <v>9589</v>
      </c>
      <c r="B6867">
        <v>3</v>
      </c>
    </row>
    <row r="6868" spans="1:2" ht="28.8" x14ac:dyDescent="0.3">
      <c r="A6868" s="4" t="s">
        <v>9590</v>
      </c>
      <c r="B6868">
        <v>3</v>
      </c>
    </row>
    <row r="6869" spans="1:2" ht="28.8" x14ac:dyDescent="0.3">
      <c r="A6869" s="4" t="s">
        <v>9591</v>
      </c>
      <c r="B6869">
        <v>3</v>
      </c>
    </row>
    <row r="6870" spans="1:2" ht="28.8" x14ac:dyDescent="0.3">
      <c r="A6870" s="4" t="s">
        <v>9592</v>
      </c>
      <c r="B6870">
        <v>3</v>
      </c>
    </row>
    <row r="6871" spans="1:2" ht="28.8" x14ac:dyDescent="0.3">
      <c r="A6871" s="4" t="s">
        <v>9593</v>
      </c>
      <c r="B6871">
        <v>3</v>
      </c>
    </row>
    <row r="6872" spans="1:2" x14ac:dyDescent="0.3">
      <c r="A6872" s="4" t="s">
        <v>9594</v>
      </c>
      <c r="B6872">
        <v>3</v>
      </c>
    </row>
    <row r="6873" spans="1:2" ht="28.8" x14ac:dyDescent="0.3">
      <c r="A6873" s="4" t="s">
        <v>9595</v>
      </c>
      <c r="B6873">
        <v>3</v>
      </c>
    </row>
    <row r="6874" spans="1:2" ht="43.2" x14ac:dyDescent="0.3">
      <c r="A6874" s="4" t="s">
        <v>9596</v>
      </c>
      <c r="B6874">
        <v>3</v>
      </c>
    </row>
    <row r="6875" spans="1:2" ht="28.8" x14ac:dyDescent="0.3">
      <c r="A6875" s="4" t="s">
        <v>9597</v>
      </c>
      <c r="B6875">
        <v>3</v>
      </c>
    </row>
    <row r="6876" spans="1:2" ht="28.8" x14ac:dyDescent="0.3">
      <c r="A6876" s="4" t="s">
        <v>9598</v>
      </c>
      <c r="B6876">
        <v>3</v>
      </c>
    </row>
    <row r="6877" spans="1:2" ht="28.8" x14ac:dyDescent="0.3">
      <c r="A6877" s="4" t="s">
        <v>9599</v>
      </c>
      <c r="B6877">
        <v>3</v>
      </c>
    </row>
    <row r="6878" spans="1:2" x14ac:dyDescent="0.3">
      <c r="A6878" s="4" t="s">
        <v>9600</v>
      </c>
      <c r="B6878">
        <v>3</v>
      </c>
    </row>
    <row r="6879" spans="1:2" ht="28.8" x14ac:dyDescent="0.3">
      <c r="A6879" s="4" t="s">
        <v>9601</v>
      </c>
      <c r="B6879">
        <v>3</v>
      </c>
    </row>
    <row r="6880" spans="1:2" ht="57.6" x14ac:dyDescent="0.3">
      <c r="A6880" s="4" t="s">
        <v>9602</v>
      </c>
      <c r="B6880">
        <v>3</v>
      </c>
    </row>
    <row r="6881" spans="1:2" ht="28.8" x14ac:dyDescent="0.3">
      <c r="A6881" s="4" t="s">
        <v>9603</v>
      </c>
      <c r="B6881">
        <v>3</v>
      </c>
    </row>
    <row r="6882" spans="1:2" ht="28.8" x14ac:dyDescent="0.3">
      <c r="A6882" s="4" t="s">
        <v>9604</v>
      </c>
      <c r="B6882">
        <v>3</v>
      </c>
    </row>
    <row r="6883" spans="1:2" ht="28.8" x14ac:dyDescent="0.3">
      <c r="A6883" s="4" t="s">
        <v>9605</v>
      </c>
      <c r="B6883">
        <v>3</v>
      </c>
    </row>
    <row r="6884" spans="1:2" ht="28.8" x14ac:dyDescent="0.3">
      <c r="A6884" s="4" t="s">
        <v>9606</v>
      </c>
      <c r="B6884">
        <v>3</v>
      </c>
    </row>
    <row r="6885" spans="1:2" x14ac:dyDescent="0.3">
      <c r="A6885" s="4" t="s">
        <v>9607</v>
      </c>
      <c r="B6885">
        <v>3</v>
      </c>
    </row>
    <row r="6886" spans="1:2" ht="28.8" x14ac:dyDescent="0.3">
      <c r="A6886" s="4" t="s">
        <v>9608</v>
      </c>
      <c r="B6886">
        <v>3</v>
      </c>
    </row>
    <row r="6887" spans="1:2" ht="28.8" x14ac:dyDescent="0.3">
      <c r="A6887" s="4" t="s">
        <v>9609</v>
      </c>
      <c r="B6887">
        <v>3</v>
      </c>
    </row>
    <row r="6888" spans="1:2" ht="28.8" x14ac:dyDescent="0.3">
      <c r="A6888" s="4" t="s">
        <v>9610</v>
      </c>
      <c r="B6888">
        <v>3</v>
      </c>
    </row>
    <row r="6889" spans="1:2" x14ac:dyDescent="0.3">
      <c r="A6889" s="4" t="s">
        <v>9611</v>
      </c>
      <c r="B6889">
        <v>3</v>
      </c>
    </row>
    <row r="6890" spans="1:2" ht="28.8" x14ac:dyDescent="0.3">
      <c r="A6890" s="4" t="s">
        <v>9612</v>
      </c>
      <c r="B6890">
        <v>3</v>
      </c>
    </row>
    <row r="6891" spans="1:2" ht="28.8" x14ac:dyDescent="0.3">
      <c r="A6891" s="4" t="s">
        <v>9613</v>
      </c>
      <c r="B6891">
        <v>3</v>
      </c>
    </row>
    <row r="6892" spans="1:2" ht="28.8" x14ac:dyDescent="0.3">
      <c r="A6892" s="4" t="s">
        <v>9614</v>
      </c>
      <c r="B6892">
        <v>3</v>
      </c>
    </row>
    <row r="6893" spans="1:2" ht="28.8" x14ac:dyDescent="0.3">
      <c r="A6893" s="4" t="s">
        <v>9615</v>
      </c>
      <c r="B6893">
        <v>3</v>
      </c>
    </row>
    <row r="6894" spans="1:2" x14ac:dyDescent="0.3">
      <c r="A6894" s="4" t="s">
        <v>9616</v>
      </c>
      <c r="B6894">
        <v>3</v>
      </c>
    </row>
    <row r="6895" spans="1:2" ht="43.2" x14ac:dyDescent="0.3">
      <c r="A6895" s="4" t="s">
        <v>9617</v>
      </c>
      <c r="B6895">
        <v>3</v>
      </c>
    </row>
    <row r="6896" spans="1:2" ht="28.8" x14ac:dyDescent="0.3">
      <c r="A6896" s="4" t="s">
        <v>9618</v>
      </c>
      <c r="B6896">
        <v>3</v>
      </c>
    </row>
    <row r="6897" spans="1:2" ht="28.8" x14ac:dyDescent="0.3">
      <c r="A6897" s="4" t="s">
        <v>9619</v>
      </c>
      <c r="B6897">
        <v>3</v>
      </c>
    </row>
    <row r="6898" spans="1:2" ht="43.2" x14ac:dyDescent="0.3">
      <c r="A6898" s="4" t="s">
        <v>9620</v>
      </c>
      <c r="B6898">
        <v>3</v>
      </c>
    </row>
    <row r="6899" spans="1:2" ht="28.8" x14ac:dyDescent="0.3">
      <c r="A6899" s="4" t="s">
        <v>9621</v>
      </c>
      <c r="B6899">
        <v>3</v>
      </c>
    </row>
    <row r="6900" spans="1:2" ht="28.8" x14ac:dyDescent="0.3">
      <c r="A6900" s="4" t="s">
        <v>9622</v>
      </c>
      <c r="B6900">
        <v>3</v>
      </c>
    </row>
    <row r="6901" spans="1:2" ht="57.6" x14ac:dyDescent="0.3">
      <c r="A6901" s="4" t="s">
        <v>9623</v>
      </c>
      <c r="B6901">
        <v>3</v>
      </c>
    </row>
    <row r="6902" spans="1:2" x14ac:dyDescent="0.3">
      <c r="A6902" s="4" t="s">
        <v>9624</v>
      </c>
      <c r="B6902">
        <v>3</v>
      </c>
    </row>
    <row r="6903" spans="1:2" ht="28.8" x14ac:dyDescent="0.3">
      <c r="A6903" s="4" t="s">
        <v>9625</v>
      </c>
      <c r="B6903">
        <v>3</v>
      </c>
    </row>
    <row r="6904" spans="1:2" ht="28.8" x14ac:dyDescent="0.3">
      <c r="A6904" s="4" t="s">
        <v>9626</v>
      </c>
      <c r="B6904">
        <v>3</v>
      </c>
    </row>
    <row r="6905" spans="1:2" ht="28.8" x14ac:dyDescent="0.3">
      <c r="A6905" s="4" t="s">
        <v>9627</v>
      </c>
      <c r="B6905">
        <v>3</v>
      </c>
    </row>
    <row r="6906" spans="1:2" ht="28.8" x14ac:dyDescent="0.3">
      <c r="A6906" s="4" t="s">
        <v>9628</v>
      </c>
      <c r="B6906">
        <v>3</v>
      </c>
    </row>
    <row r="6907" spans="1:2" x14ac:dyDescent="0.3">
      <c r="A6907" s="4" t="s">
        <v>9629</v>
      </c>
      <c r="B6907">
        <v>3</v>
      </c>
    </row>
    <row r="6908" spans="1:2" x14ac:dyDescent="0.3">
      <c r="A6908" s="4" t="s">
        <v>9630</v>
      </c>
      <c r="B6908">
        <v>3</v>
      </c>
    </row>
    <row r="6909" spans="1:2" x14ac:dyDescent="0.3">
      <c r="A6909" s="4" t="s">
        <v>9631</v>
      </c>
      <c r="B6909">
        <v>3</v>
      </c>
    </row>
    <row r="6910" spans="1:2" ht="28.8" x14ac:dyDescent="0.3">
      <c r="A6910" s="4" t="s">
        <v>9632</v>
      </c>
      <c r="B6910">
        <v>3</v>
      </c>
    </row>
    <row r="6911" spans="1:2" ht="28.8" x14ac:dyDescent="0.3">
      <c r="A6911" s="4" t="s">
        <v>9633</v>
      </c>
      <c r="B6911">
        <v>3</v>
      </c>
    </row>
    <row r="6912" spans="1:2" ht="28.8" x14ac:dyDescent="0.3">
      <c r="A6912" s="4" t="s">
        <v>9634</v>
      </c>
      <c r="B6912">
        <v>3</v>
      </c>
    </row>
    <row r="6913" spans="1:2" x14ac:dyDescent="0.3">
      <c r="A6913" s="4" t="s">
        <v>9635</v>
      </c>
      <c r="B6913">
        <v>3</v>
      </c>
    </row>
    <row r="6914" spans="1:2" ht="43.2" x14ac:dyDescent="0.3">
      <c r="A6914" s="4" t="s">
        <v>9636</v>
      </c>
      <c r="B6914">
        <v>3</v>
      </c>
    </row>
    <row r="6915" spans="1:2" ht="28.8" x14ac:dyDescent="0.3">
      <c r="A6915" s="4" t="s">
        <v>9637</v>
      </c>
      <c r="B6915">
        <v>3</v>
      </c>
    </row>
    <row r="6916" spans="1:2" ht="28.8" x14ac:dyDescent="0.3">
      <c r="A6916" s="4" t="s">
        <v>9638</v>
      </c>
      <c r="B6916">
        <v>3</v>
      </c>
    </row>
    <row r="6917" spans="1:2" ht="28.8" x14ac:dyDescent="0.3">
      <c r="A6917" s="4" t="s">
        <v>9639</v>
      </c>
      <c r="B6917">
        <v>3</v>
      </c>
    </row>
    <row r="6918" spans="1:2" ht="28.8" x14ac:dyDescent="0.3">
      <c r="A6918" s="4" t="s">
        <v>9640</v>
      </c>
      <c r="B6918">
        <v>3</v>
      </c>
    </row>
    <row r="6919" spans="1:2" x14ac:dyDescent="0.3">
      <c r="A6919" s="4" t="s">
        <v>9641</v>
      </c>
      <c r="B6919">
        <v>3</v>
      </c>
    </row>
    <row r="6920" spans="1:2" x14ac:dyDescent="0.3">
      <c r="A6920" s="4" t="s">
        <v>9642</v>
      </c>
      <c r="B6920">
        <v>3</v>
      </c>
    </row>
    <row r="6921" spans="1:2" ht="28.8" x14ac:dyDescent="0.3">
      <c r="A6921" s="4" t="s">
        <v>9643</v>
      </c>
      <c r="B6921">
        <v>3</v>
      </c>
    </row>
    <row r="6922" spans="1:2" ht="28.8" x14ac:dyDescent="0.3">
      <c r="A6922" s="4" t="s">
        <v>9644</v>
      </c>
      <c r="B6922">
        <v>3</v>
      </c>
    </row>
    <row r="6923" spans="1:2" ht="28.8" x14ac:dyDescent="0.3">
      <c r="A6923" s="4" t="s">
        <v>9645</v>
      </c>
      <c r="B6923">
        <v>3</v>
      </c>
    </row>
    <row r="6924" spans="1:2" ht="28.8" x14ac:dyDescent="0.3">
      <c r="A6924" s="4" t="s">
        <v>9646</v>
      </c>
      <c r="B6924">
        <v>3</v>
      </c>
    </row>
    <row r="6925" spans="1:2" ht="28.8" x14ac:dyDescent="0.3">
      <c r="A6925" s="4" t="s">
        <v>9647</v>
      </c>
      <c r="B6925">
        <v>3</v>
      </c>
    </row>
    <row r="6926" spans="1:2" ht="57.6" x14ac:dyDescent="0.3">
      <c r="A6926" s="4" t="s">
        <v>9648</v>
      </c>
      <c r="B6926">
        <v>3</v>
      </c>
    </row>
    <row r="6927" spans="1:2" x14ac:dyDescent="0.3">
      <c r="A6927" s="4" t="s">
        <v>9649</v>
      </c>
      <c r="B6927">
        <v>3</v>
      </c>
    </row>
    <row r="6928" spans="1:2" x14ac:dyDescent="0.3">
      <c r="A6928" s="4" t="s">
        <v>9650</v>
      </c>
      <c r="B6928">
        <v>3</v>
      </c>
    </row>
    <row r="6929" spans="1:2" ht="43.2" x14ac:dyDescent="0.3">
      <c r="A6929" s="4" t="s">
        <v>9651</v>
      </c>
      <c r="B6929">
        <v>3</v>
      </c>
    </row>
    <row r="6930" spans="1:2" ht="28.8" x14ac:dyDescent="0.3">
      <c r="A6930" s="4" t="s">
        <v>9652</v>
      </c>
      <c r="B6930">
        <v>3</v>
      </c>
    </row>
    <row r="6931" spans="1:2" x14ac:dyDescent="0.3">
      <c r="A6931" s="4" t="s">
        <v>9653</v>
      </c>
      <c r="B6931">
        <v>3</v>
      </c>
    </row>
    <row r="6932" spans="1:2" ht="28.8" x14ac:dyDescent="0.3">
      <c r="A6932" s="4" t="s">
        <v>9654</v>
      </c>
      <c r="B6932">
        <v>3</v>
      </c>
    </row>
    <row r="6933" spans="1:2" ht="28.8" x14ac:dyDescent="0.3">
      <c r="A6933" s="4" t="s">
        <v>9655</v>
      </c>
      <c r="B6933">
        <v>3</v>
      </c>
    </row>
    <row r="6934" spans="1:2" ht="28.8" x14ac:dyDescent="0.3">
      <c r="A6934" s="4" t="s">
        <v>9656</v>
      </c>
      <c r="B6934">
        <v>3</v>
      </c>
    </row>
    <row r="6935" spans="1:2" ht="28.8" x14ac:dyDescent="0.3">
      <c r="A6935" s="4" t="s">
        <v>9657</v>
      </c>
      <c r="B6935">
        <v>3</v>
      </c>
    </row>
    <row r="6936" spans="1:2" ht="28.8" x14ac:dyDescent="0.3">
      <c r="A6936" s="4" t="s">
        <v>9658</v>
      </c>
      <c r="B6936">
        <v>3</v>
      </c>
    </row>
    <row r="6937" spans="1:2" ht="28.8" x14ac:dyDescent="0.3">
      <c r="A6937" s="4" t="s">
        <v>9659</v>
      </c>
      <c r="B6937">
        <v>3</v>
      </c>
    </row>
    <row r="6938" spans="1:2" ht="28.8" x14ac:dyDescent="0.3">
      <c r="A6938" s="4" t="s">
        <v>9660</v>
      </c>
      <c r="B6938">
        <v>3</v>
      </c>
    </row>
    <row r="6939" spans="1:2" x14ac:dyDescent="0.3">
      <c r="A6939" s="4" t="s">
        <v>9661</v>
      </c>
      <c r="B6939">
        <v>3</v>
      </c>
    </row>
    <row r="6940" spans="1:2" ht="28.8" x14ac:dyDescent="0.3">
      <c r="A6940" s="4" t="s">
        <v>9662</v>
      </c>
      <c r="B6940">
        <v>3</v>
      </c>
    </row>
    <row r="6941" spans="1:2" ht="28.8" x14ac:dyDescent="0.3">
      <c r="A6941" s="4" t="s">
        <v>9663</v>
      </c>
      <c r="B6941">
        <v>3</v>
      </c>
    </row>
    <row r="6942" spans="1:2" x14ac:dyDescent="0.3">
      <c r="A6942" s="4" t="s">
        <v>9664</v>
      </c>
      <c r="B6942">
        <v>3</v>
      </c>
    </row>
    <row r="6943" spans="1:2" x14ac:dyDescent="0.3">
      <c r="A6943" s="4" t="s">
        <v>9665</v>
      </c>
      <c r="B6943">
        <v>3</v>
      </c>
    </row>
    <row r="6944" spans="1:2" ht="28.8" x14ac:dyDescent="0.3">
      <c r="A6944" s="4" t="s">
        <v>9666</v>
      </c>
      <c r="B6944">
        <v>3</v>
      </c>
    </row>
    <row r="6945" spans="1:2" ht="28.8" x14ac:dyDescent="0.3">
      <c r="A6945" s="4" t="s">
        <v>9667</v>
      </c>
      <c r="B6945">
        <v>3</v>
      </c>
    </row>
    <row r="6946" spans="1:2" ht="28.8" x14ac:dyDescent="0.3">
      <c r="A6946" s="4" t="s">
        <v>9668</v>
      </c>
      <c r="B6946">
        <v>3</v>
      </c>
    </row>
    <row r="6947" spans="1:2" ht="28.8" x14ac:dyDescent="0.3">
      <c r="A6947" s="4" t="s">
        <v>9669</v>
      </c>
      <c r="B6947">
        <v>3</v>
      </c>
    </row>
    <row r="6948" spans="1:2" ht="28.8" x14ac:dyDescent="0.3">
      <c r="A6948" s="4" t="s">
        <v>9670</v>
      </c>
      <c r="B6948">
        <v>3</v>
      </c>
    </row>
    <row r="6949" spans="1:2" ht="28.8" x14ac:dyDescent="0.3">
      <c r="A6949" s="4" t="s">
        <v>9671</v>
      </c>
      <c r="B6949">
        <v>3</v>
      </c>
    </row>
    <row r="6950" spans="1:2" ht="28.8" x14ac:dyDescent="0.3">
      <c r="A6950" s="4" t="s">
        <v>9672</v>
      </c>
      <c r="B6950">
        <v>3</v>
      </c>
    </row>
    <row r="6951" spans="1:2" ht="28.8" x14ac:dyDescent="0.3">
      <c r="A6951" s="4" t="s">
        <v>9673</v>
      </c>
      <c r="B6951">
        <v>3</v>
      </c>
    </row>
    <row r="6952" spans="1:2" ht="43.2" x14ac:dyDescent="0.3">
      <c r="A6952" s="4" t="s">
        <v>9674</v>
      </c>
      <c r="B6952">
        <v>3</v>
      </c>
    </row>
    <row r="6953" spans="1:2" ht="28.8" x14ac:dyDescent="0.3">
      <c r="A6953" s="4" t="s">
        <v>9675</v>
      </c>
      <c r="B6953">
        <v>3</v>
      </c>
    </row>
    <row r="6954" spans="1:2" x14ac:dyDescent="0.3">
      <c r="A6954" s="4" t="s">
        <v>9676</v>
      </c>
      <c r="B6954">
        <v>3</v>
      </c>
    </row>
    <row r="6955" spans="1:2" ht="28.8" x14ac:dyDescent="0.3">
      <c r="A6955" s="4" t="s">
        <v>9677</v>
      </c>
      <c r="B6955">
        <v>3</v>
      </c>
    </row>
    <row r="6956" spans="1:2" x14ac:dyDescent="0.3">
      <c r="A6956" s="4" t="s">
        <v>9678</v>
      </c>
      <c r="B6956">
        <v>3</v>
      </c>
    </row>
    <row r="6957" spans="1:2" ht="28.8" x14ac:dyDescent="0.3">
      <c r="A6957" s="4" t="s">
        <v>9679</v>
      </c>
      <c r="B6957">
        <v>3</v>
      </c>
    </row>
    <row r="6958" spans="1:2" ht="28.8" x14ac:dyDescent="0.3">
      <c r="A6958" s="4" t="s">
        <v>9680</v>
      </c>
      <c r="B6958">
        <v>3</v>
      </c>
    </row>
    <row r="6959" spans="1:2" ht="28.8" x14ac:dyDescent="0.3">
      <c r="A6959" s="4" t="s">
        <v>9681</v>
      </c>
      <c r="B6959">
        <v>3</v>
      </c>
    </row>
    <row r="6960" spans="1:2" ht="28.8" x14ac:dyDescent="0.3">
      <c r="A6960" s="4" t="s">
        <v>9682</v>
      </c>
      <c r="B6960">
        <v>3</v>
      </c>
    </row>
    <row r="6961" spans="1:2" ht="28.8" x14ac:dyDescent="0.3">
      <c r="A6961" s="4" t="s">
        <v>9683</v>
      </c>
      <c r="B6961">
        <v>3</v>
      </c>
    </row>
    <row r="6962" spans="1:2" ht="28.8" x14ac:dyDescent="0.3">
      <c r="A6962" s="4" t="s">
        <v>9684</v>
      </c>
      <c r="B6962">
        <v>3</v>
      </c>
    </row>
    <row r="6963" spans="1:2" ht="28.8" x14ac:dyDescent="0.3">
      <c r="A6963" s="4" t="s">
        <v>9685</v>
      </c>
      <c r="B6963">
        <v>3</v>
      </c>
    </row>
    <row r="6964" spans="1:2" ht="28.8" x14ac:dyDescent="0.3">
      <c r="A6964" s="4" t="s">
        <v>9686</v>
      </c>
      <c r="B6964">
        <v>3</v>
      </c>
    </row>
    <row r="6965" spans="1:2" ht="28.8" x14ac:dyDescent="0.3">
      <c r="A6965" s="4" t="s">
        <v>9687</v>
      </c>
      <c r="B6965">
        <v>3</v>
      </c>
    </row>
    <row r="6966" spans="1:2" ht="28.8" x14ac:dyDescent="0.3">
      <c r="A6966" s="4" t="s">
        <v>9688</v>
      </c>
      <c r="B6966">
        <v>3</v>
      </c>
    </row>
    <row r="6967" spans="1:2" ht="57.6" x14ac:dyDescent="0.3">
      <c r="A6967" s="4" t="s">
        <v>9689</v>
      </c>
      <c r="B6967">
        <v>3</v>
      </c>
    </row>
    <row r="6968" spans="1:2" x14ac:dyDescent="0.3">
      <c r="A6968" s="4" t="s">
        <v>9690</v>
      </c>
      <c r="B6968">
        <v>3</v>
      </c>
    </row>
    <row r="6969" spans="1:2" ht="28.8" x14ac:dyDescent="0.3">
      <c r="A6969" s="4" t="s">
        <v>9691</v>
      </c>
      <c r="B6969">
        <v>3</v>
      </c>
    </row>
    <row r="6970" spans="1:2" ht="28.8" x14ac:dyDescent="0.3">
      <c r="A6970" s="4" t="s">
        <v>9692</v>
      </c>
      <c r="B6970">
        <v>3</v>
      </c>
    </row>
    <row r="6971" spans="1:2" x14ac:dyDescent="0.3">
      <c r="A6971" s="4" t="s">
        <v>9693</v>
      </c>
      <c r="B6971">
        <v>3</v>
      </c>
    </row>
    <row r="6972" spans="1:2" ht="28.8" x14ac:dyDescent="0.3">
      <c r="A6972" s="4" t="s">
        <v>9694</v>
      </c>
      <c r="B6972">
        <v>3</v>
      </c>
    </row>
    <row r="6973" spans="1:2" ht="28.8" x14ac:dyDescent="0.3">
      <c r="A6973" s="4" t="s">
        <v>9695</v>
      </c>
      <c r="B6973">
        <v>3</v>
      </c>
    </row>
    <row r="6974" spans="1:2" ht="28.8" x14ac:dyDescent="0.3">
      <c r="A6974" s="4" t="s">
        <v>9696</v>
      </c>
      <c r="B6974">
        <v>3</v>
      </c>
    </row>
    <row r="6975" spans="1:2" ht="43.2" x14ac:dyDescent="0.3">
      <c r="A6975" s="4" t="s">
        <v>9697</v>
      </c>
      <c r="B6975">
        <v>3</v>
      </c>
    </row>
    <row r="6976" spans="1:2" ht="28.8" x14ac:dyDescent="0.3">
      <c r="A6976" s="4" t="s">
        <v>9698</v>
      </c>
      <c r="B6976">
        <v>3</v>
      </c>
    </row>
    <row r="6977" spans="1:2" x14ac:dyDescent="0.3">
      <c r="A6977" s="4" t="s">
        <v>9699</v>
      </c>
      <c r="B6977">
        <v>3</v>
      </c>
    </row>
    <row r="6978" spans="1:2" x14ac:dyDescent="0.3">
      <c r="A6978" s="4" t="s">
        <v>9700</v>
      </c>
      <c r="B6978">
        <v>3</v>
      </c>
    </row>
    <row r="6979" spans="1:2" ht="28.8" x14ac:dyDescent="0.3">
      <c r="A6979" s="4" t="s">
        <v>9701</v>
      </c>
      <c r="B6979">
        <v>3</v>
      </c>
    </row>
    <row r="6980" spans="1:2" ht="28.8" x14ac:dyDescent="0.3">
      <c r="A6980" s="4" t="s">
        <v>9702</v>
      </c>
      <c r="B6980">
        <v>3</v>
      </c>
    </row>
    <row r="6981" spans="1:2" ht="43.2" x14ac:dyDescent="0.3">
      <c r="A6981" s="4" t="s">
        <v>9703</v>
      </c>
      <c r="B6981">
        <v>3</v>
      </c>
    </row>
    <row r="6982" spans="1:2" ht="28.8" x14ac:dyDescent="0.3">
      <c r="A6982" s="4" t="s">
        <v>9704</v>
      </c>
      <c r="B6982">
        <v>3</v>
      </c>
    </row>
    <row r="6983" spans="1:2" x14ac:dyDescent="0.3">
      <c r="A6983" s="4" t="s">
        <v>9705</v>
      </c>
      <c r="B6983">
        <v>3</v>
      </c>
    </row>
    <row r="6984" spans="1:2" ht="28.8" x14ac:dyDescent="0.3">
      <c r="A6984" s="4" t="s">
        <v>9706</v>
      </c>
      <c r="B6984">
        <v>3</v>
      </c>
    </row>
    <row r="6985" spans="1:2" ht="28.8" x14ac:dyDescent="0.3">
      <c r="A6985" s="4" t="s">
        <v>9707</v>
      </c>
      <c r="B6985">
        <v>3</v>
      </c>
    </row>
    <row r="6986" spans="1:2" ht="28.8" x14ac:dyDescent="0.3">
      <c r="A6986" s="4" t="s">
        <v>9708</v>
      </c>
      <c r="B6986">
        <v>3</v>
      </c>
    </row>
    <row r="6987" spans="1:2" ht="43.2" x14ac:dyDescent="0.3">
      <c r="A6987" s="4" t="s">
        <v>9709</v>
      </c>
      <c r="B6987">
        <v>3</v>
      </c>
    </row>
    <row r="6988" spans="1:2" ht="43.2" x14ac:dyDescent="0.3">
      <c r="A6988" s="4" t="s">
        <v>9710</v>
      </c>
      <c r="B6988">
        <v>3</v>
      </c>
    </row>
    <row r="6989" spans="1:2" ht="28.8" x14ac:dyDescent="0.3">
      <c r="A6989" s="4" t="s">
        <v>9711</v>
      </c>
      <c r="B6989">
        <v>3</v>
      </c>
    </row>
    <row r="6990" spans="1:2" x14ac:dyDescent="0.3">
      <c r="A6990" s="4" t="s">
        <v>9712</v>
      </c>
      <c r="B6990">
        <v>3</v>
      </c>
    </row>
    <row r="6991" spans="1:2" ht="28.8" x14ac:dyDescent="0.3">
      <c r="A6991" s="4" t="s">
        <v>9713</v>
      </c>
      <c r="B6991">
        <v>3</v>
      </c>
    </row>
    <row r="6992" spans="1:2" ht="28.8" x14ac:dyDescent="0.3">
      <c r="A6992" s="4" t="s">
        <v>9714</v>
      </c>
      <c r="B6992">
        <v>3</v>
      </c>
    </row>
    <row r="6993" spans="1:2" ht="28.8" x14ac:dyDescent="0.3">
      <c r="A6993" s="4" t="s">
        <v>9715</v>
      </c>
      <c r="B6993">
        <v>3</v>
      </c>
    </row>
    <row r="6994" spans="1:2" x14ac:dyDescent="0.3">
      <c r="A6994" s="4" t="s">
        <v>9716</v>
      </c>
      <c r="B6994">
        <v>3</v>
      </c>
    </row>
    <row r="6995" spans="1:2" ht="43.2" x14ac:dyDescent="0.3">
      <c r="A6995" s="4" t="s">
        <v>9717</v>
      </c>
      <c r="B6995">
        <v>3</v>
      </c>
    </row>
    <row r="6996" spans="1:2" ht="28.8" x14ac:dyDescent="0.3">
      <c r="A6996" s="4" t="s">
        <v>9718</v>
      </c>
      <c r="B6996">
        <v>3</v>
      </c>
    </row>
    <row r="6997" spans="1:2" ht="28.8" x14ac:dyDescent="0.3">
      <c r="A6997" s="4" t="s">
        <v>9719</v>
      </c>
      <c r="B6997">
        <v>3</v>
      </c>
    </row>
    <row r="6998" spans="1:2" ht="28.8" x14ac:dyDescent="0.3">
      <c r="A6998" s="4" t="s">
        <v>9720</v>
      </c>
      <c r="B6998">
        <v>3</v>
      </c>
    </row>
    <row r="6999" spans="1:2" ht="43.2" x14ac:dyDescent="0.3">
      <c r="A6999" s="4" t="s">
        <v>9721</v>
      </c>
      <c r="B6999">
        <v>3</v>
      </c>
    </row>
    <row r="7000" spans="1:2" ht="28.8" x14ac:dyDescent="0.3">
      <c r="A7000" s="4" t="s">
        <v>9722</v>
      </c>
      <c r="B7000">
        <v>3</v>
      </c>
    </row>
    <row r="7001" spans="1:2" ht="129.6" x14ac:dyDescent="0.3">
      <c r="A7001" s="4" t="s">
        <v>9723</v>
      </c>
      <c r="B7001">
        <v>3</v>
      </c>
    </row>
    <row r="7002" spans="1:2" ht="28.8" x14ac:dyDescent="0.3">
      <c r="A7002" s="4" t="s">
        <v>9724</v>
      </c>
      <c r="B7002">
        <v>3</v>
      </c>
    </row>
    <row r="7003" spans="1:2" ht="28.8" x14ac:dyDescent="0.3">
      <c r="A7003" s="4" t="s">
        <v>9725</v>
      </c>
      <c r="B7003">
        <v>3</v>
      </c>
    </row>
    <row r="7004" spans="1:2" ht="28.8" x14ac:dyDescent="0.3">
      <c r="A7004" s="4" t="s">
        <v>9726</v>
      </c>
      <c r="B7004">
        <v>3</v>
      </c>
    </row>
    <row r="7005" spans="1:2" ht="28.8" x14ac:dyDescent="0.3">
      <c r="A7005" s="4" t="s">
        <v>9727</v>
      </c>
      <c r="B7005">
        <v>3</v>
      </c>
    </row>
    <row r="7006" spans="1:2" ht="28.8" x14ac:dyDescent="0.3">
      <c r="A7006" s="4" t="s">
        <v>9728</v>
      </c>
      <c r="B7006">
        <v>3</v>
      </c>
    </row>
    <row r="7007" spans="1:2" ht="43.2" x14ac:dyDescent="0.3">
      <c r="A7007" s="4" t="s">
        <v>9729</v>
      </c>
      <c r="B7007">
        <v>3</v>
      </c>
    </row>
    <row r="7008" spans="1:2" ht="28.8" x14ac:dyDescent="0.3">
      <c r="A7008" s="4" t="s">
        <v>9730</v>
      </c>
      <c r="B7008">
        <v>3</v>
      </c>
    </row>
    <row r="7009" spans="1:2" ht="43.2" x14ac:dyDescent="0.3">
      <c r="A7009" s="4" t="s">
        <v>9731</v>
      </c>
      <c r="B7009">
        <v>3</v>
      </c>
    </row>
    <row r="7010" spans="1:2" x14ac:dyDescent="0.3">
      <c r="A7010" s="4" t="s">
        <v>9732</v>
      </c>
      <c r="B7010">
        <v>3</v>
      </c>
    </row>
    <row r="7011" spans="1:2" ht="28.8" x14ac:dyDescent="0.3">
      <c r="A7011" s="4" t="s">
        <v>9733</v>
      </c>
      <c r="B7011">
        <v>3</v>
      </c>
    </row>
    <row r="7012" spans="1:2" x14ac:dyDescent="0.3">
      <c r="A7012" s="4" t="s">
        <v>9734</v>
      </c>
      <c r="B7012">
        <v>3</v>
      </c>
    </row>
    <row r="7013" spans="1:2" x14ac:dyDescent="0.3">
      <c r="A7013" s="4" t="s">
        <v>9735</v>
      </c>
      <c r="B7013">
        <v>3</v>
      </c>
    </row>
    <row r="7014" spans="1:2" ht="28.8" x14ac:dyDescent="0.3">
      <c r="A7014" s="4" t="s">
        <v>9736</v>
      </c>
      <c r="B7014">
        <v>3</v>
      </c>
    </row>
    <row r="7015" spans="1:2" ht="28.8" x14ac:dyDescent="0.3">
      <c r="A7015" s="4" t="s">
        <v>9737</v>
      </c>
      <c r="B7015">
        <v>3</v>
      </c>
    </row>
    <row r="7016" spans="1:2" x14ac:dyDescent="0.3">
      <c r="A7016" s="4" t="s">
        <v>9738</v>
      </c>
      <c r="B7016">
        <v>3</v>
      </c>
    </row>
    <row r="7017" spans="1:2" ht="43.2" x14ac:dyDescent="0.3">
      <c r="A7017" s="4" t="s">
        <v>9739</v>
      </c>
      <c r="B7017">
        <v>3</v>
      </c>
    </row>
    <row r="7018" spans="1:2" x14ac:dyDescent="0.3">
      <c r="A7018" s="4" t="s">
        <v>9740</v>
      </c>
      <c r="B7018">
        <v>3</v>
      </c>
    </row>
    <row r="7019" spans="1:2" ht="28.8" x14ac:dyDescent="0.3">
      <c r="A7019" s="4" t="s">
        <v>9741</v>
      </c>
      <c r="B7019">
        <v>3</v>
      </c>
    </row>
    <row r="7020" spans="1:2" x14ac:dyDescent="0.3">
      <c r="A7020" s="4" t="s">
        <v>9742</v>
      </c>
      <c r="B7020">
        <v>3</v>
      </c>
    </row>
    <row r="7021" spans="1:2" x14ac:dyDescent="0.3">
      <c r="A7021" s="4" t="s">
        <v>9743</v>
      </c>
      <c r="B7021">
        <v>3</v>
      </c>
    </row>
    <row r="7022" spans="1:2" ht="28.8" x14ac:dyDescent="0.3">
      <c r="A7022" s="4" t="s">
        <v>9744</v>
      </c>
      <c r="B7022">
        <v>3</v>
      </c>
    </row>
    <row r="7023" spans="1:2" ht="28.8" x14ac:dyDescent="0.3">
      <c r="A7023" s="4" t="s">
        <v>9745</v>
      </c>
      <c r="B7023">
        <v>3</v>
      </c>
    </row>
    <row r="7024" spans="1:2" ht="28.8" x14ac:dyDescent="0.3">
      <c r="A7024" s="4" t="s">
        <v>9746</v>
      </c>
      <c r="B7024">
        <v>3</v>
      </c>
    </row>
    <row r="7025" spans="1:2" ht="43.2" x14ac:dyDescent="0.3">
      <c r="A7025" s="4" t="s">
        <v>9747</v>
      </c>
      <c r="B7025">
        <v>3</v>
      </c>
    </row>
    <row r="7026" spans="1:2" ht="28.8" x14ac:dyDescent="0.3">
      <c r="A7026" s="4" t="s">
        <v>9748</v>
      </c>
      <c r="B7026">
        <v>3</v>
      </c>
    </row>
    <row r="7027" spans="1:2" ht="28.8" x14ac:dyDescent="0.3">
      <c r="A7027" s="4" t="s">
        <v>9749</v>
      </c>
      <c r="B7027">
        <v>3</v>
      </c>
    </row>
    <row r="7028" spans="1:2" x14ac:dyDescent="0.3">
      <c r="A7028" s="4" t="s">
        <v>9750</v>
      </c>
      <c r="B7028">
        <v>3</v>
      </c>
    </row>
    <row r="7029" spans="1:2" ht="28.8" x14ac:dyDescent="0.3">
      <c r="A7029" s="4" t="s">
        <v>9751</v>
      </c>
      <c r="B7029">
        <v>3</v>
      </c>
    </row>
    <row r="7030" spans="1:2" ht="28.8" x14ac:dyDescent="0.3">
      <c r="A7030" s="4" t="s">
        <v>9752</v>
      </c>
      <c r="B7030">
        <v>3</v>
      </c>
    </row>
    <row r="7031" spans="1:2" ht="28.8" x14ac:dyDescent="0.3">
      <c r="A7031" s="4" t="s">
        <v>9753</v>
      </c>
      <c r="B7031">
        <v>3</v>
      </c>
    </row>
    <row r="7032" spans="1:2" ht="43.2" x14ac:dyDescent="0.3">
      <c r="A7032" s="4" t="s">
        <v>9754</v>
      </c>
      <c r="B7032">
        <v>3</v>
      </c>
    </row>
    <row r="7033" spans="1:2" ht="28.8" x14ac:dyDescent="0.3">
      <c r="A7033" s="4" t="s">
        <v>9755</v>
      </c>
      <c r="B7033">
        <v>3</v>
      </c>
    </row>
    <row r="7034" spans="1:2" x14ac:dyDescent="0.3">
      <c r="A7034" s="4" t="s">
        <v>9756</v>
      </c>
      <c r="B7034">
        <v>3</v>
      </c>
    </row>
    <row r="7035" spans="1:2" x14ac:dyDescent="0.3">
      <c r="A7035" s="4" t="s">
        <v>9757</v>
      </c>
      <c r="B7035">
        <v>3</v>
      </c>
    </row>
    <row r="7036" spans="1:2" x14ac:dyDescent="0.3">
      <c r="A7036" s="4" t="s">
        <v>9758</v>
      </c>
      <c r="B7036">
        <v>3</v>
      </c>
    </row>
    <row r="7037" spans="1:2" ht="28.8" x14ac:dyDescent="0.3">
      <c r="A7037" s="4" t="s">
        <v>9759</v>
      </c>
      <c r="B7037">
        <v>3</v>
      </c>
    </row>
    <row r="7038" spans="1:2" x14ac:dyDescent="0.3">
      <c r="A7038" s="4" t="s">
        <v>9760</v>
      </c>
      <c r="B7038">
        <v>3</v>
      </c>
    </row>
    <row r="7039" spans="1:2" ht="28.8" x14ac:dyDescent="0.3">
      <c r="A7039" s="4" t="s">
        <v>9761</v>
      </c>
      <c r="B7039">
        <v>3</v>
      </c>
    </row>
    <row r="7040" spans="1:2" x14ac:dyDescent="0.3">
      <c r="A7040" s="4" t="s">
        <v>9762</v>
      </c>
      <c r="B7040">
        <v>3</v>
      </c>
    </row>
    <row r="7041" spans="1:2" ht="28.8" x14ac:dyDescent="0.3">
      <c r="A7041" s="4" t="s">
        <v>9763</v>
      </c>
      <c r="B7041">
        <v>3</v>
      </c>
    </row>
    <row r="7042" spans="1:2" ht="28.8" x14ac:dyDescent="0.3">
      <c r="A7042" s="4" t="s">
        <v>9764</v>
      </c>
      <c r="B7042">
        <v>3</v>
      </c>
    </row>
    <row r="7043" spans="1:2" ht="57.6" x14ac:dyDescent="0.3">
      <c r="A7043" s="4" t="s">
        <v>9765</v>
      </c>
      <c r="B7043">
        <v>3</v>
      </c>
    </row>
    <row r="7044" spans="1:2" x14ac:dyDescent="0.3">
      <c r="A7044" s="4" t="s">
        <v>9766</v>
      </c>
      <c r="B7044">
        <v>3</v>
      </c>
    </row>
    <row r="7045" spans="1:2" ht="43.2" x14ac:dyDescent="0.3">
      <c r="A7045" s="4" t="s">
        <v>9767</v>
      </c>
      <c r="B7045">
        <v>3</v>
      </c>
    </row>
    <row r="7046" spans="1:2" x14ac:dyDescent="0.3">
      <c r="A7046" s="4" t="s">
        <v>9768</v>
      </c>
      <c r="B7046">
        <v>3</v>
      </c>
    </row>
    <row r="7047" spans="1:2" ht="28.8" x14ac:dyDescent="0.3">
      <c r="A7047" s="4" t="s">
        <v>9769</v>
      </c>
      <c r="B7047">
        <v>3</v>
      </c>
    </row>
    <row r="7048" spans="1:2" ht="28.8" x14ac:dyDescent="0.3">
      <c r="A7048" s="4" t="s">
        <v>9770</v>
      </c>
      <c r="B7048">
        <v>3</v>
      </c>
    </row>
    <row r="7049" spans="1:2" ht="28.8" x14ac:dyDescent="0.3">
      <c r="A7049" s="4" t="s">
        <v>9771</v>
      </c>
      <c r="B7049">
        <v>3</v>
      </c>
    </row>
    <row r="7050" spans="1:2" ht="28.8" x14ac:dyDescent="0.3">
      <c r="A7050" s="4" t="s">
        <v>9772</v>
      </c>
      <c r="B7050">
        <v>3</v>
      </c>
    </row>
    <row r="7051" spans="1:2" ht="28.8" x14ac:dyDescent="0.3">
      <c r="A7051" s="4" t="s">
        <v>9773</v>
      </c>
      <c r="B7051">
        <v>3</v>
      </c>
    </row>
    <row r="7052" spans="1:2" ht="28.8" x14ac:dyDescent="0.3">
      <c r="A7052" s="4" t="s">
        <v>9774</v>
      </c>
      <c r="B7052">
        <v>3</v>
      </c>
    </row>
    <row r="7053" spans="1:2" x14ac:dyDescent="0.3">
      <c r="A7053" s="4" t="s">
        <v>9775</v>
      </c>
      <c r="B7053">
        <v>3</v>
      </c>
    </row>
    <row r="7054" spans="1:2" ht="28.8" x14ac:dyDescent="0.3">
      <c r="A7054" s="4" t="s">
        <v>9776</v>
      </c>
      <c r="B7054">
        <v>3</v>
      </c>
    </row>
    <row r="7055" spans="1:2" x14ac:dyDescent="0.3">
      <c r="A7055" s="4" t="s">
        <v>9777</v>
      </c>
      <c r="B7055">
        <v>3</v>
      </c>
    </row>
    <row r="7056" spans="1:2" ht="28.8" x14ac:dyDescent="0.3">
      <c r="A7056" s="4" t="s">
        <v>9778</v>
      </c>
      <c r="B7056">
        <v>3</v>
      </c>
    </row>
    <row r="7057" spans="1:2" x14ac:dyDescent="0.3">
      <c r="A7057" s="4" t="s">
        <v>9779</v>
      </c>
      <c r="B7057">
        <v>3</v>
      </c>
    </row>
    <row r="7058" spans="1:2" ht="28.8" x14ac:dyDescent="0.3">
      <c r="A7058" s="4" t="s">
        <v>9780</v>
      </c>
      <c r="B7058">
        <v>3</v>
      </c>
    </row>
    <row r="7059" spans="1:2" x14ac:dyDescent="0.3">
      <c r="A7059" s="4" t="s">
        <v>9781</v>
      </c>
      <c r="B7059">
        <v>3</v>
      </c>
    </row>
    <row r="7060" spans="1:2" x14ac:dyDescent="0.3">
      <c r="A7060" s="4" t="s">
        <v>9782</v>
      </c>
      <c r="B7060">
        <v>3</v>
      </c>
    </row>
    <row r="7061" spans="1:2" ht="28.8" x14ac:dyDescent="0.3">
      <c r="A7061" s="4" t="s">
        <v>9783</v>
      </c>
      <c r="B7061">
        <v>3</v>
      </c>
    </row>
    <row r="7062" spans="1:2" ht="43.2" x14ac:dyDescent="0.3">
      <c r="A7062" s="4" t="s">
        <v>9784</v>
      </c>
      <c r="B7062">
        <v>3</v>
      </c>
    </row>
    <row r="7063" spans="1:2" ht="28.8" x14ac:dyDescent="0.3">
      <c r="A7063" s="4" t="s">
        <v>9785</v>
      </c>
      <c r="B7063">
        <v>3</v>
      </c>
    </row>
    <row r="7064" spans="1:2" x14ac:dyDescent="0.3">
      <c r="A7064" s="4" t="s">
        <v>9786</v>
      </c>
      <c r="B7064">
        <v>3</v>
      </c>
    </row>
    <row r="7065" spans="1:2" x14ac:dyDescent="0.3">
      <c r="A7065" s="4" t="s">
        <v>9787</v>
      </c>
      <c r="B7065">
        <v>3</v>
      </c>
    </row>
    <row r="7066" spans="1:2" ht="28.8" x14ac:dyDescent="0.3">
      <c r="A7066" s="4" t="s">
        <v>9788</v>
      </c>
      <c r="B7066">
        <v>3</v>
      </c>
    </row>
    <row r="7067" spans="1:2" ht="43.2" x14ac:dyDescent="0.3">
      <c r="A7067" s="4" t="s">
        <v>9789</v>
      </c>
      <c r="B7067">
        <v>3</v>
      </c>
    </row>
    <row r="7068" spans="1:2" x14ac:dyDescent="0.3">
      <c r="A7068" s="4" t="s">
        <v>9790</v>
      </c>
      <c r="B7068">
        <v>3</v>
      </c>
    </row>
    <row r="7069" spans="1:2" ht="28.8" x14ac:dyDescent="0.3">
      <c r="A7069" s="4" t="s">
        <v>9791</v>
      </c>
      <c r="B7069">
        <v>3</v>
      </c>
    </row>
    <row r="7070" spans="1:2" ht="28.8" x14ac:dyDescent="0.3">
      <c r="A7070" s="4" t="s">
        <v>9792</v>
      </c>
      <c r="B7070">
        <v>3</v>
      </c>
    </row>
    <row r="7071" spans="1:2" ht="28.8" x14ac:dyDescent="0.3">
      <c r="A7071" s="4" t="s">
        <v>9793</v>
      </c>
      <c r="B7071">
        <v>3</v>
      </c>
    </row>
    <row r="7072" spans="1:2" ht="28.8" x14ac:dyDescent="0.3">
      <c r="A7072" s="4" t="s">
        <v>9794</v>
      </c>
      <c r="B7072">
        <v>3</v>
      </c>
    </row>
    <row r="7073" spans="1:2" ht="28.8" x14ac:dyDescent="0.3">
      <c r="A7073" s="4" t="s">
        <v>9795</v>
      </c>
      <c r="B7073">
        <v>3</v>
      </c>
    </row>
    <row r="7074" spans="1:2" x14ac:dyDescent="0.3">
      <c r="A7074" s="4" t="s">
        <v>9796</v>
      </c>
      <c r="B7074">
        <v>3</v>
      </c>
    </row>
    <row r="7075" spans="1:2" ht="43.2" x14ac:dyDescent="0.3">
      <c r="A7075" s="4" t="s">
        <v>9797</v>
      </c>
      <c r="B7075">
        <v>3</v>
      </c>
    </row>
    <row r="7076" spans="1:2" x14ac:dyDescent="0.3">
      <c r="A7076" s="4" t="s">
        <v>9798</v>
      </c>
      <c r="B7076">
        <v>3</v>
      </c>
    </row>
    <row r="7077" spans="1:2" ht="28.8" x14ac:dyDescent="0.3">
      <c r="A7077" s="4" t="s">
        <v>9799</v>
      </c>
      <c r="B7077">
        <v>3</v>
      </c>
    </row>
    <row r="7078" spans="1:2" ht="28.8" x14ac:dyDescent="0.3">
      <c r="A7078" s="4" t="s">
        <v>9800</v>
      </c>
      <c r="B7078">
        <v>3</v>
      </c>
    </row>
    <row r="7079" spans="1:2" ht="28.8" x14ac:dyDescent="0.3">
      <c r="A7079" s="4" t="s">
        <v>9801</v>
      </c>
      <c r="B7079">
        <v>3</v>
      </c>
    </row>
    <row r="7080" spans="1:2" ht="28.8" x14ac:dyDescent="0.3">
      <c r="A7080" s="4" t="s">
        <v>9802</v>
      </c>
      <c r="B7080">
        <v>3</v>
      </c>
    </row>
    <row r="7081" spans="1:2" ht="28.8" x14ac:dyDescent="0.3">
      <c r="A7081" s="4" t="s">
        <v>9803</v>
      </c>
      <c r="B7081">
        <v>3</v>
      </c>
    </row>
    <row r="7082" spans="1:2" x14ac:dyDescent="0.3">
      <c r="A7082" s="4" t="s">
        <v>9804</v>
      </c>
      <c r="B7082">
        <v>3</v>
      </c>
    </row>
    <row r="7083" spans="1:2" ht="28.8" x14ac:dyDescent="0.3">
      <c r="A7083" s="4" t="s">
        <v>9805</v>
      </c>
      <c r="B7083">
        <v>3</v>
      </c>
    </row>
    <row r="7084" spans="1:2" ht="28.8" x14ac:dyDescent="0.3">
      <c r="A7084" s="4" t="s">
        <v>9806</v>
      </c>
      <c r="B7084">
        <v>3</v>
      </c>
    </row>
    <row r="7085" spans="1:2" ht="28.8" x14ac:dyDescent="0.3">
      <c r="A7085" s="4" t="s">
        <v>9807</v>
      </c>
      <c r="B7085">
        <v>3</v>
      </c>
    </row>
    <row r="7086" spans="1:2" ht="28.8" x14ac:dyDescent="0.3">
      <c r="A7086" s="4" t="s">
        <v>9808</v>
      </c>
      <c r="B7086">
        <v>3</v>
      </c>
    </row>
    <row r="7087" spans="1:2" ht="28.8" x14ac:dyDescent="0.3">
      <c r="A7087" s="4" t="s">
        <v>9809</v>
      </c>
      <c r="B7087">
        <v>3</v>
      </c>
    </row>
    <row r="7088" spans="1:2" ht="28.8" x14ac:dyDescent="0.3">
      <c r="A7088" s="4" t="s">
        <v>9810</v>
      </c>
      <c r="B7088">
        <v>3</v>
      </c>
    </row>
    <row r="7089" spans="1:2" x14ac:dyDescent="0.3">
      <c r="A7089" s="4" t="s">
        <v>9811</v>
      </c>
      <c r="B7089">
        <v>3</v>
      </c>
    </row>
    <row r="7090" spans="1:2" ht="28.8" x14ac:dyDescent="0.3">
      <c r="A7090" s="4" t="s">
        <v>9812</v>
      </c>
      <c r="B7090">
        <v>3</v>
      </c>
    </row>
    <row r="7091" spans="1:2" x14ac:dyDescent="0.3">
      <c r="A7091" s="4" t="s">
        <v>9813</v>
      </c>
      <c r="B7091">
        <v>3</v>
      </c>
    </row>
    <row r="7092" spans="1:2" ht="28.8" x14ac:dyDescent="0.3">
      <c r="A7092" s="4" t="s">
        <v>9814</v>
      </c>
      <c r="B7092">
        <v>3</v>
      </c>
    </row>
    <row r="7093" spans="1:2" x14ac:dyDescent="0.3">
      <c r="A7093" s="4" t="s">
        <v>9815</v>
      </c>
      <c r="B7093">
        <v>3</v>
      </c>
    </row>
    <row r="7094" spans="1:2" ht="28.8" x14ac:dyDescent="0.3">
      <c r="A7094" s="4" t="s">
        <v>9816</v>
      </c>
      <c r="B7094">
        <v>3</v>
      </c>
    </row>
    <row r="7095" spans="1:2" ht="43.2" x14ac:dyDescent="0.3">
      <c r="A7095" s="4" t="s">
        <v>9817</v>
      </c>
      <c r="B7095">
        <v>3</v>
      </c>
    </row>
    <row r="7096" spans="1:2" x14ac:dyDescent="0.3">
      <c r="A7096" s="4" t="s">
        <v>9818</v>
      </c>
      <c r="B7096">
        <v>3</v>
      </c>
    </row>
    <row r="7097" spans="1:2" ht="28.8" x14ac:dyDescent="0.3">
      <c r="A7097" s="4" t="s">
        <v>9819</v>
      </c>
      <c r="B7097">
        <v>3</v>
      </c>
    </row>
    <row r="7098" spans="1:2" ht="28.8" x14ac:dyDescent="0.3">
      <c r="A7098" s="4" t="s">
        <v>9820</v>
      </c>
      <c r="B7098">
        <v>3</v>
      </c>
    </row>
    <row r="7099" spans="1:2" ht="28.8" x14ac:dyDescent="0.3">
      <c r="A7099" s="4" t="s">
        <v>9821</v>
      </c>
      <c r="B7099">
        <v>3</v>
      </c>
    </row>
    <row r="7100" spans="1:2" ht="28.8" x14ac:dyDescent="0.3">
      <c r="A7100" s="4" t="s">
        <v>9822</v>
      </c>
      <c r="B7100">
        <v>3</v>
      </c>
    </row>
    <row r="7101" spans="1:2" ht="28.8" x14ac:dyDescent="0.3">
      <c r="A7101" s="4" t="s">
        <v>9823</v>
      </c>
      <c r="B7101">
        <v>3</v>
      </c>
    </row>
    <row r="7102" spans="1:2" ht="28.8" x14ac:dyDescent="0.3">
      <c r="A7102" s="4" t="s">
        <v>9824</v>
      </c>
      <c r="B7102">
        <v>3</v>
      </c>
    </row>
    <row r="7103" spans="1:2" ht="28.8" x14ac:dyDescent="0.3">
      <c r="A7103" s="4" t="s">
        <v>9825</v>
      </c>
      <c r="B7103">
        <v>3</v>
      </c>
    </row>
    <row r="7104" spans="1:2" x14ac:dyDescent="0.3">
      <c r="A7104" s="4" t="s">
        <v>9826</v>
      </c>
      <c r="B7104">
        <v>3</v>
      </c>
    </row>
    <row r="7105" spans="1:2" ht="28.8" x14ac:dyDescent="0.3">
      <c r="A7105" s="4" t="s">
        <v>9827</v>
      </c>
      <c r="B7105">
        <v>3</v>
      </c>
    </row>
    <row r="7106" spans="1:2" ht="28.8" x14ac:dyDescent="0.3">
      <c r="A7106" s="4" t="s">
        <v>9828</v>
      </c>
      <c r="B7106">
        <v>3</v>
      </c>
    </row>
    <row r="7107" spans="1:2" ht="28.8" x14ac:dyDescent="0.3">
      <c r="A7107" s="4" t="s">
        <v>9829</v>
      </c>
      <c r="B7107">
        <v>3</v>
      </c>
    </row>
    <row r="7108" spans="1:2" ht="28.8" x14ac:dyDescent="0.3">
      <c r="A7108" s="4" t="s">
        <v>9830</v>
      </c>
      <c r="B7108">
        <v>3</v>
      </c>
    </row>
    <row r="7109" spans="1:2" ht="28.8" x14ac:dyDescent="0.3">
      <c r="A7109" s="4" t="s">
        <v>9831</v>
      </c>
      <c r="B7109">
        <v>3</v>
      </c>
    </row>
    <row r="7110" spans="1:2" ht="28.8" x14ac:dyDescent="0.3">
      <c r="A7110" s="4" t="s">
        <v>9832</v>
      </c>
      <c r="B7110">
        <v>3</v>
      </c>
    </row>
    <row r="7111" spans="1:2" ht="28.8" x14ac:dyDescent="0.3">
      <c r="A7111" s="4" t="s">
        <v>9833</v>
      </c>
      <c r="B7111">
        <v>3</v>
      </c>
    </row>
    <row r="7112" spans="1:2" x14ac:dyDescent="0.3">
      <c r="A7112" s="4" t="s">
        <v>9834</v>
      </c>
      <c r="B7112">
        <v>3</v>
      </c>
    </row>
    <row r="7113" spans="1:2" x14ac:dyDescent="0.3">
      <c r="A7113" s="4" t="s">
        <v>9835</v>
      </c>
      <c r="B7113">
        <v>3</v>
      </c>
    </row>
    <row r="7114" spans="1:2" ht="28.8" x14ac:dyDescent="0.3">
      <c r="A7114" s="4" t="s">
        <v>9836</v>
      </c>
      <c r="B7114">
        <v>3</v>
      </c>
    </row>
    <row r="7115" spans="1:2" ht="28.8" x14ac:dyDescent="0.3">
      <c r="A7115" s="4" t="s">
        <v>9837</v>
      </c>
      <c r="B7115">
        <v>3</v>
      </c>
    </row>
    <row r="7116" spans="1:2" ht="28.8" x14ac:dyDescent="0.3">
      <c r="A7116" s="4" t="s">
        <v>9838</v>
      </c>
      <c r="B7116">
        <v>3</v>
      </c>
    </row>
    <row r="7117" spans="1:2" ht="28.8" x14ac:dyDescent="0.3">
      <c r="A7117" s="4" t="s">
        <v>9839</v>
      </c>
      <c r="B7117">
        <v>3</v>
      </c>
    </row>
    <row r="7118" spans="1:2" ht="28.8" x14ac:dyDescent="0.3">
      <c r="A7118" s="4" t="s">
        <v>9840</v>
      </c>
      <c r="B7118">
        <v>3</v>
      </c>
    </row>
    <row r="7119" spans="1:2" ht="28.8" x14ac:dyDescent="0.3">
      <c r="A7119" s="4" t="s">
        <v>9841</v>
      </c>
      <c r="B7119">
        <v>3</v>
      </c>
    </row>
    <row r="7120" spans="1:2" ht="28.8" x14ac:dyDescent="0.3">
      <c r="A7120" s="4" t="s">
        <v>9842</v>
      </c>
      <c r="B7120">
        <v>3</v>
      </c>
    </row>
    <row r="7121" spans="1:2" ht="28.8" x14ac:dyDescent="0.3">
      <c r="A7121" s="4" t="s">
        <v>9843</v>
      </c>
      <c r="B7121">
        <v>3</v>
      </c>
    </row>
    <row r="7122" spans="1:2" ht="28.8" x14ac:dyDescent="0.3">
      <c r="A7122" s="4" t="s">
        <v>9844</v>
      </c>
      <c r="B7122">
        <v>3</v>
      </c>
    </row>
    <row r="7123" spans="1:2" ht="28.8" x14ac:dyDescent="0.3">
      <c r="A7123" s="4" t="s">
        <v>9845</v>
      </c>
      <c r="B7123">
        <v>3</v>
      </c>
    </row>
    <row r="7124" spans="1:2" ht="28.8" x14ac:dyDescent="0.3">
      <c r="A7124" s="4" t="s">
        <v>9846</v>
      </c>
      <c r="B7124">
        <v>3</v>
      </c>
    </row>
    <row r="7125" spans="1:2" x14ac:dyDescent="0.3">
      <c r="A7125" s="4" t="s">
        <v>9847</v>
      </c>
      <c r="B7125">
        <v>3</v>
      </c>
    </row>
    <row r="7126" spans="1:2" x14ac:dyDescent="0.3">
      <c r="A7126" s="4" t="s">
        <v>9848</v>
      </c>
      <c r="B7126">
        <v>3</v>
      </c>
    </row>
    <row r="7127" spans="1:2" ht="43.2" x14ac:dyDescent="0.3">
      <c r="A7127" s="4" t="s">
        <v>9849</v>
      </c>
      <c r="B7127">
        <v>3</v>
      </c>
    </row>
    <row r="7128" spans="1:2" ht="28.8" x14ac:dyDescent="0.3">
      <c r="A7128" s="4" t="s">
        <v>9850</v>
      </c>
      <c r="B7128">
        <v>3</v>
      </c>
    </row>
    <row r="7129" spans="1:2" ht="28.8" x14ac:dyDescent="0.3">
      <c r="A7129" s="4" t="s">
        <v>9851</v>
      </c>
      <c r="B7129">
        <v>3</v>
      </c>
    </row>
    <row r="7130" spans="1:2" ht="43.2" x14ac:dyDescent="0.3">
      <c r="A7130" s="4" t="s">
        <v>9852</v>
      </c>
      <c r="B7130">
        <v>3</v>
      </c>
    </row>
    <row r="7131" spans="1:2" ht="28.8" x14ac:dyDescent="0.3">
      <c r="A7131" s="4" t="s">
        <v>9853</v>
      </c>
      <c r="B7131">
        <v>3</v>
      </c>
    </row>
    <row r="7132" spans="1:2" ht="28.8" x14ac:dyDescent="0.3">
      <c r="A7132" s="4" t="s">
        <v>9854</v>
      </c>
      <c r="B7132">
        <v>3</v>
      </c>
    </row>
    <row r="7133" spans="1:2" ht="43.2" x14ac:dyDescent="0.3">
      <c r="A7133" s="4" t="s">
        <v>9855</v>
      </c>
      <c r="B7133">
        <v>3</v>
      </c>
    </row>
    <row r="7134" spans="1:2" ht="43.2" x14ac:dyDescent="0.3">
      <c r="A7134" s="4" t="s">
        <v>9856</v>
      </c>
      <c r="B7134">
        <v>3</v>
      </c>
    </row>
    <row r="7135" spans="1:2" ht="28.8" x14ac:dyDescent="0.3">
      <c r="A7135" s="4" t="s">
        <v>9857</v>
      </c>
      <c r="B7135">
        <v>3</v>
      </c>
    </row>
    <row r="7136" spans="1:2" x14ac:dyDescent="0.3">
      <c r="A7136" s="4" t="s">
        <v>9858</v>
      </c>
      <c r="B7136">
        <v>3</v>
      </c>
    </row>
    <row r="7137" spans="1:2" ht="43.2" x14ac:dyDescent="0.3">
      <c r="A7137" s="4" t="s">
        <v>9859</v>
      </c>
      <c r="B7137">
        <v>3</v>
      </c>
    </row>
    <row r="7138" spans="1:2" x14ac:dyDescent="0.3">
      <c r="A7138" s="4" t="s">
        <v>9860</v>
      </c>
      <c r="B7138">
        <v>3</v>
      </c>
    </row>
    <row r="7139" spans="1:2" ht="28.8" x14ac:dyDescent="0.3">
      <c r="A7139" s="4" t="s">
        <v>9861</v>
      </c>
      <c r="B7139">
        <v>3</v>
      </c>
    </row>
    <row r="7140" spans="1:2" x14ac:dyDescent="0.3">
      <c r="A7140" s="4" t="s">
        <v>9862</v>
      </c>
      <c r="B7140">
        <v>3</v>
      </c>
    </row>
    <row r="7141" spans="1:2" x14ac:dyDescent="0.3">
      <c r="A7141" s="4" t="s">
        <v>9863</v>
      </c>
      <c r="B7141">
        <v>3</v>
      </c>
    </row>
    <row r="7142" spans="1:2" ht="28.8" x14ac:dyDescent="0.3">
      <c r="A7142" s="4" t="s">
        <v>9864</v>
      </c>
      <c r="B7142">
        <v>3</v>
      </c>
    </row>
    <row r="7143" spans="1:2" ht="28.8" x14ac:dyDescent="0.3">
      <c r="A7143" s="4" t="s">
        <v>9865</v>
      </c>
      <c r="B7143">
        <v>3</v>
      </c>
    </row>
    <row r="7144" spans="1:2" ht="43.2" x14ac:dyDescent="0.3">
      <c r="A7144" s="4" t="s">
        <v>9866</v>
      </c>
      <c r="B7144">
        <v>3</v>
      </c>
    </row>
    <row r="7145" spans="1:2" x14ac:dyDescent="0.3">
      <c r="A7145" s="4" t="s">
        <v>9867</v>
      </c>
      <c r="B7145">
        <v>3</v>
      </c>
    </row>
    <row r="7146" spans="1:2" ht="28.8" x14ac:dyDescent="0.3">
      <c r="A7146" s="4" t="s">
        <v>9868</v>
      </c>
      <c r="B7146">
        <v>3</v>
      </c>
    </row>
    <row r="7147" spans="1:2" ht="28.8" x14ac:dyDescent="0.3">
      <c r="A7147" s="4" t="s">
        <v>9869</v>
      </c>
      <c r="B7147">
        <v>3</v>
      </c>
    </row>
    <row r="7148" spans="1:2" ht="28.8" x14ac:dyDescent="0.3">
      <c r="A7148" s="4" t="s">
        <v>9870</v>
      </c>
      <c r="B7148">
        <v>3</v>
      </c>
    </row>
    <row r="7149" spans="1:2" x14ac:dyDescent="0.3">
      <c r="A7149" s="4" t="s">
        <v>9871</v>
      </c>
      <c r="B7149">
        <v>3</v>
      </c>
    </row>
    <row r="7150" spans="1:2" ht="28.8" x14ac:dyDescent="0.3">
      <c r="A7150" s="4" t="s">
        <v>9872</v>
      </c>
      <c r="B7150">
        <v>3</v>
      </c>
    </row>
    <row r="7151" spans="1:2" ht="28.8" x14ac:dyDescent="0.3">
      <c r="A7151" s="4" t="s">
        <v>9873</v>
      </c>
      <c r="B7151">
        <v>3</v>
      </c>
    </row>
    <row r="7152" spans="1:2" ht="28.8" x14ac:dyDescent="0.3">
      <c r="A7152" s="4" t="s">
        <v>9874</v>
      </c>
      <c r="B7152">
        <v>3</v>
      </c>
    </row>
    <row r="7153" spans="1:2" ht="28.8" x14ac:dyDescent="0.3">
      <c r="A7153" s="4" t="s">
        <v>9875</v>
      </c>
      <c r="B7153">
        <v>3</v>
      </c>
    </row>
    <row r="7154" spans="1:2" x14ac:dyDescent="0.3">
      <c r="A7154" s="4" t="s">
        <v>9876</v>
      </c>
      <c r="B7154">
        <v>3</v>
      </c>
    </row>
    <row r="7155" spans="1:2" ht="28.8" x14ac:dyDescent="0.3">
      <c r="A7155" s="4" t="s">
        <v>9877</v>
      </c>
      <c r="B7155">
        <v>3</v>
      </c>
    </row>
    <row r="7156" spans="1:2" ht="28.8" x14ac:dyDescent="0.3">
      <c r="A7156" s="4" t="s">
        <v>9878</v>
      </c>
      <c r="B7156">
        <v>3</v>
      </c>
    </row>
    <row r="7157" spans="1:2" ht="28.8" x14ac:dyDescent="0.3">
      <c r="A7157" s="4" t="s">
        <v>9879</v>
      </c>
      <c r="B7157">
        <v>3</v>
      </c>
    </row>
    <row r="7158" spans="1:2" x14ac:dyDescent="0.3">
      <c r="A7158" s="4" t="s">
        <v>9880</v>
      </c>
      <c r="B7158">
        <v>3</v>
      </c>
    </row>
    <row r="7159" spans="1:2" ht="28.8" x14ac:dyDescent="0.3">
      <c r="A7159" s="4" t="s">
        <v>9881</v>
      </c>
      <c r="B7159">
        <v>3</v>
      </c>
    </row>
    <row r="7160" spans="1:2" ht="28.8" x14ac:dyDescent="0.3">
      <c r="A7160" s="4" t="s">
        <v>9882</v>
      </c>
      <c r="B7160">
        <v>3</v>
      </c>
    </row>
    <row r="7161" spans="1:2" ht="28.8" x14ac:dyDescent="0.3">
      <c r="A7161" s="4" t="s">
        <v>9883</v>
      </c>
      <c r="B7161">
        <v>3</v>
      </c>
    </row>
    <row r="7162" spans="1:2" ht="28.8" x14ac:dyDescent="0.3">
      <c r="A7162" s="4" t="s">
        <v>9884</v>
      </c>
      <c r="B7162">
        <v>3</v>
      </c>
    </row>
    <row r="7163" spans="1:2" ht="28.8" x14ac:dyDescent="0.3">
      <c r="A7163" s="4" t="s">
        <v>9885</v>
      </c>
      <c r="B7163">
        <v>3</v>
      </c>
    </row>
    <row r="7164" spans="1:2" ht="28.8" x14ac:dyDescent="0.3">
      <c r="A7164" s="4" t="s">
        <v>9886</v>
      </c>
      <c r="B7164">
        <v>3</v>
      </c>
    </row>
    <row r="7165" spans="1:2" ht="28.8" x14ac:dyDescent="0.3">
      <c r="A7165" s="4" t="s">
        <v>9887</v>
      </c>
      <c r="B7165">
        <v>3</v>
      </c>
    </row>
    <row r="7166" spans="1:2" ht="28.8" x14ac:dyDescent="0.3">
      <c r="A7166" s="4" t="s">
        <v>9888</v>
      </c>
      <c r="B7166">
        <v>3</v>
      </c>
    </row>
    <row r="7167" spans="1:2" ht="28.8" x14ac:dyDescent="0.3">
      <c r="A7167" s="4" t="s">
        <v>9889</v>
      </c>
      <c r="B7167">
        <v>3</v>
      </c>
    </row>
    <row r="7168" spans="1:2" ht="28.8" x14ac:dyDescent="0.3">
      <c r="A7168" s="4" t="s">
        <v>9890</v>
      </c>
      <c r="B7168">
        <v>3</v>
      </c>
    </row>
    <row r="7169" spans="1:2" x14ac:dyDescent="0.3">
      <c r="A7169" s="4" t="s">
        <v>9891</v>
      </c>
      <c r="B7169">
        <v>3</v>
      </c>
    </row>
    <row r="7170" spans="1:2" ht="28.8" x14ac:dyDescent="0.3">
      <c r="A7170" s="4" t="s">
        <v>9892</v>
      </c>
      <c r="B7170">
        <v>3</v>
      </c>
    </row>
    <row r="7171" spans="1:2" x14ac:dyDescent="0.3">
      <c r="A7171" s="4" t="s">
        <v>9893</v>
      </c>
      <c r="B7171">
        <v>3</v>
      </c>
    </row>
    <row r="7172" spans="1:2" ht="28.8" x14ac:dyDescent="0.3">
      <c r="A7172" s="4" t="s">
        <v>9894</v>
      </c>
      <c r="B7172">
        <v>3</v>
      </c>
    </row>
    <row r="7173" spans="1:2" ht="28.8" x14ac:dyDescent="0.3">
      <c r="A7173" s="4" t="s">
        <v>9895</v>
      </c>
      <c r="B7173">
        <v>3</v>
      </c>
    </row>
    <row r="7174" spans="1:2" ht="28.8" x14ac:dyDescent="0.3">
      <c r="A7174" s="4" t="s">
        <v>9896</v>
      </c>
      <c r="B7174">
        <v>3</v>
      </c>
    </row>
    <row r="7175" spans="1:2" ht="28.8" x14ac:dyDescent="0.3">
      <c r="A7175" s="4" t="s">
        <v>9897</v>
      </c>
      <c r="B7175">
        <v>3</v>
      </c>
    </row>
    <row r="7176" spans="1:2" ht="28.8" x14ac:dyDescent="0.3">
      <c r="A7176" s="4" t="s">
        <v>9898</v>
      </c>
      <c r="B7176">
        <v>3</v>
      </c>
    </row>
    <row r="7177" spans="1:2" ht="28.8" x14ac:dyDescent="0.3">
      <c r="A7177" s="4" t="s">
        <v>9899</v>
      </c>
      <c r="B7177">
        <v>3</v>
      </c>
    </row>
    <row r="7178" spans="1:2" ht="28.8" x14ac:dyDescent="0.3">
      <c r="A7178" s="4" t="s">
        <v>9900</v>
      </c>
      <c r="B7178">
        <v>3</v>
      </c>
    </row>
    <row r="7179" spans="1:2" x14ac:dyDescent="0.3">
      <c r="A7179" s="4" t="s">
        <v>9901</v>
      </c>
      <c r="B7179">
        <v>3</v>
      </c>
    </row>
    <row r="7180" spans="1:2" ht="28.8" x14ac:dyDescent="0.3">
      <c r="A7180" s="4" t="s">
        <v>9902</v>
      </c>
      <c r="B7180">
        <v>3</v>
      </c>
    </row>
    <row r="7181" spans="1:2" ht="28.8" x14ac:dyDescent="0.3">
      <c r="A7181" s="4" t="s">
        <v>9903</v>
      </c>
      <c r="B7181">
        <v>3</v>
      </c>
    </row>
    <row r="7182" spans="1:2" x14ac:dyDescent="0.3">
      <c r="A7182" s="4" t="s">
        <v>9904</v>
      </c>
      <c r="B7182">
        <v>3</v>
      </c>
    </row>
    <row r="7183" spans="1:2" ht="43.2" x14ac:dyDescent="0.3">
      <c r="A7183" s="4" t="s">
        <v>9905</v>
      </c>
      <c r="B7183">
        <v>3</v>
      </c>
    </row>
    <row r="7184" spans="1:2" x14ac:dyDescent="0.3">
      <c r="A7184" s="4" t="s">
        <v>9906</v>
      </c>
      <c r="B7184">
        <v>3</v>
      </c>
    </row>
    <row r="7185" spans="1:2" x14ac:dyDescent="0.3">
      <c r="A7185" s="4" t="s">
        <v>9907</v>
      </c>
      <c r="B7185">
        <v>3</v>
      </c>
    </row>
    <row r="7186" spans="1:2" x14ac:dyDescent="0.3">
      <c r="A7186" s="4" t="s">
        <v>9908</v>
      </c>
      <c r="B7186">
        <v>3</v>
      </c>
    </row>
    <row r="7187" spans="1:2" ht="28.8" x14ac:dyDescent="0.3">
      <c r="A7187" s="4" t="s">
        <v>9909</v>
      </c>
      <c r="B7187">
        <v>3</v>
      </c>
    </row>
    <row r="7188" spans="1:2" ht="28.8" x14ac:dyDescent="0.3">
      <c r="A7188" s="4" t="s">
        <v>9910</v>
      </c>
      <c r="B7188">
        <v>3</v>
      </c>
    </row>
    <row r="7189" spans="1:2" ht="28.8" x14ac:dyDescent="0.3">
      <c r="A7189" s="4" t="s">
        <v>9911</v>
      </c>
      <c r="B7189">
        <v>3</v>
      </c>
    </row>
    <row r="7190" spans="1:2" x14ac:dyDescent="0.3">
      <c r="A7190" s="4" t="s">
        <v>9912</v>
      </c>
      <c r="B7190">
        <v>3</v>
      </c>
    </row>
    <row r="7191" spans="1:2" ht="28.8" x14ac:dyDescent="0.3">
      <c r="A7191" s="4" t="s">
        <v>9913</v>
      </c>
      <c r="B7191">
        <v>3</v>
      </c>
    </row>
    <row r="7192" spans="1:2" ht="28.8" x14ac:dyDescent="0.3">
      <c r="A7192" s="4" t="s">
        <v>9914</v>
      </c>
      <c r="B7192">
        <v>3</v>
      </c>
    </row>
    <row r="7193" spans="1:2" x14ac:dyDescent="0.3">
      <c r="A7193" s="4" t="s">
        <v>9915</v>
      </c>
      <c r="B7193">
        <v>3</v>
      </c>
    </row>
    <row r="7194" spans="1:2" ht="28.8" x14ac:dyDescent="0.3">
      <c r="A7194" s="4" t="s">
        <v>9916</v>
      </c>
      <c r="B7194">
        <v>3</v>
      </c>
    </row>
    <row r="7195" spans="1:2" ht="28.8" x14ac:dyDescent="0.3">
      <c r="A7195" s="4" t="s">
        <v>9917</v>
      </c>
      <c r="B7195">
        <v>3</v>
      </c>
    </row>
    <row r="7196" spans="1:2" ht="28.8" x14ac:dyDescent="0.3">
      <c r="A7196" s="4" t="s">
        <v>9918</v>
      </c>
      <c r="B7196">
        <v>3</v>
      </c>
    </row>
    <row r="7197" spans="1:2" ht="28.8" x14ac:dyDescent="0.3">
      <c r="A7197" s="4" t="s">
        <v>9919</v>
      </c>
      <c r="B7197">
        <v>3</v>
      </c>
    </row>
    <row r="7198" spans="1:2" ht="43.2" x14ac:dyDescent="0.3">
      <c r="A7198" s="4" t="s">
        <v>9920</v>
      </c>
      <c r="B7198">
        <v>3</v>
      </c>
    </row>
    <row r="7199" spans="1:2" x14ac:dyDescent="0.3">
      <c r="A7199" s="4" t="s">
        <v>9921</v>
      </c>
      <c r="B7199">
        <v>3</v>
      </c>
    </row>
    <row r="7200" spans="1:2" ht="28.8" x14ac:dyDescent="0.3">
      <c r="A7200" s="4" t="s">
        <v>9922</v>
      </c>
      <c r="B7200">
        <v>3</v>
      </c>
    </row>
    <row r="7201" spans="1:2" x14ac:dyDescent="0.3">
      <c r="A7201" s="4" t="s">
        <v>9923</v>
      </c>
      <c r="B7201">
        <v>3</v>
      </c>
    </row>
    <row r="7202" spans="1:2" ht="28.8" x14ac:dyDescent="0.3">
      <c r="A7202" s="4" t="s">
        <v>9924</v>
      </c>
      <c r="B7202">
        <v>3</v>
      </c>
    </row>
    <row r="7203" spans="1:2" ht="28.8" x14ac:dyDescent="0.3">
      <c r="A7203" s="4" t="s">
        <v>9925</v>
      </c>
      <c r="B7203">
        <v>3</v>
      </c>
    </row>
    <row r="7204" spans="1:2" ht="28.8" x14ac:dyDescent="0.3">
      <c r="A7204" s="4" t="s">
        <v>9926</v>
      </c>
      <c r="B7204">
        <v>3</v>
      </c>
    </row>
    <row r="7205" spans="1:2" x14ac:dyDescent="0.3">
      <c r="A7205" s="4" t="s">
        <v>9927</v>
      </c>
      <c r="B7205">
        <v>3</v>
      </c>
    </row>
    <row r="7206" spans="1:2" ht="28.8" x14ac:dyDescent="0.3">
      <c r="A7206" s="4" t="s">
        <v>9928</v>
      </c>
      <c r="B7206">
        <v>3</v>
      </c>
    </row>
    <row r="7207" spans="1:2" ht="28.8" x14ac:dyDescent="0.3">
      <c r="A7207" s="4" t="s">
        <v>9929</v>
      </c>
      <c r="B7207">
        <v>3</v>
      </c>
    </row>
    <row r="7208" spans="1:2" x14ac:dyDescent="0.3">
      <c r="A7208" s="4" t="s">
        <v>9930</v>
      </c>
      <c r="B7208">
        <v>3</v>
      </c>
    </row>
    <row r="7209" spans="1:2" ht="28.8" x14ac:dyDescent="0.3">
      <c r="A7209" s="4" t="s">
        <v>9931</v>
      </c>
      <c r="B7209">
        <v>3</v>
      </c>
    </row>
    <row r="7210" spans="1:2" ht="28.8" x14ac:dyDescent="0.3">
      <c r="A7210" s="4" t="s">
        <v>9932</v>
      </c>
      <c r="B7210">
        <v>3</v>
      </c>
    </row>
    <row r="7211" spans="1:2" ht="28.8" x14ac:dyDescent="0.3">
      <c r="A7211" s="4" t="s">
        <v>9933</v>
      </c>
      <c r="B7211">
        <v>3</v>
      </c>
    </row>
    <row r="7212" spans="1:2" ht="28.8" x14ac:dyDescent="0.3">
      <c r="A7212" s="4" t="s">
        <v>9934</v>
      </c>
      <c r="B7212">
        <v>3</v>
      </c>
    </row>
    <row r="7213" spans="1:2" ht="43.2" x14ac:dyDescent="0.3">
      <c r="A7213" s="4" t="s">
        <v>9935</v>
      </c>
      <c r="B7213">
        <v>3</v>
      </c>
    </row>
    <row r="7214" spans="1:2" ht="28.8" x14ac:dyDescent="0.3">
      <c r="A7214" s="4" t="s">
        <v>9936</v>
      </c>
      <c r="B7214">
        <v>3</v>
      </c>
    </row>
    <row r="7215" spans="1:2" ht="28.8" x14ac:dyDescent="0.3">
      <c r="A7215" s="4" t="s">
        <v>9937</v>
      </c>
      <c r="B7215">
        <v>3</v>
      </c>
    </row>
    <row r="7216" spans="1:2" ht="28.8" x14ac:dyDescent="0.3">
      <c r="A7216" s="4" t="s">
        <v>9938</v>
      </c>
      <c r="B7216">
        <v>3</v>
      </c>
    </row>
    <row r="7217" spans="1:2" x14ac:dyDescent="0.3">
      <c r="A7217" s="4" t="s">
        <v>9939</v>
      </c>
      <c r="B7217">
        <v>3</v>
      </c>
    </row>
    <row r="7218" spans="1:2" x14ac:dyDescent="0.3">
      <c r="A7218" s="4" t="s">
        <v>9940</v>
      </c>
      <c r="B7218">
        <v>3</v>
      </c>
    </row>
    <row r="7219" spans="1:2" ht="28.8" x14ac:dyDescent="0.3">
      <c r="A7219" s="4" t="s">
        <v>9941</v>
      </c>
      <c r="B7219">
        <v>3</v>
      </c>
    </row>
    <row r="7220" spans="1:2" x14ac:dyDescent="0.3">
      <c r="A7220" s="4" t="s">
        <v>9942</v>
      </c>
      <c r="B7220">
        <v>3</v>
      </c>
    </row>
    <row r="7221" spans="1:2" ht="43.2" x14ac:dyDescent="0.3">
      <c r="A7221" s="4" t="s">
        <v>9943</v>
      </c>
      <c r="B7221">
        <v>3</v>
      </c>
    </row>
    <row r="7222" spans="1:2" ht="28.8" x14ac:dyDescent="0.3">
      <c r="A7222" s="4" t="s">
        <v>9944</v>
      </c>
      <c r="B7222">
        <v>3</v>
      </c>
    </row>
    <row r="7223" spans="1:2" ht="28.8" x14ac:dyDescent="0.3">
      <c r="A7223" s="4" t="s">
        <v>9945</v>
      </c>
      <c r="B7223">
        <v>3</v>
      </c>
    </row>
    <row r="7224" spans="1:2" ht="43.2" x14ac:dyDescent="0.3">
      <c r="A7224" s="4" t="s">
        <v>9946</v>
      </c>
      <c r="B7224">
        <v>3</v>
      </c>
    </row>
    <row r="7225" spans="1:2" ht="28.8" x14ac:dyDescent="0.3">
      <c r="A7225" s="4" t="s">
        <v>9947</v>
      </c>
      <c r="B7225">
        <v>3</v>
      </c>
    </row>
    <row r="7226" spans="1:2" ht="28.8" x14ac:dyDescent="0.3">
      <c r="A7226" s="4" t="s">
        <v>9948</v>
      </c>
      <c r="B7226">
        <v>3</v>
      </c>
    </row>
    <row r="7227" spans="1:2" ht="28.8" x14ac:dyDescent="0.3">
      <c r="A7227" s="4" t="s">
        <v>9949</v>
      </c>
      <c r="B7227">
        <v>3</v>
      </c>
    </row>
    <row r="7228" spans="1:2" ht="28.8" x14ac:dyDescent="0.3">
      <c r="A7228" s="4" t="s">
        <v>9950</v>
      </c>
      <c r="B7228">
        <v>3</v>
      </c>
    </row>
    <row r="7229" spans="1:2" x14ac:dyDescent="0.3">
      <c r="A7229" s="4" t="s">
        <v>9951</v>
      </c>
      <c r="B7229">
        <v>3</v>
      </c>
    </row>
    <row r="7230" spans="1:2" x14ac:dyDescent="0.3">
      <c r="A7230" s="4" t="s">
        <v>9952</v>
      </c>
      <c r="B7230">
        <v>3</v>
      </c>
    </row>
    <row r="7231" spans="1:2" ht="28.8" x14ac:dyDescent="0.3">
      <c r="A7231" s="4" t="s">
        <v>9953</v>
      </c>
      <c r="B7231">
        <v>3</v>
      </c>
    </row>
    <row r="7232" spans="1:2" ht="28.8" x14ac:dyDescent="0.3">
      <c r="A7232" s="4" t="s">
        <v>9954</v>
      </c>
      <c r="B7232">
        <v>3</v>
      </c>
    </row>
    <row r="7233" spans="1:2" ht="28.8" x14ac:dyDescent="0.3">
      <c r="A7233" s="4" t="s">
        <v>9955</v>
      </c>
      <c r="B7233">
        <v>3</v>
      </c>
    </row>
    <row r="7234" spans="1:2" ht="28.8" x14ac:dyDescent="0.3">
      <c r="A7234" s="4" t="s">
        <v>9956</v>
      </c>
      <c r="B7234">
        <v>3</v>
      </c>
    </row>
    <row r="7235" spans="1:2" x14ac:dyDescent="0.3">
      <c r="A7235" s="4" t="s">
        <v>9957</v>
      </c>
      <c r="B7235">
        <v>3</v>
      </c>
    </row>
    <row r="7236" spans="1:2" x14ac:dyDescent="0.3">
      <c r="A7236" s="4" t="s">
        <v>9958</v>
      </c>
      <c r="B7236">
        <v>3</v>
      </c>
    </row>
    <row r="7237" spans="1:2" x14ac:dyDescent="0.3">
      <c r="A7237" s="4" t="s">
        <v>9959</v>
      </c>
      <c r="B7237">
        <v>3</v>
      </c>
    </row>
    <row r="7238" spans="1:2" x14ac:dyDescent="0.3">
      <c r="A7238" s="4" t="s">
        <v>9960</v>
      </c>
      <c r="B7238">
        <v>3</v>
      </c>
    </row>
    <row r="7239" spans="1:2" ht="28.8" x14ac:dyDescent="0.3">
      <c r="A7239" s="4" t="s">
        <v>9961</v>
      </c>
      <c r="B7239">
        <v>3</v>
      </c>
    </row>
    <row r="7240" spans="1:2" ht="28.8" x14ac:dyDescent="0.3">
      <c r="A7240" s="4" t="s">
        <v>9962</v>
      </c>
      <c r="B7240">
        <v>3</v>
      </c>
    </row>
    <row r="7241" spans="1:2" x14ac:dyDescent="0.3">
      <c r="A7241" s="4" t="s">
        <v>9963</v>
      </c>
      <c r="B7241">
        <v>3</v>
      </c>
    </row>
    <row r="7242" spans="1:2" ht="28.8" x14ac:dyDescent="0.3">
      <c r="A7242" s="4" t="s">
        <v>9964</v>
      </c>
      <c r="B7242">
        <v>3</v>
      </c>
    </row>
    <row r="7243" spans="1:2" x14ac:dyDescent="0.3">
      <c r="B7243" s="2"/>
    </row>
    <row r="7244" spans="1:2" x14ac:dyDescent="0.3">
      <c r="B7244" s="2"/>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7EC5-DDD6-412B-A951-D96422A6A0F5}">
  <dimension ref="A1:M13"/>
  <sheetViews>
    <sheetView workbookViewId="0">
      <selection activeCell="C21" sqref="C21"/>
    </sheetView>
  </sheetViews>
  <sheetFormatPr baseColWidth="10" defaultRowHeight="14.4" x14ac:dyDescent="0.3"/>
  <cols>
    <col min="1" max="1" width="18.88671875" bestFit="1" customWidth="1"/>
    <col min="3" max="3" width="14.109375" bestFit="1" customWidth="1"/>
    <col min="4" max="4" width="27.33203125" bestFit="1" customWidth="1"/>
    <col min="6" max="6" width="14.109375" bestFit="1" customWidth="1"/>
    <col min="7" max="7" width="12.88671875" bestFit="1" customWidth="1"/>
    <col min="9" max="9" width="14.109375" bestFit="1" customWidth="1"/>
    <col min="10" max="10" width="27.33203125" bestFit="1" customWidth="1"/>
    <col min="11" max="11" width="12.88671875" bestFit="1" customWidth="1"/>
    <col min="13" max="13" width="13.5546875" bestFit="1" customWidth="1"/>
  </cols>
  <sheetData>
    <row r="1" spans="1:13" x14ac:dyDescent="0.3">
      <c r="A1" s="22" t="s">
        <v>1</v>
      </c>
      <c r="B1" s="22" t="s">
        <v>3073</v>
      </c>
      <c r="C1" s="22" t="s">
        <v>3089</v>
      </c>
      <c r="D1" s="22" t="s">
        <v>3099</v>
      </c>
      <c r="E1" s="22" t="s">
        <v>3073</v>
      </c>
      <c r="F1" s="22" t="s">
        <v>3089</v>
      </c>
      <c r="G1" s="23" t="s">
        <v>3102</v>
      </c>
      <c r="H1" s="23" t="s">
        <v>3073</v>
      </c>
      <c r="I1" s="23" t="s">
        <v>3089</v>
      </c>
      <c r="J1" s="22" t="s">
        <v>3099</v>
      </c>
      <c r="K1" s="22" t="s">
        <v>3102</v>
      </c>
      <c r="L1" s="22" t="s">
        <v>3073</v>
      </c>
      <c r="M1" s="22" t="s">
        <v>3089</v>
      </c>
    </row>
    <row r="2" spans="1:13" x14ac:dyDescent="0.3">
      <c r="A2" t="s">
        <v>9</v>
      </c>
      <c r="B2">
        <v>7241</v>
      </c>
      <c r="C2" s="34">
        <f>(B2/7241)*100</f>
        <v>100</v>
      </c>
      <c r="D2" t="s">
        <v>3104</v>
      </c>
      <c r="E2">
        <v>630</v>
      </c>
      <c r="F2" s="34">
        <f>(E2/7241)*100</f>
        <v>8.7004557381577126</v>
      </c>
      <c r="G2" t="s">
        <v>3100</v>
      </c>
      <c r="H2">
        <v>385</v>
      </c>
      <c r="I2" s="34">
        <f>(H2/7241)*100</f>
        <v>5.3169451733186026</v>
      </c>
      <c r="J2" t="s">
        <v>3104</v>
      </c>
      <c r="K2" t="s">
        <v>3100</v>
      </c>
      <c r="L2">
        <v>297</v>
      </c>
      <c r="M2" s="34">
        <f>(L2/7241)*100</f>
        <v>4.1016434194172078</v>
      </c>
    </row>
    <row r="3" spans="1:13" x14ac:dyDescent="0.3">
      <c r="D3" t="s">
        <v>3105</v>
      </c>
      <c r="E3">
        <v>326</v>
      </c>
      <c r="F3" s="34">
        <f t="shared" ref="F3:F5" si="0">(E3/7241)*100</f>
        <v>4.5021405883165304</v>
      </c>
      <c r="G3" t="s">
        <v>3101</v>
      </c>
      <c r="H3">
        <v>559</v>
      </c>
      <c r="I3" s="34">
        <f t="shared" ref="I3:I5" si="1">(H3/7241)*100</f>
        <v>7.719928186714542</v>
      </c>
      <c r="K3" t="s">
        <v>3101</v>
      </c>
      <c r="L3">
        <v>325</v>
      </c>
      <c r="M3" s="34">
        <f t="shared" ref="M3:M4" si="2">(L3/7241)*100</f>
        <v>4.4883303411131061</v>
      </c>
    </row>
    <row r="4" spans="1:13" x14ac:dyDescent="0.3">
      <c r="D4" t="s">
        <v>3106</v>
      </c>
      <c r="E4">
        <v>6285</v>
      </c>
      <c r="F4" s="34">
        <f t="shared" si="0"/>
        <v>86.79740367352575</v>
      </c>
      <c r="G4" t="s">
        <v>3103</v>
      </c>
      <c r="H4">
        <v>12</v>
      </c>
      <c r="I4" s="34">
        <f t="shared" si="1"/>
        <v>0.1657229664410993</v>
      </c>
      <c r="K4" t="s">
        <v>3103</v>
      </c>
      <c r="L4">
        <v>8</v>
      </c>
      <c r="M4" s="34">
        <f t="shared" si="2"/>
        <v>0.11048197762739953</v>
      </c>
    </row>
    <row r="5" spans="1:13" x14ac:dyDescent="0.3">
      <c r="E5" s="22">
        <f>SUM(E2:E4)</f>
        <v>7241</v>
      </c>
      <c r="F5" s="35">
        <f t="shared" si="0"/>
        <v>100</v>
      </c>
      <c r="H5" s="23">
        <f>SUM(H2:H4)</f>
        <v>956</v>
      </c>
      <c r="I5" s="37">
        <f t="shared" si="1"/>
        <v>13.202596326474245</v>
      </c>
      <c r="L5" s="22">
        <f>SUM(L2:L4)</f>
        <v>630</v>
      </c>
      <c r="M5" s="35">
        <f t="shared" ref="M5" si="3">(L5/7241)*100</f>
        <v>8.7004557381577126</v>
      </c>
    </row>
    <row r="6" spans="1:13" x14ac:dyDescent="0.3">
      <c r="J6" t="s">
        <v>3105</v>
      </c>
      <c r="K6" t="s">
        <v>3100</v>
      </c>
      <c r="L6">
        <v>88</v>
      </c>
      <c r="M6" s="34">
        <f>(L6/7241)*100</f>
        <v>1.2153017539013948</v>
      </c>
    </row>
    <row r="7" spans="1:13" x14ac:dyDescent="0.3">
      <c r="K7" t="s">
        <v>3101</v>
      </c>
      <c r="L7">
        <v>234</v>
      </c>
      <c r="M7" s="34">
        <f t="shared" ref="M7:M8" si="4">(L7/7241)*100</f>
        <v>3.2315978456014358</v>
      </c>
    </row>
    <row r="8" spans="1:13" x14ac:dyDescent="0.3">
      <c r="K8" t="s">
        <v>3103</v>
      </c>
      <c r="L8">
        <v>4</v>
      </c>
      <c r="M8" s="34">
        <f t="shared" si="4"/>
        <v>5.5240988813699765E-2</v>
      </c>
    </row>
    <row r="9" spans="1:13" x14ac:dyDescent="0.3">
      <c r="L9" s="22">
        <f>SUM(L6:L8)</f>
        <v>326</v>
      </c>
      <c r="M9" s="35">
        <f t="shared" ref="M9" si="5">(L9/7241)*100</f>
        <v>4.5021405883165304</v>
      </c>
    </row>
    <row r="10" spans="1:13" x14ac:dyDescent="0.3">
      <c r="J10" t="s">
        <v>3101</v>
      </c>
      <c r="K10" t="s">
        <v>3100</v>
      </c>
      <c r="L10">
        <v>0</v>
      </c>
      <c r="M10" s="34">
        <f>(L10/7241)*100</f>
        <v>0</v>
      </c>
    </row>
    <row r="11" spans="1:13" x14ac:dyDescent="0.3">
      <c r="K11" t="s">
        <v>3101</v>
      </c>
      <c r="L11">
        <v>0</v>
      </c>
      <c r="M11" s="34">
        <f t="shared" ref="M11:M12" si="6">(L11/7241)*100</f>
        <v>0</v>
      </c>
    </row>
    <row r="12" spans="1:13" x14ac:dyDescent="0.3">
      <c r="K12" t="s">
        <v>3103</v>
      </c>
      <c r="L12">
        <v>0</v>
      </c>
      <c r="M12" s="34">
        <f t="shared" si="6"/>
        <v>0</v>
      </c>
    </row>
    <row r="13" spans="1:13" x14ac:dyDescent="0.3">
      <c r="L13" s="22">
        <f>SUM(L10:L12)</f>
        <v>0</v>
      </c>
      <c r="M13" s="35">
        <f t="shared" ref="M13" si="7">(L13/7241)*100</f>
        <v>0</v>
      </c>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CD8B9-A2F5-4279-AB87-9BFB370157CE}">
  <dimension ref="A1:Z386"/>
  <sheetViews>
    <sheetView workbookViewId="0">
      <pane ySplit="1" topLeftCell="A2" activePane="bottomLeft" state="frozen"/>
      <selection activeCell="I1" sqref="I1"/>
      <selection pane="bottomLeft" sqref="A1:A1048576"/>
    </sheetView>
  </sheetViews>
  <sheetFormatPr baseColWidth="10" defaultRowHeight="14.4" x14ac:dyDescent="0.3"/>
  <cols>
    <col min="1" max="1" width="20.33203125" bestFit="1" customWidth="1"/>
    <col min="2" max="2" width="14.6640625" style="3" bestFit="1" customWidth="1"/>
    <col min="3" max="3" width="11.5546875" style="3"/>
    <col min="4" max="4" width="16.88671875" style="3" bestFit="1" customWidth="1"/>
    <col min="5" max="5" width="21.77734375" style="3" bestFit="1" customWidth="1"/>
    <col min="6" max="6" width="13.109375" style="3" customWidth="1"/>
    <col min="7" max="7" width="18.21875" bestFit="1" customWidth="1"/>
    <col min="10" max="10" width="13.5546875" bestFit="1" customWidth="1"/>
    <col min="11" max="11" width="18.21875" bestFit="1" customWidth="1"/>
    <col min="12" max="12" width="16.88671875" bestFit="1" customWidth="1"/>
    <col min="14" max="14" width="13.5546875" bestFit="1" customWidth="1"/>
    <col min="16" max="16" width="53.44140625" bestFit="1" customWidth="1"/>
    <col min="18" max="18" width="13.5546875" bestFit="1" customWidth="1"/>
    <col min="19" max="19" width="16.88671875" bestFit="1" customWidth="1"/>
    <col min="20" max="20" width="53.44140625" bestFit="1" customWidth="1"/>
    <col min="22" max="22" width="13.5546875" bestFit="1" customWidth="1"/>
    <col min="23" max="23" width="53.44140625" bestFit="1" customWidth="1"/>
    <col min="24" max="24" width="18.6640625" bestFit="1" customWidth="1"/>
    <col min="26" max="26" width="13.5546875" bestFit="1" customWidth="1"/>
  </cols>
  <sheetData>
    <row r="1" spans="1:26" x14ac:dyDescent="0.3">
      <c r="A1" s="2" t="s">
        <v>55</v>
      </c>
      <c r="B1" s="1" t="s">
        <v>1</v>
      </c>
      <c r="C1" s="1" t="s">
        <v>0</v>
      </c>
      <c r="D1" s="1" t="s">
        <v>3084</v>
      </c>
      <c r="E1" s="1" t="s">
        <v>3</v>
      </c>
      <c r="F1" s="9" t="s">
        <v>2</v>
      </c>
      <c r="G1" s="22" t="s">
        <v>1</v>
      </c>
      <c r="H1" s="22" t="s">
        <v>0</v>
      </c>
      <c r="I1" s="22" t="s">
        <v>3073</v>
      </c>
      <c r="J1" s="22" t="s">
        <v>3089</v>
      </c>
      <c r="K1" s="23" t="s">
        <v>1</v>
      </c>
      <c r="L1" s="23" t="s">
        <v>3084</v>
      </c>
      <c r="M1" s="23" t="s">
        <v>3073</v>
      </c>
      <c r="N1" s="23" t="s">
        <v>3089</v>
      </c>
      <c r="O1" s="22" t="s">
        <v>0</v>
      </c>
      <c r="P1" s="22" t="s">
        <v>3088</v>
      </c>
      <c r="Q1" s="22" t="s">
        <v>3073</v>
      </c>
      <c r="R1" s="22" t="s">
        <v>3089</v>
      </c>
      <c r="S1" s="23" t="s">
        <v>3084</v>
      </c>
      <c r="T1" s="23" t="s">
        <v>3088</v>
      </c>
      <c r="U1" s="23" t="s">
        <v>3073</v>
      </c>
      <c r="V1" s="23" t="s">
        <v>3089</v>
      </c>
      <c r="W1" s="22" t="s">
        <v>3088</v>
      </c>
      <c r="X1" s="22" t="s">
        <v>2</v>
      </c>
      <c r="Y1" s="22" t="s">
        <v>3073</v>
      </c>
      <c r="Z1" s="22" t="s">
        <v>3089</v>
      </c>
    </row>
    <row r="2" spans="1:26" x14ac:dyDescent="0.3">
      <c r="A2" t="s">
        <v>3010</v>
      </c>
      <c r="B2" s="7">
        <v>1</v>
      </c>
      <c r="C2" s="7">
        <v>7</v>
      </c>
      <c r="D2" s="3">
        <v>19</v>
      </c>
      <c r="E2" s="3">
        <v>15</v>
      </c>
      <c r="F2" s="3">
        <v>1</v>
      </c>
      <c r="G2" t="s">
        <v>9</v>
      </c>
      <c r="H2">
        <v>2009</v>
      </c>
      <c r="I2">
        <f>COUNTIFS($B$2:$B$386,1,$C$2:$C$386,1)</f>
        <v>4</v>
      </c>
      <c r="J2" s="34">
        <f>(I2/385)*100</f>
        <v>1.0389610389610389</v>
      </c>
      <c r="K2" t="s">
        <v>9</v>
      </c>
      <c r="L2" t="s">
        <v>3080</v>
      </c>
      <c r="M2">
        <f>COUNTIFS($B$2:$B$386,1,$D$2:$D$386,18)</f>
        <v>47</v>
      </c>
      <c r="N2" s="34">
        <f>(M2/385)*100</f>
        <v>12.207792207792208</v>
      </c>
      <c r="O2">
        <v>2009</v>
      </c>
      <c r="P2" t="s">
        <v>11</v>
      </c>
      <c r="Q2">
        <f>COUNTIFS($C$2:$C$386,1,$E$2:$E$386,1)</f>
        <v>2</v>
      </c>
      <c r="R2" s="34">
        <f>(Q2/385)*100</f>
        <v>0.51948051948051943</v>
      </c>
      <c r="S2" t="s">
        <v>3080</v>
      </c>
      <c r="T2" t="s">
        <v>11</v>
      </c>
      <c r="U2">
        <f>COUNTIFS($D$2:$D$386,18,$E$2:$E$386,1)</f>
        <v>12</v>
      </c>
      <c r="V2" s="34">
        <f>(U2/385)*100</f>
        <v>3.116883116883117</v>
      </c>
      <c r="W2" t="s">
        <v>11</v>
      </c>
      <c r="X2" t="s">
        <v>10</v>
      </c>
      <c r="Y2">
        <f>COUNTIFS($E$2:$E$386,1,$F$2:$F$386,1)</f>
        <v>5</v>
      </c>
      <c r="Z2" s="34">
        <f>(Y2/385)*100</f>
        <v>1.2987012987012987</v>
      </c>
    </row>
    <row r="3" spans="1:26" x14ac:dyDescent="0.3">
      <c r="A3" s="6" t="s">
        <v>848</v>
      </c>
      <c r="B3" s="7">
        <v>1</v>
      </c>
      <c r="C3" s="7">
        <v>15</v>
      </c>
      <c r="D3" s="3">
        <v>21</v>
      </c>
      <c r="E3" s="11">
        <v>4</v>
      </c>
      <c r="F3" s="11">
        <v>3</v>
      </c>
      <c r="H3">
        <v>2010</v>
      </c>
      <c r="I3">
        <f>COUNTIFS($B$2:$B$386,1,$C$2:$C$386,2)</f>
        <v>11</v>
      </c>
      <c r="J3" s="34">
        <f t="shared" ref="J3:J19" si="0">(I3/385)*100</f>
        <v>2.8571428571428572</v>
      </c>
      <c r="L3" t="s">
        <v>3081</v>
      </c>
      <c r="M3">
        <f>COUNTIFS($B$2:$B$386,1,$D$2:$D$386,19)</f>
        <v>55</v>
      </c>
      <c r="N3" s="34">
        <f t="shared" ref="N3:N6" si="1">(M3/385)*100</f>
        <v>14.285714285714285</v>
      </c>
      <c r="P3" t="s">
        <v>18</v>
      </c>
      <c r="Q3">
        <f>COUNTIFS($C$2:$C$386,1,$E$2:$E$386,2)</f>
        <v>0</v>
      </c>
      <c r="R3" s="34">
        <f t="shared" ref="R3:R67" si="2">(Q3/385)*100</f>
        <v>0</v>
      </c>
      <c r="T3" t="s">
        <v>18</v>
      </c>
      <c r="U3">
        <f>COUNTIFS($D$2:$D$386,18,$E$2:$E$386,2)</f>
        <v>3</v>
      </c>
      <c r="V3" s="34">
        <f t="shared" ref="V3:V65" si="3">(U3/385)*100</f>
        <v>0.77922077922077926</v>
      </c>
      <c r="X3" t="s">
        <v>17</v>
      </c>
      <c r="Y3">
        <f>COUNTIFS($E$2:$E$386,1,$F$2:$F$386,2)</f>
        <v>0</v>
      </c>
      <c r="Z3" s="34">
        <f t="shared" ref="Z3:Z66" si="4">(Y3/385)*100</f>
        <v>0</v>
      </c>
    </row>
    <row r="4" spans="1:26" x14ac:dyDescent="0.3">
      <c r="A4" s="6" t="s">
        <v>388</v>
      </c>
      <c r="B4" s="7">
        <v>1</v>
      </c>
      <c r="C4" s="7">
        <v>16</v>
      </c>
      <c r="D4" s="3">
        <v>21</v>
      </c>
      <c r="E4" s="11">
        <v>4</v>
      </c>
      <c r="F4" s="11">
        <v>8</v>
      </c>
      <c r="H4">
        <v>2011</v>
      </c>
      <c r="I4">
        <f>COUNTIFS($B$2:$B$386,1,$C$2:$C$386,3)</f>
        <v>10</v>
      </c>
      <c r="J4" s="34">
        <f t="shared" si="0"/>
        <v>2.5974025974025974</v>
      </c>
      <c r="L4" t="s">
        <v>3082</v>
      </c>
      <c r="M4">
        <f>COUNTIFS($B$2:$B$386,1,$D$2:$D$386,20)</f>
        <v>77</v>
      </c>
      <c r="N4" s="34">
        <f t="shared" si="1"/>
        <v>20</v>
      </c>
      <c r="P4" t="s">
        <v>150</v>
      </c>
      <c r="Q4">
        <f>COUNTIFS($C$2:$C$386,1,$E$2:$E$386,3)</f>
        <v>0</v>
      </c>
      <c r="R4" s="34">
        <f t="shared" si="2"/>
        <v>0</v>
      </c>
      <c r="T4" t="s">
        <v>150</v>
      </c>
      <c r="U4">
        <f>COUNTIFS($D$2:$D$386,18,$E$2:$E$386,3)</f>
        <v>8</v>
      </c>
      <c r="V4" s="34">
        <f t="shared" si="3"/>
        <v>2.0779220779220777</v>
      </c>
      <c r="X4" t="s">
        <v>24</v>
      </c>
      <c r="Y4">
        <f>COUNTIFS($E$2:$E$386,1,$F$2:$F$386,3)</f>
        <v>24</v>
      </c>
      <c r="Z4" s="34">
        <f t="shared" si="4"/>
        <v>6.2337662337662341</v>
      </c>
    </row>
    <row r="5" spans="1:26" x14ac:dyDescent="0.3">
      <c r="A5" s="6" t="s">
        <v>910</v>
      </c>
      <c r="B5" s="7">
        <v>1</v>
      </c>
      <c r="C5" s="7">
        <v>15</v>
      </c>
      <c r="D5" s="3">
        <v>21</v>
      </c>
      <c r="E5" s="11">
        <v>1</v>
      </c>
      <c r="F5" s="7">
        <v>1</v>
      </c>
      <c r="H5">
        <v>2012</v>
      </c>
      <c r="I5">
        <f>COUNTIFS($B$2:$B$386,1,$C$2:$C$386,4)</f>
        <v>22</v>
      </c>
      <c r="J5" s="34">
        <f t="shared" si="0"/>
        <v>5.7142857142857144</v>
      </c>
      <c r="L5" t="s">
        <v>3083</v>
      </c>
      <c r="M5">
        <f>COUNTIFS($B$2:$B$386,1,$D$2:$D$386,21)</f>
        <v>206</v>
      </c>
      <c r="N5" s="34">
        <f t="shared" si="1"/>
        <v>53.506493506493499</v>
      </c>
      <c r="P5" t="s">
        <v>25</v>
      </c>
      <c r="Q5">
        <f>COUNTIFS($C$2:$C$386,1,$E$2:$E$386,4)</f>
        <v>1</v>
      </c>
      <c r="R5" s="34">
        <f t="shared" si="2"/>
        <v>0.25974025974025972</v>
      </c>
      <c r="T5" t="s">
        <v>25</v>
      </c>
      <c r="U5">
        <f>COUNTIFS($D$2:$D$386,18,$E$2:$E$386,4)</f>
        <v>14</v>
      </c>
      <c r="V5" s="34">
        <f t="shared" si="3"/>
        <v>3.6363636363636362</v>
      </c>
      <c r="X5" t="s">
        <v>31</v>
      </c>
      <c r="Y5">
        <f>COUNTIFS($E$2:$E$386,1,$F$2:$F$386,4)</f>
        <v>1</v>
      </c>
      <c r="Z5" s="34">
        <f t="shared" si="4"/>
        <v>0.25974025974025972</v>
      </c>
    </row>
    <row r="6" spans="1:26" x14ac:dyDescent="0.3">
      <c r="A6" t="s">
        <v>1623</v>
      </c>
      <c r="B6" s="7">
        <v>1</v>
      </c>
      <c r="C6" s="7">
        <v>11</v>
      </c>
      <c r="D6" s="3">
        <v>20</v>
      </c>
      <c r="E6" s="3">
        <v>4</v>
      </c>
      <c r="F6" s="3">
        <v>4</v>
      </c>
      <c r="H6">
        <v>2013</v>
      </c>
      <c r="I6">
        <f>COUNTIFS($B$2:$B$386,1,$C$2:$C$386,5)</f>
        <v>12</v>
      </c>
      <c r="J6" s="34">
        <f t="shared" si="0"/>
        <v>3.116883116883117</v>
      </c>
      <c r="M6" s="33">
        <f>SUM(M2:M5)</f>
        <v>385</v>
      </c>
      <c r="N6" s="36">
        <f t="shared" si="1"/>
        <v>100</v>
      </c>
      <c r="P6" t="s">
        <v>32</v>
      </c>
      <c r="Q6">
        <f>COUNTIFS($C$2:$C$386,1,$E$2:$E$386,5)</f>
        <v>0</v>
      </c>
      <c r="R6" s="34">
        <f t="shared" si="2"/>
        <v>0</v>
      </c>
      <c r="T6" t="s">
        <v>32</v>
      </c>
      <c r="U6">
        <f>COUNTIFS($D$2:$D$386,18,$E$2:$E$386,5)</f>
        <v>1</v>
      </c>
      <c r="V6" s="34">
        <f t="shared" si="3"/>
        <v>0.25974025974025972</v>
      </c>
      <c r="X6" t="s">
        <v>37</v>
      </c>
      <c r="Y6">
        <f>COUNTIFS($E$2:$E$386,1,$F$2:$F$386,5)</f>
        <v>4</v>
      </c>
      <c r="Z6" s="34">
        <f t="shared" si="4"/>
        <v>1.0389610389610389</v>
      </c>
    </row>
    <row r="7" spans="1:26" x14ac:dyDescent="0.3">
      <c r="A7" t="s">
        <v>2075</v>
      </c>
      <c r="B7" s="7">
        <v>1</v>
      </c>
      <c r="C7" s="7">
        <v>6</v>
      </c>
      <c r="D7" s="3">
        <v>19</v>
      </c>
      <c r="E7" s="3">
        <v>1</v>
      </c>
      <c r="F7" s="3">
        <v>3</v>
      </c>
      <c r="H7">
        <v>2014</v>
      </c>
      <c r="I7">
        <f>COUNTIFS($B$2:$B$386,1,$C$2:$C$386,6)</f>
        <v>7</v>
      </c>
      <c r="J7" s="34">
        <f t="shared" si="0"/>
        <v>1.8181818181818181</v>
      </c>
      <c r="P7" t="s">
        <v>38</v>
      </c>
      <c r="Q7">
        <f>COUNTIFS($C$2:$C$386,1,$E$2:$E$386,6)</f>
        <v>0</v>
      </c>
      <c r="R7" s="34">
        <f t="shared" si="2"/>
        <v>0</v>
      </c>
      <c r="T7" t="s">
        <v>38</v>
      </c>
      <c r="U7">
        <f>COUNTIFS($D$2:$D$386,18,$E$2:$E$386,6)</f>
        <v>0</v>
      </c>
      <c r="V7" s="34">
        <f t="shared" si="3"/>
        <v>0</v>
      </c>
      <c r="X7" t="s">
        <v>42</v>
      </c>
      <c r="Y7">
        <f>COUNTIFS($E$2:$E$386,1,$F$2:$F$386,6)</f>
        <v>4</v>
      </c>
      <c r="Z7" s="34">
        <f t="shared" si="4"/>
        <v>1.0389610389610389</v>
      </c>
    </row>
    <row r="8" spans="1:26" x14ac:dyDescent="0.3">
      <c r="A8" t="s">
        <v>1532</v>
      </c>
      <c r="B8" s="7">
        <v>1</v>
      </c>
      <c r="C8" s="7">
        <v>12</v>
      </c>
      <c r="D8" s="3">
        <v>20</v>
      </c>
      <c r="E8" s="3">
        <v>6</v>
      </c>
      <c r="F8" s="3">
        <v>1</v>
      </c>
      <c r="H8">
        <v>2015</v>
      </c>
      <c r="I8">
        <f>COUNTIFS($B$2:$B$386,1,$C$2:$C$386,7)</f>
        <v>15</v>
      </c>
      <c r="J8" s="34">
        <f t="shared" si="0"/>
        <v>3.8961038961038961</v>
      </c>
      <c r="P8" t="s">
        <v>151</v>
      </c>
      <c r="Q8">
        <f>COUNTIFS($C$2:$C$386,1,$E$2:$E$386,7)</f>
        <v>0</v>
      </c>
      <c r="R8" s="34">
        <f t="shared" si="2"/>
        <v>0</v>
      </c>
      <c r="T8" t="s">
        <v>151</v>
      </c>
      <c r="U8">
        <f>COUNTIFS($D$2:$D$386,18,$E$2:$E$386,7)</f>
        <v>0</v>
      </c>
      <c r="V8" s="34">
        <f t="shared" si="3"/>
        <v>0</v>
      </c>
      <c r="X8" t="s">
        <v>45</v>
      </c>
      <c r="Y8">
        <f>COUNTIFS($E$2:$E$386,1,$F$2:$F$386,7)</f>
        <v>4</v>
      </c>
      <c r="Z8" s="34">
        <f t="shared" si="4"/>
        <v>1.0389610389610389</v>
      </c>
    </row>
    <row r="9" spans="1:26" x14ac:dyDescent="0.3">
      <c r="A9" t="s">
        <v>1323</v>
      </c>
      <c r="B9" s="7">
        <v>1</v>
      </c>
      <c r="C9" s="7">
        <v>13</v>
      </c>
      <c r="D9" s="3">
        <v>21</v>
      </c>
      <c r="E9" s="3">
        <v>2</v>
      </c>
      <c r="F9" s="3">
        <v>3</v>
      </c>
      <c r="H9">
        <v>2016</v>
      </c>
      <c r="I9">
        <f>COUNTIFS($B$2:$B$386,1,$C$2:$C$386,8)</f>
        <v>21</v>
      </c>
      <c r="J9" s="34">
        <f t="shared" si="0"/>
        <v>5.4545454545454541</v>
      </c>
      <c r="P9" t="s">
        <v>43</v>
      </c>
      <c r="Q9">
        <f>COUNTIFS($C$2:$C$386,1,$E$2:$E$386,8)</f>
        <v>0</v>
      </c>
      <c r="R9" s="34">
        <f t="shared" si="2"/>
        <v>0</v>
      </c>
      <c r="T9" t="s">
        <v>43</v>
      </c>
      <c r="U9">
        <f>COUNTIFS($D$2:$D$386,18,$E$2:$E$386,8)</f>
        <v>1</v>
      </c>
      <c r="V9" s="34">
        <f t="shared" si="3"/>
        <v>0.25974025974025972</v>
      </c>
      <c r="X9" t="s">
        <v>48</v>
      </c>
      <c r="Y9">
        <f>COUNTIFS($E$2:$E$386,1,$F$2:$F$386,8)</f>
        <v>7</v>
      </c>
      <c r="Z9" s="34">
        <f t="shared" si="4"/>
        <v>1.8181818181818181</v>
      </c>
    </row>
    <row r="10" spans="1:26" x14ac:dyDescent="0.3">
      <c r="A10" s="6" t="s">
        <v>275</v>
      </c>
      <c r="B10" s="7">
        <v>1</v>
      </c>
      <c r="C10" s="7">
        <v>17</v>
      </c>
      <c r="D10" s="3">
        <v>21</v>
      </c>
      <c r="E10" s="11">
        <v>15</v>
      </c>
      <c r="F10" s="11">
        <v>3</v>
      </c>
      <c r="H10">
        <v>2017</v>
      </c>
      <c r="I10">
        <f>COUNTIFS($B$2:$B$386,1,$C$2:$C$386,9)</f>
        <v>12</v>
      </c>
      <c r="J10" s="34">
        <f t="shared" si="0"/>
        <v>3.116883116883117</v>
      </c>
      <c r="P10" t="s">
        <v>46</v>
      </c>
      <c r="Q10">
        <f>COUNTIFS($C$2:$C$386,1,$E$2:$E$386,9)</f>
        <v>0</v>
      </c>
      <c r="R10" s="34">
        <f t="shared" si="2"/>
        <v>0</v>
      </c>
      <c r="T10" t="s">
        <v>46</v>
      </c>
      <c r="U10">
        <f>COUNTIFS($D$2:$D$386,18,$E$2:$E$386,9)</f>
        <v>1</v>
      </c>
      <c r="V10" s="34">
        <f t="shared" si="3"/>
        <v>0.25974025974025972</v>
      </c>
      <c r="X10" t="s">
        <v>50</v>
      </c>
      <c r="Y10">
        <f>COUNTIFS($E$2:$E$386,1,$F$2:$F$386,9)</f>
        <v>4</v>
      </c>
      <c r="Z10" s="34">
        <f t="shared" si="4"/>
        <v>1.0389610389610389</v>
      </c>
    </row>
    <row r="11" spans="1:26" x14ac:dyDescent="0.3">
      <c r="A11" t="s">
        <v>2347</v>
      </c>
      <c r="B11" s="7">
        <v>1</v>
      </c>
      <c r="C11" s="7">
        <v>3</v>
      </c>
      <c r="D11" s="3">
        <v>18</v>
      </c>
      <c r="E11" s="3">
        <v>1</v>
      </c>
      <c r="F11" s="3">
        <v>4</v>
      </c>
      <c r="H11">
        <v>2018</v>
      </c>
      <c r="I11">
        <f>COUNTIFS($B$2:$B$386,1,$C$2:$C$386,10)</f>
        <v>19</v>
      </c>
      <c r="J11" s="34">
        <f t="shared" si="0"/>
        <v>4.9350649350649354</v>
      </c>
      <c r="P11" t="s">
        <v>152</v>
      </c>
      <c r="Q11">
        <f>COUNTIFS($C$2:$C$386,1,$E$2:$E$386,10)</f>
        <v>0</v>
      </c>
      <c r="R11" s="34">
        <f t="shared" si="2"/>
        <v>0</v>
      </c>
      <c r="T11" t="s">
        <v>152</v>
      </c>
      <c r="U11">
        <f>COUNTIFS($D$2:$D$386,18,$E$2:$E$386,10)</f>
        <v>0</v>
      </c>
      <c r="V11" s="34">
        <f t="shared" si="3"/>
        <v>0</v>
      </c>
      <c r="Y11" s="22">
        <f>SUM(Y2:Y10)</f>
        <v>53</v>
      </c>
      <c r="Z11" s="35">
        <f t="shared" si="4"/>
        <v>13.766233766233766</v>
      </c>
    </row>
    <row r="12" spans="1:26" x14ac:dyDescent="0.3">
      <c r="A12" s="6" t="s">
        <v>254</v>
      </c>
      <c r="B12" s="7">
        <v>1</v>
      </c>
      <c r="C12" s="7">
        <v>17</v>
      </c>
      <c r="D12" s="3">
        <v>21</v>
      </c>
      <c r="E12" s="11">
        <v>5</v>
      </c>
      <c r="F12" s="11">
        <v>5</v>
      </c>
      <c r="H12">
        <v>2019</v>
      </c>
      <c r="I12">
        <f>COUNTIFS($B$2:$B$386,1,$C$2:$C$386,11)</f>
        <v>17</v>
      </c>
      <c r="J12" s="34">
        <f t="shared" si="0"/>
        <v>4.4155844155844157</v>
      </c>
      <c r="P12" t="s">
        <v>49</v>
      </c>
      <c r="Q12">
        <f>COUNTIFS($C$2:$C$386,1,$E$2:$E$386,11)</f>
        <v>0</v>
      </c>
      <c r="R12" s="34">
        <f t="shared" si="2"/>
        <v>0</v>
      </c>
      <c r="T12" t="s">
        <v>49</v>
      </c>
      <c r="U12">
        <f>COUNTIFS($D$2:$D$386,18,$E$2:$E$386,11)</f>
        <v>0</v>
      </c>
      <c r="V12" s="34">
        <f t="shared" si="3"/>
        <v>0</v>
      </c>
      <c r="W12" t="s">
        <v>18</v>
      </c>
      <c r="X12" t="s">
        <v>10</v>
      </c>
      <c r="Y12">
        <f>COUNTIFS($E$2:$E$386,2,$F$2:$F$386,1)</f>
        <v>0</v>
      </c>
      <c r="Z12" s="34">
        <f>(Y12/385)*100</f>
        <v>0</v>
      </c>
    </row>
    <row r="13" spans="1:26" x14ac:dyDescent="0.3">
      <c r="A13" t="s">
        <v>2911</v>
      </c>
      <c r="B13" s="7">
        <v>1</v>
      </c>
      <c r="C13" s="7">
        <v>10</v>
      </c>
      <c r="D13" s="3">
        <v>20</v>
      </c>
      <c r="E13" s="3">
        <v>4</v>
      </c>
      <c r="F13" s="3">
        <v>3</v>
      </c>
      <c r="H13">
        <v>2020</v>
      </c>
      <c r="I13">
        <f>COUNTIFS($B$2:$B$386,1,$C$2:$C$386,12)</f>
        <v>29</v>
      </c>
      <c r="J13" s="34">
        <f t="shared" si="0"/>
        <v>7.5324675324675319</v>
      </c>
      <c r="P13" t="s">
        <v>51</v>
      </c>
      <c r="Q13">
        <f>COUNTIFS($C$2:$C$386,1,$E$2:$E$386,12)</f>
        <v>0</v>
      </c>
      <c r="R13" s="34">
        <f t="shared" si="2"/>
        <v>0</v>
      </c>
      <c r="T13" t="s">
        <v>51</v>
      </c>
      <c r="U13">
        <f>COUNTIFS($D$2:$D$386,18,$E$2:$E$386,12)</f>
        <v>1</v>
      </c>
      <c r="V13" s="34">
        <f t="shared" si="3"/>
        <v>0.25974025974025972</v>
      </c>
      <c r="X13" t="s">
        <v>17</v>
      </c>
      <c r="Y13">
        <f>COUNTIFS($E$2:$E$386,2,$F$2:$F$386,2)</f>
        <v>0</v>
      </c>
      <c r="Z13" s="34">
        <f t="shared" si="4"/>
        <v>0</v>
      </c>
    </row>
    <row r="14" spans="1:26" x14ac:dyDescent="0.3">
      <c r="A14" s="6" t="s">
        <v>1469</v>
      </c>
      <c r="B14" s="7">
        <v>1</v>
      </c>
      <c r="C14" s="7">
        <v>15</v>
      </c>
      <c r="D14" s="3">
        <v>21</v>
      </c>
      <c r="E14" s="11">
        <v>1</v>
      </c>
      <c r="F14" s="11">
        <v>3</v>
      </c>
      <c r="H14">
        <v>2021</v>
      </c>
      <c r="I14">
        <f>COUNTIFS($B$2:$B$386,1,$C$2:$C$386,13)</f>
        <v>48</v>
      </c>
      <c r="J14" s="34">
        <f t="shared" si="0"/>
        <v>12.467532467532468</v>
      </c>
      <c r="P14" t="s">
        <v>153</v>
      </c>
      <c r="Q14">
        <f>COUNTIFS($C$2:$C$386,1,$E$2:$E$386,13)</f>
        <v>0</v>
      </c>
      <c r="R14" s="34">
        <f t="shared" si="2"/>
        <v>0</v>
      </c>
      <c r="T14" t="s">
        <v>153</v>
      </c>
      <c r="U14">
        <f>COUNTIFS($D$2:$D$386,18,$E$2:$E$386,13)</f>
        <v>2</v>
      </c>
      <c r="V14" s="34">
        <f t="shared" si="3"/>
        <v>0.51948051948051943</v>
      </c>
      <c r="X14" t="s">
        <v>24</v>
      </c>
      <c r="Y14">
        <f>COUNTIFS($E$2:$E$386,2,$F$2:$F$386,3)</f>
        <v>25</v>
      </c>
      <c r="Z14" s="34">
        <f t="shared" si="4"/>
        <v>6.4935064935064926</v>
      </c>
    </row>
    <row r="15" spans="1:26" x14ac:dyDescent="0.3">
      <c r="A15" t="s">
        <v>1952</v>
      </c>
      <c r="B15" s="7">
        <v>1</v>
      </c>
      <c r="C15" s="7">
        <v>8</v>
      </c>
      <c r="D15" s="3">
        <v>19</v>
      </c>
      <c r="E15" s="3">
        <v>1</v>
      </c>
      <c r="F15" s="3">
        <v>3</v>
      </c>
      <c r="H15">
        <v>2022</v>
      </c>
      <c r="I15">
        <f>COUNTIFS($B$2:$B$386,1,$C$2:$C$386,14)</f>
        <v>33</v>
      </c>
      <c r="J15" s="34">
        <f t="shared" si="0"/>
        <v>8.5714285714285712</v>
      </c>
      <c r="P15" t="s">
        <v>154</v>
      </c>
      <c r="Q15">
        <f>COUNTIFS($C$2:$C$386,1,$E$2:$E$386,14)</f>
        <v>1</v>
      </c>
      <c r="R15" s="34">
        <f t="shared" si="2"/>
        <v>0.25974025974025972</v>
      </c>
      <c r="T15" t="s">
        <v>154</v>
      </c>
      <c r="U15">
        <f>COUNTIFS($D$2:$D$386,18,$E$2:$E$386,14)</f>
        <v>3</v>
      </c>
      <c r="V15" s="34">
        <f t="shared" si="3"/>
        <v>0.77922077922077926</v>
      </c>
      <c r="X15" t="s">
        <v>31</v>
      </c>
      <c r="Y15">
        <f>COUNTIFS($E$2:$E$386,2,$F$2:$F$386,4)</f>
        <v>0</v>
      </c>
      <c r="Z15" s="34">
        <f t="shared" si="4"/>
        <v>0</v>
      </c>
    </row>
    <row r="16" spans="1:26" x14ac:dyDescent="0.3">
      <c r="A16" t="s">
        <v>2229</v>
      </c>
      <c r="B16" s="7">
        <v>1</v>
      </c>
      <c r="C16" s="7">
        <v>4</v>
      </c>
      <c r="D16" s="3">
        <v>18</v>
      </c>
      <c r="E16" s="3">
        <v>14</v>
      </c>
      <c r="F16" s="3">
        <v>1</v>
      </c>
      <c r="H16">
        <v>2023</v>
      </c>
      <c r="I16">
        <f>COUNTIFS($B$2:$B$386,1,$C$2:$C$386,15)</f>
        <v>40</v>
      </c>
      <c r="J16" s="34">
        <f t="shared" si="0"/>
        <v>10.38961038961039</v>
      </c>
      <c r="P16" t="s">
        <v>52</v>
      </c>
      <c r="Q16">
        <f>COUNTIFS($C$2:$C$386,1,$E$2:$E$386,15)</f>
        <v>0</v>
      </c>
      <c r="R16" s="34">
        <f t="shared" si="2"/>
        <v>0</v>
      </c>
      <c r="T16" t="s">
        <v>52</v>
      </c>
      <c r="U16">
        <f>COUNTIFS($D$2:$D$386,18,$E$2:$E$386,15)</f>
        <v>1</v>
      </c>
      <c r="V16" s="34">
        <f t="shared" si="3"/>
        <v>0.25974025974025972</v>
      </c>
      <c r="X16" t="s">
        <v>37</v>
      </c>
      <c r="Y16">
        <f>COUNTIFS($E$2:$E$386,2,$F$2:$F$386,5)</f>
        <v>1</v>
      </c>
      <c r="Z16" s="34">
        <f t="shared" si="4"/>
        <v>0.25974025974025972</v>
      </c>
    </row>
    <row r="17" spans="1:26" x14ac:dyDescent="0.3">
      <c r="A17" s="6" t="s">
        <v>200</v>
      </c>
      <c r="B17" s="7">
        <v>1</v>
      </c>
      <c r="C17" s="7">
        <v>17</v>
      </c>
      <c r="D17" s="3">
        <v>21</v>
      </c>
      <c r="E17" s="11">
        <v>14</v>
      </c>
      <c r="F17" s="11">
        <v>3</v>
      </c>
      <c r="H17">
        <v>2024</v>
      </c>
      <c r="I17">
        <f>COUNTIFS($B$2:$B$386,1,$C$2:$C$386,16)</f>
        <v>69</v>
      </c>
      <c r="J17" s="34">
        <f t="shared" si="0"/>
        <v>17.922077922077921</v>
      </c>
      <c r="Q17" s="22">
        <f>SUM(Q2:Q16)</f>
        <v>4</v>
      </c>
      <c r="R17" s="35">
        <f t="shared" si="2"/>
        <v>1.0389610389610389</v>
      </c>
      <c r="U17" s="23">
        <f>SUM(U2:U16)</f>
        <v>47</v>
      </c>
      <c r="V17" s="37">
        <f t="shared" si="3"/>
        <v>12.207792207792208</v>
      </c>
      <c r="X17" t="s">
        <v>42</v>
      </c>
      <c r="Y17">
        <f>COUNTIFS($E$2:$E$386,2,$F$2:$F$386,6)</f>
        <v>3</v>
      </c>
      <c r="Z17" s="34">
        <f t="shared" si="4"/>
        <v>0.77922077922077926</v>
      </c>
    </row>
    <row r="18" spans="1:26" x14ac:dyDescent="0.3">
      <c r="A18" s="6" t="s">
        <v>327</v>
      </c>
      <c r="B18" s="7">
        <v>1</v>
      </c>
      <c r="C18" s="7">
        <v>16</v>
      </c>
      <c r="D18" s="3">
        <v>21</v>
      </c>
      <c r="E18" s="11">
        <v>1</v>
      </c>
      <c r="F18" s="11">
        <v>5</v>
      </c>
      <c r="H18">
        <v>2025</v>
      </c>
      <c r="I18">
        <f>COUNTIFS($B$2:$B$386,1,$C$2:$C$386,17)</f>
        <v>16</v>
      </c>
      <c r="J18" s="34">
        <f t="shared" si="0"/>
        <v>4.1558441558441555</v>
      </c>
      <c r="O18">
        <v>2010</v>
      </c>
      <c r="P18" t="s">
        <v>11</v>
      </c>
      <c r="Q18">
        <f>COUNTIFS($C$2:$C$386,2,$E$2:$E$386,1)</f>
        <v>3</v>
      </c>
      <c r="R18" s="34">
        <f>(Q18/385)*100</f>
        <v>0.77922077922077926</v>
      </c>
      <c r="S18" t="s">
        <v>3081</v>
      </c>
      <c r="T18" t="s">
        <v>11</v>
      </c>
      <c r="U18">
        <f>COUNTIFS($D$2:$D$386,19,$E$2:$E$386,1)</f>
        <v>8</v>
      </c>
      <c r="V18" s="34">
        <f>(U18/385)*100</f>
        <v>2.0779220779220777</v>
      </c>
      <c r="X18" t="s">
        <v>45</v>
      </c>
      <c r="Y18">
        <f>COUNTIFS($E$2:$E$386,2,$F$2:$F$386,7)</f>
        <v>0</v>
      </c>
      <c r="Z18" s="34">
        <f t="shared" si="4"/>
        <v>0</v>
      </c>
    </row>
    <row r="19" spans="1:26" x14ac:dyDescent="0.3">
      <c r="A19" t="s">
        <v>2618</v>
      </c>
      <c r="B19" s="7">
        <v>1</v>
      </c>
      <c r="C19" s="7">
        <v>14</v>
      </c>
      <c r="D19" s="3">
        <v>21</v>
      </c>
      <c r="E19" s="3">
        <v>4</v>
      </c>
      <c r="F19" s="3">
        <v>3</v>
      </c>
      <c r="I19" s="22">
        <f>SUM(I2:I18)</f>
        <v>385</v>
      </c>
      <c r="J19" s="35">
        <f t="shared" si="0"/>
        <v>100</v>
      </c>
      <c r="P19" t="s">
        <v>18</v>
      </c>
      <c r="Q19">
        <f>COUNTIFS($C$2:$C$386,2,$E$2:$E$386,2)</f>
        <v>1</v>
      </c>
      <c r="R19" s="34">
        <f t="shared" si="2"/>
        <v>0.25974025974025972</v>
      </c>
      <c r="T19" t="s">
        <v>18</v>
      </c>
      <c r="U19">
        <f>COUNTIFS($D$2:$D$386,19,$E$2:$E$386,2)</f>
        <v>4</v>
      </c>
      <c r="V19" s="34">
        <f t="shared" si="3"/>
        <v>1.0389610389610389</v>
      </c>
      <c r="X19" t="s">
        <v>48</v>
      </c>
      <c r="Y19">
        <f>COUNTIFS($E$2:$E$386,2,$F$2:$F$386,8)</f>
        <v>1</v>
      </c>
      <c r="Z19" s="34">
        <f t="shared" si="4"/>
        <v>0.25974025974025972</v>
      </c>
    </row>
    <row r="20" spans="1:26" x14ac:dyDescent="0.3">
      <c r="A20" s="6" t="s">
        <v>107</v>
      </c>
      <c r="B20" s="7">
        <v>1</v>
      </c>
      <c r="C20" s="7">
        <v>17</v>
      </c>
      <c r="D20" s="3">
        <v>21</v>
      </c>
      <c r="E20" s="11">
        <v>4</v>
      </c>
      <c r="F20" s="11">
        <v>3</v>
      </c>
      <c r="P20" t="s">
        <v>150</v>
      </c>
      <c r="Q20">
        <f>COUNTIFS($C$2:$C$386,2,$E$2:$E$386,3)</f>
        <v>2</v>
      </c>
      <c r="R20" s="34">
        <f t="shared" si="2"/>
        <v>0.51948051948051943</v>
      </c>
      <c r="T20" t="s">
        <v>150</v>
      </c>
      <c r="U20">
        <f>COUNTIFS($D$2:$D$386,19,$E$2:$E$386,3)</f>
        <v>5</v>
      </c>
      <c r="V20" s="34">
        <f t="shared" si="3"/>
        <v>1.2987012987012987</v>
      </c>
      <c r="X20" t="s">
        <v>50</v>
      </c>
      <c r="Y20">
        <f>COUNTIFS($E$2:$E$386,2,$F$2:$F$386,9)</f>
        <v>0</v>
      </c>
      <c r="Z20" s="34">
        <f t="shared" si="4"/>
        <v>0</v>
      </c>
    </row>
    <row r="21" spans="1:26" x14ac:dyDescent="0.3">
      <c r="A21" s="6" t="s">
        <v>1084</v>
      </c>
      <c r="B21" s="7">
        <v>1</v>
      </c>
      <c r="C21" s="7">
        <v>14</v>
      </c>
      <c r="D21" s="3">
        <v>21</v>
      </c>
      <c r="E21" s="11">
        <v>4</v>
      </c>
      <c r="F21" s="11">
        <v>1</v>
      </c>
      <c r="P21" t="s">
        <v>25</v>
      </c>
      <c r="Q21">
        <f>COUNTIFS($C$2:$C$386,2,$E$2:$E$386,4)</f>
        <v>4</v>
      </c>
      <c r="R21" s="34">
        <f t="shared" si="2"/>
        <v>1.0389610389610389</v>
      </c>
      <c r="T21" t="s">
        <v>25</v>
      </c>
      <c r="U21">
        <f>COUNTIFS($D$2:$D$386,19,$E$2:$E$386,4)</f>
        <v>25</v>
      </c>
      <c r="V21" s="34">
        <f t="shared" si="3"/>
        <v>6.4935064935064926</v>
      </c>
      <c r="Y21" s="22">
        <f>SUM(Y12:Y20)</f>
        <v>30</v>
      </c>
      <c r="Z21" s="35">
        <f t="shared" si="4"/>
        <v>7.7922077922077921</v>
      </c>
    </row>
    <row r="22" spans="1:26" x14ac:dyDescent="0.3">
      <c r="A22" t="s">
        <v>2905</v>
      </c>
      <c r="B22" s="7">
        <v>1</v>
      </c>
      <c r="C22" s="7">
        <v>10</v>
      </c>
      <c r="D22" s="3">
        <v>20</v>
      </c>
      <c r="E22" s="3">
        <v>15</v>
      </c>
      <c r="F22" s="3">
        <v>3</v>
      </c>
      <c r="P22" t="s">
        <v>32</v>
      </c>
      <c r="Q22">
        <f>COUNTIFS($C$2:$C$386,2,$E$2:$E$386,5)</f>
        <v>0</v>
      </c>
      <c r="R22" s="34">
        <f t="shared" si="2"/>
        <v>0</v>
      </c>
      <c r="T22" t="s">
        <v>32</v>
      </c>
      <c r="U22">
        <f>COUNTIFS($D$2:$D$386,19,$E$2:$E$386,5)</f>
        <v>4</v>
      </c>
      <c r="V22" s="34">
        <f t="shared" si="3"/>
        <v>1.0389610389610389</v>
      </c>
      <c r="W22" t="s">
        <v>150</v>
      </c>
      <c r="X22" t="s">
        <v>10</v>
      </c>
      <c r="Y22">
        <f>COUNTIFS($E$2:$E$386,3,$F$2:$F$386,1)</f>
        <v>3</v>
      </c>
      <c r="Z22" s="34">
        <f>(Y22/385)*100</f>
        <v>0.77922077922077926</v>
      </c>
    </row>
    <row r="23" spans="1:26" x14ac:dyDescent="0.3">
      <c r="A23" s="6" t="s">
        <v>758</v>
      </c>
      <c r="B23" s="7">
        <v>1</v>
      </c>
      <c r="C23" s="7">
        <v>15</v>
      </c>
      <c r="D23" s="3">
        <v>21</v>
      </c>
      <c r="E23" s="11">
        <v>2</v>
      </c>
      <c r="F23" s="7">
        <v>3</v>
      </c>
      <c r="P23" t="s">
        <v>38</v>
      </c>
      <c r="Q23">
        <f>COUNTIFS($C$2:$C$386,2,$E$2:$E$386,6)</f>
        <v>0</v>
      </c>
      <c r="R23" s="34">
        <f t="shared" si="2"/>
        <v>0</v>
      </c>
      <c r="T23" t="s">
        <v>38</v>
      </c>
      <c r="U23">
        <f>COUNTIFS($D$2:$D$386,19,$E$2:$E$386,6)</f>
        <v>0</v>
      </c>
      <c r="V23" s="34">
        <f t="shared" si="3"/>
        <v>0</v>
      </c>
      <c r="X23" t="s">
        <v>17</v>
      </c>
      <c r="Y23">
        <f>COUNTIFS($E$2:$E$386,3,$F$2:$F$386,2)</f>
        <v>0</v>
      </c>
      <c r="Z23" s="34">
        <f t="shared" si="4"/>
        <v>0</v>
      </c>
    </row>
    <row r="24" spans="1:26" x14ac:dyDescent="0.3">
      <c r="A24" s="6" t="s">
        <v>495</v>
      </c>
      <c r="B24" s="7">
        <v>1</v>
      </c>
      <c r="C24" s="7">
        <v>16</v>
      </c>
      <c r="D24" s="3">
        <v>21</v>
      </c>
      <c r="E24" s="11">
        <v>4</v>
      </c>
      <c r="F24" s="11">
        <v>1</v>
      </c>
      <c r="P24" t="s">
        <v>151</v>
      </c>
      <c r="Q24">
        <f>COUNTIFS($C$2:$C$386,2,$E$2:$E$386,7)</f>
        <v>0</v>
      </c>
      <c r="R24" s="34">
        <f t="shared" si="2"/>
        <v>0</v>
      </c>
      <c r="T24" t="s">
        <v>151</v>
      </c>
      <c r="U24">
        <f>COUNTIFS($D$2:$D$386,19,$E$2:$E$386,7)</f>
        <v>0</v>
      </c>
      <c r="V24" s="34">
        <f t="shared" si="3"/>
        <v>0</v>
      </c>
      <c r="X24" t="s">
        <v>24</v>
      </c>
      <c r="Y24">
        <f>COUNTIFS($E$2:$E$386,3,$F$2:$F$386,3)</f>
        <v>20</v>
      </c>
      <c r="Z24" s="34">
        <f t="shared" si="4"/>
        <v>5.1948051948051948</v>
      </c>
    </row>
    <row r="25" spans="1:26" x14ac:dyDescent="0.3">
      <c r="A25" t="s">
        <v>1363</v>
      </c>
      <c r="B25" s="7">
        <v>1</v>
      </c>
      <c r="C25" s="7">
        <v>13</v>
      </c>
      <c r="D25" s="3">
        <v>21</v>
      </c>
      <c r="E25" s="3">
        <v>4</v>
      </c>
      <c r="F25" s="3">
        <v>3</v>
      </c>
      <c r="P25" t="s">
        <v>43</v>
      </c>
      <c r="Q25">
        <f>COUNTIFS($C$2:$C$386,2,$E$2:$E$386,8)</f>
        <v>0</v>
      </c>
      <c r="R25" s="34">
        <f t="shared" si="2"/>
        <v>0</v>
      </c>
      <c r="T25" t="s">
        <v>43</v>
      </c>
      <c r="U25">
        <f>COUNTIFS($D$2:$D$386,19,$E$2:$E$386,8)</f>
        <v>1</v>
      </c>
      <c r="V25" s="34">
        <f t="shared" si="3"/>
        <v>0.25974025974025972</v>
      </c>
      <c r="X25" t="s">
        <v>31</v>
      </c>
      <c r="Y25">
        <f>COUNTIFS($E$2:$E$386,3,$F$2:$F$386,4)</f>
        <v>0</v>
      </c>
      <c r="Z25" s="34">
        <f t="shared" si="4"/>
        <v>0</v>
      </c>
    </row>
    <row r="26" spans="1:26" x14ac:dyDescent="0.3">
      <c r="A26" s="6" t="s">
        <v>780</v>
      </c>
      <c r="B26" s="7">
        <v>1</v>
      </c>
      <c r="C26" s="7">
        <v>15</v>
      </c>
      <c r="D26" s="3">
        <v>21</v>
      </c>
      <c r="E26" s="11">
        <v>14</v>
      </c>
      <c r="F26" s="7">
        <v>1</v>
      </c>
      <c r="P26" t="s">
        <v>46</v>
      </c>
      <c r="Q26">
        <f>COUNTIFS($C$2:$C$386,2,$E$2:$E$386,9)</f>
        <v>0</v>
      </c>
      <c r="R26" s="34">
        <f t="shared" si="2"/>
        <v>0</v>
      </c>
      <c r="T26" t="s">
        <v>46</v>
      </c>
      <c r="U26">
        <f>COUNTIFS($D$2:$D$386,19,$E$2:$E$386,9)</f>
        <v>2</v>
      </c>
      <c r="V26" s="34">
        <f t="shared" si="3"/>
        <v>0.51948051948051943</v>
      </c>
      <c r="X26" t="s">
        <v>37</v>
      </c>
      <c r="Y26">
        <f>COUNTIFS($E$2:$E$386,3,$F$2:$F$386,5)</f>
        <v>4</v>
      </c>
      <c r="Z26" s="34">
        <f t="shared" si="4"/>
        <v>1.0389610389610389</v>
      </c>
    </row>
    <row r="27" spans="1:26" x14ac:dyDescent="0.3">
      <c r="A27" t="s">
        <v>1627</v>
      </c>
      <c r="B27" s="7">
        <v>1</v>
      </c>
      <c r="C27" s="7">
        <v>11</v>
      </c>
      <c r="D27" s="3">
        <v>20</v>
      </c>
      <c r="E27" s="3">
        <v>4</v>
      </c>
      <c r="F27" s="3">
        <v>3</v>
      </c>
      <c r="P27" t="s">
        <v>152</v>
      </c>
      <c r="Q27">
        <f>COUNTIFS($C$2:$C$386,2,$E$2:$E$386,10)</f>
        <v>0</v>
      </c>
      <c r="R27" s="34">
        <f t="shared" si="2"/>
        <v>0</v>
      </c>
      <c r="T27" t="s">
        <v>152</v>
      </c>
      <c r="U27">
        <f>COUNTIFS($D$2:$D$386,19,$E$2:$E$386,10)</f>
        <v>0</v>
      </c>
      <c r="V27" s="34">
        <f t="shared" si="3"/>
        <v>0</v>
      </c>
      <c r="X27" t="s">
        <v>42</v>
      </c>
      <c r="Y27">
        <f>COUNTIFS($E$2:$E$386,3,$F$2:$F$386,6)</f>
        <v>3</v>
      </c>
      <c r="Z27" s="34">
        <f t="shared" si="4"/>
        <v>0.77922077922077926</v>
      </c>
    </row>
    <row r="28" spans="1:26" x14ac:dyDescent="0.3">
      <c r="A28" s="6" t="s">
        <v>488</v>
      </c>
      <c r="B28" s="7">
        <v>1</v>
      </c>
      <c r="C28" s="7">
        <v>16</v>
      </c>
      <c r="D28" s="3">
        <v>21</v>
      </c>
      <c r="E28" s="11">
        <v>4</v>
      </c>
      <c r="F28" s="11">
        <v>1</v>
      </c>
      <c r="P28" t="s">
        <v>49</v>
      </c>
      <c r="Q28">
        <f>COUNTIFS($C$2:$C$386,2,$E$2:$E$386,11)</f>
        <v>0</v>
      </c>
      <c r="R28" s="34">
        <f t="shared" si="2"/>
        <v>0</v>
      </c>
      <c r="T28" t="s">
        <v>49</v>
      </c>
      <c r="U28">
        <f>COUNTIFS($D$2:$D$386,19,$E$2:$E$386,11)</f>
        <v>0</v>
      </c>
      <c r="V28" s="34">
        <f t="shared" si="3"/>
        <v>0</v>
      </c>
      <c r="X28" t="s">
        <v>45</v>
      </c>
      <c r="Y28">
        <f>COUNTIFS($E$2:$E$386,3,$F$2:$F$386,7)</f>
        <v>0</v>
      </c>
      <c r="Z28" s="34">
        <f t="shared" si="4"/>
        <v>0</v>
      </c>
    </row>
    <row r="29" spans="1:26" x14ac:dyDescent="0.3">
      <c r="A29" t="s">
        <v>2175</v>
      </c>
      <c r="B29" s="7">
        <v>1</v>
      </c>
      <c r="C29" s="7">
        <v>4</v>
      </c>
      <c r="D29" s="3">
        <v>18</v>
      </c>
      <c r="E29" s="3">
        <v>8</v>
      </c>
      <c r="F29" s="3">
        <v>3</v>
      </c>
      <c r="P29" t="s">
        <v>51</v>
      </c>
      <c r="Q29">
        <f>COUNTIFS($C$2:$C$386,2,$E$2:$E$386,12)</f>
        <v>0</v>
      </c>
      <c r="R29" s="34">
        <f t="shared" si="2"/>
        <v>0</v>
      </c>
      <c r="T29" t="s">
        <v>51</v>
      </c>
      <c r="U29">
        <f>COUNTIFS($D$2:$D$386,19,$E$2:$E$386,12)</f>
        <v>0</v>
      </c>
      <c r="V29" s="34">
        <f t="shared" si="3"/>
        <v>0</v>
      </c>
      <c r="X29" t="s">
        <v>48</v>
      </c>
      <c r="Y29">
        <f>COUNTIFS($E$2:$E$386,3,$F$2:$F$386,8)</f>
        <v>0</v>
      </c>
      <c r="Z29" s="34">
        <f t="shared" si="4"/>
        <v>0</v>
      </c>
    </row>
    <row r="30" spans="1:26" x14ac:dyDescent="0.3">
      <c r="A30" t="s">
        <v>2977</v>
      </c>
      <c r="B30" s="7">
        <v>1</v>
      </c>
      <c r="C30" s="7">
        <v>6</v>
      </c>
      <c r="D30" s="3">
        <v>19</v>
      </c>
      <c r="E30" s="3">
        <v>4</v>
      </c>
      <c r="F30" s="3">
        <v>3</v>
      </c>
      <c r="P30" t="s">
        <v>153</v>
      </c>
      <c r="Q30">
        <f>COUNTIFS($C$2:$C$386,2,$E$2:$E$386,13)</f>
        <v>1</v>
      </c>
      <c r="R30" s="34">
        <f t="shared" si="2"/>
        <v>0.25974025974025972</v>
      </c>
      <c r="T30" t="s">
        <v>153</v>
      </c>
      <c r="U30">
        <f>COUNTIFS($D$2:$D$386,19,$E$2:$E$386,13)</f>
        <v>0</v>
      </c>
      <c r="V30" s="34">
        <f t="shared" si="3"/>
        <v>0</v>
      </c>
      <c r="X30" t="s">
        <v>50</v>
      </c>
      <c r="Y30">
        <f>COUNTIFS($E$2:$E$386,3,$F$2:$F$386,9)</f>
        <v>2</v>
      </c>
      <c r="Z30" s="34">
        <f t="shared" si="4"/>
        <v>0.51948051948051943</v>
      </c>
    </row>
    <row r="31" spans="1:26" x14ac:dyDescent="0.3">
      <c r="A31" t="s">
        <v>2109</v>
      </c>
      <c r="B31" s="7">
        <v>1</v>
      </c>
      <c r="C31" s="7">
        <v>4</v>
      </c>
      <c r="D31" s="3">
        <v>18</v>
      </c>
      <c r="E31" s="3">
        <v>1</v>
      </c>
      <c r="F31" s="3">
        <v>1</v>
      </c>
      <c r="P31" t="s">
        <v>154</v>
      </c>
      <c r="Q31">
        <f>COUNTIFS($C$2:$C$386,2,$E$2:$E$386,14)</f>
        <v>0</v>
      </c>
      <c r="R31" s="34">
        <f t="shared" si="2"/>
        <v>0</v>
      </c>
      <c r="T31" t="s">
        <v>154</v>
      </c>
      <c r="U31">
        <f>COUNTIFS($D$2:$D$386,19,$E$2:$E$386,14)</f>
        <v>1</v>
      </c>
      <c r="V31" s="34">
        <f t="shared" si="3"/>
        <v>0.25974025974025972</v>
      </c>
      <c r="Y31" s="22">
        <f>SUM(Y22:Y30)</f>
        <v>32</v>
      </c>
      <c r="Z31" s="35">
        <f t="shared" si="4"/>
        <v>8.3116883116883109</v>
      </c>
    </row>
    <row r="32" spans="1:26" x14ac:dyDescent="0.3">
      <c r="A32" t="s">
        <v>2109</v>
      </c>
      <c r="B32" s="7">
        <v>1</v>
      </c>
      <c r="C32" s="7">
        <v>4</v>
      </c>
      <c r="D32" s="3">
        <v>18</v>
      </c>
      <c r="E32" s="3">
        <v>4</v>
      </c>
      <c r="F32" s="3">
        <v>3</v>
      </c>
      <c r="P32" t="s">
        <v>52</v>
      </c>
      <c r="Q32">
        <f>COUNTIFS($C$2:$C$386,2,$E$2:$E$386,15)</f>
        <v>0</v>
      </c>
      <c r="R32" s="34">
        <f t="shared" si="2"/>
        <v>0</v>
      </c>
      <c r="T32" t="s">
        <v>52</v>
      </c>
      <c r="U32">
        <f>COUNTIFS($D$2:$D$386,19,$E$2:$E$386,15)</f>
        <v>5</v>
      </c>
      <c r="V32" s="34">
        <f t="shared" si="3"/>
        <v>1.2987012987012987</v>
      </c>
      <c r="W32" t="s">
        <v>25</v>
      </c>
      <c r="X32" t="s">
        <v>10</v>
      </c>
      <c r="Y32">
        <f>COUNTIFS($E$2:$E$386,4,$F$2:$F$386,1)</f>
        <v>28</v>
      </c>
      <c r="Z32" s="34">
        <f>(Y32/385)*100</f>
        <v>7.2727272727272725</v>
      </c>
    </row>
    <row r="33" spans="1:26" x14ac:dyDescent="0.3">
      <c r="A33" t="s">
        <v>1377</v>
      </c>
      <c r="B33" s="7">
        <v>1</v>
      </c>
      <c r="C33" s="7">
        <v>13</v>
      </c>
      <c r="D33" s="3">
        <v>21</v>
      </c>
      <c r="E33" s="3">
        <v>8</v>
      </c>
      <c r="F33" s="3">
        <v>3</v>
      </c>
      <c r="Q33" s="22">
        <f>SUM(Q18:Q32)</f>
        <v>11</v>
      </c>
      <c r="R33" s="35">
        <f t="shared" si="2"/>
        <v>2.8571428571428572</v>
      </c>
      <c r="U33" s="23">
        <f>SUM(U18:U32)</f>
        <v>55</v>
      </c>
      <c r="V33" s="37">
        <f t="shared" si="3"/>
        <v>14.285714285714285</v>
      </c>
      <c r="X33" t="s">
        <v>17</v>
      </c>
      <c r="Y33">
        <f>COUNTIFS($E$2:$E$386,4,$F$2:$F$386,2)</f>
        <v>0</v>
      </c>
      <c r="Z33" s="34">
        <f t="shared" si="4"/>
        <v>0</v>
      </c>
    </row>
    <row r="34" spans="1:26" x14ac:dyDescent="0.3">
      <c r="A34" t="s">
        <v>3053</v>
      </c>
      <c r="B34" s="7">
        <v>1</v>
      </c>
      <c r="C34" s="7">
        <v>4</v>
      </c>
      <c r="D34" s="3">
        <v>18</v>
      </c>
      <c r="E34" s="3">
        <v>1</v>
      </c>
      <c r="F34" s="3">
        <v>5</v>
      </c>
      <c r="O34">
        <v>2011</v>
      </c>
      <c r="P34" t="s">
        <v>11</v>
      </c>
      <c r="Q34">
        <f>COUNTIFS($C$2:$C$386,3,$E$2:$E$386,1)</f>
        <v>3</v>
      </c>
      <c r="R34" s="34">
        <f>(Q34/385)*100</f>
        <v>0.77922077922077926</v>
      </c>
      <c r="S34" t="s">
        <v>3082</v>
      </c>
      <c r="T34" t="s">
        <v>11</v>
      </c>
      <c r="U34">
        <f>COUNTIFS($D$2:$D$386,20,$E$2:$E$386,1)</f>
        <v>16</v>
      </c>
      <c r="V34" s="34">
        <f>(U34/385)*100</f>
        <v>4.1558441558441555</v>
      </c>
      <c r="X34" t="s">
        <v>24</v>
      </c>
      <c r="Y34">
        <f>COUNTIFS($E$2:$E$386,4,$F$2:$F$386,3)</f>
        <v>97</v>
      </c>
      <c r="Z34" s="34">
        <f t="shared" si="4"/>
        <v>25.194805194805191</v>
      </c>
    </row>
    <row r="35" spans="1:26" x14ac:dyDescent="0.3">
      <c r="A35" t="s">
        <v>1739</v>
      </c>
      <c r="B35" s="7">
        <v>1</v>
      </c>
      <c r="C35" s="7">
        <v>10</v>
      </c>
      <c r="D35" s="3">
        <v>20</v>
      </c>
      <c r="E35" s="3">
        <v>1</v>
      </c>
      <c r="F35" s="3">
        <v>3</v>
      </c>
      <c r="P35" t="s">
        <v>18</v>
      </c>
      <c r="Q35">
        <f>COUNTIFS($C$2:$C$386,3,$E$2:$E$386,2)</f>
        <v>2</v>
      </c>
      <c r="R35" s="34">
        <f t="shared" si="2"/>
        <v>0.51948051948051943</v>
      </c>
      <c r="T35" t="s">
        <v>18</v>
      </c>
      <c r="U35">
        <f>COUNTIFS($D$2:$D$386,20,$E$2:$E$386,2)</f>
        <v>8</v>
      </c>
      <c r="V35" s="34">
        <f t="shared" si="3"/>
        <v>2.0779220779220777</v>
      </c>
      <c r="X35" t="s">
        <v>31</v>
      </c>
      <c r="Y35">
        <f>COUNTIFS($E$2:$E$386,4,$F$2:$F$386,4)</f>
        <v>1</v>
      </c>
      <c r="Z35" s="34">
        <f t="shared" si="4"/>
        <v>0.25974025974025972</v>
      </c>
    </row>
    <row r="36" spans="1:26" x14ac:dyDescent="0.3">
      <c r="A36" t="s">
        <v>1822</v>
      </c>
      <c r="B36" s="7">
        <v>1</v>
      </c>
      <c r="C36" s="7">
        <v>8</v>
      </c>
      <c r="D36" s="3">
        <v>19</v>
      </c>
      <c r="E36" s="3">
        <v>14</v>
      </c>
      <c r="F36" s="3">
        <v>3</v>
      </c>
      <c r="P36" t="s">
        <v>150</v>
      </c>
      <c r="Q36">
        <f>COUNTIFS($C$2:$C$386,3,$E$2:$E$386,3)</f>
        <v>1</v>
      </c>
      <c r="R36" s="34">
        <f t="shared" si="2"/>
        <v>0.25974025974025972</v>
      </c>
      <c r="T36" t="s">
        <v>150</v>
      </c>
      <c r="U36">
        <f>COUNTIFS($D$2:$D$386,20,$E$2:$E$386,3)</f>
        <v>4</v>
      </c>
      <c r="V36" s="34">
        <f t="shared" si="3"/>
        <v>1.0389610389610389</v>
      </c>
      <c r="X36" t="s">
        <v>37</v>
      </c>
      <c r="Y36">
        <f>COUNTIFS($E$2:$E$386,4,$F$2:$F$386,5)</f>
        <v>7</v>
      </c>
      <c r="Z36" s="34">
        <f t="shared" si="4"/>
        <v>1.8181818181818181</v>
      </c>
    </row>
    <row r="37" spans="1:26" x14ac:dyDescent="0.3">
      <c r="A37" t="s">
        <v>2760</v>
      </c>
      <c r="B37" s="7">
        <v>1</v>
      </c>
      <c r="C37" s="7">
        <v>13</v>
      </c>
      <c r="D37" s="3">
        <v>21</v>
      </c>
      <c r="E37" s="3">
        <v>3</v>
      </c>
      <c r="F37" s="3">
        <v>5</v>
      </c>
      <c r="P37" t="s">
        <v>25</v>
      </c>
      <c r="Q37">
        <f>COUNTIFS($C$2:$C$386,3,$E$2:$E$386,4)</f>
        <v>2</v>
      </c>
      <c r="R37" s="34">
        <f t="shared" si="2"/>
        <v>0.51948051948051943</v>
      </c>
      <c r="T37" t="s">
        <v>25</v>
      </c>
      <c r="U37">
        <f>COUNTIFS($D$2:$D$386,20,$E$2:$E$386,4)</f>
        <v>28</v>
      </c>
      <c r="V37" s="34">
        <f t="shared" si="3"/>
        <v>7.2727272727272725</v>
      </c>
      <c r="X37" t="s">
        <v>42</v>
      </c>
      <c r="Y37">
        <f>COUNTIFS($E$2:$E$386,4,$F$2:$F$386,6)</f>
        <v>4</v>
      </c>
      <c r="Z37" s="34">
        <f t="shared" si="4"/>
        <v>1.0389610389610389</v>
      </c>
    </row>
    <row r="38" spans="1:26" x14ac:dyDescent="0.3">
      <c r="A38" t="s">
        <v>2048</v>
      </c>
      <c r="B38" s="7">
        <v>1</v>
      </c>
      <c r="C38" s="7">
        <v>7</v>
      </c>
      <c r="D38" s="3">
        <v>19</v>
      </c>
      <c r="E38" s="3">
        <v>4</v>
      </c>
      <c r="F38" s="3">
        <v>3</v>
      </c>
      <c r="P38" t="s">
        <v>32</v>
      </c>
      <c r="Q38">
        <f>COUNTIFS($C$2:$C$386,3,$E$2:$E$386,5)</f>
        <v>1</v>
      </c>
      <c r="R38" s="34">
        <f t="shared" si="2"/>
        <v>0.25974025974025972</v>
      </c>
      <c r="T38" t="s">
        <v>32</v>
      </c>
      <c r="U38">
        <f>COUNTIFS($D$2:$D$386,20,$E$2:$E$386,5)</f>
        <v>2</v>
      </c>
      <c r="V38" s="34">
        <f t="shared" si="3"/>
        <v>0.51948051948051943</v>
      </c>
      <c r="X38" t="s">
        <v>45</v>
      </c>
      <c r="Y38">
        <f>COUNTIFS($E$2:$E$386,4,$F$2:$F$386,7)</f>
        <v>4</v>
      </c>
      <c r="Z38" s="34">
        <f t="shared" si="4"/>
        <v>1.0389610389610389</v>
      </c>
    </row>
    <row r="39" spans="1:26" x14ac:dyDescent="0.3">
      <c r="A39" t="s">
        <v>2740</v>
      </c>
      <c r="B39" s="7">
        <v>1</v>
      </c>
      <c r="C39" s="7">
        <v>13</v>
      </c>
      <c r="D39" s="3">
        <v>21</v>
      </c>
      <c r="E39" s="3">
        <v>4</v>
      </c>
      <c r="F39" s="3">
        <v>5</v>
      </c>
      <c r="P39" t="s">
        <v>38</v>
      </c>
      <c r="Q39">
        <f>COUNTIFS($C$2:$C$386,3,$E$2:$E$386,6)</f>
        <v>0</v>
      </c>
      <c r="R39" s="34">
        <f t="shared" si="2"/>
        <v>0</v>
      </c>
      <c r="T39" t="s">
        <v>38</v>
      </c>
      <c r="U39">
        <f>COUNTIFS($D$2:$D$386,20,$E$2:$E$386,6)</f>
        <v>2</v>
      </c>
      <c r="V39" s="34">
        <f t="shared" si="3"/>
        <v>0.51948051948051943</v>
      </c>
      <c r="X39" t="s">
        <v>48</v>
      </c>
      <c r="Y39">
        <f>COUNTIFS($E$2:$E$386,4,$F$2:$F$386,8)</f>
        <v>15</v>
      </c>
      <c r="Z39" s="34">
        <f t="shared" si="4"/>
        <v>3.8961038961038961</v>
      </c>
    </row>
    <row r="40" spans="1:26" x14ac:dyDescent="0.3">
      <c r="A40" s="6" t="s">
        <v>302</v>
      </c>
      <c r="B40" s="7">
        <v>1</v>
      </c>
      <c r="C40" s="7">
        <v>16</v>
      </c>
      <c r="D40" s="3">
        <v>21</v>
      </c>
      <c r="E40" s="11">
        <v>4</v>
      </c>
      <c r="F40" s="11">
        <v>3</v>
      </c>
      <c r="P40" t="s">
        <v>151</v>
      </c>
      <c r="Q40">
        <f>COUNTIFS($C$2:$C$386,3,$E$2:$E$386,7)</f>
        <v>0</v>
      </c>
      <c r="R40" s="34">
        <f t="shared" si="2"/>
        <v>0</v>
      </c>
      <c r="T40" t="s">
        <v>151</v>
      </c>
      <c r="U40">
        <f>COUNTIFS($D$2:$D$386,20,$E$2:$E$386,7)</f>
        <v>0</v>
      </c>
      <c r="V40" s="34">
        <f t="shared" si="3"/>
        <v>0</v>
      </c>
      <c r="X40" t="s">
        <v>50</v>
      </c>
      <c r="Y40">
        <f>COUNTIFS($E$2:$E$386,4,$F$2:$F$386,9)</f>
        <v>1</v>
      </c>
      <c r="Z40" s="34">
        <f t="shared" si="4"/>
        <v>0.25974025974025972</v>
      </c>
    </row>
    <row r="41" spans="1:26" x14ac:dyDescent="0.3">
      <c r="A41" s="6" t="s">
        <v>322</v>
      </c>
      <c r="B41" s="7">
        <v>1</v>
      </c>
      <c r="C41" s="7">
        <v>16</v>
      </c>
      <c r="D41" s="3">
        <v>21</v>
      </c>
      <c r="E41" s="11">
        <v>15</v>
      </c>
      <c r="F41" s="11">
        <v>9</v>
      </c>
      <c r="P41" t="s">
        <v>43</v>
      </c>
      <c r="Q41">
        <f>COUNTIFS($C$2:$C$386,3,$E$2:$E$386,8)</f>
        <v>0</v>
      </c>
      <c r="R41" s="34">
        <f t="shared" si="2"/>
        <v>0</v>
      </c>
      <c r="T41" t="s">
        <v>43</v>
      </c>
      <c r="U41">
        <f>COUNTIFS($D$2:$D$386,20,$E$2:$E$386,8)</f>
        <v>3</v>
      </c>
      <c r="V41" s="34">
        <f t="shared" si="3"/>
        <v>0.77922077922077926</v>
      </c>
      <c r="Y41" s="22">
        <f>SUM(Y32:Y40)</f>
        <v>157</v>
      </c>
      <c r="Z41" s="35">
        <f t="shared" si="4"/>
        <v>40.779220779220779</v>
      </c>
    </row>
    <row r="42" spans="1:26" x14ac:dyDescent="0.3">
      <c r="A42" t="s">
        <v>1682</v>
      </c>
      <c r="B42" s="7">
        <v>1</v>
      </c>
      <c r="C42" s="7">
        <v>11</v>
      </c>
      <c r="D42" s="3">
        <v>20</v>
      </c>
      <c r="E42" s="11">
        <v>1</v>
      </c>
      <c r="F42" s="11">
        <v>9</v>
      </c>
      <c r="P42" t="s">
        <v>46</v>
      </c>
      <c r="Q42">
        <f>COUNTIFS($C$2:$C$386,3,$E$2:$E$386,9)</f>
        <v>0</v>
      </c>
      <c r="R42" s="34">
        <f t="shared" si="2"/>
        <v>0</v>
      </c>
      <c r="T42" t="s">
        <v>46</v>
      </c>
      <c r="U42">
        <f>COUNTIFS($D$2:$D$386,20,$E$2:$E$386,9)</f>
        <v>2</v>
      </c>
      <c r="V42" s="34">
        <f t="shared" si="3"/>
        <v>0.51948051948051943</v>
      </c>
      <c r="W42" t="s">
        <v>32</v>
      </c>
      <c r="X42" t="s">
        <v>10</v>
      </c>
      <c r="Y42">
        <f>COUNTIFS($E$2:$E$386,5,$F$2:$F$386,1)</f>
        <v>2</v>
      </c>
      <c r="Z42" s="34">
        <f>(Y42/385)*100</f>
        <v>0.51948051948051943</v>
      </c>
    </row>
    <row r="43" spans="1:26" x14ac:dyDescent="0.3">
      <c r="A43" s="6" t="s">
        <v>1004</v>
      </c>
      <c r="B43" s="7">
        <v>1</v>
      </c>
      <c r="C43" s="7">
        <v>14</v>
      </c>
      <c r="D43" s="3">
        <v>21</v>
      </c>
      <c r="E43" s="11">
        <v>15</v>
      </c>
      <c r="F43" s="7">
        <v>1</v>
      </c>
      <c r="P43" t="s">
        <v>152</v>
      </c>
      <c r="Q43">
        <f>COUNTIFS($C$2:$C$386,3,$E$2:$E$386,10)</f>
        <v>0</v>
      </c>
      <c r="R43" s="34">
        <f t="shared" si="2"/>
        <v>0</v>
      </c>
      <c r="T43" t="s">
        <v>152</v>
      </c>
      <c r="U43">
        <f>COUNTIFS($D$2:$D$386,20,$E$2:$E$386,10)</f>
        <v>0</v>
      </c>
      <c r="V43" s="34">
        <f t="shared" si="3"/>
        <v>0</v>
      </c>
      <c r="X43" t="s">
        <v>17</v>
      </c>
      <c r="Y43">
        <f>COUNTIFS($E$2:$E$386,5,$F$2:$F$386,2)</f>
        <v>0</v>
      </c>
      <c r="Z43" s="34">
        <f t="shared" si="4"/>
        <v>0</v>
      </c>
    </row>
    <row r="44" spans="1:26" x14ac:dyDescent="0.3">
      <c r="A44" t="s">
        <v>1514</v>
      </c>
      <c r="B44" s="7">
        <v>1</v>
      </c>
      <c r="C44" s="7">
        <v>12</v>
      </c>
      <c r="D44" s="3">
        <v>20</v>
      </c>
      <c r="E44" s="11">
        <v>4</v>
      </c>
      <c r="F44" s="7">
        <v>1</v>
      </c>
      <c r="P44" t="s">
        <v>49</v>
      </c>
      <c r="Q44">
        <f>COUNTIFS($C$2:$C$386,3,$E$2:$E$386,11)</f>
        <v>0</v>
      </c>
      <c r="R44" s="34">
        <f t="shared" si="2"/>
        <v>0</v>
      </c>
      <c r="T44" t="s">
        <v>49</v>
      </c>
      <c r="U44">
        <f>COUNTIFS($D$2:$D$386,20,$E$2:$E$386,11)</f>
        <v>0</v>
      </c>
      <c r="V44" s="34">
        <f t="shared" si="3"/>
        <v>0</v>
      </c>
      <c r="X44" t="s">
        <v>24</v>
      </c>
      <c r="Y44">
        <f>COUNTIFS($E$2:$E$386,5,$F$2:$F$386,3)</f>
        <v>4</v>
      </c>
      <c r="Z44" s="34">
        <f t="shared" si="4"/>
        <v>1.0389610389610389</v>
      </c>
    </row>
    <row r="45" spans="1:26" x14ac:dyDescent="0.3">
      <c r="A45" t="s">
        <v>2476</v>
      </c>
      <c r="B45" s="7">
        <v>1</v>
      </c>
      <c r="C45" s="7">
        <v>16</v>
      </c>
      <c r="D45" s="3">
        <v>21</v>
      </c>
      <c r="E45" s="3">
        <v>11</v>
      </c>
      <c r="F45" s="3">
        <v>3</v>
      </c>
      <c r="P45" t="s">
        <v>51</v>
      </c>
      <c r="Q45">
        <f>COUNTIFS($C$2:$C$386,3,$E$2:$E$386,12)</f>
        <v>0</v>
      </c>
      <c r="R45" s="34">
        <f t="shared" si="2"/>
        <v>0</v>
      </c>
      <c r="T45" t="s">
        <v>51</v>
      </c>
      <c r="U45">
        <f>COUNTIFS($D$2:$D$386,20,$E$2:$E$386,12)</f>
        <v>3</v>
      </c>
      <c r="V45" s="34">
        <f t="shared" si="3"/>
        <v>0.77922077922077926</v>
      </c>
      <c r="X45" t="s">
        <v>31</v>
      </c>
      <c r="Y45">
        <f>COUNTIFS($E$2:$E$386,5,$F$2:$F$386,4)</f>
        <v>0</v>
      </c>
      <c r="Z45" s="34">
        <f t="shared" si="4"/>
        <v>0</v>
      </c>
    </row>
    <row r="46" spans="1:26" x14ac:dyDescent="0.3">
      <c r="A46" s="6" t="s">
        <v>962</v>
      </c>
      <c r="B46" s="7">
        <v>1</v>
      </c>
      <c r="C46" s="7">
        <v>15</v>
      </c>
      <c r="D46" s="3">
        <v>21</v>
      </c>
      <c r="E46" s="11">
        <v>12</v>
      </c>
      <c r="F46" s="11">
        <v>3</v>
      </c>
      <c r="P46" t="s">
        <v>153</v>
      </c>
      <c r="Q46">
        <f>COUNTIFS($C$2:$C$386,3,$E$2:$E$386,13)</f>
        <v>0</v>
      </c>
      <c r="R46" s="34">
        <f t="shared" si="2"/>
        <v>0</v>
      </c>
      <c r="T46" t="s">
        <v>153</v>
      </c>
      <c r="U46">
        <f>COUNTIFS($D$2:$D$386,20,$E$2:$E$386,13)</f>
        <v>0</v>
      </c>
      <c r="V46" s="34">
        <f t="shared" si="3"/>
        <v>0</v>
      </c>
      <c r="X46" t="s">
        <v>37</v>
      </c>
      <c r="Y46">
        <f>COUNTIFS($E$2:$E$386,5,$F$2:$F$386,5)</f>
        <v>2</v>
      </c>
      <c r="Z46" s="34">
        <f t="shared" si="4"/>
        <v>0.51948051948051943</v>
      </c>
    </row>
    <row r="47" spans="1:26" x14ac:dyDescent="0.3">
      <c r="A47" s="6" t="s">
        <v>443</v>
      </c>
      <c r="B47" s="7">
        <v>1</v>
      </c>
      <c r="C47" s="7">
        <v>16</v>
      </c>
      <c r="D47" s="3">
        <v>21</v>
      </c>
      <c r="E47" s="11">
        <v>12</v>
      </c>
      <c r="F47" s="11">
        <v>3</v>
      </c>
      <c r="P47" t="s">
        <v>154</v>
      </c>
      <c r="Q47">
        <f>COUNTIFS($C$2:$C$386,3,$E$2:$E$386,14)</f>
        <v>0</v>
      </c>
      <c r="R47" s="34">
        <f t="shared" si="2"/>
        <v>0</v>
      </c>
      <c r="T47" t="s">
        <v>154</v>
      </c>
      <c r="U47">
        <f>COUNTIFS($D$2:$D$386,20,$E$2:$E$386,14)</f>
        <v>2</v>
      </c>
      <c r="V47" s="34">
        <f t="shared" si="3"/>
        <v>0.51948051948051943</v>
      </c>
      <c r="X47" t="s">
        <v>42</v>
      </c>
      <c r="Y47">
        <f>COUNTIFS($E$2:$E$386,5,$F$2:$F$386,6)</f>
        <v>2</v>
      </c>
      <c r="Z47" s="34">
        <f t="shared" si="4"/>
        <v>0.51948051948051943</v>
      </c>
    </row>
    <row r="48" spans="1:26" x14ac:dyDescent="0.3">
      <c r="A48" s="6" t="s">
        <v>1240</v>
      </c>
      <c r="B48" s="7">
        <v>1</v>
      </c>
      <c r="C48" s="7">
        <v>13</v>
      </c>
      <c r="D48" s="3">
        <v>21</v>
      </c>
      <c r="E48" s="3">
        <v>15</v>
      </c>
      <c r="F48" s="11">
        <v>3</v>
      </c>
      <c r="P48" t="s">
        <v>52</v>
      </c>
      <c r="Q48">
        <f>COUNTIFS($C$2:$C$386,3,$E$2:$E$386,15)</f>
        <v>1</v>
      </c>
      <c r="R48" s="34">
        <f t="shared" si="2"/>
        <v>0.25974025974025972</v>
      </c>
      <c r="T48" t="s">
        <v>52</v>
      </c>
      <c r="U48">
        <f>COUNTIFS($D$2:$D$386,20,$E$2:$E$386,15)</f>
        <v>7</v>
      </c>
      <c r="V48" s="34">
        <f t="shared" si="3"/>
        <v>1.8181818181818181</v>
      </c>
      <c r="X48" t="s">
        <v>45</v>
      </c>
      <c r="Y48">
        <f>COUNTIFS($E$2:$E$386,5,$F$2:$F$386,7)</f>
        <v>0</v>
      </c>
      <c r="Z48" s="34">
        <f t="shared" si="4"/>
        <v>0</v>
      </c>
    </row>
    <row r="49" spans="1:26" x14ac:dyDescent="0.3">
      <c r="A49" t="s">
        <v>1304</v>
      </c>
      <c r="B49" s="7">
        <v>1</v>
      </c>
      <c r="C49" s="7">
        <v>13</v>
      </c>
      <c r="D49" s="3">
        <v>21</v>
      </c>
      <c r="E49" s="3">
        <v>4</v>
      </c>
      <c r="F49" s="3">
        <v>3</v>
      </c>
      <c r="Q49" s="22">
        <f>SUM(Q34:Q48)</f>
        <v>10</v>
      </c>
      <c r="R49" s="35">
        <f t="shared" si="2"/>
        <v>2.5974025974025974</v>
      </c>
      <c r="U49" s="23">
        <f>SUM(U34:U48)</f>
        <v>77</v>
      </c>
      <c r="V49" s="37">
        <f t="shared" si="3"/>
        <v>20</v>
      </c>
      <c r="X49" t="s">
        <v>48</v>
      </c>
      <c r="Y49">
        <f>COUNTIFS($E$2:$E$386,5,$F$2:$F$386,8)</f>
        <v>2</v>
      </c>
      <c r="Z49" s="34">
        <f t="shared" si="4"/>
        <v>0.51948051948051943</v>
      </c>
    </row>
    <row r="50" spans="1:26" x14ac:dyDescent="0.3">
      <c r="A50" t="s">
        <v>2363</v>
      </c>
      <c r="B50" s="7">
        <v>1</v>
      </c>
      <c r="C50" s="7">
        <v>3</v>
      </c>
      <c r="D50" s="3">
        <v>18</v>
      </c>
      <c r="E50" s="3">
        <v>4</v>
      </c>
      <c r="F50" s="3">
        <v>5</v>
      </c>
      <c r="O50">
        <v>2012</v>
      </c>
      <c r="P50" t="s">
        <v>11</v>
      </c>
      <c r="Q50">
        <f>COUNTIFS($C$2:$C$386,4,$E$2:$E$386,1)</f>
        <v>4</v>
      </c>
      <c r="R50" s="34">
        <f>(Q50/385)*100</f>
        <v>1.0389610389610389</v>
      </c>
      <c r="S50" t="s">
        <v>3083</v>
      </c>
      <c r="T50" t="s">
        <v>11</v>
      </c>
      <c r="U50">
        <f>COUNTIFS($D$2:$D$386,21,$E$2:$E$386,1)</f>
        <v>17</v>
      </c>
      <c r="V50" s="34">
        <f>(U50/385)*100</f>
        <v>4.4155844155844157</v>
      </c>
      <c r="X50" t="s">
        <v>50</v>
      </c>
      <c r="Y50">
        <f>COUNTIFS($E$2:$E$386,5,$F$2:$F$386,9)</f>
        <v>1</v>
      </c>
      <c r="Z50" s="34">
        <f t="shared" si="4"/>
        <v>0.25974025974025972</v>
      </c>
    </row>
    <row r="51" spans="1:26" x14ac:dyDescent="0.3">
      <c r="A51" s="6" t="s">
        <v>735</v>
      </c>
      <c r="B51" s="7">
        <v>1</v>
      </c>
      <c r="C51" s="7">
        <v>15</v>
      </c>
      <c r="D51" s="3">
        <v>21</v>
      </c>
      <c r="E51" s="11">
        <v>8</v>
      </c>
      <c r="F51" s="7">
        <v>4</v>
      </c>
      <c r="P51" t="s">
        <v>18</v>
      </c>
      <c r="Q51">
        <f>COUNTIFS($C$2:$C$386,4,$E$2:$E$386,2)</f>
        <v>0</v>
      </c>
      <c r="R51" s="34">
        <f t="shared" si="2"/>
        <v>0</v>
      </c>
      <c r="T51" t="s">
        <v>18</v>
      </c>
      <c r="U51">
        <f>COUNTIFS($D$2:$D$386,21,$E$2:$E$386,2)</f>
        <v>15</v>
      </c>
      <c r="V51" s="34">
        <f t="shared" si="3"/>
        <v>3.8961038961038961</v>
      </c>
      <c r="Y51" s="22">
        <f>SUM(Y42:Y50)</f>
        <v>13</v>
      </c>
      <c r="Z51" s="35">
        <f t="shared" si="4"/>
        <v>3.3766233766233764</v>
      </c>
    </row>
    <row r="52" spans="1:26" x14ac:dyDescent="0.3">
      <c r="A52" t="s">
        <v>1677</v>
      </c>
      <c r="B52" s="7">
        <v>1</v>
      </c>
      <c r="C52" s="7">
        <v>11</v>
      </c>
      <c r="D52" s="3">
        <v>20</v>
      </c>
      <c r="E52" s="3">
        <v>2</v>
      </c>
      <c r="F52" s="3">
        <v>6</v>
      </c>
      <c r="P52" t="s">
        <v>150</v>
      </c>
      <c r="Q52">
        <f>COUNTIFS($C$2:$C$386,4,$E$2:$E$386,3)</f>
        <v>5</v>
      </c>
      <c r="R52" s="34">
        <f t="shared" si="2"/>
        <v>1.2987012987012987</v>
      </c>
      <c r="T52" t="s">
        <v>150</v>
      </c>
      <c r="U52">
        <f>COUNTIFS($D$2:$D$386,21,$E$2:$E$386,3)</f>
        <v>15</v>
      </c>
      <c r="V52" s="34">
        <f t="shared" si="3"/>
        <v>3.8961038961038961</v>
      </c>
      <c r="W52" t="s">
        <v>38</v>
      </c>
      <c r="X52" t="s">
        <v>10</v>
      </c>
      <c r="Y52">
        <f>COUNTIFS($E$2:$E$386,6,$F$2:$F$386,1)</f>
        <v>1</v>
      </c>
      <c r="Z52" s="34">
        <f>(Y52/385)*100</f>
        <v>0.25974025974025972</v>
      </c>
    </row>
    <row r="53" spans="1:26" x14ac:dyDescent="0.3">
      <c r="A53" t="s">
        <v>2330</v>
      </c>
      <c r="B53" s="7">
        <v>1</v>
      </c>
      <c r="C53" s="7">
        <v>3</v>
      </c>
      <c r="D53" s="3">
        <v>18</v>
      </c>
      <c r="E53" s="3">
        <v>1</v>
      </c>
      <c r="F53" s="3">
        <v>6</v>
      </c>
      <c r="P53" t="s">
        <v>25</v>
      </c>
      <c r="Q53">
        <f>COUNTIFS($C$2:$C$386,4,$E$2:$E$386,4)</f>
        <v>7</v>
      </c>
      <c r="R53" s="34">
        <f t="shared" si="2"/>
        <v>1.8181818181818181</v>
      </c>
      <c r="T53" t="s">
        <v>25</v>
      </c>
      <c r="U53">
        <f>COUNTIFS($D$2:$D$386,21,$E$2:$E$386,4)</f>
        <v>90</v>
      </c>
      <c r="V53" s="34">
        <f t="shared" si="3"/>
        <v>23.376623376623375</v>
      </c>
      <c r="X53" t="s">
        <v>17</v>
      </c>
      <c r="Y53">
        <f>COUNTIFS($E$2:$E$386,6,$F$2:$F$386,2)</f>
        <v>0</v>
      </c>
      <c r="Z53" s="34">
        <f t="shared" si="4"/>
        <v>0</v>
      </c>
    </row>
    <row r="54" spans="1:26" x14ac:dyDescent="0.3">
      <c r="A54" s="6" t="s">
        <v>349</v>
      </c>
      <c r="B54" s="7">
        <v>1</v>
      </c>
      <c r="C54" s="7">
        <v>16</v>
      </c>
      <c r="D54" s="3">
        <v>21</v>
      </c>
      <c r="E54" s="11">
        <v>4</v>
      </c>
      <c r="F54" s="11">
        <v>1</v>
      </c>
      <c r="P54" t="s">
        <v>32</v>
      </c>
      <c r="Q54">
        <f>COUNTIFS($C$2:$C$386,4,$E$2:$E$386,5)</f>
        <v>0</v>
      </c>
      <c r="R54" s="34">
        <f t="shared" si="2"/>
        <v>0</v>
      </c>
      <c r="T54" t="s">
        <v>32</v>
      </c>
      <c r="U54">
        <f>COUNTIFS($D$2:$D$386,21,$E$2:$E$386,5)</f>
        <v>6</v>
      </c>
      <c r="V54" s="34">
        <f t="shared" si="3"/>
        <v>1.5584415584415585</v>
      </c>
      <c r="X54" t="s">
        <v>24</v>
      </c>
      <c r="Y54">
        <f>COUNTIFS($E$2:$E$386,6,$F$2:$F$386,3)</f>
        <v>2</v>
      </c>
      <c r="Z54" s="34">
        <f t="shared" si="4"/>
        <v>0.51948051948051943</v>
      </c>
    </row>
    <row r="55" spans="1:26" x14ac:dyDescent="0.3">
      <c r="A55" t="s">
        <v>2744</v>
      </c>
      <c r="B55" s="7">
        <v>1</v>
      </c>
      <c r="C55" s="7">
        <v>13</v>
      </c>
      <c r="D55" s="3">
        <v>21</v>
      </c>
      <c r="E55" s="3">
        <v>3</v>
      </c>
      <c r="F55" s="3">
        <v>3</v>
      </c>
      <c r="P55" t="s">
        <v>38</v>
      </c>
      <c r="Q55">
        <f>COUNTIFS($C$2:$C$386,4,$E$2:$E$386,6)</f>
        <v>0</v>
      </c>
      <c r="R55" s="34">
        <f t="shared" si="2"/>
        <v>0</v>
      </c>
      <c r="T55" t="s">
        <v>38</v>
      </c>
      <c r="U55">
        <f>COUNTIFS($D$2:$D$386,21,$E$2:$E$386,6)</f>
        <v>2</v>
      </c>
      <c r="V55" s="34">
        <f t="shared" si="3"/>
        <v>0.51948051948051943</v>
      </c>
      <c r="X55" t="s">
        <v>31</v>
      </c>
      <c r="Y55">
        <f>COUNTIFS($E$2:$E$386,6,$F$2:$F$386,4)</f>
        <v>1</v>
      </c>
      <c r="Z55" s="34">
        <f t="shared" si="4"/>
        <v>0.25974025974025972</v>
      </c>
    </row>
    <row r="56" spans="1:26" x14ac:dyDescent="0.3">
      <c r="A56" t="s">
        <v>1743</v>
      </c>
      <c r="B56" s="7">
        <v>1</v>
      </c>
      <c r="C56" s="7">
        <v>10</v>
      </c>
      <c r="D56" s="3">
        <v>20</v>
      </c>
      <c r="E56" s="11">
        <v>1</v>
      </c>
      <c r="F56" s="7">
        <v>3</v>
      </c>
      <c r="P56" t="s">
        <v>151</v>
      </c>
      <c r="Q56">
        <f>COUNTIFS($C$2:$C$386,4,$E$2:$E$386,7)</f>
        <v>0</v>
      </c>
      <c r="R56" s="34">
        <f t="shared" si="2"/>
        <v>0</v>
      </c>
      <c r="T56" t="s">
        <v>151</v>
      </c>
      <c r="U56">
        <f>COUNTIFS($D$2:$D$386,21,$E$2:$E$386,7)</f>
        <v>0</v>
      </c>
      <c r="V56" s="34">
        <f t="shared" si="3"/>
        <v>0</v>
      </c>
      <c r="X56" t="s">
        <v>37</v>
      </c>
      <c r="Y56">
        <f>COUNTIFS($E$2:$E$386,6,$F$2:$F$386,5)</f>
        <v>0</v>
      </c>
      <c r="Z56" s="34">
        <f t="shared" si="4"/>
        <v>0</v>
      </c>
    </row>
    <row r="57" spans="1:26" x14ac:dyDescent="0.3">
      <c r="A57" t="s">
        <v>1781</v>
      </c>
      <c r="B57" s="7">
        <v>1</v>
      </c>
      <c r="C57" s="7">
        <v>9</v>
      </c>
      <c r="D57" s="3">
        <v>20</v>
      </c>
      <c r="E57" s="3">
        <v>8</v>
      </c>
      <c r="F57" s="3">
        <v>1</v>
      </c>
      <c r="P57" t="s">
        <v>43</v>
      </c>
      <c r="Q57">
        <f>COUNTIFS($C$2:$C$386,4,$E$2:$E$386,8)</f>
        <v>1</v>
      </c>
      <c r="R57" s="34">
        <f t="shared" si="2"/>
        <v>0.25974025974025972</v>
      </c>
      <c r="T57" t="s">
        <v>43</v>
      </c>
      <c r="U57">
        <f>COUNTIFS($D$2:$D$386,21,$E$2:$E$386,8)</f>
        <v>13</v>
      </c>
      <c r="V57" s="34">
        <f t="shared" si="3"/>
        <v>3.3766233766233764</v>
      </c>
      <c r="X57" t="s">
        <v>42</v>
      </c>
      <c r="Y57">
        <f>COUNTIFS($E$2:$E$386,6,$F$2:$F$386,6)</f>
        <v>0</v>
      </c>
      <c r="Z57" s="34">
        <f t="shared" si="4"/>
        <v>0</v>
      </c>
    </row>
    <row r="58" spans="1:26" x14ac:dyDescent="0.3">
      <c r="A58" s="6" t="s">
        <v>997</v>
      </c>
      <c r="B58" s="7">
        <v>1</v>
      </c>
      <c r="C58" s="7">
        <v>14</v>
      </c>
      <c r="D58" s="3">
        <v>21</v>
      </c>
      <c r="E58" s="11">
        <v>8</v>
      </c>
      <c r="F58" s="7">
        <v>1</v>
      </c>
      <c r="P58" t="s">
        <v>46</v>
      </c>
      <c r="Q58">
        <f>COUNTIFS($C$2:$C$386,4,$E$2:$E$386,9)</f>
        <v>1</v>
      </c>
      <c r="R58" s="34">
        <f t="shared" si="2"/>
        <v>0.25974025974025972</v>
      </c>
      <c r="T58" t="s">
        <v>46</v>
      </c>
      <c r="U58">
        <f>COUNTIFS($D$2:$D$386,21,$E$2:$E$386,9)</f>
        <v>5</v>
      </c>
      <c r="V58" s="34">
        <f t="shared" si="3"/>
        <v>1.2987012987012987</v>
      </c>
      <c r="X58" t="s">
        <v>45</v>
      </c>
      <c r="Y58">
        <f>COUNTIFS($E$2:$E$386,6,$F$2:$F$386,7)</f>
        <v>0</v>
      </c>
      <c r="Z58" s="34">
        <f t="shared" si="4"/>
        <v>0</v>
      </c>
    </row>
    <row r="59" spans="1:26" x14ac:dyDescent="0.3">
      <c r="A59" t="s">
        <v>2960</v>
      </c>
      <c r="B59" s="7">
        <v>1</v>
      </c>
      <c r="C59" s="7">
        <v>10</v>
      </c>
      <c r="D59" s="3">
        <v>20</v>
      </c>
      <c r="E59" s="3">
        <v>4</v>
      </c>
      <c r="F59" s="3">
        <v>3</v>
      </c>
      <c r="P59" t="s">
        <v>152</v>
      </c>
      <c r="Q59">
        <f>COUNTIFS($C$2:$C$386,4,$E$2:$E$386,10)</f>
        <v>0</v>
      </c>
      <c r="R59" s="34">
        <f t="shared" si="2"/>
        <v>0</v>
      </c>
      <c r="T59" t="s">
        <v>152</v>
      </c>
      <c r="U59">
        <f>COUNTIFS($D$2:$D$386,21,$E$2:$E$386,10)</f>
        <v>0</v>
      </c>
      <c r="V59" s="34">
        <f t="shared" si="3"/>
        <v>0</v>
      </c>
      <c r="X59" t="s">
        <v>48</v>
      </c>
      <c r="Y59">
        <f>COUNTIFS($E$2:$E$386,6,$F$2:$F$386,8)</f>
        <v>0</v>
      </c>
      <c r="Z59" s="34">
        <f t="shared" si="4"/>
        <v>0</v>
      </c>
    </row>
    <row r="60" spans="1:26" x14ac:dyDescent="0.3">
      <c r="A60" t="s">
        <v>1832</v>
      </c>
      <c r="B60" s="7">
        <v>1</v>
      </c>
      <c r="C60" s="7">
        <v>8</v>
      </c>
      <c r="D60" s="3">
        <v>19</v>
      </c>
      <c r="E60" s="3">
        <v>4</v>
      </c>
      <c r="F60" s="3">
        <v>3</v>
      </c>
      <c r="P60" t="s">
        <v>49</v>
      </c>
      <c r="Q60">
        <f>COUNTIFS($C$2:$C$386,4,$E$2:$E$386,11)</f>
        <v>0</v>
      </c>
      <c r="R60" s="34">
        <f t="shared" si="2"/>
        <v>0</v>
      </c>
      <c r="T60" t="s">
        <v>49</v>
      </c>
      <c r="U60">
        <f>COUNTIFS($D$2:$D$386,21,$E$2:$E$386,11)</f>
        <v>5</v>
      </c>
      <c r="V60" s="34">
        <f t="shared" si="3"/>
        <v>1.2987012987012987</v>
      </c>
      <c r="X60" t="s">
        <v>50</v>
      </c>
      <c r="Y60">
        <f>COUNTIFS($E$2:$E$386,6,$F$2:$F$386,9)</f>
        <v>0</v>
      </c>
      <c r="Z60" s="34">
        <f t="shared" si="4"/>
        <v>0</v>
      </c>
    </row>
    <row r="61" spans="1:26" x14ac:dyDescent="0.3">
      <c r="A61" t="s">
        <v>1313</v>
      </c>
      <c r="B61" s="7">
        <v>1</v>
      </c>
      <c r="C61" s="7">
        <v>13</v>
      </c>
      <c r="D61" s="3">
        <v>21</v>
      </c>
      <c r="E61" s="3">
        <v>15</v>
      </c>
      <c r="F61" s="3">
        <v>3</v>
      </c>
      <c r="P61" t="s">
        <v>51</v>
      </c>
      <c r="Q61">
        <f>COUNTIFS($C$2:$C$386,4,$E$2:$E$386,12)</f>
        <v>1</v>
      </c>
      <c r="R61" s="34">
        <f t="shared" si="2"/>
        <v>0.25974025974025972</v>
      </c>
      <c r="T61" t="s">
        <v>51</v>
      </c>
      <c r="U61">
        <f>COUNTIFS($D$2:$D$386,21,$E$2:$E$386,12)</f>
        <v>6</v>
      </c>
      <c r="V61" s="34">
        <f t="shared" si="3"/>
        <v>1.5584415584415585</v>
      </c>
      <c r="Y61" s="22">
        <f>SUM(Y52:Y60)</f>
        <v>4</v>
      </c>
      <c r="Z61" s="35">
        <f t="shared" si="4"/>
        <v>1.0389610389610389</v>
      </c>
    </row>
    <row r="62" spans="1:26" x14ac:dyDescent="0.3">
      <c r="A62" s="6" t="s">
        <v>531</v>
      </c>
      <c r="B62" s="7">
        <v>1</v>
      </c>
      <c r="C62" s="7">
        <v>16</v>
      </c>
      <c r="D62" s="3">
        <v>21</v>
      </c>
      <c r="E62" s="3">
        <v>4</v>
      </c>
      <c r="F62" s="3">
        <v>1</v>
      </c>
      <c r="P62" t="s">
        <v>153</v>
      </c>
      <c r="Q62">
        <f>COUNTIFS($C$2:$C$386,4,$E$2:$E$386,13)</f>
        <v>1</v>
      </c>
      <c r="R62" s="34">
        <f t="shared" si="2"/>
        <v>0.25974025974025972</v>
      </c>
      <c r="T62" t="s">
        <v>153</v>
      </c>
      <c r="U62">
        <f>COUNTIFS($D$2:$D$386,21,$E$2:$E$386,13)</f>
        <v>0</v>
      </c>
      <c r="V62" s="34">
        <f t="shared" si="3"/>
        <v>0</v>
      </c>
      <c r="W62" t="s">
        <v>151</v>
      </c>
      <c r="X62" t="s">
        <v>10</v>
      </c>
      <c r="Y62">
        <f>COUNTIFS($E$2:$E$386,7,$F$2:$F$386,1)</f>
        <v>0</v>
      </c>
      <c r="Z62" s="34">
        <f>(Y62/385)*100</f>
        <v>0</v>
      </c>
    </row>
    <row r="63" spans="1:26" x14ac:dyDescent="0.3">
      <c r="A63" s="6" t="s">
        <v>786</v>
      </c>
      <c r="B63" s="7">
        <v>1</v>
      </c>
      <c r="C63" s="7">
        <v>15</v>
      </c>
      <c r="D63" s="3">
        <v>21</v>
      </c>
      <c r="E63" s="11">
        <v>1</v>
      </c>
      <c r="F63" s="7">
        <v>6</v>
      </c>
      <c r="P63" t="s">
        <v>154</v>
      </c>
      <c r="Q63">
        <f>COUNTIFS($C$2:$C$386,4,$E$2:$E$386,14)</f>
        <v>2</v>
      </c>
      <c r="R63" s="34">
        <f t="shared" si="2"/>
        <v>0.51948051948051943</v>
      </c>
      <c r="T63" t="s">
        <v>154</v>
      </c>
      <c r="U63">
        <f>COUNTIFS($D$2:$D$386,21,$E$2:$E$386,14)</f>
        <v>4</v>
      </c>
      <c r="V63" s="34">
        <f t="shared" si="3"/>
        <v>1.0389610389610389</v>
      </c>
      <c r="X63" t="s">
        <v>17</v>
      </c>
      <c r="Y63">
        <f>COUNTIFS($E$2:$E$386,7,$F$2:$F$386,2)</f>
        <v>0</v>
      </c>
      <c r="Z63" s="34">
        <f t="shared" si="4"/>
        <v>0</v>
      </c>
    </row>
    <row r="64" spans="1:26" x14ac:dyDescent="0.3">
      <c r="A64" t="s">
        <v>1923</v>
      </c>
      <c r="B64" s="7">
        <v>1</v>
      </c>
      <c r="C64" s="7">
        <v>8</v>
      </c>
      <c r="D64" s="3">
        <v>19</v>
      </c>
      <c r="E64" s="3">
        <v>4</v>
      </c>
      <c r="F64" s="3">
        <v>3</v>
      </c>
      <c r="P64" t="s">
        <v>52</v>
      </c>
      <c r="Q64">
        <f>COUNTIFS($C$2:$C$386,4,$E$2:$E$386,15)</f>
        <v>0</v>
      </c>
      <c r="R64" s="34">
        <f t="shared" si="2"/>
        <v>0</v>
      </c>
      <c r="T64" t="s">
        <v>52</v>
      </c>
      <c r="U64">
        <f>COUNTIFS($D$2:$D$386,21,$E$2:$E$386,15)</f>
        <v>28</v>
      </c>
      <c r="V64" s="34">
        <f t="shared" si="3"/>
        <v>7.2727272727272725</v>
      </c>
      <c r="X64" t="s">
        <v>24</v>
      </c>
      <c r="Y64">
        <f>COUNTIFS($E$2:$E$386,7,$F$2:$F$386,3)</f>
        <v>0</v>
      </c>
      <c r="Z64" s="34">
        <f t="shared" si="4"/>
        <v>0</v>
      </c>
    </row>
    <row r="65" spans="1:26" x14ac:dyDescent="0.3">
      <c r="A65" t="s">
        <v>2490</v>
      </c>
      <c r="B65" s="7">
        <v>1</v>
      </c>
      <c r="C65" s="7">
        <v>16</v>
      </c>
      <c r="D65" s="3">
        <v>21</v>
      </c>
      <c r="E65" s="3">
        <v>15</v>
      </c>
      <c r="F65" s="3">
        <v>3</v>
      </c>
      <c r="Q65" s="22">
        <f>SUM(Q50:Q64)</f>
        <v>22</v>
      </c>
      <c r="R65" s="35">
        <f t="shared" si="2"/>
        <v>5.7142857142857144</v>
      </c>
      <c r="U65" s="23">
        <f>SUM(U50:U64)</f>
        <v>206</v>
      </c>
      <c r="V65" s="37">
        <f t="shared" si="3"/>
        <v>53.506493506493499</v>
      </c>
      <c r="X65" t="s">
        <v>31</v>
      </c>
      <c r="Y65">
        <f>COUNTIFS($E$2:$E$386,7,$F$2:$F$386,4)</f>
        <v>0</v>
      </c>
      <c r="Z65" s="34">
        <f t="shared" si="4"/>
        <v>0</v>
      </c>
    </row>
    <row r="66" spans="1:26" x14ac:dyDescent="0.3">
      <c r="A66" s="6" t="s">
        <v>798</v>
      </c>
      <c r="B66" s="7">
        <v>1</v>
      </c>
      <c r="C66" s="7">
        <v>15</v>
      </c>
      <c r="D66" s="3">
        <v>21</v>
      </c>
      <c r="E66" s="11">
        <v>15</v>
      </c>
      <c r="F66" s="7">
        <v>8</v>
      </c>
      <c r="O66">
        <v>2013</v>
      </c>
      <c r="P66" t="s">
        <v>11</v>
      </c>
      <c r="Q66">
        <f>COUNTIFS($C$2:$C$386,5,$E$2:$E$386,1)</f>
        <v>2</v>
      </c>
      <c r="R66" s="34">
        <f>(Q66/385)*100</f>
        <v>0.51948051948051943</v>
      </c>
      <c r="X66" t="s">
        <v>37</v>
      </c>
      <c r="Y66">
        <f>COUNTIFS($E$2:$E$386,7,$F$2:$F$386,5)</f>
        <v>0</v>
      </c>
      <c r="Z66" s="34">
        <f t="shared" si="4"/>
        <v>0</v>
      </c>
    </row>
    <row r="67" spans="1:26" x14ac:dyDescent="0.3">
      <c r="A67" t="s">
        <v>2993</v>
      </c>
      <c r="B67" s="7">
        <v>1</v>
      </c>
      <c r="C67" s="7">
        <v>8</v>
      </c>
      <c r="D67" s="3">
        <v>19</v>
      </c>
      <c r="E67" s="3">
        <v>9</v>
      </c>
      <c r="F67" s="3">
        <v>8</v>
      </c>
      <c r="P67" t="s">
        <v>18</v>
      </c>
      <c r="Q67">
        <f>COUNTIFS($C$2:$C$386,5,$E$2:$E$386,2)</f>
        <v>1</v>
      </c>
      <c r="R67" s="34">
        <f t="shared" si="2"/>
        <v>0.25974025974025972</v>
      </c>
      <c r="X67" t="s">
        <v>42</v>
      </c>
      <c r="Y67">
        <f>COUNTIFS($E$2:$E$386,7,$F$2:$F$386,6)</f>
        <v>0</v>
      </c>
      <c r="Z67" s="34">
        <f t="shared" ref="Z67:Z71" si="5">(Y67/385)*100</f>
        <v>0</v>
      </c>
    </row>
    <row r="68" spans="1:26" x14ac:dyDescent="0.3">
      <c r="A68" s="6" t="s">
        <v>569</v>
      </c>
      <c r="B68" s="7">
        <v>1</v>
      </c>
      <c r="C68" s="7">
        <v>16</v>
      </c>
      <c r="D68" s="3">
        <v>21</v>
      </c>
      <c r="E68" s="11">
        <v>15</v>
      </c>
      <c r="F68" s="11">
        <v>3</v>
      </c>
      <c r="P68" t="s">
        <v>150</v>
      </c>
      <c r="Q68">
        <f>COUNTIFS($C$2:$C$386,5,$E$2:$E$386,3)</f>
        <v>1</v>
      </c>
      <c r="R68" s="34">
        <f t="shared" ref="R68:R81" si="6">(Q68/385)*100</f>
        <v>0.25974025974025972</v>
      </c>
      <c r="X68" t="s">
        <v>45</v>
      </c>
      <c r="Y68">
        <f>COUNTIFS($E$2:$E$386,7,$F$2:$F$386,7)</f>
        <v>0</v>
      </c>
      <c r="Z68" s="34">
        <f t="shared" si="5"/>
        <v>0</v>
      </c>
    </row>
    <row r="69" spans="1:26" x14ac:dyDescent="0.3">
      <c r="A69" t="s">
        <v>2028</v>
      </c>
      <c r="B69" s="7">
        <v>1</v>
      </c>
      <c r="C69" s="7">
        <v>7</v>
      </c>
      <c r="D69" s="3">
        <v>19</v>
      </c>
      <c r="E69" s="3">
        <v>3</v>
      </c>
      <c r="F69" s="3">
        <v>3</v>
      </c>
      <c r="P69" t="s">
        <v>25</v>
      </c>
      <c r="Q69">
        <f>COUNTIFS($C$2:$C$386,5,$E$2:$E$386,4)</f>
        <v>6</v>
      </c>
      <c r="R69" s="34">
        <f t="shared" si="6"/>
        <v>1.5584415584415585</v>
      </c>
      <c r="X69" t="s">
        <v>48</v>
      </c>
      <c r="Y69">
        <f>COUNTIFS($E$2:$E$386,7,$F$2:$F$386,8)</f>
        <v>0</v>
      </c>
      <c r="Z69" s="34">
        <f t="shared" si="5"/>
        <v>0</v>
      </c>
    </row>
    <row r="70" spans="1:26" x14ac:dyDescent="0.3">
      <c r="A70" s="6" t="s">
        <v>500</v>
      </c>
      <c r="B70" s="7">
        <v>1</v>
      </c>
      <c r="C70" s="7">
        <v>16</v>
      </c>
      <c r="D70" s="3">
        <v>21</v>
      </c>
      <c r="E70" s="11">
        <v>4</v>
      </c>
      <c r="F70" s="7">
        <v>3</v>
      </c>
      <c r="P70" t="s">
        <v>32</v>
      </c>
      <c r="Q70">
        <f>COUNTIFS($C$2:$C$386,5,$E$2:$E$386,5)</f>
        <v>0</v>
      </c>
      <c r="R70" s="34">
        <f t="shared" si="6"/>
        <v>0</v>
      </c>
      <c r="X70" t="s">
        <v>50</v>
      </c>
      <c r="Y70">
        <f>COUNTIFS($E$2:$E$386,7,$F$2:$F$386,9)</f>
        <v>0</v>
      </c>
      <c r="Z70" s="34">
        <f t="shared" si="5"/>
        <v>0</v>
      </c>
    </row>
    <row r="71" spans="1:26" x14ac:dyDescent="0.3">
      <c r="A71" t="s">
        <v>1655</v>
      </c>
      <c r="B71" s="7">
        <v>1</v>
      </c>
      <c r="C71" s="7">
        <v>11</v>
      </c>
      <c r="D71" s="3">
        <v>20</v>
      </c>
      <c r="E71" s="3">
        <v>1</v>
      </c>
      <c r="F71" s="3">
        <v>7</v>
      </c>
      <c r="P71" t="s">
        <v>38</v>
      </c>
      <c r="Q71">
        <f>COUNTIFS($C$2:$C$386,5,$E$2:$E$386,6)</f>
        <v>0</v>
      </c>
      <c r="R71" s="34">
        <f t="shared" si="6"/>
        <v>0</v>
      </c>
      <c r="Y71" s="22">
        <f>SUM(Y62:Y70)</f>
        <v>0</v>
      </c>
      <c r="Z71" s="35">
        <f t="shared" si="5"/>
        <v>0</v>
      </c>
    </row>
    <row r="72" spans="1:26" x14ac:dyDescent="0.3">
      <c r="A72" t="s">
        <v>2704</v>
      </c>
      <c r="B72" s="7">
        <v>1</v>
      </c>
      <c r="C72" s="7">
        <v>13</v>
      </c>
      <c r="D72" s="3">
        <v>21</v>
      </c>
      <c r="E72" s="3">
        <v>4</v>
      </c>
      <c r="F72" s="3">
        <v>8</v>
      </c>
      <c r="P72" t="s">
        <v>151</v>
      </c>
      <c r="Q72">
        <f>COUNTIFS($C$2:$C$386,5,$E$2:$E$386,7)</f>
        <v>0</v>
      </c>
      <c r="R72" s="34">
        <f t="shared" si="6"/>
        <v>0</v>
      </c>
      <c r="W72" t="s">
        <v>43</v>
      </c>
      <c r="X72" t="s">
        <v>10</v>
      </c>
      <c r="Y72">
        <f>COUNTIFS($E$2:$E$386,8,$F$2:$F$386,1)</f>
        <v>5</v>
      </c>
      <c r="Z72" s="34">
        <f>(Y72/385)*100</f>
        <v>1.2987012987012987</v>
      </c>
    </row>
    <row r="73" spans="1:26" x14ac:dyDescent="0.3">
      <c r="A73" t="s">
        <v>1520</v>
      </c>
      <c r="B73" s="7">
        <v>1</v>
      </c>
      <c r="C73" s="7">
        <v>12</v>
      </c>
      <c r="D73" s="3">
        <v>20</v>
      </c>
      <c r="E73" s="3">
        <v>2</v>
      </c>
      <c r="F73" s="3">
        <v>3</v>
      </c>
      <c r="P73" t="s">
        <v>43</v>
      </c>
      <c r="Q73">
        <f>COUNTIFS($C$2:$C$386,5,$E$2:$E$386,8)</f>
        <v>1</v>
      </c>
      <c r="R73" s="34">
        <f t="shared" si="6"/>
        <v>0.25974025974025972</v>
      </c>
      <c r="X73" t="s">
        <v>17</v>
      </c>
      <c r="Y73">
        <f>COUNTIFS($E$2:$E$386,8,$F$2:$F$386,2)</f>
        <v>0</v>
      </c>
      <c r="Z73" s="34">
        <f t="shared" ref="Z73:Z81" si="7">(Y73/385)*100</f>
        <v>0</v>
      </c>
    </row>
    <row r="74" spans="1:26" x14ac:dyDescent="0.3">
      <c r="A74" s="6" t="s">
        <v>1131</v>
      </c>
      <c r="B74" s="7">
        <v>1</v>
      </c>
      <c r="C74" s="7">
        <v>13</v>
      </c>
      <c r="D74" s="3">
        <v>21</v>
      </c>
      <c r="E74" s="3">
        <v>2</v>
      </c>
      <c r="F74" s="3">
        <v>8</v>
      </c>
      <c r="P74" t="s">
        <v>46</v>
      </c>
      <c r="Q74">
        <f>COUNTIFS($C$2:$C$386,5,$E$2:$E$386,9)</f>
        <v>0</v>
      </c>
      <c r="R74" s="34">
        <f t="shared" si="6"/>
        <v>0</v>
      </c>
      <c r="X74" t="s">
        <v>24</v>
      </c>
      <c r="Y74">
        <f>COUNTIFS($E$2:$E$386,8,$F$2:$F$386,3)</f>
        <v>4</v>
      </c>
      <c r="Z74" s="34">
        <f t="shared" si="7"/>
        <v>1.0389610389610389</v>
      </c>
    </row>
    <row r="75" spans="1:26" x14ac:dyDescent="0.3">
      <c r="A75" s="6" t="s">
        <v>540</v>
      </c>
      <c r="B75" s="7">
        <v>1</v>
      </c>
      <c r="C75" s="7">
        <v>16</v>
      </c>
      <c r="D75" s="3">
        <v>21</v>
      </c>
      <c r="E75" s="11">
        <v>4</v>
      </c>
      <c r="F75" s="11">
        <v>1</v>
      </c>
      <c r="P75" t="s">
        <v>152</v>
      </c>
      <c r="Q75">
        <f>COUNTIFS($C$2:$C$386,5,$E$2:$E$386,10)</f>
        <v>0</v>
      </c>
      <c r="R75" s="34">
        <f t="shared" si="6"/>
        <v>0</v>
      </c>
      <c r="X75" t="s">
        <v>31</v>
      </c>
      <c r="Y75">
        <f>COUNTIFS($E$2:$E$386,8,$F$2:$F$386,4)</f>
        <v>1</v>
      </c>
      <c r="Z75" s="34">
        <f t="shared" si="7"/>
        <v>0.25974025974025972</v>
      </c>
    </row>
    <row r="76" spans="1:26" x14ac:dyDescent="0.3">
      <c r="A76" s="6" t="s">
        <v>899</v>
      </c>
      <c r="B76" s="7">
        <v>1</v>
      </c>
      <c r="C76" s="7">
        <v>15</v>
      </c>
      <c r="D76" s="3">
        <v>21</v>
      </c>
      <c r="E76" s="11">
        <v>15</v>
      </c>
      <c r="F76" s="7">
        <v>1</v>
      </c>
      <c r="P76" t="s">
        <v>49</v>
      </c>
      <c r="Q76">
        <f>COUNTIFS($C$2:$C$386,5,$E$2:$E$386,11)</f>
        <v>0</v>
      </c>
      <c r="R76" s="34">
        <f t="shared" si="6"/>
        <v>0</v>
      </c>
      <c r="X76" t="s">
        <v>37</v>
      </c>
      <c r="Y76">
        <f>COUNTIFS($E$2:$E$386,8,$F$2:$F$386,5)</f>
        <v>2</v>
      </c>
      <c r="Z76" s="34">
        <f t="shared" si="7"/>
        <v>0.51948051948051943</v>
      </c>
    </row>
    <row r="77" spans="1:26" x14ac:dyDescent="0.3">
      <c r="A77" s="6" t="s">
        <v>837</v>
      </c>
      <c r="B77" s="7">
        <v>1</v>
      </c>
      <c r="C77" s="7">
        <v>15</v>
      </c>
      <c r="D77" s="3">
        <v>21</v>
      </c>
      <c r="E77" s="11">
        <v>15</v>
      </c>
      <c r="F77" s="7">
        <v>1</v>
      </c>
      <c r="P77" t="s">
        <v>51</v>
      </c>
      <c r="Q77">
        <f>COUNTIFS($C$2:$C$386,5,$E$2:$E$386,12)</f>
        <v>0</v>
      </c>
      <c r="R77" s="34">
        <f t="shared" si="6"/>
        <v>0</v>
      </c>
      <c r="X77" t="s">
        <v>42</v>
      </c>
      <c r="Y77">
        <f>COUNTIFS($E$2:$E$386,8,$F$2:$F$386,6)</f>
        <v>1</v>
      </c>
      <c r="Z77" s="34">
        <f t="shared" si="7"/>
        <v>0.25974025974025972</v>
      </c>
    </row>
    <row r="78" spans="1:26" x14ac:dyDescent="0.3">
      <c r="A78" t="s">
        <v>2020</v>
      </c>
      <c r="B78" s="7">
        <v>1</v>
      </c>
      <c r="C78" s="7">
        <v>6</v>
      </c>
      <c r="D78" s="3">
        <v>19</v>
      </c>
      <c r="E78" s="3">
        <v>4</v>
      </c>
      <c r="F78" s="3">
        <v>1</v>
      </c>
      <c r="P78" t="s">
        <v>153</v>
      </c>
      <c r="Q78">
        <f>COUNTIFS($C$2:$C$386,5,$E$2:$E$386,13)</f>
        <v>0</v>
      </c>
      <c r="R78" s="34">
        <f t="shared" si="6"/>
        <v>0</v>
      </c>
      <c r="X78" t="s">
        <v>45</v>
      </c>
      <c r="Y78">
        <f>COUNTIFS($E$2:$E$386,8,$F$2:$F$386,7)</f>
        <v>1</v>
      </c>
      <c r="Z78" s="34">
        <f t="shared" si="7"/>
        <v>0.25974025974025972</v>
      </c>
    </row>
    <row r="79" spans="1:26" x14ac:dyDescent="0.3">
      <c r="A79" s="6" t="s">
        <v>82</v>
      </c>
      <c r="B79" s="7">
        <v>1</v>
      </c>
      <c r="C79" s="7">
        <v>17</v>
      </c>
      <c r="D79" s="3">
        <v>21</v>
      </c>
      <c r="E79" s="11">
        <v>6</v>
      </c>
      <c r="F79" s="11">
        <v>3</v>
      </c>
      <c r="P79" t="s">
        <v>154</v>
      </c>
      <c r="Q79">
        <f>COUNTIFS($C$2:$C$386,5,$E$2:$E$386,14)</f>
        <v>0</v>
      </c>
      <c r="R79" s="34">
        <f t="shared" si="6"/>
        <v>0</v>
      </c>
      <c r="X79" t="s">
        <v>48</v>
      </c>
      <c r="Y79">
        <f>COUNTIFS($E$2:$E$386,8,$F$2:$F$386,8)</f>
        <v>4</v>
      </c>
      <c r="Z79" s="34">
        <f t="shared" si="7"/>
        <v>1.0389610389610389</v>
      </c>
    </row>
    <row r="80" spans="1:26" x14ac:dyDescent="0.3">
      <c r="A80" t="s">
        <v>2391</v>
      </c>
      <c r="B80" s="7">
        <v>1</v>
      </c>
      <c r="C80" s="7">
        <v>3</v>
      </c>
      <c r="D80" s="3">
        <v>18</v>
      </c>
      <c r="E80" s="3">
        <v>1</v>
      </c>
      <c r="F80" s="3">
        <v>1</v>
      </c>
      <c r="P80" t="s">
        <v>52</v>
      </c>
      <c r="Q80">
        <f>COUNTIFS($C$2:$C$386,5,$E$2:$E$386,15)</f>
        <v>1</v>
      </c>
      <c r="R80" s="34">
        <f t="shared" si="6"/>
        <v>0.25974025974025972</v>
      </c>
      <c r="X80" t="s">
        <v>50</v>
      </c>
      <c r="Y80">
        <f>COUNTIFS($E$2:$E$386,8,$F$2:$F$386,9)</f>
        <v>0</v>
      </c>
      <c r="Z80" s="34">
        <f t="shared" si="7"/>
        <v>0</v>
      </c>
    </row>
    <row r="81" spans="1:26" x14ac:dyDescent="0.3">
      <c r="A81" s="6" t="s">
        <v>1113</v>
      </c>
      <c r="B81" s="7">
        <v>1</v>
      </c>
      <c r="C81" s="7">
        <v>14</v>
      </c>
      <c r="D81" s="3">
        <v>21</v>
      </c>
      <c r="E81" s="3">
        <v>8</v>
      </c>
      <c r="F81" s="3">
        <v>1</v>
      </c>
      <c r="Q81" s="22">
        <f>SUM(Q66:Q80)</f>
        <v>12</v>
      </c>
      <c r="R81" s="35">
        <f t="shared" si="6"/>
        <v>3.116883116883117</v>
      </c>
      <c r="Y81" s="22">
        <f>SUM(Y72:Y80)</f>
        <v>18</v>
      </c>
      <c r="Z81" s="35">
        <f t="shared" si="7"/>
        <v>4.6753246753246751</v>
      </c>
    </row>
    <row r="82" spans="1:26" x14ac:dyDescent="0.3">
      <c r="A82" t="s">
        <v>1328</v>
      </c>
      <c r="B82" s="7">
        <v>1</v>
      </c>
      <c r="C82" s="7">
        <v>13</v>
      </c>
      <c r="D82" s="3">
        <v>21</v>
      </c>
      <c r="E82" s="11">
        <v>4</v>
      </c>
      <c r="F82" s="7">
        <v>1</v>
      </c>
      <c r="O82">
        <v>2014</v>
      </c>
      <c r="P82" t="s">
        <v>11</v>
      </c>
      <c r="Q82">
        <f>COUNTIFS($C$2:$C$386,6,$E$2:$E$386,1)</f>
        <v>2</v>
      </c>
      <c r="R82" s="34">
        <f>(Q82/385)*100</f>
        <v>0.51948051948051943</v>
      </c>
      <c r="W82" t="s">
        <v>46</v>
      </c>
      <c r="X82" t="s">
        <v>10</v>
      </c>
      <c r="Y82">
        <f>COUNTIFS($E$2:$E$386,9,$F$2:$F$386,1)</f>
        <v>1</v>
      </c>
      <c r="Z82" s="34">
        <f>(Y82/385)*100</f>
        <v>0.25974025974025972</v>
      </c>
    </row>
    <row r="83" spans="1:26" x14ac:dyDescent="0.3">
      <c r="A83" s="6" t="s">
        <v>369</v>
      </c>
      <c r="B83" s="7">
        <v>1</v>
      </c>
      <c r="C83" s="7">
        <v>16</v>
      </c>
      <c r="D83" s="3">
        <v>21</v>
      </c>
      <c r="E83" s="11">
        <v>4</v>
      </c>
      <c r="F83" s="11">
        <v>1</v>
      </c>
      <c r="P83" t="s">
        <v>18</v>
      </c>
      <c r="Q83">
        <f>COUNTIFS($C$2:$C$386,6,$E$2:$E$386,2)</f>
        <v>0</v>
      </c>
      <c r="R83" s="34">
        <f t="shared" ref="R83:R97" si="8">(Q83/385)*100</f>
        <v>0</v>
      </c>
      <c r="X83" t="s">
        <v>17</v>
      </c>
      <c r="Y83">
        <f>COUNTIFS($E$2:$E$386,9,$F$2:$F$386,2)</f>
        <v>0</v>
      </c>
      <c r="Z83" s="34">
        <f t="shared" ref="Z83:Z91" si="9">(Y83/385)*100</f>
        <v>0</v>
      </c>
    </row>
    <row r="84" spans="1:26" x14ac:dyDescent="0.3">
      <c r="A84" t="s">
        <v>1572</v>
      </c>
      <c r="B84" s="7">
        <v>1</v>
      </c>
      <c r="C84" s="7">
        <v>12</v>
      </c>
      <c r="D84" s="3">
        <v>20</v>
      </c>
      <c r="E84" s="3">
        <v>1</v>
      </c>
      <c r="F84" s="3">
        <v>5</v>
      </c>
      <c r="P84" t="s">
        <v>150</v>
      </c>
      <c r="Q84">
        <f>COUNTIFS($C$2:$C$386,6,$E$2:$E$386,3)</f>
        <v>0</v>
      </c>
      <c r="R84" s="34">
        <f t="shared" si="8"/>
        <v>0</v>
      </c>
      <c r="X84" t="s">
        <v>24</v>
      </c>
      <c r="Y84">
        <f>COUNTIFS($E$2:$E$386,9,$F$2:$F$386,3)</f>
        <v>3</v>
      </c>
      <c r="Z84" s="34">
        <f t="shared" si="9"/>
        <v>0.77922077922077926</v>
      </c>
    </row>
    <row r="85" spans="1:26" x14ac:dyDescent="0.3">
      <c r="A85" s="6" t="s">
        <v>1108</v>
      </c>
      <c r="B85" s="7">
        <v>1</v>
      </c>
      <c r="C85" s="7">
        <v>14</v>
      </c>
      <c r="D85" s="3">
        <v>21</v>
      </c>
      <c r="E85" s="3">
        <v>2</v>
      </c>
      <c r="F85" s="3">
        <v>3</v>
      </c>
      <c r="P85" t="s">
        <v>25</v>
      </c>
      <c r="Q85">
        <f>COUNTIFS($C$2:$C$386,6,$E$2:$E$386,4)</f>
        <v>4</v>
      </c>
      <c r="R85" s="34">
        <f t="shared" si="8"/>
        <v>1.0389610389610389</v>
      </c>
      <c r="X85" t="s">
        <v>31</v>
      </c>
      <c r="Y85">
        <f>COUNTIFS($E$2:$E$386,9,$F$2:$F$386,4)</f>
        <v>0</v>
      </c>
      <c r="Z85" s="34">
        <f t="shared" si="9"/>
        <v>0</v>
      </c>
    </row>
    <row r="86" spans="1:26" x14ac:dyDescent="0.3">
      <c r="A86" s="6" t="s">
        <v>1074</v>
      </c>
      <c r="B86" s="7">
        <v>1</v>
      </c>
      <c r="C86" s="7">
        <v>14</v>
      </c>
      <c r="D86" s="3">
        <v>21</v>
      </c>
      <c r="E86" s="11">
        <v>8</v>
      </c>
      <c r="F86" s="11">
        <v>1</v>
      </c>
      <c r="P86" t="s">
        <v>32</v>
      </c>
      <c r="Q86">
        <f>COUNTIFS($C$2:$C$386,6,$E$2:$E$386,5)</f>
        <v>0</v>
      </c>
      <c r="R86" s="34">
        <f t="shared" si="8"/>
        <v>0</v>
      </c>
      <c r="X86" t="s">
        <v>37</v>
      </c>
      <c r="Y86">
        <f>COUNTIFS($E$2:$E$386,9,$F$2:$F$386,5)</f>
        <v>0</v>
      </c>
      <c r="Z86" s="34">
        <f t="shared" si="9"/>
        <v>0</v>
      </c>
    </row>
    <row r="87" spans="1:26" x14ac:dyDescent="0.3">
      <c r="A87" t="s">
        <v>1574</v>
      </c>
      <c r="B87" s="7">
        <v>1</v>
      </c>
      <c r="C87" s="7">
        <v>12</v>
      </c>
      <c r="D87" s="3">
        <v>20</v>
      </c>
      <c r="E87" s="11">
        <v>4</v>
      </c>
      <c r="F87" s="11">
        <v>3</v>
      </c>
      <c r="P87" t="s">
        <v>38</v>
      </c>
      <c r="Q87">
        <f>COUNTIFS($C$2:$C$386,6,$E$2:$E$386,6)</f>
        <v>0</v>
      </c>
      <c r="R87" s="34">
        <f t="shared" si="8"/>
        <v>0</v>
      </c>
      <c r="X87" t="s">
        <v>42</v>
      </c>
      <c r="Y87">
        <f>COUNTIFS($E$2:$E$386,9,$F$2:$F$386,6)</f>
        <v>1</v>
      </c>
      <c r="Z87" s="34">
        <f t="shared" si="9"/>
        <v>0.25974025974025972</v>
      </c>
    </row>
    <row r="88" spans="1:26" x14ac:dyDescent="0.3">
      <c r="A88" s="6" t="s">
        <v>909</v>
      </c>
      <c r="B88" s="7">
        <v>1</v>
      </c>
      <c r="C88" s="7">
        <v>15</v>
      </c>
      <c r="D88" s="3">
        <v>21</v>
      </c>
      <c r="E88" s="11">
        <v>4</v>
      </c>
      <c r="F88" s="11">
        <v>3</v>
      </c>
      <c r="P88" t="s">
        <v>151</v>
      </c>
      <c r="Q88">
        <f>COUNTIFS($C$2:$C$386,6,$E$2:$E$386,7)</f>
        <v>0</v>
      </c>
      <c r="R88" s="34">
        <f t="shared" si="8"/>
        <v>0</v>
      </c>
      <c r="X88" t="s">
        <v>45</v>
      </c>
      <c r="Y88">
        <f>COUNTIFS($E$2:$E$386,9,$F$2:$F$386,7)</f>
        <v>1</v>
      </c>
      <c r="Z88" s="34">
        <f t="shared" si="9"/>
        <v>0.25974025974025972</v>
      </c>
    </row>
    <row r="89" spans="1:26" x14ac:dyDescent="0.3">
      <c r="A89" t="s">
        <v>1813</v>
      </c>
      <c r="B89" s="7">
        <v>1</v>
      </c>
      <c r="C89" s="7">
        <v>8</v>
      </c>
      <c r="D89" s="3">
        <v>19</v>
      </c>
      <c r="E89" s="3">
        <v>4</v>
      </c>
      <c r="F89" s="3">
        <v>3</v>
      </c>
      <c r="P89" t="s">
        <v>43</v>
      </c>
      <c r="Q89">
        <f>COUNTIFS($C$2:$C$386,6,$E$2:$E$386,8)</f>
        <v>0</v>
      </c>
      <c r="R89" s="34">
        <f t="shared" si="8"/>
        <v>0</v>
      </c>
      <c r="X89" t="s">
        <v>48</v>
      </c>
      <c r="Y89">
        <f>COUNTIFS($E$2:$E$386,9,$F$2:$F$386,8)</f>
        <v>4</v>
      </c>
      <c r="Z89" s="34">
        <f t="shared" si="9"/>
        <v>1.0389610389610389</v>
      </c>
    </row>
    <row r="90" spans="1:26" x14ac:dyDescent="0.3">
      <c r="A90" t="s">
        <v>2681</v>
      </c>
      <c r="B90" s="7">
        <v>1</v>
      </c>
      <c r="C90" s="7">
        <v>14</v>
      </c>
      <c r="D90" s="3">
        <v>21</v>
      </c>
      <c r="E90" s="3">
        <v>3</v>
      </c>
      <c r="F90" s="3">
        <v>3</v>
      </c>
      <c r="P90" t="s">
        <v>46</v>
      </c>
      <c r="Q90">
        <f>COUNTIFS($C$2:$C$386,6,$E$2:$E$386,9)</f>
        <v>0</v>
      </c>
      <c r="R90" s="34">
        <f t="shared" si="8"/>
        <v>0</v>
      </c>
      <c r="X90" t="s">
        <v>50</v>
      </c>
      <c r="Y90">
        <f>COUNTIFS($E$2:$E$386,9,$F$2:$F$386,9)</f>
        <v>0</v>
      </c>
      <c r="Z90" s="34">
        <f t="shared" si="9"/>
        <v>0</v>
      </c>
    </row>
    <row r="91" spans="1:26" x14ac:dyDescent="0.3">
      <c r="A91" t="s">
        <v>2224</v>
      </c>
      <c r="B91" s="7">
        <v>1</v>
      </c>
      <c r="C91" s="7">
        <v>4</v>
      </c>
      <c r="D91" s="3">
        <v>18</v>
      </c>
      <c r="E91" s="3">
        <v>3</v>
      </c>
      <c r="F91" s="3">
        <v>9</v>
      </c>
      <c r="P91" t="s">
        <v>152</v>
      </c>
      <c r="Q91">
        <f>COUNTIFS($C$2:$C$386,6,$E$2:$E$386,10)</f>
        <v>0</v>
      </c>
      <c r="R91" s="34">
        <f t="shared" si="8"/>
        <v>0</v>
      </c>
      <c r="Y91" s="22">
        <f>SUM(Y82:Y90)</f>
        <v>10</v>
      </c>
      <c r="Z91" s="35">
        <f t="shared" si="9"/>
        <v>2.5974025974025974</v>
      </c>
    </row>
    <row r="92" spans="1:26" x14ac:dyDescent="0.3">
      <c r="A92" t="s">
        <v>1184</v>
      </c>
      <c r="B92" s="7">
        <v>1</v>
      </c>
      <c r="C92" s="7">
        <v>13</v>
      </c>
      <c r="D92" s="3">
        <v>21</v>
      </c>
      <c r="E92" s="3">
        <v>15</v>
      </c>
      <c r="F92" s="3">
        <v>5</v>
      </c>
      <c r="P92" t="s">
        <v>49</v>
      </c>
      <c r="Q92">
        <f>COUNTIFS($C$2:$C$386,6,$E$2:$E$386,11)</f>
        <v>0</v>
      </c>
      <c r="R92" s="34">
        <f t="shared" si="8"/>
        <v>0</v>
      </c>
      <c r="W92" t="s">
        <v>152</v>
      </c>
      <c r="X92" t="s">
        <v>10</v>
      </c>
      <c r="Y92">
        <f>COUNTIFS($E$2:$E$386,10,$F$2:$F$386,1)</f>
        <v>0</v>
      </c>
      <c r="Z92" s="34">
        <f>(Y92/385)*100</f>
        <v>0</v>
      </c>
    </row>
    <row r="93" spans="1:26" x14ac:dyDescent="0.3">
      <c r="A93" s="6" t="s">
        <v>548</v>
      </c>
      <c r="B93" s="7">
        <v>1</v>
      </c>
      <c r="C93" s="7">
        <v>16</v>
      </c>
      <c r="D93" s="3">
        <v>21</v>
      </c>
      <c r="E93" s="11">
        <v>12</v>
      </c>
      <c r="F93" s="11">
        <v>3</v>
      </c>
      <c r="P93" t="s">
        <v>51</v>
      </c>
      <c r="Q93">
        <f>COUNTIFS($C$2:$C$386,6,$E$2:$E$386,12)</f>
        <v>0</v>
      </c>
      <c r="R93" s="34">
        <f t="shared" si="8"/>
        <v>0</v>
      </c>
      <c r="X93" t="s">
        <v>17</v>
      </c>
      <c r="Y93">
        <f>COUNTIFS($E$2:$E$386,10,$F$2:$F$386,2)</f>
        <v>0</v>
      </c>
      <c r="Z93" s="34">
        <f t="shared" ref="Z93:Z101" si="10">(Y93/385)*100</f>
        <v>0</v>
      </c>
    </row>
    <row r="94" spans="1:26" x14ac:dyDescent="0.3">
      <c r="A94" t="s">
        <v>1917</v>
      </c>
      <c r="B94" s="7">
        <v>1</v>
      </c>
      <c r="C94" s="7">
        <v>8</v>
      </c>
      <c r="D94" s="3">
        <v>19</v>
      </c>
      <c r="E94" s="3">
        <v>2</v>
      </c>
      <c r="F94" s="3">
        <v>3</v>
      </c>
      <c r="P94" t="s">
        <v>153</v>
      </c>
      <c r="Q94">
        <f>COUNTIFS($C$2:$C$386,6,$E$2:$E$386,13)</f>
        <v>0</v>
      </c>
      <c r="R94" s="34">
        <f t="shared" si="8"/>
        <v>0</v>
      </c>
      <c r="X94" t="s">
        <v>24</v>
      </c>
      <c r="Y94">
        <f>COUNTIFS($E$2:$E$386,10,$F$2:$F$386,3)</f>
        <v>0</v>
      </c>
      <c r="Z94" s="34">
        <f t="shared" si="10"/>
        <v>0</v>
      </c>
    </row>
    <row r="95" spans="1:26" x14ac:dyDescent="0.3">
      <c r="A95" t="s">
        <v>1747</v>
      </c>
      <c r="B95" s="7">
        <v>1</v>
      </c>
      <c r="C95" s="7">
        <v>10</v>
      </c>
      <c r="D95" s="3">
        <v>20</v>
      </c>
      <c r="E95" s="11">
        <v>1</v>
      </c>
      <c r="F95" s="11">
        <v>1</v>
      </c>
      <c r="P95" t="s">
        <v>154</v>
      </c>
      <c r="Q95">
        <f>COUNTIFS($C$2:$C$386,6,$E$2:$E$386,14)</f>
        <v>0</v>
      </c>
      <c r="R95" s="34">
        <f t="shared" si="8"/>
        <v>0</v>
      </c>
      <c r="X95" t="s">
        <v>31</v>
      </c>
      <c r="Y95">
        <f>COUNTIFS($E$2:$E$386,10,$F$2:$F$386,4)</f>
        <v>0</v>
      </c>
      <c r="Z95" s="34">
        <f t="shared" si="10"/>
        <v>0</v>
      </c>
    </row>
    <row r="96" spans="1:26" x14ac:dyDescent="0.3">
      <c r="A96" s="6" t="s">
        <v>1067</v>
      </c>
      <c r="B96" s="7">
        <v>1</v>
      </c>
      <c r="C96" s="7">
        <v>14</v>
      </c>
      <c r="D96" s="3">
        <v>21</v>
      </c>
      <c r="E96" s="11">
        <v>4</v>
      </c>
      <c r="F96" s="11">
        <v>3</v>
      </c>
      <c r="P96" t="s">
        <v>52</v>
      </c>
      <c r="Q96">
        <f>COUNTIFS($C$2:$C$386,6,$E$2:$E$386,15)</f>
        <v>1</v>
      </c>
      <c r="R96" s="34">
        <f t="shared" si="8"/>
        <v>0.25974025974025972</v>
      </c>
      <c r="X96" t="s">
        <v>37</v>
      </c>
      <c r="Y96">
        <f>COUNTIFS($E$2:$E$386,10,$F$2:$F$386,5)</f>
        <v>0</v>
      </c>
      <c r="Z96" s="34">
        <f t="shared" si="10"/>
        <v>0</v>
      </c>
    </row>
    <row r="97" spans="1:26" x14ac:dyDescent="0.3">
      <c r="A97" t="s">
        <v>2844</v>
      </c>
      <c r="B97" s="7">
        <v>1</v>
      </c>
      <c r="C97" s="7">
        <v>12</v>
      </c>
      <c r="D97" s="3">
        <v>20</v>
      </c>
      <c r="E97" s="3">
        <v>15</v>
      </c>
      <c r="F97" s="3">
        <v>4</v>
      </c>
      <c r="Q97" s="22">
        <f>SUM(Q82:Q96)</f>
        <v>7</v>
      </c>
      <c r="R97" s="35">
        <f t="shared" si="8"/>
        <v>1.8181818181818181</v>
      </c>
      <c r="X97" t="s">
        <v>42</v>
      </c>
      <c r="Y97">
        <f>COUNTIFS($E$2:$E$386,10,$F$2:$F$386,6)</f>
        <v>0</v>
      </c>
      <c r="Z97" s="34">
        <f t="shared" si="10"/>
        <v>0</v>
      </c>
    </row>
    <row r="98" spans="1:26" x14ac:dyDescent="0.3">
      <c r="A98" s="6" t="s">
        <v>199</v>
      </c>
      <c r="B98" s="7">
        <v>1</v>
      </c>
      <c r="C98" s="7">
        <v>17</v>
      </c>
      <c r="D98" s="3">
        <v>21</v>
      </c>
      <c r="E98" s="11">
        <v>15</v>
      </c>
      <c r="F98" s="11">
        <v>3</v>
      </c>
      <c r="O98">
        <v>2015</v>
      </c>
      <c r="P98" t="s">
        <v>11</v>
      </c>
      <c r="Q98">
        <f>COUNTIFS($C$2:$C$386,7,$E$2:$E$386,1)</f>
        <v>1</v>
      </c>
      <c r="R98" s="34">
        <f>(Q98/385)*100</f>
        <v>0.25974025974025972</v>
      </c>
      <c r="X98" t="s">
        <v>45</v>
      </c>
      <c r="Y98">
        <f>COUNTIFS($E$2:$E$386,10,$F$2:$F$386,7)</f>
        <v>0</v>
      </c>
      <c r="Z98" s="34">
        <f t="shared" si="10"/>
        <v>0</v>
      </c>
    </row>
    <row r="99" spans="1:26" x14ac:dyDescent="0.3">
      <c r="A99" s="6" t="s">
        <v>310</v>
      </c>
      <c r="B99" s="7">
        <v>1</v>
      </c>
      <c r="C99" s="7">
        <v>16</v>
      </c>
      <c r="D99" s="3">
        <v>21</v>
      </c>
      <c r="E99" s="11">
        <v>4</v>
      </c>
      <c r="F99" s="11">
        <v>1</v>
      </c>
      <c r="P99" t="s">
        <v>18</v>
      </c>
      <c r="Q99">
        <f>COUNTIFS($C$2:$C$386,7,$E$2:$E$386,2)</f>
        <v>1</v>
      </c>
      <c r="R99" s="34">
        <f t="shared" ref="R99:R113" si="11">(Q99/385)*100</f>
        <v>0.25974025974025972</v>
      </c>
      <c r="X99" t="s">
        <v>48</v>
      </c>
      <c r="Y99">
        <f>COUNTIFS($E$2:$E$386,10,$F$2:$F$386,8)</f>
        <v>0</v>
      </c>
      <c r="Z99" s="34">
        <f t="shared" si="10"/>
        <v>0</v>
      </c>
    </row>
    <row r="100" spans="1:26" x14ac:dyDescent="0.3">
      <c r="A100" s="6" t="s">
        <v>865</v>
      </c>
      <c r="B100" s="7">
        <v>1</v>
      </c>
      <c r="C100" s="7">
        <v>15</v>
      </c>
      <c r="D100" s="3">
        <v>21</v>
      </c>
      <c r="E100" s="11">
        <v>11</v>
      </c>
      <c r="F100" s="7">
        <v>3</v>
      </c>
      <c r="P100" t="s">
        <v>150</v>
      </c>
      <c r="Q100">
        <f>COUNTIFS($C$2:$C$386,7,$E$2:$E$386,3)</f>
        <v>3</v>
      </c>
      <c r="R100" s="34">
        <f t="shared" si="11"/>
        <v>0.77922077922077926</v>
      </c>
      <c r="X100" t="s">
        <v>50</v>
      </c>
      <c r="Y100">
        <f>COUNTIFS($E$2:$E$386,10,$F$2:$F$386,9)</f>
        <v>0</v>
      </c>
      <c r="Z100" s="34">
        <f t="shared" si="10"/>
        <v>0</v>
      </c>
    </row>
    <row r="101" spans="1:26" x14ac:dyDescent="0.3">
      <c r="A101" t="s">
        <v>2495</v>
      </c>
      <c r="B101" s="7">
        <v>1</v>
      </c>
      <c r="C101" s="7">
        <v>16</v>
      </c>
      <c r="D101" s="3">
        <v>21</v>
      </c>
      <c r="E101" s="3">
        <v>15</v>
      </c>
      <c r="F101" s="3">
        <v>3</v>
      </c>
      <c r="P101" t="s">
        <v>25</v>
      </c>
      <c r="Q101">
        <f>COUNTIFS($C$2:$C$386,7,$E$2:$E$386,4)</f>
        <v>6</v>
      </c>
      <c r="R101" s="34">
        <f t="shared" si="11"/>
        <v>1.5584415584415585</v>
      </c>
      <c r="Y101" s="22">
        <f>SUM(Y92:Y100)</f>
        <v>0</v>
      </c>
      <c r="Z101" s="35">
        <f t="shared" si="10"/>
        <v>0</v>
      </c>
    </row>
    <row r="102" spans="1:26" x14ac:dyDescent="0.3">
      <c r="A102" t="s">
        <v>2677</v>
      </c>
      <c r="B102" s="7">
        <v>1</v>
      </c>
      <c r="C102" s="7">
        <v>14</v>
      </c>
      <c r="D102" s="3">
        <v>21</v>
      </c>
      <c r="E102" s="3">
        <v>3</v>
      </c>
      <c r="F102" s="3">
        <v>6</v>
      </c>
      <c r="P102" t="s">
        <v>32</v>
      </c>
      <c r="Q102">
        <f>COUNTIFS($C$2:$C$386,7,$E$2:$E$386,5)</f>
        <v>1</v>
      </c>
      <c r="R102" s="34">
        <f t="shared" si="11"/>
        <v>0.25974025974025972</v>
      </c>
      <c r="W102" t="s">
        <v>49</v>
      </c>
      <c r="X102" t="s">
        <v>10</v>
      </c>
      <c r="Y102">
        <f>COUNTIFS($E$2:$E$386,11,$F$2:$F$386,1)</f>
        <v>1</v>
      </c>
      <c r="Z102" s="34">
        <f>(Y102/385)*100</f>
        <v>0.25974025974025972</v>
      </c>
    </row>
    <row r="103" spans="1:26" x14ac:dyDescent="0.3">
      <c r="A103" s="6" t="s">
        <v>662</v>
      </c>
      <c r="B103" s="7">
        <v>1</v>
      </c>
      <c r="C103" s="7">
        <v>16</v>
      </c>
      <c r="D103" s="3">
        <v>21</v>
      </c>
      <c r="E103" s="11">
        <v>2</v>
      </c>
      <c r="F103" s="11">
        <v>3</v>
      </c>
      <c r="P103" t="s">
        <v>38</v>
      </c>
      <c r="Q103">
        <f>COUNTIFS($C$2:$C$386,7,$E$2:$E$386,6)</f>
        <v>0</v>
      </c>
      <c r="R103" s="34">
        <f t="shared" si="11"/>
        <v>0</v>
      </c>
      <c r="X103" t="s">
        <v>17</v>
      </c>
      <c r="Y103">
        <f>COUNTIFS($E$2:$E$386,11,$F$2:$F$386,2)</f>
        <v>0</v>
      </c>
      <c r="Z103" s="34">
        <f t="shared" ref="Z103:Z111" si="12">(Y103/385)*100</f>
        <v>0</v>
      </c>
    </row>
    <row r="104" spans="1:26" x14ac:dyDescent="0.3">
      <c r="A104" s="6" t="s">
        <v>1160</v>
      </c>
      <c r="B104" s="7">
        <v>1</v>
      </c>
      <c r="C104" s="7">
        <v>13</v>
      </c>
      <c r="D104" s="3">
        <v>21</v>
      </c>
      <c r="E104" s="3">
        <v>2</v>
      </c>
      <c r="F104" s="3">
        <v>3</v>
      </c>
      <c r="P104" t="s">
        <v>151</v>
      </c>
      <c r="Q104">
        <f>COUNTIFS($C$2:$C$386,7,$E$2:$E$386,7)</f>
        <v>0</v>
      </c>
      <c r="R104" s="34">
        <f t="shared" si="11"/>
        <v>0</v>
      </c>
      <c r="X104" t="s">
        <v>24</v>
      </c>
      <c r="Y104">
        <f>COUNTIFS($E$2:$E$386,11,$F$2:$F$386,3)</f>
        <v>3</v>
      </c>
      <c r="Z104" s="34">
        <f t="shared" si="12"/>
        <v>0.77922077922077926</v>
      </c>
    </row>
    <row r="105" spans="1:26" x14ac:dyDescent="0.3">
      <c r="A105" t="s">
        <v>2502</v>
      </c>
      <c r="B105" s="7">
        <v>1</v>
      </c>
      <c r="C105" s="7">
        <v>16</v>
      </c>
      <c r="D105" s="3">
        <v>21</v>
      </c>
      <c r="E105" s="3">
        <v>8</v>
      </c>
      <c r="F105" s="3">
        <v>8</v>
      </c>
      <c r="P105" t="s">
        <v>43</v>
      </c>
      <c r="Q105">
        <f>COUNTIFS($C$2:$C$386,7,$E$2:$E$386,8)</f>
        <v>0</v>
      </c>
      <c r="R105" s="34">
        <f t="shared" si="11"/>
        <v>0</v>
      </c>
      <c r="X105" t="s">
        <v>31</v>
      </c>
      <c r="Y105">
        <f>COUNTIFS($E$2:$E$386,11,$F$2:$F$386,4)</f>
        <v>0</v>
      </c>
      <c r="Z105" s="34">
        <f t="shared" si="12"/>
        <v>0</v>
      </c>
    </row>
    <row r="106" spans="1:26" x14ac:dyDescent="0.3">
      <c r="A106" s="6" t="s">
        <v>430</v>
      </c>
      <c r="B106" s="7">
        <v>1</v>
      </c>
      <c r="C106" s="7">
        <v>16</v>
      </c>
      <c r="D106" s="3">
        <v>21</v>
      </c>
      <c r="E106" s="11">
        <v>3</v>
      </c>
      <c r="F106" s="11">
        <v>3</v>
      </c>
      <c r="P106" t="s">
        <v>46</v>
      </c>
      <c r="Q106">
        <f>COUNTIFS($C$2:$C$386,7,$E$2:$E$386,9)</f>
        <v>1</v>
      </c>
      <c r="R106" s="34">
        <f t="shared" si="11"/>
        <v>0.25974025974025972</v>
      </c>
      <c r="X106" t="s">
        <v>37</v>
      </c>
      <c r="Y106">
        <f>COUNTIFS($E$2:$E$386,11,$F$2:$F$386,5)</f>
        <v>0</v>
      </c>
      <c r="Z106" s="34">
        <f t="shared" si="12"/>
        <v>0</v>
      </c>
    </row>
    <row r="107" spans="1:26" x14ac:dyDescent="0.3">
      <c r="A107" s="6" t="s">
        <v>430</v>
      </c>
      <c r="B107" s="7">
        <v>1</v>
      </c>
      <c r="C107" s="7">
        <v>15</v>
      </c>
      <c r="D107" s="3">
        <v>21</v>
      </c>
      <c r="E107" s="11">
        <v>3</v>
      </c>
      <c r="F107" s="7">
        <v>3</v>
      </c>
      <c r="P107" t="s">
        <v>152</v>
      </c>
      <c r="Q107">
        <f>COUNTIFS($C$2:$C$386,7,$E$2:$E$386,10)</f>
        <v>0</v>
      </c>
      <c r="R107" s="34">
        <f t="shared" si="11"/>
        <v>0</v>
      </c>
      <c r="X107" t="s">
        <v>42</v>
      </c>
      <c r="Y107">
        <f>COUNTIFS($E$2:$E$386,11,$F$2:$F$386,6)</f>
        <v>1</v>
      </c>
      <c r="Z107" s="34">
        <f t="shared" si="12"/>
        <v>0.25974025974025972</v>
      </c>
    </row>
    <row r="108" spans="1:26" x14ac:dyDescent="0.3">
      <c r="A108" t="s">
        <v>2008</v>
      </c>
      <c r="B108" s="7">
        <v>1</v>
      </c>
      <c r="C108" s="7">
        <v>5</v>
      </c>
      <c r="D108" s="3">
        <v>19</v>
      </c>
      <c r="E108" s="11">
        <v>4</v>
      </c>
      <c r="F108" s="7">
        <v>8</v>
      </c>
      <c r="P108" t="s">
        <v>49</v>
      </c>
      <c r="Q108">
        <f>COUNTIFS($C$2:$C$386,7,$E$2:$E$386,11)</f>
        <v>0</v>
      </c>
      <c r="R108" s="34">
        <f t="shared" si="11"/>
        <v>0</v>
      </c>
      <c r="X108" t="s">
        <v>45</v>
      </c>
      <c r="Y108">
        <f>COUNTIFS($E$2:$E$386,11,$F$2:$F$386,7)</f>
        <v>0</v>
      </c>
      <c r="Z108" s="34">
        <f t="shared" si="12"/>
        <v>0</v>
      </c>
    </row>
    <row r="109" spans="1:26" x14ac:dyDescent="0.3">
      <c r="A109" s="6" t="s">
        <v>1117</v>
      </c>
      <c r="B109" s="7">
        <v>1</v>
      </c>
      <c r="C109" s="7">
        <v>14</v>
      </c>
      <c r="D109" s="3">
        <v>21</v>
      </c>
      <c r="E109" s="3">
        <v>15</v>
      </c>
      <c r="F109" s="3">
        <v>3</v>
      </c>
      <c r="P109" t="s">
        <v>51</v>
      </c>
      <c r="Q109">
        <f>COUNTIFS($C$2:$C$386,7,$E$2:$E$386,12)</f>
        <v>0</v>
      </c>
      <c r="R109" s="34">
        <f t="shared" si="11"/>
        <v>0</v>
      </c>
      <c r="X109" t="s">
        <v>48</v>
      </c>
      <c r="Y109">
        <f>COUNTIFS($E$2:$E$386,11,$F$2:$F$386,8)</f>
        <v>0</v>
      </c>
      <c r="Z109" s="34">
        <f t="shared" si="12"/>
        <v>0</v>
      </c>
    </row>
    <row r="110" spans="1:26" x14ac:dyDescent="0.3">
      <c r="A110" t="s">
        <v>2379</v>
      </c>
      <c r="B110" s="7">
        <v>1</v>
      </c>
      <c r="C110" s="7">
        <v>3</v>
      </c>
      <c r="D110" s="3">
        <v>18</v>
      </c>
      <c r="E110" s="11">
        <v>4</v>
      </c>
      <c r="F110" s="7">
        <v>8</v>
      </c>
      <c r="P110" t="s">
        <v>153</v>
      </c>
      <c r="Q110">
        <f>COUNTIFS($C$2:$C$386,7,$E$2:$E$386,13)</f>
        <v>0</v>
      </c>
      <c r="R110" s="34">
        <f t="shared" si="11"/>
        <v>0</v>
      </c>
      <c r="X110" t="s">
        <v>50</v>
      </c>
      <c r="Y110">
        <f>COUNTIFS($E$2:$E$386,11,$F$2:$F$386,9)</f>
        <v>0</v>
      </c>
      <c r="Z110" s="34">
        <f t="shared" si="12"/>
        <v>0</v>
      </c>
    </row>
    <row r="111" spans="1:26" x14ac:dyDescent="0.3">
      <c r="A111" t="s">
        <v>2813</v>
      </c>
      <c r="B111" s="7">
        <v>1</v>
      </c>
      <c r="C111" s="7">
        <v>12</v>
      </c>
      <c r="D111" s="3">
        <v>20</v>
      </c>
      <c r="E111" s="3">
        <v>4</v>
      </c>
      <c r="F111" s="3">
        <v>1</v>
      </c>
      <c r="P111" t="s">
        <v>154</v>
      </c>
      <c r="Q111">
        <f>COUNTIFS($C$2:$C$386,7,$E$2:$E$386,14)</f>
        <v>0</v>
      </c>
      <c r="R111" s="34">
        <f t="shared" si="11"/>
        <v>0</v>
      </c>
      <c r="Y111" s="22">
        <f>SUM(Y102:Y110)</f>
        <v>5</v>
      </c>
      <c r="Z111" s="35">
        <f t="shared" si="12"/>
        <v>1.2987012987012987</v>
      </c>
    </row>
    <row r="112" spans="1:26" x14ac:dyDescent="0.3">
      <c r="A112" t="s">
        <v>1980</v>
      </c>
      <c r="B112" s="7">
        <v>1</v>
      </c>
      <c r="C112" s="7">
        <v>7</v>
      </c>
      <c r="D112" s="3">
        <v>19</v>
      </c>
      <c r="E112" s="3">
        <v>9</v>
      </c>
      <c r="F112" s="3">
        <v>1</v>
      </c>
      <c r="P112" t="s">
        <v>52</v>
      </c>
      <c r="Q112">
        <f>COUNTIFS($C$2:$C$386,7,$E$2:$E$386,15)</f>
        <v>2</v>
      </c>
      <c r="R112" s="34">
        <f t="shared" si="11"/>
        <v>0.51948051948051943</v>
      </c>
      <c r="W112" t="s">
        <v>51</v>
      </c>
      <c r="X112" t="s">
        <v>10</v>
      </c>
      <c r="Y112">
        <f>COUNTIFS($E$2:$E$386,12,$F$2:$F$386,1)</f>
        <v>0</v>
      </c>
      <c r="Z112" s="34">
        <f>(Y112/385)*100</f>
        <v>0</v>
      </c>
    </row>
    <row r="113" spans="1:26" x14ac:dyDescent="0.3">
      <c r="A113" s="6" t="s">
        <v>448</v>
      </c>
      <c r="B113" s="7">
        <v>1</v>
      </c>
      <c r="C113" s="7">
        <v>16</v>
      </c>
      <c r="D113" s="3">
        <v>21</v>
      </c>
      <c r="E113" s="11">
        <v>4</v>
      </c>
      <c r="F113" s="11">
        <v>3</v>
      </c>
      <c r="Q113" s="22">
        <f>SUM(Q98:Q112)</f>
        <v>15</v>
      </c>
      <c r="R113" s="35">
        <f t="shared" si="11"/>
        <v>3.8961038961038961</v>
      </c>
      <c r="X113" t="s">
        <v>17</v>
      </c>
      <c r="Y113">
        <f>COUNTIFS($E$2:$E$386,12,$F$2:$F$386,2)</f>
        <v>0</v>
      </c>
      <c r="Z113" s="34">
        <f t="shared" ref="Z113:Z121" si="13">(Y113/385)*100</f>
        <v>0</v>
      </c>
    </row>
    <row r="114" spans="1:26" x14ac:dyDescent="0.3">
      <c r="A114" s="6" t="s">
        <v>730</v>
      </c>
      <c r="B114" s="7">
        <v>1</v>
      </c>
      <c r="C114" s="7">
        <v>15</v>
      </c>
      <c r="D114" s="3">
        <v>21</v>
      </c>
      <c r="E114" s="11">
        <v>4</v>
      </c>
      <c r="F114" s="7">
        <v>3</v>
      </c>
      <c r="O114">
        <v>2016</v>
      </c>
      <c r="P114" t="s">
        <v>11</v>
      </c>
      <c r="Q114">
        <f>COUNTIFS($C$2:$C$386,8,$E$2:$E$386,1)</f>
        <v>3</v>
      </c>
      <c r="R114" s="34">
        <f>(Q114/385)*100</f>
        <v>0.77922077922077926</v>
      </c>
      <c r="X114" t="s">
        <v>24</v>
      </c>
      <c r="Y114">
        <f>COUNTIFS($E$2:$E$386,12,$F$2:$F$386,3)</f>
        <v>9</v>
      </c>
      <c r="Z114" s="34">
        <f t="shared" si="13"/>
        <v>2.3376623376623376</v>
      </c>
    </row>
    <row r="115" spans="1:26" x14ac:dyDescent="0.3">
      <c r="A115" t="s">
        <v>1612</v>
      </c>
      <c r="B115" s="7">
        <v>1</v>
      </c>
      <c r="C115" s="7">
        <v>12</v>
      </c>
      <c r="D115" s="3">
        <v>20</v>
      </c>
      <c r="E115" s="3">
        <v>1</v>
      </c>
      <c r="F115" s="3">
        <v>3</v>
      </c>
      <c r="P115" t="s">
        <v>18</v>
      </c>
      <c r="Q115">
        <f>COUNTIFS($C$2:$C$386,8,$E$2:$E$386,2)</f>
        <v>2</v>
      </c>
      <c r="R115" s="34">
        <f t="shared" ref="R115:R129" si="14">(Q115/385)*100</f>
        <v>0.51948051948051943</v>
      </c>
      <c r="X115" t="s">
        <v>31</v>
      </c>
      <c r="Y115">
        <f>COUNTIFS($E$2:$E$386,12,$F$2:$F$386,4)</f>
        <v>0</v>
      </c>
      <c r="Z115" s="34">
        <f t="shared" si="13"/>
        <v>0</v>
      </c>
    </row>
    <row r="116" spans="1:26" x14ac:dyDescent="0.3">
      <c r="A116" s="6" t="s">
        <v>860</v>
      </c>
      <c r="B116" s="7">
        <v>1</v>
      </c>
      <c r="C116" s="7">
        <v>15</v>
      </c>
      <c r="D116" s="3">
        <v>21</v>
      </c>
      <c r="E116" s="11">
        <v>3</v>
      </c>
      <c r="F116" s="7">
        <v>1</v>
      </c>
      <c r="P116" t="s">
        <v>150</v>
      </c>
      <c r="Q116">
        <f>COUNTIFS($C$2:$C$386,8,$E$2:$E$386,3)</f>
        <v>1</v>
      </c>
      <c r="R116" s="34">
        <f t="shared" si="14"/>
        <v>0.25974025974025972</v>
      </c>
      <c r="X116" t="s">
        <v>37</v>
      </c>
      <c r="Y116">
        <f>COUNTIFS($E$2:$E$386,12,$F$2:$F$386,5)</f>
        <v>0</v>
      </c>
      <c r="Z116" s="34">
        <f t="shared" si="13"/>
        <v>0</v>
      </c>
    </row>
    <row r="117" spans="1:26" x14ac:dyDescent="0.3">
      <c r="A117" s="6" t="s">
        <v>1033</v>
      </c>
      <c r="B117" s="7">
        <v>1</v>
      </c>
      <c r="C117" s="7">
        <v>14</v>
      </c>
      <c r="D117" s="3">
        <v>21</v>
      </c>
      <c r="E117" s="11">
        <v>4</v>
      </c>
      <c r="F117" s="11">
        <v>3</v>
      </c>
      <c r="P117" t="s">
        <v>25</v>
      </c>
      <c r="Q117">
        <f>COUNTIFS($C$2:$C$386,8,$E$2:$E$386,4)</f>
        <v>9</v>
      </c>
      <c r="R117" s="34">
        <f t="shared" si="14"/>
        <v>2.3376623376623376</v>
      </c>
      <c r="X117" t="s">
        <v>42</v>
      </c>
      <c r="Y117">
        <f>COUNTIFS($E$2:$E$386,12,$F$2:$F$386,6)</f>
        <v>0</v>
      </c>
      <c r="Z117" s="34">
        <f t="shared" si="13"/>
        <v>0</v>
      </c>
    </row>
    <row r="118" spans="1:26" x14ac:dyDescent="0.3">
      <c r="A118" s="6" t="s">
        <v>1049</v>
      </c>
      <c r="B118" s="7">
        <v>1</v>
      </c>
      <c r="C118" s="7">
        <v>14</v>
      </c>
      <c r="D118" s="3">
        <v>21</v>
      </c>
      <c r="E118" s="11">
        <v>4</v>
      </c>
      <c r="F118" s="11">
        <v>3</v>
      </c>
      <c r="P118" t="s">
        <v>32</v>
      </c>
      <c r="Q118">
        <f>COUNTIFS($C$2:$C$386,8,$E$2:$E$386,5)</f>
        <v>3</v>
      </c>
      <c r="R118" s="34">
        <f t="shared" si="14"/>
        <v>0.77922077922077926</v>
      </c>
      <c r="X118" t="s">
        <v>45</v>
      </c>
      <c r="Y118">
        <f>COUNTIFS($E$2:$E$386,12,$F$2:$F$386,7)</f>
        <v>0</v>
      </c>
      <c r="Z118" s="34">
        <f t="shared" si="13"/>
        <v>0</v>
      </c>
    </row>
    <row r="119" spans="1:26" x14ac:dyDescent="0.3">
      <c r="A119" s="6" t="s">
        <v>582</v>
      </c>
      <c r="B119" s="7">
        <v>1</v>
      </c>
      <c r="C119" s="7">
        <v>16</v>
      </c>
      <c r="D119" s="3">
        <v>21</v>
      </c>
      <c r="E119" s="11">
        <v>8</v>
      </c>
      <c r="F119" s="11">
        <v>7</v>
      </c>
      <c r="P119" t="s">
        <v>38</v>
      </c>
      <c r="Q119">
        <f>COUNTIFS($C$2:$C$386,8,$E$2:$E$386,6)</f>
        <v>0</v>
      </c>
      <c r="R119" s="34">
        <f t="shared" si="14"/>
        <v>0</v>
      </c>
      <c r="X119" t="s">
        <v>48</v>
      </c>
      <c r="Y119">
        <f>COUNTIFS($E$2:$E$386,12,$F$2:$F$386,8)</f>
        <v>1</v>
      </c>
      <c r="Z119" s="34">
        <f t="shared" si="13"/>
        <v>0.25974025974025972</v>
      </c>
    </row>
    <row r="120" spans="1:26" x14ac:dyDescent="0.3">
      <c r="A120" t="s">
        <v>2484</v>
      </c>
      <c r="B120" s="7">
        <v>1</v>
      </c>
      <c r="C120" s="7">
        <v>16</v>
      </c>
      <c r="D120" s="3">
        <v>21</v>
      </c>
      <c r="E120" s="3">
        <v>4</v>
      </c>
      <c r="F120" s="3">
        <v>7</v>
      </c>
      <c r="P120" t="s">
        <v>151</v>
      </c>
      <c r="Q120">
        <f>COUNTIFS($C$2:$C$386,8,$E$2:$E$386,7)</f>
        <v>0</v>
      </c>
      <c r="R120" s="34">
        <f t="shared" si="14"/>
        <v>0</v>
      </c>
      <c r="X120" t="s">
        <v>50</v>
      </c>
      <c r="Y120">
        <f>COUNTIFS($E$2:$E$386,12,$F$2:$F$386,9)</f>
        <v>0</v>
      </c>
      <c r="Z120" s="34">
        <f t="shared" si="13"/>
        <v>0</v>
      </c>
    </row>
    <row r="121" spans="1:26" x14ac:dyDescent="0.3">
      <c r="A121" t="s">
        <v>2445</v>
      </c>
      <c r="B121" s="7">
        <v>1</v>
      </c>
      <c r="C121" s="7">
        <v>2</v>
      </c>
      <c r="D121" s="3">
        <v>18</v>
      </c>
      <c r="E121" s="3">
        <v>1</v>
      </c>
      <c r="F121" s="3">
        <v>1</v>
      </c>
      <c r="P121" t="s">
        <v>43</v>
      </c>
      <c r="Q121">
        <f>COUNTIFS($C$2:$C$386,8,$E$2:$E$386,8)</f>
        <v>0</v>
      </c>
      <c r="R121" s="34">
        <f t="shared" si="14"/>
        <v>0</v>
      </c>
      <c r="Y121" s="22">
        <f>SUM(Y112:Y120)</f>
        <v>10</v>
      </c>
      <c r="Z121" s="35">
        <f t="shared" si="13"/>
        <v>2.5974025974025974</v>
      </c>
    </row>
    <row r="122" spans="1:26" x14ac:dyDescent="0.3">
      <c r="A122" t="s">
        <v>2445</v>
      </c>
      <c r="B122" s="7">
        <v>1</v>
      </c>
      <c r="C122" s="7">
        <v>12</v>
      </c>
      <c r="D122" s="3">
        <v>20</v>
      </c>
      <c r="E122" s="3">
        <v>3</v>
      </c>
      <c r="F122" s="3">
        <v>3</v>
      </c>
      <c r="P122" t="s">
        <v>46</v>
      </c>
      <c r="Q122">
        <f>COUNTIFS($C$2:$C$386,8,$E$2:$E$386,9)</f>
        <v>1</v>
      </c>
      <c r="R122" s="34">
        <f t="shared" si="14"/>
        <v>0.25974025974025972</v>
      </c>
      <c r="W122" t="s">
        <v>153</v>
      </c>
      <c r="X122" t="s">
        <v>10</v>
      </c>
      <c r="Y122">
        <f>COUNTIFS($E$2:$E$386,13,$F$2:$F$386,1)</f>
        <v>0</v>
      </c>
      <c r="Z122" s="34">
        <f>(Y122/385)*100</f>
        <v>0</v>
      </c>
    </row>
    <row r="123" spans="1:26" x14ac:dyDescent="0.3">
      <c r="A123" t="s">
        <v>1851</v>
      </c>
      <c r="B123" s="7">
        <v>1</v>
      </c>
      <c r="C123" s="7">
        <v>8</v>
      </c>
      <c r="D123" s="3">
        <v>19</v>
      </c>
      <c r="E123" s="3">
        <v>4</v>
      </c>
      <c r="F123" s="3">
        <v>6</v>
      </c>
      <c r="P123" t="s">
        <v>152</v>
      </c>
      <c r="Q123">
        <f>COUNTIFS($C$2:$C$386,8,$E$2:$E$386,10)</f>
        <v>0</v>
      </c>
      <c r="R123" s="34">
        <f t="shared" si="14"/>
        <v>0</v>
      </c>
      <c r="X123" t="s">
        <v>17</v>
      </c>
      <c r="Y123">
        <f>COUNTIFS($E$2:$E$386,13,$F$2:$F$386,2)</f>
        <v>0</v>
      </c>
      <c r="Z123" s="34">
        <f t="shared" ref="Z123:Z131" si="15">(Y123/385)*100</f>
        <v>0</v>
      </c>
    </row>
    <row r="124" spans="1:26" x14ac:dyDescent="0.3">
      <c r="A124" t="s">
        <v>1938</v>
      </c>
      <c r="B124" s="7">
        <v>1</v>
      </c>
      <c r="C124" s="7">
        <v>8</v>
      </c>
      <c r="D124" s="3">
        <v>19</v>
      </c>
      <c r="E124" s="3">
        <v>5</v>
      </c>
      <c r="F124" s="3">
        <v>3</v>
      </c>
      <c r="P124" t="s">
        <v>49</v>
      </c>
      <c r="Q124">
        <f>COUNTIFS($C$2:$C$386,8,$E$2:$E$386,11)</f>
        <v>0</v>
      </c>
      <c r="R124" s="34">
        <f t="shared" si="14"/>
        <v>0</v>
      </c>
      <c r="X124" t="s">
        <v>24</v>
      </c>
      <c r="Y124">
        <f>COUNTIFS($E$2:$E$386,13,$F$2:$F$386,3)</f>
        <v>2</v>
      </c>
      <c r="Z124" s="34">
        <f t="shared" si="15"/>
        <v>0.51948051948051943</v>
      </c>
    </row>
    <row r="125" spans="1:26" x14ac:dyDescent="0.3">
      <c r="A125" t="s">
        <v>2991</v>
      </c>
      <c r="B125" s="7">
        <v>1</v>
      </c>
      <c r="C125" s="7">
        <v>5</v>
      </c>
      <c r="D125" s="3">
        <v>19</v>
      </c>
      <c r="E125" s="3">
        <v>8</v>
      </c>
      <c r="F125" s="3">
        <v>8</v>
      </c>
      <c r="P125" t="s">
        <v>51</v>
      </c>
      <c r="Q125">
        <f>COUNTIFS($C$2:$C$386,8,$E$2:$E$386,12)</f>
        <v>0</v>
      </c>
      <c r="R125" s="34">
        <f t="shared" si="14"/>
        <v>0</v>
      </c>
      <c r="X125" t="s">
        <v>31</v>
      </c>
      <c r="Y125">
        <f>COUNTIFS($E$2:$E$386,13,$F$2:$F$386,4)</f>
        <v>0</v>
      </c>
      <c r="Z125" s="34">
        <f t="shared" si="15"/>
        <v>0</v>
      </c>
    </row>
    <row r="126" spans="1:26" x14ac:dyDescent="0.3">
      <c r="A126" t="s">
        <v>2133</v>
      </c>
      <c r="B126" s="7">
        <v>1</v>
      </c>
      <c r="C126" s="7">
        <v>5</v>
      </c>
      <c r="D126" s="3">
        <v>19</v>
      </c>
      <c r="E126" s="3">
        <v>4</v>
      </c>
      <c r="F126" s="3">
        <v>3</v>
      </c>
      <c r="P126" t="s">
        <v>153</v>
      </c>
      <c r="Q126">
        <f>COUNTIFS($C$2:$C$386,8,$E$2:$E$386,13)</f>
        <v>0</v>
      </c>
      <c r="R126" s="34">
        <f t="shared" si="14"/>
        <v>0</v>
      </c>
      <c r="X126" t="s">
        <v>37</v>
      </c>
      <c r="Y126">
        <f>COUNTIFS($E$2:$E$386,13,$F$2:$F$386,5)</f>
        <v>0</v>
      </c>
      <c r="Z126" s="34">
        <f t="shared" si="15"/>
        <v>0</v>
      </c>
    </row>
    <row r="127" spans="1:26" x14ac:dyDescent="0.3">
      <c r="A127" s="6" t="s">
        <v>1045</v>
      </c>
      <c r="B127" s="7">
        <v>1</v>
      </c>
      <c r="C127" s="7">
        <v>14</v>
      </c>
      <c r="D127" s="3">
        <v>21</v>
      </c>
      <c r="E127" s="11">
        <v>4</v>
      </c>
      <c r="F127" s="11">
        <v>3</v>
      </c>
      <c r="P127" t="s">
        <v>154</v>
      </c>
      <c r="Q127">
        <f>COUNTIFS($C$2:$C$386,8,$E$2:$E$386,14)</f>
        <v>1</v>
      </c>
      <c r="R127" s="34">
        <f t="shared" si="14"/>
        <v>0.25974025974025972</v>
      </c>
      <c r="X127" t="s">
        <v>42</v>
      </c>
      <c r="Y127">
        <f>COUNTIFS($E$2:$E$386,13,$F$2:$F$386,6)</f>
        <v>0</v>
      </c>
      <c r="Z127" s="34">
        <f t="shared" si="15"/>
        <v>0</v>
      </c>
    </row>
    <row r="128" spans="1:26" x14ac:dyDescent="0.3">
      <c r="A128" s="6" t="s">
        <v>878</v>
      </c>
      <c r="B128" s="7">
        <v>1</v>
      </c>
      <c r="C128" s="7">
        <v>15</v>
      </c>
      <c r="D128" s="3">
        <v>21</v>
      </c>
      <c r="E128" s="11">
        <v>3</v>
      </c>
      <c r="F128" s="7">
        <v>3</v>
      </c>
      <c r="P128" t="s">
        <v>52</v>
      </c>
      <c r="Q128">
        <f>COUNTIFS($C$2:$C$386,8,$E$2:$E$386,15)</f>
        <v>1</v>
      </c>
      <c r="R128" s="34">
        <f t="shared" si="14"/>
        <v>0.25974025974025972</v>
      </c>
      <c r="X128" t="s">
        <v>45</v>
      </c>
      <c r="Y128">
        <f>COUNTIFS($E$2:$E$386,13,$F$2:$F$386,7)</f>
        <v>0</v>
      </c>
      <c r="Z128" s="34">
        <f t="shared" si="15"/>
        <v>0</v>
      </c>
    </row>
    <row r="129" spans="1:26" x14ac:dyDescent="0.3">
      <c r="A129" s="6" t="s">
        <v>707</v>
      </c>
      <c r="B129" s="7">
        <v>1</v>
      </c>
      <c r="C129" s="7">
        <v>16</v>
      </c>
      <c r="D129" s="3">
        <v>21</v>
      </c>
      <c r="E129" s="11">
        <v>15</v>
      </c>
      <c r="F129" s="7">
        <v>3</v>
      </c>
      <c r="Q129" s="22">
        <f>SUM(Q114:Q128)</f>
        <v>21</v>
      </c>
      <c r="R129" s="35">
        <f t="shared" si="14"/>
        <v>5.4545454545454541</v>
      </c>
      <c r="X129" t="s">
        <v>48</v>
      </c>
      <c r="Y129">
        <f>COUNTIFS($E$2:$E$386,13,$F$2:$F$386,8)</f>
        <v>0</v>
      </c>
      <c r="Z129" s="34">
        <f t="shared" si="15"/>
        <v>0</v>
      </c>
    </row>
    <row r="130" spans="1:26" x14ac:dyDescent="0.3">
      <c r="A130" t="s">
        <v>2207</v>
      </c>
      <c r="B130" s="7">
        <v>1</v>
      </c>
      <c r="C130" s="7">
        <v>4</v>
      </c>
      <c r="D130" s="3">
        <v>18</v>
      </c>
      <c r="E130" s="3">
        <v>3</v>
      </c>
      <c r="F130" s="3">
        <v>3</v>
      </c>
      <c r="O130">
        <v>2017</v>
      </c>
      <c r="P130" t="s">
        <v>11</v>
      </c>
      <c r="Q130">
        <f>COUNTIFS($C$2:$C$386,9,$E$2:$E$386,1)</f>
        <v>2</v>
      </c>
      <c r="R130" s="34">
        <f>(Q130/385)*100</f>
        <v>0.51948051948051943</v>
      </c>
      <c r="X130" t="s">
        <v>50</v>
      </c>
      <c r="Y130">
        <f>COUNTIFS($E$2:$E$386,13,$F$2:$F$386,9)</f>
        <v>0</v>
      </c>
      <c r="Z130" s="34">
        <f t="shared" si="15"/>
        <v>0</v>
      </c>
    </row>
    <row r="131" spans="1:26" x14ac:dyDescent="0.3">
      <c r="A131" s="6" t="s">
        <v>145</v>
      </c>
      <c r="B131" s="7">
        <v>1</v>
      </c>
      <c r="C131" s="7">
        <v>17</v>
      </c>
      <c r="D131" s="3">
        <v>21</v>
      </c>
      <c r="E131" s="11">
        <v>15</v>
      </c>
      <c r="F131" s="11">
        <v>6</v>
      </c>
      <c r="P131" t="s">
        <v>18</v>
      </c>
      <c r="Q131">
        <f>COUNTIFS($C$2:$C$386,9,$E$2:$E$386,2)</f>
        <v>2</v>
      </c>
      <c r="R131" s="34">
        <f t="shared" ref="R131:R145" si="16">(Q131/385)*100</f>
        <v>0.51948051948051943</v>
      </c>
      <c r="Y131" s="22">
        <f>SUM(Y122:Y130)</f>
        <v>2</v>
      </c>
      <c r="Z131" s="35">
        <f t="shared" si="15"/>
        <v>0.51948051948051943</v>
      </c>
    </row>
    <row r="132" spans="1:26" x14ac:dyDescent="0.3">
      <c r="A132" t="s">
        <v>3071</v>
      </c>
      <c r="B132" s="7">
        <v>1</v>
      </c>
      <c r="C132" s="7">
        <v>4</v>
      </c>
      <c r="D132" s="3">
        <v>18</v>
      </c>
      <c r="E132" s="3">
        <v>4</v>
      </c>
      <c r="F132" s="3">
        <v>8</v>
      </c>
      <c r="P132" t="s">
        <v>150</v>
      </c>
      <c r="Q132">
        <f>COUNTIFS($C$2:$C$386,9,$E$2:$E$386,3)</f>
        <v>0</v>
      </c>
      <c r="R132" s="34">
        <f t="shared" si="16"/>
        <v>0</v>
      </c>
      <c r="W132" t="s">
        <v>154</v>
      </c>
      <c r="X132" t="s">
        <v>10</v>
      </c>
      <c r="Y132">
        <f>COUNTIFS($E$2:$E$386,14,$F$2:$F$386,1)</f>
        <v>2</v>
      </c>
      <c r="Z132" s="34">
        <f>(Y132/385)*100</f>
        <v>0.51948051948051943</v>
      </c>
    </row>
    <row r="133" spans="1:26" x14ac:dyDescent="0.3">
      <c r="A133" t="s">
        <v>1867</v>
      </c>
      <c r="B133" s="7">
        <v>1</v>
      </c>
      <c r="C133" s="7">
        <v>8</v>
      </c>
      <c r="D133" s="3">
        <v>19</v>
      </c>
      <c r="E133" s="3">
        <v>1</v>
      </c>
      <c r="F133" s="3">
        <v>9</v>
      </c>
      <c r="P133" t="s">
        <v>25</v>
      </c>
      <c r="Q133">
        <f>COUNTIFS($C$2:$C$386,9,$E$2:$E$386,4)</f>
        <v>6</v>
      </c>
      <c r="R133" s="34">
        <f t="shared" si="16"/>
        <v>1.5584415584415585</v>
      </c>
      <c r="X133" t="s">
        <v>17</v>
      </c>
      <c r="Y133">
        <f>COUNTIFS($E$2:$E$386,14,$F$2:$F$386,2)</f>
        <v>0</v>
      </c>
      <c r="Z133" s="34">
        <f t="shared" ref="Z133:Z141" si="17">(Y133/385)*100</f>
        <v>0</v>
      </c>
    </row>
    <row r="134" spans="1:26" x14ac:dyDescent="0.3">
      <c r="A134" t="s">
        <v>2900</v>
      </c>
      <c r="B134" s="7">
        <v>1</v>
      </c>
      <c r="C134" s="7">
        <v>10</v>
      </c>
      <c r="D134" s="3">
        <v>20</v>
      </c>
      <c r="E134" s="3">
        <v>3</v>
      </c>
      <c r="F134" s="3">
        <v>3</v>
      </c>
      <c r="P134" t="s">
        <v>32</v>
      </c>
      <c r="Q134">
        <f>COUNTIFS($C$2:$C$386,9,$E$2:$E$386,5)</f>
        <v>0</v>
      </c>
      <c r="R134" s="34">
        <f t="shared" si="16"/>
        <v>0</v>
      </c>
      <c r="X134" t="s">
        <v>24</v>
      </c>
      <c r="Y134">
        <f>COUNTIFS($E$2:$E$386,14,$F$2:$F$386,3)</f>
        <v>7</v>
      </c>
      <c r="Z134" s="34">
        <f t="shared" si="17"/>
        <v>1.8181818181818181</v>
      </c>
    </row>
    <row r="135" spans="1:26" x14ac:dyDescent="0.3">
      <c r="A135" t="s">
        <v>1541</v>
      </c>
      <c r="B135" s="7">
        <v>1</v>
      </c>
      <c r="C135" s="7">
        <v>12</v>
      </c>
      <c r="D135" s="3">
        <v>20</v>
      </c>
      <c r="E135" s="3">
        <v>1</v>
      </c>
      <c r="F135" s="3">
        <v>3</v>
      </c>
      <c r="P135" t="s">
        <v>38</v>
      </c>
      <c r="Q135">
        <f>COUNTIFS($C$2:$C$386,9,$E$2:$E$386,6)</f>
        <v>0</v>
      </c>
      <c r="R135" s="34">
        <f t="shared" si="16"/>
        <v>0</v>
      </c>
      <c r="X135" t="s">
        <v>31</v>
      </c>
      <c r="Y135">
        <f>COUNTIFS($E$2:$E$386,14,$F$2:$F$386,4)</f>
        <v>0</v>
      </c>
      <c r="Z135" s="34">
        <f t="shared" si="17"/>
        <v>0</v>
      </c>
    </row>
    <row r="136" spans="1:26" x14ac:dyDescent="0.3">
      <c r="A136" t="s">
        <v>1398</v>
      </c>
      <c r="B136" s="7">
        <v>1</v>
      </c>
      <c r="C136" s="7">
        <v>13</v>
      </c>
      <c r="D136" s="3">
        <v>21</v>
      </c>
      <c r="E136" s="3">
        <v>9</v>
      </c>
      <c r="F136" s="3">
        <v>6</v>
      </c>
      <c r="P136" t="s">
        <v>151</v>
      </c>
      <c r="Q136">
        <f>COUNTIFS($C$2:$C$386,9,$E$2:$E$386,7)</f>
        <v>0</v>
      </c>
      <c r="R136" s="34">
        <f t="shared" si="16"/>
        <v>0</v>
      </c>
      <c r="X136" t="s">
        <v>37</v>
      </c>
      <c r="Y136">
        <f>COUNTIFS($E$2:$E$386,14,$F$2:$F$386,5)</f>
        <v>0</v>
      </c>
      <c r="Z136" s="34">
        <f t="shared" si="17"/>
        <v>0</v>
      </c>
    </row>
    <row r="137" spans="1:26" x14ac:dyDescent="0.3">
      <c r="A137" t="s">
        <v>2377</v>
      </c>
      <c r="B137" s="7">
        <v>1</v>
      </c>
      <c r="C137" s="7">
        <v>3</v>
      </c>
      <c r="D137" s="3">
        <v>18</v>
      </c>
      <c r="E137" s="3">
        <v>5</v>
      </c>
      <c r="F137" s="3">
        <v>1</v>
      </c>
      <c r="P137" t="s">
        <v>43</v>
      </c>
      <c r="Q137">
        <f>COUNTIFS($C$2:$C$386,9,$E$2:$E$386,8)</f>
        <v>1</v>
      </c>
      <c r="R137" s="34">
        <f t="shared" si="16"/>
        <v>0.25974025974025972</v>
      </c>
      <c r="X137" t="s">
        <v>42</v>
      </c>
      <c r="Y137">
        <f>COUNTIFS($E$2:$E$386,14,$F$2:$F$386,6)</f>
        <v>0</v>
      </c>
      <c r="Z137" s="34">
        <f t="shared" si="17"/>
        <v>0</v>
      </c>
    </row>
    <row r="138" spans="1:26" x14ac:dyDescent="0.3">
      <c r="A138" t="s">
        <v>2178</v>
      </c>
      <c r="B138" s="7">
        <v>1</v>
      </c>
      <c r="C138" s="7">
        <v>4</v>
      </c>
      <c r="D138" s="3">
        <v>18</v>
      </c>
      <c r="E138" s="3">
        <v>4</v>
      </c>
      <c r="F138" s="3">
        <v>1</v>
      </c>
      <c r="P138" t="s">
        <v>46</v>
      </c>
      <c r="Q138">
        <f>COUNTIFS($C$2:$C$386,9,$E$2:$E$386,9)</f>
        <v>0</v>
      </c>
      <c r="R138" s="34">
        <f t="shared" si="16"/>
        <v>0</v>
      </c>
      <c r="X138" t="s">
        <v>45</v>
      </c>
      <c r="Y138">
        <f>COUNTIFS($E$2:$E$386,14,$F$2:$F$386,7)</f>
        <v>0</v>
      </c>
      <c r="Z138" s="34">
        <f t="shared" si="17"/>
        <v>0</v>
      </c>
    </row>
    <row r="139" spans="1:26" x14ac:dyDescent="0.3">
      <c r="A139" t="s">
        <v>2184</v>
      </c>
      <c r="B139" s="7">
        <v>1</v>
      </c>
      <c r="C139" s="7">
        <v>4</v>
      </c>
      <c r="D139" s="3">
        <v>18</v>
      </c>
      <c r="E139" s="3">
        <v>4</v>
      </c>
      <c r="F139" s="3">
        <v>1</v>
      </c>
      <c r="P139" t="s">
        <v>152</v>
      </c>
      <c r="Q139">
        <f>COUNTIFS($C$2:$C$386,9,$E$2:$E$386,10)</f>
        <v>0</v>
      </c>
      <c r="R139" s="34">
        <f t="shared" si="16"/>
        <v>0</v>
      </c>
      <c r="X139" t="s">
        <v>48</v>
      </c>
      <c r="Y139">
        <f>COUNTIFS($E$2:$E$386,14,$F$2:$F$386,8)</f>
        <v>0</v>
      </c>
      <c r="Z139" s="34">
        <f t="shared" si="17"/>
        <v>0</v>
      </c>
    </row>
    <row r="140" spans="1:26" x14ac:dyDescent="0.3">
      <c r="A140" t="s">
        <v>1194</v>
      </c>
      <c r="B140" s="7">
        <v>1</v>
      </c>
      <c r="C140" s="7">
        <v>13</v>
      </c>
      <c r="D140" s="3">
        <v>21</v>
      </c>
      <c r="E140" s="3">
        <v>2</v>
      </c>
      <c r="F140" s="11">
        <v>3</v>
      </c>
      <c r="P140" t="s">
        <v>49</v>
      </c>
      <c r="Q140">
        <f>COUNTIFS($C$2:$C$386,9,$E$2:$E$386,11)</f>
        <v>0</v>
      </c>
      <c r="R140" s="34">
        <f t="shared" si="16"/>
        <v>0</v>
      </c>
      <c r="X140" t="s">
        <v>50</v>
      </c>
      <c r="Y140">
        <f>COUNTIFS($E$2:$E$386,14,$F$2:$F$386,9)</f>
        <v>1</v>
      </c>
      <c r="Z140" s="34">
        <f t="shared" si="17"/>
        <v>0.25974025974025972</v>
      </c>
    </row>
    <row r="141" spans="1:26" x14ac:dyDescent="0.3">
      <c r="A141" s="6" t="s">
        <v>1023</v>
      </c>
      <c r="B141" s="7">
        <v>1</v>
      </c>
      <c r="C141" s="7">
        <v>14</v>
      </c>
      <c r="D141" s="3">
        <v>21</v>
      </c>
      <c r="E141" s="11">
        <v>2</v>
      </c>
      <c r="F141" s="11">
        <v>3</v>
      </c>
      <c r="P141" t="s">
        <v>51</v>
      </c>
      <c r="Q141">
        <f>COUNTIFS($C$2:$C$386,9,$E$2:$E$386,12)</f>
        <v>0</v>
      </c>
      <c r="R141" s="34">
        <f t="shared" si="16"/>
        <v>0</v>
      </c>
      <c r="Y141" s="22">
        <f>SUM(Y132:Y140)</f>
        <v>10</v>
      </c>
      <c r="Z141" s="35">
        <f t="shared" si="17"/>
        <v>2.5974025974025974</v>
      </c>
    </row>
    <row r="142" spans="1:26" x14ac:dyDescent="0.3">
      <c r="A142" t="s">
        <v>1352</v>
      </c>
      <c r="B142" s="7">
        <v>1</v>
      </c>
      <c r="C142" s="7">
        <v>13</v>
      </c>
      <c r="D142" s="3">
        <v>21</v>
      </c>
      <c r="E142" s="3">
        <v>1</v>
      </c>
      <c r="F142" s="3">
        <v>3</v>
      </c>
      <c r="P142" t="s">
        <v>153</v>
      </c>
      <c r="Q142">
        <f>COUNTIFS($C$2:$C$386,9,$E$2:$E$386,13)</f>
        <v>0</v>
      </c>
      <c r="R142" s="34">
        <f t="shared" si="16"/>
        <v>0</v>
      </c>
      <c r="W142" t="s">
        <v>52</v>
      </c>
      <c r="X142" t="s">
        <v>10</v>
      </c>
      <c r="Y142">
        <f>COUNTIFS($E$2:$E$386,15,$F$2:$F$386,1)</f>
        <v>5</v>
      </c>
      <c r="Z142" s="34">
        <f>(Y142/385)*100</f>
        <v>1.2987012987012987</v>
      </c>
    </row>
    <row r="143" spans="1:26" x14ac:dyDescent="0.3">
      <c r="A143" s="6" t="s">
        <v>95</v>
      </c>
      <c r="B143" s="7">
        <v>1</v>
      </c>
      <c r="C143" s="7">
        <v>17</v>
      </c>
      <c r="D143" s="3">
        <v>21</v>
      </c>
      <c r="E143" s="7">
        <v>4</v>
      </c>
      <c r="F143" s="11">
        <v>8</v>
      </c>
      <c r="P143" t="s">
        <v>154</v>
      </c>
      <c r="Q143">
        <f>COUNTIFS($C$2:$C$386,9,$E$2:$E$386,14)</f>
        <v>0</v>
      </c>
      <c r="R143" s="34">
        <f t="shared" si="16"/>
        <v>0</v>
      </c>
      <c r="X143" t="s">
        <v>17</v>
      </c>
      <c r="Y143">
        <f>COUNTIFS($E$2:$E$386,15,$F$2:$F$386,2)</f>
        <v>0</v>
      </c>
      <c r="Z143" s="34">
        <f t="shared" ref="Z143:Z151" si="18">(Y143/385)*100</f>
        <v>0</v>
      </c>
    </row>
    <row r="144" spans="1:26" x14ac:dyDescent="0.3">
      <c r="A144" t="s">
        <v>1442</v>
      </c>
      <c r="B144" s="7">
        <v>1</v>
      </c>
      <c r="C144" s="7">
        <v>12</v>
      </c>
      <c r="D144" s="3">
        <v>20</v>
      </c>
      <c r="E144" s="11">
        <v>4</v>
      </c>
      <c r="F144" s="11">
        <v>8</v>
      </c>
      <c r="P144" t="s">
        <v>52</v>
      </c>
      <c r="Q144">
        <f>COUNTIFS($C$2:$C$386,9,$E$2:$E$386,15)</f>
        <v>1</v>
      </c>
      <c r="R144" s="34">
        <f t="shared" si="16"/>
        <v>0.25974025974025972</v>
      </c>
      <c r="X144" t="s">
        <v>24</v>
      </c>
      <c r="Y144">
        <f>COUNTIFS($E$2:$E$386,15,$F$2:$F$386,3)</f>
        <v>21</v>
      </c>
      <c r="Z144" s="34">
        <f t="shared" si="18"/>
        <v>5.4545454545454541</v>
      </c>
    </row>
    <row r="145" spans="1:26" x14ac:dyDescent="0.3">
      <c r="A145" t="s">
        <v>2116</v>
      </c>
      <c r="B145" s="7">
        <v>1</v>
      </c>
      <c r="C145" s="7">
        <v>3</v>
      </c>
      <c r="D145" s="3">
        <v>18</v>
      </c>
      <c r="E145" s="3">
        <v>2</v>
      </c>
      <c r="F145" s="3">
        <v>5</v>
      </c>
      <c r="Q145" s="22">
        <f>SUM(Q130:Q144)</f>
        <v>12</v>
      </c>
      <c r="R145" s="35">
        <f t="shared" si="16"/>
        <v>3.116883116883117</v>
      </c>
      <c r="X145" t="s">
        <v>31</v>
      </c>
      <c r="Y145">
        <f>COUNTIFS($E$2:$E$386,15,$F$2:$F$386,4)</f>
        <v>1</v>
      </c>
      <c r="Z145" s="34">
        <f t="shared" si="18"/>
        <v>0.25974025974025972</v>
      </c>
    </row>
    <row r="146" spans="1:26" x14ac:dyDescent="0.3">
      <c r="A146" t="s">
        <v>2887</v>
      </c>
      <c r="B146" s="7">
        <v>1</v>
      </c>
      <c r="C146" s="7">
        <v>11</v>
      </c>
      <c r="D146" s="3">
        <v>20</v>
      </c>
      <c r="E146" s="3">
        <v>15</v>
      </c>
      <c r="F146" s="3">
        <v>3</v>
      </c>
      <c r="O146">
        <v>2018</v>
      </c>
      <c r="P146" t="s">
        <v>11</v>
      </c>
      <c r="Q146">
        <f>COUNTIFS($C$2:$C$386,10,$E$2:$E$386,1)</f>
        <v>4</v>
      </c>
      <c r="R146" s="34">
        <f>(Q146/385)*100</f>
        <v>1.0389610389610389</v>
      </c>
      <c r="X146" t="s">
        <v>37</v>
      </c>
      <c r="Y146">
        <f>COUNTIFS($E$2:$E$386,15,$F$2:$F$386,5)</f>
        <v>3</v>
      </c>
      <c r="Z146" s="34">
        <f t="shared" si="18"/>
        <v>0.77922077922077926</v>
      </c>
    </row>
    <row r="147" spans="1:26" x14ac:dyDescent="0.3">
      <c r="A147" t="s">
        <v>2402</v>
      </c>
      <c r="B147" s="7">
        <v>1</v>
      </c>
      <c r="C147" s="7">
        <v>1</v>
      </c>
      <c r="D147" s="3">
        <v>18</v>
      </c>
      <c r="E147" s="3">
        <v>1</v>
      </c>
      <c r="F147" s="3">
        <v>3</v>
      </c>
      <c r="P147" t="s">
        <v>18</v>
      </c>
      <c r="Q147">
        <f>COUNTIFS($C$2:$C$386,10,$E$2:$E$386,2)</f>
        <v>1</v>
      </c>
      <c r="R147" s="34">
        <f t="shared" ref="R147:R161" si="19">(Q147/385)*100</f>
        <v>0.25974025974025972</v>
      </c>
      <c r="X147" t="s">
        <v>42</v>
      </c>
      <c r="Y147">
        <f>COUNTIFS($E$2:$E$386,15,$F$2:$F$386,6)</f>
        <v>3</v>
      </c>
      <c r="Z147" s="34">
        <f t="shared" si="18"/>
        <v>0.77922077922077926</v>
      </c>
    </row>
    <row r="148" spans="1:26" x14ac:dyDescent="0.3">
      <c r="A148" t="s">
        <v>1913</v>
      </c>
      <c r="B148" s="7">
        <v>1</v>
      </c>
      <c r="C148" s="7">
        <v>8</v>
      </c>
      <c r="D148" s="3">
        <v>19</v>
      </c>
      <c r="E148" s="3">
        <v>5</v>
      </c>
      <c r="F148" s="3">
        <v>6</v>
      </c>
      <c r="P148" t="s">
        <v>150</v>
      </c>
      <c r="Q148">
        <f>COUNTIFS($C$2:$C$386,10,$E$2:$E$386,3)</f>
        <v>1</v>
      </c>
      <c r="R148" s="34">
        <f t="shared" si="19"/>
        <v>0.25974025974025972</v>
      </c>
      <c r="X148" t="s">
        <v>45</v>
      </c>
      <c r="Y148">
        <f>COUNTIFS($E$2:$E$386,15,$F$2:$F$386,7)</f>
        <v>3</v>
      </c>
      <c r="Z148" s="34">
        <f t="shared" si="18"/>
        <v>0.77922077922077926</v>
      </c>
    </row>
    <row r="149" spans="1:26" x14ac:dyDescent="0.3">
      <c r="A149" t="s">
        <v>2248</v>
      </c>
      <c r="B149" s="7">
        <v>1</v>
      </c>
      <c r="C149" s="7">
        <v>4</v>
      </c>
      <c r="D149" s="3">
        <v>18</v>
      </c>
      <c r="E149" s="3">
        <v>4</v>
      </c>
      <c r="F149" s="3">
        <v>3</v>
      </c>
      <c r="P149" t="s">
        <v>25</v>
      </c>
      <c r="Q149">
        <f>COUNTIFS($C$2:$C$386,10,$E$2:$E$386,4)</f>
        <v>8</v>
      </c>
      <c r="R149" s="34">
        <f t="shared" si="19"/>
        <v>2.0779220779220777</v>
      </c>
      <c r="X149" t="s">
        <v>48</v>
      </c>
      <c r="Y149">
        <f>COUNTIFS($E$2:$E$386,15,$F$2:$F$386,8)</f>
        <v>4</v>
      </c>
      <c r="Z149" s="34">
        <f t="shared" si="18"/>
        <v>1.0389610389610389</v>
      </c>
    </row>
    <row r="150" spans="1:26" x14ac:dyDescent="0.3">
      <c r="A150" t="s">
        <v>2381</v>
      </c>
      <c r="B150" s="7">
        <v>1</v>
      </c>
      <c r="C150" s="7">
        <v>2</v>
      </c>
      <c r="D150" s="3">
        <v>18</v>
      </c>
      <c r="E150" s="11">
        <v>4</v>
      </c>
      <c r="F150" s="11">
        <v>3</v>
      </c>
      <c r="P150" t="s">
        <v>32</v>
      </c>
      <c r="Q150">
        <f>COUNTIFS($C$2:$C$386,10,$E$2:$E$386,5)</f>
        <v>1</v>
      </c>
      <c r="R150" s="34">
        <f t="shared" si="19"/>
        <v>0.25974025974025972</v>
      </c>
      <c r="X150" t="s">
        <v>50</v>
      </c>
      <c r="Y150">
        <f>COUNTIFS($E$2:$E$386,15,$F$2:$F$386,9)</f>
        <v>1</v>
      </c>
      <c r="Z150" s="34">
        <f t="shared" si="18"/>
        <v>0.25974025974025972</v>
      </c>
    </row>
    <row r="151" spans="1:26" x14ac:dyDescent="0.3">
      <c r="A151" t="s">
        <v>2829</v>
      </c>
      <c r="B151" s="7">
        <v>1</v>
      </c>
      <c r="C151" s="7">
        <v>12</v>
      </c>
      <c r="D151" s="3">
        <v>20</v>
      </c>
      <c r="E151" s="3">
        <v>1</v>
      </c>
      <c r="F151" s="3">
        <v>3</v>
      </c>
      <c r="P151" t="s">
        <v>38</v>
      </c>
      <c r="Q151">
        <f>COUNTIFS($C$2:$C$386,10,$E$2:$E$386,6)</f>
        <v>0</v>
      </c>
      <c r="R151" s="34">
        <f t="shared" si="19"/>
        <v>0</v>
      </c>
      <c r="Y151" s="22">
        <f>SUM(Y142:Y150)</f>
        <v>41</v>
      </c>
      <c r="Z151" s="35">
        <f t="shared" si="18"/>
        <v>10.649350649350648</v>
      </c>
    </row>
    <row r="152" spans="1:26" x14ac:dyDescent="0.3">
      <c r="A152" t="s">
        <v>2797</v>
      </c>
      <c r="B152" s="7">
        <v>1</v>
      </c>
      <c r="C152" s="7">
        <v>12</v>
      </c>
      <c r="D152" s="3">
        <v>20</v>
      </c>
      <c r="E152" s="3">
        <v>4</v>
      </c>
      <c r="F152" s="3">
        <v>3</v>
      </c>
      <c r="P152" t="s">
        <v>151</v>
      </c>
      <c r="Q152">
        <f>COUNTIFS($C$2:$C$386,10,$E$2:$E$386,7)</f>
        <v>0</v>
      </c>
      <c r="R152" s="34">
        <f t="shared" si="19"/>
        <v>0</v>
      </c>
    </row>
    <row r="153" spans="1:26" x14ac:dyDescent="0.3">
      <c r="A153" s="6" t="s">
        <v>747</v>
      </c>
      <c r="B153" s="7">
        <v>1</v>
      </c>
      <c r="C153" s="7">
        <v>15</v>
      </c>
      <c r="D153" s="3">
        <v>21</v>
      </c>
      <c r="E153" s="11">
        <v>4</v>
      </c>
      <c r="F153" s="7">
        <v>5</v>
      </c>
      <c r="P153" t="s">
        <v>43</v>
      </c>
      <c r="Q153">
        <f>COUNTIFS($C$2:$C$386,10,$E$2:$E$386,8)</f>
        <v>1</v>
      </c>
      <c r="R153" s="34">
        <f t="shared" si="19"/>
        <v>0.25974025974025972</v>
      </c>
      <c r="X153" t="s">
        <v>10</v>
      </c>
      <c r="Y153">
        <f>SUM(Y2,Y12,Y22,Y32,Y42,Y52,Y62,Y72,Y82,Y92,Y102,Y112,Y122,Y132,Y142)</f>
        <v>53</v>
      </c>
      <c r="Z153" s="34">
        <f>(Y153/385)*100</f>
        <v>13.766233766233766</v>
      </c>
    </row>
    <row r="154" spans="1:26" x14ac:dyDescent="0.3">
      <c r="A154" t="s">
        <v>2271</v>
      </c>
      <c r="B154" s="7">
        <v>1</v>
      </c>
      <c r="C154" s="7">
        <v>5</v>
      </c>
      <c r="D154" s="3">
        <v>19</v>
      </c>
      <c r="E154" s="3">
        <v>15</v>
      </c>
      <c r="F154" s="3">
        <v>3</v>
      </c>
      <c r="P154" t="s">
        <v>46</v>
      </c>
      <c r="Q154">
        <f>COUNTIFS($C$2:$C$386,10,$E$2:$E$386,9)</f>
        <v>1</v>
      </c>
      <c r="R154" s="34">
        <f t="shared" si="19"/>
        <v>0.25974025974025972</v>
      </c>
      <c r="X154" t="s">
        <v>17</v>
      </c>
      <c r="Y154">
        <f t="shared" ref="Y154:Y161" si="20">SUM(Y3,Y13,Y23,Y33,Y43,Y53,Y63,Y73,Y83,Y93,Y103,Y113,Y123,Y133,Y143)</f>
        <v>0</v>
      </c>
      <c r="Z154" s="34">
        <f t="shared" ref="Z154:Z161" si="21">(Y154/385)*100</f>
        <v>0</v>
      </c>
    </row>
    <row r="155" spans="1:26" x14ac:dyDescent="0.3">
      <c r="A155" t="s">
        <v>2351</v>
      </c>
      <c r="B155" s="7">
        <v>1</v>
      </c>
      <c r="C155" s="7">
        <v>3</v>
      </c>
      <c r="D155" s="3">
        <v>18</v>
      </c>
      <c r="E155" s="3">
        <v>2</v>
      </c>
      <c r="F155" s="3">
        <v>3</v>
      </c>
      <c r="P155" t="s">
        <v>152</v>
      </c>
      <c r="Q155">
        <f>COUNTIFS($C$2:$C$386,10,$E$2:$E$386,10)</f>
        <v>0</v>
      </c>
      <c r="R155" s="34">
        <f t="shared" si="19"/>
        <v>0</v>
      </c>
      <c r="X155" t="s">
        <v>24</v>
      </c>
      <c r="Y155">
        <f t="shared" si="20"/>
        <v>221</v>
      </c>
      <c r="Z155" s="34">
        <f t="shared" si="21"/>
        <v>57.402597402597401</v>
      </c>
    </row>
    <row r="156" spans="1:26" x14ac:dyDescent="0.3">
      <c r="A156" s="6" t="s">
        <v>920</v>
      </c>
      <c r="B156" s="7">
        <v>1</v>
      </c>
      <c r="C156" s="7">
        <v>15</v>
      </c>
      <c r="D156" s="3">
        <v>21</v>
      </c>
      <c r="E156" s="11">
        <v>9</v>
      </c>
      <c r="F156" s="7">
        <v>3</v>
      </c>
      <c r="P156" t="s">
        <v>49</v>
      </c>
      <c r="Q156">
        <f>COUNTIFS($C$2:$C$386,10,$E$2:$E$386,11)</f>
        <v>0</v>
      </c>
      <c r="R156" s="34">
        <f t="shared" si="19"/>
        <v>0</v>
      </c>
      <c r="X156" t="s">
        <v>31</v>
      </c>
      <c r="Y156">
        <f t="shared" si="20"/>
        <v>5</v>
      </c>
      <c r="Z156" s="34">
        <f t="shared" si="21"/>
        <v>1.2987012987012987</v>
      </c>
    </row>
    <row r="157" spans="1:26" x14ac:dyDescent="0.3">
      <c r="A157" t="s">
        <v>2413</v>
      </c>
      <c r="B157" s="7">
        <v>1</v>
      </c>
      <c r="C157" s="7">
        <v>1</v>
      </c>
      <c r="D157" s="3">
        <v>18</v>
      </c>
      <c r="E157" s="3">
        <v>1</v>
      </c>
      <c r="F157" s="3">
        <v>8</v>
      </c>
      <c r="P157" t="s">
        <v>51</v>
      </c>
      <c r="Q157">
        <f>COUNTIFS($C$2:$C$386,10,$E$2:$E$386,12)</f>
        <v>0</v>
      </c>
      <c r="R157" s="34">
        <f t="shared" si="19"/>
        <v>0</v>
      </c>
      <c r="X157" t="s">
        <v>37</v>
      </c>
      <c r="Y157">
        <f t="shared" si="20"/>
        <v>23</v>
      </c>
      <c r="Z157" s="34">
        <f t="shared" si="21"/>
        <v>5.9740259740259738</v>
      </c>
    </row>
    <row r="158" spans="1:26" x14ac:dyDescent="0.3">
      <c r="A158" t="s">
        <v>2342</v>
      </c>
      <c r="B158" s="7">
        <v>1</v>
      </c>
      <c r="C158" s="7">
        <v>3</v>
      </c>
      <c r="D158" s="3">
        <v>18</v>
      </c>
      <c r="E158" s="3">
        <v>15</v>
      </c>
      <c r="F158" s="3">
        <v>8</v>
      </c>
      <c r="P158" t="s">
        <v>153</v>
      </c>
      <c r="Q158">
        <f>COUNTIFS($C$2:$C$386,10,$E$2:$E$386,13)</f>
        <v>0</v>
      </c>
      <c r="R158" s="34">
        <f t="shared" si="19"/>
        <v>0</v>
      </c>
      <c r="X158" t="s">
        <v>42</v>
      </c>
      <c r="Y158">
        <f t="shared" si="20"/>
        <v>22</v>
      </c>
      <c r="Z158" s="34">
        <f t="shared" si="21"/>
        <v>5.7142857142857144</v>
      </c>
    </row>
    <row r="159" spans="1:26" x14ac:dyDescent="0.3">
      <c r="A159" t="s">
        <v>1429</v>
      </c>
      <c r="B159" s="7">
        <v>1</v>
      </c>
      <c r="C159" s="7">
        <v>13</v>
      </c>
      <c r="D159" s="3">
        <v>21</v>
      </c>
      <c r="E159" s="11">
        <v>4</v>
      </c>
      <c r="F159" s="11">
        <v>8</v>
      </c>
      <c r="P159" t="s">
        <v>154</v>
      </c>
      <c r="Q159">
        <f>COUNTIFS($C$2:$C$386,10,$E$2:$E$386,14)</f>
        <v>1</v>
      </c>
      <c r="R159" s="34">
        <f t="shared" si="19"/>
        <v>0.25974025974025972</v>
      </c>
      <c r="X159" t="s">
        <v>45</v>
      </c>
      <c r="Y159">
        <f t="shared" si="20"/>
        <v>13</v>
      </c>
      <c r="Z159" s="34">
        <f t="shared" si="21"/>
        <v>3.3766233766233764</v>
      </c>
    </row>
    <row r="160" spans="1:26" x14ac:dyDescent="0.3">
      <c r="A160" t="s">
        <v>1429</v>
      </c>
      <c r="B160" s="7">
        <v>1</v>
      </c>
      <c r="C160" s="7">
        <v>10</v>
      </c>
      <c r="D160" s="3">
        <v>20</v>
      </c>
      <c r="E160" s="11">
        <v>4</v>
      </c>
      <c r="F160" s="11">
        <v>8</v>
      </c>
      <c r="P160" t="s">
        <v>52</v>
      </c>
      <c r="Q160">
        <f>COUNTIFS($C$2:$C$386,10,$E$2:$E$386,15)</f>
        <v>1</v>
      </c>
      <c r="R160" s="34">
        <f t="shared" si="19"/>
        <v>0.25974025974025972</v>
      </c>
      <c r="X160" t="s">
        <v>48</v>
      </c>
      <c r="Y160">
        <f t="shared" si="20"/>
        <v>38</v>
      </c>
      <c r="Z160" s="34">
        <f t="shared" si="21"/>
        <v>9.8701298701298708</v>
      </c>
    </row>
    <row r="161" spans="1:26" x14ac:dyDescent="0.3">
      <c r="A161" s="6" t="s">
        <v>990</v>
      </c>
      <c r="B161" s="7">
        <v>1</v>
      </c>
      <c r="C161" s="7">
        <v>14</v>
      </c>
      <c r="D161" s="3">
        <v>21</v>
      </c>
      <c r="E161" s="11">
        <v>4</v>
      </c>
      <c r="F161" s="7">
        <v>8</v>
      </c>
      <c r="Q161" s="22">
        <f>SUM(Q146:Q160)</f>
        <v>19</v>
      </c>
      <c r="R161" s="35">
        <f t="shared" si="19"/>
        <v>4.9350649350649354</v>
      </c>
      <c r="X161" t="s">
        <v>50</v>
      </c>
      <c r="Y161">
        <f t="shared" si="20"/>
        <v>10</v>
      </c>
      <c r="Z161" s="34">
        <f t="shared" si="21"/>
        <v>2.5974025974025974</v>
      </c>
    </row>
    <row r="162" spans="1:26" x14ac:dyDescent="0.3">
      <c r="A162" t="s">
        <v>1527</v>
      </c>
      <c r="B162" s="7">
        <v>1</v>
      </c>
      <c r="C162" s="7">
        <v>12</v>
      </c>
      <c r="D162" s="3">
        <v>20</v>
      </c>
      <c r="E162" s="3">
        <v>8</v>
      </c>
      <c r="F162" s="3">
        <v>5</v>
      </c>
      <c r="O162">
        <v>2019</v>
      </c>
      <c r="P162" t="s">
        <v>11</v>
      </c>
      <c r="Q162">
        <f>COUNTIFS($C$2:$C$386,11,$E$2:$E$386,1)</f>
        <v>5</v>
      </c>
      <c r="R162" s="34">
        <f>(Q162/385)*100</f>
        <v>1.2987012987012987</v>
      </c>
    </row>
    <row r="163" spans="1:26" x14ac:dyDescent="0.3">
      <c r="A163" t="s">
        <v>1787</v>
      </c>
      <c r="B163" s="7">
        <v>1</v>
      </c>
      <c r="C163" s="7">
        <v>9</v>
      </c>
      <c r="D163" s="3">
        <v>20</v>
      </c>
      <c r="E163" s="3">
        <v>2</v>
      </c>
      <c r="F163" s="3">
        <v>3</v>
      </c>
      <c r="P163" t="s">
        <v>18</v>
      </c>
      <c r="Q163">
        <f>COUNTIFS($C$2:$C$386,11,$E$2:$E$386,2)</f>
        <v>2</v>
      </c>
      <c r="R163" s="34">
        <f t="shared" ref="R163:R177" si="22">(Q163/385)*100</f>
        <v>0.51948051948051943</v>
      </c>
    </row>
    <row r="164" spans="1:26" x14ac:dyDescent="0.3">
      <c r="A164" t="s">
        <v>2032</v>
      </c>
      <c r="B164" s="7">
        <v>1</v>
      </c>
      <c r="C164" s="7">
        <v>7</v>
      </c>
      <c r="D164" s="3">
        <v>19</v>
      </c>
      <c r="E164" s="3">
        <v>4</v>
      </c>
      <c r="F164" s="3">
        <v>3</v>
      </c>
      <c r="P164" t="s">
        <v>150</v>
      </c>
      <c r="Q164">
        <f>COUNTIFS($C$2:$C$386,11,$E$2:$E$386,3)</f>
        <v>2</v>
      </c>
      <c r="R164" s="34">
        <f t="shared" si="22"/>
        <v>0.51948051948051943</v>
      </c>
    </row>
    <row r="165" spans="1:26" x14ac:dyDescent="0.3">
      <c r="A165" s="6" t="s">
        <v>722</v>
      </c>
      <c r="B165" s="7">
        <v>1</v>
      </c>
      <c r="C165" s="7">
        <v>15</v>
      </c>
      <c r="D165" s="3">
        <v>21</v>
      </c>
      <c r="E165" s="11">
        <v>4</v>
      </c>
      <c r="F165" s="11">
        <v>3</v>
      </c>
      <c r="P165" t="s">
        <v>25</v>
      </c>
      <c r="Q165">
        <f>COUNTIFS($C$2:$C$386,11,$E$2:$E$386,4)</f>
        <v>4</v>
      </c>
      <c r="R165" s="34">
        <f t="shared" si="22"/>
        <v>1.0389610389610389</v>
      </c>
    </row>
    <row r="166" spans="1:26" x14ac:dyDescent="0.3">
      <c r="A166" s="6" t="s">
        <v>763</v>
      </c>
      <c r="B166" s="7">
        <v>1</v>
      </c>
      <c r="C166" s="7">
        <v>15</v>
      </c>
      <c r="D166" s="3">
        <v>21</v>
      </c>
      <c r="E166" s="11">
        <v>11</v>
      </c>
      <c r="F166" s="7">
        <v>3</v>
      </c>
      <c r="P166" t="s">
        <v>32</v>
      </c>
      <c r="Q166">
        <f>COUNTIFS($C$2:$C$386,11,$E$2:$E$386,5)</f>
        <v>1</v>
      </c>
      <c r="R166" s="34">
        <f t="shared" si="22"/>
        <v>0.25974025974025972</v>
      </c>
    </row>
    <row r="167" spans="1:26" x14ac:dyDescent="0.3">
      <c r="A167" t="s">
        <v>1537</v>
      </c>
      <c r="B167" s="7">
        <v>1</v>
      </c>
      <c r="C167" s="7">
        <v>12</v>
      </c>
      <c r="D167" s="3">
        <v>20</v>
      </c>
      <c r="E167" s="3">
        <v>12</v>
      </c>
      <c r="F167" s="3">
        <v>3</v>
      </c>
      <c r="P167" t="s">
        <v>38</v>
      </c>
      <c r="Q167">
        <f>COUNTIFS($C$2:$C$386,11,$E$2:$E$386,6)</f>
        <v>0</v>
      </c>
      <c r="R167" s="34">
        <f t="shared" si="22"/>
        <v>0</v>
      </c>
    </row>
    <row r="168" spans="1:26" x14ac:dyDescent="0.3">
      <c r="A168" t="s">
        <v>1504</v>
      </c>
      <c r="B168" s="7">
        <v>1</v>
      </c>
      <c r="C168" s="7">
        <v>12</v>
      </c>
      <c r="D168" s="3">
        <v>20</v>
      </c>
      <c r="E168" s="3">
        <v>4</v>
      </c>
      <c r="F168" s="3">
        <v>3</v>
      </c>
      <c r="P168" t="s">
        <v>151</v>
      </c>
      <c r="Q168">
        <f>COUNTIFS($C$2:$C$386,11,$E$2:$E$386,7)</f>
        <v>0</v>
      </c>
      <c r="R168" s="34">
        <f t="shared" si="22"/>
        <v>0</v>
      </c>
    </row>
    <row r="169" spans="1:26" x14ac:dyDescent="0.3">
      <c r="A169" t="s">
        <v>2657</v>
      </c>
      <c r="B169" s="7">
        <v>1</v>
      </c>
      <c r="C169" s="7">
        <v>14</v>
      </c>
      <c r="D169" s="3">
        <v>21</v>
      </c>
      <c r="E169" s="3">
        <v>4</v>
      </c>
      <c r="F169" s="3">
        <v>1</v>
      </c>
      <c r="P169" t="s">
        <v>43</v>
      </c>
      <c r="Q169">
        <f>COUNTIFS($C$2:$C$386,11,$E$2:$E$386,8)</f>
        <v>0</v>
      </c>
      <c r="R169" s="34">
        <f t="shared" si="22"/>
        <v>0</v>
      </c>
    </row>
    <row r="170" spans="1:26" x14ac:dyDescent="0.3">
      <c r="A170" t="s">
        <v>3003</v>
      </c>
      <c r="B170" s="7">
        <v>1</v>
      </c>
      <c r="C170" s="7">
        <v>7</v>
      </c>
      <c r="D170" s="3">
        <v>19</v>
      </c>
      <c r="E170" s="3">
        <v>3</v>
      </c>
      <c r="F170" s="3">
        <v>6</v>
      </c>
      <c r="P170" t="s">
        <v>46</v>
      </c>
      <c r="Q170">
        <f>COUNTIFS($C$2:$C$386,11,$E$2:$E$386,9)</f>
        <v>0</v>
      </c>
      <c r="R170" s="34">
        <f t="shared" si="22"/>
        <v>0</v>
      </c>
    </row>
    <row r="171" spans="1:26" x14ac:dyDescent="0.3">
      <c r="A171" t="s">
        <v>2587</v>
      </c>
      <c r="B171" s="7">
        <v>1</v>
      </c>
      <c r="C171" s="7">
        <v>15</v>
      </c>
      <c r="D171" s="3">
        <v>21</v>
      </c>
      <c r="E171" s="3">
        <v>15</v>
      </c>
      <c r="F171" s="3">
        <v>3</v>
      </c>
      <c r="P171" t="s">
        <v>152</v>
      </c>
      <c r="Q171">
        <f>COUNTIFS($C$2:$C$386,11,$E$2:$E$386,10)</f>
        <v>0</v>
      </c>
      <c r="R171" s="34">
        <f t="shared" si="22"/>
        <v>0</v>
      </c>
    </row>
    <row r="172" spans="1:26" x14ac:dyDescent="0.3">
      <c r="A172" s="6" t="s">
        <v>620</v>
      </c>
      <c r="B172" s="7">
        <v>1</v>
      </c>
      <c r="C172" s="7">
        <v>16</v>
      </c>
      <c r="D172" s="3">
        <v>21</v>
      </c>
      <c r="E172" s="11">
        <v>4</v>
      </c>
      <c r="F172" s="11">
        <v>3</v>
      </c>
      <c r="P172" t="s">
        <v>49</v>
      </c>
      <c r="Q172">
        <f>COUNTIFS($C$2:$C$386,11,$E$2:$E$386,11)</f>
        <v>0</v>
      </c>
      <c r="R172" s="34">
        <f t="shared" si="22"/>
        <v>0</v>
      </c>
    </row>
    <row r="173" spans="1:26" x14ac:dyDescent="0.3">
      <c r="A173" s="6" t="s">
        <v>588</v>
      </c>
      <c r="B173" s="7">
        <v>1</v>
      </c>
      <c r="C173" s="7">
        <v>16</v>
      </c>
      <c r="D173" s="3">
        <v>21</v>
      </c>
      <c r="E173" s="11">
        <v>15</v>
      </c>
      <c r="F173" s="11">
        <v>3</v>
      </c>
      <c r="P173" t="s">
        <v>51</v>
      </c>
      <c r="Q173">
        <f>COUNTIFS($C$2:$C$386,11,$E$2:$E$386,12)</f>
        <v>1</v>
      </c>
      <c r="R173" s="34">
        <f t="shared" si="22"/>
        <v>0.25974025974025972</v>
      </c>
    </row>
    <row r="174" spans="1:26" x14ac:dyDescent="0.3">
      <c r="A174" t="s">
        <v>1434</v>
      </c>
      <c r="B174" s="7">
        <v>1</v>
      </c>
      <c r="C174" s="7">
        <v>13</v>
      </c>
      <c r="D174" s="3">
        <v>21</v>
      </c>
      <c r="E174" s="11">
        <v>8</v>
      </c>
      <c r="F174" s="11">
        <v>3</v>
      </c>
      <c r="P174" t="s">
        <v>153</v>
      </c>
      <c r="Q174">
        <f>COUNTIFS($C$2:$C$386,11,$E$2:$E$386,13)</f>
        <v>0</v>
      </c>
      <c r="R174" s="34">
        <f t="shared" si="22"/>
        <v>0</v>
      </c>
    </row>
    <row r="175" spans="1:26" x14ac:dyDescent="0.3">
      <c r="A175" s="6" t="s">
        <v>1127</v>
      </c>
      <c r="B175" s="7">
        <v>1</v>
      </c>
      <c r="C175" s="7">
        <v>13</v>
      </c>
      <c r="D175" s="3">
        <v>21</v>
      </c>
      <c r="E175" s="3">
        <v>15</v>
      </c>
      <c r="F175" s="3">
        <v>8</v>
      </c>
      <c r="P175" t="s">
        <v>154</v>
      </c>
      <c r="Q175">
        <f>COUNTIFS($C$2:$C$386,11,$E$2:$E$386,14)</f>
        <v>0</v>
      </c>
      <c r="R175" s="34">
        <f t="shared" si="22"/>
        <v>0</v>
      </c>
    </row>
    <row r="176" spans="1:26" x14ac:dyDescent="0.3">
      <c r="A176" s="6" t="s">
        <v>1216</v>
      </c>
      <c r="B176" s="7">
        <v>1</v>
      </c>
      <c r="C176" s="7">
        <v>13</v>
      </c>
      <c r="D176" s="3">
        <v>21</v>
      </c>
      <c r="E176" s="3">
        <v>8</v>
      </c>
      <c r="F176" s="3">
        <v>3</v>
      </c>
      <c r="P176" t="s">
        <v>52</v>
      </c>
      <c r="Q176">
        <f>COUNTIFS($C$2:$C$386,11,$E$2:$E$386,15)</f>
        <v>2</v>
      </c>
      <c r="R176" s="34">
        <f t="shared" si="22"/>
        <v>0.51948051948051943</v>
      </c>
    </row>
    <row r="177" spans="1:18" x14ac:dyDescent="0.3">
      <c r="A177" s="6" t="s">
        <v>971</v>
      </c>
      <c r="B177" s="7">
        <v>1</v>
      </c>
      <c r="C177" s="7">
        <v>14</v>
      </c>
      <c r="D177" s="3">
        <v>21</v>
      </c>
      <c r="E177" s="11">
        <v>1</v>
      </c>
      <c r="F177" s="7">
        <v>8</v>
      </c>
      <c r="Q177" s="22">
        <f>SUM(Q162:Q176)</f>
        <v>17</v>
      </c>
      <c r="R177" s="35">
        <f t="shared" si="22"/>
        <v>4.4155844155844157</v>
      </c>
    </row>
    <row r="178" spans="1:18" x14ac:dyDescent="0.3">
      <c r="A178" t="s">
        <v>3006</v>
      </c>
      <c r="B178" s="7">
        <v>1</v>
      </c>
      <c r="C178" s="7">
        <v>9</v>
      </c>
      <c r="D178" s="3">
        <v>20</v>
      </c>
      <c r="E178" s="3">
        <v>4</v>
      </c>
      <c r="F178" s="3">
        <v>3</v>
      </c>
      <c r="O178">
        <v>2020</v>
      </c>
      <c r="P178" t="s">
        <v>11</v>
      </c>
      <c r="Q178">
        <f>COUNTIFS($C$2:$C$386,12,$E$2:$E$386,1)</f>
        <v>5</v>
      </c>
      <c r="R178" s="34">
        <f>(Q178/385)*100</f>
        <v>1.2987012987012987</v>
      </c>
    </row>
    <row r="179" spans="1:18" x14ac:dyDescent="0.3">
      <c r="A179" t="s">
        <v>3060</v>
      </c>
      <c r="B179" s="7">
        <v>1</v>
      </c>
      <c r="C179" s="7">
        <v>2</v>
      </c>
      <c r="D179" s="3">
        <v>18</v>
      </c>
      <c r="E179" s="3">
        <v>4</v>
      </c>
      <c r="F179" s="3">
        <v>3</v>
      </c>
      <c r="P179" t="s">
        <v>18</v>
      </c>
      <c r="Q179">
        <f>COUNTIFS($C$2:$C$386,12,$E$2:$E$386,2)</f>
        <v>3</v>
      </c>
      <c r="R179" s="34">
        <f t="shared" ref="R179:R193" si="23">(Q179/385)*100</f>
        <v>0.77922077922077926</v>
      </c>
    </row>
    <row r="180" spans="1:18" x14ac:dyDescent="0.3">
      <c r="A180" t="s">
        <v>2564</v>
      </c>
      <c r="B180" s="7">
        <v>1</v>
      </c>
      <c r="C180" s="7">
        <v>16</v>
      </c>
      <c r="D180" s="3">
        <v>21</v>
      </c>
      <c r="E180" s="3">
        <v>2</v>
      </c>
      <c r="F180" s="3">
        <v>3</v>
      </c>
      <c r="P180" t="s">
        <v>150</v>
      </c>
      <c r="Q180">
        <f>COUNTIFS($C$2:$C$386,12,$E$2:$E$386,3)</f>
        <v>1</v>
      </c>
      <c r="R180" s="34">
        <f t="shared" si="23"/>
        <v>0.25974025974025972</v>
      </c>
    </row>
    <row r="181" spans="1:18" x14ac:dyDescent="0.3">
      <c r="A181" t="s">
        <v>1487</v>
      </c>
      <c r="B181" s="7">
        <v>1</v>
      </c>
      <c r="C181" s="7">
        <v>12</v>
      </c>
      <c r="D181" s="3">
        <v>20</v>
      </c>
      <c r="E181" s="3">
        <v>2</v>
      </c>
      <c r="F181" s="3">
        <v>3</v>
      </c>
      <c r="P181" t="s">
        <v>25</v>
      </c>
      <c r="Q181">
        <f>COUNTIFS($C$2:$C$386,12,$E$2:$E$386,4)</f>
        <v>10</v>
      </c>
      <c r="R181" s="34">
        <f t="shared" si="23"/>
        <v>2.5974025974025974</v>
      </c>
    </row>
    <row r="182" spans="1:18" x14ac:dyDescent="0.3">
      <c r="A182" t="s">
        <v>1843</v>
      </c>
      <c r="B182" s="7">
        <v>1</v>
      </c>
      <c r="C182" s="7">
        <v>8</v>
      </c>
      <c r="D182" s="3">
        <v>19</v>
      </c>
      <c r="E182" s="3">
        <v>4</v>
      </c>
      <c r="F182" s="3">
        <v>7</v>
      </c>
      <c r="P182" t="s">
        <v>32</v>
      </c>
      <c r="Q182">
        <f>COUNTIFS($C$2:$C$386,12,$E$2:$E$386,5)</f>
        <v>0</v>
      </c>
      <c r="R182" s="34">
        <f t="shared" si="23"/>
        <v>0</v>
      </c>
    </row>
    <row r="183" spans="1:18" x14ac:dyDescent="0.3">
      <c r="A183" t="s">
        <v>1247</v>
      </c>
      <c r="B183" s="7">
        <v>1</v>
      </c>
      <c r="C183" s="7">
        <v>13</v>
      </c>
      <c r="D183" s="3">
        <v>21</v>
      </c>
      <c r="E183" s="11">
        <v>1</v>
      </c>
      <c r="F183" s="7">
        <v>8</v>
      </c>
      <c r="P183" t="s">
        <v>38</v>
      </c>
      <c r="Q183">
        <f>COUNTIFS($C$2:$C$386,12,$E$2:$E$386,6)</f>
        <v>2</v>
      </c>
      <c r="R183" s="34">
        <f t="shared" si="23"/>
        <v>0.51948051948051943</v>
      </c>
    </row>
    <row r="184" spans="1:18" x14ac:dyDescent="0.3">
      <c r="A184" t="s">
        <v>2167</v>
      </c>
      <c r="B184" s="7">
        <v>1</v>
      </c>
      <c r="C184" s="7">
        <v>4</v>
      </c>
      <c r="D184" s="3">
        <v>18</v>
      </c>
      <c r="E184" s="3">
        <v>4</v>
      </c>
      <c r="F184" s="3">
        <v>3</v>
      </c>
      <c r="P184" t="s">
        <v>151</v>
      </c>
      <c r="Q184">
        <f>COUNTIFS($C$2:$C$386,12,$E$2:$E$386,7)</f>
        <v>0</v>
      </c>
      <c r="R184" s="34">
        <f t="shared" si="23"/>
        <v>0</v>
      </c>
    </row>
    <row r="185" spans="1:18" x14ac:dyDescent="0.3">
      <c r="A185" s="6" t="s">
        <v>819</v>
      </c>
      <c r="B185" s="7">
        <v>1</v>
      </c>
      <c r="C185" s="7">
        <v>15</v>
      </c>
      <c r="D185" s="3">
        <v>21</v>
      </c>
      <c r="E185" s="11">
        <v>2</v>
      </c>
      <c r="F185" s="7">
        <v>6</v>
      </c>
      <c r="P185" t="s">
        <v>43</v>
      </c>
      <c r="Q185">
        <f>COUNTIFS($C$2:$C$386,12,$E$2:$E$386,8)</f>
        <v>1</v>
      </c>
      <c r="R185" s="34">
        <f t="shared" si="23"/>
        <v>0.25974025974025972</v>
      </c>
    </row>
    <row r="186" spans="1:18" x14ac:dyDescent="0.3">
      <c r="A186" t="s">
        <v>2427</v>
      </c>
      <c r="B186" s="7">
        <v>1</v>
      </c>
      <c r="C186" s="7">
        <v>2</v>
      </c>
      <c r="D186" s="3">
        <v>18</v>
      </c>
      <c r="E186" s="3">
        <v>1</v>
      </c>
      <c r="F186" s="3">
        <v>9</v>
      </c>
      <c r="P186" t="s">
        <v>46</v>
      </c>
      <c r="Q186">
        <f>COUNTIFS($C$2:$C$386,12,$E$2:$E$386,9)</f>
        <v>1</v>
      </c>
      <c r="R186" s="34">
        <f t="shared" si="23"/>
        <v>0.25974025974025972</v>
      </c>
    </row>
    <row r="187" spans="1:18" x14ac:dyDescent="0.3">
      <c r="A187" t="s">
        <v>1673</v>
      </c>
      <c r="B187" s="7">
        <v>1</v>
      </c>
      <c r="C187" s="7">
        <v>10</v>
      </c>
      <c r="D187" s="3">
        <v>20</v>
      </c>
      <c r="E187" s="3">
        <v>9</v>
      </c>
      <c r="F187" s="3">
        <v>3</v>
      </c>
      <c r="P187" t="s">
        <v>152</v>
      </c>
      <c r="Q187">
        <f>COUNTIFS($C$2:$C$386,12,$E$2:$E$386,10)</f>
        <v>0</v>
      </c>
      <c r="R187" s="34">
        <f t="shared" si="23"/>
        <v>0</v>
      </c>
    </row>
    <row r="188" spans="1:18" x14ac:dyDescent="0.3">
      <c r="A188" t="s">
        <v>1650</v>
      </c>
      <c r="B188" s="7">
        <v>1</v>
      </c>
      <c r="C188" s="7">
        <v>11</v>
      </c>
      <c r="D188" s="3">
        <v>20</v>
      </c>
      <c r="E188" s="3">
        <v>1</v>
      </c>
      <c r="F188" s="3">
        <v>3</v>
      </c>
      <c r="P188" t="s">
        <v>49</v>
      </c>
      <c r="Q188">
        <f>COUNTIFS($C$2:$C$386,12,$E$2:$E$386,11)</f>
        <v>0</v>
      </c>
      <c r="R188" s="34">
        <f t="shared" si="23"/>
        <v>0</v>
      </c>
    </row>
    <row r="189" spans="1:18" x14ac:dyDescent="0.3">
      <c r="A189" t="s">
        <v>1685</v>
      </c>
      <c r="B189" s="7">
        <v>1</v>
      </c>
      <c r="C189" s="7">
        <v>10</v>
      </c>
      <c r="D189" s="3">
        <v>20</v>
      </c>
      <c r="E189" s="11">
        <v>8</v>
      </c>
      <c r="F189" s="11">
        <v>8</v>
      </c>
      <c r="P189" t="s">
        <v>51</v>
      </c>
      <c r="Q189">
        <f>COUNTIFS($C$2:$C$386,12,$E$2:$E$386,12)</f>
        <v>2</v>
      </c>
      <c r="R189" s="34">
        <f t="shared" si="23"/>
        <v>0.51948051948051943</v>
      </c>
    </row>
    <row r="190" spans="1:18" x14ac:dyDescent="0.3">
      <c r="A190" t="s">
        <v>1881</v>
      </c>
      <c r="B190" s="7">
        <v>1</v>
      </c>
      <c r="C190" s="7">
        <v>8</v>
      </c>
      <c r="D190" s="3">
        <v>19</v>
      </c>
      <c r="E190" s="11">
        <v>4</v>
      </c>
      <c r="F190" s="11">
        <v>8</v>
      </c>
      <c r="P190" t="s">
        <v>153</v>
      </c>
      <c r="Q190">
        <f>COUNTIFS($C$2:$C$386,12,$E$2:$E$386,13)</f>
        <v>0</v>
      </c>
      <c r="R190" s="34">
        <f t="shared" si="23"/>
        <v>0</v>
      </c>
    </row>
    <row r="191" spans="1:18" x14ac:dyDescent="0.3">
      <c r="A191" t="s">
        <v>1403</v>
      </c>
      <c r="B191" s="7">
        <v>1</v>
      </c>
      <c r="C191" s="7">
        <v>13</v>
      </c>
      <c r="D191" s="3">
        <v>21</v>
      </c>
      <c r="E191" s="3">
        <v>11</v>
      </c>
      <c r="F191" s="3">
        <v>1</v>
      </c>
      <c r="P191" t="s">
        <v>154</v>
      </c>
      <c r="Q191">
        <f>COUNTIFS($C$2:$C$386,12,$E$2:$E$386,14)</f>
        <v>1</v>
      </c>
      <c r="R191" s="34">
        <f t="shared" si="23"/>
        <v>0.25974025974025972</v>
      </c>
    </row>
    <row r="192" spans="1:18" x14ac:dyDescent="0.3">
      <c r="A192" t="s">
        <v>1407</v>
      </c>
      <c r="B192" s="7">
        <v>1</v>
      </c>
      <c r="C192" s="7">
        <v>12</v>
      </c>
      <c r="D192" s="3">
        <v>20</v>
      </c>
      <c r="E192" s="3">
        <v>4</v>
      </c>
      <c r="F192" s="3">
        <v>3</v>
      </c>
      <c r="P192" t="s">
        <v>52</v>
      </c>
      <c r="Q192">
        <f>COUNTIFS($C$2:$C$386,12,$E$2:$E$386,15)</f>
        <v>3</v>
      </c>
      <c r="R192" s="34">
        <f t="shared" si="23"/>
        <v>0.77922077922077926</v>
      </c>
    </row>
    <row r="193" spans="1:18" x14ac:dyDescent="0.3">
      <c r="A193" t="s">
        <v>3068</v>
      </c>
      <c r="B193" s="7">
        <v>1</v>
      </c>
      <c r="C193" s="7">
        <v>5</v>
      </c>
      <c r="D193" s="3">
        <v>19</v>
      </c>
      <c r="E193" s="3">
        <v>1</v>
      </c>
      <c r="F193" s="3">
        <v>8</v>
      </c>
      <c r="Q193" s="22">
        <f>SUM(Q178:Q192)</f>
        <v>29</v>
      </c>
      <c r="R193" s="35">
        <f t="shared" si="23"/>
        <v>7.5324675324675319</v>
      </c>
    </row>
    <row r="194" spans="1:18" x14ac:dyDescent="0.3">
      <c r="A194" s="6" t="s">
        <v>511</v>
      </c>
      <c r="B194" s="7">
        <v>1</v>
      </c>
      <c r="C194" s="7">
        <v>16</v>
      </c>
      <c r="D194" s="3">
        <v>21</v>
      </c>
      <c r="E194" s="11">
        <v>1</v>
      </c>
      <c r="F194" s="7">
        <v>3</v>
      </c>
      <c r="O194">
        <v>2021</v>
      </c>
      <c r="P194" t="s">
        <v>11</v>
      </c>
      <c r="Q194">
        <f>COUNTIFS($C$2:$C$386,13,$E$2:$E$386,1)</f>
        <v>4</v>
      </c>
      <c r="R194" s="34">
        <f>(Q194/385)*100</f>
        <v>1.0389610389610389</v>
      </c>
    </row>
    <row r="195" spans="1:18" x14ac:dyDescent="0.3">
      <c r="A195" t="s">
        <v>1556</v>
      </c>
      <c r="B195" s="7">
        <v>1</v>
      </c>
      <c r="C195" s="7">
        <v>12</v>
      </c>
      <c r="D195" s="3">
        <v>20</v>
      </c>
      <c r="E195" s="3">
        <v>4</v>
      </c>
      <c r="F195" s="3">
        <v>1</v>
      </c>
      <c r="P195" t="s">
        <v>18</v>
      </c>
      <c r="Q195">
        <f>COUNTIFS($C$2:$C$386,13,$E$2:$E$386,2)</f>
        <v>6</v>
      </c>
      <c r="R195" s="34">
        <f t="shared" ref="R195:R209" si="24">(Q195/385)*100</f>
        <v>1.5584415584415585</v>
      </c>
    </row>
    <row r="196" spans="1:18" x14ac:dyDescent="0.3">
      <c r="A196" t="s">
        <v>2572</v>
      </c>
      <c r="B196" s="7">
        <v>1</v>
      </c>
      <c r="C196" s="7">
        <v>15</v>
      </c>
      <c r="D196" s="3">
        <v>21</v>
      </c>
      <c r="E196" s="3">
        <v>4</v>
      </c>
      <c r="F196" s="3">
        <v>3</v>
      </c>
      <c r="P196" t="s">
        <v>150</v>
      </c>
      <c r="Q196">
        <f>COUNTIFS($C$2:$C$386,13,$E$2:$E$386,3)</f>
        <v>3</v>
      </c>
      <c r="R196" s="34">
        <f t="shared" si="24"/>
        <v>0.77922077922077926</v>
      </c>
    </row>
    <row r="197" spans="1:18" x14ac:dyDescent="0.3">
      <c r="A197" s="6" t="s">
        <v>894</v>
      </c>
      <c r="B197" s="7">
        <v>1</v>
      </c>
      <c r="C197" s="7">
        <v>15</v>
      </c>
      <c r="D197" s="3">
        <v>21</v>
      </c>
      <c r="E197" s="11">
        <v>4</v>
      </c>
      <c r="F197" s="11">
        <v>3</v>
      </c>
      <c r="P197" t="s">
        <v>25</v>
      </c>
      <c r="Q197">
        <f>COUNTIFS($C$2:$C$386,13,$E$2:$E$386,4)</f>
        <v>17</v>
      </c>
      <c r="R197" s="34">
        <f t="shared" si="24"/>
        <v>4.4155844155844157</v>
      </c>
    </row>
    <row r="198" spans="1:18" x14ac:dyDescent="0.3">
      <c r="A198" t="s">
        <v>2971</v>
      </c>
      <c r="B198" s="7">
        <v>1</v>
      </c>
      <c r="C198" s="7">
        <v>7</v>
      </c>
      <c r="D198" s="3">
        <v>19</v>
      </c>
      <c r="E198" s="3">
        <v>15</v>
      </c>
      <c r="F198" s="3">
        <v>5</v>
      </c>
      <c r="P198" t="s">
        <v>32</v>
      </c>
      <c r="Q198">
        <f>COUNTIFS($C$2:$C$386,13,$E$2:$E$386,5)</f>
        <v>2</v>
      </c>
      <c r="R198" s="34">
        <f t="shared" si="24"/>
        <v>0.51948051948051943</v>
      </c>
    </row>
    <row r="199" spans="1:18" x14ac:dyDescent="0.3">
      <c r="A199" s="6" t="s">
        <v>476</v>
      </c>
      <c r="B199" s="7">
        <v>1</v>
      </c>
      <c r="C199" s="7">
        <v>16</v>
      </c>
      <c r="D199" s="3">
        <v>21</v>
      </c>
      <c r="E199" s="11">
        <v>4</v>
      </c>
      <c r="F199" s="11">
        <v>3</v>
      </c>
      <c r="P199" t="s">
        <v>38</v>
      </c>
      <c r="Q199">
        <f>COUNTIFS($C$2:$C$386,13,$E$2:$E$386,6)</f>
        <v>0</v>
      </c>
      <c r="R199" s="34">
        <f t="shared" si="24"/>
        <v>0</v>
      </c>
    </row>
    <row r="200" spans="1:18" x14ac:dyDescent="0.3">
      <c r="A200" s="6" t="s">
        <v>1104</v>
      </c>
      <c r="B200" s="7">
        <v>1</v>
      </c>
      <c r="C200" s="7">
        <v>14</v>
      </c>
      <c r="D200" s="3">
        <v>21</v>
      </c>
      <c r="E200" s="11">
        <v>4</v>
      </c>
      <c r="F200" s="3">
        <v>3</v>
      </c>
      <c r="P200" t="s">
        <v>151</v>
      </c>
      <c r="Q200">
        <f>COUNTIFS($C$2:$C$386,13,$E$2:$E$386,7)</f>
        <v>0</v>
      </c>
      <c r="R200" s="34">
        <f t="shared" si="24"/>
        <v>0</v>
      </c>
    </row>
    <row r="201" spans="1:18" x14ac:dyDescent="0.3">
      <c r="A201" t="s">
        <v>1648</v>
      </c>
      <c r="B201" s="7">
        <v>1</v>
      </c>
      <c r="C201" s="7">
        <v>10</v>
      </c>
      <c r="D201" s="3">
        <v>20</v>
      </c>
      <c r="E201" s="3">
        <v>4</v>
      </c>
      <c r="F201" s="3">
        <v>6</v>
      </c>
      <c r="P201" t="s">
        <v>43</v>
      </c>
      <c r="Q201">
        <f>COUNTIFS($C$2:$C$386,13,$E$2:$E$386,8)</f>
        <v>5</v>
      </c>
      <c r="R201" s="34">
        <f t="shared" si="24"/>
        <v>1.2987012987012987</v>
      </c>
    </row>
    <row r="202" spans="1:18" x14ac:dyDescent="0.3">
      <c r="A202" t="s">
        <v>2507</v>
      </c>
      <c r="B202" s="7">
        <v>1</v>
      </c>
      <c r="C202" s="7">
        <v>16</v>
      </c>
      <c r="D202" s="3">
        <v>21</v>
      </c>
      <c r="E202" s="3">
        <v>15</v>
      </c>
      <c r="F202" s="3">
        <v>5</v>
      </c>
      <c r="P202" t="s">
        <v>46</v>
      </c>
      <c r="Q202">
        <f>COUNTIFS($C$2:$C$386,13,$E$2:$E$386,9)</f>
        <v>2</v>
      </c>
      <c r="R202" s="34">
        <f t="shared" si="24"/>
        <v>0.51948051948051943</v>
      </c>
    </row>
    <row r="203" spans="1:18" x14ac:dyDescent="0.3">
      <c r="A203" t="s">
        <v>1796</v>
      </c>
      <c r="B203" s="7">
        <v>1</v>
      </c>
      <c r="C203" s="7">
        <v>9</v>
      </c>
      <c r="D203" s="3">
        <v>20</v>
      </c>
      <c r="E203" s="3">
        <v>1</v>
      </c>
      <c r="F203" s="3">
        <v>7</v>
      </c>
      <c r="P203" t="s">
        <v>152</v>
      </c>
      <c r="Q203">
        <f>COUNTIFS($C$2:$C$386,13,$E$2:$E$386,10)</f>
        <v>0</v>
      </c>
      <c r="R203" s="34">
        <f t="shared" si="24"/>
        <v>0</v>
      </c>
    </row>
    <row r="204" spans="1:18" x14ac:dyDescent="0.3">
      <c r="A204" s="6" t="s">
        <v>279</v>
      </c>
      <c r="B204" s="7">
        <v>1</v>
      </c>
      <c r="C204" s="7">
        <v>16</v>
      </c>
      <c r="D204" s="3">
        <v>21</v>
      </c>
      <c r="E204" s="11">
        <v>4</v>
      </c>
      <c r="F204" s="11">
        <v>8</v>
      </c>
      <c r="P204" t="s">
        <v>49</v>
      </c>
      <c r="Q204">
        <f>COUNTIFS($C$2:$C$386,13,$E$2:$E$386,11)</f>
        <v>1</v>
      </c>
      <c r="R204" s="34">
        <f t="shared" si="24"/>
        <v>0.25974025974025972</v>
      </c>
    </row>
    <row r="205" spans="1:18" x14ac:dyDescent="0.3">
      <c r="A205" t="s">
        <v>1883</v>
      </c>
      <c r="B205" s="7">
        <v>1</v>
      </c>
      <c r="C205" s="7">
        <v>9</v>
      </c>
      <c r="D205" s="3">
        <v>20</v>
      </c>
      <c r="E205" s="11">
        <v>15</v>
      </c>
      <c r="F205" s="11">
        <v>8</v>
      </c>
      <c r="P205" t="s">
        <v>51</v>
      </c>
      <c r="Q205">
        <f>COUNTIFS($C$2:$C$386,13,$E$2:$E$386,12)</f>
        <v>2</v>
      </c>
      <c r="R205" s="34">
        <f t="shared" si="24"/>
        <v>0.51948051948051943</v>
      </c>
    </row>
    <row r="206" spans="1:18" x14ac:dyDescent="0.3">
      <c r="A206" t="s">
        <v>1943</v>
      </c>
      <c r="B206" s="7">
        <v>1</v>
      </c>
      <c r="C206" s="7">
        <v>8</v>
      </c>
      <c r="D206" s="3">
        <v>19</v>
      </c>
      <c r="E206" s="3">
        <v>4</v>
      </c>
      <c r="F206" s="3">
        <v>3</v>
      </c>
      <c r="P206" t="s">
        <v>153</v>
      </c>
      <c r="Q206">
        <f>COUNTIFS($C$2:$C$386,13,$E$2:$E$386,13)</f>
        <v>0</v>
      </c>
      <c r="R206" s="34">
        <f t="shared" si="24"/>
        <v>0</v>
      </c>
    </row>
    <row r="207" spans="1:18" x14ac:dyDescent="0.3">
      <c r="A207" t="s">
        <v>2916</v>
      </c>
      <c r="B207" s="7">
        <v>1</v>
      </c>
      <c r="C207" s="7">
        <v>10</v>
      </c>
      <c r="D207" s="3">
        <v>20</v>
      </c>
      <c r="E207" s="3">
        <v>14</v>
      </c>
      <c r="F207" s="3">
        <v>3</v>
      </c>
      <c r="P207" t="s">
        <v>154</v>
      </c>
      <c r="Q207">
        <f>COUNTIFS($C$2:$C$386,13,$E$2:$E$386,14)</f>
        <v>0</v>
      </c>
      <c r="R207" s="34">
        <f t="shared" si="24"/>
        <v>0</v>
      </c>
    </row>
    <row r="208" spans="1:18" x14ac:dyDescent="0.3">
      <c r="A208" t="s">
        <v>2015</v>
      </c>
      <c r="B208" s="7">
        <v>1</v>
      </c>
      <c r="C208" s="7">
        <v>5</v>
      </c>
      <c r="D208" s="3">
        <v>19</v>
      </c>
      <c r="E208" s="3">
        <v>4</v>
      </c>
      <c r="F208" s="3">
        <v>3</v>
      </c>
      <c r="P208" t="s">
        <v>52</v>
      </c>
      <c r="Q208">
        <f>COUNTIFS($C$2:$C$386,13,$E$2:$E$386,15)</f>
        <v>6</v>
      </c>
      <c r="R208" s="34">
        <f t="shared" si="24"/>
        <v>1.5584415584415585</v>
      </c>
    </row>
    <row r="209" spans="1:18" x14ac:dyDescent="0.3">
      <c r="A209" t="s">
        <v>2012</v>
      </c>
      <c r="B209" s="7">
        <v>1</v>
      </c>
      <c r="C209" s="7">
        <v>7</v>
      </c>
      <c r="D209" s="3">
        <v>19</v>
      </c>
      <c r="E209" s="3">
        <v>1</v>
      </c>
      <c r="F209" s="3">
        <v>3</v>
      </c>
      <c r="Q209" s="22">
        <f>SUM(Q194:Q208)</f>
        <v>48</v>
      </c>
      <c r="R209" s="35">
        <f t="shared" si="24"/>
        <v>12.467532467532468</v>
      </c>
    </row>
    <row r="210" spans="1:18" x14ac:dyDescent="0.3">
      <c r="A210" s="6" t="s">
        <v>1010</v>
      </c>
      <c r="B210" s="7">
        <v>1</v>
      </c>
      <c r="C210" s="7">
        <v>14</v>
      </c>
      <c r="D210" s="3">
        <v>21</v>
      </c>
      <c r="E210" s="11">
        <v>4</v>
      </c>
      <c r="F210" s="7">
        <v>3</v>
      </c>
      <c r="O210">
        <v>2022</v>
      </c>
      <c r="P210" t="s">
        <v>11</v>
      </c>
      <c r="Q210">
        <f>COUNTIFS($C$2:$C$386,14,$E$2:$E$386,1)</f>
        <v>2</v>
      </c>
      <c r="R210" s="34">
        <f>(Q210/385)*100</f>
        <v>0.51948051948051943</v>
      </c>
    </row>
    <row r="211" spans="1:18" x14ac:dyDescent="0.3">
      <c r="A211" t="s">
        <v>2630</v>
      </c>
      <c r="B211" s="7">
        <v>1</v>
      </c>
      <c r="C211" s="7">
        <v>14</v>
      </c>
      <c r="D211" s="3">
        <v>21</v>
      </c>
      <c r="E211" s="3">
        <v>3</v>
      </c>
      <c r="F211" s="3">
        <v>3</v>
      </c>
      <c r="P211" t="s">
        <v>18</v>
      </c>
      <c r="Q211">
        <f>COUNTIFS($C$2:$C$386,14,$E$2:$E$386,2)</f>
        <v>2</v>
      </c>
      <c r="R211" s="34">
        <f t="shared" ref="R211:R225" si="25">(Q211/385)*100</f>
        <v>0.51948051948051943</v>
      </c>
    </row>
    <row r="212" spans="1:18" x14ac:dyDescent="0.3">
      <c r="A212" t="s">
        <v>2057</v>
      </c>
      <c r="B212" s="7">
        <v>1</v>
      </c>
      <c r="C212" s="7">
        <v>6</v>
      </c>
      <c r="D212" s="3">
        <v>19</v>
      </c>
      <c r="E212" s="3">
        <v>4</v>
      </c>
      <c r="F212" s="3">
        <v>1</v>
      </c>
      <c r="P212" t="s">
        <v>150</v>
      </c>
      <c r="Q212">
        <f>COUNTIFS($C$2:$C$386,14,$E$2:$E$386,3)</f>
        <v>6</v>
      </c>
      <c r="R212" s="34">
        <f t="shared" si="25"/>
        <v>1.5584415584415585</v>
      </c>
    </row>
    <row r="213" spans="1:18" x14ac:dyDescent="0.3">
      <c r="A213" t="s">
        <v>2261</v>
      </c>
      <c r="B213" s="7">
        <v>1</v>
      </c>
      <c r="C213" s="7">
        <v>5</v>
      </c>
      <c r="D213" s="3">
        <v>19</v>
      </c>
      <c r="E213" s="3">
        <v>4</v>
      </c>
      <c r="F213" s="3">
        <v>3</v>
      </c>
      <c r="P213" t="s">
        <v>25</v>
      </c>
      <c r="Q213">
        <f>COUNTIFS($C$2:$C$386,14,$E$2:$E$386,4)</f>
        <v>14</v>
      </c>
      <c r="R213" s="34">
        <f t="shared" si="25"/>
        <v>3.6363636363636362</v>
      </c>
    </row>
    <row r="214" spans="1:18" x14ac:dyDescent="0.3">
      <c r="A214" s="6" t="s">
        <v>469</v>
      </c>
      <c r="B214" s="7">
        <v>1</v>
      </c>
      <c r="C214" s="7">
        <v>16</v>
      </c>
      <c r="D214" s="3">
        <v>21</v>
      </c>
      <c r="E214" s="11">
        <v>5</v>
      </c>
      <c r="F214" s="11">
        <v>3</v>
      </c>
      <c r="P214" t="s">
        <v>32</v>
      </c>
      <c r="Q214">
        <f>COUNTIFS($C$2:$C$386,14,$E$2:$E$386,5)</f>
        <v>1</v>
      </c>
      <c r="R214" s="34">
        <f t="shared" si="25"/>
        <v>0.25974025974025972</v>
      </c>
    </row>
    <row r="215" spans="1:18" x14ac:dyDescent="0.3">
      <c r="A215" s="6" t="s">
        <v>554</v>
      </c>
      <c r="B215" s="7">
        <v>1</v>
      </c>
      <c r="C215" s="7">
        <v>16</v>
      </c>
      <c r="D215" s="3">
        <v>21</v>
      </c>
      <c r="E215" s="11">
        <v>6</v>
      </c>
      <c r="F215" s="11">
        <v>3</v>
      </c>
      <c r="P215" t="s">
        <v>38</v>
      </c>
      <c r="Q215">
        <f>COUNTIFS($C$2:$C$386,14,$E$2:$E$386,6)</f>
        <v>0</v>
      </c>
      <c r="R215" s="34">
        <f t="shared" si="25"/>
        <v>0</v>
      </c>
    </row>
    <row r="216" spans="1:18" x14ac:dyDescent="0.3">
      <c r="A216" t="s">
        <v>1190</v>
      </c>
      <c r="B216" s="7">
        <v>1</v>
      </c>
      <c r="C216" s="7">
        <v>13</v>
      </c>
      <c r="D216" s="3">
        <v>21</v>
      </c>
      <c r="E216" s="3">
        <v>4</v>
      </c>
      <c r="F216" s="3">
        <v>3</v>
      </c>
      <c r="P216" t="s">
        <v>151</v>
      </c>
      <c r="Q216">
        <f>COUNTIFS($C$2:$C$386,14,$E$2:$E$386,7)</f>
        <v>0</v>
      </c>
      <c r="R216" s="34">
        <f t="shared" si="25"/>
        <v>0</v>
      </c>
    </row>
    <row r="217" spans="1:18" x14ac:dyDescent="0.3">
      <c r="A217" t="s">
        <v>3049</v>
      </c>
      <c r="B217" s="7">
        <v>1</v>
      </c>
      <c r="C217" s="7">
        <v>4</v>
      </c>
      <c r="D217" s="3">
        <v>18</v>
      </c>
      <c r="E217" s="3">
        <v>3</v>
      </c>
      <c r="F217" s="3">
        <v>3</v>
      </c>
      <c r="P217" t="s">
        <v>43</v>
      </c>
      <c r="Q217">
        <f>COUNTIFS($C$2:$C$386,14,$E$2:$E$386,8)</f>
        <v>4</v>
      </c>
      <c r="R217" s="34">
        <f t="shared" si="25"/>
        <v>1.0389610389610389</v>
      </c>
    </row>
    <row r="218" spans="1:18" x14ac:dyDescent="0.3">
      <c r="A218" t="s">
        <v>1982</v>
      </c>
      <c r="B218" s="7">
        <v>1</v>
      </c>
      <c r="C218" s="7">
        <v>7</v>
      </c>
      <c r="D218" s="3">
        <v>19</v>
      </c>
      <c r="E218" s="11">
        <v>4</v>
      </c>
      <c r="F218" s="11">
        <v>8</v>
      </c>
      <c r="P218" t="s">
        <v>46</v>
      </c>
      <c r="Q218">
        <f>COUNTIFS($C$2:$C$386,14,$E$2:$E$386,9)</f>
        <v>0</v>
      </c>
      <c r="R218" s="34">
        <f t="shared" si="25"/>
        <v>0</v>
      </c>
    </row>
    <row r="219" spans="1:18" x14ac:dyDescent="0.3">
      <c r="A219" s="6" t="s">
        <v>932</v>
      </c>
      <c r="B219" s="7">
        <v>1</v>
      </c>
      <c r="C219" s="7">
        <v>15</v>
      </c>
      <c r="D219" s="3">
        <v>21</v>
      </c>
      <c r="E219" s="11">
        <v>1</v>
      </c>
      <c r="F219" s="11">
        <v>7</v>
      </c>
      <c r="P219" t="s">
        <v>152</v>
      </c>
      <c r="Q219">
        <f>COUNTIFS($C$2:$C$386,14,$E$2:$E$386,10)</f>
        <v>0</v>
      </c>
      <c r="R219" s="34">
        <f t="shared" si="25"/>
        <v>0</v>
      </c>
    </row>
    <row r="220" spans="1:18" x14ac:dyDescent="0.3">
      <c r="A220" t="s">
        <v>2399</v>
      </c>
      <c r="B220" s="7">
        <v>1</v>
      </c>
      <c r="C220" s="7">
        <v>2</v>
      </c>
      <c r="D220" s="3">
        <v>18</v>
      </c>
      <c r="E220" s="3">
        <v>4</v>
      </c>
      <c r="F220" s="3">
        <v>1</v>
      </c>
      <c r="P220" t="s">
        <v>49</v>
      </c>
      <c r="Q220">
        <f>COUNTIFS($C$2:$C$386,14,$E$2:$E$386,11)</f>
        <v>0</v>
      </c>
      <c r="R220" s="34">
        <f t="shared" si="25"/>
        <v>0</v>
      </c>
    </row>
    <row r="221" spans="1:18" x14ac:dyDescent="0.3">
      <c r="A221" t="s">
        <v>1427</v>
      </c>
      <c r="B221" s="7">
        <v>1</v>
      </c>
      <c r="C221" s="7">
        <v>13</v>
      </c>
      <c r="D221" s="3">
        <v>21</v>
      </c>
      <c r="E221" s="11">
        <v>8</v>
      </c>
      <c r="F221" s="11">
        <v>8</v>
      </c>
      <c r="P221" t="s">
        <v>51</v>
      </c>
      <c r="Q221">
        <f>COUNTIFS($C$2:$C$386,14,$E$2:$E$386,12)</f>
        <v>0</v>
      </c>
      <c r="R221" s="34">
        <f t="shared" si="25"/>
        <v>0</v>
      </c>
    </row>
    <row r="222" spans="1:18" x14ac:dyDescent="0.3">
      <c r="A222" s="6" t="s">
        <v>648</v>
      </c>
      <c r="B222" s="7">
        <v>1</v>
      </c>
      <c r="C222" s="7">
        <v>16</v>
      </c>
      <c r="D222" s="3">
        <v>21</v>
      </c>
      <c r="E222" s="11">
        <v>4</v>
      </c>
      <c r="F222" s="11">
        <v>3</v>
      </c>
      <c r="P222" t="s">
        <v>153</v>
      </c>
      <c r="Q222">
        <f>COUNTIFS($C$2:$C$386,14,$E$2:$E$386,13)</f>
        <v>0</v>
      </c>
      <c r="R222" s="34">
        <f t="shared" si="25"/>
        <v>0</v>
      </c>
    </row>
    <row r="223" spans="1:18" x14ac:dyDescent="0.3">
      <c r="A223" t="s">
        <v>2808</v>
      </c>
      <c r="B223" s="7">
        <v>1</v>
      </c>
      <c r="C223" s="7">
        <v>12</v>
      </c>
      <c r="D223" s="3">
        <v>20</v>
      </c>
      <c r="E223" s="3">
        <v>4</v>
      </c>
      <c r="F223" s="3">
        <v>1</v>
      </c>
      <c r="P223" t="s">
        <v>154</v>
      </c>
      <c r="Q223">
        <f>COUNTIFS($C$2:$C$386,14,$E$2:$E$386,14)</f>
        <v>1</v>
      </c>
      <c r="R223" s="34">
        <f t="shared" si="25"/>
        <v>0.25974025974025972</v>
      </c>
    </row>
    <row r="224" spans="1:18" x14ac:dyDescent="0.3">
      <c r="A224" t="s">
        <v>1250</v>
      </c>
      <c r="B224" s="7">
        <v>1</v>
      </c>
      <c r="C224" s="7">
        <v>13</v>
      </c>
      <c r="D224" s="3">
        <v>21</v>
      </c>
      <c r="E224" s="11">
        <v>4</v>
      </c>
      <c r="F224" s="11">
        <v>1</v>
      </c>
      <c r="P224" t="s">
        <v>52</v>
      </c>
      <c r="Q224">
        <f>COUNTIFS($C$2:$C$386,14,$E$2:$E$386,15)</f>
        <v>3</v>
      </c>
      <c r="R224" s="34">
        <f t="shared" si="25"/>
        <v>0.77922077922077926</v>
      </c>
    </row>
    <row r="225" spans="1:18" x14ac:dyDescent="0.3">
      <c r="A225" s="6" t="s">
        <v>961</v>
      </c>
      <c r="B225" s="7">
        <v>1</v>
      </c>
      <c r="C225" s="7">
        <v>15</v>
      </c>
      <c r="D225" s="3">
        <v>21</v>
      </c>
      <c r="E225" s="11">
        <v>4</v>
      </c>
      <c r="F225" s="7">
        <v>1</v>
      </c>
      <c r="Q225" s="22">
        <f>SUM(Q210:Q224)</f>
        <v>33</v>
      </c>
      <c r="R225" s="35">
        <f t="shared" si="25"/>
        <v>8.5714285714285712</v>
      </c>
    </row>
    <row r="226" spans="1:18" x14ac:dyDescent="0.3">
      <c r="A226" s="6" t="s">
        <v>188</v>
      </c>
      <c r="B226" s="7">
        <v>1</v>
      </c>
      <c r="C226" s="7">
        <v>17</v>
      </c>
      <c r="D226" s="3">
        <v>21</v>
      </c>
      <c r="E226" s="11">
        <v>3</v>
      </c>
      <c r="F226" s="11">
        <v>1</v>
      </c>
      <c r="O226">
        <v>2023</v>
      </c>
      <c r="P226" t="s">
        <v>11</v>
      </c>
      <c r="Q226">
        <f>COUNTIFS($C$2:$C$386,15,$E$2:$E$386,1)</f>
        <v>7</v>
      </c>
      <c r="R226" s="34">
        <f>(Q226/385)*100</f>
        <v>1.8181818181818181</v>
      </c>
    </row>
    <row r="227" spans="1:18" x14ac:dyDescent="0.3">
      <c r="A227" t="s">
        <v>2881</v>
      </c>
      <c r="B227" s="7">
        <v>1</v>
      </c>
      <c r="C227" s="7">
        <v>11</v>
      </c>
      <c r="D227" s="3">
        <v>20</v>
      </c>
      <c r="E227" s="3">
        <v>3</v>
      </c>
      <c r="F227" s="3">
        <v>3</v>
      </c>
      <c r="P227" t="s">
        <v>18</v>
      </c>
      <c r="Q227">
        <f>COUNTIFS($C$2:$C$386,15,$E$2:$E$386,2)</f>
        <v>3</v>
      </c>
      <c r="R227" s="34">
        <f t="shared" ref="R227:R241" si="26">(Q227/385)*100</f>
        <v>0.77922077922077926</v>
      </c>
    </row>
    <row r="228" spans="1:18" x14ac:dyDescent="0.3">
      <c r="A228" s="6" t="s">
        <v>1028</v>
      </c>
      <c r="B228" s="7">
        <v>1</v>
      </c>
      <c r="C228" s="7">
        <v>14</v>
      </c>
      <c r="D228" s="3">
        <v>21</v>
      </c>
      <c r="E228" s="11">
        <v>4</v>
      </c>
      <c r="F228" s="11">
        <v>3</v>
      </c>
      <c r="P228" t="s">
        <v>150</v>
      </c>
      <c r="Q228">
        <f>COUNTIFS($C$2:$C$386,15,$E$2:$E$386,3)</f>
        <v>4</v>
      </c>
      <c r="R228" s="34">
        <f t="shared" si="26"/>
        <v>1.0389610389610389</v>
      </c>
    </row>
    <row r="229" spans="1:18" x14ac:dyDescent="0.3">
      <c r="A229" s="6" t="s">
        <v>240</v>
      </c>
      <c r="B229" s="7">
        <v>1</v>
      </c>
      <c r="C229" s="7">
        <v>17</v>
      </c>
      <c r="D229" s="3">
        <v>21</v>
      </c>
      <c r="E229" s="11">
        <v>15</v>
      </c>
      <c r="F229" s="11">
        <v>7</v>
      </c>
      <c r="P229" t="s">
        <v>25</v>
      </c>
      <c r="Q229">
        <f>COUNTIFS($C$2:$C$386,15,$E$2:$E$386,4)</f>
        <v>14</v>
      </c>
      <c r="R229" s="34">
        <f t="shared" si="26"/>
        <v>3.6363636363636362</v>
      </c>
    </row>
    <row r="230" spans="1:18" x14ac:dyDescent="0.3">
      <c r="A230" t="s">
        <v>3065</v>
      </c>
      <c r="B230" s="7">
        <v>1</v>
      </c>
      <c r="C230" s="7">
        <v>2</v>
      </c>
      <c r="D230" s="3">
        <v>18</v>
      </c>
      <c r="E230" s="3">
        <v>3</v>
      </c>
      <c r="F230" s="3">
        <v>3</v>
      </c>
      <c r="P230" t="s">
        <v>32</v>
      </c>
      <c r="Q230">
        <f>COUNTIFS($C$2:$C$386,15,$E$2:$E$386,5)</f>
        <v>0</v>
      </c>
      <c r="R230" s="34">
        <f t="shared" si="26"/>
        <v>0</v>
      </c>
    </row>
    <row r="231" spans="1:18" x14ac:dyDescent="0.3">
      <c r="A231" s="6" t="s">
        <v>686</v>
      </c>
      <c r="B231" s="7">
        <v>1</v>
      </c>
      <c r="C231" s="7">
        <v>16</v>
      </c>
      <c r="D231" s="3">
        <v>21</v>
      </c>
      <c r="E231" s="3">
        <v>4</v>
      </c>
      <c r="F231" s="3">
        <v>3</v>
      </c>
      <c r="P231" t="s">
        <v>38</v>
      </c>
      <c r="Q231">
        <f>COUNTIFS($C$2:$C$386,15,$E$2:$E$386,6)</f>
        <v>0</v>
      </c>
      <c r="R231" s="34">
        <f t="shared" si="26"/>
        <v>0</v>
      </c>
    </row>
    <row r="232" spans="1:18" x14ac:dyDescent="0.3">
      <c r="A232" t="s">
        <v>1500</v>
      </c>
      <c r="B232" s="7">
        <v>1</v>
      </c>
      <c r="C232" s="7">
        <v>12</v>
      </c>
      <c r="D232" s="3">
        <v>20</v>
      </c>
      <c r="E232" s="3">
        <v>15</v>
      </c>
      <c r="F232" s="3">
        <v>1</v>
      </c>
      <c r="P232" t="s">
        <v>151</v>
      </c>
      <c r="Q232">
        <f>COUNTIFS($C$2:$C$386,15,$E$2:$E$386,7)</f>
        <v>0</v>
      </c>
      <c r="R232" s="34">
        <f t="shared" si="26"/>
        <v>0</v>
      </c>
    </row>
    <row r="233" spans="1:18" x14ac:dyDescent="0.3">
      <c r="A233" t="s">
        <v>1318</v>
      </c>
      <c r="B233" s="7">
        <v>1</v>
      </c>
      <c r="C233" s="7">
        <v>13</v>
      </c>
      <c r="D233" s="3">
        <v>21</v>
      </c>
      <c r="E233" s="3">
        <v>4</v>
      </c>
      <c r="F233" s="3">
        <v>6</v>
      </c>
      <c r="P233" t="s">
        <v>43</v>
      </c>
      <c r="Q233">
        <f>COUNTIFS($C$2:$C$386,15,$E$2:$E$386,8)</f>
        <v>1</v>
      </c>
      <c r="R233" s="34">
        <f t="shared" si="26"/>
        <v>0.25974025974025972</v>
      </c>
    </row>
    <row r="234" spans="1:18" x14ac:dyDescent="0.3">
      <c r="A234" t="s">
        <v>1177</v>
      </c>
      <c r="B234" s="7">
        <v>1</v>
      </c>
      <c r="C234" s="7">
        <v>13</v>
      </c>
      <c r="D234" s="3">
        <v>21</v>
      </c>
      <c r="E234" s="3">
        <v>5</v>
      </c>
      <c r="F234" s="3">
        <v>3</v>
      </c>
      <c r="P234" t="s">
        <v>46</v>
      </c>
      <c r="Q234">
        <f>COUNTIFS($C$2:$C$386,15,$E$2:$E$386,9)</f>
        <v>2</v>
      </c>
      <c r="R234" s="34">
        <f t="shared" si="26"/>
        <v>0.51948051948051943</v>
      </c>
    </row>
    <row r="235" spans="1:18" x14ac:dyDescent="0.3">
      <c r="A235" t="s">
        <v>2709</v>
      </c>
      <c r="B235" s="7">
        <v>1</v>
      </c>
      <c r="C235" s="7">
        <v>13</v>
      </c>
      <c r="D235" s="3">
        <v>21</v>
      </c>
      <c r="E235" s="3">
        <v>2</v>
      </c>
      <c r="F235" s="3">
        <v>3</v>
      </c>
      <c r="P235" t="s">
        <v>152</v>
      </c>
      <c r="Q235">
        <f>COUNTIFS($C$2:$C$386,15,$E$2:$E$386,10)</f>
        <v>0</v>
      </c>
      <c r="R235" s="34">
        <f t="shared" si="26"/>
        <v>0</v>
      </c>
    </row>
    <row r="236" spans="1:18" x14ac:dyDescent="0.3">
      <c r="A236" s="6" t="s">
        <v>813</v>
      </c>
      <c r="B236" s="7">
        <v>1</v>
      </c>
      <c r="C236" s="7">
        <v>15</v>
      </c>
      <c r="D236" s="3">
        <v>21</v>
      </c>
      <c r="E236" s="11">
        <v>4</v>
      </c>
      <c r="F236" s="11">
        <v>3</v>
      </c>
      <c r="P236" t="s">
        <v>49</v>
      </c>
      <c r="Q236">
        <f>COUNTIFS($C$2:$C$386,15,$E$2:$E$386,11)</f>
        <v>2</v>
      </c>
      <c r="R236" s="34">
        <f t="shared" si="26"/>
        <v>0.51948051948051943</v>
      </c>
    </row>
    <row r="237" spans="1:18" x14ac:dyDescent="0.3">
      <c r="A237" t="s">
        <v>2694</v>
      </c>
      <c r="B237" s="7">
        <v>1</v>
      </c>
      <c r="C237" s="7">
        <v>13</v>
      </c>
      <c r="D237" s="3">
        <v>21</v>
      </c>
      <c r="E237" s="3">
        <v>4</v>
      </c>
      <c r="F237" s="3">
        <v>3</v>
      </c>
      <c r="P237" t="s">
        <v>51</v>
      </c>
      <c r="Q237">
        <f>COUNTIFS($C$2:$C$386,15,$E$2:$E$386,12)</f>
        <v>1</v>
      </c>
      <c r="R237" s="34">
        <f t="shared" si="26"/>
        <v>0.25974025974025972</v>
      </c>
    </row>
    <row r="238" spans="1:18" x14ac:dyDescent="0.3">
      <c r="A238" t="s">
        <v>1791</v>
      </c>
      <c r="B238" s="7">
        <v>1</v>
      </c>
      <c r="C238" s="7">
        <v>9</v>
      </c>
      <c r="D238" s="3">
        <v>20</v>
      </c>
      <c r="E238" s="3">
        <v>1</v>
      </c>
      <c r="F238" s="3">
        <v>3</v>
      </c>
      <c r="P238" t="s">
        <v>153</v>
      </c>
      <c r="Q238">
        <f>COUNTIFS($C$2:$C$386,15,$E$2:$E$386,13)</f>
        <v>0</v>
      </c>
      <c r="R238" s="34">
        <f t="shared" si="26"/>
        <v>0</v>
      </c>
    </row>
    <row r="239" spans="1:18" x14ac:dyDescent="0.3">
      <c r="A239" t="s">
        <v>1871</v>
      </c>
      <c r="B239" s="7">
        <v>1</v>
      </c>
      <c r="C239" s="7">
        <v>8</v>
      </c>
      <c r="D239" s="3">
        <v>19</v>
      </c>
      <c r="E239" s="3">
        <v>4</v>
      </c>
      <c r="F239" s="3">
        <v>3</v>
      </c>
      <c r="P239" t="s">
        <v>154</v>
      </c>
      <c r="Q239">
        <f>COUNTIFS($C$2:$C$386,15,$E$2:$E$386,14)</f>
        <v>1</v>
      </c>
      <c r="R239" s="34">
        <f t="shared" si="26"/>
        <v>0.25974025974025972</v>
      </c>
    </row>
    <row r="240" spans="1:18" x14ac:dyDescent="0.3">
      <c r="A240" t="s">
        <v>2433</v>
      </c>
      <c r="B240" s="7">
        <v>1</v>
      </c>
      <c r="C240" s="7">
        <v>2</v>
      </c>
      <c r="D240" s="3">
        <v>18</v>
      </c>
      <c r="E240" s="3">
        <v>3</v>
      </c>
      <c r="F240" s="3">
        <v>3</v>
      </c>
      <c r="P240" t="s">
        <v>52</v>
      </c>
      <c r="Q240">
        <f>COUNTIFS($C$2:$C$386,15,$E$2:$E$386,15)</f>
        <v>5</v>
      </c>
      <c r="R240" s="34">
        <f t="shared" si="26"/>
        <v>1.2987012987012987</v>
      </c>
    </row>
    <row r="241" spans="1:18" x14ac:dyDescent="0.3">
      <c r="A241" t="s">
        <v>2566</v>
      </c>
      <c r="B241" s="7">
        <v>1</v>
      </c>
      <c r="C241" s="7">
        <v>15</v>
      </c>
      <c r="D241" s="3">
        <v>21</v>
      </c>
      <c r="E241" s="3">
        <v>3</v>
      </c>
      <c r="F241" s="3">
        <v>3</v>
      </c>
      <c r="Q241" s="22">
        <f>SUM(Q226:Q240)</f>
        <v>40</v>
      </c>
      <c r="R241" s="35">
        <f t="shared" si="26"/>
        <v>10.38961038961039</v>
      </c>
    </row>
    <row r="242" spans="1:18" x14ac:dyDescent="0.3">
      <c r="A242" s="6" t="s">
        <v>232</v>
      </c>
      <c r="B242" s="7">
        <v>1</v>
      </c>
      <c r="C242" s="7">
        <v>17</v>
      </c>
      <c r="D242" s="3">
        <v>21</v>
      </c>
      <c r="E242" s="11">
        <v>4</v>
      </c>
      <c r="F242" s="11">
        <v>3</v>
      </c>
      <c r="O242">
        <v>2024</v>
      </c>
      <c r="P242" t="s">
        <v>11</v>
      </c>
      <c r="Q242">
        <f>COUNTIFS($C$2:$C$386,16,$E$2:$E$386,1)</f>
        <v>4</v>
      </c>
      <c r="R242" s="34">
        <f>(Q242/385)*100</f>
        <v>1.0389610389610389</v>
      </c>
    </row>
    <row r="243" spans="1:18" x14ac:dyDescent="0.3">
      <c r="A243" s="6" t="s">
        <v>290</v>
      </c>
      <c r="B243" s="7">
        <v>1</v>
      </c>
      <c r="C243" s="7">
        <v>16</v>
      </c>
      <c r="D243" s="3">
        <v>21</v>
      </c>
      <c r="E243" s="11">
        <v>4</v>
      </c>
      <c r="F243" s="11">
        <v>3</v>
      </c>
      <c r="P243" t="s">
        <v>18</v>
      </c>
      <c r="Q243">
        <f>COUNTIFS($C$2:$C$386,16,$E$2:$E$386,2)</f>
        <v>3</v>
      </c>
      <c r="R243" s="34">
        <f t="shared" ref="R243:R257" si="27">(Q243/385)*100</f>
        <v>0.77922077922077926</v>
      </c>
    </row>
    <row r="244" spans="1:18" x14ac:dyDescent="0.3">
      <c r="A244" s="6" t="s">
        <v>1017</v>
      </c>
      <c r="B244" s="7">
        <v>1</v>
      </c>
      <c r="C244" s="7">
        <v>14</v>
      </c>
      <c r="D244" s="3">
        <v>21</v>
      </c>
      <c r="E244" s="11">
        <v>4</v>
      </c>
      <c r="F244" s="11">
        <v>3</v>
      </c>
      <c r="P244" t="s">
        <v>150</v>
      </c>
      <c r="Q244">
        <f>COUNTIFS($C$2:$C$386,16,$E$2:$E$386,3)</f>
        <v>1</v>
      </c>
      <c r="R244" s="34">
        <f t="shared" si="27"/>
        <v>0.25974025974025972</v>
      </c>
    </row>
    <row r="245" spans="1:18" x14ac:dyDescent="0.3">
      <c r="A245" t="s">
        <v>2198</v>
      </c>
      <c r="B245" s="7">
        <v>1</v>
      </c>
      <c r="C245" s="7">
        <v>4</v>
      </c>
      <c r="D245" s="3">
        <v>18</v>
      </c>
      <c r="E245" s="3">
        <v>3</v>
      </c>
      <c r="F245" s="3">
        <v>3</v>
      </c>
      <c r="P245" t="s">
        <v>25</v>
      </c>
      <c r="Q245">
        <f>COUNTIFS($C$2:$C$386,16,$E$2:$E$386,4)</f>
        <v>40</v>
      </c>
      <c r="R245" s="34">
        <f t="shared" si="27"/>
        <v>10.38961038961039</v>
      </c>
    </row>
    <row r="246" spans="1:18" x14ac:dyDescent="0.3">
      <c r="A246" t="s">
        <v>2424</v>
      </c>
      <c r="B246" s="7">
        <v>1</v>
      </c>
      <c r="C246" s="7">
        <v>2</v>
      </c>
      <c r="D246" s="3">
        <v>18</v>
      </c>
      <c r="E246" s="3">
        <v>1</v>
      </c>
      <c r="F246" s="3">
        <v>3</v>
      </c>
      <c r="P246" t="s">
        <v>32</v>
      </c>
      <c r="Q246">
        <f>COUNTIFS($C$2:$C$386,16,$E$2:$E$386,5)</f>
        <v>1</v>
      </c>
      <c r="R246" s="34">
        <f t="shared" si="27"/>
        <v>0.25974025974025972</v>
      </c>
    </row>
    <row r="247" spans="1:18" x14ac:dyDescent="0.3">
      <c r="A247" t="s">
        <v>2144</v>
      </c>
      <c r="B247" s="7">
        <v>1</v>
      </c>
      <c r="C247" s="7">
        <v>5</v>
      </c>
      <c r="D247" s="3">
        <v>19</v>
      </c>
      <c r="E247" s="3">
        <v>3</v>
      </c>
      <c r="F247" s="3">
        <v>3</v>
      </c>
      <c r="P247" t="s">
        <v>38</v>
      </c>
      <c r="Q247">
        <f>COUNTIFS($C$2:$C$386,16,$E$2:$E$386,6)</f>
        <v>1</v>
      </c>
      <c r="R247" s="34">
        <f t="shared" si="27"/>
        <v>0.25974025974025972</v>
      </c>
    </row>
    <row r="248" spans="1:18" x14ac:dyDescent="0.3">
      <c r="A248" t="s">
        <v>1661</v>
      </c>
      <c r="B248" s="7">
        <v>1</v>
      </c>
      <c r="C248" s="7">
        <v>10</v>
      </c>
      <c r="D248" s="3">
        <v>20</v>
      </c>
      <c r="E248" s="3">
        <v>4</v>
      </c>
      <c r="F248" s="3">
        <v>3</v>
      </c>
      <c r="P248" t="s">
        <v>151</v>
      </c>
      <c r="Q248">
        <f>COUNTIFS($C$2:$C$386,16,$E$2:$E$386,7)</f>
        <v>0</v>
      </c>
      <c r="R248" s="34">
        <f t="shared" si="27"/>
        <v>0</v>
      </c>
    </row>
    <row r="249" spans="1:18" x14ac:dyDescent="0.3">
      <c r="A249" t="s">
        <v>2160</v>
      </c>
      <c r="B249" s="7">
        <v>1</v>
      </c>
      <c r="C249" s="7">
        <v>5</v>
      </c>
      <c r="D249" s="3">
        <v>19</v>
      </c>
      <c r="E249" s="3">
        <v>2</v>
      </c>
      <c r="F249" s="3">
        <v>3</v>
      </c>
      <c r="P249" t="s">
        <v>43</v>
      </c>
      <c r="Q249">
        <f>COUNTIFS($C$2:$C$386,16,$E$2:$E$386,8)</f>
        <v>3</v>
      </c>
      <c r="R249" s="34">
        <f t="shared" si="27"/>
        <v>0.77922077922077926</v>
      </c>
    </row>
    <row r="250" spans="1:18" x14ac:dyDescent="0.3">
      <c r="A250" t="s">
        <v>1560</v>
      </c>
      <c r="B250" s="7">
        <v>1</v>
      </c>
      <c r="C250" s="7">
        <v>12</v>
      </c>
      <c r="D250" s="3">
        <v>20</v>
      </c>
      <c r="E250" s="3">
        <v>2</v>
      </c>
      <c r="F250" s="3">
        <v>3</v>
      </c>
      <c r="P250" t="s">
        <v>46</v>
      </c>
      <c r="Q250">
        <f>COUNTIFS($C$2:$C$386,16,$E$2:$E$386,9)</f>
        <v>1</v>
      </c>
      <c r="R250" s="34">
        <f t="shared" si="27"/>
        <v>0.25974025974025972</v>
      </c>
    </row>
    <row r="251" spans="1:18" x14ac:dyDescent="0.3">
      <c r="A251" t="s">
        <v>1879</v>
      </c>
      <c r="B251" s="7">
        <v>1</v>
      </c>
      <c r="C251" s="7">
        <v>8</v>
      </c>
      <c r="D251" s="3">
        <v>19</v>
      </c>
      <c r="E251" s="3">
        <v>5</v>
      </c>
      <c r="F251" s="3">
        <v>1</v>
      </c>
      <c r="P251" t="s">
        <v>152</v>
      </c>
      <c r="Q251">
        <f>COUNTIFS($C$2:$C$386,16,$E$2:$E$386,10)</f>
        <v>0</v>
      </c>
      <c r="R251" s="34">
        <f t="shared" si="27"/>
        <v>0</v>
      </c>
    </row>
    <row r="252" spans="1:18" x14ac:dyDescent="0.3">
      <c r="A252" t="s">
        <v>2736</v>
      </c>
      <c r="B252" s="7">
        <v>1</v>
      </c>
      <c r="C252" s="7">
        <v>13</v>
      </c>
      <c r="D252" s="3">
        <v>21</v>
      </c>
      <c r="E252" s="3">
        <v>4</v>
      </c>
      <c r="F252" s="3">
        <v>3</v>
      </c>
      <c r="P252" t="s">
        <v>49</v>
      </c>
      <c r="Q252">
        <f>COUNTIFS($C$2:$C$386,16,$E$2:$E$386,11)</f>
        <v>2</v>
      </c>
      <c r="R252" s="34">
        <f t="shared" si="27"/>
        <v>0.51948051948051943</v>
      </c>
    </row>
    <row r="253" spans="1:18" x14ac:dyDescent="0.3">
      <c r="A253" t="s">
        <v>1765</v>
      </c>
      <c r="B253" s="7">
        <v>1</v>
      </c>
      <c r="C253" s="7">
        <v>10</v>
      </c>
      <c r="D253" s="3">
        <v>20</v>
      </c>
      <c r="E253" s="3">
        <v>4</v>
      </c>
      <c r="F253" s="3">
        <v>5</v>
      </c>
      <c r="P253" t="s">
        <v>51</v>
      </c>
      <c r="Q253">
        <f>COUNTIFS($C$2:$C$386,16,$E$2:$E$386,12)</f>
        <v>3</v>
      </c>
      <c r="R253" s="34">
        <f t="shared" si="27"/>
        <v>0.77922077922077926</v>
      </c>
    </row>
    <row r="254" spans="1:18" x14ac:dyDescent="0.3">
      <c r="A254" t="s">
        <v>1233</v>
      </c>
      <c r="B254" s="7">
        <v>1</v>
      </c>
      <c r="C254" s="7">
        <v>13</v>
      </c>
      <c r="D254" s="3">
        <v>21</v>
      </c>
      <c r="E254" s="3">
        <v>4</v>
      </c>
      <c r="F254" s="3">
        <v>3</v>
      </c>
      <c r="P254" t="s">
        <v>153</v>
      </c>
      <c r="Q254">
        <f>COUNTIFS($C$2:$C$386,16,$E$2:$E$386,13)</f>
        <v>0</v>
      </c>
      <c r="R254" s="34">
        <f t="shared" si="27"/>
        <v>0</v>
      </c>
    </row>
    <row r="255" spans="1:18" x14ac:dyDescent="0.3">
      <c r="A255" t="s">
        <v>2121</v>
      </c>
      <c r="B255" s="7">
        <v>1</v>
      </c>
      <c r="C255" s="7">
        <v>5</v>
      </c>
      <c r="D255" s="3">
        <v>19</v>
      </c>
      <c r="E255" s="3">
        <v>4</v>
      </c>
      <c r="F255" s="3">
        <v>5</v>
      </c>
      <c r="P255" t="s">
        <v>154</v>
      </c>
      <c r="Q255">
        <f>COUNTIFS($C$2:$C$386,16,$E$2:$E$386,14)</f>
        <v>0</v>
      </c>
      <c r="R255" s="34">
        <f t="shared" si="27"/>
        <v>0</v>
      </c>
    </row>
    <row r="256" spans="1:18" x14ac:dyDescent="0.3">
      <c r="A256" t="s">
        <v>2284</v>
      </c>
      <c r="B256" s="7">
        <v>1</v>
      </c>
      <c r="C256" s="7">
        <v>4</v>
      </c>
      <c r="D256" s="3">
        <v>18</v>
      </c>
      <c r="E256" s="3">
        <v>13</v>
      </c>
      <c r="F256" s="3">
        <v>3</v>
      </c>
      <c r="P256" t="s">
        <v>52</v>
      </c>
      <c r="Q256">
        <f>COUNTIFS($C$2:$C$386,16,$E$2:$E$386,15)</f>
        <v>10</v>
      </c>
      <c r="R256" s="34">
        <f t="shared" si="27"/>
        <v>2.5974025974025974</v>
      </c>
    </row>
    <row r="257" spans="1:18" x14ac:dyDescent="0.3">
      <c r="A257" t="s">
        <v>2984</v>
      </c>
      <c r="B257" s="7">
        <v>1</v>
      </c>
      <c r="C257" s="7">
        <v>7</v>
      </c>
      <c r="D257" s="3">
        <v>19</v>
      </c>
      <c r="E257" s="3">
        <v>5</v>
      </c>
      <c r="F257" s="3">
        <v>9</v>
      </c>
      <c r="Q257" s="22">
        <f>SUM(Q242:Q256)</f>
        <v>69</v>
      </c>
      <c r="R257" s="35">
        <f t="shared" si="27"/>
        <v>17.922077922077921</v>
      </c>
    </row>
    <row r="258" spans="1:18" x14ac:dyDescent="0.3">
      <c r="A258" t="s">
        <v>1818</v>
      </c>
      <c r="B258" s="7">
        <v>1</v>
      </c>
      <c r="C258" s="7">
        <v>8</v>
      </c>
      <c r="D258" s="3">
        <v>19</v>
      </c>
      <c r="E258" s="3">
        <v>3</v>
      </c>
      <c r="F258" s="3">
        <v>3</v>
      </c>
      <c r="O258">
        <v>2025</v>
      </c>
      <c r="P258" t="s">
        <v>11</v>
      </c>
      <c r="Q258">
        <f>COUNTIFS($C$2:$C$386,17,$E$2:$E$386,1)</f>
        <v>0</v>
      </c>
      <c r="R258" s="34">
        <f>(Q258/385)*100</f>
        <v>0</v>
      </c>
    </row>
    <row r="259" spans="1:18" x14ac:dyDescent="0.3">
      <c r="A259" t="s">
        <v>2593</v>
      </c>
      <c r="B259" s="7">
        <v>1</v>
      </c>
      <c r="C259" s="7">
        <v>15</v>
      </c>
      <c r="D259" s="3">
        <v>21</v>
      </c>
      <c r="E259" s="3">
        <v>4</v>
      </c>
      <c r="F259" s="3">
        <v>3</v>
      </c>
      <c r="P259" t="s">
        <v>18</v>
      </c>
      <c r="Q259">
        <f>COUNTIFS($C$2:$C$386,17,$E$2:$E$386,2)</f>
        <v>1</v>
      </c>
      <c r="R259" s="34">
        <f t="shared" ref="R259:R273" si="28">(Q259/385)*100</f>
        <v>0.25974025974025972</v>
      </c>
    </row>
    <row r="260" spans="1:18" x14ac:dyDescent="0.3">
      <c r="A260" t="s">
        <v>2054</v>
      </c>
      <c r="B260" s="7">
        <v>1</v>
      </c>
      <c r="C260" s="7">
        <v>6</v>
      </c>
      <c r="D260" s="3">
        <v>19</v>
      </c>
      <c r="E260" s="3">
        <v>15</v>
      </c>
      <c r="F260" s="3">
        <v>7</v>
      </c>
      <c r="P260" t="s">
        <v>150</v>
      </c>
      <c r="Q260">
        <f>COUNTIFS($C$2:$C$386,17,$E$2:$E$386,3)</f>
        <v>1</v>
      </c>
      <c r="R260" s="34">
        <f t="shared" si="28"/>
        <v>0.25974025974025972</v>
      </c>
    </row>
    <row r="261" spans="1:18" x14ac:dyDescent="0.3">
      <c r="A261" t="s">
        <v>1440</v>
      </c>
      <c r="B261" s="7">
        <v>1</v>
      </c>
      <c r="C261" s="7">
        <v>12</v>
      </c>
      <c r="D261" s="3">
        <v>20</v>
      </c>
      <c r="E261" s="11">
        <v>6</v>
      </c>
      <c r="F261" s="11">
        <v>4</v>
      </c>
      <c r="P261" t="s">
        <v>25</v>
      </c>
      <c r="Q261">
        <f>COUNTIFS($C$2:$C$386,17,$E$2:$E$386,4)</f>
        <v>5</v>
      </c>
      <c r="R261" s="34">
        <f t="shared" si="28"/>
        <v>1.2987012987012987</v>
      </c>
    </row>
    <row r="262" spans="1:18" x14ac:dyDescent="0.3">
      <c r="A262" s="6" t="s">
        <v>643</v>
      </c>
      <c r="B262" s="7">
        <v>1</v>
      </c>
      <c r="C262" s="7">
        <v>16</v>
      </c>
      <c r="D262" s="3">
        <v>21</v>
      </c>
      <c r="E262" s="11">
        <v>4</v>
      </c>
      <c r="F262" s="11">
        <v>3</v>
      </c>
      <c r="P262" t="s">
        <v>32</v>
      </c>
      <c r="Q262">
        <f>COUNTIFS($C$2:$C$386,17,$E$2:$E$386,5)</f>
        <v>2</v>
      </c>
      <c r="R262" s="34">
        <f t="shared" si="28"/>
        <v>0.51948051948051943</v>
      </c>
    </row>
    <row r="263" spans="1:18" x14ac:dyDescent="0.3">
      <c r="A263" t="s">
        <v>1368</v>
      </c>
      <c r="B263" s="7">
        <v>1</v>
      </c>
      <c r="C263" s="7">
        <v>13</v>
      </c>
      <c r="D263" s="3">
        <v>21</v>
      </c>
      <c r="E263" s="3">
        <v>4</v>
      </c>
      <c r="F263" s="3">
        <v>3</v>
      </c>
      <c r="P263" t="s">
        <v>38</v>
      </c>
      <c r="Q263">
        <f>COUNTIFS($C$2:$C$386,17,$E$2:$E$386,6)</f>
        <v>1</v>
      </c>
      <c r="R263" s="34">
        <f t="shared" si="28"/>
        <v>0.25974025974025972</v>
      </c>
    </row>
    <row r="264" spans="1:18" x14ac:dyDescent="0.3">
      <c r="A264" t="s">
        <v>1761</v>
      </c>
      <c r="B264" s="7">
        <v>1</v>
      </c>
      <c r="C264" s="7">
        <v>10</v>
      </c>
      <c r="D264" s="3">
        <v>20</v>
      </c>
      <c r="E264" s="3">
        <v>2</v>
      </c>
      <c r="F264" s="3">
        <v>3</v>
      </c>
      <c r="P264" t="s">
        <v>151</v>
      </c>
      <c r="Q264">
        <f>COUNTIFS($C$2:$C$386,17,$E$2:$E$386,7)</f>
        <v>0</v>
      </c>
      <c r="R264" s="34">
        <f t="shared" si="28"/>
        <v>0</v>
      </c>
    </row>
    <row r="265" spans="1:18" x14ac:dyDescent="0.3">
      <c r="A265" t="s">
        <v>1761</v>
      </c>
      <c r="B265" s="7">
        <v>1</v>
      </c>
      <c r="C265" s="7">
        <v>11</v>
      </c>
      <c r="D265" s="3">
        <v>20</v>
      </c>
      <c r="E265" s="3">
        <v>12</v>
      </c>
      <c r="F265" s="3">
        <v>3</v>
      </c>
      <c r="P265" t="s">
        <v>43</v>
      </c>
      <c r="Q265">
        <f>COUNTIFS($C$2:$C$386,17,$E$2:$E$386,8)</f>
        <v>0</v>
      </c>
      <c r="R265" s="34">
        <f t="shared" si="28"/>
        <v>0</v>
      </c>
    </row>
    <row r="266" spans="1:18" x14ac:dyDescent="0.3">
      <c r="A266" s="6" t="s">
        <v>594</v>
      </c>
      <c r="B266" s="7">
        <v>1</v>
      </c>
      <c r="C266" s="7">
        <v>16</v>
      </c>
      <c r="D266" s="3">
        <v>21</v>
      </c>
      <c r="E266" s="11">
        <v>1</v>
      </c>
      <c r="F266" s="11">
        <v>3</v>
      </c>
      <c r="P266" t="s">
        <v>46</v>
      </c>
      <c r="Q266">
        <f>COUNTIFS($C$2:$C$386,17,$E$2:$E$386,9)</f>
        <v>0</v>
      </c>
      <c r="R266" s="34">
        <f t="shared" si="28"/>
        <v>0</v>
      </c>
    </row>
    <row r="267" spans="1:18" x14ac:dyDescent="0.3">
      <c r="A267" t="s">
        <v>2964</v>
      </c>
      <c r="B267" s="7">
        <v>1</v>
      </c>
      <c r="C267" s="7">
        <v>10</v>
      </c>
      <c r="D267" s="3">
        <v>20</v>
      </c>
      <c r="E267" s="3">
        <v>4</v>
      </c>
      <c r="F267" s="3">
        <v>3</v>
      </c>
      <c r="P267" t="s">
        <v>152</v>
      </c>
      <c r="Q267">
        <f>COUNTIFS($C$2:$C$386,17,$E$2:$E$386,10)</f>
        <v>0</v>
      </c>
      <c r="R267" s="34">
        <f t="shared" si="28"/>
        <v>0</v>
      </c>
    </row>
    <row r="268" spans="1:18" x14ac:dyDescent="0.3">
      <c r="A268" s="6" t="s">
        <v>600</v>
      </c>
      <c r="B268" s="7">
        <v>1</v>
      </c>
      <c r="C268" s="7">
        <v>16</v>
      </c>
      <c r="D268" s="3">
        <v>21</v>
      </c>
      <c r="E268" s="11">
        <v>11</v>
      </c>
      <c r="F268" s="11">
        <v>6</v>
      </c>
      <c r="P268" t="s">
        <v>49</v>
      </c>
      <c r="Q268">
        <f>COUNTIFS($C$2:$C$386,17,$E$2:$E$386,11)</f>
        <v>0</v>
      </c>
      <c r="R268" s="34">
        <f t="shared" si="28"/>
        <v>0</v>
      </c>
    </row>
    <row r="269" spans="1:18" x14ac:dyDescent="0.3">
      <c r="A269" s="6" t="s">
        <v>225</v>
      </c>
      <c r="B269" s="7">
        <v>1</v>
      </c>
      <c r="C269" s="7">
        <v>17</v>
      </c>
      <c r="D269" s="3">
        <v>21</v>
      </c>
      <c r="E269" s="11">
        <v>4</v>
      </c>
      <c r="F269" s="11">
        <v>3</v>
      </c>
      <c r="P269" t="s">
        <v>51</v>
      </c>
      <c r="Q269">
        <f>COUNTIFS($C$2:$C$386,17,$E$2:$E$386,12)</f>
        <v>0</v>
      </c>
      <c r="R269" s="34">
        <f t="shared" si="28"/>
        <v>0</v>
      </c>
    </row>
    <row r="270" spans="1:18" x14ac:dyDescent="0.3">
      <c r="A270" t="s">
        <v>1960</v>
      </c>
      <c r="B270" s="7">
        <v>1</v>
      </c>
      <c r="C270" s="7">
        <v>7</v>
      </c>
      <c r="D270" s="3">
        <v>19</v>
      </c>
      <c r="E270" s="3">
        <v>3</v>
      </c>
      <c r="F270" s="3">
        <v>5</v>
      </c>
      <c r="P270" t="s">
        <v>153</v>
      </c>
      <c r="Q270">
        <f>COUNTIFS($C$2:$C$386,17,$E$2:$E$386,13)</f>
        <v>0</v>
      </c>
      <c r="R270" s="34">
        <f t="shared" si="28"/>
        <v>0</v>
      </c>
    </row>
    <row r="271" spans="1:18" x14ac:dyDescent="0.3">
      <c r="A271" s="6" t="s">
        <v>1040</v>
      </c>
      <c r="B271" s="7">
        <v>1</v>
      </c>
      <c r="C271" s="7">
        <v>14</v>
      </c>
      <c r="D271" s="3">
        <v>21</v>
      </c>
      <c r="E271" s="11">
        <v>15</v>
      </c>
      <c r="F271" s="11">
        <v>3</v>
      </c>
      <c r="P271" t="s">
        <v>154</v>
      </c>
      <c r="Q271">
        <f>COUNTIFS($C$2:$C$386,17,$E$2:$E$386,14)</f>
        <v>2</v>
      </c>
      <c r="R271" s="34">
        <f t="shared" si="28"/>
        <v>0.51948051948051943</v>
      </c>
    </row>
    <row r="272" spans="1:18" x14ac:dyDescent="0.3">
      <c r="A272" t="s">
        <v>1804</v>
      </c>
      <c r="B272" s="7">
        <v>1</v>
      </c>
      <c r="C272" s="7">
        <v>9</v>
      </c>
      <c r="D272" s="3">
        <v>20</v>
      </c>
      <c r="E272" s="3">
        <v>4</v>
      </c>
      <c r="F272" s="3">
        <v>1</v>
      </c>
      <c r="P272" t="s">
        <v>52</v>
      </c>
      <c r="Q272">
        <f>COUNTIFS($C$2:$C$386,17,$E$2:$E$386,15)</f>
        <v>4</v>
      </c>
      <c r="R272" s="34">
        <f t="shared" si="28"/>
        <v>1.0389610389610389</v>
      </c>
    </row>
    <row r="273" spans="1:18" x14ac:dyDescent="0.3">
      <c r="A273" t="s">
        <v>1341</v>
      </c>
      <c r="B273" s="7">
        <v>1</v>
      </c>
      <c r="C273" s="7">
        <v>13</v>
      </c>
      <c r="D273" s="3">
        <v>21</v>
      </c>
      <c r="E273" s="3">
        <v>8</v>
      </c>
      <c r="F273" s="3">
        <v>1</v>
      </c>
      <c r="Q273" s="22">
        <f>SUM(Q258:Q272)</f>
        <v>16</v>
      </c>
      <c r="R273" s="35">
        <f t="shared" si="28"/>
        <v>4.1558441558441555</v>
      </c>
    </row>
    <row r="274" spans="1:18" x14ac:dyDescent="0.3">
      <c r="A274" s="6" t="s">
        <v>717</v>
      </c>
      <c r="B274" s="7">
        <v>1</v>
      </c>
      <c r="C274" s="7">
        <v>15</v>
      </c>
      <c r="D274" s="3">
        <v>21</v>
      </c>
      <c r="E274" s="11">
        <v>1</v>
      </c>
      <c r="F274" s="7">
        <v>6</v>
      </c>
    </row>
    <row r="275" spans="1:18" x14ac:dyDescent="0.3">
      <c r="A275" s="6" t="s">
        <v>1090</v>
      </c>
      <c r="B275" s="7">
        <v>1</v>
      </c>
      <c r="C275" s="7">
        <v>14</v>
      </c>
      <c r="D275" s="3">
        <v>21</v>
      </c>
      <c r="E275" s="3">
        <v>4</v>
      </c>
      <c r="F275" s="3">
        <v>3</v>
      </c>
    </row>
    <row r="276" spans="1:18" x14ac:dyDescent="0.3">
      <c r="A276" t="s">
        <v>2066</v>
      </c>
      <c r="B276" s="7">
        <v>1</v>
      </c>
      <c r="C276" s="7">
        <v>6</v>
      </c>
      <c r="D276" s="3">
        <v>19</v>
      </c>
      <c r="E276" s="3">
        <v>1</v>
      </c>
      <c r="F276" s="3">
        <v>3</v>
      </c>
    </row>
    <row r="277" spans="1:18" x14ac:dyDescent="0.3">
      <c r="A277" t="s">
        <v>1308</v>
      </c>
      <c r="B277" s="7">
        <v>1</v>
      </c>
      <c r="C277" s="7">
        <v>13</v>
      </c>
      <c r="D277" s="3">
        <v>21</v>
      </c>
      <c r="E277" s="3">
        <v>4</v>
      </c>
      <c r="F277" s="3">
        <v>1</v>
      </c>
    </row>
    <row r="278" spans="1:18" x14ac:dyDescent="0.3">
      <c r="A278" t="s">
        <v>1799</v>
      </c>
      <c r="B278" s="7">
        <v>1</v>
      </c>
      <c r="C278" s="7">
        <v>9</v>
      </c>
      <c r="D278" s="3">
        <v>20</v>
      </c>
      <c r="E278" s="3">
        <v>4</v>
      </c>
      <c r="F278" s="3">
        <v>5</v>
      </c>
    </row>
    <row r="279" spans="1:18" x14ac:dyDescent="0.3">
      <c r="A279" t="s">
        <v>2480</v>
      </c>
      <c r="B279" s="7">
        <v>1</v>
      </c>
      <c r="C279" s="7">
        <v>16</v>
      </c>
      <c r="D279" s="3">
        <v>21</v>
      </c>
      <c r="E279" s="3">
        <v>4</v>
      </c>
      <c r="F279" s="3">
        <v>3</v>
      </c>
    </row>
    <row r="280" spans="1:18" x14ac:dyDescent="0.3">
      <c r="A280" t="s">
        <v>1414</v>
      </c>
      <c r="B280" s="7">
        <v>1</v>
      </c>
      <c r="C280" s="7">
        <v>12</v>
      </c>
      <c r="D280" s="3">
        <v>20</v>
      </c>
      <c r="E280" s="3">
        <v>1</v>
      </c>
      <c r="F280" s="3">
        <v>5</v>
      </c>
    </row>
    <row r="281" spans="1:18" x14ac:dyDescent="0.3">
      <c r="A281" t="s">
        <v>1757</v>
      </c>
      <c r="B281" s="7">
        <v>1</v>
      </c>
      <c r="C281" s="7">
        <v>10</v>
      </c>
      <c r="D281" s="3">
        <v>20</v>
      </c>
      <c r="E281" s="3">
        <v>4</v>
      </c>
      <c r="F281" s="3">
        <v>3</v>
      </c>
    </row>
    <row r="282" spans="1:18" x14ac:dyDescent="0.3">
      <c r="A282" t="s">
        <v>2235</v>
      </c>
      <c r="B282" s="7">
        <v>1</v>
      </c>
      <c r="C282" s="7">
        <v>4</v>
      </c>
      <c r="D282" s="3">
        <v>18</v>
      </c>
      <c r="E282" s="3">
        <v>9</v>
      </c>
      <c r="F282" s="3">
        <v>7</v>
      </c>
    </row>
    <row r="283" spans="1:18" x14ac:dyDescent="0.3">
      <c r="A283" t="s">
        <v>1772</v>
      </c>
      <c r="B283" s="7">
        <v>1</v>
      </c>
      <c r="C283" s="7">
        <v>9</v>
      </c>
      <c r="D283" s="3">
        <v>20</v>
      </c>
      <c r="E283" s="3">
        <v>4</v>
      </c>
      <c r="F283" s="3">
        <v>3</v>
      </c>
    </row>
    <row r="284" spans="1:18" x14ac:dyDescent="0.3">
      <c r="A284" s="6" t="s">
        <v>791</v>
      </c>
      <c r="B284" s="7">
        <v>1</v>
      </c>
      <c r="C284" s="7">
        <v>15</v>
      </c>
      <c r="D284" s="3">
        <v>21</v>
      </c>
      <c r="E284" s="11">
        <v>4</v>
      </c>
      <c r="F284" s="7">
        <v>3</v>
      </c>
    </row>
    <row r="285" spans="1:18" x14ac:dyDescent="0.3">
      <c r="A285" s="6" t="s">
        <v>374</v>
      </c>
      <c r="B285" s="7">
        <v>1</v>
      </c>
      <c r="C285" s="7">
        <v>16</v>
      </c>
      <c r="D285" s="3">
        <v>21</v>
      </c>
      <c r="E285" s="11">
        <v>4</v>
      </c>
      <c r="F285" s="11">
        <v>7</v>
      </c>
    </row>
    <row r="286" spans="1:18" x14ac:dyDescent="0.3">
      <c r="A286" t="s">
        <v>2527</v>
      </c>
      <c r="B286" s="7">
        <v>1</v>
      </c>
      <c r="C286" s="7">
        <v>16</v>
      </c>
      <c r="D286" s="3">
        <v>21</v>
      </c>
      <c r="E286" s="3">
        <v>15</v>
      </c>
      <c r="F286" s="3">
        <v>3</v>
      </c>
    </row>
    <row r="287" spans="1:18" x14ac:dyDescent="0.3">
      <c r="A287" t="s">
        <v>1858</v>
      </c>
      <c r="B287" s="7">
        <v>1</v>
      </c>
      <c r="C287" s="7">
        <v>8</v>
      </c>
      <c r="D287" s="3">
        <v>19</v>
      </c>
      <c r="E287" s="3">
        <v>2</v>
      </c>
      <c r="F287" s="3">
        <v>3</v>
      </c>
    </row>
    <row r="288" spans="1:18" x14ac:dyDescent="0.3">
      <c r="A288" t="s">
        <v>2419</v>
      </c>
      <c r="B288" s="7">
        <v>1</v>
      </c>
      <c r="C288" s="7">
        <v>2</v>
      </c>
      <c r="D288" s="3">
        <v>18</v>
      </c>
      <c r="E288" s="3">
        <v>2</v>
      </c>
      <c r="F288" s="3">
        <v>6</v>
      </c>
    </row>
    <row r="289" spans="1:6" x14ac:dyDescent="0.3">
      <c r="A289" t="s">
        <v>2442</v>
      </c>
      <c r="B289" s="7">
        <v>1</v>
      </c>
      <c r="C289" s="7">
        <v>2</v>
      </c>
      <c r="D289" s="3">
        <v>18</v>
      </c>
      <c r="E289" s="3">
        <v>13</v>
      </c>
      <c r="F289" s="3">
        <v>3</v>
      </c>
    </row>
    <row r="290" spans="1:6" x14ac:dyDescent="0.3">
      <c r="A290" s="6" t="s">
        <v>316</v>
      </c>
      <c r="B290" s="7">
        <v>1</v>
      </c>
      <c r="C290" s="7">
        <v>16</v>
      </c>
      <c r="D290" s="3">
        <v>21</v>
      </c>
      <c r="E290" s="11">
        <v>4</v>
      </c>
      <c r="F290" s="11">
        <v>3</v>
      </c>
    </row>
    <row r="291" spans="1:6" x14ac:dyDescent="0.3">
      <c r="A291" t="s">
        <v>2648</v>
      </c>
      <c r="B291" s="7">
        <v>1</v>
      </c>
      <c r="C291" s="7">
        <v>14</v>
      </c>
      <c r="D291" s="3">
        <v>21</v>
      </c>
      <c r="E291" s="3">
        <v>3</v>
      </c>
      <c r="F291" s="3">
        <v>6</v>
      </c>
    </row>
    <row r="292" spans="1:6" x14ac:dyDescent="0.3">
      <c r="A292" t="s">
        <v>2861</v>
      </c>
      <c r="B292" s="7">
        <v>1</v>
      </c>
      <c r="C292" s="7">
        <v>11</v>
      </c>
      <c r="D292" s="3">
        <v>20</v>
      </c>
      <c r="E292" s="3">
        <v>4</v>
      </c>
      <c r="F292" s="3">
        <v>3</v>
      </c>
    </row>
    <row r="293" spans="1:6" x14ac:dyDescent="0.3">
      <c r="A293" t="s">
        <v>2997</v>
      </c>
      <c r="B293" s="7">
        <v>1</v>
      </c>
      <c r="C293" s="7">
        <v>8</v>
      </c>
      <c r="D293" s="3">
        <v>19</v>
      </c>
      <c r="E293" s="3">
        <v>15</v>
      </c>
      <c r="F293" s="3">
        <v>6</v>
      </c>
    </row>
    <row r="294" spans="1:6" x14ac:dyDescent="0.3">
      <c r="A294" t="s">
        <v>1809</v>
      </c>
      <c r="B294" s="7">
        <v>1</v>
      </c>
      <c r="C294" s="7">
        <v>9</v>
      </c>
      <c r="D294" s="3">
        <v>20</v>
      </c>
      <c r="E294" s="3">
        <v>4</v>
      </c>
      <c r="F294" s="3">
        <v>7</v>
      </c>
    </row>
    <row r="295" spans="1:6" x14ac:dyDescent="0.3">
      <c r="A295" t="s">
        <v>1957</v>
      </c>
      <c r="B295" s="7">
        <v>1</v>
      </c>
      <c r="C295" s="7">
        <v>7</v>
      </c>
      <c r="D295" s="3">
        <v>19</v>
      </c>
      <c r="E295" s="3">
        <v>4</v>
      </c>
      <c r="F295" s="3">
        <v>3</v>
      </c>
    </row>
    <row r="296" spans="1:6" x14ac:dyDescent="0.3">
      <c r="A296" s="6" t="s">
        <v>526</v>
      </c>
      <c r="B296" s="7">
        <v>1</v>
      </c>
      <c r="C296" s="7">
        <v>16</v>
      </c>
      <c r="D296" s="3">
        <v>21</v>
      </c>
      <c r="E296" s="11">
        <v>4</v>
      </c>
      <c r="F296" s="11">
        <v>3</v>
      </c>
    </row>
    <row r="297" spans="1:6" x14ac:dyDescent="0.3">
      <c r="A297" s="6" t="s">
        <v>161</v>
      </c>
      <c r="B297" s="7">
        <v>1</v>
      </c>
      <c r="C297" s="7">
        <v>17</v>
      </c>
      <c r="D297" s="3">
        <v>21</v>
      </c>
      <c r="E297" s="11">
        <v>14</v>
      </c>
      <c r="F297" s="11">
        <v>3</v>
      </c>
    </row>
    <row r="298" spans="1:6" x14ac:dyDescent="0.3">
      <c r="A298" t="s">
        <v>3027</v>
      </c>
      <c r="B298" s="7">
        <v>1</v>
      </c>
      <c r="C298" s="7">
        <v>4</v>
      </c>
      <c r="D298" s="3">
        <v>18</v>
      </c>
      <c r="E298" s="3">
        <v>14</v>
      </c>
      <c r="F298" s="3">
        <v>3</v>
      </c>
    </row>
    <row r="299" spans="1:6" x14ac:dyDescent="0.3">
      <c r="A299" t="s">
        <v>2386</v>
      </c>
      <c r="B299" s="7">
        <v>1</v>
      </c>
      <c r="C299" s="7">
        <v>1</v>
      </c>
      <c r="D299" s="3">
        <v>18</v>
      </c>
      <c r="E299" s="11">
        <v>4</v>
      </c>
      <c r="F299" s="11">
        <v>8</v>
      </c>
    </row>
    <row r="300" spans="1:6" x14ac:dyDescent="0.3">
      <c r="A300" t="s">
        <v>2043</v>
      </c>
      <c r="B300" s="7">
        <v>1</v>
      </c>
      <c r="C300" s="7">
        <v>7</v>
      </c>
      <c r="D300" s="3">
        <v>19</v>
      </c>
      <c r="E300" s="3">
        <v>2</v>
      </c>
      <c r="F300" s="3">
        <v>3</v>
      </c>
    </row>
    <row r="301" spans="1:6" x14ac:dyDescent="0.3">
      <c r="A301" t="s">
        <v>2647</v>
      </c>
      <c r="B301" s="7">
        <v>1</v>
      </c>
      <c r="C301" s="7">
        <v>14</v>
      </c>
      <c r="D301" s="3">
        <v>21</v>
      </c>
      <c r="E301" s="3">
        <v>3</v>
      </c>
      <c r="F301" s="3">
        <v>9</v>
      </c>
    </row>
    <row r="302" spans="1:6" x14ac:dyDescent="0.3">
      <c r="A302" s="6" t="s">
        <v>903</v>
      </c>
      <c r="B302" s="7">
        <v>1</v>
      </c>
      <c r="C302" s="7">
        <v>15</v>
      </c>
      <c r="D302" s="3">
        <v>21</v>
      </c>
      <c r="E302" s="11">
        <v>4</v>
      </c>
      <c r="F302" s="7">
        <v>6</v>
      </c>
    </row>
    <row r="303" spans="1:6" x14ac:dyDescent="0.3">
      <c r="A303" t="s">
        <v>2685</v>
      </c>
      <c r="B303" s="7">
        <v>1</v>
      </c>
      <c r="C303" s="7">
        <v>14</v>
      </c>
      <c r="D303" s="3">
        <v>21</v>
      </c>
      <c r="E303" s="3">
        <v>3</v>
      </c>
      <c r="F303" s="3">
        <v>1</v>
      </c>
    </row>
    <row r="304" spans="1:6" x14ac:dyDescent="0.3">
      <c r="A304" t="s">
        <v>2726</v>
      </c>
      <c r="B304" s="7">
        <v>1</v>
      </c>
      <c r="C304" s="7">
        <v>13</v>
      </c>
      <c r="D304" s="3">
        <v>21</v>
      </c>
      <c r="E304" s="3">
        <v>4</v>
      </c>
      <c r="F304" s="3">
        <v>3</v>
      </c>
    </row>
    <row r="305" spans="1:6" x14ac:dyDescent="0.3">
      <c r="A305" t="s">
        <v>1679</v>
      </c>
      <c r="B305" s="7">
        <v>1</v>
      </c>
      <c r="C305" s="7">
        <v>11</v>
      </c>
      <c r="D305" s="3">
        <v>20</v>
      </c>
      <c r="E305" s="11">
        <v>1</v>
      </c>
      <c r="F305" s="11">
        <v>8</v>
      </c>
    </row>
    <row r="306" spans="1:6" x14ac:dyDescent="0.3">
      <c r="A306" t="s">
        <v>2765</v>
      </c>
      <c r="B306" s="7">
        <v>1</v>
      </c>
      <c r="C306" s="7">
        <v>13</v>
      </c>
      <c r="D306" s="3">
        <v>21</v>
      </c>
      <c r="E306" s="3">
        <v>2</v>
      </c>
      <c r="F306" s="3">
        <v>3</v>
      </c>
    </row>
    <row r="307" spans="1:6" x14ac:dyDescent="0.3">
      <c r="A307" t="s">
        <v>1100</v>
      </c>
      <c r="B307" s="7">
        <v>1</v>
      </c>
      <c r="C307" s="7">
        <v>14</v>
      </c>
      <c r="D307" s="3">
        <v>21</v>
      </c>
      <c r="E307" s="3">
        <v>4</v>
      </c>
      <c r="F307" s="3">
        <v>3</v>
      </c>
    </row>
    <row r="308" spans="1:6" x14ac:dyDescent="0.3">
      <c r="A308" s="6" t="s">
        <v>803</v>
      </c>
      <c r="B308" s="7">
        <v>1</v>
      </c>
      <c r="C308" s="7">
        <v>15</v>
      </c>
      <c r="D308" s="3">
        <v>21</v>
      </c>
      <c r="E308" s="11">
        <v>1</v>
      </c>
      <c r="F308" s="7">
        <v>6</v>
      </c>
    </row>
    <row r="309" spans="1:6" x14ac:dyDescent="0.3">
      <c r="A309" t="s">
        <v>3023</v>
      </c>
      <c r="B309" s="7">
        <v>1</v>
      </c>
      <c r="C309" s="7">
        <v>1</v>
      </c>
      <c r="D309" s="3">
        <v>18</v>
      </c>
      <c r="E309" s="3">
        <v>14</v>
      </c>
      <c r="F309" s="3">
        <v>3</v>
      </c>
    </row>
    <row r="310" spans="1:6" x14ac:dyDescent="0.3">
      <c r="A310" s="6" t="s">
        <v>262</v>
      </c>
      <c r="B310" s="7">
        <v>1</v>
      </c>
      <c r="C310" s="7">
        <v>17</v>
      </c>
      <c r="D310" s="3">
        <v>21</v>
      </c>
      <c r="E310" s="7">
        <v>4</v>
      </c>
      <c r="F310" s="11">
        <v>3</v>
      </c>
    </row>
    <row r="311" spans="1:6" x14ac:dyDescent="0.3">
      <c r="A311" t="s">
        <v>2988</v>
      </c>
      <c r="B311" s="7">
        <v>1</v>
      </c>
      <c r="C311" s="7">
        <v>7</v>
      </c>
      <c r="D311" s="3">
        <v>19</v>
      </c>
      <c r="E311" s="3">
        <v>4</v>
      </c>
      <c r="F311" s="3">
        <v>8</v>
      </c>
    </row>
    <row r="312" spans="1:6" x14ac:dyDescent="0.3">
      <c r="A312" t="s">
        <v>2869</v>
      </c>
      <c r="B312" s="7">
        <v>1</v>
      </c>
      <c r="C312" s="7">
        <v>11</v>
      </c>
      <c r="D312" s="3">
        <v>20</v>
      </c>
      <c r="E312" s="3">
        <v>4</v>
      </c>
      <c r="F312" s="3">
        <v>3</v>
      </c>
    </row>
    <row r="313" spans="1:6" x14ac:dyDescent="0.3">
      <c r="A313" t="s">
        <v>1616</v>
      </c>
      <c r="B313" s="7">
        <v>1</v>
      </c>
      <c r="C313" s="7">
        <v>11</v>
      </c>
      <c r="D313" s="3">
        <v>20</v>
      </c>
      <c r="E313" s="3">
        <v>15</v>
      </c>
      <c r="F313" s="3">
        <v>7</v>
      </c>
    </row>
    <row r="314" spans="1:6" x14ac:dyDescent="0.3">
      <c r="A314" t="s">
        <v>2539</v>
      </c>
      <c r="B314" s="7">
        <v>1</v>
      </c>
      <c r="C314" s="7">
        <v>16</v>
      </c>
      <c r="D314" s="3">
        <v>21</v>
      </c>
      <c r="E314" s="3">
        <v>8</v>
      </c>
      <c r="F314" s="3">
        <v>5</v>
      </c>
    </row>
    <row r="315" spans="1:6" x14ac:dyDescent="0.3">
      <c r="A315" s="6" t="s">
        <v>162</v>
      </c>
      <c r="B315" s="7">
        <v>1</v>
      </c>
      <c r="C315" s="7">
        <v>17</v>
      </c>
      <c r="D315" s="3">
        <v>21</v>
      </c>
      <c r="E315" s="11">
        <v>2</v>
      </c>
      <c r="F315" s="11">
        <v>3</v>
      </c>
    </row>
    <row r="316" spans="1:6" x14ac:dyDescent="0.3">
      <c r="A316" t="s">
        <v>2358</v>
      </c>
      <c r="B316" s="7">
        <v>1</v>
      </c>
      <c r="C316" s="7">
        <v>3</v>
      </c>
      <c r="D316" s="3">
        <v>18</v>
      </c>
      <c r="E316" s="3">
        <v>3</v>
      </c>
      <c r="F316" s="3">
        <v>5</v>
      </c>
    </row>
    <row r="317" spans="1:6" x14ac:dyDescent="0.3">
      <c r="A317" t="s">
        <v>2152</v>
      </c>
      <c r="B317" s="7">
        <v>1</v>
      </c>
      <c r="C317" s="7">
        <v>5</v>
      </c>
      <c r="D317" s="3">
        <v>19</v>
      </c>
      <c r="E317" s="3">
        <v>1</v>
      </c>
      <c r="F317" s="3">
        <v>7</v>
      </c>
    </row>
    <row r="318" spans="1:6" x14ac:dyDescent="0.3">
      <c r="A318" s="6" t="s">
        <v>655</v>
      </c>
      <c r="B318" s="7">
        <v>1</v>
      </c>
      <c r="C318" s="7">
        <v>16</v>
      </c>
      <c r="D318" s="3">
        <v>21</v>
      </c>
      <c r="E318" s="11">
        <v>4</v>
      </c>
      <c r="F318" s="11">
        <v>3</v>
      </c>
    </row>
    <row r="319" spans="1:6" x14ac:dyDescent="0.3">
      <c r="A319" t="s">
        <v>2722</v>
      </c>
      <c r="B319" s="7">
        <v>1</v>
      </c>
      <c r="C319" s="7">
        <v>13</v>
      </c>
      <c r="D319" s="3">
        <v>21</v>
      </c>
      <c r="E319" s="3">
        <v>4</v>
      </c>
      <c r="F319" s="3">
        <v>3</v>
      </c>
    </row>
    <row r="320" spans="1:6" x14ac:dyDescent="0.3">
      <c r="A320" s="6" t="s">
        <v>987</v>
      </c>
      <c r="B320" s="7">
        <v>1</v>
      </c>
      <c r="C320" s="7">
        <v>14</v>
      </c>
      <c r="D320" s="3">
        <v>21</v>
      </c>
      <c r="E320" s="11">
        <v>14</v>
      </c>
      <c r="F320" s="11">
        <v>3</v>
      </c>
    </row>
    <row r="321" spans="1:6" x14ac:dyDescent="0.3">
      <c r="A321" s="6" t="s">
        <v>382</v>
      </c>
      <c r="B321" s="7">
        <v>1</v>
      </c>
      <c r="C321" s="7">
        <v>16</v>
      </c>
      <c r="D321" s="3">
        <v>21</v>
      </c>
      <c r="E321" s="11">
        <v>4</v>
      </c>
      <c r="F321" s="11">
        <v>1</v>
      </c>
    </row>
    <row r="322" spans="1:6" x14ac:dyDescent="0.3">
      <c r="A322" t="s">
        <v>1548</v>
      </c>
      <c r="B322" s="7">
        <v>1</v>
      </c>
      <c r="C322" s="7">
        <v>12</v>
      </c>
      <c r="D322" s="3">
        <v>20</v>
      </c>
      <c r="E322" s="3">
        <v>4</v>
      </c>
      <c r="F322" s="3">
        <v>3</v>
      </c>
    </row>
    <row r="323" spans="1:6" x14ac:dyDescent="0.3">
      <c r="A323" s="6" t="s">
        <v>701</v>
      </c>
      <c r="B323" s="7">
        <v>1</v>
      </c>
      <c r="C323" s="7">
        <v>16</v>
      </c>
      <c r="D323" s="3">
        <v>21</v>
      </c>
      <c r="E323" s="11">
        <v>4</v>
      </c>
      <c r="F323" s="7">
        <v>9</v>
      </c>
    </row>
    <row r="324" spans="1:6" x14ac:dyDescent="0.3">
      <c r="A324" t="s">
        <v>2212</v>
      </c>
      <c r="B324" s="7">
        <v>1</v>
      </c>
      <c r="C324" s="7">
        <v>4</v>
      </c>
      <c r="D324" s="3">
        <v>18</v>
      </c>
      <c r="E324" s="3">
        <v>1</v>
      </c>
      <c r="F324" s="3">
        <v>3</v>
      </c>
    </row>
    <row r="325" spans="1:6" x14ac:dyDescent="0.3">
      <c r="A325" t="s">
        <v>1658</v>
      </c>
      <c r="B325" s="7">
        <v>1</v>
      </c>
      <c r="C325" s="7">
        <v>11</v>
      </c>
      <c r="D325" s="3">
        <v>20</v>
      </c>
      <c r="E325" s="3">
        <v>5</v>
      </c>
      <c r="F325" s="3">
        <v>8</v>
      </c>
    </row>
    <row r="326" spans="1:6" x14ac:dyDescent="0.3">
      <c r="A326" s="6" t="s">
        <v>606</v>
      </c>
      <c r="B326" s="7">
        <v>1</v>
      </c>
      <c r="C326" s="7">
        <v>16</v>
      </c>
      <c r="D326" s="3">
        <v>21</v>
      </c>
      <c r="E326" s="11">
        <v>4</v>
      </c>
      <c r="F326" s="11">
        <v>3</v>
      </c>
    </row>
    <row r="327" spans="1:6" x14ac:dyDescent="0.3">
      <c r="A327" t="s">
        <v>1383</v>
      </c>
      <c r="B327" s="7">
        <v>1</v>
      </c>
      <c r="C327" s="7">
        <v>13</v>
      </c>
      <c r="D327" s="3">
        <v>21</v>
      </c>
      <c r="E327" s="3">
        <v>12</v>
      </c>
      <c r="F327" s="3">
        <v>3</v>
      </c>
    </row>
    <row r="328" spans="1:6" x14ac:dyDescent="0.3">
      <c r="A328" t="s">
        <v>2437</v>
      </c>
      <c r="B328" s="7">
        <v>1</v>
      </c>
      <c r="C328" s="7">
        <v>2</v>
      </c>
      <c r="D328" s="3">
        <v>18</v>
      </c>
      <c r="E328" s="3">
        <v>4</v>
      </c>
      <c r="F328" s="3">
        <v>3</v>
      </c>
    </row>
    <row r="329" spans="1:6" x14ac:dyDescent="0.3">
      <c r="A329" s="6" t="s">
        <v>928</v>
      </c>
      <c r="B329" s="7">
        <v>1</v>
      </c>
      <c r="C329" s="7">
        <v>15</v>
      </c>
      <c r="D329" s="3">
        <v>21</v>
      </c>
      <c r="E329" s="11">
        <v>9</v>
      </c>
      <c r="F329" s="7">
        <v>8</v>
      </c>
    </row>
    <row r="330" spans="1:6" x14ac:dyDescent="0.3">
      <c r="A330" t="s">
        <v>1512</v>
      </c>
      <c r="B330" s="7">
        <v>1</v>
      </c>
      <c r="C330" s="7">
        <v>12</v>
      </c>
      <c r="D330" s="3">
        <v>20</v>
      </c>
      <c r="E330" s="11">
        <v>9</v>
      </c>
      <c r="F330" s="11">
        <v>8</v>
      </c>
    </row>
    <row r="331" spans="1:6" x14ac:dyDescent="0.3">
      <c r="A331" t="s">
        <v>3033</v>
      </c>
      <c r="B331" s="7">
        <v>1</v>
      </c>
      <c r="C331" s="7">
        <v>4</v>
      </c>
      <c r="D331" s="3">
        <v>18</v>
      </c>
      <c r="E331" s="3">
        <v>3</v>
      </c>
      <c r="F331" s="3">
        <v>3</v>
      </c>
    </row>
    <row r="332" spans="1:6" x14ac:dyDescent="0.3">
      <c r="A332" t="s">
        <v>2472</v>
      </c>
      <c r="B332" s="7">
        <v>1</v>
      </c>
      <c r="C332" s="7">
        <v>16</v>
      </c>
      <c r="D332" s="3">
        <v>21</v>
      </c>
      <c r="E332" s="3">
        <v>12</v>
      </c>
      <c r="F332" s="3">
        <v>8</v>
      </c>
    </row>
    <row r="333" spans="1:6" x14ac:dyDescent="0.3">
      <c r="A333" t="s">
        <v>2929</v>
      </c>
      <c r="B333" s="7">
        <v>1</v>
      </c>
      <c r="C333" s="7">
        <v>10</v>
      </c>
      <c r="D333" s="3">
        <v>20</v>
      </c>
      <c r="E333" s="3">
        <v>5</v>
      </c>
      <c r="F333" s="3">
        <v>5</v>
      </c>
    </row>
    <row r="334" spans="1:6" x14ac:dyDescent="0.3">
      <c r="A334" t="s">
        <v>1827</v>
      </c>
      <c r="B334" s="7">
        <v>1</v>
      </c>
      <c r="C334" s="7">
        <v>8</v>
      </c>
      <c r="D334" s="3">
        <v>19</v>
      </c>
      <c r="E334" s="3">
        <v>4</v>
      </c>
      <c r="F334" s="3">
        <v>5</v>
      </c>
    </row>
    <row r="335" spans="1:6" x14ac:dyDescent="0.3">
      <c r="A335" t="s">
        <v>2597</v>
      </c>
      <c r="B335" s="7">
        <v>1</v>
      </c>
      <c r="C335" s="7">
        <v>15</v>
      </c>
      <c r="D335" s="3">
        <v>21</v>
      </c>
      <c r="E335" s="3">
        <v>4</v>
      </c>
      <c r="F335" s="3">
        <v>3</v>
      </c>
    </row>
    <row r="336" spans="1:6" x14ac:dyDescent="0.3">
      <c r="A336" s="6" t="s">
        <v>519</v>
      </c>
      <c r="B336" s="7">
        <v>1</v>
      </c>
      <c r="C336" s="7">
        <v>16</v>
      </c>
      <c r="D336" s="3">
        <v>21</v>
      </c>
      <c r="E336" s="11">
        <v>2</v>
      </c>
      <c r="F336" s="11">
        <v>3</v>
      </c>
    </row>
    <row r="337" spans="1:6" x14ac:dyDescent="0.3">
      <c r="A337" t="s">
        <v>3037</v>
      </c>
      <c r="B337" s="7">
        <v>1</v>
      </c>
      <c r="C337" s="7">
        <v>5</v>
      </c>
      <c r="D337" s="3">
        <v>19</v>
      </c>
      <c r="E337" s="3">
        <v>4</v>
      </c>
      <c r="F337" s="3">
        <v>3</v>
      </c>
    </row>
    <row r="338" spans="1:6" x14ac:dyDescent="0.3">
      <c r="A338" t="s">
        <v>1741</v>
      </c>
      <c r="B338" s="7">
        <v>1</v>
      </c>
      <c r="C338" s="7">
        <v>10</v>
      </c>
      <c r="D338" s="3">
        <v>20</v>
      </c>
      <c r="E338" s="11">
        <v>1</v>
      </c>
      <c r="F338" s="7">
        <v>3</v>
      </c>
    </row>
    <row r="339" spans="1:6" x14ac:dyDescent="0.3">
      <c r="A339" t="s">
        <v>2258</v>
      </c>
      <c r="B339" s="7">
        <v>1</v>
      </c>
      <c r="C339" s="7">
        <v>4</v>
      </c>
      <c r="D339" s="3">
        <v>18</v>
      </c>
      <c r="E339" s="3">
        <v>12</v>
      </c>
      <c r="F339" s="3">
        <v>3</v>
      </c>
    </row>
    <row r="340" spans="1:6" x14ac:dyDescent="0.3">
      <c r="A340" t="s">
        <v>1204</v>
      </c>
      <c r="B340" s="7">
        <v>1</v>
      </c>
      <c r="C340" s="7">
        <v>13</v>
      </c>
      <c r="D340" s="3">
        <v>21</v>
      </c>
      <c r="E340" s="3">
        <v>12</v>
      </c>
      <c r="F340" s="3">
        <v>3</v>
      </c>
    </row>
    <row r="341" spans="1:6" x14ac:dyDescent="0.3">
      <c r="A341" s="6" t="s">
        <v>634</v>
      </c>
      <c r="B341" s="7">
        <v>1</v>
      </c>
      <c r="C341" s="7">
        <v>16</v>
      </c>
      <c r="D341" s="3">
        <v>21</v>
      </c>
      <c r="E341" s="11">
        <v>4</v>
      </c>
      <c r="F341" s="11">
        <v>3</v>
      </c>
    </row>
    <row r="342" spans="1:6" x14ac:dyDescent="0.3">
      <c r="A342" s="6" t="s">
        <v>288</v>
      </c>
      <c r="B342" s="7">
        <v>1</v>
      </c>
      <c r="C342" s="7">
        <v>16</v>
      </c>
      <c r="D342" s="3">
        <v>21</v>
      </c>
      <c r="E342" s="11">
        <v>4</v>
      </c>
      <c r="F342" s="11">
        <v>1</v>
      </c>
    </row>
    <row r="343" spans="1:6" x14ac:dyDescent="0.3">
      <c r="A343" t="s">
        <v>2203</v>
      </c>
      <c r="B343" s="7">
        <v>1</v>
      </c>
      <c r="C343" s="7">
        <v>4</v>
      </c>
      <c r="D343" s="3">
        <v>18</v>
      </c>
      <c r="E343" s="3">
        <v>1</v>
      </c>
      <c r="F343" s="3">
        <v>9</v>
      </c>
    </row>
    <row r="344" spans="1:6" x14ac:dyDescent="0.3">
      <c r="A344" s="6" t="s">
        <v>575</v>
      </c>
      <c r="B344" s="7">
        <v>1</v>
      </c>
      <c r="C344" s="7">
        <v>16</v>
      </c>
      <c r="D344" s="3">
        <v>21</v>
      </c>
      <c r="E344" s="11">
        <v>4</v>
      </c>
      <c r="F344" s="11">
        <v>3</v>
      </c>
    </row>
    <row r="345" spans="1:6" x14ac:dyDescent="0.3">
      <c r="A345" t="s">
        <v>2613</v>
      </c>
      <c r="B345" s="7">
        <v>1</v>
      </c>
      <c r="C345" s="7">
        <v>14</v>
      </c>
      <c r="D345" s="3">
        <v>21</v>
      </c>
      <c r="E345" s="3">
        <v>5</v>
      </c>
      <c r="F345" s="3">
        <v>8</v>
      </c>
    </row>
    <row r="346" spans="1:6" x14ac:dyDescent="0.3">
      <c r="A346" s="6" t="s">
        <v>337</v>
      </c>
      <c r="B346" s="7">
        <v>1</v>
      </c>
      <c r="C346" s="7">
        <v>16</v>
      </c>
      <c r="D346" s="3">
        <v>21</v>
      </c>
      <c r="E346" s="11">
        <v>4</v>
      </c>
      <c r="F346" s="11">
        <v>3</v>
      </c>
    </row>
    <row r="347" spans="1:6" x14ac:dyDescent="0.3">
      <c r="A347" s="6" t="s">
        <v>362</v>
      </c>
      <c r="B347" s="7">
        <v>1</v>
      </c>
      <c r="C347" s="7">
        <v>16</v>
      </c>
      <c r="D347" s="3">
        <v>21</v>
      </c>
      <c r="E347" s="11">
        <v>4</v>
      </c>
      <c r="F347" s="11">
        <v>3</v>
      </c>
    </row>
    <row r="348" spans="1:6" x14ac:dyDescent="0.3">
      <c r="A348" t="s">
        <v>1930</v>
      </c>
      <c r="B348" s="7">
        <v>1</v>
      </c>
      <c r="C348" s="7">
        <v>8</v>
      </c>
      <c r="D348" s="3">
        <v>19</v>
      </c>
      <c r="E348" s="3">
        <v>1</v>
      </c>
      <c r="F348" s="3">
        <v>3</v>
      </c>
    </row>
    <row r="349" spans="1:6" x14ac:dyDescent="0.3">
      <c r="A349" s="6" t="s">
        <v>702</v>
      </c>
      <c r="B349" s="7">
        <v>1</v>
      </c>
      <c r="C349" s="7">
        <v>16</v>
      </c>
      <c r="D349" s="3">
        <v>21</v>
      </c>
      <c r="E349" s="11">
        <v>4</v>
      </c>
      <c r="F349" s="7">
        <v>3</v>
      </c>
    </row>
    <row r="350" spans="1:6" x14ac:dyDescent="0.3">
      <c r="A350" s="6" t="s">
        <v>451</v>
      </c>
      <c r="B350" s="7">
        <v>1</v>
      </c>
      <c r="C350" s="7">
        <v>16</v>
      </c>
      <c r="D350" s="3">
        <v>21</v>
      </c>
      <c r="E350" s="11">
        <v>4</v>
      </c>
      <c r="F350" s="11">
        <v>3</v>
      </c>
    </row>
    <row r="351" spans="1:6" x14ac:dyDescent="0.3">
      <c r="A351" t="s">
        <v>2515</v>
      </c>
      <c r="B351" s="7">
        <v>1</v>
      </c>
      <c r="C351" s="7">
        <v>16</v>
      </c>
      <c r="D351" s="3">
        <v>21</v>
      </c>
      <c r="E351" s="3">
        <v>9</v>
      </c>
      <c r="F351" s="3">
        <v>8</v>
      </c>
    </row>
    <row r="352" spans="1:6" x14ac:dyDescent="0.3">
      <c r="A352" t="s">
        <v>2534</v>
      </c>
      <c r="B352" s="7">
        <v>1</v>
      </c>
      <c r="C352" s="7">
        <v>16</v>
      </c>
      <c r="D352" s="3">
        <v>21</v>
      </c>
      <c r="E352" s="3">
        <v>4</v>
      </c>
      <c r="F352" s="3">
        <v>3</v>
      </c>
    </row>
    <row r="353" spans="1:6" x14ac:dyDescent="0.3">
      <c r="A353" s="6" t="s">
        <v>1172</v>
      </c>
      <c r="B353" s="7">
        <v>1</v>
      </c>
      <c r="C353" s="7">
        <v>13</v>
      </c>
      <c r="D353" s="3">
        <v>21</v>
      </c>
      <c r="E353" s="3">
        <v>5</v>
      </c>
      <c r="F353" s="3">
        <v>3</v>
      </c>
    </row>
    <row r="354" spans="1:6" x14ac:dyDescent="0.3">
      <c r="A354" t="s">
        <v>2855</v>
      </c>
      <c r="B354" s="7">
        <v>1</v>
      </c>
      <c r="C354" s="7">
        <v>11</v>
      </c>
      <c r="D354" s="3">
        <v>20</v>
      </c>
      <c r="E354" s="3">
        <v>2</v>
      </c>
      <c r="F354" s="3">
        <v>3</v>
      </c>
    </row>
    <row r="355" spans="1:6" x14ac:dyDescent="0.3">
      <c r="A355" t="s">
        <v>2981</v>
      </c>
      <c r="B355" s="7">
        <v>1</v>
      </c>
      <c r="C355" s="7">
        <v>7</v>
      </c>
      <c r="D355" s="3">
        <v>19</v>
      </c>
      <c r="E355" s="3">
        <v>4</v>
      </c>
      <c r="F355" s="3">
        <v>3</v>
      </c>
    </row>
    <row r="356" spans="1:6" x14ac:dyDescent="0.3">
      <c r="A356" s="6" t="s">
        <v>1078</v>
      </c>
      <c r="B356" s="7">
        <v>1</v>
      </c>
      <c r="C356" s="7">
        <v>14</v>
      </c>
      <c r="D356" s="3">
        <v>21</v>
      </c>
      <c r="E356" s="11">
        <v>8</v>
      </c>
      <c r="F356" s="11">
        <v>6</v>
      </c>
    </row>
    <row r="357" spans="1:6" x14ac:dyDescent="0.3">
      <c r="A357" t="s">
        <v>1776</v>
      </c>
      <c r="B357" s="7">
        <v>1</v>
      </c>
      <c r="C357" s="7">
        <v>9</v>
      </c>
      <c r="D357" s="3">
        <v>20</v>
      </c>
      <c r="E357" s="3">
        <v>4</v>
      </c>
      <c r="F357" s="3">
        <v>1</v>
      </c>
    </row>
    <row r="358" spans="1:6" x14ac:dyDescent="0.3">
      <c r="A358" t="s">
        <v>2801</v>
      </c>
      <c r="B358" s="7">
        <v>1</v>
      </c>
      <c r="C358" s="7">
        <v>12</v>
      </c>
      <c r="D358" s="3">
        <v>20</v>
      </c>
      <c r="E358" s="3">
        <v>14</v>
      </c>
      <c r="F358" s="3">
        <v>9</v>
      </c>
    </row>
    <row r="359" spans="1:6" x14ac:dyDescent="0.3">
      <c r="A359" s="6" t="s">
        <v>419</v>
      </c>
      <c r="B359" s="7">
        <v>1</v>
      </c>
      <c r="C359" s="7">
        <v>16</v>
      </c>
      <c r="D359" s="3">
        <v>21</v>
      </c>
      <c r="E359" s="11">
        <v>4</v>
      </c>
      <c r="F359" s="11">
        <v>3</v>
      </c>
    </row>
    <row r="360" spans="1:6" x14ac:dyDescent="0.3">
      <c r="A360" t="s">
        <v>1431</v>
      </c>
      <c r="B360" s="7">
        <v>1</v>
      </c>
      <c r="C360" s="7">
        <v>13</v>
      </c>
      <c r="D360" s="3">
        <v>21</v>
      </c>
      <c r="E360" s="11">
        <v>1</v>
      </c>
      <c r="F360" s="7">
        <v>8</v>
      </c>
    </row>
    <row r="361" spans="1:6" x14ac:dyDescent="0.3">
      <c r="A361" t="s">
        <v>2252</v>
      </c>
      <c r="B361" s="7">
        <v>1</v>
      </c>
      <c r="C361" s="7">
        <v>4</v>
      </c>
      <c r="D361" s="3">
        <v>18</v>
      </c>
      <c r="E361" s="3">
        <v>4</v>
      </c>
      <c r="F361" s="3">
        <v>3</v>
      </c>
    </row>
    <row r="362" spans="1:6" x14ac:dyDescent="0.3">
      <c r="A362" t="s">
        <v>1668</v>
      </c>
      <c r="B362" s="7">
        <v>1</v>
      </c>
      <c r="C362" s="7">
        <v>11</v>
      </c>
      <c r="D362" s="3">
        <v>20</v>
      </c>
      <c r="E362" s="3">
        <v>1</v>
      </c>
      <c r="F362" s="3">
        <v>3</v>
      </c>
    </row>
    <row r="363" spans="1:6" x14ac:dyDescent="0.3">
      <c r="A363" t="s">
        <v>2062</v>
      </c>
      <c r="B363" s="7">
        <v>1</v>
      </c>
      <c r="C363" s="7">
        <v>6</v>
      </c>
      <c r="D363" s="3">
        <v>19</v>
      </c>
      <c r="E363" s="3">
        <v>4</v>
      </c>
      <c r="F363" s="3">
        <v>3</v>
      </c>
    </row>
    <row r="364" spans="1:6" x14ac:dyDescent="0.3">
      <c r="A364" t="s">
        <v>2521</v>
      </c>
      <c r="B364" s="7">
        <v>1</v>
      </c>
      <c r="C364" s="7">
        <v>16</v>
      </c>
      <c r="D364" s="3">
        <v>21</v>
      </c>
      <c r="E364" s="3">
        <v>4</v>
      </c>
      <c r="F364" s="3">
        <v>1</v>
      </c>
    </row>
    <row r="365" spans="1:6" x14ac:dyDescent="0.3">
      <c r="A365" t="s">
        <v>1199</v>
      </c>
      <c r="B365" s="7">
        <v>1</v>
      </c>
      <c r="C365" s="7">
        <v>13</v>
      </c>
      <c r="D365" s="3">
        <v>21</v>
      </c>
      <c r="E365" s="3">
        <v>4</v>
      </c>
      <c r="F365" s="3">
        <v>1</v>
      </c>
    </row>
    <row r="366" spans="1:6" x14ac:dyDescent="0.3">
      <c r="A366" t="s">
        <v>2640</v>
      </c>
      <c r="B366" s="7">
        <v>1</v>
      </c>
      <c r="C366" s="7">
        <v>14</v>
      </c>
      <c r="D366" s="3">
        <v>21</v>
      </c>
      <c r="E366" s="3">
        <v>1</v>
      </c>
      <c r="F366" s="3">
        <v>3</v>
      </c>
    </row>
    <row r="367" spans="1:6" x14ac:dyDescent="0.3">
      <c r="A367" t="s">
        <v>2749</v>
      </c>
      <c r="B367" s="7">
        <v>1</v>
      </c>
      <c r="C367" s="7">
        <v>13</v>
      </c>
      <c r="D367" s="3">
        <v>21</v>
      </c>
      <c r="E367" s="3">
        <v>3</v>
      </c>
      <c r="F367" s="3">
        <v>3</v>
      </c>
    </row>
    <row r="368" spans="1:6" x14ac:dyDescent="0.3">
      <c r="A368" t="s">
        <v>2543</v>
      </c>
      <c r="B368" s="7">
        <v>1</v>
      </c>
      <c r="C368" s="7">
        <v>16</v>
      </c>
      <c r="D368" s="3">
        <v>21</v>
      </c>
      <c r="E368" s="3">
        <v>15</v>
      </c>
      <c r="F368" s="3">
        <v>3</v>
      </c>
    </row>
    <row r="369" spans="1:6" x14ac:dyDescent="0.3">
      <c r="A369" s="6" t="s">
        <v>619</v>
      </c>
      <c r="B369" s="7">
        <v>1</v>
      </c>
      <c r="C369" s="7">
        <v>16</v>
      </c>
      <c r="D369" s="3">
        <v>21</v>
      </c>
      <c r="E369" s="11">
        <v>4</v>
      </c>
      <c r="F369" s="11">
        <v>3</v>
      </c>
    </row>
    <row r="370" spans="1:6" x14ac:dyDescent="0.3">
      <c r="A370" t="s">
        <v>2770</v>
      </c>
      <c r="B370" s="7">
        <v>1</v>
      </c>
      <c r="C370" s="7">
        <v>12</v>
      </c>
      <c r="D370" s="3">
        <v>20</v>
      </c>
      <c r="E370" s="3">
        <v>12</v>
      </c>
      <c r="F370" s="3">
        <v>3</v>
      </c>
    </row>
    <row r="371" spans="1:6" x14ac:dyDescent="0.3">
      <c r="A371" s="6" t="s">
        <v>677</v>
      </c>
      <c r="B371" s="7">
        <v>1</v>
      </c>
      <c r="C371" s="7">
        <v>16</v>
      </c>
      <c r="D371" s="3">
        <v>21</v>
      </c>
      <c r="E371" s="11">
        <v>1</v>
      </c>
      <c r="F371" s="7">
        <v>8</v>
      </c>
    </row>
    <row r="372" spans="1:6" x14ac:dyDescent="0.3">
      <c r="A372" s="6" t="s">
        <v>103</v>
      </c>
      <c r="B372" s="7">
        <v>1</v>
      </c>
      <c r="C372" s="7">
        <v>17</v>
      </c>
      <c r="D372" s="3">
        <v>21</v>
      </c>
      <c r="E372" s="11">
        <v>5</v>
      </c>
      <c r="F372" s="11">
        <v>6</v>
      </c>
    </row>
    <row r="373" spans="1:6" x14ac:dyDescent="0.3">
      <c r="A373" t="s">
        <v>2875</v>
      </c>
      <c r="B373" s="7">
        <v>1</v>
      </c>
      <c r="C373" s="7">
        <v>11</v>
      </c>
      <c r="D373" s="3">
        <v>20</v>
      </c>
      <c r="E373" s="3">
        <v>3</v>
      </c>
      <c r="F373" s="3">
        <v>5</v>
      </c>
    </row>
    <row r="374" spans="1:6" x14ac:dyDescent="0.3">
      <c r="A374" s="6" t="s">
        <v>822</v>
      </c>
      <c r="B374" s="7">
        <v>1</v>
      </c>
      <c r="C374" s="7">
        <v>15</v>
      </c>
      <c r="D374" s="3">
        <v>21</v>
      </c>
      <c r="E374" s="11">
        <v>1</v>
      </c>
      <c r="F374" s="7">
        <v>3</v>
      </c>
    </row>
    <row r="375" spans="1:6" x14ac:dyDescent="0.3">
      <c r="A375" t="s">
        <v>1838</v>
      </c>
      <c r="B375" s="7">
        <v>1</v>
      </c>
      <c r="C375" s="7">
        <v>9</v>
      </c>
      <c r="D375" s="3">
        <v>20</v>
      </c>
      <c r="E375" s="3">
        <v>2</v>
      </c>
      <c r="F375" s="3">
        <v>3</v>
      </c>
    </row>
    <row r="376" spans="1:6" x14ac:dyDescent="0.3">
      <c r="A376" t="s">
        <v>2607</v>
      </c>
      <c r="B376" s="7">
        <v>1</v>
      </c>
      <c r="C376" s="7">
        <v>15</v>
      </c>
      <c r="D376" s="3">
        <v>21</v>
      </c>
      <c r="E376" s="3">
        <v>2</v>
      </c>
      <c r="F376" s="3">
        <v>3</v>
      </c>
    </row>
    <row r="377" spans="1:6" x14ac:dyDescent="0.3">
      <c r="A377" t="s">
        <v>1359</v>
      </c>
      <c r="B377" s="7">
        <v>1</v>
      </c>
      <c r="C377" s="7">
        <v>13</v>
      </c>
      <c r="D377" s="3">
        <v>21</v>
      </c>
      <c r="E377" s="3">
        <v>15</v>
      </c>
      <c r="F377" s="3">
        <v>3</v>
      </c>
    </row>
    <row r="378" spans="1:6" x14ac:dyDescent="0.3">
      <c r="A378" t="s">
        <v>1423</v>
      </c>
      <c r="B378" s="7">
        <v>1</v>
      </c>
      <c r="C378" s="7">
        <v>12</v>
      </c>
      <c r="D378" s="3">
        <v>20</v>
      </c>
      <c r="E378" s="3">
        <v>15</v>
      </c>
      <c r="F378" s="3">
        <v>6</v>
      </c>
    </row>
    <row r="379" spans="1:6" x14ac:dyDescent="0.3">
      <c r="A379" s="6" t="s">
        <v>1228</v>
      </c>
      <c r="B379" s="7">
        <v>1</v>
      </c>
      <c r="C379" s="7">
        <v>13</v>
      </c>
      <c r="D379" s="3">
        <v>21</v>
      </c>
      <c r="E379" s="3">
        <v>1</v>
      </c>
      <c r="F379" s="3">
        <v>3</v>
      </c>
    </row>
    <row r="380" spans="1:6" x14ac:dyDescent="0.3">
      <c r="A380" t="s">
        <v>1347</v>
      </c>
      <c r="B380" s="7">
        <v>1</v>
      </c>
      <c r="C380" s="7">
        <v>13</v>
      </c>
      <c r="D380" s="3">
        <v>21</v>
      </c>
      <c r="E380" s="3">
        <v>9</v>
      </c>
      <c r="F380" s="3">
        <v>3</v>
      </c>
    </row>
    <row r="381" spans="1:6" x14ac:dyDescent="0.3">
      <c r="A381" s="6" t="s">
        <v>411</v>
      </c>
      <c r="B381" s="7">
        <v>1</v>
      </c>
      <c r="C381" s="7">
        <v>16</v>
      </c>
      <c r="D381" s="3">
        <v>21</v>
      </c>
      <c r="E381" s="11">
        <v>15</v>
      </c>
      <c r="F381" s="7">
        <v>3</v>
      </c>
    </row>
    <row r="382" spans="1:6" x14ac:dyDescent="0.3">
      <c r="A382" s="6" t="s">
        <v>401</v>
      </c>
      <c r="B382" s="7">
        <v>1</v>
      </c>
      <c r="C382" s="7">
        <v>16</v>
      </c>
      <c r="D382" s="3">
        <v>21</v>
      </c>
      <c r="E382" s="11">
        <v>4</v>
      </c>
      <c r="F382" s="11">
        <v>3</v>
      </c>
    </row>
    <row r="383" spans="1:6" x14ac:dyDescent="0.3">
      <c r="A383" s="6" t="s">
        <v>394</v>
      </c>
      <c r="B383" s="7">
        <v>1</v>
      </c>
      <c r="C383" s="7">
        <v>16</v>
      </c>
      <c r="D383" s="3">
        <v>21</v>
      </c>
      <c r="E383" s="11">
        <v>4</v>
      </c>
      <c r="F383" s="11">
        <v>3</v>
      </c>
    </row>
    <row r="384" spans="1:6" x14ac:dyDescent="0.3">
      <c r="A384" t="s">
        <v>2731</v>
      </c>
      <c r="B384" s="7">
        <v>1</v>
      </c>
      <c r="C384" s="7">
        <v>13</v>
      </c>
      <c r="D384" s="3">
        <v>21</v>
      </c>
      <c r="E384" s="3">
        <v>15</v>
      </c>
      <c r="F384" s="3">
        <v>3</v>
      </c>
    </row>
    <row r="385" spans="1:6" x14ac:dyDescent="0.3">
      <c r="A385" t="s">
        <v>2582</v>
      </c>
      <c r="B385" s="7">
        <v>1</v>
      </c>
      <c r="C385" s="7">
        <v>15</v>
      </c>
      <c r="D385" s="3">
        <v>21</v>
      </c>
      <c r="E385" s="3">
        <v>15</v>
      </c>
      <c r="F385" s="3">
        <v>3</v>
      </c>
    </row>
    <row r="386" spans="1:6" x14ac:dyDescent="0.3">
      <c r="A386" t="s">
        <v>2601</v>
      </c>
      <c r="B386" s="7">
        <v>1</v>
      </c>
      <c r="C386" s="7">
        <v>15</v>
      </c>
      <c r="D386" s="3">
        <v>21</v>
      </c>
      <c r="E386" s="3">
        <v>4</v>
      </c>
      <c r="F386" s="3">
        <v>3</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7B324-63E8-4AC9-B3B5-9E420B571C63}">
  <dimension ref="A1:AW404"/>
  <sheetViews>
    <sheetView topLeftCell="AM1" zoomScaleNormal="100" workbookViewId="0">
      <pane ySplit="1" topLeftCell="A2" activePane="bottomLeft" state="frozen"/>
      <selection pane="bottomLeft" activeCell="AV19" activeCellId="5" sqref="AV4 AV7 AV10 AV13 AV16 AV19"/>
    </sheetView>
  </sheetViews>
  <sheetFormatPr baseColWidth="10" defaultRowHeight="14.4" x14ac:dyDescent="0.3"/>
  <cols>
    <col min="1" max="1" width="20.33203125" bestFit="1" customWidth="1"/>
    <col min="2" max="2" width="11.5546875" style="3"/>
    <col min="3" max="3" width="16.88671875" style="3" bestFit="1" customWidth="1"/>
    <col min="4" max="4" width="21.77734375" style="3" bestFit="1" customWidth="1"/>
    <col min="5" max="5" width="13.109375" style="3" customWidth="1"/>
    <col min="6" max="6" width="11.5546875" style="3"/>
    <col min="7" max="7" width="19.44140625" style="3" bestFit="1" customWidth="1"/>
    <col min="8" max="8" width="15.109375" style="3" bestFit="1" customWidth="1"/>
    <col min="9" max="9" width="23.109375" style="3" bestFit="1" customWidth="1"/>
    <col min="11" max="11" width="53.44140625" bestFit="1" customWidth="1"/>
    <col min="13" max="13" width="13.5546875" bestFit="1" customWidth="1"/>
    <col min="14" max="14" width="16.88671875" bestFit="1" customWidth="1"/>
    <col min="15" max="15" width="53.44140625" bestFit="1" customWidth="1"/>
    <col min="17" max="17" width="13.5546875" bestFit="1" customWidth="1"/>
    <col min="18" max="18" width="53.44140625" bestFit="1" customWidth="1"/>
    <col min="19" max="19" width="18.6640625" bestFit="1" customWidth="1"/>
    <col min="21" max="21" width="13.5546875" bestFit="1" customWidth="1"/>
    <col min="22" max="22" width="18.6640625" bestFit="1" customWidth="1"/>
    <col min="25" max="25" width="13.5546875" bestFit="1" customWidth="1"/>
    <col min="26" max="26" width="18.6640625" bestFit="1" customWidth="1"/>
    <col min="27" max="27" width="19.44140625" bestFit="1" customWidth="1"/>
    <col min="29" max="29" width="13.5546875" bestFit="1" customWidth="1"/>
    <col min="30" max="30" width="53.44140625" bestFit="1" customWidth="1"/>
    <col min="33" max="33" width="13.5546875" bestFit="1" customWidth="1"/>
    <col min="34" max="34" width="53.44140625" bestFit="1" customWidth="1"/>
    <col min="35" max="35" width="19.44140625" bestFit="1" customWidth="1"/>
    <col min="37" max="37" width="13.5546875" bestFit="1" customWidth="1"/>
    <col min="39" max="39" width="33.88671875" bestFit="1" customWidth="1"/>
    <col min="41" max="41" width="13.5546875" bestFit="1" customWidth="1"/>
    <col min="42" max="42" width="19.44140625" bestFit="1" customWidth="1"/>
    <col min="43" max="43" width="33.88671875" bestFit="1" customWidth="1"/>
    <col min="45" max="45" width="13.5546875" bestFit="1" customWidth="1"/>
    <col min="46" max="46" width="33.88671875" bestFit="1" customWidth="1"/>
    <col min="47" max="47" width="23" bestFit="1" customWidth="1"/>
    <col min="49" max="49" width="13.5546875" bestFit="1" customWidth="1"/>
  </cols>
  <sheetData>
    <row r="1" spans="1:49" x14ac:dyDescent="0.3">
      <c r="A1" s="2" t="s">
        <v>55</v>
      </c>
      <c r="B1" s="1" t="s">
        <v>0</v>
      </c>
      <c r="C1" s="1" t="s">
        <v>3084</v>
      </c>
      <c r="D1" s="1" t="s">
        <v>3</v>
      </c>
      <c r="E1" s="9" t="s">
        <v>2</v>
      </c>
      <c r="F1" s="1" t="s">
        <v>4</v>
      </c>
      <c r="G1" s="1" t="s">
        <v>3085</v>
      </c>
      <c r="H1" s="1" t="s">
        <v>5</v>
      </c>
      <c r="I1" s="1" t="s">
        <v>8</v>
      </c>
      <c r="J1" s="22" t="s">
        <v>0</v>
      </c>
      <c r="K1" s="22" t="s">
        <v>3088</v>
      </c>
      <c r="L1" s="22" t="s">
        <v>3073</v>
      </c>
      <c r="M1" s="22" t="s">
        <v>3089</v>
      </c>
      <c r="N1" s="23" t="s">
        <v>3084</v>
      </c>
      <c r="O1" s="23" t="s">
        <v>3088</v>
      </c>
      <c r="P1" s="23" t="s">
        <v>3073</v>
      </c>
      <c r="Q1" s="23" t="s">
        <v>3089</v>
      </c>
      <c r="R1" s="22" t="s">
        <v>3088</v>
      </c>
      <c r="S1" s="22" t="s">
        <v>2</v>
      </c>
      <c r="T1" s="22" t="s">
        <v>3073</v>
      </c>
      <c r="U1" s="22" t="s">
        <v>3089</v>
      </c>
      <c r="V1" s="24" t="s">
        <v>2</v>
      </c>
      <c r="W1" s="23" t="s">
        <v>4</v>
      </c>
      <c r="X1" s="23" t="s">
        <v>3073</v>
      </c>
      <c r="Y1" s="23" t="s">
        <v>3089</v>
      </c>
      <c r="Z1" s="25" t="s">
        <v>2</v>
      </c>
      <c r="AA1" s="22" t="s">
        <v>3085</v>
      </c>
      <c r="AB1" s="22" t="s">
        <v>3073</v>
      </c>
      <c r="AC1" s="22" t="s">
        <v>3089</v>
      </c>
      <c r="AD1" s="23" t="s">
        <v>3088</v>
      </c>
      <c r="AE1" s="23" t="s">
        <v>4</v>
      </c>
      <c r="AF1" s="23" t="s">
        <v>3073</v>
      </c>
      <c r="AG1" s="23" t="s">
        <v>3089</v>
      </c>
      <c r="AH1" s="22" t="s">
        <v>3088</v>
      </c>
      <c r="AI1" s="22" t="s">
        <v>3085</v>
      </c>
      <c r="AJ1" s="22" t="s">
        <v>3073</v>
      </c>
      <c r="AK1" s="22" t="s">
        <v>3089</v>
      </c>
      <c r="AL1" s="23" t="s">
        <v>4</v>
      </c>
      <c r="AM1" s="23" t="s">
        <v>5</v>
      </c>
      <c r="AN1" s="23" t="s">
        <v>3073</v>
      </c>
      <c r="AO1" s="23" t="s">
        <v>3089</v>
      </c>
      <c r="AP1" s="22" t="s">
        <v>3085</v>
      </c>
      <c r="AQ1" s="22" t="s">
        <v>5</v>
      </c>
      <c r="AR1" s="22" t="s">
        <v>3073</v>
      </c>
      <c r="AS1" s="22" t="s">
        <v>3089</v>
      </c>
      <c r="AT1" s="23" t="s">
        <v>5</v>
      </c>
      <c r="AU1" s="23" t="s">
        <v>8</v>
      </c>
      <c r="AV1" s="23" t="s">
        <v>3073</v>
      </c>
      <c r="AW1" s="23" t="s">
        <v>3089</v>
      </c>
    </row>
    <row r="2" spans="1:49" x14ac:dyDescent="0.3">
      <c r="A2" t="s">
        <v>3010</v>
      </c>
      <c r="B2" s="7">
        <v>7</v>
      </c>
      <c r="C2" s="3">
        <v>19</v>
      </c>
      <c r="D2" s="3">
        <v>15</v>
      </c>
      <c r="E2" s="3">
        <v>1</v>
      </c>
      <c r="F2" s="3">
        <v>100</v>
      </c>
      <c r="G2" s="3">
        <v>100</v>
      </c>
      <c r="H2" s="3">
        <v>100</v>
      </c>
      <c r="I2" s="11">
        <v>2</v>
      </c>
      <c r="J2">
        <v>2009</v>
      </c>
      <c r="K2" t="s">
        <v>11</v>
      </c>
      <c r="L2">
        <f>COUNTIFS($B$2:$B$386,1,$D$2:$D$386,1)</f>
        <v>2</v>
      </c>
      <c r="M2" s="34">
        <f>(L2/385)*100</f>
        <v>0.51948051948051943</v>
      </c>
      <c r="N2" t="s">
        <v>3080</v>
      </c>
      <c r="O2" t="s">
        <v>11</v>
      </c>
      <c r="P2">
        <f>COUNTIFS($C$2:$C$386,18,$D$2:$D$386,1)</f>
        <v>12</v>
      </c>
      <c r="Q2" s="34">
        <f>(P2/385)*100</f>
        <v>3.116883116883117</v>
      </c>
      <c r="R2" t="s">
        <v>11</v>
      </c>
      <c r="S2" t="s">
        <v>10</v>
      </c>
      <c r="T2">
        <f>COUNTIFS($D$2:$D$386,1,$E$2:$E$386,1)</f>
        <v>5</v>
      </c>
      <c r="U2" s="34">
        <f>(T2/385)*100</f>
        <v>1.2987012987012987</v>
      </c>
      <c r="V2" t="s">
        <v>10</v>
      </c>
      <c r="W2" s="4">
        <v>1</v>
      </c>
      <c r="X2">
        <f>COUNTIFS($E$2:$E$386,1,$F$2:$F$386,1)</f>
        <v>35</v>
      </c>
      <c r="Y2" s="34">
        <f>(X2/385)*100</f>
        <v>9.0909090909090917</v>
      </c>
      <c r="Z2" t="s">
        <v>10</v>
      </c>
      <c r="AA2" s="4">
        <v>1</v>
      </c>
      <c r="AB2">
        <f>COUNTIFS($E$2:$E$386,1,$G$2:$G$386,1)</f>
        <v>35</v>
      </c>
      <c r="AC2" s="34">
        <f>(AB2/385)*100</f>
        <v>9.0909090909090917</v>
      </c>
      <c r="AD2" t="s">
        <v>11</v>
      </c>
      <c r="AE2" s="4">
        <v>1</v>
      </c>
      <c r="AF2">
        <f>COUNTIFS($D$2:$D$386,1,$F$2:$F$386,1)</f>
        <v>34</v>
      </c>
      <c r="AG2" s="34">
        <f>(AF2/385)*100</f>
        <v>8.8311688311688314</v>
      </c>
      <c r="AH2" t="s">
        <v>11</v>
      </c>
      <c r="AI2" s="4">
        <v>1</v>
      </c>
      <c r="AJ2">
        <f>COUNTIFS($D$2:$D$386,1,$G$2:$G$386,1)</f>
        <v>34</v>
      </c>
      <c r="AK2" s="34">
        <f>(AJ2/385)*100</f>
        <v>8.8311688311688314</v>
      </c>
      <c r="AL2" s="4">
        <v>1</v>
      </c>
      <c r="AM2" t="s">
        <v>12</v>
      </c>
      <c r="AN2">
        <f>COUNTIFS($F$2:$F$386,1,$H$2:$H$386,1)</f>
        <v>64</v>
      </c>
      <c r="AO2" s="34">
        <f>(AN2/385)*100</f>
        <v>16.623376623376622</v>
      </c>
      <c r="AP2" s="4">
        <v>1</v>
      </c>
      <c r="AQ2" t="s">
        <v>12</v>
      </c>
      <c r="AR2">
        <f>COUNTIFS($G$2:$G$386,1,$H$2:$H$386,1)</f>
        <v>64</v>
      </c>
      <c r="AS2" s="34">
        <f>(AR2/385)*100</f>
        <v>16.623376623376622</v>
      </c>
      <c r="AT2" t="s">
        <v>12</v>
      </c>
      <c r="AU2" s="4" t="s">
        <v>15</v>
      </c>
      <c r="AV2">
        <f>COUNTIFS($H$2:$H$386,1,$I$2:$I$386,1)</f>
        <v>5</v>
      </c>
      <c r="AW2" s="34">
        <f>(AV2/385)*100</f>
        <v>1.2987012987012987</v>
      </c>
    </row>
    <row r="3" spans="1:49" x14ac:dyDescent="0.3">
      <c r="A3" s="6" t="s">
        <v>848</v>
      </c>
      <c r="B3" s="7">
        <v>15</v>
      </c>
      <c r="C3" s="3">
        <v>21</v>
      </c>
      <c r="D3" s="11">
        <v>4</v>
      </c>
      <c r="E3" s="11">
        <v>3</v>
      </c>
      <c r="F3" s="11">
        <v>1</v>
      </c>
      <c r="G3" s="11">
        <v>1</v>
      </c>
      <c r="H3" s="11">
        <v>2</v>
      </c>
      <c r="I3" s="11">
        <v>2</v>
      </c>
      <c r="K3" t="s">
        <v>18</v>
      </c>
      <c r="L3">
        <f>COUNTIFS($B$2:$B$386,1,$D$2:$D$386,2)</f>
        <v>0</v>
      </c>
      <c r="M3" s="34">
        <f t="shared" ref="M3:M67" si="0">(L3/385)*100</f>
        <v>0</v>
      </c>
      <c r="O3" t="s">
        <v>18</v>
      </c>
      <c r="P3">
        <f>COUNTIFS($C$2:$C$386,18,$D$2:$D$386,2)</f>
        <v>3</v>
      </c>
      <c r="Q3" s="34">
        <f t="shared" ref="Q3:Q65" si="1">(P3/385)*100</f>
        <v>0.77922077922077926</v>
      </c>
      <c r="S3" t="s">
        <v>17</v>
      </c>
      <c r="T3">
        <f>COUNTIFS($D$2:$D$386,1,$E$2:$E$386,2)</f>
        <v>0</v>
      </c>
      <c r="U3" s="34">
        <f t="shared" ref="U3:U66" si="2">(T3/385)*100</f>
        <v>0</v>
      </c>
      <c r="W3">
        <v>2</v>
      </c>
      <c r="X3">
        <f>COUNTIFS($E$2:$E$386,1,$F$2:$F$386,2)</f>
        <v>2</v>
      </c>
      <c r="Y3" s="34">
        <f t="shared" ref="Y3:Y67" si="3">(X3/385)*100</f>
        <v>0.51948051948051943</v>
      </c>
      <c r="AA3" s="4">
        <v>2</v>
      </c>
      <c r="AB3">
        <f>COUNTIFS($E$2:$E$386,1,$G$2:$G$386,2)</f>
        <v>2</v>
      </c>
      <c r="AC3" s="34">
        <f t="shared" ref="AC3:AC64" si="4">(AB3/385)*100</f>
        <v>0.51948051948051943</v>
      </c>
      <c r="AE3">
        <v>2</v>
      </c>
      <c r="AF3">
        <f>COUNTIFS($D$2:$D$386,1,$F$2:$F$386,2)</f>
        <v>7</v>
      </c>
      <c r="AG3" s="34">
        <f t="shared" ref="AG3:AG67" si="5">(AF3/385)*100</f>
        <v>1.8181818181818181</v>
      </c>
      <c r="AI3" s="4">
        <v>2</v>
      </c>
      <c r="AJ3">
        <f>COUNTIFS($D$2:$D$386,1,$G$2:$G$386,2)</f>
        <v>7</v>
      </c>
      <c r="AK3" s="34">
        <f t="shared" ref="AK3:AK66" si="6">(AJ3/385)*100</f>
        <v>1.8181818181818181</v>
      </c>
      <c r="AM3" t="s">
        <v>19</v>
      </c>
      <c r="AN3">
        <f>COUNTIFS($F$2:$F$386,1,$H$2:$H$386,2)</f>
        <v>159</v>
      </c>
      <c r="AO3" s="34">
        <f t="shared" ref="AO3:AO66" si="7">(AN3/385)*100</f>
        <v>41.298701298701303</v>
      </c>
      <c r="AQ3" t="s">
        <v>19</v>
      </c>
      <c r="AR3">
        <f>COUNTIFS($G$2:$G$386,1,$H$2:$H$386,2)</f>
        <v>159</v>
      </c>
      <c r="AS3" s="34">
        <f t="shared" ref="AS3:AS43" si="8">(AR3/385)*100</f>
        <v>41.298701298701303</v>
      </c>
      <c r="AU3" s="6" t="s">
        <v>22</v>
      </c>
      <c r="AV3">
        <f>COUNTIFS($H$2:$H$386,1,$I$2:$I$386,2)</f>
        <v>59</v>
      </c>
      <c r="AW3" s="34">
        <f t="shared" ref="AW3:AW6" si="9">(AV3/385)*100</f>
        <v>15.324675324675324</v>
      </c>
    </row>
    <row r="4" spans="1:49" x14ac:dyDescent="0.3">
      <c r="A4" s="6" t="s">
        <v>388</v>
      </c>
      <c r="B4" s="7">
        <v>16</v>
      </c>
      <c r="C4" s="3">
        <v>21</v>
      </c>
      <c r="D4" s="11">
        <v>4</v>
      </c>
      <c r="E4" s="11">
        <v>8</v>
      </c>
      <c r="F4" s="11">
        <v>1</v>
      </c>
      <c r="G4" s="11">
        <v>1</v>
      </c>
      <c r="H4" s="11">
        <v>2</v>
      </c>
      <c r="I4" s="7">
        <v>2</v>
      </c>
      <c r="K4" t="s">
        <v>150</v>
      </c>
      <c r="L4">
        <f>COUNTIFS($B$2:$B$386,1,$D$2:$D$386,3)</f>
        <v>0</v>
      </c>
      <c r="M4" s="34">
        <f t="shared" si="0"/>
        <v>0</v>
      </c>
      <c r="O4" t="s">
        <v>150</v>
      </c>
      <c r="P4">
        <f>COUNTIFS($C$2:$C$386,18,$D$2:$D$386,3)</f>
        <v>8</v>
      </c>
      <c r="Q4" s="34">
        <f t="shared" si="1"/>
        <v>2.0779220779220777</v>
      </c>
      <c r="S4" t="s">
        <v>24</v>
      </c>
      <c r="T4">
        <f>COUNTIFS($D$2:$D$386,1,$E$2:$E$386,3)</f>
        <v>24</v>
      </c>
      <c r="U4" s="34">
        <f t="shared" si="2"/>
        <v>6.2337662337662341</v>
      </c>
      <c r="W4" s="4">
        <v>3</v>
      </c>
      <c r="X4">
        <f>COUNTIFS($E$2:$E$386,1,$F$2:$F$386,3)</f>
        <v>4</v>
      </c>
      <c r="Y4" s="34">
        <f t="shared" si="3"/>
        <v>1.0389610389610389</v>
      </c>
      <c r="AA4" s="4">
        <v>3</v>
      </c>
      <c r="AB4">
        <f>COUNTIFS($E$2:$E$386,1,$G$2:$G$386,3)</f>
        <v>4</v>
      </c>
      <c r="AC4" s="34">
        <f t="shared" si="4"/>
        <v>1.0389610389610389</v>
      </c>
      <c r="AE4" s="4">
        <v>3</v>
      </c>
      <c r="AF4">
        <f>COUNTIFS($D$2:$D$386,1,$F$2:$F$386,3)</f>
        <v>2</v>
      </c>
      <c r="AG4" s="34">
        <f t="shared" si="5"/>
        <v>0.51948051948051943</v>
      </c>
      <c r="AI4" s="4">
        <v>3</v>
      </c>
      <c r="AJ4">
        <f>COUNTIFS($D$2:$D$386,1,$G$2:$G$386,3)</f>
        <v>2</v>
      </c>
      <c r="AK4" s="34">
        <f t="shared" si="6"/>
        <v>0.51948051948051943</v>
      </c>
      <c r="AM4" t="s">
        <v>26</v>
      </c>
      <c r="AN4">
        <f>COUNTIFS($F$2:$F$386,1,$H$2:$H$386,3)</f>
        <v>1</v>
      </c>
      <c r="AO4" s="34">
        <f t="shared" si="7"/>
        <v>0.25974025974025972</v>
      </c>
      <c r="AQ4" t="s">
        <v>26</v>
      </c>
      <c r="AR4">
        <f>COUNTIFS($G$2:$G$386,1,$H$2:$H$386,3)</f>
        <v>1</v>
      </c>
      <c r="AS4" s="34">
        <f t="shared" si="8"/>
        <v>0.25974025974025972</v>
      </c>
      <c r="AV4" s="23">
        <f>SUM(AV2:AV3)</f>
        <v>64</v>
      </c>
      <c r="AW4" s="37">
        <f>(AV4/385)*100</f>
        <v>16.623376623376622</v>
      </c>
    </row>
    <row r="5" spans="1:49" x14ac:dyDescent="0.3">
      <c r="A5" s="6" t="s">
        <v>910</v>
      </c>
      <c r="B5" s="7">
        <v>15</v>
      </c>
      <c r="C5" s="3">
        <v>21</v>
      </c>
      <c r="D5" s="11">
        <v>1</v>
      </c>
      <c r="E5" s="7">
        <v>1</v>
      </c>
      <c r="F5" s="11">
        <v>1</v>
      </c>
      <c r="G5" s="3">
        <v>1</v>
      </c>
      <c r="H5" s="11">
        <v>2</v>
      </c>
      <c r="I5" s="7">
        <v>2</v>
      </c>
      <c r="K5" t="s">
        <v>25</v>
      </c>
      <c r="L5">
        <f>COUNTIFS($B$2:$B$386,1,$D$2:$D$386,4)</f>
        <v>1</v>
      </c>
      <c r="M5" s="34">
        <f t="shared" si="0"/>
        <v>0.25974025974025972</v>
      </c>
      <c r="O5" t="s">
        <v>25</v>
      </c>
      <c r="P5">
        <f>COUNTIFS($C$2:$C$386,18,$D$2:$D$386,4)</f>
        <v>14</v>
      </c>
      <c r="Q5" s="34">
        <f t="shared" si="1"/>
        <v>3.6363636363636362</v>
      </c>
      <c r="S5" t="s">
        <v>31</v>
      </c>
      <c r="T5">
        <f>COUNTIFS($D$2:$D$386,1,$E$2:$E$386,4)</f>
        <v>1</v>
      </c>
      <c r="U5" s="34">
        <f t="shared" si="2"/>
        <v>0.25974025974025972</v>
      </c>
      <c r="W5" s="4">
        <v>4</v>
      </c>
      <c r="X5">
        <f>COUNTIFS($E$2:$E$386,1,$F$2:$F$386,4)</f>
        <v>0</v>
      </c>
      <c r="Y5" s="34">
        <f t="shared" si="3"/>
        <v>0</v>
      </c>
      <c r="AA5" s="26" t="s">
        <v>3086</v>
      </c>
      <c r="AB5">
        <f>COUNTIFS($E$2:$E$386,1,$G$2:$G$386,15)</f>
        <v>1</v>
      </c>
      <c r="AC5" s="34">
        <f t="shared" si="4"/>
        <v>0.25974025974025972</v>
      </c>
      <c r="AE5" s="4">
        <v>4</v>
      </c>
      <c r="AF5">
        <f>COUNTIFS($D$2:$D$386,1,$F$2:$F$386,4)</f>
        <v>1</v>
      </c>
      <c r="AG5" s="34">
        <f t="shared" si="5"/>
        <v>0.25974025974025972</v>
      </c>
      <c r="AI5" s="26" t="s">
        <v>3086</v>
      </c>
      <c r="AJ5">
        <f>COUNTIFS($D$2:$D$386,1,$G$2:$G$386,15)</f>
        <v>1</v>
      </c>
      <c r="AK5" s="34">
        <f t="shared" si="6"/>
        <v>0.25974025974025972</v>
      </c>
      <c r="AM5" t="s">
        <v>33</v>
      </c>
      <c r="AN5">
        <f>COUNTIFS($F$2:$F$386,1,$H$2:$H$386,4)</f>
        <v>0</v>
      </c>
      <c r="AO5" s="34">
        <f t="shared" si="7"/>
        <v>0</v>
      </c>
      <c r="AQ5" t="s">
        <v>33</v>
      </c>
      <c r="AR5">
        <f>COUNTIFS($G$2:$G$386,1,$H$2:$H$386,4)</f>
        <v>0</v>
      </c>
      <c r="AS5" s="34">
        <f t="shared" si="8"/>
        <v>0</v>
      </c>
      <c r="AT5" t="s">
        <v>19</v>
      </c>
      <c r="AU5" s="4" t="s">
        <v>15</v>
      </c>
      <c r="AV5">
        <f>COUNTIFS($H$2:$H$386,2,$I$2:$I$386,1)</f>
        <v>4</v>
      </c>
      <c r="AW5" s="34">
        <f>(AV5/385)*100</f>
        <v>1.0389610389610389</v>
      </c>
    </row>
    <row r="6" spans="1:49" x14ac:dyDescent="0.3">
      <c r="A6" t="s">
        <v>1623</v>
      </c>
      <c r="B6" s="7">
        <v>11</v>
      </c>
      <c r="C6" s="3">
        <v>20</v>
      </c>
      <c r="D6" s="3">
        <v>4</v>
      </c>
      <c r="E6" s="3">
        <v>4</v>
      </c>
      <c r="F6" s="3">
        <v>1</v>
      </c>
      <c r="G6" s="3">
        <v>1</v>
      </c>
      <c r="H6" s="3">
        <v>2</v>
      </c>
      <c r="I6" s="7">
        <v>2</v>
      </c>
      <c r="K6" t="s">
        <v>32</v>
      </c>
      <c r="L6">
        <f>COUNTIFS($B$2:$B$386,1,$D$2:$D$386,5)</f>
        <v>0</v>
      </c>
      <c r="M6" s="34">
        <f t="shared" si="0"/>
        <v>0</v>
      </c>
      <c r="O6" t="s">
        <v>32</v>
      </c>
      <c r="P6">
        <f>COUNTIFS($C$2:$C$386,18,$D$2:$D$386,5)</f>
        <v>1</v>
      </c>
      <c r="Q6" s="34">
        <f t="shared" si="1"/>
        <v>0.25974025974025972</v>
      </c>
      <c r="S6" t="s">
        <v>37</v>
      </c>
      <c r="T6">
        <f>COUNTIFS($D$2:$D$386,1,$E$2:$E$386,5)</f>
        <v>4</v>
      </c>
      <c r="U6" s="34">
        <f t="shared" si="2"/>
        <v>1.0389610389610389</v>
      </c>
      <c r="W6" s="4">
        <v>5</v>
      </c>
      <c r="X6">
        <f>COUNTIFS($E$2:$E$386,1,$F$2:$F$386,5)</f>
        <v>0</v>
      </c>
      <c r="Y6" s="34">
        <f t="shared" si="3"/>
        <v>0</v>
      </c>
      <c r="AA6" s="27" t="s">
        <v>3087</v>
      </c>
      <c r="AB6">
        <f>COUNTIFS($E$2:$E$386,1,$G$2:$G$386,16)</f>
        <v>0</v>
      </c>
      <c r="AC6" s="34">
        <f t="shared" si="4"/>
        <v>0</v>
      </c>
      <c r="AE6" s="4">
        <v>5</v>
      </c>
      <c r="AF6">
        <f>COUNTIFS($D$2:$D$386,1,$F$2:$F$386,5)</f>
        <v>0</v>
      </c>
      <c r="AG6" s="34">
        <f t="shared" si="5"/>
        <v>0</v>
      </c>
      <c r="AI6" s="27" t="s">
        <v>3087</v>
      </c>
      <c r="AJ6">
        <f>COUNTIFS($D$2:$D$386,1,$G$2:$G$386,16)</f>
        <v>0</v>
      </c>
      <c r="AK6" s="34">
        <f t="shared" si="6"/>
        <v>0</v>
      </c>
      <c r="AM6" t="s">
        <v>39</v>
      </c>
      <c r="AN6">
        <f>COUNTIFS($F$2:$F$386,1,$H$2:$H$386,5)</f>
        <v>0</v>
      </c>
      <c r="AO6" s="34">
        <f t="shared" si="7"/>
        <v>0</v>
      </c>
      <c r="AQ6" t="s">
        <v>39</v>
      </c>
      <c r="AR6">
        <f>COUNTIFS($G$2:$G$386,1,$H$2:$H$386,5)</f>
        <v>0</v>
      </c>
      <c r="AS6" s="34">
        <f t="shared" si="8"/>
        <v>0</v>
      </c>
      <c r="AU6" s="6" t="s">
        <v>22</v>
      </c>
      <c r="AV6">
        <f>COUNTIFS($H$2:$H$386,2,$I$2:$I$386,2)</f>
        <v>157</v>
      </c>
      <c r="AW6" s="34">
        <f t="shared" si="9"/>
        <v>40.779220779220779</v>
      </c>
    </row>
    <row r="7" spans="1:49" x14ac:dyDescent="0.3">
      <c r="A7" t="s">
        <v>2075</v>
      </c>
      <c r="B7" s="7">
        <v>6</v>
      </c>
      <c r="C7" s="3">
        <v>19</v>
      </c>
      <c r="D7" s="3">
        <v>1</v>
      </c>
      <c r="E7" s="3">
        <v>3</v>
      </c>
      <c r="F7" s="3">
        <v>2</v>
      </c>
      <c r="G7" s="3">
        <v>2</v>
      </c>
      <c r="H7" s="3">
        <v>4</v>
      </c>
      <c r="I7" s="3">
        <v>1</v>
      </c>
      <c r="K7" t="s">
        <v>38</v>
      </c>
      <c r="L7">
        <f>COUNTIFS($B$2:$B$386,1,$D$2:$D$386,6)</f>
        <v>0</v>
      </c>
      <c r="M7" s="34">
        <f t="shared" si="0"/>
        <v>0</v>
      </c>
      <c r="O7" t="s">
        <v>38</v>
      </c>
      <c r="P7">
        <f>COUNTIFS($C$2:$C$386,18,$D$2:$D$386,6)</f>
        <v>0</v>
      </c>
      <c r="Q7" s="34">
        <f t="shared" si="1"/>
        <v>0</v>
      </c>
      <c r="S7" t="s">
        <v>42</v>
      </c>
      <c r="T7">
        <f>COUNTIFS($D$2:$D$386,1,$E$2:$E$386,6)</f>
        <v>4</v>
      </c>
      <c r="U7" s="34">
        <f t="shared" si="2"/>
        <v>1.0389610389610389</v>
      </c>
      <c r="W7" s="4">
        <v>6</v>
      </c>
      <c r="X7">
        <f>COUNTIFS($E$2:$E$386,1,$F$2:$F$386,6)</f>
        <v>1</v>
      </c>
      <c r="Y7" s="34">
        <f t="shared" si="3"/>
        <v>0.25974025974025972</v>
      </c>
      <c r="AA7" s="6" t="s">
        <v>3090</v>
      </c>
      <c r="AB7">
        <f>COUNTIFS($E$2:$E$386,1,$G$2:$G$386,100)</f>
        <v>11</v>
      </c>
      <c r="AC7" s="34">
        <f t="shared" si="4"/>
        <v>2.8571428571428572</v>
      </c>
      <c r="AE7" s="4">
        <v>6</v>
      </c>
      <c r="AF7">
        <f>COUNTIFS($D$2:$D$386,1,$F$2:$F$386,6)</f>
        <v>0</v>
      </c>
      <c r="AG7" s="34">
        <f t="shared" si="5"/>
        <v>0</v>
      </c>
      <c r="AI7" s="4" t="s">
        <v>3090</v>
      </c>
      <c r="AJ7">
        <f>COUNTIFS($D$2:$D$386,1,$G$2:$G$386,100)</f>
        <v>9</v>
      </c>
      <c r="AK7" s="34">
        <f t="shared" si="6"/>
        <v>2.3376623376623376</v>
      </c>
      <c r="AM7" t="s">
        <v>34</v>
      </c>
      <c r="AN7">
        <f>COUNTIFS($F$2:$F$386,1,$H$2:$H$386,100)</f>
        <v>17</v>
      </c>
      <c r="AO7" s="34">
        <f t="shared" si="7"/>
        <v>4.4155844155844157</v>
      </c>
      <c r="AQ7" t="s">
        <v>34</v>
      </c>
      <c r="AR7">
        <f>COUNTIFS($G$2:$G$386,1,$H$2:$H$386,100)</f>
        <v>17</v>
      </c>
      <c r="AS7" s="34">
        <f t="shared" si="8"/>
        <v>4.4155844155844157</v>
      </c>
      <c r="AV7" s="23">
        <f>SUM(AV5:AV6)</f>
        <v>161</v>
      </c>
      <c r="AW7" s="37">
        <f>(AV7/385)*100</f>
        <v>41.818181818181813</v>
      </c>
    </row>
    <row r="8" spans="1:49" x14ac:dyDescent="0.3">
      <c r="A8" t="s">
        <v>1532</v>
      </c>
      <c r="B8" s="7">
        <v>12</v>
      </c>
      <c r="C8" s="3">
        <v>20</v>
      </c>
      <c r="D8" s="3">
        <v>6</v>
      </c>
      <c r="E8" s="3">
        <v>1</v>
      </c>
      <c r="F8" s="3">
        <v>100</v>
      </c>
      <c r="G8" s="3">
        <v>100</v>
      </c>
      <c r="H8" s="3">
        <v>100</v>
      </c>
      <c r="I8" s="7">
        <v>2</v>
      </c>
      <c r="K8" t="s">
        <v>151</v>
      </c>
      <c r="L8">
        <f>COUNTIFS($B$2:$B$386,1,$D$2:$D$386,7)</f>
        <v>0</v>
      </c>
      <c r="M8" s="34">
        <f t="shared" si="0"/>
        <v>0</v>
      </c>
      <c r="O8" t="s">
        <v>151</v>
      </c>
      <c r="P8">
        <f>COUNTIFS($C$2:$C$386,18,$D$2:$D$386,7)</f>
        <v>0</v>
      </c>
      <c r="Q8" s="34">
        <f t="shared" si="1"/>
        <v>0</v>
      </c>
      <c r="S8" t="s">
        <v>45</v>
      </c>
      <c r="T8">
        <f>COUNTIFS($D$2:$D$386,1,$E$2:$E$386,7)</f>
        <v>4</v>
      </c>
      <c r="U8" s="34">
        <f t="shared" si="2"/>
        <v>1.0389610389610389</v>
      </c>
      <c r="W8" s="4">
        <v>7</v>
      </c>
      <c r="X8">
        <f>COUNTIFS($E$2:$E$386,1,$F$2:$F$386,7)</f>
        <v>0</v>
      </c>
      <c r="Y8" s="34">
        <f t="shared" si="3"/>
        <v>0</v>
      </c>
      <c r="AB8" s="22">
        <f>SUM(AB2:AB7)</f>
        <v>53</v>
      </c>
      <c r="AC8" s="35">
        <f t="shared" si="4"/>
        <v>13.766233766233766</v>
      </c>
      <c r="AE8" s="4">
        <v>7</v>
      </c>
      <c r="AF8">
        <f>COUNTIFS($D$2:$D$386,1,$F$2:$F$386,7)</f>
        <v>0</v>
      </c>
      <c r="AG8" s="34">
        <f t="shared" si="5"/>
        <v>0</v>
      </c>
      <c r="AJ8" s="22">
        <f>SUM(AJ2:AJ7)</f>
        <v>53</v>
      </c>
      <c r="AK8" s="35">
        <f t="shared" si="6"/>
        <v>13.766233766233766</v>
      </c>
      <c r="AN8" s="23">
        <f>SUM(AN2:AN7)</f>
        <v>241</v>
      </c>
      <c r="AO8" s="37">
        <f t="shared" si="7"/>
        <v>62.597402597402599</v>
      </c>
      <c r="AR8" s="22">
        <f>SUM(AR2:AR7)</f>
        <v>241</v>
      </c>
      <c r="AS8" s="35">
        <f t="shared" si="8"/>
        <v>62.597402597402599</v>
      </c>
      <c r="AT8" t="s">
        <v>26</v>
      </c>
      <c r="AU8" s="4" t="s">
        <v>15</v>
      </c>
      <c r="AV8">
        <f>COUNTIFS($H$2:$H$386,3,$I$2:$I$386,1)</f>
        <v>15</v>
      </c>
      <c r="AW8" s="34">
        <f>(AV8/385)*100</f>
        <v>3.8961038961038961</v>
      </c>
    </row>
    <row r="9" spans="1:49" x14ac:dyDescent="0.3">
      <c r="A9" t="s">
        <v>1323</v>
      </c>
      <c r="B9" s="7">
        <v>13</v>
      </c>
      <c r="C9" s="3">
        <v>21</v>
      </c>
      <c r="D9" s="3">
        <v>2</v>
      </c>
      <c r="E9" s="3">
        <v>3</v>
      </c>
      <c r="F9" s="3">
        <v>1</v>
      </c>
      <c r="G9" s="3">
        <v>1</v>
      </c>
      <c r="H9" s="3">
        <v>2</v>
      </c>
      <c r="I9" s="11">
        <v>2</v>
      </c>
      <c r="K9" t="s">
        <v>43</v>
      </c>
      <c r="L9">
        <f>COUNTIFS($B$2:$B$386,1,$D$2:$D$386,8)</f>
        <v>0</v>
      </c>
      <c r="M9" s="34">
        <f t="shared" si="0"/>
        <v>0</v>
      </c>
      <c r="O9" t="s">
        <v>43</v>
      </c>
      <c r="P9">
        <f>COUNTIFS($C$2:$C$386,18,$D$2:$D$386,8)</f>
        <v>1</v>
      </c>
      <c r="Q9" s="34">
        <f t="shared" si="1"/>
        <v>0.25974025974025972</v>
      </c>
      <c r="S9" t="s">
        <v>48</v>
      </c>
      <c r="T9">
        <f>COUNTIFS($D$2:$D$386,1,$E$2:$E$386,8)</f>
        <v>7</v>
      </c>
      <c r="U9" s="34">
        <f t="shared" si="2"/>
        <v>1.8181818181818181</v>
      </c>
      <c r="W9" s="4">
        <v>8</v>
      </c>
      <c r="X9">
        <f>COUNTIFS($E$2:$E$386,1,$F$2:$F$386,8)</f>
        <v>0</v>
      </c>
      <c r="Y9" s="34">
        <f t="shared" si="3"/>
        <v>0</v>
      </c>
      <c r="Z9" t="s">
        <v>17</v>
      </c>
      <c r="AA9" s="4">
        <v>1</v>
      </c>
      <c r="AB9">
        <f>COUNTIFS($E$2:$E$386,2,$G$2:$G$386,1)</f>
        <v>0</v>
      </c>
      <c r="AC9" s="34">
        <f>(AB9/385)*100</f>
        <v>0</v>
      </c>
      <c r="AE9" s="4">
        <v>8</v>
      </c>
      <c r="AF9">
        <f>COUNTIFS($D$2:$D$386,1,$F$2:$F$386,8)</f>
        <v>0</v>
      </c>
      <c r="AG9" s="34">
        <f t="shared" si="5"/>
        <v>0</v>
      </c>
      <c r="AH9" t="s">
        <v>18</v>
      </c>
      <c r="AI9" s="4">
        <v>1</v>
      </c>
      <c r="AJ9">
        <f>COUNTIFS($D$2:$D$386,2,$G$2:$G$386,1)</f>
        <v>16</v>
      </c>
      <c r="AK9" s="34">
        <f>(AJ9/385)*100</f>
        <v>4.1558441558441555</v>
      </c>
      <c r="AL9">
        <v>2</v>
      </c>
      <c r="AM9" t="s">
        <v>12</v>
      </c>
      <c r="AN9">
        <f>COUNTIFS($F$2:$F$386,2,$H$2:$H$386,1)</f>
        <v>0</v>
      </c>
      <c r="AO9" s="34">
        <f>(AN9/385)*100</f>
        <v>0</v>
      </c>
      <c r="AP9" s="4">
        <v>2</v>
      </c>
      <c r="AQ9" t="s">
        <v>12</v>
      </c>
      <c r="AR9">
        <f>COUNTIFS($G$2:$G$386,2,$H$2:$H$386,1)</f>
        <v>0</v>
      </c>
      <c r="AS9" s="34">
        <f>(AR9/385)*100</f>
        <v>0</v>
      </c>
      <c r="AU9" s="6" t="s">
        <v>22</v>
      </c>
      <c r="AV9">
        <f>COUNTIFS($H$2:$H$386,3,$I$2:$I$386,2)</f>
        <v>16</v>
      </c>
      <c r="AW9" s="34">
        <f t="shared" ref="AW9" si="10">(AV9/385)*100</f>
        <v>4.1558441558441555</v>
      </c>
    </row>
    <row r="10" spans="1:49" x14ac:dyDescent="0.3">
      <c r="A10" s="6" t="s">
        <v>275</v>
      </c>
      <c r="B10" s="7">
        <v>17</v>
      </c>
      <c r="C10" s="3">
        <v>21</v>
      </c>
      <c r="D10" s="11">
        <v>15</v>
      </c>
      <c r="E10" s="11">
        <v>3</v>
      </c>
      <c r="F10" s="7">
        <v>1</v>
      </c>
      <c r="G10" s="3">
        <v>1</v>
      </c>
      <c r="H10" s="7">
        <v>2</v>
      </c>
      <c r="I10" s="11">
        <v>2</v>
      </c>
      <c r="K10" t="s">
        <v>46</v>
      </c>
      <c r="L10">
        <f>COUNTIFS($B$2:$B$386,1,$D$2:$D$386,9)</f>
        <v>0</v>
      </c>
      <c r="M10" s="34">
        <f t="shared" si="0"/>
        <v>0</v>
      </c>
      <c r="O10" t="s">
        <v>46</v>
      </c>
      <c r="P10">
        <f>COUNTIFS($C$2:$C$386,18,$D$2:$D$386,9)</f>
        <v>1</v>
      </c>
      <c r="Q10" s="34">
        <f t="shared" si="1"/>
        <v>0.25974025974025972</v>
      </c>
      <c r="S10" t="s">
        <v>50</v>
      </c>
      <c r="T10">
        <f>COUNTIFS($D$2:$D$386,1,$E$2:$E$386,9)</f>
        <v>4</v>
      </c>
      <c r="U10" s="34">
        <f t="shared" si="2"/>
        <v>1.0389610389610389</v>
      </c>
      <c r="W10" s="4">
        <v>9</v>
      </c>
      <c r="X10">
        <f>COUNTIFS($E$2:$E$386,1,$F$2:$F$386,9)</f>
        <v>0</v>
      </c>
      <c r="Y10" s="34">
        <f t="shared" si="3"/>
        <v>0</v>
      </c>
      <c r="AA10" s="4">
        <v>2</v>
      </c>
      <c r="AB10">
        <f>COUNTIFS($E$2:$E$386,2,$G$2:$G$386,2)</f>
        <v>0</v>
      </c>
      <c r="AC10" s="34">
        <f t="shared" si="4"/>
        <v>0</v>
      </c>
      <c r="AE10" s="4">
        <v>9</v>
      </c>
      <c r="AF10">
        <f>COUNTIFS($D$2:$D$386,1,$F$2:$F$386,9)</f>
        <v>0</v>
      </c>
      <c r="AG10" s="34">
        <f t="shared" si="5"/>
        <v>0</v>
      </c>
      <c r="AI10" s="4">
        <v>2</v>
      </c>
      <c r="AJ10">
        <f>COUNTIFS($D$2:$D$386,2,$G$2:$G$386,2)</f>
        <v>1</v>
      </c>
      <c r="AK10" s="34">
        <f t="shared" si="6"/>
        <v>0.25974025974025972</v>
      </c>
      <c r="AM10" t="s">
        <v>19</v>
      </c>
      <c r="AN10">
        <f>COUNTIFS($F$2:$F$386,2,$H$2:$H$386,2)</f>
        <v>0</v>
      </c>
      <c r="AO10" s="34">
        <f t="shared" si="7"/>
        <v>0</v>
      </c>
      <c r="AQ10" t="s">
        <v>19</v>
      </c>
      <c r="AR10">
        <f>COUNTIFS($G$2:$G$386,2,$H$2:$H$386,2)</f>
        <v>0</v>
      </c>
      <c r="AS10" s="34">
        <f t="shared" si="8"/>
        <v>0</v>
      </c>
      <c r="AV10" s="23">
        <f>SUM(AV8:AV9)</f>
        <v>31</v>
      </c>
      <c r="AW10" s="37">
        <f>(AV10/385)*100</f>
        <v>8.0519480519480524</v>
      </c>
    </row>
    <row r="11" spans="1:49" x14ac:dyDescent="0.3">
      <c r="A11" t="s">
        <v>2347</v>
      </c>
      <c r="B11" s="7">
        <v>3</v>
      </c>
      <c r="C11" s="3">
        <v>18</v>
      </c>
      <c r="D11" s="3">
        <v>1</v>
      </c>
      <c r="E11" s="3">
        <v>4</v>
      </c>
      <c r="F11" s="3">
        <v>100</v>
      </c>
      <c r="G11" s="3">
        <v>100</v>
      </c>
      <c r="H11" s="3">
        <v>100</v>
      </c>
      <c r="I11" s="11">
        <v>2</v>
      </c>
      <c r="K11" t="s">
        <v>152</v>
      </c>
      <c r="L11">
        <f>COUNTIFS($B$2:$B$386,1,$D$2:$D$386,10)</f>
        <v>0</v>
      </c>
      <c r="M11" s="34">
        <f t="shared" si="0"/>
        <v>0</v>
      </c>
      <c r="O11" t="s">
        <v>152</v>
      </c>
      <c r="P11">
        <f>COUNTIFS($C$2:$C$386,18,$D$2:$D$386,10)</f>
        <v>0</v>
      </c>
      <c r="Q11" s="34">
        <f t="shared" si="1"/>
        <v>0</v>
      </c>
      <c r="T11" s="22">
        <f>SUM(T2:T10)</f>
        <v>53</v>
      </c>
      <c r="U11" s="35">
        <f t="shared" si="2"/>
        <v>13.766233766233766</v>
      </c>
      <c r="W11" s="4">
        <v>10</v>
      </c>
      <c r="X11">
        <f>COUNTIFS($E$2:$E$386,1,$F$2:$F$386,10)</f>
        <v>0</v>
      </c>
      <c r="Y11" s="34">
        <f t="shared" si="3"/>
        <v>0</v>
      </c>
      <c r="AA11" s="4">
        <v>3</v>
      </c>
      <c r="AB11">
        <f>COUNTIFS($E$2:$E$386,2,$G$2:$G$386,3)</f>
        <v>0</v>
      </c>
      <c r="AC11" s="34">
        <f t="shared" si="4"/>
        <v>0</v>
      </c>
      <c r="AE11" s="4">
        <v>10</v>
      </c>
      <c r="AF11">
        <f>COUNTIFS($D$2:$D$386,1,$F$2:$F$386,10)</f>
        <v>0</v>
      </c>
      <c r="AG11" s="34">
        <f t="shared" si="5"/>
        <v>0</v>
      </c>
      <c r="AI11" s="4">
        <v>3</v>
      </c>
      <c r="AJ11">
        <f>COUNTIFS($D$2:$D$386,2,$G$2:$G$386,3)</f>
        <v>1</v>
      </c>
      <c r="AK11" s="34">
        <f t="shared" si="6"/>
        <v>0.25974025974025972</v>
      </c>
      <c r="AM11" t="s">
        <v>26</v>
      </c>
      <c r="AN11">
        <f>COUNTIFS($F$2:$F$386,2,$H$2:$H$386,3)</f>
        <v>11</v>
      </c>
      <c r="AO11" s="34">
        <f t="shared" si="7"/>
        <v>2.8571428571428572</v>
      </c>
      <c r="AQ11" t="s">
        <v>26</v>
      </c>
      <c r="AR11">
        <f>COUNTIFS($G$2:$G$386,2,$H$2:$H$386,3)</f>
        <v>11</v>
      </c>
      <c r="AS11" s="34">
        <f t="shared" si="8"/>
        <v>2.8571428571428572</v>
      </c>
      <c r="AT11" t="s">
        <v>33</v>
      </c>
      <c r="AU11" s="4" t="s">
        <v>15</v>
      </c>
      <c r="AV11">
        <f>COUNTIFS($H$2:$H$386,4,$I$2:$I$386,1)</f>
        <v>9</v>
      </c>
      <c r="AW11" s="34">
        <f>(AV11/385)*100</f>
        <v>2.3376623376623376</v>
      </c>
    </row>
    <row r="12" spans="1:49" x14ac:dyDescent="0.3">
      <c r="A12" s="6" t="s">
        <v>254</v>
      </c>
      <c r="B12" s="7">
        <v>17</v>
      </c>
      <c r="C12" s="3">
        <v>21</v>
      </c>
      <c r="D12" s="11">
        <v>5</v>
      </c>
      <c r="E12" s="11">
        <v>5</v>
      </c>
      <c r="F12" s="11">
        <v>5</v>
      </c>
      <c r="G12" s="3">
        <v>15</v>
      </c>
      <c r="H12" s="11">
        <v>3</v>
      </c>
      <c r="I12" s="11">
        <v>2</v>
      </c>
      <c r="K12" t="s">
        <v>49</v>
      </c>
      <c r="L12">
        <f>COUNTIFS($B$2:$B$386,1,$D$2:$D$386,11)</f>
        <v>0</v>
      </c>
      <c r="M12" s="34">
        <f t="shared" si="0"/>
        <v>0</v>
      </c>
      <c r="O12" t="s">
        <v>49</v>
      </c>
      <c r="P12">
        <f>COUNTIFS($C$2:$C$386,18,$D$2:$D$386,11)</f>
        <v>0</v>
      </c>
      <c r="Q12" s="34">
        <f t="shared" si="1"/>
        <v>0</v>
      </c>
      <c r="R12" t="s">
        <v>18</v>
      </c>
      <c r="S12" t="s">
        <v>10</v>
      </c>
      <c r="T12">
        <f>COUNTIFS($D$2:$D$386,2,$E$2:$E$386,1)</f>
        <v>0</v>
      </c>
      <c r="U12" s="34">
        <f>(T12/385)*100</f>
        <v>0</v>
      </c>
      <c r="W12" s="4">
        <v>11</v>
      </c>
      <c r="X12">
        <f>COUNTIFS($E$2:$E$386,1,$F$2:$F$386,11)</f>
        <v>0</v>
      </c>
      <c r="Y12" s="34">
        <f t="shared" si="3"/>
        <v>0</v>
      </c>
      <c r="AA12" s="26" t="s">
        <v>3086</v>
      </c>
      <c r="AB12">
        <f>COUNTIFS($E$2:$E$386,2,$G$2:$G$386,15)</f>
        <v>0</v>
      </c>
      <c r="AC12" s="34">
        <f t="shared" si="4"/>
        <v>0</v>
      </c>
      <c r="AE12" s="4">
        <v>11</v>
      </c>
      <c r="AF12">
        <f>COUNTIFS($D$2:$D$386,1,$F$2:$F$386,11)</f>
        <v>0</v>
      </c>
      <c r="AG12" s="34">
        <f t="shared" si="5"/>
        <v>0</v>
      </c>
      <c r="AI12" s="26" t="s">
        <v>3086</v>
      </c>
      <c r="AJ12">
        <f>COUNTIFS($D$2:$D$386,2,$G$2:$G$386,15)</f>
        <v>0</v>
      </c>
      <c r="AK12" s="34">
        <f t="shared" si="6"/>
        <v>0</v>
      </c>
      <c r="AM12" t="s">
        <v>33</v>
      </c>
      <c r="AN12">
        <f>COUNTIFS($F$2:$F$386,2,$H$2:$H$386,4)</f>
        <v>12</v>
      </c>
      <c r="AO12" s="34">
        <f t="shared" si="7"/>
        <v>3.116883116883117</v>
      </c>
      <c r="AQ12" t="s">
        <v>33</v>
      </c>
      <c r="AR12">
        <f>COUNTIFS($G$2:$G$386,2,$H$2:$H$386,4)</f>
        <v>12</v>
      </c>
      <c r="AS12" s="34">
        <f t="shared" si="8"/>
        <v>3.116883116883117</v>
      </c>
      <c r="AU12" s="6" t="s">
        <v>22</v>
      </c>
      <c r="AV12">
        <f>COUNTIFS($H$2:$H$386,4,$I$2:$I$386,2)</f>
        <v>12</v>
      </c>
      <c r="AW12" s="34">
        <f t="shared" ref="AW12" si="11">(AV12/385)*100</f>
        <v>3.116883116883117</v>
      </c>
    </row>
    <row r="13" spans="1:49" x14ac:dyDescent="0.3">
      <c r="A13" t="s">
        <v>2911</v>
      </c>
      <c r="B13" s="7">
        <v>10</v>
      </c>
      <c r="C13" s="3">
        <v>20</v>
      </c>
      <c r="D13" s="3">
        <v>4</v>
      </c>
      <c r="E13" s="3">
        <v>3</v>
      </c>
      <c r="F13" s="3">
        <v>100</v>
      </c>
      <c r="G13" s="3">
        <v>100</v>
      </c>
      <c r="H13" s="3">
        <v>100</v>
      </c>
      <c r="I13" s="11">
        <v>2</v>
      </c>
      <c r="K13" t="s">
        <v>51</v>
      </c>
      <c r="L13">
        <f>COUNTIFS($B$2:$B$386,1,$D$2:$D$386,12)</f>
        <v>0</v>
      </c>
      <c r="M13" s="34">
        <f t="shared" si="0"/>
        <v>0</v>
      </c>
      <c r="O13" t="s">
        <v>51</v>
      </c>
      <c r="P13">
        <f>COUNTIFS($C$2:$C$386,18,$D$2:$D$386,12)</f>
        <v>1</v>
      </c>
      <c r="Q13" s="34">
        <f t="shared" si="1"/>
        <v>0.25974025974025972</v>
      </c>
      <c r="S13" t="s">
        <v>17</v>
      </c>
      <c r="T13">
        <f>COUNTIFS($D$2:$D$386,2,$E$2:$E$386,2)</f>
        <v>0</v>
      </c>
      <c r="U13" s="34">
        <f t="shared" si="2"/>
        <v>0</v>
      </c>
      <c r="W13" s="4">
        <v>12</v>
      </c>
      <c r="X13">
        <f>COUNTIFS($E$2:$E$386,1,$F$2:$F$386,12)</f>
        <v>0</v>
      </c>
      <c r="Y13" s="34">
        <f t="shared" si="3"/>
        <v>0</v>
      </c>
      <c r="AA13" s="27" t="s">
        <v>3087</v>
      </c>
      <c r="AB13">
        <f>COUNTIFS($E$2:$E$386,2,$G$2:$G$386,16)</f>
        <v>0</v>
      </c>
      <c r="AC13" s="34">
        <f t="shared" si="4"/>
        <v>0</v>
      </c>
      <c r="AE13" s="4">
        <v>12</v>
      </c>
      <c r="AF13">
        <f>COUNTIFS($D$2:$D$386,1,$F$2:$F$386,12)</f>
        <v>0</v>
      </c>
      <c r="AG13" s="34">
        <f t="shared" si="5"/>
        <v>0</v>
      </c>
      <c r="AI13" s="27" t="s">
        <v>3087</v>
      </c>
      <c r="AJ13">
        <f>COUNTIFS($D$2:$D$386,2,$G$2:$G$386,16)</f>
        <v>0</v>
      </c>
      <c r="AK13" s="34">
        <f t="shared" si="6"/>
        <v>0</v>
      </c>
      <c r="AM13" t="s">
        <v>39</v>
      </c>
      <c r="AN13">
        <f>COUNTIFS($F$2:$F$386,2,$H$2:$H$386,5)</f>
        <v>7</v>
      </c>
      <c r="AO13" s="34">
        <f t="shared" si="7"/>
        <v>1.8181818181818181</v>
      </c>
      <c r="AQ13" t="s">
        <v>39</v>
      </c>
      <c r="AR13">
        <f>COUNTIFS($G$2:$G$386,2,$H$2:$H$386,5)</f>
        <v>7</v>
      </c>
      <c r="AS13" s="34">
        <f t="shared" si="8"/>
        <v>1.8181818181818181</v>
      </c>
      <c r="AV13" s="23">
        <f>SUM(AV11:AV12)</f>
        <v>21</v>
      </c>
      <c r="AW13" s="37">
        <f>(AV13/385)*100</f>
        <v>5.4545454545454541</v>
      </c>
    </row>
    <row r="14" spans="1:49" x14ac:dyDescent="0.3">
      <c r="A14" s="6" t="s">
        <v>1469</v>
      </c>
      <c r="B14" s="7">
        <v>15</v>
      </c>
      <c r="C14" s="3">
        <v>21</v>
      </c>
      <c r="D14" s="11">
        <v>1</v>
      </c>
      <c r="E14" s="11">
        <v>3</v>
      </c>
      <c r="F14" s="11">
        <v>1</v>
      </c>
      <c r="G14" s="3">
        <v>1</v>
      </c>
      <c r="H14" s="11">
        <v>2</v>
      </c>
      <c r="I14" s="11">
        <v>2</v>
      </c>
      <c r="K14" t="s">
        <v>153</v>
      </c>
      <c r="L14">
        <f>COUNTIFS($B$2:$B$386,1,$D$2:$D$386,13)</f>
        <v>0</v>
      </c>
      <c r="M14" s="34">
        <f t="shared" si="0"/>
        <v>0</v>
      </c>
      <c r="O14" t="s">
        <v>153</v>
      </c>
      <c r="P14">
        <f>COUNTIFS($C$2:$C$386,18,$D$2:$D$386,13)</f>
        <v>2</v>
      </c>
      <c r="Q14" s="34">
        <f t="shared" si="1"/>
        <v>0.51948051948051943</v>
      </c>
      <c r="S14" t="s">
        <v>24</v>
      </c>
      <c r="T14">
        <f>COUNTIFS($D$2:$D$386,2,$E$2:$E$386,3)</f>
        <v>25</v>
      </c>
      <c r="U14" s="34">
        <f t="shared" si="2"/>
        <v>6.4935064935064926</v>
      </c>
      <c r="W14" s="4">
        <v>13</v>
      </c>
      <c r="X14">
        <f>COUNTIFS($E$2:$E$386,1,$F$2:$F$386,13)</f>
        <v>0</v>
      </c>
      <c r="Y14" s="34">
        <f t="shared" si="3"/>
        <v>0</v>
      </c>
      <c r="AA14" s="6" t="s">
        <v>3090</v>
      </c>
      <c r="AB14">
        <f>COUNTIFS($E$2:$E$386,2,$G$2:$G$386,100)</f>
        <v>0</v>
      </c>
      <c r="AC14" s="34">
        <f t="shared" si="4"/>
        <v>0</v>
      </c>
      <c r="AE14" s="4">
        <v>13</v>
      </c>
      <c r="AF14">
        <f>COUNTIFS($D$2:$D$386,1,$F$2:$F$386,13)</f>
        <v>0</v>
      </c>
      <c r="AG14" s="34">
        <f t="shared" si="5"/>
        <v>0</v>
      </c>
      <c r="AI14" s="4" t="s">
        <v>3090</v>
      </c>
      <c r="AJ14">
        <f>COUNTIFS($D$2:$D$386,2,$G$2:$G$386,100)</f>
        <v>12</v>
      </c>
      <c r="AK14" s="34">
        <f t="shared" si="6"/>
        <v>3.116883116883117</v>
      </c>
      <c r="AM14" t="s">
        <v>34</v>
      </c>
      <c r="AN14">
        <f>COUNTIFS($F$2:$F$386,2,$H$2:$H$386,100)</f>
        <v>1</v>
      </c>
      <c r="AO14" s="34">
        <f t="shared" si="7"/>
        <v>0.25974025974025972</v>
      </c>
      <c r="AQ14" t="s">
        <v>34</v>
      </c>
      <c r="AR14">
        <f>COUNTIFS($G$2:$G$386,2,$H$2:$H$386,100)</f>
        <v>1</v>
      </c>
      <c r="AS14" s="34">
        <f t="shared" si="8"/>
        <v>0.25974025974025972</v>
      </c>
      <c r="AT14" t="s">
        <v>39</v>
      </c>
      <c r="AU14" s="4" t="s">
        <v>15</v>
      </c>
      <c r="AV14">
        <f>COUNTIFS($H$2:$H$386,5,$I$2:$I$386,1)</f>
        <v>1</v>
      </c>
      <c r="AW14" s="34">
        <f>(AV14/385)*100</f>
        <v>0.25974025974025972</v>
      </c>
    </row>
    <row r="15" spans="1:49" x14ac:dyDescent="0.3">
      <c r="A15" t="s">
        <v>1952</v>
      </c>
      <c r="B15" s="7">
        <v>8</v>
      </c>
      <c r="C15" s="3">
        <v>19</v>
      </c>
      <c r="D15" s="3">
        <v>1</v>
      </c>
      <c r="E15" s="3">
        <v>3</v>
      </c>
      <c r="F15" s="3">
        <v>1</v>
      </c>
      <c r="G15" s="3">
        <v>1</v>
      </c>
      <c r="H15" s="3">
        <v>1</v>
      </c>
      <c r="I15" s="3">
        <v>1</v>
      </c>
      <c r="K15" t="s">
        <v>154</v>
      </c>
      <c r="L15">
        <f>COUNTIFS($B$2:$B$386,1,$D$2:$D$386,14)</f>
        <v>1</v>
      </c>
      <c r="M15" s="34">
        <f t="shared" si="0"/>
        <v>0.25974025974025972</v>
      </c>
      <c r="O15" t="s">
        <v>154</v>
      </c>
      <c r="P15">
        <f>COUNTIFS($C$2:$C$386,18,$D$2:$D$386,14)</f>
        <v>3</v>
      </c>
      <c r="Q15" s="34">
        <f t="shared" si="1"/>
        <v>0.77922077922077926</v>
      </c>
      <c r="S15" t="s">
        <v>31</v>
      </c>
      <c r="T15">
        <f>COUNTIFS($D$2:$D$386,2,$E$2:$E$386,4)</f>
        <v>0</v>
      </c>
      <c r="U15" s="34">
        <f t="shared" si="2"/>
        <v>0</v>
      </c>
      <c r="W15" s="4">
        <v>14</v>
      </c>
      <c r="X15">
        <f>COUNTIFS($E$2:$E$386,1,$F$2:$F$386,14)</f>
        <v>0</v>
      </c>
      <c r="Y15" s="34">
        <f t="shared" si="3"/>
        <v>0</v>
      </c>
      <c r="AB15" s="22">
        <f>SUM(AB9:AB14)</f>
        <v>0</v>
      </c>
      <c r="AC15" s="35">
        <f t="shared" si="4"/>
        <v>0</v>
      </c>
      <c r="AE15" s="4">
        <v>14</v>
      </c>
      <c r="AF15">
        <f>COUNTIFS($D$2:$D$386,1,$F$2:$F$386,14)</f>
        <v>0</v>
      </c>
      <c r="AG15" s="34">
        <f t="shared" si="5"/>
        <v>0</v>
      </c>
      <c r="AJ15" s="22">
        <f>SUM(AJ9:AJ14)</f>
        <v>30</v>
      </c>
      <c r="AK15" s="35">
        <f t="shared" si="6"/>
        <v>7.7922077922077921</v>
      </c>
      <c r="AN15" s="23">
        <f>SUM(AN9:AN14)</f>
        <v>31</v>
      </c>
      <c r="AO15" s="37">
        <f t="shared" si="7"/>
        <v>8.0519480519480524</v>
      </c>
      <c r="AR15" s="22">
        <f>SUM(AR9:AR14)</f>
        <v>31</v>
      </c>
      <c r="AS15" s="35">
        <f t="shared" si="8"/>
        <v>8.0519480519480524</v>
      </c>
      <c r="AU15" s="6" t="s">
        <v>22</v>
      </c>
      <c r="AV15">
        <f>COUNTIFS($H$2:$H$386,5,$I$2:$I$386,2)</f>
        <v>12</v>
      </c>
      <c r="AW15" s="34">
        <f t="shared" ref="AW15" si="12">(AV15/385)*100</f>
        <v>3.116883116883117</v>
      </c>
    </row>
    <row r="16" spans="1:49" x14ac:dyDescent="0.3">
      <c r="A16" t="s">
        <v>2229</v>
      </c>
      <c r="B16" s="7">
        <v>4</v>
      </c>
      <c r="C16" s="3">
        <v>18</v>
      </c>
      <c r="D16" s="3">
        <v>14</v>
      </c>
      <c r="E16" s="3">
        <v>1</v>
      </c>
      <c r="F16" s="3">
        <v>100</v>
      </c>
      <c r="G16" s="3">
        <v>100</v>
      </c>
      <c r="H16" s="3">
        <v>100</v>
      </c>
      <c r="I16" s="7">
        <v>2</v>
      </c>
      <c r="K16" t="s">
        <v>52</v>
      </c>
      <c r="L16">
        <f>COUNTIFS($B$2:$B$386,1,$D$2:$D$386,15)</f>
        <v>0</v>
      </c>
      <c r="M16" s="34">
        <f t="shared" si="0"/>
        <v>0</v>
      </c>
      <c r="O16" t="s">
        <v>52</v>
      </c>
      <c r="P16">
        <f>COUNTIFS($C$2:$C$386,18,$D$2:$D$386,15)</f>
        <v>1</v>
      </c>
      <c r="Q16" s="34">
        <f t="shared" si="1"/>
        <v>0.25974025974025972</v>
      </c>
      <c r="S16" t="s">
        <v>37</v>
      </c>
      <c r="T16">
        <f>COUNTIFS($D$2:$D$386,2,$E$2:$E$386,5)</f>
        <v>1</v>
      </c>
      <c r="U16" s="34">
        <f t="shared" si="2"/>
        <v>0.25974025974025972</v>
      </c>
      <c r="W16" t="s">
        <v>3090</v>
      </c>
      <c r="X16">
        <f>COUNTIFS($E$2:$E$386,1,$F$2:$F$386,100)</f>
        <v>11</v>
      </c>
      <c r="Y16" s="34">
        <f t="shared" si="3"/>
        <v>2.8571428571428572</v>
      </c>
      <c r="Z16" t="s">
        <v>24</v>
      </c>
      <c r="AA16" s="4">
        <v>1</v>
      </c>
      <c r="AB16">
        <f>COUNTIFS($E$2:$E$386,3,$G$2:$G$386,1)</f>
        <v>146</v>
      </c>
      <c r="AC16" s="34">
        <f>(AB16/385)*100</f>
        <v>37.922077922077925</v>
      </c>
      <c r="AE16" t="s">
        <v>3090</v>
      </c>
      <c r="AF16">
        <f>COUNTIFS($D$2:$D$386,1,$F$2:$F$386,100)</f>
        <v>9</v>
      </c>
      <c r="AG16" s="34">
        <f t="shared" si="5"/>
        <v>2.3376623376623376</v>
      </c>
      <c r="AH16" t="s">
        <v>150</v>
      </c>
      <c r="AI16" s="4">
        <v>1</v>
      </c>
      <c r="AJ16">
        <f>COUNTIFS($D$2:$D$386,3,$G$2:$G$386,1)</f>
        <v>20</v>
      </c>
      <c r="AK16" s="34">
        <f>(AJ16/385)*100</f>
        <v>5.1948051948051948</v>
      </c>
      <c r="AL16" s="4">
        <v>3</v>
      </c>
      <c r="AM16" t="s">
        <v>12</v>
      </c>
      <c r="AN16">
        <f>COUNTIFS($F$2:$F$386,3,$H$2:$H$386,1)</f>
        <v>0</v>
      </c>
      <c r="AO16" s="34">
        <f>(AN16/385)*100</f>
        <v>0</v>
      </c>
      <c r="AP16" s="4">
        <v>3</v>
      </c>
      <c r="AQ16" t="s">
        <v>12</v>
      </c>
      <c r="AR16">
        <f>COUNTIFS($G$2:$G$386,3,$H$2:$H$386,1)</f>
        <v>0</v>
      </c>
      <c r="AS16" s="34">
        <f>(AR16/385)*100</f>
        <v>0</v>
      </c>
      <c r="AV16" s="23">
        <f>SUM(AV14:AV15)</f>
        <v>13</v>
      </c>
      <c r="AW16" s="37">
        <f>(AV16/385)*100</f>
        <v>3.3766233766233764</v>
      </c>
    </row>
    <row r="17" spans="1:49" x14ac:dyDescent="0.3">
      <c r="A17" s="6" t="s">
        <v>200</v>
      </c>
      <c r="B17" s="7">
        <v>17</v>
      </c>
      <c r="C17" s="3">
        <v>21</v>
      </c>
      <c r="D17" s="11">
        <v>14</v>
      </c>
      <c r="E17" s="11">
        <v>3</v>
      </c>
      <c r="F17" s="7">
        <v>11</v>
      </c>
      <c r="G17" s="3">
        <v>16</v>
      </c>
      <c r="H17" s="7">
        <v>3</v>
      </c>
      <c r="I17" s="11">
        <v>1</v>
      </c>
      <c r="L17" s="22">
        <f>SUM(L2:L16)</f>
        <v>4</v>
      </c>
      <c r="M17" s="35">
        <f t="shared" si="0"/>
        <v>1.0389610389610389</v>
      </c>
      <c r="P17" s="23">
        <f>SUM(P2:P16)</f>
        <v>47</v>
      </c>
      <c r="Q17" s="37">
        <f t="shared" si="1"/>
        <v>12.207792207792208</v>
      </c>
      <c r="S17" t="s">
        <v>42</v>
      </c>
      <c r="T17">
        <f>COUNTIFS($D$2:$D$386,2,$E$2:$E$386,6)</f>
        <v>3</v>
      </c>
      <c r="U17" s="34">
        <f t="shared" si="2"/>
        <v>0.77922077922077926</v>
      </c>
      <c r="X17" s="23">
        <f>SUM(X2:X16)</f>
        <v>53</v>
      </c>
      <c r="Y17" s="37">
        <f t="shared" si="3"/>
        <v>13.766233766233766</v>
      </c>
      <c r="AA17" s="4">
        <v>2</v>
      </c>
      <c r="AB17">
        <f>COUNTIFS($E$2:$E$386,3,$G$2:$G$386,2)</f>
        <v>9</v>
      </c>
      <c r="AC17" s="34">
        <f t="shared" si="4"/>
        <v>2.3376623376623376</v>
      </c>
      <c r="AF17" s="23">
        <f>SUM(AF2:AF16)</f>
        <v>53</v>
      </c>
      <c r="AG17" s="37">
        <f t="shared" si="5"/>
        <v>13.766233766233766</v>
      </c>
      <c r="AI17" s="4">
        <v>2</v>
      </c>
      <c r="AJ17">
        <f>COUNTIFS($D$2:$D$386,3,$G$2:$G$386,2)</f>
        <v>6</v>
      </c>
      <c r="AK17" s="34">
        <f t="shared" si="6"/>
        <v>1.5584415584415585</v>
      </c>
      <c r="AM17" t="s">
        <v>19</v>
      </c>
      <c r="AN17">
        <f>COUNTIFS($F$2:$F$386,3,$H$2:$H$386,2)</f>
        <v>0</v>
      </c>
      <c r="AO17" s="34">
        <f t="shared" si="7"/>
        <v>0</v>
      </c>
      <c r="AQ17" t="s">
        <v>19</v>
      </c>
      <c r="AR17">
        <f>COUNTIFS($G$2:$G$386,3,$H$2:$H$386,2)</f>
        <v>0</v>
      </c>
      <c r="AS17" s="34">
        <f t="shared" si="8"/>
        <v>0</v>
      </c>
      <c r="AT17" t="s">
        <v>34</v>
      </c>
      <c r="AU17" s="4" t="s">
        <v>15</v>
      </c>
      <c r="AV17">
        <f>COUNTIFS($H$2:$H$386,100,$I$2:$I$386,1)</f>
        <v>1</v>
      </c>
      <c r="AW17" s="34">
        <f>(AV17/385)*100</f>
        <v>0.25974025974025972</v>
      </c>
    </row>
    <row r="18" spans="1:49" x14ac:dyDescent="0.3">
      <c r="A18" s="6" t="s">
        <v>327</v>
      </c>
      <c r="B18" s="7">
        <v>16</v>
      </c>
      <c r="C18" s="3">
        <v>21</v>
      </c>
      <c r="D18" s="11">
        <v>1</v>
      </c>
      <c r="E18" s="11">
        <v>5</v>
      </c>
      <c r="F18" s="7">
        <v>100</v>
      </c>
      <c r="G18" s="3">
        <v>100</v>
      </c>
      <c r="H18" s="7">
        <v>100</v>
      </c>
      <c r="I18" s="7">
        <v>2</v>
      </c>
      <c r="J18">
        <v>2010</v>
      </c>
      <c r="K18" t="s">
        <v>11</v>
      </c>
      <c r="L18">
        <f>COUNTIFS($B$2:$B$386,2,$D$2:$D$386,1)</f>
        <v>3</v>
      </c>
      <c r="M18" s="34">
        <f>(L18/385)*100</f>
        <v>0.77922077922077926</v>
      </c>
      <c r="N18" t="s">
        <v>3081</v>
      </c>
      <c r="O18" t="s">
        <v>11</v>
      </c>
      <c r="P18">
        <f>COUNTIFS($C$2:$C$386,19,$D$2:$D$386,1)</f>
        <v>8</v>
      </c>
      <c r="Q18" s="34">
        <f>(P18/385)*100</f>
        <v>2.0779220779220777</v>
      </c>
      <c r="S18" t="s">
        <v>45</v>
      </c>
      <c r="T18">
        <f>COUNTIFS($D$2:$D$386,2,$E$2:$E$386,7)</f>
        <v>0</v>
      </c>
      <c r="U18" s="34">
        <f t="shared" si="2"/>
        <v>0</v>
      </c>
      <c r="V18" t="s">
        <v>17</v>
      </c>
      <c r="W18" s="4">
        <v>1</v>
      </c>
      <c r="X18">
        <f>COUNTIFS($E$2:$E$386,2,$F$2:$F$386,1)</f>
        <v>0</v>
      </c>
      <c r="Y18" s="34">
        <f>(X18/385)*100</f>
        <v>0</v>
      </c>
      <c r="AA18" s="4">
        <v>3</v>
      </c>
      <c r="AB18">
        <f>COUNTIFS($E$2:$E$386,3,$G$2:$G$386,3)</f>
        <v>9</v>
      </c>
      <c r="AC18" s="34">
        <f t="shared" si="4"/>
        <v>2.3376623376623376</v>
      </c>
      <c r="AD18" t="s">
        <v>18</v>
      </c>
      <c r="AE18" s="4">
        <v>1</v>
      </c>
      <c r="AF18">
        <f>COUNTIFS($D$2:$D$386,2,$F$2:$F$386,1)</f>
        <v>16</v>
      </c>
      <c r="AG18" s="34">
        <f>(AF18/385)*100</f>
        <v>4.1558441558441555</v>
      </c>
      <c r="AI18" s="4">
        <v>3</v>
      </c>
      <c r="AJ18">
        <f>COUNTIFS($D$2:$D$386,3,$G$2:$G$386,3)</f>
        <v>2</v>
      </c>
      <c r="AK18" s="34">
        <f t="shared" si="6"/>
        <v>0.51948051948051943</v>
      </c>
      <c r="AM18" t="s">
        <v>26</v>
      </c>
      <c r="AN18">
        <f>COUNTIFS($F$2:$F$386,3,$H$2:$H$386,3)</f>
        <v>8</v>
      </c>
      <c r="AO18" s="34">
        <f t="shared" si="7"/>
        <v>2.0779220779220777</v>
      </c>
      <c r="AQ18" t="s">
        <v>26</v>
      </c>
      <c r="AR18">
        <f>COUNTIFS($G$2:$G$386,3,$H$2:$H$386,3)</f>
        <v>8</v>
      </c>
      <c r="AS18" s="34">
        <f t="shared" si="8"/>
        <v>2.0779220779220777</v>
      </c>
      <c r="AU18" s="6" t="s">
        <v>22</v>
      </c>
      <c r="AV18">
        <f>COUNTIFS($H$2:$H$386,100,$I$2:$I$386,2)</f>
        <v>94</v>
      </c>
      <c r="AW18" s="34">
        <f t="shared" ref="AW18" si="13">(AV18/385)*100</f>
        <v>24.415584415584416</v>
      </c>
    </row>
    <row r="19" spans="1:49" x14ac:dyDescent="0.3">
      <c r="A19" t="s">
        <v>2618</v>
      </c>
      <c r="B19" s="7">
        <v>14</v>
      </c>
      <c r="C19" s="3">
        <v>21</v>
      </c>
      <c r="D19" s="3">
        <v>4</v>
      </c>
      <c r="E19" s="3">
        <v>3</v>
      </c>
      <c r="F19" s="3">
        <v>1</v>
      </c>
      <c r="G19" s="3">
        <v>1</v>
      </c>
      <c r="H19" s="3">
        <v>100</v>
      </c>
      <c r="I19" s="11">
        <v>2</v>
      </c>
      <c r="K19" t="s">
        <v>18</v>
      </c>
      <c r="L19">
        <f>COUNTIFS($B$2:$B$386,2,$D$2:$D$386,2)</f>
        <v>1</v>
      </c>
      <c r="M19" s="34">
        <f t="shared" si="0"/>
        <v>0.25974025974025972</v>
      </c>
      <c r="O19" t="s">
        <v>18</v>
      </c>
      <c r="P19">
        <f>COUNTIFS($C$2:$C$386,19,$D$2:$D$386,2)</f>
        <v>4</v>
      </c>
      <c r="Q19" s="34">
        <f t="shared" si="1"/>
        <v>1.0389610389610389</v>
      </c>
      <c r="S19" t="s">
        <v>48</v>
      </c>
      <c r="T19">
        <f>COUNTIFS($D$2:$D$386,2,$E$2:$E$386,8)</f>
        <v>1</v>
      </c>
      <c r="U19" s="34">
        <f t="shared" si="2"/>
        <v>0.25974025974025972</v>
      </c>
      <c r="W19">
        <v>2</v>
      </c>
      <c r="X19">
        <f>COUNTIFS($E$2:$E$386,2,$F$2:$F$386,2)</f>
        <v>0</v>
      </c>
      <c r="Y19" s="34">
        <f t="shared" si="3"/>
        <v>0</v>
      </c>
      <c r="AA19" s="26" t="s">
        <v>3086</v>
      </c>
      <c r="AB19">
        <f>COUNTIFS($E$2:$E$386,3,$G$2:$G$386,15)</f>
        <v>5</v>
      </c>
      <c r="AC19" s="34">
        <f t="shared" si="4"/>
        <v>1.2987012987012987</v>
      </c>
      <c r="AE19">
        <v>2</v>
      </c>
      <c r="AF19">
        <f>COUNTIFS($D$2:$D$386,2,$F$2:$F$386,2)</f>
        <v>1</v>
      </c>
      <c r="AG19" s="34">
        <f t="shared" si="5"/>
        <v>0.25974025974025972</v>
      </c>
      <c r="AI19" s="26" t="s">
        <v>3086</v>
      </c>
      <c r="AJ19">
        <f>COUNTIFS($D$2:$D$386,3,$G$2:$G$386,15)</f>
        <v>0</v>
      </c>
      <c r="AK19" s="34">
        <f t="shared" si="6"/>
        <v>0</v>
      </c>
      <c r="AM19" t="s">
        <v>33</v>
      </c>
      <c r="AN19">
        <f>COUNTIFS($F$2:$F$386,3,$H$2:$H$386,4)</f>
        <v>9</v>
      </c>
      <c r="AO19" s="34">
        <f t="shared" si="7"/>
        <v>2.3376623376623376</v>
      </c>
      <c r="AQ19" t="s">
        <v>33</v>
      </c>
      <c r="AR19">
        <f>COUNTIFS($G$2:$G$386,3,$H$2:$H$386,4)</f>
        <v>9</v>
      </c>
      <c r="AS19" s="34">
        <f t="shared" si="8"/>
        <v>2.3376623376623376</v>
      </c>
      <c r="AV19" s="23">
        <f>SUM(AV17:AV18)</f>
        <v>95</v>
      </c>
      <c r="AW19" s="37">
        <f>(AV19/385)*100</f>
        <v>24.675324675324674</v>
      </c>
    </row>
    <row r="20" spans="1:49" x14ac:dyDescent="0.3">
      <c r="A20" s="6" t="s">
        <v>107</v>
      </c>
      <c r="B20" s="7">
        <v>17</v>
      </c>
      <c r="C20" s="3">
        <v>21</v>
      </c>
      <c r="D20" s="11">
        <v>4</v>
      </c>
      <c r="E20" s="11">
        <v>3</v>
      </c>
      <c r="F20" s="11">
        <v>1</v>
      </c>
      <c r="G20" s="3">
        <v>1</v>
      </c>
      <c r="H20" s="11">
        <v>100</v>
      </c>
      <c r="I20" s="11">
        <v>2</v>
      </c>
      <c r="K20" t="s">
        <v>150</v>
      </c>
      <c r="L20">
        <f>COUNTIFS($B$2:$B$386,2,$D$2:$D$386,3)</f>
        <v>2</v>
      </c>
      <c r="M20" s="34">
        <f t="shared" si="0"/>
        <v>0.51948051948051943</v>
      </c>
      <c r="O20" t="s">
        <v>150</v>
      </c>
      <c r="P20">
        <f>COUNTIFS($C$2:$C$386,19,$D$2:$D$386,3)</f>
        <v>5</v>
      </c>
      <c r="Q20" s="34">
        <f t="shared" si="1"/>
        <v>1.2987012987012987</v>
      </c>
      <c r="S20" t="s">
        <v>50</v>
      </c>
      <c r="T20">
        <f>COUNTIFS($D$2:$D$386,2,$E$2:$E$386,9)</f>
        <v>0</v>
      </c>
      <c r="U20" s="34">
        <f t="shared" si="2"/>
        <v>0</v>
      </c>
      <c r="W20" s="4">
        <v>3</v>
      </c>
      <c r="X20">
        <f>COUNTIFS($E$2:$E$386,2,$F$2:$F$386,3)</f>
        <v>0</v>
      </c>
      <c r="Y20" s="34">
        <f t="shared" si="3"/>
        <v>0</v>
      </c>
      <c r="AA20" s="27" t="s">
        <v>3087</v>
      </c>
      <c r="AB20">
        <f>COUNTIFS($E$2:$E$386,3,$G$2:$G$386,16)</f>
        <v>1</v>
      </c>
      <c r="AC20" s="34">
        <f t="shared" si="4"/>
        <v>0.25974025974025972</v>
      </c>
      <c r="AE20" s="4">
        <v>3</v>
      </c>
      <c r="AF20">
        <f>COUNTIFS($D$2:$D$386,2,$F$2:$F$386,3)</f>
        <v>1</v>
      </c>
      <c r="AG20" s="34">
        <f t="shared" si="5"/>
        <v>0.25974025974025972</v>
      </c>
      <c r="AI20" s="27" t="s">
        <v>3087</v>
      </c>
      <c r="AJ20">
        <f>COUNTIFS($D$2:$D$386,3,$G$2:$G$386,16)</f>
        <v>0</v>
      </c>
      <c r="AK20" s="34">
        <f t="shared" si="6"/>
        <v>0</v>
      </c>
      <c r="AM20" t="s">
        <v>39</v>
      </c>
      <c r="AN20">
        <f>COUNTIFS($F$2:$F$386,3,$H$2:$H$386,5)</f>
        <v>3</v>
      </c>
      <c r="AO20" s="34">
        <f t="shared" si="7"/>
        <v>0.77922077922077926</v>
      </c>
      <c r="AQ20" t="s">
        <v>39</v>
      </c>
      <c r="AR20">
        <f>COUNTIFS($G$2:$G$386,3,$H$2:$H$386,5)</f>
        <v>3</v>
      </c>
      <c r="AS20" s="34">
        <f t="shared" si="8"/>
        <v>0.77922077922077926</v>
      </c>
    </row>
    <row r="21" spans="1:49" x14ac:dyDescent="0.3">
      <c r="A21" s="6" t="s">
        <v>1084</v>
      </c>
      <c r="B21" s="7">
        <v>14</v>
      </c>
      <c r="C21" s="3">
        <v>21</v>
      </c>
      <c r="D21" s="11">
        <v>4</v>
      </c>
      <c r="E21" s="11">
        <v>1</v>
      </c>
      <c r="F21" s="11">
        <v>100</v>
      </c>
      <c r="G21" s="3">
        <v>100</v>
      </c>
      <c r="H21" s="11">
        <v>100</v>
      </c>
      <c r="I21" s="11">
        <v>2</v>
      </c>
      <c r="K21" t="s">
        <v>25</v>
      </c>
      <c r="L21">
        <f>COUNTIFS($B$2:$B$386,2,$D$2:$D$386,4)</f>
        <v>4</v>
      </c>
      <c r="M21" s="34">
        <f t="shared" si="0"/>
        <v>1.0389610389610389</v>
      </c>
      <c r="O21" t="s">
        <v>25</v>
      </c>
      <c r="P21">
        <f>COUNTIFS($C$2:$C$386,19,$D$2:$D$386,4)</f>
        <v>25</v>
      </c>
      <c r="Q21" s="34">
        <f t="shared" si="1"/>
        <v>6.4935064935064926</v>
      </c>
      <c r="T21" s="22">
        <f>SUM(T12:T20)</f>
        <v>30</v>
      </c>
      <c r="U21" s="35">
        <f t="shared" si="2"/>
        <v>7.7922077922077921</v>
      </c>
      <c r="W21" s="4">
        <v>4</v>
      </c>
      <c r="X21">
        <f>COUNTIFS($E$2:$E$386,2,$F$2:$F$386,4)</f>
        <v>0</v>
      </c>
      <c r="Y21" s="34">
        <f t="shared" si="3"/>
        <v>0</v>
      </c>
      <c r="AA21" s="6" t="s">
        <v>3090</v>
      </c>
      <c r="AB21">
        <f>COUNTIFS($E$2:$E$386,3,$G$2:$G$386,100)</f>
        <v>51</v>
      </c>
      <c r="AC21" s="34">
        <f t="shared" si="4"/>
        <v>13.246753246753245</v>
      </c>
      <c r="AE21" s="4">
        <v>4</v>
      </c>
      <c r="AF21">
        <f>COUNTIFS($D$2:$D$386,2,$F$2:$F$386,4)</f>
        <v>0</v>
      </c>
      <c r="AG21" s="34">
        <f t="shared" si="5"/>
        <v>0</v>
      </c>
      <c r="AI21" s="4" t="s">
        <v>3090</v>
      </c>
      <c r="AJ21">
        <f>COUNTIFS($D$2:$D$386,3,$G$2:$G$386,100)</f>
        <v>4</v>
      </c>
      <c r="AK21" s="34">
        <f t="shared" si="6"/>
        <v>1.0389610389610389</v>
      </c>
      <c r="AM21" t="s">
        <v>34</v>
      </c>
      <c r="AN21">
        <f>COUNTIFS($F$2:$F$386,3,$H$2:$H$386,100)</f>
        <v>0</v>
      </c>
      <c r="AO21" s="34">
        <f t="shared" si="7"/>
        <v>0</v>
      </c>
      <c r="AQ21" t="s">
        <v>34</v>
      </c>
      <c r="AR21">
        <f>COUNTIFS($G$2:$G$386,3,$H$2:$H$386,100)</f>
        <v>0</v>
      </c>
      <c r="AS21" s="34">
        <f t="shared" si="8"/>
        <v>0</v>
      </c>
      <c r="AW21" s="34"/>
    </row>
    <row r="22" spans="1:49" x14ac:dyDescent="0.3">
      <c r="A22" t="s">
        <v>2905</v>
      </c>
      <c r="B22" s="7">
        <v>10</v>
      </c>
      <c r="C22" s="3">
        <v>20</v>
      </c>
      <c r="D22" s="3">
        <v>15</v>
      </c>
      <c r="E22" s="3">
        <v>3</v>
      </c>
      <c r="F22" s="3">
        <v>100</v>
      </c>
      <c r="G22" s="3">
        <v>100</v>
      </c>
      <c r="H22" s="3">
        <v>100</v>
      </c>
      <c r="I22" s="11">
        <v>2</v>
      </c>
      <c r="K22" t="s">
        <v>32</v>
      </c>
      <c r="L22">
        <f>COUNTIFS($B$2:$B$386,2,$D$2:$D$386,5)</f>
        <v>0</v>
      </c>
      <c r="M22" s="34">
        <f t="shared" si="0"/>
        <v>0</v>
      </c>
      <c r="O22" t="s">
        <v>32</v>
      </c>
      <c r="P22">
        <f>COUNTIFS($C$2:$C$386,19,$D$2:$D$386,5)</f>
        <v>4</v>
      </c>
      <c r="Q22" s="34">
        <f t="shared" si="1"/>
        <v>1.0389610389610389</v>
      </c>
      <c r="R22" t="s">
        <v>150</v>
      </c>
      <c r="S22" t="s">
        <v>10</v>
      </c>
      <c r="T22">
        <f>COUNTIFS($D$2:$D$386,3,$E$2:$E$386,1)</f>
        <v>3</v>
      </c>
      <c r="U22" s="34">
        <f>(T22/385)*100</f>
        <v>0.77922077922077926</v>
      </c>
      <c r="W22" s="4">
        <v>5</v>
      </c>
      <c r="X22">
        <f>COUNTIFS($E$2:$E$386,2,$F$2:$F$386,5)</f>
        <v>0</v>
      </c>
      <c r="Y22" s="34">
        <f t="shared" si="3"/>
        <v>0</v>
      </c>
      <c r="AB22" s="22">
        <f>SUM(AB16:AB21)</f>
        <v>221</v>
      </c>
      <c r="AC22" s="35">
        <f t="shared" si="4"/>
        <v>57.402597402597401</v>
      </c>
      <c r="AE22" s="4">
        <v>5</v>
      </c>
      <c r="AF22">
        <f>COUNTIFS($D$2:$D$386,2,$F$2:$F$386,5)</f>
        <v>0</v>
      </c>
      <c r="AG22" s="34">
        <f t="shared" si="5"/>
        <v>0</v>
      </c>
      <c r="AJ22" s="22">
        <f>SUM(AJ16:AJ21)</f>
        <v>32</v>
      </c>
      <c r="AK22" s="35">
        <f t="shared" si="6"/>
        <v>8.3116883116883109</v>
      </c>
      <c r="AN22" s="23">
        <f>SUM(AN16:AN21)</f>
        <v>20</v>
      </c>
      <c r="AO22" s="37">
        <f t="shared" si="7"/>
        <v>5.1948051948051948</v>
      </c>
      <c r="AR22" s="22">
        <f>SUM(AR16:AR21)</f>
        <v>20</v>
      </c>
      <c r="AS22" s="35">
        <f t="shared" si="8"/>
        <v>5.1948051948051948</v>
      </c>
      <c r="AW22" s="34"/>
    </row>
    <row r="23" spans="1:49" x14ac:dyDescent="0.3">
      <c r="A23" s="6" t="s">
        <v>758</v>
      </c>
      <c r="B23" s="7">
        <v>15</v>
      </c>
      <c r="C23" s="3">
        <v>21</v>
      </c>
      <c r="D23" s="11">
        <v>2</v>
      </c>
      <c r="E23" s="7">
        <v>3</v>
      </c>
      <c r="F23" s="11">
        <v>1</v>
      </c>
      <c r="G23" s="3">
        <v>1</v>
      </c>
      <c r="H23" s="11">
        <v>2</v>
      </c>
      <c r="I23" s="11">
        <v>2</v>
      </c>
      <c r="K23" t="s">
        <v>38</v>
      </c>
      <c r="L23">
        <f>COUNTIFS($B$2:$B$386,2,$D$2:$D$386,6)</f>
        <v>0</v>
      </c>
      <c r="M23" s="34">
        <f t="shared" si="0"/>
        <v>0</v>
      </c>
      <c r="O23" t="s">
        <v>38</v>
      </c>
      <c r="P23">
        <f>COUNTIFS($C$2:$C$386,19,$D$2:$D$386,6)</f>
        <v>0</v>
      </c>
      <c r="Q23" s="34">
        <f t="shared" si="1"/>
        <v>0</v>
      </c>
      <c r="S23" t="s">
        <v>17</v>
      </c>
      <c r="T23">
        <f>COUNTIFS($D$2:$D$386,3,$E$2:$E$386,2)</f>
        <v>0</v>
      </c>
      <c r="U23" s="34">
        <f t="shared" si="2"/>
        <v>0</v>
      </c>
      <c r="W23" s="4">
        <v>6</v>
      </c>
      <c r="X23">
        <f>COUNTIFS($E$2:$E$386,2,$F$2:$F$386,6)</f>
        <v>0</v>
      </c>
      <c r="Y23" s="34">
        <f t="shared" si="3"/>
        <v>0</v>
      </c>
      <c r="Z23" t="s">
        <v>31</v>
      </c>
      <c r="AA23" s="4">
        <v>1</v>
      </c>
      <c r="AB23">
        <f>COUNTIFS($E$2:$E$386,4,$G$2:$G$386,1)</f>
        <v>2</v>
      </c>
      <c r="AC23" s="34">
        <f>(AB23/385)*100</f>
        <v>0.51948051948051943</v>
      </c>
      <c r="AE23" s="4">
        <v>6</v>
      </c>
      <c r="AF23">
        <f>COUNTIFS($D$2:$D$386,2,$F$2:$F$386,6)</f>
        <v>0</v>
      </c>
      <c r="AG23" s="34">
        <f t="shared" si="5"/>
        <v>0</v>
      </c>
      <c r="AH23" t="s">
        <v>25</v>
      </c>
      <c r="AI23" s="4">
        <v>1</v>
      </c>
      <c r="AJ23">
        <f>COUNTIFS($D$2:$D$386,4,$G$2:$G$386,1)</f>
        <v>110</v>
      </c>
      <c r="AK23" s="34">
        <f>(AJ23/385)*100</f>
        <v>28.571428571428569</v>
      </c>
      <c r="AL23" s="4">
        <v>4</v>
      </c>
      <c r="AM23" t="s">
        <v>12</v>
      </c>
      <c r="AN23">
        <f>COUNTIFS($F$2:$F$386,4,$H$2:$H$386,1)</f>
        <v>0</v>
      </c>
      <c r="AO23" s="34">
        <f>(AN23/385)*100</f>
        <v>0</v>
      </c>
      <c r="AP23" s="26" t="s">
        <v>3086</v>
      </c>
      <c r="AQ23" t="s">
        <v>12</v>
      </c>
      <c r="AR23">
        <f>COUNTIFS($G$2:$G$386,15,$H$2:$H$386,1)</f>
        <v>0</v>
      </c>
      <c r="AS23" s="34">
        <f>(AR23/385)*100</f>
        <v>0</v>
      </c>
    </row>
    <row r="24" spans="1:49" x14ac:dyDescent="0.3">
      <c r="A24" s="6" t="s">
        <v>495</v>
      </c>
      <c r="B24" s="7">
        <v>16</v>
      </c>
      <c r="C24" s="3">
        <v>21</v>
      </c>
      <c r="D24" s="11">
        <v>4</v>
      </c>
      <c r="E24" s="11">
        <v>1</v>
      </c>
      <c r="F24" s="11">
        <v>1</v>
      </c>
      <c r="G24" s="3">
        <v>1</v>
      </c>
      <c r="H24" s="11">
        <v>2</v>
      </c>
      <c r="I24" s="7">
        <v>1</v>
      </c>
      <c r="K24" t="s">
        <v>151</v>
      </c>
      <c r="L24">
        <f>COUNTIFS($B$2:$B$386,2,$D$2:$D$386,7)</f>
        <v>0</v>
      </c>
      <c r="M24" s="34">
        <f t="shared" si="0"/>
        <v>0</v>
      </c>
      <c r="O24" t="s">
        <v>151</v>
      </c>
      <c r="P24">
        <f>COUNTIFS($C$2:$C$386,19,$D$2:$D$386,7)</f>
        <v>0</v>
      </c>
      <c r="Q24" s="34">
        <f t="shared" si="1"/>
        <v>0</v>
      </c>
      <c r="S24" t="s">
        <v>24</v>
      </c>
      <c r="T24">
        <f>COUNTIFS($D$2:$D$386,3,$E$2:$E$386,3)</f>
        <v>20</v>
      </c>
      <c r="U24" s="34">
        <f t="shared" si="2"/>
        <v>5.1948051948051948</v>
      </c>
      <c r="W24" s="4">
        <v>7</v>
      </c>
      <c r="X24">
        <f>COUNTIFS($E$2:$E$386,2,$F$2:$F$386,7)</f>
        <v>0</v>
      </c>
      <c r="Y24" s="34">
        <f t="shared" si="3"/>
        <v>0</v>
      </c>
      <c r="AA24" s="4">
        <v>2</v>
      </c>
      <c r="AB24">
        <f>COUNTIFS($E$2:$E$386,4,$G$2:$G$386,2)</f>
        <v>1</v>
      </c>
      <c r="AC24" s="34">
        <f t="shared" si="4"/>
        <v>0.25974025974025972</v>
      </c>
      <c r="AE24" s="4">
        <v>7</v>
      </c>
      <c r="AF24">
        <f>COUNTIFS($D$2:$D$386,2,$F$2:$F$386,7)</f>
        <v>0</v>
      </c>
      <c r="AG24" s="34">
        <f t="shared" si="5"/>
        <v>0</v>
      </c>
      <c r="AI24" s="4">
        <v>2</v>
      </c>
      <c r="AJ24">
        <f>COUNTIFS($D$2:$D$386,4,$G$2:$G$386,2)</f>
        <v>9</v>
      </c>
      <c r="AK24" s="34">
        <f t="shared" si="6"/>
        <v>2.3376623376623376</v>
      </c>
      <c r="AM24" t="s">
        <v>19</v>
      </c>
      <c r="AN24">
        <f>COUNTIFS($F$2:$F$386,4,$H$2:$H$386,2)</f>
        <v>0</v>
      </c>
      <c r="AO24" s="34">
        <f t="shared" si="7"/>
        <v>0</v>
      </c>
      <c r="AQ24" t="s">
        <v>19</v>
      </c>
      <c r="AR24">
        <f>COUNTIFS($G$2:$G$386,15,$H$2:$H$386,2)</f>
        <v>0</v>
      </c>
      <c r="AS24" s="34">
        <f t="shared" si="8"/>
        <v>0</v>
      </c>
    </row>
    <row r="25" spans="1:49" x14ac:dyDescent="0.3">
      <c r="A25" t="s">
        <v>1363</v>
      </c>
      <c r="B25" s="7">
        <v>13</v>
      </c>
      <c r="C25" s="3">
        <v>21</v>
      </c>
      <c r="D25" s="3">
        <v>4</v>
      </c>
      <c r="E25" s="3">
        <v>3</v>
      </c>
      <c r="F25" s="3">
        <v>1</v>
      </c>
      <c r="G25" s="3">
        <v>1</v>
      </c>
      <c r="H25" s="3">
        <v>2</v>
      </c>
      <c r="I25" s="11">
        <v>2</v>
      </c>
      <c r="K25" t="s">
        <v>43</v>
      </c>
      <c r="L25">
        <f>COUNTIFS($B$2:$B$386,2,$D$2:$D$386,8)</f>
        <v>0</v>
      </c>
      <c r="M25" s="34">
        <f t="shared" si="0"/>
        <v>0</v>
      </c>
      <c r="O25" t="s">
        <v>43</v>
      </c>
      <c r="P25">
        <f>COUNTIFS($C$2:$C$386,19,$D$2:$D$386,8)</f>
        <v>1</v>
      </c>
      <c r="Q25" s="34">
        <f t="shared" si="1"/>
        <v>0.25974025974025972</v>
      </c>
      <c r="S25" t="s">
        <v>31</v>
      </c>
      <c r="T25">
        <f>COUNTIFS($D$2:$D$386,3,$E$2:$E$386,4)</f>
        <v>0</v>
      </c>
      <c r="U25" s="34">
        <f t="shared" si="2"/>
        <v>0</v>
      </c>
      <c r="W25" s="4">
        <v>8</v>
      </c>
      <c r="X25">
        <f>COUNTIFS($E$2:$E$386,2,$F$2:$F$386,8)</f>
        <v>0</v>
      </c>
      <c r="Y25" s="34">
        <f t="shared" si="3"/>
        <v>0</v>
      </c>
      <c r="AA25" s="4">
        <v>3</v>
      </c>
      <c r="AB25">
        <f>COUNTIFS($E$2:$E$386,4,$G$2:$G$386,3)</f>
        <v>0</v>
      </c>
      <c r="AC25" s="34">
        <f t="shared" si="4"/>
        <v>0</v>
      </c>
      <c r="AE25" s="4">
        <v>8</v>
      </c>
      <c r="AF25">
        <f>COUNTIFS($D$2:$D$386,2,$F$2:$F$386,8)</f>
        <v>0</v>
      </c>
      <c r="AG25" s="34">
        <f t="shared" si="5"/>
        <v>0</v>
      </c>
      <c r="AI25" s="4">
        <v>3</v>
      </c>
      <c r="AJ25">
        <f>COUNTIFS($D$2:$D$386,4,$G$2:$G$386,3)</f>
        <v>5</v>
      </c>
      <c r="AK25" s="34">
        <f t="shared" si="6"/>
        <v>1.2987012987012987</v>
      </c>
      <c r="AM25" t="s">
        <v>26</v>
      </c>
      <c r="AN25">
        <f>COUNTIFS($F$2:$F$386,4,$H$2:$H$386,3)</f>
        <v>1</v>
      </c>
      <c r="AO25" s="34">
        <f t="shared" si="7"/>
        <v>0.25974025974025972</v>
      </c>
      <c r="AQ25" t="s">
        <v>26</v>
      </c>
      <c r="AR25">
        <f>COUNTIFS($G$2:$G$386,15,$H$2:$H$386,3)</f>
        <v>8</v>
      </c>
      <c r="AS25" s="34">
        <f t="shared" si="8"/>
        <v>2.0779220779220777</v>
      </c>
    </row>
    <row r="26" spans="1:49" x14ac:dyDescent="0.3">
      <c r="A26" s="6" t="s">
        <v>780</v>
      </c>
      <c r="B26" s="7">
        <v>15</v>
      </c>
      <c r="C26" s="3">
        <v>21</v>
      </c>
      <c r="D26" s="11">
        <v>14</v>
      </c>
      <c r="E26" s="7">
        <v>1</v>
      </c>
      <c r="F26" s="11">
        <v>1</v>
      </c>
      <c r="G26" s="3">
        <v>1</v>
      </c>
      <c r="H26" s="11">
        <v>2</v>
      </c>
      <c r="I26" s="11">
        <v>2</v>
      </c>
      <c r="K26" t="s">
        <v>46</v>
      </c>
      <c r="L26">
        <f>COUNTIFS($B$2:$B$386,2,$D$2:$D$386,9)</f>
        <v>0</v>
      </c>
      <c r="M26" s="34">
        <f t="shared" si="0"/>
        <v>0</v>
      </c>
      <c r="O26" t="s">
        <v>46</v>
      </c>
      <c r="P26">
        <f>COUNTIFS($C$2:$C$386,19,$D$2:$D$386,9)</f>
        <v>2</v>
      </c>
      <c r="Q26" s="34">
        <f t="shared" si="1"/>
        <v>0.51948051948051943</v>
      </c>
      <c r="S26" t="s">
        <v>37</v>
      </c>
      <c r="T26">
        <f>COUNTIFS($D$2:$D$386,3,$E$2:$E$386,5)</f>
        <v>4</v>
      </c>
      <c r="U26" s="34">
        <f t="shared" si="2"/>
        <v>1.0389610389610389</v>
      </c>
      <c r="W26" s="4">
        <v>9</v>
      </c>
      <c r="X26">
        <f>COUNTIFS($E$2:$E$386,2,$F$2:$F$386,9)</f>
        <v>0</v>
      </c>
      <c r="Y26" s="34">
        <f t="shared" si="3"/>
        <v>0</v>
      </c>
      <c r="AA26" s="26" t="s">
        <v>3086</v>
      </c>
      <c r="AB26">
        <f>COUNTIFS($E$2:$E$386,4,$G$2:$G$386,15)</f>
        <v>1</v>
      </c>
      <c r="AC26" s="34">
        <f t="shared" si="4"/>
        <v>0.25974025974025972</v>
      </c>
      <c r="AE26" s="4">
        <v>9</v>
      </c>
      <c r="AF26">
        <f>COUNTIFS($D$2:$D$386,2,$F$2:$F$386,9)</f>
        <v>0</v>
      </c>
      <c r="AG26" s="34">
        <f t="shared" si="5"/>
        <v>0</v>
      </c>
      <c r="AI26" s="26" t="s">
        <v>3086</v>
      </c>
      <c r="AJ26">
        <f>COUNTIFS($D$2:$D$386,4,$G$2:$G$386,15)</f>
        <v>1</v>
      </c>
      <c r="AK26" s="34">
        <f t="shared" si="6"/>
        <v>0.25974025974025972</v>
      </c>
      <c r="AM26" t="s">
        <v>33</v>
      </c>
      <c r="AN26">
        <f>COUNTIFS($F$2:$F$386,4,$H$2:$H$386,4)</f>
        <v>0</v>
      </c>
      <c r="AO26" s="34">
        <f t="shared" si="7"/>
        <v>0</v>
      </c>
      <c r="AQ26" t="s">
        <v>33</v>
      </c>
      <c r="AR26">
        <f>COUNTIFS($G$2:$G$386,15,$H$2:$H$386,4)</f>
        <v>0</v>
      </c>
      <c r="AS26" s="34">
        <f t="shared" si="8"/>
        <v>0</v>
      </c>
    </row>
    <row r="27" spans="1:49" x14ac:dyDescent="0.3">
      <c r="A27" t="s">
        <v>1627</v>
      </c>
      <c r="B27" s="7">
        <v>11</v>
      </c>
      <c r="C27" s="3">
        <v>20</v>
      </c>
      <c r="D27" s="3">
        <v>4</v>
      </c>
      <c r="E27" s="3">
        <v>3</v>
      </c>
      <c r="F27" s="11">
        <v>2</v>
      </c>
      <c r="G27" s="3">
        <v>2</v>
      </c>
      <c r="H27" s="11">
        <v>3</v>
      </c>
      <c r="I27" s="7">
        <v>2</v>
      </c>
      <c r="K27" t="s">
        <v>152</v>
      </c>
      <c r="L27">
        <f>COUNTIFS($B$2:$B$386,2,$D$2:$D$386,10)</f>
        <v>0</v>
      </c>
      <c r="M27" s="34">
        <f t="shared" si="0"/>
        <v>0</v>
      </c>
      <c r="O27" t="s">
        <v>152</v>
      </c>
      <c r="P27">
        <f>COUNTIFS($C$2:$C$386,19,$D$2:$D$386,10)</f>
        <v>0</v>
      </c>
      <c r="Q27" s="34">
        <f t="shared" si="1"/>
        <v>0</v>
      </c>
      <c r="S27" t="s">
        <v>42</v>
      </c>
      <c r="T27">
        <f>COUNTIFS($D$2:$D$386,3,$E$2:$E$386,6)</f>
        <v>3</v>
      </c>
      <c r="U27" s="34">
        <f t="shared" si="2"/>
        <v>0.77922077922077926</v>
      </c>
      <c r="W27" s="4">
        <v>10</v>
      </c>
      <c r="X27">
        <f>COUNTIFS($E$2:$E$386,2,$F$2:$F$386,10)</f>
        <v>0</v>
      </c>
      <c r="Y27" s="34">
        <f t="shared" si="3"/>
        <v>0</v>
      </c>
      <c r="AA27" s="27" t="s">
        <v>3087</v>
      </c>
      <c r="AB27">
        <f>COUNTIFS($E$2:$E$386,4,$G$2:$G$386,16)</f>
        <v>0</v>
      </c>
      <c r="AC27" s="34">
        <f t="shared" si="4"/>
        <v>0</v>
      </c>
      <c r="AE27" s="4">
        <v>10</v>
      </c>
      <c r="AF27">
        <f>COUNTIFS($D$2:$D$386,2,$F$2:$F$386,10)</f>
        <v>0</v>
      </c>
      <c r="AG27" s="34">
        <f t="shared" si="5"/>
        <v>0</v>
      </c>
      <c r="AI27" s="27" t="s">
        <v>3087</v>
      </c>
      <c r="AJ27">
        <f>COUNTIFS($D$2:$D$386,4,$G$2:$G$386,16)</f>
        <v>0</v>
      </c>
      <c r="AK27" s="34">
        <f t="shared" si="6"/>
        <v>0</v>
      </c>
      <c r="AM27" t="s">
        <v>39</v>
      </c>
      <c r="AN27">
        <f>COUNTIFS($F$2:$F$386,4,$H$2:$H$386,5)</f>
        <v>2</v>
      </c>
      <c r="AO27" s="34">
        <f t="shared" si="7"/>
        <v>0.51948051948051943</v>
      </c>
      <c r="AQ27" t="s">
        <v>39</v>
      </c>
      <c r="AR27">
        <f>COUNTIFS($G$2:$G$386,15,$H$2:$H$386,5)</f>
        <v>3</v>
      </c>
      <c r="AS27" s="34">
        <f t="shared" si="8"/>
        <v>0.77922077922077926</v>
      </c>
    </row>
    <row r="28" spans="1:49" x14ac:dyDescent="0.3">
      <c r="A28" s="6" t="s">
        <v>488</v>
      </c>
      <c r="B28" s="7">
        <v>16</v>
      </c>
      <c r="C28" s="3">
        <v>21</v>
      </c>
      <c r="D28" s="11">
        <v>4</v>
      </c>
      <c r="E28" s="11">
        <v>1</v>
      </c>
      <c r="F28" s="11">
        <v>1</v>
      </c>
      <c r="G28" s="3">
        <v>1</v>
      </c>
      <c r="H28" s="11">
        <v>2</v>
      </c>
      <c r="I28" s="11">
        <v>2</v>
      </c>
      <c r="K28" t="s">
        <v>49</v>
      </c>
      <c r="L28">
        <f>COUNTIFS($B$2:$B$386,2,$D$2:$D$386,11)</f>
        <v>0</v>
      </c>
      <c r="M28" s="34">
        <f t="shared" si="0"/>
        <v>0</v>
      </c>
      <c r="O28" t="s">
        <v>49</v>
      </c>
      <c r="P28">
        <f>COUNTIFS($C$2:$C$386,19,$D$2:$D$386,11)</f>
        <v>0</v>
      </c>
      <c r="Q28" s="34">
        <f t="shared" si="1"/>
        <v>0</v>
      </c>
      <c r="S28" t="s">
        <v>45</v>
      </c>
      <c r="T28">
        <f>COUNTIFS($D$2:$D$386,3,$E$2:$E$386,7)</f>
        <v>0</v>
      </c>
      <c r="U28" s="34">
        <f t="shared" si="2"/>
        <v>0</v>
      </c>
      <c r="W28" s="4">
        <v>11</v>
      </c>
      <c r="X28">
        <f>COUNTIFS($E$2:$E$386,2,$F$2:$F$386,11)</f>
        <v>0</v>
      </c>
      <c r="Y28" s="34">
        <f t="shared" si="3"/>
        <v>0</v>
      </c>
      <c r="AA28" s="6" t="s">
        <v>3090</v>
      </c>
      <c r="AB28">
        <f>COUNTIFS($E$2:$E$386,4,$G$2:$G$386,100)</f>
        <v>1</v>
      </c>
      <c r="AC28" s="34">
        <f t="shared" si="4"/>
        <v>0.25974025974025972</v>
      </c>
      <c r="AE28" s="4">
        <v>11</v>
      </c>
      <c r="AF28">
        <f>COUNTIFS($D$2:$D$386,2,$F$2:$F$386,11)</f>
        <v>0</v>
      </c>
      <c r="AG28" s="34">
        <f t="shared" si="5"/>
        <v>0</v>
      </c>
      <c r="AI28" s="4" t="s">
        <v>3090</v>
      </c>
      <c r="AJ28">
        <f>COUNTIFS($D$2:$D$386,4,$G$2:$G$386,100)</f>
        <v>32</v>
      </c>
      <c r="AK28" s="34">
        <f t="shared" si="6"/>
        <v>8.3116883116883109</v>
      </c>
      <c r="AM28" t="s">
        <v>34</v>
      </c>
      <c r="AN28">
        <f>COUNTIFS($F$2:$F$386,4,$H$2:$H$386,100)</f>
        <v>0</v>
      </c>
      <c r="AO28" s="34">
        <f t="shared" si="7"/>
        <v>0</v>
      </c>
      <c r="AQ28" t="s">
        <v>34</v>
      </c>
      <c r="AR28">
        <f>COUNTIFS($G$2:$G$386,15,$H$2:$H$386,100)</f>
        <v>0</v>
      </c>
      <c r="AS28" s="34">
        <f t="shared" si="8"/>
        <v>0</v>
      </c>
    </row>
    <row r="29" spans="1:49" x14ac:dyDescent="0.3">
      <c r="A29" t="s">
        <v>2175</v>
      </c>
      <c r="B29" s="7">
        <v>4</v>
      </c>
      <c r="C29" s="3">
        <v>18</v>
      </c>
      <c r="D29" s="3">
        <v>8</v>
      </c>
      <c r="E29" s="3">
        <v>3</v>
      </c>
      <c r="F29" s="3">
        <v>1</v>
      </c>
      <c r="G29" s="3">
        <v>1</v>
      </c>
      <c r="H29" s="3">
        <v>2</v>
      </c>
      <c r="I29" s="7">
        <v>2</v>
      </c>
      <c r="K29" t="s">
        <v>51</v>
      </c>
      <c r="L29">
        <f>COUNTIFS($B$2:$B$386,2,$D$2:$D$386,12)</f>
        <v>0</v>
      </c>
      <c r="M29" s="34">
        <f t="shared" si="0"/>
        <v>0</v>
      </c>
      <c r="O29" t="s">
        <v>51</v>
      </c>
      <c r="P29">
        <f>COUNTIFS($C$2:$C$386,19,$D$2:$D$386,12)</f>
        <v>0</v>
      </c>
      <c r="Q29" s="34">
        <f t="shared" si="1"/>
        <v>0</v>
      </c>
      <c r="S29" t="s">
        <v>48</v>
      </c>
      <c r="T29">
        <f>COUNTIFS($D$2:$D$386,3,$E$2:$E$386,8)</f>
        <v>0</v>
      </c>
      <c r="U29" s="34">
        <f t="shared" si="2"/>
        <v>0</v>
      </c>
      <c r="W29" s="4">
        <v>12</v>
      </c>
      <c r="X29">
        <f>COUNTIFS($E$2:$E$386,2,$F$2:$F$386,12)</f>
        <v>0</v>
      </c>
      <c r="Y29" s="34">
        <f t="shared" si="3"/>
        <v>0</v>
      </c>
      <c r="AB29" s="22">
        <f>SUM(AB23:AB28)</f>
        <v>5</v>
      </c>
      <c r="AC29" s="35">
        <f t="shared" si="4"/>
        <v>1.2987012987012987</v>
      </c>
      <c r="AE29" s="4">
        <v>12</v>
      </c>
      <c r="AF29">
        <f>COUNTIFS($D$2:$D$386,2,$F$2:$F$386,12)</f>
        <v>0</v>
      </c>
      <c r="AG29" s="34">
        <f t="shared" si="5"/>
        <v>0</v>
      </c>
      <c r="AJ29" s="22">
        <f>SUM(AJ23:AJ28)</f>
        <v>157</v>
      </c>
      <c r="AK29" s="35">
        <f t="shared" si="6"/>
        <v>40.779220779220779</v>
      </c>
      <c r="AN29" s="23">
        <f>SUM(AN23:AN28)</f>
        <v>3</v>
      </c>
      <c r="AO29" s="37">
        <f t="shared" si="7"/>
        <v>0.77922077922077926</v>
      </c>
      <c r="AR29" s="22">
        <f>SUM(AR23:AR28)</f>
        <v>11</v>
      </c>
      <c r="AS29" s="35">
        <f t="shared" si="8"/>
        <v>2.8571428571428572</v>
      </c>
    </row>
    <row r="30" spans="1:49" x14ac:dyDescent="0.3">
      <c r="A30" t="s">
        <v>2977</v>
      </c>
      <c r="B30" s="7">
        <v>6</v>
      </c>
      <c r="C30" s="3">
        <v>19</v>
      </c>
      <c r="D30" s="3">
        <v>4</v>
      </c>
      <c r="E30" s="3">
        <v>3</v>
      </c>
      <c r="F30" s="3">
        <v>1</v>
      </c>
      <c r="G30" s="3">
        <v>1</v>
      </c>
      <c r="H30" s="3">
        <v>1</v>
      </c>
      <c r="I30" s="7">
        <v>2</v>
      </c>
      <c r="K30" t="s">
        <v>153</v>
      </c>
      <c r="L30">
        <f>COUNTIFS($B$2:$B$386,2,$D$2:$D$386,13)</f>
        <v>1</v>
      </c>
      <c r="M30" s="34">
        <f t="shared" si="0"/>
        <v>0.25974025974025972</v>
      </c>
      <c r="O30" t="s">
        <v>153</v>
      </c>
      <c r="P30">
        <f>COUNTIFS($C$2:$C$386,19,$D$2:$D$386,13)</f>
        <v>0</v>
      </c>
      <c r="Q30" s="34">
        <f t="shared" si="1"/>
        <v>0</v>
      </c>
      <c r="S30" t="s">
        <v>50</v>
      </c>
      <c r="T30">
        <f>COUNTIFS($D$2:$D$386,3,$E$2:$E$386,9)</f>
        <v>2</v>
      </c>
      <c r="U30" s="34">
        <f t="shared" si="2"/>
        <v>0.51948051948051943</v>
      </c>
      <c r="W30" s="4">
        <v>13</v>
      </c>
      <c r="X30">
        <f>COUNTIFS($E$2:$E$386,2,$F$2:$F$386,13)</f>
        <v>0</v>
      </c>
      <c r="Y30" s="34">
        <f t="shared" si="3"/>
        <v>0</v>
      </c>
      <c r="Z30" t="s">
        <v>37</v>
      </c>
      <c r="AA30" s="4">
        <v>1</v>
      </c>
      <c r="AB30">
        <f>COUNTIFS($E$2:$E$386,5,$G$2:$G$386,1)</f>
        <v>14</v>
      </c>
      <c r="AC30" s="34">
        <f>(AB30/385)*100</f>
        <v>3.6363636363636362</v>
      </c>
      <c r="AE30" s="4">
        <v>13</v>
      </c>
      <c r="AF30">
        <f>COUNTIFS($D$2:$D$386,2,$F$2:$F$386,13)</f>
        <v>0</v>
      </c>
      <c r="AG30" s="34">
        <f t="shared" si="5"/>
        <v>0</v>
      </c>
      <c r="AH30" t="s">
        <v>32</v>
      </c>
      <c r="AI30" s="4">
        <v>1</v>
      </c>
      <c r="AJ30">
        <f>COUNTIFS($D$2:$D$386,5,$G$2:$G$386,1)</f>
        <v>5</v>
      </c>
      <c r="AK30" s="34">
        <f>(AJ30/385)*100</f>
        <v>1.2987012987012987</v>
      </c>
      <c r="AL30" s="4">
        <v>5</v>
      </c>
      <c r="AM30" t="s">
        <v>12</v>
      </c>
      <c r="AN30">
        <f>COUNTIFS($F$2:$F$386,5,$H$2:$H$386,1)</f>
        <v>0</v>
      </c>
      <c r="AO30" s="34">
        <f>(AN30/385)*100</f>
        <v>0</v>
      </c>
      <c r="AP30" s="27" t="s">
        <v>3087</v>
      </c>
      <c r="AQ30" t="s">
        <v>12</v>
      </c>
      <c r="AR30">
        <f>COUNTIFS($G$2:$G$386,16,$H$2:$H$386,1)</f>
        <v>0</v>
      </c>
      <c r="AS30" s="34">
        <f>(AR30/385)*100</f>
        <v>0</v>
      </c>
    </row>
    <row r="31" spans="1:49" x14ac:dyDescent="0.3">
      <c r="A31" t="s">
        <v>2109</v>
      </c>
      <c r="B31" s="7">
        <v>4</v>
      </c>
      <c r="C31" s="3">
        <v>18</v>
      </c>
      <c r="D31" s="3">
        <v>1</v>
      </c>
      <c r="E31" s="3">
        <v>1</v>
      </c>
      <c r="F31" s="3">
        <v>2</v>
      </c>
      <c r="G31" s="3">
        <v>2</v>
      </c>
      <c r="H31" s="3">
        <v>4</v>
      </c>
      <c r="I31" s="7">
        <v>2</v>
      </c>
      <c r="K31" t="s">
        <v>154</v>
      </c>
      <c r="L31">
        <f>COUNTIFS($B$2:$B$386,2,$D$2:$D$386,14)</f>
        <v>0</v>
      </c>
      <c r="M31" s="34">
        <f t="shared" si="0"/>
        <v>0</v>
      </c>
      <c r="O31" t="s">
        <v>154</v>
      </c>
      <c r="P31">
        <f>COUNTIFS($C$2:$C$386,19,$D$2:$D$386,14)</f>
        <v>1</v>
      </c>
      <c r="Q31" s="34">
        <f t="shared" si="1"/>
        <v>0.25974025974025972</v>
      </c>
      <c r="T31" s="22">
        <f>SUM(T22:T30)</f>
        <v>32</v>
      </c>
      <c r="U31" s="35">
        <f t="shared" si="2"/>
        <v>8.3116883116883109</v>
      </c>
      <c r="W31" s="4">
        <v>14</v>
      </c>
      <c r="X31">
        <f>COUNTIFS($E$2:$E$386,2,$F$2:$F$386,14)</f>
        <v>0</v>
      </c>
      <c r="Y31" s="34">
        <f t="shared" si="3"/>
        <v>0</v>
      </c>
      <c r="AA31" s="4">
        <v>2</v>
      </c>
      <c r="AB31">
        <f>COUNTIFS($E$2:$E$386,5,$G$2:$G$386,2)</f>
        <v>2</v>
      </c>
      <c r="AC31" s="34">
        <f t="shared" si="4"/>
        <v>0.51948051948051943</v>
      </c>
      <c r="AE31" s="4">
        <v>14</v>
      </c>
      <c r="AF31">
        <f>COUNTIFS($D$2:$D$386,2,$F$2:$F$386,14)</f>
        <v>0</v>
      </c>
      <c r="AG31" s="34">
        <f t="shared" si="5"/>
        <v>0</v>
      </c>
      <c r="AI31" s="4">
        <v>2</v>
      </c>
      <c r="AJ31">
        <f>COUNTIFS($D$2:$D$386,5,$G$2:$G$386,2)</f>
        <v>1</v>
      </c>
      <c r="AK31" s="34">
        <f t="shared" si="6"/>
        <v>0.25974025974025972</v>
      </c>
      <c r="AM31" t="s">
        <v>19</v>
      </c>
      <c r="AN31">
        <f>COUNTIFS($F$2:$F$386,5,$H$2:$H$386,2)</f>
        <v>0</v>
      </c>
      <c r="AO31" s="34">
        <f t="shared" si="7"/>
        <v>0</v>
      </c>
      <c r="AQ31" t="s">
        <v>19</v>
      </c>
      <c r="AR31">
        <f>COUNTIFS($G$2:$G$386,16,$H$2:$H$386,2)</f>
        <v>0</v>
      </c>
      <c r="AS31" s="34">
        <f t="shared" si="8"/>
        <v>0</v>
      </c>
    </row>
    <row r="32" spans="1:49" x14ac:dyDescent="0.3">
      <c r="A32" t="s">
        <v>2109</v>
      </c>
      <c r="B32" s="7">
        <v>4</v>
      </c>
      <c r="C32" s="3">
        <v>18</v>
      </c>
      <c r="D32" s="3">
        <v>4</v>
      </c>
      <c r="E32" s="3">
        <v>3</v>
      </c>
      <c r="F32" s="3">
        <v>1</v>
      </c>
      <c r="G32" s="3">
        <v>1</v>
      </c>
      <c r="H32" s="3">
        <v>1</v>
      </c>
      <c r="I32" s="11">
        <v>2</v>
      </c>
      <c r="K32" t="s">
        <v>52</v>
      </c>
      <c r="L32">
        <f>COUNTIFS($B$2:$B$386,2,$D$2:$D$386,15)</f>
        <v>0</v>
      </c>
      <c r="M32" s="34">
        <f t="shared" si="0"/>
        <v>0</v>
      </c>
      <c r="O32" t="s">
        <v>52</v>
      </c>
      <c r="P32">
        <f>COUNTIFS($C$2:$C$386,19,$D$2:$D$386,15)</f>
        <v>5</v>
      </c>
      <c r="Q32" s="34">
        <f t="shared" si="1"/>
        <v>1.2987012987012987</v>
      </c>
      <c r="R32" t="s">
        <v>25</v>
      </c>
      <c r="S32" t="s">
        <v>10</v>
      </c>
      <c r="T32">
        <f>COUNTIFS($D$2:$D$386,4,$E$2:$E$386,1)</f>
        <v>28</v>
      </c>
      <c r="U32" s="34">
        <f>(T32/385)*100</f>
        <v>7.2727272727272725</v>
      </c>
      <c r="W32" t="s">
        <v>3090</v>
      </c>
      <c r="X32">
        <f>COUNTIFS($E$2:$E$386,2,$F$2:$F$386,100)</f>
        <v>0</v>
      </c>
      <c r="Y32" s="34">
        <f t="shared" si="3"/>
        <v>0</v>
      </c>
      <c r="AA32" s="4">
        <v>3</v>
      </c>
      <c r="AB32">
        <f>COUNTIFS($E$2:$E$386,5,$G$2:$G$386,3)</f>
        <v>0</v>
      </c>
      <c r="AC32" s="34">
        <f t="shared" si="4"/>
        <v>0</v>
      </c>
      <c r="AE32" t="s">
        <v>3090</v>
      </c>
      <c r="AF32">
        <f>COUNTIFS($D$2:$D$386,2,$F$2:$F$386,100)</f>
        <v>12</v>
      </c>
      <c r="AG32" s="34">
        <f t="shared" si="5"/>
        <v>3.116883116883117</v>
      </c>
      <c r="AI32" s="4">
        <v>3</v>
      </c>
      <c r="AJ32">
        <f>COUNTIFS($D$2:$D$386,5,$G$2:$G$386,3)</f>
        <v>4</v>
      </c>
      <c r="AK32" s="34">
        <f t="shared" si="6"/>
        <v>1.0389610389610389</v>
      </c>
      <c r="AM32" t="s">
        <v>26</v>
      </c>
      <c r="AN32">
        <f>COUNTIFS($F$2:$F$386,5,$H$2:$H$386,3)</f>
        <v>4</v>
      </c>
      <c r="AO32" s="34">
        <f t="shared" si="7"/>
        <v>1.0389610389610389</v>
      </c>
      <c r="AQ32" t="s">
        <v>26</v>
      </c>
      <c r="AR32">
        <f>COUNTIFS($G$2:$G$386,16,$H$2:$H$386,3)</f>
        <v>2</v>
      </c>
      <c r="AS32" s="34">
        <f t="shared" si="8"/>
        <v>0.51948051948051943</v>
      </c>
    </row>
    <row r="33" spans="1:45" x14ac:dyDescent="0.3">
      <c r="A33" t="s">
        <v>1377</v>
      </c>
      <c r="B33" s="7">
        <v>13</v>
      </c>
      <c r="C33" s="3">
        <v>21</v>
      </c>
      <c r="D33" s="3">
        <v>8</v>
      </c>
      <c r="E33" s="3">
        <v>3</v>
      </c>
      <c r="F33" s="3">
        <v>100</v>
      </c>
      <c r="G33" s="3">
        <v>100</v>
      </c>
      <c r="H33" s="3">
        <v>100</v>
      </c>
      <c r="I33" s="11">
        <v>2</v>
      </c>
      <c r="L33" s="22">
        <f>SUM(L18:L32)</f>
        <v>11</v>
      </c>
      <c r="M33" s="35">
        <f t="shared" si="0"/>
        <v>2.8571428571428572</v>
      </c>
      <c r="P33" s="23">
        <f>SUM(P18:P32)</f>
        <v>55</v>
      </c>
      <c r="Q33" s="37">
        <f t="shared" si="1"/>
        <v>14.285714285714285</v>
      </c>
      <c r="S33" t="s">
        <v>17</v>
      </c>
      <c r="T33">
        <f>COUNTIFS($D$2:$D$386,4,$E$2:$E$386,2)</f>
        <v>0</v>
      </c>
      <c r="U33" s="34">
        <f t="shared" si="2"/>
        <v>0</v>
      </c>
      <c r="X33" s="23">
        <f>SUM(X18:X32)</f>
        <v>0</v>
      </c>
      <c r="Y33" s="37">
        <f t="shared" si="3"/>
        <v>0</v>
      </c>
      <c r="AA33" s="26" t="s">
        <v>3086</v>
      </c>
      <c r="AB33">
        <f>COUNTIFS($E$2:$E$386,5,$G$2:$G$386,15)</f>
        <v>1</v>
      </c>
      <c r="AC33" s="34">
        <f t="shared" si="4"/>
        <v>0.25974025974025972</v>
      </c>
      <c r="AF33" s="23">
        <f>SUM(AF18:AF32)</f>
        <v>30</v>
      </c>
      <c r="AG33" s="37">
        <f t="shared" si="5"/>
        <v>7.7922077922077921</v>
      </c>
      <c r="AI33" s="26" t="s">
        <v>3086</v>
      </c>
      <c r="AJ33">
        <f>COUNTIFS($D$2:$D$386,5,$G$2:$G$386,15)</f>
        <v>3</v>
      </c>
      <c r="AK33" s="34">
        <f t="shared" si="6"/>
        <v>0.77922077922077926</v>
      </c>
      <c r="AM33" t="s">
        <v>33</v>
      </c>
      <c r="AN33">
        <f>COUNTIFS($F$2:$F$386,5,$H$2:$H$386,4)</f>
        <v>0</v>
      </c>
      <c r="AO33" s="34">
        <f t="shared" si="7"/>
        <v>0</v>
      </c>
      <c r="AQ33" t="s">
        <v>33</v>
      </c>
      <c r="AR33">
        <f>COUNTIFS($G$2:$G$386,16,$H$2:$H$386,4)</f>
        <v>0</v>
      </c>
      <c r="AS33" s="34">
        <f t="shared" si="8"/>
        <v>0</v>
      </c>
    </row>
    <row r="34" spans="1:45" x14ac:dyDescent="0.3">
      <c r="A34" t="s">
        <v>3053</v>
      </c>
      <c r="B34" s="7">
        <v>4</v>
      </c>
      <c r="C34" s="3">
        <v>18</v>
      </c>
      <c r="D34" s="3">
        <v>1</v>
      </c>
      <c r="E34" s="3">
        <v>5</v>
      </c>
      <c r="F34" s="3">
        <v>100</v>
      </c>
      <c r="G34" s="3">
        <v>100</v>
      </c>
      <c r="H34" s="3">
        <v>100</v>
      </c>
      <c r="I34" s="11">
        <v>2</v>
      </c>
      <c r="J34">
        <v>2011</v>
      </c>
      <c r="K34" t="s">
        <v>11</v>
      </c>
      <c r="L34">
        <f>COUNTIFS($B$2:$B$386,3,$D$2:$D$386,1)</f>
        <v>3</v>
      </c>
      <c r="M34" s="34">
        <f>(L34/385)*100</f>
        <v>0.77922077922077926</v>
      </c>
      <c r="N34" t="s">
        <v>3082</v>
      </c>
      <c r="O34" t="s">
        <v>11</v>
      </c>
      <c r="P34">
        <f>COUNTIFS($C$2:$C$386,20,$D$2:$D$386,1)</f>
        <v>16</v>
      </c>
      <c r="Q34" s="34">
        <f>(P34/385)*100</f>
        <v>4.1558441558441555</v>
      </c>
      <c r="S34" t="s">
        <v>24</v>
      </c>
      <c r="T34">
        <f>COUNTIFS($D$2:$D$386,4,$E$2:$E$386,3)</f>
        <v>97</v>
      </c>
      <c r="U34" s="34">
        <f t="shared" si="2"/>
        <v>25.194805194805191</v>
      </c>
      <c r="V34" t="s">
        <v>24</v>
      </c>
      <c r="W34" s="4">
        <v>1</v>
      </c>
      <c r="X34">
        <f>COUNTIFS($E$2:$E$386,3,$F$2:$F$386,1)</f>
        <v>146</v>
      </c>
      <c r="Y34" s="34">
        <f>(X34/385)*100</f>
        <v>37.922077922077925</v>
      </c>
      <c r="AA34" s="27" t="s">
        <v>3087</v>
      </c>
      <c r="AB34">
        <f>COUNTIFS($E$2:$E$386,5,$G$2:$G$386,16)</f>
        <v>0</v>
      </c>
      <c r="AC34" s="34">
        <f t="shared" si="4"/>
        <v>0</v>
      </c>
      <c r="AD34" t="s">
        <v>150</v>
      </c>
      <c r="AE34" s="4">
        <v>1</v>
      </c>
      <c r="AF34">
        <f>COUNTIFS($D$2:$D$386,3,$F$2:$F$386,1)</f>
        <v>20</v>
      </c>
      <c r="AG34" s="34">
        <f>(AF34/385)*100</f>
        <v>5.1948051948051948</v>
      </c>
      <c r="AI34" s="27" t="s">
        <v>3087</v>
      </c>
      <c r="AJ34">
        <f>COUNTIFS($D$2:$D$386,5,$G$2:$G$386,16)</f>
        <v>0</v>
      </c>
      <c r="AK34" s="34">
        <f t="shared" si="6"/>
        <v>0</v>
      </c>
      <c r="AM34" t="s">
        <v>39</v>
      </c>
      <c r="AN34">
        <f>COUNTIFS($F$2:$F$386,5,$H$2:$H$386,5)</f>
        <v>1</v>
      </c>
      <c r="AO34" s="34">
        <f t="shared" si="7"/>
        <v>0.25974025974025972</v>
      </c>
      <c r="AQ34" t="s">
        <v>39</v>
      </c>
      <c r="AR34">
        <f>COUNTIFS($G$2:$G$386,16,$H$2:$H$386,5)</f>
        <v>0</v>
      </c>
      <c r="AS34" s="34">
        <f t="shared" si="8"/>
        <v>0</v>
      </c>
    </row>
    <row r="35" spans="1:45" x14ac:dyDescent="0.3">
      <c r="A35" t="s">
        <v>1739</v>
      </c>
      <c r="B35" s="7">
        <v>10</v>
      </c>
      <c r="C35" s="3">
        <v>20</v>
      </c>
      <c r="D35" s="3">
        <v>1</v>
      </c>
      <c r="E35" s="3">
        <v>3</v>
      </c>
      <c r="F35" s="11">
        <v>1</v>
      </c>
      <c r="G35" s="3">
        <v>1</v>
      </c>
      <c r="H35" s="11">
        <v>2</v>
      </c>
      <c r="I35" s="7">
        <v>2</v>
      </c>
      <c r="K35" t="s">
        <v>18</v>
      </c>
      <c r="L35">
        <f>COUNTIFS($B$2:$B$386,3,$D$2:$D$386,2)</f>
        <v>2</v>
      </c>
      <c r="M35" s="34">
        <f t="shared" si="0"/>
        <v>0.51948051948051943</v>
      </c>
      <c r="O35" t="s">
        <v>18</v>
      </c>
      <c r="P35">
        <f>COUNTIFS($C$2:$C$386,20,$D$2:$D$386,2)</f>
        <v>8</v>
      </c>
      <c r="Q35" s="34">
        <f t="shared" si="1"/>
        <v>2.0779220779220777</v>
      </c>
      <c r="S35" t="s">
        <v>31</v>
      </c>
      <c r="T35">
        <f>COUNTIFS($D$2:$D$386,4,$E$2:$E$386,4)</f>
        <v>1</v>
      </c>
      <c r="U35" s="34">
        <f t="shared" si="2"/>
        <v>0.25974025974025972</v>
      </c>
      <c r="W35">
        <v>2</v>
      </c>
      <c r="X35">
        <f>COUNTIFS($E$2:$E$386,3,$F$2:$F$386,2)</f>
        <v>9</v>
      </c>
      <c r="Y35" s="34">
        <f t="shared" si="3"/>
        <v>2.3376623376623376</v>
      </c>
      <c r="AA35" s="6" t="s">
        <v>3090</v>
      </c>
      <c r="AB35">
        <f>COUNTIFS($E$2:$E$386,5,$G$2:$G$386,100)</f>
        <v>6</v>
      </c>
      <c r="AC35" s="34">
        <f t="shared" si="4"/>
        <v>1.5584415584415585</v>
      </c>
      <c r="AE35">
        <v>2</v>
      </c>
      <c r="AF35">
        <f>COUNTIFS($D$2:$D$386,3,$F$2:$F$386,2)</f>
        <v>6</v>
      </c>
      <c r="AG35" s="34">
        <f t="shared" si="5"/>
        <v>1.5584415584415585</v>
      </c>
      <c r="AI35" s="4" t="s">
        <v>3090</v>
      </c>
      <c r="AJ35">
        <f>COUNTIFS($D$2:$D$386,5,$G$2:$G$386,100)</f>
        <v>0</v>
      </c>
      <c r="AK35" s="34">
        <f t="shared" si="6"/>
        <v>0</v>
      </c>
      <c r="AM35" t="s">
        <v>34</v>
      </c>
      <c r="AN35">
        <f>COUNTIFS($F$2:$F$386,5,$H$2:$H$386,100)</f>
        <v>0</v>
      </c>
      <c r="AO35" s="34">
        <f t="shared" si="7"/>
        <v>0</v>
      </c>
      <c r="AQ35" t="s">
        <v>34</v>
      </c>
      <c r="AR35">
        <f>COUNTIFS($G$2:$G$386,16,$H$2:$H$386,100)</f>
        <v>0</v>
      </c>
      <c r="AS35" s="34">
        <f t="shared" si="8"/>
        <v>0</v>
      </c>
    </row>
    <row r="36" spans="1:45" x14ac:dyDescent="0.3">
      <c r="A36" t="s">
        <v>1822</v>
      </c>
      <c r="B36" s="7">
        <v>8</v>
      </c>
      <c r="C36" s="3">
        <v>19</v>
      </c>
      <c r="D36" s="3">
        <v>14</v>
      </c>
      <c r="E36" s="3">
        <v>3</v>
      </c>
      <c r="F36" s="11">
        <v>1</v>
      </c>
      <c r="G36" s="3">
        <v>1</v>
      </c>
      <c r="H36" s="11">
        <v>1</v>
      </c>
      <c r="I36" s="11">
        <v>2</v>
      </c>
      <c r="K36" t="s">
        <v>150</v>
      </c>
      <c r="L36">
        <f>COUNTIFS($B$2:$B$386,3,$D$2:$D$386,3)</f>
        <v>1</v>
      </c>
      <c r="M36" s="34">
        <f t="shared" si="0"/>
        <v>0.25974025974025972</v>
      </c>
      <c r="O36" t="s">
        <v>150</v>
      </c>
      <c r="P36">
        <f>COUNTIFS($C$2:$C$386,20,$D$2:$D$386,3)</f>
        <v>4</v>
      </c>
      <c r="Q36" s="34">
        <f t="shared" si="1"/>
        <v>1.0389610389610389</v>
      </c>
      <c r="S36" t="s">
        <v>37</v>
      </c>
      <c r="T36">
        <f>COUNTIFS($D$2:$D$386,4,$E$2:$E$386,5)</f>
        <v>7</v>
      </c>
      <c r="U36" s="34">
        <f t="shared" si="2"/>
        <v>1.8181818181818181</v>
      </c>
      <c r="W36" s="4">
        <v>3</v>
      </c>
      <c r="X36">
        <f>COUNTIFS($E$2:$E$386,3,$F$2:$F$386,3)</f>
        <v>9</v>
      </c>
      <c r="Y36" s="34">
        <f t="shared" si="3"/>
        <v>2.3376623376623376</v>
      </c>
      <c r="AB36" s="22">
        <f>SUM(AB30:AB35)</f>
        <v>23</v>
      </c>
      <c r="AC36" s="35">
        <f t="shared" si="4"/>
        <v>5.9740259740259738</v>
      </c>
      <c r="AE36" s="4">
        <v>3</v>
      </c>
      <c r="AF36">
        <f>COUNTIFS($D$2:$D$386,3,$F$2:$F$386,3)</f>
        <v>2</v>
      </c>
      <c r="AG36" s="34">
        <f t="shared" si="5"/>
        <v>0.51948051948051943</v>
      </c>
      <c r="AJ36" s="22">
        <f>SUM(AJ30:AJ35)</f>
        <v>13</v>
      </c>
      <c r="AK36" s="35">
        <f t="shared" si="6"/>
        <v>3.3766233766233764</v>
      </c>
      <c r="AN36" s="23">
        <f>SUM(AN30:AN35)</f>
        <v>5</v>
      </c>
      <c r="AO36" s="37">
        <f t="shared" si="7"/>
        <v>1.2987012987012987</v>
      </c>
      <c r="AR36" s="22">
        <f>SUM(AR30:AR35)</f>
        <v>2</v>
      </c>
      <c r="AS36" s="35">
        <f t="shared" si="8"/>
        <v>0.51948051948051943</v>
      </c>
    </row>
    <row r="37" spans="1:45" x14ac:dyDescent="0.3">
      <c r="A37" t="s">
        <v>2760</v>
      </c>
      <c r="B37" s="7">
        <v>13</v>
      </c>
      <c r="C37" s="3">
        <v>21</v>
      </c>
      <c r="D37" s="3">
        <v>3</v>
      </c>
      <c r="E37" s="3">
        <v>5</v>
      </c>
      <c r="F37" s="3">
        <v>1</v>
      </c>
      <c r="G37" s="3">
        <v>1</v>
      </c>
      <c r="H37" s="3">
        <v>2</v>
      </c>
      <c r="I37" s="11">
        <v>2</v>
      </c>
      <c r="K37" t="s">
        <v>25</v>
      </c>
      <c r="L37">
        <f>COUNTIFS($B$2:$B$386,3,$D$2:$D$386,4)</f>
        <v>2</v>
      </c>
      <c r="M37" s="34">
        <f t="shared" si="0"/>
        <v>0.51948051948051943</v>
      </c>
      <c r="O37" t="s">
        <v>25</v>
      </c>
      <c r="P37">
        <f>COUNTIFS($C$2:$C$386,20,$D$2:$D$386,4)</f>
        <v>28</v>
      </c>
      <c r="Q37" s="34">
        <f t="shared" si="1"/>
        <v>7.2727272727272725</v>
      </c>
      <c r="S37" t="s">
        <v>42</v>
      </c>
      <c r="T37">
        <f>COUNTIFS($D$2:$D$386,4,$E$2:$E$386,6)</f>
        <v>4</v>
      </c>
      <c r="U37" s="34">
        <f t="shared" si="2"/>
        <v>1.0389610389610389</v>
      </c>
      <c r="W37" s="4">
        <v>4</v>
      </c>
      <c r="X37">
        <f>COUNTIFS($E$2:$E$386,3,$F$2:$F$386,4)</f>
        <v>3</v>
      </c>
      <c r="Y37" s="34">
        <f t="shared" si="3"/>
        <v>0.77922077922077926</v>
      </c>
      <c r="Z37" t="s">
        <v>42</v>
      </c>
      <c r="AA37" s="4">
        <v>1</v>
      </c>
      <c r="AB37">
        <f>COUNTIFS($E$2:$E$386,6,$G$2:$G$386,1)</f>
        <v>8</v>
      </c>
      <c r="AC37" s="34">
        <f>(AB37/385)*100</f>
        <v>2.0779220779220777</v>
      </c>
      <c r="AE37" s="4">
        <v>4</v>
      </c>
      <c r="AF37">
        <f>COUNTIFS($D$2:$D$386,3,$F$2:$F$386,4)</f>
        <v>0</v>
      </c>
      <c r="AG37" s="34">
        <f t="shared" si="5"/>
        <v>0</v>
      </c>
      <c r="AH37" t="s">
        <v>38</v>
      </c>
      <c r="AI37" s="4">
        <v>1</v>
      </c>
      <c r="AJ37">
        <f>COUNTIFS($D$2:$D$386,6,$G$2:$G$386,1)</f>
        <v>2</v>
      </c>
      <c r="AK37" s="34">
        <f>(AJ37/385)*100</f>
        <v>0.51948051948051943</v>
      </c>
      <c r="AL37" s="4">
        <v>6</v>
      </c>
      <c r="AM37" t="s">
        <v>12</v>
      </c>
      <c r="AN37">
        <f>COUNTIFS($F$2:$F$386,6,$H$2:$H$386,1)</f>
        <v>0</v>
      </c>
      <c r="AO37" s="34">
        <f>(AN37/385)*100</f>
        <v>0</v>
      </c>
      <c r="AP37" s="4" t="s">
        <v>3090</v>
      </c>
      <c r="AQ37" t="s">
        <v>12</v>
      </c>
      <c r="AR37">
        <f>COUNTIFS($G$2:$G$386,100,$H$2:$H$386,1)</f>
        <v>0</v>
      </c>
      <c r="AS37" s="34">
        <f>(AR37/385)*100</f>
        <v>0</v>
      </c>
    </row>
    <row r="38" spans="1:45" x14ac:dyDescent="0.3">
      <c r="A38" t="s">
        <v>2048</v>
      </c>
      <c r="B38" s="7">
        <v>7</v>
      </c>
      <c r="C38" s="3">
        <v>19</v>
      </c>
      <c r="D38" s="3">
        <v>4</v>
      </c>
      <c r="E38" s="3">
        <v>3</v>
      </c>
      <c r="F38" s="3">
        <v>100</v>
      </c>
      <c r="G38" s="3">
        <v>100</v>
      </c>
      <c r="H38" s="3">
        <v>100</v>
      </c>
      <c r="I38" s="7">
        <v>2</v>
      </c>
      <c r="K38" t="s">
        <v>32</v>
      </c>
      <c r="L38">
        <f>COUNTIFS($B$2:$B$386,3,$D$2:$D$386,5)</f>
        <v>1</v>
      </c>
      <c r="M38" s="34">
        <f t="shared" si="0"/>
        <v>0.25974025974025972</v>
      </c>
      <c r="O38" t="s">
        <v>32</v>
      </c>
      <c r="P38">
        <f>COUNTIFS($C$2:$C$386,20,$D$2:$D$386,5)</f>
        <v>2</v>
      </c>
      <c r="Q38" s="34">
        <f t="shared" si="1"/>
        <v>0.51948051948051943</v>
      </c>
      <c r="S38" t="s">
        <v>45</v>
      </c>
      <c r="T38">
        <f>COUNTIFS($D$2:$D$386,4,$E$2:$E$386,7)</f>
        <v>4</v>
      </c>
      <c r="U38" s="34">
        <f t="shared" si="2"/>
        <v>1.0389610389610389</v>
      </c>
      <c r="W38" s="4">
        <v>5</v>
      </c>
      <c r="X38">
        <f>COUNTIFS($E$2:$E$386,3,$F$2:$F$386,5)</f>
        <v>1</v>
      </c>
      <c r="Y38" s="34">
        <f t="shared" si="3"/>
        <v>0.25974025974025972</v>
      </c>
      <c r="AA38" s="4">
        <v>2</v>
      </c>
      <c r="AB38">
        <f>COUNTIFS($E$2:$E$386,6,$G$2:$G$386,2)</f>
        <v>5</v>
      </c>
      <c r="AC38" s="34">
        <f t="shared" si="4"/>
        <v>1.2987012987012987</v>
      </c>
      <c r="AE38" s="4">
        <v>5</v>
      </c>
      <c r="AF38">
        <f>COUNTIFS($D$2:$D$386,3,$F$2:$F$386,5)</f>
        <v>0</v>
      </c>
      <c r="AG38" s="34">
        <f t="shared" si="5"/>
        <v>0</v>
      </c>
      <c r="AI38" s="4">
        <v>2</v>
      </c>
      <c r="AJ38">
        <f>COUNTIFS($D$2:$D$386,6,$G$2:$G$386,2)</f>
        <v>0</v>
      </c>
      <c r="AK38" s="34">
        <f t="shared" si="6"/>
        <v>0</v>
      </c>
      <c r="AM38" t="s">
        <v>19</v>
      </c>
      <c r="AN38">
        <f>COUNTIFS($F$2:$F$386,6,$H$2:$H$386,2)</f>
        <v>0</v>
      </c>
      <c r="AO38" s="34">
        <f t="shared" si="7"/>
        <v>0</v>
      </c>
      <c r="AQ38" t="s">
        <v>19</v>
      </c>
      <c r="AR38">
        <f>COUNTIFS($G$2:$G$386,100,$H$2:$H$386,2)</f>
        <v>2</v>
      </c>
      <c r="AS38" s="34">
        <f t="shared" si="8"/>
        <v>0.51948051948051943</v>
      </c>
    </row>
    <row r="39" spans="1:45" x14ac:dyDescent="0.3">
      <c r="A39" t="s">
        <v>2740</v>
      </c>
      <c r="B39" s="7">
        <v>13</v>
      </c>
      <c r="C39" s="3">
        <v>21</v>
      </c>
      <c r="D39" s="3">
        <v>4</v>
      </c>
      <c r="E39" s="3">
        <v>5</v>
      </c>
      <c r="F39" s="3">
        <v>100</v>
      </c>
      <c r="G39" s="3">
        <v>100</v>
      </c>
      <c r="H39" s="3">
        <v>100</v>
      </c>
      <c r="I39" s="7">
        <v>2</v>
      </c>
      <c r="K39" t="s">
        <v>38</v>
      </c>
      <c r="L39">
        <f>COUNTIFS($B$2:$B$386,3,$D$2:$D$386,6)</f>
        <v>0</v>
      </c>
      <c r="M39" s="34">
        <f t="shared" si="0"/>
        <v>0</v>
      </c>
      <c r="O39" t="s">
        <v>38</v>
      </c>
      <c r="P39">
        <f>COUNTIFS($C$2:$C$386,20,$D$2:$D$386,6)</f>
        <v>2</v>
      </c>
      <c r="Q39" s="34">
        <f t="shared" si="1"/>
        <v>0.51948051948051943</v>
      </c>
      <c r="S39" t="s">
        <v>48</v>
      </c>
      <c r="T39">
        <f>COUNTIFS($D$2:$D$386,4,$E$2:$E$386,8)</f>
        <v>15</v>
      </c>
      <c r="U39" s="34">
        <f t="shared" si="2"/>
        <v>3.8961038961038961</v>
      </c>
      <c r="W39" s="4">
        <v>6</v>
      </c>
      <c r="X39">
        <f>COUNTIFS($E$2:$E$386,3,$F$2:$F$386,6)</f>
        <v>1</v>
      </c>
      <c r="Y39" s="34">
        <f t="shared" si="3"/>
        <v>0.25974025974025972</v>
      </c>
      <c r="AA39" s="4">
        <v>3</v>
      </c>
      <c r="AB39">
        <f>COUNTIFS($E$2:$E$386,6,$G$2:$G$386,3)</f>
        <v>2</v>
      </c>
      <c r="AC39" s="34">
        <f t="shared" si="4"/>
        <v>0.51948051948051943</v>
      </c>
      <c r="AE39" s="4">
        <v>6</v>
      </c>
      <c r="AF39">
        <f>COUNTIFS($D$2:$D$386,3,$F$2:$F$386,6)</f>
        <v>0</v>
      </c>
      <c r="AG39" s="34">
        <f t="shared" si="5"/>
        <v>0</v>
      </c>
      <c r="AI39" s="4">
        <v>3</v>
      </c>
      <c r="AJ39">
        <f>COUNTIFS($D$2:$D$386,6,$G$2:$G$386,3)</f>
        <v>0</v>
      </c>
      <c r="AK39" s="34">
        <f t="shared" si="6"/>
        <v>0</v>
      </c>
      <c r="AM39" t="s">
        <v>26</v>
      </c>
      <c r="AN39">
        <f>COUNTIFS($F$2:$F$386,6,$H$2:$H$386,3)</f>
        <v>2</v>
      </c>
      <c r="AO39" s="34">
        <f t="shared" si="7"/>
        <v>0.51948051948051943</v>
      </c>
      <c r="AQ39" t="s">
        <v>26</v>
      </c>
      <c r="AR39">
        <f>COUNTIFS($G$2:$G$386,100,$H$2:$H$386,3)</f>
        <v>1</v>
      </c>
      <c r="AS39" s="34">
        <f t="shared" si="8"/>
        <v>0.25974025974025972</v>
      </c>
    </row>
    <row r="40" spans="1:45" x14ac:dyDescent="0.3">
      <c r="A40" s="6" t="s">
        <v>302</v>
      </c>
      <c r="B40" s="7">
        <v>16</v>
      </c>
      <c r="C40" s="3">
        <v>21</v>
      </c>
      <c r="D40" s="11">
        <v>4</v>
      </c>
      <c r="E40" s="11">
        <v>3</v>
      </c>
      <c r="F40" s="7">
        <v>100</v>
      </c>
      <c r="G40" s="3">
        <v>100</v>
      </c>
      <c r="H40" s="7">
        <v>100</v>
      </c>
      <c r="I40" s="7">
        <v>2</v>
      </c>
      <c r="K40" t="s">
        <v>151</v>
      </c>
      <c r="L40">
        <f>COUNTIFS($B$2:$B$386,3,$D$2:$D$386,7)</f>
        <v>0</v>
      </c>
      <c r="M40" s="34">
        <f t="shared" si="0"/>
        <v>0</v>
      </c>
      <c r="O40" t="s">
        <v>151</v>
      </c>
      <c r="P40">
        <f>COUNTIFS($C$2:$C$386,20,$D$2:$D$386,7)</f>
        <v>0</v>
      </c>
      <c r="Q40" s="34">
        <f t="shared" si="1"/>
        <v>0</v>
      </c>
      <c r="S40" t="s">
        <v>50</v>
      </c>
      <c r="T40">
        <f>COUNTIFS($D$2:$D$386,4,$E$2:$E$386,9)</f>
        <v>1</v>
      </c>
      <c r="U40" s="34">
        <f t="shared" si="2"/>
        <v>0.25974025974025972</v>
      </c>
      <c r="W40" s="4">
        <v>7</v>
      </c>
      <c r="X40">
        <f>COUNTIFS($E$2:$E$386,3,$F$2:$F$386,7)</f>
        <v>0</v>
      </c>
      <c r="Y40" s="34">
        <f t="shared" si="3"/>
        <v>0</v>
      </c>
      <c r="AA40" s="26" t="s">
        <v>3086</v>
      </c>
      <c r="AB40">
        <f>COUNTIFS($E$2:$E$386,6,$G$2:$G$386,15)</f>
        <v>1</v>
      </c>
      <c r="AC40" s="34">
        <f t="shared" si="4"/>
        <v>0.25974025974025972</v>
      </c>
      <c r="AE40" s="4">
        <v>7</v>
      </c>
      <c r="AF40">
        <f>COUNTIFS($D$2:$D$386,3,$F$2:$F$386,7)</f>
        <v>0</v>
      </c>
      <c r="AG40" s="34">
        <f t="shared" si="5"/>
        <v>0</v>
      </c>
      <c r="AI40" s="26" t="s">
        <v>3086</v>
      </c>
      <c r="AJ40">
        <f>COUNTIFS($D$2:$D$386,6,$G$2:$G$386,15)</f>
        <v>0</v>
      </c>
      <c r="AK40" s="34">
        <f t="shared" si="6"/>
        <v>0</v>
      </c>
      <c r="AM40" t="s">
        <v>33</v>
      </c>
      <c r="AN40">
        <f>COUNTIFS($F$2:$F$386,6,$H$2:$H$386,4)</f>
        <v>0</v>
      </c>
      <c r="AO40" s="34">
        <f t="shared" si="7"/>
        <v>0</v>
      </c>
      <c r="AQ40" t="s">
        <v>33</v>
      </c>
      <c r="AR40">
        <f>COUNTIFS($G$2:$G$386,100,$H$2:$H$386,4)</f>
        <v>0</v>
      </c>
      <c r="AS40" s="34">
        <f t="shared" si="8"/>
        <v>0</v>
      </c>
    </row>
    <row r="41" spans="1:45" x14ac:dyDescent="0.3">
      <c r="A41" s="6" t="s">
        <v>322</v>
      </c>
      <c r="B41" s="7">
        <v>16</v>
      </c>
      <c r="C41" s="3">
        <v>21</v>
      </c>
      <c r="D41" s="11">
        <v>15</v>
      </c>
      <c r="E41" s="11">
        <v>9</v>
      </c>
      <c r="F41" s="11">
        <v>1</v>
      </c>
      <c r="G41" s="3">
        <v>1</v>
      </c>
      <c r="H41" s="11">
        <v>2</v>
      </c>
      <c r="I41" s="11">
        <v>2</v>
      </c>
      <c r="K41" t="s">
        <v>43</v>
      </c>
      <c r="L41">
        <f>COUNTIFS($B$2:$B$386,3,$D$2:$D$386,8)</f>
        <v>0</v>
      </c>
      <c r="M41" s="34">
        <f t="shared" si="0"/>
        <v>0</v>
      </c>
      <c r="O41" t="s">
        <v>43</v>
      </c>
      <c r="P41">
        <f>COUNTIFS($C$2:$C$386,20,$D$2:$D$386,8)</f>
        <v>3</v>
      </c>
      <c r="Q41" s="34">
        <f t="shared" si="1"/>
        <v>0.77922077922077926</v>
      </c>
      <c r="T41" s="22">
        <f>SUM(T32:T40)</f>
        <v>157</v>
      </c>
      <c r="U41" s="35">
        <f t="shared" si="2"/>
        <v>40.779220779220779</v>
      </c>
      <c r="W41" s="4">
        <v>8</v>
      </c>
      <c r="X41">
        <f>COUNTIFS($E$2:$E$386,3,$F$2:$F$386,8)</f>
        <v>0</v>
      </c>
      <c r="Y41" s="34">
        <f t="shared" si="3"/>
        <v>0</v>
      </c>
      <c r="AA41" s="27" t="s">
        <v>3087</v>
      </c>
      <c r="AB41">
        <f>COUNTIFS($E$2:$E$386,6,$G$2:$G$386,16)</f>
        <v>0</v>
      </c>
      <c r="AC41" s="34">
        <f t="shared" si="4"/>
        <v>0</v>
      </c>
      <c r="AE41" s="4">
        <v>8</v>
      </c>
      <c r="AF41">
        <f>COUNTIFS($D$2:$D$386,3,$F$2:$F$386,8)</f>
        <v>0</v>
      </c>
      <c r="AG41" s="34">
        <f t="shared" si="5"/>
        <v>0</v>
      </c>
      <c r="AI41" s="27" t="s">
        <v>3087</v>
      </c>
      <c r="AJ41">
        <f>COUNTIFS($D$2:$D$386,6,$G$2:$G$386,16)</f>
        <v>0</v>
      </c>
      <c r="AK41" s="34">
        <f t="shared" si="6"/>
        <v>0</v>
      </c>
      <c r="AM41" t="s">
        <v>39</v>
      </c>
      <c r="AN41">
        <f>COUNTIFS($F$2:$F$386,6,$H$2:$H$386,5)</f>
        <v>0</v>
      </c>
      <c r="AO41" s="34">
        <f t="shared" si="7"/>
        <v>0</v>
      </c>
      <c r="AQ41" t="s">
        <v>39</v>
      </c>
      <c r="AR41">
        <f>COUNTIFS($G$2:$G$386,100,$H$2:$H$386,5)</f>
        <v>0</v>
      </c>
      <c r="AS41" s="34">
        <f t="shared" si="8"/>
        <v>0</v>
      </c>
    </row>
    <row r="42" spans="1:45" x14ac:dyDescent="0.3">
      <c r="A42" t="s">
        <v>1682</v>
      </c>
      <c r="B42" s="7">
        <v>11</v>
      </c>
      <c r="C42" s="3">
        <v>20</v>
      </c>
      <c r="D42" s="11">
        <v>1</v>
      </c>
      <c r="E42" s="11">
        <v>9</v>
      </c>
      <c r="F42" s="11">
        <v>1</v>
      </c>
      <c r="G42" s="3">
        <v>1</v>
      </c>
      <c r="H42" s="11">
        <v>2</v>
      </c>
      <c r="I42" s="11">
        <v>2</v>
      </c>
      <c r="K42" t="s">
        <v>46</v>
      </c>
      <c r="L42">
        <f>COUNTIFS($B$2:$B$386,3,$D$2:$D$386,9)</f>
        <v>0</v>
      </c>
      <c r="M42" s="34">
        <f t="shared" si="0"/>
        <v>0</v>
      </c>
      <c r="O42" t="s">
        <v>46</v>
      </c>
      <c r="P42">
        <f>COUNTIFS($C$2:$C$386,20,$D$2:$D$386,9)</f>
        <v>2</v>
      </c>
      <c r="Q42" s="34">
        <f t="shared" si="1"/>
        <v>0.51948051948051943</v>
      </c>
      <c r="R42" t="s">
        <v>32</v>
      </c>
      <c r="S42" t="s">
        <v>10</v>
      </c>
      <c r="T42">
        <f>COUNTIFS($D$2:$D$386,5,$E$2:$E$386,1)</f>
        <v>2</v>
      </c>
      <c r="U42" s="34">
        <f>(T42/385)*100</f>
        <v>0.51948051948051943</v>
      </c>
      <c r="W42" s="4">
        <v>9</v>
      </c>
      <c r="X42">
        <f>COUNTIFS($E$2:$E$386,3,$F$2:$F$386,9)</f>
        <v>0</v>
      </c>
      <c r="Y42" s="34">
        <f t="shared" si="3"/>
        <v>0</v>
      </c>
      <c r="AA42" s="6" t="s">
        <v>3090</v>
      </c>
      <c r="AB42">
        <f>COUNTIFS($E$2:$E$386,6,$G$2:$G$386,100)</f>
        <v>6</v>
      </c>
      <c r="AC42" s="34">
        <f t="shared" si="4"/>
        <v>1.5584415584415585</v>
      </c>
      <c r="AE42" s="4">
        <v>9</v>
      </c>
      <c r="AF42">
        <f>COUNTIFS($D$2:$D$386,3,$F$2:$F$386,9)</f>
        <v>0</v>
      </c>
      <c r="AG42" s="34">
        <f t="shared" si="5"/>
        <v>0</v>
      </c>
      <c r="AI42" s="4" t="s">
        <v>3090</v>
      </c>
      <c r="AJ42">
        <f>COUNTIFS($D$2:$D$386,6,$G$2:$G$386,100)</f>
        <v>2</v>
      </c>
      <c r="AK42" s="34">
        <f t="shared" si="6"/>
        <v>0.51948051948051943</v>
      </c>
      <c r="AM42" t="s">
        <v>34</v>
      </c>
      <c r="AN42">
        <f>COUNTIFS($F$2:$F$386,6,$H$2:$H$386,100)</f>
        <v>0</v>
      </c>
      <c r="AO42" s="34">
        <f t="shared" si="7"/>
        <v>0</v>
      </c>
      <c r="AQ42" t="s">
        <v>34</v>
      </c>
      <c r="AR42">
        <f>COUNTIFS($G$2:$G$386,100,$H$2:$H$386,100)</f>
        <v>77</v>
      </c>
      <c r="AS42" s="34">
        <f t="shared" si="8"/>
        <v>20</v>
      </c>
    </row>
    <row r="43" spans="1:45" x14ac:dyDescent="0.3">
      <c r="A43" s="6" t="s">
        <v>1004</v>
      </c>
      <c r="B43" s="7">
        <v>14</v>
      </c>
      <c r="C43" s="3">
        <v>21</v>
      </c>
      <c r="D43" s="11">
        <v>15</v>
      </c>
      <c r="E43" s="7">
        <v>1</v>
      </c>
      <c r="F43" s="11">
        <v>1</v>
      </c>
      <c r="G43" s="3">
        <v>1</v>
      </c>
      <c r="H43" s="11">
        <v>1</v>
      </c>
      <c r="I43" s="7">
        <v>2</v>
      </c>
      <c r="K43" t="s">
        <v>152</v>
      </c>
      <c r="L43">
        <f>COUNTIFS($B$2:$B$386,3,$D$2:$D$386,10)</f>
        <v>0</v>
      </c>
      <c r="M43" s="34">
        <f t="shared" si="0"/>
        <v>0</v>
      </c>
      <c r="O43" t="s">
        <v>152</v>
      </c>
      <c r="P43">
        <f>COUNTIFS($C$2:$C$386,20,$D$2:$D$386,10)</f>
        <v>0</v>
      </c>
      <c r="Q43" s="34">
        <f t="shared" si="1"/>
        <v>0</v>
      </c>
      <c r="S43" t="s">
        <v>17</v>
      </c>
      <c r="T43">
        <f>COUNTIFS($D$2:$D$386,5,$E$2:$E$386,2)</f>
        <v>0</v>
      </c>
      <c r="U43" s="34">
        <f t="shared" si="2"/>
        <v>0</v>
      </c>
      <c r="W43" s="4">
        <v>10</v>
      </c>
      <c r="X43">
        <f>COUNTIFS($E$2:$E$386,3,$F$2:$F$386,10)</f>
        <v>0</v>
      </c>
      <c r="Y43" s="34">
        <f t="shared" si="3"/>
        <v>0</v>
      </c>
      <c r="AB43" s="22">
        <f>SUM(AB37:AB42)</f>
        <v>22</v>
      </c>
      <c r="AC43" s="35">
        <f t="shared" si="4"/>
        <v>5.7142857142857144</v>
      </c>
      <c r="AE43" s="4">
        <v>10</v>
      </c>
      <c r="AF43">
        <f>COUNTIFS($D$2:$D$386,3,$F$2:$F$386,10)</f>
        <v>0</v>
      </c>
      <c r="AG43" s="34">
        <f t="shared" si="5"/>
        <v>0</v>
      </c>
      <c r="AJ43" s="22">
        <f>SUM(AJ37:AJ42)</f>
        <v>4</v>
      </c>
      <c r="AK43" s="35">
        <f t="shared" si="6"/>
        <v>1.0389610389610389</v>
      </c>
      <c r="AN43" s="23">
        <f>SUM(AN37:AN42)</f>
        <v>2</v>
      </c>
      <c r="AO43" s="37">
        <f t="shared" si="7"/>
        <v>0.51948051948051943</v>
      </c>
      <c r="AR43" s="22">
        <f>SUM(AR37:AR42)</f>
        <v>80</v>
      </c>
      <c r="AS43" s="35">
        <f t="shared" si="8"/>
        <v>20.779220779220779</v>
      </c>
    </row>
    <row r="44" spans="1:45" x14ac:dyDescent="0.3">
      <c r="A44" t="s">
        <v>1514</v>
      </c>
      <c r="B44" s="7">
        <v>12</v>
      </c>
      <c r="C44" s="3">
        <v>20</v>
      </c>
      <c r="D44" s="11">
        <v>4</v>
      </c>
      <c r="E44" s="7">
        <v>1</v>
      </c>
      <c r="F44" s="11">
        <v>100</v>
      </c>
      <c r="G44" s="3">
        <v>100</v>
      </c>
      <c r="H44" s="11">
        <v>100</v>
      </c>
      <c r="I44" s="7">
        <v>2</v>
      </c>
      <c r="K44" t="s">
        <v>49</v>
      </c>
      <c r="L44">
        <f>COUNTIFS($B$2:$B$386,3,$D$2:$D$386,11)</f>
        <v>0</v>
      </c>
      <c r="M44" s="34">
        <f t="shared" si="0"/>
        <v>0</v>
      </c>
      <c r="O44" t="s">
        <v>49</v>
      </c>
      <c r="P44">
        <f>COUNTIFS($C$2:$C$386,20,$D$2:$D$386,11)</f>
        <v>0</v>
      </c>
      <c r="Q44" s="34">
        <f t="shared" si="1"/>
        <v>0</v>
      </c>
      <c r="S44" t="s">
        <v>24</v>
      </c>
      <c r="T44">
        <f>COUNTIFS($D$2:$D$386,5,$E$2:$E$386,3)</f>
        <v>4</v>
      </c>
      <c r="U44" s="34">
        <f t="shared" si="2"/>
        <v>1.0389610389610389</v>
      </c>
      <c r="W44" s="4">
        <v>11</v>
      </c>
      <c r="X44">
        <f>COUNTIFS($E$2:$E$386,3,$F$2:$F$386,11)</f>
        <v>1</v>
      </c>
      <c r="Y44" s="34">
        <f t="shared" si="3"/>
        <v>0.25974025974025972</v>
      </c>
      <c r="Z44" t="s">
        <v>45</v>
      </c>
      <c r="AA44" s="4">
        <v>1</v>
      </c>
      <c r="AB44">
        <f>COUNTIFS($E$2:$E$386,7,$G$2:$G$386,1)</f>
        <v>9</v>
      </c>
      <c r="AC44" s="34">
        <f>(AB44/385)*100</f>
        <v>2.3376623376623376</v>
      </c>
      <c r="AE44" s="4">
        <v>11</v>
      </c>
      <c r="AF44">
        <f>COUNTIFS($D$2:$D$386,3,$F$2:$F$386,11)</f>
        <v>0</v>
      </c>
      <c r="AG44" s="34">
        <f t="shared" si="5"/>
        <v>0</v>
      </c>
      <c r="AH44" t="s">
        <v>151</v>
      </c>
      <c r="AI44" s="4">
        <v>1</v>
      </c>
      <c r="AJ44">
        <f>COUNTIFS($D$2:$D$386,7,$G$2:$G$386,1)</f>
        <v>0</v>
      </c>
      <c r="AK44" s="34">
        <f>(AJ44/385)*100</f>
        <v>0</v>
      </c>
      <c r="AL44" s="4">
        <v>7</v>
      </c>
      <c r="AM44" t="s">
        <v>12</v>
      </c>
      <c r="AN44">
        <f>COUNTIFS($F$2:$F$386,7,$H$2:$H$386,1)</f>
        <v>0</v>
      </c>
      <c r="AO44" s="34">
        <f>(AN44/385)*100</f>
        <v>0</v>
      </c>
    </row>
    <row r="45" spans="1:45" x14ac:dyDescent="0.3">
      <c r="A45" t="s">
        <v>2476</v>
      </c>
      <c r="B45" s="7">
        <v>16</v>
      </c>
      <c r="C45" s="3">
        <v>21</v>
      </c>
      <c r="D45" s="3">
        <v>11</v>
      </c>
      <c r="E45" s="3">
        <v>3</v>
      </c>
      <c r="F45" s="11">
        <v>1</v>
      </c>
      <c r="G45" s="3">
        <v>1</v>
      </c>
      <c r="H45" s="11">
        <v>2</v>
      </c>
      <c r="I45" s="7">
        <v>2</v>
      </c>
      <c r="K45" t="s">
        <v>51</v>
      </c>
      <c r="L45">
        <f>COUNTIFS($B$2:$B$386,3,$D$2:$D$386,12)</f>
        <v>0</v>
      </c>
      <c r="M45" s="34">
        <f t="shared" si="0"/>
        <v>0</v>
      </c>
      <c r="O45" t="s">
        <v>51</v>
      </c>
      <c r="P45">
        <f>COUNTIFS($C$2:$C$386,20,$D$2:$D$386,12)</f>
        <v>3</v>
      </c>
      <c r="Q45" s="34">
        <f t="shared" si="1"/>
        <v>0.77922077922077926</v>
      </c>
      <c r="S45" t="s">
        <v>31</v>
      </c>
      <c r="T45">
        <f>COUNTIFS($D$2:$D$386,5,$E$2:$E$386,4)</f>
        <v>0</v>
      </c>
      <c r="U45" s="34">
        <f t="shared" si="2"/>
        <v>0</v>
      </c>
      <c r="W45" s="4">
        <v>12</v>
      </c>
      <c r="X45">
        <f>COUNTIFS($E$2:$E$386,3,$F$2:$F$386,12)</f>
        <v>0</v>
      </c>
      <c r="Y45" s="34">
        <f t="shared" si="3"/>
        <v>0</v>
      </c>
      <c r="AA45" s="4">
        <v>2</v>
      </c>
      <c r="AB45">
        <f>COUNTIFS($E$2:$E$386,7,$G$2:$G$386,2)</f>
        <v>1</v>
      </c>
      <c r="AC45" s="34">
        <f t="shared" si="4"/>
        <v>0.25974025974025972</v>
      </c>
      <c r="AE45" s="4">
        <v>12</v>
      </c>
      <c r="AF45">
        <f>COUNTIFS($D$2:$D$386,3,$F$2:$F$386,12)</f>
        <v>0</v>
      </c>
      <c r="AG45" s="34">
        <f t="shared" si="5"/>
        <v>0</v>
      </c>
      <c r="AI45" s="4">
        <v>2</v>
      </c>
      <c r="AJ45">
        <f>COUNTIFS($D$2:$D$386,7,$G$2:$G$386,2)</f>
        <v>0</v>
      </c>
      <c r="AK45" s="34">
        <f t="shared" si="6"/>
        <v>0</v>
      </c>
      <c r="AM45" t="s">
        <v>19</v>
      </c>
      <c r="AN45">
        <f>COUNTIFS($F$2:$F$386,7,$H$2:$H$386,2)</f>
        <v>0</v>
      </c>
      <c r="AO45" s="34">
        <f t="shared" si="7"/>
        <v>0</v>
      </c>
    </row>
    <row r="46" spans="1:45" x14ac:dyDescent="0.3">
      <c r="A46" s="6" t="s">
        <v>962</v>
      </c>
      <c r="B46" s="7">
        <v>15</v>
      </c>
      <c r="C46" s="3">
        <v>21</v>
      </c>
      <c r="D46" s="11">
        <v>12</v>
      </c>
      <c r="E46" s="11">
        <v>3</v>
      </c>
      <c r="F46" s="11">
        <v>1</v>
      </c>
      <c r="G46" s="3">
        <v>1</v>
      </c>
      <c r="H46" s="11">
        <v>1</v>
      </c>
      <c r="I46" s="7">
        <v>2</v>
      </c>
      <c r="K46" t="s">
        <v>153</v>
      </c>
      <c r="L46">
        <f>COUNTIFS($B$2:$B$386,3,$D$2:$D$386,13)</f>
        <v>0</v>
      </c>
      <c r="M46" s="34">
        <f t="shared" si="0"/>
        <v>0</v>
      </c>
      <c r="O46" t="s">
        <v>153</v>
      </c>
      <c r="P46">
        <f>COUNTIFS($C$2:$C$386,20,$D$2:$D$386,13)</f>
        <v>0</v>
      </c>
      <c r="Q46" s="34">
        <f t="shared" si="1"/>
        <v>0</v>
      </c>
      <c r="S46" t="s">
        <v>37</v>
      </c>
      <c r="T46">
        <f>COUNTIFS($D$2:$D$386,5,$E$2:$E$386,5)</f>
        <v>2</v>
      </c>
      <c r="U46" s="34">
        <f t="shared" si="2"/>
        <v>0.51948051948051943</v>
      </c>
      <c r="W46" s="4">
        <v>13</v>
      </c>
      <c r="X46">
        <f>COUNTIFS($E$2:$E$386,3,$F$2:$F$386,13)</f>
        <v>0</v>
      </c>
      <c r="Y46" s="34">
        <f t="shared" si="3"/>
        <v>0</v>
      </c>
      <c r="AA46" s="4">
        <v>3</v>
      </c>
      <c r="AB46">
        <f>COUNTIFS($E$2:$E$386,7,$G$2:$G$386,3)</f>
        <v>0</v>
      </c>
      <c r="AC46" s="34">
        <f t="shared" si="4"/>
        <v>0</v>
      </c>
      <c r="AE46" s="4">
        <v>13</v>
      </c>
      <c r="AF46">
        <f>COUNTIFS($D$2:$D$386,3,$F$2:$F$386,13)</f>
        <v>0</v>
      </c>
      <c r="AG46" s="34">
        <f t="shared" si="5"/>
        <v>0</v>
      </c>
      <c r="AI46" s="4">
        <v>3</v>
      </c>
      <c r="AJ46">
        <f>COUNTIFS($D$2:$D$386,7,$G$2:$G$386,3)</f>
        <v>0</v>
      </c>
      <c r="AK46" s="34">
        <f t="shared" si="6"/>
        <v>0</v>
      </c>
      <c r="AM46" t="s">
        <v>26</v>
      </c>
      <c r="AN46">
        <f>COUNTIFS($F$2:$F$386,7,$H$2:$H$386,3)</f>
        <v>1</v>
      </c>
      <c r="AO46" s="34">
        <f t="shared" si="7"/>
        <v>0.25974025974025972</v>
      </c>
    </row>
    <row r="47" spans="1:45" x14ac:dyDescent="0.3">
      <c r="A47" s="6" t="s">
        <v>443</v>
      </c>
      <c r="B47" s="7">
        <v>16</v>
      </c>
      <c r="C47" s="3">
        <v>21</v>
      </c>
      <c r="D47" s="11">
        <v>12</v>
      </c>
      <c r="E47" s="11">
        <v>3</v>
      </c>
      <c r="F47" s="7">
        <v>100</v>
      </c>
      <c r="G47" s="3">
        <v>100</v>
      </c>
      <c r="H47" s="7">
        <v>100</v>
      </c>
      <c r="I47" s="7">
        <v>2</v>
      </c>
      <c r="K47" t="s">
        <v>154</v>
      </c>
      <c r="L47">
        <f>COUNTIFS($B$2:$B$386,3,$D$2:$D$386,14)</f>
        <v>0</v>
      </c>
      <c r="M47" s="34">
        <f t="shared" si="0"/>
        <v>0</v>
      </c>
      <c r="O47" t="s">
        <v>154</v>
      </c>
      <c r="P47">
        <f>COUNTIFS($C$2:$C$386,20,$D$2:$D$386,14)</f>
        <v>2</v>
      </c>
      <c r="Q47" s="34">
        <f t="shared" si="1"/>
        <v>0.51948051948051943</v>
      </c>
      <c r="S47" t="s">
        <v>42</v>
      </c>
      <c r="T47">
        <f>COUNTIFS($D$2:$D$386,5,$E$2:$E$386,6)</f>
        <v>2</v>
      </c>
      <c r="U47" s="34">
        <f t="shared" si="2"/>
        <v>0.51948051948051943</v>
      </c>
      <c r="W47" s="4">
        <v>14</v>
      </c>
      <c r="X47">
        <f>COUNTIFS($E$2:$E$386,3,$F$2:$F$386,14)</f>
        <v>0</v>
      </c>
      <c r="Y47" s="34">
        <f t="shared" si="3"/>
        <v>0</v>
      </c>
      <c r="AA47" s="26" t="s">
        <v>3086</v>
      </c>
      <c r="AB47">
        <f>COUNTIFS($E$2:$E$386,7,$G$2:$G$386,15)</f>
        <v>0</v>
      </c>
      <c r="AC47" s="34">
        <f t="shared" si="4"/>
        <v>0</v>
      </c>
      <c r="AE47" s="4">
        <v>14</v>
      </c>
      <c r="AF47">
        <f>COUNTIFS($D$2:$D$386,3,$F$2:$F$386,14)</f>
        <v>0</v>
      </c>
      <c r="AG47" s="34">
        <f t="shared" si="5"/>
        <v>0</v>
      </c>
      <c r="AI47" s="26" t="s">
        <v>3086</v>
      </c>
      <c r="AJ47">
        <f>COUNTIFS($D$2:$D$386,7,$G$2:$G$386,15)</f>
        <v>0</v>
      </c>
      <c r="AK47" s="34">
        <f t="shared" si="6"/>
        <v>0</v>
      </c>
      <c r="AM47" t="s">
        <v>33</v>
      </c>
      <c r="AN47">
        <f>COUNTIFS($F$2:$F$386,7,$H$2:$H$386,4)</f>
        <v>0</v>
      </c>
      <c r="AO47" s="34">
        <f t="shared" si="7"/>
        <v>0</v>
      </c>
    </row>
    <row r="48" spans="1:45" x14ac:dyDescent="0.3">
      <c r="A48" s="6" t="s">
        <v>1240</v>
      </c>
      <c r="B48" s="7">
        <v>13</v>
      </c>
      <c r="C48" s="3">
        <v>21</v>
      </c>
      <c r="D48" s="3">
        <v>15</v>
      </c>
      <c r="E48" s="11">
        <v>3</v>
      </c>
      <c r="F48" s="7">
        <v>1</v>
      </c>
      <c r="G48" s="3">
        <v>1</v>
      </c>
      <c r="H48" s="7">
        <v>2</v>
      </c>
      <c r="I48" s="7">
        <v>2</v>
      </c>
      <c r="K48" t="s">
        <v>52</v>
      </c>
      <c r="L48">
        <f>COUNTIFS($B$2:$B$386,3,$D$2:$D$386,15)</f>
        <v>1</v>
      </c>
      <c r="M48" s="34">
        <f t="shared" si="0"/>
        <v>0.25974025974025972</v>
      </c>
      <c r="O48" t="s">
        <v>52</v>
      </c>
      <c r="P48">
        <f>COUNTIFS($C$2:$C$386,20,$D$2:$D$386,15)</f>
        <v>7</v>
      </c>
      <c r="Q48" s="34">
        <f t="shared" si="1"/>
        <v>1.8181818181818181</v>
      </c>
      <c r="S48" t="s">
        <v>45</v>
      </c>
      <c r="T48">
        <f>COUNTIFS($D$2:$D$386,5,$E$2:$E$386,7)</f>
        <v>0</v>
      </c>
      <c r="U48" s="34">
        <f t="shared" si="2"/>
        <v>0</v>
      </c>
      <c r="W48" t="s">
        <v>3090</v>
      </c>
      <c r="X48">
        <f>COUNTIFS($E$2:$E$386,3,$F$2:$F$386,100)</f>
        <v>51</v>
      </c>
      <c r="Y48" s="34">
        <f t="shared" si="3"/>
        <v>13.246753246753245</v>
      </c>
      <c r="AA48" s="27" t="s">
        <v>3087</v>
      </c>
      <c r="AB48">
        <f>COUNTIFS($E$2:$E$386,7,$G$2:$G$386,16)</f>
        <v>0</v>
      </c>
      <c r="AC48" s="34">
        <f t="shared" si="4"/>
        <v>0</v>
      </c>
      <c r="AE48" t="s">
        <v>3090</v>
      </c>
      <c r="AF48">
        <f>COUNTIFS($D$2:$D$386,3,$F$2:$F$386,100)</f>
        <v>4</v>
      </c>
      <c r="AG48" s="34">
        <f t="shared" si="5"/>
        <v>1.0389610389610389</v>
      </c>
      <c r="AI48" s="27" t="s">
        <v>3087</v>
      </c>
      <c r="AJ48">
        <f>COUNTIFS($D$2:$D$386,7,$G$2:$G$386,16)</f>
        <v>0</v>
      </c>
      <c r="AK48" s="34">
        <f t="shared" si="6"/>
        <v>0</v>
      </c>
      <c r="AM48" t="s">
        <v>39</v>
      </c>
      <c r="AN48">
        <f>COUNTIFS($F$2:$F$386,7,$H$2:$H$386,5)</f>
        <v>0</v>
      </c>
      <c r="AO48" s="34">
        <f t="shared" si="7"/>
        <v>0</v>
      </c>
    </row>
    <row r="49" spans="1:41" x14ac:dyDescent="0.3">
      <c r="A49" t="s">
        <v>1304</v>
      </c>
      <c r="B49" s="7">
        <v>13</v>
      </c>
      <c r="C49" s="3">
        <v>21</v>
      </c>
      <c r="D49" s="3">
        <v>4</v>
      </c>
      <c r="E49" s="3">
        <v>3</v>
      </c>
      <c r="F49" s="3">
        <v>1</v>
      </c>
      <c r="G49" s="3">
        <v>1</v>
      </c>
      <c r="H49" s="3">
        <v>2</v>
      </c>
      <c r="I49" s="11">
        <v>2</v>
      </c>
      <c r="L49" s="22">
        <f>SUM(L34:L48)</f>
        <v>10</v>
      </c>
      <c r="M49" s="35">
        <f t="shared" si="0"/>
        <v>2.5974025974025974</v>
      </c>
      <c r="P49" s="23">
        <f>SUM(P34:P48)</f>
        <v>77</v>
      </c>
      <c r="Q49" s="37">
        <f t="shared" si="1"/>
        <v>20</v>
      </c>
      <c r="S49" t="s">
        <v>48</v>
      </c>
      <c r="T49">
        <f>COUNTIFS($D$2:$D$386,5,$E$2:$E$386,8)</f>
        <v>2</v>
      </c>
      <c r="U49" s="34">
        <f t="shared" si="2"/>
        <v>0.51948051948051943</v>
      </c>
      <c r="X49" s="23">
        <f>SUM(X34:X48)</f>
        <v>221</v>
      </c>
      <c r="Y49" s="37">
        <f t="shared" si="3"/>
        <v>57.402597402597401</v>
      </c>
      <c r="AA49" s="6" t="s">
        <v>3090</v>
      </c>
      <c r="AB49">
        <f>COUNTIFS($E$2:$E$386,7,$G$2:$G$386,100)</f>
        <v>3</v>
      </c>
      <c r="AC49" s="34">
        <f t="shared" si="4"/>
        <v>0.77922077922077926</v>
      </c>
      <c r="AF49" s="23">
        <f>SUM(AF34:AF48)</f>
        <v>32</v>
      </c>
      <c r="AG49" s="37">
        <f t="shared" si="5"/>
        <v>8.3116883116883109</v>
      </c>
      <c r="AI49" s="4" t="s">
        <v>3090</v>
      </c>
      <c r="AJ49">
        <f>COUNTIFS($D$2:$D$386,7,$G$2:$G$386,100)</f>
        <v>0</v>
      </c>
      <c r="AK49" s="34">
        <f t="shared" si="6"/>
        <v>0</v>
      </c>
      <c r="AM49" t="s">
        <v>34</v>
      </c>
      <c r="AN49">
        <f>COUNTIFS($F$2:$F$386,7,$H$2:$H$386,100)</f>
        <v>0</v>
      </c>
      <c r="AO49" s="34">
        <f t="shared" si="7"/>
        <v>0</v>
      </c>
    </row>
    <row r="50" spans="1:41" x14ac:dyDescent="0.3">
      <c r="A50" t="s">
        <v>2363</v>
      </c>
      <c r="B50" s="7">
        <v>3</v>
      </c>
      <c r="C50" s="3">
        <v>18</v>
      </c>
      <c r="D50" s="3">
        <v>4</v>
      </c>
      <c r="E50" s="3">
        <v>5</v>
      </c>
      <c r="F50" s="3">
        <v>100</v>
      </c>
      <c r="G50" s="3">
        <v>100</v>
      </c>
      <c r="H50" s="3">
        <v>100</v>
      </c>
      <c r="I50" s="11">
        <v>2</v>
      </c>
      <c r="J50">
        <v>2012</v>
      </c>
      <c r="K50" t="s">
        <v>11</v>
      </c>
      <c r="L50">
        <f>COUNTIFS($B$2:$B$386,4,$D$2:$D$386,1)</f>
        <v>4</v>
      </c>
      <c r="M50" s="34">
        <f>(L50/385)*100</f>
        <v>1.0389610389610389</v>
      </c>
      <c r="N50" t="s">
        <v>3083</v>
      </c>
      <c r="O50" t="s">
        <v>11</v>
      </c>
      <c r="P50">
        <f>COUNTIFS($C$2:$C$386,21,$D$2:$D$386,1)</f>
        <v>17</v>
      </c>
      <c r="Q50" s="34">
        <f>(P50/385)*100</f>
        <v>4.4155844155844157</v>
      </c>
      <c r="S50" t="s">
        <v>50</v>
      </c>
      <c r="T50">
        <f>COUNTIFS($D$2:$D$386,5,$E$2:$E$386,9)</f>
        <v>1</v>
      </c>
      <c r="U50" s="34">
        <f t="shared" si="2"/>
        <v>0.25974025974025972</v>
      </c>
      <c r="V50" t="s">
        <v>31</v>
      </c>
      <c r="W50" s="4">
        <v>1</v>
      </c>
      <c r="X50">
        <f>COUNTIFS($E$2:$E$386,4,$F$2:$F$386,1)</f>
        <v>2</v>
      </c>
      <c r="Y50" s="34">
        <f>(X50/385)*100</f>
        <v>0.51948051948051943</v>
      </c>
      <c r="AB50" s="22">
        <f>SUM(AB44:AB49)</f>
        <v>13</v>
      </c>
      <c r="AC50" s="35">
        <f t="shared" si="4"/>
        <v>3.3766233766233764</v>
      </c>
      <c r="AD50" t="s">
        <v>25</v>
      </c>
      <c r="AE50" s="4">
        <v>1</v>
      </c>
      <c r="AF50">
        <f>COUNTIFS($D$2:$D$386,4,$F$2:$F$386,1)</f>
        <v>110</v>
      </c>
      <c r="AG50" s="34">
        <f>(AF50/385)*100</f>
        <v>28.571428571428569</v>
      </c>
      <c r="AJ50" s="22">
        <f>SUM(AJ44:AJ49)</f>
        <v>0</v>
      </c>
      <c r="AK50" s="35">
        <f t="shared" si="6"/>
        <v>0</v>
      </c>
      <c r="AN50" s="23">
        <f>SUM(AN44:AN49)</f>
        <v>1</v>
      </c>
      <c r="AO50" s="37">
        <f t="shared" si="7"/>
        <v>0.25974025974025972</v>
      </c>
    </row>
    <row r="51" spans="1:41" x14ac:dyDescent="0.3">
      <c r="A51" s="6" t="s">
        <v>735</v>
      </c>
      <c r="B51" s="7">
        <v>15</v>
      </c>
      <c r="C51" s="3">
        <v>21</v>
      </c>
      <c r="D51" s="11">
        <v>8</v>
      </c>
      <c r="E51" s="7">
        <v>4</v>
      </c>
      <c r="F51" s="11">
        <v>2</v>
      </c>
      <c r="G51" s="3">
        <v>2</v>
      </c>
      <c r="H51" s="11">
        <v>3</v>
      </c>
      <c r="I51" s="7">
        <v>2</v>
      </c>
      <c r="K51" t="s">
        <v>18</v>
      </c>
      <c r="L51">
        <f>COUNTIFS($B$2:$B$386,4,$D$2:$D$386,2)</f>
        <v>0</v>
      </c>
      <c r="M51" s="34">
        <f t="shared" si="0"/>
        <v>0</v>
      </c>
      <c r="O51" t="s">
        <v>18</v>
      </c>
      <c r="P51">
        <f>COUNTIFS($C$2:$C$386,21,$D$2:$D$386,2)</f>
        <v>15</v>
      </c>
      <c r="Q51" s="34">
        <f t="shared" si="1"/>
        <v>3.8961038961038961</v>
      </c>
      <c r="T51" s="22">
        <f>SUM(T42:T50)</f>
        <v>13</v>
      </c>
      <c r="U51" s="35">
        <f t="shared" si="2"/>
        <v>3.3766233766233764</v>
      </c>
      <c r="W51">
        <v>2</v>
      </c>
      <c r="X51">
        <f>COUNTIFS($E$2:$E$386,4,$F$2:$F$386,2)</f>
        <v>1</v>
      </c>
      <c r="Y51" s="34">
        <f t="shared" si="3"/>
        <v>0.25974025974025972</v>
      </c>
      <c r="Z51" t="s">
        <v>48</v>
      </c>
      <c r="AA51" s="4">
        <v>1</v>
      </c>
      <c r="AB51">
        <f>COUNTIFS($E$2:$E$386,8,$G$2:$G$386,1)</f>
        <v>19</v>
      </c>
      <c r="AC51" s="34">
        <f>(AB51/385)*100</f>
        <v>4.9350649350649354</v>
      </c>
      <c r="AE51">
        <v>2</v>
      </c>
      <c r="AF51">
        <f>COUNTIFS($D$2:$D$386,4,$F$2:$F$386,2)</f>
        <v>9</v>
      </c>
      <c r="AG51" s="34">
        <f t="shared" si="5"/>
        <v>2.3376623376623376</v>
      </c>
      <c r="AH51" t="s">
        <v>43</v>
      </c>
      <c r="AI51" s="4">
        <v>1</v>
      </c>
      <c r="AJ51">
        <f>COUNTIFS($D$2:$D$386,8,$G$2:$G$386,1)</f>
        <v>14</v>
      </c>
      <c r="AK51" s="34">
        <f>(AJ51/385)*100</f>
        <v>3.6363636363636362</v>
      </c>
      <c r="AL51" s="4">
        <v>8</v>
      </c>
      <c r="AM51" t="s">
        <v>12</v>
      </c>
      <c r="AN51">
        <f>COUNTIFS($F$2:$F$386,8,$H$2:$H$386,1)</f>
        <v>0</v>
      </c>
      <c r="AO51" s="34">
        <f>(AN51/385)*100</f>
        <v>0</v>
      </c>
    </row>
    <row r="52" spans="1:41" x14ac:dyDescent="0.3">
      <c r="A52" t="s">
        <v>1677</v>
      </c>
      <c r="B52" s="7">
        <v>11</v>
      </c>
      <c r="C52" s="3">
        <v>20</v>
      </c>
      <c r="D52" s="3">
        <v>2</v>
      </c>
      <c r="E52" s="3">
        <v>6</v>
      </c>
      <c r="F52" s="3">
        <v>100</v>
      </c>
      <c r="G52" s="3">
        <v>100</v>
      </c>
      <c r="H52" s="3">
        <v>100</v>
      </c>
      <c r="I52" s="7">
        <v>2</v>
      </c>
      <c r="K52" t="s">
        <v>150</v>
      </c>
      <c r="L52">
        <f>COUNTIFS($B$2:$B$386,4,$D$2:$D$386,3)</f>
        <v>5</v>
      </c>
      <c r="M52" s="34">
        <f t="shared" si="0"/>
        <v>1.2987012987012987</v>
      </c>
      <c r="O52" t="s">
        <v>150</v>
      </c>
      <c r="P52">
        <f>COUNTIFS($C$2:$C$386,21,$D$2:$D$386,3)</f>
        <v>15</v>
      </c>
      <c r="Q52" s="34">
        <f t="shared" si="1"/>
        <v>3.8961038961038961</v>
      </c>
      <c r="R52" t="s">
        <v>38</v>
      </c>
      <c r="S52" t="s">
        <v>10</v>
      </c>
      <c r="T52">
        <f>COUNTIFS($D$2:$D$386,6,$E$2:$E$386,1)</f>
        <v>1</v>
      </c>
      <c r="U52" s="34">
        <f>(T52/385)*100</f>
        <v>0.25974025974025972</v>
      </c>
      <c r="W52" s="4">
        <v>3</v>
      </c>
      <c r="X52">
        <f>COUNTIFS($E$2:$E$386,4,$F$2:$F$386,3)</f>
        <v>0</v>
      </c>
      <c r="Y52" s="34">
        <f t="shared" si="3"/>
        <v>0</v>
      </c>
      <c r="AA52" s="4">
        <v>2</v>
      </c>
      <c r="AB52">
        <f>COUNTIFS($E$2:$E$386,8,$G$2:$G$386,2)</f>
        <v>10</v>
      </c>
      <c r="AC52" s="34">
        <f t="shared" si="4"/>
        <v>2.5974025974025974</v>
      </c>
      <c r="AE52" s="4">
        <v>3</v>
      </c>
      <c r="AF52">
        <f>COUNTIFS($D$2:$D$386,4,$F$2:$F$386,3)</f>
        <v>5</v>
      </c>
      <c r="AG52" s="34">
        <f t="shared" si="5"/>
        <v>1.2987012987012987</v>
      </c>
      <c r="AI52" s="4">
        <v>2</v>
      </c>
      <c r="AJ52">
        <f>COUNTIFS($D$2:$D$386,8,$G$2:$G$386,2)</f>
        <v>2</v>
      </c>
      <c r="AK52" s="34">
        <f t="shared" si="6"/>
        <v>0.51948051948051943</v>
      </c>
      <c r="AM52" t="s">
        <v>19</v>
      </c>
      <c r="AN52">
        <f>COUNTIFS($F$2:$F$386,8,$H$2:$H$386,2)</f>
        <v>0</v>
      </c>
      <c r="AO52" s="34">
        <f t="shared" si="7"/>
        <v>0</v>
      </c>
    </row>
    <row r="53" spans="1:41" x14ac:dyDescent="0.3">
      <c r="A53" t="s">
        <v>2330</v>
      </c>
      <c r="B53" s="7">
        <v>3</v>
      </c>
      <c r="C53" s="3">
        <v>18</v>
      </c>
      <c r="D53" s="3">
        <v>1</v>
      </c>
      <c r="E53" s="3">
        <v>6</v>
      </c>
      <c r="F53" s="3">
        <v>2</v>
      </c>
      <c r="G53" s="3">
        <v>2</v>
      </c>
      <c r="H53" s="3">
        <v>4</v>
      </c>
      <c r="I53" s="7">
        <v>2</v>
      </c>
      <c r="K53" t="s">
        <v>25</v>
      </c>
      <c r="L53">
        <f>COUNTIFS($B$2:$B$386,4,$D$2:$D$386,4)</f>
        <v>7</v>
      </c>
      <c r="M53" s="34">
        <f t="shared" si="0"/>
        <v>1.8181818181818181</v>
      </c>
      <c r="O53" t="s">
        <v>25</v>
      </c>
      <c r="P53">
        <f>COUNTIFS($C$2:$C$386,21,$D$2:$D$386,4)</f>
        <v>90</v>
      </c>
      <c r="Q53" s="34">
        <f t="shared" si="1"/>
        <v>23.376623376623375</v>
      </c>
      <c r="S53" t="s">
        <v>17</v>
      </c>
      <c r="T53">
        <f>COUNTIFS($D$2:$D$386,6,$E$2:$E$386,2)</f>
        <v>0</v>
      </c>
      <c r="U53" s="34">
        <f t="shared" si="2"/>
        <v>0</v>
      </c>
      <c r="W53" s="4">
        <v>4</v>
      </c>
      <c r="X53">
        <f>COUNTIFS($E$2:$E$386,4,$F$2:$F$386,4)</f>
        <v>0</v>
      </c>
      <c r="Y53" s="34">
        <f t="shared" si="3"/>
        <v>0</v>
      </c>
      <c r="AA53" s="4">
        <v>3</v>
      </c>
      <c r="AB53">
        <f>COUNTIFS($E$2:$E$386,8,$G$2:$G$386,3)</f>
        <v>4</v>
      </c>
      <c r="AC53" s="34">
        <f t="shared" si="4"/>
        <v>1.0389610389610389</v>
      </c>
      <c r="AE53" s="4">
        <v>4</v>
      </c>
      <c r="AF53">
        <f>COUNTIFS($D$2:$D$386,4,$F$2:$F$386,4)</f>
        <v>1</v>
      </c>
      <c r="AG53" s="34">
        <f t="shared" si="5"/>
        <v>0.25974025974025972</v>
      </c>
      <c r="AI53" s="4">
        <v>3</v>
      </c>
      <c r="AJ53">
        <f>COUNTIFS($D$2:$D$386,8,$G$2:$G$386,3)</f>
        <v>1</v>
      </c>
      <c r="AK53" s="34">
        <f t="shared" si="6"/>
        <v>0.25974025974025972</v>
      </c>
      <c r="AM53" t="s">
        <v>26</v>
      </c>
      <c r="AN53">
        <f>COUNTIFS($F$2:$F$386,8,$H$2:$H$386,3)</f>
        <v>0</v>
      </c>
      <c r="AO53" s="34">
        <f t="shared" si="7"/>
        <v>0</v>
      </c>
    </row>
    <row r="54" spans="1:41" x14ac:dyDescent="0.3">
      <c r="A54" s="6" t="s">
        <v>349</v>
      </c>
      <c r="B54" s="7">
        <v>16</v>
      </c>
      <c r="C54" s="3">
        <v>21</v>
      </c>
      <c r="D54" s="11">
        <v>4</v>
      </c>
      <c r="E54" s="11">
        <v>1</v>
      </c>
      <c r="F54" s="11">
        <v>1</v>
      </c>
      <c r="G54" s="3">
        <v>1</v>
      </c>
      <c r="H54" s="11">
        <v>2</v>
      </c>
      <c r="I54" s="11">
        <v>2</v>
      </c>
      <c r="K54" t="s">
        <v>32</v>
      </c>
      <c r="L54">
        <f>COUNTIFS($B$2:$B$386,4,$D$2:$D$386,5)</f>
        <v>0</v>
      </c>
      <c r="M54" s="34">
        <f t="shared" si="0"/>
        <v>0</v>
      </c>
      <c r="O54" t="s">
        <v>32</v>
      </c>
      <c r="P54">
        <f>COUNTIFS($C$2:$C$386,21,$D$2:$D$386,5)</f>
        <v>6</v>
      </c>
      <c r="Q54" s="34">
        <f t="shared" si="1"/>
        <v>1.5584415584415585</v>
      </c>
      <c r="S54" t="s">
        <v>24</v>
      </c>
      <c r="T54">
        <f>COUNTIFS($D$2:$D$386,6,$E$2:$E$386,3)</f>
        <v>2</v>
      </c>
      <c r="U54" s="34">
        <f t="shared" si="2"/>
        <v>0.51948051948051943</v>
      </c>
      <c r="W54" s="4">
        <v>5</v>
      </c>
      <c r="X54">
        <f>COUNTIFS($E$2:$E$386,4,$F$2:$F$386,5)</f>
        <v>0</v>
      </c>
      <c r="Y54" s="34">
        <f t="shared" si="3"/>
        <v>0</v>
      </c>
      <c r="AA54" s="26" t="s">
        <v>3086</v>
      </c>
      <c r="AB54">
        <f>COUNTIFS($E$2:$E$386,8,$G$2:$G$386,15)</f>
        <v>2</v>
      </c>
      <c r="AC54" s="34">
        <f t="shared" si="4"/>
        <v>0.51948051948051943</v>
      </c>
      <c r="AE54" s="4">
        <v>5</v>
      </c>
      <c r="AF54">
        <f>COUNTIFS($D$2:$D$386,4,$F$2:$F$386,5)</f>
        <v>0</v>
      </c>
      <c r="AG54" s="34">
        <f t="shared" si="5"/>
        <v>0</v>
      </c>
      <c r="AI54" s="26" t="s">
        <v>3086</v>
      </c>
      <c r="AJ54">
        <f>COUNTIFS($D$2:$D$386,8,$G$2:$G$386,15)</f>
        <v>0</v>
      </c>
      <c r="AK54" s="34">
        <f t="shared" si="6"/>
        <v>0</v>
      </c>
      <c r="AM54" t="s">
        <v>33</v>
      </c>
      <c r="AN54">
        <f>COUNTIFS($F$2:$F$386,8,$H$2:$H$386,4)</f>
        <v>0</v>
      </c>
      <c r="AO54" s="34">
        <f t="shared" si="7"/>
        <v>0</v>
      </c>
    </row>
    <row r="55" spans="1:41" x14ac:dyDescent="0.3">
      <c r="A55" t="s">
        <v>2744</v>
      </c>
      <c r="B55" s="7">
        <v>13</v>
      </c>
      <c r="C55" s="3">
        <v>21</v>
      </c>
      <c r="D55" s="3">
        <v>3</v>
      </c>
      <c r="E55" s="3">
        <v>3</v>
      </c>
      <c r="F55" s="11">
        <v>1</v>
      </c>
      <c r="G55" s="3">
        <v>1</v>
      </c>
      <c r="H55" s="11">
        <v>100</v>
      </c>
      <c r="I55" s="11">
        <v>2</v>
      </c>
      <c r="K55" t="s">
        <v>38</v>
      </c>
      <c r="L55">
        <f>COUNTIFS($B$2:$B$386,4,$D$2:$D$386,6)</f>
        <v>0</v>
      </c>
      <c r="M55" s="34">
        <f t="shared" si="0"/>
        <v>0</v>
      </c>
      <c r="O55" t="s">
        <v>38</v>
      </c>
      <c r="P55">
        <f>COUNTIFS($C$2:$C$386,21,$D$2:$D$386,6)</f>
        <v>2</v>
      </c>
      <c r="Q55" s="34">
        <f t="shared" si="1"/>
        <v>0.51948051948051943</v>
      </c>
      <c r="S55" t="s">
        <v>31</v>
      </c>
      <c r="T55">
        <f>COUNTIFS($D$2:$D$386,6,$E$2:$E$386,4)</f>
        <v>1</v>
      </c>
      <c r="U55" s="34">
        <f t="shared" si="2"/>
        <v>0.25974025974025972</v>
      </c>
      <c r="W55" s="4">
        <v>6</v>
      </c>
      <c r="X55">
        <f>COUNTIFS($E$2:$E$386,4,$F$2:$F$386,6)</f>
        <v>0</v>
      </c>
      <c r="Y55" s="34">
        <f t="shared" si="3"/>
        <v>0</v>
      </c>
      <c r="AA55" s="27" t="s">
        <v>3087</v>
      </c>
      <c r="AB55">
        <f>COUNTIFS($E$2:$E$386,8,$G$2:$G$386,16)</f>
        <v>1</v>
      </c>
      <c r="AC55" s="34">
        <f t="shared" si="4"/>
        <v>0.25974025974025972</v>
      </c>
      <c r="AE55" s="4">
        <v>6</v>
      </c>
      <c r="AF55">
        <f>COUNTIFS($D$2:$D$386,4,$F$2:$F$386,6)</f>
        <v>0</v>
      </c>
      <c r="AG55" s="34">
        <f t="shared" si="5"/>
        <v>0</v>
      </c>
      <c r="AI55" s="27" t="s">
        <v>3087</v>
      </c>
      <c r="AJ55">
        <f>COUNTIFS($D$2:$D$386,8,$G$2:$G$386,16)</f>
        <v>0</v>
      </c>
      <c r="AK55" s="34">
        <f t="shared" si="6"/>
        <v>0</v>
      </c>
      <c r="AM55" t="s">
        <v>39</v>
      </c>
      <c r="AN55">
        <f>COUNTIFS($F$2:$F$386,8,$H$2:$H$386,5)</f>
        <v>0</v>
      </c>
      <c r="AO55" s="34">
        <f t="shared" si="7"/>
        <v>0</v>
      </c>
    </row>
    <row r="56" spans="1:41" x14ac:dyDescent="0.3">
      <c r="A56" t="s">
        <v>1743</v>
      </c>
      <c r="B56" s="7">
        <v>10</v>
      </c>
      <c r="C56" s="3">
        <v>20</v>
      </c>
      <c r="D56" s="11">
        <v>1</v>
      </c>
      <c r="E56" s="7">
        <v>3</v>
      </c>
      <c r="F56" s="11">
        <v>1</v>
      </c>
      <c r="G56" s="3">
        <v>1</v>
      </c>
      <c r="H56" s="11">
        <v>2</v>
      </c>
      <c r="I56" s="11">
        <v>2</v>
      </c>
      <c r="K56" t="s">
        <v>151</v>
      </c>
      <c r="L56">
        <f>COUNTIFS($B$2:$B$386,4,$D$2:$D$386,7)</f>
        <v>0</v>
      </c>
      <c r="M56" s="34">
        <f t="shared" si="0"/>
        <v>0</v>
      </c>
      <c r="O56" t="s">
        <v>151</v>
      </c>
      <c r="P56">
        <f>COUNTIFS($C$2:$C$386,21,$D$2:$D$386,7)</f>
        <v>0</v>
      </c>
      <c r="Q56" s="34">
        <f t="shared" si="1"/>
        <v>0</v>
      </c>
      <c r="S56" t="s">
        <v>37</v>
      </c>
      <c r="T56">
        <f>COUNTIFS($D$2:$D$386,6,$E$2:$E$386,5)</f>
        <v>0</v>
      </c>
      <c r="U56" s="34">
        <f t="shared" si="2"/>
        <v>0</v>
      </c>
      <c r="W56" s="4">
        <v>7</v>
      </c>
      <c r="X56">
        <f>COUNTIFS($E$2:$E$386,4,$F$2:$F$386,7)</f>
        <v>1</v>
      </c>
      <c r="Y56" s="34">
        <f t="shared" si="3"/>
        <v>0.25974025974025972</v>
      </c>
      <c r="AA56" s="6" t="s">
        <v>3090</v>
      </c>
      <c r="AB56">
        <f>COUNTIFS($E$2:$E$386,8,$G$2:$G$386,100)</f>
        <v>2</v>
      </c>
      <c r="AC56" s="34">
        <f t="shared" si="4"/>
        <v>0.51948051948051943</v>
      </c>
      <c r="AE56" s="4">
        <v>7</v>
      </c>
      <c r="AF56">
        <f>COUNTIFS($D$2:$D$386,4,$F$2:$F$386,7)</f>
        <v>0</v>
      </c>
      <c r="AG56" s="34">
        <f t="shared" si="5"/>
        <v>0</v>
      </c>
      <c r="AI56" s="4" t="s">
        <v>3090</v>
      </c>
      <c r="AJ56">
        <f>COUNTIFS($D$2:$D$386,8,$G$2:$G$386,100)</f>
        <v>1</v>
      </c>
      <c r="AK56" s="34">
        <f t="shared" si="6"/>
        <v>0.25974025974025972</v>
      </c>
      <c r="AM56" t="s">
        <v>34</v>
      </c>
      <c r="AN56">
        <f>COUNTIFS($F$2:$F$386,8,$H$2:$H$386,100)</f>
        <v>0</v>
      </c>
      <c r="AO56" s="34">
        <f t="shared" si="7"/>
        <v>0</v>
      </c>
    </row>
    <row r="57" spans="1:41" x14ac:dyDescent="0.3">
      <c r="A57" t="s">
        <v>1781</v>
      </c>
      <c r="B57" s="7">
        <v>9</v>
      </c>
      <c r="C57" s="3">
        <v>20</v>
      </c>
      <c r="D57" s="3">
        <v>8</v>
      </c>
      <c r="E57" s="3">
        <v>1</v>
      </c>
      <c r="F57" s="3">
        <v>1</v>
      </c>
      <c r="G57" s="3">
        <v>1</v>
      </c>
      <c r="H57" s="3">
        <v>2</v>
      </c>
      <c r="I57" s="11">
        <v>2</v>
      </c>
      <c r="K57" t="s">
        <v>43</v>
      </c>
      <c r="L57">
        <f>COUNTIFS($B$2:$B$386,4,$D$2:$D$386,8)</f>
        <v>1</v>
      </c>
      <c r="M57" s="34">
        <f t="shared" si="0"/>
        <v>0.25974025974025972</v>
      </c>
      <c r="O57" t="s">
        <v>43</v>
      </c>
      <c r="P57">
        <f>COUNTIFS($C$2:$C$386,21,$D$2:$D$386,8)</f>
        <v>13</v>
      </c>
      <c r="Q57" s="34">
        <f t="shared" si="1"/>
        <v>3.3766233766233764</v>
      </c>
      <c r="S57" t="s">
        <v>42</v>
      </c>
      <c r="T57">
        <f>COUNTIFS($D$2:$D$386,6,$E$2:$E$386,6)</f>
        <v>0</v>
      </c>
      <c r="U57" s="34">
        <f t="shared" si="2"/>
        <v>0</v>
      </c>
      <c r="W57" s="4">
        <v>8</v>
      </c>
      <c r="X57">
        <f>COUNTIFS($E$2:$E$386,4,$F$2:$F$386,8)</f>
        <v>0</v>
      </c>
      <c r="Y57" s="34">
        <f t="shared" si="3"/>
        <v>0</v>
      </c>
      <c r="AB57" s="22">
        <f>SUM(AB51:AB56)</f>
        <v>38</v>
      </c>
      <c r="AC57" s="35">
        <f t="shared" si="4"/>
        <v>9.8701298701298708</v>
      </c>
      <c r="AE57" s="4">
        <v>8</v>
      </c>
      <c r="AF57">
        <f>COUNTIFS($D$2:$D$386,4,$F$2:$F$386,8)</f>
        <v>0</v>
      </c>
      <c r="AG57" s="34">
        <f t="shared" si="5"/>
        <v>0</v>
      </c>
      <c r="AJ57" s="22">
        <f>SUM(AJ51:AJ56)</f>
        <v>18</v>
      </c>
      <c r="AK57" s="35">
        <f t="shared" si="6"/>
        <v>4.6753246753246751</v>
      </c>
      <c r="AN57" s="23">
        <f>SUM(AN51:AN56)</f>
        <v>0</v>
      </c>
      <c r="AO57" s="37">
        <f t="shared" si="7"/>
        <v>0</v>
      </c>
    </row>
    <row r="58" spans="1:41" x14ac:dyDescent="0.3">
      <c r="A58" s="6" t="s">
        <v>997</v>
      </c>
      <c r="B58" s="7">
        <v>14</v>
      </c>
      <c r="C58" s="3">
        <v>21</v>
      </c>
      <c r="D58" s="11">
        <v>8</v>
      </c>
      <c r="E58" s="7">
        <v>1</v>
      </c>
      <c r="F58" s="7">
        <v>1</v>
      </c>
      <c r="G58" s="3">
        <v>1</v>
      </c>
      <c r="H58" s="7">
        <v>2</v>
      </c>
      <c r="I58" s="7">
        <v>1</v>
      </c>
      <c r="K58" t="s">
        <v>46</v>
      </c>
      <c r="L58">
        <f>COUNTIFS($B$2:$B$386,4,$D$2:$D$386,9)</f>
        <v>1</v>
      </c>
      <c r="M58" s="34">
        <f t="shared" si="0"/>
        <v>0.25974025974025972</v>
      </c>
      <c r="O58" t="s">
        <v>46</v>
      </c>
      <c r="P58">
        <f>COUNTIFS($C$2:$C$386,21,$D$2:$D$386,9)</f>
        <v>5</v>
      </c>
      <c r="Q58" s="34">
        <f t="shared" si="1"/>
        <v>1.2987012987012987</v>
      </c>
      <c r="S58" t="s">
        <v>45</v>
      </c>
      <c r="T58">
        <f>COUNTIFS($D$2:$D$386,6,$E$2:$E$386,7)</f>
        <v>0</v>
      </c>
      <c r="U58" s="34">
        <f t="shared" si="2"/>
        <v>0</v>
      </c>
      <c r="W58" s="4">
        <v>9</v>
      </c>
      <c r="X58">
        <f>COUNTIFS($E$2:$E$386,4,$F$2:$F$386,9)</f>
        <v>0</v>
      </c>
      <c r="Y58" s="34">
        <f t="shared" si="3"/>
        <v>0</v>
      </c>
      <c r="Z58" t="s">
        <v>50</v>
      </c>
      <c r="AA58" s="4">
        <v>1</v>
      </c>
      <c r="AB58">
        <f>COUNTIFS($E$2:$E$386,9,$G$2:$G$386,1)</f>
        <v>8</v>
      </c>
      <c r="AC58" s="34">
        <f>(AB58/385)*100</f>
        <v>2.0779220779220777</v>
      </c>
      <c r="AE58" s="4">
        <v>9</v>
      </c>
      <c r="AF58">
        <f>COUNTIFS($D$2:$D$386,4,$F$2:$F$386,9)</f>
        <v>0</v>
      </c>
      <c r="AG58" s="34">
        <f t="shared" si="5"/>
        <v>0</v>
      </c>
      <c r="AH58" t="s">
        <v>46</v>
      </c>
      <c r="AI58" s="4">
        <v>1</v>
      </c>
      <c r="AJ58">
        <f>COUNTIFS($D$2:$D$386,9,$G$2:$G$386,1)</f>
        <v>4</v>
      </c>
      <c r="AK58" s="34">
        <f>(AJ58/385)*100</f>
        <v>1.0389610389610389</v>
      </c>
      <c r="AL58" s="4">
        <v>9</v>
      </c>
      <c r="AM58" t="s">
        <v>12</v>
      </c>
      <c r="AN58">
        <f>COUNTIFS($F$2:$F$386,9,$H$2:$H$386,1)</f>
        <v>0</v>
      </c>
      <c r="AO58" s="34">
        <f>(AN58/385)*100</f>
        <v>0</v>
      </c>
    </row>
    <row r="59" spans="1:41" x14ac:dyDescent="0.3">
      <c r="A59" t="s">
        <v>2960</v>
      </c>
      <c r="B59" s="7">
        <v>10</v>
      </c>
      <c r="C59" s="3">
        <v>20</v>
      </c>
      <c r="D59" s="3">
        <v>4</v>
      </c>
      <c r="E59" s="3">
        <v>3</v>
      </c>
      <c r="F59" s="3">
        <v>1</v>
      </c>
      <c r="G59" s="3">
        <v>1</v>
      </c>
      <c r="H59" s="3">
        <v>2</v>
      </c>
      <c r="I59" s="11">
        <v>2</v>
      </c>
      <c r="K59" t="s">
        <v>152</v>
      </c>
      <c r="L59">
        <f>COUNTIFS($B$2:$B$386,4,$D$2:$D$386,10)</f>
        <v>0</v>
      </c>
      <c r="M59" s="34">
        <f t="shared" si="0"/>
        <v>0</v>
      </c>
      <c r="O59" t="s">
        <v>152</v>
      </c>
      <c r="P59">
        <f>COUNTIFS($C$2:$C$386,21,$D$2:$D$386,10)</f>
        <v>0</v>
      </c>
      <c r="Q59" s="34">
        <f t="shared" si="1"/>
        <v>0</v>
      </c>
      <c r="S59" t="s">
        <v>48</v>
      </c>
      <c r="T59">
        <f>COUNTIFS($D$2:$D$386,6,$E$2:$E$386,8)</f>
        <v>0</v>
      </c>
      <c r="U59" s="34">
        <f t="shared" si="2"/>
        <v>0</v>
      </c>
      <c r="W59" s="4">
        <v>10</v>
      </c>
      <c r="X59">
        <f>COUNTIFS($E$2:$E$386,4,$F$2:$F$386,10)</f>
        <v>0</v>
      </c>
      <c r="Y59" s="34">
        <f t="shared" si="3"/>
        <v>0</v>
      </c>
      <c r="AA59" s="4">
        <v>2</v>
      </c>
      <c r="AB59">
        <f>COUNTIFS($E$2:$E$386,9,$G$2:$G$386,2)</f>
        <v>1</v>
      </c>
      <c r="AC59" s="34">
        <f t="shared" si="4"/>
        <v>0.25974025974025972</v>
      </c>
      <c r="AE59" s="4">
        <v>10</v>
      </c>
      <c r="AF59">
        <f>COUNTIFS($D$2:$D$386,4,$F$2:$F$386,10)</f>
        <v>0</v>
      </c>
      <c r="AG59" s="34">
        <f t="shared" si="5"/>
        <v>0</v>
      </c>
      <c r="AI59" s="4">
        <v>2</v>
      </c>
      <c r="AJ59">
        <f>COUNTIFS($D$2:$D$386,9,$G$2:$G$386,2)</f>
        <v>1</v>
      </c>
      <c r="AK59" s="34">
        <f t="shared" si="6"/>
        <v>0.25974025974025972</v>
      </c>
      <c r="AM59" t="s">
        <v>19</v>
      </c>
      <c r="AN59">
        <f>COUNTIFS($F$2:$F$386,9,$H$2:$H$386,2)</f>
        <v>0</v>
      </c>
      <c r="AO59" s="34">
        <f t="shared" si="7"/>
        <v>0</v>
      </c>
    </row>
    <row r="60" spans="1:41" x14ac:dyDescent="0.3">
      <c r="A60" t="s">
        <v>1832</v>
      </c>
      <c r="B60" s="7">
        <v>8</v>
      </c>
      <c r="C60" s="3">
        <v>19</v>
      </c>
      <c r="D60" s="3">
        <v>4</v>
      </c>
      <c r="E60" s="3">
        <v>3</v>
      </c>
      <c r="F60" s="11">
        <v>1</v>
      </c>
      <c r="G60" s="3">
        <v>1</v>
      </c>
      <c r="H60" s="11">
        <v>1</v>
      </c>
      <c r="I60" s="11">
        <v>2</v>
      </c>
      <c r="K60" t="s">
        <v>49</v>
      </c>
      <c r="L60">
        <f>COUNTIFS($B$2:$B$386,4,$D$2:$D$386,11)</f>
        <v>0</v>
      </c>
      <c r="M60" s="34">
        <f t="shared" si="0"/>
        <v>0</v>
      </c>
      <c r="O60" t="s">
        <v>49</v>
      </c>
      <c r="P60">
        <f>COUNTIFS($C$2:$C$386,21,$D$2:$D$386,11)</f>
        <v>5</v>
      </c>
      <c r="Q60" s="34">
        <f t="shared" si="1"/>
        <v>1.2987012987012987</v>
      </c>
      <c r="S60" t="s">
        <v>50</v>
      </c>
      <c r="T60">
        <f>COUNTIFS($D$2:$D$386,6,$E$2:$E$386,9)</f>
        <v>0</v>
      </c>
      <c r="U60" s="34">
        <f t="shared" si="2"/>
        <v>0</v>
      </c>
      <c r="W60" s="4">
        <v>11</v>
      </c>
      <c r="X60">
        <f>COUNTIFS($E$2:$E$386,4,$F$2:$F$386,11)</f>
        <v>0</v>
      </c>
      <c r="Y60" s="34">
        <f t="shared" si="3"/>
        <v>0</v>
      </c>
      <c r="AA60" s="4">
        <v>3</v>
      </c>
      <c r="AB60">
        <f>COUNTIFS($E$2:$E$386,9,$G$2:$G$386,3)</f>
        <v>1</v>
      </c>
      <c r="AC60" s="34">
        <f t="shared" si="4"/>
        <v>0.25974025974025972</v>
      </c>
      <c r="AE60" s="4">
        <v>11</v>
      </c>
      <c r="AF60">
        <f>COUNTIFS($D$2:$D$386,4,$F$2:$F$386,11)</f>
        <v>0</v>
      </c>
      <c r="AG60" s="34">
        <f t="shared" si="5"/>
        <v>0</v>
      </c>
      <c r="AI60" s="4">
        <v>3</v>
      </c>
      <c r="AJ60">
        <f>COUNTIFS($D$2:$D$386,9,$G$2:$G$386,3)</f>
        <v>2</v>
      </c>
      <c r="AK60" s="34">
        <f t="shared" si="6"/>
        <v>0.51948051948051943</v>
      </c>
      <c r="AM60" t="s">
        <v>26</v>
      </c>
      <c r="AN60">
        <f>COUNTIFS($F$2:$F$386,9,$H$2:$H$386,3)</f>
        <v>0</v>
      </c>
      <c r="AO60" s="34">
        <f t="shared" si="7"/>
        <v>0</v>
      </c>
    </row>
    <row r="61" spans="1:41" x14ac:dyDescent="0.3">
      <c r="A61" t="s">
        <v>1313</v>
      </c>
      <c r="B61" s="7">
        <v>13</v>
      </c>
      <c r="C61" s="3">
        <v>21</v>
      </c>
      <c r="D61" s="3">
        <v>15</v>
      </c>
      <c r="E61" s="3">
        <v>3</v>
      </c>
      <c r="F61" s="3">
        <v>1</v>
      </c>
      <c r="G61" s="3">
        <v>1</v>
      </c>
      <c r="H61" s="3">
        <v>2</v>
      </c>
      <c r="I61" s="11">
        <v>2</v>
      </c>
      <c r="K61" t="s">
        <v>51</v>
      </c>
      <c r="L61">
        <f>COUNTIFS($B$2:$B$386,4,$D$2:$D$386,12)</f>
        <v>1</v>
      </c>
      <c r="M61" s="34">
        <f t="shared" si="0"/>
        <v>0.25974025974025972</v>
      </c>
      <c r="O61" t="s">
        <v>51</v>
      </c>
      <c r="P61">
        <f>COUNTIFS($C$2:$C$386,21,$D$2:$D$386,12)</f>
        <v>6</v>
      </c>
      <c r="Q61" s="34">
        <f t="shared" si="1"/>
        <v>1.5584415584415585</v>
      </c>
      <c r="T61" s="22">
        <f>SUM(T52:T60)</f>
        <v>4</v>
      </c>
      <c r="U61" s="35">
        <f t="shared" si="2"/>
        <v>1.0389610389610389</v>
      </c>
      <c r="W61" s="4">
        <v>12</v>
      </c>
      <c r="X61">
        <f>COUNTIFS($E$2:$E$386,4,$F$2:$F$386,12)</f>
        <v>0</v>
      </c>
      <c r="Y61" s="34">
        <f t="shared" si="3"/>
        <v>0</v>
      </c>
      <c r="AA61" s="26" t="s">
        <v>3086</v>
      </c>
      <c r="AB61">
        <f>COUNTIFS($E$2:$E$386,9,$G$2:$G$386,15)</f>
        <v>0</v>
      </c>
      <c r="AC61" s="34">
        <f t="shared" si="4"/>
        <v>0</v>
      </c>
      <c r="AE61" s="4">
        <v>12</v>
      </c>
      <c r="AF61">
        <f>COUNTIFS($D$2:$D$386,4,$F$2:$F$386,12)</f>
        <v>0</v>
      </c>
      <c r="AG61" s="34">
        <f t="shared" si="5"/>
        <v>0</v>
      </c>
      <c r="AI61" s="26" t="s">
        <v>3086</v>
      </c>
      <c r="AJ61">
        <f>COUNTIFS($D$2:$D$386,9,$G$2:$G$386,15)</f>
        <v>1</v>
      </c>
      <c r="AK61" s="34">
        <f t="shared" si="6"/>
        <v>0.25974025974025972</v>
      </c>
      <c r="AM61" t="s">
        <v>33</v>
      </c>
      <c r="AN61">
        <f>COUNTIFS($F$2:$F$386,9,$H$2:$H$386,4)</f>
        <v>0</v>
      </c>
      <c r="AO61" s="34">
        <f t="shared" si="7"/>
        <v>0</v>
      </c>
    </row>
    <row r="62" spans="1:41" x14ac:dyDescent="0.3">
      <c r="A62" s="6" t="s">
        <v>531</v>
      </c>
      <c r="B62" s="7">
        <v>16</v>
      </c>
      <c r="C62" s="3">
        <v>21</v>
      </c>
      <c r="D62" s="3">
        <v>4</v>
      </c>
      <c r="E62" s="3">
        <v>1</v>
      </c>
      <c r="F62" s="11">
        <v>1</v>
      </c>
      <c r="G62" s="3">
        <v>1</v>
      </c>
      <c r="H62" s="11">
        <v>2</v>
      </c>
      <c r="I62" s="11">
        <v>2</v>
      </c>
      <c r="K62" t="s">
        <v>153</v>
      </c>
      <c r="L62">
        <f>COUNTIFS($B$2:$B$386,4,$D$2:$D$386,13)</f>
        <v>1</v>
      </c>
      <c r="M62" s="34">
        <f t="shared" si="0"/>
        <v>0.25974025974025972</v>
      </c>
      <c r="O62" t="s">
        <v>153</v>
      </c>
      <c r="P62">
        <f>COUNTIFS($C$2:$C$386,21,$D$2:$D$386,13)</f>
        <v>0</v>
      </c>
      <c r="Q62" s="34">
        <f t="shared" si="1"/>
        <v>0</v>
      </c>
      <c r="R62" t="s">
        <v>151</v>
      </c>
      <c r="S62" t="s">
        <v>10</v>
      </c>
      <c r="T62">
        <f>COUNTIFS($D$2:$D$386,7,$E$2:$E$386,1)</f>
        <v>0</v>
      </c>
      <c r="U62" s="34">
        <f>(T62/385)*100</f>
        <v>0</v>
      </c>
      <c r="W62" s="4">
        <v>13</v>
      </c>
      <c r="X62">
        <f>COUNTIFS($E$2:$E$386,4,$F$2:$F$386,13)</f>
        <v>0</v>
      </c>
      <c r="Y62" s="34">
        <f t="shared" si="3"/>
        <v>0</v>
      </c>
      <c r="AA62" s="27" t="s">
        <v>3087</v>
      </c>
      <c r="AB62">
        <f>COUNTIFS($E$2:$E$386,9,$G$2:$G$386,16)</f>
        <v>0</v>
      </c>
      <c r="AC62" s="34">
        <f t="shared" si="4"/>
        <v>0</v>
      </c>
      <c r="AE62" s="4">
        <v>13</v>
      </c>
      <c r="AF62">
        <f>COUNTIFS($D$2:$D$386,4,$F$2:$F$386,13)</f>
        <v>0</v>
      </c>
      <c r="AG62" s="34">
        <f t="shared" si="5"/>
        <v>0</v>
      </c>
      <c r="AI62" s="27" t="s">
        <v>3087</v>
      </c>
      <c r="AJ62">
        <f>COUNTIFS($D$2:$D$386,9,$G$2:$G$386,16)</f>
        <v>1</v>
      </c>
      <c r="AK62" s="34">
        <f t="shared" si="6"/>
        <v>0.25974025974025972</v>
      </c>
      <c r="AM62" t="s">
        <v>39</v>
      </c>
      <c r="AN62">
        <f>COUNTIFS($F$2:$F$386,9,$H$2:$H$386,5)</f>
        <v>0</v>
      </c>
      <c r="AO62" s="34">
        <f t="shared" si="7"/>
        <v>0</v>
      </c>
    </row>
    <row r="63" spans="1:41" x14ac:dyDescent="0.3">
      <c r="A63" s="6" t="s">
        <v>786</v>
      </c>
      <c r="B63" s="7">
        <v>15</v>
      </c>
      <c r="C63" s="3">
        <v>21</v>
      </c>
      <c r="D63" s="11">
        <v>1</v>
      </c>
      <c r="E63" s="7">
        <v>6</v>
      </c>
      <c r="F63" s="7">
        <v>1</v>
      </c>
      <c r="G63" s="3">
        <v>1</v>
      </c>
      <c r="H63" s="7">
        <v>2</v>
      </c>
      <c r="I63" s="7">
        <v>2</v>
      </c>
      <c r="K63" t="s">
        <v>154</v>
      </c>
      <c r="L63">
        <f>COUNTIFS($B$2:$B$386,4,$D$2:$D$386,14)</f>
        <v>2</v>
      </c>
      <c r="M63" s="34">
        <f t="shared" si="0"/>
        <v>0.51948051948051943</v>
      </c>
      <c r="O63" t="s">
        <v>154</v>
      </c>
      <c r="P63">
        <f>COUNTIFS($C$2:$C$386,21,$D$2:$D$386,14)</f>
        <v>4</v>
      </c>
      <c r="Q63" s="34">
        <f t="shared" si="1"/>
        <v>1.0389610389610389</v>
      </c>
      <c r="S63" t="s">
        <v>17</v>
      </c>
      <c r="T63">
        <f>COUNTIFS($D$2:$D$386,7,$E$2:$E$386,2)</f>
        <v>0</v>
      </c>
      <c r="U63" s="34">
        <f t="shared" si="2"/>
        <v>0</v>
      </c>
      <c r="W63" s="4">
        <v>14</v>
      </c>
      <c r="X63">
        <f>COUNTIFS($E$2:$E$386,4,$F$2:$F$386,14)</f>
        <v>0</v>
      </c>
      <c r="Y63" s="34">
        <f t="shared" si="3"/>
        <v>0</v>
      </c>
      <c r="AA63" s="6" t="s">
        <v>3090</v>
      </c>
      <c r="AB63">
        <f>COUNTIFS($E$2:$E$386,9,$G$2:$G$386,100)</f>
        <v>0</v>
      </c>
      <c r="AC63" s="34">
        <f t="shared" si="4"/>
        <v>0</v>
      </c>
      <c r="AE63" s="4">
        <v>14</v>
      </c>
      <c r="AF63">
        <f>COUNTIFS($D$2:$D$386,4,$F$2:$F$386,14)</f>
        <v>0</v>
      </c>
      <c r="AG63" s="34">
        <f t="shared" si="5"/>
        <v>0</v>
      </c>
      <c r="AI63" s="4" t="s">
        <v>3090</v>
      </c>
      <c r="AJ63">
        <f>COUNTIFS($D$2:$D$386,9,$G$2:$G$386,100)</f>
        <v>1</v>
      </c>
      <c r="AK63" s="34">
        <f t="shared" si="6"/>
        <v>0.25974025974025972</v>
      </c>
      <c r="AM63" t="s">
        <v>34</v>
      </c>
      <c r="AN63">
        <f>COUNTIFS($F$2:$F$386,9,$H$2:$H$386,100)</f>
        <v>0</v>
      </c>
      <c r="AO63" s="34">
        <f t="shared" si="7"/>
        <v>0</v>
      </c>
    </row>
    <row r="64" spans="1:41" x14ac:dyDescent="0.3">
      <c r="A64" t="s">
        <v>1923</v>
      </c>
      <c r="B64" s="7">
        <v>8</v>
      </c>
      <c r="C64" s="3">
        <v>19</v>
      </c>
      <c r="D64" s="3">
        <v>4</v>
      </c>
      <c r="E64" s="3">
        <v>3</v>
      </c>
      <c r="F64" s="3">
        <v>1</v>
      </c>
      <c r="G64" s="3">
        <v>1</v>
      </c>
      <c r="H64" s="3">
        <v>1</v>
      </c>
      <c r="I64" s="11">
        <v>2</v>
      </c>
      <c r="K64" t="s">
        <v>52</v>
      </c>
      <c r="L64">
        <f>COUNTIFS($B$2:$B$386,4,$D$2:$D$386,15)</f>
        <v>0</v>
      </c>
      <c r="M64" s="34">
        <f t="shared" si="0"/>
        <v>0</v>
      </c>
      <c r="O64" t="s">
        <v>52</v>
      </c>
      <c r="P64">
        <f>COUNTIFS($C$2:$C$386,21,$D$2:$D$386,15)</f>
        <v>28</v>
      </c>
      <c r="Q64" s="34">
        <f t="shared" si="1"/>
        <v>7.2727272727272725</v>
      </c>
      <c r="S64" t="s">
        <v>24</v>
      </c>
      <c r="T64">
        <f>COUNTIFS($D$2:$D$386,7,$E$2:$E$386,3)</f>
        <v>0</v>
      </c>
      <c r="U64" s="34">
        <f t="shared" si="2"/>
        <v>0</v>
      </c>
      <c r="W64" t="s">
        <v>3090</v>
      </c>
      <c r="X64">
        <f>COUNTIFS($E$2:$E$386,4,$F$2:$F$386,100)</f>
        <v>1</v>
      </c>
      <c r="Y64" s="34">
        <f t="shared" si="3"/>
        <v>0.25974025974025972</v>
      </c>
      <c r="AB64" s="22">
        <f>SUM(AB58:AB63)</f>
        <v>10</v>
      </c>
      <c r="AC64" s="35">
        <f t="shared" si="4"/>
        <v>2.5974025974025974</v>
      </c>
      <c r="AE64" t="s">
        <v>3090</v>
      </c>
      <c r="AF64">
        <f>COUNTIFS($D$2:$D$386,4,$F$2:$F$386,100)</f>
        <v>32</v>
      </c>
      <c r="AG64" s="34">
        <f t="shared" si="5"/>
        <v>8.3116883116883109</v>
      </c>
      <c r="AJ64" s="22">
        <f>SUM(AJ58:AJ63)</f>
        <v>10</v>
      </c>
      <c r="AK64" s="35">
        <f t="shared" si="6"/>
        <v>2.5974025974025974</v>
      </c>
      <c r="AN64" s="23">
        <f>SUM(AN58:AN63)</f>
        <v>0</v>
      </c>
      <c r="AO64" s="37">
        <f t="shared" si="7"/>
        <v>0</v>
      </c>
    </row>
    <row r="65" spans="1:41" x14ac:dyDescent="0.3">
      <c r="A65" t="s">
        <v>2490</v>
      </c>
      <c r="B65" s="7">
        <v>16</v>
      </c>
      <c r="C65" s="3">
        <v>21</v>
      </c>
      <c r="D65" s="3">
        <v>15</v>
      </c>
      <c r="E65" s="3">
        <v>3</v>
      </c>
      <c r="F65" s="3">
        <v>1</v>
      </c>
      <c r="G65" s="3">
        <v>1</v>
      </c>
      <c r="H65" s="11">
        <v>2</v>
      </c>
      <c r="I65" s="11">
        <v>2</v>
      </c>
      <c r="L65" s="22">
        <f>SUM(L50:L64)</f>
        <v>22</v>
      </c>
      <c r="M65" s="35">
        <f t="shared" si="0"/>
        <v>5.7142857142857144</v>
      </c>
      <c r="P65" s="23">
        <f>SUM(P50:P64)</f>
        <v>206</v>
      </c>
      <c r="Q65" s="37">
        <f t="shared" si="1"/>
        <v>53.506493506493499</v>
      </c>
      <c r="S65" t="s">
        <v>31</v>
      </c>
      <c r="T65">
        <f>COUNTIFS($D$2:$D$386,7,$E$2:$E$386,4)</f>
        <v>0</v>
      </c>
      <c r="U65" s="34">
        <f t="shared" si="2"/>
        <v>0</v>
      </c>
      <c r="X65" s="23">
        <f>SUM(X50:X64)</f>
        <v>5</v>
      </c>
      <c r="Y65" s="37">
        <f t="shared" si="3"/>
        <v>1.2987012987012987</v>
      </c>
      <c r="AF65" s="23">
        <f>SUM(AF50:AF64)</f>
        <v>157</v>
      </c>
      <c r="AG65" s="37">
        <f t="shared" si="5"/>
        <v>40.779220779220779</v>
      </c>
      <c r="AH65" t="s">
        <v>152</v>
      </c>
      <c r="AI65" s="4">
        <v>1</v>
      </c>
      <c r="AJ65">
        <f>COUNTIFS($D$2:$D$386,10,$G$2:$G$386,1)</f>
        <v>0</v>
      </c>
      <c r="AK65" s="34">
        <f>(AJ65/385)*100</f>
        <v>0</v>
      </c>
      <c r="AL65" s="4">
        <v>10</v>
      </c>
      <c r="AM65" t="s">
        <v>12</v>
      </c>
      <c r="AN65">
        <f>COUNTIFS($F$2:$F$386,10,$H$2:$H$386,1)</f>
        <v>0</v>
      </c>
      <c r="AO65" s="34">
        <f>(AN65/385)*100</f>
        <v>0</v>
      </c>
    </row>
    <row r="66" spans="1:41" x14ac:dyDescent="0.3">
      <c r="A66" s="6" t="s">
        <v>798</v>
      </c>
      <c r="B66" s="7">
        <v>15</v>
      </c>
      <c r="C66" s="3">
        <v>21</v>
      </c>
      <c r="D66" s="11">
        <v>15</v>
      </c>
      <c r="E66" s="7">
        <v>8</v>
      </c>
      <c r="F66" s="11">
        <v>2</v>
      </c>
      <c r="G66" s="3">
        <v>2</v>
      </c>
      <c r="H66" s="11">
        <v>3</v>
      </c>
      <c r="I66" s="11">
        <v>2</v>
      </c>
      <c r="J66">
        <v>2013</v>
      </c>
      <c r="K66" t="s">
        <v>11</v>
      </c>
      <c r="L66">
        <f>COUNTIFS($B$2:$B$386,5,$D$2:$D$386,1)</f>
        <v>2</v>
      </c>
      <c r="M66" s="34">
        <f>(L66/385)*100</f>
        <v>0.51948051948051943</v>
      </c>
      <c r="S66" t="s">
        <v>37</v>
      </c>
      <c r="T66">
        <f>COUNTIFS($D$2:$D$386,7,$E$2:$E$386,5)</f>
        <v>0</v>
      </c>
      <c r="U66" s="34">
        <f t="shared" si="2"/>
        <v>0</v>
      </c>
      <c r="V66" t="s">
        <v>37</v>
      </c>
      <c r="W66" s="4">
        <v>1</v>
      </c>
      <c r="X66">
        <f>COUNTIFS($E$2:$E$386,5,$F$2:$F$386,1)</f>
        <v>14</v>
      </c>
      <c r="Y66" s="34">
        <f>(X66/385)*100</f>
        <v>3.6363636363636362</v>
      </c>
      <c r="AD66" t="s">
        <v>32</v>
      </c>
      <c r="AE66" s="4">
        <v>1</v>
      </c>
      <c r="AF66">
        <f>COUNTIFS($D$2:$D$386,5,$F$2:$F$386,1)</f>
        <v>5</v>
      </c>
      <c r="AG66" s="34">
        <f>(AF66/385)*100</f>
        <v>1.2987012987012987</v>
      </c>
      <c r="AI66" s="4">
        <v>2</v>
      </c>
      <c r="AJ66">
        <f>COUNTIFS($D$2:$D$386,10,$G$2:$G$386,2)</f>
        <v>0</v>
      </c>
      <c r="AK66" s="34">
        <f t="shared" si="6"/>
        <v>0</v>
      </c>
      <c r="AM66" t="s">
        <v>19</v>
      </c>
      <c r="AN66">
        <f>COUNTIFS($F$2:$F$386,10,$H$2:$H$386,2)</f>
        <v>0</v>
      </c>
      <c r="AO66" s="34">
        <f t="shared" si="7"/>
        <v>0</v>
      </c>
    </row>
    <row r="67" spans="1:41" x14ac:dyDescent="0.3">
      <c r="A67" t="s">
        <v>2993</v>
      </c>
      <c r="B67" s="7">
        <v>8</v>
      </c>
      <c r="C67" s="3">
        <v>19</v>
      </c>
      <c r="D67" s="3">
        <v>9</v>
      </c>
      <c r="E67" s="3">
        <v>8</v>
      </c>
      <c r="F67" s="3">
        <v>1</v>
      </c>
      <c r="G67" s="3">
        <v>1</v>
      </c>
      <c r="H67" s="3">
        <v>2</v>
      </c>
      <c r="I67" s="7">
        <v>2</v>
      </c>
      <c r="K67" t="s">
        <v>18</v>
      </c>
      <c r="L67">
        <f>COUNTIFS($B$2:$B$386,5,$D$2:$D$386,2)</f>
        <v>1</v>
      </c>
      <c r="M67" s="34">
        <f t="shared" si="0"/>
        <v>0.25974025974025972</v>
      </c>
      <c r="S67" t="s">
        <v>42</v>
      </c>
      <c r="T67">
        <f>COUNTIFS($D$2:$D$386,7,$E$2:$E$386,6)</f>
        <v>0</v>
      </c>
      <c r="U67" s="34">
        <f t="shared" ref="U67:U71" si="14">(T67/385)*100</f>
        <v>0</v>
      </c>
      <c r="W67">
        <v>2</v>
      </c>
      <c r="X67">
        <f>COUNTIFS($E$2:$E$386,5,$F$2:$F$386,2)</f>
        <v>2</v>
      </c>
      <c r="Y67" s="34">
        <f t="shared" si="3"/>
        <v>0.51948051948051943</v>
      </c>
      <c r="AE67">
        <v>2</v>
      </c>
      <c r="AF67">
        <f>COUNTIFS($D$2:$D$386,5,$F$2:$F$386,2)</f>
        <v>1</v>
      </c>
      <c r="AG67" s="34">
        <f t="shared" si="5"/>
        <v>0.25974025974025972</v>
      </c>
      <c r="AI67" s="4">
        <v>3</v>
      </c>
      <c r="AJ67">
        <f>COUNTIFS($D$2:$D$386,10,$G$2:$G$386,3)</f>
        <v>0</v>
      </c>
      <c r="AK67" s="34">
        <f t="shared" ref="AK67:AK71" si="15">(AJ67/385)*100</f>
        <v>0</v>
      </c>
      <c r="AM67" t="s">
        <v>26</v>
      </c>
      <c r="AN67">
        <f>COUNTIFS($F$2:$F$386,10,$H$2:$H$386,3)</f>
        <v>1</v>
      </c>
      <c r="AO67" s="34">
        <f t="shared" ref="AO67:AO71" si="16">(AN67/385)*100</f>
        <v>0.25974025974025972</v>
      </c>
    </row>
    <row r="68" spans="1:41" x14ac:dyDescent="0.3">
      <c r="A68" s="6" t="s">
        <v>569</v>
      </c>
      <c r="B68" s="7">
        <v>16</v>
      </c>
      <c r="C68" s="3">
        <v>21</v>
      </c>
      <c r="D68" s="11">
        <v>15</v>
      </c>
      <c r="E68" s="11">
        <v>3</v>
      </c>
      <c r="F68" s="11">
        <v>5</v>
      </c>
      <c r="G68" s="3">
        <v>15</v>
      </c>
      <c r="H68" s="11">
        <v>5</v>
      </c>
      <c r="I68" s="11">
        <v>2</v>
      </c>
      <c r="K68" t="s">
        <v>150</v>
      </c>
      <c r="L68">
        <f>COUNTIFS($B$2:$B$386,5,$D$2:$D$386,3)</f>
        <v>1</v>
      </c>
      <c r="M68" s="34">
        <f t="shared" ref="M68:M81" si="17">(L68/385)*100</f>
        <v>0.25974025974025972</v>
      </c>
      <c r="S68" t="s">
        <v>45</v>
      </c>
      <c r="T68">
        <f>COUNTIFS($D$2:$D$386,7,$E$2:$E$386,7)</f>
        <v>0</v>
      </c>
      <c r="U68" s="34">
        <f t="shared" si="14"/>
        <v>0</v>
      </c>
      <c r="W68" s="4">
        <v>3</v>
      </c>
      <c r="X68">
        <f>COUNTIFS($E$2:$E$386,5,$F$2:$F$386,3)</f>
        <v>0</v>
      </c>
      <c r="Y68" s="34">
        <f t="shared" ref="Y68:Y81" si="18">(X68/385)*100</f>
        <v>0</v>
      </c>
      <c r="AE68" s="4">
        <v>3</v>
      </c>
      <c r="AF68">
        <f>COUNTIFS($D$2:$D$386,5,$F$2:$F$386,3)</f>
        <v>4</v>
      </c>
      <c r="AG68" s="34">
        <f t="shared" ref="AG68:AG81" si="19">(AF68/385)*100</f>
        <v>1.0389610389610389</v>
      </c>
      <c r="AI68" s="26" t="s">
        <v>3086</v>
      </c>
      <c r="AJ68">
        <f>COUNTIFS($D$2:$D$386,10,$G$2:$G$386,15)</f>
        <v>0</v>
      </c>
      <c r="AK68" s="34">
        <f t="shared" si="15"/>
        <v>0</v>
      </c>
      <c r="AM68" t="s">
        <v>33</v>
      </c>
      <c r="AN68">
        <f>COUNTIFS($F$2:$F$386,10,$H$2:$H$386,4)</f>
        <v>0</v>
      </c>
      <c r="AO68" s="34">
        <f t="shared" si="16"/>
        <v>0</v>
      </c>
    </row>
    <row r="69" spans="1:41" x14ac:dyDescent="0.3">
      <c r="A69" t="s">
        <v>2028</v>
      </c>
      <c r="B69" s="7">
        <v>7</v>
      </c>
      <c r="C69" s="3">
        <v>19</v>
      </c>
      <c r="D69" s="3">
        <v>3</v>
      </c>
      <c r="E69" s="3">
        <v>3</v>
      </c>
      <c r="F69" s="3">
        <v>1</v>
      </c>
      <c r="G69" s="3">
        <v>1</v>
      </c>
      <c r="H69" s="3">
        <v>1</v>
      </c>
      <c r="I69" s="3">
        <v>1</v>
      </c>
      <c r="K69" t="s">
        <v>25</v>
      </c>
      <c r="L69">
        <f>COUNTIFS($B$2:$B$386,5,$D$2:$D$386,4)</f>
        <v>6</v>
      </c>
      <c r="M69" s="34">
        <f t="shared" si="17"/>
        <v>1.5584415584415585</v>
      </c>
      <c r="S69" t="s">
        <v>48</v>
      </c>
      <c r="T69">
        <f>COUNTIFS($D$2:$D$386,7,$E$2:$E$386,8)</f>
        <v>0</v>
      </c>
      <c r="U69" s="34">
        <f t="shared" si="14"/>
        <v>0</v>
      </c>
      <c r="W69" s="4">
        <v>4</v>
      </c>
      <c r="X69">
        <f>COUNTIFS($E$2:$E$386,5,$F$2:$F$386,4)</f>
        <v>0</v>
      </c>
      <c r="Y69" s="34">
        <f t="shared" si="18"/>
        <v>0</v>
      </c>
      <c r="AE69" s="4">
        <v>4</v>
      </c>
      <c r="AF69">
        <f>COUNTIFS($D$2:$D$386,5,$F$2:$F$386,4)</f>
        <v>0</v>
      </c>
      <c r="AG69" s="34">
        <f t="shared" si="19"/>
        <v>0</v>
      </c>
      <c r="AI69" s="27" t="s">
        <v>3087</v>
      </c>
      <c r="AJ69">
        <f>COUNTIFS($D$2:$D$386,10,$G$2:$G$386,16)</f>
        <v>0</v>
      </c>
      <c r="AK69" s="34">
        <f t="shared" si="15"/>
        <v>0</v>
      </c>
      <c r="AM69" t="s">
        <v>39</v>
      </c>
      <c r="AN69">
        <f>COUNTIFS($F$2:$F$386,10,$H$2:$H$386,5)</f>
        <v>0</v>
      </c>
      <c r="AO69" s="34">
        <f t="shared" si="16"/>
        <v>0</v>
      </c>
    </row>
    <row r="70" spans="1:41" x14ac:dyDescent="0.3">
      <c r="A70" s="6" t="s">
        <v>500</v>
      </c>
      <c r="B70" s="7">
        <v>16</v>
      </c>
      <c r="C70" s="3">
        <v>21</v>
      </c>
      <c r="D70" s="11">
        <v>4</v>
      </c>
      <c r="E70" s="7">
        <v>3</v>
      </c>
      <c r="F70" s="11">
        <v>1</v>
      </c>
      <c r="G70" s="3">
        <v>1</v>
      </c>
      <c r="H70" s="11">
        <v>2</v>
      </c>
      <c r="I70" s="11">
        <v>2</v>
      </c>
      <c r="K70" t="s">
        <v>32</v>
      </c>
      <c r="L70">
        <f>COUNTIFS($B$2:$B$386,5,$D$2:$D$386,5)</f>
        <v>0</v>
      </c>
      <c r="M70" s="34">
        <f t="shared" si="17"/>
        <v>0</v>
      </c>
      <c r="S70" t="s">
        <v>50</v>
      </c>
      <c r="T70">
        <f>COUNTIFS($D$2:$D$386,7,$E$2:$E$386,9)</f>
        <v>0</v>
      </c>
      <c r="U70" s="34">
        <f t="shared" si="14"/>
        <v>0</v>
      </c>
      <c r="W70" s="4">
        <v>5</v>
      </c>
      <c r="X70">
        <f>COUNTIFS($E$2:$E$386,5,$F$2:$F$386,5)</f>
        <v>1</v>
      </c>
      <c r="Y70" s="34">
        <f t="shared" si="18"/>
        <v>0.25974025974025972</v>
      </c>
      <c r="AE70" s="4">
        <v>5</v>
      </c>
      <c r="AF70">
        <f>COUNTIFS($D$2:$D$386,5,$F$2:$F$386,5)</f>
        <v>2</v>
      </c>
      <c r="AG70" s="34">
        <f t="shared" si="19"/>
        <v>0.51948051948051943</v>
      </c>
      <c r="AI70" s="4" t="s">
        <v>3090</v>
      </c>
      <c r="AJ70">
        <f>COUNTIFS($D$2:$D$386,10,$G$2:$G$386,100)</f>
        <v>0</v>
      </c>
      <c r="AK70" s="34">
        <f t="shared" si="15"/>
        <v>0</v>
      </c>
      <c r="AM70" t="s">
        <v>34</v>
      </c>
      <c r="AN70">
        <f>COUNTIFS($F$2:$F$386,10,$H$2:$H$386,100)</f>
        <v>0</v>
      </c>
      <c r="AO70" s="34">
        <f t="shared" si="16"/>
        <v>0</v>
      </c>
    </row>
    <row r="71" spans="1:41" x14ac:dyDescent="0.3">
      <c r="A71" t="s">
        <v>1655</v>
      </c>
      <c r="B71" s="7">
        <v>11</v>
      </c>
      <c r="C71" s="3">
        <v>20</v>
      </c>
      <c r="D71" s="3">
        <v>1</v>
      </c>
      <c r="E71" s="3">
        <v>7</v>
      </c>
      <c r="F71" s="3">
        <v>1</v>
      </c>
      <c r="G71" s="3">
        <v>1</v>
      </c>
      <c r="H71" s="3">
        <v>2</v>
      </c>
      <c r="I71" s="7">
        <v>2</v>
      </c>
      <c r="K71" t="s">
        <v>38</v>
      </c>
      <c r="L71">
        <f>COUNTIFS($B$2:$B$386,5,$D$2:$D$386,6)</f>
        <v>0</v>
      </c>
      <c r="M71" s="34">
        <f t="shared" si="17"/>
        <v>0</v>
      </c>
      <c r="T71" s="22">
        <f>SUM(T62:T70)</f>
        <v>0</v>
      </c>
      <c r="U71" s="35">
        <f t="shared" si="14"/>
        <v>0</v>
      </c>
      <c r="W71" s="4">
        <v>6</v>
      </c>
      <c r="X71">
        <f>COUNTIFS($E$2:$E$386,5,$F$2:$F$386,6)</f>
        <v>0</v>
      </c>
      <c r="Y71" s="34">
        <f t="shared" si="18"/>
        <v>0</v>
      </c>
      <c r="AE71" s="4">
        <v>6</v>
      </c>
      <c r="AF71">
        <f>COUNTIFS($D$2:$D$386,5,$F$2:$F$386,6)</f>
        <v>1</v>
      </c>
      <c r="AG71" s="34">
        <f t="shared" si="19"/>
        <v>0.25974025974025972</v>
      </c>
      <c r="AJ71" s="22">
        <f>SUM(AJ65:AJ70)</f>
        <v>0</v>
      </c>
      <c r="AK71" s="35">
        <f t="shared" si="15"/>
        <v>0</v>
      </c>
      <c r="AN71" s="23">
        <f>SUM(AN65:AN70)</f>
        <v>1</v>
      </c>
      <c r="AO71" s="37">
        <f t="shared" si="16"/>
        <v>0.25974025974025972</v>
      </c>
    </row>
    <row r="72" spans="1:41" x14ac:dyDescent="0.3">
      <c r="A72" t="s">
        <v>2704</v>
      </c>
      <c r="B72" s="7">
        <v>13</v>
      </c>
      <c r="C72" s="3">
        <v>21</v>
      </c>
      <c r="D72" s="3">
        <v>4</v>
      </c>
      <c r="E72" s="3">
        <v>8</v>
      </c>
      <c r="F72" s="3">
        <v>2</v>
      </c>
      <c r="G72" s="3">
        <v>2</v>
      </c>
      <c r="H72" s="3">
        <v>5</v>
      </c>
      <c r="I72" s="7">
        <v>2</v>
      </c>
      <c r="K72" t="s">
        <v>151</v>
      </c>
      <c r="L72">
        <f>COUNTIFS($B$2:$B$386,5,$D$2:$D$386,7)</f>
        <v>0</v>
      </c>
      <c r="M72" s="34">
        <f t="shared" si="17"/>
        <v>0</v>
      </c>
      <c r="R72" t="s">
        <v>43</v>
      </c>
      <c r="S72" t="s">
        <v>10</v>
      </c>
      <c r="T72">
        <f>COUNTIFS($D$2:$D$386,8,$E$2:$E$386,1)</f>
        <v>5</v>
      </c>
      <c r="U72" s="34">
        <f>(T72/385)*100</f>
        <v>1.2987012987012987</v>
      </c>
      <c r="W72" s="4">
        <v>7</v>
      </c>
      <c r="X72">
        <f>COUNTIFS($E$2:$E$386,5,$F$2:$F$386,7)</f>
        <v>0</v>
      </c>
      <c r="Y72" s="34">
        <f t="shared" si="18"/>
        <v>0</v>
      </c>
      <c r="AE72" s="4">
        <v>7</v>
      </c>
      <c r="AF72">
        <f>COUNTIFS($D$2:$D$386,5,$F$2:$F$386,7)</f>
        <v>0</v>
      </c>
      <c r="AG72" s="34">
        <f t="shared" si="19"/>
        <v>0</v>
      </c>
      <c r="AH72" t="s">
        <v>49</v>
      </c>
      <c r="AI72" s="4">
        <v>1</v>
      </c>
      <c r="AJ72">
        <f>COUNTIFS($D$2:$D$386,11,$G$2:$G$386,1)</f>
        <v>5</v>
      </c>
      <c r="AK72" s="34">
        <f>(AJ72/385)*100</f>
        <v>1.2987012987012987</v>
      </c>
      <c r="AL72" s="4">
        <v>11</v>
      </c>
      <c r="AM72" t="s">
        <v>12</v>
      </c>
      <c r="AN72">
        <f>COUNTIFS($F$2:$F$386,11,$H$2:$H$386,1)</f>
        <v>0</v>
      </c>
      <c r="AO72" s="34">
        <f>(AN72/385)*100</f>
        <v>0</v>
      </c>
    </row>
    <row r="73" spans="1:41" x14ac:dyDescent="0.3">
      <c r="A73" t="s">
        <v>1520</v>
      </c>
      <c r="B73" s="7">
        <v>12</v>
      </c>
      <c r="C73" s="3">
        <v>20</v>
      </c>
      <c r="D73" s="3">
        <v>2</v>
      </c>
      <c r="E73" s="3">
        <v>3</v>
      </c>
      <c r="F73" s="3">
        <v>1</v>
      </c>
      <c r="G73" s="3">
        <v>1</v>
      </c>
      <c r="H73" s="3">
        <v>2</v>
      </c>
      <c r="I73" s="7">
        <v>2</v>
      </c>
      <c r="K73" t="s">
        <v>43</v>
      </c>
      <c r="L73">
        <f>COUNTIFS($B$2:$B$386,5,$D$2:$D$386,8)</f>
        <v>1</v>
      </c>
      <c r="M73" s="34">
        <f t="shared" si="17"/>
        <v>0.25974025974025972</v>
      </c>
      <c r="S73" t="s">
        <v>17</v>
      </c>
      <c r="T73">
        <f>COUNTIFS($D$2:$D$386,8,$E$2:$E$386,2)</f>
        <v>0</v>
      </c>
      <c r="U73" s="34">
        <f t="shared" ref="U73:U81" si="20">(T73/385)*100</f>
        <v>0</v>
      </c>
      <c r="W73" s="4">
        <v>8</v>
      </c>
      <c r="X73">
        <f>COUNTIFS($E$2:$E$386,5,$F$2:$F$386,8)</f>
        <v>0</v>
      </c>
      <c r="Y73" s="34">
        <f t="shared" si="18"/>
        <v>0</v>
      </c>
      <c r="AE73" s="4">
        <v>8</v>
      </c>
      <c r="AF73">
        <f>COUNTIFS($D$2:$D$386,5,$F$2:$F$386,8)</f>
        <v>0</v>
      </c>
      <c r="AG73" s="34">
        <f t="shared" si="19"/>
        <v>0</v>
      </c>
      <c r="AI73" s="4">
        <v>2</v>
      </c>
      <c r="AJ73">
        <f>COUNTIFS($D$2:$D$386,11,$G$2:$G$386,2)</f>
        <v>0</v>
      </c>
      <c r="AK73" s="34">
        <f t="shared" ref="AK73:AK78" si="21">(AJ73/385)*100</f>
        <v>0</v>
      </c>
      <c r="AM73" t="s">
        <v>19</v>
      </c>
      <c r="AN73">
        <f>COUNTIFS($F$2:$F$386,11,$H$2:$H$386,2)</f>
        <v>0</v>
      </c>
      <c r="AO73" s="34">
        <f t="shared" ref="AO73:AO78" si="22">(AN73/385)*100</f>
        <v>0</v>
      </c>
    </row>
    <row r="74" spans="1:41" x14ac:dyDescent="0.3">
      <c r="A74" s="6" t="s">
        <v>1131</v>
      </c>
      <c r="B74" s="7">
        <v>13</v>
      </c>
      <c r="C74" s="3">
        <v>21</v>
      </c>
      <c r="D74" s="3">
        <v>2</v>
      </c>
      <c r="E74" s="3">
        <v>8</v>
      </c>
      <c r="F74" s="3">
        <v>1</v>
      </c>
      <c r="G74" s="3">
        <v>1</v>
      </c>
      <c r="H74" s="3">
        <v>1</v>
      </c>
      <c r="I74" s="7">
        <v>2</v>
      </c>
      <c r="K74" t="s">
        <v>46</v>
      </c>
      <c r="L74">
        <f>COUNTIFS($B$2:$B$386,5,$D$2:$D$386,9)</f>
        <v>0</v>
      </c>
      <c r="M74" s="34">
        <f t="shared" si="17"/>
        <v>0</v>
      </c>
      <c r="S74" t="s">
        <v>24</v>
      </c>
      <c r="T74">
        <f>COUNTIFS($D$2:$D$386,8,$E$2:$E$386,3)</f>
        <v>4</v>
      </c>
      <c r="U74" s="34">
        <f t="shared" si="20"/>
        <v>1.0389610389610389</v>
      </c>
      <c r="W74" s="4">
        <v>9</v>
      </c>
      <c r="X74">
        <f>COUNTIFS($E$2:$E$386,5,$F$2:$F$386,9)</f>
        <v>0</v>
      </c>
      <c r="Y74" s="34">
        <f t="shared" si="18"/>
        <v>0</v>
      </c>
      <c r="AE74" s="4">
        <v>9</v>
      </c>
      <c r="AF74">
        <f>COUNTIFS($D$2:$D$386,5,$F$2:$F$386,9)</f>
        <v>0</v>
      </c>
      <c r="AG74" s="34">
        <f t="shared" si="19"/>
        <v>0</v>
      </c>
      <c r="AI74" s="4">
        <v>3</v>
      </c>
      <c r="AJ74">
        <f>COUNTIFS($D$2:$D$386,11,$G$2:$G$386,3)</f>
        <v>0</v>
      </c>
      <c r="AK74" s="34">
        <f t="shared" si="21"/>
        <v>0</v>
      </c>
      <c r="AM74" t="s">
        <v>26</v>
      </c>
      <c r="AN74">
        <f>COUNTIFS($F$2:$F$386,11,$H$2:$H$386,3)</f>
        <v>1</v>
      </c>
      <c r="AO74" s="34">
        <f t="shared" si="22"/>
        <v>0.25974025974025972</v>
      </c>
    </row>
    <row r="75" spans="1:41" x14ac:dyDescent="0.3">
      <c r="A75" s="6" t="s">
        <v>540</v>
      </c>
      <c r="B75" s="7">
        <v>16</v>
      </c>
      <c r="C75" s="3">
        <v>21</v>
      </c>
      <c r="D75" s="11">
        <v>4</v>
      </c>
      <c r="E75" s="11">
        <v>1</v>
      </c>
      <c r="F75" s="11">
        <v>1</v>
      </c>
      <c r="G75" s="3">
        <v>1</v>
      </c>
      <c r="H75" s="11">
        <v>2</v>
      </c>
      <c r="I75" s="11">
        <v>2</v>
      </c>
      <c r="K75" t="s">
        <v>152</v>
      </c>
      <c r="L75">
        <f>COUNTIFS($B$2:$B$386,5,$D$2:$D$386,10)</f>
        <v>0</v>
      </c>
      <c r="M75" s="34">
        <f t="shared" si="17"/>
        <v>0</v>
      </c>
      <c r="S75" t="s">
        <v>31</v>
      </c>
      <c r="T75">
        <f>COUNTIFS($D$2:$D$386,8,$E$2:$E$386,4)</f>
        <v>1</v>
      </c>
      <c r="U75" s="34">
        <f t="shared" si="20"/>
        <v>0.25974025974025972</v>
      </c>
      <c r="W75" s="4">
        <v>10</v>
      </c>
      <c r="X75">
        <f>COUNTIFS($E$2:$E$386,5,$F$2:$F$386,10)</f>
        <v>0</v>
      </c>
      <c r="Y75" s="34">
        <f t="shared" si="18"/>
        <v>0</v>
      </c>
      <c r="AE75" s="4">
        <v>10</v>
      </c>
      <c r="AF75">
        <f>COUNTIFS($D$2:$D$386,5,$F$2:$F$386,10)</f>
        <v>0</v>
      </c>
      <c r="AG75" s="34">
        <f t="shared" si="19"/>
        <v>0</v>
      </c>
      <c r="AI75" s="26" t="s">
        <v>3086</v>
      </c>
      <c r="AJ75">
        <f>COUNTIFS($D$2:$D$386,11,$G$2:$G$386,15)</f>
        <v>0</v>
      </c>
      <c r="AK75" s="34">
        <f t="shared" si="21"/>
        <v>0</v>
      </c>
      <c r="AM75" t="s">
        <v>33</v>
      </c>
      <c r="AN75">
        <f>COUNTIFS($F$2:$F$386,11,$H$2:$H$386,4)</f>
        <v>0</v>
      </c>
      <c r="AO75" s="34">
        <f t="shared" si="22"/>
        <v>0</v>
      </c>
    </row>
    <row r="76" spans="1:41" x14ac:dyDescent="0.3">
      <c r="A76" s="6" t="s">
        <v>899</v>
      </c>
      <c r="B76" s="7">
        <v>15</v>
      </c>
      <c r="C76" s="3">
        <v>21</v>
      </c>
      <c r="D76" s="11">
        <v>15</v>
      </c>
      <c r="E76" s="7">
        <v>1</v>
      </c>
      <c r="F76" s="11">
        <v>1</v>
      </c>
      <c r="G76" s="3">
        <v>1</v>
      </c>
      <c r="H76" s="11">
        <v>2</v>
      </c>
      <c r="I76" s="11">
        <v>2</v>
      </c>
      <c r="K76" t="s">
        <v>49</v>
      </c>
      <c r="L76">
        <f>COUNTIFS($B$2:$B$386,5,$D$2:$D$386,11)</f>
        <v>0</v>
      </c>
      <c r="M76" s="34">
        <f t="shared" si="17"/>
        <v>0</v>
      </c>
      <c r="S76" t="s">
        <v>37</v>
      </c>
      <c r="T76">
        <f>COUNTIFS($D$2:$D$386,8,$E$2:$E$386,5)</f>
        <v>2</v>
      </c>
      <c r="U76" s="34">
        <f t="shared" si="20"/>
        <v>0.51948051948051943</v>
      </c>
      <c r="W76" s="4">
        <v>11</v>
      </c>
      <c r="X76">
        <f>COUNTIFS($E$2:$E$386,5,$F$2:$F$386,11)</f>
        <v>0</v>
      </c>
      <c r="Y76" s="34">
        <f t="shared" si="18"/>
        <v>0</v>
      </c>
      <c r="AE76" s="4">
        <v>11</v>
      </c>
      <c r="AF76">
        <f>COUNTIFS($D$2:$D$386,5,$F$2:$F$386,11)</f>
        <v>0</v>
      </c>
      <c r="AG76" s="34">
        <f t="shared" si="19"/>
        <v>0</v>
      </c>
      <c r="AI76" s="27" t="s">
        <v>3087</v>
      </c>
      <c r="AJ76">
        <f>COUNTIFS($D$2:$D$386,11,$G$2:$G$386,16)</f>
        <v>0</v>
      </c>
      <c r="AK76" s="34">
        <f t="shared" si="21"/>
        <v>0</v>
      </c>
      <c r="AM76" t="s">
        <v>39</v>
      </c>
      <c r="AN76">
        <f>COUNTIFS($F$2:$F$386,11,$H$2:$H$386,5)</f>
        <v>0</v>
      </c>
      <c r="AO76" s="34">
        <f t="shared" si="22"/>
        <v>0</v>
      </c>
    </row>
    <row r="77" spans="1:41" x14ac:dyDescent="0.3">
      <c r="A77" s="6" t="s">
        <v>837</v>
      </c>
      <c r="B77" s="7">
        <v>15</v>
      </c>
      <c r="C77" s="3">
        <v>21</v>
      </c>
      <c r="D77" s="11">
        <v>15</v>
      </c>
      <c r="E77" s="7">
        <v>1</v>
      </c>
      <c r="F77" s="11">
        <v>1</v>
      </c>
      <c r="G77" s="3">
        <v>1</v>
      </c>
      <c r="H77" s="11">
        <v>2</v>
      </c>
      <c r="I77" s="11">
        <v>2</v>
      </c>
      <c r="K77" t="s">
        <v>51</v>
      </c>
      <c r="L77">
        <f>COUNTIFS($B$2:$B$386,5,$D$2:$D$386,12)</f>
        <v>0</v>
      </c>
      <c r="M77" s="34">
        <f t="shared" si="17"/>
        <v>0</v>
      </c>
      <c r="S77" t="s">
        <v>42</v>
      </c>
      <c r="T77">
        <f>COUNTIFS($D$2:$D$386,8,$E$2:$E$386,6)</f>
        <v>1</v>
      </c>
      <c r="U77" s="34">
        <f t="shared" si="20"/>
        <v>0.25974025974025972</v>
      </c>
      <c r="W77" s="4">
        <v>12</v>
      </c>
      <c r="X77">
        <f>COUNTIFS($E$2:$E$386,5,$F$2:$F$386,12)</f>
        <v>0</v>
      </c>
      <c r="Y77" s="34">
        <f t="shared" si="18"/>
        <v>0</v>
      </c>
      <c r="AE77" s="4">
        <v>12</v>
      </c>
      <c r="AF77">
        <f>COUNTIFS($D$2:$D$386,5,$F$2:$F$386,12)</f>
        <v>0</v>
      </c>
      <c r="AG77" s="34">
        <f t="shared" si="19"/>
        <v>0</v>
      </c>
      <c r="AI77" s="4" t="s">
        <v>3090</v>
      </c>
      <c r="AJ77">
        <f>COUNTIFS($D$2:$D$386,11,$G$2:$G$386,100)</f>
        <v>0</v>
      </c>
      <c r="AK77" s="34">
        <f t="shared" si="21"/>
        <v>0</v>
      </c>
      <c r="AM77" t="s">
        <v>34</v>
      </c>
      <c r="AN77">
        <f>COUNTIFS($F$2:$F$386,11,$H$2:$H$386,100)</f>
        <v>0</v>
      </c>
      <c r="AO77" s="34">
        <f t="shared" si="22"/>
        <v>0</v>
      </c>
    </row>
    <row r="78" spans="1:41" x14ac:dyDescent="0.3">
      <c r="A78" t="s">
        <v>2020</v>
      </c>
      <c r="B78" s="7">
        <v>6</v>
      </c>
      <c r="C78" s="3">
        <v>19</v>
      </c>
      <c r="D78" s="3">
        <v>4</v>
      </c>
      <c r="E78" s="3">
        <v>1</v>
      </c>
      <c r="F78" s="3">
        <v>1</v>
      </c>
      <c r="G78" s="3">
        <v>1</v>
      </c>
      <c r="H78" s="3">
        <v>1</v>
      </c>
      <c r="I78" s="11">
        <v>2</v>
      </c>
      <c r="K78" t="s">
        <v>153</v>
      </c>
      <c r="L78">
        <f>COUNTIFS($B$2:$B$386,5,$D$2:$D$386,13)</f>
        <v>0</v>
      </c>
      <c r="M78" s="34">
        <f t="shared" si="17"/>
        <v>0</v>
      </c>
      <c r="S78" t="s">
        <v>45</v>
      </c>
      <c r="T78">
        <f>COUNTIFS($D$2:$D$386,8,$E$2:$E$386,7)</f>
        <v>1</v>
      </c>
      <c r="U78" s="34">
        <f t="shared" si="20"/>
        <v>0.25974025974025972</v>
      </c>
      <c r="W78" s="4">
        <v>13</v>
      </c>
      <c r="X78">
        <f>COUNTIFS($E$2:$E$386,5,$F$2:$F$386,13)</f>
        <v>0</v>
      </c>
      <c r="Y78" s="34">
        <f t="shared" si="18"/>
        <v>0</v>
      </c>
      <c r="AE78" s="4">
        <v>13</v>
      </c>
      <c r="AF78">
        <f>COUNTIFS($D$2:$D$386,5,$F$2:$F$386,13)</f>
        <v>0</v>
      </c>
      <c r="AG78" s="34">
        <f t="shared" si="19"/>
        <v>0</v>
      </c>
      <c r="AJ78" s="22">
        <f>SUM(AJ72:AJ77)</f>
        <v>5</v>
      </c>
      <c r="AK78" s="35">
        <f t="shared" si="21"/>
        <v>1.2987012987012987</v>
      </c>
      <c r="AN78" s="23">
        <f>SUM(AN72:AN77)</f>
        <v>1</v>
      </c>
      <c r="AO78" s="37">
        <f t="shared" si="22"/>
        <v>0.25974025974025972</v>
      </c>
    </row>
    <row r="79" spans="1:41" x14ac:dyDescent="0.3">
      <c r="A79" s="6" t="s">
        <v>82</v>
      </c>
      <c r="B79" s="7">
        <v>17</v>
      </c>
      <c r="C79" s="3">
        <v>21</v>
      </c>
      <c r="D79" s="11">
        <v>6</v>
      </c>
      <c r="E79" s="11">
        <v>3</v>
      </c>
      <c r="F79" s="11">
        <v>100</v>
      </c>
      <c r="G79" s="3">
        <v>100</v>
      </c>
      <c r="H79" s="11">
        <v>100</v>
      </c>
      <c r="I79" s="11">
        <v>2</v>
      </c>
      <c r="K79" t="s">
        <v>154</v>
      </c>
      <c r="L79">
        <f>COUNTIFS($B$2:$B$386,5,$D$2:$D$386,14)</f>
        <v>0</v>
      </c>
      <c r="M79" s="34">
        <f t="shared" si="17"/>
        <v>0</v>
      </c>
      <c r="S79" t="s">
        <v>48</v>
      </c>
      <c r="T79">
        <f>COUNTIFS($D$2:$D$386,8,$E$2:$E$386,8)</f>
        <v>4</v>
      </c>
      <c r="U79" s="34">
        <f t="shared" si="20"/>
        <v>1.0389610389610389</v>
      </c>
      <c r="W79" s="4">
        <v>14</v>
      </c>
      <c r="X79">
        <f>COUNTIFS($E$2:$E$386,5,$F$2:$F$386,14)</f>
        <v>0</v>
      </c>
      <c r="Y79" s="34">
        <f t="shared" si="18"/>
        <v>0</v>
      </c>
      <c r="AE79" s="4">
        <v>14</v>
      </c>
      <c r="AF79">
        <f>COUNTIFS($D$2:$D$386,5,$F$2:$F$386,14)</f>
        <v>0</v>
      </c>
      <c r="AG79" s="34">
        <f t="shared" si="19"/>
        <v>0</v>
      </c>
      <c r="AH79" t="s">
        <v>51</v>
      </c>
      <c r="AI79" s="4">
        <v>1</v>
      </c>
      <c r="AJ79">
        <f>COUNTIFS($D$2:$D$386,12,$G$2:$G$386,1)</f>
        <v>5</v>
      </c>
      <c r="AK79" s="34">
        <f>(AJ79/385)*100</f>
        <v>1.2987012987012987</v>
      </c>
      <c r="AL79" s="4">
        <v>12</v>
      </c>
      <c r="AM79" t="s">
        <v>12</v>
      </c>
      <c r="AN79">
        <f>COUNTIFS($F$2:$F$386,12,$H$2:$H$386,1)</f>
        <v>0</v>
      </c>
      <c r="AO79" s="34">
        <f>(AN79/385)*100</f>
        <v>0</v>
      </c>
    </row>
    <row r="80" spans="1:41" x14ac:dyDescent="0.3">
      <c r="A80" t="s">
        <v>2391</v>
      </c>
      <c r="B80" s="7">
        <v>3</v>
      </c>
      <c r="C80" s="3">
        <v>18</v>
      </c>
      <c r="D80" s="3">
        <v>1</v>
      </c>
      <c r="E80" s="3">
        <v>1</v>
      </c>
      <c r="F80" s="3">
        <v>100</v>
      </c>
      <c r="G80" s="3">
        <v>100</v>
      </c>
      <c r="H80" s="3">
        <v>100</v>
      </c>
      <c r="I80" s="11">
        <v>2</v>
      </c>
      <c r="K80" t="s">
        <v>52</v>
      </c>
      <c r="L80">
        <f>COUNTIFS($B$2:$B$386,5,$D$2:$D$386,15)</f>
        <v>1</v>
      </c>
      <c r="M80" s="34">
        <f t="shared" si="17"/>
        <v>0.25974025974025972</v>
      </c>
      <c r="S80" t="s">
        <v>50</v>
      </c>
      <c r="T80">
        <f>COUNTIFS($D$2:$D$386,8,$E$2:$E$386,9)</f>
        <v>0</v>
      </c>
      <c r="U80" s="34">
        <f t="shared" si="20"/>
        <v>0</v>
      </c>
      <c r="W80" t="s">
        <v>3090</v>
      </c>
      <c r="X80">
        <f>COUNTIFS($E$2:$E$386,5,$F$2:$F$386,100)</f>
        <v>6</v>
      </c>
      <c r="Y80" s="34">
        <f t="shared" si="18"/>
        <v>1.5584415584415585</v>
      </c>
      <c r="AE80" t="s">
        <v>3090</v>
      </c>
      <c r="AF80">
        <f>COUNTIFS($D$2:$D$386,5,$F$2:$F$386,100)</f>
        <v>0</v>
      </c>
      <c r="AG80" s="34">
        <f t="shared" si="19"/>
        <v>0</v>
      </c>
      <c r="AI80" s="4">
        <v>2</v>
      </c>
      <c r="AJ80">
        <f>COUNTIFS($D$2:$D$386,12,$G$2:$G$386,2)</f>
        <v>0</v>
      </c>
      <c r="AK80" s="34">
        <f t="shared" ref="AK80:AK85" si="23">(AJ80/385)*100</f>
        <v>0</v>
      </c>
      <c r="AM80" t="s">
        <v>19</v>
      </c>
      <c r="AN80">
        <f>COUNTIFS($F$2:$F$386,12,$H$2:$H$386,2)</f>
        <v>0</v>
      </c>
      <c r="AO80" s="34">
        <f t="shared" ref="AO80:AO85" si="24">(AN80/385)*100</f>
        <v>0</v>
      </c>
    </row>
    <row r="81" spans="1:41" x14ac:dyDescent="0.3">
      <c r="A81" s="6" t="s">
        <v>1113</v>
      </c>
      <c r="B81" s="7">
        <v>14</v>
      </c>
      <c r="C81" s="3">
        <v>21</v>
      </c>
      <c r="D81" s="3">
        <v>8</v>
      </c>
      <c r="E81" s="3">
        <v>1</v>
      </c>
      <c r="F81" s="3">
        <v>1</v>
      </c>
      <c r="G81" s="3">
        <v>1</v>
      </c>
      <c r="H81" s="3">
        <v>2</v>
      </c>
      <c r="I81" s="11">
        <v>2</v>
      </c>
      <c r="L81" s="22">
        <f>SUM(L66:L80)</f>
        <v>12</v>
      </c>
      <c r="M81" s="35">
        <f t="shared" si="17"/>
        <v>3.116883116883117</v>
      </c>
      <c r="T81" s="22">
        <f>SUM(T72:T80)</f>
        <v>18</v>
      </c>
      <c r="U81" s="35">
        <f t="shared" si="20"/>
        <v>4.6753246753246751</v>
      </c>
      <c r="X81" s="23">
        <f>SUM(X66:X80)</f>
        <v>23</v>
      </c>
      <c r="Y81" s="37">
        <f t="shared" si="18"/>
        <v>5.9740259740259738</v>
      </c>
      <c r="AF81" s="23">
        <f>SUM(AF66:AF80)</f>
        <v>13</v>
      </c>
      <c r="AG81" s="37">
        <f t="shared" si="19"/>
        <v>3.3766233766233764</v>
      </c>
      <c r="AI81" s="4">
        <v>3</v>
      </c>
      <c r="AJ81">
        <f>COUNTIFS($D$2:$D$386,12,$G$2:$G$386,3)</f>
        <v>1</v>
      </c>
      <c r="AK81" s="34">
        <f t="shared" si="23"/>
        <v>0.25974025974025972</v>
      </c>
      <c r="AM81" t="s">
        <v>26</v>
      </c>
      <c r="AN81">
        <f>COUNTIFS($F$2:$F$386,12,$H$2:$H$386,3)</f>
        <v>0</v>
      </c>
      <c r="AO81" s="34">
        <f t="shared" si="24"/>
        <v>0</v>
      </c>
    </row>
    <row r="82" spans="1:41" x14ac:dyDescent="0.3">
      <c r="A82" t="s">
        <v>1328</v>
      </c>
      <c r="B82" s="7">
        <v>13</v>
      </c>
      <c r="C82" s="3">
        <v>21</v>
      </c>
      <c r="D82" s="11">
        <v>4</v>
      </c>
      <c r="E82" s="7">
        <v>1</v>
      </c>
      <c r="F82" s="7">
        <v>1</v>
      </c>
      <c r="G82" s="3">
        <v>1</v>
      </c>
      <c r="H82" s="7">
        <v>2</v>
      </c>
      <c r="I82" s="11">
        <v>2</v>
      </c>
      <c r="J82">
        <v>2014</v>
      </c>
      <c r="K82" t="s">
        <v>11</v>
      </c>
      <c r="L82">
        <f>COUNTIFS($B$2:$B$386,6,$D$2:$D$386,1)</f>
        <v>2</v>
      </c>
      <c r="M82" s="34">
        <f>(L82/385)*100</f>
        <v>0.51948051948051943</v>
      </c>
      <c r="R82" t="s">
        <v>46</v>
      </c>
      <c r="S82" t="s">
        <v>10</v>
      </c>
      <c r="T82">
        <f>COUNTIFS($D$2:$D$386,9,$E$2:$E$386,1)</f>
        <v>1</v>
      </c>
      <c r="U82" s="34">
        <f>(T82/385)*100</f>
        <v>0.25974025974025972</v>
      </c>
      <c r="V82" t="s">
        <v>42</v>
      </c>
      <c r="W82" s="4">
        <v>1</v>
      </c>
      <c r="X82">
        <f>COUNTIFS($E$2:$E$386,6,$F$2:$F$386,1)</f>
        <v>8</v>
      </c>
      <c r="Y82" s="34">
        <f>(X82/385)*100</f>
        <v>2.0779220779220777</v>
      </c>
      <c r="AD82" t="s">
        <v>38</v>
      </c>
      <c r="AE82" s="4">
        <v>1</v>
      </c>
      <c r="AF82">
        <f>COUNTIFS($D$2:$D$386,6,$F$2:$F$386,1)</f>
        <v>2</v>
      </c>
      <c r="AG82" s="34">
        <f>(AF82/385)*100</f>
        <v>0.51948051948051943</v>
      </c>
      <c r="AI82" s="26" t="s">
        <v>3086</v>
      </c>
      <c r="AJ82">
        <f>COUNTIFS($D$2:$D$386,12,$G$2:$G$386,15)</f>
        <v>0</v>
      </c>
      <c r="AK82" s="34">
        <f t="shared" si="23"/>
        <v>0</v>
      </c>
      <c r="AM82" t="s">
        <v>33</v>
      </c>
      <c r="AN82">
        <f>COUNTIFS($F$2:$F$386,12,$H$2:$H$386,4)</f>
        <v>0</v>
      </c>
      <c r="AO82" s="34">
        <f t="shared" si="24"/>
        <v>0</v>
      </c>
    </row>
    <row r="83" spans="1:41" x14ac:dyDescent="0.3">
      <c r="A83" s="6" t="s">
        <v>369</v>
      </c>
      <c r="B83" s="7">
        <v>16</v>
      </c>
      <c r="C83" s="3">
        <v>21</v>
      </c>
      <c r="D83" s="11">
        <v>4</v>
      </c>
      <c r="E83" s="11">
        <v>1</v>
      </c>
      <c r="F83" s="11">
        <v>1</v>
      </c>
      <c r="G83" s="3">
        <v>1</v>
      </c>
      <c r="H83" s="11">
        <v>2</v>
      </c>
      <c r="I83" s="11">
        <v>2</v>
      </c>
      <c r="K83" t="s">
        <v>18</v>
      </c>
      <c r="L83">
        <f>COUNTIFS($B$2:$B$386,6,$D$2:$D$386,2)</f>
        <v>0</v>
      </c>
      <c r="M83" s="34">
        <f t="shared" ref="M83:M97" si="25">(L83/385)*100</f>
        <v>0</v>
      </c>
      <c r="S83" t="s">
        <v>17</v>
      </c>
      <c r="T83">
        <f>COUNTIFS($D$2:$D$386,9,$E$2:$E$386,2)</f>
        <v>0</v>
      </c>
      <c r="U83" s="34">
        <f t="shared" ref="U83:U91" si="26">(T83/385)*100</f>
        <v>0</v>
      </c>
      <c r="W83">
        <v>2</v>
      </c>
      <c r="X83">
        <f>COUNTIFS($E$2:$E$386,6,$F$2:$F$386,2)</f>
        <v>5</v>
      </c>
      <c r="Y83" s="34">
        <f t="shared" ref="Y83:Y97" si="27">(X83/385)*100</f>
        <v>1.2987012987012987</v>
      </c>
      <c r="AE83">
        <v>2</v>
      </c>
      <c r="AF83">
        <f>COUNTIFS($D$2:$D$386,6,$F$2:$F$386,2)</f>
        <v>0</v>
      </c>
      <c r="AG83" s="34">
        <f t="shared" ref="AG83:AG97" si="28">(AF83/385)*100</f>
        <v>0</v>
      </c>
      <c r="AI83" s="27" t="s">
        <v>3087</v>
      </c>
      <c r="AJ83">
        <f>COUNTIFS($D$2:$D$386,12,$G$2:$G$386,16)</f>
        <v>0</v>
      </c>
      <c r="AK83" s="34">
        <f t="shared" si="23"/>
        <v>0</v>
      </c>
      <c r="AM83" t="s">
        <v>39</v>
      </c>
      <c r="AN83">
        <f>COUNTIFS($F$2:$F$386,12,$H$2:$H$386,5)</f>
        <v>0</v>
      </c>
      <c r="AO83" s="34">
        <f t="shared" si="24"/>
        <v>0</v>
      </c>
    </row>
    <row r="84" spans="1:41" x14ac:dyDescent="0.3">
      <c r="A84" t="s">
        <v>1572</v>
      </c>
      <c r="B84" s="7">
        <v>12</v>
      </c>
      <c r="C84" s="3">
        <v>20</v>
      </c>
      <c r="D84" s="3">
        <v>1</v>
      </c>
      <c r="E84" s="3">
        <v>5</v>
      </c>
      <c r="F84" s="11">
        <v>1</v>
      </c>
      <c r="G84" s="3">
        <v>1</v>
      </c>
      <c r="H84" s="11">
        <v>100</v>
      </c>
      <c r="I84" s="7">
        <v>2</v>
      </c>
      <c r="K84" t="s">
        <v>150</v>
      </c>
      <c r="L84">
        <f>COUNTIFS($B$2:$B$386,6,$D$2:$D$386,3)</f>
        <v>0</v>
      </c>
      <c r="M84" s="34">
        <f t="shared" si="25"/>
        <v>0</v>
      </c>
      <c r="S84" t="s">
        <v>24</v>
      </c>
      <c r="T84">
        <f>COUNTIFS($D$2:$D$386,9,$E$2:$E$386,3)</f>
        <v>3</v>
      </c>
      <c r="U84" s="34">
        <f t="shared" si="26"/>
        <v>0.77922077922077926</v>
      </c>
      <c r="W84" s="4">
        <v>3</v>
      </c>
      <c r="X84">
        <f>COUNTIFS($E$2:$E$386,6,$F$2:$F$386,3)</f>
        <v>2</v>
      </c>
      <c r="Y84" s="34">
        <f t="shared" si="27"/>
        <v>0.51948051948051943</v>
      </c>
      <c r="AE84" s="4">
        <v>3</v>
      </c>
      <c r="AF84">
        <f>COUNTIFS($D$2:$D$386,6,$F$2:$F$386,3)</f>
        <v>0</v>
      </c>
      <c r="AG84" s="34">
        <f t="shared" si="28"/>
        <v>0</v>
      </c>
      <c r="AI84" s="4" t="s">
        <v>3090</v>
      </c>
      <c r="AJ84">
        <f>COUNTIFS($D$2:$D$386,12,$G$2:$G$386,100)</f>
        <v>4</v>
      </c>
      <c r="AK84" s="34">
        <f t="shared" si="23"/>
        <v>1.0389610389610389</v>
      </c>
      <c r="AM84" t="s">
        <v>34</v>
      </c>
      <c r="AN84">
        <f>COUNTIFS($F$2:$F$386,12,$H$2:$H$386,100)</f>
        <v>0</v>
      </c>
      <c r="AO84" s="34">
        <f t="shared" si="24"/>
        <v>0</v>
      </c>
    </row>
    <row r="85" spans="1:41" x14ac:dyDescent="0.3">
      <c r="A85" s="6" t="s">
        <v>1108</v>
      </c>
      <c r="B85" s="7">
        <v>14</v>
      </c>
      <c r="C85" s="3">
        <v>21</v>
      </c>
      <c r="D85" s="3">
        <v>2</v>
      </c>
      <c r="E85" s="3">
        <v>3</v>
      </c>
      <c r="F85" s="3">
        <v>1</v>
      </c>
      <c r="G85" s="3">
        <v>1</v>
      </c>
      <c r="H85" s="3">
        <v>2</v>
      </c>
      <c r="I85" s="11">
        <v>2</v>
      </c>
      <c r="K85" t="s">
        <v>25</v>
      </c>
      <c r="L85">
        <f>COUNTIFS($B$2:$B$386,6,$D$2:$D$386,4)</f>
        <v>4</v>
      </c>
      <c r="M85" s="34">
        <f t="shared" si="25"/>
        <v>1.0389610389610389</v>
      </c>
      <c r="S85" t="s">
        <v>31</v>
      </c>
      <c r="T85">
        <f>COUNTIFS($D$2:$D$386,9,$E$2:$E$386,4)</f>
        <v>0</v>
      </c>
      <c r="U85" s="34">
        <f t="shared" si="26"/>
        <v>0</v>
      </c>
      <c r="W85" s="4">
        <v>4</v>
      </c>
      <c r="X85">
        <f>COUNTIFS($E$2:$E$386,6,$F$2:$F$386,4)</f>
        <v>0</v>
      </c>
      <c r="Y85" s="34">
        <f t="shared" si="27"/>
        <v>0</v>
      </c>
      <c r="AE85" s="4">
        <v>4</v>
      </c>
      <c r="AF85">
        <f>COUNTIFS($D$2:$D$386,6,$F$2:$F$386,4)</f>
        <v>0</v>
      </c>
      <c r="AG85" s="34">
        <f t="shared" si="28"/>
        <v>0</v>
      </c>
      <c r="AJ85" s="22">
        <f>SUM(AJ79:AJ84)</f>
        <v>10</v>
      </c>
      <c r="AK85" s="35">
        <f t="shared" si="23"/>
        <v>2.5974025974025974</v>
      </c>
      <c r="AN85" s="23">
        <f>SUM(AN79:AN84)</f>
        <v>0</v>
      </c>
      <c r="AO85" s="37">
        <f t="shared" si="24"/>
        <v>0</v>
      </c>
    </row>
    <row r="86" spans="1:41" x14ac:dyDescent="0.3">
      <c r="A86" s="6" t="s">
        <v>1074</v>
      </c>
      <c r="B86" s="7">
        <v>14</v>
      </c>
      <c r="C86" s="3">
        <v>21</v>
      </c>
      <c r="D86" s="11">
        <v>8</v>
      </c>
      <c r="E86" s="11">
        <v>1</v>
      </c>
      <c r="F86" s="11">
        <v>1</v>
      </c>
      <c r="G86" s="3">
        <v>1</v>
      </c>
      <c r="H86" s="11">
        <v>2</v>
      </c>
      <c r="I86" s="11">
        <v>2</v>
      </c>
      <c r="K86" t="s">
        <v>32</v>
      </c>
      <c r="L86">
        <f>COUNTIFS($B$2:$B$386,6,$D$2:$D$386,5)</f>
        <v>0</v>
      </c>
      <c r="M86" s="34">
        <f t="shared" si="25"/>
        <v>0</v>
      </c>
      <c r="S86" t="s">
        <v>37</v>
      </c>
      <c r="T86">
        <f>COUNTIFS($D$2:$D$386,9,$E$2:$E$386,5)</f>
        <v>0</v>
      </c>
      <c r="U86" s="34">
        <f t="shared" si="26"/>
        <v>0</v>
      </c>
      <c r="W86" s="4">
        <v>5</v>
      </c>
      <c r="X86">
        <f>COUNTIFS($E$2:$E$386,6,$F$2:$F$386,5)</f>
        <v>1</v>
      </c>
      <c r="Y86" s="34">
        <f t="shared" si="27"/>
        <v>0.25974025974025972</v>
      </c>
      <c r="AE86" s="4">
        <v>5</v>
      </c>
      <c r="AF86">
        <f>COUNTIFS($D$2:$D$386,6,$F$2:$F$386,5)</f>
        <v>0</v>
      </c>
      <c r="AG86" s="34">
        <f t="shared" si="28"/>
        <v>0</v>
      </c>
      <c r="AH86" t="s">
        <v>153</v>
      </c>
      <c r="AI86" s="4">
        <v>1</v>
      </c>
      <c r="AJ86">
        <f>COUNTIFS($D$2:$D$386,13,$G$2:$G$386,1)</f>
        <v>1</v>
      </c>
      <c r="AK86" s="34">
        <f>(AJ86/385)*100</f>
        <v>0.25974025974025972</v>
      </c>
      <c r="AL86" s="4">
        <v>13</v>
      </c>
      <c r="AM86" t="s">
        <v>12</v>
      </c>
      <c r="AN86">
        <f>COUNTIFS($F$2:$F$386,13,$H$2:$H$386,1)</f>
        <v>0</v>
      </c>
      <c r="AO86" s="34">
        <f>(AN86/385)*100</f>
        <v>0</v>
      </c>
    </row>
    <row r="87" spans="1:41" x14ac:dyDescent="0.3">
      <c r="A87" t="s">
        <v>1574</v>
      </c>
      <c r="B87" s="7">
        <v>12</v>
      </c>
      <c r="C87" s="3">
        <v>20</v>
      </c>
      <c r="D87" s="11">
        <v>4</v>
      </c>
      <c r="E87" s="11">
        <v>3</v>
      </c>
      <c r="F87" s="11">
        <v>1</v>
      </c>
      <c r="G87" s="3">
        <v>1</v>
      </c>
      <c r="H87" s="11">
        <v>2</v>
      </c>
      <c r="I87" s="11">
        <v>2</v>
      </c>
      <c r="K87" t="s">
        <v>38</v>
      </c>
      <c r="L87">
        <f>COUNTIFS($B$2:$B$386,6,$D$2:$D$386,6)</f>
        <v>0</v>
      </c>
      <c r="M87" s="34">
        <f t="shared" si="25"/>
        <v>0</v>
      </c>
      <c r="S87" t="s">
        <v>42</v>
      </c>
      <c r="T87">
        <f>COUNTIFS($D$2:$D$386,9,$E$2:$E$386,6)</f>
        <v>1</v>
      </c>
      <c r="U87" s="34">
        <f t="shared" si="26"/>
        <v>0.25974025974025972</v>
      </c>
      <c r="W87" s="4">
        <v>6</v>
      </c>
      <c r="X87">
        <f>COUNTIFS($E$2:$E$386,6,$F$2:$F$386,6)</f>
        <v>0</v>
      </c>
      <c r="Y87" s="34">
        <f t="shared" si="27"/>
        <v>0</v>
      </c>
      <c r="AE87" s="4">
        <v>6</v>
      </c>
      <c r="AF87">
        <f>COUNTIFS($D$2:$D$386,6,$F$2:$F$386,6)</f>
        <v>0</v>
      </c>
      <c r="AG87" s="34">
        <f t="shared" si="28"/>
        <v>0</v>
      </c>
      <c r="AI87" s="4">
        <v>2</v>
      </c>
      <c r="AJ87">
        <f>COUNTIFS($D$2:$D$386,13,$G$2:$G$386,2)</f>
        <v>1</v>
      </c>
      <c r="AK87" s="34">
        <f t="shared" ref="AK87:AK92" si="29">(AJ87/385)*100</f>
        <v>0.25974025974025972</v>
      </c>
      <c r="AM87" t="s">
        <v>19</v>
      </c>
      <c r="AN87">
        <f>COUNTIFS($F$2:$F$386,13,$H$2:$H$386,2)</f>
        <v>0</v>
      </c>
      <c r="AO87" s="34">
        <f t="shared" ref="AO87:AO92" si="30">(AN87/385)*100</f>
        <v>0</v>
      </c>
    </row>
    <row r="88" spans="1:41" x14ac:dyDescent="0.3">
      <c r="A88" s="6" t="s">
        <v>909</v>
      </c>
      <c r="B88" s="7">
        <v>15</v>
      </c>
      <c r="C88" s="3">
        <v>21</v>
      </c>
      <c r="D88" s="11">
        <v>4</v>
      </c>
      <c r="E88" s="11">
        <v>3</v>
      </c>
      <c r="F88" s="7">
        <v>100</v>
      </c>
      <c r="G88" s="3">
        <v>100</v>
      </c>
      <c r="H88" s="7">
        <v>100</v>
      </c>
      <c r="I88" s="11">
        <v>1</v>
      </c>
      <c r="K88" t="s">
        <v>151</v>
      </c>
      <c r="L88">
        <f>COUNTIFS($B$2:$B$386,6,$D$2:$D$386,7)</f>
        <v>0</v>
      </c>
      <c r="M88" s="34">
        <f t="shared" si="25"/>
        <v>0</v>
      </c>
      <c r="S88" t="s">
        <v>45</v>
      </c>
      <c r="T88">
        <f>COUNTIFS($D$2:$D$386,9,$E$2:$E$386,7)</f>
        <v>1</v>
      </c>
      <c r="U88" s="34">
        <f t="shared" si="26"/>
        <v>0.25974025974025972</v>
      </c>
      <c r="W88" s="4">
        <v>7</v>
      </c>
      <c r="X88">
        <f>COUNTIFS($E$2:$E$386,6,$F$2:$F$386,7)</f>
        <v>0</v>
      </c>
      <c r="Y88" s="34">
        <f t="shared" si="27"/>
        <v>0</v>
      </c>
      <c r="AE88" s="4">
        <v>7</v>
      </c>
      <c r="AF88">
        <f>COUNTIFS($D$2:$D$386,6,$F$2:$F$386,7)</f>
        <v>0</v>
      </c>
      <c r="AG88" s="34">
        <f t="shared" si="28"/>
        <v>0</v>
      </c>
      <c r="AI88" s="4">
        <v>3</v>
      </c>
      <c r="AJ88">
        <f>COUNTIFS($D$2:$D$386,13,$G$2:$G$386,3)</f>
        <v>0</v>
      </c>
      <c r="AK88" s="34">
        <f t="shared" si="29"/>
        <v>0</v>
      </c>
      <c r="AM88" t="s">
        <v>26</v>
      </c>
      <c r="AN88">
        <f>COUNTIFS($F$2:$F$386,13,$H$2:$H$386,3)</f>
        <v>0</v>
      </c>
      <c r="AO88" s="34">
        <f t="shared" si="30"/>
        <v>0</v>
      </c>
    </row>
    <row r="89" spans="1:41" x14ac:dyDescent="0.3">
      <c r="A89" t="s">
        <v>1813</v>
      </c>
      <c r="B89" s="7">
        <v>8</v>
      </c>
      <c r="C89" s="3">
        <v>19</v>
      </c>
      <c r="D89" s="3">
        <v>4</v>
      </c>
      <c r="E89" s="3">
        <v>3</v>
      </c>
      <c r="F89" s="11">
        <v>1</v>
      </c>
      <c r="G89" s="3">
        <v>1</v>
      </c>
      <c r="H89" s="11">
        <v>1</v>
      </c>
      <c r="I89" s="11">
        <v>2</v>
      </c>
      <c r="K89" t="s">
        <v>43</v>
      </c>
      <c r="L89">
        <f>COUNTIFS($B$2:$B$386,6,$D$2:$D$386,8)</f>
        <v>0</v>
      </c>
      <c r="M89" s="34">
        <f t="shared" si="25"/>
        <v>0</v>
      </c>
      <c r="S89" t="s">
        <v>48</v>
      </c>
      <c r="T89">
        <f>COUNTIFS($D$2:$D$386,9,$E$2:$E$386,8)</f>
        <v>4</v>
      </c>
      <c r="U89" s="34">
        <f t="shared" si="26"/>
        <v>1.0389610389610389</v>
      </c>
      <c r="W89" s="4">
        <v>8</v>
      </c>
      <c r="X89">
        <f>COUNTIFS($E$2:$E$386,6,$F$2:$F$386,8)</f>
        <v>0</v>
      </c>
      <c r="Y89" s="34">
        <f t="shared" si="27"/>
        <v>0</v>
      </c>
      <c r="AE89" s="4">
        <v>8</v>
      </c>
      <c r="AF89">
        <f>COUNTIFS($D$2:$D$386,6,$F$2:$F$386,8)</f>
        <v>0</v>
      </c>
      <c r="AG89" s="34">
        <f t="shared" si="28"/>
        <v>0</v>
      </c>
      <c r="AI89" s="26" t="s">
        <v>3086</v>
      </c>
      <c r="AJ89">
        <f>COUNTIFS($D$2:$D$386,13,$G$2:$G$386,15)</f>
        <v>0</v>
      </c>
      <c r="AK89" s="34">
        <f t="shared" si="29"/>
        <v>0</v>
      </c>
      <c r="AM89" t="s">
        <v>33</v>
      </c>
      <c r="AN89">
        <f>COUNTIFS($F$2:$F$386,13,$H$2:$H$386,4)</f>
        <v>0</v>
      </c>
      <c r="AO89" s="34">
        <f t="shared" si="30"/>
        <v>0</v>
      </c>
    </row>
    <row r="90" spans="1:41" x14ac:dyDescent="0.3">
      <c r="A90" t="s">
        <v>2681</v>
      </c>
      <c r="B90" s="7">
        <v>14</v>
      </c>
      <c r="C90" s="3">
        <v>21</v>
      </c>
      <c r="D90" s="3">
        <v>3</v>
      </c>
      <c r="E90" s="3">
        <v>3</v>
      </c>
      <c r="F90" s="11">
        <v>1</v>
      </c>
      <c r="G90" s="3">
        <v>1</v>
      </c>
      <c r="H90" s="11">
        <v>100</v>
      </c>
      <c r="I90" s="7">
        <v>2</v>
      </c>
      <c r="K90" t="s">
        <v>46</v>
      </c>
      <c r="L90">
        <f>COUNTIFS($B$2:$B$386,6,$D$2:$D$386,9)</f>
        <v>0</v>
      </c>
      <c r="M90" s="34">
        <f t="shared" si="25"/>
        <v>0</v>
      </c>
      <c r="S90" t="s">
        <v>50</v>
      </c>
      <c r="T90">
        <f>COUNTIFS($D$2:$D$386,9,$E$2:$E$386,9)</f>
        <v>0</v>
      </c>
      <c r="U90" s="34">
        <f t="shared" si="26"/>
        <v>0</v>
      </c>
      <c r="W90" s="4">
        <v>9</v>
      </c>
      <c r="X90">
        <f>COUNTIFS($E$2:$E$386,6,$F$2:$F$386,9)</f>
        <v>0</v>
      </c>
      <c r="Y90" s="34">
        <f t="shared" si="27"/>
        <v>0</v>
      </c>
      <c r="AE90" s="4">
        <v>9</v>
      </c>
      <c r="AF90">
        <f>COUNTIFS($D$2:$D$386,6,$F$2:$F$386,9)</f>
        <v>0</v>
      </c>
      <c r="AG90" s="34">
        <f t="shared" si="28"/>
        <v>0</v>
      </c>
      <c r="AI90" s="27" t="s">
        <v>3087</v>
      </c>
      <c r="AJ90">
        <f>COUNTIFS($D$2:$D$386,13,$G$2:$G$386,16)</f>
        <v>0</v>
      </c>
      <c r="AK90" s="34">
        <f t="shared" si="29"/>
        <v>0</v>
      </c>
      <c r="AM90" t="s">
        <v>39</v>
      </c>
      <c r="AN90">
        <f>COUNTIFS($F$2:$F$386,13,$H$2:$H$386,5)</f>
        <v>0</v>
      </c>
      <c r="AO90" s="34">
        <f t="shared" si="30"/>
        <v>0</v>
      </c>
    </row>
    <row r="91" spans="1:41" x14ac:dyDescent="0.3">
      <c r="A91" t="s">
        <v>2224</v>
      </c>
      <c r="B91" s="7">
        <v>4</v>
      </c>
      <c r="C91" s="3">
        <v>18</v>
      </c>
      <c r="D91" s="3">
        <v>3</v>
      </c>
      <c r="E91" s="3">
        <v>9</v>
      </c>
      <c r="F91" s="3">
        <v>2</v>
      </c>
      <c r="G91" s="3">
        <v>2</v>
      </c>
      <c r="H91" s="3">
        <v>4</v>
      </c>
      <c r="I91" s="7">
        <v>2</v>
      </c>
      <c r="K91" t="s">
        <v>152</v>
      </c>
      <c r="L91">
        <f>COUNTIFS($B$2:$B$386,6,$D$2:$D$386,10)</f>
        <v>0</v>
      </c>
      <c r="M91" s="34">
        <f t="shared" si="25"/>
        <v>0</v>
      </c>
      <c r="T91" s="22">
        <f>SUM(T82:T90)</f>
        <v>10</v>
      </c>
      <c r="U91" s="35">
        <f t="shared" si="26"/>
        <v>2.5974025974025974</v>
      </c>
      <c r="W91" s="4">
        <v>10</v>
      </c>
      <c r="X91">
        <f>COUNTIFS($E$2:$E$386,6,$F$2:$F$386,10)</f>
        <v>0</v>
      </c>
      <c r="Y91" s="34">
        <f t="shared" si="27"/>
        <v>0</v>
      </c>
      <c r="AE91" s="4">
        <v>10</v>
      </c>
      <c r="AF91">
        <f>COUNTIFS($D$2:$D$386,6,$F$2:$F$386,10)</f>
        <v>0</v>
      </c>
      <c r="AG91" s="34">
        <f t="shared" si="28"/>
        <v>0</v>
      </c>
      <c r="AI91" s="4" t="s">
        <v>3090</v>
      </c>
      <c r="AJ91">
        <f>COUNTIFS($D$2:$D$386,13,$G$2:$G$386,100)</f>
        <v>0</v>
      </c>
      <c r="AK91" s="34">
        <f t="shared" si="29"/>
        <v>0</v>
      </c>
      <c r="AM91" t="s">
        <v>34</v>
      </c>
      <c r="AN91">
        <f>COUNTIFS($F$2:$F$386,13,$H$2:$H$386,100)</f>
        <v>0</v>
      </c>
      <c r="AO91" s="34">
        <f t="shared" si="30"/>
        <v>0</v>
      </c>
    </row>
    <row r="92" spans="1:41" x14ac:dyDescent="0.3">
      <c r="A92" t="s">
        <v>1184</v>
      </c>
      <c r="B92" s="7">
        <v>13</v>
      </c>
      <c r="C92" s="3">
        <v>21</v>
      </c>
      <c r="D92" s="3">
        <v>15</v>
      </c>
      <c r="E92" s="3">
        <v>5</v>
      </c>
      <c r="F92" s="3">
        <v>1</v>
      </c>
      <c r="G92" s="3">
        <v>1</v>
      </c>
      <c r="H92" s="3">
        <v>1</v>
      </c>
      <c r="I92" s="11">
        <v>2</v>
      </c>
      <c r="K92" t="s">
        <v>49</v>
      </c>
      <c r="L92">
        <f>COUNTIFS($B$2:$B$386,6,$D$2:$D$386,11)</f>
        <v>0</v>
      </c>
      <c r="M92" s="34">
        <f t="shared" si="25"/>
        <v>0</v>
      </c>
      <c r="R92" t="s">
        <v>152</v>
      </c>
      <c r="S92" t="s">
        <v>10</v>
      </c>
      <c r="T92">
        <f>COUNTIFS($D$2:$D$386,10,$E$2:$E$386,1)</f>
        <v>0</v>
      </c>
      <c r="U92" s="34">
        <f>(T92/385)*100</f>
        <v>0</v>
      </c>
      <c r="W92" s="4">
        <v>11</v>
      </c>
      <c r="X92">
        <f>COUNTIFS($E$2:$E$386,6,$F$2:$F$386,11)</f>
        <v>0</v>
      </c>
      <c r="Y92" s="34">
        <f t="shared" si="27"/>
        <v>0</v>
      </c>
      <c r="AE92" s="4">
        <v>11</v>
      </c>
      <c r="AF92">
        <f>COUNTIFS($D$2:$D$386,6,$F$2:$F$386,11)</f>
        <v>0</v>
      </c>
      <c r="AG92" s="34">
        <f t="shared" si="28"/>
        <v>0</v>
      </c>
      <c r="AJ92" s="22">
        <f>SUM(AJ86:AJ91)</f>
        <v>2</v>
      </c>
      <c r="AK92" s="35">
        <f t="shared" si="29"/>
        <v>0.51948051948051943</v>
      </c>
      <c r="AN92" s="23">
        <f>SUM(AN86:AN91)</f>
        <v>0</v>
      </c>
      <c r="AO92" s="37">
        <f t="shared" si="30"/>
        <v>0</v>
      </c>
    </row>
    <row r="93" spans="1:41" x14ac:dyDescent="0.3">
      <c r="A93" s="6" t="s">
        <v>548</v>
      </c>
      <c r="B93" s="7">
        <v>16</v>
      </c>
      <c r="C93" s="3">
        <v>21</v>
      </c>
      <c r="D93" s="11">
        <v>12</v>
      </c>
      <c r="E93" s="11">
        <v>3</v>
      </c>
      <c r="F93" s="11">
        <v>1</v>
      </c>
      <c r="G93" s="3">
        <v>1</v>
      </c>
      <c r="H93" s="11">
        <v>2</v>
      </c>
      <c r="I93" s="11">
        <v>2</v>
      </c>
      <c r="K93" t="s">
        <v>51</v>
      </c>
      <c r="L93">
        <f>COUNTIFS($B$2:$B$386,6,$D$2:$D$386,12)</f>
        <v>0</v>
      </c>
      <c r="M93" s="34">
        <f t="shared" si="25"/>
        <v>0</v>
      </c>
      <c r="S93" t="s">
        <v>17</v>
      </c>
      <c r="T93">
        <f>COUNTIFS($D$2:$D$386,10,$E$2:$E$386,2)</f>
        <v>0</v>
      </c>
      <c r="U93" s="34">
        <f t="shared" ref="U93:U101" si="31">(T93/385)*100</f>
        <v>0</v>
      </c>
      <c r="W93" s="4">
        <v>12</v>
      </c>
      <c r="X93">
        <f>COUNTIFS($E$2:$E$386,6,$F$2:$F$386,12)</f>
        <v>0</v>
      </c>
      <c r="Y93" s="34">
        <f t="shared" si="27"/>
        <v>0</v>
      </c>
      <c r="AE93" s="4">
        <v>12</v>
      </c>
      <c r="AF93">
        <f>COUNTIFS($D$2:$D$386,6,$F$2:$F$386,12)</f>
        <v>0</v>
      </c>
      <c r="AG93" s="34">
        <f t="shared" si="28"/>
        <v>0</v>
      </c>
      <c r="AH93" t="s">
        <v>154</v>
      </c>
      <c r="AI93" s="4">
        <v>1</v>
      </c>
      <c r="AJ93">
        <f>COUNTIFS($D$2:$D$386,14,$G$2:$G$386,1)</f>
        <v>4</v>
      </c>
      <c r="AK93" s="34">
        <f>(AJ93/385)*100</f>
        <v>1.0389610389610389</v>
      </c>
      <c r="AL93" s="4">
        <v>14</v>
      </c>
      <c r="AM93" t="s">
        <v>12</v>
      </c>
      <c r="AN93">
        <f>COUNTIFS($F$2:$F$386,14,$H$2:$H$386,1)</f>
        <v>0</v>
      </c>
      <c r="AO93" s="34">
        <f>(AN93/385)*100</f>
        <v>0</v>
      </c>
    </row>
    <row r="94" spans="1:41" x14ac:dyDescent="0.3">
      <c r="A94" t="s">
        <v>1917</v>
      </c>
      <c r="B94" s="7">
        <v>8</v>
      </c>
      <c r="C94" s="3">
        <v>19</v>
      </c>
      <c r="D94" s="3">
        <v>2</v>
      </c>
      <c r="E94" s="3">
        <v>3</v>
      </c>
      <c r="F94" s="3">
        <v>1</v>
      </c>
      <c r="G94" s="3">
        <v>1</v>
      </c>
      <c r="H94" s="3">
        <v>1</v>
      </c>
      <c r="I94" s="11">
        <v>2</v>
      </c>
      <c r="K94" t="s">
        <v>153</v>
      </c>
      <c r="L94">
        <f>COUNTIFS($B$2:$B$386,6,$D$2:$D$386,13)</f>
        <v>0</v>
      </c>
      <c r="M94" s="34">
        <f t="shared" si="25"/>
        <v>0</v>
      </c>
      <c r="S94" t="s">
        <v>24</v>
      </c>
      <c r="T94">
        <f>COUNTIFS($D$2:$D$386,10,$E$2:$E$386,3)</f>
        <v>0</v>
      </c>
      <c r="U94" s="34">
        <f t="shared" si="31"/>
        <v>0</v>
      </c>
      <c r="W94" s="4">
        <v>13</v>
      </c>
      <c r="X94">
        <f>COUNTIFS($E$2:$E$386,6,$F$2:$F$386,13)</f>
        <v>0</v>
      </c>
      <c r="Y94" s="34">
        <f t="shared" si="27"/>
        <v>0</v>
      </c>
      <c r="AE94" s="4">
        <v>13</v>
      </c>
      <c r="AF94">
        <f>COUNTIFS($D$2:$D$386,6,$F$2:$F$386,13)</f>
        <v>0</v>
      </c>
      <c r="AG94" s="34">
        <f t="shared" si="28"/>
        <v>0</v>
      </c>
      <c r="AI94" s="4">
        <v>2</v>
      </c>
      <c r="AJ94">
        <f>COUNTIFS($D$2:$D$386,14,$G$2:$G$386,2)</f>
        <v>0</v>
      </c>
      <c r="AK94" s="34">
        <f t="shared" ref="AK94:AK99" si="32">(AJ94/385)*100</f>
        <v>0</v>
      </c>
      <c r="AM94" t="s">
        <v>19</v>
      </c>
      <c r="AN94">
        <f>COUNTIFS($F$2:$F$386,14,$H$2:$H$386,2)</f>
        <v>0</v>
      </c>
      <c r="AO94" s="34">
        <f t="shared" ref="AO94:AO99" si="33">(AN94/385)*100</f>
        <v>0</v>
      </c>
    </row>
    <row r="95" spans="1:41" x14ac:dyDescent="0.3">
      <c r="A95" t="s">
        <v>1747</v>
      </c>
      <c r="B95" s="7">
        <v>10</v>
      </c>
      <c r="C95" s="3">
        <v>20</v>
      </c>
      <c r="D95" s="11">
        <v>1</v>
      </c>
      <c r="E95" s="11">
        <v>1</v>
      </c>
      <c r="F95" s="11">
        <v>1</v>
      </c>
      <c r="G95" s="3">
        <v>1</v>
      </c>
      <c r="H95" s="11">
        <v>1</v>
      </c>
      <c r="I95" s="11">
        <v>1</v>
      </c>
      <c r="K95" t="s">
        <v>154</v>
      </c>
      <c r="L95">
        <f>COUNTIFS($B$2:$B$386,6,$D$2:$D$386,14)</f>
        <v>0</v>
      </c>
      <c r="M95" s="34">
        <f t="shared" si="25"/>
        <v>0</v>
      </c>
      <c r="S95" t="s">
        <v>31</v>
      </c>
      <c r="T95">
        <f>COUNTIFS($D$2:$D$386,10,$E$2:$E$386,4)</f>
        <v>0</v>
      </c>
      <c r="U95" s="34">
        <f t="shared" si="31"/>
        <v>0</v>
      </c>
      <c r="W95" s="4">
        <v>14</v>
      </c>
      <c r="X95">
        <f>COUNTIFS($E$2:$E$386,6,$F$2:$F$386,14)</f>
        <v>0</v>
      </c>
      <c r="Y95" s="34">
        <f t="shared" si="27"/>
        <v>0</v>
      </c>
      <c r="AE95" s="4">
        <v>14</v>
      </c>
      <c r="AF95">
        <f>COUNTIFS($D$2:$D$386,6,$F$2:$F$386,14)</f>
        <v>0</v>
      </c>
      <c r="AG95" s="34">
        <f t="shared" si="28"/>
        <v>0</v>
      </c>
      <c r="AI95" s="4">
        <v>3</v>
      </c>
      <c r="AJ95">
        <f>COUNTIFS($D$2:$D$386,14,$G$2:$G$386,3)</f>
        <v>1</v>
      </c>
      <c r="AK95" s="34">
        <f t="shared" si="32"/>
        <v>0.25974025974025972</v>
      </c>
      <c r="AM95" t="s">
        <v>26</v>
      </c>
      <c r="AN95">
        <f>COUNTIFS($F$2:$F$386,14,$H$2:$H$386,3)</f>
        <v>0</v>
      </c>
      <c r="AO95" s="34">
        <f t="shared" si="33"/>
        <v>0</v>
      </c>
    </row>
    <row r="96" spans="1:41" x14ac:dyDescent="0.3">
      <c r="A96" s="6" t="s">
        <v>1067</v>
      </c>
      <c r="B96" s="7">
        <v>14</v>
      </c>
      <c r="C96" s="3">
        <v>21</v>
      </c>
      <c r="D96" s="11">
        <v>4</v>
      </c>
      <c r="E96" s="11">
        <v>3</v>
      </c>
      <c r="F96" s="11">
        <v>1</v>
      </c>
      <c r="G96" s="3">
        <v>1</v>
      </c>
      <c r="H96" s="11">
        <v>2</v>
      </c>
      <c r="I96" s="11">
        <v>2</v>
      </c>
      <c r="K96" t="s">
        <v>52</v>
      </c>
      <c r="L96">
        <f>COUNTIFS($B$2:$B$386,6,$D$2:$D$386,15)</f>
        <v>1</v>
      </c>
      <c r="M96" s="34">
        <f t="shared" si="25"/>
        <v>0.25974025974025972</v>
      </c>
      <c r="S96" t="s">
        <v>37</v>
      </c>
      <c r="T96">
        <f>COUNTIFS($D$2:$D$386,10,$E$2:$E$386,5)</f>
        <v>0</v>
      </c>
      <c r="U96" s="34">
        <f t="shared" si="31"/>
        <v>0</v>
      </c>
      <c r="W96" t="s">
        <v>3090</v>
      </c>
      <c r="X96">
        <f>COUNTIFS($E$2:$E$386,6,$F$2:$F$386,100)</f>
        <v>6</v>
      </c>
      <c r="Y96" s="34">
        <f t="shared" si="27"/>
        <v>1.5584415584415585</v>
      </c>
      <c r="AE96" t="s">
        <v>3090</v>
      </c>
      <c r="AF96">
        <f>COUNTIFS($D$2:$D$386,6,$F$2:$F$386,100)</f>
        <v>2</v>
      </c>
      <c r="AG96" s="34">
        <f t="shared" si="28"/>
        <v>0.51948051948051943</v>
      </c>
      <c r="AI96" s="26" t="s">
        <v>3086</v>
      </c>
      <c r="AJ96">
        <f>COUNTIFS($D$2:$D$386,14,$G$2:$G$386,15)</f>
        <v>1</v>
      </c>
      <c r="AK96" s="34">
        <f t="shared" si="32"/>
        <v>0.25974025974025972</v>
      </c>
      <c r="AM96" t="s">
        <v>33</v>
      </c>
      <c r="AN96">
        <f>COUNTIFS($F$2:$F$386,14,$H$2:$H$386,4)</f>
        <v>0</v>
      </c>
      <c r="AO96" s="34">
        <f t="shared" si="33"/>
        <v>0</v>
      </c>
    </row>
    <row r="97" spans="1:41" x14ac:dyDescent="0.3">
      <c r="A97" t="s">
        <v>2844</v>
      </c>
      <c r="B97" s="7">
        <v>12</v>
      </c>
      <c r="C97" s="3">
        <v>20</v>
      </c>
      <c r="D97" s="3">
        <v>15</v>
      </c>
      <c r="E97" s="3">
        <v>4</v>
      </c>
      <c r="F97" s="3">
        <v>7</v>
      </c>
      <c r="G97" s="3">
        <v>15</v>
      </c>
      <c r="H97" s="3">
        <v>3</v>
      </c>
      <c r="I97" s="3">
        <v>1</v>
      </c>
      <c r="L97" s="22">
        <f>SUM(L82:L96)</f>
        <v>7</v>
      </c>
      <c r="M97" s="35">
        <f t="shared" si="25"/>
        <v>1.8181818181818181</v>
      </c>
      <c r="S97" t="s">
        <v>42</v>
      </c>
      <c r="T97">
        <f>COUNTIFS($D$2:$D$386,10,$E$2:$E$386,6)</f>
        <v>0</v>
      </c>
      <c r="U97" s="34">
        <f t="shared" si="31"/>
        <v>0</v>
      </c>
      <c r="X97" s="23">
        <f>SUM(X82:X96)</f>
        <v>22</v>
      </c>
      <c r="Y97" s="37">
        <f t="shared" si="27"/>
        <v>5.7142857142857144</v>
      </c>
      <c r="AF97" s="23">
        <f>SUM(AF82:AF96)</f>
        <v>4</v>
      </c>
      <c r="AG97" s="37">
        <f t="shared" si="28"/>
        <v>1.0389610389610389</v>
      </c>
      <c r="AI97" s="27" t="s">
        <v>3087</v>
      </c>
      <c r="AJ97">
        <f>COUNTIFS($D$2:$D$386,14,$G$2:$G$386,16)</f>
        <v>1</v>
      </c>
      <c r="AK97" s="34">
        <f t="shared" si="32"/>
        <v>0.25974025974025972</v>
      </c>
      <c r="AM97" t="s">
        <v>39</v>
      </c>
      <c r="AN97">
        <f>COUNTIFS($F$2:$F$386,14,$H$2:$H$386,5)</f>
        <v>0</v>
      </c>
      <c r="AO97" s="34">
        <f t="shared" si="33"/>
        <v>0</v>
      </c>
    </row>
    <row r="98" spans="1:41" x14ac:dyDescent="0.3">
      <c r="A98" s="6" t="s">
        <v>199</v>
      </c>
      <c r="B98" s="7">
        <v>17</v>
      </c>
      <c r="C98" s="3">
        <v>21</v>
      </c>
      <c r="D98" s="11">
        <v>15</v>
      </c>
      <c r="E98" s="11">
        <v>3</v>
      </c>
      <c r="F98" s="7">
        <v>1</v>
      </c>
      <c r="G98" s="3">
        <v>1</v>
      </c>
      <c r="H98" s="7">
        <v>2</v>
      </c>
      <c r="I98" s="11">
        <v>2</v>
      </c>
      <c r="J98">
        <v>2015</v>
      </c>
      <c r="K98" t="s">
        <v>11</v>
      </c>
      <c r="L98">
        <f>COUNTIFS($B$2:$B$386,7,$D$2:$D$386,1)</f>
        <v>1</v>
      </c>
      <c r="M98" s="34">
        <f>(L98/385)*100</f>
        <v>0.25974025974025972</v>
      </c>
      <c r="S98" t="s">
        <v>45</v>
      </c>
      <c r="T98">
        <f>COUNTIFS($D$2:$D$386,10,$E$2:$E$386,7)</f>
        <v>0</v>
      </c>
      <c r="U98" s="34">
        <f t="shared" si="31"/>
        <v>0</v>
      </c>
      <c r="V98" t="s">
        <v>45</v>
      </c>
      <c r="W98" s="4">
        <v>1</v>
      </c>
      <c r="X98">
        <f>COUNTIFS($E$2:$E$386,7,$F$2:$F$386,1)</f>
        <v>9</v>
      </c>
      <c r="Y98" s="34">
        <f>(X98/385)*100</f>
        <v>2.3376623376623376</v>
      </c>
      <c r="AD98" t="s">
        <v>151</v>
      </c>
      <c r="AE98" s="4">
        <v>1</v>
      </c>
      <c r="AF98">
        <f>COUNTIFS($D$2:$D$386,7,$F$2:$F$386,1)</f>
        <v>0</v>
      </c>
      <c r="AG98" s="34">
        <f>(AF98/385)*100</f>
        <v>0</v>
      </c>
      <c r="AI98" s="4" t="s">
        <v>3090</v>
      </c>
      <c r="AJ98">
        <f>COUNTIFS($D$2:$D$386,14,$G$2:$G$386,100)</f>
        <v>3</v>
      </c>
      <c r="AK98" s="34">
        <f t="shared" si="32"/>
        <v>0.77922077922077926</v>
      </c>
      <c r="AM98" t="s">
        <v>34</v>
      </c>
      <c r="AN98">
        <f>COUNTIFS($F$2:$F$386,14,$H$2:$H$386,100)</f>
        <v>0</v>
      </c>
      <c r="AO98" s="34">
        <f t="shared" si="33"/>
        <v>0</v>
      </c>
    </row>
    <row r="99" spans="1:41" x14ac:dyDescent="0.3">
      <c r="A99" s="6" t="s">
        <v>310</v>
      </c>
      <c r="B99" s="7">
        <v>16</v>
      </c>
      <c r="C99" s="3">
        <v>21</v>
      </c>
      <c r="D99" s="11">
        <v>4</v>
      </c>
      <c r="E99" s="11">
        <v>1</v>
      </c>
      <c r="F99" s="11">
        <v>1</v>
      </c>
      <c r="G99" s="3">
        <v>1</v>
      </c>
      <c r="H99" s="11">
        <v>2</v>
      </c>
      <c r="I99" s="7">
        <v>2</v>
      </c>
      <c r="K99" t="s">
        <v>18</v>
      </c>
      <c r="L99">
        <f>COUNTIFS($B$2:$B$386,7,$D$2:$D$386,2)</f>
        <v>1</v>
      </c>
      <c r="M99" s="34">
        <f t="shared" ref="M99:M113" si="34">(L99/385)*100</f>
        <v>0.25974025974025972</v>
      </c>
      <c r="S99" t="s">
        <v>48</v>
      </c>
      <c r="T99">
        <f>COUNTIFS($D$2:$D$386,10,$E$2:$E$386,8)</f>
        <v>0</v>
      </c>
      <c r="U99" s="34">
        <f t="shared" si="31"/>
        <v>0</v>
      </c>
      <c r="W99">
        <v>2</v>
      </c>
      <c r="X99">
        <f>COUNTIFS($E$2:$E$386,7,$F$2:$F$386,2)</f>
        <v>1</v>
      </c>
      <c r="Y99" s="34">
        <f t="shared" ref="Y99:Y113" si="35">(X99/385)*100</f>
        <v>0.25974025974025972</v>
      </c>
      <c r="AE99">
        <v>2</v>
      </c>
      <c r="AF99">
        <f>COUNTIFS($D$2:$D$386,7,$F$2:$F$386,2)</f>
        <v>0</v>
      </c>
      <c r="AG99" s="34">
        <f t="shared" ref="AG99:AG113" si="36">(AF99/385)*100</f>
        <v>0</v>
      </c>
      <c r="AJ99" s="22">
        <f>SUM(AJ93:AJ98)</f>
        <v>10</v>
      </c>
      <c r="AK99" s="35">
        <f t="shared" si="32"/>
        <v>2.5974025974025974</v>
      </c>
      <c r="AN99" s="23">
        <f>SUM(AN93:AN98)</f>
        <v>0</v>
      </c>
      <c r="AO99" s="37">
        <f t="shared" si="33"/>
        <v>0</v>
      </c>
    </row>
    <row r="100" spans="1:41" x14ac:dyDescent="0.3">
      <c r="A100" s="6" t="s">
        <v>865</v>
      </c>
      <c r="B100" s="7">
        <v>15</v>
      </c>
      <c r="C100" s="3">
        <v>21</v>
      </c>
      <c r="D100" s="11">
        <v>11</v>
      </c>
      <c r="E100" s="7">
        <v>3</v>
      </c>
      <c r="F100" s="11">
        <v>1</v>
      </c>
      <c r="G100" s="3">
        <v>1</v>
      </c>
      <c r="H100" s="11">
        <v>2</v>
      </c>
      <c r="I100" s="7">
        <v>2</v>
      </c>
      <c r="K100" t="s">
        <v>150</v>
      </c>
      <c r="L100">
        <f>COUNTIFS($B$2:$B$386,7,$D$2:$D$386,3)</f>
        <v>3</v>
      </c>
      <c r="M100" s="34">
        <f t="shared" si="34"/>
        <v>0.77922077922077926</v>
      </c>
      <c r="S100" t="s">
        <v>50</v>
      </c>
      <c r="T100">
        <f>COUNTIFS($D$2:$D$386,10,$E$2:$E$386,9)</f>
        <v>0</v>
      </c>
      <c r="U100" s="34">
        <f t="shared" si="31"/>
        <v>0</v>
      </c>
      <c r="W100" s="4">
        <v>3</v>
      </c>
      <c r="X100">
        <f>COUNTIFS($E$2:$E$386,7,$F$2:$F$386,3)</f>
        <v>0</v>
      </c>
      <c r="Y100" s="34">
        <f t="shared" si="35"/>
        <v>0</v>
      </c>
      <c r="AE100" s="4">
        <v>3</v>
      </c>
      <c r="AF100">
        <f>COUNTIFS($D$2:$D$386,7,$F$2:$F$386,3)</f>
        <v>0</v>
      </c>
      <c r="AG100" s="34">
        <f t="shared" si="36"/>
        <v>0</v>
      </c>
      <c r="AH100" t="s">
        <v>52</v>
      </c>
      <c r="AI100" s="4">
        <v>1</v>
      </c>
      <c r="AJ100">
        <f>COUNTIFS($D$2:$D$386,15,$G$2:$G$386,1)</f>
        <v>21</v>
      </c>
      <c r="AK100" s="34">
        <f>(AJ100/385)*100</f>
        <v>5.4545454545454541</v>
      </c>
      <c r="AL100" t="s">
        <v>3090</v>
      </c>
      <c r="AM100" t="s">
        <v>12</v>
      </c>
      <c r="AN100">
        <f>COUNTIFS($F$2:$F$386,100,$H$2:$H$386,1)</f>
        <v>0</v>
      </c>
      <c r="AO100" s="34">
        <f>(AN100/385)*100</f>
        <v>0</v>
      </c>
    </row>
    <row r="101" spans="1:41" x14ac:dyDescent="0.3">
      <c r="A101" t="s">
        <v>2495</v>
      </c>
      <c r="B101" s="7">
        <v>16</v>
      </c>
      <c r="C101" s="3">
        <v>21</v>
      </c>
      <c r="D101" s="3">
        <v>15</v>
      </c>
      <c r="E101" s="3">
        <v>3</v>
      </c>
      <c r="F101" s="3">
        <v>1</v>
      </c>
      <c r="G101" s="3">
        <v>1</v>
      </c>
      <c r="H101" s="3">
        <v>2</v>
      </c>
      <c r="I101" s="11">
        <v>2</v>
      </c>
      <c r="K101" t="s">
        <v>25</v>
      </c>
      <c r="L101">
        <f>COUNTIFS($B$2:$B$386,7,$D$2:$D$386,4)</f>
        <v>6</v>
      </c>
      <c r="M101" s="34">
        <f t="shared" si="34"/>
        <v>1.5584415584415585</v>
      </c>
      <c r="T101" s="22">
        <f>SUM(T92:T100)</f>
        <v>0</v>
      </c>
      <c r="U101" s="35">
        <f t="shared" si="31"/>
        <v>0</v>
      </c>
      <c r="W101" s="4">
        <v>4</v>
      </c>
      <c r="X101">
        <f>COUNTIFS($E$2:$E$386,7,$F$2:$F$386,4)</f>
        <v>0</v>
      </c>
      <c r="Y101" s="34">
        <f t="shared" si="35"/>
        <v>0</v>
      </c>
      <c r="AE101" s="4">
        <v>4</v>
      </c>
      <c r="AF101">
        <f>COUNTIFS($D$2:$D$386,7,$F$2:$F$386,4)</f>
        <v>0</v>
      </c>
      <c r="AG101" s="34">
        <f t="shared" si="36"/>
        <v>0</v>
      </c>
      <c r="AI101" s="4">
        <v>2</v>
      </c>
      <c r="AJ101">
        <f>COUNTIFS($D$2:$D$386,15,$G$2:$G$386,2)</f>
        <v>3</v>
      </c>
      <c r="AK101" s="34">
        <f t="shared" ref="AK101:AK106" si="37">(AJ101/385)*100</f>
        <v>0.77922077922077926</v>
      </c>
      <c r="AM101" t="s">
        <v>19</v>
      </c>
      <c r="AN101">
        <f>COUNTIFS($F$2:$F$386,100,$H$2:$H$386,2)</f>
        <v>2</v>
      </c>
      <c r="AO101" s="34">
        <f t="shared" ref="AO101:AO106" si="38">(AN101/385)*100</f>
        <v>0.51948051948051943</v>
      </c>
    </row>
    <row r="102" spans="1:41" x14ac:dyDescent="0.3">
      <c r="A102" t="s">
        <v>2677</v>
      </c>
      <c r="B102" s="7">
        <v>14</v>
      </c>
      <c r="C102" s="3">
        <v>21</v>
      </c>
      <c r="D102" s="3">
        <v>3</v>
      </c>
      <c r="E102" s="3">
        <v>6</v>
      </c>
      <c r="F102" s="11">
        <v>1</v>
      </c>
      <c r="G102" s="3">
        <v>1</v>
      </c>
      <c r="H102" s="11">
        <v>2</v>
      </c>
      <c r="I102" s="7">
        <v>2</v>
      </c>
      <c r="K102" t="s">
        <v>32</v>
      </c>
      <c r="L102">
        <f>COUNTIFS($B$2:$B$386,7,$D$2:$D$386,5)</f>
        <v>1</v>
      </c>
      <c r="M102" s="34">
        <f t="shared" si="34"/>
        <v>0.25974025974025972</v>
      </c>
      <c r="R102" t="s">
        <v>49</v>
      </c>
      <c r="S102" t="s">
        <v>10</v>
      </c>
      <c r="T102">
        <f>COUNTIFS($D$2:$D$386,11,$E$2:$E$386,1)</f>
        <v>1</v>
      </c>
      <c r="U102" s="34">
        <f>(T102/385)*100</f>
        <v>0.25974025974025972</v>
      </c>
      <c r="W102" s="4">
        <v>5</v>
      </c>
      <c r="X102">
        <f>COUNTIFS($E$2:$E$386,7,$F$2:$F$386,5)</f>
        <v>0</v>
      </c>
      <c r="Y102" s="34">
        <f t="shared" si="35"/>
        <v>0</v>
      </c>
      <c r="AE102" s="4">
        <v>5</v>
      </c>
      <c r="AF102">
        <f>COUNTIFS($D$2:$D$386,7,$F$2:$F$386,5)</f>
        <v>0</v>
      </c>
      <c r="AG102" s="34">
        <f t="shared" si="36"/>
        <v>0</v>
      </c>
      <c r="AI102" s="4">
        <v>3</v>
      </c>
      <c r="AJ102">
        <f>COUNTIFS($D$2:$D$386,15,$G$2:$G$386,3)</f>
        <v>1</v>
      </c>
      <c r="AK102" s="34">
        <f t="shared" si="37"/>
        <v>0.25974025974025972</v>
      </c>
      <c r="AM102" t="s">
        <v>26</v>
      </c>
      <c r="AN102">
        <f>COUNTIFS($F$2:$F$386,100,$H$2:$H$386,3)</f>
        <v>1</v>
      </c>
      <c r="AO102" s="34">
        <f t="shared" si="38"/>
        <v>0.25974025974025972</v>
      </c>
    </row>
    <row r="103" spans="1:41" x14ac:dyDescent="0.3">
      <c r="A103" s="6" t="s">
        <v>662</v>
      </c>
      <c r="B103" s="7">
        <v>16</v>
      </c>
      <c r="C103" s="3">
        <v>21</v>
      </c>
      <c r="D103" s="11">
        <v>2</v>
      </c>
      <c r="E103" s="11">
        <v>3</v>
      </c>
      <c r="F103" s="11">
        <v>100</v>
      </c>
      <c r="G103" s="3">
        <v>100</v>
      </c>
      <c r="H103" s="11">
        <v>100</v>
      </c>
      <c r="I103" s="11">
        <v>2</v>
      </c>
      <c r="K103" t="s">
        <v>38</v>
      </c>
      <c r="L103">
        <f>COUNTIFS($B$2:$B$386,7,$D$2:$D$386,6)</f>
        <v>0</v>
      </c>
      <c r="M103" s="34">
        <f t="shared" si="34"/>
        <v>0</v>
      </c>
      <c r="S103" t="s">
        <v>17</v>
      </c>
      <c r="T103">
        <f>COUNTIFS($D$2:$D$386,11,$E$2:$E$386,2)</f>
        <v>0</v>
      </c>
      <c r="U103" s="34">
        <f t="shared" ref="U103:U111" si="39">(T103/385)*100</f>
        <v>0</v>
      </c>
      <c r="W103" s="4">
        <v>6</v>
      </c>
      <c r="X103">
        <f>COUNTIFS($E$2:$E$386,7,$F$2:$F$386,6)</f>
        <v>0</v>
      </c>
      <c r="Y103" s="34">
        <f t="shared" si="35"/>
        <v>0</v>
      </c>
      <c r="AE103" s="4">
        <v>6</v>
      </c>
      <c r="AF103">
        <f>COUNTIFS($D$2:$D$386,7,$F$2:$F$386,6)</f>
        <v>0</v>
      </c>
      <c r="AG103" s="34">
        <f t="shared" si="36"/>
        <v>0</v>
      </c>
      <c r="AI103" s="26" t="s">
        <v>3086</v>
      </c>
      <c r="AJ103">
        <f>COUNTIFS($D$2:$D$386,15,$G$2:$G$386,15)</f>
        <v>4</v>
      </c>
      <c r="AK103" s="34">
        <f t="shared" si="37"/>
        <v>1.0389610389610389</v>
      </c>
      <c r="AM103" t="s">
        <v>33</v>
      </c>
      <c r="AN103">
        <f>COUNTIFS($F$2:$F$386,100,$H$2:$H$386,4)</f>
        <v>0</v>
      </c>
      <c r="AO103" s="34">
        <f t="shared" si="38"/>
        <v>0</v>
      </c>
    </row>
    <row r="104" spans="1:41" x14ac:dyDescent="0.3">
      <c r="A104" s="6" t="s">
        <v>1160</v>
      </c>
      <c r="B104" s="7">
        <v>13</v>
      </c>
      <c r="C104" s="3">
        <v>21</v>
      </c>
      <c r="D104" s="3">
        <v>2</v>
      </c>
      <c r="E104" s="3">
        <v>3</v>
      </c>
      <c r="F104" s="11">
        <v>100</v>
      </c>
      <c r="G104" s="3">
        <v>100</v>
      </c>
      <c r="H104" s="11">
        <v>100</v>
      </c>
      <c r="I104" s="11">
        <v>2</v>
      </c>
      <c r="K104" t="s">
        <v>151</v>
      </c>
      <c r="L104">
        <f>COUNTIFS($B$2:$B$386,7,$D$2:$D$386,7)</f>
        <v>0</v>
      </c>
      <c r="M104" s="34">
        <f t="shared" si="34"/>
        <v>0</v>
      </c>
      <c r="S104" t="s">
        <v>24</v>
      </c>
      <c r="T104">
        <f>COUNTIFS($D$2:$D$386,11,$E$2:$E$386,3)</f>
        <v>3</v>
      </c>
      <c r="U104" s="34">
        <f t="shared" si="39"/>
        <v>0.77922077922077926</v>
      </c>
      <c r="W104" s="4">
        <v>7</v>
      </c>
      <c r="X104">
        <f>COUNTIFS($E$2:$E$386,7,$F$2:$F$386,7)</f>
        <v>0</v>
      </c>
      <c r="Y104" s="34">
        <f t="shared" si="35"/>
        <v>0</v>
      </c>
      <c r="AE104" s="4">
        <v>7</v>
      </c>
      <c r="AF104">
        <f>COUNTIFS($D$2:$D$386,7,$F$2:$F$386,7)</f>
        <v>0</v>
      </c>
      <c r="AG104" s="34">
        <f t="shared" si="36"/>
        <v>0</v>
      </c>
      <c r="AI104" s="27" t="s">
        <v>3087</v>
      </c>
      <c r="AJ104">
        <f>COUNTIFS($D$2:$D$386,15,$G$2:$G$386,16)</f>
        <v>0</v>
      </c>
      <c r="AK104" s="34">
        <f t="shared" si="37"/>
        <v>0</v>
      </c>
      <c r="AM104" t="s">
        <v>39</v>
      </c>
      <c r="AN104">
        <f>COUNTIFS($F$2:$F$386,100,$H$2:$H$386,5)</f>
        <v>0</v>
      </c>
      <c r="AO104" s="34">
        <f t="shared" si="38"/>
        <v>0</v>
      </c>
    </row>
    <row r="105" spans="1:41" x14ac:dyDescent="0.3">
      <c r="A105" t="s">
        <v>2502</v>
      </c>
      <c r="B105" s="7">
        <v>16</v>
      </c>
      <c r="C105" s="3">
        <v>21</v>
      </c>
      <c r="D105" s="3">
        <v>8</v>
      </c>
      <c r="E105" s="3">
        <v>8</v>
      </c>
      <c r="F105" s="7">
        <v>1</v>
      </c>
      <c r="G105" s="3">
        <v>1</v>
      </c>
      <c r="H105" s="7">
        <v>1</v>
      </c>
      <c r="I105" s="11">
        <v>2</v>
      </c>
      <c r="K105" t="s">
        <v>43</v>
      </c>
      <c r="L105">
        <f>COUNTIFS($B$2:$B$386,7,$D$2:$D$386,8)</f>
        <v>0</v>
      </c>
      <c r="M105" s="34">
        <f t="shared" si="34"/>
        <v>0</v>
      </c>
      <c r="S105" t="s">
        <v>31</v>
      </c>
      <c r="T105">
        <f>COUNTIFS($D$2:$D$386,11,$E$2:$E$386,4)</f>
        <v>0</v>
      </c>
      <c r="U105" s="34">
        <f t="shared" si="39"/>
        <v>0</v>
      </c>
      <c r="W105" s="4">
        <v>8</v>
      </c>
      <c r="X105">
        <f>COUNTIFS($E$2:$E$386,7,$F$2:$F$386,8)</f>
        <v>0</v>
      </c>
      <c r="Y105" s="34">
        <f t="shared" si="35"/>
        <v>0</v>
      </c>
      <c r="AE105" s="4">
        <v>8</v>
      </c>
      <c r="AF105">
        <f>COUNTIFS($D$2:$D$386,7,$F$2:$F$386,8)</f>
        <v>0</v>
      </c>
      <c r="AG105" s="34">
        <f t="shared" si="36"/>
        <v>0</v>
      </c>
      <c r="AI105" s="4" t="s">
        <v>3090</v>
      </c>
      <c r="AJ105">
        <f>COUNTIFS($D$2:$D$386,15,$G$2:$G$386,100)</f>
        <v>12</v>
      </c>
      <c r="AK105" s="34">
        <f t="shared" si="37"/>
        <v>3.116883116883117</v>
      </c>
      <c r="AM105" t="s">
        <v>34</v>
      </c>
      <c r="AN105">
        <f>COUNTIFS($F$2:$F$386,100,$H$2:$H$386,100)</f>
        <v>77</v>
      </c>
      <c r="AO105" s="34">
        <f t="shared" si="38"/>
        <v>20</v>
      </c>
    </row>
    <row r="106" spans="1:41" x14ac:dyDescent="0.3">
      <c r="A106" s="6" t="s">
        <v>430</v>
      </c>
      <c r="B106" s="7">
        <v>16</v>
      </c>
      <c r="C106" s="3">
        <v>21</v>
      </c>
      <c r="D106" s="11">
        <v>3</v>
      </c>
      <c r="E106" s="11">
        <v>3</v>
      </c>
      <c r="F106" s="11">
        <v>1</v>
      </c>
      <c r="G106" s="3">
        <v>1</v>
      </c>
      <c r="H106" s="11">
        <v>2</v>
      </c>
      <c r="I106" s="7">
        <v>2</v>
      </c>
      <c r="K106" t="s">
        <v>46</v>
      </c>
      <c r="L106">
        <f>COUNTIFS($B$2:$B$386,7,$D$2:$D$386,9)</f>
        <v>1</v>
      </c>
      <c r="M106" s="34">
        <f t="shared" si="34"/>
        <v>0.25974025974025972</v>
      </c>
      <c r="S106" t="s">
        <v>37</v>
      </c>
      <c r="T106">
        <f>COUNTIFS($D$2:$D$386,11,$E$2:$E$386,5)</f>
        <v>0</v>
      </c>
      <c r="U106" s="34">
        <f t="shared" si="39"/>
        <v>0</v>
      </c>
      <c r="W106" s="4">
        <v>9</v>
      </c>
      <c r="X106">
        <f>COUNTIFS($E$2:$E$386,7,$F$2:$F$386,9)</f>
        <v>0</v>
      </c>
      <c r="Y106" s="34">
        <f t="shared" si="35"/>
        <v>0</v>
      </c>
      <c r="AE106" s="4">
        <v>9</v>
      </c>
      <c r="AF106">
        <f>COUNTIFS($D$2:$D$386,7,$F$2:$F$386,9)</f>
        <v>0</v>
      </c>
      <c r="AG106" s="34">
        <f t="shared" si="36"/>
        <v>0</v>
      </c>
      <c r="AJ106" s="22">
        <f>SUM(AJ100:AJ105)</f>
        <v>41</v>
      </c>
      <c r="AK106" s="35">
        <f t="shared" si="37"/>
        <v>10.649350649350648</v>
      </c>
      <c r="AN106" s="23">
        <f>SUM(AN100:AN105)</f>
        <v>80</v>
      </c>
      <c r="AO106" s="37">
        <f t="shared" si="38"/>
        <v>20.779220779220779</v>
      </c>
    </row>
    <row r="107" spans="1:41" x14ac:dyDescent="0.3">
      <c r="A107" s="6" t="s">
        <v>430</v>
      </c>
      <c r="B107" s="7">
        <v>15</v>
      </c>
      <c r="C107" s="3">
        <v>21</v>
      </c>
      <c r="D107" s="11">
        <v>3</v>
      </c>
      <c r="E107" s="7">
        <v>3</v>
      </c>
      <c r="F107" s="11">
        <v>1</v>
      </c>
      <c r="G107" s="3">
        <v>1</v>
      </c>
      <c r="H107" s="11">
        <v>2</v>
      </c>
      <c r="I107" s="11">
        <v>2</v>
      </c>
      <c r="K107" t="s">
        <v>152</v>
      </c>
      <c r="L107">
        <f>COUNTIFS($B$2:$B$386,7,$D$2:$D$386,10)</f>
        <v>0</v>
      </c>
      <c r="M107" s="34">
        <f t="shared" si="34"/>
        <v>0</v>
      </c>
      <c r="S107" t="s">
        <v>42</v>
      </c>
      <c r="T107">
        <f>COUNTIFS($D$2:$D$386,11,$E$2:$E$386,6)</f>
        <v>1</v>
      </c>
      <c r="U107" s="34">
        <f t="shared" si="39"/>
        <v>0.25974025974025972</v>
      </c>
      <c r="W107" s="4">
        <v>10</v>
      </c>
      <c r="X107">
        <f>COUNTIFS($E$2:$E$386,7,$F$2:$F$386,10)</f>
        <v>0</v>
      </c>
      <c r="Y107" s="34">
        <f t="shared" si="35"/>
        <v>0</v>
      </c>
      <c r="AE107" s="4">
        <v>10</v>
      </c>
      <c r="AF107">
        <f>COUNTIFS($D$2:$D$386,7,$F$2:$F$386,10)</f>
        <v>0</v>
      </c>
      <c r="AG107" s="34">
        <f t="shared" si="36"/>
        <v>0</v>
      </c>
    </row>
    <row r="108" spans="1:41" x14ac:dyDescent="0.3">
      <c r="A108" t="s">
        <v>2008</v>
      </c>
      <c r="B108" s="7">
        <v>5</v>
      </c>
      <c r="C108" s="3">
        <v>19</v>
      </c>
      <c r="D108" s="11">
        <v>4</v>
      </c>
      <c r="E108" s="7">
        <v>8</v>
      </c>
      <c r="F108" s="11">
        <v>2</v>
      </c>
      <c r="G108" s="3">
        <v>2</v>
      </c>
      <c r="H108" s="11">
        <v>4</v>
      </c>
      <c r="I108" s="7">
        <v>2</v>
      </c>
      <c r="K108" t="s">
        <v>49</v>
      </c>
      <c r="L108">
        <f>COUNTIFS($B$2:$B$386,7,$D$2:$D$386,11)</f>
        <v>0</v>
      </c>
      <c r="M108" s="34">
        <f t="shared" si="34"/>
        <v>0</v>
      </c>
      <c r="S108" t="s">
        <v>45</v>
      </c>
      <c r="T108">
        <f>COUNTIFS($D$2:$D$386,11,$E$2:$E$386,7)</f>
        <v>0</v>
      </c>
      <c r="U108" s="34">
        <f t="shared" si="39"/>
        <v>0</v>
      </c>
      <c r="W108" s="4">
        <v>11</v>
      </c>
      <c r="X108">
        <f>COUNTIFS($E$2:$E$386,7,$F$2:$F$386,11)</f>
        <v>0</v>
      </c>
      <c r="Y108" s="34">
        <f t="shared" si="35"/>
        <v>0</v>
      </c>
      <c r="AE108" s="4">
        <v>11</v>
      </c>
      <c r="AF108">
        <f>COUNTIFS($D$2:$D$386,7,$F$2:$F$386,11)</f>
        <v>0</v>
      </c>
      <c r="AG108" s="34">
        <f t="shared" si="36"/>
        <v>0</v>
      </c>
    </row>
    <row r="109" spans="1:41" x14ac:dyDescent="0.3">
      <c r="A109" s="6" t="s">
        <v>1117</v>
      </c>
      <c r="B109" s="7">
        <v>14</v>
      </c>
      <c r="C109" s="3">
        <v>21</v>
      </c>
      <c r="D109" s="3">
        <v>15</v>
      </c>
      <c r="E109" s="3">
        <v>3</v>
      </c>
      <c r="F109" s="11">
        <v>1</v>
      </c>
      <c r="G109" s="3">
        <v>1</v>
      </c>
      <c r="H109" s="11">
        <v>100</v>
      </c>
      <c r="I109" s="7">
        <v>2</v>
      </c>
      <c r="K109" t="s">
        <v>51</v>
      </c>
      <c r="L109">
        <f>COUNTIFS($B$2:$B$386,7,$D$2:$D$386,12)</f>
        <v>0</v>
      </c>
      <c r="M109" s="34">
        <f t="shared" si="34"/>
        <v>0</v>
      </c>
      <c r="S109" t="s">
        <v>48</v>
      </c>
      <c r="T109">
        <f>COUNTIFS($D$2:$D$386,11,$E$2:$E$386,8)</f>
        <v>0</v>
      </c>
      <c r="U109" s="34">
        <f t="shared" si="39"/>
        <v>0</v>
      </c>
      <c r="W109" s="4">
        <v>12</v>
      </c>
      <c r="X109">
        <f>COUNTIFS($E$2:$E$386,7,$F$2:$F$386,12)</f>
        <v>0</v>
      </c>
      <c r="Y109" s="34">
        <f t="shared" si="35"/>
        <v>0</v>
      </c>
      <c r="AE109" s="4">
        <v>12</v>
      </c>
      <c r="AF109">
        <f>COUNTIFS($D$2:$D$386,7,$F$2:$F$386,12)</f>
        <v>0</v>
      </c>
      <c r="AG109" s="34">
        <f t="shared" si="36"/>
        <v>0</v>
      </c>
    </row>
    <row r="110" spans="1:41" x14ac:dyDescent="0.3">
      <c r="A110" t="s">
        <v>2379</v>
      </c>
      <c r="B110" s="7">
        <v>3</v>
      </c>
      <c r="C110" s="3">
        <v>18</v>
      </c>
      <c r="D110" s="11">
        <v>4</v>
      </c>
      <c r="E110" s="7">
        <v>8</v>
      </c>
      <c r="F110" s="11">
        <v>1</v>
      </c>
      <c r="G110" s="3">
        <v>1</v>
      </c>
      <c r="H110" s="11">
        <v>1</v>
      </c>
      <c r="I110" s="11">
        <v>2</v>
      </c>
      <c r="K110" t="s">
        <v>153</v>
      </c>
      <c r="L110">
        <f>COUNTIFS($B$2:$B$386,7,$D$2:$D$386,13)</f>
        <v>0</v>
      </c>
      <c r="M110" s="34">
        <f t="shared" si="34"/>
        <v>0</v>
      </c>
      <c r="S110" t="s">
        <v>50</v>
      </c>
      <c r="T110">
        <f>COUNTIFS($D$2:$D$386,11,$E$2:$E$386,9)</f>
        <v>0</v>
      </c>
      <c r="U110" s="34">
        <f t="shared" si="39"/>
        <v>0</v>
      </c>
      <c r="W110" s="4">
        <v>13</v>
      </c>
      <c r="X110">
        <f>COUNTIFS($E$2:$E$386,7,$F$2:$F$386,13)</f>
        <v>0</v>
      </c>
      <c r="Y110" s="34">
        <f t="shared" si="35"/>
        <v>0</v>
      </c>
      <c r="AE110" s="4">
        <v>13</v>
      </c>
      <c r="AF110">
        <f>COUNTIFS($D$2:$D$386,7,$F$2:$F$386,13)</f>
        <v>0</v>
      </c>
      <c r="AG110" s="34">
        <f t="shared" si="36"/>
        <v>0</v>
      </c>
    </row>
    <row r="111" spans="1:41" x14ac:dyDescent="0.3">
      <c r="A111" t="s">
        <v>2813</v>
      </c>
      <c r="B111" s="7">
        <v>12</v>
      </c>
      <c r="C111" s="3">
        <v>20</v>
      </c>
      <c r="D111" s="3">
        <v>4</v>
      </c>
      <c r="E111" s="3">
        <v>1</v>
      </c>
      <c r="F111" s="11">
        <v>1</v>
      </c>
      <c r="G111" s="3">
        <v>1</v>
      </c>
      <c r="H111" s="11">
        <v>1</v>
      </c>
      <c r="I111" s="11">
        <v>2</v>
      </c>
      <c r="K111" t="s">
        <v>154</v>
      </c>
      <c r="L111">
        <f>COUNTIFS($B$2:$B$386,7,$D$2:$D$386,14)</f>
        <v>0</v>
      </c>
      <c r="M111" s="34">
        <f t="shared" si="34"/>
        <v>0</v>
      </c>
      <c r="T111" s="22">
        <f>SUM(T102:T110)</f>
        <v>5</v>
      </c>
      <c r="U111" s="35">
        <f t="shared" si="39"/>
        <v>1.2987012987012987</v>
      </c>
      <c r="W111" s="4">
        <v>14</v>
      </c>
      <c r="X111">
        <f>COUNTIFS($E$2:$E$386,7,$F$2:$F$386,14)</f>
        <v>0</v>
      </c>
      <c r="Y111" s="34">
        <f t="shared" si="35"/>
        <v>0</v>
      </c>
      <c r="AE111" s="4">
        <v>14</v>
      </c>
      <c r="AF111">
        <f>COUNTIFS($D$2:$D$386,7,$F$2:$F$386,14)</f>
        <v>0</v>
      </c>
      <c r="AG111" s="34">
        <f t="shared" si="36"/>
        <v>0</v>
      </c>
    </row>
    <row r="112" spans="1:41" x14ac:dyDescent="0.3">
      <c r="A112" t="s">
        <v>1980</v>
      </c>
      <c r="B112" s="7">
        <v>7</v>
      </c>
      <c r="C112" s="3">
        <v>19</v>
      </c>
      <c r="D112" s="3">
        <v>9</v>
      </c>
      <c r="E112" s="3">
        <v>1</v>
      </c>
      <c r="F112" s="3">
        <v>3</v>
      </c>
      <c r="G112" s="3">
        <v>3</v>
      </c>
      <c r="H112" s="3">
        <v>4</v>
      </c>
      <c r="I112" s="3">
        <v>1</v>
      </c>
      <c r="K112" t="s">
        <v>52</v>
      </c>
      <c r="L112">
        <f>COUNTIFS($B$2:$B$386,7,$D$2:$D$386,15)</f>
        <v>2</v>
      </c>
      <c r="M112" s="34">
        <f t="shared" si="34"/>
        <v>0.51948051948051943</v>
      </c>
      <c r="R112" t="s">
        <v>51</v>
      </c>
      <c r="S112" t="s">
        <v>10</v>
      </c>
      <c r="T112">
        <f>COUNTIFS($D$2:$D$386,12,$E$2:$E$386,1)</f>
        <v>0</v>
      </c>
      <c r="U112" s="34">
        <f>(T112/385)*100</f>
        <v>0</v>
      </c>
      <c r="W112" t="s">
        <v>3090</v>
      </c>
      <c r="X112">
        <f>COUNTIFS($E$2:$E$386,7,$F$2:$F$386,100)</f>
        <v>3</v>
      </c>
      <c r="Y112" s="34">
        <f t="shared" si="35"/>
        <v>0.77922077922077926</v>
      </c>
      <c r="AE112" t="s">
        <v>3090</v>
      </c>
      <c r="AF112">
        <f>COUNTIFS($D$2:$D$386,7,$F$2:$F$386,100)</f>
        <v>0</v>
      </c>
      <c r="AG112" s="34">
        <f t="shared" si="36"/>
        <v>0</v>
      </c>
    </row>
    <row r="113" spans="1:33" x14ac:dyDescent="0.3">
      <c r="A113" s="6" t="s">
        <v>448</v>
      </c>
      <c r="B113" s="7">
        <v>16</v>
      </c>
      <c r="C113" s="3">
        <v>21</v>
      </c>
      <c r="D113" s="11">
        <v>4</v>
      </c>
      <c r="E113" s="11">
        <v>3</v>
      </c>
      <c r="F113" s="11">
        <v>1</v>
      </c>
      <c r="G113" s="3">
        <v>1</v>
      </c>
      <c r="H113" s="11">
        <v>2</v>
      </c>
      <c r="I113" s="11">
        <v>2</v>
      </c>
      <c r="L113" s="22">
        <f>SUM(L98:L112)</f>
        <v>15</v>
      </c>
      <c r="M113" s="35">
        <f t="shared" si="34"/>
        <v>3.8961038961038961</v>
      </c>
      <c r="S113" t="s">
        <v>17</v>
      </c>
      <c r="T113">
        <f>COUNTIFS($D$2:$D$386,12,$E$2:$E$386,2)</f>
        <v>0</v>
      </c>
      <c r="U113" s="34">
        <f t="shared" ref="U113:U121" si="40">(T113/385)*100</f>
        <v>0</v>
      </c>
      <c r="X113" s="23">
        <f>SUM(X98:X112)</f>
        <v>13</v>
      </c>
      <c r="Y113" s="37">
        <f t="shared" si="35"/>
        <v>3.3766233766233764</v>
      </c>
      <c r="AF113" s="23">
        <f>SUM(AF98:AF112)</f>
        <v>0</v>
      </c>
      <c r="AG113" s="37">
        <f t="shared" si="36"/>
        <v>0</v>
      </c>
    </row>
    <row r="114" spans="1:33" x14ac:dyDescent="0.3">
      <c r="A114" s="6" t="s">
        <v>730</v>
      </c>
      <c r="B114" s="7">
        <v>15</v>
      </c>
      <c r="C114" s="3">
        <v>21</v>
      </c>
      <c r="D114" s="11">
        <v>4</v>
      </c>
      <c r="E114" s="7">
        <v>3</v>
      </c>
      <c r="F114" s="7">
        <v>1</v>
      </c>
      <c r="G114" s="3">
        <v>1</v>
      </c>
      <c r="H114" s="7">
        <v>2</v>
      </c>
      <c r="I114" s="7">
        <v>2</v>
      </c>
      <c r="J114">
        <v>2016</v>
      </c>
      <c r="K114" t="s">
        <v>11</v>
      </c>
      <c r="L114">
        <f>COUNTIFS($B$2:$B$386,8,$D$2:$D$386,1)</f>
        <v>3</v>
      </c>
      <c r="M114" s="34">
        <f>(L114/385)*100</f>
        <v>0.77922077922077926</v>
      </c>
      <c r="S114" t="s">
        <v>24</v>
      </c>
      <c r="T114">
        <f>COUNTIFS($D$2:$D$386,12,$E$2:$E$386,3)</f>
        <v>9</v>
      </c>
      <c r="U114" s="34">
        <f t="shared" si="40"/>
        <v>2.3376623376623376</v>
      </c>
      <c r="V114" t="s">
        <v>48</v>
      </c>
      <c r="W114" s="4">
        <v>1</v>
      </c>
      <c r="X114">
        <f>COUNTIFS($E$2:$E$386,8,$F$2:$F$386,1)</f>
        <v>19</v>
      </c>
      <c r="Y114" s="34">
        <f>(X114/385)*100</f>
        <v>4.9350649350649354</v>
      </c>
      <c r="AD114" t="s">
        <v>43</v>
      </c>
      <c r="AE114" s="4">
        <v>1</v>
      </c>
      <c r="AF114">
        <f>COUNTIFS($D$2:$D$386,8,$F$2:$F$386,1)</f>
        <v>14</v>
      </c>
      <c r="AG114" s="34">
        <f>(AF114/385)*100</f>
        <v>3.6363636363636362</v>
      </c>
    </row>
    <row r="115" spans="1:33" x14ac:dyDescent="0.3">
      <c r="A115" t="s">
        <v>1612</v>
      </c>
      <c r="B115" s="7">
        <v>12</v>
      </c>
      <c r="C115" s="3">
        <v>20</v>
      </c>
      <c r="D115" s="3">
        <v>1</v>
      </c>
      <c r="E115" s="3">
        <v>3</v>
      </c>
      <c r="F115" s="11">
        <v>1</v>
      </c>
      <c r="G115" s="3">
        <v>1</v>
      </c>
      <c r="H115" s="11">
        <v>2</v>
      </c>
      <c r="I115" s="7">
        <v>2</v>
      </c>
      <c r="K115" t="s">
        <v>18</v>
      </c>
      <c r="L115">
        <f>COUNTIFS($B$2:$B$386,8,$D$2:$D$386,2)</f>
        <v>2</v>
      </c>
      <c r="M115" s="34">
        <f t="shared" ref="M115:M129" si="41">(L115/385)*100</f>
        <v>0.51948051948051943</v>
      </c>
      <c r="S115" t="s">
        <v>31</v>
      </c>
      <c r="T115">
        <f>COUNTIFS($D$2:$D$386,12,$E$2:$E$386,4)</f>
        <v>0</v>
      </c>
      <c r="U115" s="34">
        <f t="shared" si="40"/>
        <v>0</v>
      </c>
      <c r="W115">
        <v>2</v>
      </c>
      <c r="X115">
        <f>COUNTIFS($E$2:$E$386,8,$F$2:$F$386,2)</f>
        <v>10</v>
      </c>
      <c r="Y115" s="34">
        <f t="shared" ref="Y115:Y129" si="42">(X115/385)*100</f>
        <v>2.5974025974025974</v>
      </c>
      <c r="AE115">
        <v>2</v>
      </c>
      <c r="AF115">
        <f>COUNTIFS($D$2:$D$386,8,$F$2:$F$386,2)</f>
        <v>2</v>
      </c>
      <c r="AG115" s="34">
        <f t="shared" ref="AG115:AG129" si="43">(AF115/385)*100</f>
        <v>0.51948051948051943</v>
      </c>
    </row>
    <row r="116" spans="1:33" x14ac:dyDescent="0.3">
      <c r="A116" s="6" t="s">
        <v>860</v>
      </c>
      <c r="B116" s="7">
        <v>15</v>
      </c>
      <c r="C116" s="3">
        <v>21</v>
      </c>
      <c r="D116" s="11">
        <v>3</v>
      </c>
      <c r="E116" s="7">
        <v>1</v>
      </c>
      <c r="F116" s="11">
        <v>2</v>
      </c>
      <c r="G116" s="3">
        <v>2</v>
      </c>
      <c r="H116" s="11">
        <v>5</v>
      </c>
      <c r="I116" s="11">
        <v>2</v>
      </c>
      <c r="K116" t="s">
        <v>150</v>
      </c>
      <c r="L116">
        <f>COUNTIFS($B$2:$B$386,8,$D$2:$D$386,3)</f>
        <v>1</v>
      </c>
      <c r="M116" s="34">
        <f t="shared" si="41"/>
        <v>0.25974025974025972</v>
      </c>
      <c r="S116" t="s">
        <v>37</v>
      </c>
      <c r="T116">
        <f>COUNTIFS($D$2:$D$386,12,$E$2:$E$386,5)</f>
        <v>0</v>
      </c>
      <c r="U116" s="34">
        <f t="shared" si="40"/>
        <v>0</v>
      </c>
      <c r="W116" s="4">
        <v>3</v>
      </c>
      <c r="X116">
        <f>COUNTIFS($E$2:$E$386,8,$F$2:$F$386,3)</f>
        <v>4</v>
      </c>
      <c r="Y116" s="34">
        <f t="shared" si="42"/>
        <v>1.0389610389610389</v>
      </c>
      <c r="AE116" s="4">
        <v>3</v>
      </c>
      <c r="AF116">
        <f>COUNTIFS($D$2:$D$386,8,$F$2:$F$386,3)</f>
        <v>1</v>
      </c>
      <c r="AG116" s="34">
        <f t="shared" si="43"/>
        <v>0.25974025974025972</v>
      </c>
    </row>
    <row r="117" spans="1:33" x14ac:dyDescent="0.3">
      <c r="A117" s="6" t="s">
        <v>1033</v>
      </c>
      <c r="B117" s="7">
        <v>14</v>
      </c>
      <c r="C117" s="3">
        <v>21</v>
      </c>
      <c r="D117" s="11">
        <v>4</v>
      </c>
      <c r="E117" s="11">
        <v>3</v>
      </c>
      <c r="F117" s="11">
        <v>1</v>
      </c>
      <c r="G117" s="3">
        <v>1</v>
      </c>
      <c r="H117" s="11">
        <v>100</v>
      </c>
      <c r="I117" s="7">
        <v>2</v>
      </c>
      <c r="K117" t="s">
        <v>25</v>
      </c>
      <c r="L117">
        <f>COUNTIFS($B$2:$B$386,8,$D$2:$D$386,4)</f>
        <v>9</v>
      </c>
      <c r="M117" s="34">
        <f t="shared" si="41"/>
        <v>2.3376623376623376</v>
      </c>
      <c r="S117" t="s">
        <v>42</v>
      </c>
      <c r="T117">
        <f>COUNTIFS($D$2:$D$386,12,$E$2:$E$386,6)</f>
        <v>0</v>
      </c>
      <c r="U117" s="34">
        <f t="shared" si="40"/>
        <v>0</v>
      </c>
      <c r="W117" s="4">
        <v>4</v>
      </c>
      <c r="X117">
        <f>COUNTIFS($E$2:$E$386,8,$F$2:$F$386,4)</f>
        <v>0</v>
      </c>
      <c r="Y117" s="34">
        <f t="shared" si="42"/>
        <v>0</v>
      </c>
      <c r="AE117" s="4">
        <v>4</v>
      </c>
      <c r="AF117">
        <f>COUNTIFS($D$2:$D$386,8,$F$2:$F$386,4)</f>
        <v>0</v>
      </c>
      <c r="AG117" s="34">
        <f t="shared" si="43"/>
        <v>0</v>
      </c>
    </row>
    <row r="118" spans="1:33" x14ac:dyDescent="0.3">
      <c r="A118" s="6" t="s">
        <v>1049</v>
      </c>
      <c r="B118" s="7">
        <v>14</v>
      </c>
      <c r="C118" s="3">
        <v>21</v>
      </c>
      <c r="D118" s="11">
        <v>4</v>
      </c>
      <c r="E118" s="11">
        <v>3</v>
      </c>
      <c r="F118" s="11">
        <v>100</v>
      </c>
      <c r="G118" s="3">
        <v>100</v>
      </c>
      <c r="H118" s="11">
        <v>100</v>
      </c>
      <c r="I118" s="11">
        <v>2</v>
      </c>
      <c r="K118" t="s">
        <v>32</v>
      </c>
      <c r="L118">
        <f>COUNTIFS($B$2:$B$386,8,$D$2:$D$386,5)</f>
        <v>3</v>
      </c>
      <c r="M118" s="34">
        <f t="shared" si="41"/>
        <v>0.77922077922077926</v>
      </c>
      <c r="S118" t="s">
        <v>45</v>
      </c>
      <c r="T118">
        <f>COUNTIFS($D$2:$D$386,12,$E$2:$E$386,7)</f>
        <v>0</v>
      </c>
      <c r="U118" s="34">
        <f t="shared" si="40"/>
        <v>0</v>
      </c>
      <c r="W118" s="4">
        <v>5</v>
      </c>
      <c r="X118">
        <f>COUNTIFS($E$2:$E$386,8,$F$2:$F$386,5)</f>
        <v>2</v>
      </c>
      <c r="Y118" s="34">
        <f t="shared" si="42"/>
        <v>0.51948051948051943</v>
      </c>
      <c r="AE118" s="4">
        <v>5</v>
      </c>
      <c r="AF118">
        <f>COUNTIFS($D$2:$D$386,8,$F$2:$F$386,5)</f>
        <v>0</v>
      </c>
      <c r="AG118" s="34">
        <f t="shared" si="43"/>
        <v>0</v>
      </c>
    </row>
    <row r="119" spans="1:33" x14ac:dyDescent="0.3">
      <c r="A119" s="6" t="s">
        <v>582</v>
      </c>
      <c r="B119" s="7">
        <v>16</v>
      </c>
      <c r="C119" s="3">
        <v>21</v>
      </c>
      <c r="D119" s="11">
        <v>8</v>
      </c>
      <c r="E119" s="11">
        <v>7</v>
      </c>
      <c r="F119" s="11">
        <v>1</v>
      </c>
      <c r="G119" s="3">
        <v>1</v>
      </c>
      <c r="H119" s="11">
        <v>2</v>
      </c>
      <c r="I119" s="11">
        <v>2</v>
      </c>
      <c r="K119" t="s">
        <v>38</v>
      </c>
      <c r="L119">
        <f>COUNTIFS($B$2:$B$386,8,$D$2:$D$386,6)</f>
        <v>0</v>
      </c>
      <c r="M119" s="34">
        <f t="shared" si="41"/>
        <v>0</v>
      </c>
      <c r="S119" t="s">
        <v>48</v>
      </c>
      <c r="T119">
        <f>COUNTIFS($D$2:$D$386,12,$E$2:$E$386,8)</f>
        <v>1</v>
      </c>
      <c r="U119" s="34">
        <f t="shared" si="40"/>
        <v>0.25974025974025972</v>
      </c>
      <c r="W119" s="4">
        <v>6</v>
      </c>
      <c r="X119">
        <f>COUNTIFS($E$2:$E$386,8,$F$2:$F$386,6)</f>
        <v>0</v>
      </c>
      <c r="Y119" s="34">
        <f t="shared" si="42"/>
        <v>0</v>
      </c>
      <c r="AE119" s="4">
        <v>6</v>
      </c>
      <c r="AF119">
        <f>COUNTIFS($D$2:$D$386,8,$F$2:$F$386,6)</f>
        <v>0</v>
      </c>
      <c r="AG119" s="34">
        <f t="shared" si="43"/>
        <v>0</v>
      </c>
    </row>
    <row r="120" spans="1:33" x14ac:dyDescent="0.3">
      <c r="A120" t="s">
        <v>2484</v>
      </c>
      <c r="B120" s="7">
        <v>16</v>
      </c>
      <c r="C120" s="3">
        <v>21</v>
      </c>
      <c r="D120" s="3">
        <v>4</v>
      </c>
      <c r="E120" s="3">
        <v>7</v>
      </c>
      <c r="F120" s="3">
        <v>100</v>
      </c>
      <c r="G120" s="3">
        <v>100</v>
      </c>
      <c r="H120" s="3">
        <v>100</v>
      </c>
      <c r="I120" s="11">
        <v>2</v>
      </c>
      <c r="K120" t="s">
        <v>151</v>
      </c>
      <c r="L120">
        <f>COUNTIFS($B$2:$B$386,8,$D$2:$D$386,7)</f>
        <v>0</v>
      </c>
      <c r="M120" s="34">
        <f t="shared" si="41"/>
        <v>0</v>
      </c>
      <c r="S120" t="s">
        <v>50</v>
      </c>
      <c r="T120">
        <f>COUNTIFS($D$2:$D$386,12,$E$2:$E$386,9)</f>
        <v>0</v>
      </c>
      <c r="U120" s="34">
        <f t="shared" si="40"/>
        <v>0</v>
      </c>
      <c r="W120" s="4">
        <v>7</v>
      </c>
      <c r="X120">
        <f>COUNTIFS($E$2:$E$386,8,$F$2:$F$386,7)</f>
        <v>0</v>
      </c>
      <c r="Y120" s="34">
        <f t="shared" si="42"/>
        <v>0</v>
      </c>
      <c r="AE120" s="4">
        <v>7</v>
      </c>
      <c r="AF120">
        <f>COUNTIFS($D$2:$D$386,8,$F$2:$F$386,7)</f>
        <v>0</v>
      </c>
      <c r="AG120" s="34">
        <f t="shared" si="43"/>
        <v>0</v>
      </c>
    </row>
    <row r="121" spans="1:33" x14ac:dyDescent="0.3">
      <c r="A121" t="s">
        <v>2445</v>
      </c>
      <c r="B121" s="7">
        <v>2</v>
      </c>
      <c r="C121" s="3">
        <v>18</v>
      </c>
      <c r="D121" s="3">
        <v>1</v>
      </c>
      <c r="E121" s="3">
        <v>1</v>
      </c>
      <c r="F121" s="3">
        <v>1</v>
      </c>
      <c r="G121" s="3">
        <v>1</v>
      </c>
      <c r="H121" s="3">
        <v>1</v>
      </c>
      <c r="I121" s="11">
        <v>2</v>
      </c>
      <c r="K121" t="s">
        <v>43</v>
      </c>
      <c r="L121">
        <f>COUNTIFS($B$2:$B$386,8,$D$2:$D$386,8)</f>
        <v>0</v>
      </c>
      <c r="M121" s="34">
        <f t="shared" si="41"/>
        <v>0</v>
      </c>
      <c r="T121" s="22">
        <f>SUM(T112:T120)</f>
        <v>10</v>
      </c>
      <c r="U121" s="35">
        <f t="shared" si="40"/>
        <v>2.5974025974025974</v>
      </c>
      <c r="W121" s="4">
        <v>8</v>
      </c>
      <c r="X121">
        <f>COUNTIFS($E$2:$E$386,8,$F$2:$F$386,8)</f>
        <v>0</v>
      </c>
      <c r="Y121" s="34">
        <f t="shared" si="42"/>
        <v>0</v>
      </c>
      <c r="AE121" s="4">
        <v>8</v>
      </c>
      <c r="AF121">
        <f>COUNTIFS($D$2:$D$386,8,$F$2:$F$386,8)</f>
        <v>0</v>
      </c>
      <c r="AG121" s="34">
        <f t="shared" si="43"/>
        <v>0</v>
      </c>
    </row>
    <row r="122" spans="1:33" x14ac:dyDescent="0.3">
      <c r="A122" t="s">
        <v>2445</v>
      </c>
      <c r="B122" s="7">
        <v>12</v>
      </c>
      <c r="C122" s="3">
        <v>20</v>
      </c>
      <c r="D122" s="3">
        <v>3</v>
      </c>
      <c r="E122" s="3">
        <v>3</v>
      </c>
      <c r="F122" s="7">
        <v>1</v>
      </c>
      <c r="G122" s="3">
        <v>1</v>
      </c>
      <c r="H122" s="7">
        <v>2</v>
      </c>
      <c r="I122" s="11">
        <v>2</v>
      </c>
      <c r="K122" t="s">
        <v>46</v>
      </c>
      <c r="L122">
        <f>COUNTIFS($B$2:$B$386,8,$D$2:$D$386,9)</f>
        <v>1</v>
      </c>
      <c r="M122" s="34">
        <f t="shared" si="41"/>
        <v>0.25974025974025972</v>
      </c>
      <c r="R122" t="s">
        <v>153</v>
      </c>
      <c r="S122" t="s">
        <v>10</v>
      </c>
      <c r="T122">
        <f>COUNTIFS($D$2:$D$386,13,$E$2:$E$386,1)</f>
        <v>0</v>
      </c>
      <c r="U122" s="34">
        <f>(T122/385)*100</f>
        <v>0</v>
      </c>
      <c r="W122" s="4">
        <v>9</v>
      </c>
      <c r="X122">
        <f>COUNTIFS($E$2:$E$386,8,$F$2:$F$386,9)</f>
        <v>0</v>
      </c>
      <c r="Y122" s="34">
        <f t="shared" si="42"/>
        <v>0</v>
      </c>
      <c r="AE122" s="4">
        <v>9</v>
      </c>
      <c r="AF122">
        <f>COUNTIFS($D$2:$D$386,8,$F$2:$F$386,9)</f>
        <v>0</v>
      </c>
      <c r="AG122" s="34">
        <f t="shared" si="43"/>
        <v>0</v>
      </c>
    </row>
    <row r="123" spans="1:33" x14ac:dyDescent="0.3">
      <c r="A123" t="s">
        <v>1851</v>
      </c>
      <c r="B123" s="7">
        <v>8</v>
      </c>
      <c r="C123" s="3">
        <v>19</v>
      </c>
      <c r="D123" s="3">
        <v>4</v>
      </c>
      <c r="E123" s="3">
        <v>6</v>
      </c>
      <c r="F123" s="3">
        <v>1</v>
      </c>
      <c r="G123" s="3">
        <v>1</v>
      </c>
      <c r="H123" s="3">
        <v>1</v>
      </c>
      <c r="I123" s="7">
        <v>2</v>
      </c>
      <c r="K123" t="s">
        <v>152</v>
      </c>
      <c r="L123">
        <f>COUNTIFS($B$2:$B$386,8,$D$2:$D$386,10)</f>
        <v>0</v>
      </c>
      <c r="M123" s="34">
        <f t="shared" si="41"/>
        <v>0</v>
      </c>
      <c r="S123" t="s">
        <v>17</v>
      </c>
      <c r="T123">
        <f>COUNTIFS($D$2:$D$386,13,$E$2:$E$386,2)</f>
        <v>0</v>
      </c>
      <c r="U123" s="34">
        <f t="shared" ref="U123:U131" si="44">(T123/385)*100</f>
        <v>0</v>
      </c>
      <c r="W123" s="4">
        <v>10</v>
      </c>
      <c r="X123">
        <f>COUNTIFS($E$2:$E$386,8,$F$2:$F$386,10)</f>
        <v>1</v>
      </c>
      <c r="Y123" s="34">
        <f t="shared" si="42"/>
        <v>0.25974025974025972</v>
      </c>
      <c r="AE123" s="4">
        <v>10</v>
      </c>
      <c r="AF123">
        <f>COUNTIFS($D$2:$D$386,8,$F$2:$F$386,10)</f>
        <v>0</v>
      </c>
      <c r="AG123" s="34">
        <f t="shared" si="43"/>
        <v>0</v>
      </c>
    </row>
    <row r="124" spans="1:33" x14ac:dyDescent="0.3">
      <c r="A124" t="s">
        <v>1938</v>
      </c>
      <c r="B124" s="7">
        <v>8</v>
      </c>
      <c r="C124" s="3">
        <v>19</v>
      </c>
      <c r="D124" s="3">
        <v>5</v>
      </c>
      <c r="E124" s="3">
        <v>3</v>
      </c>
      <c r="F124" s="3">
        <v>1</v>
      </c>
      <c r="G124" s="3">
        <v>1</v>
      </c>
      <c r="H124" s="3">
        <v>1</v>
      </c>
      <c r="I124" s="3">
        <v>1</v>
      </c>
      <c r="K124" t="s">
        <v>49</v>
      </c>
      <c r="L124">
        <f>COUNTIFS($B$2:$B$386,8,$D$2:$D$386,11)</f>
        <v>0</v>
      </c>
      <c r="M124" s="34">
        <f t="shared" si="41"/>
        <v>0</v>
      </c>
      <c r="S124" t="s">
        <v>24</v>
      </c>
      <c r="T124">
        <f>COUNTIFS($D$2:$D$386,13,$E$2:$E$386,3)</f>
        <v>2</v>
      </c>
      <c r="U124" s="34">
        <f t="shared" si="44"/>
        <v>0.51948051948051943</v>
      </c>
      <c r="W124" s="4">
        <v>11</v>
      </c>
      <c r="X124">
        <f>COUNTIFS($E$2:$E$386,8,$F$2:$F$386,11)</f>
        <v>0</v>
      </c>
      <c r="Y124" s="34">
        <f t="shared" si="42"/>
        <v>0</v>
      </c>
      <c r="AE124" s="4">
        <v>11</v>
      </c>
      <c r="AF124">
        <f>COUNTIFS($D$2:$D$386,8,$F$2:$F$386,11)</f>
        <v>0</v>
      </c>
      <c r="AG124" s="34">
        <f t="shared" si="43"/>
        <v>0</v>
      </c>
    </row>
    <row r="125" spans="1:33" x14ac:dyDescent="0.3">
      <c r="A125" t="s">
        <v>2991</v>
      </c>
      <c r="B125" s="7">
        <v>5</v>
      </c>
      <c r="C125" s="3">
        <v>19</v>
      </c>
      <c r="D125" s="3">
        <v>8</v>
      </c>
      <c r="E125" s="3">
        <v>8</v>
      </c>
      <c r="F125" s="3">
        <v>1</v>
      </c>
      <c r="G125" s="3">
        <v>1</v>
      </c>
      <c r="H125" s="3">
        <v>2</v>
      </c>
      <c r="I125" s="7">
        <v>2</v>
      </c>
      <c r="K125" t="s">
        <v>51</v>
      </c>
      <c r="L125">
        <f>COUNTIFS($B$2:$B$386,8,$D$2:$D$386,12)</f>
        <v>0</v>
      </c>
      <c r="M125" s="34">
        <f t="shared" si="41"/>
        <v>0</v>
      </c>
      <c r="S125" t="s">
        <v>31</v>
      </c>
      <c r="T125">
        <f>COUNTIFS($D$2:$D$386,13,$E$2:$E$386,4)</f>
        <v>0</v>
      </c>
      <c r="U125" s="34">
        <f t="shared" si="44"/>
        <v>0</v>
      </c>
      <c r="W125" s="4">
        <v>12</v>
      </c>
      <c r="X125">
        <f>COUNTIFS($E$2:$E$386,8,$F$2:$F$386,12)</f>
        <v>0</v>
      </c>
      <c r="Y125" s="34">
        <f t="shared" si="42"/>
        <v>0</v>
      </c>
      <c r="AE125" s="4">
        <v>12</v>
      </c>
      <c r="AF125">
        <f>COUNTIFS($D$2:$D$386,8,$F$2:$F$386,12)</f>
        <v>0</v>
      </c>
      <c r="AG125" s="34">
        <f t="shared" si="43"/>
        <v>0</v>
      </c>
    </row>
    <row r="126" spans="1:33" x14ac:dyDescent="0.3">
      <c r="A126" t="s">
        <v>2133</v>
      </c>
      <c r="B126" s="7">
        <v>5</v>
      </c>
      <c r="C126" s="3">
        <v>19</v>
      </c>
      <c r="D126" s="3">
        <v>4</v>
      </c>
      <c r="E126" s="3">
        <v>3</v>
      </c>
      <c r="F126" s="3">
        <v>3</v>
      </c>
      <c r="G126" s="3">
        <v>3</v>
      </c>
      <c r="H126" s="3">
        <v>4</v>
      </c>
      <c r="I126" s="7">
        <v>1</v>
      </c>
      <c r="K126" t="s">
        <v>153</v>
      </c>
      <c r="L126">
        <f>COUNTIFS($B$2:$B$386,8,$D$2:$D$386,13)</f>
        <v>0</v>
      </c>
      <c r="M126" s="34">
        <f t="shared" si="41"/>
        <v>0</v>
      </c>
      <c r="S126" t="s">
        <v>37</v>
      </c>
      <c r="T126">
        <f>COUNTIFS($D$2:$D$386,13,$E$2:$E$386,5)</f>
        <v>0</v>
      </c>
      <c r="U126" s="34">
        <f t="shared" si="44"/>
        <v>0</v>
      </c>
      <c r="W126" s="4">
        <v>13</v>
      </c>
      <c r="X126">
        <f>COUNTIFS($E$2:$E$386,8,$F$2:$F$386,13)</f>
        <v>0</v>
      </c>
      <c r="Y126" s="34">
        <f t="shared" si="42"/>
        <v>0</v>
      </c>
      <c r="AE126" s="4">
        <v>13</v>
      </c>
      <c r="AF126">
        <f>COUNTIFS($D$2:$D$386,8,$F$2:$F$386,13)</f>
        <v>0</v>
      </c>
      <c r="AG126" s="34">
        <f t="shared" si="43"/>
        <v>0</v>
      </c>
    </row>
    <row r="127" spans="1:33" x14ac:dyDescent="0.3">
      <c r="A127" s="6" t="s">
        <v>1045</v>
      </c>
      <c r="B127" s="7">
        <v>14</v>
      </c>
      <c r="C127" s="3">
        <v>21</v>
      </c>
      <c r="D127" s="11">
        <v>4</v>
      </c>
      <c r="E127" s="11">
        <v>3</v>
      </c>
      <c r="F127" s="11">
        <v>1</v>
      </c>
      <c r="G127" s="3">
        <v>1</v>
      </c>
      <c r="H127" s="11">
        <v>2</v>
      </c>
      <c r="I127" s="11">
        <v>2</v>
      </c>
      <c r="K127" t="s">
        <v>154</v>
      </c>
      <c r="L127">
        <f>COUNTIFS($B$2:$B$386,8,$D$2:$D$386,14)</f>
        <v>1</v>
      </c>
      <c r="M127" s="34">
        <f t="shared" si="41"/>
        <v>0.25974025974025972</v>
      </c>
      <c r="S127" t="s">
        <v>42</v>
      </c>
      <c r="T127">
        <f>COUNTIFS($D$2:$D$386,13,$E$2:$E$386,6)</f>
        <v>0</v>
      </c>
      <c r="U127" s="34">
        <f t="shared" si="44"/>
        <v>0</v>
      </c>
      <c r="W127" s="4">
        <v>14</v>
      </c>
      <c r="X127">
        <f>COUNTIFS($E$2:$E$386,8,$F$2:$F$386,14)</f>
        <v>0</v>
      </c>
      <c r="Y127" s="34">
        <f t="shared" si="42"/>
        <v>0</v>
      </c>
      <c r="AE127" s="4">
        <v>14</v>
      </c>
      <c r="AF127">
        <f>COUNTIFS($D$2:$D$386,8,$F$2:$F$386,14)</f>
        <v>0</v>
      </c>
      <c r="AG127" s="34">
        <f t="shared" si="43"/>
        <v>0</v>
      </c>
    </row>
    <row r="128" spans="1:33" x14ac:dyDescent="0.3">
      <c r="A128" s="6" t="s">
        <v>878</v>
      </c>
      <c r="B128" s="7">
        <v>15</v>
      </c>
      <c r="C128" s="3">
        <v>21</v>
      </c>
      <c r="D128" s="11">
        <v>3</v>
      </c>
      <c r="E128" s="7">
        <v>3</v>
      </c>
      <c r="F128" s="11">
        <v>2</v>
      </c>
      <c r="G128" s="3">
        <v>2</v>
      </c>
      <c r="H128" s="11">
        <v>5</v>
      </c>
      <c r="I128" s="7">
        <v>2</v>
      </c>
      <c r="K128" t="s">
        <v>52</v>
      </c>
      <c r="L128">
        <f>COUNTIFS($B$2:$B$386,8,$D$2:$D$386,15)</f>
        <v>1</v>
      </c>
      <c r="M128" s="34">
        <f t="shared" si="41"/>
        <v>0.25974025974025972</v>
      </c>
      <c r="S128" t="s">
        <v>45</v>
      </c>
      <c r="T128">
        <f>COUNTIFS($D$2:$D$386,13,$E$2:$E$386,7)</f>
        <v>0</v>
      </c>
      <c r="U128" s="34">
        <f t="shared" si="44"/>
        <v>0</v>
      </c>
      <c r="W128" t="s">
        <v>3090</v>
      </c>
      <c r="X128">
        <f>COUNTIFS($E$2:$E$386,8,$F$2:$F$386,100)</f>
        <v>2</v>
      </c>
      <c r="Y128" s="34">
        <f t="shared" si="42"/>
        <v>0.51948051948051943</v>
      </c>
      <c r="AE128" t="s">
        <v>3090</v>
      </c>
      <c r="AF128">
        <f>COUNTIFS($D$2:$D$386,8,$F$2:$F$386,100)</f>
        <v>1</v>
      </c>
      <c r="AG128" s="34">
        <f t="shared" si="43"/>
        <v>0.25974025974025972</v>
      </c>
    </row>
    <row r="129" spans="1:33" x14ac:dyDescent="0.3">
      <c r="A129" s="6" t="s">
        <v>707</v>
      </c>
      <c r="B129" s="7">
        <v>16</v>
      </c>
      <c r="C129" s="3">
        <v>21</v>
      </c>
      <c r="D129" s="11">
        <v>15</v>
      </c>
      <c r="E129" s="7">
        <v>3</v>
      </c>
      <c r="F129" s="7">
        <v>100</v>
      </c>
      <c r="G129" s="3">
        <v>100</v>
      </c>
      <c r="H129" s="7">
        <v>100</v>
      </c>
      <c r="I129" s="7">
        <v>2</v>
      </c>
      <c r="L129" s="22">
        <f>SUM(L114:L128)</f>
        <v>21</v>
      </c>
      <c r="M129" s="35">
        <f t="shared" si="41"/>
        <v>5.4545454545454541</v>
      </c>
      <c r="S129" t="s">
        <v>48</v>
      </c>
      <c r="T129">
        <f>COUNTIFS($D$2:$D$386,13,$E$2:$E$386,8)</f>
        <v>0</v>
      </c>
      <c r="U129" s="34">
        <f t="shared" si="44"/>
        <v>0</v>
      </c>
      <c r="X129" s="23">
        <f>SUM(X114:X128)</f>
        <v>38</v>
      </c>
      <c r="Y129" s="37">
        <f t="shared" si="42"/>
        <v>9.8701298701298708</v>
      </c>
      <c r="AF129" s="23">
        <f>SUM(AF114:AF128)</f>
        <v>18</v>
      </c>
      <c r="AG129" s="37">
        <f t="shared" si="43"/>
        <v>4.6753246753246751</v>
      </c>
    </row>
    <row r="130" spans="1:33" x14ac:dyDescent="0.3">
      <c r="A130" t="s">
        <v>2207</v>
      </c>
      <c r="B130" s="7">
        <v>4</v>
      </c>
      <c r="C130" s="3">
        <v>18</v>
      </c>
      <c r="D130" s="3">
        <v>3</v>
      </c>
      <c r="E130" s="3">
        <v>3</v>
      </c>
      <c r="F130" s="3">
        <v>100</v>
      </c>
      <c r="G130" s="3">
        <v>100</v>
      </c>
      <c r="H130" s="3">
        <v>100</v>
      </c>
      <c r="I130" s="7">
        <v>2</v>
      </c>
      <c r="J130">
        <v>2017</v>
      </c>
      <c r="K130" t="s">
        <v>11</v>
      </c>
      <c r="L130">
        <f>COUNTIFS($B$2:$B$386,9,$D$2:$D$386,1)</f>
        <v>2</v>
      </c>
      <c r="M130" s="34">
        <f>(L130/385)*100</f>
        <v>0.51948051948051943</v>
      </c>
      <c r="S130" t="s">
        <v>50</v>
      </c>
      <c r="T130">
        <f>COUNTIFS($D$2:$D$386,13,$E$2:$E$386,9)</f>
        <v>0</v>
      </c>
      <c r="U130" s="34">
        <f t="shared" si="44"/>
        <v>0</v>
      </c>
      <c r="V130" t="s">
        <v>50</v>
      </c>
      <c r="W130" s="4">
        <v>1</v>
      </c>
      <c r="X130">
        <f>COUNTIFS($E$2:$E$386,9,$F$2:$F$386,1)</f>
        <v>8</v>
      </c>
      <c r="Y130" s="34">
        <f>(X130/385)*100</f>
        <v>2.0779220779220777</v>
      </c>
      <c r="AD130" t="s">
        <v>46</v>
      </c>
      <c r="AE130" s="4">
        <v>1</v>
      </c>
      <c r="AF130">
        <f>COUNTIFS($D$2:$D$386,9,$F$2:$F$386,1)</f>
        <v>4</v>
      </c>
      <c r="AG130" s="34">
        <f>(AF130/385)*100</f>
        <v>1.0389610389610389</v>
      </c>
    </row>
    <row r="131" spans="1:33" x14ac:dyDescent="0.3">
      <c r="A131" s="6" t="s">
        <v>145</v>
      </c>
      <c r="B131" s="7">
        <v>17</v>
      </c>
      <c r="C131" s="3">
        <v>21</v>
      </c>
      <c r="D131" s="11">
        <v>15</v>
      </c>
      <c r="E131" s="11">
        <v>6</v>
      </c>
      <c r="F131" s="11">
        <v>2</v>
      </c>
      <c r="G131" s="3">
        <v>2</v>
      </c>
      <c r="H131" s="11">
        <v>3</v>
      </c>
      <c r="I131" s="11">
        <v>1</v>
      </c>
      <c r="K131" t="s">
        <v>18</v>
      </c>
      <c r="L131">
        <f>COUNTIFS($B$2:$B$386,9,$D$2:$D$386,2)</f>
        <v>2</v>
      </c>
      <c r="M131" s="34">
        <f t="shared" ref="M131:M145" si="45">(L131/385)*100</f>
        <v>0.51948051948051943</v>
      </c>
      <c r="T131" s="22">
        <f>SUM(T122:T130)</f>
        <v>2</v>
      </c>
      <c r="U131" s="35">
        <f t="shared" si="44"/>
        <v>0.51948051948051943</v>
      </c>
      <c r="W131">
        <v>2</v>
      </c>
      <c r="X131">
        <f>COUNTIFS($E$2:$E$386,9,$F$2:$F$386,2)</f>
        <v>1</v>
      </c>
      <c r="Y131" s="34">
        <f t="shared" ref="Y131:Y145" si="46">(X131/385)*100</f>
        <v>0.25974025974025972</v>
      </c>
      <c r="AE131">
        <v>2</v>
      </c>
      <c r="AF131">
        <f>COUNTIFS($D$2:$D$386,9,$F$2:$F$386,2)</f>
        <v>1</v>
      </c>
      <c r="AG131" s="34">
        <f t="shared" ref="AG131:AG145" si="47">(AF131/385)*100</f>
        <v>0.25974025974025972</v>
      </c>
    </row>
    <row r="132" spans="1:33" x14ac:dyDescent="0.3">
      <c r="A132" t="s">
        <v>3071</v>
      </c>
      <c r="B132" s="7">
        <v>4</v>
      </c>
      <c r="C132" s="3">
        <v>18</v>
      </c>
      <c r="D132" s="3">
        <v>4</v>
      </c>
      <c r="E132" s="3">
        <v>8</v>
      </c>
      <c r="F132" s="11">
        <v>2</v>
      </c>
      <c r="G132" s="3">
        <v>2</v>
      </c>
      <c r="H132" s="11">
        <v>4</v>
      </c>
      <c r="I132" s="7">
        <v>2</v>
      </c>
      <c r="K132" t="s">
        <v>150</v>
      </c>
      <c r="L132">
        <f>COUNTIFS($B$2:$B$386,9,$D$2:$D$386,3)</f>
        <v>0</v>
      </c>
      <c r="M132" s="34">
        <f t="shared" si="45"/>
        <v>0</v>
      </c>
      <c r="R132" t="s">
        <v>154</v>
      </c>
      <c r="S132" t="s">
        <v>10</v>
      </c>
      <c r="T132">
        <f>COUNTIFS($D$2:$D$386,14,$E$2:$E$386,1)</f>
        <v>2</v>
      </c>
      <c r="U132" s="34">
        <f>(T132/385)*100</f>
        <v>0.51948051948051943</v>
      </c>
      <c r="W132" s="4">
        <v>3</v>
      </c>
      <c r="X132">
        <f>COUNTIFS($E$2:$E$386,9,$F$2:$F$386,3)</f>
        <v>1</v>
      </c>
      <c r="Y132" s="34">
        <f t="shared" si="46"/>
        <v>0.25974025974025972</v>
      </c>
      <c r="AE132" s="4">
        <v>3</v>
      </c>
      <c r="AF132">
        <f>COUNTIFS($D$2:$D$386,9,$F$2:$F$386,3)</f>
        <v>2</v>
      </c>
      <c r="AG132" s="34">
        <f t="shared" si="47"/>
        <v>0.51948051948051943</v>
      </c>
    </row>
    <row r="133" spans="1:33" x14ac:dyDescent="0.3">
      <c r="A133" t="s">
        <v>1867</v>
      </c>
      <c r="B133" s="7">
        <v>8</v>
      </c>
      <c r="C133" s="3">
        <v>19</v>
      </c>
      <c r="D133" s="3">
        <v>1</v>
      </c>
      <c r="E133" s="3">
        <v>9</v>
      </c>
      <c r="F133" s="3">
        <v>1</v>
      </c>
      <c r="G133" s="3">
        <v>1</v>
      </c>
      <c r="H133" s="3">
        <v>2</v>
      </c>
      <c r="I133" s="7">
        <v>2</v>
      </c>
      <c r="K133" t="s">
        <v>25</v>
      </c>
      <c r="L133">
        <f>COUNTIFS($B$2:$B$386,9,$D$2:$D$386,4)</f>
        <v>6</v>
      </c>
      <c r="M133" s="34">
        <f t="shared" si="45"/>
        <v>1.5584415584415585</v>
      </c>
      <c r="S133" t="s">
        <v>17</v>
      </c>
      <c r="T133">
        <f>COUNTIFS($D$2:$D$386,14,$E$2:$E$386,2)</f>
        <v>0</v>
      </c>
      <c r="U133" s="34">
        <f t="shared" ref="U133:U141" si="48">(T133/385)*100</f>
        <v>0</v>
      </c>
      <c r="W133" s="4">
        <v>4</v>
      </c>
      <c r="X133">
        <f>COUNTIFS($E$2:$E$386,9,$F$2:$F$386,4)</f>
        <v>0</v>
      </c>
      <c r="Y133" s="34">
        <f t="shared" si="46"/>
        <v>0</v>
      </c>
      <c r="AE133" s="4">
        <v>4</v>
      </c>
      <c r="AF133">
        <f>COUNTIFS($D$2:$D$386,9,$F$2:$F$386,4)</f>
        <v>0</v>
      </c>
      <c r="AG133" s="34">
        <f t="shared" si="47"/>
        <v>0</v>
      </c>
    </row>
    <row r="134" spans="1:33" x14ac:dyDescent="0.3">
      <c r="A134" t="s">
        <v>2900</v>
      </c>
      <c r="B134" s="7">
        <v>10</v>
      </c>
      <c r="C134" s="3">
        <v>20</v>
      </c>
      <c r="D134" s="3">
        <v>3</v>
      </c>
      <c r="E134" s="3">
        <v>3</v>
      </c>
      <c r="F134" s="11">
        <v>2</v>
      </c>
      <c r="G134" s="3">
        <v>2</v>
      </c>
      <c r="H134" s="11">
        <v>3</v>
      </c>
      <c r="I134" s="7">
        <v>2</v>
      </c>
      <c r="K134" t="s">
        <v>32</v>
      </c>
      <c r="L134">
        <f>COUNTIFS($B$2:$B$386,9,$D$2:$D$386,5)</f>
        <v>0</v>
      </c>
      <c r="M134" s="34">
        <f t="shared" si="45"/>
        <v>0</v>
      </c>
      <c r="S134" t="s">
        <v>24</v>
      </c>
      <c r="T134">
        <f>COUNTIFS($D$2:$D$386,14,$E$2:$E$386,3)</f>
        <v>7</v>
      </c>
      <c r="U134" s="34">
        <f t="shared" si="48"/>
        <v>1.8181818181818181</v>
      </c>
      <c r="W134" s="4">
        <v>5</v>
      </c>
      <c r="X134">
        <f>COUNTIFS($E$2:$E$386,9,$F$2:$F$386,5)</f>
        <v>0</v>
      </c>
      <c r="Y134" s="34">
        <f t="shared" si="46"/>
        <v>0</v>
      </c>
      <c r="AE134" s="4">
        <v>5</v>
      </c>
      <c r="AF134">
        <f>COUNTIFS($D$2:$D$386,9,$F$2:$F$386,5)</f>
        <v>1</v>
      </c>
      <c r="AG134" s="34">
        <f t="shared" si="47"/>
        <v>0.25974025974025972</v>
      </c>
    </row>
    <row r="135" spans="1:33" x14ac:dyDescent="0.3">
      <c r="A135" t="s">
        <v>1541</v>
      </c>
      <c r="B135" s="7">
        <v>12</v>
      </c>
      <c r="C135" s="3">
        <v>20</v>
      </c>
      <c r="D135" s="3">
        <v>1</v>
      </c>
      <c r="E135" s="3">
        <v>3</v>
      </c>
      <c r="F135" s="3">
        <v>1</v>
      </c>
      <c r="G135" s="3">
        <v>1</v>
      </c>
      <c r="H135" s="3">
        <v>2</v>
      </c>
      <c r="I135" s="7">
        <v>2</v>
      </c>
      <c r="K135" t="s">
        <v>38</v>
      </c>
      <c r="L135">
        <f>COUNTIFS($B$2:$B$386,9,$D$2:$D$386,6)</f>
        <v>0</v>
      </c>
      <c r="M135" s="34">
        <f t="shared" si="45"/>
        <v>0</v>
      </c>
      <c r="S135" t="s">
        <v>31</v>
      </c>
      <c r="T135">
        <f>COUNTIFS($D$2:$D$386,14,$E$2:$E$386,4)</f>
        <v>0</v>
      </c>
      <c r="U135" s="34">
        <f t="shared" si="48"/>
        <v>0</v>
      </c>
      <c r="W135" s="4">
        <v>6</v>
      </c>
      <c r="X135">
        <f>COUNTIFS($E$2:$E$386,9,$F$2:$F$386,6)</f>
        <v>0</v>
      </c>
      <c r="Y135" s="34">
        <f t="shared" si="46"/>
        <v>0</v>
      </c>
      <c r="AE135" s="4">
        <v>6</v>
      </c>
      <c r="AF135">
        <f>COUNTIFS($D$2:$D$386,9,$F$2:$F$386,6)</f>
        <v>0</v>
      </c>
      <c r="AG135" s="34">
        <f t="shared" si="47"/>
        <v>0</v>
      </c>
    </row>
    <row r="136" spans="1:33" x14ac:dyDescent="0.3">
      <c r="A136" t="s">
        <v>1398</v>
      </c>
      <c r="B136" s="7">
        <v>13</v>
      </c>
      <c r="C136" s="3">
        <v>21</v>
      </c>
      <c r="D136" s="3">
        <v>9</v>
      </c>
      <c r="E136" s="3">
        <v>6</v>
      </c>
      <c r="F136" s="3">
        <v>3</v>
      </c>
      <c r="G136" s="3">
        <v>3</v>
      </c>
      <c r="H136" s="3">
        <v>3</v>
      </c>
      <c r="I136" s="3">
        <v>1</v>
      </c>
      <c r="K136" t="s">
        <v>151</v>
      </c>
      <c r="L136">
        <f>COUNTIFS($B$2:$B$386,9,$D$2:$D$386,7)</f>
        <v>0</v>
      </c>
      <c r="M136" s="34">
        <f t="shared" si="45"/>
        <v>0</v>
      </c>
      <c r="S136" t="s">
        <v>37</v>
      </c>
      <c r="T136">
        <f>COUNTIFS($D$2:$D$386,14,$E$2:$E$386,5)</f>
        <v>0</v>
      </c>
      <c r="U136" s="34">
        <f t="shared" si="48"/>
        <v>0</v>
      </c>
      <c r="W136" s="4">
        <v>7</v>
      </c>
      <c r="X136">
        <f>COUNTIFS($E$2:$E$386,9,$F$2:$F$386,7)</f>
        <v>0</v>
      </c>
      <c r="Y136" s="34">
        <f t="shared" si="46"/>
        <v>0</v>
      </c>
      <c r="AE136" s="4">
        <v>7</v>
      </c>
      <c r="AF136">
        <f>COUNTIFS($D$2:$D$386,9,$F$2:$F$386,7)</f>
        <v>0</v>
      </c>
      <c r="AG136" s="34">
        <f t="shared" si="47"/>
        <v>0</v>
      </c>
    </row>
    <row r="137" spans="1:33" x14ac:dyDescent="0.3">
      <c r="A137" t="s">
        <v>2377</v>
      </c>
      <c r="B137" s="7">
        <v>3</v>
      </c>
      <c r="C137" s="3">
        <v>18</v>
      </c>
      <c r="D137" s="3">
        <v>5</v>
      </c>
      <c r="E137" s="3">
        <v>1</v>
      </c>
      <c r="F137" s="3">
        <v>3</v>
      </c>
      <c r="G137" s="3">
        <v>3</v>
      </c>
      <c r="H137" s="3">
        <v>4</v>
      </c>
      <c r="I137" s="3">
        <v>1</v>
      </c>
      <c r="K137" t="s">
        <v>43</v>
      </c>
      <c r="L137">
        <f>COUNTIFS($B$2:$B$386,9,$D$2:$D$386,8)</f>
        <v>1</v>
      </c>
      <c r="M137" s="34">
        <f t="shared" si="45"/>
        <v>0.25974025974025972</v>
      </c>
      <c r="S137" t="s">
        <v>42</v>
      </c>
      <c r="T137">
        <f>COUNTIFS($D$2:$D$386,14,$E$2:$E$386,6)</f>
        <v>0</v>
      </c>
      <c r="U137" s="34">
        <f t="shared" si="48"/>
        <v>0</v>
      </c>
      <c r="W137" s="4">
        <v>8</v>
      </c>
      <c r="X137">
        <f>COUNTIFS($E$2:$E$386,9,$F$2:$F$386,8)</f>
        <v>0</v>
      </c>
      <c r="Y137" s="34">
        <f t="shared" si="46"/>
        <v>0</v>
      </c>
      <c r="AE137" s="4">
        <v>8</v>
      </c>
      <c r="AF137">
        <f>COUNTIFS($D$2:$D$386,9,$F$2:$F$386,8)</f>
        <v>0</v>
      </c>
      <c r="AG137" s="34">
        <f t="shared" si="47"/>
        <v>0</v>
      </c>
    </row>
    <row r="138" spans="1:33" x14ac:dyDescent="0.3">
      <c r="A138" t="s">
        <v>2178</v>
      </c>
      <c r="B138" s="7">
        <v>4</v>
      </c>
      <c r="C138" s="3">
        <v>18</v>
      </c>
      <c r="D138" s="3">
        <v>4</v>
      </c>
      <c r="E138" s="3">
        <v>1</v>
      </c>
      <c r="F138" s="3">
        <v>1</v>
      </c>
      <c r="G138" s="3">
        <v>1</v>
      </c>
      <c r="H138" s="3">
        <v>1</v>
      </c>
      <c r="I138" s="7">
        <v>2</v>
      </c>
      <c r="K138" t="s">
        <v>46</v>
      </c>
      <c r="L138">
        <f>COUNTIFS($B$2:$B$386,9,$D$2:$D$386,9)</f>
        <v>0</v>
      </c>
      <c r="M138" s="34">
        <f t="shared" si="45"/>
        <v>0</v>
      </c>
      <c r="S138" t="s">
        <v>45</v>
      </c>
      <c r="T138">
        <f>COUNTIFS($D$2:$D$386,14,$E$2:$E$386,7)</f>
        <v>0</v>
      </c>
      <c r="U138" s="34">
        <f t="shared" si="48"/>
        <v>0</v>
      </c>
      <c r="W138" s="4">
        <v>9</v>
      </c>
      <c r="X138">
        <f>COUNTIFS($E$2:$E$386,9,$F$2:$F$386,9)</f>
        <v>0</v>
      </c>
      <c r="Y138" s="34">
        <f t="shared" si="46"/>
        <v>0</v>
      </c>
      <c r="AE138" s="4">
        <v>9</v>
      </c>
      <c r="AF138">
        <f>COUNTIFS($D$2:$D$386,9,$F$2:$F$386,9)</f>
        <v>0</v>
      </c>
      <c r="AG138" s="34">
        <f t="shared" si="47"/>
        <v>0</v>
      </c>
    </row>
    <row r="139" spans="1:33" x14ac:dyDescent="0.3">
      <c r="A139" t="s">
        <v>2184</v>
      </c>
      <c r="B139" s="7">
        <v>4</v>
      </c>
      <c r="C139" s="3">
        <v>18</v>
      </c>
      <c r="D139" s="3">
        <v>4</v>
      </c>
      <c r="E139" s="3">
        <v>1</v>
      </c>
      <c r="F139" s="3">
        <v>100</v>
      </c>
      <c r="G139" s="3">
        <v>100</v>
      </c>
      <c r="H139" s="3">
        <v>100</v>
      </c>
      <c r="I139" s="7">
        <v>2</v>
      </c>
      <c r="K139" t="s">
        <v>152</v>
      </c>
      <c r="L139">
        <f>COUNTIFS($B$2:$B$386,9,$D$2:$D$386,10)</f>
        <v>0</v>
      </c>
      <c r="M139" s="34">
        <f t="shared" si="45"/>
        <v>0</v>
      </c>
      <c r="S139" t="s">
        <v>48</v>
      </c>
      <c r="T139">
        <f>COUNTIFS($D$2:$D$386,14,$E$2:$E$386,8)</f>
        <v>0</v>
      </c>
      <c r="U139" s="34">
        <f t="shared" si="48"/>
        <v>0</v>
      </c>
      <c r="W139" s="4">
        <v>10</v>
      </c>
      <c r="X139">
        <f>COUNTIFS($E$2:$E$386,9,$F$2:$F$386,10)</f>
        <v>0</v>
      </c>
      <c r="Y139" s="34">
        <f t="shared" si="46"/>
        <v>0</v>
      </c>
      <c r="AE139" s="4">
        <v>10</v>
      </c>
      <c r="AF139">
        <f>COUNTIFS($D$2:$D$386,9,$F$2:$F$386,10)</f>
        <v>1</v>
      </c>
      <c r="AG139" s="34">
        <f t="shared" si="47"/>
        <v>0.25974025974025972</v>
      </c>
    </row>
    <row r="140" spans="1:33" x14ac:dyDescent="0.3">
      <c r="A140" t="s">
        <v>1194</v>
      </c>
      <c r="B140" s="7">
        <v>13</v>
      </c>
      <c r="C140" s="3">
        <v>21</v>
      </c>
      <c r="D140" s="3">
        <v>2</v>
      </c>
      <c r="E140" s="11">
        <v>3</v>
      </c>
      <c r="F140" s="3">
        <v>1</v>
      </c>
      <c r="G140" s="3">
        <v>1</v>
      </c>
      <c r="H140" s="3">
        <v>2</v>
      </c>
      <c r="I140" s="11">
        <v>2</v>
      </c>
      <c r="K140" t="s">
        <v>49</v>
      </c>
      <c r="L140">
        <f>COUNTIFS($B$2:$B$386,9,$D$2:$D$386,11)</f>
        <v>0</v>
      </c>
      <c r="M140" s="34">
        <f t="shared" si="45"/>
        <v>0</v>
      </c>
      <c r="S140" t="s">
        <v>50</v>
      </c>
      <c r="T140">
        <f>COUNTIFS($D$2:$D$386,14,$E$2:$E$386,9)</f>
        <v>1</v>
      </c>
      <c r="U140" s="34">
        <f t="shared" si="48"/>
        <v>0.25974025974025972</v>
      </c>
      <c r="W140" s="4">
        <v>11</v>
      </c>
      <c r="X140">
        <f>COUNTIFS($E$2:$E$386,9,$F$2:$F$386,11)</f>
        <v>0</v>
      </c>
      <c r="Y140" s="34">
        <f t="shared" si="46"/>
        <v>0</v>
      </c>
      <c r="AE140" s="4">
        <v>11</v>
      </c>
      <c r="AF140">
        <f>COUNTIFS($D$2:$D$386,9,$F$2:$F$386,11)</f>
        <v>0</v>
      </c>
      <c r="AG140" s="34">
        <f t="shared" si="47"/>
        <v>0</v>
      </c>
    </row>
    <row r="141" spans="1:33" x14ac:dyDescent="0.3">
      <c r="A141" s="6" t="s">
        <v>1023</v>
      </c>
      <c r="B141" s="7">
        <v>14</v>
      </c>
      <c r="C141" s="3">
        <v>21</v>
      </c>
      <c r="D141" s="11">
        <v>2</v>
      </c>
      <c r="E141" s="11">
        <v>3</v>
      </c>
      <c r="F141" s="11">
        <v>100</v>
      </c>
      <c r="G141" s="3">
        <v>100</v>
      </c>
      <c r="H141" s="11">
        <v>100</v>
      </c>
      <c r="I141" s="11">
        <v>2</v>
      </c>
      <c r="K141" t="s">
        <v>51</v>
      </c>
      <c r="L141">
        <f>COUNTIFS($B$2:$B$386,9,$D$2:$D$386,12)</f>
        <v>0</v>
      </c>
      <c r="M141" s="34">
        <f t="shared" si="45"/>
        <v>0</v>
      </c>
      <c r="T141" s="22">
        <f>SUM(T132:T140)</f>
        <v>10</v>
      </c>
      <c r="U141" s="35">
        <f t="shared" si="48"/>
        <v>2.5974025974025974</v>
      </c>
      <c r="W141" s="4">
        <v>12</v>
      </c>
      <c r="X141">
        <f>COUNTIFS($E$2:$E$386,9,$F$2:$F$386,12)</f>
        <v>0</v>
      </c>
      <c r="Y141" s="34">
        <f t="shared" si="46"/>
        <v>0</v>
      </c>
      <c r="AE141" s="4">
        <v>12</v>
      </c>
      <c r="AF141">
        <f>COUNTIFS($D$2:$D$386,9,$F$2:$F$386,12)</f>
        <v>0</v>
      </c>
      <c r="AG141" s="34">
        <f t="shared" si="47"/>
        <v>0</v>
      </c>
    </row>
    <row r="142" spans="1:33" x14ac:dyDescent="0.3">
      <c r="A142" t="s">
        <v>1352</v>
      </c>
      <c r="B142" s="7">
        <v>13</v>
      </c>
      <c r="C142" s="3">
        <v>21</v>
      </c>
      <c r="D142" s="3">
        <v>1</v>
      </c>
      <c r="E142" s="3">
        <v>3</v>
      </c>
      <c r="F142" s="3">
        <v>1</v>
      </c>
      <c r="G142" s="3">
        <v>1</v>
      </c>
      <c r="H142" s="3">
        <v>100</v>
      </c>
      <c r="I142" s="11">
        <v>2</v>
      </c>
      <c r="K142" t="s">
        <v>153</v>
      </c>
      <c r="L142">
        <f>COUNTIFS($B$2:$B$386,9,$D$2:$D$386,13)</f>
        <v>0</v>
      </c>
      <c r="M142" s="34">
        <f t="shared" si="45"/>
        <v>0</v>
      </c>
      <c r="R142" t="s">
        <v>52</v>
      </c>
      <c r="S142" t="s">
        <v>10</v>
      </c>
      <c r="T142">
        <f>COUNTIFS($D$2:$D$386,15,$E$2:$E$386,1)</f>
        <v>5</v>
      </c>
      <c r="U142" s="34">
        <f>(T142/385)*100</f>
        <v>1.2987012987012987</v>
      </c>
      <c r="W142" s="4">
        <v>13</v>
      </c>
      <c r="X142">
        <f>COUNTIFS($E$2:$E$386,9,$F$2:$F$386,13)</f>
        <v>0</v>
      </c>
      <c r="Y142" s="34">
        <f t="shared" si="46"/>
        <v>0</v>
      </c>
      <c r="AE142" s="4">
        <v>13</v>
      </c>
      <c r="AF142">
        <f>COUNTIFS($D$2:$D$386,9,$F$2:$F$386,13)</f>
        <v>0</v>
      </c>
      <c r="AG142" s="34">
        <f t="shared" si="47"/>
        <v>0</v>
      </c>
    </row>
    <row r="143" spans="1:33" x14ac:dyDescent="0.3">
      <c r="A143" s="6" t="s">
        <v>95</v>
      </c>
      <c r="B143" s="7">
        <v>17</v>
      </c>
      <c r="C143" s="3">
        <v>21</v>
      </c>
      <c r="D143" s="7">
        <v>4</v>
      </c>
      <c r="E143" s="11">
        <v>8</v>
      </c>
      <c r="F143" s="7">
        <v>2</v>
      </c>
      <c r="G143" s="3">
        <v>2</v>
      </c>
      <c r="H143" s="7">
        <v>5</v>
      </c>
      <c r="I143" s="7">
        <v>2</v>
      </c>
      <c r="K143" t="s">
        <v>154</v>
      </c>
      <c r="L143">
        <f>COUNTIFS($B$2:$B$386,9,$D$2:$D$386,14)</f>
        <v>0</v>
      </c>
      <c r="M143" s="34">
        <f t="shared" si="45"/>
        <v>0</v>
      </c>
      <c r="S143" t="s">
        <v>17</v>
      </c>
      <c r="T143">
        <f>COUNTIFS($D$2:$D$386,15,$E$2:$E$386,2)</f>
        <v>0</v>
      </c>
      <c r="U143" s="34">
        <f t="shared" ref="U143:U151" si="49">(T143/385)*100</f>
        <v>0</v>
      </c>
      <c r="W143" s="4">
        <v>14</v>
      </c>
      <c r="X143">
        <f>COUNTIFS($E$2:$E$386,9,$F$2:$F$386,14)</f>
        <v>0</v>
      </c>
      <c r="Y143" s="34">
        <f t="shared" si="46"/>
        <v>0</v>
      </c>
      <c r="AE143" s="4">
        <v>14</v>
      </c>
      <c r="AF143">
        <f>COUNTIFS($D$2:$D$386,9,$F$2:$F$386,14)</f>
        <v>0</v>
      </c>
      <c r="AG143" s="34">
        <f t="shared" si="47"/>
        <v>0</v>
      </c>
    </row>
    <row r="144" spans="1:33" x14ac:dyDescent="0.3">
      <c r="A144" t="s">
        <v>1442</v>
      </c>
      <c r="B144" s="7">
        <v>12</v>
      </c>
      <c r="C144" s="3">
        <v>20</v>
      </c>
      <c r="D144" s="11">
        <v>4</v>
      </c>
      <c r="E144" s="11">
        <v>8</v>
      </c>
      <c r="F144" s="11">
        <v>1</v>
      </c>
      <c r="G144" s="3">
        <v>1</v>
      </c>
      <c r="H144" s="11">
        <v>1</v>
      </c>
      <c r="I144" s="7">
        <v>2</v>
      </c>
      <c r="K144" t="s">
        <v>52</v>
      </c>
      <c r="L144">
        <f>COUNTIFS($B$2:$B$386,9,$D$2:$D$386,15)</f>
        <v>1</v>
      </c>
      <c r="M144" s="34">
        <f t="shared" si="45"/>
        <v>0.25974025974025972</v>
      </c>
      <c r="S144" t="s">
        <v>24</v>
      </c>
      <c r="T144">
        <f>COUNTIFS($D$2:$D$386,15,$E$2:$E$386,3)</f>
        <v>21</v>
      </c>
      <c r="U144" s="34">
        <f t="shared" si="49"/>
        <v>5.4545454545454541</v>
      </c>
      <c r="W144" t="s">
        <v>3090</v>
      </c>
      <c r="X144">
        <f>COUNTIFS($E$2:$E$386,9,$F$2:$F$386,100)</f>
        <v>0</v>
      </c>
      <c r="Y144" s="34">
        <f t="shared" si="46"/>
        <v>0</v>
      </c>
      <c r="AE144" t="s">
        <v>3090</v>
      </c>
      <c r="AF144">
        <f>COUNTIFS($D$2:$D$386,9,$F$2:$F$386,100)</f>
        <v>1</v>
      </c>
      <c r="AG144" s="34">
        <f t="shared" si="47"/>
        <v>0.25974025974025972</v>
      </c>
    </row>
    <row r="145" spans="1:33" x14ac:dyDescent="0.3">
      <c r="A145" t="s">
        <v>2116</v>
      </c>
      <c r="B145" s="7">
        <v>3</v>
      </c>
      <c r="C145" s="3">
        <v>18</v>
      </c>
      <c r="D145" s="3">
        <v>2</v>
      </c>
      <c r="E145" s="3">
        <v>5</v>
      </c>
      <c r="F145" s="3">
        <v>1</v>
      </c>
      <c r="G145" s="3">
        <v>1</v>
      </c>
      <c r="H145" s="3">
        <v>1</v>
      </c>
      <c r="I145" s="7">
        <v>2</v>
      </c>
      <c r="L145" s="22">
        <f>SUM(L130:L144)</f>
        <v>12</v>
      </c>
      <c r="M145" s="35">
        <f t="shared" si="45"/>
        <v>3.116883116883117</v>
      </c>
      <c r="S145" t="s">
        <v>31</v>
      </c>
      <c r="T145">
        <f>COUNTIFS($D$2:$D$386,15,$E$2:$E$386,4)</f>
        <v>1</v>
      </c>
      <c r="U145" s="34">
        <f t="shared" si="49"/>
        <v>0.25974025974025972</v>
      </c>
      <c r="X145" s="23">
        <f>SUM(X130:X144)</f>
        <v>10</v>
      </c>
      <c r="Y145" s="37">
        <f t="shared" si="46"/>
        <v>2.5974025974025974</v>
      </c>
      <c r="AF145" s="23">
        <f>SUM(AF130:AF144)</f>
        <v>10</v>
      </c>
      <c r="AG145" s="37">
        <f t="shared" si="47"/>
        <v>2.5974025974025974</v>
      </c>
    </row>
    <row r="146" spans="1:33" x14ac:dyDescent="0.3">
      <c r="A146" t="s">
        <v>2887</v>
      </c>
      <c r="B146" s="7">
        <v>11</v>
      </c>
      <c r="C146" s="3">
        <v>20</v>
      </c>
      <c r="D146" s="3">
        <v>15</v>
      </c>
      <c r="E146" s="3">
        <v>3</v>
      </c>
      <c r="F146" s="3">
        <v>1</v>
      </c>
      <c r="G146" s="3">
        <v>1</v>
      </c>
      <c r="H146" s="3">
        <v>100</v>
      </c>
      <c r="I146" s="7">
        <v>2</v>
      </c>
      <c r="J146">
        <v>2018</v>
      </c>
      <c r="K146" t="s">
        <v>11</v>
      </c>
      <c r="L146">
        <f>COUNTIFS($B$2:$B$386,10,$D$2:$D$386,1)</f>
        <v>4</v>
      </c>
      <c r="M146" s="34">
        <f>(L146/385)*100</f>
        <v>1.0389610389610389</v>
      </c>
      <c r="S146" t="s">
        <v>37</v>
      </c>
      <c r="T146">
        <f>COUNTIFS($D$2:$D$386,15,$E$2:$E$386,5)</f>
        <v>3</v>
      </c>
      <c r="U146" s="34">
        <f t="shared" si="49"/>
        <v>0.77922077922077926</v>
      </c>
      <c r="AD146" t="s">
        <v>152</v>
      </c>
      <c r="AE146" s="4">
        <v>1</v>
      </c>
      <c r="AF146">
        <f>COUNTIFS($D$2:$D$386,10,$F$2:$F$386,1)</f>
        <v>0</v>
      </c>
      <c r="AG146" s="34">
        <f>(AF146/385)*100</f>
        <v>0</v>
      </c>
    </row>
    <row r="147" spans="1:33" x14ac:dyDescent="0.3">
      <c r="A147" t="s">
        <v>2402</v>
      </c>
      <c r="B147" s="7">
        <v>1</v>
      </c>
      <c r="C147" s="3">
        <v>18</v>
      </c>
      <c r="D147" s="3">
        <v>1</v>
      </c>
      <c r="E147" s="3">
        <v>3</v>
      </c>
      <c r="F147" s="11">
        <v>1</v>
      </c>
      <c r="G147" s="3">
        <v>1</v>
      </c>
      <c r="H147" s="11">
        <v>1</v>
      </c>
      <c r="I147" s="7">
        <v>2</v>
      </c>
      <c r="K147" t="s">
        <v>18</v>
      </c>
      <c r="L147">
        <f>COUNTIFS($B$2:$B$386,10,$D$2:$D$386,2)</f>
        <v>1</v>
      </c>
      <c r="M147" s="34">
        <f t="shared" ref="M147:M161" si="50">(L147/385)*100</f>
        <v>0.25974025974025972</v>
      </c>
      <c r="S147" t="s">
        <v>42</v>
      </c>
      <c r="T147">
        <f>COUNTIFS($D$2:$D$386,15,$E$2:$E$386,6)</f>
        <v>3</v>
      </c>
      <c r="U147" s="34">
        <f t="shared" si="49"/>
        <v>0.77922077922077926</v>
      </c>
      <c r="AE147">
        <v>2</v>
      </c>
      <c r="AF147">
        <f>COUNTIFS($D$2:$D$386,10,$F$2:$F$386,2)</f>
        <v>0</v>
      </c>
      <c r="AG147" s="34">
        <f t="shared" ref="AG147:AG161" si="51">(AF147/385)*100</f>
        <v>0</v>
      </c>
    </row>
    <row r="148" spans="1:33" x14ac:dyDescent="0.3">
      <c r="A148" t="s">
        <v>1913</v>
      </c>
      <c r="B148" s="7">
        <v>8</v>
      </c>
      <c r="C148" s="3">
        <v>19</v>
      </c>
      <c r="D148" s="3">
        <v>5</v>
      </c>
      <c r="E148" s="3">
        <v>6</v>
      </c>
      <c r="F148" s="3">
        <v>3</v>
      </c>
      <c r="G148" s="3">
        <v>3</v>
      </c>
      <c r="H148" s="3">
        <v>3</v>
      </c>
      <c r="I148" s="3">
        <v>1</v>
      </c>
      <c r="K148" t="s">
        <v>150</v>
      </c>
      <c r="L148">
        <f>COUNTIFS($B$2:$B$386,10,$D$2:$D$386,3)</f>
        <v>1</v>
      </c>
      <c r="M148" s="34">
        <f t="shared" si="50"/>
        <v>0.25974025974025972</v>
      </c>
      <c r="S148" t="s">
        <v>45</v>
      </c>
      <c r="T148">
        <f>COUNTIFS($D$2:$D$386,15,$E$2:$E$386,7)</f>
        <v>3</v>
      </c>
      <c r="U148" s="34">
        <f t="shared" si="49"/>
        <v>0.77922077922077926</v>
      </c>
      <c r="AE148" s="4">
        <v>3</v>
      </c>
      <c r="AF148">
        <f>COUNTIFS($D$2:$D$386,10,$F$2:$F$386,3)</f>
        <v>0</v>
      </c>
      <c r="AG148" s="34">
        <f t="shared" si="51"/>
        <v>0</v>
      </c>
    </row>
    <row r="149" spans="1:33" x14ac:dyDescent="0.3">
      <c r="A149" t="s">
        <v>2248</v>
      </c>
      <c r="B149" s="7">
        <v>4</v>
      </c>
      <c r="C149" s="3">
        <v>18</v>
      </c>
      <c r="D149" s="3">
        <v>4</v>
      </c>
      <c r="E149" s="3">
        <v>3</v>
      </c>
      <c r="F149" s="3">
        <v>1</v>
      </c>
      <c r="G149" s="3">
        <v>1</v>
      </c>
      <c r="H149" s="3">
        <v>1</v>
      </c>
      <c r="I149" s="7">
        <v>2</v>
      </c>
      <c r="K149" t="s">
        <v>25</v>
      </c>
      <c r="L149">
        <f>COUNTIFS($B$2:$B$386,10,$D$2:$D$386,4)</f>
        <v>8</v>
      </c>
      <c r="M149" s="34">
        <f t="shared" si="50"/>
        <v>2.0779220779220777</v>
      </c>
      <c r="S149" t="s">
        <v>48</v>
      </c>
      <c r="T149">
        <f>COUNTIFS($D$2:$D$386,15,$E$2:$E$386,8)</f>
        <v>4</v>
      </c>
      <c r="U149" s="34">
        <f t="shared" si="49"/>
        <v>1.0389610389610389</v>
      </c>
      <c r="AE149" s="4">
        <v>4</v>
      </c>
      <c r="AF149">
        <f>COUNTIFS($D$2:$D$386,10,$F$2:$F$386,4)</f>
        <v>0</v>
      </c>
      <c r="AG149" s="34">
        <f t="shared" si="51"/>
        <v>0</v>
      </c>
    </row>
    <row r="150" spans="1:33" x14ac:dyDescent="0.3">
      <c r="A150" t="s">
        <v>2381</v>
      </c>
      <c r="B150" s="7">
        <v>2</v>
      </c>
      <c r="C150" s="3">
        <v>18</v>
      </c>
      <c r="D150" s="11">
        <v>4</v>
      </c>
      <c r="E150" s="11">
        <v>3</v>
      </c>
      <c r="F150" s="11">
        <v>1</v>
      </c>
      <c r="G150" s="3">
        <v>1</v>
      </c>
      <c r="H150" s="11">
        <v>1</v>
      </c>
      <c r="I150" s="11">
        <v>2</v>
      </c>
      <c r="K150" t="s">
        <v>32</v>
      </c>
      <c r="L150">
        <f>COUNTIFS($B$2:$B$386,10,$D$2:$D$386,5)</f>
        <v>1</v>
      </c>
      <c r="M150" s="34">
        <f t="shared" si="50"/>
        <v>0.25974025974025972</v>
      </c>
      <c r="S150" t="s">
        <v>50</v>
      </c>
      <c r="T150">
        <f>COUNTIFS($D$2:$D$386,15,$E$2:$E$386,9)</f>
        <v>1</v>
      </c>
      <c r="U150" s="34">
        <f t="shared" si="49"/>
        <v>0.25974025974025972</v>
      </c>
      <c r="AE150" s="4">
        <v>5</v>
      </c>
      <c r="AF150">
        <f>COUNTIFS($D$2:$D$386,10,$F$2:$F$386,5)</f>
        <v>0</v>
      </c>
      <c r="AG150" s="34">
        <f t="shared" si="51"/>
        <v>0</v>
      </c>
    </row>
    <row r="151" spans="1:33" x14ac:dyDescent="0.3">
      <c r="A151" t="s">
        <v>2829</v>
      </c>
      <c r="B151" s="7">
        <v>12</v>
      </c>
      <c r="C151" s="3">
        <v>20</v>
      </c>
      <c r="D151" s="3">
        <v>1</v>
      </c>
      <c r="E151" s="3">
        <v>3</v>
      </c>
      <c r="F151" s="3">
        <v>1</v>
      </c>
      <c r="G151" s="3">
        <v>1</v>
      </c>
      <c r="H151" s="3">
        <v>2</v>
      </c>
      <c r="I151" s="11">
        <v>2</v>
      </c>
      <c r="K151" t="s">
        <v>38</v>
      </c>
      <c r="L151">
        <f>COUNTIFS($B$2:$B$386,10,$D$2:$D$386,6)</f>
        <v>0</v>
      </c>
      <c r="M151" s="34">
        <f t="shared" si="50"/>
        <v>0</v>
      </c>
      <c r="T151" s="22">
        <f>SUM(T142:T150)</f>
        <v>41</v>
      </c>
      <c r="U151" s="35">
        <f t="shared" si="49"/>
        <v>10.649350649350648</v>
      </c>
      <c r="AE151" s="4">
        <v>6</v>
      </c>
      <c r="AF151">
        <f>COUNTIFS($D$2:$D$386,10,$F$2:$F$386,6)</f>
        <v>0</v>
      </c>
      <c r="AG151" s="34">
        <f t="shared" si="51"/>
        <v>0</v>
      </c>
    </row>
    <row r="152" spans="1:33" x14ac:dyDescent="0.3">
      <c r="A152" t="s">
        <v>2797</v>
      </c>
      <c r="B152" s="7">
        <v>12</v>
      </c>
      <c r="C152" s="3">
        <v>20</v>
      </c>
      <c r="D152" s="3">
        <v>4</v>
      </c>
      <c r="E152" s="3">
        <v>3</v>
      </c>
      <c r="F152" s="3">
        <v>100</v>
      </c>
      <c r="G152" s="3">
        <v>100</v>
      </c>
      <c r="H152" s="3">
        <v>100</v>
      </c>
      <c r="I152" s="11">
        <v>2</v>
      </c>
      <c r="K152" t="s">
        <v>151</v>
      </c>
      <c r="L152">
        <f>COUNTIFS($B$2:$B$386,10,$D$2:$D$386,7)</f>
        <v>0</v>
      </c>
      <c r="M152" s="34">
        <f t="shared" si="50"/>
        <v>0</v>
      </c>
      <c r="AE152" s="4">
        <v>7</v>
      </c>
      <c r="AF152">
        <f>COUNTIFS($D$2:$D$386,10,$F$2:$F$386,7)</f>
        <v>0</v>
      </c>
      <c r="AG152" s="34">
        <f t="shared" si="51"/>
        <v>0</v>
      </c>
    </row>
    <row r="153" spans="1:33" x14ac:dyDescent="0.3">
      <c r="A153" s="6" t="s">
        <v>747</v>
      </c>
      <c r="B153" s="7">
        <v>15</v>
      </c>
      <c r="C153" s="3">
        <v>21</v>
      </c>
      <c r="D153" s="11">
        <v>4</v>
      </c>
      <c r="E153" s="7">
        <v>5</v>
      </c>
      <c r="F153" s="11">
        <v>1</v>
      </c>
      <c r="G153" s="3">
        <v>1</v>
      </c>
      <c r="H153" s="11">
        <v>2</v>
      </c>
      <c r="I153" s="11">
        <v>2</v>
      </c>
      <c r="K153" t="s">
        <v>43</v>
      </c>
      <c r="L153">
        <f>COUNTIFS($B$2:$B$386,10,$D$2:$D$386,8)</f>
        <v>1</v>
      </c>
      <c r="M153" s="34">
        <f t="shared" si="50"/>
        <v>0.25974025974025972</v>
      </c>
      <c r="AE153" s="4">
        <v>8</v>
      </c>
      <c r="AF153">
        <f>COUNTIFS($D$2:$D$386,10,$F$2:$F$386,8)</f>
        <v>0</v>
      </c>
      <c r="AG153" s="34">
        <f t="shared" si="51"/>
        <v>0</v>
      </c>
    </row>
    <row r="154" spans="1:33" x14ac:dyDescent="0.3">
      <c r="A154" t="s">
        <v>2271</v>
      </c>
      <c r="B154" s="7">
        <v>5</v>
      </c>
      <c r="C154" s="3">
        <v>19</v>
      </c>
      <c r="D154" s="3">
        <v>15</v>
      </c>
      <c r="E154" s="3">
        <v>3</v>
      </c>
      <c r="F154" s="3">
        <v>1</v>
      </c>
      <c r="G154" s="3">
        <v>1</v>
      </c>
      <c r="H154" s="3">
        <v>1</v>
      </c>
      <c r="I154" s="7">
        <v>2</v>
      </c>
      <c r="K154" t="s">
        <v>46</v>
      </c>
      <c r="L154">
        <f>COUNTIFS($B$2:$B$386,10,$D$2:$D$386,9)</f>
        <v>1</v>
      </c>
      <c r="M154" s="34">
        <f t="shared" si="50"/>
        <v>0.25974025974025972</v>
      </c>
      <c r="AE154" s="4">
        <v>9</v>
      </c>
      <c r="AF154">
        <f>COUNTIFS($D$2:$D$386,10,$F$2:$F$386,9)</f>
        <v>0</v>
      </c>
      <c r="AG154" s="34">
        <f t="shared" si="51"/>
        <v>0</v>
      </c>
    </row>
    <row r="155" spans="1:33" x14ac:dyDescent="0.3">
      <c r="A155" t="s">
        <v>2351</v>
      </c>
      <c r="B155" s="7">
        <v>3</v>
      </c>
      <c r="C155" s="3">
        <v>18</v>
      </c>
      <c r="D155" s="3">
        <v>2</v>
      </c>
      <c r="E155" s="3">
        <v>3</v>
      </c>
      <c r="F155" s="3">
        <v>100</v>
      </c>
      <c r="G155" s="3">
        <v>100</v>
      </c>
      <c r="H155" s="3">
        <v>100</v>
      </c>
      <c r="I155" s="11">
        <v>2</v>
      </c>
      <c r="K155" t="s">
        <v>152</v>
      </c>
      <c r="L155">
        <f>COUNTIFS($B$2:$B$386,10,$D$2:$D$386,10)</f>
        <v>0</v>
      </c>
      <c r="M155" s="34">
        <f t="shared" si="50"/>
        <v>0</v>
      </c>
      <c r="AE155" s="4">
        <v>10</v>
      </c>
      <c r="AF155">
        <f>COUNTIFS($D$2:$D$386,10,$F$2:$F$386,10)</f>
        <v>0</v>
      </c>
      <c r="AG155" s="34">
        <f t="shared" si="51"/>
        <v>0</v>
      </c>
    </row>
    <row r="156" spans="1:33" x14ac:dyDescent="0.3">
      <c r="A156" s="6" t="s">
        <v>920</v>
      </c>
      <c r="B156" s="7">
        <v>15</v>
      </c>
      <c r="C156" s="3">
        <v>21</v>
      </c>
      <c r="D156" s="11">
        <v>9</v>
      </c>
      <c r="E156" s="7">
        <v>3</v>
      </c>
      <c r="F156" s="11">
        <v>1</v>
      </c>
      <c r="G156" s="3">
        <v>1</v>
      </c>
      <c r="H156" s="11">
        <v>2</v>
      </c>
      <c r="I156" s="7">
        <v>1</v>
      </c>
      <c r="K156" t="s">
        <v>49</v>
      </c>
      <c r="L156">
        <f>COUNTIFS($B$2:$B$386,10,$D$2:$D$386,11)</f>
        <v>0</v>
      </c>
      <c r="M156" s="34">
        <f t="shared" si="50"/>
        <v>0</v>
      </c>
      <c r="AE156" s="4">
        <v>11</v>
      </c>
      <c r="AF156">
        <f>COUNTIFS($D$2:$D$386,10,$F$2:$F$386,11)</f>
        <v>0</v>
      </c>
      <c r="AG156" s="34">
        <f t="shared" si="51"/>
        <v>0</v>
      </c>
    </row>
    <row r="157" spans="1:33" x14ac:dyDescent="0.3">
      <c r="A157" t="s">
        <v>2413</v>
      </c>
      <c r="B157" s="7">
        <v>1</v>
      </c>
      <c r="C157" s="3">
        <v>18</v>
      </c>
      <c r="D157" s="3">
        <v>1</v>
      </c>
      <c r="E157" s="3">
        <v>8</v>
      </c>
      <c r="F157" s="3">
        <v>3</v>
      </c>
      <c r="G157" s="3">
        <v>3</v>
      </c>
      <c r="H157" s="3">
        <v>4</v>
      </c>
      <c r="I157" s="7">
        <v>2</v>
      </c>
      <c r="K157" t="s">
        <v>51</v>
      </c>
      <c r="L157">
        <f>COUNTIFS($B$2:$B$386,10,$D$2:$D$386,12)</f>
        <v>0</v>
      </c>
      <c r="M157" s="34">
        <f t="shared" si="50"/>
        <v>0</v>
      </c>
      <c r="AE157" s="4">
        <v>12</v>
      </c>
      <c r="AF157">
        <f>COUNTIFS($D$2:$D$386,10,$F$2:$F$386,12)</f>
        <v>0</v>
      </c>
      <c r="AG157" s="34">
        <f t="shared" si="51"/>
        <v>0</v>
      </c>
    </row>
    <row r="158" spans="1:33" x14ac:dyDescent="0.3">
      <c r="A158" t="s">
        <v>2342</v>
      </c>
      <c r="B158" s="7">
        <v>3</v>
      </c>
      <c r="C158" s="3">
        <v>18</v>
      </c>
      <c r="D158" s="3">
        <v>15</v>
      </c>
      <c r="E158" s="3">
        <v>8</v>
      </c>
      <c r="F158" s="3">
        <v>3</v>
      </c>
      <c r="G158" s="3">
        <v>3</v>
      </c>
      <c r="H158" s="3">
        <v>4</v>
      </c>
      <c r="I158" s="7">
        <v>2</v>
      </c>
      <c r="K158" t="s">
        <v>153</v>
      </c>
      <c r="L158">
        <f>COUNTIFS($B$2:$B$386,10,$D$2:$D$386,13)</f>
        <v>0</v>
      </c>
      <c r="M158" s="34">
        <f t="shared" si="50"/>
        <v>0</v>
      </c>
      <c r="AE158" s="4">
        <v>13</v>
      </c>
      <c r="AF158">
        <f>COUNTIFS($D$2:$D$386,10,$F$2:$F$386,13)</f>
        <v>0</v>
      </c>
      <c r="AG158" s="34">
        <f t="shared" si="51"/>
        <v>0</v>
      </c>
    </row>
    <row r="159" spans="1:33" x14ac:dyDescent="0.3">
      <c r="A159" t="s">
        <v>1429</v>
      </c>
      <c r="B159" s="7">
        <v>13</v>
      </c>
      <c r="C159" s="3">
        <v>21</v>
      </c>
      <c r="D159" s="11">
        <v>4</v>
      </c>
      <c r="E159" s="11">
        <v>8</v>
      </c>
      <c r="F159" s="11">
        <v>100</v>
      </c>
      <c r="G159" s="3">
        <v>100</v>
      </c>
      <c r="H159" s="11">
        <v>100</v>
      </c>
      <c r="I159" s="7">
        <v>2</v>
      </c>
      <c r="K159" t="s">
        <v>154</v>
      </c>
      <c r="L159">
        <f>COUNTIFS($B$2:$B$386,10,$D$2:$D$386,14)</f>
        <v>1</v>
      </c>
      <c r="M159" s="34">
        <f t="shared" si="50"/>
        <v>0.25974025974025972</v>
      </c>
      <c r="AE159" s="4">
        <v>14</v>
      </c>
      <c r="AF159">
        <f>COUNTIFS($D$2:$D$386,10,$F$2:$F$386,14)</f>
        <v>0</v>
      </c>
      <c r="AG159" s="34">
        <f t="shared" si="51"/>
        <v>0</v>
      </c>
    </row>
    <row r="160" spans="1:33" x14ac:dyDescent="0.3">
      <c r="A160" t="s">
        <v>1429</v>
      </c>
      <c r="B160" s="7">
        <v>10</v>
      </c>
      <c r="C160" s="3">
        <v>20</v>
      </c>
      <c r="D160" s="11">
        <v>4</v>
      </c>
      <c r="E160" s="11">
        <v>8</v>
      </c>
      <c r="F160" s="11">
        <v>1</v>
      </c>
      <c r="G160" s="3">
        <v>1</v>
      </c>
      <c r="H160" s="11">
        <v>2</v>
      </c>
      <c r="I160" s="7">
        <v>2</v>
      </c>
      <c r="K160" t="s">
        <v>52</v>
      </c>
      <c r="L160">
        <f>COUNTIFS($B$2:$B$386,10,$D$2:$D$386,15)</f>
        <v>1</v>
      </c>
      <c r="M160" s="34">
        <f t="shared" si="50"/>
        <v>0.25974025974025972</v>
      </c>
      <c r="AE160" t="s">
        <v>3090</v>
      </c>
      <c r="AF160">
        <f>COUNTIFS($D$2:$D$386,10,$F$2:$F$386,100)</f>
        <v>0</v>
      </c>
      <c r="AG160" s="34">
        <f t="shared" si="51"/>
        <v>0</v>
      </c>
    </row>
    <row r="161" spans="1:33" x14ac:dyDescent="0.3">
      <c r="A161" s="6" t="s">
        <v>990</v>
      </c>
      <c r="B161" s="7">
        <v>14</v>
      </c>
      <c r="C161" s="3">
        <v>21</v>
      </c>
      <c r="D161" s="11">
        <v>4</v>
      </c>
      <c r="E161" s="7">
        <v>8</v>
      </c>
      <c r="F161" s="7">
        <v>1</v>
      </c>
      <c r="G161" s="3">
        <v>1</v>
      </c>
      <c r="H161" s="7">
        <v>1</v>
      </c>
      <c r="I161" s="7">
        <v>2</v>
      </c>
      <c r="L161" s="22">
        <f>SUM(L146:L160)</f>
        <v>19</v>
      </c>
      <c r="M161" s="35">
        <f t="shared" si="50"/>
        <v>4.9350649350649354</v>
      </c>
      <c r="AF161" s="23">
        <f>SUM(AF146:AF160)</f>
        <v>0</v>
      </c>
      <c r="AG161" s="37">
        <f t="shared" si="51"/>
        <v>0</v>
      </c>
    </row>
    <row r="162" spans="1:33" x14ac:dyDescent="0.3">
      <c r="A162" t="s">
        <v>1527</v>
      </c>
      <c r="B162" s="7">
        <v>12</v>
      </c>
      <c r="C162" s="3">
        <v>20</v>
      </c>
      <c r="D162" s="3">
        <v>8</v>
      </c>
      <c r="E162" s="3">
        <v>5</v>
      </c>
      <c r="F162" s="3">
        <v>1</v>
      </c>
      <c r="G162" s="3">
        <v>1</v>
      </c>
      <c r="H162" s="3">
        <v>2</v>
      </c>
      <c r="I162" s="7">
        <v>2</v>
      </c>
      <c r="J162">
        <v>2019</v>
      </c>
      <c r="K162" t="s">
        <v>11</v>
      </c>
      <c r="L162">
        <f>COUNTIFS($B$2:$B$386,11,$D$2:$D$386,1)</f>
        <v>5</v>
      </c>
      <c r="M162" s="34">
        <f>(L162/385)*100</f>
        <v>1.2987012987012987</v>
      </c>
      <c r="AD162" t="s">
        <v>49</v>
      </c>
      <c r="AE162" s="4">
        <v>1</v>
      </c>
      <c r="AF162">
        <f>COUNTIFS($D$2:$D$386,11,$F$2:$F$386,1)</f>
        <v>5</v>
      </c>
      <c r="AG162" s="34">
        <f>(AF162/385)*100</f>
        <v>1.2987012987012987</v>
      </c>
    </row>
    <row r="163" spans="1:33" x14ac:dyDescent="0.3">
      <c r="A163" t="s">
        <v>1787</v>
      </c>
      <c r="B163" s="7">
        <v>9</v>
      </c>
      <c r="C163" s="3">
        <v>20</v>
      </c>
      <c r="D163" s="3">
        <v>2</v>
      </c>
      <c r="E163" s="3">
        <v>3</v>
      </c>
      <c r="F163" s="3">
        <v>100</v>
      </c>
      <c r="G163" s="3">
        <v>100</v>
      </c>
      <c r="H163" s="3">
        <v>100</v>
      </c>
      <c r="I163" s="7">
        <v>2</v>
      </c>
      <c r="K163" t="s">
        <v>18</v>
      </c>
      <c r="L163">
        <f>COUNTIFS($B$2:$B$386,11,$D$2:$D$386,2)</f>
        <v>2</v>
      </c>
      <c r="M163" s="34">
        <f t="shared" ref="M163:M177" si="52">(L163/385)*100</f>
        <v>0.51948051948051943</v>
      </c>
      <c r="AE163">
        <v>2</v>
      </c>
      <c r="AF163">
        <f>COUNTIFS($D$2:$D$386,11,$F$2:$F$386,2)</f>
        <v>0</v>
      </c>
      <c r="AG163" s="34">
        <f t="shared" ref="AG163:AG177" si="53">(AF163/385)*100</f>
        <v>0</v>
      </c>
    </row>
    <row r="164" spans="1:33" x14ac:dyDescent="0.3">
      <c r="A164" t="s">
        <v>2032</v>
      </c>
      <c r="B164" s="7">
        <v>7</v>
      </c>
      <c r="C164" s="3">
        <v>19</v>
      </c>
      <c r="D164" s="3">
        <v>4</v>
      </c>
      <c r="E164" s="3">
        <v>3</v>
      </c>
      <c r="F164" s="3">
        <v>1</v>
      </c>
      <c r="G164" s="3">
        <v>1</v>
      </c>
      <c r="H164" s="3">
        <v>1</v>
      </c>
      <c r="I164" s="11">
        <v>2</v>
      </c>
      <c r="K164" t="s">
        <v>150</v>
      </c>
      <c r="L164">
        <f>COUNTIFS($B$2:$B$386,11,$D$2:$D$386,3)</f>
        <v>2</v>
      </c>
      <c r="M164" s="34">
        <f t="shared" si="52"/>
        <v>0.51948051948051943</v>
      </c>
      <c r="AE164" s="4">
        <v>3</v>
      </c>
      <c r="AF164">
        <f>COUNTIFS($D$2:$D$386,11,$F$2:$F$386,3)</f>
        <v>0</v>
      </c>
      <c r="AG164" s="34">
        <f t="shared" si="53"/>
        <v>0</v>
      </c>
    </row>
    <row r="165" spans="1:33" x14ac:dyDescent="0.3">
      <c r="A165" s="6" t="s">
        <v>722</v>
      </c>
      <c r="B165" s="7">
        <v>15</v>
      </c>
      <c r="C165" s="3">
        <v>21</v>
      </c>
      <c r="D165" s="11">
        <v>4</v>
      </c>
      <c r="E165" s="11">
        <v>3</v>
      </c>
      <c r="F165" s="7">
        <v>100</v>
      </c>
      <c r="G165" s="3">
        <v>100</v>
      </c>
      <c r="H165" s="7">
        <v>100</v>
      </c>
      <c r="I165" s="7">
        <v>2</v>
      </c>
      <c r="K165" t="s">
        <v>25</v>
      </c>
      <c r="L165">
        <f>COUNTIFS($B$2:$B$386,11,$D$2:$D$386,4)</f>
        <v>4</v>
      </c>
      <c r="M165" s="34">
        <f t="shared" si="52"/>
        <v>1.0389610389610389</v>
      </c>
      <c r="AE165" s="4">
        <v>4</v>
      </c>
      <c r="AF165">
        <f>COUNTIFS($D$2:$D$386,11,$F$2:$F$386,4)</f>
        <v>0</v>
      </c>
      <c r="AG165" s="34">
        <f t="shared" si="53"/>
        <v>0</v>
      </c>
    </row>
    <row r="166" spans="1:33" x14ac:dyDescent="0.3">
      <c r="A166" s="6" t="s">
        <v>763</v>
      </c>
      <c r="B166" s="7">
        <v>15</v>
      </c>
      <c r="C166" s="3">
        <v>21</v>
      </c>
      <c r="D166" s="11">
        <v>11</v>
      </c>
      <c r="E166" s="7">
        <v>3</v>
      </c>
      <c r="F166" s="11">
        <v>1</v>
      </c>
      <c r="G166" s="3">
        <v>1</v>
      </c>
      <c r="H166" s="11">
        <v>2</v>
      </c>
      <c r="I166" s="11">
        <v>2</v>
      </c>
      <c r="K166" t="s">
        <v>32</v>
      </c>
      <c r="L166">
        <f>COUNTIFS($B$2:$B$386,11,$D$2:$D$386,5)</f>
        <v>1</v>
      </c>
      <c r="M166" s="34">
        <f t="shared" si="52"/>
        <v>0.25974025974025972</v>
      </c>
      <c r="AE166" s="4">
        <v>5</v>
      </c>
      <c r="AF166">
        <f>COUNTIFS($D$2:$D$386,11,$F$2:$F$386,5)</f>
        <v>0</v>
      </c>
      <c r="AG166" s="34">
        <f t="shared" si="53"/>
        <v>0</v>
      </c>
    </row>
    <row r="167" spans="1:33" x14ac:dyDescent="0.3">
      <c r="A167" t="s">
        <v>1537</v>
      </c>
      <c r="B167" s="7">
        <v>12</v>
      </c>
      <c r="C167" s="3">
        <v>20</v>
      </c>
      <c r="D167" s="3">
        <v>12</v>
      </c>
      <c r="E167" s="3">
        <v>3</v>
      </c>
      <c r="F167" s="3">
        <v>1</v>
      </c>
      <c r="G167" s="3">
        <v>1</v>
      </c>
      <c r="H167" s="3">
        <v>2</v>
      </c>
      <c r="I167" s="7">
        <v>2</v>
      </c>
      <c r="K167" t="s">
        <v>38</v>
      </c>
      <c r="L167">
        <f>COUNTIFS($B$2:$B$386,11,$D$2:$D$386,6)</f>
        <v>0</v>
      </c>
      <c r="M167" s="34">
        <f t="shared" si="52"/>
        <v>0</v>
      </c>
      <c r="AE167" s="4">
        <v>6</v>
      </c>
      <c r="AF167">
        <f>COUNTIFS($D$2:$D$386,11,$F$2:$F$386,6)</f>
        <v>0</v>
      </c>
      <c r="AG167" s="34">
        <f t="shared" si="53"/>
        <v>0</v>
      </c>
    </row>
    <row r="168" spans="1:33" x14ac:dyDescent="0.3">
      <c r="A168" t="s">
        <v>1504</v>
      </c>
      <c r="B168" s="7">
        <v>12</v>
      </c>
      <c r="C168" s="3">
        <v>20</v>
      </c>
      <c r="D168" s="3">
        <v>4</v>
      </c>
      <c r="E168" s="3">
        <v>3</v>
      </c>
      <c r="F168" s="3">
        <v>1</v>
      </c>
      <c r="G168" s="3">
        <v>1</v>
      </c>
      <c r="H168" s="3">
        <v>1</v>
      </c>
      <c r="I168" s="7">
        <v>2</v>
      </c>
      <c r="K168" t="s">
        <v>151</v>
      </c>
      <c r="L168">
        <f>COUNTIFS($B$2:$B$386,11,$D$2:$D$386,7)</f>
        <v>0</v>
      </c>
      <c r="M168" s="34">
        <f t="shared" si="52"/>
        <v>0</v>
      </c>
      <c r="AE168" s="4">
        <v>7</v>
      </c>
      <c r="AF168">
        <f>COUNTIFS($D$2:$D$386,11,$F$2:$F$386,7)</f>
        <v>0</v>
      </c>
      <c r="AG168" s="34">
        <f t="shared" si="53"/>
        <v>0</v>
      </c>
    </row>
    <row r="169" spans="1:33" x14ac:dyDescent="0.3">
      <c r="A169" t="s">
        <v>2657</v>
      </c>
      <c r="B169" s="7">
        <v>14</v>
      </c>
      <c r="C169" s="3">
        <v>21</v>
      </c>
      <c r="D169" s="3">
        <v>4</v>
      </c>
      <c r="E169" s="3">
        <v>1</v>
      </c>
      <c r="F169" s="3">
        <v>100</v>
      </c>
      <c r="G169" s="3">
        <v>100</v>
      </c>
      <c r="H169" s="3">
        <v>100</v>
      </c>
      <c r="I169" s="11">
        <v>2</v>
      </c>
      <c r="K169" t="s">
        <v>43</v>
      </c>
      <c r="L169">
        <f>COUNTIFS($B$2:$B$386,11,$D$2:$D$386,8)</f>
        <v>0</v>
      </c>
      <c r="M169" s="34">
        <f t="shared" si="52"/>
        <v>0</v>
      </c>
      <c r="AE169" s="4">
        <v>8</v>
      </c>
      <c r="AF169">
        <f>COUNTIFS($D$2:$D$386,11,$F$2:$F$386,8)</f>
        <v>0</v>
      </c>
      <c r="AG169" s="34">
        <f t="shared" si="53"/>
        <v>0</v>
      </c>
    </row>
    <row r="170" spans="1:33" x14ac:dyDescent="0.3">
      <c r="A170" t="s">
        <v>3003</v>
      </c>
      <c r="B170" s="7">
        <v>7</v>
      </c>
      <c r="C170" s="3">
        <v>19</v>
      </c>
      <c r="D170" s="3">
        <v>3</v>
      </c>
      <c r="E170" s="3">
        <v>6</v>
      </c>
      <c r="F170" s="3">
        <v>100</v>
      </c>
      <c r="G170" s="3">
        <v>100</v>
      </c>
      <c r="H170" s="3">
        <v>100</v>
      </c>
      <c r="I170" s="11">
        <v>2</v>
      </c>
      <c r="K170" t="s">
        <v>46</v>
      </c>
      <c r="L170">
        <f>COUNTIFS($B$2:$B$386,11,$D$2:$D$386,9)</f>
        <v>0</v>
      </c>
      <c r="M170" s="34">
        <f t="shared" si="52"/>
        <v>0</v>
      </c>
      <c r="AE170" s="4">
        <v>9</v>
      </c>
      <c r="AF170">
        <f>COUNTIFS($D$2:$D$386,11,$F$2:$F$386,9)</f>
        <v>0</v>
      </c>
      <c r="AG170" s="34">
        <f t="shared" si="53"/>
        <v>0</v>
      </c>
    </row>
    <row r="171" spans="1:33" x14ac:dyDescent="0.3">
      <c r="A171" t="s">
        <v>2587</v>
      </c>
      <c r="B171" s="7">
        <v>15</v>
      </c>
      <c r="C171" s="3">
        <v>21</v>
      </c>
      <c r="D171" s="3">
        <v>15</v>
      </c>
      <c r="E171" s="3">
        <v>3</v>
      </c>
      <c r="F171" s="3">
        <v>100</v>
      </c>
      <c r="G171" s="3">
        <v>100</v>
      </c>
      <c r="H171" s="3">
        <v>100</v>
      </c>
      <c r="I171" s="11">
        <v>2</v>
      </c>
      <c r="K171" t="s">
        <v>152</v>
      </c>
      <c r="L171">
        <f>COUNTIFS($B$2:$B$386,11,$D$2:$D$386,10)</f>
        <v>0</v>
      </c>
      <c r="M171" s="34">
        <f t="shared" si="52"/>
        <v>0</v>
      </c>
      <c r="AE171" s="4">
        <v>10</v>
      </c>
      <c r="AF171">
        <f>COUNTIFS($D$2:$D$386,11,$F$2:$F$386,10)</f>
        <v>0</v>
      </c>
      <c r="AG171" s="34">
        <f t="shared" si="53"/>
        <v>0</v>
      </c>
    </row>
    <row r="172" spans="1:33" x14ac:dyDescent="0.3">
      <c r="A172" s="6" t="s">
        <v>620</v>
      </c>
      <c r="B172" s="7">
        <v>16</v>
      </c>
      <c r="C172" s="3">
        <v>21</v>
      </c>
      <c r="D172" s="11">
        <v>4</v>
      </c>
      <c r="E172" s="11">
        <v>3</v>
      </c>
      <c r="F172" s="11">
        <v>1</v>
      </c>
      <c r="G172" s="3">
        <v>1</v>
      </c>
      <c r="H172" s="11">
        <v>2</v>
      </c>
      <c r="I172" s="11">
        <v>2</v>
      </c>
      <c r="K172" t="s">
        <v>49</v>
      </c>
      <c r="L172">
        <f>COUNTIFS($B$2:$B$386,11,$D$2:$D$386,11)</f>
        <v>0</v>
      </c>
      <c r="M172" s="34">
        <f t="shared" si="52"/>
        <v>0</v>
      </c>
      <c r="AE172" s="4">
        <v>11</v>
      </c>
      <c r="AF172">
        <f>COUNTIFS($D$2:$D$386,11,$F$2:$F$386,11)</f>
        <v>0</v>
      </c>
      <c r="AG172" s="34">
        <f t="shared" si="53"/>
        <v>0</v>
      </c>
    </row>
    <row r="173" spans="1:33" x14ac:dyDescent="0.3">
      <c r="A173" s="6" t="s">
        <v>588</v>
      </c>
      <c r="B173" s="7">
        <v>16</v>
      </c>
      <c r="C173" s="3">
        <v>21</v>
      </c>
      <c r="D173" s="11">
        <v>15</v>
      </c>
      <c r="E173" s="11">
        <v>3</v>
      </c>
      <c r="F173" s="7">
        <v>100</v>
      </c>
      <c r="G173" s="3">
        <v>100</v>
      </c>
      <c r="H173" s="7">
        <v>100</v>
      </c>
      <c r="I173" s="7">
        <v>2</v>
      </c>
      <c r="K173" t="s">
        <v>51</v>
      </c>
      <c r="L173">
        <f>COUNTIFS($B$2:$B$386,11,$D$2:$D$386,12)</f>
        <v>1</v>
      </c>
      <c r="M173" s="34">
        <f t="shared" si="52"/>
        <v>0.25974025974025972</v>
      </c>
      <c r="AE173" s="4">
        <v>12</v>
      </c>
      <c r="AF173">
        <f>COUNTIFS($D$2:$D$386,11,$F$2:$F$386,12)</f>
        <v>0</v>
      </c>
      <c r="AG173" s="34">
        <f t="shared" si="53"/>
        <v>0</v>
      </c>
    </row>
    <row r="174" spans="1:33" x14ac:dyDescent="0.3">
      <c r="A174" t="s">
        <v>1434</v>
      </c>
      <c r="B174" s="7">
        <v>13</v>
      </c>
      <c r="C174" s="3">
        <v>21</v>
      </c>
      <c r="D174" s="11">
        <v>8</v>
      </c>
      <c r="E174" s="11">
        <v>3</v>
      </c>
      <c r="F174" s="11">
        <v>1</v>
      </c>
      <c r="G174" s="3">
        <v>1</v>
      </c>
      <c r="H174" s="11">
        <v>1</v>
      </c>
      <c r="I174" s="11">
        <v>2</v>
      </c>
      <c r="K174" t="s">
        <v>153</v>
      </c>
      <c r="L174">
        <f>COUNTIFS($B$2:$B$386,11,$D$2:$D$386,13)</f>
        <v>0</v>
      </c>
      <c r="M174" s="34">
        <f t="shared" si="52"/>
        <v>0</v>
      </c>
      <c r="AE174" s="4">
        <v>13</v>
      </c>
      <c r="AF174">
        <f>COUNTIFS($D$2:$D$386,11,$F$2:$F$386,13)</f>
        <v>0</v>
      </c>
      <c r="AG174" s="34">
        <f t="shared" si="53"/>
        <v>0</v>
      </c>
    </row>
    <row r="175" spans="1:33" x14ac:dyDescent="0.3">
      <c r="A175" s="6" t="s">
        <v>1127</v>
      </c>
      <c r="B175" s="7">
        <v>13</v>
      </c>
      <c r="C175" s="3">
        <v>21</v>
      </c>
      <c r="D175" s="3">
        <v>15</v>
      </c>
      <c r="E175" s="3">
        <v>8</v>
      </c>
      <c r="F175" s="3">
        <v>5</v>
      </c>
      <c r="G175" s="3">
        <v>15</v>
      </c>
      <c r="H175" s="3">
        <v>3</v>
      </c>
      <c r="I175" s="7">
        <v>2</v>
      </c>
      <c r="K175" t="s">
        <v>154</v>
      </c>
      <c r="L175">
        <f>COUNTIFS($B$2:$B$386,11,$D$2:$D$386,14)</f>
        <v>0</v>
      </c>
      <c r="M175" s="34">
        <f t="shared" si="52"/>
        <v>0</v>
      </c>
      <c r="AE175" s="4">
        <v>14</v>
      </c>
      <c r="AF175">
        <f>COUNTIFS($D$2:$D$386,11,$F$2:$F$386,14)</f>
        <v>0</v>
      </c>
      <c r="AG175" s="34">
        <f t="shared" si="53"/>
        <v>0</v>
      </c>
    </row>
    <row r="176" spans="1:33" x14ac:dyDescent="0.3">
      <c r="A176" s="6" t="s">
        <v>1216</v>
      </c>
      <c r="B176" s="7">
        <v>13</v>
      </c>
      <c r="C176" s="3">
        <v>21</v>
      </c>
      <c r="D176" s="3">
        <v>8</v>
      </c>
      <c r="E176" s="3">
        <v>3</v>
      </c>
      <c r="F176" s="3">
        <v>1</v>
      </c>
      <c r="G176" s="3">
        <v>1</v>
      </c>
      <c r="H176" s="3">
        <v>2</v>
      </c>
      <c r="I176" s="11">
        <v>2</v>
      </c>
      <c r="K176" t="s">
        <v>52</v>
      </c>
      <c r="L176">
        <f>COUNTIFS($B$2:$B$386,11,$D$2:$D$386,15)</f>
        <v>2</v>
      </c>
      <c r="M176" s="34">
        <f t="shared" si="52"/>
        <v>0.51948051948051943</v>
      </c>
      <c r="AE176" t="s">
        <v>3090</v>
      </c>
      <c r="AF176">
        <f>COUNTIFS($D$2:$D$386,11,$F$2:$F$386,100)</f>
        <v>0</v>
      </c>
      <c r="AG176" s="34">
        <f t="shared" si="53"/>
        <v>0</v>
      </c>
    </row>
    <row r="177" spans="1:33" x14ac:dyDescent="0.3">
      <c r="A177" s="6" t="s">
        <v>971</v>
      </c>
      <c r="B177" s="7">
        <v>14</v>
      </c>
      <c r="C177" s="3">
        <v>21</v>
      </c>
      <c r="D177" s="11">
        <v>1</v>
      </c>
      <c r="E177" s="7">
        <v>8</v>
      </c>
      <c r="F177" s="11">
        <v>1</v>
      </c>
      <c r="G177" s="3">
        <v>1</v>
      </c>
      <c r="H177" s="11">
        <v>2</v>
      </c>
      <c r="I177" s="7">
        <v>2</v>
      </c>
      <c r="L177" s="22">
        <f>SUM(L162:L176)</f>
        <v>17</v>
      </c>
      <c r="M177" s="35">
        <f t="shared" si="52"/>
        <v>4.4155844155844157</v>
      </c>
      <c r="AF177" s="23">
        <f>SUM(AF162:AF176)</f>
        <v>5</v>
      </c>
      <c r="AG177" s="37">
        <f t="shared" si="53"/>
        <v>1.2987012987012987</v>
      </c>
    </row>
    <row r="178" spans="1:33" x14ac:dyDescent="0.3">
      <c r="A178" t="s">
        <v>3006</v>
      </c>
      <c r="B178" s="7">
        <v>9</v>
      </c>
      <c r="C178" s="3">
        <v>20</v>
      </c>
      <c r="D178" s="3">
        <v>4</v>
      </c>
      <c r="E178" s="3">
        <v>3</v>
      </c>
      <c r="F178" s="3">
        <v>1</v>
      </c>
      <c r="G178" s="3">
        <v>1</v>
      </c>
      <c r="H178" s="3">
        <v>100</v>
      </c>
      <c r="I178" s="11">
        <v>2</v>
      </c>
      <c r="J178">
        <v>2020</v>
      </c>
      <c r="K178" t="s">
        <v>11</v>
      </c>
      <c r="L178">
        <f>COUNTIFS($B$2:$B$386,12,$D$2:$D$386,1)</f>
        <v>5</v>
      </c>
      <c r="M178" s="34">
        <f>(L178/385)*100</f>
        <v>1.2987012987012987</v>
      </c>
      <c r="AD178" t="s">
        <v>51</v>
      </c>
      <c r="AE178" s="4">
        <v>1</v>
      </c>
      <c r="AF178">
        <f>COUNTIFS($D$2:$D$386,12,$F$2:$F$386,1)</f>
        <v>5</v>
      </c>
      <c r="AG178" s="34">
        <f>(AF178/385)*100</f>
        <v>1.2987012987012987</v>
      </c>
    </row>
    <row r="179" spans="1:33" x14ac:dyDescent="0.3">
      <c r="A179" t="s">
        <v>3060</v>
      </c>
      <c r="B179" s="7">
        <v>2</v>
      </c>
      <c r="C179" s="3">
        <v>18</v>
      </c>
      <c r="D179" s="3">
        <v>4</v>
      </c>
      <c r="E179" s="3">
        <v>3</v>
      </c>
      <c r="F179" s="3">
        <v>1</v>
      </c>
      <c r="G179" s="3">
        <v>1</v>
      </c>
      <c r="H179" s="3">
        <v>1</v>
      </c>
      <c r="I179" s="11">
        <v>2</v>
      </c>
      <c r="K179" t="s">
        <v>18</v>
      </c>
      <c r="L179">
        <f>COUNTIFS($B$2:$B$386,12,$D$2:$D$386,2)</f>
        <v>3</v>
      </c>
      <c r="M179" s="34">
        <f t="shared" ref="M179:M193" si="54">(L179/385)*100</f>
        <v>0.77922077922077926</v>
      </c>
      <c r="AE179">
        <v>2</v>
      </c>
      <c r="AF179">
        <f>COUNTIFS($D$2:$D$386,12,$F$2:$F$386,2)</f>
        <v>0</v>
      </c>
      <c r="AG179" s="34">
        <f t="shared" ref="AG179:AG193" si="55">(AF179/385)*100</f>
        <v>0</v>
      </c>
    </row>
    <row r="180" spans="1:33" x14ac:dyDescent="0.3">
      <c r="A180" t="s">
        <v>2564</v>
      </c>
      <c r="B180" s="7">
        <v>16</v>
      </c>
      <c r="C180" s="3">
        <v>21</v>
      </c>
      <c r="D180" s="3">
        <v>2</v>
      </c>
      <c r="E180" s="3">
        <v>3</v>
      </c>
      <c r="F180" s="3">
        <v>1</v>
      </c>
      <c r="G180" s="3">
        <v>1</v>
      </c>
      <c r="H180" s="11">
        <v>2</v>
      </c>
      <c r="I180" s="11">
        <v>2</v>
      </c>
      <c r="K180" t="s">
        <v>150</v>
      </c>
      <c r="L180">
        <f>COUNTIFS($B$2:$B$386,12,$D$2:$D$386,3)</f>
        <v>1</v>
      </c>
      <c r="M180" s="34">
        <f t="shared" si="54"/>
        <v>0.25974025974025972</v>
      </c>
      <c r="AE180" s="4">
        <v>3</v>
      </c>
      <c r="AF180">
        <f>COUNTIFS($D$2:$D$386,12,$F$2:$F$386,3)</f>
        <v>1</v>
      </c>
      <c r="AG180" s="34">
        <f t="shared" si="55"/>
        <v>0.25974025974025972</v>
      </c>
    </row>
    <row r="181" spans="1:33" x14ac:dyDescent="0.3">
      <c r="A181" t="s">
        <v>1487</v>
      </c>
      <c r="B181" s="7">
        <v>12</v>
      </c>
      <c r="C181" s="3">
        <v>20</v>
      </c>
      <c r="D181" s="3">
        <v>2</v>
      </c>
      <c r="E181" s="3">
        <v>3</v>
      </c>
      <c r="F181" s="3">
        <v>1</v>
      </c>
      <c r="G181" s="3">
        <v>1</v>
      </c>
      <c r="H181" s="3">
        <v>1</v>
      </c>
      <c r="I181" s="7">
        <v>2</v>
      </c>
      <c r="K181" t="s">
        <v>25</v>
      </c>
      <c r="L181">
        <f>COUNTIFS($B$2:$B$386,12,$D$2:$D$386,4)</f>
        <v>10</v>
      </c>
      <c r="M181" s="34">
        <f t="shared" si="54"/>
        <v>2.5974025974025974</v>
      </c>
      <c r="AE181" s="4">
        <v>4</v>
      </c>
      <c r="AF181">
        <f>COUNTIFS($D$2:$D$386,12,$F$2:$F$386,4)</f>
        <v>0</v>
      </c>
      <c r="AG181" s="34">
        <f t="shared" si="55"/>
        <v>0</v>
      </c>
    </row>
    <row r="182" spans="1:33" x14ac:dyDescent="0.3">
      <c r="A182" t="s">
        <v>1843</v>
      </c>
      <c r="B182" s="7">
        <v>8</v>
      </c>
      <c r="C182" s="3">
        <v>19</v>
      </c>
      <c r="D182" s="3">
        <v>4</v>
      </c>
      <c r="E182" s="3">
        <v>7</v>
      </c>
      <c r="F182" s="11">
        <v>1</v>
      </c>
      <c r="G182" s="3">
        <v>1</v>
      </c>
      <c r="H182" s="11">
        <v>1</v>
      </c>
      <c r="I182" s="11">
        <v>2</v>
      </c>
      <c r="K182" t="s">
        <v>32</v>
      </c>
      <c r="L182">
        <f>COUNTIFS($B$2:$B$386,12,$D$2:$D$386,5)</f>
        <v>0</v>
      </c>
      <c r="M182" s="34">
        <f t="shared" si="54"/>
        <v>0</v>
      </c>
      <c r="AE182" s="4">
        <v>5</v>
      </c>
      <c r="AF182">
        <f>COUNTIFS($D$2:$D$386,12,$F$2:$F$386,5)</f>
        <v>0</v>
      </c>
      <c r="AG182" s="34">
        <f t="shared" si="55"/>
        <v>0</v>
      </c>
    </row>
    <row r="183" spans="1:33" x14ac:dyDescent="0.3">
      <c r="A183" t="s">
        <v>1247</v>
      </c>
      <c r="B183" s="7">
        <v>13</v>
      </c>
      <c r="C183" s="3">
        <v>21</v>
      </c>
      <c r="D183" s="11">
        <v>1</v>
      </c>
      <c r="E183" s="7">
        <v>8</v>
      </c>
      <c r="F183" s="11">
        <v>2</v>
      </c>
      <c r="G183" s="3">
        <v>2</v>
      </c>
      <c r="H183" s="11">
        <v>3</v>
      </c>
      <c r="I183" s="7">
        <v>2</v>
      </c>
      <c r="K183" t="s">
        <v>38</v>
      </c>
      <c r="L183">
        <f>COUNTIFS($B$2:$B$386,12,$D$2:$D$386,6)</f>
        <v>2</v>
      </c>
      <c r="M183" s="34">
        <f t="shared" si="54"/>
        <v>0.51948051948051943</v>
      </c>
      <c r="AE183" s="4">
        <v>6</v>
      </c>
      <c r="AF183">
        <f>COUNTIFS($D$2:$D$386,12,$F$2:$F$386,6)</f>
        <v>0</v>
      </c>
      <c r="AG183" s="34">
        <f t="shared" si="55"/>
        <v>0</v>
      </c>
    </row>
    <row r="184" spans="1:33" x14ac:dyDescent="0.3">
      <c r="A184" t="s">
        <v>2167</v>
      </c>
      <c r="B184" s="7">
        <v>4</v>
      </c>
      <c r="C184" s="3">
        <v>18</v>
      </c>
      <c r="D184" s="3">
        <v>4</v>
      </c>
      <c r="E184" s="3">
        <v>3</v>
      </c>
      <c r="F184" s="3">
        <v>1</v>
      </c>
      <c r="G184" s="3">
        <v>1</v>
      </c>
      <c r="H184" s="3">
        <v>1</v>
      </c>
      <c r="I184" s="7">
        <v>2</v>
      </c>
      <c r="K184" t="s">
        <v>151</v>
      </c>
      <c r="L184">
        <f>COUNTIFS($B$2:$B$386,12,$D$2:$D$386,7)</f>
        <v>0</v>
      </c>
      <c r="M184" s="34">
        <f t="shared" si="54"/>
        <v>0</v>
      </c>
      <c r="AE184" s="4">
        <v>7</v>
      </c>
      <c r="AF184">
        <f>COUNTIFS($D$2:$D$386,12,$F$2:$F$386,7)</f>
        <v>0</v>
      </c>
      <c r="AG184" s="34">
        <f t="shared" si="55"/>
        <v>0</v>
      </c>
    </row>
    <row r="185" spans="1:33" x14ac:dyDescent="0.3">
      <c r="A185" s="6" t="s">
        <v>819</v>
      </c>
      <c r="B185" s="7">
        <v>15</v>
      </c>
      <c r="C185" s="3">
        <v>21</v>
      </c>
      <c r="D185" s="11">
        <v>2</v>
      </c>
      <c r="E185" s="7">
        <v>6</v>
      </c>
      <c r="F185" s="7">
        <v>100</v>
      </c>
      <c r="G185" s="3">
        <v>100</v>
      </c>
      <c r="H185" s="7">
        <v>100</v>
      </c>
      <c r="I185" s="7">
        <v>2</v>
      </c>
      <c r="K185" t="s">
        <v>43</v>
      </c>
      <c r="L185">
        <f>COUNTIFS($B$2:$B$386,12,$D$2:$D$386,8)</f>
        <v>1</v>
      </c>
      <c r="M185" s="34">
        <f t="shared" si="54"/>
        <v>0.25974025974025972</v>
      </c>
      <c r="AE185" s="4">
        <v>8</v>
      </c>
      <c r="AF185">
        <f>COUNTIFS($D$2:$D$386,12,$F$2:$F$386,8)</f>
        <v>0</v>
      </c>
      <c r="AG185" s="34">
        <f t="shared" si="55"/>
        <v>0</v>
      </c>
    </row>
    <row r="186" spans="1:33" x14ac:dyDescent="0.3">
      <c r="A186" t="s">
        <v>2427</v>
      </c>
      <c r="B186" s="7">
        <v>2</v>
      </c>
      <c r="C186" s="3">
        <v>18</v>
      </c>
      <c r="D186" s="3">
        <v>1</v>
      </c>
      <c r="E186" s="3">
        <v>9</v>
      </c>
      <c r="F186" s="11">
        <v>1</v>
      </c>
      <c r="G186" s="3">
        <v>1</v>
      </c>
      <c r="H186" s="11">
        <v>1</v>
      </c>
      <c r="I186" s="7">
        <v>2</v>
      </c>
      <c r="K186" t="s">
        <v>46</v>
      </c>
      <c r="L186">
        <f>COUNTIFS($B$2:$B$386,12,$D$2:$D$386,9)</f>
        <v>1</v>
      </c>
      <c r="M186" s="34">
        <f t="shared" si="54"/>
        <v>0.25974025974025972</v>
      </c>
      <c r="AE186" s="4">
        <v>9</v>
      </c>
      <c r="AF186">
        <f>COUNTIFS($D$2:$D$386,12,$F$2:$F$386,9)</f>
        <v>0</v>
      </c>
      <c r="AG186" s="34">
        <f t="shared" si="55"/>
        <v>0</v>
      </c>
    </row>
    <row r="187" spans="1:33" x14ac:dyDescent="0.3">
      <c r="A187" t="s">
        <v>1673</v>
      </c>
      <c r="B187" s="7">
        <v>10</v>
      </c>
      <c r="C187" s="3">
        <v>20</v>
      </c>
      <c r="D187" s="3">
        <v>9</v>
      </c>
      <c r="E187" s="3">
        <v>3</v>
      </c>
      <c r="F187" s="3">
        <v>100</v>
      </c>
      <c r="G187" s="3">
        <v>100</v>
      </c>
      <c r="H187" s="3">
        <v>100</v>
      </c>
      <c r="I187" s="7">
        <v>2</v>
      </c>
      <c r="K187" t="s">
        <v>152</v>
      </c>
      <c r="L187">
        <f>COUNTIFS($B$2:$B$386,12,$D$2:$D$386,10)</f>
        <v>0</v>
      </c>
      <c r="M187" s="34">
        <f t="shared" si="54"/>
        <v>0</v>
      </c>
      <c r="AE187" s="4">
        <v>10</v>
      </c>
      <c r="AF187">
        <f>COUNTIFS($D$2:$D$386,12,$F$2:$F$386,10)</f>
        <v>0</v>
      </c>
      <c r="AG187" s="34">
        <f t="shared" si="55"/>
        <v>0</v>
      </c>
    </row>
    <row r="188" spans="1:33" x14ac:dyDescent="0.3">
      <c r="A188" t="s">
        <v>1650</v>
      </c>
      <c r="B188" s="7">
        <v>11</v>
      </c>
      <c r="C188" s="3">
        <v>20</v>
      </c>
      <c r="D188" s="3">
        <v>1</v>
      </c>
      <c r="E188" s="3">
        <v>3</v>
      </c>
      <c r="F188" s="3">
        <v>1</v>
      </c>
      <c r="G188" s="3">
        <v>1</v>
      </c>
      <c r="H188" s="3">
        <v>100</v>
      </c>
      <c r="I188" s="7">
        <v>2</v>
      </c>
      <c r="K188" t="s">
        <v>49</v>
      </c>
      <c r="L188">
        <f>COUNTIFS($B$2:$B$386,12,$D$2:$D$386,11)</f>
        <v>0</v>
      </c>
      <c r="M188" s="34">
        <f t="shared" si="54"/>
        <v>0</v>
      </c>
      <c r="AE188" s="4">
        <v>11</v>
      </c>
      <c r="AF188">
        <f>COUNTIFS($D$2:$D$386,12,$F$2:$F$386,11)</f>
        <v>0</v>
      </c>
      <c r="AG188" s="34">
        <f t="shared" si="55"/>
        <v>0</v>
      </c>
    </row>
    <row r="189" spans="1:33" x14ac:dyDescent="0.3">
      <c r="A189" t="s">
        <v>1685</v>
      </c>
      <c r="B189" s="7">
        <v>10</v>
      </c>
      <c r="C189" s="3">
        <v>20</v>
      </c>
      <c r="D189" s="11">
        <v>8</v>
      </c>
      <c r="E189" s="11">
        <v>8</v>
      </c>
      <c r="F189" s="11">
        <v>2</v>
      </c>
      <c r="G189" s="3">
        <v>2</v>
      </c>
      <c r="H189" s="11">
        <v>5</v>
      </c>
      <c r="I189" s="7">
        <v>2</v>
      </c>
      <c r="K189" t="s">
        <v>51</v>
      </c>
      <c r="L189">
        <f>COUNTIFS($B$2:$B$386,12,$D$2:$D$386,12)</f>
        <v>2</v>
      </c>
      <c r="M189" s="34">
        <f t="shared" si="54"/>
        <v>0.51948051948051943</v>
      </c>
      <c r="AE189" s="4">
        <v>12</v>
      </c>
      <c r="AF189">
        <f>COUNTIFS($D$2:$D$386,12,$F$2:$F$386,12)</f>
        <v>0</v>
      </c>
      <c r="AG189" s="34">
        <f t="shared" si="55"/>
        <v>0</v>
      </c>
    </row>
    <row r="190" spans="1:33" x14ac:dyDescent="0.3">
      <c r="A190" t="s">
        <v>1881</v>
      </c>
      <c r="B190" s="7">
        <v>8</v>
      </c>
      <c r="C190" s="3">
        <v>19</v>
      </c>
      <c r="D190" s="11">
        <v>4</v>
      </c>
      <c r="E190" s="11">
        <v>8</v>
      </c>
      <c r="F190" s="11">
        <v>2</v>
      </c>
      <c r="G190" s="3">
        <v>2</v>
      </c>
      <c r="H190" s="11">
        <v>4</v>
      </c>
      <c r="I190" s="7">
        <v>2</v>
      </c>
      <c r="K190" t="s">
        <v>153</v>
      </c>
      <c r="L190">
        <f>COUNTIFS($B$2:$B$386,12,$D$2:$D$386,13)</f>
        <v>0</v>
      </c>
      <c r="M190" s="34">
        <f t="shared" si="54"/>
        <v>0</v>
      </c>
      <c r="AE190" s="4">
        <v>13</v>
      </c>
      <c r="AF190">
        <f>COUNTIFS($D$2:$D$386,12,$F$2:$F$386,13)</f>
        <v>0</v>
      </c>
      <c r="AG190" s="34">
        <f t="shared" si="55"/>
        <v>0</v>
      </c>
    </row>
    <row r="191" spans="1:33" x14ac:dyDescent="0.3">
      <c r="A191" t="s">
        <v>1403</v>
      </c>
      <c r="B191" s="7">
        <v>13</v>
      </c>
      <c r="C191" s="3">
        <v>21</v>
      </c>
      <c r="D191" s="3">
        <v>11</v>
      </c>
      <c r="E191" s="3">
        <v>1</v>
      </c>
      <c r="F191" s="3">
        <v>1</v>
      </c>
      <c r="G191" s="3">
        <v>1</v>
      </c>
      <c r="H191" s="3">
        <v>2</v>
      </c>
      <c r="I191" s="11">
        <v>2</v>
      </c>
      <c r="K191" t="s">
        <v>154</v>
      </c>
      <c r="L191">
        <f>COUNTIFS($B$2:$B$386,12,$D$2:$D$386,14)</f>
        <v>1</v>
      </c>
      <c r="M191" s="34">
        <f t="shared" si="54"/>
        <v>0.25974025974025972</v>
      </c>
      <c r="AE191" s="4">
        <v>14</v>
      </c>
      <c r="AF191">
        <f>COUNTIFS($D$2:$D$386,12,$F$2:$F$386,14)</f>
        <v>0</v>
      </c>
      <c r="AG191" s="34">
        <f t="shared" si="55"/>
        <v>0</v>
      </c>
    </row>
    <row r="192" spans="1:33" x14ac:dyDescent="0.3">
      <c r="A192" t="s">
        <v>1407</v>
      </c>
      <c r="B192" s="7">
        <v>12</v>
      </c>
      <c r="C192" s="3">
        <v>20</v>
      </c>
      <c r="D192" s="3">
        <v>4</v>
      </c>
      <c r="E192" s="3">
        <v>3</v>
      </c>
      <c r="F192" s="3">
        <v>1</v>
      </c>
      <c r="G192" s="3">
        <v>1</v>
      </c>
      <c r="H192" s="3">
        <v>2</v>
      </c>
      <c r="I192" s="11">
        <v>2</v>
      </c>
      <c r="K192" t="s">
        <v>52</v>
      </c>
      <c r="L192">
        <f>COUNTIFS($B$2:$B$386,12,$D$2:$D$386,15)</f>
        <v>3</v>
      </c>
      <c r="M192" s="34">
        <f t="shared" si="54"/>
        <v>0.77922077922077926</v>
      </c>
      <c r="AE192" t="s">
        <v>3090</v>
      </c>
      <c r="AF192">
        <f>COUNTIFS($D$2:$D$386,12,$F$2:$F$386,100)</f>
        <v>4</v>
      </c>
      <c r="AG192" s="34">
        <f t="shared" si="55"/>
        <v>1.0389610389610389</v>
      </c>
    </row>
    <row r="193" spans="1:33" x14ac:dyDescent="0.3">
      <c r="A193" t="s">
        <v>3068</v>
      </c>
      <c r="B193" s="7">
        <v>5</v>
      </c>
      <c r="C193" s="3">
        <v>19</v>
      </c>
      <c r="D193" s="3">
        <v>1</v>
      </c>
      <c r="E193" s="3">
        <v>8</v>
      </c>
      <c r="F193" s="3">
        <v>1</v>
      </c>
      <c r="G193" s="3">
        <v>1</v>
      </c>
      <c r="H193" s="3">
        <v>2</v>
      </c>
      <c r="I193" s="7">
        <v>2</v>
      </c>
      <c r="L193" s="22">
        <f>SUM(L178:L192)</f>
        <v>29</v>
      </c>
      <c r="M193" s="35">
        <f t="shared" si="54"/>
        <v>7.5324675324675319</v>
      </c>
      <c r="AF193" s="23">
        <f>SUM(AF178:AF192)</f>
        <v>10</v>
      </c>
      <c r="AG193" s="37">
        <f t="shared" si="55"/>
        <v>2.5974025974025974</v>
      </c>
    </row>
    <row r="194" spans="1:33" x14ac:dyDescent="0.3">
      <c r="A194" s="6" t="s">
        <v>511</v>
      </c>
      <c r="B194" s="7">
        <v>16</v>
      </c>
      <c r="C194" s="3">
        <v>21</v>
      </c>
      <c r="D194" s="11">
        <v>1</v>
      </c>
      <c r="E194" s="7">
        <v>3</v>
      </c>
      <c r="F194" s="11">
        <v>1</v>
      </c>
      <c r="G194" s="3">
        <v>1</v>
      </c>
      <c r="H194" s="11">
        <v>2</v>
      </c>
      <c r="I194" s="11">
        <v>2</v>
      </c>
      <c r="J194">
        <v>2021</v>
      </c>
      <c r="K194" t="s">
        <v>11</v>
      </c>
      <c r="L194">
        <f>COUNTIFS($B$2:$B$386,13,$D$2:$D$386,1)</f>
        <v>4</v>
      </c>
      <c r="M194" s="34">
        <f>(L194/385)*100</f>
        <v>1.0389610389610389</v>
      </c>
      <c r="AD194" t="s">
        <v>153</v>
      </c>
      <c r="AE194" s="4">
        <v>1</v>
      </c>
      <c r="AF194">
        <f>COUNTIFS($D$2:$D$386,13,$F$2:$F$386,1)</f>
        <v>1</v>
      </c>
      <c r="AG194" s="34">
        <f>(AF194/385)*100</f>
        <v>0.25974025974025972</v>
      </c>
    </row>
    <row r="195" spans="1:33" x14ac:dyDescent="0.3">
      <c r="A195" t="s">
        <v>1556</v>
      </c>
      <c r="B195" s="7">
        <v>12</v>
      </c>
      <c r="C195" s="3">
        <v>20</v>
      </c>
      <c r="D195" s="3">
        <v>4</v>
      </c>
      <c r="E195" s="3">
        <v>1</v>
      </c>
      <c r="F195" s="3">
        <v>1</v>
      </c>
      <c r="G195" s="3">
        <v>1</v>
      </c>
      <c r="H195" s="3">
        <v>2</v>
      </c>
      <c r="I195" s="7">
        <v>2</v>
      </c>
      <c r="K195" t="s">
        <v>18</v>
      </c>
      <c r="L195">
        <f>COUNTIFS($B$2:$B$386,13,$D$2:$D$386,2)</f>
        <v>6</v>
      </c>
      <c r="M195" s="34">
        <f t="shared" ref="M195:M209" si="56">(L195/385)*100</f>
        <v>1.5584415584415585</v>
      </c>
      <c r="AE195">
        <v>2</v>
      </c>
      <c r="AF195">
        <f>COUNTIFS($D$2:$D$386,13,$F$2:$F$386,2)</f>
        <v>1</v>
      </c>
      <c r="AG195" s="34">
        <f t="shared" ref="AG195:AG209" si="57">(AF195/385)*100</f>
        <v>0.25974025974025972</v>
      </c>
    </row>
    <row r="196" spans="1:33" x14ac:dyDescent="0.3">
      <c r="A196" t="s">
        <v>2572</v>
      </c>
      <c r="B196" s="7">
        <v>15</v>
      </c>
      <c r="C196" s="3">
        <v>21</v>
      </c>
      <c r="D196" s="3">
        <v>4</v>
      </c>
      <c r="E196" s="3">
        <v>3</v>
      </c>
      <c r="F196" s="3">
        <v>1</v>
      </c>
      <c r="G196" s="3">
        <v>1</v>
      </c>
      <c r="H196" s="11">
        <v>2</v>
      </c>
      <c r="I196" s="11">
        <v>2</v>
      </c>
      <c r="K196" t="s">
        <v>150</v>
      </c>
      <c r="L196">
        <f>COUNTIFS($B$2:$B$386,13,$D$2:$D$386,3)</f>
        <v>3</v>
      </c>
      <c r="M196" s="34">
        <f t="shared" si="56"/>
        <v>0.77922077922077926</v>
      </c>
      <c r="AE196" s="4">
        <v>3</v>
      </c>
      <c r="AF196">
        <f>COUNTIFS($D$2:$D$386,13,$F$2:$F$386,3)</f>
        <v>0</v>
      </c>
      <c r="AG196" s="34">
        <f t="shared" si="57"/>
        <v>0</v>
      </c>
    </row>
    <row r="197" spans="1:33" x14ac:dyDescent="0.3">
      <c r="A197" s="6" t="s">
        <v>894</v>
      </c>
      <c r="B197" s="7">
        <v>15</v>
      </c>
      <c r="C197" s="3">
        <v>21</v>
      </c>
      <c r="D197" s="11">
        <v>4</v>
      </c>
      <c r="E197" s="11">
        <v>3</v>
      </c>
      <c r="F197" s="11">
        <v>1</v>
      </c>
      <c r="G197" s="3">
        <v>1</v>
      </c>
      <c r="H197" s="11">
        <v>2</v>
      </c>
      <c r="I197" s="11">
        <v>2</v>
      </c>
      <c r="K197" t="s">
        <v>25</v>
      </c>
      <c r="L197">
        <f>COUNTIFS($B$2:$B$386,13,$D$2:$D$386,4)</f>
        <v>17</v>
      </c>
      <c r="M197" s="34">
        <f t="shared" si="56"/>
        <v>4.4155844155844157</v>
      </c>
      <c r="AE197" s="4">
        <v>4</v>
      </c>
      <c r="AF197">
        <f>COUNTIFS($D$2:$D$386,13,$F$2:$F$386,4)</f>
        <v>0</v>
      </c>
      <c r="AG197" s="34">
        <f t="shared" si="57"/>
        <v>0</v>
      </c>
    </row>
    <row r="198" spans="1:33" x14ac:dyDescent="0.3">
      <c r="A198" t="s">
        <v>2971</v>
      </c>
      <c r="B198" s="7">
        <v>7</v>
      </c>
      <c r="C198" s="3">
        <v>19</v>
      </c>
      <c r="D198" s="3">
        <v>15</v>
      </c>
      <c r="E198" s="3">
        <v>5</v>
      </c>
      <c r="F198" s="3">
        <v>1</v>
      </c>
      <c r="G198" s="3">
        <v>1</v>
      </c>
      <c r="H198" s="3">
        <v>1</v>
      </c>
      <c r="I198" s="7">
        <v>2</v>
      </c>
      <c r="K198" t="s">
        <v>32</v>
      </c>
      <c r="L198">
        <f>COUNTIFS($B$2:$B$386,13,$D$2:$D$386,5)</f>
        <v>2</v>
      </c>
      <c r="M198" s="34">
        <f t="shared" si="56"/>
        <v>0.51948051948051943</v>
      </c>
      <c r="AE198" s="4">
        <v>5</v>
      </c>
      <c r="AF198">
        <f>COUNTIFS($D$2:$D$386,13,$F$2:$F$386,5)</f>
        <v>0</v>
      </c>
      <c r="AG198" s="34">
        <f t="shared" si="57"/>
        <v>0</v>
      </c>
    </row>
    <row r="199" spans="1:33" x14ac:dyDescent="0.3">
      <c r="A199" s="6" t="s">
        <v>476</v>
      </c>
      <c r="B199" s="7">
        <v>16</v>
      </c>
      <c r="C199" s="3">
        <v>21</v>
      </c>
      <c r="D199" s="11">
        <v>4</v>
      </c>
      <c r="E199" s="11">
        <v>3</v>
      </c>
      <c r="F199" s="11">
        <v>1</v>
      </c>
      <c r="G199" s="3">
        <v>1</v>
      </c>
      <c r="H199" s="11">
        <v>2</v>
      </c>
      <c r="I199" s="11">
        <v>2</v>
      </c>
      <c r="K199" t="s">
        <v>38</v>
      </c>
      <c r="L199">
        <f>COUNTIFS($B$2:$B$386,13,$D$2:$D$386,6)</f>
        <v>0</v>
      </c>
      <c r="M199" s="34">
        <f t="shared" si="56"/>
        <v>0</v>
      </c>
      <c r="AE199" s="4">
        <v>6</v>
      </c>
      <c r="AF199">
        <f>COUNTIFS($D$2:$D$386,13,$F$2:$F$386,6)</f>
        <v>0</v>
      </c>
      <c r="AG199" s="34">
        <f t="shared" si="57"/>
        <v>0</v>
      </c>
    </row>
    <row r="200" spans="1:33" x14ac:dyDescent="0.3">
      <c r="A200" s="6" t="s">
        <v>1104</v>
      </c>
      <c r="B200" s="7">
        <v>14</v>
      </c>
      <c r="C200" s="3">
        <v>21</v>
      </c>
      <c r="D200" s="11">
        <v>4</v>
      </c>
      <c r="E200" s="3">
        <v>3</v>
      </c>
      <c r="F200" s="3">
        <v>1</v>
      </c>
      <c r="G200" s="3">
        <v>1</v>
      </c>
      <c r="H200" s="3">
        <v>2</v>
      </c>
      <c r="I200" s="11">
        <v>2</v>
      </c>
      <c r="K200" t="s">
        <v>151</v>
      </c>
      <c r="L200">
        <f>COUNTIFS($B$2:$B$386,13,$D$2:$D$386,7)</f>
        <v>0</v>
      </c>
      <c r="M200" s="34">
        <f t="shared" si="56"/>
        <v>0</v>
      </c>
      <c r="AE200" s="4">
        <v>7</v>
      </c>
      <c r="AF200">
        <f>COUNTIFS($D$2:$D$386,13,$F$2:$F$386,7)</f>
        <v>0</v>
      </c>
      <c r="AG200" s="34">
        <f t="shared" si="57"/>
        <v>0</v>
      </c>
    </row>
    <row r="201" spans="1:33" x14ac:dyDescent="0.3">
      <c r="A201" t="s">
        <v>1648</v>
      </c>
      <c r="B201" s="7">
        <v>10</v>
      </c>
      <c r="C201" s="3">
        <v>20</v>
      </c>
      <c r="D201" s="3">
        <v>4</v>
      </c>
      <c r="E201" s="3">
        <v>6</v>
      </c>
      <c r="F201" s="3">
        <v>2</v>
      </c>
      <c r="G201" s="3">
        <v>2</v>
      </c>
      <c r="H201" s="3">
        <v>3</v>
      </c>
      <c r="I201" s="7">
        <v>2</v>
      </c>
      <c r="K201" t="s">
        <v>43</v>
      </c>
      <c r="L201">
        <f>COUNTIFS($B$2:$B$386,13,$D$2:$D$386,8)</f>
        <v>5</v>
      </c>
      <c r="M201" s="34">
        <f t="shared" si="56"/>
        <v>1.2987012987012987</v>
      </c>
      <c r="AE201" s="4">
        <v>8</v>
      </c>
      <c r="AF201">
        <f>COUNTIFS($D$2:$D$386,13,$F$2:$F$386,8)</f>
        <v>0</v>
      </c>
      <c r="AG201" s="34">
        <f t="shared" si="57"/>
        <v>0</v>
      </c>
    </row>
    <row r="202" spans="1:33" x14ac:dyDescent="0.3">
      <c r="A202" t="s">
        <v>2507</v>
      </c>
      <c r="B202" s="7">
        <v>16</v>
      </c>
      <c r="C202" s="3">
        <v>21</v>
      </c>
      <c r="D202" s="3">
        <v>15</v>
      </c>
      <c r="E202" s="3">
        <v>5</v>
      </c>
      <c r="F202" s="3">
        <v>100</v>
      </c>
      <c r="G202" s="3">
        <v>100</v>
      </c>
      <c r="H202" s="3">
        <v>100</v>
      </c>
      <c r="I202" s="11">
        <v>2</v>
      </c>
      <c r="K202" t="s">
        <v>46</v>
      </c>
      <c r="L202">
        <f>COUNTIFS($B$2:$B$386,13,$D$2:$D$386,9)</f>
        <v>2</v>
      </c>
      <c r="M202" s="34">
        <f t="shared" si="56"/>
        <v>0.51948051948051943</v>
      </c>
      <c r="AE202" s="4">
        <v>9</v>
      </c>
      <c r="AF202">
        <f>COUNTIFS($D$2:$D$386,13,$F$2:$F$386,9)</f>
        <v>0</v>
      </c>
      <c r="AG202" s="34">
        <f t="shared" si="57"/>
        <v>0</v>
      </c>
    </row>
    <row r="203" spans="1:33" x14ac:dyDescent="0.3">
      <c r="A203" t="s">
        <v>1796</v>
      </c>
      <c r="B203" s="7">
        <v>9</v>
      </c>
      <c r="C203" s="3">
        <v>20</v>
      </c>
      <c r="D203" s="3">
        <v>1</v>
      </c>
      <c r="E203" s="3">
        <v>7</v>
      </c>
      <c r="F203" s="11">
        <v>1</v>
      </c>
      <c r="G203" s="3">
        <v>1</v>
      </c>
      <c r="H203" s="11">
        <v>2</v>
      </c>
      <c r="I203" s="11">
        <v>2</v>
      </c>
      <c r="K203" t="s">
        <v>152</v>
      </c>
      <c r="L203">
        <f>COUNTIFS($B$2:$B$386,13,$D$2:$D$386,10)</f>
        <v>0</v>
      </c>
      <c r="M203" s="34">
        <f t="shared" si="56"/>
        <v>0</v>
      </c>
      <c r="AE203" s="4">
        <v>10</v>
      </c>
      <c r="AF203">
        <f>COUNTIFS($D$2:$D$386,13,$F$2:$F$386,10)</f>
        <v>0</v>
      </c>
      <c r="AG203" s="34">
        <f t="shared" si="57"/>
        <v>0</v>
      </c>
    </row>
    <row r="204" spans="1:33" x14ac:dyDescent="0.3">
      <c r="A204" s="6" t="s">
        <v>279</v>
      </c>
      <c r="B204" s="7">
        <v>16</v>
      </c>
      <c r="C204" s="3">
        <v>21</v>
      </c>
      <c r="D204" s="11">
        <v>4</v>
      </c>
      <c r="E204" s="11">
        <v>8</v>
      </c>
      <c r="F204" s="11">
        <v>1</v>
      </c>
      <c r="G204" s="3">
        <v>1</v>
      </c>
      <c r="H204" s="11">
        <v>2</v>
      </c>
      <c r="I204" s="11">
        <v>2</v>
      </c>
      <c r="K204" t="s">
        <v>49</v>
      </c>
      <c r="L204">
        <f>COUNTIFS($B$2:$B$386,13,$D$2:$D$386,11)</f>
        <v>1</v>
      </c>
      <c r="M204" s="34">
        <f t="shared" si="56"/>
        <v>0.25974025974025972</v>
      </c>
      <c r="AE204" s="4">
        <v>11</v>
      </c>
      <c r="AF204">
        <f>COUNTIFS($D$2:$D$386,13,$F$2:$F$386,11)</f>
        <v>0</v>
      </c>
      <c r="AG204" s="34">
        <f t="shared" si="57"/>
        <v>0</v>
      </c>
    </row>
    <row r="205" spans="1:33" x14ac:dyDescent="0.3">
      <c r="A205" t="s">
        <v>1883</v>
      </c>
      <c r="B205" s="7">
        <v>9</v>
      </c>
      <c r="C205" s="3">
        <v>20</v>
      </c>
      <c r="D205" s="11">
        <v>15</v>
      </c>
      <c r="E205" s="11">
        <v>8</v>
      </c>
      <c r="F205" s="11">
        <v>1</v>
      </c>
      <c r="G205" s="3">
        <v>1</v>
      </c>
      <c r="H205" s="11">
        <v>2</v>
      </c>
      <c r="I205" s="7">
        <v>2</v>
      </c>
      <c r="K205" t="s">
        <v>51</v>
      </c>
      <c r="L205">
        <f>COUNTIFS($B$2:$B$386,13,$D$2:$D$386,12)</f>
        <v>2</v>
      </c>
      <c r="M205" s="34">
        <f t="shared" si="56"/>
        <v>0.51948051948051943</v>
      </c>
      <c r="AE205" s="4">
        <v>12</v>
      </c>
      <c r="AF205">
        <f>COUNTIFS($D$2:$D$386,13,$F$2:$F$386,12)</f>
        <v>0</v>
      </c>
      <c r="AG205" s="34">
        <f t="shared" si="57"/>
        <v>0</v>
      </c>
    </row>
    <row r="206" spans="1:33" x14ac:dyDescent="0.3">
      <c r="A206" t="s">
        <v>1943</v>
      </c>
      <c r="B206" s="7">
        <v>8</v>
      </c>
      <c r="C206" s="3">
        <v>19</v>
      </c>
      <c r="D206" s="3">
        <v>4</v>
      </c>
      <c r="E206" s="3">
        <v>3</v>
      </c>
      <c r="F206" s="3">
        <v>1</v>
      </c>
      <c r="G206" s="3">
        <v>1</v>
      </c>
      <c r="H206" s="3">
        <v>1</v>
      </c>
      <c r="I206" s="11">
        <v>2</v>
      </c>
      <c r="K206" t="s">
        <v>153</v>
      </c>
      <c r="L206">
        <f>COUNTIFS($B$2:$B$386,13,$D$2:$D$386,13)</f>
        <v>0</v>
      </c>
      <c r="M206" s="34">
        <f t="shared" si="56"/>
        <v>0</v>
      </c>
      <c r="AE206" s="4">
        <v>13</v>
      </c>
      <c r="AF206">
        <f>COUNTIFS($D$2:$D$386,13,$F$2:$F$386,13)</f>
        <v>0</v>
      </c>
      <c r="AG206" s="34">
        <f t="shared" si="57"/>
        <v>0</v>
      </c>
    </row>
    <row r="207" spans="1:33" x14ac:dyDescent="0.3">
      <c r="A207" t="s">
        <v>2916</v>
      </c>
      <c r="B207" s="7">
        <v>10</v>
      </c>
      <c r="C207" s="3">
        <v>20</v>
      </c>
      <c r="D207" s="3">
        <v>14</v>
      </c>
      <c r="E207" s="3">
        <v>3</v>
      </c>
      <c r="F207" s="3">
        <v>100</v>
      </c>
      <c r="G207" s="3">
        <v>100</v>
      </c>
      <c r="H207" s="3">
        <v>100</v>
      </c>
      <c r="I207" s="11">
        <v>2</v>
      </c>
      <c r="K207" t="s">
        <v>154</v>
      </c>
      <c r="L207">
        <f>COUNTIFS($B$2:$B$386,13,$D$2:$D$386,14)</f>
        <v>0</v>
      </c>
      <c r="M207" s="34">
        <f t="shared" si="56"/>
        <v>0</v>
      </c>
      <c r="AE207" s="4">
        <v>14</v>
      </c>
      <c r="AF207">
        <f>COUNTIFS($D$2:$D$386,13,$F$2:$F$386,14)</f>
        <v>0</v>
      </c>
      <c r="AG207" s="34">
        <f t="shared" si="57"/>
        <v>0</v>
      </c>
    </row>
    <row r="208" spans="1:33" x14ac:dyDescent="0.3">
      <c r="A208" t="s">
        <v>2015</v>
      </c>
      <c r="B208" s="7">
        <v>5</v>
      </c>
      <c r="C208" s="3">
        <v>19</v>
      </c>
      <c r="D208" s="3">
        <v>4</v>
      </c>
      <c r="E208" s="3">
        <v>3</v>
      </c>
      <c r="F208" s="3">
        <v>1</v>
      </c>
      <c r="G208" s="3">
        <v>1</v>
      </c>
      <c r="H208" s="3">
        <v>1</v>
      </c>
      <c r="I208" s="7">
        <v>2</v>
      </c>
      <c r="K208" t="s">
        <v>52</v>
      </c>
      <c r="L208">
        <f>COUNTIFS($B$2:$B$386,13,$D$2:$D$386,15)</f>
        <v>6</v>
      </c>
      <c r="M208" s="34">
        <f t="shared" si="56"/>
        <v>1.5584415584415585</v>
      </c>
      <c r="AE208" t="s">
        <v>3090</v>
      </c>
      <c r="AF208">
        <f>COUNTIFS($D$2:$D$386,13,$F$2:$F$386,100)</f>
        <v>0</v>
      </c>
      <c r="AG208" s="34">
        <f t="shared" si="57"/>
        <v>0</v>
      </c>
    </row>
    <row r="209" spans="1:33" x14ac:dyDescent="0.3">
      <c r="A209" t="s">
        <v>2012</v>
      </c>
      <c r="B209" s="7">
        <v>7</v>
      </c>
      <c r="C209" s="3">
        <v>19</v>
      </c>
      <c r="D209" s="3">
        <v>1</v>
      </c>
      <c r="E209" s="3">
        <v>3</v>
      </c>
      <c r="F209" s="3">
        <v>1</v>
      </c>
      <c r="G209" s="3">
        <v>1</v>
      </c>
      <c r="H209" s="3">
        <v>1</v>
      </c>
      <c r="I209" s="11">
        <v>2</v>
      </c>
      <c r="L209" s="22">
        <f>SUM(L194:L208)</f>
        <v>48</v>
      </c>
      <c r="M209" s="35">
        <f t="shared" si="56"/>
        <v>12.467532467532468</v>
      </c>
      <c r="AF209" s="23">
        <f>SUM(AF194:AF208)</f>
        <v>2</v>
      </c>
      <c r="AG209" s="37">
        <f t="shared" si="57"/>
        <v>0.51948051948051943</v>
      </c>
    </row>
    <row r="210" spans="1:33" x14ac:dyDescent="0.3">
      <c r="A210" s="6" t="s">
        <v>1010</v>
      </c>
      <c r="B210" s="7">
        <v>14</v>
      </c>
      <c r="C210" s="3">
        <v>21</v>
      </c>
      <c r="D210" s="11">
        <v>4</v>
      </c>
      <c r="E210" s="7">
        <v>3</v>
      </c>
      <c r="F210" s="11">
        <v>1</v>
      </c>
      <c r="G210" s="3">
        <v>1</v>
      </c>
      <c r="H210" s="11">
        <v>2</v>
      </c>
      <c r="I210" s="11">
        <v>2</v>
      </c>
      <c r="J210">
        <v>2022</v>
      </c>
      <c r="K210" t="s">
        <v>11</v>
      </c>
      <c r="L210">
        <f>COUNTIFS($B$2:$B$386,14,$D$2:$D$386,1)</f>
        <v>2</v>
      </c>
      <c r="M210" s="34">
        <f>(L210/385)*100</f>
        <v>0.51948051948051943</v>
      </c>
      <c r="AD210" t="s">
        <v>154</v>
      </c>
      <c r="AE210" s="4">
        <v>1</v>
      </c>
      <c r="AF210">
        <f>COUNTIFS($D$2:$D$386,14,$F$2:$F$386,1)</f>
        <v>4</v>
      </c>
      <c r="AG210" s="34">
        <f>(AF210/385)*100</f>
        <v>1.0389610389610389</v>
      </c>
    </row>
    <row r="211" spans="1:33" x14ac:dyDescent="0.3">
      <c r="A211" t="s">
        <v>2630</v>
      </c>
      <c r="B211" s="7">
        <v>14</v>
      </c>
      <c r="C211" s="3">
        <v>21</v>
      </c>
      <c r="D211" s="3">
        <v>3</v>
      </c>
      <c r="E211" s="3">
        <v>3</v>
      </c>
      <c r="F211" s="3">
        <v>1</v>
      </c>
      <c r="G211" s="3">
        <v>1</v>
      </c>
      <c r="H211" s="3">
        <v>3</v>
      </c>
      <c r="I211" s="11">
        <v>2</v>
      </c>
      <c r="K211" t="s">
        <v>18</v>
      </c>
      <c r="L211">
        <f>COUNTIFS($B$2:$B$386,14,$D$2:$D$386,2)</f>
        <v>2</v>
      </c>
      <c r="M211" s="34">
        <f t="shared" ref="M211:M225" si="58">(L211/385)*100</f>
        <v>0.51948051948051943</v>
      </c>
      <c r="AE211">
        <v>2</v>
      </c>
      <c r="AF211">
        <f>COUNTIFS($D$2:$D$386,14,$F$2:$F$386,2)</f>
        <v>0</v>
      </c>
      <c r="AG211" s="34">
        <f t="shared" ref="AG211:AG225" si="59">(AF211/385)*100</f>
        <v>0</v>
      </c>
    </row>
    <row r="212" spans="1:33" x14ac:dyDescent="0.3">
      <c r="A212" t="s">
        <v>2057</v>
      </c>
      <c r="B212" s="7">
        <v>6</v>
      </c>
      <c r="C212" s="3">
        <v>19</v>
      </c>
      <c r="D212" s="3">
        <v>4</v>
      </c>
      <c r="E212" s="3">
        <v>1</v>
      </c>
      <c r="F212" s="3">
        <v>1</v>
      </c>
      <c r="G212" s="3">
        <v>1</v>
      </c>
      <c r="H212" s="3">
        <v>1</v>
      </c>
      <c r="I212" s="11">
        <v>2</v>
      </c>
      <c r="K212" t="s">
        <v>150</v>
      </c>
      <c r="L212">
        <f>COUNTIFS($B$2:$B$386,14,$D$2:$D$386,3)</f>
        <v>6</v>
      </c>
      <c r="M212" s="34">
        <f t="shared" si="58"/>
        <v>1.5584415584415585</v>
      </c>
      <c r="AE212" s="4">
        <v>3</v>
      </c>
      <c r="AF212">
        <f>COUNTIFS($D$2:$D$386,14,$F$2:$F$386,3)</f>
        <v>1</v>
      </c>
      <c r="AG212" s="34">
        <f t="shared" si="59"/>
        <v>0.25974025974025972</v>
      </c>
    </row>
    <row r="213" spans="1:33" x14ac:dyDescent="0.3">
      <c r="A213" t="s">
        <v>2261</v>
      </c>
      <c r="B213" s="7">
        <v>5</v>
      </c>
      <c r="C213" s="3">
        <v>19</v>
      </c>
      <c r="D213" s="3">
        <v>4</v>
      </c>
      <c r="E213" s="3">
        <v>3</v>
      </c>
      <c r="F213" s="3">
        <v>1</v>
      </c>
      <c r="G213" s="3">
        <v>1</v>
      </c>
      <c r="H213" s="3">
        <v>1</v>
      </c>
      <c r="I213" s="7">
        <v>2</v>
      </c>
      <c r="K213" t="s">
        <v>25</v>
      </c>
      <c r="L213">
        <f>COUNTIFS($B$2:$B$386,14,$D$2:$D$386,4)</f>
        <v>14</v>
      </c>
      <c r="M213" s="34">
        <f t="shared" si="58"/>
        <v>3.6363636363636362</v>
      </c>
      <c r="AE213" s="4">
        <v>4</v>
      </c>
      <c r="AF213">
        <f>COUNTIFS($D$2:$D$386,14,$F$2:$F$386,4)</f>
        <v>1</v>
      </c>
      <c r="AG213" s="34">
        <f t="shared" si="59"/>
        <v>0.25974025974025972</v>
      </c>
    </row>
    <row r="214" spans="1:33" x14ac:dyDescent="0.3">
      <c r="A214" s="6" t="s">
        <v>469</v>
      </c>
      <c r="B214" s="7">
        <v>16</v>
      </c>
      <c r="C214" s="3">
        <v>21</v>
      </c>
      <c r="D214" s="11">
        <v>5</v>
      </c>
      <c r="E214" s="11">
        <v>3</v>
      </c>
      <c r="F214" s="11">
        <v>3</v>
      </c>
      <c r="G214" s="3">
        <v>3</v>
      </c>
      <c r="H214" s="11">
        <v>3</v>
      </c>
      <c r="I214" s="7">
        <v>1</v>
      </c>
      <c r="K214" t="s">
        <v>32</v>
      </c>
      <c r="L214">
        <f>COUNTIFS($B$2:$B$386,14,$D$2:$D$386,5)</f>
        <v>1</v>
      </c>
      <c r="M214" s="34">
        <f t="shared" si="58"/>
        <v>0.25974025974025972</v>
      </c>
      <c r="AE214" s="4">
        <v>5</v>
      </c>
      <c r="AF214">
        <f>COUNTIFS($D$2:$D$386,14,$F$2:$F$386,5)</f>
        <v>0</v>
      </c>
      <c r="AG214" s="34">
        <f t="shared" si="59"/>
        <v>0</v>
      </c>
    </row>
    <row r="215" spans="1:33" x14ac:dyDescent="0.3">
      <c r="A215" s="6" t="s">
        <v>554</v>
      </c>
      <c r="B215" s="7">
        <v>16</v>
      </c>
      <c r="C215" s="3">
        <v>21</v>
      </c>
      <c r="D215" s="11">
        <v>6</v>
      </c>
      <c r="E215" s="11">
        <v>3</v>
      </c>
      <c r="F215" s="11">
        <v>1</v>
      </c>
      <c r="G215" s="3">
        <v>1</v>
      </c>
      <c r="H215" s="11">
        <v>2</v>
      </c>
      <c r="I215" s="11">
        <v>2</v>
      </c>
      <c r="K215" t="s">
        <v>38</v>
      </c>
      <c r="L215">
        <f>COUNTIFS($B$2:$B$386,14,$D$2:$D$386,6)</f>
        <v>0</v>
      </c>
      <c r="M215" s="34">
        <f t="shared" si="58"/>
        <v>0</v>
      </c>
      <c r="AE215" s="4">
        <v>6</v>
      </c>
      <c r="AF215">
        <f>COUNTIFS($D$2:$D$386,14,$F$2:$F$386,6)</f>
        <v>0</v>
      </c>
      <c r="AG215" s="34">
        <f t="shared" si="59"/>
        <v>0</v>
      </c>
    </row>
    <row r="216" spans="1:33" x14ac:dyDescent="0.3">
      <c r="A216" t="s">
        <v>1190</v>
      </c>
      <c r="B216" s="7">
        <v>13</v>
      </c>
      <c r="C216" s="3">
        <v>21</v>
      </c>
      <c r="D216" s="3">
        <v>4</v>
      </c>
      <c r="E216" s="3">
        <v>3</v>
      </c>
      <c r="F216" s="3">
        <v>1</v>
      </c>
      <c r="G216" s="3">
        <v>1</v>
      </c>
      <c r="H216" s="3">
        <v>2</v>
      </c>
      <c r="I216" s="11">
        <v>2</v>
      </c>
      <c r="K216" t="s">
        <v>151</v>
      </c>
      <c r="L216">
        <f>COUNTIFS($B$2:$B$386,14,$D$2:$D$386,7)</f>
        <v>0</v>
      </c>
      <c r="M216" s="34">
        <f t="shared" si="58"/>
        <v>0</v>
      </c>
      <c r="AE216" s="4">
        <v>7</v>
      </c>
      <c r="AF216">
        <f>COUNTIFS($D$2:$D$386,14,$F$2:$F$386,7)</f>
        <v>0</v>
      </c>
      <c r="AG216" s="34">
        <f t="shared" si="59"/>
        <v>0</v>
      </c>
    </row>
    <row r="217" spans="1:33" x14ac:dyDescent="0.3">
      <c r="A217" t="s">
        <v>3049</v>
      </c>
      <c r="B217" s="7">
        <v>4</v>
      </c>
      <c r="C217" s="3">
        <v>18</v>
      </c>
      <c r="D217" s="3">
        <v>3</v>
      </c>
      <c r="E217" s="3">
        <v>3</v>
      </c>
      <c r="F217" s="3">
        <v>3</v>
      </c>
      <c r="G217" s="3">
        <v>3</v>
      </c>
      <c r="H217" s="3">
        <v>4</v>
      </c>
      <c r="I217" s="3">
        <v>1</v>
      </c>
      <c r="K217" t="s">
        <v>43</v>
      </c>
      <c r="L217">
        <f>COUNTIFS($B$2:$B$386,14,$D$2:$D$386,8)</f>
        <v>4</v>
      </c>
      <c r="M217" s="34">
        <f t="shared" si="58"/>
        <v>1.0389610389610389</v>
      </c>
      <c r="AE217" s="4">
        <v>8</v>
      </c>
      <c r="AF217">
        <f>COUNTIFS($D$2:$D$386,14,$F$2:$F$386,8)</f>
        <v>0</v>
      </c>
      <c r="AG217" s="34">
        <f t="shared" si="59"/>
        <v>0</v>
      </c>
    </row>
    <row r="218" spans="1:33" x14ac:dyDescent="0.3">
      <c r="A218" t="s">
        <v>1982</v>
      </c>
      <c r="B218" s="7">
        <v>7</v>
      </c>
      <c r="C218" s="3">
        <v>19</v>
      </c>
      <c r="D218" s="11">
        <v>4</v>
      </c>
      <c r="E218" s="11">
        <v>8</v>
      </c>
      <c r="F218" s="11">
        <v>2</v>
      </c>
      <c r="G218" s="3">
        <v>2</v>
      </c>
      <c r="H218" s="11">
        <v>4</v>
      </c>
      <c r="I218" s="7">
        <v>2</v>
      </c>
      <c r="K218" t="s">
        <v>46</v>
      </c>
      <c r="L218">
        <f>COUNTIFS($B$2:$B$386,14,$D$2:$D$386,9)</f>
        <v>0</v>
      </c>
      <c r="M218" s="34">
        <f t="shared" si="58"/>
        <v>0</v>
      </c>
      <c r="AE218" s="4">
        <v>9</v>
      </c>
      <c r="AF218">
        <f>COUNTIFS($D$2:$D$386,14,$F$2:$F$386,9)</f>
        <v>0</v>
      </c>
      <c r="AG218" s="34">
        <f t="shared" si="59"/>
        <v>0</v>
      </c>
    </row>
    <row r="219" spans="1:33" x14ac:dyDescent="0.3">
      <c r="A219" s="6" t="s">
        <v>932</v>
      </c>
      <c r="B219" s="7">
        <v>15</v>
      </c>
      <c r="C219" s="3">
        <v>21</v>
      </c>
      <c r="D219" s="11">
        <v>1</v>
      </c>
      <c r="E219" s="11">
        <v>7</v>
      </c>
      <c r="F219" s="11">
        <v>1</v>
      </c>
      <c r="G219" s="3">
        <v>1</v>
      </c>
      <c r="H219" s="11">
        <v>2</v>
      </c>
      <c r="I219" s="7">
        <v>2</v>
      </c>
      <c r="K219" t="s">
        <v>152</v>
      </c>
      <c r="L219">
        <f>COUNTIFS($B$2:$B$386,14,$D$2:$D$386,10)</f>
        <v>0</v>
      </c>
      <c r="M219" s="34">
        <f t="shared" si="58"/>
        <v>0</v>
      </c>
      <c r="AE219" s="4">
        <v>10</v>
      </c>
      <c r="AF219">
        <f>COUNTIFS($D$2:$D$386,14,$F$2:$F$386,10)</f>
        <v>0</v>
      </c>
      <c r="AG219" s="34">
        <f t="shared" si="59"/>
        <v>0</v>
      </c>
    </row>
    <row r="220" spans="1:33" x14ac:dyDescent="0.3">
      <c r="A220" t="s">
        <v>2399</v>
      </c>
      <c r="B220" s="7">
        <v>2</v>
      </c>
      <c r="C220" s="3">
        <v>18</v>
      </c>
      <c r="D220" s="3">
        <v>4</v>
      </c>
      <c r="E220" s="3">
        <v>1</v>
      </c>
      <c r="F220" s="3">
        <v>100</v>
      </c>
      <c r="G220" s="3">
        <v>100</v>
      </c>
      <c r="H220" s="3">
        <v>100</v>
      </c>
      <c r="I220" s="11">
        <v>2</v>
      </c>
      <c r="K220" t="s">
        <v>49</v>
      </c>
      <c r="L220">
        <f>COUNTIFS($B$2:$B$386,14,$D$2:$D$386,11)</f>
        <v>0</v>
      </c>
      <c r="M220" s="34">
        <f t="shared" si="58"/>
        <v>0</v>
      </c>
      <c r="AE220" s="4">
        <v>11</v>
      </c>
      <c r="AF220">
        <f>COUNTIFS($D$2:$D$386,14,$F$2:$F$386,11)</f>
        <v>1</v>
      </c>
      <c r="AG220" s="34">
        <f t="shared" si="59"/>
        <v>0.25974025974025972</v>
      </c>
    </row>
    <row r="221" spans="1:33" x14ac:dyDescent="0.3">
      <c r="A221" t="s">
        <v>1427</v>
      </c>
      <c r="B221" s="7">
        <v>13</v>
      </c>
      <c r="C221" s="3">
        <v>21</v>
      </c>
      <c r="D221" s="11">
        <v>8</v>
      </c>
      <c r="E221" s="11">
        <v>8</v>
      </c>
      <c r="F221" s="11">
        <v>1</v>
      </c>
      <c r="G221" s="3">
        <v>1</v>
      </c>
      <c r="H221" s="11">
        <v>2</v>
      </c>
      <c r="I221" s="7">
        <v>2</v>
      </c>
      <c r="K221" t="s">
        <v>51</v>
      </c>
      <c r="L221">
        <f>COUNTIFS($B$2:$B$386,14,$D$2:$D$386,12)</f>
        <v>0</v>
      </c>
      <c r="M221" s="34">
        <f t="shared" si="58"/>
        <v>0</v>
      </c>
      <c r="AE221" s="4">
        <v>12</v>
      </c>
      <c r="AF221">
        <f>COUNTIFS($D$2:$D$386,14,$F$2:$F$386,12)</f>
        <v>0</v>
      </c>
      <c r="AG221" s="34">
        <f t="shared" si="59"/>
        <v>0</v>
      </c>
    </row>
    <row r="222" spans="1:33" x14ac:dyDescent="0.3">
      <c r="A222" s="6" t="s">
        <v>648</v>
      </c>
      <c r="B222" s="7">
        <v>16</v>
      </c>
      <c r="C222" s="3">
        <v>21</v>
      </c>
      <c r="D222" s="11">
        <v>4</v>
      </c>
      <c r="E222" s="11">
        <v>3</v>
      </c>
      <c r="F222" s="11">
        <v>1</v>
      </c>
      <c r="G222" s="3">
        <v>1</v>
      </c>
      <c r="H222" s="11">
        <v>2</v>
      </c>
      <c r="I222" s="11">
        <v>2</v>
      </c>
      <c r="K222" t="s">
        <v>153</v>
      </c>
      <c r="L222">
        <f>COUNTIFS($B$2:$B$386,14,$D$2:$D$386,13)</f>
        <v>0</v>
      </c>
      <c r="M222" s="34">
        <f t="shared" si="58"/>
        <v>0</v>
      </c>
      <c r="AE222" s="4">
        <v>13</v>
      </c>
      <c r="AF222">
        <f>COUNTIFS($D$2:$D$386,14,$F$2:$F$386,13)</f>
        <v>0</v>
      </c>
      <c r="AG222" s="34">
        <f t="shared" si="59"/>
        <v>0</v>
      </c>
    </row>
    <row r="223" spans="1:33" x14ac:dyDescent="0.3">
      <c r="A223" t="s">
        <v>2808</v>
      </c>
      <c r="B223" s="7">
        <v>12</v>
      </c>
      <c r="C223" s="3">
        <v>20</v>
      </c>
      <c r="D223" s="3">
        <v>4</v>
      </c>
      <c r="E223" s="3">
        <v>1</v>
      </c>
      <c r="F223" s="3">
        <v>100</v>
      </c>
      <c r="G223" s="3">
        <v>100</v>
      </c>
      <c r="H223" s="3">
        <v>100</v>
      </c>
      <c r="I223" s="11">
        <v>2</v>
      </c>
      <c r="K223" t="s">
        <v>154</v>
      </c>
      <c r="L223">
        <f>COUNTIFS($B$2:$B$386,14,$D$2:$D$386,14)</f>
        <v>1</v>
      </c>
      <c r="M223" s="34">
        <f t="shared" si="58"/>
        <v>0.25974025974025972</v>
      </c>
      <c r="AE223" s="4">
        <v>14</v>
      </c>
      <c r="AF223">
        <f>COUNTIFS($D$2:$D$386,14,$F$2:$F$386,14)</f>
        <v>0</v>
      </c>
      <c r="AG223" s="34">
        <f t="shared" si="59"/>
        <v>0</v>
      </c>
    </row>
    <row r="224" spans="1:33" x14ac:dyDescent="0.3">
      <c r="A224" t="s">
        <v>1250</v>
      </c>
      <c r="B224" s="7">
        <v>13</v>
      </c>
      <c r="C224" s="3">
        <v>21</v>
      </c>
      <c r="D224" s="11">
        <v>4</v>
      </c>
      <c r="E224" s="11">
        <v>1</v>
      </c>
      <c r="F224" s="11">
        <v>1</v>
      </c>
      <c r="G224" s="3">
        <v>1</v>
      </c>
      <c r="H224" s="11">
        <v>2</v>
      </c>
      <c r="I224" s="11">
        <v>2</v>
      </c>
      <c r="K224" t="s">
        <v>52</v>
      </c>
      <c r="L224">
        <f>COUNTIFS($B$2:$B$386,14,$D$2:$D$386,15)</f>
        <v>3</v>
      </c>
      <c r="M224" s="34">
        <f t="shared" si="58"/>
        <v>0.77922077922077926</v>
      </c>
      <c r="AE224" t="s">
        <v>3090</v>
      </c>
      <c r="AF224">
        <f>COUNTIFS($D$2:$D$386,14,$F$2:$F$386,100)</f>
        <v>3</v>
      </c>
      <c r="AG224" s="34">
        <f t="shared" si="59"/>
        <v>0.77922077922077926</v>
      </c>
    </row>
    <row r="225" spans="1:33" x14ac:dyDescent="0.3">
      <c r="A225" s="6" t="s">
        <v>961</v>
      </c>
      <c r="B225" s="7">
        <v>15</v>
      </c>
      <c r="C225" s="3">
        <v>21</v>
      </c>
      <c r="D225" s="11">
        <v>4</v>
      </c>
      <c r="E225" s="7">
        <v>1</v>
      </c>
      <c r="F225" s="7">
        <v>1</v>
      </c>
      <c r="G225" s="3">
        <v>1</v>
      </c>
      <c r="H225" s="7">
        <v>2</v>
      </c>
      <c r="I225" s="7">
        <v>2</v>
      </c>
      <c r="L225" s="22">
        <f>SUM(L210:L224)</f>
        <v>33</v>
      </c>
      <c r="M225" s="35">
        <f t="shared" si="58"/>
        <v>8.5714285714285712</v>
      </c>
      <c r="AF225" s="23">
        <f>SUM(AF210:AF224)</f>
        <v>10</v>
      </c>
      <c r="AG225" s="37">
        <f t="shared" si="59"/>
        <v>2.5974025974025974</v>
      </c>
    </row>
    <row r="226" spans="1:33" x14ac:dyDescent="0.3">
      <c r="A226" s="6" t="s">
        <v>188</v>
      </c>
      <c r="B226" s="7">
        <v>17</v>
      </c>
      <c r="C226" s="3">
        <v>21</v>
      </c>
      <c r="D226" s="11">
        <v>3</v>
      </c>
      <c r="E226" s="11">
        <v>1</v>
      </c>
      <c r="F226" s="11">
        <v>1</v>
      </c>
      <c r="G226" s="3">
        <v>1</v>
      </c>
      <c r="H226" s="11">
        <v>100</v>
      </c>
      <c r="I226" s="11">
        <v>2</v>
      </c>
      <c r="J226">
        <v>2023</v>
      </c>
      <c r="K226" t="s">
        <v>11</v>
      </c>
      <c r="L226">
        <f>COUNTIFS($B$2:$B$386,15,$D$2:$D$386,1)</f>
        <v>7</v>
      </c>
      <c r="M226" s="34">
        <f>(L226/385)*100</f>
        <v>1.8181818181818181</v>
      </c>
      <c r="AD226" t="s">
        <v>52</v>
      </c>
      <c r="AE226" s="4">
        <v>1</v>
      </c>
      <c r="AF226">
        <f>COUNTIFS($D$2:$D$386,15,$F$2:$F$386,1)</f>
        <v>21</v>
      </c>
      <c r="AG226" s="34">
        <f>(AF226/385)*100</f>
        <v>5.4545454545454541</v>
      </c>
    </row>
    <row r="227" spans="1:33" x14ac:dyDescent="0.3">
      <c r="A227" t="s">
        <v>2881</v>
      </c>
      <c r="B227" s="7">
        <v>11</v>
      </c>
      <c r="C227" s="3">
        <v>20</v>
      </c>
      <c r="D227" s="3">
        <v>3</v>
      </c>
      <c r="E227" s="3">
        <v>3</v>
      </c>
      <c r="F227" s="3">
        <v>100</v>
      </c>
      <c r="G227" s="3">
        <v>100</v>
      </c>
      <c r="H227" s="3">
        <v>100</v>
      </c>
      <c r="I227" s="11">
        <v>2</v>
      </c>
      <c r="K227" t="s">
        <v>18</v>
      </c>
      <c r="L227">
        <f>COUNTIFS($B$2:$B$386,15,$D$2:$D$386,2)</f>
        <v>3</v>
      </c>
      <c r="M227" s="34">
        <f t="shared" ref="M227:M241" si="60">(L227/385)*100</f>
        <v>0.77922077922077926</v>
      </c>
      <c r="AE227">
        <v>2</v>
      </c>
      <c r="AF227">
        <f>COUNTIFS($D$2:$D$386,15,$F$2:$F$386,2)</f>
        <v>3</v>
      </c>
      <c r="AG227" s="34">
        <f t="shared" ref="AG227:AG241" si="61">(AF227/385)*100</f>
        <v>0.77922077922077926</v>
      </c>
    </row>
    <row r="228" spans="1:33" x14ac:dyDescent="0.3">
      <c r="A228" s="6" t="s">
        <v>1028</v>
      </c>
      <c r="B228" s="7">
        <v>14</v>
      </c>
      <c r="C228" s="3">
        <v>21</v>
      </c>
      <c r="D228" s="11">
        <v>4</v>
      </c>
      <c r="E228" s="11">
        <v>3</v>
      </c>
      <c r="F228" s="7">
        <v>1</v>
      </c>
      <c r="G228" s="3">
        <v>1</v>
      </c>
      <c r="H228" s="7">
        <v>2</v>
      </c>
      <c r="I228" s="11">
        <v>2</v>
      </c>
      <c r="K228" t="s">
        <v>150</v>
      </c>
      <c r="L228">
        <f>COUNTIFS($B$2:$B$386,15,$D$2:$D$386,3)</f>
        <v>4</v>
      </c>
      <c r="M228" s="34">
        <f t="shared" si="60"/>
        <v>1.0389610389610389</v>
      </c>
      <c r="AE228" s="4">
        <v>3</v>
      </c>
      <c r="AF228">
        <f>COUNTIFS($D$2:$D$386,15,$F$2:$F$386,3)</f>
        <v>1</v>
      </c>
      <c r="AG228" s="34">
        <f t="shared" si="61"/>
        <v>0.25974025974025972</v>
      </c>
    </row>
    <row r="229" spans="1:33" x14ac:dyDescent="0.3">
      <c r="A229" s="6" t="s">
        <v>240</v>
      </c>
      <c r="B229" s="7">
        <v>17</v>
      </c>
      <c r="C229" s="3">
        <v>21</v>
      </c>
      <c r="D229" s="11">
        <v>15</v>
      </c>
      <c r="E229" s="11">
        <v>7</v>
      </c>
      <c r="F229" s="11">
        <v>100</v>
      </c>
      <c r="G229" s="3">
        <v>100</v>
      </c>
      <c r="H229" s="11">
        <v>100</v>
      </c>
      <c r="I229" s="11">
        <v>2</v>
      </c>
      <c r="K229" t="s">
        <v>25</v>
      </c>
      <c r="L229">
        <f>COUNTIFS($B$2:$B$386,15,$D$2:$D$386,4)</f>
        <v>14</v>
      </c>
      <c r="M229" s="34">
        <f t="shared" si="60"/>
        <v>3.6363636363636362</v>
      </c>
      <c r="AE229" s="4">
        <v>4</v>
      </c>
      <c r="AF229">
        <f>COUNTIFS($D$2:$D$386,15,$F$2:$F$386,4)</f>
        <v>0</v>
      </c>
      <c r="AG229" s="34">
        <f t="shared" si="61"/>
        <v>0</v>
      </c>
    </row>
    <row r="230" spans="1:33" x14ac:dyDescent="0.3">
      <c r="A230" t="s">
        <v>3065</v>
      </c>
      <c r="B230" s="7">
        <v>2</v>
      </c>
      <c r="C230" s="3">
        <v>18</v>
      </c>
      <c r="D230" s="3">
        <v>3</v>
      </c>
      <c r="E230" s="3">
        <v>3</v>
      </c>
      <c r="F230" s="11">
        <v>1</v>
      </c>
      <c r="G230" s="3">
        <v>1</v>
      </c>
      <c r="H230" s="11">
        <v>2</v>
      </c>
      <c r="I230" s="7">
        <v>2</v>
      </c>
      <c r="K230" t="s">
        <v>32</v>
      </c>
      <c r="L230">
        <f>COUNTIFS($B$2:$B$386,15,$D$2:$D$386,5)</f>
        <v>0</v>
      </c>
      <c r="M230" s="34">
        <f t="shared" si="60"/>
        <v>0</v>
      </c>
      <c r="AE230" s="4">
        <v>5</v>
      </c>
      <c r="AF230">
        <f>COUNTIFS($D$2:$D$386,15,$F$2:$F$386,5)</f>
        <v>2</v>
      </c>
      <c r="AG230" s="34">
        <f t="shared" si="61"/>
        <v>0.51948051948051943</v>
      </c>
    </row>
    <row r="231" spans="1:33" x14ac:dyDescent="0.3">
      <c r="A231" s="6" t="s">
        <v>686</v>
      </c>
      <c r="B231" s="7">
        <v>16</v>
      </c>
      <c r="C231" s="3">
        <v>21</v>
      </c>
      <c r="D231" s="3">
        <v>4</v>
      </c>
      <c r="E231" s="3">
        <v>3</v>
      </c>
      <c r="F231" s="11">
        <v>2</v>
      </c>
      <c r="G231" s="3">
        <v>2</v>
      </c>
      <c r="H231" s="11">
        <v>100</v>
      </c>
      <c r="I231" s="11">
        <v>2</v>
      </c>
      <c r="K231" t="s">
        <v>38</v>
      </c>
      <c r="L231">
        <f>COUNTIFS($B$2:$B$386,15,$D$2:$D$386,6)</f>
        <v>0</v>
      </c>
      <c r="M231" s="34">
        <f t="shared" si="60"/>
        <v>0</v>
      </c>
      <c r="AE231" s="4">
        <v>6</v>
      </c>
      <c r="AF231">
        <f>COUNTIFS($D$2:$D$386,15,$F$2:$F$386,6)</f>
        <v>1</v>
      </c>
      <c r="AG231" s="34">
        <f t="shared" si="61"/>
        <v>0.25974025974025972</v>
      </c>
    </row>
    <row r="232" spans="1:33" x14ac:dyDescent="0.3">
      <c r="A232" t="s">
        <v>1500</v>
      </c>
      <c r="B232" s="7">
        <v>12</v>
      </c>
      <c r="C232" s="3">
        <v>20</v>
      </c>
      <c r="D232" s="3">
        <v>15</v>
      </c>
      <c r="E232" s="3">
        <v>1</v>
      </c>
      <c r="F232" s="3">
        <v>6</v>
      </c>
      <c r="G232" s="3">
        <v>15</v>
      </c>
      <c r="H232" s="3">
        <v>3</v>
      </c>
      <c r="I232" s="3">
        <v>1</v>
      </c>
      <c r="K232" t="s">
        <v>151</v>
      </c>
      <c r="L232">
        <f>COUNTIFS($B$2:$B$386,15,$D$2:$D$386,7)</f>
        <v>0</v>
      </c>
      <c r="M232" s="34">
        <f t="shared" si="60"/>
        <v>0</v>
      </c>
      <c r="AE232" s="4">
        <v>7</v>
      </c>
      <c r="AF232">
        <f>COUNTIFS($D$2:$D$386,15,$F$2:$F$386,7)</f>
        <v>1</v>
      </c>
      <c r="AG232" s="34">
        <f t="shared" si="61"/>
        <v>0.25974025974025972</v>
      </c>
    </row>
    <row r="233" spans="1:33" x14ac:dyDescent="0.3">
      <c r="A233" t="s">
        <v>1318</v>
      </c>
      <c r="B233" s="7">
        <v>13</v>
      </c>
      <c r="C233" s="3">
        <v>21</v>
      </c>
      <c r="D233" s="3">
        <v>4</v>
      </c>
      <c r="E233" s="3">
        <v>6</v>
      </c>
      <c r="F233" s="3">
        <v>1</v>
      </c>
      <c r="G233" s="3">
        <v>1</v>
      </c>
      <c r="H233" s="3">
        <v>2</v>
      </c>
      <c r="I233" s="11">
        <v>2</v>
      </c>
      <c r="K233" t="s">
        <v>43</v>
      </c>
      <c r="L233">
        <f>COUNTIFS($B$2:$B$386,15,$D$2:$D$386,8)</f>
        <v>1</v>
      </c>
      <c r="M233" s="34">
        <f t="shared" si="60"/>
        <v>0.25974025974025972</v>
      </c>
      <c r="AE233" s="4">
        <v>8</v>
      </c>
      <c r="AF233">
        <f>COUNTIFS($D$2:$D$386,15,$F$2:$F$386,8)</f>
        <v>0</v>
      </c>
      <c r="AG233" s="34">
        <f t="shared" si="61"/>
        <v>0</v>
      </c>
    </row>
    <row r="234" spans="1:33" x14ac:dyDescent="0.3">
      <c r="A234" t="s">
        <v>1177</v>
      </c>
      <c r="B234" s="7">
        <v>13</v>
      </c>
      <c r="C234" s="3">
        <v>21</v>
      </c>
      <c r="D234" s="3">
        <v>5</v>
      </c>
      <c r="E234" s="3">
        <v>3</v>
      </c>
      <c r="F234" s="3">
        <v>1</v>
      </c>
      <c r="G234" s="3">
        <v>1</v>
      </c>
      <c r="H234" s="3">
        <v>2</v>
      </c>
      <c r="I234" s="11">
        <v>2</v>
      </c>
      <c r="K234" t="s">
        <v>46</v>
      </c>
      <c r="L234">
        <f>COUNTIFS($B$2:$B$386,15,$D$2:$D$386,9)</f>
        <v>2</v>
      </c>
      <c r="M234" s="34">
        <f t="shared" si="60"/>
        <v>0.51948051948051943</v>
      </c>
      <c r="AE234" s="4">
        <v>9</v>
      </c>
      <c r="AF234">
        <f>COUNTIFS($D$2:$D$386,15,$F$2:$F$386,9)</f>
        <v>0</v>
      </c>
      <c r="AG234" s="34">
        <f t="shared" si="61"/>
        <v>0</v>
      </c>
    </row>
    <row r="235" spans="1:33" x14ac:dyDescent="0.3">
      <c r="A235" t="s">
        <v>2709</v>
      </c>
      <c r="B235" s="7">
        <v>13</v>
      </c>
      <c r="C235" s="3">
        <v>21</v>
      </c>
      <c r="D235" s="3">
        <v>2</v>
      </c>
      <c r="E235" s="3">
        <v>3</v>
      </c>
      <c r="F235" s="3">
        <v>1</v>
      </c>
      <c r="G235" s="3">
        <v>1</v>
      </c>
      <c r="H235" s="3">
        <v>2</v>
      </c>
      <c r="I235" s="7">
        <v>2</v>
      </c>
      <c r="K235" t="s">
        <v>152</v>
      </c>
      <c r="L235">
        <f>COUNTIFS($B$2:$B$386,15,$D$2:$D$386,10)</f>
        <v>0</v>
      </c>
      <c r="M235" s="34">
        <f t="shared" si="60"/>
        <v>0</v>
      </c>
      <c r="AE235" s="4">
        <v>10</v>
      </c>
      <c r="AF235">
        <f>COUNTIFS($D$2:$D$386,15,$F$2:$F$386,10)</f>
        <v>0</v>
      </c>
      <c r="AG235" s="34">
        <f t="shared" si="61"/>
        <v>0</v>
      </c>
    </row>
    <row r="236" spans="1:33" x14ac:dyDescent="0.3">
      <c r="A236" s="6" t="s">
        <v>813</v>
      </c>
      <c r="B236" s="7">
        <v>15</v>
      </c>
      <c r="C236" s="3">
        <v>21</v>
      </c>
      <c r="D236" s="11">
        <v>4</v>
      </c>
      <c r="E236" s="11">
        <v>3</v>
      </c>
      <c r="F236" s="11">
        <v>1</v>
      </c>
      <c r="G236" s="3">
        <v>1</v>
      </c>
      <c r="H236" s="11">
        <v>2</v>
      </c>
      <c r="I236" s="11">
        <v>2</v>
      </c>
      <c r="K236" t="s">
        <v>49</v>
      </c>
      <c r="L236">
        <f>COUNTIFS($B$2:$B$386,15,$D$2:$D$386,11)</f>
        <v>2</v>
      </c>
      <c r="M236" s="34">
        <f t="shared" si="60"/>
        <v>0.51948051948051943</v>
      </c>
      <c r="AE236" s="4">
        <v>11</v>
      </c>
      <c r="AF236">
        <f>COUNTIFS($D$2:$D$386,15,$F$2:$F$386,11)</f>
        <v>0</v>
      </c>
      <c r="AG236" s="34">
        <f t="shared" si="61"/>
        <v>0</v>
      </c>
    </row>
    <row r="237" spans="1:33" x14ac:dyDescent="0.3">
      <c r="A237" t="s">
        <v>2694</v>
      </c>
      <c r="B237" s="7">
        <v>13</v>
      </c>
      <c r="C237" s="3">
        <v>21</v>
      </c>
      <c r="D237" s="3">
        <v>4</v>
      </c>
      <c r="E237" s="3">
        <v>3</v>
      </c>
      <c r="F237" s="11">
        <v>1</v>
      </c>
      <c r="G237" s="3">
        <v>1</v>
      </c>
      <c r="H237" s="11">
        <v>2</v>
      </c>
      <c r="I237" s="7">
        <v>2</v>
      </c>
      <c r="K237" t="s">
        <v>51</v>
      </c>
      <c r="L237">
        <f>COUNTIFS($B$2:$B$386,15,$D$2:$D$386,12)</f>
        <v>1</v>
      </c>
      <c r="M237" s="34">
        <f t="shared" si="60"/>
        <v>0.25974025974025972</v>
      </c>
      <c r="AE237" s="4">
        <v>12</v>
      </c>
      <c r="AF237">
        <f>COUNTIFS($D$2:$D$386,15,$F$2:$F$386,12)</f>
        <v>0</v>
      </c>
      <c r="AG237" s="34">
        <f t="shared" si="61"/>
        <v>0</v>
      </c>
    </row>
    <row r="238" spans="1:33" x14ac:dyDescent="0.3">
      <c r="A238" t="s">
        <v>1791</v>
      </c>
      <c r="B238" s="7">
        <v>9</v>
      </c>
      <c r="C238" s="3">
        <v>20</v>
      </c>
      <c r="D238" s="3">
        <v>1</v>
      </c>
      <c r="E238" s="3">
        <v>3</v>
      </c>
      <c r="F238" s="11">
        <v>1</v>
      </c>
      <c r="G238" s="3">
        <v>1</v>
      </c>
      <c r="H238" s="11">
        <v>2</v>
      </c>
      <c r="I238" s="11">
        <v>2</v>
      </c>
      <c r="K238" t="s">
        <v>153</v>
      </c>
      <c r="L238">
        <f>COUNTIFS($B$2:$B$386,15,$D$2:$D$386,13)</f>
        <v>0</v>
      </c>
      <c r="M238" s="34">
        <f t="shared" si="60"/>
        <v>0</v>
      </c>
      <c r="AE238" s="4">
        <v>13</v>
      </c>
      <c r="AF238">
        <f>COUNTIFS($D$2:$D$386,15,$F$2:$F$386,13)</f>
        <v>0</v>
      </c>
      <c r="AG238" s="34">
        <f t="shared" si="61"/>
        <v>0</v>
      </c>
    </row>
    <row r="239" spans="1:33" x14ac:dyDescent="0.3">
      <c r="A239" t="s">
        <v>1871</v>
      </c>
      <c r="B239" s="7">
        <v>8</v>
      </c>
      <c r="C239" s="3">
        <v>19</v>
      </c>
      <c r="D239" s="3">
        <v>4</v>
      </c>
      <c r="E239" s="3">
        <v>3</v>
      </c>
      <c r="F239" s="11">
        <v>1</v>
      </c>
      <c r="G239" s="3">
        <v>1</v>
      </c>
      <c r="H239" s="11">
        <v>1</v>
      </c>
      <c r="I239" s="11">
        <v>2</v>
      </c>
      <c r="K239" t="s">
        <v>154</v>
      </c>
      <c r="L239">
        <f>COUNTIFS($B$2:$B$386,15,$D$2:$D$386,14)</f>
        <v>1</v>
      </c>
      <c r="M239" s="34">
        <f t="shared" si="60"/>
        <v>0.25974025974025972</v>
      </c>
      <c r="AE239" s="4">
        <v>14</v>
      </c>
      <c r="AF239">
        <f>COUNTIFS($D$2:$D$386,15,$F$2:$F$386,14)</f>
        <v>0</v>
      </c>
      <c r="AG239" s="34">
        <f t="shared" si="61"/>
        <v>0</v>
      </c>
    </row>
    <row r="240" spans="1:33" x14ac:dyDescent="0.3">
      <c r="A240" t="s">
        <v>2433</v>
      </c>
      <c r="B240" s="7">
        <v>2</v>
      </c>
      <c r="C240" s="3">
        <v>18</v>
      </c>
      <c r="D240" s="3">
        <v>3</v>
      </c>
      <c r="E240" s="3">
        <v>3</v>
      </c>
      <c r="F240" s="3">
        <v>1</v>
      </c>
      <c r="G240" s="3">
        <v>1</v>
      </c>
      <c r="H240" s="3">
        <v>1</v>
      </c>
      <c r="I240" s="7">
        <v>2</v>
      </c>
      <c r="K240" t="s">
        <v>52</v>
      </c>
      <c r="L240">
        <f>COUNTIFS($B$2:$B$386,15,$D$2:$D$386,15)</f>
        <v>5</v>
      </c>
      <c r="M240" s="34">
        <f t="shared" si="60"/>
        <v>1.2987012987012987</v>
      </c>
      <c r="AE240" t="s">
        <v>3090</v>
      </c>
      <c r="AF240">
        <f>COUNTIFS($D$2:$D$386,15,$F$2:$F$386,100)</f>
        <v>12</v>
      </c>
      <c r="AG240" s="34">
        <f t="shared" si="61"/>
        <v>3.116883116883117</v>
      </c>
    </row>
    <row r="241" spans="1:33" x14ac:dyDescent="0.3">
      <c r="A241" t="s">
        <v>2566</v>
      </c>
      <c r="B241" s="7">
        <v>15</v>
      </c>
      <c r="C241" s="3">
        <v>21</v>
      </c>
      <c r="D241" s="3">
        <v>3</v>
      </c>
      <c r="E241" s="3">
        <v>3</v>
      </c>
      <c r="F241" s="3">
        <v>1</v>
      </c>
      <c r="G241" s="3">
        <v>1</v>
      </c>
      <c r="H241" s="3">
        <v>100</v>
      </c>
      <c r="I241" s="11">
        <v>2</v>
      </c>
      <c r="L241" s="22">
        <f>SUM(L226:L240)</f>
        <v>40</v>
      </c>
      <c r="M241" s="35">
        <f t="shared" si="60"/>
        <v>10.38961038961039</v>
      </c>
      <c r="AF241" s="23">
        <f>SUM(AF226:AF240)</f>
        <v>41</v>
      </c>
      <c r="AG241" s="37">
        <f t="shared" si="61"/>
        <v>10.649350649350648</v>
      </c>
    </row>
    <row r="242" spans="1:33" x14ac:dyDescent="0.3">
      <c r="A242" s="6" t="s">
        <v>232</v>
      </c>
      <c r="B242" s="7">
        <v>17</v>
      </c>
      <c r="C242" s="3">
        <v>21</v>
      </c>
      <c r="D242" s="11">
        <v>4</v>
      </c>
      <c r="E242" s="11">
        <v>3</v>
      </c>
      <c r="F242" s="11">
        <v>1</v>
      </c>
      <c r="G242" s="3">
        <v>1</v>
      </c>
      <c r="H242" s="11">
        <v>2</v>
      </c>
      <c r="I242" s="7">
        <v>2</v>
      </c>
      <c r="J242">
        <v>2024</v>
      </c>
      <c r="K242" t="s">
        <v>11</v>
      </c>
      <c r="L242">
        <f>COUNTIFS($B$2:$B$386,16,$D$2:$D$386,1)</f>
        <v>4</v>
      </c>
      <c r="M242" s="34">
        <f>(L242/385)*100</f>
        <v>1.0389610389610389</v>
      </c>
    </row>
    <row r="243" spans="1:33" x14ac:dyDescent="0.3">
      <c r="A243" s="6" t="s">
        <v>290</v>
      </c>
      <c r="B243" s="7">
        <v>16</v>
      </c>
      <c r="C243" s="3">
        <v>21</v>
      </c>
      <c r="D243" s="11">
        <v>4</v>
      </c>
      <c r="E243" s="11">
        <v>3</v>
      </c>
      <c r="F243" s="11">
        <v>1</v>
      </c>
      <c r="G243" s="3">
        <v>1</v>
      </c>
      <c r="H243" s="11">
        <v>2</v>
      </c>
      <c r="I243" s="11">
        <v>2</v>
      </c>
      <c r="K243" t="s">
        <v>18</v>
      </c>
      <c r="L243">
        <f>COUNTIFS($B$2:$B$386,16,$D$2:$D$386,2)</f>
        <v>3</v>
      </c>
      <c r="M243" s="34">
        <f t="shared" ref="M243:M257" si="62">(L243/385)*100</f>
        <v>0.77922077922077926</v>
      </c>
    </row>
    <row r="244" spans="1:33" x14ac:dyDescent="0.3">
      <c r="A244" s="6" t="s">
        <v>1017</v>
      </c>
      <c r="B244" s="7">
        <v>14</v>
      </c>
      <c r="C244" s="3">
        <v>21</v>
      </c>
      <c r="D244" s="11">
        <v>4</v>
      </c>
      <c r="E244" s="11">
        <v>3</v>
      </c>
      <c r="F244" s="11">
        <v>100</v>
      </c>
      <c r="G244" s="3">
        <v>100</v>
      </c>
      <c r="H244" s="11">
        <v>100</v>
      </c>
      <c r="I244" s="11">
        <v>2</v>
      </c>
      <c r="K244" t="s">
        <v>150</v>
      </c>
      <c r="L244">
        <f>COUNTIFS($B$2:$B$386,16,$D$2:$D$386,3)</f>
        <v>1</v>
      </c>
      <c r="M244" s="34">
        <f t="shared" si="62"/>
        <v>0.25974025974025972</v>
      </c>
    </row>
    <row r="245" spans="1:33" x14ac:dyDescent="0.3">
      <c r="A245" t="s">
        <v>2198</v>
      </c>
      <c r="B245" s="7">
        <v>4</v>
      </c>
      <c r="C245" s="3">
        <v>18</v>
      </c>
      <c r="D245" s="3">
        <v>3</v>
      </c>
      <c r="E245" s="3">
        <v>3</v>
      </c>
      <c r="F245" s="3">
        <v>2</v>
      </c>
      <c r="G245" s="3">
        <v>2</v>
      </c>
      <c r="H245" s="3">
        <v>4</v>
      </c>
      <c r="I245" s="3">
        <v>1</v>
      </c>
      <c r="K245" t="s">
        <v>25</v>
      </c>
      <c r="L245">
        <f>COUNTIFS($B$2:$B$386,16,$D$2:$D$386,4)</f>
        <v>40</v>
      </c>
      <c r="M245" s="34">
        <f t="shared" si="62"/>
        <v>10.38961038961039</v>
      </c>
    </row>
    <row r="246" spans="1:33" x14ac:dyDescent="0.3">
      <c r="A246" t="s">
        <v>2424</v>
      </c>
      <c r="B246" s="7">
        <v>2</v>
      </c>
      <c r="C246" s="3">
        <v>18</v>
      </c>
      <c r="D246" s="3">
        <v>1</v>
      </c>
      <c r="E246" s="3">
        <v>3</v>
      </c>
      <c r="F246" s="3">
        <v>1</v>
      </c>
      <c r="G246" s="3">
        <v>1</v>
      </c>
      <c r="H246" s="3">
        <v>1</v>
      </c>
      <c r="I246" s="7">
        <v>2</v>
      </c>
      <c r="K246" t="s">
        <v>32</v>
      </c>
      <c r="L246">
        <f>COUNTIFS($B$2:$B$386,16,$D$2:$D$386,5)</f>
        <v>1</v>
      </c>
      <c r="M246" s="34">
        <f t="shared" si="62"/>
        <v>0.25974025974025972</v>
      </c>
    </row>
    <row r="247" spans="1:33" x14ac:dyDescent="0.3">
      <c r="A247" t="s">
        <v>2144</v>
      </c>
      <c r="B247" s="7">
        <v>5</v>
      </c>
      <c r="C247" s="3">
        <v>19</v>
      </c>
      <c r="D247" s="3">
        <v>3</v>
      </c>
      <c r="E247" s="3">
        <v>3</v>
      </c>
      <c r="F247" s="3">
        <v>3</v>
      </c>
      <c r="G247" s="3">
        <v>3</v>
      </c>
      <c r="H247" s="3">
        <v>4</v>
      </c>
      <c r="I247" s="3">
        <v>1</v>
      </c>
      <c r="K247" t="s">
        <v>38</v>
      </c>
      <c r="L247">
        <f>COUNTIFS($B$2:$B$386,16,$D$2:$D$386,6)</f>
        <v>1</v>
      </c>
      <c r="M247" s="34">
        <f t="shared" si="62"/>
        <v>0.25974025974025972</v>
      </c>
    </row>
    <row r="248" spans="1:33" x14ac:dyDescent="0.3">
      <c r="A248" t="s">
        <v>1661</v>
      </c>
      <c r="B248" s="7">
        <v>10</v>
      </c>
      <c r="C248" s="3">
        <v>20</v>
      </c>
      <c r="D248" s="3">
        <v>4</v>
      </c>
      <c r="E248" s="3">
        <v>3</v>
      </c>
      <c r="F248" s="11">
        <v>1</v>
      </c>
      <c r="G248" s="3">
        <v>1</v>
      </c>
      <c r="H248" s="11">
        <v>2</v>
      </c>
      <c r="I248" s="7">
        <v>2</v>
      </c>
      <c r="K248" t="s">
        <v>151</v>
      </c>
      <c r="L248">
        <f>COUNTIFS($B$2:$B$386,16,$D$2:$D$386,7)</f>
        <v>0</v>
      </c>
      <c r="M248" s="34">
        <f t="shared" si="62"/>
        <v>0</v>
      </c>
    </row>
    <row r="249" spans="1:33" x14ac:dyDescent="0.3">
      <c r="A249" t="s">
        <v>2160</v>
      </c>
      <c r="B249" s="7">
        <v>5</v>
      </c>
      <c r="C249" s="3">
        <v>19</v>
      </c>
      <c r="D249" s="3">
        <v>2</v>
      </c>
      <c r="E249" s="3">
        <v>3</v>
      </c>
      <c r="F249" s="11">
        <v>100</v>
      </c>
      <c r="G249" s="3">
        <v>100</v>
      </c>
      <c r="H249" s="11">
        <v>100</v>
      </c>
      <c r="I249" s="7">
        <v>2</v>
      </c>
      <c r="K249" t="s">
        <v>43</v>
      </c>
      <c r="L249">
        <f>COUNTIFS($B$2:$B$386,16,$D$2:$D$386,8)</f>
        <v>3</v>
      </c>
      <c r="M249" s="34">
        <f t="shared" si="62"/>
        <v>0.77922077922077926</v>
      </c>
    </row>
    <row r="250" spans="1:33" x14ac:dyDescent="0.3">
      <c r="A250" t="s">
        <v>1560</v>
      </c>
      <c r="B250" s="7">
        <v>12</v>
      </c>
      <c r="C250" s="3">
        <v>20</v>
      </c>
      <c r="D250" s="3">
        <v>2</v>
      </c>
      <c r="E250" s="3">
        <v>3</v>
      </c>
      <c r="F250" s="3">
        <v>1</v>
      </c>
      <c r="G250" s="3">
        <v>1</v>
      </c>
      <c r="H250" s="3">
        <v>2</v>
      </c>
      <c r="I250" s="7">
        <v>2</v>
      </c>
      <c r="K250" t="s">
        <v>46</v>
      </c>
      <c r="L250">
        <f>COUNTIFS($B$2:$B$386,16,$D$2:$D$386,9)</f>
        <v>1</v>
      </c>
      <c r="M250" s="34">
        <f t="shared" si="62"/>
        <v>0.25974025974025972</v>
      </c>
    </row>
    <row r="251" spans="1:33" x14ac:dyDescent="0.3">
      <c r="A251" t="s">
        <v>1879</v>
      </c>
      <c r="B251" s="7">
        <v>8</v>
      </c>
      <c r="C251" s="3">
        <v>19</v>
      </c>
      <c r="D251" s="3">
        <v>5</v>
      </c>
      <c r="E251" s="3">
        <v>1</v>
      </c>
      <c r="F251" s="11">
        <v>3</v>
      </c>
      <c r="G251" s="3">
        <v>3</v>
      </c>
      <c r="H251" s="11">
        <v>3</v>
      </c>
      <c r="I251" s="3">
        <v>1</v>
      </c>
      <c r="K251" t="s">
        <v>152</v>
      </c>
      <c r="L251">
        <f>COUNTIFS($B$2:$B$386,16,$D$2:$D$386,10)</f>
        <v>0</v>
      </c>
      <c r="M251" s="34">
        <f t="shared" si="62"/>
        <v>0</v>
      </c>
    </row>
    <row r="252" spans="1:33" x14ac:dyDescent="0.3">
      <c r="A252" t="s">
        <v>2736</v>
      </c>
      <c r="B252" s="7">
        <v>13</v>
      </c>
      <c r="C252" s="3">
        <v>21</v>
      </c>
      <c r="D252" s="3">
        <v>4</v>
      </c>
      <c r="E252" s="3">
        <v>3</v>
      </c>
      <c r="F252" s="3">
        <v>1</v>
      </c>
      <c r="G252" s="3">
        <v>1</v>
      </c>
      <c r="H252" s="3">
        <v>2</v>
      </c>
      <c r="I252" s="7">
        <v>2</v>
      </c>
      <c r="K252" t="s">
        <v>49</v>
      </c>
      <c r="L252">
        <f>COUNTIFS($B$2:$B$386,16,$D$2:$D$386,11)</f>
        <v>2</v>
      </c>
      <c r="M252" s="34">
        <f t="shared" si="62"/>
        <v>0.51948051948051943</v>
      </c>
    </row>
    <row r="253" spans="1:33" x14ac:dyDescent="0.3">
      <c r="A253" t="s">
        <v>1765</v>
      </c>
      <c r="B253" s="7">
        <v>10</v>
      </c>
      <c r="C253" s="3">
        <v>20</v>
      </c>
      <c r="D253" s="3">
        <v>4</v>
      </c>
      <c r="E253" s="3">
        <v>5</v>
      </c>
      <c r="F253" s="11">
        <v>1</v>
      </c>
      <c r="G253" s="3">
        <v>1</v>
      </c>
      <c r="H253" s="11">
        <v>2</v>
      </c>
      <c r="I253" s="11">
        <v>2</v>
      </c>
      <c r="K253" t="s">
        <v>51</v>
      </c>
      <c r="L253">
        <f>COUNTIFS($B$2:$B$386,16,$D$2:$D$386,12)</f>
        <v>3</v>
      </c>
      <c r="M253" s="34">
        <f t="shared" si="62"/>
        <v>0.77922077922077926</v>
      </c>
    </row>
    <row r="254" spans="1:33" x14ac:dyDescent="0.3">
      <c r="A254" t="s">
        <v>1233</v>
      </c>
      <c r="B254" s="7">
        <v>13</v>
      </c>
      <c r="C254" s="3">
        <v>21</v>
      </c>
      <c r="D254" s="3">
        <v>4</v>
      </c>
      <c r="E254" s="3">
        <v>3</v>
      </c>
      <c r="F254" s="11">
        <v>1</v>
      </c>
      <c r="G254" s="3">
        <v>1</v>
      </c>
      <c r="H254" s="11">
        <v>100</v>
      </c>
      <c r="I254" s="11">
        <v>2</v>
      </c>
      <c r="K254" t="s">
        <v>153</v>
      </c>
      <c r="L254">
        <f>COUNTIFS($B$2:$B$386,16,$D$2:$D$386,13)</f>
        <v>0</v>
      </c>
      <c r="M254" s="34">
        <f t="shared" si="62"/>
        <v>0</v>
      </c>
    </row>
    <row r="255" spans="1:33" x14ac:dyDescent="0.3">
      <c r="A255" t="s">
        <v>2121</v>
      </c>
      <c r="B255" s="7">
        <v>5</v>
      </c>
      <c r="C255" s="3">
        <v>19</v>
      </c>
      <c r="D255" s="3">
        <v>4</v>
      </c>
      <c r="E255" s="3">
        <v>5</v>
      </c>
      <c r="F255" s="3">
        <v>100</v>
      </c>
      <c r="G255" s="3">
        <v>100</v>
      </c>
      <c r="H255" s="3">
        <v>100</v>
      </c>
      <c r="I255" s="7">
        <v>2</v>
      </c>
      <c r="K255" t="s">
        <v>154</v>
      </c>
      <c r="L255">
        <f>COUNTIFS($B$2:$B$386,16,$D$2:$D$386,14)</f>
        <v>0</v>
      </c>
      <c r="M255" s="34">
        <f t="shared" si="62"/>
        <v>0</v>
      </c>
    </row>
    <row r="256" spans="1:33" x14ac:dyDescent="0.3">
      <c r="A256" t="s">
        <v>2284</v>
      </c>
      <c r="B256" s="7">
        <v>4</v>
      </c>
      <c r="C256" s="3">
        <v>18</v>
      </c>
      <c r="D256" s="3">
        <v>13</v>
      </c>
      <c r="E256" s="3">
        <v>3</v>
      </c>
      <c r="F256" s="3">
        <v>1</v>
      </c>
      <c r="G256" s="3">
        <v>1</v>
      </c>
      <c r="H256" s="3">
        <v>1</v>
      </c>
      <c r="I256" s="3">
        <v>2</v>
      </c>
      <c r="K256" t="s">
        <v>52</v>
      </c>
      <c r="L256">
        <f>COUNTIFS($B$2:$B$386,16,$D$2:$D$386,15)</f>
        <v>10</v>
      </c>
      <c r="M256" s="34">
        <f t="shared" si="62"/>
        <v>2.5974025974025974</v>
      </c>
    </row>
    <row r="257" spans="1:13" x14ac:dyDescent="0.3">
      <c r="A257" t="s">
        <v>2984</v>
      </c>
      <c r="B257" s="7">
        <v>7</v>
      </c>
      <c r="C257" s="3">
        <v>19</v>
      </c>
      <c r="D257" s="3">
        <v>5</v>
      </c>
      <c r="E257" s="3">
        <v>9</v>
      </c>
      <c r="F257" s="3">
        <v>1</v>
      </c>
      <c r="G257" s="3">
        <v>1</v>
      </c>
      <c r="H257" s="11">
        <v>1</v>
      </c>
      <c r="I257" s="11">
        <v>2</v>
      </c>
      <c r="L257" s="22">
        <f>SUM(L242:L256)</f>
        <v>69</v>
      </c>
      <c r="M257" s="35">
        <f t="shared" si="62"/>
        <v>17.922077922077921</v>
      </c>
    </row>
    <row r="258" spans="1:13" x14ac:dyDescent="0.3">
      <c r="A258" t="s">
        <v>1818</v>
      </c>
      <c r="B258" s="7">
        <v>8</v>
      </c>
      <c r="C258" s="3">
        <v>19</v>
      </c>
      <c r="D258" s="3">
        <v>3</v>
      </c>
      <c r="E258" s="3">
        <v>3</v>
      </c>
      <c r="F258" s="11">
        <v>1</v>
      </c>
      <c r="G258" s="3">
        <v>1</v>
      </c>
      <c r="H258" s="11">
        <v>1</v>
      </c>
      <c r="I258" s="11">
        <v>2</v>
      </c>
      <c r="J258">
        <v>2025</v>
      </c>
      <c r="K258" t="s">
        <v>11</v>
      </c>
      <c r="L258">
        <f>COUNTIFS($B$2:$B$386,17,$D$2:$D$386,1)</f>
        <v>0</v>
      </c>
      <c r="M258" s="34">
        <f>(L258/385)*100</f>
        <v>0</v>
      </c>
    </row>
    <row r="259" spans="1:13" x14ac:dyDescent="0.3">
      <c r="A259" t="s">
        <v>2593</v>
      </c>
      <c r="B259" s="7">
        <v>15</v>
      </c>
      <c r="C259" s="3">
        <v>21</v>
      </c>
      <c r="D259" s="3">
        <v>4</v>
      </c>
      <c r="E259" s="3">
        <v>3</v>
      </c>
      <c r="F259" s="3">
        <v>1</v>
      </c>
      <c r="G259" s="3">
        <v>1</v>
      </c>
      <c r="H259" s="11">
        <v>2</v>
      </c>
      <c r="I259" s="11">
        <v>2</v>
      </c>
      <c r="K259" t="s">
        <v>18</v>
      </c>
      <c r="L259">
        <f>COUNTIFS($B$2:$B$386,17,$D$2:$D$386,2)</f>
        <v>1</v>
      </c>
      <c r="M259" s="34">
        <f t="shared" ref="M259:M273" si="63">(L259/385)*100</f>
        <v>0.25974025974025972</v>
      </c>
    </row>
    <row r="260" spans="1:13" x14ac:dyDescent="0.3">
      <c r="A260" t="s">
        <v>2054</v>
      </c>
      <c r="B260" s="7">
        <v>6</v>
      </c>
      <c r="C260" s="3">
        <v>19</v>
      </c>
      <c r="D260" s="3">
        <v>15</v>
      </c>
      <c r="E260" s="3">
        <v>7</v>
      </c>
      <c r="F260" s="3">
        <v>1</v>
      </c>
      <c r="G260" s="3">
        <v>1</v>
      </c>
      <c r="H260" s="3">
        <v>1</v>
      </c>
      <c r="I260" s="11">
        <v>2</v>
      </c>
      <c r="K260" t="s">
        <v>150</v>
      </c>
      <c r="L260">
        <f>COUNTIFS($B$2:$B$386,17,$D$2:$D$386,3)</f>
        <v>1</v>
      </c>
      <c r="M260" s="34">
        <f t="shared" si="63"/>
        <v>0.25974025974025972</v>
      </c>
    </row>
    <row r="261" spans="1:13" x14ac:dyDescent="0.3">
      <c r="A261" t="s">
        <v>1440</v>
      </c>
      <c r="B261" s="7">
        <v>12</v>
      </c>
      <c r="C261" s="3">
        <v>20</v>
      </c>
      <c r="D261" s="11">
        <v>6</v>
      </c>
      <c r="E261" s="11">
        <v>4</v>
      </c>
      <c r="F261" s="11">
        <v>1</v>
      </c>
      <c r="G261" s="3">
        <v>1</v>
      </c>
      <c r="H261" s="11">
        <v>2</v>
      </c>
      <c r="I261" s="7">
        <v>2</v>
      </c>
      <c r="K261" t="s">
        <v>25</v>
      </c>
      <c r="L261">
        <f>COUNTIFS($B$2:$B$386,17,$D$2:$D$386,4)</f>
        <v>5</v>
      </c>
      <c r="M261" s="34">
        <f t="shared" si="63"/>
        <v>1.2987012987012987</v>
      </c>
    </row>
    <row r="262" spans="1:13" x14ac:dyDescent="0.3">
      <c r="A262" s="6" t="s">
        <v>643</v>
      </c>
      <c r="B262" s="7">
        <v>16</v>
      </c>
      <c r="C262" s="3">
        <v>21</v>
      </c>
      <c r="D262" s="11">
        <v>4</v>
      </c>
      <c r="E262" s="11">
        <v>3</v>
      </c>
      <c r="F262" s="7">
        <v>1</v>
      </c>
      <c r="G262" s="3">
        <v>1</v>
      </c>
      <c r="H262" s="7">
        <v>2</v>
      </c>
      <c r="I262" s="11">
        <v>2</v>
      </c>
      <c r="K262" t="s">
        <v>32</v>
      </c>
      <c r="L262">
        <f>COUNTIFS($B$2:$B$386,17,$D$2:$D$386,5)</f>
        <v>2</v>
      </c>
      <c r="M262" s="34">
        <f t="shared" si="63"/>
        <v>0.51948051948051943</v>
      </c>
    </row>
    <row r="263" spans="1:13" x14ac:dyDescent="0.3">
      <c r="A263" t="s">
        <v>1368</v>
      </c>
      <c r="B263" s="7">
        <v>13</v>
      </c>
      <c r="C263" s="3">
        <v>21</v>
      </c>
      <c r="D263" s="3">
        <v>4</v>
      </c>
      <c r="E263" s="3">
        <v>3</v>
      </c>
      <c r="F263" s="3">
        <v>1</v>
      </c>
      <c r="G263" s="3">
        <v>1</v>
      </c>
      <c r="H263" s="3">
        <v>2</v>
      </c>
      <c r="I263" s="11">
        <v>2</v>
      </c>
      <c r="K263" t="s">
        <v>38</v>
      </c>
      <c r="L263">
        <f>COUNTIFS($B$2:$B$386,17,$D$2:$D$386,6)</f>
        <v>1</v>
      </c>
      <c r="M263" s="34">
        <f t="shared" si="63"/>
        <v>0.25974025974025972</v>
      </c>
    </row>
    <row r="264" spans="1:13" x14ac:dyDescent="0.3">
      <c r="A264" t="s">
        <v>1761</v>
      </c>
      <c r="B264" s="7">
        <v>10</v>
      </c>
      <c r="C264" s="3">
        <v>20</v>
      </c>
      <c r="D264" s="3">
        <v>2</v>
      </c>
      <c r="E264" s="3">
        <v>3</v>
      </c>
      <c r="F264" s="11">
        <v>1</v>
      </c>
      <c r="G264" s="3">
        <v>1</v>
      </c>
      <c r="H264" s="11">
        <v>100</v>
      </c>
      <c r="I264" s="11">
        <v>2</v>
      </c>
      <c r="K264" t="s">
        <v>151</v>
      </c>
      <c r="L264">
        <f>COUNTIFS($B$2:$B$386,17,$D$2:$D$386,7)</f>
        <v>0</v>
      </c>
      <c r="M264" s="34">
        <f t="shared" si="63"/>
        <v>0</v>
      </c>
    </row>
    <row r="265" spans="1:13" x14ac:dyDescent="0.3">
      <c r="A265" t="s">
        <v>1761</v>
      </c>
      <c r="B265" s="7">
        <v>11</v>
      </c>
      <c r="C265" s="3">
        <v>20</v>
      </c>
      <c r="D265" s="3">
        <v>12</v>
      </c>
      <c r="E265" s="3">
        <v>3</v>
      </c>
      <c r="F265" s="3">
        <v>100</v>
      </c>
      <c r="G265" s="3">
        <v>100</v>
      </c>
      <c r="H265" s="3">
        <v>100</v>
      </c>
      <c r="I265" s="11">
        <v>2</v>
      </c>
      <c r="K265" t="s">
        <v>43</v>
      </c>
      <c r="L265">
        <f>COUNTIFS($B$2:$B$386,17,$D$2:$D$386,8)</f>
        <v>0</v>
      </c>
      <c r="M265" s="34">
        <f t="shared" si="63"/>
        <v>0</v>
      </c>
    </row>
    <row r="266" spans="1:13" x14ac:dyDescent="0.3">
      <c r="A266" s="6" t="s">
        <v>594</v>
      </c>
      <c r="B266" s="7">
        <v>16</v>
      </c>
      <c r="C266" s="3">
        <v>21</v>
      </c>
      <c r="D266" s="11">
        <v>1</v>
      </c>
      <c r="E266" s="11">
        <v>3</v>
      </c>
      <c r="F266" s="11">
        <v>1</v>
      </c>
      <c r="G266" s="3">
        <v>1</v>
      </c>
      <c r="H266" s="11">
        <v>2</v>
      </c>
      <c r="I266" s="11">
        <v>2</v>
      </c>
      <c r="K266" t="s">
        <v>46</v>
      </c>
      <c r="L266">
        <f>COUNTIFS($B$2:$B$386,17,$D$2:$D$386,9)</f>
        <v>0</v>
      </c>
      <c r="M266" s="34">
        <f t="shared" si="63"/>
        <v>0</v>
      </c>
    </row>
    <row r="267" spans="1:13" x14ac:dyDescent="0.3">
      <c r="A267" t="s">
        <v>2964</v>
      </c>
      <c r="B267" s="7">
        <v>10</v>
      </c>
      <c r="C267" s="3">
        <v>20</v>
      </c>
      <c r="D267" s="3">
        <v>4</v>
      </c>
      <c r="E267" s="3">
        <v>3</v>
      </c>
      <c r="F267" s="3">
        <v>100</v>
      </c>
      <c r="G267" s="3">
        <v>100</v>
      </c>
      <c r="H267" s="3">
        <v>100</v>
      </c>
      <c r="I267" s="11">
        <v>2</v>
      </c>
      <c r="K267" t="s">
        <v>152</v>
      </c>
      <c r="L267">
        <f>COUNTIFS($B$2:$B$386,17,$D$2:$D$386,10)</f>
        <v>0</v>
      </c>
      <c r="M267" s="34">
        <f t="shared" si="63"/>
        <v>0</v>
      </c>
    </row>
    <row r="268" spans="1:13" x14ac:dyDescent="0.3">
      <c r="A268" s="6" t="s">
        <v>600</v>
      </c>
      <c r="B268" s="7">
        <v>16</v>
      </c>
      <c r="C268" s="3">
        <v>21</v>
      </c>
      <c r="D268" s="11">
        <v>11</v>
      </c>
      <c r="E268" s="11">
        <v>6</v>
      </c>
      <c r="F268" s="11">
        <v>1</v>
      </c>
      <c r="G268" s="3">
        <v>1</v>
      </c>
      <c r="H268" s="11">
        <v>2</v>
      </c>
      <c r="I268" s="11">
        <v>2</v>
      </c>
      <c r="K268" t="s">
        <v>49</v>
      </c>
      <c r="L268">
        <f>COUNTIFS($B$2:$B$386,17,$D$2:$D$386,11)</f>
        <v>0</v>
      </c>
      <c r="M268" s="34">
        <f t="shared" si="63"/>
        <v>0</v>
      </c>
    </row>
    <row r="269" spans="1:13" x14ac:dyDescent="0.3">
      <c r="A269" s="6" t="s">
        <v>225</v>
      </c>
      <c r="B269" s="7">
        <v>17</v>
      </c>
      <c r="C269" s="3">
        <v>21</v>
      </c>
      <c r="D269" s="11">
        <v>4</v>
      </c>
      <c r="E269" s="11">
        <v>3</v>
      </c>
      <c r="F269" s="11">
        <v>100</v>
      </c>
      <c r="G269" s="3">
        <v>100</v>
      </c>
      <c r="H269" s="11">
        <v>100</v>
      </c>
      <c r="I269" s="7">
        <v>2</v>
      </c>
      <c r="K269" t="s">
        <v>51</v>
      </c>
      <c r="L269">
        <f>COUNTIFS($B$2:$B$386,17,$D$2:$D$386,12)</f>
        <v>0</v>
      </c>
      <c r="M269" s="34">
        <f t="shared" si="63"/>
        <v>0</v>
      </c>
    </row>
    <row r="270" spans="1:13" x14ac:dyDescent="0.3">
      <c r="A270" t="s">
        <v>1960</v>
      </c>
      <c r="B270" s="7">
        <v>7</v>
      </c>
      <c r="C270" s="3">
        <v>19</v>
      </c>
      <c r="D270" s="3">
        <v>3</v>
      </c>
      <c r="E270" s="3">
        <v>5</v>
      </c>
      <c r="F270" s="3">
        <v>1</v>
      </c>
      <c r="G270" s="3">
        <v>1</v>
      </c>
      <c r="H270" s="3">
        <v>1</v>
      </c>
      <c r="I270" s="11">
        <v>2</v>
      </c>
      <c r="K270" t="s">
        <v>153</v>
      </c>
      <c r="L270">
        <f>COUNTIFS($B$2:$B$386,17,$D$2:$D$386,13)</f>
        <v>0</v>
      </c>
      <c r="M270" s="34">
        <f t="shared" si="63"/>
        <v>0</v>
      </c>
    </row>
    <row r="271" spans="1:13" x14ac:dyDescent="0.3">
      <c r="A271" s="6" t="s">
        <v>1040</v>
      </c>
      <c r="B271" s="7">
        <v>14</v>
      </c>
      <c r="C271" s="3">
        <v>21</v>
      </c>
      <c r="D271" s="11">
        <v>15</v>
      </c>
      <c r="E271" s="11">
        <v>3</v>
      </c>
      <c r="F271" s="11">
        <v>1</v>
      </c>
      <c r="G271" s="3">
        <v>1</v>
      </c>
      <c r="H271" s="11">
        <v>2</v>
      </c>
      <c r="I271" s="7">
        <v>2</v>
      </c>
      <c r="K271" t="s">
        <v>154</v>
      </c>
      <c r="L271">
        <f>COUNTIFS($B$2:$B$386,17,$D$2:$D$386,14)</f>
        <v>2</v>
      </c>
      <c r="M271" s="34">
        <f t="shared" si="63"/>
        <v>0.51948051948051943</v>
      </c>
    </row>
    <row r="272" spans="1:13" x14ac:dyDescent="0.3">
      <c r="A272" t="s">
        <v>1804</v>
      </c>
      <c r="B272" s="7">
        <v>9</v>
      </c>
      <c r="C272" s="3">
        <v>20</v>
      </c>
      <c r="D272" s="3">
        <v>4</v>
      </c>
      <c r="E272" s="3">
        <v>1</v>
      </c>
      <c r="F272" s="11">
        <v>1</v>
      </c>
      <c r="G272" s="3">
        <v>1</v>
      </c>
      <c r="H272" s="11">
        <v>2</v>
      </c>
      <c r="I272" s="11">
        <v>2</v>
      </c>
      <c r="K272" t="s">
        <v>52</v>
      </c>
      <c r="L272">
        <f>COUNTIFS($B$2:$B$386,17,$D$2:$D$386,15)</f>
        <v>4</v>
      </c>
      <c r="M272" s="34">
        <f t="shared" si="63"/>
        <v>1.0389610389610389</v>
      </c>
    </row>
    <row r="273" spans="1:13" x14ac:dyDescent="0.3">
      <c r="A273" t="s">
        <v>1341</v>
      </c>
      <c r="B273" s="7">
        <v>13</v>
      </c>
      <c r="C273" s="3">
        <v>21</v>
      </c>
      <c r="D273" s="3">
        <v>8</v>
      </c>
      <c r="E273" s="3">
        <v>1</v>
      </c>
      <c r="F273" s="3">
        <v>3</v>
      </c>
      <c r="G273" s="3">
        <v>3</v>
      </c>
      <c r="H273" s="3">
        <v>3</v>
      </c>
      <c r="I273" s="11">
        <v>2</v>
      </c>
      <c r="L273" s="22">
        <f>SUM(L258:L272)</f>
        <v>16</v>
      </c>
      <c r="M273" s="35">
        <f t="shared" si="63"/>
        <v>4.1558441558441555</v>
      </c>
    </row>
    <row r="274" spans="1:13" x14ac:dyDescent="0.3">
      <c r="A274" s="6" t="s">
        <v>717</v>
      </c>
      <c r="B274" s="7">
        <v>15</v>
      </c>
      <c r="C274" s="3">
        <v>21</v>
      </c>
      <c r="D274" s="11">
        <v>1</v>
      </c>
      <c r="E274" s="7">
        <v>6</v>
      </c>
      <c r="F274" s="7">
        <v>2</v>
      </c>
      <c r="G274" s="3">
        <v>2</v>
      </c>
      <c r="H274" s="7">
        <v>3</v>
      </c>
      <c r="I274" s="7">
        <v>2</v>
      </c>
    </row>
    <row r="275" spans="1:13" x14ac:dyDescent="0.3">
      <c r="A275" s="6" t="s">
        <v>1090</v>
      </c>
      <c r="B275" s="7">
        <v>14</v>
      </c>
      <c r="C275" s="3">
        <v>21</v>
      </c>
      <c r="D275" s="3">
        <v>4</v>
      </c>
      <c r="E275" s="3">
        <v>3</v>
      </c>
      <c r="F275" s="3">
        <v>1</v>
      </c>
      <c r="G275" s="3">
        <v>1</v>
      </c>
      <c r="H275" s="3">
        <v>2</v>
      </c>
      <c r="I275" s="11">
        <v>2</v>
      </c>
    </row>
    <row r="276" spans="1:13" x14ac:dyDescent="0.3">
      <c r="A276" t="s">
        <v>2066</v>
      </c>
      <c r="B276" s="7">
        <v>6</v>
      </c>
      <c r="C276" s="3">
        <v>19</v>
      </c>
      <c r="D276" s="3">
        <v>1</v>
      </c>
      <c r="E276" s="3">
        <v>3</v>
      </c>
      <c r="F276" s="3">
        <v>100</v>
      </c>
      <c r="G276" s="3">
        <v>100</v>
      </c>
      <c r="H276" s="3">
        <v>100</v>
      </c>
      <c r="I276" s="7">
        <v>2</v>
      </c>
    </row>
    <row r="277" spans="1:13" x14ac:dyDescent="0.3">
      <c r="A277" t="s">
        <v>1308</v>
      </c>
      <c r="B277" s="7">
        <v>13</v>
      </c>
      <c r="C277" s="3">
        <v>21</v>
      </c>
      <c r="D277" s="3">
        <v>4</v>
      </c>
      <c r="E277" s="3">
        <v>1</v>
      </c>
      <c r="F277" s="3">
        <v>1</v>
      </c>
      <c r="G277" s="3">
        <v>1</v>
      </c>
      <c r="H277" s="3">
        <v>2</v>
      </c>
      <c r="I277" s="11">
        <v>2</v>
      </c>
    </row>
    <row r="278" spans="1:13" x14ac:dyDescent="0.3">
      <c r="A278" t="s">
        <v>1799</v>
      </c>
      <c r="B278" s="7">
        <v>9</v>
      </c>
      <c r="C278" s="3">
        <v>20</v>
      </c>
      <c r="D278" s="3">
        <v>4</v>
      </c>
      <c r="E278" s="3">
        <v>5</v>
      </c>
      <c r="F278" s="11">
        <v>1</v>
      </c>
      <c r="G278" s="3">
        <v>1</v>
      </c>
      <c r="H278" s="11">
        <v>2</v>
      </c>
      <c r="I278" s="11">
        <v>2</v>
      </c>
    </row>
    <row r="279" spans="1:13" x14ac:dyDescent="0.3">
      <c r="A279" t="s">
        <v>2480</v>
      </c>
      <c r="B279" s="7">
        <v>16</v>
      </c>
      <c r="C279" s="3">
        <v>21</v>
      </c>
      <c r="D279" s="3">
        <v>4</v>
      </c>
      <c r="E279" s="3">
        <v>3</v>
      </c>
      <c r="F279" s="3">
        <v>100</v>
      </c>
      <c r="G279" s="3">
        <v>100</v>
      </c>
      <c r="H279" s="3">
        <v>100</v>
      </c>
      <c r="I279" s="11">
        <v>2</v>
      </c>
    </row>
    <row r="280" spans="1:13" x14ac:dyDescent="0.3">
      <c r="A280" t="s">
        <v>1414</v>
      </c>
      <c r="B280" s="7">
        <v>12</v>
      </c>
      <c r="C280" s="3">
        <v>20</v>
      </c>
      <c r="D280" s="3">
        <v>1</v>
      </c>
      <c r="E280" s="3">
        <v>5</v>
      </c>
      <c r="F280" s="3">
        <v>1</v>
      </c>
      <c r="G280" s="3">
        <v>1</v>
      </c>
      <c r="H280" s="3">
        <v>2</v>
      </c>
      <c r="I280" s="11">
        <v>2</v>
      </c>
    </row>
    <row r="281" spans="1:13" x14ac:dyDescent="0.3">
      <c r="A281" t="s">
        <v>1757</v>
      </c>
      <c r="B281" s="7">
        <v>10</v>
      </c>
      <c r="C281" s="3">
        <v>20</v>
      </c>
      <c r="D281" s="3">
        <v>4</v>
      </c>
      <c r="E281" s="3">
        <v>3</v>
      </c>
      <c r="F281" s="11">
        <v>3</v>
      </c>
      <c r="G281" s="3">
        <v>3</v>
      </c>
      <c r="H281" s="11">
        <v>5</v>
      </c>
      <c r="I281" s="3">
        <v>1</v>
      </c>
    </row>
    <row r="282" spans="1:13" x14ac:dyDescent="0.3">
      <c r="A282" t="s">
        <v>2235</v>
      </c>
      <c r="B282" s="7">
        <v>4</v>
      </c>
      <c r="C282" s="3">
        <v>18</v>
      </c>
      <c r="D282" s="3">
        <v>9</v>
      </c>
      <c r="E282" s="3">
        <v>7</v>
      </c>
      <c r="F282" s="3">
        <v>1</v>
      </c>
      <c r="G282" s="3">
        <v>1</v>
      </c>
      <c r="H282" s="3">
        <v>1</v>
      </c>
      <c r="I282" s="7">
        <v>2</v>
      </c>
    </row>
    <row r="283" spans="1:13" x14ac:dyDescent="0.3">
      <c r="A283" t="s">
        <v>1772</v>
      </c>
      <c r="B283" s="7">
        <v>9</v>
      </c>
      <c r="C283" s="3">
        <v>20</v>
      </c>
      <c r="D283" s="3">
        <v>4</v>
      </c>
      <c r="E283" s="3">
        <v>3</v>
      </c>
      <c r="F283" s="3">
        <v>100</v>
      </c>
      <c r="G283" s="3">
        <v>100</v>
      </c>
      <c r="H283" s="3">
        <v>100</v>
      </c>
      <c r="I283" s="7">
        <v>2</v>
      </c>
    </row>
    <row r="284" spans="1:13" x14ac:dyDescent="0.3">
      <c r="A284" s="6" t="s">
        <v>791</v>
      </c>
      <c r="B284" s="7">
        <v>15</v>
      </c>
      <c r="C284" s="3">
        <v>21</v>
      </c>
      <c r="D284" s="11">
        <v>4</v>
      </c>
      <c r="E284" s="7">
        <v>3</v>
      </c>
      <c r="F284" s="7">
        <v>1</v>
      </c>
      <c r="G284" s="3">
        <v>1</v>
      </c>
      <c r="H284" s="7">
        <v>2</v>
      </c>
      <c r="I284" s="11">
        <v>2</v>
      </c>
    </row>
    <row r="285" spans="1:13" x14ac:dyDescent="0.3">
      <c r="A285" s="6" t="s">
        <v>374</v>
      </c>
      <c r="B285" s="7">
        <v>16</v>
      </c>
      <c r="C285" s="3">
        <v>21</v>
      </c>
      <c r="D285" s="11">
        <v>4</v>
      </c>
      <c r="E285" s="11">
        <v>7</v>
      </c>
      <c r="F285" s="11">
        <v>1</v>
      </c>
      <c r="G285" s="3">
        <v>1</v>
      </c>
      <c r="H285" s="11">
        <v>2</v>
      </c>
      <c r="I285" s="11">
        <v>2</v>
      </c>
    </row>
    <row r="286" spans="1:13" x14ac:dyDescent="0.3">
      <c r="A286" t="s">
        <v>2527</v>
      </c>
      <c r="B286" s="7">
        <v>16</v>
      </c>
      <c r="C286" s="3">
        <v>21</v>
      </c>
      <c r="D286" s="3">
        <v>15</v>
      </c>
      <c r="E286" s="3">
        <v>3</v>
      </c>
      <c r="F286" s="3">
        <v>100</v>
      </c>
      <c r="G286" s="3">
        <v>100</v>
      </c>
      <c r="H286" s="3">
        <v>100</v>
      </c>
      <c r="I286" s="11">
        <v>2</v>
      </c>
    </row>
    <row r="287" spans="1:13" x14ac:dyDescent="0.3">
      <c r="A287" t="s">
        <v>1858</v>
      </c>
      <c r="B287" s="7">
        <v>8</v>
      </c>
      <c r="C287" s="3">
        <v>19</v>
      </c>
      <c r="D287" s="3">
        <v>2</v>
      </c>
      <c r="E287" s="3">
        <v>3</v>
      </c>
      <c r="F287" s="3">
        <v>100</v>
      </c>
      <c r="G287" s="3">
        <v>100</v>
      </c>
      <c r="H287" s="3">
        <v>100</v>
      </c>
      <c r="I287" s="7">
        <v>2</v>
      </c>
    </row>
    <row r="288" spans="1:13" x14ac:dyDescent="0.3">
      <c r="A288" t="s">
        <v>2419</v>
      </c>
      <c r="B288" s="7">
        <v>2</v>
      </c>
      <c r="C288" s="3">
        <v>18</v>
      </c>
      <c r="D288" s="3">
        <v>2</v>
      </c>
      <c r="E288" s="3">
        <v>6</v>
      </c>
      <c r="F288" s="3">
        <v>100</v>
      </c>
      <c r="G288" s="3">
        <v>100</v>
      </c>
      <c r="H288" s="3">
        <v>100</v>
      </c>
      <c r="I288" s="7">
        <v>2</v>
      </c>
    </row>
    <row r="289" spans="1:9" x14ac:dyDescent="0.3">
      <c r="A289" t="s">
        <v>2442</v>
      </c>
      <c r="B289" s="7">
        <v>2</v>
      </c>
      <c r="C289" s="3">
        <v>18</v>
      </c>
      <c r="D289" s="3">
        <v>13</v>
      </c>
      <c r="E289" s="3">
        <v>3</v>
      </c>
      <c r="F289" s="3">
        <v>2</v>
      </c>
      <c r="G289" s="3">
        <v>2</v>
      </c>
      <c r="H289" s="3">
        <v>4</v>
      </c>
      <c r="I289" s="11">
        <v>2</v>
      </c>
    </row>
    <row r="290" spans="1:9" x14ac:dyDescent="0.3">
      <c r="A290" s="6" t="s">
        <v>316</v>
      </c>
      <c r="B290" s="7">
        <v>16</v>
      </c>
      <c r="C290" s="3">
        <v>21</v>
      </c>
      <c r="D290" s="11">
        <v>4</v>
      </c>
      <c r="E290" s="11">
        <v>3</v>
      </c>
      <c r="F290" s="11">
        <v>1</v>
      </c>
      <c r="G290" s="3">
        <v>1</v>
      </c>
      <c r="H290" s="11">
        <v>2</v>
      </c>
      <c r="I290" s="11">
        <v>2</v>
      </c>
    </row>
    <row r="291" spans="1:9" x14ac:dyDescent="0.3">
      <c r="A291" t="s">
        <v>2648</v>
      </c>
      <c r="B291" s="7">
        <v>14</v>
      </c>
      <c r="C291" s="3">
        <v>21</v>
      </c>
      <c r="D291" s="3">
        <v>3</v>
      </c>
      <c r="E291" s="3">
        <v>6</v>
      </c>
      <c r="F291" s="3">
        <v>1</v>
      </c>
      <c r="G291" s="3">
        <v>1</v>
      </c>
      <c r="H291" s="3">
        <v>2</v>
      </c>
      <c r="I291" s="11">
        <v>2</v>
      </c>
    </row>
    <row r="292" spans="1:9" x14ac:dyDescent="0.3">
      <c r="A292" t="s">
        <v>2861</v>
      </c>
      <c r="B292" s="7">
        <v>11</v>
      </c>
      <c r="C292" s="3">
        <v>20</v>
      </c>
      <c r="D292" s="3">
        <v>4</v>
      </c>
      <c r="E292" s="3">
        <v>3</v>
      </c>
      <c r="F292" s="3">
        <v>100</v>
      </c>
      <c r="G292" s="3">
        <v>100</v>
      </c>
      <c r="H292" s="3">
        <v>100</v>
      </c>
      <c r="I292" s="11">
        <v>2</v>
      </c>
    </row>
    <row r="293" spans="1:9" x14ac:dyDescent="0.3">
      <c r="A293" t="s">
        <v>2997</v>
      </c>
      <c r="B293" s="7">
        <v>8</v>
      </c>
      <c r="C293" s="3">
        <v>19</v>
      </c>
      <c r="D293" s="3">
        <v>15</v>
      </c>
      <c r="E293" s="3">
        <v>6</v>
      </c>
      <c r="F293" s="3">
        <v>100</v>
      </c>
      <c r="G293" s="3">
        <v>100</v>
      </c>
      <c r="H293" s="3">
        <v>100</v>
      </c>
      <c r="I293" s="11">
        <v>2</v>
      </c>
    </row>
    <row r="294" spans="1:9" x14ac:dyDescent="0.3">
      <c r="A294" t="s">
        <v>1809</v>
      </c>
      <c r="B294" s="7">
        <v>9</v>
      </c>
      <c r="C294" s="3">
        <v>20</v>
      </c>
      <c r="D294" s="3">
        <v>4</v>
      </c>
      <c r="E294" s="3">
        <v>7</v>
      </c>
      <c r="F294" s="3">
        <v>1</v>
      </c>
      <c r="G294" s="3">
        <v>1</v>
      </c>
      <c r="H294" s="3">
        <v>2</v>
      </c>
      <c r="I294" s="11">
        <v>2</v>
      </c>
    </row>
    <row r="295" spans="1:9" x14ac:dyDescent="0.3">
      <c r="A295" t="s">
        <v>1957</v>
      </c>
      <c r="B295" s="7">
        <v>7</v>
      </c>
      <c r="C295" s="3">
        <v>19</v>
      </c>
      <c r="D295" s="3">
        <v>4</v>
      </c>
      <c r="E295" s="3">
        <v>3</v>
      </c>
      <c r="F295" s="3">
        <v>1</v>
      </c>
      <c r="G295" s="3">
        <v>1</v>
      </c>
      <c r="H295" s="3">
        <v>1</v>
      </c>
      <c r="I295" s="11">
        <v>2</v>
      </c>
    </row>
    <row r="296" spans="1:9" x14ac:dyDescent="0.3">
      <c r="A296" s="6" t="s">
        <v>526</v>
      </c>
      <c r="B296" s="7">
        <v>16</v>
      </c>
      <c r="C296" s="3">
        <v>21</v>
      </c>
      <c r="D296" s="11">
        <v>4</v>
      </c>
      <c r="E296" s="11">
        <v>3</v>
      </c>
      <c r="F296" s="11">
        <v>1</v>
      </c>
      <c r="G296" s="3">
        <v>1</v>
      </c>
      <c r="H296" s="11">
        <v>2</v>
      </c>
      <c r="I296" s="11">
        <v>2</v>
      </c>
    </row>
    <row r="297" spans="1:9" x14ac:dyDescent="0.3">
      <c r="A297" s="6" t="s">
        <v>161</v>
      </c>
      <c r="B297" s="7">
        <v>17</v>
      </c>
      <c r="C297" s="3">
        <v>21</v>
      </c>
      <c r="D297" s="11">
        <v>14</v>
      </c>
      <c r="E297" s="11">
        <v>3</v>
      </c>
      <c r="F297" s="11">
        <v>1</v>
      </c>
      <c r="G297" s="3">
        <v>1</v>
      </c>
      <c r="H297" s="11">
        <v>2</v>
      </c>
      <c r="I297" s="11">
        <v>2</v>
      </c>
    </row>
    <row r="298" spans="1:9" x14ac:dyDescent="0.3">
      <c r="A298" t="s">
        <v>3027</v>
      </c>
      <c r="B298" s="7">
        <v>4</v>
      </c>
      <c r="C298" s="3">
        <v>18</v>
      </c>
      <c r="D298" s="3">
        <v>14</v>
      </c>
      <c r="E298" s="3">
        <v>3</v>
      </c>
      <c r="F298" s="3">
        <v>100</v>
      </c>
      <c r="G298" s="3">
        <v>100</v>
      </c>
      <c r="H298" s="3">
        <v>100</v>
      </c>
      <c r="I298" s="11">
        <v>2</v>
      </c>
    </row>
    <row r="299" spans="1:9" x14ac:dyDescent="0.3">
      <c r="A299" t="s">
        <v>2386</v>
      </c>
      <c r="B299" s="7">
        <v>1</v>
      </c>
      <c r="C299" s="3">
        <v>18</v>
      </c>
      <c r="D299" s="11">
        <v>4</v>
      </c>
      <c r="E299" s="11">
        <v>8</v>
      </c>
      <c r="F299" s="7">
        <v>1</v>
      </c>
      <c r="G299" s="3">
        <v>1</v>
      </c>
      <c r="H299" s="7">
        <v>1</v>
      </c>
      <c r="I299" s="7">
        <v>2</v>
      </c>
    </row>
    <row r="300" spans="1:9" x14ac:dyDescent="0.3">
      <c r="A300" t="s">
        <v>2043</v>
      </c>
      <c r="B300" s="7">
        <v>7</v>
      </c>
      <c r="C300" s="3">
        <v>19</v>
      </c>
      <c r="D300" s="3">
        <v>2</v>
      </c>
      <c r="E300" s="3">
        <v>3</v>
      </c>
      <c r="F300" s="3">
        <v>1</v>
      </c>
      <c r="G300" s="3">
        <v>1</v>
      </c>
      <c r="H300" s="3">
        <v>1</v>
      </c>
      <c r="I300" s="11">
        <v>2</v>
      </c>
    </row>
    <row r="301" spans="1:9" x14ac:dyDescent="0.3">
      <c r="A301" t="s">
        <v>2647</v>
      </c>
      <c r="B301" s="7">
        <v>14</v>
      </c>
      <c r="C301" s="3">
        <v>21</v>
      </c>
      <c r="D301" s="3">
        <v>3</v>
      </c>
      <c r="E301" s="3">
        <v>9</v>
      </c>
      <c r="F301" s="11">
        <v>1</v>
      </c>
      <c r="G301" s="3">
        <v>1</v>
      </c>
      <c r="H301" s="11">
        <v>100</v>
      </c>
      <c r="I301" s="11">
        <v>2</v>
      </c>
    </row>
    <row r="302" spans="1:9" x14ac:dyDescent="0.3">
      <c r="A302" s="6" t="s">
        <v>903</v>
      </c>
      <c r="B302" s="7">
        <v>15</v>
      </c>
      <c r="C302" s="3">
        <v>21</v>
      </c>
      <c r="D302" s="11">
        <v>4</v>
      </c>
      <c r="E302" s="7">
        <v>6</v>
      </c>
      <c r="F302" s="11">
        <v>1</v>
      </c>
      <c r="G302" s="3">
        <v>1</v>
      </c>
      <c r="H302" s="11">
        <v>2</v>
      </c>
      <c r="I302" s="11">
        <v>2</v>
      </c>
    </row>
    <row r="303" spans="1:9" x14ac:dyDescent="0.3">
      <c r="A303" t="s">
        <v>2685</v>
      </c>
      <c r="B303" s="7">
        <v>14</v>
      </c>
      <c r="C303" s="3">
        <v>21</v>
      </c>
      <c r="D303" s="3">
        <v>3</v>
      </c>
      <c r="E303" s="3">
        <v>1</v>
      </c>
      <c r="F303" s="11">
        <v>100</v>
      </c>
      <c r="G303" s="3">
        <v>100</v>
      </c>
      <c r="H303" s="11">
        <v>100</v>
      </c>
      <c r="I303" s="7">
        <v>2</v>
      </c>
    </row>
    <row r="304" spans="1:9" x14ac:dyDescent="0.3">
      <c r="A304" t="s">
        <v>2726</v>
      </c>
      <c r="B304" s="7">
        <v>13</v>
      </c>
      <c r="C304" s="3">
        <v>21</v>
      </c>
      <c r="D304" s="3">
        <v>4</v>
      </c>
      <c r="E304" s="3">
        <v>3</v>
      </c>
      <c r="F304" s="3">
        <v>1</v>
      </c>
      <c r="G304" s="3">
        <v>1</v>
      </c>
      <c r="H304" s="3">
        <v>2</v>
      </c>
      <c r="I304" s="7">
        <v>2</v>
      </c>
    </row>
    <row r="305" spans="1:9" x14ac:dyDescent="0.3">
      <c r="A305" t="s">
        <v>1679</v>
      </c>
      <c r="B305" s="7">
        <v>11</v>
      </c>
      <c r="C305" s="3">
        <v>20</v>
      </c>
      <c r="D305" s="11">
        <v>1</v>
      </c>
      <c r="E305" s="11">
        <v>8</v>
      </c>
      <c r="F305" s="11">
        <v>1</v>
      </c>
      <c r="G305" s="3">
        <v>1</v>
      </c>
      <c r="H305" s="11">
        <v>2</v>
      </c>
      <c r="I305" s="7">
        <v>2</v>
      </c>
    </row>
    <row r="306" spans="1:9" x14ac:dyDescent="0.3">
      <c r="A306" t="s">
        <v>2765</v>
      </c>
      <c r="B306" s="7">
        <v>13</v>
      </c>
      <c r="C306" s="3">
        <v>21</v>
      </c>
      <c r="D306" s="3">
        <v>2</v>
      </c>
      <c r="E306" s="3">
        <v>3</v>
      </c>
      <c r="F306" s="3">
        <v>100</v>
      </c>
      <c r="G306" s="3">
        <v>100</v>
      </c>
      <c r="H306" s="3">
        <v>100</v>
      </c>
      <c r="I306" s="11">
        <v>2</v>
      </c>
    </row>
    <row r="307" spans="1:9" x14ac:dyDescent="0.3">
      <c r="A307" t="s">
        <v>1100</v>
      </c>
      <c r="B307" s="7">
        <v>14</v>
      </c>
      <c r="C307" s="3">
        <v>21</v>
      </c>
      <c r="D307" s="3">
        <v>4</v>
      </c>
      <c r="E307" s="3">
        <v>3</v>
      </c>
      <c r="F307" s="3">
        <v>4</v>
      </c>
      <c r="G307" s="3">
        <v>15</v>
      </c>
      <c r="H307" s="3">
        <v>5</v>
      </c>
      <c r="I307" s="11">
        <v>2</v>
      </c>
    </row>
    <row r="308" spans="1:9" x14ac:dyDescent="0.3">
      <c r="A308" s="6" t="s">
        <v>803</v>
      </c>
      <c r="B308" s="7">
        <v>15</v>
      </c>
      <c r="C308" s="3">
        <v>21</v>
      </c>
      <c r="D308" s="11">
        <v>1</v>
      </c>
      <c r="E308" s="7">
        <v>6</v>
      </c>
      <c r="F308" s="7">
        <v>100</v>
      </c>
      <c r="G308" s="3">
        <v>100</v>
      </c>
      <c r="H308" s="7">
        <v>100</v>
      </c>
      <c r="I308" s="7">
        <v>2</v>
      </c>
    </row>
    <row r="309" spans="1:9" x14ac:dyDescent="0.3">
      <c r="A309" t="s">
        <v>3023</v>
      </c>
      <c r="B309" s="7">
        <v>1</v>
      </c>
      <c r="C309" s="3">
        <v>18</v>
      </c>
      <c r="D309" s="3">
        <v>14</v>
      </c>
      <c r="E309" s="3">
        <v>3</v>
      </c>
      <c r="F309" s="3">
        <v>3</v>
      </c>
      <c r="G309" s="3">
        <v>3</v>
      </c>
      <c r="H309" s="3">
        <v>4</v>
      </c>
      <c r="I309" s="3">
        <v>1</v>
      </c>
    </row>
    <row r="310" spans="1:9" x14ac:dyDescent="0.3">
      <c r="A310" s="6" t="s">
        <v>262</v>
      </c>
      <c r="B310" s="7">
        <v>17</v>
      </c>
      <c r="C310" s="3">
        <v>21</v>
      </c>
      <c r="D310" s="7">
        <v>4</v>
      </c>
      <c r="E310" s="11">
        <v>3</v>
      </c>
      <c r="F310" s="11">
        <v>1</v>
      </c>
      <c r="G310" s="3">
        <v>1</v>
      </c>
      <c r="H310" s="11">
        <v>2</v>
      </c>
      <c r="I310" s="11">
        <v>2</v>
      </c>
    </row>
    <row r="311" spans="1:9" x14ac:dyDescent="0.3">
      <c r="A311" t="s">
        <v>2988</v>
      </c>
      <c r="B311" s="7">
        <v>7</v>
      </c>
      <c r="C311" s="3">
        <v>19</v>
      </c>
      <c r="D311" s="3">
        <v>4</v>
      </c>
      <c r="E311" s="3">
        <v>8</v>
      </c>
      <c r="F311" s="3">
        <v>1</v>
      </c>
      <c r="G311" s="3">
        <v>1</v>
      </c>
      <c r="H311" s="3">
        <v>1</v>
      </c>
      <c r="I311" s="7">
        <v>2</v>
      </c>
    </row>
    <row r="312" spans="1:9" x14ac:dyDescent="0.3">
      <c r="A312" t="s">
        <v>2869</v>
      </c>
      <c r="B312" s="7">
        <v>11</v>
      </c>
      <c r="C312" s="3">
        <v>20</v>
      </c>
      <c r="D312" s="3">
        <v>4</v>
      </c>
      <c r="E312" s="3">
        <v>3</v>
      </c>
      <c r="F312" s="3">
        <v>3</v>
      </c>
      <c r="G312" s="3">
        <v>3</v>
      </c>
      <c r="H312" s="3">
        <v>5</v>
      </c>
      <c r="I312" s="7">
        <v>2</v>
      </c>
    </row>
    <row r="313" spans="1:9" x14ac:dyDescent="0.3">
      <c r="A313" t="s">
        <v>1616</v>
      </c>
      <c r="B313" s="7">
        <v>11</v>
      </c>
      <c r="C313" s="3">
        <v>20</v>
      </c>
      <c r="D313" s="3">
        <v>15</v>
      </c>
      <c r="E313" s="3">
        <v>7</v>
      </c>
      <c r="F313" s="3">
        <v>100</v>
      </c>
      <c r="G313" s="3">
        <v>100</v>
      </c>
      <c r="H313" s="3">
        <v>100</v>
      </c>
      <c r="I313" s="7">
        <v>2</v>
      </c>
    </row>
    <row r="314" spans="1:9" x14ac:dyDescent="0.3">
      <c r="A314" t="s">
        <v>2539</v>
      </c>
      <c r="B314" s="7">
        <v>16</v>
      </c>
      <c r="C314" s="3">
        <v>21</v>
      </c>
      <c r="D314" s="3">
        <v>8</v>
      </c>
      <c r="E314" s="3">
        <v>5</v>
      </c>
      <c r="F314" s="11">
        <v>1</v>
      </c>
      <c r="G314" s="3">
        <v>1</v>
      </c>
      <c r="H314" s="11">
        <v>2</v>
      </c>
      <c r="I314" s="7">
        <v>2</v>
      </c>
    </row>
    <row r="315" spans="1:9" x14ac:dyDescent="0.3">
      <c r="A315" s="6" t="s">
        <v>162</v>
      </c>
      <c r="B315" s="7">
        <v>17</v>
      </c>
      <c r="C315" s="3">
        <v>21</v>
      </c>
      <c r="D315" s="11">
        <v>2</v>
      </c>
      <c r="E315" s="11">
        <v>3</v>
      </c>
      <c r="F315" s="11">
        <v>3</v>
      </c>
      <c r="G315" s="3">
        <v>3</v>
      </c>
      <c r="H315" s="11">
        <v>3</v>
      </c>
      <c r="I315" s="11">
        <v>2</v>
      </c>
    </row>
    <row r="316" spans="1:9" x14ac:dyDescent="0.3">
      <c r="A316" t="s">
        <v>2358</v>
      </c>
      <c r="B316" s="7">
        <v>3</v>
      </c>
      <c r="C316" s="3">
        <v>18</v>
      </c>
      <c r="D316" s="3">
        <v>3</v>
      </c>
      <c r="E316" s="3">
        <v>5</v>
      </c>
      <c r="F316" s="3">
        <v>2</v>
      </c>
      <c r="G316" s="3">
        <v>2</v>
      </c>
      <c r="H316" s="3">
        <v>4</v>
      </c>
      <c r="I316" s="11">
        <v>2</v>
      </c>
    </row>
    <row r="317" spans="1:9" x14ac:dyDescent="0.3">
      <c r="A317" t="s">
        <v>2152</v>
      </c>
      <c r="B317" s="7">
        <v>5</v>
      </c>
      <c r="C317" s="3">
        <v>19</v>
      </c>
      <c r="D317" s="3">
        <v>1</v>
      </c>
      <c r="E317" s="3">
        <v>7</v>
      </c>
      <c r="F317" s="3">
        <v>2</v>
      </c>
      <c r="G317" s="3">
        <v>2</v>
      </c>
      <c r="H317" s="3">
        <v>4</v>
      </c>
      <c r="I317" s="7">
        <v>2</v>
      </c>
    </row>
    <row r="318" spans="1:9" x14ac:dyDescent="0.3">
      <c r="A318" s="6" t="s">
        <v>655</v>
      </c>
      <c r="B318" s="7">
        <v>16</v>
      </c>
      <c r="C318" s="3">
        <v>21</v>
      </c>
      <c r="D318" s="11">
        <v>4</v>
      </c>
      <c r="E318" s="11">
        <v>3</v>
      </c>
      <c r="F318" s="11">
        <v>100</v>
      </c>
      <c r="G318" s="3">
        <v>100</v>
      </c>
      <c r="H318" s="11">
        <v>2</v>
      </c>
      <c r="I318" s="11">
        <v>2</v>
      </c>
    </row>
    <row r="319" spans="1:9" x14ac:dyDescent="0.3">
      <c r="A319" t="s">
        <v>2722</v>
      </c>
      <c r="B319" s="7">
        <v>13</v>
      </c>
      <c r="C319" s="3">
        <v>21</v>
      </c>
      <c r="D319" s="3">
        <v>4</v>
      </c>
      <c r="E319" s="3">
        <v>3</v>
      </c>
      <c r="F319" s="11">
        <v>1</v>
      </c>
      <c r="G319" s="3">
        <v>1</v>
      </c>
      <c r="H319" s="11">
        <v>2</v>
      </c>
      <c r="I319" s="11">
        <v>2</v>
      </c>
    </row>
    <row r="320" spans="1:9" x14ac:dyDescent="0.3">
      <c r="A320" s="6" t="s">
        <v>987</v>
      </c>
      <c r="B320" s="7">
        <v>14</v>
      </c>
      <c r="C320" s="3">
        <v>21</v>
      </c>
      <c r="D320" s="11">
        <v>14</v>
      </c>
      <c r="E320" s="11">
        <v>3</v>
      </c>
      <c r="F320" s="11">
        <v>4</v>
      </c>
      <c r="G320" s="3">
        <v>15</v>
      </c>
      <c r="H320" s="11">
        <v>3</v>
      </c>
      <c r="I320" s="11">
        <v>1</v>
      </c>
    </row>
    <row r="321" spans="1:9" x14ac:dyDescent="0.3">
      <c r="A321" s="6" t="s">
        <v>382</v>
      </c>
      <c r="B321" s="7">
        <v>16</v>
      </c>
      <c r="C321" s="3">
        <v>21</v>
      </c>
      <c r="D321" s="11">
        <v>4</v>
      </c>
      <c r="E321" s="11">
        <v>1</v>
      </c>
      <c r="F321" s="11">
        <v>1</v>
      </c>
      <c r="G321" s="3">
        <v>1</v>
      </c>
      <c r="H321" s="11">
        <v>2</v>
      </c>
      <c r="I321" s="11">
        <v>2</v>
      </c>
    </row>
    <row r="322" spans="1:9" x14ac:dyDescent="0.3">
      <c r="A322" t="s">
        <v>1548</v>
      </c>
      <c r="B322" s="7">
        <v>12</v>
      </c>
      <c r="C322" s="3">
        <v>20</v>
      </c>
      <c r="D322" s="3">
        <v>4</v>
      </c>
      <c r="E322" s="3">
        <v>3</v>
      </c>
      <c r="F322" s="3">
        <v>1</v>
      </c>
      <c r="G322" s="3">
        <v>1</v>
      </c>
      <c r="H322" s="3">
        <v>2</v>
      </c>
      <c r="I322" s="7">
        <v>2</v>
      </c>
    </row>
    <row r="323" spans="1:9" x14ac:dyDescent="0.3">
      <c r="A323" s="6" t="s">
        <v>701</v>
      </c>
      <c r="B323" s="7">
        <v>16</v>
      </c>
      <c r="C323" s="3">
        <v>21</v>
      </c>
      <c r="D323" s="11">
        <v>4</v>
      </c>
      <c r="E323" s="7">
        <v>9</v>
      </c>
      <c r="F323" s="11">
        <v>3</v>
      </c>
      <c r="G323" s="3">
        <v>3</v>
      </c>
      <c r="H323" s="11">
        <v>3</v>
      </c>
      <c r="I323" s="11">
        <v>1</v>
      </c>
    </row>
    <row r="324" spans="1:9" x14ac:dyDescent="0.3">
      <c r="A324" t="s">
        <v>2212</v>
      </c>
      <c r="B324" s="7">
        <v>4</v>
      </c>
      <c r="C324" s="3">
        <v>18</v>
      </c>
      <c r="D324" s="3">
        <v>1</v>
      </c>
      <c r="E324" s="3">
        <v>3</v>
      </c>
      <c r="F324" s="3">
        <v>100</v>
      </c>
      <c r="G324" s="3">
        <v>100</v>
      </c>
      <c r="H324" s="3">
        <v>100</v>
      </c>
      <c r="I324" s="7">
        <v>2</v>
      </c>
    </row>
    <row r="325" spans="1:9" x14ac:dyDescent="0.3">
      <c r="A325" t="s">
        <v>1658</v>
      </c>
      <c r="B325" s="7">
        <v>11</v>
      </c>
      <c r="C325" s="3">
        <v>20</v>
      </c>
      <c r="D325" s="3">
        <v>5</v>
      </c>
      <c r="E325" s="3">
        <v>8</v>
      </c>
      <c r="F325" s="3">
        <v>1</v>
      </c>
      <c r="G325" s="3">
        <v>1</v>
      </c>
      <c r="H325" s="3">
        <v>2</v>
      </c>
      <c r="I325" s="7">
        <v>2</v>
      </c>
    </row>
    <row r="326" spans="1:9" x14ac:dyDescent="0.3">
      <c r="A326" s="6" t="s">
        <v>606</v>
      </c>
      <c r="B326" s="7">
        <v>16</v>
      </c>
      <c r="C326" s="3">
        <v>21</v>
      </c>
      <c r="D326" s="11">
        <v>4</v>
      </c>
      <c r="E326" s="11">
        <v>3</v>
      </c>
      <c r="F326" s="11">
        <v>1</v>
      </c>
      <c r="G326" s="3">
        <v>1</v>
      </c>
      <c r="H326" s="11">
        <v>100</v>
      </c>
      <c r="I326" s="11">
        <v>2</v>
      </c>
    </row>
    <row r="327" spans="1:9" x14ac:dyDescent="0.3">
      <c r="A327" t="s">
        <v>1383</v>
      </c>
      <c r="B327" s="7">
        <v>13</v>
      </c>
      <c r="C327" s="3">
        <v>21</v>
      </c>
      <c r="D327" s="3">
        <v>12</v>
      </c>
      <c r="E327" s="3">
        <v>3</v>
      </c>
      <c r="F327" s="3">
        <v>1</v>
      </c>
      <c r="G327" s="3">
        <v>1</v>
      </c>
      <c r="H327" s="3">
        <v>2</v>
      </c>
      <c r="I327" s="11">
        <v>2</v>
      </c>
    </row>
    <row r="328" spans="1:9" x14ac:dyDescent="0.3">
      <c r="A328" t="s">
        <v>2437</v>
      </c>
      <c r="B328" s="7">
        <v>2</v>
      </c>
      <c r="C328" s="3">
        <v>18</v>
      </c>
      <c r="D328" s="3">
        <v>4</v>
      </c>
      <c r="E328" s="3">
        <v>3</v>
      </c>
      <c r="F328" s="3">
        <v>100</v>
      </c>
      <c r="G328" s="3">
        <v>100</v>
      </c>
      <c r="H328" s="3">
        <v>100</v>
      </c>
      <c r="I328" s="11">
        <v>2</v>
      </c>
    </row>
    <row r="329" spans="1:9" x14ac:dyDescent="0.3">
      <c r="A329" s="6" t="s">
        <v>928</v>
      </c>
      <c r="B329" s="7">
        <v>15</v>
      </c>
      <c r="C329" s="3">
        <v>21</v>
      </c>
      <c r="D329" s="11">
        <v>9</v>
      </c>
      <c r="E329" s="7">
        <v>8</v>
      </c>
      <c r="F329" s="7">
        <v>10</v>
      </c>
      <c r="G329" s="3">
        <v>16</v>
      </c>
      <c r="H329" s="7">
        <v>3</v>
      </c>
      <c r="I329" s="11">
        <v>1</v>
      </c>
    </row>
    <row r="330" spans="1:9" x14ac:dyDescent="0.3">
      <c r="A330" t="s">
        <v>1512</v>
      </c>
      <c r="B330" s="7">
        <v>12</v>
      </c>
      <c r="C330" s="3">
        <v>20</v>
      </c>
      <c r="D330" s="11">
        <v>9</v>
      </c>
      <c r="E330" s="11">
        <v>8</v>
      </c>
      <c r="F330" s="11">
        <v>5</v>
      </c>
      <c r="G330" s="3">
        <v>15</v>
      </c>
      <c r="H330" s="11">
        <v>3</v>
      </c>
      <c r="I330" s="11">
        <v>1</v>
      </c>
    </row>
    <row r="331" spans="1:9" x14ac:dyDescent="0.3">
      <c r="A331" t="s">
        <v>3033</v>
      </c>
      <c r="B331" s="7">
        <v>4</v>
      </c>
      <c r="C331" s="3">
        <v>18</v>
      </c>
      <c r="D331" s="3">
        <v>3</v>
      </c>
      <c r="E331" s="3">
        <v>3</v>
      </c>
      <c r="F331" s="3">
        <v>1</v>
      </c>
      <c r="G331" s="3">
        <v>1</v>
      </c>
      <c r="H331" s="3">
        <v>1</v>
      </c>
      <c r="I331" s="11">
        <v>2</v>
      </c>
    </row>
    <row r="332" spans="1:9" x14ac:dyDescent="0.3">
      <c r="A332" t="s">
        <v>2472</v>
      </c>
      <c r="B332" s="7">
        <v>16</v>
      </c>
      <c r="C332" s="3">
        <v>21</v>
      </c>
      <c r="D332" s="3">
        <v>12</v>
      </c>
      <c r="E332" s="3">
        <v>8</v>
      </c>
      <c r="F332" s="3">
        <v>3</v>
      </c>
      <c r="G332" s="3">
        <v>3</v>
      </c>
      <c r="H332" s="3">
        <v>3</v>
      </c>
      <c r="I332" s="7">
        <v>2</v>
      </c>
    </row>
    <row r="333" spans="1:9" x14ac:dyDescent="0.3">
      <c r="A333" t="s">
        <v>2929</v>
      </c>
      <c r="B333" s="7">
        <v>10</v>
      </c>
      <c r="C333" s="3">
        <v>20</v>
      </c>
      <c r="D333" s="3">
        <v>5</v>
      </c>
      <c r="E333" s="3">
        <v>5</v>
      </c>
      <c r="F333" s="3">
        <v>2</v>
      </c>
      <c r="G333" s="3">
        <v>2</v>
      </c>
      <c r="H333" s="3">
        <v>3</v>
      </c>
      <c r="I333" s="3">
        <v>1</v>
      </c>
    </row>
    <row r="334" spans="1:9" x14ac:dyDescent="0.3">
      <c r="A334" t="s">
        <v>1827</v>
      </c>
      <c r="B334" s="7">
        <v>8</v>
      </c>
      <c r="C334" s="3">
        <v>19</v>
      </c>
      <c r="D334" s="3">
        <v>4</v>
      </c>
      <c r="E334" s="3">
        <v>5</v>
      </c>
      <c r="F334" s="11">
        <v>1</v>
      </c>
      <c r="G334" s="3">
        <v>1</v>
      </c>
      <c r="H334" s="11">
        <v>1</v>
      </c>
      <c r="I334" s="11">
        <v>2</v>
      </c>
    </row>
    <row r="335" spans="1:9" x14ac:dyDescent="0.3">
      <c r="A335" t="s">
        <v>2597</v>
      </c>
      <c r="B335" s="7">
        <v>15</v>
      </c>
      <c r="C335" s="3">
        <v>21</v>
      </c>
      <c r="D335" s="3">
        <v>4</v>
      </c>
      <c r="E335" s="3">
        <v>3</v>
      </c>
      <c r="F335" s="3">
        <v>100</v>
      </c>
      <c r="G335" s="3">
        <v>100</v>
      </c>
      <c r="H335" s="3">
        <v>100</v>
      </c>
      <c r="I335" s="11">
        <v>2</v>
      </c>
    </row>
    <row r="336" spans="1:9" x14ac:dyDescent="0.3">
      <c r="A336" s="6" t="s">
        <v>519</v>
      </c>
      <c r="B336" s="7">
        <v>16</v>
      </c>
      <c r="C336" s="3">
        <v>21</v>
      </c>
      <c r="D336" s="11">
        <v>2</v>
      </c>
      <c r="E336" s="11">
        <v>3</v>
      </c>
      <c r="F336" s="11">
        <v>1</v>
      </c>
      <c r="G336" s="3">
        <v>1</v>
      </c>
      <c r="H336" s="11">
        <v>2</v>
      </c>
      <c r="I336" s="11">
        <v>2</v>
      </c>
    </row>
    <row r="337" spans="1:9" x14ac:dyDescent="0.3">
      <c r="A337" t="s">
        <v>3037</v>
      </c>
      <c r="B337" s="7">
        <v>5</v>
      </c>
      <c r="C337" s="3">
        <v>19</v>
      </c>
      <c r="D337" s="3">
        <v>4</v>
      </c>
      <c r="E337" s="3">
        <v>3</v>
      </c>
      <c r="F337" s="3">
        <v>100</v>
      </c>
      <c r="G337" s="3">
        <v>100</v>
      </c>
      <c r="H337" s="3">
        <v>100</v>
      </c>
      <c r="I337" s="11">
        <v>2</v>
      </c>
    </row>
    <row r="338" spans="1:9" x14ac:dyDescent="0.3">
      <c r="A338" t="s">
        <v>1741</v>
      </c>
      <c r="B338" s="7">
        <v>10</v>
      </c>
      <c r="C338" s="3">
        <v>20</v>
      </c>
      <c r="D338" s="11">
        <v>1</v>
      </c>
      <c r="E338" s="7">
        <v>3</v>
      </c>
      <c r="F338" s="7">
        <v>100</v>
      </c>
      <c r="G338" s="3">
        <v>100</v>
      </c>
      <c r="H338" s="7">
        <v>100</v>
      </c>
      <c r="I338" s="11">
        <v>2</v>
      </c>
    </row>
    <row r="339" spans="1:9" x14ac:dyDescent="0.3">
      <c r="A339" t="s">
        <v>2258</v>
      </c>
      <c r="B339" s="7">
        <v>4</v>
      </c>
      <c r="C339" s="3">
        <v>18</v>
      </c>
      <c r="D339" s="3">
        <v>12</v>
      </c>
      <c r="E339" s="3">
        <v>3</v>
      </c>
      <c r="F339" s="3">
        <v>100</v>
      </c>
      <c r="G339" s="3">
        <v>100</v>
      </c>
      <c r="H339" s="3">
        <v>100</v>
      </c>
      <c r="I339" s="7">
        <v>2</v>
      </c>
    </row>
    <row r="340" spans="1:9" x14ac:dyDescent="0.3">
      <c r="A340" t="s">
        <v>1204</v>
      </c>
      <c r="B340" s="7">
        <v>13</v>
      </c>
      <c r="C340" s="3">
        <v>21</v>
      </c>
      <c r="D340" s="3">
        <v>12</v>
      </c>
      <c r="E340" s="3">
        <v>3</v>
      </c>
      <c r="F340" s="7">
        <v>100</v>
      </c>
      <c r="G340" s="3">
        <v>100</v>
      </c>
      <c r="H340" s="7">
        <v>100</v>
      </c>
      <c r="I340" s="7">
        <v>2</v>
      </c>
    </row>
    <row r="341" spans="1:9" x14ac:dyDescent="0.3">
      <c r="A341" s="6" t="s">
        <v>634</v>
      </c>
      <c r="B341" s="7">
        <v>16</v>
      </c>
      <c r="C341" s="3">
        <v>21</v>
      </c>
      <c r="D341" s="11">
        <v>4</v>
      </c>
      <c r="E341" s="11">
        <v>3</v>
      </c>
      <c r="F341" s="11">
        <v>1</v>
      </c>
      <c r="G341" s="3">
        <v>1</v>
      </c>
      <c r="H341" s="11">
        <v>2</v>
      </c>
      <c r="I341" s="7">
        <v>1</v>
      </c>
    </row>
    <row r="342" spans="1:9" x14ac:dyDescent="0.3">
      <c r="A342" s="6" t="s">
        <v>288</v>
      </c>
      <c r="B342" s="7">
        <v>16</v>
      </c>
      <c r="C342" s="3">
        <v>21</v>
      </c>
      <c r="D342" s="11">
        <v>4</v>
      </c>
      <c r="E342" s="11">
        <v>1</v>
      </c>
      <c r="F342" s="11">
        <v>1</v>
      </c>
      <c r="G342" s="3">
        <v>1</v>
      </c>
      <c r="H342" s="11">
        <v>2</v>
      </c>
      <c r="I342" s="11">
        <v>2</v>
      </c>
    </row>
    <row r="343" spans="1:9" x14ac:dyDescent="0.3">
      <c r="A343" t="s">
        <v>2203</v>
      </c>
      <c r="B343" s="7">
        <v>4</v>
      </c>
      <c r="C343" s="3">
        <v>18</v>
      </c>
      <c r="D343" s="3">
        <v>1</v>
      </c>
      <c r="E343" s="3">
        <v>9</v>
      </c>
      <c r="F343" s="11">
        <v>1</v>
      </c>
      <c r="G343" s="3">
        <v>1</v>
      </c>
      <c r="H343" s="11">
        <v>1</v>
      </c>
      <c r="I343" s="7">
        <v>2</v>
      </c>
    </row>
    <row r="344" spans="1:9" x14ac:dyDescent="0.3">
      <c r="A344" s="6" t="s">
        <v>575</v>
      </c>
      <c r="B344" s="7">
        <v>16</v>
      </c>
      <c r="C344" s="3">
        <v>21</v>
      </c>
      <c r="D344" s="11">
        <v>4</v>
      </c>
      <c r="E344" s="11">
        <v>3</v>
      </c>
      <c r="F344" s="11">
        <v>1</v>
      </c>
      <c r="G344" s="3">
        <v>1</v>
      </c>
      <c r="H344" s="11">
        <v>2</v>
      </c>
      <c r="I344" s="11">
        <v>2</v>
      </c>
    </row>
    <row r="345" spans="1:9" x14ac:dyDescent="0.3">
      <c r="A345" t="s">
        <v>2613</v>
      </c>
      <c r="B345" s="7">
        <v>14</v>
      </c>
      <c r="C345" s="3">
        <v>21</v>
      </c>
      <c r="D345" s="3">
        <v>5</v>
      </c>
      <c r="E345" s="3">
        <v>8</v>
      </c>
      <c r="F345" s="11">
        <v>1</v>
      </c>
      <c r="G345" s="3">
        <v>1</v>
      </c>
      <c r="H345" s="11">
        <v>2</v>
      </c>
      <c r="I345" s="7">
        <v>2</v>
      </c>
    </row>
    <row r="346" spans="1:9" x14ac:dyDescent="0.3">
      <c r="A346" s="6" t="s">
        <v>337</v>
      </c>
      <c r="B346" s="7">
        <v>16</v>
      </c>
      <c r="C346" s="3">
        <v>21</v>
      </c>
      <c r="D346" s="11">
        <v>4</v>
      </c>
      <c r="E346" s="11">
        <v>3</v>
      </c>
      <c r="F346" s="11">
        <v>1</v>
      </c>
      <c r="G346" s="3">
        <v>1</v>
      </c>
      <c r="H346" s="11">
        <v>2</v>
      </c>
      <c r="I346" s="7">
        <v>2</v>
      </c>
    </row>
    <row r="347" spans="1:9" x14ac:dyDescent="0.3">
      <c r="A347" s="6" t="s">
        <v>362</v>
      </c>
      <c r="B347" s="7">
        <v>16</v>
      </c>
      <c r="C347" s="3">
        <v>21</v>
      </c>
      <c r="D347" s="11">
        <v>4</v>
      </c>
      <c r="E347" s="11">
        <v>3</v>
      </c>
      <c r="F347" s="11">
        <v>1</v>
      </c>
      <c r="G347" s="3">
        <v>1</v>
      </c>
      <c r="H347" s="11">
        <v>2</v>
      </c>
      <c r="I347" s="7">
        <v>2</v>
      </c>
    </row>
    <row r="348" spans="1:9" x14ac:dyDescent="0.3">
      <c r="A348" t="s">
        <v>1930</v>
      </c>
      <c r="B348" s="7">
        <v>8</v>
      </c>
      <c r="C348" s="3">
        <v>19</v>
      </c>
      <c r="D348" s="3">
        <v>1</v>
      </c>
      <c r="E348" s="3">
        <v>3</v>
      </c>
      <c r="F348" s="3">
        <v>1</v>
      </c>
      <c r="G348" s="3">
        <v>1</v>
      </c>
      <c r="H348" s="3">
        <v>1</v>
      </c>
      <c r="I348" s="3">
        <v>1</v>
      </c>
    </row>
    <row r="349" spans="1:9" x14ac:dyDescent="0.3">
      <c r="A349" s="6" t="s">
        <v>702</v>
      </c>
      <c r="B349" s="7">
        <v>16</v>
      </c>
      <c r="C349" s="3">
        <v>21</v>
      </c>
      <c r="D349" s="11">
        <v>4</v>
      </c>
      <c r="E349" s="7">
        <v>3</v>
      </c>
      <c r="F349" s="7">
        <v>100</v>
      </c>
      <c r="G349" s="3">
        <v>100</v>
      </c>
      <c r="H349" s="7">
        <v>3</v>
      </c>
      <c r="I349" s="7">
        <v>2</v>
      </c>
    </row>
    <row r="350" spans="1:9" x14ac:dyDescent="0.3">
      <c r="A350" s="6" t="s">
        <v>451</v>
      </c>
      <c r="B350" s="7">
        <v>16</v>
      </c>
      <c r="C350" s="3">
        <v>21</v>
      </c>
      <c r="D350" s="11">
        <v>4</v>
      </c>
      <c r="E350" s="11">
        <v>3</v>
      </c>
      <c r="F350" s="7">
        <v>100</v>
      </c>
      <c r="G350" s="3">
        <v>100</v>
      </c>
      <c r="H350" s="7">
        <v>2</v>
      </c>
      <c r="I350" s="7">
        <v>2</v>
      </c>
    </row>
    <row r="351" spans="1:9" x14ac:dyDescent="0.3">
      <c r="A351" t="s">
        <v>2515</v>
      </c>
      <c r="B351" s="7">
        <v>16</v>
      </c>
      <c r="C351" s="3">
        <v>21</v>
      </c>
      <c r="D351" s="3">
        <v>9</v>
      </c>
      <c r="E351" s="3">
        <v>8</v>
      </c>
      <c r="F351" s="3">
        <v>2</v>
      </c>
      <c r="G351" s="3">
        <v>2</v>
      </c>
      <c r="H351" s="3">
        <v>5</v>
      </c>
      <c r="I351" s="11">
        <v>2</v>
      </c>
    </row>
    <row r="352" spans="1:9" x14ac:dyDescent="0.3">
      <c r="A352" t="s">
        <v>2534</v>
      </c>
      <c r="B352" s="7">
        <v>16</v>
      </c>
      <c r="C352" s="3">
        <v>21</v>
      </c>
      <c r="D352" s="3">
        <v>4</v>
      </c>
      <c r="E352" s="3">
        <v>3</v>
      </c>
      <c r="F352" s="11">
        <v>1</v>
      </c>
      <c r="G352" s="3">
        <v>1</v>
      </c>
      <c r="H352" s="11">
        <v>2</v>
      </c>
      <c r="I352" s="11">
        <v>2</v>
      </c>
    </row>
    <row r="353" spans="1:9" x14ac:dyDescent="0.3">
      <c r="A353" s="6" t="s">
        <v>1172</v>
      </c>
      <c r="B353" s="7">
        <v>13</v>
      </c>
      <c r="C353" s="3">
        <v>21</v>
      </c>
      <c r="D353" s="3">
        <v>5</v>
      </c>
      <c r="E353" s="3">
        <v>3</v>
      </c>
      <c r="F353" s="3">
        <v>6</v>
      </c>
      <c r="G353" s="3">
        <v>15</v>
      </c>
      <c r="H353" s="3">
        <v>3</v>
      </c>
      <c r="I353" s="3">
        <v>1</v>
      </c>
    </row>
    <row r="354" spans="1:9" x14ac:dyDescent="0.3">
      <c r="A354" t="s">
        <v>2855</v>
      </c>
      <c r="B354" s="7">
        <v>11</v>
      </c>
      <c r="C354" s="3">
        <v>20</v>
      </c>
      <c r="D354" s="3">
        <v>2</v>
      </c>
      <c r="E354" s="3">
        <v>3</v>
      </c>
      <c r="F354" s="3">
        <v>2</v>
      </c>
      <c r="G354" s="3">
        <v>2</v>
      </c>
      <c r="H354" s="3">
        <v>3</v>
      </c>
      <c r="I354" s="7">
        <v>2</v>
      </c>
    </row>
    <row r="355" spans="1:9" x14ac:dyDescent="0.3">
      <c r="A355" t="s">
        <v>2981</v>
      </c>
      <c r="B355" s="7">
        <v>7</v>
      </c>
      <c r="C355" s="3">
        <v>19</v>
      </c>
      <c r="D355" s="3">
        <v>4</v>
      </c>
      <c r="E355" s="3">
        <v>3</v>
      </c>
      <c r="F355" s="3">
        <v>1</v>
      </c>
      <c r="G355" s="3">
        <v>1</v>
      </c>
      <c r="H355" s="3">
        <v>1</v>
      </c>
      <c r="I355" s="7">
        <v>2</v>
      </c>
    </row>
    <row r="356" spans="1:9" x14ac:dyDescent="0.3">
      <c r="A356" s="6" t="s">
        <v>1078</v>
      </c>
      <c r="B356" s="7">
        <v>14</v>
      </c>
      <c r="C356" s="3">
        <v>21</v>
      </c>
      <c r="D356" s="11">
        <v>8</v>
      </c>
      <c r="E356" s="11">
        <v>6</v>
      </c>
      <c r="F356" s="11">
        <v>1</v>
      </c>
      <c r="G356" s="3">
        <v>1</v>
      </c>
      <c r="H356" s="11">
        <v>2</v>
      </c>
      <c r="I356" s="11">
        <v>2</v>
      </c>
    </row>
    <row r="357" spans="1:9" x14ac:dyDescent="0.3">
      <c r="A357" t="s">
        <v>1776</v>
      </c>
      <c r="B357" s="7">
        <v>9</v>
      </c>
      <c r="C357" s="3">
        <v>20</v>
      </c>
      <c r="D357" s="3">
        <v>4</v>
      </c>
      <c r="E357" s="3">
        <v>1</v>
      </c>
      <c r="F357" s="11">
        <v>1</v>
      </c>
      <c r="G357" s="3">
        <v>1</v>
      </c>
      <c r="H357" s="11">
        <v>2</v>
      </c>
      <c r="I357" s="11">
        <v>2</v>
      </c>
    </row>
    <row r="358" spans="1:9" x14ac:dyDescent="0.3">
      <c r="A358" t="s">
        <v>2801</v>
      </c>
      <c r="B358" s="7">
        <v>12</v>
      </c>
      <c r="C358" s="3">
        <v>20</v>
      </c>
      <c r="D358" s="3">
        <v>14</v>
      </c>
      <c r="E358" s="3">
        <v>9</v>
      </c>
      <c r="F358" s="3">
        <v>1</v>
      </c>
      <c r="G358" s="3">
        <v>1</v>
      </c>
      <c r="H358" s="3">
        <v>2</v>
      </c>
      <c r="I358" s="11">
        <v>2</v>
      </c>
    </row>
    <row r="359" spans="1:9" x14ac:dyDescent="0.3">
      <c r="A359" s="6" t="s">
        <v>419</v>
      </c>
      <c r="B359" s="7">
        <v>16</v>
      </c>
      <c r="C359" s="3">
        <v>21</v>
      </c>
      <c r="D359" s="11">
        <v>4</v>
      </c>
      <c r="E359" s="11">
        <v>3</v>
      </c>
      <c r="F359" s="11">
        <v>1</v>
      </c>
      <c r="G359" s="3">
        <v>1</v>
      </c>
      <c r="H359" s="11">
        <v>2</v>
      </c>
      <c r="I359" s="7">
        <v>2</v>
      </c>
    </row>
    <row r="360" spans="1:9" x14ac:dyDescent="0.3">
      <c r="A360" t="s">
        <v>1431</v>
      </c>
      <c r="B360" s="7">
        <v>13</v>
      </c>
      <c r="C360" s="3">
        <v>21</v>
      </c>
      <c r="D360" s="11">
        <v>1</v>
      </c>
      <c r="E360" s="7">
        <v>8</v>
      </c>
      <c r="F360" s="11">
        <v>100</v>
      </c>
      <c r="G360" s="3">
        <v>100</v>
      </c>
      <c r="H360" s="11">
        <v>100</v>
      </c>
      <c r="I360" s="11">
        <v>2</v>
      </c>
    </row>
    <row r="361" spans="1:9" x14ac:dyDescent="0.3">
      <c r="A361" t="s">
        <v>2252</v>
      </c>
      <c r="B361" s="7">
        <v>4</v>
      </c>
      <c r="C361" s="3">
        <v>18</v>
      </c>
      <c r="D361" s="3">
        <v>4</v>
      </c>
      <c r="E361" s="3">
        <v>3</v>
      </c>
      <c r="F361" s="3">
        <v>1</v>
      </c>
      <c r="G361" s="3">
        <v>1</v>
      </c>
      <c r="H361" s="3">
        <v>1</v>
      </c>
      <c r="I361" s="7">
        <v>2</v>
      </c>
    </row>
    <row r="362" spans="1:9" x14ac:dyDescent="0.3">
      <c r="A362" t="s">
        <v>1668</v>
      </c>
      <c r="B362" s="7">
        <v>11</v>
      </c>
      <c r="C362" s="3">
        <v>20</v>
      </c>
      <c r="D362" s="3">
        <v>1</v>
      </c>
      <c r="E362" s="3">
        <v>3</v>
      </c>
      <c r="F362" s="3">
        <v>1</v>
      </c>
      <c r="G362" s="3">
        <v>1</v>
      </c>
      <c r="H362" s="3">
        <v>1</v>
      </c>
      <c r="I362" s="7">
        <v>2</v>
      </c>
    </row>
    <row r="363" spans="1:9" x14ac:dyDescent="0.3">
      <c r="A363" t="s">
        <v>2062</v>
      </c>
      <c r="B363" s="7">
        <v>6</v>
      </c>
      <c r="C363" s="3">
        <v>19</v>
      </c>
      <c r="D363" s="3">
        <v>4</v>
      </c>
      <c r="E363" s="3">
        <v>3</v>
      </c>
      <c r="F363" s="3">
        <v>1</v>
      </c>
      <c r="G363" s="3">
        <v>1</v>
      </c>
      <c r="H363" s="3">
        <v>2</v>
      </c>
      <c r="I363" s="7">
        <v>2</v>
      </c>
    </row>
    <row r="364" spans="1:9" x14ac:dyDescent="0.3">
      <c r="A364" t="s">
        <v>2521</v>
      </c>
      <c r="B364" s="7">
        <v>16</v>
      </c>
      <c r="C364" s="3">
        <v>21</v>
      </c>
      <c r="D364" s="3">
        <v>4</v>
      </c>
      <c r="E364" s="3">
        <v>1</v>
      </c>
      <c r="F364" s="3">
        <v>1</v>
      </c>
      <c r="G364" s="3">
        <v>1</v>
      </c>
      <c r="H364" s="11">
        <v>2</v>
      </c>
      <c r="I364" s="11">
        <v>2</v>
      </c>
    </row>
    <row r="365" spans="1:9" x14ac:dyDescent="0.3">
      <c r="A365" t="s">
        <v>1199</v>
      </c>
      <c r="B365" s="7">
        <v>13</v>
      </c>
      <c r="C365" s="3">
        <v>21</v>
      </c>
      <c r="D365" s="3">
        <v>4</v>
      </c>
      <c r="E365" s="3">
        <v>1</v>
      </c>
      <c r="F365" s="7">
        <v>1</v>
      </c>
      <c r="G365" s="3">
        <v>1</v>
      </c>
      <c r="H365" s="3">
        <v>2</v>
      </c>
      <c r="I365" s="11">
        <v>2</v>
      </c>
    </row>
    <row r="366" spans="1:9" x14ac:dyDescent="0.3">
      <c r="A366" t="s">
        <v>2640</v>
      </c>
      <c r="B366" s="7">
        <v>14</v>
      </c>
      <c r="C366" s="3">
        <v>21</v>
      </c>
      <c r="D366" s="3">
        <v>1</v>
      </c>
      <c r="E366" s="3">
        <v>3</v>
      </c>
      <c r="F366" s="3">
        <v>4</v>
      </c>
      <c r="G366" s="3">
        <v>15</v>
      </c>
      <c r="H366" s="3">
        <v>5</v>
      </c>
      <c r="I366" s="11">
        <v>2</v>
      </c>
    </row>
    <row r="367" spans="1:9" x14ac:dyDescent="0.3">
      <c r="A367" t="s">
        <v>2749</v>
      </c>
      <c r="B367" s="7">
        <v>13</v>
      </c>
      <c r="C367" s="3">
        <v>21</v>
      </c>
      <c r="D367" s="3">
        <v>3</v>
      </c>
      <c r="E367" s="3">
        <v>3</v>
      </c>
      <c r="F367" s="11">
        <v>1</v>
      </c>
      <c r="G367" s="3">
        <v>1</v>
      </c>
      <c r="H367" s="11">
        <v>2</v>
      </c>
      <c r="I367" s="7">
        <v>2</v>
      </c>
    </row>
    <row r="368" spans="1:9" x14ac:dyDescent="0.3">
      <c r="A368" t="s">
        <v>2543</v>
      </c>
      <c r="B368" s="7">
        <v>16</v>
      </c>
      <c r="C368" s="3">
        <v>21</v>
      </c>
      <c r="D368" s="3">
        <v>15</v>
      </c>
      <c r="E368" s="3">
        <v>3</v>
      </c>
      <c r="F368" s="3">
        <v>1</v>
      </c>
      <c r="G368" s="3">
        <v>1</v>
      </c>
      <c r="H368" s="3">
        <v>1</v>
      </c>
      <c r="I368" s="7">
        <v>2</v>
      </c>
    </row>
    <row r="369" spans="1:9" x14ac:dyDescent="0.3">
      <c r="A369" s="6" t="s">
        <v>619</v>
      </c>
      <c r="B369" s="7">
        <v>16</v>
      </c>
      <c r="C369" s="3">
        <v>21</v>
      </c>
      <c r="D369" s="11">
        <v>4</v>
      </c>
      <c r="E369" s="11">
        <v>3</v>
      </c>
      <c r="F369" s="11">
        <v>3</v>
      </c>
      <c r="G369" s="3">
        <v>3</v>
      </c>
      <c r="H369" s="11">
        <v>4</v>
      </c>
      <c r="I369" s="7">
        <v>1</v>
      </c>
    </row>
    <row r="370" spans="1:9" x14ac:dyDescent="0.3">
      <c r="A370" t="s">
        <v>2770</v>
      </c>
      <c r="B370" s="7">
        <v>12</v>
      </c>
      <c r="C370" s="3">
        <v>20</v>
      </c>
      <c r="D370" s="3">
        <v>12</v>
      </c>
      <c r="E370" s="3">
        <v>3</v>
      </c>
      <c r="F370" s="3">
        <v>1</v>
      </c>
      <c r="G370" s="3">
        <v>1</v>
      </c>
      <c r="H370" s="3">
        <v>2</v>
      </c>
      <c r="I370" s="11">
        <v>2</v>
      </c>
    </row>
    <row r="371" spans="1:9" x14ac:dyDescent="0.3">
      <c r="A371" s="6" t="s">
        <v>677</v>
      </c>
      <c r="B371" s="7">
        <v>16</v>
      </c>
      <c r="C371" s="3">
        <v>21</v>
      </c>
      <c r="D371" s="11">
        <v>1</v>
      </c>
      <c r="E371" s="7">
        <v>8</v>
      </c>
      <c r="F371" s="11">
        <v>3</v>
      </c>
      <c r="G371" s="3">
        <v>3</v>
      </c>
      <c r="H371" s="11">
        <v>5</v>
      </c>
      <c r="I371" s="7">
        <v>2</v>
      </c>
    </row>
    <row r="372" spans="1:9" x14ac:dyDescent="0.3">
      <c r="A372" s="6" t="s">
        <v>103</v>
      </c>
      <c r="B372" s="7">
        <v>17</v>
      </c>
      <c r="C372" s="3">
        <v>21</v>
      </c>
      <c r="D372" s="11">
        <v>5</v>
      </c>
      <c r="E372" s="11">
        <v>6</v>
      </c>
      <c r="F372" s="11">
        <v>5</v>
      </c>
      <c r="G372" s="3">
        <v>15</v>
      </c>
      <c r="H372" s="11">
        <v>3</v>
      </c>
      <c r="I372" s="11">
        <v>1</v>
      </c>
    </row>
    <row r="373" spans="1:9" x14ac:dyDescent="0.3">
      <c r="A373" t="s">
        <v>2875</v>
      </c>
      <c r="B373" s="7">
        <v>11</v>
      </c>
      <c r="C373" s="3">
        <v>20</v>
      </c>
      <c r="D373" s="3">
        <v>3</v>
      </c>
      <c r="E373" s="3">
        <v>5</v>
      </c>
      <c r="F373" s="3">
        <v>1</v>
      </c>
      <c r="G373" s="3">
        <v>1</v>
      </c>
      <c r="H373" s="3">
        <v>2</v>
      </c>
      <c r="I373" s="7">
        <v>2</v>
      </c>
    </row>
    <row r="374" spans="1:9" x14ac:dyDescent="0.3">
      <c r="A374" s="6" t="s">
        <v>822</v>
      </c>
      <c r="B374" s="7">
        <v>15</v>
      </c>
      <c r="C374" s="3">
        <v>21</v>
      </c>
      <c r="D374" s="11">
        <v>1</v>
      </c>
      <c r="E374" s="7">
        <v>3</v>
      </c>
      <c r="F374" s="11">
        <v>1</v>
      </c>
      <c r="G374" s="3">
        <v>1</v>
      </c>
      <c r="H374" s="11">
        <v>2</v>
      </c>
      <c r="I374" s="11">
        <v>2</v>
      </c>
    </row>
    <row r="375" spans="1:9" x14ac:dyDescent="0.3">
      <c r="A375" t="s">
        <v>1838</v>
      </c>
      <c r="B375" s="7">
        <v>9</v>
      </c>
      <c r="C375" s="3">
        <v>20</v>
      </c>
      <c r="D375" s="3">
        <v>2</v>
      </c>
      <c r="E375" s="3">
        <v>3</v>
      </c>
      <c r="F375" s="3">
        <v>100</v>
      </c>
      <c r="G375" s="3">
        <v>100</v>
      </c>
      <c r="H375" s="3">
        <v>100</v>
      </c>
      <c r="I375" s="7">
        <v>2</v>
      </c>
    </row>
    <row r="376" spans="1:9" x14ac:dyDescent="0.3">
      <c r="A376" t="s">
        <v>2607</v>
      </c>
      <c r="B376" s="7">
        <v>15</v>
      </c>
      <c r="C376" s="3">
        <v>21</v>
      </c>
      <c r="D376" s="3">
        <v>2</v>
      </c>
      <c r="E376" s="3">
        <v>3</v>
      </c>
      <c r="F376" s="3">
        <v>1</v>
      </c>
      <c r="G376" s="3">
        <v>1</v>
      </c>
      <c r="H376" s="3">
        <v>2</v>
      </c>
      <c r="I376" s="11">
        <v>2</v>
      </c>
    </row>
    <row r="377" spans="1:9" x14ac:dyDescent="0.3">
      <c r="A377" t="s">
        <v>1359</v>
      </c>
      <c r="B377" s="7">
        <v>13</v>
      </c>
      <c r="C377" s="3">
        <v>21</v>
      </c>
      <c r="D377" s="3">
        <v>15</v>
      </c>
      <c r="E377" s="3">
        <v>3</v>
      </c>
      <c r="F377" s="3">
        <v>100</v>
      </c>
      <c r="G377" s="3">
        <v>100</v>
      </c>
      <c r="H377" s="3">
        <v>100</v>
      </c>
      <c r="I377" s="11">
        <v>2</v>
      </c>
    </row>
    <row r="378" spans="1:9" x14ac:dyDescent="0.3">
      <c r="A378" t="s">
        <v>1423</v>
      </c>
      <c r="B378" s="7">
        <v>12</v>
      </c>
      <c r="C378" s="3">
        <v>20</v>
      </c>
      <c r="D378" s="3">
        <v>15</v>
      </c>
      <c r="E378" s="3">
        <v>6</v>
      </c>
      <c r="F378" s="3">
        <v>2</v>
      </c>
      <c r="G378" s="3">
        <v>2</v>
      </c>
      <c r="H378" s="3">
        <v>3</v>
      </c>
      <c r="I378" s="7">
        <v>2</v>
      </c>
    </row>
    <row r="379" spans="1:9" x14ac:dyDescent="0.3">
      <c r="A379" s="6" t="s">
        <v>1228</v>
      </c>
      <c r="B379" s="7">
        <v>13</v>
      </c>
      <c r="C379" s="3">
        <v>21</v>
      </c>
      <c r="D379" s="3">
        <v>1</v>
      </c>
      <c r="E379" s="3">
        <v>3</v>
      </c>
      <c r="F379" s="3">
        <v>2</v>
      </c>
      <c r="G379" s="3">
        <v>2</v>
      </c>
      <c r="H379" s="3">
        <v>5</v>
      </c>
      <c r="I379" s="11">
        <v>2</v>
      </c>
    </row>
    <row r="380" spans="1:9" x14ac:dyDescent="0.3">
      <c r="A380" t="s">
        <v>1347</v>
      </c>
      <c r="B380" s="7">
        <v>13</v>
      </c>
      <c r="C380" s="3">
        <v>21</v>
      </c>
      <c r="D380" s="3">
        <v>9</v>
      </c>
      <c r="E380" s="3">
        <v>3</v>
      </c>
      <c r="F380" s="3">
        <v>1</v>
      </c>
      <c r="G380" s="3">
        <v>1</v>
      </c>
      <c r="H380" s="3">
        <v>2</v>
      </c>
      <c r="I380" s="11">
        <v>2</v>
      </c>
    </row>
    <row r="381" spans="1:9" x14ac:dyDescent="0.3">
      <c r="A381" s="6" t="s">
        <v>411</v>
      </c>
      <c r="B381" s="7">
        <v>16</v>
      </c>
      <c r="C381" s="3">
        <v>21</v>
      </c>
      <c r="D381" s="11">
        <v>15</v>
      </c>
      <c r="E381" s="7">
        <v>3</v>
      </c>
      <c r="F381" s="11">
        <v>1</v>
      </c>
      <c r="G381" s="3">
        <v>1</v>
      </c>
      <c r="H381" s="11">
        <v>2</v>
      </c>
      <c r="I381" s="11">
        <v>2</v>
      </c>
    </row>
    <row r="382" spans="1:9" x14ac:dyDescent="0.3">
      <c r="A382" s="6" t="s">
        <v>401</v>
      </c>
      <c r="B382" s="7">
        <v>16</v>
      </c>
      <c r="C382" s="3">
        <v>21</v>
      </c>
      <c r="D382" s="11">
        <v>4</v>
      </c>
      <c r="E382" s="11">
        <v>3</v>
      </c>
      <c r="F382" s="7">
        <v>100</v>
      </c>
      <c r="G382" s="3">
        <v>100</v>
      </c>
      <c r="H382" s="7">
        <v>100</v>
      </c>
      <c r="I382" s="7">
        <v>2</v>
      </c>
    </row>
    <row r="383" spans="1:9" x14ac:dyDescent="0.3">
      <c r="A383" s="6" t="s">
        <v>394</v>
      </c>
      <c r="B383" s="7">
        <v>16</v>
      </c>
      <c r="C383" s="3">
        <v>21</v>
      </c>
      <c r="D383" s="11">
        <v>4</v>
      </c>
      <c r="E383" s="11">
        <v>3</v>
      </c>
      <c r="F383" s="7">
        <v>100</v>
      </c>
      <c r="G383" s="3">
        <v>100</v>
      </c>
      <c r="H383" s="7">
        <v>100</v>
      </c>
      <c r="I383" s="7">
        <v>2</v>
      </c>
    </row>
    <row r="384" spans="1:9" x14ac:dyDescent="0.3">
      <c r="A384" t="s">
        <v>2731</v>
      </c>
      <c r="B384" s="7">
        <v>13</v>
      </c>
      <c r="C384" s="3">
        <v>21</v>
      </c>
      <c r="D384" s="3">
        <v>15</v>
      </c>
      <c r="E384" s="3">
        <v>3</v>
      </c>
      <c r="F384" s="3">
        <v>100</v>
      </c>
      <c r="G384" s="3">
        <v>100</v>
      </c>
      <c r="H384" s="3">
        <v>100</v>
      </c>
      <c r="I384" s="7">
        <v>2</v>
      </c>
    </row>
    <row r="385" spans="1:9" x14ac:dyDescent="0.3">
      <c r="A385" t="s">
        <v>2582</v>
      </c>
      <c r="B385" s="7">
        <v>15</v>
      </c>
      <c r="C385" s="3">
        <v>21</v>
      </c>
      <c r="D385" s="3">
        <v>15</v>
      </c>
      <c r="E385" s="3">
        <v>3</v>
      </c>
      <c r="F385" s="3">
        <v>1</v>
      </c>
      <c r="G385" s="3">
        <v>1</v>
      </c>
      <c r="H385" s="3">
        <v>2</v>
      </c>
      <c r="I385" s="11">
        <v>2</v>
      </c>
    </row>
    <row r="386" spans="1:9" x14ac:dyDescent="0.3">
      <c r="A386" t="s">
        <v>2601</v>
      </c>
      <c r="B386" s="7">
        <v>15</v>
      </c>
      <c r="C386" s="3">
        <v>21</v>
      </c>
      <c r="D386" s="3">
        <v>4</v>
      </c>
      <c r="E386" s="3">
        <v>3</v>
      </c>
      <c r="F386" s="3">
        <v>1</v>
      </c>
      <c r="G386" s="3">
        <v>1</v>
      </c>
      <c r="H386" s="11">
        <v>2</v>
      </c>
      <c r="I386" s="11">
        <v>2</v>
      </c>
    </row>
    <row r="404" spans="6:6" x14ac:dyDescent="0.3">
      <c r="F404" s="7"/>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17</vt:i4>
      </vt:variant>
    </vt:vector>
  </HeadingPairs>
  <TitlesOfParts>
    <vt:vector size="17" baseType="lpstr">
      <vt:lpstr>Literature_Screening_1</vt:lpstr>
      <vt:lpstr>Literature_Screening_2</vt:lpstr>
      <vt:lpstr>Literature_Evaluation</vt:lpstr>
      <vt:lpstr>Code_revised</vt:lpstr>
      <vt:lpstr>Literature_Evaluation_Fig.Prep</vt:lpstr>
      <vt:lpstr>Literature_Eval._Trajectories</vt:lpstr>
      <vt:lpstr>Literature_Eval._Fig.</vt:lpstr>
      <vt:lpstr>Publication_Fig.</vt:lpstr>
      <vt:lpstr>Elevation_Fig.</vt:lpstr>
      <vt:lpstr>VerticalDatum_Fig.</vt:lpstr>
      <vt:lpstr>VD_Trajectories</vt:lpstr>
      <vt:lpstr>VD_Trajectories_Eval</vt:lpstr>
      <vt:lpstr>AdditionallyEvaluatedLiterature</vt:lpstr>
      <vt:lpstr>Literature_Eval._Fig.Prep._ADD</vt:lpstr>
      <vt:lpstr>VerticalDatum_Fig._ADD</vt:lpstr>
      <vt:lpstr>VD_Trajectories_ADD</vt:lpstr>
      <vt:lpstr>VD_Trajectories_Eval_ADD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Katharina Seeger</dc:creator>
  <cp:lastModifiedBy>Katharina Seeger</cp:lastModifiedBy>
  <dcterms:created xsi:type="dcterms:W3CDTF">2025-04-14T10:05:23Z</dcterms:created>
  <dcterms:modified xsi:type="dcterms:W3CDTF">2026-01-19T16:50:48Z</dcterms:modified>
</cp:coreProperties>
</file>